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metadata" ContentType="application/binary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/>
  <mc:AlternateContent xmlns:mc="http://schemas.openxmlformats.org/markup-compatibility/2006">
    <mc:Choice Requires="x15">
      <x15ac:absPath xmlns:x15ac="http://schemas.microsoft.com/office/spreadsheetml/2010/11/ac" url="G:\My Drive\Financial\Budget\"/>
    </mc:Choice>
  </mc:AlternateContent>
  <xr:revisionPtr revIDLastSave="0" documentId="13_ncr:1_{B64BBF33-C8A0-4EC4-8ADE-865B0F511DFD}" xr6:coauthVersionLast="47" xr6:coauthVersionMax="47" xr10:uidLastSave="{00000000-0000-0000-0000-000000000000}"/>
  <bookViews>
    <workbookView xWindow="-57720" yWindow="-120" windowWidth="29040" windowHeight="15840" firstSheet="1" activeTab="1" xr2:uid="{00000000-000D-0000-FFFF-FFFF00000000}"/>
  </bookViews>
  <sheets>
    <sheet name="Sheet1" sheetId="1" r:id="rId1"/>
    <sheet name="Share Count" sheetId="19" r:id="rId2"/>
    <sheet name="Net Worth" sheetId="2" r:id="rId3"/>
    <sheet name="50-30-20" sheetId="3" r:id="rId4"/>
    <sheet name="Proposed Budget" sheetId="4" r:id="rId5"/>
    <sheet name="Budget Breakdown" sheetId="5" r:id="rId6"/>
    <sheet name="Monthly Breakdown" sheetId="6" r:id="rId7"/>
    <sheet name="Checking Transaction Log" sheetId="7" r:id="rId8"/>
    <sheet name="Savings Transaction Log" sheetId="8" r:id="rId9"/>
    <sheet name="Rental Breakdown" sheetId="9" r:id="rId10"/>
    <sheet name="Retirement Calculator" sheetId="10" r:id="rId11"/>
    <sheet name="TSP-401K" sheetId="11" r:id="rId12"/>
    <sheet name="Combined Retirement" sheetId="12" r:id="rId13"/>
    <sheet name="Isaac 401k" sheetId="13" r:id="rId14"/>
    <sheet name="Lorri 401b" sheetId="14" r:id="rId15"/>
    <sheet name="Guard Ret Calc" sheetId="15" r:id="rId16"/>
    <sheet name="Accounts" sheetId="16" r:id="rId17"/>
    <sheet name="Electric-Gas" sheetId="17" r:id="rId18"/>
    <sheet name="Investment Tax" sheetId="18" r:id="rId19"/>
  </sheets>
  <definedNames>
    <definedName name="_xlnm._FilterDatabase" localSheetId="7" hidden="1">'Checking Transaction Log'!$A$1:$G$1042</definedName>
    <definedName name="_xlnm._FilterDatabase" localSheetId="10" hidden="1">'Retirement Calculator'!$A$10:$P$10</definedName>
    <definedName name="Beg_Bal_2">#REF!</definedName>
    <definedName name="End_Bal_2">#REF!</definedName>
    <definedName name="Extra_Pay_2">#REF!</definedName>
    <definedName name="Int_2">#REF!</definedName>
    <definedName name="Interest_Rate_2">#REF!</definedName>
    <definedName name="Loan_Amount_2">#REF!</definedName>
    <definedName name="Loan_Start_2">#REF!</definedName>
    <definedName name="Loan_Years_2">#REF!</definedName>
    <definedName name="Num_Pmt_Per_Year_2">#REF!</definedName>
    <definedName name="Pay_Num_2">#REF!</definedName>
    <definedName name="Princ_2">#REF!</definedName>
    <definedName name="Sched_Pay_2">#REF!</definedName>
    <definedName name="Scheduled_Extra_Payments_2">#REF!</definedName>
    <definedName name="Scheduled_Monthly_Payment_2">#REF!</definedName>
    <definedName name="Total_Pay_2">#REF!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uri="GoogleSheetsCustomDataVersion2">
      <go:sheetsCustomData xmlns:go="http://customooxmlschemas.google.com/" r:id="rId22" roundtripDataChecksum="Y7TaH1PThT+ZCliwonASg/22YyCMOV95qK6S+0OPPNc="/>
    </ext>
  </extLst>
</workbook>
</file>

<file path=xl/calcChain.xml><?xml version="1.0" encoding="utf-8"?>
<calcChain xmlns="http://schemas.openxmlformats.org/spreadsheetml/2006/main">
  <c r="G6" i="7" l="1"/>
  <c r="G7" i="7"/>
  <c r="B7" i="8"/>
  <c r="B15" i="8"/>
  <c r="B14" i="8"/>
  <c r="B13" i="8"/>
  <c r="B12" i="8"/>
  <c r="B11" i="8"/>
  <c r="B10" i="8"/>
  <c r="B9" i="8"/>
  <c r="B8" i="8"/>
  <c r="J34" i="5" l="1"/>
  <c r="E34" i="5"/>
  <c r="O16" i="5"/>
  <c r="J16" i="5"/>
  <c r="E16" i="5"/>
  <c r="B18" i="8"/>
  <c r="A96" i="11"/>
  <c r="B17" i="8"/>
  <c r="B19" i="8"/>
  <c r="B20" i="8"/>
  <c r="B21" i="8"/>
  <c r="B22" i="8"/>
  <c r="B23" i="8"/>
  <c r="B16" i="8"/>
  <c r="B24" i="8"/>
  <c r="B25" i="8"/>
  <c r="B26" i="8"/>
  <c r="B27" i="8"/>
  <c r="N18" i="3"/>
  <c r="H26" i="3"/>
  <c r="M18" i="3"/>
  <c r="H16" i="3"/>
  <c r="G16" i="3"/>
  <c r="N14" i="3"/>
  <c r="N12" i="3"/>
  <c r="M12" i="3"/>
  <c r="H15" i="3"/>
  <c r="H10" i="3"/>
  <c r="N10" i="3"/>
  <c r="G10" i="3"/>
  <c r="H5" i="3"/>
  <c r="N5" i="3"/>
  <c r="G5" i="3"/>
  <c r="B30" i="8"/>
  <c r="B29" i="8"/>
  <c r="B32" i="8"/>
  <c r="B31" i="8"/>
  <c r="B35" i="8"/>
  <c r="B34" i="8"/>
  <c r="B28" i="8"/>
  <c r="F14" i="2"/>
  <c r="F2" i="2" s="1"/>
  <c r="B33" i="8"/>
  <c r="R24" i="18"/>
  <c r="P22" i="18"/>
  <c r="O22" i="18"/>
  <c r="N22" i="18"/>
  <c r="M22" i="18"/>
  <c r="L22" i="18"/>
  <c r="R22" i="18" s="1"/>
  <c r="K22" i="18"/>
  <c r="J22" i="18"/>
  <c r="I22" i="18"/>
  <c r="H22" i="18"/>
  <c r="G22" i="18"/>
  <c r="F22" i="18"/>
  <c r="E22" i="18"/>
  <c r="C22" i="18"/>
  <c r="P16" i="18"/>
  <c r="O16" i="18"/>
  <c r="N16" i="18"/>
  <c r="M16" i="18"/>
  <c r="L16" i="18"/>
  <c r="R16" i="18" s="1"/>
  <c r="K16" i="18"/>
  <c r="J16" i="18"/>
  <c r="I16" i="18"/>
  <c r="H16" i="18"/>
  <c r="G16" i="18"/>
  <c r="F16" i="18"/>
  <c r="E16" i="18"/>
  <c r="D16" i="18"/>
  <c r="C16" i="18"/>
  <c r="P11" i="18"/>
  <c r="O11" i="18"/>
  <c r="N11" i="18"/>
  <c r="M11" i="18"/>
  <c r="L11" i="18"/>
  <c r="R11" i="18" s="1"/>
  <c r="K11" i="18"/>
  <c r="J11" i="18"/>
  <c r="I11" i="18"/>
  <c r="H11" i="18"/>
  <c r="G11" i="18"/>
  <c r="F11" i="18"/>
  <c r="E11" i="18"/>
  <c r="D11" i="18"/>
  <c r="C11" i="18"/>
  <c r="R6" i="18"/>
  <c r="P6" i="18"/>
  <c r="O6" i="18"/>
  <c r="N6" i="18"/>
  <c r="M6" i="18"/>
  <c r="L6" i="18"/>
  <c r="K6" i="18"/>
  <c r="J6" i="18"/>
  <c r="I6" i="18"/>
  <c r="H6" i="18"/>
  <c r="F6" i="18"/>
  <c r="E6" i="18"/>
  <c r="D6" i="18"/>
  <c r="C6" i="18"/>
  <c r="K27" i="15"/>
  <c r="I27" i="15"/>
  <c r="G27" i="15"/>
  <c r="E27" i="15"/>
  <c r="K26" i="15"/>
  <c r="I26" i="15"/>
  <c r="G26" i="15"/>
  <c r="E26" i="15"/>
  <c r="K25" i="15"/>
  <c r="I25" i="15"/>
  <c r="G25" i="15"/>
  <c r="E25" i="15"/>
  <c r="K24" i="15"/>
  <c r="I24" i="15"/>
  <c r="G24" i="15"/>
  <c r="E24" i="15"/>
  <c r="K23" i="15"/>
  <c r="I23" i="15"/>
  <c r="G23" i="15"/>
  <c r="E23" i="15"/>
  <c r="K22" i="15"/>
  <c r="I22" i="15"/>
  <c r="G22" i="15"/>
  <c r="E22" i="15"/>
  <c r="K21" i="15"/>
  <c r="I21" i="15"/>
  <c r="G21" i="15"/>
  <c r="E21" i="15"/>
  <c r="K20" i="15"/>
  <c r="I20" i="15"/>
  <c r="G20" i="15"/>
  <c r="E20" i="15"/>
  <c r="K19" i="15"/>
  <c r="I19" i="15"/>
  <c r="G19" i="15"/>
  <c r="E19" i="15"/>
  <c r="K18" i="15"/>
  <c r="I18" i="15"/>
  <c r="G18" i="15"/>
  <c r="E18" i="15"/>
  <c r="K17" i="15"/>
  <c r="I17" i="15"/>
  <c r="G17" i="15"/>
  <c r="E17" i="15"/>
  <c r="K16" i="15"/>
  <c r="I16" i="15"/>
  <c r="G16" i="15"/>
  <c r="E16" i="15"/>
  <c r="K15" i="15"/>
  <c r="I15" i="15"/>
  <c r="G15" i="15"/>
  <c r="E15" i="15"/>
  <c r="K14" i="15"/>
  <c r="I14" i="15"/>
  <c r="G14" i="15"/>
  <c r="E14" i="15"/>
  <c r="K13" i="15"/>
  <c r="I13" i="15"/>
  <c r="G13" i="15"/>
  <c r="E13" i="15"/>
  <c r="K12" i="15"/>
  <c r="I12" i="15"/>
  <c r="G12" i="15"/>
  <c r="E12" i="15"/>
  <c r="K11" i="15"/>
  <c r="I11" i="15"/>
  <c r="G11" i="15"/>
  <c r="E11" i="15"/>
  <c r="K10" i="15"/>
  <c r="I10" i="15"/>
  <c r="G10" i="15"/>
  <c r="E10" i="15"/>
  <c r="K9" i="15"/>
  <c r="I9" i="15"/>
  <c r="G9" i="15"/>
  <c r="E9" i="15"/>
  <c r="K8" i="15"/>
  <c r="I8" i="15"/>
  <c r="G8" i="15"/>
  <c r="E8" i="15"/>
  <c r="K7" i="15"/>
  <c r="I7" i="15"/>
  <c r="G7" i="15"/>
  <c r="E7" i="15"/>
  <c r="D3" i="15"/>
  <c r="G56" i="14"/>
  <c r="G57" i="14" s="1"/>
  <c r="M8" i="14"/>
  <c r="M9" i="14" s="1"/>
  <c r="M10" i="14" s="1"/>
  <c r="G56" i="13"/>
  <c r="G57" i="13" s="1"/>
  <c r="M8" i="13"/>
  <c r="M9" i="13" s="1"/>
  <c r="E35" i="12"/>
  <c r="E32" i="12"/>
  <c r="E29" i="12"/>
  <c r="C24" i="12"/>
  <c r="C22" i="12"/>
  <c r="C17" i="12"/>
  <c r="L14" i="12"/>
  <c r="K14" i="12"/>
  <c r="K29" i="12" s="1"/>
  <c r="J14" i="12"/>
  <c r="J33" i="12" s="1"/>
  <c r="I14" i="12"/>
  <c r="I32" i="12" s="1"/>
  <c r="L13" i="12"/>
  <c r="K13" i="12"/>
  <c r="J13" i="12"/>
  <c r="I13" i="12"/>
  <c r="D13" i="12"/>
  <c r="I2" i="12" s="1"/>
  <c r="K2" i="12" s="1"/>
  <c r="C13" i="12"/>
  <c r="B13" i="12"/>
  <c r="E13" i="12" s="1"/>
  <c r="C18" i="12" s="1"/>
  <c r="O9" i="12"/>
  <c r="O8" i="12"/>
  <c r="O7" i="12"/>
  <c r="O6" i="12"/>
  <c r="O5" i="12"/>
  <c r="O4" i="12"/>
  <c r="G2" i="12"/>
  <c r="C1" i="12"/>
  <c r="B82" i="11"/>
  <c r="E81" i="11"/>
  <c r="D81" i="11"/>
  <c r="E80" i="11"/>
  <c r="D80" i="11"/>
  <c r="E79" i="11"/>
  <c r="D79" i="11"/>
  <c r="E78" i="11"/>
  <c r="D78" i="11"/>
  <c r="E77" i="11"/>
  <c r="D77" i="11"/>
  <c r="E76" i="11"/>
  <c r="D76" i="11"/>
  <c r="E75" i="11"/>
  <c r="D75" i="11"/>
  <c r="E74" i="11"/>
  <c r="D74" i="11"/>
  <c r="E73" i="11"/>
  <c r="D73" i="11"/>
  <c r="E72" i="11"/>
  <c r="D72" i="11"/>
  <c r="E71" i="11"/>
  <c r="D71" i="11"/>
  <c r="E70" i="11"/>
  <c r="D70" i="11"/>
  <c r="E69" i="11"/>
  <c r="D69" i="11"/>
  <c r="E68" i="11"/>
  <c r="D68" i="11"/>
  <c r="E67" i="11"/>
  <c r="D67" i="11"/>
  <c r="E66" i="11"/>
  <c r="D66" i="11"/>
  <c r="E65" i="11"/>
  <c r="D65" i="11"/>
  <c r="E64" i="11"/>
  <c r="D64" i="11"/>
  <c r="E63" i="11"/>
  <c r="D63" i="11"/>
  <c r="E62" i="11"/>
  <c r="D62" i="11"/>
  <c r="E61" i="11"/>
  <c r="D61" i="11"/>
  <c r="E60" i="11"/>
  <c r="D60" i="11"/>
  <c r="E59" i="11"/>
  <c r="D59" i="11"/>
  <c r="E58" i="11"/>
  <c r="D58" i="11"/>
  <c r="E57" i="11"/>
  <c r="D57" i="11"/>
  <c r="E56" i="11"/>
  <c r="D56" i="11"/>
  <c r="E55" i="11"/>
  <c r="D55" i="11"/>
  <c r="E54" i="11"/>
  <c r="D54" i="11"/>
  <c r="E53" i="11"/>
  <c r="D53" i="11"/>
  <c r="E52" i="11"/>
  <c r="D52" i="11"/>
  <c r="E51" i="11"/>
  <c r="D51" i="11"/>
  <c r="E50" i="11"/>
  <c r="D50" i="11"/>
  <c r="E49" i="11"/>
  <c r="D49" i="11"/>
  <c r="E48" i="11"/>
  <c r="D48" i="11"/>
  <c r="E47" i="11"/>
  <c r="D47" i="11"/>
  <c r="E46" i="11"/>
  <c r="D46" i="11"/>
  <c r="E45" i="11"/>
  <c r="D45" i="11"/>
  <c r="E44" i="11"/>
  <c r="D44" i="11"/>
  <c r="E43" i="11"/>
  <c r="D43" i="11"/>
  <c r="E42" i="11"/>
  <c r="D42" i="11"/>
  <c r="E41" i="11"/>
  <c r="D41" i="11"/>
  <c r="E40" i="11"/>
  <c r="D40" i="11"/>
  <c r="E39" i="11"/>
  <c r="D39" i="11"/>
  <c r="E38" i="11"/>
  <c r="D38" i="11"/>
  <c r="E37" i="11"/>
  <c r="D37" i="11"/>
  <c r="E36" i="11"/>
  <c r="D36" i="11"/>
  <c r="E35" i="11"/>
  <c r="D35" i="11"/>
  <c r="E34" i="11"/>
  <c r="D34" i="11"/>
  <c r="E33" i="11"/>
  <c r="D33" i="11"/>
  <c r="E32" i="11"/>
  <c r="D32" i="11"/>
  <c r="E31" i="11"/>
  <c r="D31" i="11"/>
  <c r="E30" i="11"/>
  <c r="D30" i="11"/>
  <c r="E29" i="11"/>
  <c r="D29" i="11"/>
  <c r="E28" i="11"/>
  <c r="D28" i="11"/>
  <c r="E27" i="11"/>
  <c r="D27" i="11"/>
  <c r="E26" i="11"/>
  <c r="D26" i="11"/>
  <c r="E25" i="11"/>
  <c r="D25" i="11"/>
  <c r="E24" i="11"/>
  <c r="D24" i="11"/>
  <c r="E23" i="11"/>
  <c r="D23" i="11"/>
  <c r="E22" i="11"/>
  <c r="D22" i="11"/>
  <c r="E21" i="11"/>
  <c r="D21" i="11"/>
  <c r="E20" i="11"/>
  <c r="D20" i="11"/>
  <c r="T19" i="11"/>
  <c r="T20" i="11" s="1"/>
  <c r="E19" i="11"/>
  <c r="D19" i="11"/>
  <c r="U18" i="11"/>
  <c r="T18" i="11"/>
  <c r="U19" i="11" s="1"/>
  <c r="E18" i="11"/>
  <c r="D18" i="11"/>
  <c r="Y17" i="11"/>
  <c r="Y18" i="11" s="1"/>
  <c r="E17" i="11"/>
  <c r="D17" i="11"/>
  <c r="Z16" i="11"/>
  <c r="Y16" i="11"/>
  <c r="Z17" i="11" s="1"/>
  <c r="E16" i="11"/>
  <c r="D16" i="11"/>
  <c r="E15" i="11"/>
  <c r="D15" i="11"/>
  <c r="E14" i="11"/>
  <c r="D14" i="11"/>
  <c r="E13" i="11"/>
  <c r="D13" i="11"/>
  <c r="E12" i="11"/>
  <c r="D12" i="11"/>
  <c r="E11" i="11"/>
  <c r="D11" i="11"/>
  <c r="K10" i="11"/>
  <c r="E10" i="11"/>
  <c r="D10" i="11"/>
  <c r="O9" i="11"/>
  <c r="O10" i="11" s="1"/>
  <c r="K9" i="11"/>
  <c r="J9" i="11"/>
  <c r="J10" i="11" s="1"/>
  <c r="F9" i="11"/>
  <c r="E9" i="11"/>
  <c r="G9" i="11" s="1"/>
  <c r="D9" i="11"/>
  <c r="P8" i="11"/>
  <c r="O8" i="11"/>
  <c r="P9" i="11" s="1"/>
  <c r="K8" i="11"/>
  <c r="F8" i="11"/>
  <c r="E8" i="11"/>
  <c r="G8" i="11" s="1"/>
  <c r="D8" i="11"/>
  <c r="P7" i="11"/>
  <c r="F7" i="11"/>
  <c r="E7" i="11"/>
  <c r="D7" i="11"/>
  <c r="C2" i="11"/>
  <c r="A2" i="11" s="1"/>
  <c r="V1" i="11"/>
  <c r="Q1" i="11"/>
  <c r="H1171" i="10"/>
  <c r="G1171" i="10"/>
  <c r="C1171" i="10"/>
  <c r="B1171" i="10"/>
  <c r="I1170" i="10"/>
  <c r="G1170" i="10"/>
  <c r="E1170" i="10"/>
  <c r="C1170" i="10"/>
  <c r="B1170" i="10"/>
  <c r="H1170" i="10" s="1"/>
  <c r="H1169" i="10"/>
  <c r="G1169" i="10"/>
  <c r="C1169" i="10"/>
  <c r="B1169" i="10"/>
  <c r="I1168" i="10"/>
  <c r="G1168" i="10"/>
  <c r="E1168" i="10"/>
  <c r="C1168" i="10"/>
  <c r="B1168" i="10"/>
  <c r="H1168" i="10" s="1"/>
  <c r="H1167" i="10"/>
  <c r="G1167" i="10"/>
  <c r="C1167" i="10"/>
  <c r="B1167" i="10"/>
  <c r="I1166" i="10"/>
  <c r="G1166" i="10"/>
  <c r="E1166" i="10"/>
  <c r="C1166" i="10"/>
  <c r="B1166" i="10"/>
  <c r="H1166" i="10" s="1"/>
  <c r="H1165" i="10"/>
  <c r="G1165" i="10"/>
  <c r="C1165" i="10"/>
  <c r="B1165" i="10"/>
  <c r="I1164" i="10"/>
  <c r="G1164" i="10"/>
  <c r="E1164" i="10"/>
  <c r="C1164" i="10"/>
  <c r="B1164" i="10"/>
  <c r="H1164" i="10" s="1"/>
  <c r="H1163" i="10"/>
  <c r="G1163" i="10"/>
  <c r="C1163" i="10"/>
  <c r="B1163" i="10"/>
  <c r="I1162" i="10"/>
  <c r="G1162" i="10"/>
  <c r="E1162" i="10"/>
  <c r="C1162" i="10"/>
  <c r="B1162" i="10"/>
  <c r="H1162" i="10" s="1"/>
  <c r="H1161" i="10"/>
  <c r="G1161" i="10"/>
  <c r="C1161" i="10"/>
  <c r="B1161" i="10"/>
  <c r="I1160" i="10"/>
  <c r="G1160" i="10"/>
  <c r="E1160" i="10"/>
  <c r="C1160" i="10"/>
  <c r="B1160" i="10"/>
  <c r="H1160" i="10" s="1"/>
  <c r="H1159" i="10"/>
  <c r="G1159" i="10"/>
  <c r="C1159" i="10"/>
  <c r="B1159" i="10"/>
  <c r="I1158" i="10"/>
  <c r="G1158" i="10"/>
  <c r="E1158" i="10"/>
  <c r="C1158" i="10"/>
  <c r="B1158" i="10"/>
  <c r="H1158" i="10" s="1"/>
  <c r="H1157" i="10"/>
  <c r="G1157" i="10"/>
  <c r="C1157" i="10"/>
  <c r="B1157" i="10"/>
  <c r="I1156" i="10"/>
  <c r="G1156" i="10"/>
  <c r="E1156" i="10"/>
  <c r="C1156" i="10"/>
  <c r="B1156" i="10"/>
  <c r="H1156" i="10" s="1"/>
  <c r="H1155" i="10"/>
  <c r="G1155" i="10"/>
  <c r="C1155" i="10"/>
  <c r="B1155" i="10"/>
  <c r="I1154" i="10"/>
  <c r="G1154" i="10"/>
  <c r="E1154" i="10"/>
  <c r="C1154" i="10"/>
  <c r="B1154" i="10"/>
  <c r="H1154" i="10" s="1"/>
  <c r="H1153" i="10"/>
  <c r="G1153" i="10"/>
  <c r="C1153" i="10"/>
  <c r="B1153" i="10"/>
  <c r="I1152" i="10"/>
  <c r="G1152" i="10"/>
  <c r="E1152" i="10"/>
  <c r="C1152" i="10"/>
  <c r="B1152" i="10"/>
  <c r="H1152" i="10" s="1"/>
  <c r="H1151" i="10"/>
  <c r="G1151" i="10"/>
  <c r="C1151" i="10"/>
  <c r="B1151" i="10"/>
  <c r="I1150" i="10"/>
  <c r="G1150" i="10"/>
  <c r="E1150" i="10"/>
  <c r="C1150" i="10"/>
  <c r="B1150" i="10"/>
  <c r="H1150" i="10" s="1"/>
  <c r="H1149" i="10"/>
  <c r="G1149" i="10"/>
  <c r="C1149" i="10"/>
  <c r="B1149" i="10"/>
  <c r="I1148" i="10"/>
  <c r="G1148" i="10"/>
  <c r="E1148" i="10"/>
  <c r="C1148" i="10"/>
  <c r="B1148" i="10"/>
  <c r="H1148" i="10" s="1"/>
  <c r="H1147" i="10"/>
  <c r="G1147" i="10"/>
  <c r="C1147" i="10"/>
  <c r="B1147" i="10"/>
  <c r="I1146" i="10"/>
  <c r="G1146" i="10"/>
  <c r="E1146" i="10"/>
  <c r="C1146" i="10"/>
  <c r="B1146" i="10"/>
  <c r="H1146" i="10" s="1"/>
  <c r="H1145" i="10"/>
  <c r="G1145" i="10"/>
  <c r="C1145" i="10"/>
  <c r="B1145" i="10"/>
  <c r="I1144" i="10"/>
  <c r="G1144" i="10"/>
  <c r="E1144" i="10"/>
  <c r="C1144" i="10"/>
  <c r="B1144" i="10"/>
  <c r="H1144" i="10" s="1"/>
  <c r="H1143" i="10"/>
  <c r="G1143" i="10"/>
  <c r="C1143" i="10"/>
  <c r="B1143" i="10"/>
  <c r="I1142" i="10"/>
  <c r="G1142" i="10"/>
  <c r="E1142" i="10"/>
  <c r="C1142" i="10"/>
  <c r="B1142" i="10"/>
  <c r="H1142" i="10" s="1"/>
  <c r="H1141" i="10"/>
  <c r="G1141" i="10"/>
  <c r="C1141" i="10"/>
  <c r="B1141" i="10"/>
  <c r="I1140" i="10"/>
  <c r="G1140" i="10"/>
  <c r="E1140" i="10"/>
  <c r="C1140" i="10"/>
  <c r="B1140" i="10"/>
  <c r="H1140" i="10" s="1"/>
  <c r="H1139" i="10"/>
  <c r="G1139" i="10"/>
  <c r="C1139" i="10"/>
  <c r="B1139" i="10"/>
  <c r="I1138" i="10"/>
  <c r="G1138" i="10"/>
  <c r="E1138" i="10"/>
  <c r="C1138" i="10"/>
  <c r="B1138" i="10"/>
  <c r="H1138" i="10" s="1"/>
  <c r="H1137" i="10"/>
  <c r="G1137" i="10"/>
  <c r="C1137" i="10"/>
  <c r="B1137" i="10"/>
  <c r="I1136" i="10"/>
  <c r="G1136" i="10"/>
  <c r="E1136" i="10"/>
  <c r="C1136" i="10"/>
  <c r="B1136" i="10"/>
  <c r="H1136" i="10" s="1"/>
  <c r="H1135" i="10"/>
  <c r="G1135" i="10"/>
  <c r="C1135" i="10"/>
  <c r="B1135" i="10"/>
  <c r="I1134" i="10"/>
  <c r="G1134" i="10"/>
  <c r="E1134" i="10"/>
  <c r="C1134" i="10"/>
  <c r="B1134" i="10"/>
  <c r="H1134" i="10" s="1"/>
  <c r="H1133" i="10"/>
  <c r="G1133" i="10"/>
  <c r="C1133" i="10"/>
  <c r="B1133" i="10"/>
  <c r="I1132" i="10"/>
  <c r="G1132" i="10"/>
  <c r="E1132" i="10"/>
  <c r="C1132" i="10"/>
  <c r="B1132" i="10"/>
  <c r="H1132" i="10" s="1"/>
  <c r="H1131" i="10"/>
  <c r="G1131" i="10"/>
  <c r="C1131" i="10"/>
  <c r="B1131" i="10"/>
  <c r="I1130" i="10"/>
  <c r="G1130" i="10"/>
  <c r="E1130" i="10"/>
  <c r="C1130" i="10"/>
  <c r="B1130" i="10"/>
  <c r="H1130" i="10" s="1"/>
  <c r="H1129" i="10"/>
  <c r="G1129" i="10"/>
  <c r="C1129" i="10"/>
  <c r="B1129" i="10"/>
  <c r="I1128" i="10"/>
  <c r="G1128" i="10"/>
  <c r="E1128" i="10"/>
  <c r="C1128" i="10"/>
  <c r="B1128" i="10"/>
  <c r="H1128" i="10" s="1"/>
  <c r="H1127" i="10"/>
  <c r="G1127" i="10"/>
  <c r="C1127" i="10"/>
  <c r="B1127" i="10"/>
  <c r="I1126" i="10"/>
  <c r="G1126" i="10"/>
  <c r="E1126" i="10"/>
  <c r="C1126" i="10"/>
  <c r="B1126" i="10"/>
  <c r="H1126" i="10" s="1"/>
  <c r="N1125" i="10"/>
  <c r="H1125" i="10"/>
  <c r="G1125" i="10"/>
  <c r="C1125" i="10"/>
  <c r="B1125" i="10"/>
  <c r="I1124" i="10"/>
  <c r="G1124" i="10"/>
  <c r="E1124" i="10"/>
  <c r="C1124" i="10"/>
  <c r="B1124" i="10"/>
  <c r="H1124" i="10" s="1"/>
  <c r="H1123" i="10"/>
  <c r="G1123" i="10"/>
  <c r="C1123" i="10"/>
  <c r="B1123" i="10"/>
  <c r="I1122" i="10"/>
  <c r="G1122" i="10"/>
  <c r="E1122" i="10"/>
  <c r="C1122" i="10"/>
  <c r="B1122" i="10"/>
  <c r="H1122" i="10" s="1"/>
  <c r="N1121" i="10"/>
  <c r="H1121" i="10"/>
  <c r="G1121" i="10"/>
  <c r="C1121" i="10"/>
  <c r="B1121" i="10"/>
  <c r="I1120" i="10"/>
  <c r="G1120" i="10"/>
  <c r="E1120" i="10"/>
  <c r="C1120" i="10"/>
  <c r="B1120" i="10"/>
  <c r="H1120" i="10" s="1"/>
  <c r="N1119" i="10"/>
  <c r="H1119" i="10"/>
  <c r="G1119" i="10"/>
  <c r="C1119" i="10"/>
  <c r="B1119" i="10"/>
  <c r="I1118" i="10"/>
  <c r="G1118" i="10"/>
  <c r="E1118" i="10"/>
  <c r="C1118" i="10"/>
  <c r="B1118" i="10"/>
  <c r="H1118" i="10" s="1"/>
  <c r="N1117" i="10"/>
  <c r="I1117" i="10"/>
  <c r="G1117" i="10"/>
  <c r="E1117" i="10"/>
  <c r="C1117" i="10"/>
  <c r="B1117" i="10"/>
  <c r="H1117" i="10" s="1"/>
  <c r="N1116" i="10"/>
  <c r="H1116" i="10"/>
  <c r="G1116" i="10"/>
  <c r="C1116" i="10"/>
  <c r="I1116" i="10" s="1"/>
  <c r="B1116" i="10"/>
  <c r="N1115" i="10"/>
  <c r="I1115" i="10"/>
  <c r="G1115" i="10"/>
  <c r="E1115" i="10"/>
  <c r="C1115" i="10"/>
  <c r="B1115" i="10"/>
  <c r="H1115" i="10" s="1"/>
  <c r="N1114" i="10"/>
  <c r="H1114" i="10"/>
  <c r="G1114" i="10"/>
  <c r="C1114" i="10"/>
  <c r="B1114" i="10"/>
  <c r="N1113" i="10"/>
  <c r="I1113" i="10"/>
  <c r="G1113" i="10"/>
  <c r="E1113" i="10"/>
  <c r="C1113" i="10"/>
  <c r="B1113" i="10"/>
  <c r="H1113" i="10" s="1"/>
  <c r="N1112" i="10"/>
  <c r="H1112" i="10"/>
  <c r="G1112" i="10"/>
  <c r="C1112" i="10"/>
  <c r="I1112" i="10" s="1"/>
  <c r="B1112" i="10"/>
  <c r="N1111" i="10"/>
  <c r="I1111" i="10"/>
  <c r="G1111" i="10"/>
  <c r="E1111" i="10"/>
  <c r="C1111" i="10"/>
  <c r="B1111" i="10"/>
  <c r="H1111" i="10" s="1"/>
  <c r="N1110" i="10"/>
  <c r="H1110" i="10"/>
  <c r="G1110" i="10"/>
  <c r="C1110" i="10"/>
  <c r="B1110" i="10"/>
  <c r="N1109" i="10"/>
  <c r="I1109" i="10"/>
  <c r="G1109" i="10"/>
  <c r="E1109" i="10"/>
  <c r="C1109" i="10"/>
  <c r="B1109" i="10"/>
  <c r="H1109" i="10" s="1"/>
  <c r="N1108" i="10"/>
  <c r="H1108" i="10"/>
  <c r="G1108" i="10"/>
  <c r="C1108" i="10"/>
  <c r="I1108" i="10" s="1"/>
  <c r="B1108" i="10"/>
  <c r="N1107" i="10"/>
  <c r="I1107" i="10"/>
  <c r="G1107" i="10"/>
  <c r="E1107" i="10"/>
  <c r="C1107" i="10"/>
  <c r="B1107" i="10"/>
  <c r="H1107" i="10" s="1"/>
  <c r="N1106" i="10"/>
  <c r="H1106" i="10"/>
  <c r="G1106" i="10"/>
  <c r="C1106" i="10"/>
  <c r="B1106" i="10"/>
  <c r="N1105" i="10"/>
  <c r="I1105" i="10"/>
  <c r="G1105" i="10"/>
  <c r="E1105" i="10"/>
  <c r="C1105" i="10"/>
  <c r="B1105" i="10"/>
  <c r="H1105" i="10" s="1"/>
  <c r="N1104" i="10"/>
  <c r="H1104" i="10"/>
  <c r="G1104" i="10"/>
  <c r="C1104" i="10"/>
  <c r="I1104" i="10" s="1"/>
  <c r="B1104" i="10"/>
  <c r="N1103" i="10"/>
  <c r="G1103" i="10"/>
  <c r="C1103" i="10"/>
  <c r="B1103" i="10"/>
  <c r="H1103" i="10" s="1"/>
  <c r="N1102" i="10"/>
  <c r="H1102" i="10"/>
  <c r="G1102" i="10"/>
  <c r="C1102" i="10"/>
  <c r="B1102" i="10"/>
  <c r="N1101" i="10"/>
  <c r="I1101" i="10"/>
  <c r="G1101" i="10"/>
  <c r="E1101" i="10"/>
  <c r="C1101" i="10"/>
  <c r="B1101" i="10"/>
  <c r="H1101" i="10" s="1"/>
  <c r="N1100" i="10"/>
  <c r="G1100" i="10"/>
  <c r="C1100" i="10"/>
  <c r="I1100" i="10" s="1"/>
  <c r="B1100" i="10"/>
  <c r="H1100" i="10" s="1"/>
  <c r="N1099" i="10"/>
  <c r="G1099" i="10"/>
  <c r="C1099" i="10"/>
  <c r="B1099" i="10"/>
  <c r="H1099" i="10" s="1"/>
  <c r="N1098" i="10"/>
  <c r="H1098" i="10"/>
  <c r="G1098" i="10"/>
  <c r="C1098" i="10"/>
  <c r="B1098" i="10"/>
  <c r="N1097" i="10"/>
  <c r="I1097" i="10"/>
  <c r="G1097" i="10"/>
  <c r="E1097" i="10"/>
  <c r="C1097" i="10"/>
  <c r="B1097" i="10"/>
  <c r="H1097" i="10" s="1"/>
  <c r="N1096" i="10"/>
  <c r="G1096" i="10"/>
  <c r="C1096" i="10"/>
  <c r="I1096" i="10" s="1"/>
  <c r="B1096" i="10"/>
  <c r="H1096" i="10" s="1"/>
  <c r="N1095" i="10"/>
  <c r="G1095" i="10"/>
  <c r="C1095" i="10"/>
  <c r="B1095" i="10"/>
  <c r="H1095" i="10" s="1"/>
  <c r="N1094" i="10"/>
  <c r="H1094" i="10"/>
  <c r="G1094" i="10"/>
  <c r="C1094" i="10"/>
  <c r="B1094" i="10"/>
  <c r="N1093" i="10"/>
  <c r="I1093" i="10"/>
  <c r="G1093" i="10"/>
  <c r="E1093" i="10"/>
  <c r="C1093" i="10"/>
  <c r="B1093" i="10"/>
  <c r="H1093" i="10" s="1"/>
  <c r="N1092" i="10"/>
  <c r="G1092" i="10"/>
  <c r="C1092" i="10"/>
  <c r="I1092" i="10" s="1"/>
  <c r="B1092" i="10"/>
  <c r="H1092" i="10" s="1"/>
  <c r="N1091" i="10"/>
  <c r="G1091" i="10"/>
  <c r="C1091" i="10"/>
  <c r="B1091" i="10"/>
  <c r="H1091" i="10" s="1"/>
  <c r="N1090" i="10"/>
  <c r="H1090" i="10"/>
  <c r="G1090" i="10"/>
  <c r="C1090" i="10"/>
  <c r="B1090" i="10"/>
  <c r="N1089" i="10"/>
  <c r="I1089" i="10"/>
  <c r="G1089" i="10"/>
  <c r="E1089" i="10"/>
  <c r="C1089" i="10"/>
  <c r="B1089" i="10"/>
  <c r="H1089" i="10" s="1"/>
  <c r="N1088" i="10"/>
  <c r="G1088" i="10"/>
  <c r="C1088" i="10"/>
  <c r="I1088" i="10" s="1"/>
  <c r="B1088" i="10"/>
  <c r="H1088" i="10" s="1"/>
  <c r="N1087" i="10"/>
  <c r="G1087" i="10"/>
  <c r="C1087" i="10"/>
  <c r="B1087" i="10"/>
  <c r="H1087" i="10" s="1"/>
  <c r="N1086" i="10"/>
  <c r="H1086" i="10"/>
  <c r="G1086" i="10"/>
  <c r="C1086" i="10"/>
  <c r="B1086" i="10"/>
  <c r="N1085" i="10"/>
  <c r="I1085" i="10"/>
  <c r="G1085" i="10"/>
  <c r="E1085" i="10"/>
  <c r="C1085" i="10"/>
  <c r="B1085" i="10"/>
  <c r="H1085" i="10" s="1"/>
  <c r="N1084" i="10"/>
  <c r="G1084" i="10"/>
  <c r="C1084" i="10"/>
  <c r="I1084" i="10" s="1"/>
  <c r="B1084" i="10"/>
  <c r="H1084" i="10" s="1"/>
  <c r="N1083" i="10"/>
  <c r="G1083" i="10"/>
  <c r="C1083" i="10"/>
  <c r="B1083" i="10"/>
  <c r="H1083" i="10" s="1"/>
  <c r="N1082" i="10"/>
  <c r="H1082" i="10"/>
  <c r="G1082" i="10"/>
  <c r="C1082" i="10"/>
  <c r="B1082" i="10"/>
  <c r="N1081" i="10"/>
  <c r="I1081" i="10"/>
  <c r="H1081" i="10"/>
  <c r="G1081" i="10"/>
  <c r="E1081" i="10"/>
  <c r="C1081" i="10"/>
  <c r="B1081" i="10"/>
  <c r="N1080" i="10"/>
  <c r="I1080" i="10"/>
  <c r="G1080" i="10"/>
  <c r="E1080" i="10"/>
  <c r="C1080" i="10"/>
  <c r="B1080" i="10"/>
  <c r="H1080" i="10" s="1"/>
  <c r="N1079" i="10"/>
  <c r="G1079" i="10"/>
  <c r="C1079" i="10"/>
  <c r="B1079" i="10"/>
  <c r="H1079" i="10" s="1"/>
  <c r="N1078" i="10"/>
  <c r="H1078" i="10"/>
  <c r="G1078" i="10"/>
  <c r="C1078" i="10"/>
  <c r="B1078" i="10"/>
  <c r="N1077" i="10"/>
  <c r="I1077" i="10"/>
  <c r="H1077" i="10"/>
  <c r="G1077" i="10"/>
  <c r="E1077" i="10"/>
  <c r="C1077" i="10"/>
  <c r="B1077" i="10"/>
  <c r="N1076" i="10"/>
  <c r="I1076" i="10"/>
  <c r="G1076" i="10"/>
  <c r="E1076" i="10"/>
  <c r="C1076" i="10"/>
  <c r="B1076" i="10"/>
  <c r="H1076" i="10" s="1"/>
  <c r="N1075" i="10"/>
  <c r="G1075" i="10"/>
  <c r="C1075" i="10"/>
  <c r="B1075" i="10"/>
  <c r="H1075" i="10" s="1"/>
  <c r="N1074" i="10"/>
  <c r="H1074" i="10"/>
  <c r="G1074" i="10"/>
  <c r="C1074" i="10"/>
  <c r="B1074" i="10"/>
  <c r="N1073" i="10"/>
  <c r="I1073" i="10"/>
  <c r="H1073" i="10"/>
  <c r="G1073" i="10"/>
  <c r="E1073" i="10"/>
  <c r="C1073" i="10"/>
  <c r="B1073" i="10"/>
  <c r="N1072" i="10"/>
  <c r="I1072" i="10"/>
  <c r="G1072" i="10"/>
  <c r="E1072" i="10"/>
  <c r="C1072" i="10"/>
  <c r="B1072" i="10"/>
  <c r="H1072" i="10" s="1"/>
  <c r="N1071" i="10"/>
  <c r="G1071" i="10"/>
  <c r="C1071" i="10"/>
  <c r="B1071" i="10"/>
  <c r="H1071" i="10" s="1"/>
  <c r="N1070" i="10"/>
  <c r="H1070" i="10"/>
  <c r="G1070" i="10"/>
  <c r="C1070" i="10"/>
  <c r="B1070" i="10"/>
  <c r="N1069" i="10"/>
  <c r="I1069" i="10"/>
  <c r="H1069" i="10"/>
  <c r="G1069" i="10"/>
  <c r="E1069" i="10"/>
  <c r="C1069" i="10"/>
  <c r="B1069" i="10"/>
  <c r="N1068" i="10"/>
  <c r="I1068" i="10"/>
  <c r="G1068" i="10"/>
  <c r="E1068" i="10"/>
  <c r="C1068" i="10"/>
  <c r="B1068" i="10"/>
  <c r="H1068" i="10" s="1"/>
  <c r="N1067" i="10"/>
  <c r="G1067" i="10"/>
  <c r="C1067" i="10"/>
  <c r="B1067" i="10"/>
  <c r="H1067" i="10" s="1"/>
  <c r="N1066" i="10"/>
  <c r="H1066" i="10"/>
  <c r="G1066" i="10"/>
  <c r="C1066" i="10"/>
  <c r="B1066" i="10"/>
  <c r="N1065" i="10"/>
  <c r="I1065" i="10"/>
  <c r="H1065" i="10"/>
  <c r="G1065" i="10"/>
  <c r="E1065" i="10"/>
  <c r="C1065" i="10"/>
  <c r="B1065" i="10"/>
  <c r="N1064" i="10"/>
  <c r="I1064" i="10"/>
  <c r="G1064" i="10"/>
  <c r="E1064" i="10"/>
  <c r="C1064" i="10"/>
  <c r="B1064" i="10"/>
  <c r="H1064" i="10" s="1"/>
  <c r="N1063" i="10"/>
  <c r="G1063" i="10"/>
  <c r="C1063" i="10"/>
  <c r="B1063" i="10"/>
  <c r="H1063" i="10" s="1"/>
  <c r="N1062" i="10"/>
  <c r="H1062" i="10"/>
  <c r="G1062" i="10"/>
  <c r="C1062" i="10"/>
  <c r="B1062" i="10"/>
  <c r="N1061" i="10"/>
  <c r="I1061" i="10"/>
  <c r="H1061" i="10"/>
  <c r="G1061" i="10"/>
  <c r="E1061" i="10"/>
  <c r="C1061" i="10"/>
  <c r="B1061" i="10"/>
  <c r="N1060" i="10"/>
  <c r="I1060" i="10"/>
  <c r="G1060" i="10"/>
  <c r="E1060" i="10"/>
  <c r="C1060" i="10"/>
  <c r="B1060" i="10"/>
  <c r="H1060" i="10" s="1"/>
  <c r="N1059" i="10"/>
  <c r="G1059" i="10"/>
  <c r="C1059" i="10"/>
  <c r="B1059" i="10"/>
  <c r="H1059" i="10" s="1"/>
  <c r="N1058" i="10"/>
  <c r="H1058" i="10"/>
  <c r="G1058" i="10"/>
  <c r="C1058" i="10"/>
  <c r="B1058" i="10"/>
  <c r="N1057" i="10"/>
  <c r="I1057" i="10"/>
  <c r="H1057" i="10"/>
  <c r="G1057" i="10"/>
  <c r="E1057" i="10"/>
  <c r="C1057" i="10"/>
  <c r="B1057" i="10"/>
  <c r="N1056" i="10"/>
  <c r="I1056" i="10"/>
  <c r="G1056" i="10"/>
  <c r="E1056" i="10"/>
  <c r="C1056" i="10"/>
  <c r="B1056" i="10"/>
  <c r="H1056" i="10" s="1"/>
  <c r="N1055" i="10"/>
  <c r="G1055" i="10"/>
  <c r="C1055" i="10"/>
  <c r="B1055" i="10"/>
  <c r="H1055" i="10" s="1"/>
  <c r="N1054" i="10"/>
  <c r="H1054" i="10"/>
  <c r="G1054" i="10"/>
  <c r="C1054" i="10"/>
  <c r="B1054" i="10"/>
  <c r="N1053" i="10"/>
  <c r="I1053" i="10"/>
  <c r="H1053" i="10"/>
  <c r="G1053" i="10"/>
  <c r="E1053" i="10"/>
  <c r="C1053" i="10"/>
  <c r="B1053" i="10"/>
  <c r="N1052" i="10"/>
  <c r="I1052" i="10"/>
  <c r="G1052" i="10"/>
  <c r="E1052" i="10"/>
  <c r="C1052" i="10"/>
  <c r="B1052" i="10"/>
  <c r="H1052" i="10" s="1"/>
  <c r="N1051" i="10"/>
  <c r="G1051" i="10"/>
  <c r="C1051" i="10"/>
  <c r="B1051" i="10"/>
  <c r="H1051" i="10" s="1"/>
  <c r="N1050" i="10"/>
  <c r="H1050" i="10"/>
  <c r="G1050" i="10"/>
  <c r="C1050" i="10"/>
  <c r="B1050" i="10"/>
  <c r="N1049" i="10"/>
  <c r="I1049" i="10"/>
  <c r="H1049" i="10"/>
  <c r="G1049" i="10"/>
  <c r="E1049" i="10"/>
  <c r="C1049" i="10"/>
  <c r="B1049" i="10"/>
  <c r="N1048" i="10"/>
  <c r="I1048" i="10"/>
  <c r="G1048" i="10"/>
  <c r="E1048" i="10"/>
  <c r="C1048" i="10"/>
  <c r="B1048" i="10"/>
  <c r="H1048" i="10" s="1"/>
  <c r="N1047" i="10"/>
  <c r="G1047" i="10"/>
  <c r="C1047" i="10"/>
  <c r="B1047" i="10"/>
  <c r="H1047" i="10" s="1"/>
  <c r="N1046" i="10"/>
  <c r="H1046" i="10"/>
  <c r="G1046" i="10"/>
  <c r="C1046" i="10"/>
  <c r="B1046" i="10"/>
  <c r="N1045" i="10"/>
  <c r="I1045" i="10"/>
  <c r="H1045" i="10"/>
  <c r="G1045" i="10"/>
  <c r="E1045" i="10"/>
  <c r="C1045" i="10"/>
  <c r="B1045" i="10"/>
  <c r="N1044" i="10"/>
  <c r="I1044" i="10"/>
  <c r="G1044" i="10"/>
  <c r="E1044" i="10"/>
  <c r="C1044" i="10"/>
  <c r="B1044" i="10"/>
  <c r="H1044" i="10" s="1"/>
  <c r="N1043" i="10"/>
  <c r="G1043" i="10"/>
  <c r="C1043" i="10"/>
  <c r="B1043" i="10"/>
  <c r="H1043" i="10" s="1"/>
  <c r="N1042" i="10"/>
  <c r="H1042" i="10"/>
  <c r="G1042" i="10"/>
  <c r="C1042" i="10"/>
  <c r="B1042" i="10"/>
  <c r="N1041" i="10"/>
  <c r="I1041" i="10"/>
  <c r="H1041" i="10"/>
  <c r="G1041" i="10"/>
  <c r="E1041" i="10"/>
  <c r="C1041" i="10"/>
  <c r="B1041" i="10"/>
  <c r="N1040" i="10"/>
  <c r="G1040" i="10"/>
  <c r="C1040" i="10"/>
  <c r="I1040" i="10" s="1"/>
  <c r="B1040" i="10"/>
  <c r="H1040" i="10" s="1"/>
  <c r="N1039" i="10"/>
  <c r="G1039" i="10"/>
  <c r="C1039" i="10"/>
  <c r="B1039" i="10"/>
  <c r="H1039" i="10" s="1"/>
  <c r="N1038" i="10"/>
  <c r="H1038" i="10"/>
  <c r="G1038" i="10"/>
  <c r="C1038" i="10"/>
  <c r="B1038" i="10"/>
  <c r="N1037" i="10"/>
  <c r="I1037" i="10"/>
  <c r="H1037" i="10"/>
  <c r="G1037" i="10"/>
  <c r="E1037" i="10"/>
  <c r="C1037" i="10"/>
  <c r="B1037" i="10"/>
  <c r="N1036" i="10"/>
  <c r="G1036" i="10"/>
  <c r="C1036" i="10"/>
  <c r="I1036" i="10" s="1"/>
  <c r="B1036" i="10"/>
  <c r="H1036" i="10" s="1"/>
  <c r="N1035" i="10"/>
  <c r="G1035" i="10"/>
  <c r="C1035" i="10"/>
  <c r="B1035" i="10"/>
  <c r="H1035" i="10" s="1"/>
  <c r="N1034" i="10"/>
  <c r="H1034" i="10"/>
  <c r="G1034" i="10"/>
  <c r="C1034" i="10"/>
  <c r="B1034" i="10"/>
  <c r="N1033" i="10"/>
  <c r="I1033" i="10"/>
  <c r="G1033" i="10"/>
  <c r="E1033" i="10"/>
  <c r="C1033" i="10"/>
  <c r="B1033" i="10"/>
  <c r="H1033" i="10" s="1"/>
  <c r="N1032" i="10"/>
  <c r="G1032" i="10"/>
  <c r="C1032" i="10"/>
  <c r="I1032" i="10" s="1"/>
  <c r="B1032" i="10"/>
  <c r="H1032" i="10" s="1"/>
  <c r="N1031" i="10"/>
  <c r="G1031" i="10"/>
  <c r="C1031" i="10"/>
  <c r="B1031" i="10"/>
  <c r="H1031" i="10" s="1"/>
  <c r="N1030" i="10"/>
  <c r="H1030" i="10"/>
  <c r="G1030" i="10"/>
  <c r="C1030" i="10"/>
  <c r="B1030" i="10"/>
  <c r="N1029" i="10"/>
  <c r="I1029" i="10"/>
  <c r="H1029" i="10"/>
  <c r="G1029" i="10"/>
  <c r="E1029" i="10"/>
  <c r="C1029" i="10"/>
  <c r="B1029" i="10"/>
  <c r="N1028" i="10"/>
  <c r="I1028" i="10"/>
  <c r="G1028" i="10"/>
  <c r="E1028" i="10"/>
  <c r="C1028" i="10"/>
  <c r="B1028" i="10"/>
  <c r="H1028" i="10" s="1"/>
  <c r="N1027" i="10"/>
  <c r="G1027" i="10"/>
  <c r="C1027" i="10"/>
  <c r="B1027" i="10"/>
  <c r="H1027" i="10" s="1"/>
  <c r="N1026" i="10"/>
  <c r="H1026" i="10"/>
  <c r="G1026" i="10"/>
  <c r="C1026" i="10"/>
  <c r="B1026" i="10"/>
  <c r="N1025" i="10"/>
  <c r="I1025" i="10"/>
  <c r="H1025" i="10"/>
  <c r="G1025" i="10"/>
  <c r="E1025" i="10"/>
  <c r="C1025" i="10"/>
  <c r="B1025" i="10"/>
  <c r="N1024" i="10"/>
  <c r="G1024" i="10"/>
  <c r="E1024" i="10"/>
  <c r="C1024" i="10"/>
  <c r="I1024" i="10" s="1"/>
  <c r="B1024" i="10"/>
  <c r="H1024" i="10" s="1"/>
  <c r="N1023" i="10"/>
  <c r="G1023" i="10"/>
  <c r="C1023" i="10"/>
  <c r="B1023" i="10"/>
  <c r="H1023" i="10" s="1"/>
  <c r="N1022" i="10"/>
  <c r="H1022" i="10"/>
  <c r="G1022" i="10"/>
  <c r="C1022" i="10"/>
  <c r="B1022" i="10"/>
  <c r="N1021" i="10"/>
  <c r="I1021" i="10"/>
  <c r="H1021" i="10"/>
  <c r="G1021" i="10"/>
  <c r="E1021" i="10"/>
  <c r="C1021" i="10"/>
  <c r="B1021" i="10"/>
  <c r="N1020" i="10"/>
  <c r="G1020" i="10"/>
  <c r="C1020" i="10"/>
  <c r="I1020" i="10" s="1"/>
  <c r="B1020" i="10"/>
  <c r="H1020" i="10" s="1"/>
  <c r="N1019" i="10"/>
  <c r="G1019" i="10"/>
  <c r="C1019" i="10"/>
  <c r="B1019" i="10"/>
  <c r="H1019" i="10" s="1"/>
  <c r="N1018" i="10"/>
  <c r="H1018" i="10"/>
  <c r="G1018" i="10"/>
  <c r="C1018" i="10"/>
  <c r="B1018" i="10"/>
  <c r="N1017" i="10"/>
  <c r="I1017" i="10"/>
  <c r="G1017" i="10"/>
  <c r="E1017" i="10"/>
  <c r="C1017" i="10"/>
  <c r="B1017" i="10"/>
  <c r="H1017" i="10" s="1"/>
  <c r="N1016" i="10"/>
  <c r="G1016" i="10"/>
  <c r="C1016" i="10"/>
  <c r="I1016" i="10" s="1"/>
  <c r="B1016" i="10"/>
  <c r="H1016" i="10" s="1"/>
  <c r="N1015" i="10"/>
  <c r="G1015" i="10"/>
  <c r="C1015" i="10"/>
  <c r="B1015" i="10"/>
  <c r="H1015" i="10" s="1"/>
  <c r="N1014" i="10"/>
  <c r="H1014" i="10"/>
  <c r="G1014" i="10"/>
  <c r="C1014" i="10"/>
  <c r="B1014" i="10"/>
  <c r="N1013" i="10"/>
  <c r="I1013" i="10"/>
  <c r="G1013" i="10"/>
  <c r="E1013" i="10"/>
  <c r="C1013" i="10"/>
  <c r="B1013" i="10"/>
  <c r="H1013" i="10" s="1"/>
  <c r="N1012" i="10"/>
  <c r="G1012" i="10"/>
  <c r="C1012" i="10"/>
  <c r="I1012" i="10" s="1"/>
  <c r="B1012" i="10"/>
  <c r="H1012" i="10" s="1"/>
  <c r="N1011" i="10"/>
  <c r="G1011" i="10"/>
  <c r="C1011" i="10"/>
  <c r="B1011" i="10"/>
  <c r="H1011" i="10" s="1"/>
  <c r="N1010" i="10"/>
  <c r="H1010" i="10"/>
  <c r="G1010" i="10"/>
  <c r="C1010" i="10"/>
  <c r="B1010" i="10"/>
  <c r="N1009" i="10"/>
  <c r="I1009" i="10"/>
  <c r="H1009" i="10"/>
  <c r="G1009" i="10"/>
  <c r="E1009" i="10"/>
  <c r="C1009" i="10"/>
  <c r="B1009" i="10"/>
  <c r="N1008" i="10"/>
  <c r="G1008" i="10"/>
  <c r="C1008" i="10"/>
  <c r="I1008" i="10" s="1"/>
  <c r="B1008" i="10"/>
  <c r="H1008" i="10" s="1"/>
  <c r="N1007" i="10"/>
  <c r="G1007" i="10"/>
  <c r="C1007" i="10"/>
  <c r="B1007" i="10"/>
  <c r="H1007" i="10" s="1"/>
  <c r="N1006" i="10"/>
  <c r="H1006" i="10"/>
  <c r="G1006" i="10"/>
  <c r="C1006" i="10"/>
  <c r="B1006" i="10"/>
  <c r="N1005" i="10"/>
  <c r="I1005" i="10"/>
  <c r="G1005" i="10"/>
  <c r="E1005" i="10"/>
  <c r="C1005" i="10"/>
  <c r="B1005" i="10"/>
  <c r="H1005" i="10" s="1"/>
  <c r="N1004" i="10"/>
  <c r="G1004" i="10"/>
  <c r="C1004" i="10"/>
  <c r="I1004" i="10" s="1"/>
  <c r="B1004" i="10"/>
  <c r="H1004" i="10" s="1"/>
  <c r="N1003" i="10"/>
  <c r="G1003" i="10"/>
  <c r="C1003" i="10"/>
  <c r="B1003" i="10"/>
  <c r="H1003" i="10" s="1"/>
  <c r="N1002" i="10"/>
  <c r="H1002" i="10"/>
  <c r="G1002" i="10"/>
  <c r="C1002" i="10"/>
  <c r="B1002" i="10"/>
  <c r="N1001" i="10"/>
  <c r="I1001" i="10"/>
  <c r="G1001" i="10"/>
  <c r="E1001" i="10"/>
  <c r="C1001" i="10"/>
  <c r="B1001" i="10"/>
  <c r="H1001" i="10" s="1"/>
  <c r="N1000" i="10"/>
  <c r="G1000" i="10"/>
  <c r="C1000" i="10"/>
  <c r="I1000" i="10" s="1"/>
  <c r="B1000" i="10"/>
  <c r="H1000" i="10" s="1"/>
  <c r="N999" i="10"/>
  <c r="G999" i="10"/>
  <c r="C999" i="10"/>
  <c r="B999" i="10"/>
  <c r="H999" i="10" s="1"/>
  <c r="N998" i="10"/>
  <c r="H998" i="10"/>
  <c r="G998" i="10"/>
  <c r="C998" i="10"/>
  <c r="B998" i="10"/>
  <c r="N997" i="10"/>
  <c r="I997" i="10"/>
  <c r="G997" i="10"/>
  <c r="E997" i="10"/>
  <c r="C997" i="10"/>
  <c r="B997" i="10"/>
  <c r="H997" i="10" s="1"/>
  <c r="N996" i="10"/>
  <c r="G996" i="10"/>
  <c r="C996" i="10"/>
  <c r="I996" i="10" s="1"/>
  <c r="B996" i="10"/>
  <c r="H996" i="10" s="1"/>
  <c r="N995" i="10"/>
  <c r="G995" i="10"/>
  <c r="C995" i="10"/>
  <c r="B995" i="10"/>
  <c r="H995" i="10" s="1"/>
  <c r="N994" i="10"/>
  <c r="H994" i="10"/>
  <c r="G994" i="10"/>
  <c r="C994" i="10"/>
  <c r="B994" i="10"/>
  <c r="N993" i="10"/>
  <c r="I993" i="10"/>
  <c r="G993" i="10"/>
  <c r="E993" i="10"/>
  <c r="C993" i="10"/>
  <c r="B993" i="10"/>
  <c r="H993" i="10" s="1"/>
  <c r="N992" i="10"/>
  <c r="G992" i="10"/>
  <c r="C992" i="10"/>
  <c r="I992" i="10" s="1"/>
  <c r="B992" i="10"/>
  <c r="H992" i="10" s="1"/>
  <c r="N991" i="10"/>
  <c r="G991" i="10"/>
  <c r="C991" i="10"/>
  <c r="B991" i="10"/>
  <c r="H991" i="10" s="1"/>
  <c r="N990" i="10"/>
  <c r="H990" i="10"/>
  <c r="G990" i="10"/>
  <c r="C990" i="10"/>
  <c r="B990" i="10"/>
  <c r="N989" i="10"/>
  <c r="I989" i="10"/>
  <c r="G989" i="10"/>
  <c r="E989" i="10"/>
  <c r="C989" i="10"/>
  <c r="B989" i="10"/>
  <c r="H989" i="10" s="1"/>
  <c r="N988" i="10"/>
  <c r="G988" i="10"/>
  <c r="C988" i="10"/>
  <c r="I988" i="10" s="1"/>
  <c r="B988" i="10"/>
  <c r="H988" i="10" s="1"/>
  <c r="N987" i="10"/>
  <c r="G987" i="10"/>
  <c r="C987" i="10"/>
  <c r="B987" i="10"/>
  <c r="H987" i="10" s="1"/>
  <c r="N986" i="10"/>
  <c r="H986" i="10"/>
  <c r="G986" i="10"/>
  <c r="C986" i="10"/>
  <c r="B986" i="10"/>
  <c r="N985" i="10"/>
  <c r="I985" i="10"/>
  <c r="G985" i="10"/>
  <c r="E985" i="10"/>
  <c r="C985" i="10"/>
  <c r="B985" i="10"/>
  <c r="H985" i="10" s="1"/>
  <c r="N984" i="10"/>
  <c r="G984" i="10"/>
  <c r="C984" i="10"/>
  <c r="I984" i="10" s="1"/>
  <c r="B984" i="10"/>
  <c r="H984" i="10" s="1"/>
  <c r="N983" i="10"/>
  <c r="G983" i="10"/>
  <c r="C983" i="10"/>
  <c r="B983" i="10"/>
  <c r="H983" i="10" s="1"/>
  <c r="N982" i="10"/>
  <c r="H982" i="10"/>
  <c r="G982" i="10"/>
  <c r="C982" i="10"/>
  <c r="B982" i="10"/>
  <c r="N981" i="10"/>
  <c r="I981" i="10"/>
  <c r="G981" i="10"/>
  <c r="E981" i="10"/>
  <c r="C981" i="10"/>
  <c r="B981" i="10"/>
  <c r="H981" i="10" s="1"/>
  <c r="N980" i="10"/>
  <c r="G980" i="10"/>
  <c r="C980" i="10"/>
  <c r="I980" i="10" s="1"/>
  <c r="B980" i="10"/>
  <c r="H980" i="10" s="1"/>
  <c r="N979" i="10"/>
  <c r="G979" i="10"/>
  <c r="C979" i="10"/>
  <c r="B979" i="10"/>
  <c r="H979" i="10" s="1"/>
  <c r="N978" i="10"/>
  <c r="H978" i="10"/>
  <c r="G978" i="10"/>
  <c r="C978" i="10"/>
  <c r="B978" i="10"/>
  <c r="N977" i="10"/>
  <c r="I977" i="10"/>
  <c r="G977" i="10"/>
  <c r="E977" i="10"/>
  <c r="C977" i="10"/>
  <c r="B977" i="10"/>
  <c r="H977" i="10" s="1"/>
  <c r="N976" i="10"/>
  <c r="G976" i="10"/>
  <c r="C976" i="10"/>
  <c r="I976" i="10" s="1"/>
  <c r="B976" i="10"/>
  <c r="H976" i="10" s="1"/>
  <c r="N975" i="10"/>
  <c r="G975" i="10"/>
  <c r="C975" i="10"/>
  <c r="B975" i="10"/>
  <c r="H975" i="10" s="1"/>
  <c r="N974" i="10"/>
  <c r="H974" i="10"/>
  <c r="G974" i="10"/>
  <c r="C974" i="10"/>
  <c r="B974" i="10"/>
  <c r="N973" i="10"/>
  <c r="I973" i="10"/>
  <c r="G973" i="10"/>
  <c r="E973" i="10"/>
  <c r="C973" i="10"/>
  <c r="B973" i="10"/>
  <c r="H973" i="10" s="1"/>
  <c r="N972" i="10"/>
  <c r="G972" i="10"/>
  <c r="C972" i="10"/>
  <c r="I972" i="10" s="1"/>
  <c r="B972" i="10"/>
  <c r="H972" i="10" s="1"/>
  <c r="N971" i="10"/>
  <c r="G971" i="10"/>
  <c r="C971" i="10"/>
  <c r="B971" i="10"/>
  <c r="H971" i="10" s="1"/>
  <c r="N970" i="10"/>
  <c r="H970" i="10"/>
  <c r="G970" i="10"/>
  <c r="C970" i="10"/>
  <c r="B970" i="10"/>
  <c r="N969" i="10"/>
  <c r="I969" i="10"/>
  <c r="G969" i="10"/>
  <c r="E969" i="10"/>
  <c r="C969" i="10"/>
  <c r="B969" i="10"/>
  <c r="H969" i="10" s="1"/>
  <c r="N968" i="10"/>
  <c r="G968" i="10"/>
  <c r="C968" i="10"/>
  <c r="I968" i="10" s="1"/>
  <c r="B968" i="10"/>
  <c r="H968" i="10" s="1"/>
  <c r="N967" i="10"/>
  <c r="G967" i="10"/>
  <c r="C967" i="10"/>
  <c r="B967" i="10"/>
  <c r="H967" i="10" s="1"/>
  <c r="N966" i="10"/>
  <c r="H966" i="10"/>
  <c r="G966" i="10"/>
  <c r="C966" i="10"/>
  <c r="B966" i="10"/>
  <c r="N965" i="10"/>
  <c r="I965" i="10"/>
  <c r="G965" i="10"/>
  <c r="E965" i="10"/>
  <c r="C965" i="10"/>
  <c r="B965" i="10"/>
  <c r="H965" i="10" s="1"/>
  <c r="N964" i="10"/>
  <c r="G964" i="10"/>
  <c r="C964" i="10"/>
  <c r="I964" i="10" s="1"/>
  <c r="B964" i="10"/>
  <c r="H964" i="10" s="1"/>
  <c r="N963" i="10"/>
  <c r="G963" i="10"/>
  <c r="C963" i="10"/>
  <c r="B963" i="10"/>
  <c r="H963" i="10" s="1"/>
  <c r="N962" i="10"/>
  <c r="H962" i="10"/>
  <c r="G962" i="10"/>
  <c r="C962" i="10"/>
  <c r="B962" i="10"/>
  <c r="N961" i="10"/>
  <c r="I961" i="10"/>
  <c r="G961" i="10"/>
  <c r="E961" i="10"/>
  <c r="C961" i="10"/>
  <c r="B961" i="10"/>
  <c r="H961" i="10" s="1"/>
  <c r="N960" i="10"/>
  <c r="G960" i="10"/>
  <c r="C960" i="10"/>
  <c r="I960" i="10" s="1"/>
  <c r="B960" i="10"/>
  <c r="H960" i="10" s="1"/>
  <c r="N959" i="10"/>
  <c r="G959" i="10"/>
  <c r="C959" i="10"/>
  <c r="B959" i="10"/>
  <c r="H959" i="10" s="1"/>
  <c r="N958" i="10"/>
  <c r="H958" i="10"/>
  <c r="G958" i="10"/>
  <c r="C958" i="10"/>
  <c r="B958" i="10"/>
  <c r="N957" i="10"/>
  <c r="I957" i="10"/>
  <c r="G957" i="10"/>
  <c r="E957" i="10"/>
  <c r="C957" i="10"/>
  <c r="B957" i="10"/>
  <c r="H957" i="10" s="1"/>
  <c r="N956" i="10"/>
  <c r="G956" i="10"/>
  <c r="C956" i="10"/>
  <c r="I956" i="10" s="1"/>
  <c r="B956" i="10"/>
  <c r="H956" i="10" s="1"/>
  <c r="N955" i="10"/>
  <c r="G955" i="10"/>
  <c r="C955" i="10"/>
  <c r="B955" i="10"/>
  <c r="H955" i="10" s="1"/>
  <c r="N954" i="10"/>
  <c r="H954" i="10"/>
  <c r="G954" i="10"/>
  <c r="C954" i="10"/>
  <c r="B954" i="10"/>
  <c r="N953" i="10"/>
  <c r="I953" i="10"/>
  <c r="G953" i="10"/>
  <c r="E953" i="10"/>
  <c r="C953" i="10"/>
  <c r="B953" i="10"/>
  <c r="H953" i="10" s="1"/>
  <c r="N952" i="10"/>
  <c r="G952" i="10"/>
  <c r="C952" i="10"/>
  <c r="I952" i="10" s="1"/>
  <c r="B952" i="10"/>
  <c r="H952" i="10" s="1"/>
  <c r="N951" i="10"/>
  <c r="G951" i="10"/>
  <c r="C951" i="10"/>
  <c r="B951" i="10"/>
  <c r="H951" i="10" s="1"/>
  <c r="N950" i="10"/>
  <c r="H950" i="10"/>
  <c r="G950" i="10"/>
  <c r="C950" i="10"/>
  <c r="B950" i="10"/>
  <c r="N949" i="10"/>
  <c r="I949" i="10"/>
  <c r="G949" i="10"/>
  <c r="E949" i="10"/>
  <c r="C949" i="10"/>
  <c r="B949" i="10"/>
  <c r="H949" i="10" s="1"/>
  <c r="N948" i="10"/>
  <c r="G948" i="10"/>
  <c r="C948" i="10"/>
  <c r="I948" i="10" s="1"/>
  <c r="B948" i="10"/>
  <c r="H948" i="10" s="1"/>
  <c r="N947" i="10"/>
  <c r="G947" i="10"/>
  <c r="C947" i="10"/>
  <c r="B947" i="10"/>
  <c r="H947" i="10" s="1"/>
  <c r="N946" i="10"/>
  <c r="H946" i="10"/>
  <c r="G946" i="10"/>
  <c r="C946" i="10"/>
  <c r="B946" i="10"/>
  <c r="N945" i="10"/>
  <c r="I945" i="10"/>
  <c r="G945" i="10"/>
  <c r="E945" i="10"/>
  <c r="C945" i="10"/>
  <c r="B945" i="10"/>
  <c r="H945" i="10" s="1"/>
  <c r="N944" i="10"/>
  <c r="G944" i="10"/>
  <c r="C944" i="10"/>
  <c r="I944" i="10" s="1"/>
  <c r="B944" i="10"/>
  <c r="H944" i="10" s="1"/>
  <c r="N943" i="10"/>
  <c r="G943" i="10"/>
  <c r="C943" i="10"/>
  <c r="B943" i="10"/>
  <c r="H943" i="10" s="1"/>
  <c r="N942" i="10"/>
  <c r="H942" i="10"/>
  <c r="G942" i="10"/>
  <c r="C942" i="10"/>
  <c r="B942" i="10"/>
  <c r="N941" i="10"/>
  <c r="I941" i="10"/>
  <c r="G941" i="10"/>
  <c r="E941" i="10"/>
  <c r="C941" i="10"/>
  <c r="B941" i="10"/>
  <c r="H941" i="10" s="1"/>
  <c r="N940" i="10"/>
  <c r="G940" i="10"/>
  <c r="C940" i="10"/>
  <c r="I940" i="10" s="1"/>
  <c r="B940" i="10"/>
  <c r="H940" i="10" s="1"/>
  <c r="N939" i="10"/>
  <c r="G939" i="10"/>
  <c r="C939" i="10"/>
  <c r="B939" i="10"/>
  <c r="H939" i="10" s="1"/>
  <c r="N938" i="10"/>
  <c r="H938" i="10"/>
  <c r="G938" i="10"/>
  <c r="C938" i="10"/>
  <c r="B938" i="10"/>
  <c r="N937" i="10"/>
  <c r="I937" i="10"/>
  <c r="H937" i="10"/>
  <c r="G937" i="10"/>
  <c r="E937" i="10"/>
  <c r="C937" i="10"/>
  <c r="B937" i="10"/>
  <c r="N936" i="10"/>
  <c r="G936" i="10"/>
  <c r="C936" i="10"/>
  <c r="I936" i="10" s="1"/>
  <c r="B936" i="10"/>
  <c r="H936" i="10" s="1"/>
  <c r="N935" i="10"/>
  <c r="G935" i="10"/>
  <c r="C935" i="10"/>
  <c r="B935" i="10"/>
  <c r="H935" i="10" s="1"/>
  <c r="N934" i="10"/>
  <c r="H934" i="10"/>
  <c r="G934" i="10"/>
  <c r="C934" i="10"/>
  <c r="B934" i="10"/>
  <c r="N933" i="10"/>
  <c r="I933" i="10"/>
  <c r="G933" i="10"/>
  <c r="E933" i="10"/>
  <c r="C933" i="10"/>
  <c r="B933" i="10"/>
  <c r="H933" i="10" s="1"/>
  <c r="N932" i="10"/>
  <c r="G932" i="10"/>
  <c r="C932" i="10"/>
  <c r="I932" i="10" s="1"/>
  <c r="B932" i="10"/>
  <c r="H932" i="10" s="1"/>
  <c r="N931" i="10"/>
  <c r="G931" i="10"/>
  <c r="C931" i="10"/>
  <c r="B931" i="10"/>
  <c r="H931" i="10" s="1"/>
  <c r="N930" i="10"/>
  <c r="H930" i="10"/>
  <c r="G930" i="10"/>
  <c r="C930" i="10"/>
  <c r="B930" i="10"/>
  <c r="N929" i="10"/>
  <c r="I929" i="10"/>
  <c r="G929" i="10"/>
  <c r="E929" i="10"/>
  <c r="C929" i="10"/>
  <c r="B929" i="10"/>
  <c r="H929" i="10" s="1"/>
  <c r="N928" i="10"/>
  <c r="G928" i="10"/>
  <c r="C928" i="10"/>
  <c r="I928" i="10" s="1"/>
  <c r="B928" i="10"/>
  <c r="H928" i="10" s="1"/>
  <c r="N927" i="10"/>
  <c r="G927" i="10"/>
  <c r="C927" i="10"/>
  <c r="B927" i="10"/>
  <c r="H927" i="10" s="1"/>
  <c r="N926" i="10"/>
  <c r="H926" i="10"/>
  <c r="G926" i="10"/>
  <c r="C926" i="10"/>
  <c r="B926" i="10"/>
  <c r="N925" i="10"/>
  <c r="I925" i="10"/>
  <c r="G925" i="10"/>
  <c r="E925" i="10"/>
  <c r="C925" i="10"/>
  <c r="B925" i="10"/>
  <c r="H925" i="10" s="1"/>
  <c r="N924" i="10"/>
  <c r="G924" i="10"/>
  <c r="C924" i="10"/>
  <c r="I924" i="10" s="1"/>
  <c r="B924" i="10"/>
  <c r="H924" i="10" s="1"/>
  <c r="N923" i="10"/>
  <c r="G923" i="10"/>
  <c r="C923" i="10"/>
  <c r="B923" i="10"/>
  <c r="H923" i="10" s="1"/>
  <c r="N922" i="10"/>
  <c r="H922" i="10"/>
  <c r="G922" i="10"/>
  <c r="C922" i="10"/>
  <c r="B922" i="10"/>
  <c r="N921" i="10"/>
  <c r="I921" i="10"/>
  <c r="G921" i="10"/>
  <c r="E921" i="10"/>
  <c r="C921" i="10"/>
  <c r="B921" i="10"/>
  <c r="H921" i="10" s="1"/>
  <c r="N920" i="10"/>
  <c r="G920" i="10"/>
  <c r="C920" i="10"/>
  <c r="I920" i="10" s="1"/>
  <c r="B920" i="10"/>
  <c r="H920" i="10" s="1"/>
  <c r="N919" i="10"/>
  <c r="G919" i="10"/>
  <c r="C919" i="10"/>
  <c r="B919" i="10"/>
  <c r="H919" i="10" s="1"/>
  <c r="N918" i="10"/>
  <c r="H918" i="10"/>
  <c r="G918" i="10"/>
  <c r="C918" i="10"/>
  <c r="B918" i="10"/>
  <c r="N917" i="10"/>
  <c r="I917" i="10"/>
  <c r="G917" i="10"/>
  <c r="E917" i="10"/>
  <c r="C917" i="10"/>
  <c r="B917" i="10"/>
  <c r="H917" i="10" s="1"/>
  <c r="N916" i="10"/>
  <c r="G916" i="10"/>
  <c r="C916" i="10"/>
  <c r="I916" i="10" s="1"/>
  <c r="B916" i="10"/>
  <c r="H916" i="10" s="1"/>
  <c r="N915" i="10"/>
  <c r="G915" i="10"/>
  <c r="C915" i="10"/>
  <c r="B915" i="10"/>
  <c r="H915" i="10" s="1"/>
  <c r="N914" i="10"/>
  <c r="H914" i="10"/>
  <c r="G914" i="10"/>
  <c r="C914" i="10"/>
  <c r="B914" i="10"/>
  <c r="N913" i="10"/>
  <c r="I913" i="10"/>
  <c r="G913" i="10"/>
  <c r="E913" i="10"/>
  <c r="C913" i="10"/>
  <c r="B913" i="10"/>
  <c r="H913" i="10" s="1"/>
  <c r="N912" i="10"/>
  <c r="G912" i="10"/>
  <c r="C912" i="10"/>
  <c r="I912" i="10" s="1"/>
  <c r="B912" i="10"/>
  <c r="H912" i="10" s="1"/>
  <c r="N911" i="10"/>
  <c r="G911" i="10"/>
  <c r="C911" i="10"/>
  <c r="B911" i="10"/>
  <c r="H911" i="10" s="1"/>
  <c r="N910" i="10"/>
  <c r="H910" i="10"/>
  <c r="G910" i="10"/>
  <c r="C910" i="10"/>
  <c r="B910" i="10"/>
  <c r="N909" i="10"/>
  <c r="I909" i="10"/>
  <c r="G909" i="10"/>
  <c r="E909" i="10"/>
  <c r="C909" i="10"/>
  <c r="B909" i="10"/>
  <c r="H909" i="10" s="1"/>
  <c r="N908" i="10"/>
  <c r="G908" i="10"/>
  <c r="C908" i="10"/>
  <c r="I908" i="10" s="1"/>
  <c r="B908" i="10"/>
  <c r="H908" i="10" s="1"/>
  <c r="N907" i="10"/>
  <c r="G907" i="10"/>
  <c r="C907" i="10"/>
  <c r="B907" i="10"/>
  <c r="H907" i="10" s="1"/>
  <c r="N906" i="10"/>
  <c r="H906" i="10"/>
  <c r="G906" i="10"/>
  <c r="C906" i="10"/>
  <c r="B906" i="10"/>
  <c r="N905" i="10"/>
  <c r="I905" i="10"/>
  <c r="G905" i="10"/>
  <c r="E905" i="10"/>
  <c r="C905" i="10"/>
  <c r="B905" i="10"/>
  <c r="H905" i="10" s="1"/>
  <c r="N904" i="10"/>
  <c r="G904" i="10"/>
  <c r="C904" i="10"/>
  <c r="I904" i="10" s="1"/>
  <c r="B904" i="10"/>
  <c r="H904" i="10" s="1"/>
  <c r="N903" i="10"/>
  <c r="G903" i="10"/>
  <c r="C903" i="10"/>
  <c r="B903" i="10"/>
  <c r="H903" i="10" s="1"/>
  <c r="N902" i="10"/>
  <c r="H902" i="10"/>
  <c r="G902" i="10"/>
  <c r="C902" i="10"/>
  <c r="B902" i="10"/>
  <c r="N901" i="10"/>
  <c r="I901" i="10"/>
  <c r="G901" i="10"/>
  <c r="E901" i="10"/>
  <c r="C901" i="10"/>
  <c r="B901" i="10"/>
  <c r="H901" i="10" s="1"/>
  <c r="N900" i="10"/>
  <c r="G900" i="10"/>
  <c r="C900" i="10"/>
  <c r="I900" i="10" s="1"/>
  <c r="B900" i="10"/>
  <c r="H900" i="10" s="1"/>
  <c r="N899" i="10"/>
  <c r="G899" i="10"/>
  <c r="C899" i="10"/>
  <c r="B899" i="10"/>
  <c r="H899" i="10" s="1"/>
  <c r="N898" i="10"/>
  <c r="H898" i="10"/>
  <c r="G898" i="10"/>
  <c r="C898" i="10"/>
  <c r="B898" i="10"/>
  <c r="N897" i="10"/>
  <c r="I897" i="10"/>
  <c r="G897" i="10"/>
  <c r="E897" i="10"/>
  <c r="C897" i="10"/>
  <c r="B897" i="10"/>
  <c r="H897" i="10" s="1"/>
  <c r="N896" i="10"/>
  <c r="G896" i="10"/>
  <c r="C896" i="10"/>
  <c r="I896" i="10" s="1"/>
  <c r="B896" i="10"/>
  <c r="H896" i="10" s="1"/>
  <c r="N895" i="10"/>
  <c r="G895" i="10"/>
  <c r="C895" i="10"/>
  <c r="B895" i="10"/>
  <c r="H895" i="10" s="1"/>
  <c r="N894" i="10"/>
  <c r="H894" i="10"/>
  <c r="G894" i="10"/>
  <c r="C894" i="10"/>
  <c r="B894" i="10"/>
  <c r="N893" i="10"/>
  <c r="I893" i="10"/>
  <c r="G893" i="10"/>
  <c r="E893" i="10"/>
  <c r="C893" i="10"/>
  <c r="B893" i="10"/>
  <c r="H893" i="10" s="1"/>
  <c r="N892" i="10"/>
  <c r="G892" i="10"/>
  <c r="C892" i="10"/>
  <c r="I892" i="10" s="1"/>
  <c r="B892" i="10"/>
  <c r="H892" i="10" s="1"/>
  <c r="N891" i="10"/>
  <c r="G891" i="10"/>
  <c r="C891" i="10"/>
  <c r="B891" i="10"/>
  <c r="H891" i="10" s="1"/>
  <c r="N890" i="10"/>
  <c r="H890" i="10"/>
  <c r="G890" i="10"/>
  <c r="C890" i="10"/>
  <c r="B890" i="10"/>
  <c r="N889" i="10"/>
  <c r="I889" i="10"/>
  <c r="G889" i="10"/>
  <c r="E889" i="10"/>
  <c r="C889" i="10"/>
  <c r="B889" i="10"/>
  <c r="H889" i="10" s="1"/>
  <c r="N888" i="10"/>
  <c r="G888" i="10"/>
  <c r="C888" i="10"/>
  <c r="I888" i="10" s="1"/>
  <c r="B888" i="10"/>
  <c r="H888" i="10" s="1"/>
  <c r="N887" i="10"/>
  <c r="G887" i="10"/>
  <c r="C887" i="10"/>
  <c r="B887" i="10"/>
  <c r="H887" i="10" s="1"/>
  <c r="N886" i="10"/>
  <c r="H886" i="10"/>
  <c r="G886" i="10"/>
  <c r="C886" i="10"/>
  <c r="B886" i="10"/>
  <c r="N885" i="10"/>
  <c r="I885" i="10"/>
  <c r="G885" i="10"/>
  <c r="E885" i="10"/>
  <c r="C885" i="10"/>
  <c r="B885" i="10"/>
  <c r="H885" i="10" s="1"/>
  <c r="N884" i="10"/>
  <c r="G884" i="10"/>
  <c r="C884" i="10"/>
  <c r="I884" i="10" s="1"/>
  <c r="B884" i="10"/>
  <c r="H884" i="10" s="1"/>
  <c r="N883" i="10"/>
  <c r="G883" i="10"/>
  <c r="C883" i="10"/>
  <c r="B883" i="10"/>
  <c r="H883" i="10" s="1"/>
  <c r="N882" i="10"/>
  <c r="H882" i="10"/>
  <c r="G882" i="10"/>
  <c r="C882" i="10"/>
  <c r="B882" i="10"/>
  <c r="N881" i="10"/>
  <c r="I881" i="10"/>
  <c r="G881" i="10"/>
  <c r="E881" i="10"/>
  <c r="C881" i="10"/>
  <c r="B881" i="10"/>
  <c r="H881" i="10" s="1"/>
  <c r="N880" i="10"/>
  <c r="G880" i="10"/>
  <c r="C880" i="10"/>
  <c r="I880" i="10" s="1"/>
  <c r="B880" i="10"/>
  <c r="H880" i="10" s="1"/>
  <c r="N879" i="10"/>
  <c r="G879" i="10"/>
  <c r="C879" i="10"/>
  <c r="B879" i="10"/>
  <c r="H879" i="10" s="1"/>
  <c r="N878" i="10"/>
  <c r="H878" i="10"/>
  <c r="G878" i="10"/>
  <c r="C878" i="10"/>
  <c r="B878" i="10"/>
  <c r="N877" i="10"/>
  <c r="I877" i="10"/>
  <c r="G877" i="10"/>
  <c r="E877" i="10"/>
  <c r="C877" i="10"/>
  <c r="B877" i="10"/>
  <c r="H877" i="10" s="1"/>
  <c r="N876" i="10"/>
  <c r="G876" i="10"/>
  <c r="C876" i="10"/>
  <c r="I876" i="10" s="1"/>
  <c r="B876" i="10"/>
  <c r="H876" i="10" s="1"/>
  <c r="N875" i="10"/>
  <c r="G875" i="10"/>
  <c r="C875" i="10"/>
  <c r="B875" i="10"/>
  <c r="H875" i="10" s="1"/>
  <c r="N874" i="10"/>
  <c r="H874" i="10"/>
  <c r="G874" i="10"/>
  <c r="C874" i="10"/>
  <c r="B874" i="10"/>
  <c r="N873" i="10"/>
  <c r="I873" i="10"/>
  <c r="G873" i="10"/>
  <c r="E873" i="10"/>
  <c r="C873" i="10"/>
  <c r="B873" i="10"/>
  <c r="H873" i="10" s="1"/>
  <c r="N872" i="10"/>
  <c r="G872" i="10"/>
  <c r="C872" i="10"/>
  <c r="I872" i="10" s="1"/>
  <c r="B872" i="10"/>
  <c r="H872" i="10" s="1"/>
  <c r="N871" i="10"/>
  <c r="G871" i="10"/>
  <c r="C871" i="10"/>
  <c r="B871" i="10"/>
  <c r="H871" i="10" s="1"/>
  <c r="N870" i="10"/>
  <c r="H870" i="10"/>
  <c r="G870" i="10"/>
  <c r="C870" i="10"/>
  <c r="B870" i="10"/>
  <c r="N869" i="10"/>
  <c r="I869" i="10"/>
  <c r="G869" i="10"/>
  <c r="E869" i="10"/>
  <c r="C869" i="10"/>
  <c r="B869" i="10"/>
  <c r="H869" i="10" s="1"/>
  <c r="N868" i="10"/>
  <c r="G868" i="10"/>
  <c r="C868" i="10"/>
  <c r="I868" i="10" s="1"/>
  <c r="B868" i="10"/>
  <c r="H868" i="10" s="1"/>
  <c r="N867" i="10"/>
  <c r="G867" i="10"/>
  <c r="C867" i="10"/>
  <c r="B867" i="10"/>
  <c r="H867" i="10" s="1"/>
  <c r="N866" i="10"/>
  <c r="H866" i="10"/>
  <c r="G866" i="10"/>
  <c r="C866" i="10"/>
  <c r="B866" i="10"/>
  <c r="N865" i="10"/>
  <c r="I865" i="10"/>
  <c r="G865" i="10"/>
  <c r="E865" i="10"/>
  <c r="C865" i="10"/>
  <c r="B865" i="10"/>
  <c r="H865" i="10" s="1"/>
  <c r="N864" i="10"/>
  <c r="G864" i="10"/>
  <c r="C864" i="10"/>
  <c r="I864" i="10" s="1"/>
  <c r="B864" i="10"/>
  <c r="H864" i="10" s="1"/>
  <c r="N863" i="10"/>
  <c r="G863" i="10"/>
  <c r="C863" i="10"/>
  <c r="B863" i="10"/>
  <c r="H863" i="10" s="1"/>
  <c r="N862" i="10"/>
  <c r="H862" i="10"/>
  <c r="G862" i="10"/>
  <c r="C862" i="10"/>
  <c r="B862" i="10"/>
  <c r="N861" i="10"/>
  <c r="I861" i="10"/>
  <c r="G861" i="10"/>
  <c r="E861" i="10"/>
  <c r="C861" i="10"/>
  <c r="B861" i="10"/>
  <c r="H861" i="10" s="1"/>
  <c r="N860" i="10"/>
  <c r="G860" i="10"/>
  <c r="C860" i="10"/>
  <c r="I860" i="10" s="1"/>
  <c r="B860" i="10"/>
  <c r="H860" i="10" s="1"/>
  <c r="N859" i="10"/>
  <c r="G859" i="10"/>
  <c r="C859" i="10"/>
  <c r="B859" i="10"/>
  <c r="H859" i="10" s="1"/>
  <c r="N858" i="10"/>
  <c r="H858" i="10"/>
  <c r="G858" i="10"/>
  <c r="C858" i="10"/>
  <c r="B858" i="10"/>
  <c r="N857" i="10"/>
  <c r="I857" i="10"/>
  <c r="G857" i="10"/>
  <c r="E857" i="10"/>
  <c r="C857" i="10"/>
  <c r="B857" i="10"/>
  <c r="H857" i="10" s="1"/>
  <c r="N856" i="10"/>
  <c r="G856" i="10"/>
  <c r="C856" i="10"/>
  <c r="I856" i="10" s="1"/>
  <c r="B856" i="10"/>
  <c r="H856" i="10" s="1"/>
  <c r="N855" i="10"/>
  <c r="G855" i="10"/>
  <c r="C855" i="10"/>
  <c r="B855" i="10"/>
  <c r="H855" i="10" s="1"/>
  <c r="N854" i="10"/>
  <c r="H854" i="10"/>
  <c r="G854" i="10"/>
  <c r="C854" i="10"/>
  <c r="B854" i="10"/>
  <c r="N853" i="10"/>
  <c r="I853" i="10"/>
  <c r="G853" i="10"/>
  <c r="E853" i="10"/>
  <c r="C853" i="10"/>
  <c r="B853" i="10"/>
  <c r="H853" i="10" s="1"/>
  <c r="N852" i="10"/>
  <c r="G852" i="10"/>
  <c r="C852" i="10"/>
  <c r="I852" i="10" s="1"/>
  <c r="B852" i="10"/>
  <c r="H852" i="10" s="1"/>
  <c r="N851" i="10"/>
  <c r="G851" i="10"/>
  <c r="C851" i="10"/>
  <c r="B851" i="10"/>
  <c r="H851" i="10" s="1"/>
  <c r="N850" i="10"/>
  <c r="H850" i="10"/>
  <c r="G850" i="10"/>
  <c r="C850" i="10"/>
  <c r="B850" i="10"/>
  <c r="N849" i="10"/>
  <c r="I849" i="10"/>
  <c r="G849" i="10"/>
  <c r="E849" i="10"/>
  <c r="C849" i="10"/>
  <c r="B849" i="10"/>
  <c r="H849" i="10" s="1"/>
  <c r="N848" i="10"/>
  <c r="G848" i="10"/>
  <c r="C848" i="10"/>
  <c r="I848" i="10" s="1"/>
  <c r="B848" i="10"/>
  <c r="H848" i="10" s="1"/>
  <c r="N847" i="10"/>
  <c r="G847" i="10"/>
  <c r="C847" i="10"/>
  <c r="B847" i="10"/>
  <c r="H847" i="10" s="1"/>
  <c r="N846" i="10"/>
  <c r="H846" i="10"/>
  <c r="G846" i="10"/>
  <c r="C846" i="10"/>
  <c r="B846" i="10"/>
  <c r="N845" i="10"/>
  <c r="I845" i="10"/>
  <c r="G845" i="10"/>
  <c r="E845" i="10"/>
  <c r="C845" i="10"/>
  <c r="B845" i="10"/>
  <c r="H845" i="10" s="1"/>
  <c r="N844" i="10"/>
  <c r="G844" i="10"/>
  <c r="C844" i="10"/>
  <c r="I844" i="10" s="1"/>
  <c r="B844" i="10"/>
  <c r="H844" i="10" s="1"/>
  <c r="N843" i="10"/>
  <c r="G843" i="10"/>
  <c r="C843" i="10"/>
  <c r="B843" i="10"/>
  <c r="H843" i="10" s="1"/>
  <c r="N842" i="10"/>
  <c r="H842" i="10"/>
  <c r="G842" i="10"/>
  <c r="C842" i="10"/>
  <c r="B842" i="10"/>
  <c r="N841" i="10"/>
  <c r="I841" i="10"/>
  <c r="G841" i="10"/>
  <c r="E841" i="10"/>
  <c r="C841" i="10"/>
  <c r="B841" i="10"/>
  <c r="H841" i="10" s="1"/>
  <c r="N840" i="10"/>
  <c r="G840" i="10"/>
  <c r="C840" i="10"/>
  <c r="I840" i="10" s="1"/>
  <c r="B840" i="10"/>
  <c r="H840" i="10" s="1"/>
  <c r="N839" i="10"/>
  <c r="G839" i="10"/>
  <c r="C839" i="10"/>
  <c r="B839" i="10"/>
  <c r="H839" i="10" s="1"/>
  <c r="N838" i="10"/>
  <c r="H838" i="10"/>
  <c r="G838" i="10"/>
  <c r="C838" i="10"/>
  <c r="B838" i="10"/>
  <c r="N837" i="10"/>
  <c r="I837" i="10"/>
  <c r="G837" i="10"/>
  <c r="E837" i="10"/>
  <c r="C837" i="10"/>
  <c r="B837" i="10"/>
  <c r="H837" i="10" s="1"/>
  <c r="N836" i="10"/>
  <c r="G836" i="10"/>
  <c r="C836" i="10"/>
  <c r="I836" i="10" s="1"/>
  <c r="B836" i="10"/>
  <c r="H836" i="10" s="1"/>
  <c r="N835" i="10"/>
  <c r="G835" i="10"/>
  <c r="C835" i="10"/>
  <c r="B835" i="10"/>
  <c r="H835" i="10" s="1"/>
  <c r="N834" i="10"/>
  <c r="H834" i="10"/>
  <c r="G834" i="10"/>
  <c r="C834" i="10"/>
  <c r="B834" i="10"/>
  <c r="N833" i="10"/>
  <c r="I833" i="10"/>
  <c r="G833" i="10"/>
  <c r="E833" i="10"/>
  <c r="C833" i="10"/>
  <c r="B833" i="10"/>
  <c r="H833" i="10" s="1"/>
  <c r="N832" i="10"/>
  <c r="G832" i="10"/>
  <c r="C832" i="10"/>
  <c r="I832" i="10" s="1"/>
  <c r="B832" i="10"/>
  <c r="H832" i="10" s="1"/>
  <c r="N831" i="10"/>
  <c r="G831" i="10"/>
  <c r="C831" i="10"/>
  <c r="B831" i="10"/>
  <c r="H831" i="10" s="1"/>
  <c r="N830" i="10"/>
  <c r="H830" i="10"/>
  <c r="G830" i="10"/>
  <c r="C830" i="10"/>
  <c r="B830" i="10"/>
  <c r="N829" i="10"/>
  <c r="I829" i="10"/>
  <c r="G829" i="10"/>
  <c r="E829" i="10"/>
  <c r="C829" i="10"/>
  <c r="B829" i="10"/>
  <c r="H829" i="10" s="1"/>
  <c r="N828" i="10"/>
  <c r="G828" i="10"/>
  <c r="C828" i="10"/>
  <c r="I828" i="10" s="1"/>
  <c r="B828" i="10"/>
  <c r="H828" i="10" s="1"/>
  <c r="N827" i="10"/>
  <c r="G827" i="10"/>
  <c r="C827" i="10"/>
  <c r="B827" i="10"/>
  <c r="H827" i="10" s="1"/>
  <c r="N826" i="10"/>
  <c r="H826" i="10"/>
  <c r="G826" i="10"/>
  <c r="C826" i="10"/>
  <c r="B826" i="10"/>
  <c r="N825" i="10"/>
  <c r="I825" i="10"/>
  <c r="G825" i="10"/>
  <c r="E825" i="10"/>
  <c r="C825" i="10"/>
  <c r="B825" i="10"/>
  <c r="H825" i="10" s="1"/>
  <c r="N824" i="10"/>
  <c r="G824" i="10"/>
  <c r="C824" i="10"/>
  <c r="I824" i="10" s="1"/>
  <c r="B824" i="10"/>
  <c r="H824" i="10" s="1"/>
  <c r="N823" i="10"/>
  <c r="G823" i="10"/>
  <c r="C823" i="10"/>
  <c r="B823" i="10"/>
  <c r="H823" i="10" s="1"/>
  <c r="N822" i="10"/>
  <c r="H822" i="10"/>
  <c r="G822" i="10"/>
  <c r="C822" i="10"/>
  <c r="B822" i="10"/>
  <c r="N821" i="10"/>
  <c r="I821" i="10"/>
  <c r="G821" i="10"/>
  <c r="E821" i="10"/>
  <c r="C821" i="10"/>
  <c r="B821" i="10"/>
  <c r="H821" i="10" s="1"/>
  <c r="N820" i="10"/>
  <c r="G820" i="10"/>
  <c r="C820" i="10"/>
  <c r="I820" i="10" s="1"/>
  <c r="B820" i="10"/>
  <c r="H820" i="10" s="1"/>
  <c r="N819" i="10"/>
  <c r="G819" i="10"/>
  <c r="C819" i="10"/>
  <c r="B819" i="10"/>
  <c r="H819" i="10" s="1"/>
  <c r="N818" i="10"/>
  <c r="H818" i="10"/>
  <c r="G818" i="10"/>
  <c r="C818" i="10"/>
  <c r="B818" i="10"/>
  <c r="N817" i="10"/>
  <c r="I817" i="10"/>
  <c r="H817" i="10"/>
  <c r="G817" i="10"/>
  <c r="E817" i="10"/>
  <c r="C817" i="10"/>
  <c r="B817" i="10"/>
  <c r="N816" i="10"/>
  <c r="G816" i="10"/>
  <c r="C816" i="10"/>
  <c r="I816" i="10" s="1"/>
  <c r="B816" i="10"/>
  <c r="H816" i="10" s="1"/>
  <c r="N815" i="10"/>
  <c r="G815" i="10"/>
  <c r="C815" i="10"/>
  <c r="B815" i="10"/>
  <c r="H815" i="10" s="1"/>
  <c r="N814" i="10"/>
  <c r="H814" i="10"/>
  <c r="G814" i="10"/>
  <c r="C814" i="10"/>
  <c r="B814" i="10"/>
  <c r="N813" i="10"/>
  <c r="I813" i="10"/>
  <c r="G813" i="10"/>
  <c r="E813" i="10"/>
  <c r="C813" i="10"/>
  <c r="B813" i="10"/>
  <c r="H813" i="10" s="1"/>
  <c r="N812" i="10"/>
  <c r="G812" i="10"/>
  <c r="C812" i="10"/>
  <c r="I812" i="10" s="1"/>
  <c r="B812" i="10"/>
  <c r="H812" i="10" s="1"/>
  <c r="N811" i="10"/>
  <c r="G811" i="10"/>
  <c r="C811" i="10"/>
  <c r="B811" i="10"/>
  <c r="H811" i="10" s="1"/>
  <c r="N810" i="10"/>
  <c r="H810" i="10"/>
  <c r="G810" i="10"/>
  <c r="C810" i="10"/>
  <c r="B810" i="10"/>
  <c r="N809" i="10"/>
  <c r="I809" i="10"/>
  <c r="G809" i="10"/>
  <c r="E809" i="10"/>
  <c r="C809" i="10"/>
  <c r="B809" i="10"/>
  <c r="H809" i="10" s="1"/>
  <c r="N808" i="10"/>
  <c r="G808" i="10"/>
  <c r="C808" i="10"/>
  <c r="I808" i="10" s="1"/>
  <c r="B808" i="10"/>
  <c r="H808" i="10" s="1"/>
  <c r="N807" i="10"/>
  <c r="G807" i="10"/>
  <c r="C807" i="10"/>
  <c r="B807" i="10"/>
  <c r="H807" i="10" s="1"/>
  <c r="N806" i="10"/>
  <c r="H806" i="10"/>
  <c r="G806" i="10"/>
  <c r="C806" i="10"/>
  <c r="B806" i="10"/>
  <c r="N805" i="10"/>
  <c r="I805" i="10"/>
  <c r="H805" i="10"/>
  <c r="G805" i="10"/>
  <c r="E805" i="10"/>
  <c r="C805" i="10"/>
  <c r="B805" i="10"/>
  <c r="N804" i="10"/>
  <c r="G804" i="10"/>
  <c r="C804" i="10"/>
  <c r="I804" i="10" s="1"/>
  <c r="B804" i="10"/>
  <c r="H804" i="10" s="1"/>
  <c r="N803" i="10"/>
  <c r="G803" i="10"/>
  <c r="C803" i="10"/>
  <c r="B803" i="10"/>
  <c r="H803" i="10" s="1"/>
  <c r="N802" i="10"/>
  <c r="H802" i="10"/>
  <c r="G802" i="10"/>
  <c r="C802" i="10"/>
  <c r="B802" i="10"/>
  <c r="N801" i="10"/>
  <c r="I801" i="10"/>
  <c r="H801" i="10"/>
  <c r="G801" i="10"/>
  <c r="E801" i="10"/>
  <c r="C801" i="10"/>
  <c r="B801" i="10"/>
  <c r="N800" i="10"/>
  <c r="G800" i="10"/>
  <c r="C800" i="10"/>
  <c r="I800" i="10" s="1"/>
  <c r="B800" i="10"/>
  <c r="H800" i="10" s="1"/>
  <c r="N799" i="10"/>
  <c r="G799" i="10"/>
  <c r="C799" i="10"/>
  <c r="B799" i="10"/>
  <c r="H799" i="10" s="1"/>
  <c r="N798" i="10"/>
  <c r="H798" i="10"/>
  <c r="G798" i="10"/>
  <c r="C798" i="10"/>
  <c r="B798" i="10"/>
  <c r="N797" i="10"/>
  <c r="I797" i="10"/>
  <c r="G797" i="10"/>
  <c r="E797" i="10"/>
  <c r="C797" i="10"/>
  <c r="B797" i="10"/>
  <c r="H797" i="10" s="1"/>
  <c r="N796" i="10"/>
  <c r="G796" i="10"/>
  <c r="C796" i="10"/>
  <c r="I796" i="10" s="1"/>
  <c r="B796" i="10"/>
  <c r="H796" i="10" s="1"/>
  <c r="N795" i="10"/>
  <c r="G795" i="10"/>
  <c r="C795" i="10"/>
  <c r="B795" i="10"/>
  <c r="H795" i="10" s="1"/>
  <c r="N794" i="10"/>
  <c r="H794" i="10"/>
  <c r="G794" i="10"/>
  <c r="C794" i="10"/>
  <c r="B794" i="10"/>
  <c r="N793" i="10"/>
  <c r="I793" i="10"/>
  <c r="H793" i="10"/>
  <c r="G793" i="10"/>
  <c r="E793" i="10"/>
  <c r="C793" i="10"/>
  <c r="B793" i="10"/>
  <c r="N792" i="10"/>
  <c r="G792" i="10"/>
  <c r="C792" i="10"/>
  <c r="I792" i="10" s="1"/>
  <c r="B792" i="10"/>
  <c r="H792" i="10" s="1"/>
  <c r="N791" i="10"/>
  <c r="C791" i="10"/>
  <c r="B791" i="10"/>
  <c r="H791" i="10" s="1"/>
  <c r="N790" i="10"/>
  <c r="H790" i="10"/>
  <c r="C790" i="10"/>
  <c r="B790" i="10"/>
  <c r="N789" i="10"/>
  <c r="I789" i="10"/>
  <c r="H789" i="10"/>
  <c r="E789" i="10"/>
  <c r="C789" i="10"/>
  <c r="B789" i="10"/>
  <c r="N788" i="10"/>
  <c r="C788" i="10"/>
  <c r="I788" i="10" s="1"/>
  <c r="B788" i="10"/>
  <c r="H788" i="10" s="1"/>
  <c r="C787" i="10"/>
  <c r="B787" i="10"/>
  <c r="H787" i="10" s="1"/>
  <c r="H786" i="10"/>
  <c r="C786" i="10"/>
  <c r="B786" i="10"/>
  <c r="I785" i="10"/>
  <c r="H785" i="10"/>
  <c r="E785" i="10"/>
  <c r="C785" i="10"/>
  <c r="B785" i="10"/>
  <c r="C784" i="10"/>
  <c r="I784" i="10" s="1"/>
  <c r="B784" i="10"/>
  <c r="H784" i="10" s="1"/>
  <c r="C783" i="10"/>
  <c r="B783" i="10"/>
  <c r="H783" i="10" s="1"/>
  <c r="H782" i="10"/>
  <c r="C782" i="10"/>
  <c r="B782" i="10"/>
  <c r="N781" i="10"/>
  <c r="I781" i="10"/>
  <c r="E781" i="10"/>
  <c r="C781" i="10"/>
  <c r="B781" i="10"/>
  <c r="H781" i="10" s="1"/>
  <c r="N780" i="10"/>
  <c r="C780" i="10"/>
  <c r="I780" i="10" s="1"/>
  <c r="B780" i="10"/>
  <c r="H780" i="10" s="1"/>
  <c r="N779" i="10"/>
  <c r="C779" i="10"/>
  <c r="B779" i="10"/>
  <c r="H779" i="10" s="1"/>
  <c r="N778" i="10"/>
  <c r="H778" i="10"/>
  <c r="C778" i="10"/>
  <c r="B778" i="10"/>
  <c r="N777" i="10"/>
  <c r="I777" i="10"/>
  <c r="E777" i="10"/>
  <c r="C777" i="10"/>
  <c r="B777" i="10"/>
  <c r="H777" i="10" s="1"/>
  <c r="N776" i="10"/>
  <c r="C776" i="10"/>
  <c r="I776" i="10" s="1"/>
  <c r="B776" i="10"/>
  <c r="H776" i="10" s="1"/>
  <c r="N775" i="10"/>
  <c r="C775" i="10"/>
  <c r="B775" i="10"/>
  <c r="H775" i="10" s="1"/>
  <c r="N774" i="10"/>
  <c r="H774" i="10"/>
  <c r="C774" i="10"/>
  <c r="B774" i="10"/>
  <c r="N773" i="10"/>
  <c r="I773" i="10"/>
  <c r="E773" i="10"/>
  <c r="C773" i="10"/>
  <c r="B773" i="10"/>
  <c r="H773" i="10" s="1"/>
  <c r="N772" i="10"/>
  <c r="C772" i="10"/>
  <c r="I772" i="10" s="1"/>
  <c r="B772" i="10"/>
  <c r="H772" i="10" s="1"/>
  <c r="N771" i="10"/>
  <c r="C771" i="10"/>
  <c r="B771" i="10"/>
  <c r="H771" i="10" s="1"/>
  <c r="N770" i="10"/>
  <c r="H770" i="10"/>
  <c r="C770" i="10"/>
  <c r="B770" i="10"/>
  <c r="N769" i="10"/>
  <c r="I769" i="10"/>
  <c r="E769" i="10"/>
  <c r="C769" i="10"/>
  <c r="B769" i="10"/>
  <c r="H769" i="10" s="1"/>
  <c r="N768" i="10"/>
  <c r="C768" i="10"/>
  <c r="I768" i="10" s="1"/>
  <c r="B768" i="10"/>
  <c r="H768" i="10" s="1"/>
  <c r="N767" i="10"/>
  <c r="C767" i="10"/>
  <c r="B767" i="10"/>
  <c r="H767" i="10" s="1"/>
  <c r="N766" i="10"/>
  <c r="H766" i="10"/>
  <c r="C766" i="10"/>
  <c r="B766" i="10"/>
  <c r="N765" i="10"/>
  <c r="I765" i="10"/>
  <c r="E765" i="10"/>
  <c r="C765" i="10"/>
  <c r="B765" i="10"/>
  <c r="H765" i="10" s="1"/>
  <c r="N764" i="10"/>
  <c r="C764" i="10"/>
  <c r="I764" i="10" s="1"/>
  <c r="B764" i="10"/>
  <c r="H764" i="10" s="1"/>
  <c r="N763" i="10"/>
  <c r="C763" i="10"/>
  <c r="B763" i="10"/>
  <c r="H763" i="10" s="1"/>
  <c r="N762" i="10"/>
  <c r="H762" i="10"/>
  <c r="C762" i="10"/>
  <c r="B762" i="10"/>
  <c r="N761" i="10"/>
  <c r="I761" i="10"/>
  <c r="E761" i="10"/>
  <c r="C761" i="10"/>
  <c r="B761" i="10"/>
  <c r="H761" i="10" s="1"/>
  <c r="N760" i="10"/>
  <c r="C760" i="10"/>
  <c r="I760" i="10" s="1"/>
  <c r="B760" i="10"/>
  <c r="H760" i="10" s="1"/>
  <c r="N759" i="10"/>
  <c r="C759" i="10"/>
  <c r="B759" i="10"/>
  <c r="H759" i="10" s="1"/>
  <c r="N758" i="10"/>
  <c r="H758" i="10"/>
  <c r="C758" i="10"/>
  <c r="B758" i="10"/>
  <c r="N757" i="10"/>
  <c r="I757" i="10"/>
  <c r="E757" i="10"/>
  <c r="C757" i="10"/>
  <c r="B757" i="10"/>
  <c r="H757" i="10" s="1"/>
  <c r="N756" i="10"/>
  <c r="C756" i="10"/>
  <c r="I756" i="10" s="1"/>
  <c r="B756" i="10"/>
  <c r="H756" i="10" s="1"/>
  <c r="N755" i="10"/>
  <c r="C755" i="10"/>
  <c r="B755" i="10"/>
  <c r="H755" i="10" s="1"/>
  <c r="N754" i="10"/>
  <c r="H754" i="10"/>
  <c r="C754" i="10"/>
  <c r="B754" i="10"/>
  <c r="N753" i="10"/>
  <c r="I753" i="10"/>
  <c r="E753" i="10"/>
  <c r="C753" i="10"/>
  <c r="B753" i="10"/>
  <c r="H753" i="10" s="1"/>
  <c r="N752" i="10"/>
  <c r="C752" i="10"/>
  <c r="I752" i="10" s="1"/>
  <c r="B752" i="10"/>
  <c r="H752" i="10" s="1"/>
  <c r="N751" i="10"/>
  <c r="C751" i="10"/>
  <c r="B751" i="10"/>
  <c r="H751" i="10" s="1"/>
  <c r="N750" i="10"/>
  <c r="H750" i="10"/>
  <c r="C750" i="10"/>
  <c r="B750" i="10"/>
  <c r="N749" i="10"/>
  <c r="I749" i="10"/>
  <c r="E749" i="10"/>
  <c r="C749" i="10"/>
  <c r="B749" i="10"/>
  <c r="H749" i="10" s="1"/>
  <c r="N748" i="10"/>
  <c r="C748" i="10"/>
  <c r="I748" i="10" s="1"/>
  <c r="B748" i="10"/>
  <c r="H748" i="10" s="1"/>
  <c r="N747" i="10"/>
  <c r="C747" i="10"/>
  <c r="B747" i="10"/>
  <c r="H747" i="10" s="1"/>
  <c r="N746" i="10"/>
  <c r="H746" i="10"/>
  <c r="C746" i="10"/>
  <c r="B746" i="10"/>
  <c r="N745" i="10"/>
  <c r="I745" i="10"/>
  <c r="E745" i="10"/>
  <c r="C745" i="10"/>
  <c r="B745" i="10"/>
  <c r="H745" i="10" s="1"/>
  <c r="N744" i="10"/>
  <c r="C744" i="10"/>
  <c r="I744" i="10" s="1"/>
  <c r="B744" i="10"/>
  <c r="H744" i="10" s="1"/>
  <c r="N743" i="10"/>
  <c r="C743" i="10"/>
  <c r="B743" i="10"/>
  <c r="H743" i="10" s="1"/>
  <c r="N742" i="10"/>
  <c r="H742" i="10"/>
  <c r="C742" i="10"/>
  <c r="B742" i="10"/>
  <c r="N741" i="10"/>
  <c r="I741" i="10"/>
  <c r="E741" i="10"/>
  <c r="C741" i="10"/>
  <c r="B741" i="10"/>
  <c r="H741" i="10" s="1"/>
  <c r="N740" i="10"/>
  <c r="C740" i="10"/>
  <c r="I740" i="10" s="1"/>
  <c r="B740" i="10"/>
  <c r="H740" i="10" s="1"/>
  <c r="N739" i="10"/>
  <c r="C739" i="10"/>
  <c r="B739" i="10"/>
  <c r="H739" i="10" s="1"/>
  <c r="N738" i="10"/>
  <c r="H738" i="10"/>
  <c r="C738" i="10"/>
  <c r="B738" i="10"/>
  <c r="N737" i="10"/>
  <c r="I737" i="10"/>
  <c r="E737" i="10"/>
  <c r="C737" i="10"/>
  <c r="B737" i="10"/>
  <c r="H737" i="10" s="1"/>
  <c r="N736" i="10"/>
  <c r="C736" i="10"/>
  <c r="I736" i="10" s="1"/>
  <c r="B736" i="10"/>
  <c r="H736" i="10" s="1"/>
  <c r="N735" i="10"/>
  <c r="C735" i="10"/>
  <c r="B735" i="10"/>
  <c r="H735" i="10" s="1"/>
  <c r="N734" i="10"/>
  <c r="H734" i="10"/>
  <c r="C734" i="10"/>
  <c r="B734" i="10"/>
  <c r="N733" i="10"/>
  <c r="I733" i="10"/>
  <c r="E733" i="10"/>
  <c r="C733" i="10"/>
  <c r="B733" i="10"/>
  <c r="H733" i="10" s="1"/>
  <c r="N732" i="10"/>
  <c r="C732" i="10"/>
  <c r="I732" i="10" s="1"/>
  <c r="B732" i="10"/>
  <c r="H732" i="10" s="1"/>
  <c r="N731" i="10"/>
  <c r="C731" i="10"/>
  <c r="B731" i="10"/>
  <c r="H731" i="10" s="1"/>
  <c r="N730" i="10"/>
  <c r="H730" i="10"/>
  <c r="C730" i="10"/>
  <c r="B730" i="10"/>
  <c r="N729" i="10"/>
  <c r="I729" i="10"/>
  <c r="E729" i="10"/>
  <c r="C729" i="10"/>
  <c r="B729" i="10"/>
  <c r="H729" i="10" s="1"/>
  <c r="N728" i="10"/>
  <c r="C728" i="10"/>
  <c r="I728" i="10" s="1"/>
  <c r="B728" i="10"/>
  <c r="H728" i="10" s="1"/>
  <c r="N727" i="10"/>
  <c r="C727" i="10"/>
  <c r="B727" i="10"/>
  <c r="H727" i="10" s="1"/>
  <c r="N726" i="10"/>
  <c r="H726" i="10"/>
  <c r="C726" i="10"/>
  <c r="B726" i="10"/>
  <c r="N725" i="10"/>
  <c r="I725" i="10"/>
  <c r="E725" i="10"/>
  <c r="C725" i="10"/>
  <c r="B725" i="10"/>
  <c r="H725" i="10" s="1"/>
  <c r="N724" i="10"/>
  <c r="C724" i="10"/>
  <c r="I724" i="10" s="1"/>
  <c r="B724" i="10"/>
  <c r="H724" i="10" s="1"/>
  <c r="N723" i="10"/>
  <c r="C723" i="10"/>
  <c r="B723" i="10"/>
  <c r="H723" i="10" s="1"/>
  <c r="N722" i="10"/>
  <c r="H722" i="10"/>
  <c r="C722" i="10"/>
  <c r="B722" i="10"/>
  <c r="N721" i="10"/>
  <c r="I721" i="10"/>
  <c r="E721" i="10"/>
  <c r="C721" i="10"/>
  <c r="B721" i="10"/>
  <c r="H721" i="10" s="1"/>
  <c r="N720" i="10"/>
  <c r="C720" i="10"/>
  <c r="I720" i="10" s="1"/>
  <c r="B720" i="10"/>
  <c r="H720" i="10" s="1"/>
  <c r="N719" i="10"/>
  <c r="C719" i="10"/>
  <c r="B719" i="10"/>
  <c r="H719" i="10" s="1"/>
  <c r="N718" i="10"/>
  <c r="H718" i="10"/>
  <c r="C718" i="10"/>
  <c r="B718" i="10"/>
  <c r="N717" i="10"/>
  <c r="I717" i="10"/>
  <c r="E717" i="10"/>
  <c r="C717" i="10"/>
  <c r="B717" i="10"/>
  <c r="H717" i="10" s="1"/>
  <c r="N716" i="10"/>
  <c r="C716" i="10"/>
  <c r="I716" i="10" s="1"/>
  <c r="B716" i="10"/>
  <c r="H716" i="10" s="1"/>
  <c r="N715" i="10"/>
  <c r="C715" i="10"/>
  <c r="B715" i="10"/>
  <c r="H715" i="10" s="1"/>
  <c r="N714" i="10"/>
  <c r="H714" i="10"/>
  <c r="C714" i="10"/>
  <c r="B714" i="10"/>
  <c r="N713" i="10"/>
  <c r="I713" i="10"/>
  <c r="E713" i="10"/>
  <c r="C713" i="10"/>
  <c r="B713" i="10"/>
  <c r="H713" i="10" s="1"/>
  <c r="N712" i="10"/>
  <c r="C712" i="10"/>
  <c r="I712" i="10" s="1"/>
  <c r="B712" i="10"/>
  <c r="H712" i="10" s="1"/>
  <c r="N711" i="10"/>
  <c r="C711" i="10"/>
  <c r="B711" i="10"/>
  <c r="H711" i="10" s="1"/>
  <c r="N710" i="10"/>
  <c r="H710" i="10"/>
  <c r="C710" i="10"/>
  <c r="B710" i="10"/>
  <c r="N709" i="10"/>
  <c r="I709" i="10"/>
  <c r="E709" i="10"/>
  <c r="C709" i="10"/>
  <c r="B709" i="10"/>
  <c r="H709" i="10" s="1"/>
  <c r="N708" i="10"/>
  <c r="C708" i="10"/>
  <c r="I708" i="10" s="1"/>
  <c r="B708" i="10"/>
  <c r="H708" i="10" s="1"/>
  <c r="N707" i="10"/>
  <c r="C707" i="10"/>
  <c r="B707" i="10"/>
  <c r="H707" i="10" s="1"/>
  <c r="N706" i="10"/>
  <c r="H706" i="10"/>
  <c r="C706" i="10"/>
  <c r="B706" i="10"/>
  <c r="N705" i="10"/>
  <c r="I705" i="10"/>
  <c r="E705" i="10"/>
  <c r="C705" i="10"/>
  <c r="B705" i="10"/>
  <c r="H705" i="10" s="1"/>
  <c r="N704" i="10"/>
  <c r="C704" i="10"/>
  <c r="I704" i="10" s="1"/>
  <c r="B704" i="10"/>
  <c r="H704" i="10" s="1"/>
  <c r="N703" i="10"/>
  <c r="C703" i="10"/>
  <c r="B703" i="10"/>
  <c r="H703" i="10" s="1"/>
  <c r="N702" i="10"/>
  <c r="H702" i="10"/>
  <c r="C702" i="10"/>
  <c r="B702" i="10"/>
  <c r="N701" i="10"/>
  <c r="I701" i="10"/>
  <c r="E701" i="10"/>
  <c r="C701" i="10"/>
  <c r="B701" i="10"/>
  <c r="H701" i="10" s="1"/>
  <c r="N700" i="10"/>
  <c r="C700" i="10"/>
  <c r="I700" i="10" s="1"/>
  <c r="B700" i="10"/>
  <c r="H700" i="10" s="1"/>
  <c r="N699" i="10"/>
  <c r="C699" i="10"/>
  <c r="B699" i="10"/>
  <c r="H699" i="10" s="1"/>
  <c r="N698" i="10"/>
  <c r="H698" i="10"/>
  <c r="C698" i="10"/>
  <c r="B698" i="10"/>
  <c r="N697" i="10"/>
  <c r="I697" i="10"/>
  <c r="E697" i="10"/>
  <c r="C697" i="10"/>
  <c r="B697" i="10"/>
  <c r="H697" i="10" s="1"/>
  <c r="N696" i="10"/>
  <c r="C696" i="10"/>
  <c r="I696" i="10" s="1"/>
  <c r="B696" i="10"/>
  <c r="H696" i="10" s="1"/>
  <c r="N695" i="10"/>
  <c r="C695" i="10"/>
  <c r="B695" i="10"/>
  <c r="H695" i="10" s="1"/>
  <c r="N694" i="10"/>
  <c r="H694" i="10"/>
  <c r="C694" i="10"/>
  <c r="B694" i="10"/>
  <c r="N693" i="10"/>
  <c r="I693" i="10"/>
  <c r="E693" i="10"/>
  <c r="C693" i="10"/>
  <c r="B693" i="10"/>
  <c r="H693" i="10" s="1"/>
  <c r="N692" i="10"/>
  <c r="C692" i="10"/>
  <c r="I692" i="10" s="1"/>
  <c r="B692" i="10"/>
  <c r="H692" i="10" s="1"/>
  <c r="N691" i="10"/>
  <c r="C691" i="10"/>
  <c r="B691" i="10"/>
  <c r="H691" i="10" s="1"/>
  <c r="N690" i="10"/>
  <c r="H690" i="10"/>
  <c r="C690" i="10"/>
  <c r="B690" i="10"/>
  <c r="N689" i="10"/>
  <c r="I689" i="10"/>
  <c r="E689" i="10"/>
  <c r="C689" i="10"/>
  <c r="B689" i="10"/>
  <c r="H689" i="10" s="1"/>
  <c r="N688" i="10"/>
  <c r="C688" i="10"/>
  <c r="I688" i="10" s="1"/>
  <c r="B688" i="10"/>
  <c r="H688" i="10" s="1"/>
  <c r="N687" i="10"/>
  <c r="C687" i="10"/>
  <c r="B687" i="10"/>
  <c r="H687" i="10" s="1"/>
  <c r="N686" i="10"/>
  <c r="H686" i="10"/>
  <c r="C686" i="10"/>
  <c r="B686" i="10"/>
  <c r="N685" i="10"/>
  <c r="I685" i="10"/>
  <c r="E685" i="10"/>
  <c r="C685" i="10"/>
  <c r="B685" i="10"/>
  <c r="H685" i="10" s="1"/>
  <c r="N684" i="10"/>
  <c r="C684" i="10"/>
  <c r="I684" i="10" s="1"/>
  <c r="B684" i="10"/>
  <c r="H684" i="10" s="1"/>
  <c r="N683" i="10"/>
  <c r="C683" i="10"/>
  <c r="B683" i="10"/>
  <c r="H683" i="10" s="1"/>
  <c r="N682" i="10"/>
  <c r="H682" i="10"/>
  <c r="C682" i="10"/>
  <c r="B682" i="10"/>
  <c r="N681" i="10"/>
  <c r="I681" i="10"/>
  <c r="E681" i="10"/>
  <c r="C681" i="10"/>
  <c r="B681" i="10"/>
  <c r="H681" i="10" s="1"/>
  <c r="N680" i="10"/>
  <c r="C680" i="10"/>
  <c r="I680" i="10" s="1"/>
  <c r="B680" i="10"/>
  <c r="H680" i="10" s="1"/>
  <c r="N679" i="10"/>
  <c r="C679" i="10"/>
  <c r="B679" i="10"/>
  <c r="H679" i="10" s="1"/>
  <c r="N678" i="10"/>
  <c r="H678" i="10"/>
  <c r="C678" i="10"/>
  <c r="B678" i="10"/>
  <c r="N677" i="10"/>
  <c r="I677" i="10"/>
  <c r="E677" i="10"/>
  <c r="C677" i="10"/>
  <c r="B677" i="10"/>
  <c r="H677" i="10" s="1"/>
  <c r="N676" i="10"/>
  <c r="C676" i="10"/>
  <c r="I676" i="10" s="1"/>
  <c r="B676" i="10"/>
  <c r="H676" i="10" s="1"/>
  <c r="N675" i="10"/>
  <c r="C675" i="10"/>
  <c r="B675" i="10"/>
  <c r="H675" i="10" s="1"/>
  <c r="N674" i="10"/>
  <c r="H674" i="10"/>
  <c r="C674" i="10"/>
  <c r="B674" i="10"/>
  <c r="N673" i="10"/>
  <c r="I673" i="10"/>
  <c r="E673" i="10"/>
  <c r="C673" i="10"/>
  <c r="B673" i="10"/>
  <c r="H673" i="10" s="1"/>
  <c r="N672" i="10"/>
  <c r="C672" i="10"/>
  <c r="I672" i="10" s="1"/>
  <c r="B672" i="10"/>
  <c r="H672" i="10" s="1"/>
  <c r="N671" i="10"/>
  <c r="C671" i="10"/>
  <c r="B671" i="10"/>
  <c r="H671" i="10" s="1"/>
  <c r="N670" i="10"/>
  <c r="H670" i="10"/>
  <c r="C670" i="10"/>
  <c r="B670" i="10"/>
  <c r="N669" i="10"/>
  <c r="I669" i="10"/>
  <c r="E669" i="10"/>
  <c r="C669" i="10"/>
  <c r="B669" i="10"/>
  <c r="H669" i="10" s="1"/>
  <c r="N668" i="10"/>
  <c r="C668" i="10"/>
  <c r="I668" i="10" s="1"/>
  <c r="B668" i="10"/>
  <c r="H668" i="10" s="1"/>
  <c r="N667" i="10"/>
  <c r="C667" i="10"/>
  <c r="B667" i="10"/>
  <c r="H667" i="10" s="1"/>
  <c r="N666" i="10"/>
  <c r="H666" i="10"/>
  <c r="C666" i="10"/>
  <c r="B666" i="10"/>
  <c r="N665" i="10"/>
  <c r="I665" i="10"/>
  <c r="E665" i="10"/>
  <c r="C665" i="10"/>
  <c r="B665" i="10"/>
  <c r="H665" i="10" s="1"/>
  <c r="N664" i="10"/>
  <c r="C664" i="10"/>
  <c r="I664" i="10" s="1"/>
  <c r="B664" i="10"/>
  <c r="H664" i="10" s="1"/>
  <c r="N663" i="10"/>
  <c r="C663" i="10"/>
  <c r="B663" i="10"/>
  <c r="H663" i="10" s="1"/>
  <c r="N662" i="10"/>
  <c r="H662" i="10"/>
  <c r="C662" i="10"/>
  <c r="B662" i="10"/>
  <c r="N661" i="10"/>
  <c r="I661" i="10"/>
  <c r="E661" i="10"/>
  <c r="C661" i="10"/>
  <c r="B661" i="10"/>
  <c r="H661" i="10" s="1"/>
  <c r="N660" i="10"/>
  <c r="C660" i="10"/>
  <c r="I660" i="10" s="1"/>
  <c r="B660" i="10"/>
  <c r="H660" i="10" s="1"/>
  <c r="N659" i="10"/>
  <c r="C659" i="10"/>
  <c r="B659" i="10"/>
  <c r="H659" i="10" s="1"/>
  <c r="N658" i="10"/>
  <c r="H658" i="10"/>
  <c r="C658" i="10"/>
  <c r="B658" i="10"/>
  <c r="N657" i="10"/>
  <c r="I657" i="10"/>
  <c r="E657" i="10"/>
  <c r="C657" i="10"/>
  <c r="B657" i="10"/>
  <c r="H657" i="10" s="1"/>
  <c r="N656" i="10"/>
  <c r="C656" i="10"/>
  <c r="I656" i="10" s="1"/>
  <c r="B656" i="10"/>
  <c r="H656" i="10" s="1"/>
  <c r="N655" i="10"/>
  <c r="C655" i="10"/>
  <c r="B655" i="10"/>
  <c r="H655" i="10" s="1"/>
  <c r="N654" i="10"/>
  <c r="H654" i="10"/>
  <c r="C654" i="10"/>
  <c r="B654" i="10"/>
  <c r="N653" i="10"/>
  <c r="I653" i="10"/>
  <c r="E653" i="10"/>
  <c r="C653" i="10"/>
  <c r="B653" i="10"/>
  <c r="H653" i="10" s="1"/>
  <c r="N652" i="10"/>
  <c r="C652" i="10"/>
  <c r="I652" i="10" s="1"/>
  <c r="B652" i="10"/>
  <c r="H652" i="10" s="1"/>
  <c r="N651" i="10"/>
  <c r="C651" i="10"/>
  <c r="B651" i="10"/>
  <c r="H651" i="10" s="1"/>
  <c r="N650" i="10"/>
  <c r="H650" i="10"/>
  <c r="C650" i="10"/>
  <c r="B650" i="10"/>
  <c r="N649" i="10"/>
  <c r="I649" i="10"/>
  <c r="E649" i="10"/>
  <c r="C649" i="10"/>
  <c r="B649" i="10"/>
  <c r="H649" i="10" s="1"/>
  <c r="N648" i="10"/>
  <c r="C648" i="10"/>
  <c r="I648" i="10" s="1"/>
  <c r="B648" i="10"/>
  <c r="H648" i="10" s="1"/>
  <c r="N647" i="10"/>
  <c r="C647" i="10"/>
  <c r="B647" i="10"/>
  <c r="H647" i="10" s="1"/>
  <c r="N646" i="10"/>
  <c r="H646" i="10"/>
  <c r="C646" i="10"/>
  <c r="B646" i="10"/>
  <c r="N645" i="10"/>
  <c r="I645" i="10"/>
  <c r="E645" i="10"/>
  <c r="C645" i="10"/>
  <c r="B645" i="10"/>
  <c r="H645" i="10" s="1"/>
  <c r="N644" i="10"/>
  <c r="C644" i="10"/>
  <c r="I644" i="10" s="1"/>
  <c r="B644" i="10"/>
  <c r="H644" i="10" s="1"/>
  <c r="N643" i="10"/>
  <c r="C643" i="10"/>
  <c r="B643" i="10"/>
  <c r="H643" i="10" s="1"/>
  <c r="N642" i="10"/>
  <c r="H642" i="10"/>
  <c r="C642" i="10"/>
  <c r="B642" i="10"/>
  <c r="N641" i="10"/>
  <c r="I641" i="10"/>
  <c r="E641" i="10"/>
  <c r="C641" i="10"/>
  <c r="B641" i="10"/>
  <c r="H641" i="10" s="1"/>
  <c r="N640" i="10"/>
  <c r="C640" i="10"/>
  <c r="I640" i="10" s="1"/>
  <c r="B640" i="10"/>
  <c r="H640" i="10" s="1"/>
  <c r="N639" i="10"/>
  <c r="C639" i="10"/>
  <c r="B639" i="10"/>
  <c r="H639" i="10" s="1"/>
  <c r="N638" i="10"/>
  <c r="H638" i="10"/>
  <c r="C638" i="10"/>
  <c r="B638" i="10"/>
  <c r="N637" i="10"/>
  <c r="I637" i="10"/>
  <c r="E637" i="10"/>
  <c r="C637" i="10"/>
  <c r="B637" i="10"/>
  <c r="H637" i="10" s="1"/>
  <c r="N636" i="10"/>
  <c r="C636" i="10"/>
  <c r="I636" i="10" s="1"/>
  <c r="B636" i="10"/>
  <c r="H636" i="10" s="1"/>
  <c r="N635" i="10"/>
  <c r="C635" i="10"/>
  <c r="B635" i="10"/>
  <c r="H635" i="10" s="1"/>
  <c r="N634" i="10"/>
  <c r="H634" i="10"/>
  <c r="C634" i="10"/>
  <c r="B634" i="10"/>
  <c r="N633" i="10"/>
  <c r="I633" i="10"/>
  <c r="E633" i="10"/>
  <c r="C633" i="10"/>
  <c r="B633" i="10"/>
  <c r="H633" i="10" s="1"/>
  <c r="N632" i="10"/>
  <c r="C632" i="10"/>
  <c r="I632" i="10" s="1"/>
  <c r="B632" i="10"/>
  <c r="H632" i="10" s="1"/>
  <c r="N631" i="10"/>
  <c r="C631" i="10"/>
  <c r="B631" i="10"/>
  <c r="H631" i="10" s="1"/>
  <c r="N630" i="10"/>
  <c r="H630" i="10"/>
  <c r="C630" i="10"/>
  <c r="B630" i="10"/>
  <c r="N629" i="10"/>
  <c r="I629" i="10"/>
  <c r="E629" i="10"/>
  <c r="C629" i="10"/>
  <c r="B629" i="10"/>
  <c r="H629" i="10" s="1"/>
  <c r="N628" i="10"/>
  <c r="C628" i="10"/>
  <c r="I628" i="10" s="1"/>
  <c r="B628" i="10"/>
  <c r="H628" i="10" s="1"/>
  <c r="N627" i="10"/>
  <c r="C627" i="10"/>
  <c r="B627" i="10"/>
  <c r="H627" i="10" s="1"/>
  <c r="N626" i="10"/>
  <c r="H626" i="10"/>
  <c r="C626" i="10"/>
  <c r="B626" i="10"/>
  <c r="N625" i="10"/>
  <c r="I625" i="10"/>
  <c r="E625" i="10"/>
  <c r="C625" i="10"/>
  <c r="B625" i="10"/>
  <c r="H625" i="10" s="1"/>
  <c r="N624" i="10"/>
  <c r="C624" i="10"/>
  <c r="I624" i="10" s="1"/>
  <c r="B624" i="10"/>
  <c r="H624" i="10" s="1"/>
  <c r="N623" i="10"/>
  <c r="C623" i="10"/>
  <c r="B623" i="10"/>
  <c r="H623" i="10" s="1"/>
  <c r="N622" i="10"/>
  <c r="H622" i="10"/>
  <c r="C622" i="10"/>
  <c r="B622" i="10"/>
  <c r="N621" i="10"/>
  <c r="I621" i="10"/>
  <c r="E621" i="10"/>
  <c r="C621" i="10"/>
  <c r="B621" i="10"/>
  <c r="H621" i="10" s="1"/>
  <c r="N620" i="10"/>
  <c r="C620" i="10"/>
  <c r="I620" i="10" s="1"/>
  <c r="B620" i="10"/>
  <c r="H620" i="10" s="1"/>
  <c r="N619" i="10"/>
  <c r="C619" i="10"/>
  <c r="B619" i="10"/>
  <c r="H619" i="10" s="1"/>
  <c r="N618" i="10"/>
  <c r="H618" i="10"/>
  <c r="C618" i="10"/>
  <c r="B618" i="10"/>
  <c r="N617" i="10"/>
  <c r="I617" i="10"/>
  <c r="E617" i="10"/>
  <c r="C617" i="10"/>
  <c r="B617" i="10"/>
  <c r="H617" i="10" s="1"/>
  <c r="N616" i="10"/>
  <c r="C616" i="10"/>
  <c r="I616" i="10" s="1"/>
  <c r="B616" i="10"/>
  <c r="H616" i="10" s="1"/>
  <c r="N615" i="10"/>
  <c r="C615" i="10"/>
  <c r="B615" i="10"/>
  <c r="H615" i="10" s="1"/>
  <c r="N614" i="10"/>
  <c r="H614" i="10"/>
  <c r="C614" i="10"/>
  <c r="B614" i="10"/>
  <c r="N613" i="10"/>
  <c r="I613" i="10"/>
  <c r="E613" i="10"/>
  <c r="C613" i="10"/>
  <c r="B613" i="10"/>
  <c r="H613" i="10" s="1"/>
  <c r="N612" i="10"/>
  <c r="C612" i="10"/>
  <c r="I612" i="10" s="1"/>
  <c r="B612" i="10"/>
  <c r="H612" i="10" s="1"/>
  <c r="N611" i="10"/>
  <c r="C611" i="10"/>
  <c r="B611" i="10"/>
  <c r="H611" i="10" s="1"/>
  <c r="N610" i="10"/>
  <c r="H610" i="10"/>
  <c r="C610" i="10"/>
  <c r="B610" i="10"/>
  <c r="N609" i="10"/>
  <c r="I609" i="10"/>
  <c r="E609" i="10"/>
  <c r="C609" i="10"/>
  <c r="B609" i="10"/>
  <c r="H609" i="10" s="1"/>
  <c r="N608" i="10"/>
  <c r="C608" i="10"/>
  <c r="I608" i="10" s="1"/>
  <c r="B608" i="10"/>
  <c r="H608" i="10" s="1"/>
  <c r="N607" i="10"/>
  <c r="C607" i="10"/>
  <c r="B607" i="10"/>
  <c r="H607" i="10" s="1"/>
  <c r="N606" i="10"/>
  <c r="H606" i="10"/>
  <c r="C606" i="10"/>
  <c r="B606" i="10"/>
  <c r="N605" i="10"/>
  <c r="I605" i="10"/>
  <c r="E605" i="10"/>
  <c r="C605" i="10"/>
  <c r="B605" i="10"/>
  <c r="H605" i="10" s="1"/>
  <c r="N604" i="10"/>
  <c r="C604" i="10"/>
  <c r="I604" i="10" s="1"/>
  <c r="B604" i="10"/>
  <c r="H604" i="10" s="1"/>
  <c r="N603" i="10"/>
  <c r="C603" i="10"/>
  <c r="B603" i="10"/>
  <c r="H603" i="10" s="1"/>
  <c r="N602" i="10"/>
  <c r="H602" i="10"/>
  <c r="C602" i="10"/>
  <c r="B602" i="10"/>
  <c r="N601" i="10"/>
  <c r="I601" i="10"/>
  <c r="E601" i="10"/>
  <c r="C601" i="10"/>
  <c r="B601" i="10"/>
  <c r="H601" i="10" s="1"/>
  <c r="N600" i="10"/>
  <c r="C600" i="10"/>
  <c r="I600" i="10" s="1"/>
  <c r="B600" i="10"/>
  <c r="H600" i="10" s="1"/>
  <c r="N599" i="10"/>
  <c r="C599" i="10"/>
  <c r="B599" i="10"/>
  <c r="H599" i="10" s="1"/>
  <c r="N598" i="10"/>
  <c r="H598" i="10"/>
  <c r="C598" i="10"/>
  <c r="B598" i="10"/>
  <c r="N597" i="10"/>
  <c r="I597" i="10"/>
  <c r="E597" i="10"/>
  <c r="C597" i="10"/>
  <c r="B597" i="10"/>
  <c r="H597" i="10" s="1"/>
  <c r="N596" i="10"/>
  <c r="C596" i="10"/>
  <c r="I596" i="10" s="1"/>
  <c r="B596" i="10"/>
  <c r="H596" i="10" s="1"/>
  <c r="N595" i="10"/>
  <c r="C595" i="10"/>
  <c r="B595" i="10"/>
  <c r="H595" i="10" s="1"/>
  <c r="N594" i="10"/>
  <c r="H594" i="10"/>
  <c r="C594" i="10"/>
  <c r="B594" i="10"/>
  <c r="N593" i="10"/>
  <c r="I593" i="10"/>
  <c r="E593" i="10"/>
  <c r="C593" i="10"/>
  <c r="B593" i="10"/>
  <c r="H593" i="10" s="1"/>
  <c r="N592" i="10"/>
  <c r="C592" i="10"/>
  <c r="I592" i="10" s="1"/>
  <c r="B592" i="10"/>
  <c r="H592" i="10" s="1"/>
  <c r="N591" i="10"/>
  <c r="C591" i="10"/>
  <c r="B591" i="10"/>
  <c r="H591" i="10" s="1"/>
  <c r="N590" i="10"/>
  <c r="H590" i="10"/>
  <c r="C590" i="10"/>
  <c r="B590" i="10"/>
  <c r="N589" i="10"/>
  <c r="I589" i="10"/>
  <c r="E589" i="10"/>
  <c r="C589" i="10"/>
  <c r="B589" i="10"/>
  <c r="H589" i="10" s="1"/>
  <c r="N588" i="10"/>
  <c r="C588" i="10"/>
  <c r="I588" i="10" s="1"/>
  <c r="B588" i="10"/>
  <c r="H588" i="10" s="1"/>
  <c r="N587" i="10"/>
  <c r="C587" i="10"/>
  <c r="B587" i="10"/>
  <c r="H587" i="10" s="1"/>
  <c r="N586" i="10"/>
  <c r="H586" i="10"/>
  <c r="C586" i="10"/>
  <c r="B586" i="10"/>
  <c r="N585" i="10"/>
  <c r="I585" i="10"/>
  <c r="E585" i="10"/>
  <c r="C585" i="10"/>
  <c r="B585" i="10"/>
  <c r="H585" i="10" s="1"/>
  <c r="N584" i="10"/>
  <c r="C584" i="10"/>
  <c r="I584" i="10" s="1"/>
  <c r="B584" i="10"/>
  <c r="H584" i="10" s="1"/>
  <c r="N583" i="10"/>
  <c r="C583" i="10"/>
  <c r="B583" i="10"/>
  <c r="H583" i="10" s="1"/>
  <c r="N582" i="10"/>
  <c r="H582" i="10"/>
  <c r="C582" i="10"/>
  <c r="B582" i="10"/>
  <c r="N581" i="10"/>
  <c r="I581" i="10"/>
  <c r="E581" i="10"/>
  <c r="C581" i="10"/>
  <c r="B581" i="10"/>
  <c r="H581" i="10" s="1"/>
  <c r="N580" i="10"/>
  <c r="C580" i="10"/>
  <c r="I580" i="10" s="1"/>
  <c r="B580" i="10"/>
  <c r="H580" i="10" s="1"/>
  <c r="N579" i="10"/>
  <c r="C579" i="10"/>
  <c r="B579" i="10"/>
  <c r="H579" i="10" s="1"/>
  <c r="N578" i="10"/>
  <c r="H578" i="10"/>
  <c r="C578" i="10"/>
  <c r="B578" i="10"/>
  <c r="N577" i="10"/>
  <c r="I577" i="10"/>
  <c r="E577" i="10"/>
  <c r="C577" i="10"/>
  <c r="B577" i="10"/>
  <c r="H577" i="10" s="1"/>
  <c r="N576" i="10"/>
  <c r="C576" i="10"/>
  <c r="I576" i="10" s="1"/>
  <c r="B576" i="10"/>
  <c r="H576" i="10" s="1"/>
  <c r="N575" i="10"/>
  <c r="C575" i="10"/>
  <c r="B575" i="10"/>
  <c r="H575" i="10" s="1"/>
  <c r="N574" i="10"/>
  <c r="H574" i="10"/>
  <c r="C574" i="10"/>
  <c r="B574" i="10"/>
  <c r="N573" i="10"/>
  <c r="I573" i="10"/>
  <c r="E573" i="10"/>
  <c r="C573" i="10"/>
  <c r="B573" i="10"/>
  <c r="H573" i="10" s="1"/>
  <c r="N572" i="10"/>
  <c r="C572" i="10"/>
  <c r="I572" i="10" s="1"/>
  <c r="B572" i="10"/>
  <c r="H572" i="10" s="1"/>
  <c r="N571" i="10"/>
  <c r="C571" i="10"/>
  <c r="B571" i="10"/>
  <c r="H571" i="10" s="1"/>
  <c r="N570" i="10"/>
  <c r="H570" i="10"/>
  <c r="C570" i="10"/>
  <c r="B570" i="10"/>
  <c r="N569" i="10"/>
  <c r="I569" i="10"/>
  <c r="E569" i="10"/>
  <c r="C569" i="10"/>
  <c r="B569" i="10"/>
  <c r="H569" i="10" s="1"/>
  <c r="N568" i="10"/>
  <c r="C568" i="10"/>
  <c r="I568" i="10" s="1"/>
  <c r="B568" i="10"/>
  <c r="H568" i="10" s="1"/>
  <c r="N567" i="10"/>
  <c r="C567" i="10"/>
  <c r="B567" i="10"/>
  <c r="H567" i="10" s="1"/>
  <c r="N566" i="10"/>
  <c r="H566" i="10"/>
  <c r="C566" i="10"/>
  <c r="B566" i="10"/>
  <c r="N565" i="10"/>
  <c r="I565" i="10"/>
  <c r="E565" i="10"/>
  <c r="C565" i="10"/>
  <c r="B565" i="10"/>
  <c r="H565" i="10" s="1"/>
  <c r="N564" i="10"/>
  <c r="C564" i="10"/>
  <c r="I564" i="10" s="1"/>
  <c r="B564" i="10"/>
  <c r="H564" i="10" s="1"/>
  <c r="N563" i="10"/>
  <c r="C563" i="10"/>
  <c r="B563" i="10"/>
  <c r="H563" i="10" s="1"/>
  <c r="N562" i="10"/>
  <c r="H562" i="10"/>
  <c r="C562" i="10"/>
  <c r="B562" i="10"/>
  <c r="N561" i="10"/>
  <c r="I561" i="10"/>
  <c r="E561" i="10"/>
  <c r="C561" i="10"/>
  <c r="B561" i="10"/>
  <c r="H561" i="10" s="1"/>
  <c r="N560" i="10"/>
  <c r="C560" i="10"/>
  <c r="I560" i="10" s="1"/>
  <c r="B560" i="10"/>
  <c r="H560" i="10" s="1"/>
  <c r="N559" i="10"/>
  <c r="C559" i="10"/>
  <c r="B559" i="10"/>
  <c r="H559" i="10" s="1"/>
  <c r="N558" i="10"/>
  <c r="H558" i="10"/>
  <c r="C558" i="10"/>
  <c r="B558" i="10"/>
  <c r="N557" i="10"/>
  <c r="I557" i="10"/>
  <c r="E557" i="10"/>
  <c r="C557" i="10"/>
  <c r="B557" i="10"/>
  <c r="H557" i="10" s="1"/>
  <c r="N556" i="10"/>
  <c r="C556" i="10"/>
  <c r="I556" i="10" s="1"/>
  <c r="B556" i="10"/>
  <c r="H556" i="10" s="1"/>
  <c r="N555" i="10"/>
  <c r="C555" i="10"/>
  <c r="B555" i="10"/>
  <c r="H555" i="10" s="1"/>
  <c r="N554" i="10"/>
  <c r="H554" i="10"/>
  <c r="C554" i="10"/>
  <c r="B554" i="10"/>
  <c r="N553" i="10"/>
  <c r="I553" i="10"/>
  <c r="E553" i="10"/>
  <c r="C553" i="10"/>
  <c r="B553" i="10"/>
  <c r="H553" i="10" s="1"/>
  <c r="N552" i="10"/>
  <c r="C552" i="10"/>
  <c r="I552" i="10" s="1"/>
  <c r="B552" i="10"/>
  <c r="H552" i="10" s="1"/>
  <c r="N551" i="10"/>
  <c r="C551" i="10"/>
  <c r="B551" i="10"/>
  <c r="H551" i="10" s="1"/>
  <c r="N550" i="10"/>
  <c r="H550" i="10"/>
  <c r="C550" i="10"/>
  <c r="B550" i="10"/>
  <c r="N549" i="10"/>
  <c r="I549" i="10"/>
  <c r="E549" i="10"/>
  <c r="C549" i="10"/>
  <c r="B549" i="10"/>
  <c r="H549" i="10" s="1"/>
  <c r="N548" i="10"/>
  <c r="C548" i="10"/>
  <c r="I548" i="10" s="1"/>
  <c r="B548" i="10"/>
  <c r="H548" i="10" s="1"/>
  <c r="N547" i="10"/>
  <c r="C547" i="10"/>
  <c r="B547" i="10"/>
  <c r="H547" i="10" s="1"/>
  <c r="N546" i="10"/>
  <c r="H546" i="10"/>
  <c r="C546" i="10"/>
  <c r="B546" i="10"/>
  <c r="N545" i="10"/>
  <c r="I545" i="10"/>
  <c r="E545" i="10"/>
  <c r="C545" i="10"/>
  <c r="B545" i="10"/>
  <c r="H545" i="10" s="1"/>
  <c r="N544" i="10"/>
  <c r="C544" i="10"/>
  <c r="I544" i="10" s="1"/>
  <c r="B544" i="10"/>
  <c r="H544" i="10" s="1"/>
  <c r="N543" i="10"/>
  <c r="C543" i="10"/>
  <c r="B543" i="10"/>
  <c r="H543" i="10" s="1"/>
  <c r="N542" i="10"/>
  <c r="H542" i="10"/>
  <c r="C542" i="10"/>
  <c r="B542" i="10"/>
  <c r="N541" i="10"/>
  <c r="I541" i="10"/>
  <c r="E541" i="10"/>
  <c r="C541" i="10"/>
  <c r="B541" i="10"/>
  <c r="H541" i="10" s="1"/>
  <c r="N540" i="10"/>
  <c r="C540" i="10"/>
  <c r="I540" i="10" s="1"/>
  <c r="B540" i="10"/>
  <c r="H540" i="10" s="1"/>
  <c r="N539" i="10"/>
  <c r="C539" i="10"/>
  <c r="B539" i="10"/>
  <c r="H539" i="10" s="1"/>
  <c r="N538" i="10"/>
  <c r="H538" i="10"/>
  <c r="C538" i="10"/>
  <c r="B538" i="10"/>
  <c r="N537" i="10"/>
  <c r="I537" i="10"/>
  <c r="E537" i="10"/>
  <c r="C537" i="10"/>
  <c r="B537" i="10"/>
  <c r="H537" i="10" s="1"/>
  <c r="N536" i="10"/>
  <c r="C536" i="10"/>
  <c r="I536" i="10" s="1"/>
  <c r="B536" i="10"/>
  <c r="H536" i="10" s="1"/>
  <c r="N535" i="10"/>
  <c r="C535" i="10"/>
  <c r="B535" i="10"/>
  <c r="H535" i="10" s="1"/>
  <c r="N534" i="10"/>
  <c r="H534" i="10"/>
  <c r="C534" i="10"/>
  <c r="B534" i="10"/>
  <c r="N533" i="10"/>
  <c r="I533" i="10"/>
  <c r="H533" i="10"/>
  <c r="E533" i="10"/>
  <c r="C533" i="10"/>
  <c r="B533" i="10"/>
  <c r="N532" i="10"/>
  <c r="C532" i="10"/>
  <c r="I532" i="10" s="1"/>
  <c r="B532" i="10"/>
  <c r="H532" i="10" s="1"/>
  <c r="N531" i="10"/>
  <c r="C531" i="10"/>
  <c r="B531" i="10"/>
  <c r="H531" i="10" s="1"/>
  <c r="N530" i="10"/>
  <c r="H530" i="10"/>
  <c r="C530" i="10"/>
  <c r="B530" i="10"/>
  <c r="N529" i="10"/>
  <c r="I529" i="10"/>
  <c r="H529" i="10"/>
  <c r="E529" i="10"/>
  <c r="C529" i="10"/>
  <c r="B529" i="10"/>
  <c r="N528" i="10"/>
  <c r="C528" i="10"/>
  <c r="I528" i="10" s="1"/>
  <c r="B528" i="10"/>
  <c r="H528" i="10" s="1"/>
  <c r="N527" i="10"/>
  <c r="C527" i="10"/>
  <c r="B527" i="10"/>
  <c r="H527" i="10" s="1"/>
  <c r="N526" i="10"/>
  <c r="H526" i="10"/>
  <c r="C526" i="10"/>
  <c r="B526" i="10"/>
  <c r="N525" i="10"/>
  <c r="I525" i="10"/>
  <c r="H525" i="10"/>
  <c r="E525" i="10"/>
  <c r="C525" i="10"/>
  <c r="B525" i="10"/>
  <c r="N524" i="10"/>
  <c r="C524" i="10"/>
  <c r="I524" i="10" s="1"/>
  <c r="B524" i="10"/>
  <c r="H524" i="10" s="1"/>
  <c r="N523" i="10"/>
  <c r="C523" i="10"/>
  <c r="B523" i="10"/>
  <c r="H523" i="10" s="1"/>
  <c r="N522" i="10"/>
  <c r="H522" i="10"/>
  <c r="C522" i="10"/>
  <c r="B522" i="10"/>
  <c r="N521" i="10"/>
  <c r="I521" i="10"/>
  <c r="E521" i="10"/>
  <c r="C521" i="10"/>
  <c r="B521" i="10"/>
  <c r="H521" i="10" s="1"/>
  <c r="N520" i="10"/>
  <c r="C520" i="10"/>
  <c r="I520" i="10" s="1"/>
  <c r="B520" i="10"/>
  <c r="H520" i="10" s="1"/>
  <c r="N519" i="10"/>
  <c r="C519" i="10"/>
  <c r="B519" i="10"/>
  <c r="H519" i="10" s="1"/>
  <c r="N518" i="10"/>
  <c r="H518" i="10"/>
  <c r="C518" i="10"/>
  <c r="B518" i="10"/>
  <c r="N517" i="10"/>
  <c r="I517" i="10"/>
  <c r="H517" i="10"/>
  <c r="E517" i="10"/>
  <c r="C517" i="10"/>
  <c r="B517" i="10"/>
  <c r="N516" i="10"/>
  <c r="C516" i="10"/>
  <c r="I516" i="10" s="1"/>
  <c r="B516" i="10"/>
  <c r="H516" i="10" s="1"/>
  <c r="N515" i="10"/>
  <c r="C515" i="10"/>
  <c r="B515" i="10"/>
  <c r="H515" i="10" s="1"/>
  <c r="N514" i="10"/>
  <c r="H514" i="10"/>
  <c r="C514" i="10"/>
  <c r="B514" i="10"/>
  <c r="N513" i="10"/>
  <c r="I513" i="10"/>
  <c r="H513" i="10"/>
  <c r="E513" i="10"/>
  <c r="C513" i="10"/>
  <c r="B513" i="10"/>
  <c r="N512" i="10"/>
  <c r="C512" i="10"/>
  <c r="I512" i="10" s="1"/>
  <c r="B512" i="10"/>
  <c r="H512" i="10" s="1"/>
  <c r="N511" i="10"/>
  <c r="C511" i="10"/>
  <c r="B511" i="10"/>
  <c r="H511" i="10" s="1"/>
  <c r="N510" i="10"/>
  <c r="H510" i="10"/>
  <c r="C510" i="10"/>
  <c r="B510" i="10"/>
  <c r="N509" i="10"/>
  <c r="I509" i="10"/>
  <c r="H509" i="10"/>
  <c r="E509" i="10"/>
  <c r="C509" i="10"/>
  <c r="B509" i="10"/>
  <c r="N508" i="10"/>
  <c r="I508" i="10"/>
  <c r="E508" i="10"/>
  <c r="C508" i="10"/>
  <c r="B508" i="10"/>
  <c r="H508" i="10" s="1"/>
  <c r="N507" i="10"/>
  <c r="C507" i="10"/>
  <c r="B507" i="10"/>
  <c r="H507" i="10" s="1"/>
  <c r="N506" i="10"/>
  <c r="H506" i="10"/>
  <c r="C506" i="10"/>
  <c r="B506" i="10"/>
  <c r="N505" i="10"/>
  <c r="I505" i="10"/>
  <c r="H505" i="10"/>
  <c r="E505" i="10"/>
  <c r="C505" i="10"/>
  <c r="B505" i="10"/>
  <c r="N504" i="10"/>
  <c r="I504" i="10"/>
  <c r="E504" i="10"/>
  <c r="C504" i="10"/>
  <c r="B504" i="10"/>
  <c r="H504" i="10" s="1"/>
  <c r="N503" i="10"/>
  <c r="C503" i="10"/>
  <c r="B503" i="10"/>
  <c r="H503" i="10" s="1"/>
  <c r="N502" i="10"/>
  <c r="H502" i="10"/>
  <c r="C502" i="10"/>
  <c r="B502" i="10"/>
  <c r="N501" i="10"/>
  <c r="I501" i="10"/>
  <c r="H501" i="10"/>
  <c r="E501" i="10"/>
  <c r="C501" i="10"/>
  <c r="B501" i="10"/>
  <c r="N500" i="10"/>
  <c r="I500" i="10"/>
  <c r="E500" i="10"/>
  <c r="C500" i="10"/>
  <c r="B500" i="10"/>
  <c r="H500" i="10" s="1"/>
  <c r="N499" i="10"/>
  <c r="C499" i="10"/>
  <c r="B499" i="10"/>
  <c r="H499" i="10" s="1"/>
  <c r="N498" i="10"/>
  <c r="H498" i="10"/>
  <c r="C498" i="10"/>
  <c r="B498" i="10"/>
  <c r="N497" i="10"/>
  <c r="I497" i="10"/>
  <c r="H497" i="10"/>
  <c r="E497" i="10"/>
  <c r="C497" i="10"/>
  <c r="B497" i="10"/>
  <c r="N496" i="10"/>
  <c r="I496" i="10"/>
  <c r="E496" i="10"/>
  <c r="C496" i="10"/>
  <c r="B496" i="10"/>
  <c r="H496" i="10" s="1"/>
  <c r="N495" i="10"/>
  <c r="C495" i="10"/>
  <c r="B495" i="10"/>
  <c r="H495" i="10" s="1"/>
  <c r="N494" i="10"/>
  <c r="H494" i="10"/>
  <c r="C494" i="10"/>
  <c r="B494" i="10"/>
  <c r="N493" i="10"/>
  <c r="I493" i="10"/>
  <c r="H493" i="10"/>
  <c r="E493" i="10"/>
  <c r="C493" i="10"/>
  <c r="B493" i="10"/>
  <c r="N492" i="10"/>
  <c r="I492" i="10"/>
  <c r="E492" i="10"/>
  <c r="C492" i="10"/>
  <c r="B492" i="10"/>
  <c r="H492" i="10" s="1"/>
  <c r="N491" i="10"/>
  <c r="C491" i="10"/>
  <c r="B491" i="10"/>
  <c r="H491" i="10" s="1"/>
  <c r="N490" i="10"/>
  <c r="H490" i="10"/>
  <c r="C490" i="10"/>
  <c r="B490" i="10"/>
  <c r="N489" i="10"/>
  <c r="I489" i="10"/>
  <c r="H489" i="10"/>
  <c r="E489" i="10"/>
  <c r="C489" i="10"/>
  <c r="B489" i="10"/>
  <c r="N488" i="10"/>
  <c r="I488" i="10"/>
  <c r="E488" i="10"/>
  <c r="C488" i="10"/>
  <c r="B488" i="10"/>
  <c r="H488" i="10" s="1"/>
  <c r="N487" i="10"/>
  <c r="C487" i="10"/>
  <c r="B487" i="10"/>
  <c r="H487" i="10" s="1"/>
  <c r="N486" i="10"/>
  <c r="H486" i="10"/>
  <c r="C486" i="10"/>
  <c r="B486" i="10"/>
  <c r="N485" i="10"/>
  <c r="I485" i="10"/>
  <c r="H485" i="10"/>
  <c r="E485" i="10"/>
  <c r="C485" i="10"/>
  <c r="B485" i="10"/>
  <c r="N484" i="10"/>
  <c r="I484" i="10"/>
  <c r="E484" i="10"/>
  <c r="C484" i="10"/>
  <c r="B484" i="10"/>
  <c r="H484" i="10" s="1"/>
  <c r="N483" i="10"/>
  <c r="C483" i="10"/>
  <c r="B483" i="10"/>
  <c r="H483" i="10" s="1"/>
  <c r="N482" i="10"/>
  <c r="H482" i="10"/>
  <c r="C482" i="10"/>
  <c r="B482" i="10"/>
  <c r="N481" i="10"/>
  <c r="I481" i="10"/>
  <c r="H481" i="10"/>
  <c r="E481" i="10"/>
  <c r="C481" i="10"/>
  <c r="B481" i="10"/>
  <c r="N480" i="10"/>
  <c r="I480" i="10"/>
  <c r="E480" i="10"/>
  <c r="C480" i="10"/>
  <c r="B480" i="10"/>
  <c r="H480" i="10" s="1"/>
  <c r="N479" i="10"/>
  <c r="C479" i="10"/>
  <c r="B479" i="10"/>
  <c r="H479" i="10" s="1"/>
  <c r="N478" i="10"/>
  <c r="H478" i="10"/>
  <c r="C478" i="10"/>
  <c r="B478" i="10"/>
  <c r="N477" i="10"/>
  <c r="I477" i="10"/>
  <c r="H477" i="10"/>
  <c r="E477" i="10"/>
  <c r="C477" i="10"/>
  <c r="B477" i="10"/>
  <c r="N476" i="10"/>
  <c r="I476" i="10"/>
  <c r="E476" i="10"/>
  <c r="C476" i="10"/>
  <c r="B476" i="10"/>
  <c r="H476" i="10" s="1"/>
  <c r="N475" i="10"/>
  <c r="C475" i="10"/>
  <c r="B475" i="10"/>
  <c r="H475" i="10" s="1"/>
  <c r="N474" i="10"/>
  <c r="H474" i="10"/>
  <c r="C474" i="10"/>
  <c r="B474" i="10"/>
  <c r="N473" i="10"/>
  <c r="I473" i="10"/>
  <c r="H473" i="10"/>
  <c r="E473" i="10"/>
  <c r="C473" i="10"/>
  <c r="B473" i="10"/>
  <c r="N472" i="10"/>
  <c r="I472" i="10"/>
  <c r="E472" i="10"/>
  <c r="C472" i="10"/>
  <c r="B472" i="10"/>
  <c r="H472" i="10" s="1"/>
  <c r="N471" i="10"/>
  <c r="C471" i="10"/>
  <c r="B471" i="10"/>
  <c r="H471" i="10" s="1"/>
  <c r="N470" i="10"/>
  <c r="H470" i="10"/>
  <c r="C470" i="10"/>
  <c r="B470" i="10"/>
  <c r="N469" i="10"/>
  <c r="I469" i="10"/>
  <c r="H469" i="10"/>
  <c r="E469" i="10"/>
  <c r="C469" i="10"/>
  <c r="B469" i="10"/>
  <c r="N468" i="10"/>
  <c r="I468" i="10"/>
  <c r="E468" i="10"/>
  <c r="C468" i="10"/>
  <c r="B468" i="10"/>
  <c r="H468" i="10" s="1"/>
  <c r="N467" i="10"/>
  <c r="C467" i="10"/>
  <c r="B467" i="10"/>
  <c r="H467" i="10" s="1"/>
  <c r="N466" i="10"/>
  <c r="H466" i="10"/>
  <c r="C466" i="10"/>
  <c r="B466" i="10"/>
  <c r="N465" i="10"/>
  <c r="I465" i="10"/>
  <c r="H465" i="10"/>
  <c r="E465" i="10"/>
  <c r="C465" i="10"/>
  <c r="B465" i="10"/>
  <c r="N464" i="10"/>
  <c r="I464" i="10"/>
  <c r="E464" i="10"/>
  <c r="C464" i="10"/>
  <c r="B464" i="10"/>
  <c r="H464" i="10" s="1"/>
  <c r="N463" i="10"/>
  <c r="C463" i="10"/>
  <c r="B463" i="10"/>
  <c r="H463" i="10" s="1"/>
  <c r="N462" i="10"/>
  <c r="H462" i="10"/>
  <c r="C462" i="10"/>
  <c r="B462" i="10"/>
  <c r="N461" i="10"/>
  <c r="I461" i="10"/>
  <c r="H461" i="10"/>
  <c r="E461" i="10"/>
  <c r="C461" i="10"/>
  <c r="B461" i="10"/>
  <c r="N460" i="10"/>
  <c r="I460" i="10"/>
  <c r="E460" i="10"/>
  <c r="C460" i="10"/>
  <c r="B460" i="10"/>
  <c r="H460" i="10" s="1"/>
  <c r="N459" i="10"/>
  <c r="C459" i="10"/>
  <c r="B459" i="10"/>
  <c r="H459" i="10" s="1"/>
  <c r="N458" i="10"/>
  <c r="H458" i="10"/>
  <c r="C458" i="10"/>
  <c r="B458" i="10"/>
  <c r="N457" i="10"/>
  <c r="I457" i="10"/>
  <c r="H457" i="10"/>
  <c r="E457" i="10"/>
  <c r="C457" i="10"/>
  <c r="B457" i="10"/>
  <c r="N456" i="10"/>
  <c r="I456" i="10"/>
  <c r="E456" i="10"/>
  <c r="C456" i="10"/>
  <c r="B456" i="10"/>
  <c r="H456" i="10" s="1"/>
  <c r="N455" i="10"/>
  <c r="C455" i="10"/>
  <c r="B455" i="10"/>
  <c r="H455" i="10" s="1"/>
  <c r="N454" i="10"/>
  <c r="H454" i="10"/>
  <c r="C454" i="10"/>
  <c r="B454" i="10"/>
  <c r="N453" i="10"/>
  <c r="I453" i="10"/>
  <c r="H453" i="10"/>
  <c r="E453" i="10"/>
  <c r="C453" i="10"/>
  <c r="B453" i="10"/>
  <c r="N452" i="10"/>
  <c r="I452" i="10"/>
  <c r="E452" i="10"/>
  <c r="C452" i="10"/>
  <c r="B452" i="10"/>
  <c r="H452" i="10" s="1"/>
  <c r="N451" i="10"/>
  <c r="C451" i="10"/>
  <c r="B451" i="10"/>
  <c r="H451" i="10" s="1"/>
  <c r="N450" i="10"/>
  <c r="H450" i="10"/>
  <c r="G450" i="10"/>
  <c r="C450" i="10"/>
  <c r="B450" i="10"/>
  <c r="N449" i="10"/>
  <c r="I449" i="10"/>
  <c r="H449" i="10"/>
  <c r="G449" i="10"/>
  <c r="E449" i="10"/>
  <c r="C449" i="10"/>
  <c r="B449" i="10"/>
  <c r="N448" i="10"/>
  <c r="I448" i="10"/>
  <c r="G448" i="10"/>
  <c r="E448" i="10"/>
  <c r="C448" i="10"/>
  <c r="B448" i="10"/>
  <c r="H448" i="10" s="1"/>
  <c r="N447" i="10"/>
  <c r="G447" i="10"/>
  <c r="C447" i="10"/>
  <c r="B447" i="10"/>
  <c r="H447" i="10" s="1"/>
  <c r="N446" i="10"/>
  <c r="H446" i="10"/>
  <c r="G446" i="10"/>
  <c r="C446" i="10"/>
  <c r="B446" i="10"/>
  <c r="N445" i="10"/>
  <c r="I445" i="10"/>
  <c r="H445" i="10"/>
  <c r="G445" i="10"/>
  <c r="E445" i="10"/>
  <c r="C445" i="10"/>
  <c r="B445" i="10"/>
  <c r="N444" i="10"/>
  <c r="G444" i="10"/>
  <c r="C444" i="10"/>
  <c r="I444" i="10" s="1"/>
  <c r="B444" i="10"/>
  <c r="H444" i="10" s="1"/>
  <c r="N443" i="10"/>
  <c r="G443" i="10"/>
  <c r="C443" i="10"/>
  <c r="B443" i="10"/>
  <c r="H443" i="10" s="1"/>
  <c r="N442" i="10"/>
  <c r="H442" i="10"/>
  <c r="G442" i="10"/>
  <c r="C442" i="10"/>
  <c r="B442" i="10"/>
  <c r="N441" i="10"/>
  <c r="I441" i="10"/>
  <c r="H441" i="10"/>
  <c r="G441" i="10"/>
  <c r="E441" i="10"/>
  <c r="C441" i="10"/>
  <c r="B441" i="10"/>
  <c r="N440" i="10"/>
  <c r="G440" i="10"/>
  <c r="C440" i="10"/>
  <c r="I440" i="10" s="1"/>
  <c r="B440" i="10"/>
  <c r="H440" i="10" s="1"/>
  <c r="N439" i="10"/>
  <c r="G439" i="10"/>
  <c r="C439" i="10"/>
  <c r="B439" i="10"/>
  <c r="H439" i="10" s="1"/>
  <c r="N438" i="10"/>
  <c r="H438" i="10"/>
  <c r="G438" i="10"/>
  <c r="C438" i="10"/>
  <c r="B438" i="10"/>
  <c r="N437" i="10"/>
  <c r="I437" i="10"/>
  <c r="H437" i="10"/>
  <c r="G437" i="10"/>
  <c r="E437" i="10"/>
  <c r="C437" i="10"/>
  <c r="B437" i="10"/>
  <c r="N436" i="10"/>
  <c r="H436" i="10"/>
  <c r="G436" i="10"/>
  <c r="C436" i="10"/>
  <c r="I436" i="10" s="1"/>
  <c r="B436" i="10"/>
  <c r="N435" i="10"/>
  <c r="I435" i="10"/>
  <c r="G435" i="10"/>
  <c r="E435" i="10"/>
  <c r="C435" i="10"/>
  <c r="B435" i="10"/>
  <c r="H435" i="10" s="1"/>
  <c r="N434" i="10"/>
  <c r="H434" i="10"/>
  <c r="G434" i="10"/>
  <c r="C434" i="10"/>
  <c r="B434" i="10"/>
  <c r="N433" i="10"/>
  <c r="I433" i="10"/>
  <c r="G433" i="10"/>
  <c r="E433" i="10"/>
  <c r="C433" i="10"/>
  <c r="B433" i="10"/>
  <c r="H433" i="10" s="1"/>
  <c r="N432" i="10"/>
  <c r="H432" i="10"/>
  <c r="G432" i="10"/>
  <c r="C432" i="10"/>
  <c r="I432" i="10" s="1"/>
  <c r="B432" i="10"/>
  <c r="N431" i="10"/>
  <c r="I431" i="10"/>
  <c r="G431" i="10"/>
  <c r="E431" i="10"/>
  <c r="C431" i="10"/>
  <c r="B431" i="10"/>
  <c r="H431" i="10" s="1"/>
  <c r="N430" i="10"/>
  <c r="H430" i="10"/>
  <c r="G430" i="10"/>
  <c r="C430" i="10"/>
  <c r="B430" i="10"/>
  <c r="N429" i="10"/>
  <c r="I429" i="10"/>
  <c r="G429" i="10"/>
  <c r="E429" i="10"/>
  <c r="C429" i="10"/>
  <c r="B429" i="10"/>
  <c r="H429" i="10" s="1"/>
  <c r="N428" i="10"/>
  <c r="H428" i="10"/>
  <c r="G428" i="10"/>
  <c r="C428" i="10"/>
  <c r="I428" i="10" s="1"/>
  <c r="B428" i="10"/>
  <c r="N427" i="10"/>
  <c r="I427" i="10"/>
  <c r="G427" i="10"/>
  <c r="E427" i="10"/>
  <c r="C427" i="10"/>
  <c r="B427" i="10"/>
  <c r="H427" i="10" s="1"/>
  <c r="N426" i="10"/>
  <c r="H426" i="10"/>
  <c r="G426" i="10"/>
  <c r="C426" i="10"/>
  <c r="B426" i="10"/>
  <c r="N425" i="10"/>
  <c r="I425" i="10"/>
  <c r="G425" i="10"/>
  <c r="E425" i="10"/>
  <c r="C425" i="10"/>
  <c r="B425" i="10"/>
  <c r="H425" i="10" s="1"/>
  <c r="N424" i="10"/>
  <c r="H424" i="10"/>
  <c r="G424" i="10"/>
  <c r="C424" i="10"/>
  <c r="I424" i="10" s="1"/>
  <c r="B424" i="10"/>
  <c r="N423" i="10"/>
  <c r="I423" i="10"/>
  <c r="G423" i="10"/>
  <c r="E423" i="10"/>
  <c r="C423" i="10"/>
  <c r="B423" i="10"/>
  <c r="H423" i="10" s="1"/>
  <c r="N422" i="10"/>
  <c r="H422" i="10"/>
  <c r="G422" i="10"/>
  <c r="C422" i="10"/>
  <c r="B422" i="10"/>
  <c r="N421" i="10"/>
  <c r="I421" i="10"/>
  <c r="G421" i="10"/>
  <c r="E421" i="10"/>
  <c r="C421" i="10"/>
  <c r="B421" i="10"/>
  <c r="H421" i="10" s="1"/>
  <c r="N420" i="10"/>
  <c r="H420" i="10"/>
  <c r="G420" i="10"/>
  <c r="C420" i="10"/>
  <c r="I420" i="10" s="1"/>
  <c r="B420" i="10"/>
  <c r="N419" i="10"/>
  <c r="I419" i="10"/>
  <c r="G419" i="10"/>
  <c r="E419" i="10"/>
  <c r="C419" i="10"/>
  <c r="B419" i="10"/>
  <c r="H419" i="10" s="1"/>
  <c r="N418" i="10"/>
  <c r="H418" i="10"/>
  <c r="G418" i="10"/>
  <c r="C418" i="10"/>
  <c r="B418" i="10"/>
  <c r="N417" i="10"/>
  <c r="I417" i="10"/>
  <c r="G417" i="10"/>
  <c r="E417" i="10"/>
  <c r="C417" i="10"/>
  <c r="B417" i="10"/>
  <c r="H417" i="10" s="1"/>
  <c r="N416" i="10"/>
  <c r="H416" i="10"/>
  <c r="G416" i="10"/>
  <c r="C416" i="10"/>
  <c r="I416" i="10" s="1"/>
  <c r="B416" i="10"/>
  <c r="N415" i="10"/>
  <c r="I415" i="10"/>
  <c r="G415" i="10"/>
  <c r="E415" i="10"/>
  <c r="C415" i="10"/>
  <c r="B415" i="10"/>
  <c r="H415" i="10" s="1"/>
  <c r="N414" i="10"/>
  <c r="H414" i="10"/>
  <c r="G414" i="10"/>
  <c r="C414" i="10"/>
  <c r="B414" i="10"/>
  <c r="N413" i="10"/>
  <c r="I413" i="10"/>
  <c r="G413" i="10"/>
  <c r="E413" i="10"/>
  <c r="C413" i="10"/>
  <c r="B413" i="10"/>
  <c r="H413" i="10" s="1"/>
  <c r="N412" i="10"/>
  <c r="H412" i="10"/>
  <c r="G412" i="10"/>
  <c r="C412" i="10"/>
  <c r="I412" i="10" s="1"/>
  <c r="B412" i="10"/>
  <c r="N411" i="10"/>
  <c r="I411" i="10"/>
  <c r="G411" i="10"/>
  <c r="E411" i="10"/>
  <c r="C411" i="10"/>
  <c r="B411" i="10"/>
  <c r="H411" i="10" s="1"/>
  <c r="N410" i="10"/>
  <c r="H410" i="10"/>
  <c r="G410" i="10"/>
  <c r="C410" i="10"/>
  <c r="B410" i="10"/>
  <c r="N409" i="10"/>
  <c r="I409" i="10"/>
  <c r="G409" i="10"/>
  <c r="E409" i="10"/>
  <c r="C409" i="10"/>
  <c r="B409" i="10"/>
  <c r="H409" i="10" s="1"/>
  <c r="N408" i="10"/>
  <c r="H408" i="10"/>
  <c r="G408" i="10"/>
  <c r="C408" i="10"/>
  <c r="I408" i="10" s="1"/>
  <c r="B408" i="10"/>
  <c r="N407" i="10"/>
  <c r="I407" i="10"/>
  <c r="G407" i="10"/>
  <c r="E407" i="10"/>
  <c r="C407" i="10"/>
  <c r="B407" i="10"/>
  <c r="H407" i="10" s="1"/>
  <c r="N406" i="10"/>
  <c r="H406" i="10"/>
  <c r="G406" i="10"/>
  <c r="C406" i="10"/>
  <c r="B406" i="10"/>
  <c r="N405" i="10"/>
  <c r="I405" i="10"/>
  <c r="G405" i="10"/>
  <c r="E405" i="10"/>
  <c r="C405" i="10"/>
  <c r="B405" i="10"/>
  <c r="H405" i="10" s="1"/>
  <c r="N404" i="10"/>
  <c r="H404" i="10"/>
  <c r="G404" i="10"/>
  <c r="C404" i="10"/>
  <c r="I404" i="10" s="1"/>
  <c r="B404" i="10"/>
  <c r="N403" i="10"/>
  <c r="I403" i="10"/>
  <c r="G403" i="10"/>
  <c r="E403" i="10"/>
  <c r="C403" i="10"/>
  <c r="B403" i="10"/>
  <c r="H403" i="10" s="1"/>
  <c r="N402" i="10"/>
  <c r="H402" i="10"/>
  <c r="G402" i="10"/>
  <c r="C402" i="10"/>
  <c r="B402" i="10"/>
  <c r="N401" i="10"/>
  <c r="I401" i="10"/>
  <c r="G401" i="10"/>
  <c r="E401" i="10"/>
  <c r="C401" i="10"/>
  <c r="B401" i="10"/>
  <c r="H401" i="10" s="1"/>
  <c r="N400" i="10"/>
  <c r="H400" i="10"/>
  <c r="G400" i="10"/>
  <c r="C400" i="10"/>
  <c r="I400" i="10" s="1"/>
  <c r="B400" i="10"/>
  <c r="N399" i="10"/>
  <c r="I399" i="10"/>
  <c r="G399" i="10"/>
  <c r="E399" i="10"/>
  <c r="C399" i="10"/>
  <c r="B399" i="10"/>
  <c r="H399" i="10" s="1"/>
  <c r="N398" i="10"/>
  <c r="H398" i="10"/>
  <c r="G398" i="10"/>
  <c r="C398" i="10"/>
  <c r="B398" i="10"/>
  <c r="N397" i="10"/>
  <c r="I397" i="10"/>
  <c r="G397" i="10"/>
  <c r="E397" i="10"/>
  <c r="C397" i="10"/>
  <c r="B397" i="10"/>
  <c r="H397" i="10" s="1"/>
  <c r="N396" i="10"/>
  <c r="H396" i="10"/>
  <c r="G396" i="10"/>
  <c r="C396" i="10"/>
  <c r="I396" i="10" s="1"/>
  <c r="B396" i="10"/>
  <c r="N395" i="10"/>
  <c r="I395" i="10"/>
  <c r="G395" i="10"/>
  <c r="E395" i="10"/>
  <c r="C395" i="10"/>
  <c r="B395" i="10"/>
  <c r="H395" i="10" s="1"/>
  <c r="N394" i="10"/>
  <c r="H394" i="10"/>
  <c r="G394" i="10"/>
  <c r="C394" i="10"/>
  <c r="B394" i="10"/>
  <c r="N393" i="10"/>
  <c r="I393" i="10"/>
  <c r="G393" i="10"/>
  <c r="E393" i="10"/>
  <c r="C393" i="10"/>
  <c r="B393" i="10"/>
  <c r="H393" i="10" s="1"/>
  <c r="N392" i="10"/>
  <c r="H392" i="10"/>
  <c r="G392" i="10"/>
  <c r="C392" i="10"/>
  <c r="I392" i="10" s="1"/>
  <c r="B392" i="10"/>
  <c r="N391" i="10"/>
  <c r="I391" i="10"/>
  <c r="G391" i="10"/>
  <c r="E391" i="10"/>
  <c r="C391" i="10"/>
  <c r="B391" i="10"/>
  <c r="H391" i="10" s="1"/>
  <c r="N390" i="10"/>
  <c r="H390" i="10"/>
  <c r="G390" i="10"/>
  <c r="C390" i="10"/>
  <c r="B390" i="10"/>
  <c r="N389" i="10"/>
  <c r="I389" i="10"/>
  <c r="G389" i="10"/>
  <c r="E389" i="10"/>
  <c r="C389" i="10"/>
  <c r="B389" i="10"/>
  <c r="H389" i="10" s="1"/>
  <c r="N388" i="10"/>
  <c r="H388" i="10"/>
  <c r="G388" i="10"/>
  <c r="C388" i="10"/>
  <c r="I388" i="10" s="1"/>
  <c r="B388" i="10"/>
  <c r="N387" i="10"/>
  <c r="I387" i="10"/>
  <c r="G387" i="10"/>
  <c r="E387" i="10"/>
  <c r="C387" i="10"/>
  <c r="B387" i="10"/>
  <c r="H387" i="10" s="1"/>
  <c r="N386" i="10"/>
  <c r="H386" i="10"/>
  <c r="G386" i="10"/>
  <c r="C386" i="10"/>
  <c r="B386" i="10"/>
  <c r="N385" i="10"/>
  <c r="I385" i="10"/>
  <c r="G385" i="10"/>
  <c r="E385" i="10"/>
  <c r="C385" i="10"/>
  <c r="B385" i="10"/>
  <c r="H385" i="10" s="1"/>
  <c r="N384" i="10"/>
  <c r="H384" i="10"/>
  <c r="G384" i="10"/>
  <c r="C384" i="10"/>
  <c r="I384" i="10" s="1"/>
  <c r="B384" i="10"/>
  <c r="N383" i="10"/>
  <c r="I383" i="10"/>
  <c r="G383" i="10"/>
  <c r="E383" i="10"/>
  <c r="C383" i="10"/>
  <c r="B383" i="10"/>
  <c r="H383" i="10" s="1"/>
  <c r="N382" i="10"/>
  <c r="H382" i="10"/>
  <c r="G382" i="10"/>
  <c r="C382" i="10"/>
  <c r="B382" i="10"/>
  <c r="N381" i="10"/>
  <c r="I381" i="10"/>
  <c r="G381" i="10"/>
  <c r="E381" i="10"/>
  <c r="C381" i="10"/>
  <c r="B381" i="10"/>
  <c r="H381" i="10" s="1"/>
  <c r="N380" i="10"/>
  <c r="H380" i="10"/>
  <c r="G380" i="10"/>
  <c r="C380" i="10"/>
  <c r="I380" i="10" s="1"/>
  <c r="B380" i="10"/>
  <c r="N379" i="10"/>
  <c r="I379" i="10"/>
  <c r="G379" i="10"/>
  <c r="E379" i="10"/>
  <c r="C379" i="10"/>
  <c r="B379" i="10"/>
  <c r="H379" i="10" s="1"/>
  <c r="N378" i="10"/>
  <c r="H378" i="10"/>
  <c r="G378" i="10"/>
  <c r="C378" i="10"/>
  <c r="B378" i="10"/>
  <c r="N377" i="10"/>
  <c r="I377" i="10"/>
  <c r="G377" i="10"/>
  <c r="E377" i="10"/>
  <c r="C377" i="10"/>
  <c r="B377" i="10"/>
  <c r="H377" i="10" s="1"/>
  <c r="N376" i="10"/>
  <c r="H376" i="10"/>
  <c r="G376" i="10"/>
  <c r="C376" i="10"/>
  <c r="I376" i="10" s="1"/>
  <c r="B376" i="10"/>
  <c r="N375" i="10"/>
  <c r="I375" i="10"/>
  <c r="G375" i="10"/>
  <c r="E375" i="10"/>
  <c r="C375" i="10"/>
  <c r="B375" i="10"/>
  <c r="H375" i="10" s="1"/>
  <c r="N374" i="10"/>
  <c r="H374" i="10"/>
  <c r="G374" i="10"/>
  <c r="C374" i="10"/>
  <c r="B374" i="10"/>
  <c r="N373" i="10"/>
  <c r="I373" i="10"/>
  <c r="G373" i="10"/>
  <c r="E373" i="10"/>
  <c r="C373" i="10"/>
  <c r="B373" i="10"/>
  <c r="H373" i="10" s="1"/>
  <c r="N372" i="10"/>
  <c r="H372" i="10"/>
  <c r="G372" i="10"/>
  <c r="C372" i="10"/>
  <c r="I372" i="10" s="1"/>
  <c r="B372" i="10"/>
  <c r="N371" i="10"/>
  <c r="I371" i="10"/>
  <c r="G371" i="10"/>
  <c r="E371" i="10"/>
  <c r="C371" i="10"/>
  <c r="B371" i="10"/>
  <c r="H371" i="10" s="1"/>
  <c r="N370" i="10"/>
  <c r="H370" i="10"/>
  <c r="G370" i="10"/>
  <c r="C370" i="10"/>
  <c r="B370" i="10"/>
  <c r="N369" i="10"/>
  <c r="I369" i="10"/>
  <c r="G369" i="10"/>
  <c r="E369" i="10"/>
  <c r="C369" i="10"/>
  <c r="B369" i="10"/>
  <c r="H369" i="10" s="1"/>
  <c r="N368" i="10"/>
  <c r="H368" i="10"/>
  <c r="G368" i="10"/>
  <c r="C368" i="10"/>
  <c r="I368" i="10" s="1"/>
  <c r="B368" i="10"/>
  <c r="N367" i="10"/>
  <c r="I367" i="10"/>
  <c r="G367" i="10"/>
  <c r="E367" i="10"/>
  <c r="C367" i="10"/>
  <c r="B367" i="10"/>
  <c r="H367" i="10" s="1"/>
  <c r="N366" i="10"/>
  <c r="H366" i="10"/>
  <c r="G366" i="10"/>
  <c r="C366" i="10"/>
  <c r="B366" i="10"/>
  <c r="N365" i="10"/>
  <c r="I365" i="10"/>
  <c r="G365" i="10"/>
  <c r="E365" i="10"/>
  <c r="C365" i="10"/>
  <c r="B365" i="10"/>
  <c r="H365" i="10" s="1"/>
  <c r="N364" i="10"/>
  <c r="H364" i="10"/>
  <c r="G364" i="10"/>
  <c r="C364" i="10"/>
  <c r="I364" i="10" s="1"/>
  <c r="B364" i="10"/>
  <c r="N363" i="10"/>
  <c r="I363" i="10"/>
  <c r="G363" i="10"/>
  <c r="E363" i="10"/>
  <c r="C363" i="10"/>
  <c r="B363" i="10"/>
  <c r="H363" i="10" s="1"/>
  <c r="N362" i="10"/>
  <c r="H362" i="10"/>
  <c r="G362" i="10"/>
  <c r="C362" i="10"/>
  <c r="B362" i="10"/>
  <c r="N361" i="10"/>
  <c r="I361" i="10"/>
  <c r="G361" i="10"/>
  <c r="E361" i="10"/>
  <c r="C361" i="10"/>
  <c r="B361" i="10"/>
  <c r="H361" i="10" s="1"/>
  <c r="N360" i="10"/>
  <c r="H360" i="10"/>
  <c r="G360" i="10"/>
  <c r="C360" i="10"/>
  <c r="I360" i="10" s="1"/>
  <c r="B360" i="10"/>
  <c r="N359" i="10"/>
  <c r="I359" i="10"/>
  <c r="G359" i="10"/>
  <c r="E359" i="10"/>
  <c r="C359" i="10"/>
  <c r="B359" i="10"/>
  <c r="H359" i="10" s="1"/>
  <c r="N358" i="10"/>
  <c r="H358" i="10"/>
  <c r="G358" i="10"/>
  <c r="C358" i="10"/>
  <c r="B358" i="10"/>
  <c r="N357" i="10"/>
  <c r="I357" i="10"/>
  <c r="G357" i="10"/>
  <c r="E357" i="10"/>
  <c r="C357" i="10"/>
  <c r="B357" i="10"/>
  <c r="H357" i="10" s="1"/>
  <c r="N356" i="10"/>
  <c r="H356" i="10"/>
  <c r="G356" i="10"/>
  <c r="C356" i="10"/>
  <c r="I356" i="10" s="1"/>
  <c r="B356" i="10"/>
  <c r="N355" i="10"/>
  <c r="I355" i="10"/>
  <c r="G355" i="10"/>
  <c r="E355" i="10"/>
  <c r="C355" i="10"/>
  <c r="B355" i="10"/>
  <c r="H355" i="10" s="1"/>
  <c r="N354" i="10"/>
  <c r="H354" i="10"/>
  <c r="G354" i="10"/>
  <c r="C354" i="10"/>
  <c r="B354" i="10"/>
  <c r="N353" i="10"/>
  <c r="I353" i="10"/>
  <c r="E353" i="10"/>
  <c r="C353" i="10"/>
  <c r="B353" i="10"/>
  <c r="H353" i="10" s="1"/>
  <c r="N352" i="10"/>
  <c r="H352" i="10"/>
  <c r="C352" i="10"/>
  <c r="I352" i="10" s="1"/>
  <c r="B352" i="10"/>
  <c r="N351" i="10"/>
  <c r="I351" i="10"/>
  <c r="E351" i="10"/>
  <c r="C351" i="10"/>
  <c r="B351" i="10"/>
  <c r="H351" i="10" s="1"/>
  <c r="N350" i="10"/>
  <c r="H350" i="10"/>
  <c r="C350" i="10"/>
  <c r="B350" i="10"/>
  <c r="N349" i="10"/>
  <c r="I349" i="10"/>
  <c r="E349" i="10"/>
  <c r="C349" i="10"/>
  <c r="B349" i="10"/>
  <c r="H349" i="10" s="1"/>
  <c r="N348" i="10"/>
  <c r="H348" i="10"/>
  <c r="C348" i="10"/>
  <c r="I348" i="10" s="1"/>
  <c r="B348" i="10"/>
  <c r="N347" i="10"/>
  <c r="I347" i="10"/>
  <c r="E347" i="10"/>
  <c r="C347" i="10"/>
  <c r="B347" i="10"/>
  <c r="H347" i="10" s="1"/>
  <c r="H346" i="10"/>
  <c r="C346" i="10"/>
  <c r="B346" i="10"/>
  <c r="I345" i="10"/>
  <c r="E345" i="10"/>
  <c r="C345" i="10"/>
  <c r="B345" i="10"/>
  <c r="H345" i="10" s="1"/>
  <c r="H344" i="10"/>
  <c r="C344" i="10"/>
  <c r="I344" i="10" s="1"/>
  <c r="B344" i="10"/>
  <c r="I343" i="10"/>
  <c r="E343" i="10"/>
  <c r="C343" i="10"/>
  <c r="B343" i="10"/>
  <c r="H343" i="10" s="1"/>
  <c r="H342" i="10"/>
  <c r="C342" i="10"/>
  <c r="B342" i="10"/>
  <c r="I341" i="10"/>
  <c r="E341" i="10"/>
  <c r="C341" i="10"/>
  <c r="B341" i="10"/>
  <c r="H341" i="10" s="1"/>
  <c r="H340" i="10"/>
  <c r="C340" i="10"/>
  <c r="I340" i="10" s="1"/>
  <c r="B340" i="10"/>
  <c r="I339" i="10"/>
  <c r="E339" i="10"/>
  <c r="C339" i="10"/>
  <c r="B339" i="10"/>
  <c r="H339" i="10" s="1"/>
  <c r="H338" i="10"/>
  <c r="C338" i="10"/>
  <c r="B338" i="10"/>
  <c r="I337" i="10"/>
  <c r="E337" i="10"/>
  <c r="C337" i="10"/>
  <c r="B337" i="10"/>
  <c r="H337" i="10" s="1"/>
  <c r="H336" i="10"/>
  <c r="C336" i="10"/>
  <c r="I336" i="10" s="1"/>
  <c r="B336" i="10"/>
  <c r="I335" i="10"/>
  <c r="E335" i="10"/>
  <c r="C335" i="10"/>
  <c r="B335" i="10"/>
  <c r="H335" i="10" s="1"/>
  <c r="H334" i="10"/>
  <c r="C334" i="10"/>
  <c r="B334" i="10"/>
  <c r="I333" i="10"/>
  <c r="E333" i="10"/>
  <c r="C333" i="10"/>
  <c r="B333" i="10"/>
  <c r="H333" i="10" s="1"/>
  <c r="H332" i="10"/>
  <c r="C332" i="10"/>
  <c r="I332" i="10" s="1"/>
  <c r="B332" i="10"/>
  <c r="I331" i="10"/>
  <c r="E331" i="10"/>
  <c r="C331" i="10"/>
  <c r="B331" i="10"/>
  <c r="H331" i="10" s="1"/>
  <c r="H330" i="10"/>
  <c r="C330" i="10"/>
  <c r="B330" i="10"/>
  <c r="I329" i="10"/>
  <c r="E329" i="10"/>
  <c r="C329" i="10"/>
  <c r="B329" i="10"/>
  <c r="H329" i="10" s="1"/>
  <c r="H328" i="10"/>
  <c r="C328" i="10"/>
  <c r="I328" i="10" s="1"/>
  <c r="B328" i="10"/>
  <c r="I327" i="10"/>
  <c r="E327" i="10"/>
  <c r="C327" i="10"/>
  <c r="B327" i="10"/>
  <c r="H327" i="10" s="1"/>
  <c r="H326" i="10"/>
  <c r="C326" i="10"/>
  <c r="B326" i="10"/>
  <c r="I325" i="10"/>
  <c r="E325" i="10"/>
  <c r="C325" i="10"/>
  <c r="B325" i="10"/>
  <c r="H325" i="10" s="1"/>
  <c r="H324" i="10"/>
  <c r="C324" i="10"/>
  <c r="I324" i="10" s="1"/>
  <c r="B324" i="10"/>
  <c r="I323" i="10"/>
  <c r="E323" i="10"/>
  <c r="C323" i="10"/>
  <c r="B323" i="10"/>
  <c r="H323" i="10" s="1"/>
  <c r="H322" i="10"/>
  <c r="C322" i="10"/>
  <c r="B322" i="10"/>
  <c r="I321" i="10"/>
  <c r="E321" i="10"/>
  <c r="C321" i="10"/>
  <c r="B321" i="10"/>
  <c r="H321" i="10" s="1"/>
  <c r="H320" i="10"/>
  <c r="C320" i="10"/>
  <c r="I320" i="10" s="1"/>
  <c r="B320" i="10"/>
  <c r="I319" i="10"/>
  <c r="E319" i="10"/>
  <c r="C319" i="10"/>
  <c r="B319" i="10"/>
  <c r="H319" i="10" s="1"/>
  <c r="H318" i="10"/>
  <c r="C318" i="10"/>
  <c r="B318" i="10"/>
  <c r="I317" i="10"/>
  <c r="E317" i="10"/>
  <c r="C317" i="10"/>
  <c r="B317" i="10"/>
  <c r="H317" i="10" s="1"/>
  <c r="H316" i="10"/>
  <c r="C316" i="10"/>
  <c r="I316" i="10" s="1"/>
  <c r="B316" i="10"/>
  <c r="I315" i="10"/>
  <c r="E315" i="10"/>
  <c r="C315" i="10"/>
  <c r="B315" i="10"/>
  <c r="H315" i="10" s="1"/>
  <c r="H314" i="10"/>
  <c r="C314" i="10"/>
  <c r="B314" i="10"/>
  <c r="I313" i="10"/>
  <c r="E313" i="10"/>
  <c r="C313" i="10"/>
  <c r="B313" i="10"/>
  <c r="H313" i="10" s="1"/>
  <c r="H312" i="10"/>
  <c r="C312" i="10"/>
  <c r="I312" i="10" s="1"/>
  <c r="B312" i="10"/>
  <c r="I311" i="10"/>
  <c r="E311" i="10"/>
  <c r="C311" i="10"/>
  <c r="B311" i="10"/>
  <c r="H311" i="10" s="1"/>
  <c r="H310" i="10"/>
  <c r="C310" i="10"/>
  <c r="B310" i="10"/>
  <c r="I309" i="10"/>
  <c r="E309" i="10"/>
  <c r="C309" i="10"/>
  <c r="B309" i="10"/>
  <c r="H309" i="10" s="1"/>
  <c r="H308" i="10"/>
  <c r="C308" i="10"/>
  <c r="I308" i="10" s="1"/>
  <c r="B308" i="10"/>
  <c r="I307" i="10"/>
  <c r="E307" i="10"/>
  <c r="C307" i="10"/>
  <c r="B307" i="10"/>
  <c r="H307" i="10" s="1"/>
  <c r="H306" i="10"/>
  <c r="C306" i="10"/>
  <c r="B306" i="10"/>
  <c r="I305" i="10"/>
  <c r="E305" i="10"/>
  <c r="C305" i="10"/>
  <c r="B305" i="10"/>
  <c r="H305" i="10" s="1"/>
  <c r="H304" i="10"/>
  <c r="C304" i="10"/>
  <c r="I304" i="10" s="1"/>
  <c r="B304" i="10"/>
  <c r="I303" i="10"/>
  <c r="E303" i="10"/>
  <c r="C303" i="10"/>
  <c r="B303" i="10"/>
  <c r="H303" i="10" s="1"/>
  <c r="H302" i="10"/>
  <c r="C302" i="10"/>
  <c r="B302" i="10"/>
  <c r="I301" i="10"/>
  <c r="E301" i="10"/>
  <c r="C301" i="10"/>
  <c r="B301" i="10"/>
  <c r="H301" i="10" s="1"/>
  <c r="H300" i="10"/>
  <c r="C300" i="10"/>
  <c r="I300" i="10" s="1"/>
  <c r="B300" i="10"/>
  <c r="N299" i="10"/>
  <c r="I299" i="10"/>
  <c r="E299" i="10"/>
  <c r="C299" i="10"/>
  <c r="B299" i="10"/>
  <c r="H299" i="10" s="1"/>
  <c r="N298" i="10"/>
  <c r="H298" i="10"/>
  <c r="C298" i="10"/>
  <c r="B298" i="10"/>
  <c r="N297" i="10"/>
  <c r="I297" i="10"/>
  <c r="E297" i="10"/>
  <c r="C297" i="10"/>
  <c r="B297" i="10"/>
  <c r="H297" i="10" s="1"/>
  <c r="N296" i="10"/>
  <c r="H296" i="10"/>
  <c r="C296" i="10"/>
  <c r="I296" i="10" s="1"/>
  <c r="B296" i="10"/>
  <c r="N295" i="10"/>
  <c r="I295" i="10"/>
  <c r="E295" i="10"/>
  <c r="C295" i="10"/>
  <c r="B295" i="10"/>
  <c r="H295" i="10" s="1"/>
  <c r="N294" i="10"/>
  <c r="H294" i="10"/>
  <c r="C294" i="10"/>
  <c r="B294" i="10"/>
  <c r="N293" i="10"/>
  <c r="I293" i="10"/>
  <c r="E293" i="10"/>
  <c r="C293" i="10"/>
  <c r="B293" i="10"/>
  <c r="H293" i="10" s="1"/>
  <c r="N292" i="10"/>
  <c r="H292" i="10"/>
  <c r="C292" i="10"/>
  <c r="I292" i="10" s="1"/>
  <c r="B292" i="10"/>
  <c r="N291" i="10"/>
  <c r="I291" i="10"/>
  <c r="E291" i="10"/>
  <c r="C291" i="10"/>
  <c r="B291" i="10"/>
  <c r="H291" i="10" s="1"/>
  <c r="N290" i="10"/>
  <c r="H290" i="10"/>
  <c r="C290" i="10"/>
  <c r="B290" i="10"/>
  <c r="N289" i="10"/>
  <c r="I289" i="10"/>
  <c r="E289" i="10"/>
  <c r="C289" i="10"/>
  <c r="B289" i="10"/>
  <c r="H289" i="10" s="1"/>
  <c r="N288" i="10"/>
  <c r="H288" i="10"/>
  <c r="C288" i="10"/>
  <c r="I288" i="10" s="1"/>
  <c r="B288" i="10"/>
  <c r="N287" i="10"/>
  <c r="I287" i="10"/>
  <c r="E287" i="10"/>
  <c r="C287" i="10"/>
  <c r="B287" i="10"/>
  <c r="H287" i="10" s="1"/>
  <c r="N286" i="10"/>
  <c r="H286" i="10"/>
  <c r="C286" i="10"/>
  <c r="B286" i="10"/>
  <c r="N285" i="10"/>
  <c r="I285" i="10"/>
  <c r="E285" i="10"/>
  <c r="C285" i="10"/>
  <c r="B285" i="10"/>
  <c r="H285" i="10" s="1"/>
  <c r="N284" i="10"/>
  <c r="H284" i="10"/>
  <c r="C284" i="10"/>
  <c r="I284" i="10" s="1"/>
  <c r="B284" i="10"/>
  <c r="N283" i="10"/>
  <c r="I283" i="10"/>
  <c r="E283" i="10"/>
  <c r="C283" i="10"/>
  <c r="B283" i="10"/>
  <c r="H283" i="10" s="1"/>
  <c r="N282" i="10"/>
  <c r="H282" i="10"/>
  <c r="C282" i="10"/>
  <c r="B282" i="10"/>
  <c r="N281" i="10"/>
  <c r="I281" i="10"/>
  <c r="E281" i="10"/>
  <c r="C281" i="10"/>
  <c r="B281" i="10"/>
  <c r="H281" i="10" s="1"/>
  <c r="N280" i="10"/>
  <c r="H280" i="10"/>
  <c r="C280" i="10"/>
  <c r="I280" i="10" s="1"/>
  <c r="B280" i="10"/>
  <c r="N279" i="10"/>
  <c r="I279" i="10"/>
  <c r="E279" i="10"/>
  <c r="C279" i="10"/>
  <c r="B279" i="10"/>
  <c r="H279" i="10" s="1"/>
  <c r="N278" i="10"/>
  <c r="H278" i="10"/>
  <c r="C278" i="10"/>
  <c r="B278" i="10"/>
  <c r="N277" i="10"/>
  <c r="I277" i="10"/>
  <c r="E277" i="10"/>
  <c r="C277" i="10"/>
  <c r="B277" i="10"/>
  <c r="H277" i="10" s="1"/>
  <c r="N276" i="10"/>
  <c r="H276" i="10"/>
  <c r="C276" i="10"/>
  <c r="I276" i="10" s="1"/>
  <c r="B276" i="10"/>
  <c r="N275" i="10"/>
  <c r="I275" i="10"/>
  <c r="E275" i="10"/>
  <c r="C275" i="10"/>
  <c r="B275" i="10"/>
  <c r="H275" i="10" s="1"/>
  <c r="N274" i="10"/>
  <c r="H274" i="10"/>
  <c r="C274" i="10"/>
  <c r="B274" i="10"/>
  <c r="N273" i="10"/>
  <c r="I273" i="10"/>
  <c r="E273" i="10"/>
  <c r="C273" i="10"/>
  <c r="B273" i="10"/>
  <c r="H273" i="10" s="1"/>
  <c r="N272" i="10"/>
  <c r="H272" i="10"/>
  <c r="C272" i="10"/>
  <c r="I272" i="10" s="1"/>
  <c r="B272" i="10"/>
  <c r="N271" i="10"/>
  <c r="I271" i="10"/>
  <c r="E271" i="10"/>
  <c r="C271" i="10"/>
  <c r="B271" i="10"/>
  <c r="H271" i="10" s="1"/>
  <c r="N270" i="10"/>
  <c r="H270" i="10"/>
  <c r="C270" i="10"/>
  <c r="B270" i="10"/>
  <c r="N269" i="10"/>
  <c r="I269" i="10"/>
  <c r="E269" i="10"/>
  <c r="C269" i="10"/>
  <c r="B269" i="10"/>
  <c r="H269" i="10" s="1"/>
  <c r="N268" i="10"/>
  <c r="H268" i="10"/>
  <c r="C268" i="10"/>
  <c r="I268" i="10" s="1"/>
  <c r="B268" i="10"/>
  <c r="N267" i="10"/>
  <c r="I267" i="10"/>
  <c r="E267" i="10"/>
  <c r="C267" i="10"/>
  <c r="B267" i="10"/>
  <c r="H267" i="10" s="1"/>
  <c r="N266" i="10"/>
  <c r="H266" i="10"/>
  <c r="C266" i="10"/>
  <c r="B266" i="10"/>
  <c r="N265" i="10"/>
  <c r="I265" i="10"/>
  <c r="E265" i="10"/>
  <c r="C265" i="10"/>
  <c r="B265" i="10"/>
  <c r="H265" i="10" s="1"/>
  <c r="N264" i="10"/>
  <c r="H264" i="10"/>
  <c r="C264" i="10"/>
  <c r="I264" i="10" s="1"/>
  <c r="B264" i="10"/>
  <c r="N263" i="10"/>
  <c r="I263" i="10"/>
  <c r="E263" i="10"/>
  <c r="C263" i="10"/>
  <c r="B263" i="10"/>
  <c r="H263" i="10" s="1"/>
  <c r="N262" i="10"/>
  <c r="H262" i="10"/>
  <c r="C262" i="10"/>
  <c r="B262" i="10"/>
  <c r="N261" i="10"/>
  <c r="I261" i="10"/>
  <c r="E261" i="10"/>
  <c r="C261" i="10"/>
  <c r="B261" i="10"/>
  <c r="H261" i="10" s="1"/>
  <c r="N260" i="10"/>
  <c r="H260" i="10"/>
  <c r="C260" i="10"/>
  <c r="I260" i="10" s="1"/>
  <c r="B260" i="10"/>
  <c r="N259" i="10"/>
  <c r="I259" i="10"/>
  <c r="E259" i="10"/>
  <c r="C259" i="10"/>
  <c r="B259" i="10"/>
  <c r="H259" i="10" s="1"/>
  <c r="N258" i="10"/>
  <c r="H258" i="10"/>
  <c r="C258" i="10"/>
  <c r="B258" i="10"/>
  <c r="N257" i="10"/>
  <c r="I257" i="10"/>
  <c r="E257" i="10"/>
  <c r="C257" i="10"/>
  <c r="B257" i="10"/>
  <c r="H257" i="10" s="1"/>
  <c r="N256" i="10"/>
  <c r="H256" i="10"/>
  <c r="C256" i="10"/>
  <c r="I256" i="10" s="1"/>
  <c r="B256" i="10"/>
  <c r="N255" i="10"/>
  <c r="I255" i="10"/>
  <c r="E255" i="10"/>
  <c r="C255" i="10"/>
  <c r="B255" i="10"/>
  <c r="H255" i="10" s="1"/>
  <c r="N254" i="10"/>
  <c r="H254" i="10"/>
  <c r="C254" i="10"/>
  <c r="B254" i="10"/>
  <c r="N253" i="10"/>
  <c r="I253" i="10"/>
  <c r="E253" i="10"/>
  <c r="C253" i="10"/>
  <c r="B253" i="10"/>
  <c r="H253" i="10" s="1"/>
  <c r="N252" i="10"/>
  <c r="H252" i="10"/>
  <c r="C252" i="10"/>
  <c r="I252" i="10" s="1"/>
  <c r="B252" i="10"/>
  <c r="N251" i="10"/>
  <c r="I251" i="10"/>
  <c r="E251" i="10"/>
  <c r="C251" i="10"/>
  <c r="B251" i="10"/>
  <c r="H251" i="10" s="1"/>
  <c r="N250" i="10"/>
  <c r="H250" i="10"/>
  <c r="C250" i="10"/>
  <c r="B250" i="10"/>
  <c r="N249" i="10"/>
  <c r="I249" i="10"/>
  <c r="E249" i="10"/>
  <c r="C249" i="10"/>
  <c r="B249" i="10"/>
  <c r="H249" i="10" s="1"/>
  <c r="N248" i="10"/>
  <c r="H248" i="10"/>
  <c r="C248" i="10"/>
  <c r="I248" i="10" s="1"/>
  <c r="B248" i="10"/>
  <c r="N247" i="10"/>
  <c r="I247" i="10"/>
  <c r="E247" i="10"/>
  <c r="C247" i="10"/>
  <c r="B247" i="10"/>
  <c r="H247" i="10" s="1"/>
  <c r="N246" i="10"/>
  <c r="H246" i="10"/>
  <c r="C246" i="10"/>
  <c r="B246" i="10"/>
  <c r="N245" i="10"/>
  <c r="I245" i="10"/>
  <c r="E245" i="10"/>
  <c r="C245" i="10"/>
  <c r="B245" i="10"/>
  <c r="H245" i="10" s="1"/>
  <c r="N244" i="10"/>
  <c r="H244" i="10"/>
  <c r="C244" i="10"/>
  <c r="I244" i="10" s="1"/>
  <c r="B244" i="10"/>
  <c r="N243" i="10"/>
  <c r="I243" i="10"/>
  <c r="E243" i="10"/>
  <c r="C243" i="10"/>
  <c r="B243" i="10"/>
  <c r="H243" i="10" s="1"/>
  <c r="N242" i="10"/>
  <c r="H242" i="10"/>
  <c r="C242" i="10"/>
  <c r="B242" i="10"/>
  <c r="N241" i="10"/>
  <c r="I241" i="10"/>
  <c r="E241" i="10"/>
  <c r="C241" i="10"/>
  <c r="B241" i="10"/>
  <c r="H241" i="10" s="1"/>
  <c r="N240" i="10"/>
  <c r="H240" i="10"/>
  <c r="C240" i="10"/>
  <c r="I240" i="10" s="1"/>
  <c r="B240" i="10"/>
  <c r="N239" i="10"/>
  <c r="I239" i="10"/>
  <c r="E239" i="10"/>
  <c r="C239" i="10"/>
  <c r="B239" i="10"/>
  <c r="H239" i="10" s="1"/>
  <c r="N238" i="10"/>
  <c r="H238" i="10"/>
  <c r="C238" i="10"/>
  <c r="B238" i="10"/>
  <c r="N237" i="10"/>
  <c r="I237" i="10"/>
  <c r="E237" i="10"/>
  <c r="C237" i="10"/>
  <c r="B237" i="10"/>
  <c r="H237" i="10" s="1"/>
  <c r="N236" i="10"/>
  <c r="H236" i="10"/>
  <c r="C236" i="10"/>
  <c r="I236" i="10" s="1"/>
  <c r="B236" i="10"/>
  <c r="N235" i="10"/>
  <c r="I235" i="10"/>
  <c r="E235" i="10"/>
  <c r="C235" i="10"/>
  <c r="B235" i="10"/>
  <c r="H235" i="10" s="1"/>
  <c r="N234" i="10"/>
  <c r="H234" i="10"/>
  <c r="C234" i="10"/>
  <c r="B234" i="10"/>
  <c r="N233" i="10"/>
  <c r="I233" i="10"/>
  <c r="E233" i="10"/>
  <c r="C233" i="10"/>
  <c r="B233" i="10"/>
  <c r="H233" i="10" s="1"/>
  <c r="N232" i="10"/>
  <c r="H232" i="10"/>
  <c r="C232" i="10"/>
  <c r="I232" i="10" s="1"/>
  <c r="B232" i="10"/>
  <c r="N231" i="10"/>
  <c r="I231" i="10"/>
  <c r="E231" i="10"/>
  <c r="C231" i="10"/>
  <c r="B231" i="10"/>
  <c r="H231" i="10" s="1"/>
  <c r="N230" i="10"/>
  <c r="H230" i="10"/>
  <c r="C230" i="10"/>
  <c r="B230" i="10"/>
  <c r="N229" i="10"/>
  <c r="I229" i="10"/>
  <c r="E229" i="10"/>
  <c r="C229" i="10"/>
  <c r="B229" i="10"/>
  <c r="H229" i="10" s="1"/>
  <c r="N228" i="10"/>
  <c r="H228" i="10"/>
  <c r="C228" i="10"/>
  <c r="I228" i="10" s="1"/>
  <c r="B228" i="10"/>
  <c r="N227" i="10"/>
  <c r="I227" i="10"/>
  <c r="E227" i="10"/>
  <c r="C227" i="10"/>
  <c r="B227" i="10"/>
  <c r="H227" i="10" s="1"/>
  <c r="N226" i="10"/>
  <c r="H226" i="10"/>
  <c r="C226" i="10"/>
  <c r="B226" i="10"/>
  <c r="N225" i="10"/>
  <c r="I225" i="10"/>
  <c r="E225" i="10"/>
  <c r="C225" i="10"/>
  <c r="B225" i="10"/>
  <c r="H225" i="10" s="1"/>
  <c r="N224" i="10"/>
  <c r="H224" i="10"/>
  <c r="C224" i="10"/>
  <c r="I224" i="10" s="1"/>
  <c r="B224" i="10"/>
  <c r="N223" i="10"/>
  <c r="I223" i="10"/>
  <c r="E223" i="10"/>
  <c r="C223" i="10"/>
  <c r="B223" i="10"/>
  <c r="H223" i="10" s="1"/>
  <c r="N222" i="10"/>
  <c r="H222" i="10"/>
  <c r="C222" i="10"/>
  <c r="B222" i="10"/>
  <c r="N221" i="10"/>
  <c r="I221" i="10"/>
  <c r="E221" i="10"/>
  <c r="C221" i="10"/>
  <c r="B221" i="10"/>
  <c r="H221" i="10" s="1"/>
  <c r="N220" i="10"/>
  <c r="H220" i="10"/>
  <c r="C220" i="10"/>
  <c r="I220" i="10" s="1"/>
  <c r="B220" i="10"/>
  <c r="N219" i="10"/>
  <c r="I219" i="10"/>
  <c r="E219" i="10"/>
  <c r="C219" i="10"/>
  <c r="B219" i="10"/>
  <c r="H219" i="10" s="1"/>
  <c r="N218" i="10"/>
  <c r="H218" i="10"/>
  <c r="C218" i="10"/>
  <c r="B218" i="10"/>
  <c r="N217" i="10"/>
  <c r="I217" i="10"/>
  <c r="E217" i="10"/>
  <c r="C217" i="10"/>
  <c r="B217" i="10"/>
  <c r="H217" i="10" s="1"/>
  <c r="N216" i="10"/>
  <c r="H216" i="10"/>
  <c r="C216" i="10"/>
  <c r="I216" i="10" s="1"/>
  <c r="B216" i="10"/>
  <c r="N215" i="10"/>
  <c r="I215" i="10"/>
  <c r="E215" i="10"/>
  <c r="C215" i="10"/>
  <c r="B215" i="10"/>
  <c r="H215" i="10" s="1"/>
  <c r="N214" i="10"/>
  <c r="H214" i="10"/>
  <c r="C214" i="10"/>
  <c r="B214" i="10"/>
  <c r="N213" i="10"/>
  <c r="I213" i="10"/>
  <c r="E213" i="10"/>
  <c r="C213" i="10"/>
  <c r="B213" i="10"/>
  <c r="H213" i="10" s="1"/>
  <c r="N212" i="10"/>
  <c r="H212" i="10"/>
  <c r="C212" i="10"/>
  <c r="I212" i="10" s="1"/>
  <c r="B212" i="10"/>
  <c r="N211" i="10"/>
  <c r="I211" i="10"/>
  <c r="E211" i="10"/>
  <c r="C211" i="10"/>
  <c r="B211" i="10"/>
  <c r="H211" i="10" s="1"/>
  <c r="N210" i="10"/>
  <c r="H210" i="10"/>
  <c r="C210" i="10"/>
  <c r="B210" i="10"/>
  <c r="N209" i="10"/>
  <c r="I209" i="10"/>
  <c r="E209" i="10"/>
  <c r="C209" i="10"/>
  <c r="B209" i="10"/>
  <c r="H209" i="10" s="1"/>
  <c r="N208" i="10"/>
  <c r="H208" i="10"/>
  <c r="C208" i="10"/>
  <c r="I208" i="10" s="1"/>
  <c r="B208" i="10"/>
  <c r="N207" i="10"/>
  <c r="I207" i="10"/>
  <c r="E207" i="10"/>
  <c r="C207" i="10"/>
  <c r="B207" i="10"/>
  <c r="H207" i="10" s="1"/>
  <c r="N206" i="10"/>
  <c r="H206" i="10"/>
  <c r="C206" i="10"/>
  <c r="B206" i="10"/>
  <c r="N205" i="10"/>
  <c r="I205" i="10"/>
  <c r="E205" i="10"/>
  <c r="C205" i="10"/>
  <c r="B205" i="10"/>
  <c r="H205" i="10" s="1"/>
  <c r="N204" i="10"/>
  <c r="H204" i="10"/>
  <c r="C204" i="10"/>
  <c r="I204" i="10" s="1"/>
  <c r="B204" i="10"/>
  <c r="N203" i="10"/>
  <c r="I203" i="10"/>
  <c r="E203" i="10"/>
  <c r="C203" i="10"/>
  <c r="B203" i="10"/>
  <c r="H203" i="10" s="1"/>
  <c r="N202" i="10"/>
  <c r="H202" i="10"/>
  <c r="C202" i="10"/>
  <c r="B202" i="10"/>
  <c r="N201" i="10"/>
  <c r="I201" i="10"/>
  <c r="E201" i="10"/>
  <c r="C201" i="10"/>
  <c r="B201" i="10"/>
  <c r="H201" i="10" s="1"/>
  <c r="N200" i="10"/>
  <c r="H200" i="10"/>
  <c r="C200" i="10"/>
  <c r="I200" i="10" s="1"/>
  <c r="B200" i="10"/>
  <c r="N199" i="10"/>
  <c r="I199" i="10"/>
  <c r="E199" i="10"/>
  <c r="C199" i="10"/>
  <c r="B199" i="10"/>
  <c r="H199" i="10" s="1"/>
  <c r="N198" i="10"/>
  <c r="H198" i="10"/>
  <c r="C198" i="10"/>
  <c r="B198" i="10"/>
  <c r="N197" i="10"/>
  <c r="I197" i="10"/>
  <c r="E197" i="10"/>
  <c r="C197" i="10"/>
  <c r="B197" i="10"/>
  <c r="H197" i="10" s="1"/>
  <c r="N196" i="10"/>
  <c r="H196" i="10"/>
  <c r="C196" i="10"/>
  <c r="I196" i="10" s="1"/>
  <c r="B196" i="10"/>
  <c r="N195" i="10"/>
  <c r="I195" i="10"/>
  <c r="E195" i="10"/>
  <c r="C195" i="10"/>
  <c r="B195" i="10"/>
  <c r="H195" i="10" s="1"/>
  <c r="N194" i="10"/>
  <c r="H194" i="10"/>
  <c r="C194" i="10"/>
  <c r="B194" i="10"/>
  <c r="N193" i="10"/>
  <c r="I193" i="10"/>
  <c r="E193" i="10"/>
  <c r="C193" i="10"/>
  <c r="B193" i="10"/>
  <c r="H193" i="10" s="1"/>
  <c r="N192" i="10"/>
  <c r="H192" i="10"/>
  <c r="C192" i="10"/>
  <c r="I192" i="10" s="1"/>
  <c r="B192" i="10"/>
  <c r="N191" i="10"/>
  <c r="I191" i="10"/>
  <c r="E191" i="10"/>
  <c r="C191" i="10"/>
  <c r="B191" i="10"/>
  <c r="H191" i="10" s="1"/>
  <c r="N190" i="10"/>
  <c r="H190" i="10"/>
  <c r="C190" i="10"/>
  <c r="B190" i="10"/>
  <c r="N189" i="10"/>
  <c r="I189" i="10"/>
  <c r="E189" i="10"/>
  <c r="C189" i="10"/>
  <c r="B189" i="10"/>
  <c r="H189" i="10" s="1"/>
  <c r="N188" i="10"/>
  <c r="H188" i="10"/>
  <c r="C188" i="10"/>
  <c r="I188" i="10" s="1"/>
  <c r="B188" i="10"/>
  <c r="N187" i="10"/>
  <c r="I187" i="10"/>
  <c r="E187" i="10"/>
  <c r="C187" i="10"/>
  <c r="B187" i="10"/>
  <c r="H187" i="10" s="1"/>
  <c r="N186" i="10"/>
  <c r="H186" i="10"/>
  <c r="C186" i="10"/>
  <c r="B186" i="10"/>
  <c r="N185" i="10"/>
  <c r="I185" i="10"/>
  <c r="E185" i="10"/>
  <c r="C185" i="10"/>
  <c r="B185" i="10"/>
  <c r="H185" i="10" s="1"/>
  <c r="N184" i="10"/>
  <c r="H184" i="10"/>
  <c r="C184" i="10"/>
  <c r="I184" i="10" s="1"/>
  <c r="B184" i="10"/>
  <c r="N183" i="10"/>
  <c r="I183" i="10"/>
  <c r="E183" i="10"/>
  <c r="C183" i="10"/>
  <c r="B183" i="10"/>
  <c r="H183" i="10" s="1"/>
  <c r="N182" i="10"/>
  <c r="H182" i="10"/>
  <c r="C182" i="10"/>
  <c r="B182" i="10"/>
  <c r="N181" i="10"/>
  <c r="I181" i="10"/>
  <c r="E181" i="10"/>
  <c r="C181" i="10"/>
  <c r="B181" i="10"/>
  <c r="H181" i="10" s="1"/>
  <c r="N180" i="10"/>
  <c r="H180" i="10"/>
  <c r="C180" i="10"/>
  <c r="I180" i="10" s="1"/>
  <c r="B180" i="10"/>
  <c r="N179" i="10"/>
  <c r="I179" i="10"/>
  <c r="E179" i="10"/>
  <c r="C179" i="10"/>
  <c r="B179" i="10"/>
  <c r="H179" i="10" s="1"/>
  <c r="N178" i="10"/>
  <c r="H178" i="10"/>
  <c r="C178" i="10"/>
  <c r="B178" i="10"/>
  <c r="N177" i="10"/>
  <c r="I177" i="10"/>
  <c r="E177" i="10"/>
  <c r="C177" i="10"/>
  <c r="B177" i="10"/>
  <c r="H177" i="10" s="1"/>
  <c r="N176" i="10"/>
  <c r="H176" i="10"/>
  <c r="C176" i="10"/>
  <c r="I176" i="10" s="1"/>
  <c r="B176" i="10"/>
  <c r="N175" i="10"/>
  <c r="I175" i="10"/>
  <c r="E175" i="10"/>
  <c r="C175" i="10"/>
  <c r="B175" i="10"/>
  <c r="H175" i="10" s="1"/>
  <c r="N174" i="10"/>
  <c r="H174" i="10"/>
  <c r="C174" i="10"/>
  <c r="B174" i="10"/>
  <c r="N173" i="10"/>
  <c r="I173" i="10"/>
  <c r="E173" i="10"/>
  <c r="C173" i="10"/>
  <c r="B173" i="10"/>
  <c r="H173" i="10" s="1"/>
  <c r="N172" i="10"/>
  <c r="H172" i="10"/>
  <c r="C172" i="10"/>
  <c r="I172" i="10" s="1"/>
  <c r="B172" i="10"/>
  <c r="N171" i="10"/>
  <c r="I171" i="10"/>
  <c r="E171" i="10"/>
  <c r="C171" i="10"/>
  <c r="B171" i="10"/>
  <c r="H171" i="10" s="1"/>
  <c r="N170" i="10"/>
  <c r="H170" i="10"/>
  <c r="C170" i="10"/>
  <c r="B170" i="10"/>
  <c r="N169" i="10"/>
  <c r="I169" i="10"/>
  <c r="E169" i="10"/>
  <c r="C169" i="10"/>
  <c r="B169" i="10"/>
  <c r="H169" i="10" s="1"/>
  <c r="N168" i="10"/>
  <c r="H168" i="10"/>
  <c r="C168" i="10"/>
  <c r="I168" i="10" s="1"/>
  <c r="B168" i="10"/>
  <c r="N167" i="10"/>
  <c r="I167" i="10"/>
  <c r="E167" i="10"/>
  <c r="C167" i="10"/>
  <c r="B167" i="10"/>
  <c r="H167" i="10" s="1"/>
  <c r="N166" i="10"/>
  <c r="H166" i="10"/>
  <c r="C166" i="10"/>
  <c r="B166" i="10"/>
  <c r="N165" i="10"/>
  <c r="I165" i="10"/>
  <c r="E165" i="10"/>
  <c r="C165" i="10"/>
  <c r="B165" i="10"/>
  <c r="H165" i="10" s="1"/>
  <c r="N164" i="10"/>
  <c r="H164" i="10"/>
  <c r="C164" i="10"/>
  <c r="I164" i="10" s="1"/>
  <c r="B164" i="10"/>
  <c r="N163" i="10"/>
  <c r="I163" i="10"/>
  <c r="E163" i="10"/>
  <c r="C163" i="10"/>
  <c r="B163" i="10"/>
  <c r="H163" i="10" s="1"/>
  <c r="N162" i="10"/>
  <c r="H162" i="10"/>
  <c r="C162" i="10"/>
  <c r="B162" i="10"/>
  <c r="N161" i="10"/>
  <c r="I161" i="10"/>
  <c r="E161" i="10"/>
  <c r="C161" i="10"/>
  <c r="B161" i="10"/>
  <c r="H161" i="10" s="1"/>
  <c r="N160" i="10"/>
  <c r="H160" i="10"/>
  <c r="C160" i="10"/>
  <c r="I160" i="10" s="1"/>
  <c r="B160" i="10"/>
  <c r="N159" i="10"/>
  <c r="I159" i="10"/>
  <c r="E159" i="10"/>
  <c r="C159" i="10"/>
  <c r="B159" i="10"/>
  <c r="H159" i="10" s="1"/>
  <c r="N158" i="10"/>
  <c r="H158" i="10"/>
  <c r="C158" i="10"/>
  <c r="B158" i="10"/>
  <c r="N157" i="10"/>
  <c r="I157" i="10"/>
  <c r="E157" i="10"/>
  <c r="C157" i="10"/>
  <c r="B157" i="10"/>
  <c r="H157" i="10" s="1"/>
  <c r="N156" i="10"/>
  <c r="H156" i="10"/>
  <c r="C156" i="10"/>
  <c r="I156" i="10" s="1"/>
  <c r="B156" i="10"/>
  <c r="N155" i="10"/>
  <c r="I155" i="10"/>
  <c r="E155" i="10"/>
  <c r="C155" i="10"/>
  <c r="B155" i="10"/>
  <c r="H155" i="10" s="1"/>
  <c r="N154" i="10"/>
  <c r="H154" i="10"/>
  <c r="C154" i="10"/>
  <c r="B154" i="10"/>
  <c r="N153" i="10"/>
  <c r="I153" i="10"/>
  <c r="E153" i="10"/>
  <c r="C153" i="10"/>
  <c r="B153" i="10"/>
  <c r="H153" i="10" s="1"/>
  <c r="N152" i="10"/>
  <c r="H152" i="10"/>
  <c r="C152" i="10"/>
  <c r="I152" i="10" s="1"/>
  <c r="B152" i="10"/>
  <c r="N151" i="10"/>
  <c r="I151" i="10"/>
  <c r="E151" i="10"/>
  <c r="C151" i="10"/>
  <c r="B151" i="10"/>
  <c r="H151" i="10" s="1"/>
  <c r="N150" i="10"/>
  <c r="H150" i="10"/>
  <c r="C150" i="10"/>
  <c r="B150" i="10"/>
  <c r="N149" i="10"/>
  <c r="I149" i="10"/>
  <c r="E149" i="10"/>
  <c r="C149" i="10"/>
  <c r="B149" i="10"/>
  <c r="H149" i="10" s="1"/>
  <c r="N148" i="10"/>
  <c r="H148" i="10"/>
  <c r="C148" i="10"/>
  <c r="I148" i="10" s="1"/>
  <c r="B148" i="10"/>
  <c r="N147" i="10"/>
  <c r="I147" i="10"/>
  <c r="E147" i="10"/>
  <c r="C147" i="10"/>
  <c r="B147" i="10"/>
  <c r="H147" i="10" s="1"/>
  <c r="N146" i="10"/>
  <c r="H146" i="10"/>
  <c r="C146" i="10"/>
  <c r="B146" i="10"/>
  <c r="N145" i="10"/>
  <c r="I145" i="10"/>
  <c r="E145" i="10"/>
  <c r="C145" i="10"/>
  <c r="B145" i="10"/>
  <c r="H145" i="10" s="1"/>
  <c r="N144" i="10"/>
  <c r="H144" i="10"/>
  <c r="C144" i="10"/>
  <c r="I144" i="10" s="1"/>
  <c r="B144" i="10"/>
  <c r="N143" i="10"/>
  <c r="I143" i="10"/>
  <c r="E143" i="10"/>
  <c r="C143" i="10"/>
  <c r="B143" i="10"/>
  <c r="H143" i="10" s="1"/>
  <c r="N142" i="10"/>
  <c r="H142" i="10"/>
  <c r="C142" i="10"/>
  <c r="B142" i="10"/>
  <c r="N141" i="10"/>
  <c r="I141" i="10"/>
  <c r="E141" i="10"/>
  <c r="C141" i="10"/>
  <c r="B141" i="10"/>
  <c r="H141" i="10" s="1"/>
  <c r="N140" i="10"/>
  <c r="H140" i="10"/>
  <c r="C140" i="10"/>
  <c r="I140" i="10" s="1"/>
  <c r="B140" i="10"/>
  <c r="N139" i="10"/>
  <c r="I139" i="10"/>
  <c r="E139" i="10"/>
  <c r="C139" i="10"/>
  <c r="B139" i="10"/>
  <c r="H139" i="10" s="1"/>
  <c r="N138" i="10"/>
  <c r="H138" i="10"/>
  <c r="C138" i="10"/>
  <c r="B138" i="10"/>
  <c r="N137" i="10"/>
  <c r="I137" i="10"/>
  <c r="E137" i="10"/>
  <c r="C137" i="10"/>
  <c r="B137" i="10"/>
  <c r="H137" i="10" s="1"/>
  <c r="N136" i="10"/>
  <c r="H136" i="10"/>
  <c r="C136" i="10"/>
  <c r="I136" i="10" s="1"/>
  <c r="B136" i="10"/>
  <c r="N135" i="10"/>
  <c r="I135" i="10"/>
  <c r="E135" i="10"/>
  <c r="C135" i="10"/>
  <c r="B135" i="10"/>
  <c r="H135" i="10" s="1"/>
  <c r="N134" i="10"/>
  <c r="H134" i="10"/>
  <c r="C134" i="10"/>
  <c r="B134" i="10"/>
  <c r="N133" i="10"/>
  <c r="I133" i="10"/>
  <c r="E133" i="10"/>
  <c r="C133" i="10"/>
  <c r="B133" i="10"/>
  <c r="H133" i="10" s="1"/>
  <c r="N132" i="10"/>
  <c r="H132" i="10"/>
  <c r="C132" i="10"/>
  <c r="I132" i="10" s="1"/>
  <c r="B132" i="10"/>
  <c r="N131" i="10"/>
  <c r="I131" i="10"/>
  <c r="E131" i="10"/>
  <c r="C131" i="10"/>
  <c r="B131" i="10"/>
  <c r="H131" i="10" s="1"/>
  <c r="N130" i="10"/>
  <c r="H130" i="10"/>
  <c r="C130" i="10"/>
  <c r="B130" i="10"/>
  <c r="N129" i="10"/>
  <c r="I129" i="10"/>
  <c r="E129" i="10"/>
  <c r="C129" i="10"/>
  <c r="B129" i="10"/>
  <c r="H129" i="10" s="1"/>
  <c r="N128" i="10"/>
  <c r="H128" i="10"/>
  <c r="C128" i="10"/>
  <c r="I128" i="10" s="1"/>
  <c r="B128" i="10"/>
  <c r="N127" i="10"/>
  <c r="I127" i="10"/>
  <c r="E127" i="10"/>
  <c r="C127" i="10"/>
  <c r="B127" i="10"/>
  <c r="H127" i="10" s="1"/>
  <c r="N126" i="10"/>
  <c r="H126" i="10"/>
  <c r="C126" i="10"/>
  <c r="B126" i="10"/>
  <c r="N125" i="10"/>
  <c r="I125" i="10"/>
  <c r="E125" i="10"/>
  <c r="C125" i="10"/>
  <c r="B125" i="10"/>
  <c r="H125" i="10" s="1"/>
  <c r="N124" i="10"/>
  <c r="H124" i="10"/>
  <c r="C124" i="10"/>
  <c r="I124" i="10" s="1"/>
  <c r="B124" i="10"/>
  <c r="N123" i="10"/>
  <c r="I123" i="10"/>
  <c r="E123" i="10"/>
  <c r="C123" i="10"/>
  <c r="B123" i="10"/>
  <c r="H123" i="10" s="1"/>
  <c r="N122" i="10"/>
  <c r="H122" i="10"/>
  <c r="C122" i="10"/>
  <c r="B122" i="10"/>
  <c r="N121" i="10"/>
  <c r="I121" i="10"/>
  <c r="E121" i="10"/>
  <c r="C121" i="10"/>
  <c r="B121" i="10"/>
  <c r="H121" i="10" s="1"/>
  <c r="N120" i="10"/>
  <c r="H120" i="10"/>
  <c r="C120" i="10"/>
  <c r="I120" i="10" s="1"/>
  <c r="B120" i="10"/>
  <c r="N119" i="10"/>
  <c r="I119" i="10"/>
  <c r="E119" i="10"/>
  <c r="C119" i="10"/>
  <c r="B119" i="10"/>
  <c r="H119" i="10" s="1"/>
  <c r="N118" i="10"/>
  <c r="H118" i="10"/>
  <c r="C118" i="10"/>
  <c r="B118" i="10"/>
  <c r="N117" i="10"/>
  <c r="I117" i="10"/>
  <c r="E117" i="10"/>
  <c r="C117" i="10"/>
  <c r="B117" i="10"/>
  <c r="H117" i="10" s="1"/>
  <c r="N116" i="10"/>
  <c r="H116" i="10"/>
  <c r="C116" i="10"/>
  <c r="I116" i="10" s="1"/>
  <c r="B116" i="10"/>
  <c r="N115" i="10"/>
  <c r="I115" i="10"/>
  <c r="E115" i="10"/>
  <c r="C115" i="10"/>
  <c r="B115" i="10"/>
  <c r="H115" i="10" s="1"/>
  <c r="N114" i="10"/>
  <c r="H114" i="10"/>
  <c r="C114" i="10"/>
  <c r="B114" i="10"/>
  <c r="N113" i="10"/>
  <c r="I113" i="10"/>
  <c r="E113" i="10"/>
  <c r="C113" i="10"/>
  <c r="B113" i="10"/>
  <c r="H113" i="10" s="1"/>
  <c r="N112" i="10"/>
  <c r="H112" i="10"/>
  <c r="C112" i="10"/>
  <c r="I112" i="10" s="1"/>
  <c r="B112" i="10"/>
  <c r="N111" i="10"/>
  <c r="I111" i="10"/>
  <c r="E111" i="10"/>
  <c r="C111" i="10"/>
  <c r="B111" i="10"/>
  <c r="H111" i="10" s="1"/>
  <c r="N110" i="10"/>
  <c r="H110" i="10"/>
  <c r="C110" i="10"/>
  <c r="B110" i="10"/>
  <c r="N109" i="10"/>
  <c r="I109" i="10"/>
  <c r="E109" i="10"/>
  <c r="C109" i="10"/>
  <c r="B109" i="10"/>
  <c r="H109" i="10" s="1"/>
  <c r="N108" i="10"/>
  <c r="H108" i="10"/>
  <c r="C108" i="10"/>
  <c r="I108" i="10" s="1"/>
  <c r="B108" i="10"/>
  <c r="N107" i="10"/>
  <c r="I107" i="10"/>
  <c r="E107" i="10"/>
  <c r="C107" i="10"/>
  <c r="B107" i="10"/>
  <c r="H107" i="10" s="1"/>
  <c r="N106" i="10"/>
  <c r="H106" i="10"/>
  <c r="C106" i="10"/>
  <c r="B106" i="10"/>
  <c r="N105" i="10"/>
  <c r="I105" i="10"/>
  <c r="E105" i="10"/>
  <c r="C105" i="10"/>
  <c r="B105" i="10"/>
  <c r="H105" i="10" s="1"/>
  <c r="N104" i="10"/>
  <c r="H104" i="10"/>
  <c r="C104" i="10"/>
  <c r="I104" i="10" s="1"/>
  <c r="B104" i="10"/>
  <c r="N103" i="10"/>
  <c r="I103" i="10"/>
  <c r="E103" i="10"/>
  <c r="C103" i="10"/>
  <c r="B103" i="10"/>
  <c r="H103" i="10" s="1"/>
  <c r="N102" i="10"/>
  <c r="H102" i="10"/>
  <c r="C102" i="10"/>
  <c r="B102" i="10"/>
  <c r="N101" i="10"/>
  <c r="I101" i="10"/>
  <c r="E101" i="10"/>
  <c r="C101" i="10"/>
  <c r="B101" i="10"/>
  <c r="H101" i="10" s="1"/>
  <c r="N100" i="10"/>
  <c r="H100" i="10"/>
  <c r="C100" i="10"/>
  <c r="I100" i="10" s="1"/>
  <c r="B100" i="10"/>
  <c r="N99" i="10"/>
  <c r="I99" i="10"/>
  <c r="E99" i="10"/>
  <c r="C99" i="10"/>
  <c r="B99" i="10"/>
  <c r="H99" i="10" s="1"/>
  <c r="N98" i="10"/>
  <c r="H98" i="10"/>
  <c r="C98" i="10"/>
  <c r="B98" i="10"/>
  <c r="N97" i="10"/>
  <c r="I97" i="10"/>
  <c r="E97" i="10"/>
  <c r="C97" i="10"/>
  <c r="B97" i="10"/>
  <c r="H97" i="10" s="1"/>
  <c r="N96" i="10"/>
  <c r="H96" i="10"/>
  <c r="C96" i="10"/>
  <c r="I96" i="10" s="1"/>
  <c r="B96" i="10"/>
  <c r="N95" i="10"/>
  <c r="I95" i="10"/>
  <c r="E95" i="10"/>
  <c r="C95" i="10"/>
  <c r="B95" i="10"/>
  <c r="H95" i="10" s="1"/>
  <c r="N94" i="10"/>
  <c r="H94" i="10"/>
  <c r="C94" i="10"/>
  <c r="B94" i="10"/>
  <c r="N93" i="10"/>
  <c r="I93" i="10"/>
  <c r="E93" i="10"/>
  <c r="C93" i="10"/>
  <c r="B93" i="10"/>
  <c r="H93" i="10" s="1"/>
  <c r="N92" i="10"/>
  <c r="H92" i="10"/>
  <c r="C92" i="10"/>
  <c r="I92" i="10" s="1"/>
  <c r="B92" i="10"/>
  <c r="N91" i="10"/>
  <c r="I91" i="10"/>
  <c r="E91" i="10"/>
  <c r="C91" i="10"/>
  <c r="B91" i="10"/>
  <c r="H91" i="10" s="1"/>
  <c r="N90" i="10"/>
  <c r="H90" i="10"/>
  <c r="C90" i="10"/>
  <c r="B90" i="10"/>
  <c r="N89" i="10"/>
  <c r="I89" i="10"/>
  <c r="E89" i="10"/>
  <c r="C89" i="10"/>
  <c r="B89" i="10"/>
  <c r="H89" i="10" s="1"/>
  <c r="N88" i="10"/>
  <c r="H88" i="10"/>
  <c r="C88" i="10"/>
  <c r="I88" i="10" s="1"/>
  <c r="B88" i="10"/>
  <c r="N87" i="10"/>
  <c r="I87" i="10"/>
  <c r="E87" i="10"/>
  <c r="C87" i="10"/>
  <c r="B87" i="10"/>
  <c r="H87" i="10" s="1"/>
  <c r="N86" i="10"/>
  <c r="H86" i="10"/>
  <c r="C86" i="10"/>
  <c r="B86" i="10"/>
  <c r="N85" i="10"/>
  <c r="I85" i="10"/>
  <c r="E85" i="10"/>
  <c r="C85" i="10"/>
  <c r="B85" i="10"/>
  <c r="H85" i="10" s="1"/>
  <c r="N84" i="10"/>
  <c r="H84" i="10"/>
  <c r="C84" i="10"/>
  <c r="I84" i="10" s="1"/>
  <c r="B84" i="10"/>
  <c r="N83" i="10"/>
  <c r="I83" i="10"/>
  <c r="E83" i="10"/>
  <c r="C83" i="10"/>
  <c r="B83" i="10"/>
  <c r="H83" i="10" s="1"/>
  <c r="N82" i="10"/>
  <c r="H82" i="10"/>
  <c r="C82" i="10"/>
  <c r="B82" i="10"/>
  <c r="N81" i="10"/>
  <c r="I81" i="10"/>
  <c r="E81" i="10"/>
  <c r="C81" i="10"/>
  <c r="B81" i="10"/>
  <c r="H81" i="10" s="1"/>
  <c r="N80" i="10"/>
  <c r="H80" i="10"/>
  <c r="C80" i="10"/>
  <c r="I80" i="10" s="1"/>
  <c r="B80" i="10"/>
  <c r="N79" i="10"/>
  <c r="I79" i="10"/>
  <c r="E79" i="10"/>
  <c r="C79" i="10"/>
  <c r="B79" i="10"/>
  <c r="H79" i="10" s="1"/>
  <c r="N78" i="10"/>
  <c r="H78" i="10"/>
  <c r="C78" i="10"/>
  <c r="B78" i="10"/>
  <c r="N77" i="10"/>
  <c r="K77" i="10"/>
  <c r="I77" i="10"/>
  <c r="E77" i="10"/>
  <c r="C77" i="10"/>
  <c r="B77" i="10"/>
  <c r="H77" i="10" s="1"/>
  <c r="N76" i="10"/>
  <c r="H76" i="10"/>
  <c r="C76" i="10"/>
  <c r="I76" i="10" s="1"/>
  <c r="B76" i="10"/>
  <c r="N75" i="10"/>
  <c r="K75" i="10"/>
  <c r="I75" i="10"/>
  <c r="E75" i="10"/>
  <c r="C75" i="10"/>
  <c r="B75" i="10"/>
  <c r="H75" i="10" s="1"/>
  <c r="N74" i="10"/>
  <c r="H74" i="10"/>
  <c r="C74" i="10"/>
  <c r="K74" i="10" s="1"/>
  <c r="B74" i="10"/>
  <c r="N73" i="10"/>
  <c r="K73" i="10"/>
  <c r="I73" i="10"/>
  <c r="E73" i="10"/>
  <c r="C73" i="10"/>
  <c r="B73" i="10"/>
  <c r="H73" i="10" s="1"/>
  <c r="N72" i="10"/>
  <c r="H72" i="10"/>
  <c r="C72" i="10"/>
  <c r="I72" i="10" s="1"/>
  <c r="B72" i="10"/>
  <c r="N71" i="10"/>
  <c r="K71" i="10"/>
  <c r="I71" i="10"/>
  <c r="E71" i="10"/>
  <c r="C71" i="10"/>
  <c r="B71" i="10"/>
  <c r="H71" i="10" s="1"/>
  <c r="N70" i="10"/>
  <c r="H70" i="10"/>
  <c r="C70" i="10"/>
  <c r="K70" i="10" s="1"/>
  <c r="B70" i="10"/>
  <c r="N69" i="10"/>
  <c r="K69" i="10"/>
  <c r="I69" i="10"/>
  <c r="E69" i="10"/>
  <c r="C69" i="10"/>
  <c r="B69" i="10"/>
  <c r="H69" i="10" s="1"/>
  <c r="N68" i="10"/>
  <c r="H68" i="10"/>
  <c r="C68" i="10"/>
  <c r="I68" i="10" s="1"/>
  <c r="B68" i="10"/>
  <c r="N67" i="10"/>
  <c r="K67" i="10"/>
  <c r="I67" i="10"/>
  <c r="E67" i="10"/>
  <c r="C67" i="10"/>
  <c r="B67" i="10"/>
  <c r="H67" i="10" s="1"/>
  <c r="N66" i="10"/>
  <c r="H66" i="10"/>
  <c r="C66" i="10"/>
  <c r="K66" i="10" s="1"/>
  <c r="B66" i="10"/>
  <c r="N65" i="10"/>
  <c r="K65" i="10"/>
  <c r="I65" i="10"/>
  <c r="E65" i="10"/>
  <c r="C65" i="10"/>
  <c r="B65" i="10"/>
  <c r="H65" i="10" s="1"/>
  <c r="N64" i="10"/>
  <c r="H64" i="10"/>
  <c r="C64" i="10"/>
  <c r="I64" i="10" s="1"/>
  <c r="B64" i="10"/>
  <c r="N63" i="10"/>
  <c r="K63" i="10"/>
  <c r="I63" i="10"/>
  <c r="E63" i="10"/>
  <c r="C63" i="10"/>
  <c r="B63" i="10"/>
  <c r="H63" i="10" s="1"/>
  <c r="N62" i="10"/>
  <c r="H62" i="10"/>
  <c r="C62" i="10"/>
  <c r="K62" i="10" s="1"/>
  <c r="B62" i="10"/>
  <c r="N61" i="10"/>
  <c r="K61" i="10"/>
  <c r="I61" i="10"/>
  <c r="E61" i="10"/>
  <c r="C61" i="10"/>
  <c r="B61" i="10"/>
  <c r="H61" i="10" s="1"/>
  <c r="N60" i="10"/>
  <c r="H60" i="10"/>
  <c r="C60" i="10"/>
  <c r="I60" i="10" s="1"/>
  <c r="B60" i="10"/>
  <c r="N59" i="10"/>
  <c r="K59" i="10"/>
  <c r="I59" i="10"/>
  <c r="E59" i="10"/>
  <c r="C59" i="10"/>
  <c r="B59" i="10"/>
  <c r="H59" i="10" s="1"/>
  <c r="N58" i="10"/>
  <c r="H58" i="10"/>
  <c r="C58" i="10"/>
  <c r="K58" i="10" s="1"/>
  <c r="B58" i="10"/>
  <c r="N57" i="10"/>
  <c r="K57" i="10"/>
  <c r="I57" i="10"/>
  <c r="E57" i="10"/>
  <c r="C57" i="10"/>
  <c r="B57" i="10"/>
  <c r="H57" i="10" s="1"/>
  <c r="N56" i="10"/>
  <c r="H56" i="10"/>
  <c r="C56" i="10"/>
  <c r="I56" i="10" s="1"/>
  <c r="B56" i="10"/>
  <c r="N55" i="10"/>
  <c r="K55" i="10"/>
  <c r="I55" i="10"/>
  <c r="E55" i="10"/>
  <c r="C55" i="10"/>
  <c r="B55" i="10"/>
  <c r="H55" i="10" s="1"/>
  <c r="N54" i="10"/>
  <c r="H54" i="10"/>
  <c r="C54" i="10"/>
  <c r="K54" i="10" s="1"/>
  <c r="B54" i="10"/>
  <c r="N53" i="10"/>
  <c r="K53" i="10"/>
  <c r="I53" i="10"/>
  <c r="E53" i="10"/>
  <c r="C53" i="10"/>
  <c r="B53" i="10"/>
  <c r="H53" i="10" s="1"/>
  <c r="N52" i="10"/>
  <c r="H52" i="10"/>
  <c r="C52" i="10"/>
  <c r="I52" i="10" s="1"/>
  <c r="B52" i="10"/>
  <c r="N51" i="10"/>
  <c r="K51" i="10"/>
  <c r="I51" i="10"/>
  <c r="E51" i="10"/>
  <c r="C51" i="10"/>
  <c r="B51" i="10"/>
  <c r="H51" i="10" s="1"/>
  <c r="N50" i="10"/>
  <c r="H50" i="10"/>
  <c r="C50" i="10"/>
  <c r="K50" i="10" s="1"/>
  <c r="B50" i="10"/>
  <c r="N49" i="10"/>
  <c r="K49" i="10"/>
  <c r="I49" i="10"/>
  <c r="E49" i="10"/>
  <c r="C49" i="10"/>
  <c r="B49" i="10"/>
  <c r="H49" i="10" s="1"/>
  <c r="N48" i="10"/>
  <c r="H48" i="10"/>
  <c r="C48" i="10"/>
  <c r="I48" i="10" s="1"/>
  <c r="B48" i="10"/>
  <c r="N47" i="10"/>
  <c r="K47" i="10"/>
  <c r="I47" i="10"/>
  <c r="E47" i="10"/>
  <c r="C47" i="10"/>
  <c r="B47" i="10"/>
  <c r="H47" i="10" s="1"/>
  <c r="N46" i="10"/>
  <c r="H46" i="10"/>
  <c r="C46" i="10"/>
  <c r="K46" i="10" s="1"/>
  <c r="B46" i="10"/>
  <c r="N45" i="10"/>
  <c r="K45" i="10"/>
  <c r="I45" i="10"/>
  <c r="E45" i="10"/>
  <c r="C45" i="10"/>
  <c r="B45" i="10"/>
  <c r="H45" i="10" s="1"/>
  <c r="N44" i="10"/>
  <c r="H44" i="10"/>
  <c r="C44" i="10"/>
  <c r="I44" i="10" s="1"/>
  <c r="B44" i="10"/>
  <c r="N43" i="10"/>
  <c r="K43" i="10"/>
  <c r="I43" i="10"/>
  <c r="E43" i="10"/>
  <c r="C43" i="10"/>
  <c r="B43" i="10"/>
  <c r="H43" i="10" s="1"/>
  <c r="N42" i="10"/>
  <c r="H42" i="10"/>
  <c r="C42" i="10"/>
  <c r="K42" i="10" s="1"/>
  <c r="B42" i="10"/>
  <c r="N41" i="10"/>
  <c r="K41" i="10"/>
  <c r="I41" i="10"/>
  <c r="E41" i="10"/>
  <c r="C41" i="10"/>
  <c r="B41" i="10"/>
  <c r="H41" i="10" s="1"/>
  <c r="N40" i="10"/>
  <c r="H40" i="10"/>
  <c r="C40" i="10"/>
  <c r="I40" i="10" s="1"/>
  <c r="B40" i="10"/>
  <c r="N39" i="10"/>
  <c r="K39" i="10"/>
  <c r="I39" i="10"/>
  <c r="E39" i="10"/>
  <c r="C39" i="10"/>
  <c r="B39" i="10"/>
  <c r="H39" i="10" s="1"/>
  <c r="N38" i="10"/>
  <c r="H38" i="10"/>
  <c r="C38" i="10"/>
  <c r="K38" i="10" s="1"/>
  <c r="B38" i="10"/>
  <c r="N37" i="10"/>
  <c r="K37" i="10"/>
  <c r="I37" i="10"/>
  <c r="E37" i="10"/>
  <c r="C37" i="10"/>
  <c r="B37" i="10"/>
  <c r="H37" i="10" s="1"/>
  <c r="N36" i="10"/>
  <c r="H36" i="10"/>
  <c r="C36" i="10"/>
  <c r="I36" i="10" s="1"/>
  <c r="B36" i="10"/>
  <c r="N35" i="10"/>
  <c r="K35" i="10"/>
  <c r="I35" i="10"/>
  <c r="E35" i="10"/>
  <c r="C35" i="10"/>
  <c r="B35" i="10"/>
  <c r="H35" i="10" s="1"/>
  <c r="N34" i="10"/>
  <c r="H34" i="10"/>
  <c r="C34" i="10"/>
  <c r="K34" i="10" s="1"/>
  <c r="B34" i="10"/>
  <c r="N33" i="10"/>
  <c r="K33" i="10"/>
  <c r="I33" i="10"/>
  <c r="E33" i="10"/>
  <c r="C33" i="10"/>
  <c r="B33" i="10"/>
  <c r="H33" i="10" s="1"/>
  <c r="N32" i="10"/>
  <c r="H32" i="10"/>
  <c r="C32" i="10"/>
  <c r="I32" i="10" s="1"/>
  <c r="B32" i="10"/>
  <c r="N31" i="10"/>
  <c r="K31" i="10"/>
  <c r="I31" i="10"/>
  <c r="E31" i="10"/>
  <c r="C31" i="10"/>
  <c r="B31" i="10"/>
  <c r="H31" i="10" s="1"/>
  <c r="N30" i="10"/>
  <c r="H30" i="10"/>
  <c r="C30" i="10"/>
  <c r="K30" i="10" s="1"/>
  <c r="B30" i="10"/>
  <c r="N29" i="10"/>
  <c r="K29" i="10"/>
  <c r="I29" i="10"/>
  <c r="E29" i="10"/>
  <c r="C29" i="10"/>
  <c r="B29" i="10"/>
  <c r="H29" i="10" s="1"/>
  <c r="N28" i="10"/>
  <c r="H28" i="10"/>
  <c r="C28" i="10"/>
  <c r="I28" i="10" s="1"/>
  <c r="B28" i="10"/>
  <c r="N27" i="10"/>
  <c r="K27" i="10"/>
  <c r="I27" i="10"/>
  <c r="E27" i="10"/>
  <c r="C27" i="10"/>
  <c r="B27" i="10"/>
  <c r="H27" i="10" s="1"/>
  <c r="N26" i="10"/>
  <c r="H26" i="10"/>
  <c r="C26" i="10"/>
  <c r="K26" i="10" s="1"/>
  <c r="B26" i="10"/>
  <c r="N25" i="10"/>
  <c r="K25" i="10"/>
  <c r="I25" i="10"/>
  <c r="E25" i="10"/>
  <c r="C25" i="10"/>
  <c r="B25" i="10"/>
  <c r="H25" i="10" s="1"/>
  <c r="N24" i="10"/>
  <c r="H24" i="10"/>
  <c r="C24" i="10"/>
  <c r="I24" i="10" s="1"/>
  <c r="B24" i="10"/>
  <c r="N23" i="10"/>
  <c r="K23" i="10"/>
  <c r="I23" i="10"/>
  <c r="E23" i="10"/>
  <c r="C23" i="10"/>
  <c r="B23" i="10"/>
  <c r="H23" i="10" s="1"/>
  <c r="N22" i="10"/>
  <c r="H22" i="10"/>
  <c r="C22" i="10"/>
  <c r="K22" i="10" s="1"/>
  <c r="B22" i="10"/>
  <c r="N21" i="10"/>
  <c r="K21" i="10"/>
  <c r="I21" i="10"/>
  <c r="E21" i="10"/>
  <c r="C21" i="10"/>
  <c r="B21" i="10"/>
  <c r="H21" i="10" s="1"/>
  <c r="N20" i="10"/>
  <c r="H20" i="10"/>
  <c r="C20" i="10"/>
  <c r="I20" i="10" s="1"/>
  <c r="B20" i="10"/>
  <c r="N19" i="10"/>
  <c r="K19" i="10"/>
  <c r="I19" i="10"/>
  <c r="E19" i="10"/>
  <c r="C19" i="10"/>
  <c r="B19" i="10"/>
  <c r="H19" i="10" s="1"/>
  <c r="N18" i="10"/>
  <c r="H18" i="10"/>
  <c r="C18" i="10"/>
  <c r="K18" i="10" s="1"/>
  <c r="B18" i="10"/>
  <c r="N17" i="10"/>
  <c r="K17" i="10"/>
  <c r="I17" i="10"/>
  <c r="E17" i="10"/>
  <c r="C17" i="10"/>
  <c r="B17" i="10"/>
  <c r="H17" i="10" s="1"/>
  <c r="N16" i="10"/>
  <c r="H16" i="10"/>
  <c r="C16" i="10"/>
  <c r="I16" i="10" s="1"/>
  <c r="B16" i="10"/>
  <c r="N15" i="10"/>
  <c r="K15" i="10"/>
  <c r="I15" i="10"/>
  <c r="E15" i="10"/>
  <c r="C15" i="10"/>
  <c r="B15" i="10"/>
  <c r="H15" i="10" s="1"/>
  <c r="N14" i="10"/>
  <c r="H14" i="10"/>
  <c r="C14" i="10"/>
  <c r="K14" i="10" s="1"/>
  <c r="B14" i="10"/>
  <c r="N13" i="10"/>
  <c r="K13" i="10"/>
  <c r="I13" i="10"/>
  <c r="E13" i="10"/>
  <c r="C13" i="10"/>
  <c r="B13" i="10"/>
  <c r="H13" i="10" s="1"/>
  <c r="N12" i="10"/>
  <c r="H12" i="10"/>
  <c r="C12" i="10"/>
  <c r="I12" i="10" s="1"/>
  <c r="B12" i="10"/>
  <c r="N11" i="10"/>
  <c r="K11" i="10"/>
  <c r="I11" i="10"/>
  <c r="E11" i="10"/>
  <c r="C11" i="10"/>
  <c r="B11" i="10"/>
  <c r="H11" i="10" s="1"/>
  <c r="K7" i="10"/>
  <c r="C6" i="10" a="1"/>
  <c r="C6" i="10" s="1"/>
  <c r="D6" i="10" s="1" a="1"/>
  <c r="D6" i="10" s="1"/>
  <c r="N5" i="10"/>
  <c r="O5" i="10" s="1"/>
  <c r="B1" i="10"/>
  <c r="B3" i="10" s="1"/>
  <c r="Q1" i="12" s="1"/>
  <c r="D16" i="9"/>
  <c r="D11" i="9"/>
  <c r="E11" i="9" s="1"/>
  <c r="D7" i="9"/>
  <c r="E7" i="9" s="1"/>
  <c r="D6" i="9"/>
  <c r="E6" i="9" s="1"/>
  <c r="D5" i="9"/>
  <c r="E5" i="9" s="1"/>
  <c r="D4" i="9"/>
  <c r="E4" i="9" s="1"/>
  <c r="D3" i="9"/>
  <c r="D9" i="9" s="1"/>
  <c r="B87" i="8"/>
  <c r="B86" i="8"/>
  <c r="B85" i="8"/>
  <c r="B84" i="8"/>
  <c r="B83" i="8"/>
  <c r="B82" i="8"/>
  <c r="B81" i="8"/>
  <c r="B80" i="8"/>
  <c r="B79" i="8"/>
  <c r="B78" i="8"/>
  <c r="B77" i="8"/>
  <c r="B76" i="8"/>
  <c r="B75" i="8"/>
  <c r="B74" i="8"/>
  <c r="B73" i="8"/>
  <c r="B72" i="8"/>
  <c r="B71" i="8"/>
  <c r="B70" i="8"/>
  <c r="B69" i="8"/>
  <c r="B68" i="8"/>
  <c r="B67" i="8"/>
  <c r="B66" i="8"/>
  <c r="B65" i="8"/>
  <c r="B64" i="8"/>
  <c r="B63" i="8"/>
  <c r="B62" i="8"/>
  <c r="B61" i="8"/>
  <c r="B60" i="8"/>
  <c r="B59" i="8"/>
  <c r="B58" i="8"/>
  <c r="B57" i="8"/>
  <c r="B56" i="8"/>
  <c r="B55" i="8"/>
  <c r="B54" i="8"/>
  <c r="B53" i="8"/>
  <c r="B52" i="8"/>
  <c r="B51" i="8"/>
  <c r="B50" i="8"/>
  <c r="B49" i="8"/>
  <c r="B48" i="8"/>
  <c r="B47" i="8"/>
  <c r="B46" i="8"/>
  <c r="B45" i="8"/>
  <c r="B44" i="8"/>
  <c r="B43" i="8"/>
  <c r="B42" i="8"/>
  <c r="B41" i="8"/>
  <c r="B40" i="8"/>
  <c r="B39" i="8"/>
  <c r="B38" i="8"/>
  <c r="B37" i="8"/>
  <c r="B36" i="8"/>
  <c r="AC5" i="8"/>
  <c r="AB5" i="8"/>
  <c r="J30" i="3" s="1"/>
  <c r="AA5" i="8"/>
  <c r="Z5" i="8"/>
  <c r="J29" i="3" s="1"/>
  <c r="Y5" i="8"/>
  <c r="X5" i="8"/>
  <c r="J28" i="3" s="1"/>
  <c r="W5" i="8"/>
  <c r="V5" i="8"/>
  <c r="J27" i="3" s="1"/>
  <c r="U5" i="8"/>
  <c r="T5" i="8"/>
  <c r="S5" i="8"/>
  <c r="R5" i="8"/>
  <c r="P17" i="3" s="1"/>
  <c r="Q5" i="8"/>
  <c r="P5" i="8"/>
  <c r="J25" i="3" s="1"/>
  <c r="O5" i="8"/>
  <c r="N5" i="8"/>
  <c r="J24" i="3" s="1"/>
  <c r="M5" i="8"/>
  <c r="L5" i="8"/>
  <c r="J23" i="3" s="1"/>
  <c r="K5" i="8"/>
  <c r="J5" i="8"/>
  <c r="J22" i="3" s="1"/>
  <c r="I5" i="8"/>
  <c r="H5" i="8"/>
  <c r="J21" i="3" s="1"/>
  <c r="G5" i="8"/>
  <c r="F5" i="8"/>
  <c r="E5" i="8"/>
  <c r="D5" i="8"/>
  <c r="AC3" i="8"/>
  <c r="AC2" i="8" s="1"/>
  <c r="AA3" i="8"/>
  <c r="AA2" i="8" s="1"/>
  <c r="Y3" i="8"/>
  <c r="W3" i="8"/>
  <c r="W2" i="8" s="1"/>
  <c r="U3" i="8"/>
  <c r="U2" i="8" s="1"/>
  <c r="S3" i="8"/>
  <c r="S2" i="8" s="1"/>
  <c r="Q3" i="8"/>
  <c r="O3" i="8"/>
  <c r="O2" i="8" s="1"/>
  <c r="M3" i="8"/>
  <c r="M2" i="8" s="1"/>
  <c r="K3" i="8"/>
  <c r="K2" i="8" s="1"/>
  <c r="I3" i="8"/>
  <c r="I2" i="8" s="1"/>
  <c r="G3" i="8"/>
  <c r="G2" i="8" s="1"/>
  <c r="E3" i="8"/>
  <c r="E2" i="8" s="1"/>
  <c r="Y2" i="8"/>
  <c r="AB1" i="8"/>
  <c r="Z1" i="8"/>
  <c r="X1" i="8"/>
  <c r="V1" i="8"/>
  <c r="T1" i="8"/>
  <c r="R1" i="8"/>
  <c r="N1" i="8"/>
  <c r="L1" i="8"/>
  <c r="J1" i="8"/>
  <c r="H1" i="8"/>
  <c r="G1041" i="7"/>
  <c r="G1040" i="7" s="1"/>
  <c r="G1039" i="7" s="1"/>
  <c r="G1038" i="7" s="1"/>
  <c r="G1037" i="7" s="1"/>
  <c r="G1036" i="7" s="1"/>
  <c r="G1035" i="7" s="1"/>
  <c r="G1034" i="7" s="1"/>
  <c r="G1033" i="7" s="1"/>
  <c r="G1032" i="7" s="1"/>
  <c r="G1031" i="7" s="1"/>
  <c r="G1030" i="7" s="1"/>
  <c r="G1029" i="7" s="1"/>
  <c r="G1028" i="7" s="1"/>
  <c r="G1027" i="7" s="1"/>
  <c r="G1026" i="7" s="1"/>
  <c r="G1025" i="7" s="1"/>
  <c r="G1024" i="7" s="1"/>
  <c r="G1023" i="7" s="1"/>
  <c r="G1022" i="7" s="1"/>
  <c r="G1021" i="7" s="1"/>
  <c r="G1020" i="7" s="1"/>
  <c r="G1019" i="7" s="1"/>
  <c r="G1018" i="7" s="1"/>
  <c r="G1017" i="7" s="1"/>
  <c r="G1016" i="7" s="1"/>
  <c r="G1015" i="7" s="1"/>
  <c r="G1014" i="7" s="1"/>
  <c r="G1013" i="7" s="1"/>
  <c r="G1012" i="7" s="1"/>
  <c r="G1011" i="7" s="1"/>
  <c r="G1010" i="7" s="1"/>
  <c r="G1009" i="7" s="1"/>
  <c r="G1008" i="7" s="1"/>
  <c r="G1007" i="7" s="1"/>
  <c r="G1006" i="7" s="1"/>
  <c r="G1005" i="7" s="1"/>
  <c r="G1004" i="7" s="1"/>
  <c r="G1003" i="7" s="1"/>
  <c r="G1002" i="7" s="1"/>
  <c r="G1001" i="7" s="1"/>
  <c r="G1000" i="7" s="1"/>
  <c r="G999" i="7" s="1"/>
  <c r="G998" i="7" s="1"/>
  <c r="G997" i="7" s="1"/>
  <c r="G996" i="7" s="1"/>
  <c r="G995" i="7" s="1"/>
  <c r="G994" i="7" s="1"/>
  <c r="G993" i="7" s="1"/>
  <c r="G992" i="7" s="1"/>
  <c r="G991" i="7" s="1"/>
  <c r="G990" i="7" s="1"/>
  <c r="G989" i="7" s="1"/>
  <c r="G988" i="7" s="1"/>
  <c r="G987" i="7" s="1"/>
  <c r="G986" i="7" s="1"/>
  <c r="G985" i="7" s="1"/>
  <c r="G984" i="7" s="1"/>
  <c r="G983" i="7" s="1"/>
  <c r="G982" i="7" s="1"/>
  <c r="G981" i="7" s="1"/>
  <c r="G980" i="7" s="1"/>
  <c r="G979" i="7" s="1"/>
  <c r="G978" i="7" s="1"/>
  <c r="G977" i="7" s="1"/>
  <c r="G976" i="7" s="1"/>
  <c r="G975" i="7" s="1"/>
  <c r="G974" i="7" s="1"/>
  <c r="G973" i="7" s="1"/>
  <c r="G972" i="7" s="1"/>
  <c r="G971" i="7" s="1"/>
  <c r="G970" i="7" s="1"/>
  <c r="G969" i="7" s="1"/>
  <c r="G968" i="7" s="1"/>
  <c r="G967" i="7" s="1"/>
  <c r="G966" i="7" s="1"/>
  <c r="G965" i="7" s="1"/>
  <c r="G964" i="7" s="1"/>
  <c r="G963" i="7" s="1"/>
  <c r="G962" i="7" s="1"/>
  <c r="G961" i="7" s="1"/>
  <c r="G960" i="7" s="1"/>
  <c r="G959" i="7" s="1"/>
  <c r="G958" i="7" s="1"/>
  <c r="G957" i="7" s="1"/>
  <c r="G956" i="7" s="1"/>
  <c r="G955" i="7" s="1"/>
  <c r="G954" i="7" s="1"/>
  <c r="G953" i="7" s="1"/>
  <c r="G952" i="7" s="1"/>
  <c r="G951" i="7" s="1"/>
  <c r="G950" i="7" s="1"/>
  <c r="G949" i="7" s="1"/>
  <c r="G948" i="7" s="1"/>
  <c r="G947" i="7" s="1"/>
  <c r="G946" i="7" s="1"/>
  <c r="G945" i="7" s="1"/>
  <c r="G944" i="7" s="1"/>
  <c r="G943" i="7" s="1"/>
  <c r="G942" i="7" s="1"/>
  <c r="G941" i="7" s="1"/>
  <c r="G940" i="7" s="1"/>
  <c r="G939" i="7" s="1"/>
  <c r="G938" i="7" s="1"/>
  <c r="G937" i="7" s="1"/>
  <c r="G936" i="7" s="1"/>
  <c r="G935" i="7" s="1"/>
  <c r="G934" i="7" s="1"/>
  <c r="G933" i="7" s="1"/>
  <c r="G932" i="7" s="1"/>
  <c r="G931" i="7" s="1"/>
  <c r="G930" i="7" s="1"/>
  <c r="G929" i="7" s="1"/>
  <c r="G928" i="7" s="1"/>
  <c r="G927" i="7" s="1"/>
  <c r="G926" i="7" s="1"/>
  <c r="G925" i="7" s="1"/>
  <c r="G924" i="7" s="1"/>
  <c r="G923" i="7" s="1"/>
  <c r="G922" i="7" s="1"/>
  <c r="G921" i="7" s="1"/>
  <c r="G920" i="7" s="1"/>
  <c r="G919" i="7" s="1"/>
  <c r="G918" i="7" s="1"/>
  <c r="G917" i="7" s="1"/>
  <c r="G916" i="7" s="1"/>
  <c r="G915" i="7" s="1"/>
  <c r="G914" i="7" s="1"/>
  <c r="G913" i="7" s="1"/>
  <c r="G912" i="7" s="1"/>
  <c r="G911" i="7" s="1"/>
  <c r="G910" i="7" s="1"/>
  <c r="G909" i="7" s="1"/>
  <c r="G908" i="7" s="1"/>
  <c r="G907" i="7" s="1"/>
  <c r="G906" i="7" s="1"/>
  <c r="G905" i="7" s="1"/>
  <c r="G904" i="7" s="1"/>
  <c r="G903" i="7" s="1"/>
  <c r="G902" i="7" s="1"/>
  <c r="G901" i="7" s="1"/>
  <c r="G900" i="7" s="1"/>
  <c r="G899" i="7" s="1"/>
  <c r="G898" i="7" s="1"/>
  <c r="G897" i="7" s="1"/>
  <c r="G896" i="7" s="1"/>
  <c r="G895" i="7" s="1"/>
  <c r="G894" i="7" s="1"/>
  <c r="G893" i="7" s="1"/>
  <c r="G892" i="7" s="1"/>
  <c r="G891" i="7" s="1"/>
  <c r="G890" i="7" s="1"/>
  <c r="G889" i="7" s="1"/>
  <c r="G888" i="7" s="1"/>
  <c r="G887" i="7" s="1"/>
  <c r="G886" i="7" s="1"/>
  <c r="G885" i="7" s="1"/>
  <c r="G884" i="7" s="1"/>
  <c r="G883" i="7" s="1"/>
  <c r="G882" i="7" s="1"/>
  <c r="G881" i="7" s="1"/>
  <c r="G880" i="7" s="1"/>
  <c r="G879" i="7" s="1"/>
  <c r="G878" i="7" s="1"/>
  <c r="G877" i="7" s="1"/>
  <c r="G876" i="7" s="1"/>
  <c r="G875" i="7" s="1"/>
  <c r="G874" i="7" s="1"/>
  <c r="G873" i="7" s="1"/>
  <c r="G872" i="7" s="1"/>
  <c r="G871" i="7" s="1"/>
  <c r="G870" i="7" s="1"/>
  <c r="G869" i="7" s="1"/>
  <c r="G868" i="7" s="1"/>
  <c r="G867" i="7" s="1"/>
  <c r="G866" i="7" s="1"/>
  <c r="G865" i="7" s="1"/>
  <c r="G864" i="7" s="1"/>
  <c r="G863" i="7" s="1"/>
  <c r="G862" i="7" s="1"/>
  <c r="G861" i="7" s="1"/>
  <c r="G860" i="7" s="1"/>
  <c r="G859" i="7" s="1"/>
  <c r="G858" i="7" s="1"/>
  <c r="G857" i="7" s="1"/>
  <c r="G856" i="7" s="1"/>
  <c r="G855" i="7" s="1"/>
  <c r="G854" i="7" s="1"/>
  <c r="G853" i="7" s="1"/>
  <c r="G852" i="7" s="1"/>
  <c r="G851" i="7" s="1"/>
  <c r="G850" i="7" s="1"/>
  <c r="G849" i="7" s="1"/>
  <c r="G848" i="7" s="1"/>
  <c r="G847" i="7" s="1"/>
  <c r="G846" i="7" s="1"/>
  <c r="G845" i="7" s="1"/>
  <c r="G844" i="7" s="1"/>
  <c r="G843" i="7" s="1"/>
  <c r="G842" i="7" s="1"/>
  <c r="G841" i="7" s="1"/>
  <c r="G840" i="7" s="1"/>
  <c r="G839" i="7" s="1"/>
  <c r="G838" i="7" s="1"/>
  <c r="G837" i="7" s="1"/>
  <c r="G836" i="7" s="1"/>
  <c r="G835" i="7" s="1"/>
  <c r="G834" i="7" s="1"/>
  <c r="G833" i="7" s="1"/>
  <c r="G832" i="7" s="1"/>
  <c r="G831" i="7" s="1"/>
  <c r="G830" i="7" s="1"/>
  <c r="G829" i="7" s="1"/>
  <c r="G828" i="7" s="1"/>
  <c r="G827" i="7" s="1"/>
  <c r="G826" i="7" s="1"/>
  <c r="G825" i="7" s="1"/>
  <c r="G824" i="7" s="1"/>
  <c r="G823" i="7" s="1"/>
  <c r="G822" i="7" s="1"/>
  <c r="G821" i="7" s="1"/>
  <c r="G820" i="7" s="1"/>
  <c r="G819" i="7" s="1"/>
  <c r="G818" i="7" s="1"/>
  <c r="G817" i="7" s="1"/>
  <c r="G816" i="7" s="1"/>
  <c r="G815" i="7" s="1"/>
  <c r="G814" i="7" s="1"/>
  <c r="G813" i="7" s="1"/>
  <c r="G812" i="7" s="1"/>
  <c r="G811" i="7" s="1"/>
  <c r="G810" i="7" s="1"/>
  <c r="G809" i="7" s="1"/>
  <c r="G808" i="7" s="1"/>
  <c r="G807" i="7" s="1"/>
  <c r="G806" i="7" s="1"/>
  <c r="G805" i="7" s="1"/>
  <c r="G804" i="7" s="1"/>
  <c r="G803" i="7" s="1"/>
  <c r="G802" i="7" s="1"/>
  <c r="G801" i="7" s="1"/>
  <c r="G800" i="7" s="1"/>
  <c r="G799" i="7" s="1"/>
  <c r="G798" i="7" s="1"/>
  <c r="G797" i="7" s="1"/>
  <c r="G796" i="7" s="1"/>
  <c r="G795" i="7" s="1"/>
  <c r="G794" i="7" s="1"/>
  <c r="G793" i="7" s="1"/>
  <c r="G792" i="7" s="1"/>
  <c r="G791" i="7" s="1"/>
  <c r="G790" i="7" s="1"/>
  <c r="G789" i="7" s="1"/>
  <c r="G788" i="7" s="1"/>
  <c r="G787" i="7" s="1"/>
  <c r="G786" i="7" s="1"/>
  <c r="G785" i="7" s="1"/>
  <c r="G784" i="7" s="1"/>
  <c r="G783" i="7" s="1"/>
  <c r="G782" i="7" s="1"/>
  <c r="G781" i="7" s="1"/>
  <c r="G780" i="7" s="1"/>
  <c r="G779" i="7" s="1"/>
  <c r="G778" i="7" s="1"/>
  <c r="G777" i="7" s="1"/>
  <c r="G776" i="7" s="1"/>
  <c r="G775" i="7" s="1"/>
  <c r="G774" i="7" s="1"/>
  <c r="G773" i="7" s="1"/>
  <c r="G772" i="7" s="1"/>
  <c r="G771" i="7" s="1"/>
  <c r="G770" i="7" s="1"/>
  <c r="G769" i="7" s="1"/>
  <c r="G768" i="7" s="1"/>
  <c r="G767" i="7" s="1"/>
  <c r="G766" i="7" s="1"/>
  <c r="G765" i="7" s="1"/>
  <c r="G764" i="7" s="1"/>
  <c r="G763" i="7" s="1"/>
  <c r="G762" i="7" s="1"/>
  <c r="G761" i="7" s="1"/>
  <c r="G760" i="7" s="1"/>
  <c r="G759" i="7" s="1"/>
  <c r="G758" i="7" s="1"/>
  <c r="G757" i="7" s="1"/>
  <c r="G756" i="7" s="1"/>
  <c r="G755" i="7" s="1"/>
  <c r="G754" i="7" s="1"/>
  <c r="G753" i="7" s="1"/>
  <c r="G752" i="7" s="1"/>
  <c r="G751" i="7" s="1"/>
  <c r="G750" i="7" s="1"/>
  <c r="G749" i="7" s="1"/>
  <c r="G748" i="7" s="1"/>
  <c r="G747" i="7" s="1"/>
  <c r="G746" i="7" s="1"/>
  <c r="G745" i="7" s="1"/>
  <c r="G744" i="7" s="1"/>
  <c r="G743" i="7" s="1"/>
  <c r="G742" i="7" s="1"/>
  <c r="G741" i="7" s="1"/>
  <c r="G740" i="7" s="1"/>
  <c r="G739" i="7" s="1"/>
  <c r="G738" i="7" s="1"/>
  <c r="G737" i="7" s="1"/>
  <c r="G736" i="7" s="1"/>
  <c r="G735" i="7" s="1"/>
  <c r="G734" i="7" s="1"/>
  <c r="G733" i="7" s="1"/>
  <c r="G732" i="7" s="1"/>
  <c r="G731" i="7" s="1"/>
  <c r="G730" i="7" s="1"/>
  <c r="G729" i="7" s="1"/>
  <c r="G728" i="7" s="1"/>
  <c r="G727" i="7" s="1"/>
  <c r="G726" i="7" s="1"/>
  <c r="G725" i="7" s="1"/>
  <c r="G724" i="7" s="1"/>
  <c r="G723" i="7" s="1"/>
  <c r="G722" i="7" s="1"/>
  <c r="G721" i="7" s="1"/>
  <c r="G720" i="7" s="1"/>
  <c r="G719" i="7" s="1"/>
  <c r="G718" i="7" s="1"/>
  <c r="G717" i="7" s="1"/>
  <c r="G716" i="7" s="1"/>
  <c r="G715" i="7" s="1"/>
  <c r="G714" i="7" s="1"/>
  <c r="G713" i="7" s="1"/>
  <c r="G712" i="7" s="1"/>
  <c r="G711" i="7" s="1"/>
  <c r="G710" i="7" s="1"/>
  <c r="G709" i="7" s="1"/>
  <c r="G708" i="7" s="1"/>
  <c r="G707" i="7" s="1"/>
  <c r="G706" i="7" s="1"/>
  <c r="G705" i="7" s="1"/>
  <c r="G704" i="7" s="1"/>
  <c r="G703" i="7" s="1"/>
  <c r="G702" i="7" s="1"/>
  <c r="G701" i="7" s="1"/>
  <c r="G700" i="7" s="1"/>
  <c r="G699" i="7" s="1"/>
  <c r="G698" i="7" s="1"/>
  <c r="G697" i="7" s="1"/>
  <c r="G696" i="7" s="1"/>
  <c r="G695" i="7" s="1"/>
  <c r="G694" i="7" s="1"/>
  <c r="G693" i="7" s="1"/>
  <c r="G692" i="7" s="1"/>
  <c r="G691" i="7" s="1"/>
  <c r="G690" i="7" s="1"/>
  <c r="G689" i="7" s="1"/>
  <c r="G688" i="7" s="1"/>
  <c r="G687" i="7" s="1"/>
  <c r="G686" i="7" s="1"/>
  <c r="G685" i="7" s="1"/>
  <c r="G684" i="7" s="1"/>
  <c r="G683" i="7" s="1"/>
  <c r="G682" i="7" s="1"/>
  <c r="G681" i="7" s="1"/>
  <c r="G680" i="7" s="1"/>
  <c r="G679" i="7" s="1"/>
  <c r="G678" i="7" s="1"/>
  <c r="G677" i="7" s="1"/>
  <c r="G676" i="7" s="1"/>
  <c r="G675" i="7" s="1"/>
  <c r="G674" i="7" s="1"/>
  <c r="G673" i="7" s="1"/>
  <c r="G672" i="7" s="1"/>
  <c r="G671" i="7" s="1"/>
  <c r="G670" i="7" s="1"/>
  <c r="G669" i="7" s="1"/>
  <c r="G668" i="7" s="1"/>
  <c r="G667" i="7" s="1"/>
  <c r="G666" i="7" s="1"/>
  <c r="G665" i="7" s="1"/>
  <c r="G664" i="7" s="1"/>
  <c r="G663" i="7" s="1"/>
  <c r="G662" i="7" s="1"/>
  <c r="G661" i="7" s="1"/>
  <c r="G660" i="7" s="1"/>
  <c r="G659" i="7" s="1"/>
  <c r="G658" i="7" s="1"/>
  <c r="G657" i="7" s="1"/>
  <c r="G656" i="7" s="1"/>
  <c r="G655" i="7" s="1"/>
  <c r="G654" i="7" s="1"/>
  <c r="G653" i="7" s="1"/>
  <c r="G652" i="7" s="1"/>
  <c r="G651" i="7" s="1"/>
  <c r="G650" i="7" s="1"/>
  <c r="G649" i="7" s="1"/>
  <c r="G648" i="7" s="1"/>
  <c r="G647" i="7" s="1"/>
  <c r="G646" i="7" s="1"/>
  <c r="G645" i="7" s="1"/>
  <c r="G644" i="7" s="1"/>
  <c r="G643" i="7" s="1"/>
  <c r="G642" i="7" s="1"/>
  <c r="G641" i="7" s="1"/>
  <c r="G640" i="7" s="1"/>
  <c r="G639" i="7" s="1"/>
  <c r="G638" i="7" s="1"/>
  <c r="G637" i="7" s="1"/>
  <c r="G636" i="7" s="1"/>
  <c r="G635" i="7" s="1"/>
  <c r="G634" i="7" s="1"/>
  <c r="G633" i="7" s="1"/>
  <c r="G632" i="7" s="1"/>
  <c r="G631" i="7" s="1"/>
  <c r="G630" i="7" s="1"/>
  <c r="G629" i="7" s="1"/>
  <c r="G628" i="7" s="1"/>
  <c r="G627" i="7" s="1"/>
  <c r="G626" i="7" s="1"/>
  <c r="G625" i="7" s="1"/>
  <c r="G624" i="7" s="1"/>
  <c r="G623" i="7" s="1"/>
  <c r="G622" i="7" s="1"/>
  <c r="G621" i="7" s="1"/>
  <c r="G620" i="7" s="1"/>
  <c r="G619" i="7" s="1"/>
  <c r="G618" i="7" s="1"/>
  <c r="G617" i="7" s="1"/>
  <c r="G616" i="7" s="1"/>
  <c r="G615" i="7" s="1"/>
  <c r="G614" i="7" s="1"/>
  <c r="G613" i="7" s="1"/>
  <c r="G612" i="7" s="1"/>
  <c r="G611" i="7" s="1"/>
  <c r="G610" i="7" s="1"/>
  <c r="G609" i="7" s="1"/>
  <c r="G608" i="7" s="1"/>
  <c r="G607" i="7" s="1"/>
  <c r="G606" i="7" s="1"/>
  <c r="G605" i="7" s="1"/>
  <c r="G604" i="7" s="1"/>
  <c r="G603" i="7" s="1"/>
  <c r="G602" i="7" s="1"/>
  <c r="G601" i="7" s="1"/>
  <c r="G600" i="7" s="1"/>
  <c r="G599" i="7" s="1"/>
  <c r="G598" i="7" s="1"/>
  <c r="G597" i="7" s="1"/>
  <c r="G596" i="7" s="1"/>
  <c r="G595" i="7" s="1"/>
  <c r="G594" i="7" s="1"/>
  <c r="G593" i="7" s="1"/>
  <c r="G592" i="7" s="1"/>
  <c r="G591" i="7" s="1"/>
  <c r="G590" i="7" s="1"/>
  <c r="G589" i="7" s="1"/>
  <c r="G588" i="7" s="1"/>
  <c r="G587" i="7" s="1"/>
  <c r="G586" i="7" s="1"/>
  <c r="G585" i="7" s="1"/>
  <c r="G584" i="7" s="1"/>
  <c r="G583" i="7" s="1"/>
  <c r="G582" i="7" s="1"/>
  <c r="G581" i="7" s="1"/>
  <c r="G580" i="7" s="1"/>
  <c r="G579" i="7" s="1"/>
  <c r="G578" i="7" s="1"/>
  <c r="G577" i="7" s="1"/>
  <c r="G576" i="7" s="1"/>
  <c r="G575" i="7" s="1"/>
  <c r="G574" i="7" s="1"/>
  <c r="G573" i="7" s="1"/>
  <c r="G572" i="7" s="1"/>
  <c r="G571" i="7" s="1"/>
  <c r="G570" i="7" s="1"/>
  <c r="G569" i="7" s="1"/>
  <c r="G568" i="7" s="1"/>
  <c r="G567" i="7" s="1"/>
  <c r="G566" i="7" s="1"/>
  <c r="G565" i="7" s="1"/>
  <c r="G564" i="7" s="1"/>
  <c r="G563" i="7" s="1"/>
  <c r="G562" i="7" s="1"/>
  <c r="G561" i="7" s="1"/>
  <c r="G560" i="7" s="1"/>
  <c r="G559" i="7" s="1"/>
  <c r="G558" i="7" s="1"/>
  <c r="G557" i="7" s="1"/>
  <c r="G556" i="7" s="1"/>
  <c r="G555" i="7" s="1"/>
  <c r="G554" i="7" s="1"/>
  <c r="G553" i="7" s="1"/>
  <c r="G552" i="7" s="1"/>
  <c r="G551" i="7" s="1"/>
  <c r="G550" i="7" s="1"/>
  <c r="G549" i="7" s="1"/>
  <c r="G548" i="7" s="1"/>
  <c r="G547" i="7" s="1"/>
  <c r="G546" i="7" s="1"/>
  <c r="G545" i="7" s="1"/>
  <c r="G544" i="7" s="1"/>
  <c r="G543" i="7" s="1"/>
  <c r="G542" i="7" s="1"/>
  <c r="G541" i="7" s="1"/>
  <c r="G540" i="7" s="1"/>
  <c r="G539" i="7" s="1"/>
  <c r="G538" i="7" s="1"/>
  <c r="G537" i="7" s="1"/>
  <c r="G536" i="7" s="1"/>
  <c r="G535" i="7" s="1"/>
  <c r="G534" i="7" s="1"/>
  <c r="G533" i="7" s="1"/>
  <c r="G532" i="7" s="1"/>
  <c r="G531" i="7" s="1"/>
  <c r="G530" i="7" s="1"/>
  <c r="G529" i="7" s="1"/>
  <c r="G528" i="7" s="1"/>
  <c r="G527" i="7" s="1"/>
  <c r="G526" i="7" s="1"/>
  <c r="G525" i="7" s="1"/>
  <c r="G524" i="7" s="1"/>
  <c r="G523" i="7" s="1"/>
  <c r="G522" i="7" s="1"/>
  <c r="G521" i="7" s="1"/>
  <c r="G520" i="7" s="1"/>
  <c r="G519" i="7" s="1"/>
  <c r="G518" i="7" s="1"/>
  <c r="G517" i="7" s="1"/>
  <c r="G516" i="7" s="1"/>
  <c r="G515" i="7" s="1"/>
  <c r="G514" i="7" s="1"/>
  <c r="G513" i="7" s="1"/>
  <c r="G512" i="7" s="1"/>
  <c r="G511" i="7" s="1"/>
  <c r="G510" i="7" s="1"/>
  <c r="G509" i="7" s="1"/>
  <c r="G508" i="7" s="1"/>
  <c r="G507" i="7" s="1"/>
  <c r="G506" i="7" s="1"/>
  <c r="G505" i="7" s="1"/>
  <c r="G504" i="7" s="1"/>
  <c r="G503" i="7" s="1"/>
  <c r="G502" i="7" s="1"/>
  <c r="G501" i="7" s="1"/>
  <c r="G500" i="7" s="1"/>
  <c r="G499" i="7" s="1"/>
  <c r="G498" i="7" s="1"/>
  <c r="G497" i="7" s="1"/>
  <c r="G496" i="7" s="1"/>
  <c r="G495" i="7" s="1"/>
  <c r="G494" i="7" s="1"/>
  <c r="G493" i="7" s="1"/>
  <c r="G492" i="7" s="1"/>
  <c r="G491" i="7" s="1"/>
  <c r="G490" i="7" s="1"/>
  <c r="G489" i="7" s="1"/>
  <c r="G488" i="7" s="1"/>
  <c r="G487" i="7" s="1"/>
  <c r="G486" i="7" s="1"/>
  <c r="G485" i="7" s="1"/>
  <c r="G484" i="7" s="1"/>
  <c r="G483" i="7" s="1"/>
  <c r="G482" i="7" s="1"/>
  <c r="G481" i="7" s="1"/>
  <c r="G480" i="7" s="1"/>
  <c r="G479" i="7" s="1"/>
  <c r="G478" i="7" s="1"/>
  <c r="G477" i="7" s="1"/>
  <c r="G476" i="7" s="1"/>
  <c r="G475" i="7" s="1"/>
  <c r="G474" i="7" s="1"/>
  <c r="G473" i="7" s="1"/>
  <c r="G472" i="7" s="1"/>
  <c r="G471" i="7" s="1"/>
  <c r="G470" i="7" s="1"/>
  <c r="G469" i="7" s="1"/>
  <c r="G468" i="7" s="1"/>
  <c r="G467" i="7" s="1"/>
  <c r="G466" i="7" s="1"/>
  <c r="G465" i="7" s="1"/>
  <c r="G464" i="7" s="1"/>
  <c r="G463" i="7" s="1"/>
  <c r="G462" i="7" s="1"/>
  <c r="G461" i="7" s="1"/>
  <c r="G460" i="7" s="1"/>
  <c r="G459" i="7" s="1"/>
  <c r="G458" i="7" s="1"/>
  <c r="G457" i="7" s="1"/>
  <c r="G456" i="7" s="1"/>
  <c r="G455" i="7" s="1"/>
  <c r="G454" i="7" s="1"/>
  <c r="G453" i="7" s="1"/>
  <c r="G452" i="7" s="1"/>
  <c r="G451" i="7" s="1"/>
  <c r="G450" i="7" s="1"/>
  <c r="G449" i="7" s="1"/>
  <c r="G448" i="7" s="1"/>
  <c r="G447" i="7" s="1"/>
  <c r="G446" i="7" s="1"/>
  <c r="G445" i="7" s="1"/>
  <c r="G444" i="7" s="1"/>
  <c r="G443" i="7" s="1"/>
  <c r="G442" i="7" s="1"/>
  <c r="G441" i="7" s="1"/>
  <c r="G440" i="7" s="1"/>
  <c r="G439" i="7" s="1"/>
  <c r="G438" i="7" s="1"/>
  <c r="G437" i="7" s="1"/>
  <c r="G436" i="7" s="1"/>
  <c r="G435" i="7" s="1"/>
  <c r="G434" i="7" s="1"/>
  <c r="G433" i="7" s="1"/>
  <c r="G432" i="7" s="1"/>
  <c r="G431" i="7" s="1"/>
  <c r="G430" i="7" s="1"/>
  <c r="G429" i="7" s="1"/>
  <c r="G428" i="7" s="1"/>
  <c r="G427" i="7" s="1"/>
  <c r="G426" i="7" s="1"/>
  <c r="G425" i="7" s="1"/>
  <c r="G424" i="7" s="1"/>
  <c r="G423" i="7" s="1"/>
  <c r="G422" i="7" s="1"/>
  <c r="G421" i="7" s="1"/>
  <c r="G420" i="7" s="1"/>
  <c r="G419" i="7" s="1"/>
  <c r="G418" i="7" s="1"/>
  <c r="G417" i="7" s="1"/>
  <c r="G416" i="7" s="1"/>
  <c r="G415" i="7" s="1"/>
  <c r="G414" i="7" s="1"/>
  <c r="G413" i="7" s="1"/>
  <c r="G412" i="7" s="1"/>
  <c r="G411" i="7" s="1"/>
  <c r="G410" i="7" s="1"/>
  <c r="G409" i="7" s="1"/>
  <c r="G408" i="7" s="1"/>
  <c r="G407" i="7" s="1"/>
  <c r="G406" i="7" s="1"/>
  <c r="G405" i="7" s="1"/>
  <c r="G404" i="7" s="1"/>
  <c r="G403" i="7" s="1"/>
  <c r="G402" i="7" s="1"/>
  <c r="G401" i="7" s="1"/>
  <c r="G400" i="7" s="1"/>
  <c r="G399" i="7" s="1"/>
  <c r="G398" i="7" s="1"/>
  <c r="G397" i="7" s="1"/>
  <c r="G396" i="7" s="1"/>
  <c r="G395" i="7" s="1"/>
  <c r="G394" i="7" s="1"/>
  <c r="G393" i="7" s="1"/>
  <c r="G392" i="7" s="1"/>
  <c r="G391" i="7" s="1"/>
  <c r="G390" i="7" s="1"/>
  <c r="G389" i="7" s="1"/>
  <c r="G388" i="7" s="1"/>
  <c r="G387" i="7" s="1"/>
  <c r="G386" i="7" s="1"/>
  <c r="G385" i="7" s="1"/>
  <c r="G384" i="7" s="1"/>
  <c r="G383" i="7" s="1"/>
  <c r="G382" i="7" s="1"/>
  <c r="G381" i="7" s="1"/>
  <c r="G380" i="7" s="1"/>
  <c r="G379" i="7" s="1"/>
  <c r="G378" i="7" s="1"/>
  <c r="G377" i="7" s="1"/>
  <c r="G376" i="7" s="1"/>
  <c r="G375" i="7" s="1"/>
  <c r="G374" i="7" s="1"/>
  <c r="G373" i="7" s="1"/>
  <c r="G372" i="7" s="1"/>
  <c r="G371" i="7" s="1"/>
  <c r="G370" i="7" s="1"/>
  <c r="G369" i="7" s="1"/>
  <c r="G368" i="7" s="1"/>
  <c r="G367" i="7" s="1"/>
  <c r="G366" i="7" s="1"/>
  <c r="G365" i="7" s="1"/>
  <c r="G364" i="7" s="1"/>
  <c r="G363" i="7" s="1"/>
  <c r="G362" i="7" s="1"/>
  <c r="G361" i="7" s="1"/>
  <c r="G360" i="7" s="1"/>
  <c r="G359" i="7" s="1"/>
  <c r="G358" i="7" s="1"/>
  <c r="G357" i="7" s="1"/>
  <c r="G356" i="7" s="1"/>
  <c r="G355" i="7" s="1"/>
  <c r="G354" i="7" s="1"/>
  <c r="G353" i="7" s="1"/>
  <c r="G352" i="7" s="1"/>
  <c r="G351" i="7" s="1"/>
  <c r="G350" i="7" s="1"/>
  <c r="G349" i="7" s="1"/>
  <c r="G348" i="7" s="1"/>
  <c r="G347" i="7" s="1"/>
  <c r="G346" i="7" s="1"/>
  <c r="G345" i="7" s="1"/>
  <c r="G344" i="7" s="1"/>
  <c r="G343" i="7" s="1"/>
  <c r="G342" i="7" s="1"/>
  <c r="G341" i="7" s="1"/>
  <c r="G340" i="7" s="1"/>
  <c r="G339" i="7" s="1"/>
  <c r="G338" i="7" s="1"/>
  <c r="G337" i="7" s="1"/>
  <c r="G336" i="7" s="1"/>
  <c r="G335" i="7" s="1"/>
  <c r="G334" i="7" s="1"/>
  <c r="G333" i="7" s="1"/>
  <c r="G332" i="7" s="1"/>
  <c r="G331" i="7" s="1"/>
  <c r="G330" i="7" s="1"/>
  <c r="G329" i="7" s="1"/>
  <c r="G328" i="7" s="1"/>
  <c r="G327" i="7" s="1"/>
  <c r="G326" i="7" s="1"/>
  <c r="G325" i="7" s="1"/>
  <c r="G324" i="7" s="1"/>
  <c r="G323" i="7" s="1"/>
  <c r="G322" i="7" s="1"/>
  <c r="G321" i="7" s="1"/>
  <c r="G320" i="7" s="1"/>
  <c r="G319" i="7" s="1"/>
  <c r="G318" i="7" s="1"/>
  <c r="G317" i="7" s="1"/>
  <c r="G316" i="7" s="1"/>
  <c r="G315" i="7" s="1"/>
  <c r="G314" i="7" s="1"/>
  <c r="G313" i="7" s="1"/>
  <c r="G312" i="7" s="1"/>
  <c r="G311" i="7" s="1"/>
  <c r="G310" i="7" s="1"/>
  <c r="G309" i="7" s="1"/>
  <c r="G308" i="7" s="1"/>
  <c r="G307" i="7" s="1"/>
  <c r="G306" i="7" s="1"/>
  <c r="G305" i="7" s="1"/>
  <c r="G304" i="7" s="1"/>
  <c r="G303" i="7" s="1"/>
  <c r="G302" i="7" s="1"/>
  <c r="G301" i="7" s="1"/>
  <c r="G300" i="7" s="1"/>
  <c r="G299" i="7" s="1"/>
  <c r="G298" i="7" s="1"/>
  <c r="G297" i="7" s="1"/>
  <c r="G296" i="7" s="1"/>
  <c r="G295" i="7" s="1"/>
  <c r="G294" i="7" s="1"/>
  <c r="G293" i="7" s="1"/>
  <c r="G292" i="7" s="1"/>
  <c r="G291" i="7" s="1"/>
  <c r="G290" i="7" s="1"/>
  <c r="G289" i="7" s="1"/>
  <c r="G288" i="7" s="1"/>
  <c r="G287" i="7" s="1"/>
  <c r="T2" i="7"/>
  <c r="T1" i="7" s="1"/>
  <c r="R2" i="7"/>
  <c r="G2" i="7" s="1"/>
  <c r="B2" i="2" s="1"/>
  <c r="P2" i="7"/>
  <c r="P1" i="7" s="1"/>
  <c r="N2" i="7"/>
  <c r="N1" i="7" s="1"/>
  <c r="L2" i="7"/>
  <c r="J2" i="7"/>
  <c r="AE52" i="6"/>
  <c r="AC52" i="6"/>
  <c r="AA52" i="6"/>
  <c r="Y52" i="6"/>
  <c r="W52" i="6"/>
  <c r="U52" i="6"/>
  <c r="S52" i="6"/>
  <c r="Q52" i="6"/>
  <c r="O52" i="6"/>
  <c r="M52" i="6"/>
  <c r="K52" i="6"/>
  <c r="I52" i="6"/>
  <c r="AE51" i="6"/>
  <c r="AC51" i="6"/>
  <c r="AA51" i="6"/>
  <c r="Y51" i="6"/>
  <c r="W51" i="6"/>
  <c r="U51" i="6"/>
  <c r="S51" i="6"/>
  <c r="Q51" i="6"/>
  <c r="O51" i="6"/>
  <c r="M51" i="6"/>
  <c r="K51" i="6"/>
  <c r="I51" i="6"/>
  <c r="AE50" i="6"/>
  <c r="AC50" i="6"/>
  <c r="AA50" i="6"/>
  <c r="Y50" i="6"/>
  <c r="W50" i="6"/>
  <c r="U50" i="6"/>
  <c r="S50" i="6"/>
  <c r="Q50" i="6"/>
  <c r="O50" i="6"/>
  <c r="M50" i="6"/>
  <c r="K50" i="6"/>
  <c r="I50" i="6"/>
  <c r="AE49" i="6"/>
  <c r="AC49" i="6"/>
  <c r="AA49" i="6"/>
  <c r="Y49" i="6"/>
  <c r="W49" i="6"/>
  <c r="U49" i="6"/>
  <c r="S49" i="6"/>
  <c r="Q49" i="6"/>
  <c r="O49" i="6"/>
  <c r="M49" i="6"/>
  <c r="K49" i="6"/>
  <c r="I49" i="6"/>
  <c r="AE46" i="6"/>
  <c r="AC46" i="6"/>
  <c r="AA46" i="6"/>
  <c r="Y46" i="6"/>
  <c r="W46" i="6"/>
  <c r="U46" i="6"/>
  <c r="S46" i="6"/>
  <c r="Q46" i="6"/>
  <c r="O46" i="6"/>
  <c r="M46" i="6"/>
  <c r="K46" i="6"/>
  <c r="I46" i="6"/>
  <c r="C46" i="6"/>
  <c r="B46" i="6"/>
  <c r="A46" i="6"/>
  <c r="AE45" i="6"/>
  <c r="AC45" i="6"/>
  <c r="AA45" i="6"/>
  <c r="Y45" i="6"/>
  <c r="W45" i="6"/>
  <c r="U45" i="6"/>
  <c r="S45" i="6"/>
  <c r="Q45" i="6"/>
  <c r="O45" i="6"/>
  <c r="M45" i="6"/>
  <c r="K45" i="6"/>
  <c r="I45" i="6"/>
  <c r="C45" i="6"/>
  <c r="B45" i="6"/>
  <c r="A45" i="6"/>
  <c r="AE43" i="6"/>
  <c r="AC43" i="6"/>
  <c r="AD43" i="6" s="1"/>
  <c r="AA43" i="6"/>
  <c r="Y43" i="6"/>
  <c r="Z43" i="6" s="1"/>
  <c r="W43" i="6"/>
  <c r="U43" i="6"/>
  <c r="V43" i="6" s="1"/>
  <c r="S43" i="6"/>
  <c r="Q43" i="6"/>
  <c r="R43" i="6" s="1"/>
  <c r="O43" i="6"/>
  <c r="M43" i="6"/>
  <c r="N43" i="6" s="1"/>
  <c r="K43" i="6"/>
  <c r="I43" i="6"/>
  <c r="J43" i="6" s="1"/>
  <c r="H43" i="6"/>
  <c r="C43" i="6"/>
  <c r="B43" i="6"/>
  <c r="A43" i="6"/>
  <c r="AE42" i="6"/>
  <c r="AC42" i="6"/>
  <c r="AD42" i="6" s="1"/>
  <c r="AA42" i="6"/>
  <c r="Y42" i="6"/>
  <c r="Z42" i="6" s="1"/>
  <c r="W42" i="6"/>
  <c r="U42" i="6"/>
  <c r="V42" i="6" s="1"/>
  <c r="S42" i="6"/>
  <c r="Q42" i="6"/>
  <c r="R42" i="6" s="1"/>
  <c r="O42" i="6"/>
  <c r="M42" i="6"/>
  <c r="N42" i="6" s="1"/>
  <c r="K42" i="6"/>
  <c r="I42" i="6"/>
  <c r="J42" i="6" s="1"/>
  <c r="H42" i="6"/>
  <c r="C42" i="6"/>
  <c r="B42" i="6"/>
  <c r="A42" i="6"/>
  <c r="AE41" i="6"/>
  <c r="AC41" i="6"/>
  <c r="AD41" i="6" s="1"/>
  <c r="AA41" i="6"/>
  <c r="Y41" i="6"/>
  <c r="Z41" i="6" s="1"/>
  <c r="W41" i="6"/>
  <c r="U41" i="6"/>
  <c r="V41" i="6" s="1"/>
  <c r="S41" i="6"/>
  <c r="Q41" i="6"/>
  <c r="R41" i="6" s="1"/>
  <c r="O41" i="6"/>
  <c r="M41" i="6"/>
  <c r="N41" i="6" s="1"/>
  <c r="K41" i="6"/>
  <c r="I41" i="6"/>
  <c r="J41" i="6" s="1"/>
  <c r="H41" i="6"/>
  <c r="C41" i="6"/>
  <c r="B41" i="6"/>
  <c r="A41" i="6"/>
  <c r="AE40" i="6"/>
  <c r="AC40" i="6"/>
  <c r="AD40" i="6" s="1"/>
  <c r="AA40" i="6"/>
  <c r="Y40" i="6"/>
  <c r="Z40" i="6" s="1"/>
  <c r="W40" i="6"/>
  <c r="U40" i="6"/>
  <c r="V40" i="6" s="1"/>
  <c r="S40" i="6"/>
  <c r="Q40" i="6"/>
  <c r="R40" i="6" s="1"/>
  <c r="O40" i="6"/>
  <c r="M40" i="6"/>
  <c r="N40" i="6" s="1"/>
  <c r="K40" i="6"/>
  <c r="I40" i="6"/>
  <c r="J40" i="6" s="1"/>
  <c r="H40" i="6"/>
  <c r="C40" i="6"/>
  <c r="B40" i="6"/>
  <c r="A40" i="6"/>
  <c r="AE39" i="6"/>
  <c r="AC39" i="6"/>
  <c r="AD39" i="6" s="1"/>
  <c r="AA39" i="6"/>
  <c r="Y39" i="6"/>
  <c r="Z39" i="6" s="1"/>
  <c r="W39" i="6"/>
  <c r="U39" i="6"/>
  <c r="V39" i="6" s="1"/>
  <c r="S39" i="6"/>
  <c r="Q39" i="6"/>
  <c r="R39" i="6" s="1"/>
  <c r="O39" i="6"/>
  <c r="M39" i="6"/>
  <c r="N39" i="6" s="1"/>
  <c r="K39" i="6"/>
  <c r="I39" i="6"/>
  <c r="J39" i="6" s="1"/>
  <c r="H39" i="6"/>
  <c r="C39" i="6"/>
  <c r="B39" i="6"/>
  <c r="A39" i="6"/>
  <c r="AE38" i="6"/>
  <c r="AC38" i="6"/>
  <c r="AD38" i="6" s="1"/>
  <c r="AA38" i="6"/>
  <c r="Y38" i="6"/>
  <c r="Z38" i="6" s="1"/>
  <c r="W38" i="6"/>
  <c r="U38" i="6"/>
  <c r="V38" i="6" s="1"/>
  <c r="S38" i="6"/>
  <c r="Q38" i="6"/>
  <c r="R38" i="6" s="1"/>
  <c r="O38" i="6"/>
  <c r="M38" i="6"/>
  <c r="N38" i="6" s="1"/>
  <c r="K38" i="6"/>
  <c r="I38" i="6"/>
  <c r="J38" i="6" s="1"/>
  <c r="H38" i="6"/>
  <c r="C38" i="6"/>
  <c r="B38" i="6"/>
  <c r="A38" i="6"/>
  <c r="AE37" i="6"/>
  <c r="AC37" i="6"/>
  <c r="AD37" i="6" s="1"/>
  <c r="AA37" i="6"/>
  <c r="Y37" i="6"/>
  <c r="Z37" i="6" s="1"/>
  <c r="W37" i="6"/>
  <c r="U37" i="6"/>
  <c r="V37" i="6" s="1"/>
  <c r="S37" i="6"/>
  <c r="Q37" i="6"/>
  <c r="R37" i="6" s="1"/>
  <c r="O37" i="6"/>
  <c r="M37" i="6"/>
  <c r="N37" i="6" s="1"/>
  <c r="K37" i="6"/>
  <c r="I37" i="6"/>
  <c r="J37" i="6" s="1"/>
  <c r="H37" i="6"/>
  <c r="C37" i="6"/>
  <c r="P1" i="8" s="1"/>
  <c r="B37" i="6"/>
  <c r="A37" i="6"/>
  <c r="AE36" i="6"/>
  <c r="AC36" i="6"/>
  <c r="AD36" i="6" s="1"/>
  <c r="AA36" i="6"/>
  <c r="Y36" i="6"/>
  <c r="Z36" i="6" s="1"/>
  <c r="W36" i="6"/>
  <c r="U36" i="6"/>
  <c r="V36" i="6" s="1"/>
  <c r="S36" i="6"/>
  <c r="Q36" i="6"/>
  <c r="R36" i="6" s="1"/>
  <c r="O36" i="6"/>
  <c r="M36" i="6"/>
  <c r="N36" i="6" s="1"/>
  <c r="K36" i="6"/>
  <c r="I36" i="6"/>
  <c r="H36" i="6"/>
  <c r="C36" i="6"/>
  <c r="B36" i="6"/>
  <c r="A36" i="6"/>
  <c r="AE35" i="6"/>
  <c r="AC35" i="6"/>
  <c r="AD35" i="6" s="1"/>
  <c r="AA35" i="6"/>
  <c r="Y35" i="6"/>
  <c r="Z35" i="6" s="1"/>
  <c r="W35" i="6"/>
  <c r="U35" i="6"/>
  <c r="V35" i="6" s="1"/>
  <c r="S35" i="6"/>
  <c r="Q35" i="6"/>
  <c r="R35" i="6" s="1"/>
  <c r="O35" i="6"/>
  <c r="M35" i="6"/>
  <c r="N35" i="6" s="1"/>
  <c r="K35" i="6"/>
  <c r="I35" i="6"/>
  <c r="J35" i="6" s="1"/>
  <c r="H35" i="6"/>
  <c r="C35" i="6"/>
  <c r="B35" i="6"/>
  <c r="A35" i="6"/>
  <c r="AE34" i="6"/>
  <c r="AC34" i="6"/>
  <c r="AD34" i="6" s="1"/>
  <c r="AA34" i="6"/>
  <c r="Y34" i="6"/>
  <c r="Z34" i="6" s="1"/>
  <c r="W34" i="6"/>
  <c r="U34" i="6"/>
  <c r="V34" i="6" s="1"/>
  <c r="S34" i="6"/>
  <c r="Q34" i="6"/>
  <c r="O34" i="6"/>
  <c r="M34" i="6"/>
  <c r="N34" i="6" s="1"/>
  <c r="K34" i="6"/>
  <c r="I34" i="6"/>
  <c r="J34" i="6" s="1"/>
  <c r="H34" i="6"/>
  <c r="C34" i="6"/>
  <c r="B34" i="6"/>
  <c r="A34" i="6"/>
  <c r="AE33" i="6"/>
  <c r="AC33" i="6"/>
  <c r="AD33" i="6" s="1"/>
  <c r="AA33" i="6"/>
  <c r="Y33" i="6"/>
  <c r="Z33" i="6" s="1"/>
  <c r="W33" i="6"/>
  <c r="U33" i="6"/>
  <c r="S33" i="6"/>
  <c r="Q33" i="6"/>
  <c r="R33" i="6" s="1"/>
  <c r="O33" i="6"/>
  <c r="M33" i="6"/>
  <c r="N33" i="6" s="1"/>
  <c r="K33" i="6"/>
  <c r="I33" i="6"/>
  <c r="J33" i="6" s="1"/>
  <c r="H33" i="6"/>
  <c r="C33" i="6"/>
  <c r="B33" i="6"/>
  <c r="A33" i="6"/>
  <c r="AE31" i="6"/>
  <c r="AC31" i="6"/>
  <c r="AD31" i="6" s="1"/>
  <c r="AA31" i="6"/>
  <c r="Y31" i="6"/>
  <c r="Z31" i="6" s="1"/>
  <c r="W31" i="6"/>
  <c r="U31" i="6"/>
  <c r="V31" i="6" s="1"/>
  <c r="S31" i="6"/>
  <c r="Q31" i="6"/>
  <c r="R31" i="6" s="1"/>
  <c r="O31" i="6"/>
  <c r="M31" i="6"/>
  <c r="N31" i="6" s="1"/>
  <c r="K31" i="6"/>
  <c r="I31" i="6"/>
  <c r="J31" i="6" s="1"/>
  <c r="H31" i="6"/>
  <c r="C31" i="6"/>
  <c r="B31" i="6"/>
  <c r="A31" i="6"/>
  <c r="AE30" i="6"/>
  <c r="AC30" i="6"/>
  <c r="AD30" i="6" s="1"/>
  <c r="AA30" i="6"/>
  <c r="Y30" i="6"/>
  <c r="Z30" i="6" s="1"/>
  <c r="W30" i="6"/>
  <c r="U30" i="6"/>
  <c r="V30" i="6" s="1"/>
  <c r="S30" i="6"/>
  <c r="Q30" i="6"/>
  <c r="R30" i="6" s="1"/>
  <c r="O30" i="6"/>
  <c r="M30" i="6"/>
  <c r="N30" i="6" s="1"/>
  <c r="K30" i="6"/>
  <c r="I30" i="6"/>
  <c r="J30" i="6" s="1"/>
  <c r="H30" i="6"/>
  <c r="C30" i="6"/>
  <c r="B30" i="6"/>
  <c r="A30" i="6"/>
  <c r="AE29" i="6"/>
  <c r="AC29" i="6"/>
  <c r="AD29" i="6" s="1"/>
  <c r="AA29" i="6"/>
  <c r="Y29" i="6"/>
  <c r="Z29" i="6" s="1"/>
  <c r="W29" i="6"/>
  <c r="U29" i="6"/>
  <c r="V29" i="6" s="1"/>
  <c r="S29" i="6"/>
  <c r="Q29" i="6"/>
  <c r="O29" i="6"/>
  <c r="M29" i="6"/>
  <c r="N29" i="6" s="1"/>
  <c r="K29" i="6"/>
  <c r="I29" i="6"/>
  <c r="J29" i="6" s="1"/>
  <c r="H29" i="6"/>
  <c r="C29" i="6"/>
  <c r="B29" i="6"/>
  <c r="A29" i="6"/>
  <c r="AE28" i="6"/>
  <c r="AC28" i="6"/>
  <c r="AD28" i="6" s="1"/>
  <c r="AA28" i="6"/>
  <c r="Y28" i="6"/>
  <c r="Z28" i="6" s="1"/>
  <c r="W28" i="6"/>
  <c r="U28" i="6"/>
  <c r="V28" i="6" s="1"/>
  <c r="S28" i="6"/>
  <c r="Q28" i="6"/>
  <c r="R28" i="6" s="1"/>
  <c r="O28" i="6"/>
  <c r="M28" i="6"/>
  <c r="N28" i="6" s="1"/>
  <c r="K28" i="6"/>
  <c r="I28" i="6"/>
  <c r="J28" i="6" s="1"/>
  <c r="H28" i="6"/>
  <c r="C28" i="6"/>
  <c r="B28" i="6"/>
  <c r="A28" i="6"/>
  <c r="AE27" i="6"/>
  <c r="AC27" i="6"/>
  <c r="AD27" i="6" s="1"/>
  <c r="AA27" i="6"/>
  <c r="Y27" i="6"/>
  <c r="Z27" i="6" s="1"/>
  <c r="W27" i="6"/>
  <c r="U27" i="6"/>
  <c r="V27" i="6" s="1"/>
  <c r="S27" i="6"/>
  <c r="Q27" i="6"/>
  <c r="R27" i="6" s="1"/>
  <c r="O27" i="6"/>
  <c r="M27" i="6"/>
  <c r="N27" i="6" s="1"/>
  <c r="K27" i="6"/>
  <c r="I27" i="6"/>
  <c r="J27" i="6" s="1"/>
  <c r="H27" i="6"/>
  <c r="C27" i="6"/>
  <c r="B27" i="6"/>
  <c r="A27" i="6"/>
  <c r="AE26" i="6"/>
  <c r="AC26" i="6"/>
  <c r="AD26" i="6" s="1"/>
  <c r="AA26" i="6"/>
  <c r="Y26" i="6"/>
  <c r="Z26" i="6" s="1"/>
  <c r="W26" i="6"/>
  <c r="U26" i="6"/>
  <c r="V26" i="6" s="1"/>
  <c r="S26" i="6"/>
  <c r="Q26" i="6"/>
  <c r="R26" i="6" s="1"/>
  <c r="O26" i="6"/>
  <c r="M26" i="6"/>
  <c r="N26" i="6" s="1"/>
  <c r="K26" i="6"/>
  <c r="I26" i="6"/>
  <c r="J26" i="6" s="1"/>
  <c r="H26" i="6"/>
  <c r="C26" i="6"/>
  <c r="B26" i="6"/>
  <c r="A26" i="6"/>
  <c r="AE25" i="6"/>
  <c r="AC25" i="6"/>
  <c r="AD25" i="6" s="1"/>
  <c r="AA25" i="6"/>
  <c r="Y25" i="6"/>
  <c r="Z25" i="6" s="1"/>
  <c r="W25" i="6"/>
  <c r="U25" i="6"/>
  <c r="V25" i="6" s="1"/>
  <c r="S25" i="6"/>
  <c r="Q25" i="6"/>
  <c r="R25" i="6" s="1"/>
  <c r="O25" i="6"/>
  <c r="M25" i="6"/>
  <c r="N25" i="6" s="1"/>
  <c r="K25" i="6"/>
  <c r="I25" i="6"/>
  <c r="J25" i="6" s="1"/>
  <c r="H25" i="6"/>
  <c r="C25" i="6"/>
  <c r="B25" i="6"/>
  <c r="A25" i="6"/>
  <c r="AE24" i="6"/>
  <c r="AC24" i="6"/>
  <c r="AD24" i="6" s="1"/>
  <c r="AA24" i="6"/>
  <c r="Y24" i="6"/>
  <c r="Z24" i="6" s="1"/>
  <c r="W24" i="6"/>
  <c r="U24" i="6"/>
  <c r="V24" i="6" s="1"/>
  <c r="S24" i="6"/>
  <c r="Q24" i="6"/>
  <c r="R24" i="6" s="1"/>
  <c r="O24" i="6"/>
  <c r="M24" i="6"/>
  <c r="N24" i="6" s="1"/>
  <c r="K24" i="6"/>
  <c r="I24" i="6"/>
  <c r="J24" i="6" s="1"/>
  <c r="H24" i="6"/>
  <c r="C24" i="6"/>
  <c r="B24" i="6"/>
  <c r="A24" i="6"/>
  <c r="AE23" i="6"/>
  <c r="AC23" i="6"/>
  <c r="AD23" i="6" s="1"/>
  <c r="AA23" i="6"/>
  <c r="Y23" i="6"/>
  <c r="Z23" i="6" s="1"/>
  <c r="W23" i="6"/>
  <c r="U23" i="6"/>
  <c r="V23" i="6" s="1"/>
  <c r="S23" i="6"/>
  <c r="Q23" i="6"/>
  <c r="R23" i="6" s="1"/>
  <c r="O23" i="6"/>
  <c r="M23" i="6"/>
  <c r="N23" i="6" s="1"/>
  <c r="K23" i="6"/>
  <c r="I23" i="6"/>
  <c r="J23" i="6" s="1"/>
  <c r="H23" i="6"/>
  <c r="C23" i="6"/>
  <c r="B23" i="6"/>
  <c r="A23" i="6"/>
  <c r="AE22" i="6"/>
  <c r="AC22" i="6"/>
  <c r="AD22" i="6" s="1"/>
  <c r="AA22" i="6"/>
  <c r="Y22" i="6"/>
  <c r="Z22" i="6" s="1"/>
  <c r="W22" i="6"/>
  <c r="U22" i="6"/>
  <c r="V22" i="6" s="1"/>
  <c r="S22" i="6"/>
  <c r="Q22" i="6"/>
  <c r="R22" i="6" s="1"/>
  <c r="O22" i="6"/>
  <c r="M22" i="6"/>
  <c r="N22" i="6" s="1"/>
  <c r="K22" i="6"/>
  <c r="I22" i="6"/>
  <c r="J22" i="6" s="1"/>
  <c r="H22" i="6"/>
  <c r="C22" i="6"/>
  <c r="B22" i="6"/>
  <c r="A22" i="6"/>
  <c r="AE21" i="6"/>
  <c r="AC21" i="6"/>
  <c r="AD21" i="6" s="1"/>
  <c r="AA21" i="6"/>
  <c r="Y21" i="6"/>
  <c r="Z21" i="6" s="1"/>
  <c r="W21" i="6"/>
  <c r="U21" i="6"/>
  <c r="V21" i="6" s="1"/>
  <c r="S21" i="6"/>
  <c r="Q21" i="6"/>
  <c r="R21" i="6" s="1"/>
  <c r="O21" i="6"/>
  <c r="M21" i="6"/>
  <c r="N21" i="6" s="1"/>
  <c r="K21" i="6"/>
  <c r="I21" i="6"/>
  <c r="J21" i="6" s="1"/>
  <c r="H21" i="6"/>
  <c r="C21" i="6"/>
  <c r="B21" i="6"/>
  <c r="A21" i="6"/>
  <c r="AE20" i="6"/>
  <c r="AC20" i="6"/>
  <c r="AD20" i="6" s="1"/>
  <c r="AA20" i="6"/>
  <c r="Y20" i="6"/>
  <c r="Z20" i="6" s="1"/>
  <c r="W20" i="6"/>
  <c r="U20" i="6"/>
  <c r="V20" i="6" s="1"/>
  <c r="S20" i="6"/>
  <c r="Q20" i="6"/>
  <c r="R20" i="6" s="1"/>
  <c r="O20" i="6"/>
  <c r="M20" i="6"/>
  <c r="N20" i="6" s="1"/>
  <c r="K20" i="6"/>
  <c r="I20" i="6"/>
  <c r="J20" i="6" s="1"/>
  <c r="H20" i="6"/>
  <c r="C20" i="6"/>
  <c r="B20" i="6"/>
  <c r="A20" i="6"/>
  <c r="AE19" i="6"/>
  <c r="AC19" i="6"/>
  <c r="AD19" i="6" s="1"/>
  <c r="AA19" i="6"/>
  <c r="Y19" i="6"/>
  <c r="Z19" i="6" s="1"/>
  <c r="W19" i="6"/>
  <c r="U19" i="6"/>
  <c r="V19" i="6" s="1"/>
  <c r="S19" i="6"/>
  <c r="Q19" i="6"/>
  <c r="R19" i="6" s="1"/>
  <c r="O19" i="6"/>
  <c r="M19" i="6"/>
  <c r="N19" i="6" s="1"/>
  <c r="K19" i="6"/>
  <c r="I19" i="6"/>
  <c r="J19" i="6" s="1"/>
  <c r="H19" i="6"/>
  <c r="C19" i="6"/>
  <c r="B19" i="6"/>
  <c r="A19" i="6"/>
  <c r="AE18" i="6"/>
  <c r="AC18" i="6"/>
  <c r="AD18" i="6" s="1"/>
  <c r="AA18" i="6"/>
  <c r="Y18" i="6"/>
  <c r="Z18" i="6" s="1"/>
  <c r="W18" i="6"/>
  <c r="U18" i="6"/>
  <c r="V18" i="6" s="1"/>
  <c r="S18" i="6"/>
  <c r="Q18" i="6"/>
  <c r="R18" i="6" s="1"/>
  <c r="O18" i="6"/>
  <c r="M18" i="6"/>
  <c r="N18" i="6" s="1"/>
  <c r="K18" i="6"/>
  <c r="I18" i="6"/>
  <c r="J18" i="6" s="1"/>
  <c r="H18" i="6"/>
  <c r="C18" i="6"/>
  <c r="B18" i="6"/>
  <c r="A18" i="6"/>
  <c r="AE17" i="6"/>
  <c r="AC17" i="6"/>
  <c r="AD17" i="6" s="1"/>
  <c r="AA17" i="6"/>
  <c r="Y17" i="6"/>
  <c r="Z17" i="6" s="1"/>
  <c r="W17" i="6"/>
  <c r="U17" i="6"/>
  <c r="V17" i="6" s="1"/>
  <c r="S17" i="6"/>
  <c r="Q17" i="6"/>
  <c r="R17" i="6" s="1"/>
  <c r="O17" i="6"/>
  <c r="M17" i="6"/>
  <c r="N17" i="6" s="1"/>
  <c r="K17" i="6"/>
  <c r="I17" i="6"/>
  <c r="J17" i="6" s="1"/>
  <c r="H17" i="6"/>
  <c r="C17" i="6"/>
  <c r="B17" i="6"/>
  <c r="A17" i="6"/>
  <c r="AE16" i="6"/>
  <c r="AC16" i="6"/>
  <c r="AD16" i="6" s="1"/>
  <c r="AA16" i="6"/>
  <c r="Y16" i="6"/>
  <c r="Z16" i="6" s="1"/>
  <c r="W16" i="6"/>
  <c r="U16" i="6"/>
  <c r="V16" i="6" s="1"/>
  <c r="S16" i="6"/>
  <c r="Q16" i="6"/>
  <c r="R16" i="6" s="1"/>
  <c r="O16" i="6"/>
  <c r="M16" i="6"/>
  <c r="N16" i="6" s="1"/>
  <c r="K16" i="6"/>
  <c r="I16" i="6"/>
  <c r="J16" i="6" s="1"/>
  <c r="H16" i="6"/>
  <c r="C16" i="6"/>
  <c r="B16" i="6"/>
  <c r="A16" i="6"/>
  <c r="AE15" i="6"/>
  <c r="AC15" i="6"/>
  <c r="AD15" i="6" s="1"/>
  <c r="AA15" i="6"/>
  <c r="Y15" i="6"/>
  <c r="Z15" i="6" s="1"/>
  <c r="W15" i="6"/>
  <c r="U15" i="6"/>
  <c r="V15" i="6" s="1"/>
  <c r="S15" i="6"/>
  <c r="Q15" i="6"/>
  <c r="R15" i="6" s="1"/>
  <c r="O15" i="6"/>
  <c r="M15" i="6"/>
  <c r="N15" i="6" s="1"/>
  <c r="K15" i="6"/>
  <c r="I15" i="6"/>
  <c r="J15" i="6" s="1"/>
  <c r="H15" i="6"/>
  <c r="C15" i="6"/>
  <c r="B15" i="6"/>
  <c r="A15" i="6"/>
  <c r="AE14" i="6"/>
  <c r="AC14" i="6"/>
  <c r="AD14" i="6" s="1"/>
  <c r="AA14" i="6"/>
  <c r="Y14" i="6"/>
  <c r="Z14" i="6" s="1"/>
  <c r="W14" i="6"/>
  <c r="U14" i="6"/>
  <c r="V14" i="6" s="1"/>
  <c r="S14" i="6"/>
  <c r="Q14" i="6"/>
  <c r="R14" i="6" s="1"/>
  <c r="O14" i="6"/>
  <c r="M14" i="6"/>
  <c r="N14" i="6" s="1"/>
  <c r="K14" i="6"/>
  <c r="I14" i="6"/>
  <c r="J14" i="6" s="1"/>
  <c r="H14" i="6"/>
  <c r="C14" i="6"/>
  <c r="B14" i="6"/>
  <c r="A14" i="6"/>
  <c r="AE12" i="6"/>
  <c r="AC12" i="6"/>
  <c r="AD12" i="6" s="1"/>
  <c r="AA12" i="6"/>
  <c r="Y12" i="6"/>
  <c r="Z12" i="6" s="1"/>
  <c r="W12" i="6"/>
  <c r="U12" i="6"/>
  <c r="V12" i="6" s="1"/>
  <c r="S12" i="6"/>
  <c r="Q12" i="6"/>
  <c r="R12" i="6" s="1"/>
  <c r="O12" i="6"/>
  <c r="M12" i="6"/>
  <c r="N12" i="6" s="1"/>
  <c r="K12" i="6"/>
  <c r="I12" i="6"/>
  <c r="J12" i="6" s="1"/>
  <c r="H12" i="6"/>
  <c r="C12" i="6"/>
  <c r="B12" i="6"/>
  <c r="A12" i="6"/>
  <c r="AE11" i="6"/>
  <c r="AC11" i="6"/>
  <c r="AD11" i="6" s="1"/>
  <c r="AA11" i="6"/>
  <c r="Y11" i="6"/>
  <c r="Z11" i="6" s="1"/>
  <c r="W11" i="6"/>
  <c r="U11" i="6"/>
  <c r="V11" i="6" s="1"/>
  <c r="S11" i="6"/>
  <c r="Q11" i="6"/>
  <c r="R11" i="6" s="1"/>
  <c r="O11" i="6"/>
  <c r="M11" i="6"/>
  <c r="N11" i="6" s="1"/>
  <c r="K11" i="6"/>
  <c r="I11" i="6"/>
  <c r="J11" i="6" s="1"/>
  <c r="H11" i="6"/>
  <c r="C11" i="6"/>
  <c r="B11" i="6"/>
  <c r="A11" i="6"/>
  <c r="AE10" i="6"/>
  <c r="AC10" i="6"/>
  <c r="AD10" i="6" s="1"/>
  <c r="AA10" i="6"/>
  <c r="Y10" i="6"/>
  <c r="Z10" i="6" s="1"/>
  <c r="W10" i="6"/>
  <c r="U10" i="6"/>
  <c r="V10" i="6" s="1"/>
  <c r="S10" i="6"/>
  <c r="Q10" i="6"/>
  <c r="R10" i="6" s="1"/>
  <c r="O10" i="6"/>
  <c r="M10" i="6"/>
  <c r="N10" i="6" s="1"/>
  <c r="K10" i="6"/>
  <c r="I10" i="6"/>
  <c r="J10" i="6" s="1"/>
  <c r="H10" i="6"/>
  <c r="C10" i="6"/>
  <c r="B10" i="6"/>
  <c r="A10" i="6"/>
  <c r="AE9" i="6"/>
  <c r="AC9" i="6"/>
  <c r="AD9" i="6" s="1"/>
  <c r="AA9" i="6"/>
  <c r="Y9" i="6"/>
  <c r="Z9" i="6" s="1"/>
  <c r="W9" i="6"/>
  <c r="U9" i="6"/>
  <c r="V9" i="6" s="1"/>
  <c r="S9" i="6"/>
  <c r="Q9" i="6"/>
  <c r="R9" i="6" s="1"/>
  <c r="O9" i="6"/>
  <c r="M9" i="6"/>
  <c r="N9" i="6" s="1"/>
  <c r="K9" i="6"/>
  <c r="I9" i="6"/>
  <c r="J9" i="6" s="1"/>
  <c r="H9" i="6"/>
  <c r="C9" i="6"/>
  <c r="B9" i="6"/>
  <c r="A9" i="6"/>
  <c r="AE8" i="6"/>
  <c r="AC8" i="6"/>
  <c r="AD8" i="6" s="1"/>
  <c r="AA8" i="6"/>
  <c r="Y8" i="6"/>
  <c r="Z8" i="6" s="1"/>
  <c r="W8" i="6"/>
  <c r="U8" i="6"/>
  <c r="V8" i="6" s="1"/>
  <c r="S8" i="6"/>
  <c r="Q8" i="6"/>
  <c r="R8" i="6" s="1"/>
  <c r="O8" i="6"/>
  <c r="M8" i="6"/>
  <c r="N8" i="6" s="1"/>
  <c r="K8" i="6"/>
  <c r="I8" i="6"/>
  <c r="J8" i="6" s="1"/>
  <c r="H8" i="6"/>
  <c r="C8" i="6"/>
  <c r="B8" i="6"/>
  <c r="A8" i="6"/>
  <c r="AE7" i="6"/>
  <c r="AC7" i="6"/>
  <c r="AD7" i="6" s="1"/>
  <c r="AA7" i="6"/>
  <c r="Y7" i="6"/>
  <c r="Z7" i="6" s="1"/>
  <c r="W7" i="6"/>
  <c r="U7" i="6"/>
  <c r="V7" i="6" s="1"/>
  <c r="S7" i="6"/>
  <c r="Q7" i="6"/>
  <c r="R7" i="6" s="1"/>
  <c r="O7" i="6"/>
  <c r="M7" i="6"/>
  <c r="N7" i="6" s="1"/>
  <c r="K7" i="6"/>
  <c r="I7" i="6"/>
  <c r="J7" i="6" s="1"/>
  <c r="H7" i="6"/>
  <c r="C7" i="6"/>
  <c r="B7" i="6"/>
  <c r="A7" i="6"/>
  <c r="AE6" i="6"/>
  <c r="AC6" i="6"/>
  <c r="AD6" i="6" s="1"/>
  <c r="AA6" i="6"/>
  <c r="Y6" i="6"/>
  <c r="Z6" i="6" s="1"/>
  <c r="W6" i="6"/>
  <c r="U6" i="6"/>
  <c r="V6" i="6" s="1"/>
  <c r="S6" i="6"/>
  <c r="Q6" i="6"/>
  <c r="R6" i="6" s="1"/>
  <c r="O6" i="6"/>
  <c r="M6" i="6"/>
  <c r="N6" i="6" s="1"/>
  <c r="K6" i="6"/>
  <c r="I6" i="6"/>
  <c r="J6" i="6" s="1"/>
  <c r="H6" i="6"/>
  <c r="C6" i="6"/>
  <c r="B6" i="6"/>
  <c r="A6" i="6"/>
  <c r="AE5" i="6"/>
  <c r="AC5" i="6"/>
  <c r="AD5" i="6" s="1"/>
  <c r="AA5" i="6"/>
  <c r="Y5" i="6"/>
  <c r="Z5" i="6" s="1"/>
  <c r="W5" i="6"/>
  <c r="U5" i="6"/>
  <c r="V5" i="6" s="1"/>
  <c r="S5" i="6"/>
  <c r="Q5" i="6"/>
  <c r="R5" i="6" s="1"/>
  <c r="O5" i="6"/>
  <c r="M5" i="6"/>
  <c r="N5" i="6" s="1"/>
  <c r="K5" i="6"/>
  <c r="I5" i="6"/>
  <c r="J5" i="6" s="1"/>
  <c r="H5" i="6"/>
  <c r="C5" i="6"/>
  <c r="B5" i="6"/>
  <c r="A5" i="6"/>
  <c r="O31" i="5"/>
  <c r="J31" i="5"/>
  <c r="E31" i="5"/>
  <c r="O30" i="5"/>
  <c r="J30" i="5"/>
  <c r="E30" i="5"/>
  <c r="O29" i="5"/>
  <c r="J29" i="5"/>
  <c r="E29" i="5"/>
  <c r="O28" i="5"/>
  <c r="J28" i="5"/>
  <c r="E28" i="5"/>
  <c r="O27" i="5"/>
  <c r="J27" i="5"/>
  <c r="E27" i="5"/>
  <c r="O26" i="5"/>
  <c r="J26" i="5"/>
  <c r="E26" i="5"/>
  <c r="O25" i="5"/>
  <c r="J25" i="5"/>
  <c r="E25" i="5"/>
  <c r="O24" i="5"/>
  <c r="J24" i="5"/>
  <c r="E24" i="5"/>
  <c r="O23" i="5"/>
  <c r="J23" i="5"/>
  <c r="E23" i="5"/>
  <c r="O22" i="5"/>
  <c r="J22" i="5"/>
  <c r="E22" i="5"/>
  <c r="O21" i="5"/>
  <c r="J21" i="5"/>
  <c r="E21" i="5"/>
  <c r="O20" i="5"/>
  <c r="O34" i="5" s="1"/>
  <c r="J20" i="5"/>
  <c r="E20" i="5"/>
  <c r="J13" i="5"/>
  <c r="J12" i="5"/>
  <c r="J11" i="5"/>
  <c r="J10" i="5"/>
  <c r="J9" i="5"/>
  <c r="J8" i="5"/>
  <c r="J7" i="5"/>
  <c r="J6" i="5"/>
  <c r="J5" i="5"/>
  <c r="J4" i="5"/>
  <c r="J3" i="5"/>
  <c r="J2" i="5"/>
  <c r="J66" i="4"/>
  <c r="K66" i="4" s="1"/>
  <c r="L65" i="4"/>
  <c r="J16" i="4" s="1"/>
  <c r="M64" i="4"/>
  <c r="L64" i="4"/>
  <c r="L63" i="4"/>
  <c r="M63" i="4" s="1"/>
  <c r="M62" i="4"/>
  <c r="L62" i="4"/>
  <c r="L61" i="4"/>
  <c r="M61" i="4" s="1"/>
  <c r="J56" i="4"/>
  <c r="J57" i="4" s="1"/>
  <c r="J68" i="4" s="1"/>
  <c r="L55" i="4"/>
  <c r="M55" i="4" s="1"/>
  <c r="M54" i="4"/>
  <c r="L54" i="4"/>
  <c r="K54" i="4"/>
  <c r="L53" i="4"/>
  <c r="J5" i="4" s="1"/>
  <c r="J51" i="4"/>
  <c r="K65" i="4" s="1"/>
  <c r="L49" i="4"/>
  <c r="M49" i="4" s="1"/>
  <c r="J49" i="4"/>
  <c r="K53" i="4" s="1"/>
  <c r="G45" i="4"/>
  <c r="F45" i="4"/>
  <c r="D45" i="4"/>
  <c r="H45" i="6" s="1"/>
  <c r="G43" i="4"/>
  <c r="F43" i="4"/>
  <c r="H30" i="3" s="1"/>
  <c r="F42" i="4"/>
  <c r="G42" i="4" s="1"/>
  <c r="J41" i="4"/>
  <c r="L41" i="4" s="1"/>
  <c r="F41" i="4"/>
  <c r="H28" i="3" s="1"/>
  <c r="F40" i="4"/>
  <c r="G40" i="4" s="1"/>
  <c r="F39" i="4"/>
  <c r="G39" i="4" s="1"/>
  <c r="M38" i="4"/>
  <c r="L38" i="4"/>
  <c r="F38" i="4"/>
  <c r="G38" i="4" s="1"/>
  <c r="M37" i="4"/>
  <c r="L37" i="4"/>
  <c r="F37" i="4"/>
  <c r="G37" i="4" s="1"/>
  <c r="G36" i="4"/>
  <c r="F36" i="4"/>
  <c r="F35" i="4"/>
  <c r="G35" i="4" s="1"/>
  <c r="G34" i="4"/>
  <c r="F34" i="4"/>
  <c r="G33" i="4"/>
  <c r="F33" i="4"/>
  <c r="M31" i="4"/>
  <c r="L31" i="4"/>
  <c r="K31" i="4"/>
  <c r="F31" i="4"/>
  <c r="G31" i="4" s="1"/>
  <c r="G30" i="4"/>
  <c r="F30" i="4"/>
  <c r="L29" i="4"/>
  <c r="M29" i="4" s="1"/>
  <c r="J29" i="4"/>
  <c r="J32" i="4" s="1"/>
  <c r="G29" i="4"/>
  <c r="F29" i="4"/>
  <c r="F28" i="4"/>
  <c r="G28" i="4" s="1"/>
  <c r="G27" i="4"/>
  <c r="F27" i="4"/>
  <c r="F26" i="4"/>
  <c r="G26" i="4" s="1"/>
  <c r="G25" i="4"/>
  <c r="F25" i="4"/>
  <c r="G24" i="4"/>
  <c r="F24" i="4"/>
  <c r="F23" i="4"/>
  <c r="G23" i="4" s="1"/>
  <c r="L22" i="4"/>
  <c r="M22" i="4" s="1"/>
  <c r="N22" i="4" s="1"/>
  <c r="F22" i="4"/>
  <c r="N11" i="3" s="1"/>
  <c r="L21" i="4"/>
  <c r="F21" i="4"/>
  <c r="H14" i="3" s="1"/>
  <c r="G20" i="4"/>
  <c r="F20" i="4"/>
  <c r="F19" i="4"/>
  <c r="G19" i="4" s="1"/>
  <c r="G18" i="4"/>
  <c r="F18" i="4"/>
  <c r="G17" i="4"/>
  <c r="F17" i="4"/>
  <c r="G16" i="4"/>
  <c r="F16" i="4"/>
  <c r="G15" i="4"/>
  <c r="F15" i="4"/>
  <c r="H8" i="3" s="1"/>
  <c r="G14" i="4"/>
  <c r="F14" i="4"/>
  <c r="J12" i="4"/>
  <c r="F12" i="4"/>
  <c r="N9" i="3" s="1"/>
  <c r="L11" i="4"/>
  <c r="J11" i="4"/>
  <c r="F11" i="4"/>
  <c r="G11" i="4" s="1"/>
  <c r="G10" i="4"/>
  <c r="F10" i="4"/>
  <c r="F9" i="4"/>
  <c r="G9" i="4" s="1"/>
  <c r="G8" i="4"/>
  <c r="F8" i="4"/>
  <c r="G7" i="4"/>
  <c r="F7" i="4"/>
  <c r="G6" i="4"/>
  <c r="F6" i="4"/>
  <c r="N4" i="3" s="1"/>
  <c r="G5" i="4"/>
  <c r="F5" i="4"/>
  <c r="J3" i="4"/>
  <c r="L3" i="4" s="1"/>
  <c r="H23" i="3"/>
  <c r="G23" i="3"/>
  <c r="G30" i="3"/>
  <c r="G20" i="3"/>
  <c r="G28" i="3"/>
  <c r="H27" i="3"/>
  <c r="G27" i="3"/>
  <c r="M14" i="3"/>
  <c r="G29" i="3"/>
  <c r="G14" i="3"/>
  <c r="H24" i="3"/>
  <c r="G24" i="3"/>
  <c r="G8" i="3"/>
  <c r="H25" i="3"/>
  <c r="G25" i="3"/>
  <c r="M11" i="3"/>
  <c r="H19" i="3"/>
  <c r="G19" i="3"/>
  <c r="M15" i="3"/>
  <c r="H13" i="3"/>
  <c r="G13" i="3"/>
  <c r="N16" i="3"/>
  <c r="M16" i="3"/>
  <c r="H18" i="3"/>
  <c r="G18" i="3"/>
  <c r="G12" i="3"/>
  <c r="H11" i="3"/>
  <c r="G11" i="3"/>
  <c r="M5" i="3"/>
  <c r="H22" i="3"/>
  <c r="G22" i="3"/>
  <c r="N13" i="3"/>
  <c r="M13" i="3"/>
  <c r="H21" i="3"/>
  <c r="G21" i="3"/>
  <c r="M10" i="3"/>
  <c r="G26" i="3"/>
  <c r="H9" i="3"/>
  <c r="G9" i="3"/>
  <c r="G15" i="3"/>
  <c r="M8" i="3"/>
  <c r="H6" i="3"/>
  <c r="G6" i="3"/>
  <c r="M17" i="3"/>
  <c r="N7" i="3"/>
  <c r="M7" i="3"/>
  <c r="B7" i="3"/>
  <c r="M9" i="3"/>
  <c r="H17" i="3"/>
  <c r="G17" i="3"/>
  <c r="B6" i="3"/>
  <c r="T5" i="3"/>
  <c r="S5" i="3"/>
  <c r="M6" i="3"/>
  <c r="H4" i="3"/>
  <c r="G4" i="3"/>
  <c r="S4" i="3"/>
  <c r="M4" i="3"/>
  <c r="H7" i="3"/>
  <c r="G7" i="3"/>
  <c r="B39" i="2"/>
  <c r="F31" i="2" s="1"/>
  <c r="O32" i="2"/>
  <c r="O39" i="2" s="1"/>
  <c r="O31" i="2"/>
  <c r="B31" i="2"/>
  <c r="O29" i="2"/>
  <c r="O28" i="2"/>
  <c r="O25" i="2"/>
  <c r="C25" i="2"/>
  <c r="O24" i="2"/>
  <c r="C24" i="2"/>
  <c r="F28" i="2"/>
  <c r="C23" i="2"/>
  <c r="F27" i="2"/>
  <c r="O21" i="2"/>
  <c r="F26" i="2"/>
  <c r="B19" i="2"/>
  <c r="K17" i="2"/>
  <c r="K16" i="2"/>
  <c r="K15" i="2"/>
  <c r="O14" i="2"/>
  <c r="O15" i="2" s="1"/>
  <c r="O7" i="2"/>
  <c r="K6" i="2"/>
  <c r="C6" i="2"/>
  <c r="K5" i="2"/>
  <c r="C5" i="2"/>
  <c r="O4" i="2"/>
  <c r="C4" i="2"/>
  <c r="L3" i="2"/>
  <c r="C3" i="2"/>
  <c r="O2" i="2"/>
  <c r="O8" i="2" s="1"/>
  <c r="C2" i="2"/>
  <c r="A86" i="11" l="1"/>
  <c r="AF23" i="6"/>
  <c r="AF7" i="6"/>
  <c r="AF22" i="6"/>
  <c r="G791" i="10"/>
  <c r="G790" i="10"/>
  <c r="G789" i="10"/>
  <c r="G788" i="10"/>
  <c r="G787" i="10"/>
  <c r="G786" i="10"/>
  <c r="G785" i="10"/>
  <c r="G784" i="10"/>
  <c r="G783" i="10"/>
  <c r="G782" i="10"/>
  <c r="G781" i="10"/>
  <c r="G780" i="10"/>
  <c r="G779" i="10"/>
  <c r="G778" i="10"/>
  <c r="G777" i="10"/>
  <c r="G776" i="10"/>
  <c r="G775" i="10"/>
  <c r="G774" i="10"/>
  <c r="G773" i="10"/>
  <c r="G772" i="10"/>
  <c r="G771" i="10"/>
  <c r="G770" i="10"/>
  <c r="G769" i="10"/>
  <c r="G768" i="10"/>
  <c r="G767" i="10"/>
  <c r="G766" i="10"/>
  <c r="G765" i="10"/>
  <c r="G764" i="10"/>
  <c r="G763" i="10"/>
  <c r="G762" i="10"/>
  <c r="G761" i="10"/>
  <c r="G760" i="10"/>
  <c r="G759" i="10"/>
  <c r="G758" i="10"/>
  <c r="G757" i="10"/>
  <c r="G756" i="10"/>
  <c r="G755" i="10"/>
  <c r="G754" i="10"/>
  <c r="G753" i="10"/>
  <c r="G752" i="10"/>
  <c r="G751" i="10"/>
  <c r="G750" i="10"/>
  <c r="G749" i="10"/>
  <c r="G748" i="10"/>
  <c r="G747" i="10"/>
  <c r="G746" i="10"/>
  <c r="G745" i="10"/>
  <c r="G744" i="10"/>
  <c r="G743" i="10"/>
  <c r="G742" i="10"/>
  <c r="G741" i="10"/>
  <c r="G740" i="10"/>
  <c r="G739" i="10"/>
  <c r="G738" i="10"/>
  <c r="G737" i="10"/>
  <c r="G736" i="10"/>
  <c r="G735" i="10"/>
  <c r="G734" i="10"/>
  <c r="G733" i="10"/>
  <c r="G732" i="10"/>
  <c r="G731" i="10"/>
  <c r="G730" i="10"/>
  <c r="G729" i="10"/>
  <c r="G728" i="10"/>
  <c r="G727" i="10"/>
  <c r="G726" i="10"/>
  <c r="G725" i="10"/>
  <c r="G724" i="10"/>
  <c r="G723" i="10"/>
  <c r="G722" i="10"/>
  <c r="G721" i="10"/>
  <c r="G720" i="10"/>
  <c r="G719" i="10"/>
  <c r="G718" i="10"/>
  <c r="G717" i="10"/>
  <c r="G716" i="10"/>
  <c r="G715" i="10"/>
  <c r="G714" i="10"/>
  <c r="G713" i="10"/>
  <c r="G712" i="10"/>
  <c r="G711" i="10"/>
  <c r="G710" i="10"/>
  <c r="G709" i="10"/>
  <c r="G708" i="10"/>
  <c r="G707" i="10"/>
  <c r="G706" i="10"/>
  <c r="G705" i="10"/>
  <c r="G704" i="10"/>
  <c r="G703" i="10"/>
  <c r="G702" i="10"/>
  <c r="G701" i="10"/>
  <c r="G700" i="10"/>
  <c r="G699" i="10"/>
  <c r="G698" i="10"/>
  <c r="G697" i="10"/>
  <c r="G696" i="10"/>
  <c r="G695" i="10"/>
  <c r="G694" i="10"/>
  <c r="G693" i="10"/>
  <c r="G692" i="10"/>
  <c r="G691" i="10"/>
  <c r="G690" i="10"/>
  <c r="G689" i="10"/>
  <c r="G688" i="10"/>
  <c r="G687" i="10"/>
  <c r="G686" i="10"/>
  <c r="G685" i="10"/>
  <c r="G684" i="10"/>
  <c r="G683" i="10"/>
  <c r="G682" i="10"/>
  <c r="G681" i="10"/>
  <c r="G680" i="10"/>
  <c r="G679" i="10"/>
  <c r="G678" i="10"/>
  <c r="G677" i="10"/>
  <c r="G676" i="10"/>
  <c r="G675" i="10"/>
  <c r="G674" i="10"/>
  <c r="G673" i="10"/>
  <c r="G672" i="10"/>
  <c r="G671" i="10"/>
  <c r="G670" i="10"/>
  <c r="G669" i="10"/>
  <c r="G668" i="10"/>
  <c r="G667" i="10"/>
  <c r="G666" i="10"/>
  <c r="G665" i="10"/>
  <c r="G664" i="10"/>
  <c r="G663" i="10"/>
  <c r="G662" i="10"/>
  <c r="G661" i="10"/>
  <c r="G660" i="10"/>
  <c r="G659" i="10"/>
  <c r="G658" i="10"/>
  <c r="G657" i="10"/>
  <c r="G656" i="10"/>
  <c r="G655" i="10"/>
  <c r="G654" i="10"/>
  <c r="G653" i="10"/>
  <c r="G652" i="10"/>
  <c r="G651" i="10"/>
  <c r="G650" i="10"/>
  <c r="G649" i="10"/>
  <c r="G648" i="10"/>
  <c r="G647" i="10"/>
  <c r="G646" i="10"/>
  <c r="G645" i="10"/>
  <c r="G644" i="10"/>
  <c r="G643" i="10"/>
  <c r="G642" i="10"/>
  <c r="G641" i="10"/>
  <c r="G640" i="10"/>
  <c r="G639" i="10"/>
  <c r="G638" i="10"/>
  <c r="G637" i="10"/>
  <c r="G636" i="10"/>
  <c r="G635" i="10"/>
  <c r="G634" i="10"/>
  <c r="G633" i="10"/>
  <c r="G632" i="10"/>
  <c r="G631" i="10"/>
  <c r="G630" i="10"/>
  <c r="G629" i="10"/>
  <c r="G628" i="10"/>
  <c r="G627" i="10"/>
  <c r="G626" i="10"/>
  <c r="G625" i="10"/>
  <c r="G624" i="10"/>
  <c r="G623" i="10"/>
  <c r="G622" i="10"/>
  <c r="G621" i="10"/>
  <c r="G620" i="10"/>
  <c r="G619" i="10"/>
  <c r="G618" i="10"/>
  <c r="G617" i="10"/>
  <c r="G616" i="10"/>
  <c r="G615" i="10"/>
  <c r="G614" i="10"/>
  <c r="G613" i="10"/>
  <c r="G612" i="10"/>
  <c r="G611" i="10"/>
  <c r="G610" i="10"/>
  <c r="G609" i="10"/>
  <c r="G608" i="10"/>
  <c r="G607" i="10"/>
  <c r="G606" i="10"/>
  <c r="G605" i="10"/>
  <c r="G604" i="10"/>
  <c r="G603" i="10"/>
  <c r="G602" i="10"/>
  <c r="G601" i="10"/>
  <c r="G600" i="10"/>
  <c r="G599" i="10"/>
  <c r="G598" i="10"/>
  <c r="G597" i="10"/>
  <c r="G596" i="10"/>
  <c r="G595" i="10"/>
  <c r="G594" i="10"/>
  <c r="G593" i="10"/>
  <c r="G592" i="10"/>
  <c r="G591" i="10"/>
  <c r="G590" i="10"/>
  <c r="G589" i="10"/>
  <c r="G588" i="10"/>
  <c r="G587" i="10"/>
  <c r="G586" i="10"/>
  <c r="G585" i="10"/>
  <c r="G584" i="10"/>
  <c r="G583" i="10"/>
  <c r="G582" i="10"/>
  <c r="G581" i="10"/>
  <c r="G580" i="10"/>
  <c r="G579" i="10"/>
  <c r="G578" i="10"/>
  <c r="G577" i="10"/>
  <c r="G576" i="10"/>
  <c r="G575" i="10"/>
  <c r="G574" i="10"/>
  <c r="G573" i="10"/>
  <c r="G572" i="10"/>
  <c r="G571" i="10"/>
  <c r="G570" i="10"/>
  <c r="G569" i="10"/>
  <c r="G568" i="10"/>
  <c r="G567" i="10"/>
  <c r="G566" i="10"/>
  <c r="G565" i="10"/>
  <c r="G564" i="10"/>
  <c r="G563" i="10"/>
  <c r="G562" i="10"/>
  <c r="G561" i="10"/>
  <c r="G560" i="10"/>
  <c r="G559" i="10"/>
  <c r="G558" i="10"/>
  <c r="G557" i="10"/>
  <c r="G556" i="10"/>
  <c r="G555" i="10"/>
  <c r="G554" i="10"/>
  <c r="G553" i="10"/>
  <c r="G552" i="10"/>
  <c r="G551" i="10"/>
  <c r="G550" i="10"/>
  <c r="G549" i="10"/>
  <c r="G548" i="10"/>
  <c r="G547" i="10"/>
  <c r="G546" i="10"/>
  <c r="G545" i="10"/>
  <c r="G544" i="10"/>
  <c r="G543" i="10"/>
  <c r="G542" i="10"/>
  <c r="G541" i="10"/>
  <c r="G540" i="10"/>
  <c r="G539" i="10"/>
  <c r="G538" i="10"/>
  <c r="G537" i="10"/>
  <c r="G536" i="10"/>
  <c r="G535" i="10"/>
  <c r="G534" i="10"/>
  <c r="G533" i="10"/>
  <c r="G532" i="10"/>
  <c r="G531" i="10"/>
  <c r="G530" i="10"/>
  <c r="G529" i="10"/>
  <c r="G528" i="10"/>
  <c r="G527" i="10"/>
  <c r="G526" i="10"/>
  <c r="G525" i="10"/>
  <c r="G524" i="10"/>
  <c r="G523" i="10"/>
  <c r="G522" i="10"/>
  <c r="G521" i="10"/>
  <c r="G520" i="10"/>
  <c r="G519" i="10"/>
  <c r="G518" i="10"/>
  <c r="G517" i="10"/>
  <c r="G516" i="10"/>
  <c r="G515" i="10"/>
  <c r="G514" i="10"/>
  <c r="G513" i="10"/>
  <c r="G512" i="10"/>
  <c r="G511" i="10"/>
  <c r="G510" i="10"/>
  <c r="G509" i="10"/>
  <c r="G508" i="10"/>
  <c r="G507" i="10"/>
  <c r="G506" i="10"/>
  <c r="G505" i="10"/>
  <c r="G504" i="10"/>
  <c r="G503" i="10"/>
  <c r="G502" i="10"/>
  <c r="G501" i="10"/>
  <c r="G500" i="10"/>
  <c r="G499" i="10"/>
  <c r="G498" i="10"/>
  <c r="G497" i="10"/>
  <c r="G496" i="10"/>
  <c r="G495" i="10"/>
  <c r="G494" i="10"/>
  <c r="G493" i="10"/>
  <c r="G492" i="10"/>
  <c r="G491" i="10"/>
  <c r="G490" i="10"/>
  <c r="G489" i="10"/>
  <c r="G488" i="10"/>
  <c r="G487" i="10"/>
  <c r="G486" i="10"/>
  <c r="G485" i="10"/>
  <c r="G484" i="10"/>
  <c r="G483" i="10"/>
  <c r="G482" i="10"/>
  <c r="G481" i="10"/>
  <c r="G480" i="10"/>
  <c r="G479" i="10"/>
  <c r="G478" i="10"/>
  <c r="G477" i="10"/>
  <c r="G476" i="10"/>
  <c r="G475" i="10"/>
  <c r="G474" i="10"/>
  <c r="G473" i="10"/>
  <c r="G472" i="10"/>
  <c r="G471" i="10"/>
  <c r="G470" i="10"/>
  <c r="G469" i="10"/>
  <c r="G468" i="10"/>
  <c r="G467" i="10"/>
  <c r="G466" i="10"/>
  <c r="G465" i="10"/>
  <c r="G464" i="10"/>
  <c r="G463" i="10"/>
  <c r="G462" i="10"/>
  <c r="G461" i="10"/>
  <c r="G460" i="10"/>
  <c r="G459" i="10"/>
  <c r="G458" i="10"/>
  <c r="G457" i="10"/>
  <c r="G456" i="10"/>
  <c r="G455" i="10"/>
  <c r="G454" i="10"/>
  <c r="G453" i="10"/>
  <c r="G452" i="10"/>
  <c r="G451" i="10"/>
  <c r="G353" i="10"/>
  <c r="G352" i="10"/>
  <c r="G351" i="10"/>
  <c r="G350" i="10"/>
  <c r="G349" i="10"/>
  <c r="G348" i="10"/>
  <c r="G347" i="10"/>
  <c r="G346" i="10"/>
  <c r="G345" i="10"/>
  <c r="G344" i="10"/>
  <c r="G343" i="10"/>
  <c r="G342" i="10"/>
  <c r="G341" i="10"/>
  <c r="G340" i="10"/>
  <c r="G339" i="10"/>
  <c r="G338" i="10"/>
  <c r="G337" i="10"/>
  <c r="G336" i="10"/>
  <c r="G335" i="10"/>
  <c r="G334" i="10"/>
  <c r="G333" i="10"/>
  <c r="G332" i="10"/>
  <c r="G331" i="10"/>
  <c r="G330" i="10"/>
  <c r="G329" i="10"/>
  <c r="G328" i="10"/>
  <c r="G327" i="10"/>
  <c r="G326" i="10"/>
  <c r="G325" i="10"/>
  <c r="G324" i="10"/>
  <c r="G323" i="10"/>
  <c r="G322" i="10"/>
  <c r="G321" i="10"/>
  <c r="G320" i="10"/>
  <c r="G319" i="10"/>
  <c r="G318" i="10"/>
  <c r="G317" i="10"/>
  <c r="G316" i="10"/>
  <c r="G315" i="10"/>
  <c r="G314" i="10"/>
  <c r="G313" i="10"/>
  <c r="G312" i="10"/>
  <c r="G311" i="10"/>
  <c r="G310" i="10"/>
  <c r="G309" i="10"/>
  <c r="G308" i="10"/>
  <c r="G307" i="10"/>
  <c r="G306" i="10"/>
  <c r="G305" i="10"/>
  <c r="G304" i="10"/>
  <c r="G303" i="10"/>
  <c r="G302" i="10"/>
  <c r="G301" i="10"/>
  <c r="G300" i="10"/>
  <c r="G299" i="10"/>
  <c r="G298" i="10"/>
  <c r="G297" i="10"/>
  <c r="G296" i="10"/>
  <c r="G295" i="10"/>
  <c r="G294" i="10"/>
  <c r="G293" i="10"/>
  <c r="G292" i="10"/>
  <c r="G291" i="10"/>
  <c r="G290" i="10"/>
  <c r="G289" i="10"/>
  <c r="G288" i="10"/>
  <c r="G287" i="10"/>
  <c r="G286" i="10"/>
  <c r="G285" i="10"/>
  <c r="G284" i="10"/>
  <c r="G283" i="10"/>
  <c r="G282" i="10"/>
  <c r="G281" i="10"/>
  <c r="G280" i="10"/>
  <c r="G279" i="10"/>
  <c r="G278" i="10"/>
  <c r="G277" i="10"/>
  <c r="G276" i="10"/>
  <c r="G275" i="10"/>
  <c r="G274" i="10"/>
  <c r="G273" i="10"/>
  <c r="G272" i="10"/>
  <c r="G271" i="10"/>
  <c r="G270" i="10"/>
  <c r="G269" i="10"/>
  <c r="G268" i="10"/>
  <c r="G267" i="10"/>
  <c r="G266" i="10"/>
  <c r="G265" i="10"/>
  <c r="G264" i="10"/>
  <c r="G263" i="10"/>
  <c r="G262" i="10"/>
  <c r="G261" i="10"/>
  <c r="G260" i="10"/>
  <c r="G259" i="10"/>
  <c r="G258" i="10"/>
  <c r="G257" i="10"/>
  <c r="G256" i="10"/>
  <c r="G255" i="10"/>
  <c r="G254" i="10"/>
  <c r="G253" i="10"/>
  <c r="G252" i="10"/>
  <c r="G251" i="10"/>
  <c r="G250" i="10"/>
  <c r="G249" i="10"/>
  <c r="G248" i="10"/>
  <c r="G247" i="10"/>
  <c r="G246" i="10"/>
  <c r="G245" i="10"/>
  <c r="G244" i="10"/>
  <c r="G243" i="10"/>
  <c r="G242" i="10"/>
  <c r="G241" i="10"/>
  <c r="G240" i="10"/>
  <c r="G239" i="10"/>
  <c r="G238" i="10"/>
  <c r="G237" i="10"/>
  <c r="G236" i="10"/>
  <c r="G235" i="10"/>
  <c r="G234" i="10"/>
  <c r="G233" i="10"/>
  <c r="G232" i="10"/>
  <c r="G231" i="10"/>
  <c r="G230" i="10"/>
  <c r="G229" i="10"/>
  <c r="G228" i="10"/>
  <c r="G227" i="10"/>
  <c r="G226" i="10"/>
  <c r="G225" i="10"/>
  <c r="G224" i="10"/>
  <c r="G223" i="10"/>
  <c r="G222" i="10"/>
  <c r="G221" i="10"/>
  <c r="G220" i="10"/>
  <c r="G219" i="10"/>
  <c r="G218" i="10"/>
  <c r="G217" i="10"/>
  <c r="G216" i="10"/>
  <c r="G215" i="10"/>
  <c r="G214" i="10"/>
  <c r="G213" i="10"/>
  <c r="G212" i="10"/>
  <c r="G211" i="10"/>
  <c r="G210" i="10"/>
  <c r="G209" i="10"/>
  <c r="G208" i="10"/>
  <c r="G207" i="10"/>
  <c r="G206" i="10"/>
  <c r="G205" i="10"/>
  <c r="G204" i="10"/>
  <c r="G203" i="10"/>
  <c r="G202" i="10"/>
  <c r="G201" i="10"/>
  <c r="G200" i="10"/>
  <c r="G199" i="10"/>
  <c r="G198" i="10"/>
  <c r="G197" i="10"/>
  <c r="G196" i="10"/>
  <c r="G195" i="10"/>
  <c r="G194" i="10"/>
  <c r="G193" i="10"/>
  <c r="G192" i="10"/>
  <c r="G191" i="10"/>
  <c r="G190" i="10"/>
  <c r="G189" i="10"/>
  <c r="G188" i="10"/>
  <c r="G187" i="10"/>
  <c r="G186" i="10"/>
  <c r="G185" i="10"/>
  <c r="G184" i="10"/>
  <c r="G183" i="10"/>
  <c r="G182" i="10"/>
  <c r="G181" i="10"/>
  <c r="G180" i="10"/>
  <c r="G179" i="10"/>
  <c r="G178" i="10"/>
  <c r="G177" i="10"/>
  <c r="G176" i="10"/>
  <c r="G175" i="10"/>
  <c r="G174" i="10"/>
  <c r="G173" i="10"/>
  <c r="G172" i="10"/>
  <c r="G171" i="10"/>
  <c r="G170" i="10"/>
  <c r="G169" i="10"/>
  <c r="G168" i="10"/>
  <c r="G167" i="10"/>
  <c r="G166" i="10"/>
  <c r="G165" i="10"/>
  <c r="G164" i="10"/>
  <c r="G163" i="10"/>
  <c r="G162" i="10"/>
  <c r="G161" i="10"/>
  <c r="G160" i="10"/>
  <c r="G159" i="10"/>
  <c r="G158" i="10"/>
  <c r="G157" i="10"/>
  <c r="G156" i="10"/>
  <c r="G155" i="10"/>
  <c r="G154" i="10"/>
  <c r="G153" i="10"/>
  <c r="G152" i="10"/>
  <c r="G151" i="10"/>
  <c r="G150" i="10"/>
  <c r="G149" i="10"/>
  <c r="G148" i="10"/>
  <c r="G147" i="10"/>
  <c r="G146" i="10"/>
  <c r="G145" i="10"/>
  <c r="G144" i="10"/>
  <c r="G143" i="10"/>
  <c r="G142" i="10"/>
  <c r="G141" i="10"/>
  <c r="G140" i="10"/>
  <c r="G139" i="10"/>
  <c r="G138" i="10"/>
  <c r="G137" i="10"/>
  <c r="G136" i="10"/>
  <c r="G135" i="10"/>
  <c r="G134" i="10"/>
  <c r="G133" i="10"/>
  <c r="G132" i="10"/>
  <c r="G131" i="10"/>
  <c r="G130" i="10"/>
  <c r="G129" i="10"/>
  <c r="G128" i="10"/>
  <c r="G127" i="10"/>
  <c r="G126" i="10"/>
  <c r="G125" i="10"/>
  <c r="G124" i="10"/>
  <c r="G123" i="10"/>
  <c r="G122" i="10"/>
  <c r="G121" i="10"/>
  <c r="G120" i="10"/>
  <c r="G119" i="10"/>
  <c r="G118" i="10"/>
  <c r="G117" i="10"/>
  <c r="G116" i="10"/>
  <c r="G115" i="10"/>
  <c r="G114" i="10"/>
  <c r="G113" i="10"/>
  <c r="G112" i="10"/>
  <c r="G111" i="10"/>
  <c r="G110" i="10"/>
  <c r="G109" i="10"/>
  <c r="G108" i="10"/>
  <c r="G107" i="10"/>
  <c r="G106" i="10"/>
  <c r="G105" i="10"/>
  <c r="G104" i="10"/>
  <c r="G103" i="10"/>
  <c r="G102" i="10"/>
  <c r="G101" i="10"/>
  <c r="G100" i="10"/>
  <c r="G99" i="10"/>
  <c r="G98" i="10"/>
  <c r="G97" i="10"/>
  <c r="G96" i="10"/>
  <c r="G95" i="10"/>
  <c r="G94" i="10"/>
  <c r="G93" i="10"/>
  <c r="G92" i="10"/>
  <c r="G91" i="10"/>
  <c r="G90" i="10"/>
  <c r="G89" i="10"/>
  <c r="G88" i="10"/>
  <c r="G87" i="10"/>
  <c r="G86" i="10"/>
  <c r="G85" i="10"/>
  <c r="G84" i="10"/>
  <c r="G83" i="10"/>
  <c r="G82" i="10"/>
  <c r="G81" i="10"/>
  <c r="G80" i="10"/>
  <c r="G79" i="10"/>
  <c r="G78" i="10"/>
  <c r="G77" i="10"/>
  <c r="G76" i="10"/>
  <c r="G75" i="10"/>
  <c r="G74" i="10"/>
  <c r="G73" i="10"/>
  <c r="G72" i="10"/>
  <c r="G71" i="10"/>
  <c r="G70" i="10"/>
  <c r="G69" i="10"/>
  <c r="G68" i="10"/>
  <c r="G67" i="10"/>
  <c r="G66" i="10"/>
  <c r="G65" i="10"/>
  <c r="G64" i="10"/>
  <c r="G63" i="10"/>
  <c r="G62" i="10"/>
  <c r="G61" i="10"/>
  <c r="G60" i="10"/>
  <c r="G59" i="10"/>
  <c r="G58" i="10"/>
  <c r="G57" i="10"/>
  <c r="G56" i="10"/>
  <c r="G55" i="10"/>
  <c r="G54" i="10"/>
  <c r="G53" i="10"/>
  <c r="G52" i="10"/>
  <c r="G51" i="10"/>
  <c r="G50" i="10"/>
  <c r="G49" i="10"/>
  <c r="G48" i="10"/>
  <c r="G47" i="10"/>
  <c r="G46" i="10"/>
  <c r="G45" i="10"/>
  <c r="G44" i="10"/>
  <c r="G43" i="10"/>
  <c r="G42" i="10"/>
  <c r="G41" i="10"/>
  <c r="G40" i="10"/>
  <c r="G39" i="10"/>
  <c r="G38" i="10"/>
  <c r="G37" i="10"/>
  <c r="G36" i="10"/>
  <c r="G35" i="10"/>
  <c r="G34" i="10"/>
  <c r="G33" i="10"/>
  <c r="G32" i="10"/>
  <c r="G31" i="10"/>
  <c r="G30" i="10"/>
  <c r="G29" i="10"/>
  <c r="G28" i="10"/>
  <c r="G27" i="10"/>
  <c r="G26" i="10"/>
  <c r="G25" i="10"/>
  <c r="G24" i="10"/>
  <c r="G23" i="10"/>
  <c r="G22" i="10"/>
  <c r="G21" i="10"/>
  <c r="G20" i="10"/>
  <c r="G19" i="10"/>
  <c r="G18" i="10"/>
  <c r="G17" i="10"/>
  <c r="G16" i="10"/>
  <c r="G15" i="10"/>
  <c r="G14" i="10"/>
  <c r="G13" i="10"/>
  <c r="G12" i="10"/>
  <c r="G11" i="10"/>
  <c r="L3" i="10"/>
  <c r="K3" i="10"/>
  <c r="AF26" i="6"/>
  <c r="P18" i="3"/>
  <c r="J26" i="3"/>
  <c r="AF5" i="6"/>
  <c r="J32" i="12"/>
  <c r="J31" i="12"/>
  <c r="J29" i="12"/>
  <c r="J28" i="12"/>
  <c r="J26" i="12"/>
  <c r="J24" i="12"/>
  <c r="J23" i="12"/>
  <c r="J21" i="12"/>
  <c r="J19" i="12"/>
  <c r="I33" i="12"/>
  <c r="I27" i="12"/>
  <c r="I20" i="12"/>
  <c r="AF14" i="6"/>
  <c r="AF36" i="6"/>
  <c r="AF15" i="6"/>
  <c r="AF20" i="6"/>
  <c r="AF29" i="6"/>
  <c r="N787" i="10"/>
  <c r="N786" i="10"/>
  <c r="N784" i="10"/>
  <c r="N783" i="10"/>
  <c r="N782" i="10"/>
  <c r="N785" i="10"/>
  <c r="N346" i="10"/>
  <c r="N345" i="10"/>
  <c r="N344" i="10"/>
  <c r="N343" i="10"/>
  <c r="N342" i="10"/>
  <c r="N341" i="10"/>
  <c r="N340" i="10"/>
  <c r="N339" i="10"/>
  <c r="N338" i="10"/>
  <c r="N337" i="10"/>
  <c r="N336" i="10"/>
  <c r="N335" i="10"/>
  <c r="N334" i="10"/>
  <c r="N333" i="10"/>
  <c r="N332" i="10"/>
  <c r="N331" i="10"/>
  <c r="N330" i="10"/>
  <c r="N329" i="10"/>
  <c r="N328" i="10"/>
  <c r="N327" i="10"/>
  <c r="N326" i="10"/>
  <c r="N325" i="10"/>
  <c r="N324" i="10"/>
  <c r="N323" i="10"/>
  <c r="N322" i="10"/>
  <c r="N321" i="10"/>
  <c r="N320" i="10"/>
  <c r="N319" i="10"/>
  <c r="N318" i="10"/>
  <c r="N317" i="10"/>
  <c r="N316" i="10"/>
  <c r="N315" i="10"/>
  <c r="N314" i="10"/>
  <c r="N313" i="10"/>
  <c r="N312" i="10"/>
  <c r="N311" i="10"/>
  <c r="N310" i="10"/>
  <c r="N309" i="10"/>
  <c r="N308" i="10"/>
  <c r="N307" i="10"/>
  <c r="N306" i="10"/>
  <c r="N305" i="10"/>
  <c r="N304" i="10"/>
  <c r="N303" i="10"/>
  <c r="N302" i="10"/>
  <c r="N301" i="10"/>
  <c r="N300" i="10"/>
  <c r="AF8" i="6"/>
  <c r="F21" i="5"/>
  <c r="H21" i="5" s="1"/>
  <c r="F9" i="5"/>
  <c r="L2" i="2"/>
  <c r="O30" i="2"/>
  <c r="O38" i="2" s="1"/>
  <c r="F30" i="2"/>
  <c r="Q2" i="8"/>
  <c r="A3" i="8"/>
  <c r="B6" i="2" s="1"/>
  <c r="K7" i="2" s="1"/>
  <c r="K8" i="2" s="1"/>
  <c r="G286" i="7"/>
  <c r="G285" i="7" s="1"/>
  <c r="G284" i="7" s="1"/>
  <c r="G283" i="7" s="1"/>
  <c r="G282" i="7" s="1"/>
  <c r="G281" i="7" s="1"/>
  <c r="G280" i="7" s="1"/>
  <c r="G279" i="7" s="1"/>
  <c r="G278" i="7" s="1"/>
  <c r="G277" i="7" s="1"/>
  <c r="G276" i="7" s="1"/>
  <c r="G275" i="7" s="1"/>
  <c r="G274" i="7" s="1"/>
  <c r="G273" i="7" s="1"/>
  <c r="G272" i="7" s="1"/>
  <c r="G271" i="7" s="1"/>
  <c r="G270" i="7" s="1"/>
  <c r="G269" i="7" s="1"/>
  <c r="G268" i="7" s="1"/>
  <c r="G267" i="7" s="1"/>
  <c r="G266" i="7" s="1"/>
  <c r="G265" i="7" s="1"/>
  <c r="G264" i="7" s="1"/>
  <c r="G263" i="7" s="1"/>
  <c r="G262" i="7" s="1"/>
  <c r="G261" i="7" s="1"/>
  <c r="G260" i="7" s="1"/>
  <c r="G259" i="7" s="1"/>
  <c r="F23" i="5"/>
  <c r="AF40" i="6"/>
  <c r="K54" i="6"/>
  <c r="F4" i="5"/>
  <c r="F2" i="5"/>
  <c r="F5" i="5"/>
  <c r="S54" i="6"/>
  <c r="F6" i="5"/>
  <c r="F8" i="5"/>
  <c r="P5" i="5"/>
  <c r="P9" i="5"/>
  <c r="P13" i="5"/>
  <c r="AF27" i="6"/>
  <c r="F31" i="5"/>
  <c r="P8" i="5"/>
  <c r="AF11" i="6"/>
  <c r="AA54" i="6"/>
  <c r="F3" i="5"/>
  <c r="AF16" i="6"/>
  <c r="AF17" i="6"/>
  <c r="AF18" i="6"/>
  <c r="AF10" i="6"/>
  <c r="AF12" i="6"/>
  <c r="F10" i="5"/>
  <c r="P2" i="5"/>
  <c r="P6" i="5"/>
  <c r="P10" i="5"/>
  <c r="F11" i="5"/>
  <c r="P4" i="5"/>
  <c r="P12" i="5"/>
  <c r="F7" i="5"/>
  <c r="P25" i="5"/>
  <c r="Q25" i="5" s="1"/>
  <c r="F12" i="5"/>
  <c r="F13" i="5"/>
  <c r="P30" i="5"/>
  <c r="Q30" i="5" s="1"/>
  <c r="Q3" i="6"/>
  <c r="E38" i="6"/>
  <c r="D38" i="6" s="1"/>
  <c r="AC54" i="6"/>
  <c r="P29" i="5"/>
  <c r="Q29" i="5" s="1"/>
  <c r="P3" i="5"/>
  <c r="P7" i="5"/>
  <c r="P11" i="5"/>
  <c r="AF24" i="6"/>
  <c r="AF43" i="6"/>
  <c r="G3" i="7"/>
  <c r="AF9" i="6"/>
  <c r="AF21" i="6"/>
  <c r="E42" i="6"/>
  <c r="D42" i="6" s="1"/>
  <c r="P22" i="5"/>
  <c r="Q22" i="5" s="1"/>
  <c r="F25" i="5"/>
  <c r="H25" i="5" s="1"/>
  <c r="AF31" i="6"/>
  <c r="AF35" i="6"/>
  <c r="AF39" i="6"/>
  <c r="P20" i="5"/>
  <c r="Q20" i="5" s="1"/>
  <c r="E37" i="6"/>
  <c r="D37" i="6" s="1"/>
  <c r="E43" i="6"/>
  <c r="D43" i="6" s="1"/>
  <c r="E46" i="6"/>
  <c r="D46" i="6" s="1"/>
  <c r="E51" i="6"/>
  <c r="D6" i="3" s="1"/>
  <c r="AF6" i="6"/>
  <c r="AF19" i="6"/>
  <c r="AF25" i="6"/>
  <c r="K26" i="5"/>
  <c r="L26" i="5" s="1"/>
  <c r="F30" i="5"/>
  <c r="G30" i="5" s="1"/>
  <c r="E29" i="6"/>
  <c r="D29" i="6" s="1"/>
  <c r="E31" i="6"/>
  <c r="D31" i="6" s="1"/>
  <c r="P21" i="5"/>
  <c r="Q21" i="5" s="1"/>
  <c r="P24" i="5"/>
  <c r="Q24" i="5" s="1"/>
  <c r="E39" i="6"/>
  <c r="D39" i="6" s="1"/>
  <c r="E45" i="6"/>
  <c r="V5" i="3" s="1"/>
  <c r="AF28" i="6"/>
  <c r="F29" i="5"/>
  <c r="H29" i="5" s="1"/>
  <c r="AF30" i="6"/>
  <c r="E33" i="6"/>
  <c r="D33" i="6" s="1"/>
  <c r="P31" i="5"/>
  <c r="Q31" i="5" s="1"/>
  <c r="E35" i="6"/>
  <c r="D35" i="6" s="1"/>
  <c r="E40" i="6"/>
  <c r="D40" i="6" s="1"/>
  <c r="P23" i="5"/>
  <c r="Q23" i="5" s="1"/>
  <c r="P26" i="5"/>
  <c r="Q26" i="5" s="1"/>
  <c r="E36" i="6"/>
  <c r="D36" i="6" s="1"/>
  <c r="E41" i="6"/>
  <c r="D41" i="6" s="1"/>
  <c r="F22" i="5"/>
  <c r="G22" i="5" s="1"/>
  <c r="P28" i="5"/>
  <c r="Q28" i="5" s="1"/>
  <c r="Y3" i="6"/>
  <c r="O3" i="6"/>
  <c r="W3" i="6"/>
  <c r="AE3" i="6"/>
  <c r="F27" i="5"/>
  <c r="G27" i="5" s="1"/>
  <c r="E28" i="6"/>
  <c r="R29" i="6"/>
  <c r="V33" i="6"/>
  <c r="AF34" i="6"/>
  <c r="R34" i="6"/>
  <c r="J36" i="6"/>
  <c r="AF38" i="6"/>
  <c r="AF42" i="6"/>
  <c r="M54" i="6"/>
  <c r="U54" i="6"/>
  <c r="AF33" i="6"/>
  <c r="P27" i="5"/>
  <c r="Q27" i="5" s="1"/>
  <c r="AF37" i="6"/>
  <c r="AF41" i="6"/>
  <c r="O54" i="6"/>
  <c r="W54" i="6"/>
  <c r="AE54" i="6"/>
  <c r="E34" i="6"/>
  <c r="D34" i="6" s="1"/>
  <c r="F26" i="5"/>
  <c r="G26" i="5" s="1"/>
  <c r="K30" i="5"/>
  <c r="L30" i="5" s="1"/>
  <c r="K3" i="6"/>
  <c r="S3" i="6"/>
  <c r="AA3" i="6"/>
  <c r="E30" i="6"/>
  <c r="I54" i="6"/>
  <c r="Q54" i="6"/>
  <c r="Y54" i="6"/>
  <c r="E50" i="6"/>
  <c r="D5" i="3" s="1"/>
  <c r="E49" i="6"/>
  <c r="F49" i="6" s="1"/>
  <c r="G49" i="6" s="1"/>
  <c r="E52" i="6"/>
  <c r="D7" i="3" s="1"/>
  <c r="L16" i="4"/>
  <c r="K68" i="4"/>
  <c r="L68" i="4"/>
  <c r="L5" i="4"/>
  <c r="K5" i="4"/>
  <c r="J33" i="4"/>
  <c r="L32" i="4"/>
  <c r="J35" i="4"/>
  <c r="J15" i="4"/>
  <c r="M41" i="4"/>
  <c r="AD45" i="6"/>
  <c r="Z45" i="6"/>
  <c r="V45" i="6"/>
  <c r="R45" i="6"/>
  <c r="N45" i="6"/>
  <c r="J45" i="6"/>
  <c r="AF45" i="6"/>
  <c r="AB45" i="6"/>
  <c r="X45" i="6"/>
  <c r="T45" i="6"/>
  <c r="P45" i="6"/>
  <c r="L45" i="6"/>
  <c r="Q3" i="12"/>
  <c r="R3" i="12" s="1"/>
  <c r="C2" i="12"/>
  <c r="N8" i="13"/>
  <c r="E9" i="9"/>
  <c r="D13" i="9"/>
  <c r="E13" i="9" s="1"/>
  <c r="K22" i="5"/>
  <c r="I3" i="6"/>
  <c r="E8" i="6"/>
  <c r="E11" i="6"/>
  <c r="E18" i="6"/>
  <c r="E19" i="6"/>
  <c r="E20" i="6"/>
  <c r="E21" i="6"/>
  <c r="E23" i="6"/>
  <c r="H20" i="3"/>
  <c r="F24" i="5"/>
  <c r="H24" i="5" s="1"/>
  <c r="K24" i="5"/>
  <c r="M24" i="5" s="1"/>
  <c r="F28" i="5"/>
  <c r="H28" i="5" s="1"/>
  <c r="M3" i="6"/>
  <c r="AC3" i="6"/>
  <c r="E3" i="9"/>
  <c r="E16" i="9"/>
  <c r="E19" i="9" s="1"/>
  <c r="C7" i="10" a="1"/>
  <c r="C7" i="10" s="1"/>
  <c r="D7" i="10" s="1" a="1"/>
  <c r="D7" i="10" s="1"/>
  <c r="K12" i="10"/>
  <c r="E14" i="10"/>
  <c r="I14" i="10"/>
  <c r="K16" i="10"/>
  <c r="E18" i="10"/>
  <c r="I18" i="10"/>
  <c r="K20" i="10"/>
  <c r="E22" i="10"/>
  <c r="I22" i="10"/>
  <c r="K24" i="10"/>
  <c r="E26" i="10"/>
  <c r="I26" i="10"/>
  <c r="K28" i="10"/>
  <c r="E30" i="10"/>
  <c r="I30" i="10"/>
  <c r="K32" i="10"/>
  <c r="E34" i="10"/>
  <c r="I34" i="10"/>
  <c r="K36" i="10"/>
  <c r="E38" i="10"/>
  <c r="I38" i="10"/>
  <c r="K40" i="10"/>
  <c r="E42" i="10"/>
  <c r="I42" i="10"/>
  <c r="K44" i="10"/>
  <c r="E46" i="10"/>
  <c r="I46" i="10"/>
  <c r="K48" i="10"/>
  <c r="E50" i="10"/>
  <c r="I50" i="10"/>
  <c r="K52" i="10"/>
  <c r="E54" i="10"/>
  <c r="I54" i="10"/>
  <c r="K56" i="10"/>
  <c r="E58" i="10"/>
  <c r="I58" i="10"/>
  <c r="K60" i="10"/>
  <c r="E62" i="10"/>
  <c r="I62" i="10"/>
  <c r="K64" i="10"/>
  <c r="E66" i="10"/>
  <c r="I66" i="10"/>
  <c r="K68" i="10"/>
  <c r="E70" i="10"/>
  <c r="I70" i="10"/>
  <c r="K72" i="10"/>
  <c r="E74" i="10"/>
  <c r="I74" i="10"/>
  <c r="K76" i="10"/>
  <c r="E78" i="10"/>
  <c r="I78" i="10"/>
  <c r="E82" i="10"/>
  <c r="I82" i="10"/>
  <c r="E86" i="10"/>
  <c r="I86" i="10"/>
  <c r="E90" i="10"/>
  <c r="I90" i="10"/>
  <c r="E94" i="10"/>
  <c r="I94" i="10"/>
  <c r="E98" i="10"/>
  <c r="I98" i="10"/>
  <c r="E102" i="10"/>
  <c r="I102" i="10"/>
  <c r="E106" i="10"/>
  <c r="I106" i="10"/>
  <c r="E110" i="10"/>
  <c r="I110" i="10"/>
  <c r="E114" i="10"/>
  <c r="I114" i="10"/>
  <c r="E118" i="10"/>
  <c r="I118" i="10"/>
  <c r="E122" i="10"/>
  <c r="I122" i="10"/>
  <c r="E126" i="10"/>
  <c r="I126" i="10"/>
  <c r="E130" i="10"/>
  <c r="I130" i="10"/>
  <c r="E134" i="10"/>
  <c r="I134" i="10"/>
  <c r="E138" i="10"/>
  <c r="I138" i="10"/>
  <c r="E142" i="10"/>
  <c r="I142" i="10"/>
  <c r="E146" i="10"/>
  <c r="I146" i="10"/>
  <c r="E150" i="10"/>
  <c r="I150" i="10"/>
  <c r="E154" i="10"/>
  <c r="I154" i="10"/>
  <c r="E158" i="10"/>
  <c r="I158" i="10"/>
  <c r="E162" i="10"/>
  <c r="I162" i="10"/>
  <c r="E166" i="10"/>
  <c r="I166" i="10"/>
  <c r="E170" i="10"/>
  <c r="I170" i="10"/>
  <c r="E174" i="10"/>
  <c r="I174" i="10"/>
  <c r="E178" i="10"/>
  <c r="I178" i="10"/>
  <c r="E182" i="10"/>
  <c r="I182" i="10"/>
  <c r="E186" i="10"/>
  <c r="I186" i="10"/>
  <c r="E190" i="10"/>
  <c r="I190" i="10"/>
  <c r="E194" i="10"/>
  <c r="I194" i="10"/>
  <c r="E198" i="10"/>
  <c r="I198" i="10"/>
  <c r="E202" i="10"/>
  <c r="I202" i="10"/>
  <c r="E206" i="10"/>
  <c r="I206" i="10"/>
  <c r="E210" i="10"/>
  <c r="I210" i="10"/>
  <c r="E214" i="10"/>
  <c r="I214" i="10"/>
  <c r="E218" i="10"/>
  <c r="I218" i="10"/>
  <c r="E222" i="10"/>
  <c r="I222" i="10"/>
  <c r="E226" i="10"/>
  <c r="I226" i="10"/>
  <c r="E230" i="10"/>
  <c r="I230" i="10"/>
  <c r="E234" i="10"/>
  <c r="I234" i="10"/>
  <c r="E238" i="10"/>
  <c r="I238" i="10"/>
  <c r="E242" i="10"/>
  <c r="I242" i="10"/>
  <c r="E246" i="10"/>
  <c r="I246" i="10"/>
  <c r="E250" i="10"/>
  <c r="I250" i="10"/>
  <c r="E254" i="10"/>
  <c r="I254" i="10"/>
  <c r="E258" i="10"/>
  <c r="I258" i="10"/>
  <c r="E262" i="10"/>
  <c r="I262" i="10"/>
  <c r="E266" i="10"/>
  <c r="I266" i="10"/>
  <c r="E270" i="10"/>
  <c r="I270" i="10"/>
  <c r="E274" i="10"/>
  <c r="I274" i="10"/>
  <c r="E278" i="10"/>
  <c r="I278" i="10"/>
  <c r="E282" i="10"/>
  <c r="I282" i="10"/>
  <c r="E286" i="10"/>
  <c r="I286" i="10"/>
  <c r="E290" i="10"/>
  <c r="I290" i="10"/>
  <c r="E294" i="10"/>
  <c r="I294" i="10"/>
  <c r="E298" i="10"/>
  <c r="I298" i="10"/>
  <c r="E302" i="10"/>
  <c r="I302" i="10"/>
  <c r="E306" i="10"/>
  <c r="I306" i="10"/>
  <c r="E310" i="10"/>
  <c r="I310" i="10"/>
  <c r="E314" i="10"/>
  <c r="I314" i="10"/>
  <c r="E318" i="10"/>
  <c r="I318" i="10"/>
  <c r="E322" i="10"/>
  <c r="I322" i="10"/>
  <c r="E326" i="10"/>
  <c r="I326" i="10"/>
  <c r="E330" i="10"/>
  <c r="I330" i="10"/>
  <c r="E334" i="10"/>
  <c r="I334" i="10"/>
  <c r="E338" i="10"/>
  <c r="I338" i="10"/>
  <c r="E342" i="10"/>
  <c r="I342" i="10"/>
  <c r="E346" i="10"/>
  <c r="I346" i="10"/>
  <c r="E350" i="10"/>
  <c r="I350" i="10"/>
  <c r="E354" i="10"/>
  <c r="I354" i="10"/>
  <c r="E358" i="10"/>
  <c r="I358" i="10"/>
  <c r="E362" i="10"/>
  <c r="I362" i="10"/>
  <c r="E366" i="10"/>
  <c r="I366" i="10"/>
  <c r="E370" i="10"/>
  <c r="I370" i="10"/>
  <c r="E374" i="10"/>
  <c r="I374" i="10"/>
  <c r="E378" i="10"/>
  <c r="I378" i="10"/>
  <c r="E382" i="10"/>
  <c r="I382" i="10"/>
  <c r="E386" i="10"/>
  <c r="I386" i="10"/>
  <c r="E390" i="10"/>
  <c r="I390" i="10"/>
  <c r="E394" i="10"/>
  <c r="I394" i="10"/>
  <c r="E398" i="10"/>
  <c r="I398" i="10"/>
  <c r="E402" i="10"/>
  <c r="I402" i="10"/>
  <c r="E406" i="10"/>
  <c r="I406" i="10"/>
  <c r="E410" i="10"/>
  <c r="I410" i="10"/>
  <c r="E414" i="10"/>
  <c r="I414" i="10"/>
  <c r="E418" i="10"/>
  <c r="I418" i="10"/>
  <c r="E422" i="10"/>
  <c r="I422" i="10"/>
  <c r="E426" i="10"/>
  <c r="I426" i="10"/>
  <c r="E430" i="10"/>
  <c r="I430" i="10"/>
  <c r="E434" i="10"/>
  <c r="I434" i="10"/>
  <c r="E438" i="10"/>
  <c r="I438" i="10"/>
  <c r="E442" i="10"/>
  <c r="I442" i="10"/>
  <c r="E446" i="10"/>
  <c r="I446" i="10"/>
  <c r="E450" i="10"/>
  <c r="I450" i="10"/>
  <c r="E454" i="10"/>
  <c r="I454" i="10"/>
  <c r="E458" i="10"/>
  <c r="I458" i="10"/>
  <c r="E462" i="10"/>
  <c r="I462" i="10"/>
  <c r="E466" i="10"/>
  <c r="I466" i="10"/>
  <c r="E470" i="10"/>
  <c r="I470" i="10"/>
  <c r="E474" i="10"/>
  <c r="I474" i="10"/>
  <c r="E478" i="10"/>
  <c r="I478" i="10"/>
  <c r="E482" i="10"/>
  <c r="I482" i="10"/>
  <c r="E486" i="10"/>
  <c r="I486" i="10"/>
  <c r="E490" i="10"/>
  <c r="I490" i="10"/>
  <c r="E494" i="10"/>
  <c r="I494" i="10"/>
  <c r="E498" i="10"/>
  <c r="I498" i="10"/>
  <c r="E502" i="10"/>
  <c r="I502" i="10"/>
  <c r="E506" i="10"/>
  <c r="I506" i="10"/>
  <c r="E510" i="10"/>
  <c r="I510" i="10"/>
  <c r="E514" i="10"/>
  <c r="I514" i="10"/>
  <c r="E518" i="10"/>
  <c r="I518" i="10"/>
  <c r="E522" i="10"/>
  <c r="I522" i="10"/>
  <c r="E526" i="10"/>
  <c r="I526" i="10"/>
  <c r="E530" i="10"/>
  <c r="I530" i="10"/>
  <c r="E534" i="10"/>
  <c r="I534" i="10"/>
  <c r="E538" i="10"/>
  <c r="I538" i="10"/>
  <c r="E542" i="10"/>
  <c r="I542" i="10"/>
  <c r="E546" i="10"/>
  <c r="I546" i="10"/>
  <c r="E550" i="10"/>
  <c r="I550" i="10"/>
  <c r="E554" i="10"/>
  <c r="I554" i="10"/>
  <c r="E558" i="10"/>
  <c r="I558" i="10"/>
  <c r="E562" i="10"/>
  <c r="I562" i="10"/>
  <c r="E566" i="10"/>
  <c r="I566" i="10"/>
  <c r="E570" i="10"/>
  <c r="I570" i="10"/>
  <c r="E574" i="10"/>
  <c r="I574" i="10"/>
  <c r="E578" i="10"/>
  <c r="I578" i="10"/>
  <c r="E582" i="10"/>
  <c r="I582" i="10"/>
  <c r="E586" i="10"/>
  <c r="I586" i="10"/>
  <c r="E590" i="10"/>
  <c r="I590" i="10"/>
  <c r="E594" i="10"/>
  <c r="I594" i="10"/>
  <c r="E598" i="10"/>
  <c r="I598" i="10"/>
  <c r="E602" i="10"/>
  <c r="I602" i="10"/>
  <c r="E606" i="10"/>
  <c r="I606" i="10"/>
  <c r="E610" i="10"/>
  <c r="I610" i="10"/>
  <c r="E614" i="10"/>
  <c r="I614" i="10"/>
  <c r="E618" i="10"/>
  <c r="I618" i="10"/>
  <c r="E622" i="10"/>
  <c r="I622" i="10"/>
  <c r="E626" i="10"/>
  <c r="I626" i="10"/>
  <c r="E630" i="10"/>
  <c r="I630" i="10"/>
  <c r="E634" i="10"/>
  <c r="I634" i="10"/>
  <c r="E638" i="10"/>
  <c r="I638" i="10"/>
  <c r="E642" i="10"/>
  <c r="I642" i="10"/>
  <c r="E646" i="10"/>
  <c r="I646" i="10"/>
  <c r="E650" i="10"/>
  <c r="I650" i="10"/>
  <c r="E654" i="10"/>
  <c r="I654" i="10"/>
  <c r="E658" i="10"/>
  <c r="I658" i="10"/>
  <c r="E662" i="10"/>
  <c r="I662" i="10"/>
  <c r="E666" i="10"/>
  <c r="I666" i="10"/>
  <c r="E670" i="10"/>
  <c r="I670" i="10"/>
  <c r="E674" i="10"/>
  <c r="I674" i="10"/>
  <c r="E678" i="10"/>
  <c r="I678" i="10"/>
  <c r="E682" i="10"/>
  <c r="I682" i="10"/>
  <c r="E686" i="10"/>
  <c r="I686" i="10"/>
  <c r="E690" i="10"/>
  <c r="I690" i="10"/>
  <c r="E694" i="10"/>
  <c r="I694" i="10"/>
  <c r="E698" i="10"/>
  <c r="I698" i="10"/>
  <c r="E702" i="10"/>
  <c r="I702" i="10"/>
  <c r="E706" i="10"/>
  <c r="I706" i="10"/>
  <c r="E710" i="10"/>
  <c r="I710" i="10"/>
  <c r="E714" i="10"/>
  <c r="I714" i="10"/>
  <c r="E718" i="10"/>
  <c r="I718" i="10"/>
  <c r="E722" i="10"/>
  <c r="I722" i="10"/>
  <c r="E726" i="10"/>
  <c r="I726" i="10"/>
  <c r="E730" i="10"/>
  <c r="I730" i="10"/>
  <c r="E734" i="10"/>
  <c r="I734" i="10"/>
  <c r="E738" i="10"/>
  <c r="I738" i="10"/>
  <c r="E742" i="10"/>
  <c r="I742" i="10"/>
  <c r="E746" i="10"/>
  <c r="I746" i="10"/>
  <c r="E750" i="10"/>
  <c r="I750" i="10"/>
  <c r="E754" i="10"/>
  <c r="I754" i="10"/>
  <c r="E758" i="10"/>
  <c r="I758" i="10"/>
  <c r="E762" i="10"/>
  <c r="I762" i="10"/>
  <c r="E766" i="10"/>
  <c r="I766" i="10"/>
  <c r="E770" i="10"/>
  <c r="I770" i="10"/>
  <c r="E774" i="10"/>
  <c r="I774" i="10"/>
  <c r="E778" i="10"/>
  <c r="I778" i="10"/>
  <c r="E782" i="10"/>
  <c r="I782" i="10"/>
  <c r="E786" i="10"/>
  <c r="I786" i="10"/>
  <c r="E790" i="10"/>
  <c r="I790" i="10"/>
  <c r="E794" i="10"/>
  <c r="I794" i="10"/>
  <c r="E798" i="10"/>
  <c r="I798" i="10"/>
  <c r="E802" i="10"/>
  <c r="I802" i="10"/>
  <c r="E806" i="10"/>
  <c r="I806" i="10"/>
  <c r="E810" i="10"/>
  <c r="I810" i="10"/>
  <c r="E814" i="10"/>
  <c r="I814" i="10"/>
  <c r="E818" i="10"/>
  <c r="I818" i="10"/>
  <c r="E822" i="10"/>
  <c r="I822" i="10"/>
  <c r="E826" i="10"/>
  <c r="I826" i="10"/>
  <c r="E830" i="10"/>
  <c r="I830" i="10"/>
  <c r="E834" i="10"/>
  <c r="I834" i="10"/>
  <c r="E838" i="10"/>
  <c r="I838" i="10"/>
  <c r="E842" i="10"/>
  <c r="I842" i="10"/>
  <c r="E846" i="10"/>
  <c r="I846" i="10"/>
  <c r="E850" i="10"/>
  <c r="I850" i="10"/>
  <c r="E854" i="10"/>
  <c r="I854" i="10"/>
  <c r="E858" i="10"/>
  <c r="I858" i="10"/>
  <c r="E862" i="10"/>
  <c r="I862" i="10"/>
  <c r="E866" i="10"/>
  <c r="I866" i="10"/>
  <c r="E870" i="10"/>
  <c r="I870" i="10"/>
  <c r="E874" i="10"/>
  <c r="I874" i="10"/>
  <c r="E878" i="10"/>
  <c r="I878" i="10"/>
  <c r="E882" i="10"/>
  <c r="I882" i="10"/>
  <c r="E886" i="10"/>
  <c r="I886" i="10"/>
  <c r="E890" i="10"/>
  <c r="I890" i="10"/>
  <c r="E894" i="10"/>
  <c r="I894" i="10"/>
  <c r="E898" i="10"/>
  <c r="I898" i="10"/>
  <c r="E902" i="10"/>
  <c r="I902" i="10"/>
  <c r="E906" i="10"/>
  <c r="I906" i="10"/>
  <c r="E910" i="10"/>
  <c r="I910" i="10"/>
  <c r="E914" i="10"/>
  <c r="I914" i="10"/>
  <c r="E918" i="10"/>
  <c r="I918" i="10"/>
  <c r="E922" i="10"/>
  <c r="I922" i="10"/>
  <c r="E926" i="10"/>
  <c r="I926" i="10"/>
  <c r="E930" i="10"/>
  <c r="I930" i="10"/>
  <c r="E934" i="10"/>
  <c r="I934" i="10"/>
  <c r="E938" i="10"/>
  <c r="I938" i="10"/>
  <c r="E942" i="10"/>
  <c r="I942" i="10"/>
  <c r="E946" i="10"/>
  <c r="I946" i="10"/>
  <c r="E950" i="10"/>
  <c r="I950" i="10"/>
  <c r="E954" i="10"/>
  <c r="I954" i="10"/>
  <c r="E958" i="10"/>
  <c r="I958" i="10"/>
  <c r="E962" i="10"/>
  <c r="I962" i="10"/>
  <c r="E966" i="10"/>
  <c r="I966" i="10"/>
  <c r="E970" i="10"/>
  <c r="I970" i="10"/>
  <c r="E974" i="10"/>
  <c r="I974" i="10"/>
  <c r="E978" i="10"/>
  <c r="I978" i="10"/>
  <c r="E982" i="10"/>
  <c r="I982" i="10"/>
  <c r="E986" i="10"/>
  <c r="I986" i="10"/>
  <c r="E990" i="10"/>
  <c r="I990" i="10"/>
  <c r="E994" i="10"/>
  <c r="I994" i="10"/>
  <c r="E998" i="10"/>
  <c r="I998" i="10"/>
  <c r="E1002" i="10"/>
  <c r="I1002" i="10"/>
  <c r="E1006" i="10"/>
  <c r="I1006" i="10"/>
  <c r="E1010" i="10"/>
  <c r="I1010" i="10"/>
  <c r="E1014" i="10"/>
  <c r="I1014" i="10"/>
  <c r="E1018" i="10"/>
  <c r="I1018" i="10"/>
  <c r="E1022" i="10"/>
  <c r="I1022" i="10"/>
  <c r="E1026" i="10"/>
  <c r="I1026" i="10"/>
  <c r="E1030" i="10"/>
  <c r="I1030" i="10"/>
  <c r="E1034" i="10"/>
  <c r="I1034" i="10"/>
  <c r="E1038" i="10"/>
  <c r="I1038" i="10"/>
  <c r="E1042" i="10"/>
  <c r="I1042" i="10"/>
  <c r="E1046" i="10"/>
  <c r="I1046" i="10"/>
  <c r="E1050" i="10"/>
  <c r="I1050" i="10"/>
  <c r="E1054" i="10"/>
  <c r="I1054" i="10"/>
  <c r="E1058" i="10"/>
  <c r="I1058" i="10"/>
  <c r="E1062" i="10"/>
  <c r="I1062" i="10"/>
  <c r="E1066" i="10"/>
  <c r="I1066" i="10"/>
  <c r="E1070" i="10"/>
  <c r="I1070" i="10"/>
  <c r="E1074" i="10"/>
  <c r="I1074" i="10"/>
  <c r="E1078" i="10"/>
  <c r="I1078" i="10"/>
  <c r="E1082" i="10"/>
  <c r="I1082" i="10"/>
  <c r="E1086" i="10"/>
  <c r="I1086" i="10"/>
  <c r="E1090" i="10"/>
  <c r="I1090" i="10"/>
  <c r="E1094" i="10"/>
  <c r="I1094" i="10"/>
  <c r="E1098" i="10"/>
  <c r="I1098" i="10"/>
  <c r="E1102" i="10"/>
  <c r="I1102" i="10"/>
  <c r="E1106" i="10"/>
  <c r="I1106" i="10"/>
  <c r="E1110" i="10"/>
  <c r="I1110" i="10"/>
  <c r="E1114" i="10"/>
  <c r="I1114" i="10"/>
  <c r="I1119" i="10"/>
  <c r="E1119" i="10"/>
  <c r="I1121" i="10"/>
  <c r="E1121" i="10"/>
  <c r="U21" i="11"/>
  <c r="T21" i="11"/>
  <c r="G58" i="13"/>
  <c r="G59" i="13" s="1"/>
  <c r="G60" i="13" s="1"/>
  <c r="G61" i="13" s="1"/>
  <c r="G62" i="13" s="1"/>
  <c r="G63" i="13" s="1"/>
  <c r="G64" i="13" s="1"/>
  <c r="G65" i="13" s="1"/>
  <c r="G66" i="13" s="1"/>
  <c r="G67" i="13" s="1"/>
  <c r="G68" i="13" s="1"/>
  <c r="G69" i="13" s="1"/>
  <c r="G70" i="13" s="1"/>
  <c r="G71" i="13" s="1"/>
  <c r="G72" i="13" s="1"/>
  <c r="G73" i="13" s="1"/>
  <c r="G74" i="13" s="1"/>
  <c r="G75" i="13" s="1"/>
  <c r="G76" i="13" s="1"/>
  <c r="G77" i="13" s="1"/>
  <c r="G78" i="13" s="1"/>
  <c r="G79" i="13" s="1"/>
  <c r="G80" i="13" s="1"/>
  <c r="G81" i="13" s="1"/>
  <c r="G82" i="13" s="1"/>
  <c r="G83" i="13" s="1"/>
  <c r="G84" i="13" s="1"/>
  <c r="G85" i="13" s="1"/>
  <c r="G86" i="13" s="1"/>
  <c r="G87" i="13" s="1"/>
  <c r="G88" i="13" s="1"/>
  <c r="G89" i="13" s="1"/>
  <c r="G90" i="13" s="1"/>
  <c r="G91" i="13" s="1"/>
  <c r="G92" i="13" s="1"/>
  <c r="G93" i="13" s="1"/>
  <c r="G94" i="13" s="1"/>
  <c r="G95" i="13" s="1"/>
  <c r="G96" i="13" s="1"/>
  <c r="G97" i="13" s="1"/>
  <c r="G98" i="13" s="1"/>
  <c r="G99" i="13" s="1"/>
  <c r="G100" i="13" s="1"/>
  <c r="G101" i="13" s="1"/>
  <c r="G102" i="13" s="1"/>
  <c r="G103" i="13" s="1"/>
  <c r="G104" i="13" s="1"/>
  <c r="G105" i="13" s="1"/>
  <c r="G106" i="13" s="1"/>
  <c r="G107" i="13" s="1"/>
  <c r="G108" i="13" s="1"/>
  <c r="G109" i="13" s="1"/>
  <c r="G110" i="13" s="1"/>
  <c r="G111" i="13" s="1"/>
  <c r="G112" i="13" s="1"/>
  <c r="G113" i="13" s="1"/>
  <c r="G114" i="13" s="1"/>
  <c r="G115" i="13" s="1"/>
  <c r="G116" i="13" s="1"/>
  <c r="G117" i="13" s="1"/>
  <c r="G118" i="13" s="1"/>
  <c r="G119" i="13" s="1"/>
  <c r="G120" i="13" s="1"/>
  <c r="G121" i="13" s="1"/>
  <c r="G122" i="13" s="1"/>
  <c r="G123" i="13" s="1"/>
  <c r="G124" i="13" s="1"/>
  <c r="G125" i="13" s="1"/>
  <c r="G126" i="13" s="1"/>
  <c r="G127" i="13" s="1"/>
  <c r="G128" i="13" s="1"/>
  <c r="G129" i="13" s="1"/>
  <c r="G130" i="13" s="1"/>
  <c r="G131" i="13" s="1"/>
  <c r="G132" i="13" s="1"/>
  <c r="G133" i="13" s="1"/>
  <c r="G134" i="13" s="1"/>
  <c r="G135" i="13" s="1"/>
  <c r="G136" i="13" s="1"/>
  <c r="G137" i="13" s="1"/>
  <c r="G138" i="13" s="1"/>
  <c r="G139" i="13" s="1"/>
  <c r="G140" i="13" s="1"/>
  <c r="G141" i="13" s="1"/>
  <c r="G142" i="13" s="1"/>
  <c r="G143" i="13" s="1"/>
  <c r="G144" i="13" s="1"/>
  <c r="G145" i="13" s="1"/>
  <c r="G146" i="13" s="1"/>
  <c r="G147" i="13" s="1"/>
  <c r="G148" i="13" s="1"/>
  <c r="G149" i="13" s="1"/>
  <c r="G150" i="13" s="1"/>
  <c r="G151" i="13" s="1"/>
  <c r="G152" i="13" s="1"/>
  <c r="G153" i="13" s="1"/>
  <c r="G154" i="13" s="1"/>
  <c r="G155" i="13" s="1"/>
  <c r="G156" i="13" s="1"/>
  <c r="G157" i="13" s="1"/>
  <c r="G158" i="13" s="1"/>
  <c r="G159" i="13" s="1"/>
  <c r="G160" i="13" s="1"/>
  <c r="G161" i="13" s="1"/>
  <c r="G162" i="13" s="1"/>
  <c r="G163" i="13" s="1"/>
  <c r="G164" i="13" s="1"/>
  <c r="G165" i="13" s="1"/>
  <c r="G166" i="13" s="1"/>
  <c r="G167" i="13" s="1"/>
  <c r="G168" i="13" s="1"/>
  <c r="G169" i="13" s="1"/>
  <c r="G170" i="13" s="1"/>
  <c r="G171" i="13" s="1"/>
  <c r="G172" i="13" s="1"/>
  <c r="G173" i="13" s="1"/>
  <c r="G174" i="13" s="1"/>
  <c r="G175" i="13" s="1"/>
  <c r="G176" i="13" s="1"/>
  <c r="G177" i="13" s="1"/>
  <c r="G178" i="13" s="1"/>
  <c r="G179" i="13" s="1"/>
  <c r="G180" i="13" s="1"/>
  <c r="G181" i="13" s="1"/>
  <c r="G182" i="13" s="1"/>
  <c r="G183" i="13" s="1"/>
  <c r="G184" i="13" s="1"/>
  <c r="G185" i="13" s="1"/>
  <c r="G186" i="13" s="1"/>
  <c r="G187" i="13" s="1"/>
  <c r="G188" i="13" s="1"/>
  <c r="G189" i="13" s="1"/>
  <c r="G190" i="13" s="1"/>
  <c r="G191" i="13" s="1"/>
  <c r="G192" i="13" s="1"/>
  <c r="G193" i="13" s="1"/>
  <c r="G194" i="13" s="1"/>
  <c r="G195" i="13" s="1"/>
  <c r="G196" i="13" s="1"/>
  <c r="G197" i="13" s="1"/>
  <c r="G198" i="13" s="1"/>
  <c r="G199" i="13" s="1"/>
  <c r="G200" i="13" s="1"/>
  <c r="G201" i="13" s="1"/>
  <c r="G202" i="13" s="1"/>
  <c r="G203" i="13" s="1"/>
  <c r="G204" i="13" s="1"/>
  <c r="G205" i="13" s="1"/>
  <c r="G206" i="13" s="1"/>
  <c r="G207" i="13" s="1"/>
  <c r="G208" i="13" s="1"/>
  <c r="G209" i="13" s="1"/>
  <c r="G210" i="13" s="1"/>
  <c r="G211" i="13" s="1"/>
  <c r="G212" i="13" s="1"/>
  <c r="G213" i="13" s="1"/>
  <c r="G214" i="13" s="1"/>
  <c r="G215" i="13" s="1"/>
  <c r="G216" i="13" s="1"/>
  <c r="G217" i="13" s="1"/>
  <c r="G218" i="13" s="1"/>
  <c r="G219" i="13" s="1"/>
  <c r="G220" i="13" s="1"/>
  <c r="G221" i="13" s="1"/>
  <c r="G222" i="13" s="1"/>
  <c r="G223" i="13" s="1"/>
  <c r="G224" i="13" s="1"/>
  <c r="G225" i="13" s="1"/>
  <c r="G226" i="13" s="1"/>
  <c r="G227" i="13" s="1"/>
  <c r="G228" i="13" s="1"/>
  <c r="G229" i="13" s="1"/>
  <c r="G230" i="13" s="1"/>
  <c r="G231" i="13" s="1"/>
  <c r="G232" i="13" s="1"/>
  <c r="G233" i="13" s="1"/>
  <c r="G234" i="13" s="1"/>
  <c r="G235" i="13" s="1"/>
  <c r="G236" i="13" s="1"/>
  <c r="G237" i="13" s="1"/>
  <c r="G238" i="13" s="1"/>
  <c r="G239" i="13" s="1"/>
  <c r="G240" i="13" s="1"/>
  <c r="G241" i="13" s="1"/>
  <c r="G242" i="13" s="1"/>
  <c r="G243" i="13" s="1"/>
  <c r="G244" i="13" s="1"/>
  <c r="G245" i="13" s="1"/>
  <c r="G246" i="13" s="1"/>
  <c r="G247" i="13" s="1"/>
  <c r="G248" i="13" s="1"/>
  <c r="G249" i="13" s="1"/>
  <c r="G250" i="13" s="1"/>
  <c r="G251" i="13" s="1"/>
  <c r="G252" i="13" s="1"/>
  <c r="G253" i="13" s="1"/>
  <c r="G254" i="13" s="1"/>
  <c r="G255" i="13" s="1"/>
  <c r="G256" i="13" s="1"/>
  <c r="G257" i="13" s="1"/>
  <c r="G258" i="13" s="1"/>
  <c r="G259" i="13" s="1"/>
  <c r="G260" i="13" s="1"/>
  <c r="G261" i="13" s="1"/>
  <c r="G262" i="13" s="1"/>
  <c r="G263" i="13" s="1"/>
  <c r="G264" i="13" s="1"/>
  <c r="G265" i="13" s="1"/>
  <c r="G266" i="13" s="1"/>
  <c r="G267" i="13" s="1"/>
  <c r="G268" i="13" s="1"/>
  <c r="G269" i="13" s="1"/>
  <c r="G270" i="13" s="1"/>
  <c r="G271" i="13" s="1"/>
  <c r="G272" i="13" s="1"/>
  <c r="G273" i="13" s="1"/>
  <c r="G274" i="13" s="1"/>
  <c r="G275" i="13" s="1"/>
  <c r="G276" i="13" s="1"/>
  <c r="G277" i="13" s="1"/>
  <c r="G278" i="13" s="1"/>
  <c r="G279" i="13" s="1"/>
  <c r="G280" i="13" s="1"/>
  <c r="G281" i="13" s="1"/>
  <c r="G282" i="13" s="1"/>
  <c r="G283" i="13" s="1"/>
  <c r="G284" i="13" s="1"/>
  <c r="G285" i="13" s="1"/>
  <c r="G286" i="13" s="1"/>
  <c r="G287" i="13" s="1"/>
  <c r="G288" i="13" s="1"/>
  <c r="G289" i="13" s="1"/>
  <c r="G290" i="13" s="1"/>
  <c r="G291" i="13" s="1"/>
  <c r="G292" i="13" s="1"/>
  <c r="G293" i="13" s="1"/>
  <c r="G294" i="13" s="1"/>
  <c r="G295" i="13" s="1"/>
  <c r="G296" i="13" s="1"/>
  <c r="G297" i="13" s="1"/>
  <c r="G298" i="13" s="1"/>
  <c r="G299" i="13" s="1"/>
  <c r="G300" i="13" s="1"/>
  <c r="G301" i="13" s="1"/>
  <c r="G302" i="13" s="1"/>
  <c r="G303" i="13" s="1"/>
  <c r="G304" i="13" s="1"/>
  <c r="G305" i="13" s="1"/>
  <c r="G306" i="13" s="1"/>
  <c r="G307" i="13" s="1"/>
  <c r="G308" i="13" s="1"/>
  <c r="G309" i="13" s="1"/>
  <c r="G310" i="13" s="1"/>
  <c r="G311" i="13" s="1"/>
  <c r="G312" i="13" s="1"/>
  <c r="G313" i="13" s="1"/>
  <c r="G314" i="13" s="1"/>
  <c r="G315" i="13" s="1"/>
  <c r="G316" i="13" s="1"/>
  <c r="G317" i="13" s="1"/>
  <c r="G318" i="13" s="1"/>
  <c r="G319" i="13" s="1"/>
  <c r="G320" i="13" s="1"/>
  <c r="G321" i="13" s="1"/>
  <c r="G322" i="13" s="1"/>
  <c r="G323" i="13" s="1"/>
  <c r="G324" i="13" s="1"/>
  <c r="G325" i="13" s="1"/>
  <c r="G326" i="13" s="1"/>
  <c r="G327" i="13" s="1"/>
  <c r="G328" i="13" s="1"/>
  <c r="G329" i="13" s="1"/>
  <c r="G330" i="13" s="1"/>
  <c r="G331" i="13" s="1"/>
  <c r="G332" i="13" s="1"/>
  <c r="G333" i="13" s="1"/>
  <c r="G334" i="13" s="1"/>
  <c r="G335" i="13" s="1"/>
  <c r="G336" i="13" s="1"/>
  <c r="G337" i="13" s="1"/>
  <c r="G338" i="13" s="1"/>
  <c r="G339" i="13" s="1"/>
  <c r="G340" i="13" s="1"/>
  <c r="G341" i="13" s="1"/>
  <c r="G342" i="13" s="1"/>
  <c r="G343" i="13" s="1"/>
  <c r="G344" i="13" s="1"/>
  <c r="G345" i="13" s="1"/>
  <c r="G346" i="13" s="1"/>
  <c r="G347" i="13" s="1"/>
  <c r="G348" i="13" s="1"/>
  <c r="G349" i="13" s="1"/>
  <c r="G350" i="13" s="1"/>
  <c r="G351" i="13" s="1"/>
  <c r="G352" i="13" s="1"/>
  <c r="G353" i="13" s="1"/>
  <c r="G354" i="13" s="1"/>
  <c r="G355" i="13" s="1"/>
  <c r="G356" i="13" s="1"/>
  <c r="G357" i="13" s="1"/>
  <c r="G358" i="13" s="1"/>
  <c r="G359" i="13" s="1"/>
  <c r="G360" i="13" s="1"/>
  <c r="G361" i="13" s="1"/>
  <c r="G362" i="13" s="1"/>
  <c r="G363" i="13" s="1"/>
  <c r="G364" i="13" s="1"/>
  <c r="G365" i="13" s="1"/>
  <c r="G366" i="13" s="1"/>
  <c r="G367" i="13" s="1"/>
  <c r="G368" i="13" s="1"/>
  <c r="G369" i="13" s="1"/>
  <c r="G370" i="13" s="1"/>
  <c r="G371" i="13" s="1"/>
  <c r="G372" i="13" s="1"/>
  <c r="G373" i="13" s="1"/>
  <c r="G374" i="13" s="1"/>
  <c r="G375" i="13" s="1"/>
  <c r="G376" i="13" s="1"/>
  <c r="G377" i="13" s="1"/>
  <c r="G378" i="13" s="1"/>
  <c r="G379" i="13" s="1"/>
  <c r="G380" i="13" s="1"/>
  <c r="G381" i="13" s="1"/>
  <c r="G382" i="13" s="1"/>
  <c r="G383" i="13" s="1"/>
  <c r="G384" i="13" s="1"/>
  <c r="G385" i="13" s="1"/>
  <c r="G386" i="13" s="1"/>
  <c r="G387" i="13" s="1"/>
  <c r="G388" i="13" s="1"/>
  <c r="G389" i="13" s="1"/>
  <c r="G390" i="13" s="1"/>
  <c r="G391" i="13" s="1"/>
  <c r="G392" i="13" s="1"/>
  <c r="G393" i="13" s="1"/>
  <c r="G394" i="13" s="1"/>
  <c r="G395" i="13" s="1"/>
  <c r="G396" i="13" s="1"/>
  <c r="G397" i="13" s="1"/>
  <c r="G398" i="13" s="1"/>
  <c r="G399" i="13" s="1"/>
  <c r="G400" i="13" s="1"/>
  <c r="G401" i="13" s="1"/>
  <c r="G402" i="13" s="1"/>
  <c r="G403" i="13" s="1"/>
  <c r="G404" i="13" s="1"/>
  <c r="G405" i="13" s="1"/>
  <c r="G406" i="13" s="1"/>
  <c r="G407" i="13" s="1"/>
  <c r="G408" i="13" s="1"/>
  <c r="G409" i="13" s="1"/>
  <c r="G410" i="13" s="1"/>
  <c r="G411" i="13" s="1"/>
  <c r="G412" i="13" s="1"/>
  <c r="G413" i="13" s="1"/>
  <c r="G414" i="13" s="1"/>
  <c r="G415" i="13" s="1"/>
  <c r="G416" i="13" s="1"/>
  <c r="G417" i="13" s="1"/>
  <c r="G418" i="13" s="1"/>
  <c r="G419" i="13" s="1"/>
  <c r="G420" i="13" s="1"/>
  <c r="G421" i="13" s="1"/>
  <c r="G422" i="13" s="1"/>
  <c r="G423" i="13" s="1"/>
  <c r="G424" i="13" s="1"/>
  <c r="G425" i="13" s="1"/>
  <c r="G426" i="13" s="1"/>
  <c r="G427" i="13" s="1"/>
  <c r="G428" i="13" s="1"/>
  <c r="G429" i="13" s="1"/>
  <c r="G430" i="13" s="1"/>
  <c r="G431" i="13" s="1"/>
  <c r="G432" i="13" s="1"/>
  <c r="G433" i="13" s="1"/>
  <c r="G434" i="13" s="1"/>
  <c r="G435" i="13" s="1"/>
  <c r="G436" i="13" s="1"/>
  <c r="G437" i="13" s="1"/>
  <c r="G438" i="13" s="1"/>
  <c r="G439" i="13" s="1"/>
  <c r="G440" i="13" s="1"/>
  <c r="G441" i="13" s="1"/>
  <c r="G442" i="13" s="1"/>
  <c r="G443" i="13" s="1"/>
  <c r="G444" i="13" s="1"/>
  <c r="G445" i="13" s="1"/>
  <c r="G446" i="13" s="1"/>
  <c r="G447" i="13" s="1"/>
  <c r="G448" i="13" s="1"/>
  <c r="G449" i="13" s="1"/>
  <c r="G450" i="13" s="1"/>
  <c r="G451" i="13" s="1"/>
  <c r="G452" i="13" s="1"/>
  <c r="G453" i="13" s="1"/>
  <c r="G454" i="13" s="1"/>
  <c r="G455" i="13" s="1"/>
  <c r="G456" i="13" s="1"/>
  <c r="G457" i="13" s="1"/>
  <c r="G458" i="13" s="1"/>
  <c r="G459" i="13" s="1"/>
  <c r="G460" i="13" s="1"/>
  <c r="G461" i="13" s="1"/>
  <c r="G462" i="13" s="1"/>
  <c r="G463" i="13" s="1"/>
  <c r="G464" i="13" s="1"/>
  <c r="G465" i="13" s="1"/>
  <c r="G466" i="13" s="1"/>
  <c r="G467" i="13" s="1"/>
  <c r="G468" i="13" s="1"/>
  <c r="G469" i="13" s="1"/>
  <c r="G470" i="13" s="1"/>
  <c r="G471" i="13" s="1"/>
  <c r="G472" i="13" s="1"/>
  <c r="G473" i="13" s="1"/>
  <c r="G474" i="13" s="1"/>
  <c r="G475" i="13" s="1"/>
  <c r="G476" i="13" s="1"/>
  <c r="G477" i="13" s="1"/>
  <c r="G478" i="13" s="1"/>
  <c r="G479" i="13" s="1"/>
  <c r="G480" i="13" s="1"/>
  <c r="G481" i="13" s="1"/>
  <c r="G482" i="13" s="1"/>
  <c r="G483" i="13" s="1"/>
  <c r="G484" i="13" s="1"/>
  <c r="G485" i="13" s="1"/>
  <c r="G486" i="13" s="1"/>
  <c r="G487" i="13" s="1"/>
  <c r="G488" i="13" s="1"/>
  <c r="G489" i="13" s="1"/>
  <c r="G490" i="13" s="1"/>
  <c r="G491" i="13" s="1"/>
  <c r="G492" i="13" s="1"/>
  <c r="G493" i="13" s="1"/>
  <c r="G494" i="13" s="1"/>
  <c r="G495" i="13" s="1"/>
  <c r="G496" i="13" s="1"/>
  <c r="G497" i="13" s="1"/>
  <c r="G498" i="13" s="1"/>
  <c r="G499" i="13" s="1"/>
  <c r="G500" i="13" s="1"/>
  <c r="G501" i="13" s="1"/>
  <c r="G502" i="13" s="1"/>
  <c r="G503" i="13" s="1"/>
  <c r="G504" i="13" s="1"/>
  <c r="G505" i="13" s="1"/>
  <c r="G506" i="13" s="1"/>
  <c r="G507" i="13" s="1"/>
  <c r="G508" i="13" s="1"/>
  <c r="G509" i="13" s="1"/>
  <c r="G510" i="13" s="1"/>
  <c r="G511" i="13" s="1"/>
  <c r="G512" i="13" s="1"/>
  <c r="G513" i="13" s="1"/>
  <c r="G514" i="13" s="1"/>
  <c r="G515" i="13" s="1"/>
  <c r="G516" i="13" s="1"/>
  <c r="G517" i="13" s="1"/>
  <c r="G518" i="13" s="1"/>
  <c r="G519" i="13" s="1"/>
  <c r="G520" i="13" s="1"/>
  <c r="G521" i="13" s="1"/>
  <c r="G522" i="13" s="1"/>
  <c r="G523" i="13" s="1"/>
  <c r="G524" i="13" s="1"/>
  <c r="G525" i="13" s="1"/>
  <c r="G526" i="13" s="1"/>
  <c r="G527" i="13" s="1"/>
  <c r="G528" i="13" s="1"/>
  <c r="G529" i="13" s="1"/>
  <c r="G530" i="13" s="1"/>
  <c r="G531" i="13" s="1"/>
  <c r="G532" i="13" s="1"/>
  <c r="G533" i="13" s="1"/>
  <c r="G534" i="13" s="1"/>
  <c r="G535" i="13" s="1"/>
  <c r="G536" i="13" s="1"/>
  <c r="G537" i="13" s="1"/>
  <c r="G538" i="13" s="1"/>
  <c r="G539" i="13" s="1"/>
  <c r="G540" i="13" s="1"/>
  <c r="G541" i="13" s="1"/>
  <c r="G542" i="13" s="1"/>
  <c r="G543" i="13" s="1"/>
  <c r="G544" i="13" s="1"/>
  <c r="G545" i="13" s="1"/>
  <c r="G546" i="13" s="1"/>
  <c r="G547" i="13" s="1"/>
  <c r="G548" i="13" s="1"/>
  <c r="G549" i="13" s="1"/>
  <c r="G550" i="13" s="1"/>
  <c r="G551" i="13" s="1"/>
  <c r="G552" i="13" s="1"/>
  <c r="G553" i="13" s="1"/>
  <c r="G554" i="13" s="1"/>
  <c r="G555" i="13" s="1"/>
  <c r="G556" i="13" s="1"/>
  <c r="G557" i="13" s="1"/>
  <c r="G558" i="13" s="1"/>
  <c r="G559" i="13" s="1"/>
  <c r="G560" i="13" s="1"/>
  <c r="G561" i="13" s="1"/>
  <c r="G562" i="13" s="1"/>
  <c r="G563" i="13" s="1"/>
  <c r="G564" i="13" s="1"/>
  <c r="G565" i="13" s="1"/>
  <c r="G566" i="13" s="1"/>
  <c r="G567" i="13" s="1"/>
  <c r="G568" i="13" s="1"/>
  <c r="G569" i="13" s="1"/>
  <c r="G570" i="13" s="1"/>
  <c r="G571" i="13" s="1"/>
  <c r="G572" i="13" s="1"/>
  <c r="G573" i="13" s="1"/>
  <c r="G574" i="13" s="1"/>
  <c r="G575" i="13" s="1"/>
  <c r="G576" i="13" s="1"/>
  <c r="G577" i="13" s="1"/>
  <c r="G578" i="13" s="1"/>
  <c r="G579" i="13" s="1"/>
  <c r="G580" i="13" s="1"/>
  <c r="G581" i="13" s="1"/>
  <c r="G582" i="13" s="1"/>
  <c r="G583" i="13" s="1"/>
  <c r="G584" i="13" s="1"/>
  <c r="G585" i="13" s="1"/>
  <c r="G586" i="13" s="1"/>
  <c r="G587" i="13" s="1"/>
  <c r="G588" i="13" s="1"/>
  <c r="G589" i="13" s="1"/>
  <c r="G590" i="13" s="1"/>
  <c r="G591" i="13" s="1"/>
  <c r="G592" i="13" s="1"/>
  <c r="G593" i="13" s="1"/>
  <c r="G594" i="13" s="1"/>
  <c r="G595" i="13" s="1"/>
  <c r="G596" i="13" s="1"/>
  <c r="G597" i="13" s="1"/>
  <c r="G598" i="13" s="1"/>
  <c r="G599" i="13" s="1"/>
  <c r="G600" i="13" s="1"/>
  <c r="G601" i="13" s="1"/>
  <c r="G602" i="13" s="1"/>
  <c r="G603" i="13" s="1"/>
  <c r="G604" i="13" s="1"/>
  <c r="G605" i="13" s="1"/>
  <c r="G606" i="13" s="1"/>
  <c r="G607" i="13" s="1"/>
  <c r="G608" i="13" s="1"/>
  <c r="G609" i="13" s="1"/>
  <c r="G610" i="13" s="1"/>
  <c r="G611" i="13" s="1"/>
  <c r="G612" i="13" s="1"/>
  <c r="G613" i="13" s="1"/>
  <c r="G614" i="13" s="1"/>
  <c r="G615" i="13" s="1"/>
  <c r="G616" i="13" s="1"/>
  <c r="G617" i="13" s="1"/>
  <c r="G618" i="13" s="1"/>
  <c r="G619" i="13" s="1"/>
  <c r="G620" i="13" s="1"/>
  <c r="G621" i="13" s="1"/>
  <c r="G622" i="13" s="1"/>
  <c r="G623" i="13" s="1"/>
  <c r="G624" i="13" s="1"/>
  <c r="G625" i="13" s="1"/>
  <c r="G626" i="13" s="1"/>
  <c r="G627" i="13" s="1"/>
  <c r="G628" i="13" s="1"/>
  <c r="G629" i="13" s="1"/>
  <c r="G630" i="13" s="1"/>
  <c r="G631" i="13" s="1"/>
  <c r="G632" i="13" s="1"/>
  <c r="G633" i="13" s="1"/>
  <c r="G634" i="13" s="1"/>
  <c r="G635" i="13" s="1"/>
  <c r="G636" i="13" s="1"/>
  <c r="G637" i="13" s="1"/>
  <c r="G638" i="13" s="1"/>
  <c r="G639" i="13" s="1"/>
  <c r="G640" i="13" s="1"/>
  <c r="G641" i="13" s="1"/>
  <c r="G642" i="13" s="1"/>
  <c r="G643" i="13" s="1"/>
  <c r="G644" i="13" s="1"/>
  <c r="G645" i="13" s="1"/>
  <c r="G646" i="13" s="1"/>
  <c r="G647" i="13" s="1"/>
  <c r="G648" i="13" s="1"/>
  <c r="G649" i="13" s="1"/>
  <c r="G650" i="13" s="1"/>
  <c r="G651" i="13" s="1"/>
  <c r="G652" i="13" s="1"/>
  <c r="G653" i="13" s="1"/>
  <c r="G654" i="13" s="1"/>
  <c r="G655" i="13" s="1"/>
  <c r="G656" i="13" s="1"/>
  <c r="G657" i="13" s="1"/>
  <c r="G658" i="13" s="1"/>
  <c r="G659" i="13" s="1"/>
  <c r="G660" i="13" s="1"/>
  <c r="G661" i="13" s="1"/>
  <c r="G662" i="13" s="1"/>
  <c r="G663" i="13" s="1"/>
  <c r="G664" i="13" s="1"/>
  <c r="G665" i="13" s="1"/>
  <c r="G666" i="13" s="1"/>
  <c r="G667" i="13" s="1"/>
  <c r="G668" i="13" s="1"/>
  <c r="G669" i="13" s="1"/>
  <c r="G670" i="13" s="1"/>
  <c r="G671" i="13" s="1"/>
  <c r="G672" i="13" s="1"/>
  <c r="G673" i="13" s="1"/>
  <c r="G674" i="13" s="1"/>
  <c r="G675" i="13" s="1"/>
  <c r="G676" i="13" s="1"/>
  <c r="G677" i="13" s="1"/>
  <c r="G678" i="13" s="1"/>
  <c r="G679" i="13" s="1"/>
  <c r="G680" i="13" s="1"/>
  <c r="G681" i="13" s="1"/>
  <c r="G682" i="13" s="1"/>
  <c r="G683" i="13" s="1"/>
  <c r="G684" i="13" s="1"/>
  <c r="G685" i="13" s="1"/>
  <c r="G686" i="13" s="1"/>
  <c r="G687" i="13" s="1"/>
  <c r="G688" i="13" s="1"/>
  <c r="G689" i="13" s="1"/>
  <c r="G690" i="13" s="1"/>
  <c r="G691" i="13" s="1"/>
  <c r="G692" i="13" s="1"/>
  <c r="G693" i="13" s="1"/>
  <c r="G694" i="13" s="1"/>
  <c r="G695" i="13" s="1"/>
  <c r="G696" i="13" s="1"/>
  <c r="G697" i="13" s="1"/>
  <c r="G698" i="13" s="1"/>
  <c r="G699" i="13" s="1"/>
  <c r="G700" i="13" s="1"/>
  <c r="G701" i="13" s="1"/>
  <c r="G702" i="13" s="1"/>
  <c r="G703" i="13" s="1"/>
  <c r="G704" i="13" s="1"/>
  <c r="G705" i="13" s="1"/>
  <c r="G706" i="13" s="1"/>
  <c r="G707" i="13" s="1"/>
  <c r="G708" i="13" s="1"/>
  <c r="G709" i="13" s="1"/>
  <c r="G710" i="13" s="1"/>
  <c r="G711" i="13" s="1"/>
  <c r="G712" i="13" s="1"/>
  <c r="G713" i="13" s="1"/>
  <c r="G714" i="13" s="1"/>
  <c r="G715" i="13" s="1"/>
  <c r="G716" i="13" s="1"/>
  <c r="G717" i="13" s="1"/>
  <c r="G718" i="13" s="1"/>
  <c r="G719" i="13" s="1"/>
  <c r="G720" i="13" s="1"/>
  <c r="G721" i="13" s="1"/>
  <c r="G722" i="13" s="1"/>
  <c r="G723" i="13" s="1"/>
  <c r="G724" i="13" s="1"/>
  <c r="G725" i="13" s="1"/>
  <c r="G726" i="13" s="1"/>
  <c r="G727" i="13" s="1"/>
  <c r="G728" i="13" s="1"/>
  <c r="G729" i="13" s="1"/>
  <c r="G730" i="13" s="1"/>
  <c r="G731" i="13" s="1"/>
  <c r="G732" i="13" s="1"/>
  <c r="G733" i="13" s="1"/>
  <c r="G734" i="13" s="1"/>
  <c r="G735" i="13" s="1"/>
  <c r="G736" i="13" s="1"/>
  <c r="G737" i="13" s="1"/>
  <c r="G738" i="13" s="1"/>
  <c r="G739" i="13" s="1"/>
  <c r="G740" i="13" s="1"/>
  <c r="G741" i="13" s="1"/>
  <c r="G742" i="13" s="1"/>
  <c r="G743" i="13" s="1"/>
  <c r="G744" i="13" s="1"/>
  <c r="G745" i="13" s="1"/>
  <c r="G746" i="13" s="1"/>
  <c r="G747" i="13" s="1"/>
  <c r="G748" i="13" s="1"/>
  <c r="G749" i="13" s="1"/>
  <c r="G750" i="13" s="1"/>
  <c r="G751" i="13" s="1"/>
  <c r="G752" i="13" s="1"/>
  <c r="G753" i="13" s="1"/>
  <c r="G754" i="13" s="1"/>
  <c r="G755" i="13" s="1"/>
  <c r="G756" i="13" s="1"/>
  <c r="G757" i="13" s="1"/>
  <c r="G758" i="13" s="1"/>
  <c r="G759" i="13" s="1"/>
  <c r="G760" i="13" s="1"/>
  <c r="G761" i="13" s="1"/>
  <c r="G762" i="13" s="1"/>
  <c r="G763" i="13" s="1"/>
  <c r="G764" i="13" s="1"/>
  <c r="G765" i="13" s="1"/>
  <c r="G766" i="13" s="1"/>
  <c r="G767" i="13" s="1"/>
  <c r="G768" i="13" s="1"/>
  <c r="G769" i="13" s="1"/>
  <c r="G770" i="13" s="1"/>
  <c r="G771" i="13" s="1"/>
  <c r="G772" i="13" s="1"/>
  <c r="G773" i="13" s="1"/>
  <c r="G774" i="13" s="1"/>
  <c r="G775" i="13" s="1"/>
  <c r="G776" i="13" s="1"/>
  <c r="G777" i="13" s="1"/>
  <c r="G778" i="13" s="1"/>
  <c r="G779" i="13" s="1"/>
  <c r="G780" i="13" s="1"/>
  <c r="G781" i="13" s="1"/>
  <c r="G782" i="13" s="1"/>
  <c r="G783" i="13" s="1"/>
  <c r="G784" i="13" s="1"/>
  <c r="G785" i="13" s="1"/>
  <c r="G786" i="13" s="1"/>
  <c r="G787" i="13" s="1"/>
  <c r="G788" i="13" s="1"/>
  <c r="G789" i="13" s="1"/>
  <c r="G790" i="13" s="1"/>
  <c r="G791" i="13" s="1"/>
  <c r="G792" i="13" s="1"/>
  <c r="G793" i="13" s="1"/>
  <c r="G794" i="13" s="1"/>
  <c r="G795" i="13" s="1"/>
  <c r="G796" i="13" s="1"/>
  <c r="G797" i="13" s="1"/>
  <c r="G798" i="13" s="1"/>
  <c r="G799" i="13" s="1"/>
  <c r="G800" i="13" s="1"/>
  <c r="G801" i="13" s="1"/>
  <c r="G802" i="13" s="1"/>
  <c r="G803" i="13" s="1"/>
  <c r="G804" i="13" s="1"/>
  <c r="G805" i="13" s="1"/>
  <c r="G806" i="13" s="1"/>
  <c r="G807" i="13" s="1"/>
  <c r="G808" i="13" s="1"/>
  <c r="G809" i="13" s="1"/>
  <c r="G810" i="13" s="1"/>
  <c r="G811" i="13" s="1"/>
  <c r="G812" i="13" s="1"/>
  <c r="G813" i="13" s="1"/>
  <c r="G814" i="13" s="1"/>
  <c r="G815" i="13" s="1"/>
  <c r="G816" i="13" s="1"/>
  <c r="G817" i="13" s="1"/>
  <c r="G818" i="13" s="1"/>
  <c r="G819" i="13" s="1"/>
  <c r="G820" i="13" s="1"/>
  <c r="G821" i="13" s="1"/>
  <c r="G822" i="13" s="1"/>
  <c r="G823" i="13" s="1"/>
  <c r="G824" i="13" s="1"/>
  <c r="G825" i="13" s="1"/>
  <c r="G826" i="13" s="1"/>
  <c r="G827" i="13" s="1"/>
  <c r="G828" i="13" s="1"/>
  <c r="G829" i="13" s="1"/>
  <c r="G830" i="13" s="1"/>
  <c r="G831" i="13" s="1"/>
  <c r="G832" i="13" s="1"/>
  <c r="G833" i="13" s="1"/>
  <c r="G834" i="13" s="1"/>
  <c r="G835" i="13" s="1"/>
  <c r="G836" i="13" s="1"/>
  <c r="G837" i="13" s="1"/>
  <c r="G838" i="13" s="1"/>
  <c r="G839" i="13" s="1"/>
  <c r="G840" i="13" s="1"/>
  <c r="G841" i="13" s="1"/>
  <c r="G842" i="13" s="1"/>
  <c r="G843" i="13" s="1"/>
  <c r="G844" i="13" s="1"/>
  <c r="G845" i="13" s="1"/>
  <c r="G846" i="13" s="1"/>
  <c r="G847" i="13" s="1"/>
  <c r="G848" i="13" s="1"/>
  <c r="G849" i="13" s="1"/>
  <c r="G850" i="13" s="1"/>
  <c r="G851" i="13" s="1"/>
  <c r="G852" i="13" s="1"/>
  <c r="G853" i="13" s="1"/>
  <c r="G854" i="13" s="1"/>
  <c r="G855" i="13" s="1"/>
  <c r="G856" i="13" s="1"/>
  <c r="G857" i="13" s="1"/>
  <c r="G858" i="13" s="1"/>
  <c r="G859" i="13" s="1"/>
  <c r="G860" i="13" s="1"/>
  <c r="G861" i="13" s="1"/>
  <c r="G862" i="13" s="1"/>
  <c r="G863" i="13" s="1"/>
  <c r="G864" i="13" s="1"/>
  <c r="G865" i="13" s="1"/>
  <c r="G866" i="13" s="1"/>
  <c r="G867" i="13" s="1"/>
  <c r="G868" i="13" s="1"/>
  <c r="G869" i="13" s="1"/>
  <c r="G870" i="13" s="1"/>
  <c r="G871" i="13" s="1"/>
  <c r="G872" i="13" s="1"/>
  <c r="G873" i="13" s="1"/>
  <c r="G874" i="13" s="1"/>
  <c r="G875" i="13" s="1"/>
  <c r="G876" i="13" s="1"/>
  <c r="G877" i="13" s="1"/>
  <c r="G878" i="13" s="1"/>
  <c r="G879" i="13" s="1"/>
  <c r="G880" i="13" s="1"/>
  <c r="G881" i="13" s="1"/>
  <c r="G882" i="13" s="1"/>
  <c r="G883" i="13" s="1"/>
  <c r="G884" i="13" s="1"/>
  <c r="G885" i="13" s="1"/>
  <c r="G886" i="13" s="1"/>
  <c r="G887" i="13" s="1"/>
  <c r="G888" i="13" s="1"/>
  <c r="G889" i="13" s="1"/>
  <c r="G890" i="13" s="1"/>
  <c r="G891" i="13" s="1"/>
  <c r="G892" i="13" s="1"/>
  <c r="G893" i="13" s="1"/>
  <c r="G894" i="13" s="1"/>
  <c r="G895" i="13" s="1"/>
  <c r="G896" i="13" s="1"/>
  <c r="G897" i="13" s="1"/>
  <c r="G898" i="13" s="1"/>
  <c r="G899" i="13" s="1"/>
  <c r="G900" i="13" s="1"/>
  <c r="G901" i="13" s="1"/>
  <c r="G902" i="13" s="1"/>
  <c r="G903" i="13" s="1"/>
  <c r="G904" i="13" s="1"/>
  <c r="G905" i="13" s="1"/>
  <c r="G906" i="13" s="1"/>
  <c r="G907" i="13" s="1"/>
  <c r="G908" i="13" s="1"/>
  <c r="G909" i="13" s="1"/>
  <c r="G910" i="13" s="1"/>
  <c r="G911" i="13" s="1"/>
  <c r="G912" i="13" s="1"/>
  <c r="G913" i="13" s="1"/>
  <c r="G914" i="13" s="1"/>
  <c r="G915" i="13" s="1"/>
  <c r="G916" i="13" s="1"/>
  <c r="G917" i="13" s="1"/>
  <c r="G918" i="13" s="1"/>
  <c r="G919" i="13" s="1"/>
  <c r="G920" i="13" s="1"/>
  <c r="G921" i="13" s="1"/>
  <c r="G922" i="13" s="1"/>
  <c r="G923" i="13" s="1"/>
  <c r="G924" i="13" s="1"/>
  <c r="G925" i="13" s="1"/>
  <c r="G926" i="13" s="1"/>
  <c r="G927" i="13" s="1"/>
  <c r="G928" i="13" s="1"/>
  <c r="G929" i="13" s="1"/>
  <c r="G930" i="13" s="1"/>
  <c r="G931" i="13" s="1"/>
  <c r="G932" i="13" s="1"/>
  <c r="G933" i="13" s="1"/>
  <c r="G934" i="13" s="1"/>
  <c r="G935" i="13" s="1"/>
  <c r="G936" i="13" s="1"/>
  <c r="G937" i="13" s="1"/>
  <c r="G938" i="13" s="1"/>
  <c r="G939" i="13" s="1"/>
  <c r="G940" i="13" s="1"/>
  <c r="G941" i="13" s="1"/>
  <c r="G942" i="13" s="1"/>
  <c r="G943" i="13" s="1"/>
  <c r="G944" i="13" s="1"/>
  <c r="G945" i="13" s="1"/>
  <c r="G946" i="13" s="1"/>
  <c r="G947" i="13" s="1"/>
  <c r="G948" i="13" s="1"/>
  <c r="G949" i="13" s="1"/>
  <c r="G950" i="13" s="1"/>
  <c r="G951" i="13" s="1"/>
  <c r="G952" i="13" s="1"/>
  <c r="G953" i="13" s="1"/>
  <c r="G954" i="13" s="1"/>
  <c r="G955" i="13" s="1"/>
  <c r="G956" i="13" s="1"/>
  <c r="G957" i="13" s="1"/>
  <c r="G958" i="13" s="1"/>
  <c r="G959" i="13" s="1"/>
  <c r="G960" i="13" s="1"/>
  <c r="G961" i="13" s="1"/>
  <c r="G962" i="13" s="1"/>
  <c r="G963" i="13" s="1"/>
  <c r="G964" i="13" s="1"/>
  <c r="G965" i="13" s="1"/>
  <c r="G966" i="13" s="1"/>
  <c r="G967" i="13" s="1"/>
  <c r="G968" i="13" s="1"/>
  <c r="G969" i="13" s="1"/>
  <c r="G970" i="13" s="1"/>
  <c r="G971" i="13" s="1"/>
  <c r="G972" i="13" s="1"/>
  <c r="G973" i="13" s="1"/>
  <c r="G974" i="13" s="1"/>
  <c r="G975" i="13" s="1"/>
  <c r="G976" i="13" s="1"/>
  <c r="G977" i="13" s="1"/>
  <c r="G978" i="13" s="1"/>
  <c r="G979" i="13" s="1"/>
  <c r="G980" i="13" s="1"/>
  <c r="G981" i="13" s="1"/>
  <c r="G982" i="13" s="1"/>
  <c r="G983" i="13" s="1"/>
  <c r="G984" i="13" s="1"/>
  <c r="G985" i="13" s="1"/>
  <c r="G986" i="13" s="1"/>
  <c r="G987" i="13" s="1"/>
  <c r="G988" i="13" s="1"/>
  <c r="G989" i="13" s="1"/>
  <c r="G990" i="13" s="1"/>
  <c r="G991" i="13" s="1"/>
  <c r="G992" i="13" s="1"/>
  <c r="G993" i="13" s="1"/>
  <c r="G994" i="13" s="1"/>
  <c r="G995" i="13" s="1"/>
  <c r="G996" i="13" s="1"/>
  <c r="G997" i="13" s="1"/>
  <c r="G998" i="13" s="1"/>
  <c r="G999" i="13" s="1"/>
  <c r="G1000" i="13" s="1"/>
  <c r="G1001" i="13" s="1"/>
  <c r="G1002" i="13" s="1"/>
  <c r="G1003" i="13" s="1"/>
  <c r="G1004" i="13" s="1"/>
  <c r="G1005" i="13" s="1"/>
  <c r="G1006" i="13" s="1"/>
  <c r="G1007" i="13" s="1"/>
  <c r="G1008" i="13" s="1"/>
  <c r="G1009" i="13" s="1"/>
  <c r="G1010" i="13" s="1"/>
  <c r="G1011" i="13" s="1"/>
  <c r="G1012" i="13" s="1"/>
  <c r="G1013" i="13" s="1"/>
  <c r="G1014" i="13" s="1"/>
  <c r="G1015" i="13" s="1"/>
  <c r="G1016" i="13" s="1"/>
  <c r="G1017" i="13" s="1"/>
  <c r="G1018" i="13" s="1"/>
  <c r="G1019" i="13" s="1"/>
  <c r="G1020" i="13" s="1"/>
  <c r="G1021" i="13" s="1"/>
  <c r="G1022" i="13" s="1"/>
  <c r="G1023" i="13" s="1"/>
  <c r="G1024" i="13" s="1"/>
  <c r="G1025" i="13" s="1"/>
  <c r="G1026" i="13" s="1"/>
  <c r="G1027" i="13" s="1"/>
  <c r="G1028" i="13" s="1"/>
  <c r="G1029" i="13" s="1"/>
  <c r="G1030" i="13" s="1"/>
  <c r="G1031" i="13" s="1"/>
  <c r="G1032" i="13" s="1"/>
  <c r="G1033" i="13" s="1"/>
  <c r="G1034" i="13" s="1"/>
  <c r="G1035" i="13" s="1"/>
  <c r="G1036" i="13" s="1"/>
  <c r="G1037" i="13" s="1"/>
  <c r="G1038" i="13" s="1"/>
  <c r="G1039" i="13" s="1"/>
  <c r="G1040" i="13" s="1"/>
  <c r="G1041" i="13" s="1"/>
  <c r="G1042" i="13" s="1"/>
  <c r="G1043" i="13" s="1"/>
  <c r="G1044" i="13" s="1"/>
  <c r="G1045" i="13" s="1"/>
  <c r="G1046" i="13" s="1"/>
  <c r="G1047" i="13" s="1"/>
  <c r="G1048" i="13" s="1"/>
  <c r="G1049" i="13" s="1"/>
  <c r="G1050" i="13" s="1"/>
  <c r="G1051" i="13" s="1"/>
  <c r="G1052" i="13" s="1"/>
  <c r="G1053" i="13" s="1"/>
  <c r="G1054" i="13" s="1"/>
  <c r="G1055" i="13" s="1"/>
  <c r="G1056" i="13" s="1"/>
  <c r="G1057" i="13" s="1"/>
  <c r="G1058" i="13" s="1"/>
  <c r="G1059" i="13" s="1"/>
  <c r="G1060" i="13" s="1"/>
  <c r="G1061" i="13" s="1"/>
  <c r="G1062" i="13" s="1"/>
  <c r="G1063" i="13" s="1"/>
  <c r="G1064" i="13" s="1"/>
  <c r="G1065" i="13" s="1"/>
  <c r="G1066" i="13" s="1"/>
  <c r="G1067" i="13" s="1"/>
  <c r="G1068" i="13" s="1"/>
  <c r="G1069" i="13" s="1"/>
  <c r="G1070" i="13" s="1"/>
  <c r="G1071" i="13" s="1"/>
  <c r="G1072" i="13" s="1"/>
  <c r="G1073" i="13" s="1"/>
  <c r="G1074" i="13" s="1"/>
  <c r="G1075" i="13" s="1"/>
  <c r="G1076" i="13" s="1"/>
  <c r="G1077" i="13" s="1"/>
  <c r="G1078" i="13" s="1"/>
  <c r="G1079" i="13" s="1"/>
  <c r="G1080" i="13" s="1"/>
  <c r="G1081" i="13" s="1"/>
  <c r="G1082" i="13" s="1"/>
  <c r="G1083" i="13" s="1"/>
  <c r="G1084" i="13" s="1"/>
  <c r="G1085" i="13" s="1"/>
  <c r="G1086" i="13" s="1"/>
  <c r="G1087" i="13" s="1"/>
  <c r="G1088" i="13" s="1"/>
  <c r="G1089" i="13" s="1"/>
  <c r="G1090" i="13" s="1"/>
  <c r="G1091" i="13" s="1"/>
  <c r="G1092" i="13" s="1"/>
  <c r="G1093" i="13" s="1"/>
  <c r="G1094" i="13" s="1"/>
  <c r="G1095" i="13" s="1"/>
  <c r="G1096" i="13" s="1"/>
  <c r="G1097" i="13" s="1"/>
  <c r="G1098" i="13" s="1"/>
  <c r="G1099" i="13" s="1"/>
  <c r="G1100" i="13" s="1"/>
  <c r="G1101" i="13" s="1"/>
  <c r="G1102" i="13" s="1"/>
  <c r="G1103" i="13" s="1"/>
  <c r="G1104" i="13" s="1"/>
  <c r="G1105" i="13" s="1"/>
  <c r="G1106" i="13" s="1"/>
  <c r="G1107" i="13" s="1"/>
  <c r="G1108" i="13" s="1"/>
  <c r="G1109" i="13" s="1"/>
  <c r="G1110" i="13" s="1"/>
  <c r="G1111" i="13" s="1"/>
  <c r="G1112" i="13" s="1"/>
  <c r="G1113" i="13" s="1"/>
  <c r="G1114" i="13" s="1"/>
  <c r="G1115" i="13" s="1"/>
  <c r="G1116" i="13" s="1"/>
  <c r="G1117" i="13" s="1"/>
  <c r="G1118" i="13" s="1"/>
  <c r="G1119" i="13" s="1"/>
  <c r="G1120" i="13" s="1"/>
  <c r="G1121" i="13" s="1"/>
  <c r="G1122" i="13" s="1"/>
  <c r="G1123" i="13" s="1"/>
  <c r="G1124" i="13" s="1"/>
  <c r="G1125" i="13" s="1"/>
  <c r="G1126" i="13" s="1"/>
  <c r="G1127" i="13" s="1"/>
  <c r="G1128" i="13" s="1"/>
  <c r="G1129" i="13" s="1"/>
  <c r="G1130" i="13" s="1"/>
  <c r="G1131" i="13" s="1"/>
  <c r="G1132" i="13" s="1"/>
  <c r="G1133" i="13" s="1"/>
  <c r="G1134" i="13" s="1"/>
  <c r="G1135" i="13" s="1"/>
  <c r="G1136" i="13" s="1"/>
  <c r="G1137" i="13" s="1"/>
  <c r="G1138" i="13" s="1"/>
  <c r="G1139" i="13" s="1"/>
  <c r="G1140" i="13" s="1"/>
  <c r="G1141" i="13" s="1"/>
  <c r="G1142" i="13" s="1"/>
  <c r="G1143" i="13" s="1"/>
  <c r="G1144" i="13" s="1"/>
  <c r="G1145" i="13" s="1"/>
  <c r="G1146" i="13" s="1"/>
  <c r="G1147" i="13" s="1"/>
  <c r="G1148" i="13" s="1"/>
  <c r="G1149" i="13" s="1"/>
  <c r="G1150" i="13" s="1"/>
  <c r="G1151" i="13" s="1"/>
  <c r="G1152" i="13" s="1"/>
  <c r="G1153" i="13" s="1"/>
  <c r="G1154" i="13" s="1"/>
  <c r="G1155" i="13" s="1"/>
  <c r="G1156" i="13" s="1"/>
  <c r="G1157" i="13" s="1"/>
  <c r="G1158" i="13" s="1"/>
  <c r="G1159" i="13" s="1"/>
  <c r="G1160" i="13" s="1"/>
  <c r="G1161" i="13" s="1"/>
  <c r="G1162" i="13" s="1"/>
  <c r="G1163" i="13" s="1"/>
  <c r="G1164" i="13" s="1"/>
  <c r="G1165" i="13" s="1"/>
  <c r="G1166" i="13" s="1"/>
  <c r="G1167" i="13" s="1"/>
  <c r="G1168" i="13" s="1"/>
  <c r="G1169" i="13" s="1"/>
  <c r="G1170" i="13" s="1"/>
  <c r="G1171" i="13" s="1"/>
  <c r="G1172" i="13" s="1"/>
  <c r="G1173" i="13" s="1"/>
  <c r="G1174" i="13" s="1"/>
  <c r="G1175" i="13" s="1"/>
  <c r="G1176" i="13" s="1"/>
  <c r="G1177" i="13" s="1"/>
  <c r="G1178" i="13" s="1"/>
  <c r="G1179" i="13" s="1"/>
  <c r="G1180" i="13" s="1"/>
  <c r="G1181" i="13" s="1"/>
  <c r="G1182" i="13" s="1"/>
  <c r="G1183" i="13" s="1"/>
  <c r="G1184" i="13" s="1"/>
  <c r="G1185" i="13" s="1"/>
  <c r="G1186" i="13" s="1"/>
  <c r="G1187" i="13" s="1"/>
  <c r="G1188" i="13" s="1"/>
  <c r="G1189" i="13" s="1"/>
  <c r="G1190" i="13" s="1"/>
  <c r="G1191" i="13" s="1"/>
  <c r="G1192" i="13" s="1"/>
  <c r="G1193" i="13" s="1"/>
  <c r="G1194" i="13" s="1"/>
  <c r="G1195" i="13" s="1"/>
  <c r="G1196" i="13" s="1"/>
  <c r="G1197" i="13" s="1"/>
  <c r="G1198" i="13" s="1"/>
  <c r="G1199" i="13" s="1"/>
  <c r="G1200" i="13" s="1"/>
  <c r="G1201" i="13" s="1"/>
  <c r="G1202" i="13" s="1"/>
  <c r="G1203" i="13" s="1"/>
  <c r="G1204" i="13" s="1"/>
  <c r="G1205" i="13" s="1"/>
  <c r="G1206" i="13" s="1"/>
  <c r="G1207" i="13" s="1"/>
  <c r="G1208" i="13" s="1"/>
  <c r="G1209" i="13" s="1"/>
  <c r="G1210" i="13" s="1"/>
  <c r="G1211" i="13" s="1"/>
  <c r="G1212" i="13" s="1"/>
  <c r="G1213" i="13" s="1"/>
  <c r="G1214" i="13" s="1"/>
  <c r="G1215" i="13" s="1"/>
  <c r="G1216" i="13" s="1"/>
  <c r="G1217" i="13" s="1"/>
  <c r="G1218" i="13" s="1"/>
  <c r="G1219" i="13" s="1"/>
  <c r="C113" i="13"/>
  <c r="C112" i="13"/>
  <c r="C111" i="13"/>
  <c r="C110" i="13"/>
  <c r="C109" i="13"/>
  <c r="E6" i="6"/>
  <c r="E7" i="6"/>
  <c r="E10" i="6"/>
  <c r="E14" i="6"/>
  <c r="E17" i="6"/>
  <c r="E22" i="6"/>
  <c r="E24" i="6"/>
  <c r="E25" i="6"/>
  <c r="N6" i="3"/>
  <c r="H29" i="3"/>
  <c r="L12" i="4"/>
  <c r="J59" i="4"/>
  <c r="K64" i="4"/>
  <c r="F20" i="5"/>
  <c r="K20" i="5"/>
  <c r="K28" i="5"/>
  <c r="M28" i="5" s="1"/>
  <c r="U3" i="6"/>
  <c r="H12" i="3"/>
  <c r="N15" i="3"/>
  <c r="G12" i="4"/>
  <c r="G21" i="4"/>
  <c r="G22" i="4"/>
  <c r="G41" i="4"/>
  <c r="M53" i="4"/>
  <c r="K55" i="4"/>
  <c r="L56" i="4"/>
  <c r="M56" i="4" s="1"/>
  <c r="K63" i="4"/>
  <c r="M65" i="4"/>
  <c r="K23" i="5"/>
  <c r="K27" i="5"/>
  <c r="K31" i="5"/>
  <c r="L5" i="6"/>
  <c r="P5" i="6"/>
  <c r="T5" i="6"/>
  <c r="X5" i="6"/>
  <c r="AB5" i="6"/>
  <c r="L6" i="6"/>
  <c r="P6" i="6"/>
  <c r="T6" i="6"/>
  <c r="X6" i="6"/>
  <c r="AB6" i="6"/>
  <c r="L7" i="6"/>
  <c r="P7" i="6"/>
  <c r="T7" i="6"/>
  <c r="X7" i="6"/>
  <c r="AB7" i="6"/>
  <c r="L8" i="6"/>
  <c r="P8" i="6"/>
  <c r="T8" i="6"/>
  <c r="X8" i="6"/>
  <c r="AB8" i="6"/>
  <c r="L9" i="6"/>
  <c r="P9" i="6"/>
  <c r="T9" i="6"/>
  <c r="X9" i="6"/>
  <c r="AB9" i="6"/>
  <c r="L10" i="6"/>
  <c r="P10" i="6"/>
  <c r="T10" i="6"/>
  <c r="X10" i="6"/>
  <c r="AB10" i="6"/>
  <c r="L11" i="6"/>
  <c r="P11" i="6"/>
  <c r="T11" i="6"/>
  <c r="X11" i="6"/>
  <c r="AB11" i="6"/>
  <c r="L12" i="6"/>
  <c r="P12" i="6"/>
  <c r="T12" i="6"/>
  <c r="X12" i="6"/>
  <c r="AB12" i="6"/>
  <c r="L14" i="6"/>
  <c r="P14" i="6"/>
  <c r="T14" i="6"/>
  <c r="X14" i="6"/>
  <c r="AB14" i="6"/>
  <c r="L15" i="6"/>
  <c r="P15" i="6"/>
  <c r="T15" i="6"/>
  <c r="X15" i="6"/>
  <c r="AB15" i="6"/>
  <c r="L16" i="6"/>
  <c r="P16" i="6"/>
  <c r="T16" i="6"/>
  <c r="X16" i="6"/>
  <c r="AB16" i="6"/>
  <c r="L17" i="6"/>
  <c r="P17" i="6"/>
  <c r="T17" i="6"/>
  <c r="X17" i="6"/>
  <c r="AB17" i="6"/>
  <c r="L18" i="6"/>
  <c r="P18" i="6"/>
  <c r="T18" i="6"/>
  <c r="X18" i="6"/>
  <c r="AB18" i="6"/>
  <c r="L19" i="6"/>
  <c r="P19" i="6"/>
  <c r="T19" i="6"/>
  <c r="X19" i="6"/>
  <c r="AB19" i="6"/>
  <c r="L20" i="6"/>
  <c r="P20" i="6"/>
  <c r="T20" i="6"/>
  <c r="X20" i="6"/>
  <c r="AB20" i="6"/>
  <c r="L21" i="6"/>
  <c r="P21" i="6"/>
  <c r="T21" i="6"/>
  <c r="X21" i="6"/>
  <c r="AB21" i="6"/>
  <c r="L22" i="6"/>
  <c r="P22" i="6"/>
  <c r="T22" i="6"/>
  <c r="X22" i="6"/>
  <c r="AB22" i="6"/>
  <c r="L23" i="6"/>
  <c r="P23" i="6"/>
  <c r="T23" i="6"/>
  <c r="X23" i="6"/>
  <c r="AB23" i="6"/>
  <c r="L24" i="6"/>
  <c r="P24" i="6"/>
  <c r="T24" i="6"/>
  <c r="X24" i="6"/>
  <c r="AB24" i="6"/>
  <c r="L25" i="6"/>
  <c r="P25" i="6"/>
  <c r="T25" i="6"/>
  <c r="X25" i="6"/>
  <c r="AB25" i="6"/>
  <c r="L26" i="6"/>
  <c r="P26" i="6"/>
  <c r="T26" i="6"/>
  <c r="X26" i="6"/>
  <c r="AB26" i="6"/>
  <c r="L27" i="6"/>
  <c r="P27" i="6"/>
  <c r="T27" i="6"/>
  <c r="X27" i="6"/>
  <c r="AB27" i="6"/>
  <c r="L28" i="6"/>
  <c r="P28" i="6"/>
  <c r="T28" i="6"/>
  <c r="X28" i="6"/>
  <c r="AB28" i="6"/>
  <c r="L29" i="6"/>
  <c r="P29" i="6"/>
  <c r="T29" i="6"/>
  <c r="X29" i="6"/>
  <c r="AB29" i="6"/>
  <c r="L30" i="6"/>
  <c r="P30" i="6"/>
  <c r="T30" i="6"/>
  <c r="X30" i="6"/>
  <c r="AB30" i="6"/>
  <c r="L31" i="6"/>
  <c r="P31" i="6"/>
  <c r="T31" i="6"/>
  <c r="X31" i="6"/>
  <c r="AB31" i="6"/>
  <c r="L33" i="6"/>
  <c r="P33" i="6"/>
  <c r="T33" i="6"/>
  <c r="X33" i="6"/>
  <c r="AB33" i="6"/>
  <c r="L34" i="6"/>
  <c r="P34" i="6"/>
  <c r="T34" i="6"/>
  <c r="X34" i="6"/>
  <c r="AB34" i="6"/>
  <c r="L35" i="6"/>
  <c r="P35" i="6"/>
  <c r="T35" i="6"/>
  <c r="X35" i="6"/>
  <c r="AB35" i="6"/>
  <c r="L36" i="6"/>
  <c r="P36" i="6"/>
  <c r="T36" i="6"/>
  <c r="X36" i="6"/>
  <c r="AB36" i="6"/>
  <c r="L37" i="6"/>
  <c r="P37" i="6"/>
  <c r="T37" i="6"/>
  <c r="X37" i="6"/>
  <c r="AB37" i="6"/>
  <c r="L38" i="6"/>
  <c r="P38" i="6"/>
  <c r="T38" i="6"/>
  <c r="X38" i="6"/>
  <c r="AB38" i="6"/>
  <c r="L39" i="6"/>
  <c r="P39" i="6"/>
  <c r="T39" i="6"/>
  <c r="X39" i="6"/>
  <c r="AB39" i="6"/>
  <c r="L40" i="6"/>
  <c r="P40" i="6"/>
  <c r="T40" i="6"/>
  <c r="X40" i="6"/>
  <c r="AB40" i="6"/>
  <c r="L41" i="6"/>
  <c r="P41" i="6"/>
  <c r="T41" i="6"/>
  <c r="X41" i="6"/>
  <c r="AB41" i="6"/>
  <c r="L42" i="6"/>
  <c r="P42" i="6"/>
  <c r="T42" i="6"/>
  <c r="X42" i="6"/>
  <c r="AB42" i="6"/>
  <c r="L43" i="6"/>
  <c r="P43" i="6"/>
  <c r="T43" i="6"/>
  <c r="X43" i="6"/>
  <c r="AB43" i="6"/>
  <c r="E439" i="10"/>
  <c r="I439" i="10"/>
  <c r="E443" i="10"/>
  <c r="I443" i="10"/>
  <c r="E447" i="10"/>
  <c r="I447" i="10"/>
  <c r="E451" i="10"/>
  <c r="I451" i="10"/>
  <c r="E455" i="10"/>
  <c r="I455" i="10"/>
  <c r="E459" i="10"/>
  <c r="I459" i="10"/>
  <c r="E463" i="10"/>
  <c r="I463" i="10"/>
  <c r="E467" i="10"/>
  <c r="I467" i="10"/>
  <c r="E471" i="10"/>
  <c r="I471" i="10"/>
  <c r="E475" i="10"/>
  <c r="I475" i="10"/>
  <c r="E479" i="10"/>
  <c r="I479" i="10"/>
  <c r="E483" i="10"/>
  <c r="I483" i="10"/>
  <c r="E487" i="10"/>
  <c r="I487" i="10"/>
  <c r="E491" i="10"/>
  <c r="I491" i="10"/>
  <c r="E495" i="10"/>
  <c r="I495" i="10"/>
  <c r="E499" i="10"/>
  <c r="I499" i="10"/>
  <c r="E503" i="10"/>
  <c r="I503" i="10"/>
  <c r="E507" i="10"/>
  <c r="I507" i="10"/>
  <c r="E511" i="10"/>
  <c r="I511" i="10"/>
  <c r="E515" i="10"/>
  <c r="I515" i="10"/>
  <c r="E519" i="10"/>
  <c r="I519" i="10"/>
  <c r="E523" i="10"/>
  <c r="I523" i="10"/>
  <c r="E527" i="10"/>
  <c r="I527" i="10"/>
  <c r="E531" i="10"/>
  <c r="I531" i="10"/>
  <c r="E535" i="10"/>
  <c r="I535" i="10"/>
  <c r="E539" i="10"/>
  <c r="I539" i="10"/>
  <c r="E543" i="10"/>
  <c r="I543" i="10"/>
  <c r="E547" i="10"/>
  <c r="I547" i="10"/>
  <c r="E551" i="10"/>
  <c r="I551" i="10"/>
  <c r="E555" i="10"/>
  <c r="I555" i="10"/>
  <c r="E559" i="10"/>
  <c r="I559" i="10"/>
  <c r="E563" i="10"/>
  <c r="I563" i="10"/>
  <c r="E567" i="10"/>
  <c r="I567" i="10"/>
  <c r="E571" i="10"/>
  <c r="I571" i="10"/>
  <c r="E575" i="10"/>
  <c r="I575" i="10"/>
  <c r="E579" i="10"/>
  <c r="I579" i="10"/>
  <c r="E583" i="10"/>
  <c r="I583" i="10"/>
  <c r="E587" i="10"/>
  <c r="I587" i="10"/>
  <c r="E591" i="10"/>
  <c r="I591" i="10"/>
  <c r="E595" i="10"/>
  <c r="I595" i="10"/>
  <c r="E599" i="10"/>
  <c r="I599" i="10"/>
  <c r="E603" i="10"/>
  <c r="I603" i="10"/>
  <c r="E607" i="10"/>
  <c r="I607" i="10"/>
  <c r="E611" i="10"/>
  <c r="I611" i="10"/>
  <c r="E615" i="10"/>
  <c r="I615" i="10"/>
  <c r="E619" i="10"/>
  <c r="I619" i="10"/>
  <c r="E623" i="10"/>
  <c r="I623" i="10"/>
  <c r="E627" i="10"/>
  <c r="I627" i="10"/>
  <c r="E631" i="10"/>
  <c r="I631" i="10"/>
  <c r="E635" i="10"/>
  <c r="I635" i="10"/>
  <c r="E639" i="10"/>
  <c r="I639" i="10"/>
  <c r="E643" i="10"/>
  <c r="I643" i="10"/>
  <c r="E647" i="10"/>
  <c r="I647" i="10"/>
  <c r="E651" i="10"/>
  <c r="I651" i="10"/>
  <c r="E655" i="10"/>
  <c r="I655" i="10"/>
  <c r="E659" i="10"/>
  <c r="I659" i="10"/>
  <c r="E663" i="10"/>
  <c r="I663" i="10"/>
  <c r="E667" i="10"/>
  <c r="I667" i="10"/>
  <c r="E671" i="10"/>
  <c r="I671" i="10"/>
  <c r="E675" i="10"/>
  <c r="I675" i="10"/>
  <c r="E679" i="10"/>
  <c r="I679" i="10"/>
  <c r="E683" i="10"/>
  <c r="I683" i="10"/>
  <c r="E687" i="10"/>
  <c r="I687" i="10"/>
  <c r="E691" i="10"/>
  <c r="I691" i="10"/>
  <c r="E695" i="10"/>
  <c r="I695" i="10"/>
  <c r="E699" i="10"/>
  <c r="I699" i="10"/>
  <c r="E703" i="10"/>
  <c r="I703" i="10"/>
  <c r="E707" i="10"/>
  <c r="I707" i="10"/>
  <c r="E711" i="10"/>
  <c r="I711" i="10"/>
  <c r="E715" i="10"/>
  <c r="I715" i="10"/>
  <c r="E719" i="10"/>
  <c r="I719" i="10"/>
  <c r="E723" i="10"/>
  <c r="I723" i="10"/>
  <c r="E727" i="10"/>
  <c r="I727" i="10"/>
  <c r="E731" i="10"/>
  <c r="I731" i="10"/>
  <c r="E735" i="10"/>
  <c r="I735" i="10"/>
  <c r="E739" i="10"/>
  <c r="I739" i="10"/>
  <c r="E743" i="10"/>
  <c r="I743" i="10"/>
  <c r="E747" i="10"/>
  <c r="I747" i="10"/>
  <c r="E751" i="10"/>
  <c r="I751" i="10"/>
  <c r="E755" i="10"/>
  <c r="I755" i="10"/>
  <c r="E759" i="10"/>
  <c r="I759" i="10"/>
  <c r="E763" i="10"/>
  <c r="I763" i="10"/>
  <c r="E767" i="10"/>
  <c r="I767" i="10"/>
  <c r="E771" i="10"/>
  <c r="I771" i="10"/>
  <c r="E775" i="10"/>
  <c r="I775" i="10"/>
  <c r="E779" i="10"/>
  <c r="I779" i="10"/>
  <c r="E783" i="10"/>
  <c r="I783" i="10"/>
  <c r="E787" i="10"/>
  <c r="I787" i="10"/>
  <c r="E791" i="10"/>
  <c r="I791" i="10"/>
  <c r="E795" i="10"/>
  <c r="I795" i="10"/>
  <c r="E799" i="10"/>
  <c r="I799" i="10"/>
  <c r="E803" i="10"/>
  <c r="I803" i="10"/>
  <c r="E807" i="10"/>
  <c r="I807" i="10"/>
  <c r="E811" i="10"/>
  <c r="I811" i="10"/>
  <c r="E815" i="10"/>
  <c r="I815" i="10"/>
  <c r="E819" i="10"/>
  <c r="I819" i="10"/>
  <c r="E823" i="10"/>
  <c r="I823" i="10"/>
  <c r="E827" i="10"/>
  <c r="I827" i="10"/>
  <c r="E831" i="10"/>
  <c r="I831" i="10"/>
  <c r="E835" i="10"/>
  <c r="I835" i="10"/>
  <c r="E839" i="10"/>
  <c r="I839" i="10"/>
  <c r="E843" i="10"/>
  <c r="I843" i="10"/>
  <c r="E847" i="10"/>
  <c r="I847" i="10"/>
  <c r="E851" i="10"/>
  <c r="I851" i="10"/>
  <c r="E855" i="10"/>
  <c r="I855" i="10"/>
  <c r="E859" i="10"/>
  <c r="I859" i="10"/>
  <c r="E863" i="10"/>
  <c r="I863" i="10"/>
  <c r="E867" i="10"/>
  <c r="I867" i="10"/>
  <c r="E871" i="10"/>
  <c r="I871" i="10"/>
  <c r="E875" i="10"/>
  <c r="I875" i="10"/>
  <c r="E879" i="10"/>
  <c r="I879" i="10"/>
  <c r="E883" i="10"/>
  <c r="I883" i="10"/>
  <c r="E887" i="10"/>
  <c r="I887" i="10"/>
  <c r="E891" i="10"/>
  <c r="I891" i="10"/>
  <c r="E895" i="10"/>
  <c r="I895" i="10"/>
  <c r="E899" i="10"/>
  <c r="I899" i="10"/>
  <c r="E903" i="10"/>
  <c r="I903" i="10"/>
  <c r="E907" i="10"/>
  <c r="I907" i="10"/>
  <c r="E911" i="10"/>
  <c r="I911" i="10"/>
  <c r="E915" i="10"/>
  <c r="I915" i="10"/>
  <c r="E919" i="10"/>
  <c r="I919" i="10"/>
  <c r="E923" i="10"/>
  <c r="I923" i="10"/>
  <c r="E927" i="10"/>
  <c r="I927" i="10"/>
  <c r="E931" i="10"/>
  <c r="I931" i="10"/>
  <c r="E935" i="10"/>
  <c r="I935" i="10"/>
  <c r="E939" i="10"/>
  <c r="I939" i="10"/>
  <c r="E943" i="10"/>
  <c r="I943" i="10"/>
  <c r="E947" i="10"/>
  <c r="I947" i="10"/>
  <c r="E951" i="10"/>
  <c r="I951" i="10"/>
  <c r="E955" i="10"/>
  <c r="I955" i="10"/>
  <c r="E959" i="10"/>
  <c r="I959" i="10"/>
  <c r="E963" i="10"/>
  <c r="I963" i="10"/>
  <c r="E967" i="10"/>
  <c r="I967" i="10"/>
  <c r="E971" i="10"/>
  <c r="I971" i="10"/>
  <c r="E975" i="10"/>
  <c r="I975" i="10"/>
  <c r="E979" i="10"/>
  <c r="I979" i="10"/>
  <c r="E983" i="10"/>
  <c r="I983" i="10"/>
  <c r="E987" i="10"/>
  <c r="I987" i="10"/>
  <c r="E991" i="10"/>
  <c r="I991" i="10"/>
  <c r="E995" i="10"/>
  <c r="I995" i="10"/>
  <c r="E999" i="10"/>
  <c r="I999" i="10"/>
  <c r="E1003" i="10"/>
  <c r="I1003" i="10"/>
  <c r="E1007" i="10"/>
  <c r="I1007" i="10"/>
  <c r="E1011" i="10"/>
  <c r="I1011" i="10"/>
  <c r="E1015" i="10"/>
  <c r="I1015" i="10"/>
  <c r="E1019" i="10"/>
  <c r="I1019" i="10"/>
  <c r="E1023" i="10"/>
  <c r="I1023" i="10"/>
  <c r="E1027" i="10"/>
  <c r="I1027" i="10"/>
  <c r="E1031" i="10"/>
  <c r="I1031" i="10"/>
  <c r="E1035" i="10"/>
  <c r="I1035" i="10"/>
  <c r="E1039" i="10"/>
  <c r="I1039" i="10"/>
  <c r="E1043" i="10"/>
  <c r="I1043" i="10"/>
  <c r="E1047" i="10"/>
  <c r="I1047" i="10"/>
  <c r="E1051" i="10"/>
  <c r="I1051" i="10"/>
  <c r="E1055" i="10"/>
  <c r="I1055" i="10"/>
  <c r="E1059" i="10"/>
  <c r="I1059" i="10"/>
  <c r="E1063" i="10"/>
  <c r="I1063" i="10"/>
  <c r="E1067" i="10"/>
  <c r="I1067" i="10"/>
  <c r="E1071" i="10"/>
  <c r="I1071" i="10"/>
  <c r="E1075" i="10"/>
  <c r="I1075" i="10"/>
  <c r="E1079" i="10"/>
  <c r="I1079" i="10"/>
  <c r="E1083" i="10"/>
  <c r="I1083" i="10"/>
  <c r="E1087" i="10"/>
  <c r="I1087" i="10"/>
  <c r="E1091" i="10"/>
  <c r="I1091" i="10"/>
  <c r="E1095" i="10"/>
  <c r="I1095" i="10"/>
  <c r="E1099" i="10"/>
  <c r="I1099" i="10"/>
  <c r="E1103" i="10"/>
  <c r="I1103" i="10"/>
  <c r="I1125" i="10"/>
  <c r="E1125" i="10"/>
  <c r="P11" i="11"/>
  <c r="O11" i="11"/>
  <c r="Z19" i="11"/>
  <c r="Y19" i="11"/>
  <c r="E5" i="6"/>
  <c r="E9" i="6"/>
  <c r="E12" i="6"/>
  <c r="E15" i="6"/>
  <c r="E16" i="6"/>
  <c r="E26" i="6"/>
  <c r="E27" i="6"/>
  <c r="E12" i="10"/>
  <c r="E16" i="10"/>
  <c r="E20" i="10"/>
  <c r="E24" i="10"/>
  <c r="E28" i="10"/>
  <c r="E32" i="10"/>
  <c r="E36" i="10"/>
  <c r="E40" i="10"/>
  <c r="E44" i="10"/>
  <c r="E48" i="10"/>
  <c r="E52" i="10"/>
  <c r="E56" i="10"/>
  <c r="E60" i="10"/>
  <c r="E64" i="10"/>
  <c r="E68" i="10"/>
  <c r="E72" i="10"/>
  <c r="E76" i="10"/>
  <c r="E80" i="10"/>
  <c r="E84" i="10"/>
  <c r="E88" i="10"/>
  <c r="E92" i="10"/>
  <c r="E96" i="10"/>
  <c r="E100" i="10"/>
  <c r="E104" i="10"/>
  <c r="E108" i="10"/>
  <c r="E112" i="10"/>
  <c r="E116" i="10"/>
  <c r="E120" i="10"/>
  <c r="E124" i="10"/>
  <c r="E128" i="10"/>
  <c r="E132" i="10"/>
  <c r="E136" i="10"/>
  <c r="E140" i="10"/>
  <c r="E144" i="10"/>
  <c r="E148" i="10"/>
  <c r="E152" i="10"/>
  <c r="E156" i="10"/>
  <c r="E160" i="10"/>
  <c r="E164" i="10"/>
  <c r="E168" i="10"/>
  <c r="E172" i="10"/>
  <c r="E176" i="10"/>
  <c r="E180" i="10"/>
  <c r="E184" i="10"/>
  <c r="E188" i="10"/>
  <c r="E192" i="10"/>
  <c r="E196" i="10"/>
  <c r="E200" i="10"/>
  <c r="E204" i="10"/>
  <c r="E208" i="10"/>
  <c r="E212" i="10"/>
  <c r="E216" i="10"/>
  <c r="E220" i="10"/>
  <c r="E224" i="10"/>
  <c r="E228" i="10"/>
  <c r="E232" i="10"/>
  <c r="E236" i="10"/>
  <c r="E240" i="10"/>
  <c r="E244" i="10"/>
  <c r="E248" i="10"/>
  <c r="E252" i="10"/>
  <c r="E256" i="10"/>
  <c r="E260" i="10"/>
  <c r="E264" i="10"/>
  <c r="E268" i="10"/>
  <c r="E272" i="10"/>
  <c r="E276" i="10"/>
  <c r="E280" i="10"/>
  <c r="E284" i="10"/>
  <c r="E288" i="10"/>
  <c r="E292" i="10"/>
  <c r="E296" i="10"/>
  <c r="E300" i="10"/>
  <c r="E304" i="10"/>
  <c r="E308" i="10"/>
  <c r="E312" i="10"/>
  <c r="E316" i="10"/>
  <c r="E320" i="10"/>
  <c r="E324" i="10"/>
  <c r="E328" i="10"/>
  <c r="E332" i="10"/>
  <c r="E336" i="10"/>
  <c r="E340" i="10"/>
  <c r="E344" i="10"/>
  <c r="E348" i="10"/>
  <c r="E352" i="10"/>
  <c r="E356" i="10"/>
  <c r="E360" i="10"/>
  <c r="E364" i="10"/>
  <c r="E368" i="10"/>
  <c r="E372" i="10"/>
  <c r="E376" i="10"/>
  <c r="E380" i="10"/>
  <c r="E384" i="10"/>
  <c r="E388" i="10"/>
  <c r="E392" i="10"/>
  <c r="E396" i="10"/>
  <c r="E400" i="10"/>
  <c r="E404" i="10"/>
  <c r="E408" i="10"/>
  <c r="E412" i="10"/>
  <c r="E416" i="10"/>
  <c r="E420" i="10"/>
  <c r="E424" i="10"/>
  <c r="E428" i="10"/>
  <c r="E432" i="10"/>
  <c r="E436" i="10"/>
  <c r="E440" i="10"/>
  <c r="E444" i="10"/>
  <c r="E512" i="10"/>
  <c r="E516" i="10"/>
  <c r="E520" i="10"/>
  <c r="E524" i="10"/>
  <c r="E528" i="10"/>
  <c r="E532" i="10"/>
  <c r="E536" i="10"/>
  <c r="E540" i="10"/>
  <c r="E544" i="10"/>
  <c r="E548" i="10"/>
  <c r="E552" i="10"/>
  <c r="E556" i="10"/>
  <c r="E560" i="10"/>
  <c r="E564" i="10"/>
  <c r="E568" i="10"/>
  <c r="E572" i="10"/>
  <c r="E576" i="10"/>
  <c r="E580" i="10"/>
  <c r="E584" i="10"/>
  <c r="E588" i="10"/>
  <c r="E592" i="10"/>
  <c r="E596" i="10"/>
  <c r="E600" i="10"/>
  <c r="E604" i="10"/>
  <c r="E608" i="10"/>
  <c r="E612" i="10"/>
  <c r="E616" i="10"/>
  <c r="E620" i="10"/>
  <c r="E624" i="10"/>
  <c r="E628" i="10"/>
  <c r="E632" i="10"/>
  <c r="E636" i="10"/>
  <c r="E640" i="10"/>
  <c r="E644" i="10"/>
  <c r="E648" i="10"/>
  <c r="E652" i="10"/>
  <c r="E656" i="10"/>
  <c r="E660" i="10"/>
  <c r="E664" i="10"/>
  <c r="E668" i="10"/>
  <c r="E672" i="10"/>
  <c r="E676" i="10"/>
  <c r="E680" i="10"/>
  <c r="E684" i="10"/>
  <c r="E688" i="10"/>
  <c r="E692" i="10"/>
  <c r="E696" i="10"/>
  <c r="E700" i="10"/>
  <c r="E704" i="10"/>
  <c r="E708" i="10"/>
  <c r="E712" i="10"/>
  <c r="E716" i="10"/>
  <c r="E720" i="10"/>
  <c r="E724" i="10"/>
  <c r="E728" i="10"/>
  <c r="E732" i="10"/>
  <c r="E736" i="10"/>
  <c r="E740" i="10"/>
  <c r="E744" i="10"/>
  <c r="E748" i="10"/>
  <c r="E752" i="10"/>
  <c r="E756" i="10"/>
  <c r="E760" i="10"/>
  <c r="E764" i="10"/>
  <c r="E768" i="10"/>
  <c r="E772" i="10"/>
  <c r="E776" i="10"/>
  <c r="E780" i="10"/>
  <c r="E784" i="10"/>
  <c r="E788" i="10"/>
  <c r="E792" i="10"/>
  <c r="E796" i="10"/>
  <c r="E800" i="10"/>
  <c r="E804" i="10"/>
  <c r="E808" i="10"/>
  <c r="E812" i="10"/>
  <c r="E816" i="10"/>
  <c r="E820" i="10"/>
  <c r="E824" i="10"/>
  <c r="E828" i="10"/>
  <c r="E832" i="10"/>
  <c r="E836" i="10"/>
  <c r="E840" i="10"/>
  <c r="E844" i="10"/>
  <c r="E848" i="10"/>
  <c r="E852" i="10"/>
  <c r="E856" i="10"/>
  <c r="E860" i="10"/>
  <c r="E864" i="10"/>
  <c r="E868" i="10"/>
  <c r="E872" i="10"/>
  <c r="E876" i="10"/>
  <c r="E880" i="10"/>
  <c r="E884" i="10"/>
  <c r="E888" i="10"/>
  <c r="E892" i="10"/>
  <c r="E896" i="10"/>
  <c r="E900" i="10"/>
  <c r="E904" i="10"/>
  <c r="E908" i="10"/>
  <c r="E912" i="10"/>
  <c r="E916" i="10"/>
  <c r="E920" i="10"/>
  <c r="E924" i="10"/>
  <c r="E928" i="10"/>
  <c r="E932" i="10"/>
  <c r="E936" i="10"/>
  <c r="E940" i="10"/>
  <c r="E944" i="10"/>
  <c r="E948" i="10"/>
  <c r="E952" i="10"/>
  <c r="E956" i="10"/>
  <c r="E960" i="10"/>
  <c r="E964" i="10"/>
  <c r="E968" i="10"/>
  <c r="E972" i="10"/>
  <c r="E976" i="10"/>
  <c r="E980" i="10"/>
  <c r="E984" i="10"/>
  <c r="E988" i="10"/>
  <c r="E992" i="10"/>
  <c r="E996" i="10"/>
  <c r="E1000" i="10"/>
  <c r="E1004" i="10"/>
  <c r="E1008" i="10"/>
  <c r="E1012" i="10"/>
  <c r="E1016" i="10"/>
  <c r="E1020" i="10"/>
  <c r="E1032" i="10"/>
  <c r="E1036" i="10"/>
  <c r="E1040" i="10"/>
  <c r="E1084" i="10"/>
  <c r="E1088" i="10"/>
  <c r="E1092" i="10"/>
  <c r="E1096" i="10"/>
  <c r="E1100" i="10"/>
  <c r="E1104" i="10"/>
  <c r="E1108" i="10"/>
  <c r="E1112" i="10"/>
  <c r="E1116" i="10"/>
  <c r="N1171" i="10"/>
  <c r="N1167" i="10"/>
  <c r="N1163" i="10"/>
  <c r="N1159" i="10"/>
  <c r="N1155" i="10"/>
  <c r="N1151" i="10"/>
  <c r="N1147" i="10"/>
  <c r="N1143" i="10"/>
  <c r="N1139" i="10"/>
  <c r="N1135" i="10"/>
  <c r="N1131" i="10"/>
  <c r="N1127" i="10"/>
  <c r="N1123" i="10"/>
  <c r="N1170" i="10"/>
  <c r="N1166" i="10"/>
  <c r="N1162" i="10"/>
  <c r="N1158" i="10"/>
  <c r="N1154" i="10"/>
  <c r="N1150" i="10"/>
  <c r="N1146" i="10"/>
  <c r="N1142" i="10"/>
  <c r="N1138" i="10"/>
  <c r="N1134" i="10"/>
  <c r="N1130" i="10"/>
  <c r="N1126" i="10"/>
  <c r="N1122" i="10"/>
  <c r="N1118" i="10"/>
  <c r="N1169" i="10"/>
  <c r="N1165" i="10"/>
  <c r="N1161" i="10"/>
  <c r="N1157" i="10"/>
  <c r="N1153" i="10"/>
  <c r="N1149" i="10"/>
  <c r="N1145" i="10"/>
  <c r="N1141" i="10"/>
  <c r="N1137" i="10"/>
  <c r="N1133" i="10"/>
  <c r="N1129" i="10"/>
  <c r="N1168" i="10"/>
  <c r="N1164" i="10"/>
  <c r="N1160" i="10"/>
  <c r="N1156" i="10"/>
  <c r="N1152" i="10"/>
  <c r="N1148" i="10"/>
  <c r="N1144" i="10"/>
  <c r="N1140" i="10"/>
  <c r="N1136" i="10"/>
  <c r="N1132" i="10"/>
  <c r="N1128" i="10"/>
  <c r="N1124" i="10"/>
  <c r="N1120" i="10"/>
  <c r="N17" i="3"/>
  <c r="N8" i="3"/>
  <c r="K21" i="5"/>
  <c r="K25" i="5"/>
  <c r="K29" i="5"/>
  <c r="K11" i="11"/>
  <c r="F10" i="11"/>
  <c r="G11" i="11" s="1"/>
  <c r="J11" i="11"/>
  <c r="M10" i="13"/>
  <c r="E1123" i="10"/>
  <c r="I1123" i="10"/>
  <c r="E1127" i="10"/>
  <c r="I1127" i="10"/>
  <c r="E1131" i="10"/>
  <c r="I1131" i="10"/>
  <c r="E1135" i="10"/>
  <c r="I1135" i="10"/>
  <c r="E1139" i="10"/>
  <c r="I1139" i="10"/>
  <c r="E1143" i="10"/>
  <c r="I1143" i="10"/>
  <c r="E1147" i="10"/>
  <c r="I1147" i="10"/>
  <c r="E1151" i="10"/>
  <c r="I1151" i="10"/>
  <c r="E1155" i="10"/>
  <c r="I1155" i="10"/>
  <c r="E1159" i="10"/>
  <c r="I1159" i="10"/>
  <c r="E1163" i="10"/>
  <c r="I1163" i="10"/>
  <c r="E1167" i="10"/>
  <c r="I1167" i="10"/>
  <c r="E1171" i="10"/>
  <c r="I1171" i="10"/>
  <c r="G10" i="11"/>
  <c r="P10" i="11"/>
  <c r="Z18" i="11"/>
  <c r="U20" i="11"/>
  <c r="A90" i="11"/>
  <c r="K20" i="12"/>
  <c r="I22" i="12"/>
  <c r="I25" i="12"/>
  <c r="K27" i="12"/>
  <c r="I30" i="12"/>
  <c r="K33" i="12"/>
  <c r="C114" i="13"/>
  <c r="C115" i="13"/>
  <c r="C116" i="13"/>
  <c r="C117" i="13"/>
  <c r="C118" i="13"/>
  <c r="C119" i="13"/>
  <c r="C120" i="13"/>
  <c r="C121" i="13"/>
  <c r="C122" i="13"/>
  <c r="C123" i="13"/>
  <c r="C124" i="13"/>
  <c r="C125" i="13"/>
  <c r="C126" i="13"/>
  <c r="C127" i="13"/>
  <c r="C128" i="13"/>
  <c r="C129" i="13"/>
  <c r="C130" i="13"/>
  <c r="C131" i="13"/>
  <c r="C132" i="13"/>
  <c r="C133" i="13"/>
  <c r="C134" i="13"/>
  <c r="C135" i="13"/>
  <c r="C136" i="13"/>
  <c r="G7" i="11"/>
  <c r="K19" i="12"/>
  <c r="I21" i="12"/>
  <c r="J22" i="12"/>
  <c r="K23" i="12"/>
  <c r="I24" i="12"/>
  <c r="J25" i="12"/>
  <c r="K26" i="12"/>
  <c r="I28" i="12"/>
  <c r="I29" i="12"/>
  <c r="J30" i="12"/>
  <c r="K31" i="12"/>
  <c r="K32" i="12"/>
  <c r="E1129" i="10"/>
  <c r="I1129" i="10"/>
  <c r="E1133" i="10"/>
  <c r="I1133" i="10"/>
  <c r="E1137" i="10"/>
  <c r="I1137" i="10"/>
  <c r="E1141" i="10"/>
  <c r="I1141" i="10"/>
  <c r="E1145" i="10"/>
  <c r="I1145" i="10"/>
  <c r="E1149" i="10"/>
  <c r="I1149" i="10"/>
  <c r="E1153" i="10"/>
  <c r="I1153" i="10"/>
  <c r="E1157" i="10"/>
  <c r="I1157" i="10"/>
  <c r="E1161" i="10"/>
  <c r="I1161" i="10"/>
  <c r="E1165" i="10"/>
  <c r="I1165" i="10"/>
  <c r="E1169" i="10"/>
  <c r="I1169" i="10"/>
  <c r="K22" i="12"/>
  <c r="K25" i="12"/>
  <c r="K30" i="12"/>
  <c r="D2" i="11"/>
  <c r="E2" i="12"/>
  <c r="I19" i="12"/>
  <c r="J20" i="12"/>
  <c r="K21" i="12"/>
  <c r="I23" i="12"/>
  <c r="K24" i="12"/>
  <c r="I26" i="12"/>
  <c r="J27" i="12"/>
  <c r="K28" i="12"/>
  <c r="I31" i="12"/>
  <c r="M11" i="14"/>
  <c r="G58" i="14"/>
  <c r="F34" i="5" l="1"/>
  <c r="K34" i="5"/>
  <c r="M34" i="5" s="1"/>
  <c r="P16" i="5"/>
  <c r="F16" i="5"/>
  <c r="V7" i="3"/>
  <c r="A2" i="8"/>
  <c r="F36" i="6"/>
  <c r="F15" i="6"/>
  <c r="F16" i="6"/>
  <c r="F17" i="6"/>
  <c r="H23" i="5"/>
  <c r="G23" i="5"/>
  <c r="G31" i="5"/>
  <c r="F20" i="6"/>
  <c r="F19" i="6"/>
  <c r="F18" i="6"/>
  <c r="F21" i="6"/>
  <c r="F14" i="6"/>
  <c r="H31" i="5"/>
  <c r="F45" i="6"/>
  <c r="F43" i="6"/>
  <c r="F42" i="6"/>
  <c r="F41" i="6"/>
  <c r="F40" i="6"/>
  <c r="F39" i="6"/>
  <c r="F38" i="6"/>
  <c r="F37" i="6"/>
  <c r="F35" i="6"/>
  <c r="F34" i="6"/>
  <c r="F33" i="6"/>
  <c r="F31" i="6"/>
  <c r="F30" i="6"/>
  <c r="F29" i="6"/>
  <c r="F28" i="6"/>
  <c r="F27" i="6"/>
  <c r="F26" i="6"/>
  <c r="F25" i="6"/>
  <c r="F24" i="6"/>
  <c r="F23" i="6"/>
  <c r="F22" i="6"/>
  <c r="F12" i="6"/>
  <c r="F11" i="6"/>
  <c r="F10" i="6"/>
  <c r="F9" i="6"/>
  <c r="F8" i="6"/>
  <c r="F7" i="6"/>
  <c r="F6" i="6"/>
  <c r="F5" i="6"/>
  <c r="P12" i="3"/>
  <c r="J15" i="3"/>
  <c r="J5" i="3"/>
  <c r="P5" i="3"/>
  <c r="J10" i="3"/>
  <c r="P10" i="3"/>
  <c r="J16" i="3"/>
  <c r="P14" i="3"/>
  <c r="H2" i="3"/>
  <c r="N2" i="3"/>
  <c r="G21" i="5"/>
  <c r="G20" i="5"/>
  <c r="H34" i="5"/>
  <c r="L20" i="5"/>
  <c r="G258" i="7"/>
  <c r="G257" i="7" s="1"/>
  <c r="G256" i="7" s="1"/>
  <c r="G255" i="7" s="1"/>
  <c r="G254" i="7" s="1"/>
  <c r="G253" i="7" s="1"/>
  <c r="G252" i="7" s="1"/>
  <c r="G251" i="7" s="1"/>
  <c r="G250" i="7" s="1"/>
  <c r="G249" i="7" s="1"/>
  <c r="G248" i="7" s="1"/>
  <c r="G247" i="7" s="1"/>
  <c r="K5" i="5"/>
  <c r="L5" i="5" s="1"/>
  <c r="D52" i="6"/>
  <c r="D51" i="6"/>
  <c r="G29" i="5"/>
  <c r="D49" i="6"/>
  <c r="J18" i="3"/>
  <c r="H30" i="5"/>
  <c r="K4" i="5"/>
  <c r="M4" i="5" s="1"/>
  <c r="H22" i="5"/>
  <c r="D50" i="6"/>
  <c r="D4" i="3"/>
  <c r="D2" i="3" s="1"/>
  <c r="Q18" i="3" s="1"/>
  <c r="M26" i="5"/>
  <c r="H27" i="5"/>
  <c r="P34" i="5"/>
  <c r="G25" i="5"/>
  <c r="D45" i="6"/>
  <c r="K8" i="5"/>
  <c r="M8" i="5" s="1"/>
  <c r="V4" i="3"/>
  <c r="J20" i="3"/>
  <c r="H26" i="5"/>
  <c r="Q34" i="5"/>
  <c r="D28" i="6"/>
  <c r="J17" i="3"/>
  <c r="M30" i="5"/>
  <c r="D30" i="6"/>
  <c r="J19" i="3"/>
  <c r="K12" i="5"/>
  <c r="M12" i="5" s="1"/>
  <c r="K2" i="5"/>
  <c r="E54" i="6"/>
  <c r="G59" i="14"/>
  <c r="M12" i="14"/>
  <c r="K3" i="5"/>
  <c r="M21" i="5"/>
  <c r="J8" i="3"/>
  <c r="D15" i="6"/>
  <c r="M31" i="5"/>
  <c r="L31" i="5"/>
  <c r="M20" i="5"/>
  <c r="K61" i="4"/>
  <c r="K62" i="4"/>
  <c r="L59" i="4"/>
  <c r="M59" i="4" s="1"/>
  <c r="K11" i="2"/>
  <c r="L11" i="2" s="1"/>
  <c r="K10" i="2"/>
  <c r="L10" i="2" s="1"/>
  <c r="D17" i="6"/>
  <c r="P4" i="3"/>
  <c r="D6" i="6"/>
  <c r="J12" i="3"/>
  <c r="D19" i="6"/>
  <c r="G24" i="5"/>
  <c r="L28" i="5"/>
  <c r="K37" i="4"/>
  <c r="J39" i="4"/>
  <c r="K35" i="4"/>
  <c r="J40" i="4"/>
  <c r="L40" i="4" s="1"/>
  <c r="K38" i="4"/>
  <c r="L35" i="4"/>
  <c r="L21" i="5"/>
  <c r="D18" i="9"/>
  <c r="E18" i="9" s="1"/>
  <c r="D27" i="6"/>
  <c r="P16" i="3"/>
  <c r="D12" i="6"/>
  <c r="P9" i="3"/>
  <c r="Z20" i="11"/>
  <c r="Y20" i="11"/>
  <c r="M27" i="5"/>
  <c r="L27" i="5"/>
  <c r="H20" i="5"/>
  <c r="D25" i="6"/>
  <c r="J7" i="3"/>
  <c r="D14" i="6"/>
  <c r="U22" i="11"/>
  <c r="T22" i="11"/>
  <c r="D23" i="6"/>
  <c r="D18" i="6"/>
  <c r="J11" i="3"/>
  <c r="L22" i="5"/>
  <c r="M22" i="5"/>
  <c r="Q4" i="12"/>
  <c r="K6" i="5"/>
  <c r="M32" i="4"/>
  <c r="J6" i="4"/>
  <c r="J12" i="11"/>
  <c r="K12" i="11"/>
  <c r="F11" i="11"/>
  <c r="G12" i="11" s="1"/>
  <c r="K11" i="5"/>
  <c r="M29" i="5"/>
  <c r="P15" i="3"/>
  <c r="D26" i="6"/>
  <c r="D9" i="6"/>
  <c r="P6" i="3"/>
  <c r="M23" i="5"/>
  <c r="L23" i="5"/>
  <c r="P13" i="3"/>
  <c r="D24" i="6"/>
  <c r="D10" i="6"/>
  <c r="P7" i="3"/>
  <c r="N8" i="14"/>
  <c r="C4" i="12"/>
  <c r="C5" i="12" s="1"/>
  <c r="D21" i="6"/>
  <c r="J14" i="3"/>
  <c r="D11" i="6"/>
  <c r="P8" i="3"/>
  <c r="N9" i="13"/>
  <c r="K10" i="5"/>
  <c r="G28" i="5"/>
  <c r="M11" i="13"/>
  <c r="K7" i="5"/>
  <c r="M25" i="5"/>
  <c r="J9" i="3"/>
  <c r="D16" i="6"/>
  <c r="D5" i="6"/>
  <c r="J4" i="3"/>
  <c r="E3" i="6"/>
  <c r="P12" i="11"/>
  <c r="O12" i="11"/>
  <c r="D22" i="6"/>
  <c r="P11" i="3"/>
  <c r="D7" i="6"/>
  <c r="D20" i="6"/>
  <c r="J13" i="3"/>
  <c r="D8" i="6"/>
  <c r="J6" i="3"/>
  <c r="K13" i="5"/>
  <c r="L29" i="5"/>
  <c r="C3" i="12"/>
  <c r="B17" i="12"/>
  <c r="B22" i="12" s="1"/>
  <c r="L15" i="4"/>
  <c r="K15" i="4"/>
  <c r="L24" i="5"/>
  <c r="K9" i="5"/>
  <c r="L25" i="5"/>
  <c r="M68" i="4"/>
  <c r="N68" i="4"/>
  <c r="K16" i="5" l="1"/>
  <c r="M16" i="5" s="1"/>
  <c r="G34" i="5"/>
  <c r="L34" i="5"/>
  <c r="G36" i="6"/>
  <c r="G15" i="6"/>
  <c r="G42" i="6"/>
  <c r="G17" i="6"/>
  <c r="G19" i="6"/>
  <c r="G38" i="6"/>
  <c r="G34" i="6"/>
  <c r="G20" i="6"/>
  <c r="G16" i="6"/>
  <c r="G21" i="6"/>
  <c r="G12" i="6"/>
  <c r="G40" i="6"/>
  <c r="G31" i="6"/>
  <c r="G27" i="6"/>
  <c r="G23" i="6"/>
  <c r="G10" i="6"/>
  <c r="G6" i="6"/>
  <c r="G43" i="6"/>
  <c r="G39" i="6"/>
  <c r="G35" i="6"/>
  <c r="G30" i="6"/>
  <c r="G26" i="6"/>
  <c r="G22" i="6"/>
  <c r="G18" i="6"/>
  <c r="G14" i="6"/>
  <c r="G9" i="6"/>
  <c r="G5" i="6"/>
  <c r="G29" i="6"/>
  <c r="G25" i="6"/>
  <c r="G28" i="6"/>
  <c r="G24" i="6"/>
  <c r="G11" i="6"/>
  <c r="G7" i="6"/>
  <c r="G8" i="6"/>
  <c r="G41" i="6"/>
  <c r="G37" i="6"/>
  <c r="G33" i="6"/>
  <c r="G45" i="6"/>
  <c r="Q12" i="3"/>
  <c r="K16" i="3"/>
  <c r="K5" i="3"/>
  <c r="K10" i="3"/>
  <c r="J2" i="3"/>
  <c r="T2" i="5"/>
  <c r="G246" i="7"/>
  <c r="G245" i="7" s="1"/>
  <c r="G244" i="7" s="1"/>
  <c r="G243" i="7" s="1"/>
  <c r="G242" i="7" s="1"/>
  <c r="G241" i="7" s="1"/>
  <c r="G240" i="7" s="1"/>
  <c r="G239" i="7" s="1"/>
  <c r="G238" i="7" s="1"/>
  <c r="G237" i="7" s="1"/>
  <c r="G236" i="7" s="1"/>
  <c r="G235" i="7" s="1"/>
  <c r="G234" i="7" s="1"/>
  <c r="G233" i="7" s="1"/>
  <c r="G232" i="7" s="1"/>
  <c r="G231" i="7" s="1"/>
  <c r="G230" i="7" s="1"/>
  <c r="G229" i="7" s="1"/>
  <c r="G228" i="7" s="1"/>
  <c r="G227" i="7" s="1"/>
  <c r="G226" i="7" s="1"/>
  <c r="G225" i="7" s="1"/>
  <c r="G224" i="7" s="1"/>
  <c r="G223" i="7" s="1"/>
  <c r="G222" i="7" s="1"/>
  <c r="G221" i="7" s="1"/>
  <c r="G220" i="7" s="1"/>
  <c r="G219" i="7" s="1"/>
  <c r="G218" i="7" s="1"/>
  <c r="G217" i="7" s="1"/>
  <c r="G216" i="7" s="1"/>
  <c r="G215" i="7" s="1"/>
  <c r="G214" i="7" s="1"/>
  <c r="G213" i="7" s="1"/>
  <c r="T5" i="5"/>
  <c r="M5" i="5"/>
  <c r="T8" i="5"/>
  <c r="L4" i="5"/>
  <c r="L8" i="5"/>
  <c r="E4" i="3"/>
  <c r="E7" i="3"/>
  <c r="K6" i="3"/>
  <c r="Q13" i="3"/>
  <c r="Q7" i="3"/>
  <c r="K11" i="3"/>
  <c r="Q8" i="3"/>
  <c r="Q15" i="3"/>
  <c r="Q6" i="3"/>
  <c r="T4" i="5"/>
  <c r="L12" i="5"/>
  <c r="L2" i="5"/>
  <c r="T12" i="5"/>
  <c r="M2" i="5"/>
  <c r="Q11" i="3"/>
  <c r="Q14" i="3"/>
  <c r="K13" i="3"/>
  <c r="Q5" i="3"/>
  <c r="K4" i="3"/>
  <c r="K9" i="3"/>
  <c r="K14" i="3"/>
  <c r="K15" i="3"/>
  <c r="B4" i="3"/>
  <c r="O68" i="4"/>
  <c r="P13" i="11"/>
  <c r="O13" i="11"/>
  <c r="K13" i="11"/>
  <c r="F12" i="11"/>
  <c r="G13" i="11" s="1"/>
  <c r="J13" i="11"/>
  <c r="K7" i="3"/>
  <c r="Z21" i="11"/>
  <c r="Y21" i="11"/>
  <c r="J14" i="4"/>
  <c r="M40" i="4"/>
  <c r="M13" i="14"/>
  <c r="B24" i="12"/>
  <c r="D22" i="12"/>
  <c r="E22" i="12" s="1"/>
  <c r="K2" i="10"/>
  <c r="M7" i="5"/>
  <c r="T7" i="5"/>
  <c r="L7" i="5"/>
  <c r="M10" i="5"/>
  <c r="T10" i="5"/>
  <c r="L10" i="5"/>
  <c r="M13" i="5"/>
  <c r="L13" i="5"/>
  <c r="T13" i="5"/>
  <c r="M12" i="13"/>
  <c r="M11" i="5"/>
  <c r="T11" i="5"/>
  <c r="L11" i="5"/>
  <c r="L6" i="4"/>
  <c r="L7" i="4" s="1"/>
  <c r="K6" i="4"/>
  <c r="J7" i="4"/>
  <c r="K7" i="4" s="1"/>
  <c r="R4" i="12"/>
  <c r="Q5" i="12"/>
  <c r="Q10" i="3"/>
  <c r="K8" i="3"/>
  <c r="N10" i="13"/>
  <c r="J8" i="14" a="1"/>
  <c r="J8" i="14" s="1"/>
  <c r="N9" i="14"/>
  <c r="W7" i="3"/>
  <c r="Q16" i="3"/>
  <c r="M35" i="4"/>
  <c r="J9" i="4"/>
  <c r="L39" i="4"/>
  <c r="J42" i="4"/>
  <c r="K12" i="3"/>
  <c r="M9" i="5"/>
  <c r="T9" i="5"/>
  <c r="L9" i="5"/>
  <c r="M6" i="5"/>
  <c r="T6" i="5"/>
  <c r="L6" i="5"/>
  <c r="U23" i="11"/>
  <c r="T23" i="11"/>
  <c r="K28" i="3"/>
  <c r="W5" i="3"/>
  <c r="K30" i="3"/>
  <c r="E6" i="3"/>
  <c r="K23" i="3"/>
  <c r="K21" i="3"/>
  <c r="K17" i="3"/>
  <c r="K18" i="3"/>
  <c r="K24" i="3"/>
  <c r="K27" i="3"/>
  <c r="E5" i="3"/>
  <c r="K26" i="3"/>
  <c r="K29" i="3"/>
  <c r="K22" i="3"/>
  <c r="K19" i="3"/>
  <c r="K20" i="3"/>
  <c r="W4" i="3"/>
  <c r="K25" i="3"/>
  <c r="Q17" i="3"/>
  <c r="Q9" i="3"/>
  <c r="P2" i="3"/>
  <c r="Q2" i="3" s="1"/>
  <c r="Q4" i="3"/>
  <c r="M3" i="5"/>
  <c r="T3" i="5"/>
  <c r="L3" i="5"/>
  <c r="G60" i="14"/>
  <c r="L16" i="5" l="1"/>
  <c r="K2" i="3"/>
  <c r="G212" i="7"/>
  <c r="G211" i="7" s="1"/>
  <c r="G210" i="7" s="1"/>
  <c r="G209" i="7" s="1"/>
  <c r="G208" i="7" s="1"/>
  <c r="G207" i="7" s="1"/>
  <c r="G206" i="7" s="1"/>
  <c r="G205" i="7" s="1"/>
  <c r="G204" i="7" s="1"/>
  <c r="G203" i="7" s="1"/>
  <c r="G202" i="7" s="1"/>
  <c r="G201" i="7" s="1"/>
  <c r="G200" i="7" s="1"/>
  <c r="G199" i="7" s="1"/>
  <c r="G198" i="7" s="1"/>
  <c r="G197" i="7" s="1"/>
  <c r="G196" i="7" s="1"/>
  <c r="G195" i="7" s="1"/>
  <c r="G194" i="7" s="1"/>
  <c r="G193" i="7" s="1"/>
  <c r="G192" i="7" s="1"/>
  <c r="G191" i="7" s="1"/>
  <c r="G190" i="7" s="1"/>
  <c r="G189" i="7" s="1"/>
  <c r="G188" i="7" s="1"/>
  <c r="G187" i="7" s="1"/>
  <c r="G186" i="7" s="1"/>
  <c r="G185" i="7" s="1"/>
  <c r="G184" i="7" s="1"/>
  <c r="G183" i="7" s="1"/>
  <c r="G182" i="7" s="1"/>
  <c r="G181" i="7" s="1"/>
  <c r="G180" i="7" s="1"/>
  <c r="G179" i="7" s="1"/>
  <c r="G178" i="7" s="1"/>
  <c r="G177" i="7" s="1"/>
  <c r="G176" i="7" s="1"/>
  <c r="G175" i="7" s="1"/>
  <c r="G174" i="7" s="1"/>
  <c r="G173" i="7" s="1"/>
  <c r="G172" i="7" s="1"/>
  <c r="G171" i="7" s="1"/>
  <c r="G170" i="7" s="1"/>
  <c r="G169" i="7" s="1"/>
  <c r="G168" i="7" s="1"/>
  <c r="G167" i="7" s="1"/>
  <c r="G166" i="7" s="1"/>
  <c r="G165" i="7" s="1"/>
  <c r="G164" i="7" s="1"/>
  <c r="G163" i="7" s="1"/>
  <c r="G162" i="7" s="1"/>
  <c r="G161" i="7" s="1"/>
  <c r="G160" i="7" s="1"/>
  <c r="G159" i="7" s="1"/>
  <c r="G158" i="7" s="1"/>
  <c r="G157" i="7" s="1"/>
  <c r="G156" i="7" s="1"/>
  <c r="G155" i="7" s="1"/>
  <c r="G154" i="7" s="1"/>
  <c r="G153" i="7" s="1"/>
  <c r="G152" i="7" s="1"/>
  <c r="G151" i="7" s="1"/>
  <c r="G150" i="7" s="1"/>
  <c r="G149" i="7" s="1"/>
  <c r="G148" i="7" s="1"/>
  <c r="G147" i="7" s="1"/>
  <c r="G146" i="7" s="1"/>
  <c r="G145" i="7" s="1"/>
  <c r="G144" i="7" s="1"/>
  <c r="G143" i="7" s="1"/>
  <c r="G142" i="7" s="1"/>
  <c r="G141" i="7" s="1"/>
  <c r="G140" i="7" s="1"/>
  <c r="G139" i="7" s="1"/>
  <c r="G138" i="7" s="1"/>
  <c r="G137" i="7" s="1"/>
  <c r="G136" i="7" s="1"/>
  <c r="G135" i="7" s="1"/>
  <c r="G134" i="7" s="1"/>
  <c r="G133" i="7" s="1"/>
  <c r="G132" i="7" s="1"/>
  <c r="G131" i="7" s="1"/>
  <c r="G130" i="7" s="1"/>
  <c r="G129" i="7" s="1"/>
  <c r="G128" i="7" s="1"/>
  <c r="G127" i="7" s="1"/>
  <c r="G126" i="7" s="1"/>
  <c r="G125" i="7" s="1"/>
  <c r="G124" i="7" s="1"/>
  <c r="G123" i="7" s="1"/>
  <c r="G122" i="7" s="1"/>
  <c r="G121" i="7" s="1"/>
  <c r="G120" i="7" s="1"/>
  <c r="G119" i="7" s="1"/>
  <c r="G118" i="7" s="1"/>
  <c r="G117" i="7" s="1"/>
  <c r="G116" i="7" s="1"/>
  <c r="G115" i="7" s="1"/>
  <c r="G114" i="7" s="1"/>
  <c r="G113" i="7" s="1"/>
  <c r="G112" i="7" s="1"/>
  <c r="G111" i="7" s="1"/>
  <c r="G110" i="7" s="1"/>
  <c r="G109" i="7" s="1"/>
  <c r="G108" i="7" s="1"/>
  <c r="G107" i="7" s="1"/>
  <c r="G106" i="7" s="1"/>
  <c r="G105" i="7" s="1"/>
  <c r="G104" i="7" s="1"/>
  <c r="G103" i="7" s="1"/>
  <c r="G102" i="7" s="1"/>
  <c r="G101" i="7" s="1"/>
  <c r="G100" i="7" s="1"/>
  <c r="G99" i="7" s="1"/>
  <c r="G98" i="7" s="1"/>
  <c r="G97" i="7" s="1"/>
  <c r="G96" i="7" s="1"/>
  <c r="G95" i="7" s="1"/>
  <c r="G94" i="7" s="1"/>
  <c r="G93" i="7" s="1"/>
  <c r="G92" i="7" s="1"/>
  <c r="G91" i="7" s="1"/>
  <c r="G90" i="7" s="1"/>
  <c r="G89" i="7" s="1"/>
  <c r="G88" i="7" s="1"/>
  <c r="G87" i="7" s="1"/>
  <c r="G86" i="7" s="1"/>
  <c r="G85" i="7" s="1"/>
  <c r="G84" i="7" s="1"/>
  <c r="G83" i="7" s="1"/>
  <c r="G82" i="7" s="1"/>
  <c r="G81" i="7" s="1"/>
  <c r="G80" i="7" s="1"/>
  <c r="G79" i="7" s="1"/>
  <c r="G78" i="7" s="1"/>
  <c r="G77" i="7" s="1"/>
  <c r="G76" i="7" s="1"/>
  <c r="G75" i="7" s="1"/>
  <c r="G74" i="7" s="1"/>
  <c r="G73" i="7" s="1"/>
  <c r="G72" i="7" s="1"/>
  <c r="G71" i="7" s="1"/>
  <c r="G70" i="7" s="1"/>
  <c r="G69" i="7" s="1"/>
  <c r="G68" i="7" s="1"/>
  <c r="G67" i="7" s="1"/>
  <c r="G66" i="7" s="1"/>
  <c r="G65" i="7" s="1"/>
  <c r="G64" i="7" s="1"/>
  <c r="G63" i="7" s="1"/>
  <c r="G62" i="7" s="1"/>
  <c r="G61" i="7" s="1"/>
  <c r="G60" i="7" s="1"/>
  <c r="G59" i="7" s="1"/>
  <c r="G58" i="7" s="1"/>
  <c r="G57" i="7" s="1"/>
  <c r="G56" i="7" s="1"/>
  <c r="T16" i="5"/>
  <c r="V6" i="3" s="1"/>
  <c r="V2" i="3" s="1"/>
  <c r="W2" i="3" s="1"/>
  <c r="L9" i="4"/>
  <c r="K12" i="4"/>
  <c r="K16" i="4"/>
  <c r="K11" i="4"/>
  <c r="M13" i="13"/>
  <c r="M14" i="14"/>
  <c r="K14" i="11"/>
  <c r="F13" i="11"/>
  <c r="G14" i="11" s="1"/>
  <c r="J14" i="11"/>
  <c r="F1167" i="10"/>
  <c r="O1167" i="10" s="1"/>
  <c r="P1167" i="10" s="1"/>
  <c r="F1163" i="10"/>
  <c r="O1163" i="10" s="1"/>
  <c r="P1163" i="10" s="1"/>
  <c r="F1159" i="10"/>
  <c r="O1159" i="10" s="1"/>
  <c r="P1159" i="10" s="1"/>
  <c r="F1155" i="10"/>
  <c r="O1155" i="10" s="1"/>
  <c r="P1155" i="10" s="1"/>
  <c r="F1151" i="10"/>
  <c r="O1151" i="10" s="1"/>
  <c r="P1151" i="10" s="1"/>
  <c r="F1147" i="10"/>
  <c r="O1147" i="10" s="1"/>
  <c r="P1147" i="10" s="1"/>
  <c r="F1143" i="10"/>
  <c r="O1143" i="10" s="1"/>
  <c r="P1143" i="10" s="1"/>
  <c r="F1139" i="10"/>
  <c r="O1139" i="10" s="1"/>
  <c r="P1139" i="10" s="1"/>
  <c r="F1135" i="10"/>
  <c r="O1135" i="10" s="1"/>
  <c r="P1135" i="10" s="1"/>
  <c r="F1131" i="10"/>
  <c r="O1131" i="10" s="1"/>
  <c r="P1131" i="10" s="1"/>
  <c r="F1127" i="10"/>
  <c r="O1127" i="10" s="1"/>
  <c r="P1127" i="10" s="1"/>
  <c r="D24" i="12"/>
  <c r="F1123" i="10"/>
  <c r="O1123" i="10" s="1"/>
  <c r="P1123" i="10" s="1"/>
  <c r="F1116" i="10"/>
  <c r="O1116" i="10" s="1"/>
  <c r="P1116" i="10" s="1"/>
  <c r="F1112" i="10"/>
  <c r="O1112" i="10" s="1"/>
  <c r="P1112" i="10" s="1"/>
  <c r="F1108" i="10"/>
  <c r="O1108" i="10" s="1"/>
  <c r="P1108" i="10" s="1"/>
  <c r="F1104" i="10"/>
  <c r="O1104" i="10" s="1"/>
  <c r="P1104" i="10" s="1"/>
  <c r="F436" i="10"/>
  <c r="O436" i="10" s="1"/>
  <c r="P436" i="10" s="1"/>
  <c r="F432" i="10"/>
  <c r="O432" i="10" s="1"/>
  <c r="P432" i="10" s="1"/>
  <c r="F428" i="10"/>
  <c r="O428" i="10" s="1"/>
  <c r="P428" i="10" s="1"/>
  <c r="F424" i="10"/>
  <c r="O424" i="10" s="1"/>
  <c r="P424" i="10" s="1"/>
  <c r="F420" i="10"/>
  <c r="O420" i="10" s="1"/>
  <c r="P420" i="10" s="1"/>
  <c r="F416" i="10"/>
  <c r="O416" i="10" s="1"/>
  <c r="P416" i="10" s="1"/>
  <c r="F412" i="10"/>
  <c r="O412" i="10" s="1"/>
  <c r="P412" i="10" s="1"/>
  <c r="F408" i="10"/>
  <c r="O408" i="10" s="1"/>
  <c r="P408" i="10" s="1"/>
  <c r="F404" i="10"/>
  <c r="O404" i="10" s="1"/>
  <c r="P404" i="10" s="1"/>
  <c r="F400" i="10"/>
  <c r="O400" i="10" s="1"/>
  <c r="P400" i="10" s="1"/>
  <c r="F396" i="10"/>
  <c r="O396" i="10" s="1"/>
  <c r="P396" i="10" s="1"/>
  <c r="F392" i="10"/>
  <c r="O392" i="10" s="1"/>
  <c r="P392" i="10" s="1"/>
  <c r="F388" i="10"/>
  <c r="O388" i="10" s="1"/>
  <c r="P388" i="10" s="1"/>
  <c r="F384" i="10"/>
  <c r="O384" i="10" s="1"/>
  <c r="P384" i="10" s="1"/>
  <c r="F380" i="10"/>
  <c r="O380" i="10" s="1"/>
  <c r="P380" i="10" s="1"/>
  <c r="F376" i="10"/>
  <c r="O376" i="10" s="1"/>
  <c r="P376" i="10" s="1"/>
  <c r="F372" i="10"/>
  <c r="O372" i="10" s="1"/>
  <c r="P372" i="10" s="1"/>
  <c r="F368" i="10"/>
  <c r="O368" i="10" s="1"/>
  <c r="P368" i="10" s="1"/>
  <c r="F364" i="10"/>
  <c r="O364" i="10" s="1"/>
  <c r="P364" i="10" s="1"/>
  <c r="F360" i="10"/>
  <c r="O360" i="10" s="1"/>
  <c r="P360" i="10" s="1"/>
  <c r="F356" i="10"/>
  <c r="O356" i="10" s="1"/>
  <c r="P356" i="10" s="1"/>
  <c r="F352" i="10"/>
  <c r="O352" i="10" s="1"/>
  <c r="P352" i="10" s="1"/>
  <c r="F348" i="10"/>
  <c r="O348" i="10" s="1"/>
  <c r="P348" i="10" s="1"/>
  <c r="F344" i="10"/>
  <c r="O344" i="10" s="1"/>
  <c r="P344" i="10" s="1"/>
  <c r="F340" i="10"/>
  <c r="O340" i="10" s="1"/>
  <c r="P340" i="10" s="1"/>
  <c r="F336" i="10"/>
  <c r="O336" i="10" s="1"/>
  <c r="P336" i="10" s="1"/>
  <c r="F332" i="10"/>
  <c r="O332" i="10" s="1"/>
  <c r="P332" i="10" s="1"/>
  <c r="F328" i="10"/>
  <c r="O328" i="10" s="1"/>
  <c r="P328" i="10" s="1"/>
  <c r="F324" i="10"/>
  <c r="O324" i="10" s="1"/>
  <c r="P324" i="10" s="1"/>
  <c r="F320" i="10"/>
  <c r="O320" i="10" s="1"/>
  <c r="P320" i="10" s="1"/>
  <c r="F316" i="10"/>
  <c r="O316" i="10" s="1"/>
  <c r="P316" i="10" s="1"/>
  <c r="F312" i="10"/>
  <c r="O312" i="10" s="1"/>
  <c r="P312" i="10" s="1"/>
  <c r="F308" i="10"/>
  <c r="O308" i="10" s="1"/>
  <c r="P308" i="10" s="1"/>
  <c r="F304" i="10"/>
  <c r="O304" i="10" s="1"/>
  <c r="P304" i="10" s="1"/>
  <c r="F300" i="10"/>
  <c r="O300" i="10" s="1"/>
  <c r="P300" i="10" s="1"/>
  <c r="F296" i="10"/>
  <c r="O296" i="10" s="1"/>
  <c r="P296" i="10" s="1"/>
  <c r="F292" i="10"/>
  <c r="O292" i="10" s="1"/>
  <c r="P292" i="10" s="1"/>
  <c r="F288" i="10"/>
  <c r="O288" i="10" s="1"/>
  <c r="P288" i="10" s="1"/>
  <c r="F284" i="10"/>
  <c r="O284" i="10" s="1"/>
  <c r="P284" i="10" s="1"/>
  <c r="F280" i="10"/>
  <c r="O280" i="10" s="1"/>
  <c r="P280" i="10" s="1"/>
  <c r="F276" i="10"/>
  <c r="O276" i="10" s="1"/>
  <c r="P276" i="10" s="1"/>
  <c r="F272" i="10"/>
  <c r="O272" i="10" s="1"/>
  <c r="P272" i="10" s="1"/>
  <c r="F268" i="10"/>
  <c r="O268" i="10" s="1"/>
  <c r="P268" i="10" s="1"/>
  <c r="F264" i="10"/>
  <c r="O264" i="10" s="1"/>
  <c r="P264" i="10" s="1"/>
  <c r="F260" i="10"/>
  <c r="O260" i="10" s="1"/>
  <c r="P260" i="10" s="1"/>
  <c r="F256" i="10"/>
  <c r="O256" i="10" s="1"/>
  <c r="P256" i="10" s="1"/>
  <c r="F252" i="10"/>
  <c r="O252" i="10" s="1"/>
  <c r="P252" i="10" s="1"/>
  <c r="F248" i="10"/>
  <c r="O248" i="10" s="1"/>
  <c r="P248" i="10" s="1"/>
  <c r="F244" i="10"/>
  <c r="O244" i="10" s="1"/>
  <c r="P244" i="10" s="1"/>
  <c r="F240" i="10"/>
  <c r="O240" i="10" s="1"/>
  <c r="P240" i="10" s="1"/>
  <c r="F236" i="10"/>
  <c r="O236" i="10" s="1"/>
  <c r="P236" i="10" s="1"/>
  <c r="F232" i="10"/>
  <c r="O232" i="10" s="1"/>
  <c r="P232" i="10" s="1"/>
  <c r="F228" i="10"/>
  <c r="O228" i="10" s="1"/>
  <c r="P228" i="10" s="1"/>
  <c r="F224" i="10"/>
  <c r="O224" i="10" s="1"/>
  <c r="P224" i="10" s="1"/>
  <c r="F220" i="10"/>
  <c r="O220" i="10" s="1"/>
  <c r="P220" i="10" s="1"/>
  <c r="F216" i="10"/>
  <c r="O216" i="10" s="1"/>
  <c r="P216" i="10" s="1"/>
  <c r="F212" i="10"/>
  <c r="O212" i="10" s="1"/>
  <c r="P212" i="10" s="1"/>
  <c r="F208" i="10"/>
  <c r="O208" i="10" s="1"/>
  <c r="P208" i="10" s="1"/>
  <c r="F204" i="10"/>
  <c r="O204" i="10" s="1"/>
  <c r="P204" i="10" s="1"/>
  <c r="F200" i="10"/>
  <c r="O200" i="10" s="1"/>
  <c r="P200" i="10" s="1"/>
  <c r="F196" i="10"/>
  <c r="O196" i="10" s="1"/>
  <c r="P196" i="10" s="1"/>
  <c r="F192" i="10"/>
  <c r="O192" i="10" s="1"/>
  <c r="P192" i="10" s="1"/>
  <c r="F188" i="10"/>
  <c r="O188" i="10" s="1"/>
  <c r="P188" i="10" s="1"/>
  <c r="F184" i="10"/>
  <c r="O184" i="10" s="1"/>
  <c r="P184" i="10" s="1"/>
  <c r="F180" i="10"/>
  <c r="O180" i="10" s="1"/>
  <c r="P180" i="10" s="1"/>
  <c r="F176" i="10"/>
  <c r="O176" i="10" s="1"/>
  <c r="P176" i="10" s="1"/>
  <c r="F172" i="10"/>
  <c r="O172" i="10" s="1"/>
  <c r="P172" i="10" s="1"/>
  <c r="F168" i="10"/>
  <c r="O168" i="10" s="1"/>
  <c r="P168" i="10" s="1"/>
  <c r="F164" i="10"/>
  <c r="O164" i="10" s="1"/>
  <c r="P164" i="10" s="1"/>
  <c r="F160" i="10"/>
  <c r="O160" i="10" s="1"/>
  <c r="P160" i="10" s="1"/>
  <c r="F156" i="10"/>
  <c r="O156" i="10" s="1"/>
  <c r="P156" i="10" s="1"/>
  <c r="F152" i="10"/>
  <c r="O152" i="10" s="1"/>
  <c r="P152" i="10" s="1"/>
  <c r="F148" i="10"/>
  <c r="O148" i="10" s="1"/>
  <c r="P148" i="10" s="1"/>
  <c r="F144" i="10"/>
  <c r="O144" i="10" s="1"/>
  <c r="P144" i="10" s="1"/>
  <c r="F140" i="10"/>
  <c r="O140" i="10" s="1"/>
  <c r="P140" i="10" s="1"/>
  <c r="F136" i="10"/>
  <c r="O136" i="10" s="1"/>
  <c r="P136" i="10" s="1"/>
  <c r="F132" i="10"/>
  <c r="O132" i="10" s="1"/>
  <c r="P132" i="10" s="1"/>
  <c r="F128" i="10"/>
  <c r="O128" i="10" s="1"/>
  <c r="P128" i="10" s="1"/>
  <c r="F124" i="10"/>
  <c r="O124" i="10" s="1"/>
  <c r="P124" i="10" s="1"/>
  <c r="F120" i="10"/>
  <c r="O120" i="10" s="1"/>
  <c r="P120" i="10" s="1"/>
  <c r="F116" i="10"/>
  <c r="O116" i="10" s="1"/>
  <c r="P116" i="10" s="1"/>
  <c r="F112" i="10"/>
  <c r="O112" i="10" s="1"/>
  <c r="P112" i="10" s="1"/>
  <c r="F108" i="10"/>
  <c r="O108" i="10" s="1"/>
  <c r="P108" i="10" s="1"/>
  <c r="F104" i="10"/>
  <c r="O104" i="10" s="1"/>
  <c r="P104" i="10" s="1"/>
  <c r="F100" i="10"/>
  <c r="O100" i="10" s="1"/>
  <c r="P100" i="10" s="1"/>
  <c r="F96" i="10"/>
  <c r="O96" i="10" s="1"/>
  <c r="P96" i="10" s="1"/>
  <c r="F92" i="10"/>
  <c r="O92" i="10" s="1"/>
  <c r="P92" i="10" s="1"/>
  <c r="F88" i="10"/>
  <c r="O88" i="10" s="1"/>
  <c r="P88" i="10" s="1"/>
  <c r="F84" i="10"/>
  <c r="O84" i="10" s="1"/>
  <c r="P84" i="10" s="1"/>
  <c r="F80" i="10"/>
  <c r="O80" i="10" s="1"/>
  <c r="P80" i="10" s="1"/>
  <c r="F76" i="10"/>
  <c r="O76" i="10" s="1"/>
  <c r="P76" i="10" s="1"/>
  <c r="J76" i="10" s="1"/>
  <c r="F72" i="10"/>
  <c r="O72" i="10" s="1"/>
  <c r="P72" i="10" s="1"/>
  <c r="J72" i="10" s="1"/>
  <c r="F68" i="10"/>
  <c r="O68" i="10" s="1"/>
  <c r="P68" i="10" s="1"/>
  <c r="J68" i="10" s="1"/>
  <c r="F64" i="10"/>
  <c r="O64" i="10" s="1"/>
  <c r="P64" i="10" s="1"/>
  <c r="J64" i="10" s="1"/>
  <c r="F60" i="10"/>
  <c r="O60" i="10" s="1"/>
  <c r="P60" i="10" s="1"/>
  <c r="J60" i="10" s="1"/>
  <c r="F56" i="10"/>
  <c r="O56" i="10" s="1"/>
  <c r="P56" i="10" s="1"/>
  <c r="J56" i="10" s="1"/>
  <c r="F52" i="10"/>
  <c r="O52" i="10" s="1"/>
  <c r="P52" i="10" s="1"/>
  <c r="J52" i="10" s="1"/>
  <c r="F48" i="10"/>
  <c r="O48" i="10" s="1"/>
  <c r="P48" i="10" s="1"/>
  <c r="J48" i="10" s="1"/>
  <c r="F44" i="10"/>
  <c r="O44" i="10" s="1"/>
  <c r="P44" i="10" s="1"/>
  <c r="J44" i="10" s="1"/>
  <c r="F40" i="10"/>
  <c r="O40" i="10" s="1"/>
  <c r="P40" i="10" s="1"/>
  <c r="J40" i="10" s="1"/>
  <c r="F36" i="10"/>
  <c r="O36" i="10" s="1"/>
  <c r="P36" i="10" s="1"/>
  <c r="J36" i="10" s="1"/>
  <c r="F32" i="10"/>
  <c r="O32" i="10" s="1"/>
  <c r="P32" i="10" s="1"/>
  <c r="J32" i="10" s="1"/>
  <c r="F28" i="10"/>
  <c r="O28" i="10" s="1"/>
  <c r="P28" i="10" s="1"/>
  <c r="J28" i="10" s="1"/>
  <c r="F24" i="10"/>
  <c r="O24" i="10" s="1"/>
  <c r="P24" i="10" s="1"/>
  <c r="J24" i="10" s="1"/>
  <c r="F20" i="10"/>
  <c r="O20" i="10" s="1"/>
  <c r="P20" i="10" s="1"/>
  <c r="J20" i="10" s="1"/>
  <c r="F16" i="10"/>
  <c r="O16" i="10" s="1"/>
  <c r="P16" i="10" s="1"/>
  <c r="J16" i="10" s="1"/>
  <c r="F12" i="10"/>
  <c r="O12" i="10" s="1"/>
  <c r="P12" i="10" s="1"/>
  <c r="J12" i="10" s="1"/>
  <c r="J9" i="13" s="1" a="1"/>
  <c r="J9" i="13" s="1"/>
  <c r="L2" i="10"/>
  <c r="F1077" i="10"/>
  <c r="O1077" i="10" s="1"/>
  <c r="P1077" i="10" s="1"/>
  <c r="F1073" i="10"/>
  <c r="O1073" i="10" s="1"/>
  <c r="P1073" i="10" s="1"/>
  <c r="F1069" i="10"/>
  <c r="O1069" i="10" s="1"/>
  <c r="P1069" i="10" s="1"/>
  <c r="F1065" i="10"/>
  <c r="O1065" i="10" s="1"/>
  <c r="P1065" i="10" s="1"/>
  <c r="F1061" i="10"/>
  <c r="O1061" i="10" s="1"/>
  <c r="P1061" i="10" s="1"/>
  <c r="F1057" i="10"/>
  <c r="O1057" i="10" s="1"/>
  <c r="P1057" i="10" s="1"/>
  <c r="F1053" i="10"/>
  <c r="O1053" i="10" s="1"/>
  <c r="P1053" i="10" s="1"/>
  <c r="F1049" i="10"/>
  <c r="O1049" i="10" s="1"/>
  <c r="P1049" i="10" s="1"/>
  <c r="F1045" i="10"/>
  <c r="O1045" i="10" s="1"/>
  <c r="P1045" i="10" s="1"/>
  <c r="F1041" i="10"/>
  <c r="O1041" i="10" s="1"/>
  <c r="P1041" i="10" s="1"/>
  <c r="F1037" i="10"/>
  <c r="O1037" i="10" s="1"/>
  <c r="P1037" i="10" s="1"/>
  <c r="F1029" i="10"/>
  <c r="O1029" i="10" s="1"/>
  <c r="P1029" i="10" s="1"/>
  <c r="F1025" i="10"/>
  <c r="O1025" i="10" s="1"/>
  <c r="P1025" i="10" s="1"/>
  <c r="F1021" i="10"/>
  <c r="O1021" i="10" s="1"/>
  <c r="P1021" i="10" s="1"/>
  <c r="F1009" i="10"/>
  <c r="O1009" i="10" s="1"/>
  <c r="P1009" i="10" s="1"/>
  <c r="F937" i="10"/>
  <c r="O937" i="10" s="1"/>
  <c r="P937" i="10" s="1"/>
  <c r="F817" i="10"/>
  <c r="O817" i="10" s="1"/>
  <c r="P817" i="10" s="1"/>
  <c r="F805" i="10"/>
  <c r="O805" i="10" s="1"/>
  <c r="P805" i="10" s="1"/>
  <c r="F801" i="10"/>
  <c r="O801" i="10" s="1"/>
  <c r="P801" i="10" s="1"/>
  <c r="F793" i="10"/>
  <c r="O793" i="10" s="1"/>
  <c r="P793" i="10" s="1"/>
  <c r="F789" i="10"/>
  <c r="O789" i="10" s="1"/>
  <c r="P789" i="10" s="1"/>
  <c r="F785" i="10"/>
  <c r="O785" i="10" s="1"/>
  <c r="P785" i="10" s="1"/>
  <c r="F533" i="10"/>
  <c r="O533" i="10" s="1"/>
  <c r="P533" i="10" s="1"/>
  <c r="F529" i="10"/>
  <c r="O529" i="10" s="1"/>
  <c r="P529" i="10" s="1"/>
  <c r="F525" i="10"/>
  <c r="O525" i="10" s="1"/>
  <c r="P525" i="10" s="1"/>
  <c r="F517" i="10"/>
  <c r="O517" i="10" s="1"/>
  <c r="P517" i="10" s="1"/>
  <c r="F513" i="10"/>
  <c r="O513" i="10" s="1"/>
  <c r="P513" i="10" s="1"/>
  <c r="F509" i="10"/>
  <c r="O509" i="10" s="1"/>
  <c r="P509" i="10" s="1"/>
  <c r="F505" i="10"/>
  <c r="O505" i="10" s="1"/>
  <c r="P505" i="10" s="1"/>
  <c r="F501" i="10"/>
  <c r="O501" i="10" s="1"/>
  <c r="P501" i="10" s="1"/>
  <c r="F497" i="10"/>
  <c r="O497" i="10" s="1"/>
  <c r="P497" i="10" s="1"/>
  <c r="F493" i="10"/>
  <c r="O493" i="10" s="1"/>
  <c r="P493" i="10" s="1"/>
  <c r="F489" i="10"/>
  <c r="O489" i="10" s="1"/>
  <c r="P489" i="10" s="1"/>
  <c r="F485" i="10"/>
  <c r="O485" i="10" s="1"/>
  <c r="P485" i="10" s="1"/>
  <c r="F481" i="10"/>
  <c r="O481" i="10" s="1"/>
  <c r="P481" i="10" s="1"/>
  <c r="F477" i="10"/>
  <c r="O477" i="10" s="1"/>
  <c r="P477" i="10" s="1"/>
  <c r="F473" i="10"/>
  <c r="O473" i="10" s="1"/>
  <c r="P473" i="10" s="1"/>
  <c r="F469" i="10"/>
  <c r="O469" i="10" s="1"/>
  <c r="P469" i="10" s="1"/>
  <c r="F465" i="10"/>
  <c r="O465" i="10" s="1"/>
  <c r="P465" i="10" s="1"/>
  <c r="F461" i="10"/>
  <c r="O461" i="10" s="1"/>
  <c r="P461" i="10" s="1"/>
  <c r="F457" i="10"/>
  <c r="O457" i="10" s="1"/>
  <c r="P457" i="10" s="1"/>
  <c r="F453" i="10"/>
  <c r="O453" i="10" s="1"/>
  <c r="P453" i="10" s="1"/>
  <c r="F449" i="10"/>
  <c r="O449" i="10" s="1"/>
  <c r="P449" i="10" s="1"/>
  <c r="F445" i="10"/>
  <c r="O445" i="10" s="1"/>
  <c r="P445" i="10" s="1"/>
  <c r="F37" i="10"/>
  <c r="O37" i="10" s="1"/>
  <c r="P37" i="10" s="1"/>
  <c r="J37" i="10" s="1"/>
  <c r="F53" i="10"/>
  <c r="O53" i="10" s="1"/>
  <c r="P53" i="10" s="1"/>
  <c r="J53" i="10" s="1"/>
  <c r="F103" i="10"/>
  <c r="O103" i="10" s="1"/>
  <c r="P103" i="10" s="1"/>
  <c r="F119" i="10"/>
  <c r="O119" i="10" s="1"/>
  <c r="P119" i="10" s="1"/>
  <c r="F135" i="10"/>
  <c r="O135" i="10" s="1"/>
  <c r="P135" i="10" s="1"/>
  <c r="F151" i="10"/>
  <c r="O151" i="10" s="1"/>
  <c r="P151" i="10" s="1"/>
  <c r="F207" i="10"/>
  <c r="O207" i="10" s="1"/>
  <c r="P207" i="10" s="1"/>
  <c r="F274" i="10"/>
  <c r="O274" i="10" s="1"/>
  <c r="P274" i="10" s="1"/>
  <c r="F410" i="10"/>
  <c r="O410" i="10" s="1"/>
  <c r="P410" i="10" s="1"/>
  <c r="F532" i="10"/>
  <c r="O532" i="10" s="1"/>
  <c r="P532" i="10" s="1"/>
  <c r="F552" i="10"/>
  <c r="O552" i="10" s="1"/>
  <c r="P552" i="10" s="1"/>
  <c r="F568" i="10"/>
  <c r="O568" i="10" s="1"/>
  <c r="P568" i="10" s="1"/>
  <c r="F584" i="10"/>
  <c r="O584" i="10" s="1"/>
  <c r="P584" i="10" s="1"/>
  <c r="F649" i="10"/>
  <c r="O649" i="10" s="1"/>
  <c r="P649" i="10" s="1"/>
  <c r="F729" i="10"/>
  <c r="O729" i="10" s="1"/>
  <c r="P729" i="10" s="1"/>
  <c r="F744" i="10"/>
  <c r="O744" i="10" s="1"/>
  <c r="P744" i="10" s="1"/>
  <c r="F766" i="10"/>
  <c r="O766" i="10" s="1"/>
  <c r="P766" i="10" s="1"/>
  <c r="F790" i="10"/>
  <c r="O790" i="10" s="1"/>
  <c r="P790" i="10" s="1"/>
  <c r="F811" i="10"/>
  <c r="O811" i="10" s="1"/>
  <c r="P811" i="10" s="1"/>
  <c r="F886" i="10"/>
  <c r="O886" i="10" s="1"/>
  <c r="P886" i="10" s="1"/>
  <c r="F902" i="10"/>
  <c r="O902" i="10" s="1"/>
  <c r="P902" i="10" s="1"/>
  <c r="F918" i="10"/>
  <c r="O918" i="10" s="1"/>
  <c r="P918" i="10" s="1"/>
  <c r="F963" i="10"/>
  <c r="O963" i="10" s="1"/>
  <c r="P963" i="10" s="1"/>
  <c r="F979" i="10"/>
  <c r="O979" i="10" s="1"/>
  <c r="P979" i="10" s="1"/>
  <c r="F1017" i="10"/>
  <c r="O1017" i="10" s="1"/>
  <c r="P1017" i="10" s="1"/>
  <c r="F85" i="10"/>
  <c r="O85" i="10" s="1"/>
  <c r="P85" i="10" s="1"/>
  <c r="F117" i="10"/>
  <c r="O117" i="10" s="1"/>
  <c r="P117" i="10" s="1"/>
  <c r="F149" i="10"/>
  <c r="O149" i="10" s="1"/>
  <c r="P149" i="10" s="1"/>
  <c r="F181" i="10"/>
  <c r="O181" i="10" s="1"/>
  <c r="P181" i="10" s="1"/>
  <c r="F213" i="10"/>
  <c r="O213" i="10" s="1"/>
  <c r="P213" i="10" s="1"/>
  <c r="F245" i="10"/>
  <c r="O245" i="10" s="1"/>
  <c r="P245" i="10" s="1"/>
  <c r="F277" i="10"/>
  <c r="O277" i="10" s="1"/>
  <c r="P277" i="10" s="1"/>
  <c r="F309" i="10"/>
  <c r="O309" i="10" s="1"/>
  <c r="P309" i="10" s="1"/>
  <c r="F341" i="10"/>
  <c r="O341" i="10" s="1"/>
  <c r="P341" i="10" s="1"/>
  <c r="F373" i="10"/>
  <c r="O373" i="10" s="1"/>
  <c r="P373" i="10" s="1"/>
  <c r="F405" i="10"/>
  <c r="O405" i="10" s="1"/>
  <c r="P405" i="10" s="1"/>
  <c r="F437" i="10"/>
  <c r="O437" i="10" s="1"/>
  <c r="P437" i="10" s="1"/>
  <c r="F441" i="10"/>
  <c r="O441" i="10" s="1"/>
  <c r="P441" i="10" s="1"/>
  <c r="F450" i="10"/>
  <c r="O450" i="10" s="1"/>
  <c r="P450" i="10" s="1"/>
  <c r="F456" i="10"/>
  <c r="O456" i="10" s="1"/>
  <c r="P456" i="10" s="1"/>
  <c r="F466" i="10"/>
  <c r="O466" i="10" s="1"/>
  <c r="P466" i="10" s="1"/>
  <c r="F472" i="10"/>
  <c r="O472" i="10" s="1"/>
  <c r="P472" i="10" s="1"/>
  <c r="F482" i="10"/>
  <c r="O482" i="10" s="1"/>
  <c r="P482" i="10" s="1"/>
  <c r="F488" i="10"/>
  <c r="O488" i="10" s="1"/>
  <c r="P488" i="10" s="1"/>
  <c r="F498" i="10"/>
  <c r="O498" i="10" s="1"/>
  <c r="P498" i="10" s="1"/>
  <c r="F504" i="10"/>
  <c r="O504" i="10" s="1"/>
  <c r="P504" i="10" s="1"/>
  <c r="F515" i="10"/>
  <c r="O515" i="10" s="1"/>
  <c r="P515" i="10" s="1"/>
  <c r="F520" i="10"/>
  <c r="O520" i="10" s="1"/>
  <c r="P520" i="10" s="1"/>
  <c r="F548" i="10"/>
  <c r="O548" i="10" s="1"/>
  <c r="P548" i="10" s="1"/>
  <c r="F554" i="10"/>
  <c r="O554" i="10" s="1"/>
  <c r="P554" i="10" s="1"/>
  <c r="F580" i="10"/>
  <c r="O580" i="10" s="1"/>
  <c r="P580" i="10" s="1"/>
  <c r="F586" i="10"/>
  <c r="O586" i="10" s="1"/>
  <c r="P586" i="10" s="1"/>
  <c r="F612" i="10"/>
  <c r="O612" i="10" s="1"/>
  <c r="P612" i="10" s="1"/>
  <c r="F618" i="10"/>
  <c r="O618" i="10" s="1"/>
  <c r="P618" i="10" s="1"/>
  <c r="F645" i="10"/>
  <c r="O645" i="10" s="1"/>
  <c r="P645" i="10" s="1"/>
  <c r="F659" i="10"/>
  <c r="O659" i="10" s="1"/>
  <c r="P659" i="10" s="1"/>
  <c r="F677" i="10"/>
  <c r="O677" i="10" s="1"/>
  <c r="P677" i="10" s="1"/>
  <c r="F691" i="10"/>
  <c r="O691" i="10" s="1"/>
  <c r="P691" i="10" s="1"/>
  <c r="F709" i="10"/>
  <c r="O709" i="10" s="1"/>
  <c r="P709" i="10" s="1"/>
  <c r="F723" i="10"/>
  <c r="O723" i="10" s="1"/>
  <c r="P723" i="10" s="1"/>
  <c r="F741" i="10"/>
  <c r="O741" i="10" s="1"/>
  <c r="P741" i="10" s="1"/>
  <c r="F755" i="10"/>
  <c r="O755" i="10" s="1"/>
  <c r="P755" i="10" s="1"/>
  <c r="F773" i="10"/>
  <c r="O773" i="10" s="1"/>
  <c r="P773" i="10" s="1"/>
  <c r="F807" i="10"/>
  <c r="O807" i="10" s="1"/>
  <c r="P807" i="10" s="1"/>
  <c r="F827" i="10"/>
  <c r="O827" i="10" s="1"/>
  <c r="P827" i="10" s="1"/>
  <c r="F845" i="10"/>
  <c r="O845" i="10" s="1"/>
  <c r="P845" i="10" s="1"/>
  <c r="F859" i="10"/>
  <c r="O859" i="10" s="1"/>
  <c r="P859" i="10" s="1"/>
  <c r="F877" i="10"/>
  <c r="O877" i="10" s="1"/>
  <c r="P877" i="10" s="1"/>
  <c r="F891" i="10"/>
  <c r="O891" i="10" s="1"/>
  <c r="P891" i="10" s="1"/>
  <c r="F909" i="10"/>
  <c r="O909" i="10" s="1"/>
  <c r="P909" i="10" s="1"/>
  <c r="F923" i="10"/>
  <c r="O923" i="10" s="1"/>
  <c r="P923" i="10" s="1"/>
  <c r="F943" i="10"/>
  <c r="O943" i="10" s="1"/>
  <c r="P943" i="10" s="1"/>
  <c r="F961" i="10"/>
  <c r="O961" i="10" s="1"/>
  <c r="P961" i="10" s="1"/>
  <c r="F975" i="10"/>
  <c r="O975" i="10" s="1"/>
  <c r="P975" i="10" s="1"/>
  <c r="F993" i="10"/>
  <c r="O993" i="10" s="1"/>
  <c r="P993" i="10" s="1"/>
  <c r="F1007" i="10"/>
  <c r="O1007" i="10" s="1"/>
  <c r="P1007" i="10" s="1"/>
  <c r="F1012" i="10"/>
  <c r="O1012" i="10" s="1"/>
  <c r="P1012" i="10" s="1"/>
  <c r="F1018" i="10"/>
  <c r="O1018" i="10" s="1"/>
  <c r="P1018" i="10" s="1"/>
  <c r="F1039" i="10"/>
  <c r="O1039" i="10" s="1"/>
  <c r="P1039" i="10" s="1"/>
  <c r="F1044" i="10"/>
  <c r="O1044" i="10" s="1"/>
  <c r="P1044" i="10" s="1"/>
  <c r="F1054" i="10"/>
  <c r="O1054" i="10" s="1"/>
  <c r="P1054" i="10" s="1"/>
  <c r="F1060" i="10"/>
  <c r="O1060" i="10" s="1"/>
  <c r="P1060" i="10" s="1"/>
  <c r="F1070" i="10"/>
  <c r="O1070" i="10" s="1"/>
  <c r="P1070" i="10" s="1"/>
  <c r="F1076" i="10"/>
  <c r="O1076" i="10" s="1"/>
  <c r="P1076" i="10" s="1"/>
  <c r="F1081" i="10"/>
  <c r="O1081" i="10" s="1"/>
  <c r="P1081" i="10" s="1"/>
  <c r="F1085" i="10"/>
  <c r="O1085" i="10" s="1"/>
  <c r="P1085" i="10" s="1"/>
  <c r="F1100" i="10"/>
  <c r="O1100" i="10" s="1"/>
  <c r="P1100" i="10" s="1"/>
  <c r="F1113" i="10"/>
  <c r="O1113" i="10" s="1"/>
  <c r="P1113" i="10" s="1"/>
  <c r="F1119" i="10"/>
  <c r="O1119" i="10" s="1"/>
  <c r="P1119" i="10" s="1"/>
  <c r="F13" i="10"/>
  <c r="O13" i="10" s="1"/>
  <c r="P13" i="10" s="1"/>
  <c r="J13" i="10" s="1"/>
  <c r="J10" i="13" s="1" a="1"/>
  <c r="J10" i="13" s="1"/>
  <c r="F51" i="10"/>
  <c r="O51" i="10" s="1"/>
  <c r="P51" i="10" s="1"/>
  <c r="J51" i="10" s="1"/>
  <c r="F95" i="10"/>
  <c r="O95" i="10" s="1"/>
  <c r="P95" i="10" s="1"/>
  <c r="F146" i="10"/>
  <c r="O146" i="10" s="1"/>
  <c r="P146" i="10" s="1"/>
  <c r="F194" i="10"/>
  <c r="O194" i="10" s="1"/>
  <c r="P194" i="10" s="1"/>
  <c r="F226" i="10"/>
  <c r="O226" i="10" s="1"/>
  <c r="P226" i="10" s="1"/>
  <c r="F242" i="10"/>
  <c r="O242" i="10" s="1"/>
  <c r="P242" i="10" s="1"/>
  <c r="F258" i="10"/>
  <c r="O258" i="10" s="1"/>
  <c r="P258" i="10" s="1"/>
  <c r="F290" i="10"/>
  <c r="O290" i="10" s="1"/>
  <c r="P290" i="10" s="1"/>
  <c r="F306" i="10"/>
  <c r="O306" i="10" s="1"/>
  <c r="P306" i="10" s="1"/>
  <c r="F322" i="10"/>
  <c r="O322" i="10" s="1"/>
  <c r="P322" i="10" s="1"/>
  <c r="F338" i="10"/>
  <c r="O338" i="10" s="1"/>
  <c r="P338" i="10" s="1"/>
  <c r="F359" i="10"/>
  <c r="O359" i="10" s="1"/>
  <c r="P359" i="10" s="1"/>
  <c r="F407" i="10"/>
  <c r="O407" i="10" s="1"/>
  <c r="P407" i="10" s="1"/>
  <c r="F418" i="10"/>
  <c r="O418" i="10" s="1"/>
  <c r="P418" i="10" s="1"/>
  <c r="F616" i="10"/>
  <c r="O616" i="10" s="1"/>
  <c r="P616" i="10" s="1"/>
  <c r="F633" i="10"/>
  <c r="O633" i="10" s="1"/>
  <c r="P633" i="10" s="1"/>
  <c r="F647" i="10"/>
  <c r="O647" i="10" s="1"/>
  <c r="P647" i="10" s="1"/>
  <c r="F664" i="10"/>
  <c r="O664" i="10" s="1"/>
  <c r="P664" i="10" s="1"/>
  <c r="F718" i="10"/>
  <c r="O718" i="10" s="1"/>
  <c r="P718" i="10" s="1"/>
  <c r="F812" i="10"/>
  <c r="O812" i="10" s="1"/>
  <c r="P812" i="10" s="1"/>
  <c r="F838" i="10"/>
  <c r="O838" i="10" s="1"/>
  <c r="P838" i="10" s="1"/>
  <c r="F897" i="10"/>
  <c r="O897" i="10" s="1"/>
  <c r="P897" i="10" s="1"/>
  <c r="F934" i="10"/>
  <c r="O934" i="10" s="1"/>
  <c r="P934" i="10" s="1"/>
  <c r="F1015" i="10"/>
  <c r="O1015" i="10" s="1"/>
  <c r="P1015" i="10" s="1"/>
  <c r="F1089" i="10"/>
  <c r="O1089" i="10" s="1"/>
  <c r="P1089" i="10" s="1"/>
  <c r="F1107" i="10"/>
  <c r="O1107" i="10" s="1"/>
  <c r="P1107" i="10" s="1"/>
  <c r="F83" i="10"/>
  <c r="O83" i="10" s="1"/>
  <c r="P83" i="10" s="1"/>
  <c r="F99" i="10"/>
  <c r="O99" i="10" s="1"/>
  <c r="P99" i="10" s="1"/>
  <c r="F115" i="10"/>
  <c r="O115" i="10" s="1"/>
  <c r="P115" i="10" s="1"/>
  <c r="F131" i="10"/>
  <c r="O131" i="10" s="1"/>
  <c r="P131" i="10" s="1"/>
  <c r="F147" i="10"/>
  <c r="O147" i="10" s="1"/>
  <c r="P147" i="10" s="1"/>
  <c r="F163" i="10"/>
  <c r="O163" i="10" s="1"/>
  <c r="P163" i="10" s="1"/>
  <c r="F179" i="10"/>
  <c r="O179" i="10" s="1"/>
  <c r="P179" i="10" s="1"/>
  <c r="F195" i="10"/>
  <c r="O195" i="10" s="1"/>
  <c r="P195" i="10" s="1"/>
  <c r="F211" i="10"/>
  <c r="O211" i="10" s="1"/>
  <c r="P211" i="10" s="1"/>
  <c r="F227" i="10"/>
  <c r="O227" i="10" s="1"/>
  <c r="P227" i="10" s="1"/>
  <c r="F243" i="10"/>
  <c r="O243" i="10" s="1"/>
  <c r="P243" i="10" s="1"/>
  <c r="F259" i="10"/>
  <c r="O259" i="10" s="1"/>
  <c r="P259" i="10" s="1"/>
  <c r="F275" i="10"/>
  <c r="O275" i="10" s="1"/>
  <c r="P275" i="10" s="1"/>
  <c r="F291" i="10"/>
  <c r="O291" i="10" s="1"/>
  <c r="P291" i="10" s="1"/>
  <c r="F307" i="10"/>
  <c r="O307" i="10" s="1"/>
  <c r="P307" i="10" s="1"/>
  <c r="F323" i="10"/>
  <c r="O323" i="10" s="1"/>
  <c r="P323" i="10" s="1"/>
  <c r="F339" i="10"/>
  <c r="O339" i="10" s="1"/>
  <c r="P339" i="10" s="1"/>
  <c r="F355" i="10"/>
  <c r="O355" i="10" s="1"/>
  <c r="P355" i="10" s="1"/>
  <c r="F371" i="10"/>
  <c r="O371" i="10" s="1"/>
  <c r="P371" i="10" s="1"/>
  <c r="F387" i="10"/>
  <c r="O387" i="10" s="1"/>
  <c r="P387" i="10" s="1"/>
  <c r="F403" i="10"/>
  <c r="O403" i="10" s="1"/>
  <c r="P403" i="10" s="1"/>
  <c r="F419" i="10"/>
  <c r="O419" i="10" s="1"/>
  <c r="P419" i="10" s="1"/>
  <c r="F435" i="10"/>
  <c r="O435" i="10" s="1"/>
  <c r="P435" i="10" s="1"/>
  <c r="F522" i="10"/>
  <c r="O522" i="10" s="1"/>
  <c r="P522" i="10" s="1"/>
  <c r="F530" i="10"/>
  <c r="O530" i="10" s="1"/>
  <c r="P530" i="10" s="1"/>
  <c r="F544" i="10"/>
  <c r="O544" i="10" s="1"/>
  <c r="P544" i="10" s="1"/>
  <c r="F550" i="10"/>
  <c r="O550" i="10" s="1"/>
  <c r="P550" i="10" s="1"/>
  <c r="F576" i="10"/>
  <c r="O576" i="10" s="1"/>
  <c r="P576" i="10" s="1"/>
  <c r="F582" i="10"/>
  <c r="O582" i="10" s="1"/>
  <c r="P582" i="10" s="1"/>
  <c r="F608" i="10"/>
  <c r="O608" i="10" s="1"/>
  <c r="P608" i="10" s="1"/>
  <c r="F614" i="10"/>
  <c r="O614" i="10" s="1"/>
  <c r="P614" i="10" s="1"/>
  <c r="F641" i="10"/>
  <c r="O641" i="10" s="1"/>
  <c r="P641" i="10" s="1"/>
  <c r="F655" i="10"/>
  <c r="O655" i="10" s="1"/>
  <c r="P655" i="10" s="1"/>
  <c r="F673" i="10"/>
  <c r="O673" i="10" s="1"/>
  <c r="P673" i="10" s="1"/>
  <c r="F687" i="10"/>
  <c r="O687" i="10" s="1"/>
  <c r="P687" i="10" s="1"/>
  <c r="F705" i="10"/>
  <c r="O705" i="10" s="1"/>
  <c r="P705" i="10" s="1"/>
  <c r="F719" i="10"/>
  <c r="O719" i="10" s="1"/>
  <c r="P719" i="10" s="1"/>
  <c r="F737" i="10"/>
  <c r="O737" i="10" s="1"/>
  <c r="P737" i="10" s="1"/>
  <c r="F751" i="10"/>
  <c r="O751" i="10" s="1"/>
  <c r="P751" i="10" s="1"/>
  <c r="F769" i="10"/>
  <c r="O769" i="10" s="1"/>
  <c r="P769" i="10" s="1"/>
  <c r="F783" i="10"/>
  <c r="O783" i="10" s="1"/>
  <c r="P783" i="10" s="1"/>
  <c r="F788" i="10"/>
  <c r="O788" i="10" s="1"/>
  <c r="P788" i="10" s="1"/>
  <c r="F840" i="10"/>
  <c r="O840" i="10" s="1"/>
  <c r="P840" i="10" s="1"/>
  <c r="F846" i="10"/>
  <c r="O846" i="10" s="1"/>
  <c r="P846" i="10" s="1"/>
  <c r="F872" i="10"/>
  <c r="O872" i="10" s="1"/>
  <c r="P872" i="10" s="1"/>
  <c r="F878" i="10"/>
  <c r="O878" i="10" s="1"/>
  <c r="P878" i="10" s="1"/>
  <c r="F904" i="10"/>
  <c r="O904" i="10" s="1"/>
  <c r="P904" i="10" s="1"/>
  <c r="F910" i="10"/>
  <c r="O910" i="10" s="1"/>
  <c r="P910" i="10" s="1"/>
  <c r="F936" i="10"/>
  <c r="O936" i="10" s="1"/>
  <c r="P936" i="10" s="1"/>
  <c r="F941" i="10"/>
  <c r="O941" i="10" s="1"/>
  <c r="P941" i="10" s="1"/>
  <c r="F955" i="10"/>
  <c r="O955" i="10" s="1"/>
  <c r="P955" i="10" s="1"/>
  <c r="F973" i="10"/>
  <c r="O973" i="10" s="1"/>
  <c r="P973" i="10" s="1"/>
  <c r="F987" i="10"/>
  <c r="O987" i="10" s="1"/>
  <c r="P987" i="10" s="1"/>
  <c r="F1005" i="10"/>
  <c r="O1005" i="10" s="1"/>
  <c r="P1005" i="10" s="1"/>
  <c r="F1026" i="10"/>
  <c r="O1026" i="10" s="1"/>
  <c r="P1026" i="10" s="1"/>
  <c r="F1032" i="10"/>
  <c r="O1032" i="10" s="1"/>
  <c r="P1032" i="10" s="1"/>
  <c r="F1095" i="10"/>
  <c r="O1095" i="10" s="1"/>
  <c r="P1095" i="10" s="1"/>
  <c r="F1102" i="10"/>
  <c r="O1102" i="10" s="1"/>
  <c r="P1102" i="10" s="1"/>
  <c r="F1111" i="10"/>
  <c r="O1111" i="10" s="1"/>
  <c r="P1111" i="10" s="1"/>
  <c r="F11" i="10"/>
  <c r="O11" i="10" s="1"/>
  <c r="P11" i="10" s="1"/>
  <c r="J11" i="10" s="1"/>
  <c r="F27" i="10"/>
  <c r="O27" i="10" s="1"/>
  <c r="P27" i="10" s="1"/>
  <c r="J27" i="10" s="1"/>
  <c r="F43" i="10"/>
  <c r="O43" i="10" s="1"/>
  <c r="P43" i="10" s="1"/>
  <c r="J43" i="10" s="1"/>
  <c r="F63" i="10"/>
  <c r="O63" i="10" s="1"/>
  <c r="P63" i="10" s="1"/>
  <c r="J63" i="10" s="1"/>
  <c r="F79" i="10"/>
  <c r="O79" i="10" s="1"/>
  <c r="P79" i="10" s="1"/>
  <c r="F239" i="10"/>
  <c r="O239" i="10" s="1"/>
  <c r="P239" i="10" s="1"/>
  <c r="F255" i="10"/>
  <c r="O255" i="10" s="1"/>
  <c r="P255" i="10" s="1"/>
  <c r="F266" i="10"/>
  <c r="O266" i="10" s="1"/>
  <c r="P266" i="10" s="1"/>
  <c r="F298" i="10"/>
  <c r="O298" i="10" s="1"/>
  <c r="P298" i="10" s="1"/>
  <c r="F415" i="10"/>
  <c r="O415" i="10" s="1"/>
  <c r="P415" i="10" s="1"/>
  <c r="F527" i="10"/>
  <c r="O527" i="10" s="1"/>
  <c r="P527" i="10" s="1"/>
  <c r="F558" i="10"/>
  <c r="O558" i="10" s="1"/>
  <c r="P558" i="10" s="1"/>
  <c r="F574" i="10"/>
  <c r="O574" i="10" s="1"/>
  <c r="P574" i="10" s="1"/>
  <c r="F697" i="10"/>
  <c r="O697" i="10" s="1"/>
  <c r="P697" i="10" s="1"/>
  <c r="F712" i="10"/>
  <c r="O712" i="10" s="1"/>
  <c r="P712" i="10" s="1"/>
  <c r="F775" i="10"/>
  <c r="O775" i="10" s="1"/>
  <c r="P775" i="10" s="1"/>
  <c r="F794" i="10"/>
  <c r="O794" i="10" s="1"/>
  <c r="P794" i="10" s="1"/>
  <c r="F833" i="10"/>
  <c r="O833" i="10" s="1"/>
  <c r="P833" i="10" s="1"/>
  <c r="F912" i="10"/>
  <c r="O912" i="10" s="1"/>
  <c r="P912" i="10" s="1"/>
  <c r="F1103" i="10"/>
  <c r="O1103" i="10" s="1"/>
  <c r="P1103" i="10" s="1"/>
  <c r="F105" i="10"/>
  <c r="O105" i="10" s="1"/>
  <c r="P105" i="10" s="1"/>
  <c r="F137" i="10"/>
  <c r="O137" i="10" s="1"/>
  <c r="P137" i="10" s="1"/>
  <c r="F169" i="10"/>
  <c r="O169" i="10" s="1"/>
  <c r="P169" i="10" s="1"/>
  <c r="F201" i="10"/>
  <c r="O201" i="10" s="1"/>
  <c r="P201" i="10" s="1"/>
  <c r="F233" i="10"/>
  <c r="O233" i="10" s="1"/>
  <c r="P233" i="10" s="1"/>
  <c r="F265" i="10"/>
  <c r="O265" i="10" s="1"/>
  <c r="P265" i="10" s="1"/>
  <c r="F297" i="10"/>
  <c r="O297" i="10" s="1"/>
  <c r="P297" i="10" s="1"/>
  <c r="F329" i="10"/>
  <c r="O329" i="10" s="1"/>
  <c r="P329" i="10" s="1"/>
  <c r="F361" i="10"/>
  <c r="O361" i="10" s="1"/>
  <c r="P361" i="10" s="1"/>
  <c r="F393" i="10"/>
  <c r="O393" i="10" s="1"/>
  <c r="P393" i="10" s="1"/>
  <c r="F425" i="10"/>
  <c r="O425" i="10" s="1"/>
  <c r="P425" i="10" s="1"/>
  <c r="F442" i="10"/>
  <c r="O442" i="10" s="1"/>
  <c r="P442" i="10" s="1"/>
  <c r="F454" i="10"/>
  <c r="O454" i="10" s="1"/>
  <c r="P454" i="10" s="1"/>
  <c r="F460" i="10"/>
  <c r="O460" i="10" s="1"/>
  <c r="P460" i="10" s="1"/>
  <c r="F470" i="10"/>
  <c r="O470" i="10" s="1"/>
  <c r="P470" i="10" s="1"/>
  <c r="F476" i="10"/>
  <c r="O476" i="10" s="1"/>
  <c r="P476" i="10" s="1"/>
  <c r="F486" i="10"/>
  <c r="O486" i="10" s="1"/>
  <c r="P486" i="10" s="1"/>
  <c r="F492" i="10"/>
  <c r="O492" i="10" s="1"/>
  <c r="P492" i="10" s="1"/>
  <c r="F502" i="10"/>
  <c r="O502" i="10" s="1"/>
  <c r="P502" i="10" s="1"/>
  <c r="F508" i="10"/>
  <c r="O508" i="10" s="1"/>
  <c r="P508" i="10" s="1"/>
  <c r="F514" i="10"/>
  <c r="O514" i="10" s="1"/>
  <c r="P514" i="10" s="1"/>
  <c r="F556" i="10"/>
  <c r="O556" i="10" s="1"/>
  <c r="P556" i="10" s="1"/>
  <c r="F562" i="10"/>
  <c r="O562" i="10" s="1"/>
  <c r="P562" i="10" s="1"/>
  <c r="F588" i="10"/>
  <c r="O588" i="10" s="1"/>
  <c r="P588" i="10" s="1"/>
  <c r="F594" i="10"/>
  <c r="O594" i="10" s="1"/>
  <c r="P594" i="10" s="1"/>
  <c r="F620" i="10"/>
  <c r="O620" i="10" s="1"/>
  <c r="P620" i="10" s="1"/>
  <c r="F626" i="10"/>
  <c r="O626" i="10" s="1"/>
  <c r="P626" i="10" s="1"/>
  <c r="F652" i="10"/>
  <c r="O652" i="10" s="1"/>
  <c r="P652" i="10" s="1"/>
  <c r="F658" i="10"/>
  <c r="O658" i="10" s="1"/>
  <c r="P658" i="10" s="1"/>
  <c r="F684" i="10"/>
  <c r="O684" i="10" s="1"/>
  <c r="P684" i="10" s="1"/>
  <c r="F690" i="10"/>
  <c r="O690" i="10" s="1"/>
  <c r="P690" i="10" s="1"/>
  <c r="F716" i="10"/>
  <c r="O716" i="10" s="1"/>
  <c r="P716" i="10" s="1"/>
  <c r="F722" i="10"/>
  <c r="O722" i="10" s="1"/>
  <c r="P722" i="10" s="1"/>
  <c r="F748" i="10"/>
  <c r="O748" i="10" s="1"/>
  <c r="P748" i="10" s="1"/>
  <c r="F754" i="10"/>
  <c r="O754" i="10" s="1"/>
  <c r="P754" i="10" s="1"/>
  <c r="F780" i="10"/>
  <c r="O780" i="10" s="1"/>
  <c r="P780" i="10" s="1"/>
  <c r="F802" i="10"/>
  <c r="O802" i="10" s="1"/>
  <c r="P802" i="10" s="1"/>
  <c r="F816" i="10"/>
  <c r="O816" i="10" s="1"/>
  <c r="P816" i="10" s="1"/>
  <c r="F821" i="10"/>
  <c r="O821" i="10" s="1"/>
  <c r="P821" i="10" s="1"/>
  <c r="F835" i="10"/>
  <c r="O835" i="10" s="1"/>
  <c r="P835" i="10" s="1"/>
  <c r="F853" i="10"/>
  <c r="O853" i="10" s="1"/>
  <c r="P853" i="10" s="1"/>
  <c r="F867" i="10"/>
  <c r="O867" i="10" s="1"/>
  <c r="P867" i="10" s="1"/>
  <c r="F885" i="10"/>
  <c r="O885" i="10" s="1"/>
  <c r="P885" i="10" s="1"/>
  <c r="F899" i="10"/>
  <c r="O899" i="10" s="1"/>
  <c r="P899" i="10" s="1"/>
  <c r="F917" i="10"/>
  <c r="O917" i="10" s="1"/>
  <c r="P917" i="10" s="1"/>
  <c r="F931" i="10"/>
  <c r="O931" i="10" s="1"/>
  <c r="P931" i="10" s="1"/>
  <c r="F951" i="10"/>
  <c r="O951" i="10" s="1"/>
  <c r="P951" i="10" s="1"/>
  <c r="F969" i="10"/>
  <c r="O969" i="10" s="1"/>
  <c r="P969" i="10" s="1"/>
  <c r="F983" i="10"/>
  <c r="O983" i="10" s="1"/>
  <c r="P983" i="10" s="1"/>
  <c r="F1001" i="10"/>
  <c r="O1001" i="10" s="1"/>
  <c r="P1001" i="10" s="1"/>
  <c r="F1034" i="10"/>
  <c r="O1034" i="10" s="1"/>
  <c r="P1034" i="10" s="1"/>
  <c r="F1042" i="10"/>
  <c r="O1042" i="10" s="1"/>
  <c r="P1042" i="10" s="1"/>
  <c r="F1048" i="10"/>
  <c r="O1048" i="10" s="1"/>
  <c r="P1048" i="10" s="1"/>
  <c r="F1058" i="10"/>
  <c r="O1058" i="10" s="1"/>
  <c r="P1058" i="10" s="1"/>
  <c r="F1064" i="10"/>
  <c r="O1064" i="10" s="1"/>
  <c r="P1064" i="10" s="1"/>
  <c r="F1074" i="10"/>
  <c r="O1074" i="10" s="1"/>
  <c r="P1074" i="10" s="1"/>
  <c r="F1080" i="10"/>
  <c r="O1080" i="10" s="1"/>
  <c r="P1080" i="10" s="1"/>
  <c r="F1091" i="10"/>
  <c r="O1091" i="10" s="1"/>
  <c r="P1091" i="10" s="1"/>
  <c r="F1098" i="10"/>
  <c r="O1098" i="10" s="1"/>
  <c r="P1098" i="10" s="1"/>
  <c r="F1142" i="10"/>
  <c r="O1142" i="10" s="1"/>
  <c r="P1142" i="10" s="1"/>
  <c r="F1124" i="10"/>
  <c r="O1124" i="10" s="1"/>
  <c r="P1124" i="10" s="1"/>
  <c r="F1145" i="10"/>
  <c r="O1145" i="10" s="1"/>
  <c r="P1145" i="10" s="1"/>
  <c r="F1152" i="10"/>
  <c r="O1152" i="10" s="1"/>
  <c r="P1152" i="10" s="1"/>
  <c r="F1130" i="10"/>
  <c r="O1130" i="10" s="1"/>
  <c r="P1130" i="10" s="1"/>
  <c r="F1162" i="10"/>
  <c r="O1162" i="10" s="1"/>
  <c r="P1162" i="10" s="1"/>
  <c r="F1170" i="10"/>
  <c r="O1170" i="10" s="1"/>
  <c r="P1170" i="10" s="1"/>
  <c r="F1132" i="10"/>
  <c r="O1132" i="10" s="1"/>
  <c r="P1132" i="10" s="1"/>
  <c r="F1157" i="10"/>
  <c r="O1157" i="10" s="1"/>
  <c r="P1157" i="10" s="1"/>
  <c r="F1164" i="10"/>
  <c r="O1164" i="10" s="1"/>
  <c r="P1164" i="10" s="1"/>
  <c r="F41" i="10"/>
  <c r="O41" i="10" s="1"/>
  <c r="P41" i="10" s="1"/>
  <c r="J41" i="10" s="1"/>
  <c r="F61" i="10"/>
  <c r="O61" i="10" s="1"/>
  <c r="P61" i="10" s="1"/>
  <c r="J61" i="10" s="1"/>
  <c r="F87" i="10"/>
  <c r="O87" i="10" s="1"/>
  <c r="P87" i="10" s="1"/>
  <c r="F154" i="10"/>
  <c r="O154" i="10" s="1"/>
  <c r="P154" i="10" s="1"/>
  <c r="F178" i="10"/>
  <c r="O178" i="10" s="1"/>
  <c r="P178" i="10" s="1"/>
  <c r="F210" i="10"/>
  <c r="O210" i="10" s="1"/>
  <c r="P210" i="10" s="1"/>
  <c r="F311" i="10"/>
  <c r="O311" i="10" s="1"/>
  <c r="P311" i="10" s="1"/>
  <c r="F327" i="10"/>
  <c r="O327" i="10" s="1"/>
  <c r="P327" i="10" s="1"/>
  <c r="F354" i="10"/>
  <c r="O354" i="10" s="1"/>
  <c r="P354" i="10" s="1"/>
  <c r="F536" i="10"/>
  <c r="O536" i="10" s="1"/>
  <c r="P536" i="10" s="1"/>
  <c r="F713" i="10"/>
  <c r="O713" i="10" s="1"/>
  <c r="P713" i="10" s="1"/>
  <c r="F734" i="10"/>
  <c r="O734" i="10" s="1"/>
  <c r="P734" i="10" s="1"/>
  <c r="F832" i="10"/>
  <c r="O832" i="10" s="1"/>
  <c r="P832" i="10" s="1"/>
  <c r="F948" i="10"/>
  <c r="O948" i="10" s="1"/>
  <c r="P948" i="10" s="1"/>
  <c r="F1002" i="10"/>
  <c r="O1002" i="10" s="1"/>
  <c r="P1002" i="10" s="1"/>
  <c r="F1087" i="10"/>
  <c r="O1087" i="10" s="1"/>
  <c r="P1087" i="10" s="1"/>
  <c r="F109" i="10"/>
  <c r="O109" i="10" s="1"/>
  <c r="P109" i="10" s="1"/>
  <c r="F141" i="10"/>
  <c r="O141" i="10" s="1"/>
  <c r="P141" i="10" s="1"/>
  <c r="F173" i="10"/>
  <c r="O173" i="10" s="1"/>
  <c r="P173" i="10" s="1"/>
  <c r="F205" i="10"/>
  <c r="O205" i="10" s="1"/>
  <c r="P205" i="10" s="1"/>
  <c r="F237" i="10"/>
  <c r="O237" i="10" s="1"/>
  <c r="P237" i="10" s="1"/>
  <c r="F269" i="10"/>
  <c r="O269" i="10" s="1"/>
  <c r="P269" i="10" s="1"/>
  <c r="F301" i="10"/>
  <c r="O301" i="10" s="1"/>
  <c r="P301" i="10" s="1"/>
  <c r="F333" i="10"/>
  <c r="O333" i="10" s="1"/>
  <c r="P333" i="10" s="1"/>
  <c r="F365" i="10"/>
  <c r="O365" i="10" s="1"/>
  <c r="P365" i="10" s="1"/>
  <c r="F397" i="10"/>
  <c r="O397" i="10" s="1"/>
  <c r="P397" i="10" s="1"/>
  <c r="F429" i="10"/>
  <c r="O429" i="10" s="1"/>
  <c r="P429" i="10" s="1"/>
  <c r="F447" i="10"/>
  <c r="O447" i="10" s="1"/>
  <c r="P447" i="10" s="1"/>
  <c r="F463" i="10"/>
  <c r="O463" i="10" s="1"/>
  <c r="P463" i="10" s="1"/>
  <c r="F479" i="10"/>
  <c r="O479" i="10" s="1"/>
  <c r="P479" i="10" s="1"/>
  <c r="F495" i="10"/>
  <c r="O495" i="10" s="1"/>
  <c r="P495" i="10" s="1"/>
  <c r="F511" i="10"/>
  <c r="O511" i="10" s="1"/>
  <c r="P511" i="10" s="1"/>
  <c r="F516" i="10"/>
  <c r="O516" i="10" s="1"/>
  <c r="P516" i="10" s="1"/>
  <c r="F521" i="10"/>
  <c r="O521" i="10" s="1"/>
  <c r="P521" i="10" s="1"/>
  <c r="F549" i="10"/>
  <c r="O549" i="10" s="1"/>
  <c r="P549" i="10" s="1"/>
  <c r="F563" i="10"/>
  <c r="O563" i="10" s="1"/>
  <c r="P563" i="10" s="1"/>
  <c r="F581" i="10"/>
  <c r="O581" i="10" s="1"/>
  <c r="P581" i="10" s="1"/>
  <c r="F595" i="10"/>
  <c r="O595" i="10" s="1"/>
  <c r="P595" i="10" s="1"/>
  <c r="F613" i="10"/>
  <c r="O613" i="10" s="1"/>
  <c r="P613" i="10" s="1"/>
  <c r="F627" i="10"/>
  <c r="O627" i="10" s="1"/>
  <c r="P627" i="10" s="1"/>
  <c r="F634" i="10"/>
  <c r="O634" i="10" s="1"/>
  <c r="P634" i="10" s="1"/>
  <c r="F660" i="10"/>
  <c r="O660" i="10" s="1"/>
  <c r="P660" i="10" s="1"/>
  <c r="F666" i="10"/>
  <c r="O666" i="10" s="1"/>
  <c r="P666" i="10" s="1"/>
  <c r="F692" i="10"/>
  <c r="O692" i="10" s="1"/>
  <c r="P692" i="10" s="1"/>
  <c r="F698" i="10"/>
  <c r="O698" i="10" s="1"/>
  <c r="P698" i="10" s="1"/>
  <c r="F724" i="10"/>
  <c r="O724" i="10" s="1"/>
  <c r="P724" i="10" s="1"/>
  <c r="F730" i="10"/>
  <c r="O730" i="10" s="1"/>
  <c r="P730" i="10" s="1"/>
  <c r="F756" i="10"/>
  <c r="O756" i="10" s="1"/>
  <c r="P756" i="10" s="1"/>
  <c r="F762" i="10"/>
  <c r="O762" i="10" s="1"/>
  <c r="P762" i="10" s="1"/>
  <c r="F803" i="10"/>
  <c r="O803" i="10" s="1"/>
  <c r="P803" i="10" s="1"/>
  <c r="F808" i="10"/>
  <c r="O808" i="10" s="1"/>
  <c r="P808" i="10" s="1"/>
  <c r="F814" i="10"/>
  <c r="O814" i="10" s="1"/>
  <c r="P814" i="10" s="1"/>
  <c r="F828" i="10"/>
  <c r="O828" i="10" s="1"/>
  <c r="P828" i="10" s="1"/>
  <c r="F834" i="10"/>
  <c r="O834" i="10" s="1"/>
  <c r="P834" i="10" s="1"/>
  <c r="F860" i="10"/>
  <c r="O860" i="10" s="1"/>
  <c r="P860" i="10" s="1"/>
  <c r="F866" i="10"/>
  <c r="O866" i="10" s="1"/>
  <c r="P866" i="10" s="1"/>
  <c r="F892" i="10"/>
  <c r="O892" i="10" s="1"/>
  <c r="P892" i="10" s="1"/>
  <c r="F898" i="10"/>
  <c r="O898" i="10" s="1"/>
  <c r="P898" i="10" s="1"/>
  <c r="F924" i="10"/>
  <c r="O924" i="10" s="1"/>
  <c r="P924" i="10" s="1"/>
  <c r="F930" i="10"/>
  <c r="O930" i="10" s="1"/>
  <c r="P930" i="10" s="1"/>
  <c r="F944" i="10"/>
  <c r="O944" i="10" s="1"/>
  <c r="P944" i="10" s="1"/>
  <c r="F950" i="10"/>
  <c r="O950" i="10" s="1"/>
  <c r="P950" i="10" s="1"/>
  <c r="F976" i="10"/>
  <c r="O976" i="10" s="1"/>
  <c r="P976" i="10" s="1"/>
  <c r="F982" i="10"/>
  <c r="O982" i="10" s="1"/>
  <c r="P982" i="10" s="1"/>
  <c r="F1008" i="10"/>
  <c r="O1008" i="10" s="1"/>
  <c r="P1008" i="10" s="1"/>
  <c r="F1013" i="10"/>
  <c r="O1013" i="10" s="1"/>
  <c r="P1013" i="10" s="1"/>
  <c r="F1035" i="10"/>
  <c r="O1035" i="10" s="1"/>
  <c r="P1035" i="10" s="1"/>
  <c r="F1040" i="10"/>
  <c r="O1040" i="10" s="1"/>
  <c r="P1040" i="10" s="1"/>
  <c r="F1051" i="10"/>
  <c r="O1051" i="10" s="1"/>
  <c r="P1051" i="10" s="1"/>
  <c r="F1067" i="10"/>
  <c r="O1067" i="10" s="1"/>
  <c r="P1067" i="10" s="1"/>
  <c r="F1101" i="10"/>
  <c r="O1101" i="10" s="1"/>
  <c r="P1101" i="10" s="1"/>
  <c r="F17" i="10"/>
  <c r="O17" i="10" s="1"/>
  <c r="P17" i="10" s="1"/>
  <c r="J17" i="10" s="1"/>
  <c r="F57" i="10"/>
  <c r="O57" i="10" s="1"/>
  <c r="P57" i="10" s="1"/>
  <c r="J57" i="10" s="1"/>
  <c r="F82" i="10"/>
  <c r="O82" i="10" s="1"/>
  <c r="P82" i="10" s="1"/>
  <c r="F98" i="10"/>
  <c r="O98" i="10" s="1"/>
  <c r="P98" i="10" s="1"/>
  <c r="F114" i="10"/>
  <c r="O114" i="10" s="1"/>
  <c r="P114" i="10" s="1"/>
  <c r="F130" i="10"/>
  <c r="O130" i="10" s="1"/>
  <c r="P130" i="10" s="1"/>
  <c r="F167" i="10"/>
  <c r="O167" i="10" s="1"/>
  <c r="P167" i="10" s="1"/>
  <c r="F279" i="10"/>
  <c r="O279" i="10" s="1"/>
  <c r="P279" i="10" s="1"/>
  <c r="F343" i="10"/>
  <c r="O343" i="10" s="1"/>
  <c r="P343" i="10" s="1"/>
  <c r="F362" i="10"/>
  <c r="O362" i="10" s="1"/>
  <c r="P362" i="10" s="1"/>
  <c r="F535" i="10"/>
  <c r="O535" i="10" s="1"/>
  <c r="P535" i="10" s="1"/>
  <c r="F553" i="10"/>
  <c r="O553" i="10" s="1"/>
  <c r="P553" i="10" s="1"/>
  <c r="F583" i="10"/>
  <c r="O583" i="10" s="1"/>
  <c r="P583" i="10" s="1"/>
  <c r="F600" i="10"/>
  <c r="O600" i="10" s="1"/>
  <c r="P600" i="10" s="1"/>
  <c r="F670" i="10"/>
  <c r="O670" i="10" s="1"/>
  <c r="P670" i="10" s="1"/>
  <c r="F686" i="10"/>
  <c r="O686" i="10" s="1"/>
  <c r="P686" i="10" s="1"/>
  <c r="F743" i="10"/>
  <c r="O743" i="10" s="1"/>
  <c r="P743" i="10" s="1"/>
  <c r="F776" i="10"/>
  <c r="O776" i="10" s="1"/>
  <c r="P776" i="10" s="1"/>
  <c r="F863" i="10"/>
  <c r="O863" i="10" s="1"/>
  <c r="P863" i="10" s="1"/>
  <c r="F879" i="10"/>
  <c r="O879" i="10" s="1"/>
  <c r="P879" i="10" s="1"/>
  <c r="F980" i="10"/>
  <c r="O980" i="10" s="1"/>
  <c r="P980" i="10" s="1"/>
  <c r="F996" i="10"/>
  <c r="O996" i="10" s="1"/>
  <c r="P996" i="10" s="1"/>
  <c r="F1094" i="10"/>
  <c r="O1094" i="10" s="1"/>
  <c r="P1094" i="10" s="1"/>
  <c r="F1110" i="10"/>
  <c r="O1110" i="10" s="1"/>
  <c r="P1110" i="10" s="1"/>
  <c r="F14" i="10"/>
  <c r="O14" i="10" s="1"/>
  <c r="P14" i="10" s="1"/>
  <c r="J14" i="10" s="1"/>
  <c r="F18" i="10"/>
  <c r="O18" i="10" s="1"/>
  <c r="P18" i="10" s="1"/>
  <c r="J18" i="10" s="1"/>
  <c r="F22" i="10"/>
  <c r="O22" i="10" s="1"/>
  <c r="P22" i="10" s="1"/>
  <c r="J22" i="10" s="1"/>
  <c r="F26" i="10"/>
  <c r="O26" i="10" s="1"/>
  <c r="P26" i="10" s="1"/>
  <c r="J26" i="10" s="1"/>
  <c r="F30" i="10"/>
  <c r="O30" i="10" s="1"/>
  <c r="P30" i="10" s="1"/>
  <c r="J30" i="10" s="1"/>
  <c r="F34" i="10"/>
  <c r="O34" i="10" s="1"/>
  <c r="P34" i="10" s="1"/>
  <c r="J34" i="10" s="1"/>
  <c r="F38" i="10"/>
  <c r="O38" i="10" s="1"/>
  <c r="P38" i="10" s="1"/>
  <c r="J38" i="10" s="1"/>
  <c r="F42" i="10"/>
  <c r="O42" i="10" s="1"/>
  <c r="P42" i="10" s="1"/>
  <c r="J42" i="10" s="1"/>
  <c r="F46" i="10"/>
  <c r="O46" i="10" s="1"/>
  <c r="P46" i="10" s="1"/>
  <c r="J46" i="10" s="1"/>
  <c r="F50" i="10"/>
  <c r="O50" i="10" s="1"/>
  <c r="P50" i="10" s="1"/>
  <c r="J50" i="10" s="1"/>
  <c r="F54" i="10"/>
  <c r="O54" i="10" s="1"/>
  <c r="P54" i="10" s="1"/>
  <c r="J54" i="10" s="1"/>
  <c r="F58" i="10"/>
  <c r="O58" i="10" s="1"/>
  <c r="P58" i="10" s="1"/>
  <c r="J58" i="10" s="1"/>
  <c r="F62" i="10"/>
  <c r="O62" i="10" s="1"/>
  <c r="P62" i="10" s="1"/>
  <c r="J62" i="10" s="1"/>
  <c r="F66" i="10"/>
  <c r="O66" i="10" s="1"/>
  <c r="P66" i="10" s="1"/>
  <c r="J66" i="10" s="1"/>
  <c r="F70" i="10"/>
  <c r="O70" i="10" s="1"/>
  <c r="P70" i="10" s="1"/>
  <c r="J70" i="10" s="1"/>
  <c r="F74" i="10"/>
  <c r="O74" i="10" s="1"/>
  <c r="P74" i="10" s="1"/>
  <c r="J74" i="10" s="1"/>
  <c r="F78" i="10"/>
  <c r="O78" i="10" s="1"/>
  <c r="P78" i="10" s="1"/>
  <c r="F94" i="10"/>
  <c r="O94" i="10" s="1"/>
  <c r="P94" i="10" s="1"/>
  <c r="F110" i="10"/>
  <c r="O110" i="10" s="1"/>
  <c r="P110" i="10" s="1"/>
  <c r="F126" i="10"/>
  <c r="O126" i="10" s="1"/>
  <c r="P126" i="10" s="1"/>
  <c r="F142" i="10"/>
  <c r="O142" i="10" s="1"/>
  <c r="P142" i="10" s="1"/>
  <c r="F158" i="10"/>
  <c r="O158" i="10" s="1"/>
  <c r="P158" i="10" s="1"/>
  <c r="F174" i="10"/>
  <c r="O174" i="10" s="1"/>
  <c r="P174" i="10" s="1"/>
  <c r="F190" i="10"/>
  <c r="O190" i="10" s="1"/>
  <c r="P190" i="10" s="1"/>
  <c r="F206" i="10"/>
  <c r="O206" i="10" s="1"/>
  <c r="P206" i="10" s="1"/>
  <c r="F222" i="10"/>
  <c r="O222" i="10" s="1"/>
  <c r="P222" i="10" s="1"/>
  <c r="F238" i="10"/>
  <c r="O238" i="10" s="1"/>
  <c r="P238" i="10" s="1"/>
  <c r="F254" i="10"/>
  <c r="O254" i="10" s="1"/>
  <c r="P254" i="10" s="1"/>
  <c r="F270" i="10"/>
  <c r="O270" i="10" s="1"/>
  <c r="P270" i="10" s="1"/>
  <c r="F286" i="10"/>
  <c r="O286" i="10" s="1"/>
  <c r="P286" i="10" s="1"/>
  <c r="F302" i="10"/>
  <c r="O302" i="10" s="1"/>
  <c r="P302" i="10" s="1"/>
  <c r="F318" i="10"/>
  <c r="O318" i="10" s="1"/>
  <c r="P318" i="10" s="1"/>
  <c r="F334" i="10"/>
  <c r="O334" i="10" s="1"/>
  <c r="P334" i="10" s="1"/>
  <c r="F350" i="10"/>
  <c r="O350" i="10" s="1"/>
  <c r="P350" i="10" s="1"/>
  <c r="F366" i="10"/>
  <c r="O366" i="10" s="1"/>
  <c r="P366" i="10" s="1"/>
  <c r="F382" i="10"/>
  <c r="O382" i="10" s="1"/>
  <c r="P382" i="10" s="1"/>
  <c r="F398" i="10"/>
  <c r="O398" i="10" s="1"/>
  <c r="P398" i="10" s="1"/>
  <c r="F414" i="10"/>
  <c r="O414" i="10" s="1"/>
  <c r="P414" i="10" s="1"/>
  <c r="F430" i="10"/>
  <c r="O430" i="10" s="1"/>
  <c r="P430" i="10" s="1"/>
  <c r="F545" i="10"/>
  <c r="O545" i="10" s="1"/>
  <c r="P545" i="10" s="1"/>
  <c r="F559" i="10"/>
  <c r="O559" i="10" s="1"/>
  <c r="P559" i="10" s="1"/>
  <c r="F577" i="10"/>
  <c r="O577" i="10" s="1"/>
  <c r="P577" i="10" s="1"/>
  <c r="F591" i="10"/>
  <c r="O591" i="10" s="1"/>
  <c r="P591" i="10" s="1"/>
  <c r="F609" i="10"/>
  <c r="O609" i="10" s="1"/>
  <c r="P609" i="10" s="1"/>
  <c r="F623" i="10"/>
  <c r="O623" i="10" s="1"/>
  <c r="P623" i="10" s="1"/>
  <c r="F630" i="10"/>
  <c r="O630" i="10" s="1"/>
  <c r="P630" i="10" s="1"/>
  <c r="F656" i="10"/>
  <c r="O656" i="10" s="1"/>
  <c r="P656" i="10" s="1"/>
  <c r="F662" i="10"/>
  <c r="O662" i="10" s="1"/>
  <c r="P662" i="10" s="1"/>
  <c r="F688" i="10"/>
  <c r="O688" i="10" s="1"/>
  <c r="P688" i="10" s="1"/>
  <c r="F694" i="10"/>
  <c r="O694" i="10" s="1"/>
  <c r="P694" i="10" s="1"/>
  <c r="F720" i="10"/>
  <c r="O720" i="10" s="1"/>
  <c r="P720" i="10" s="1"/>
  <c r="F726" i="10"/>
  <c r="O726" i="10" s="1"/>
  <c r="P726" i="10" s="1"/>
  <c r="F752" i="10"/>
  <c r="O752" i="10" s="1"/>
  <c r="P752" i="10" s="1"/>
  <c r="F758" i="10"/>
  <c r="O758" i="10" s="1"/>
  <c r="P758" i="10" s="1"/>
  <c r="F784" i="10"/>
  <c r="O784" i="10" s="1"/>
  <c r="P784" i="10" s="1"/>
  <c r="F795" i="10"/>
  <c r="O795" i="10" s="1"/>
  <c r="P795" i="10" s="1"/>
  <c r="F823" i="10"/>
  <c r="O823" i="10" s="1"/>
  <c r="P823" i="10" s="1"/>
  <c r="F841" i="10"/>
  <c r="O841" i="10" s="1"/>
  <c r="P841" i="10" s="1"/>
  <c r="F855" i="10"/>
  <c r="O855" i="10" s="1"/>
  <c r="P855" i="10" s="1"/>
  <c r="F873" i="10"/>
  <c r="O873" i="10" s="1"/>
  <c r="P873" i="10" s="1"/>
  <c r="F887" i="10"/>
  <c r="O887" i="10" s="1"/>
  <c r="P887" i="10" s="1"/>
  <c r="F905" i="10"/>
  <c r="O905" i="10" s="1"/>
  <c r="P905" i="10" s="1"/>
  <c r="F919" i="10"/>
  <c r="O919" i="10" s="1"/>
  <c r="P919" i="10" s="1"/>
  <c r="F956" i="10"/>
  <c r="O956" i="10" s="1"/>
  <c r="P956" i="10" s="1"/>
  <c r="F962" i="10"/>
  <c r="O962" i="10" s="1"/>
  <c r="P962" i="10" s="1"/>
  <c r="F988" i="10"/>
  <c r="O988" i="10" s="1"/>
  <c r="P988" i="10" s="1"/>
  <c r="F994" i="10"/>
  <c r="O994" i="10" s="1"/>
  <c r="P994" i="10" s="1"/>
  <c r="F1014" i="10"/>
  <c r="O1014" i="10" s="1"/>
  <c r="P1014" i="10" s="1"/>
  <c r="F1033" i="10"/>
  <c r="O1033" i="10" s="1"/>
  <c r="P1033" i="10" s="1"/>
  <c r="F1096" i="10"/>
  <c r="O1096" i="10" s="1"/>
  <c r="P1096" i="10" s="1"/>
  <c r="F1106" i="10"/>
  <c r="O1106" i="10" s="1"/>
  <c r="P1106" i="10" s="1"/>
  <c r="F1114" i="10"/>
  <c r="O1114" i="10" s="1"/>
  <c r="P1114" i="10" s="1"/>
  <c r="F15" i="10"/>
  <c r="O15" i="10" s="1"/>
  <c r="P15" i="10" s="1"/>
  <c r="J15" i="10" s="1"/>
  <c r="F31" i="10"/>
  <c r="O31" i="10" s="1"/>
  <c r="P31" i="10" s="1"/>
  <c r="J31" i="10" s="1"/>
  <c r="F47" i="10"/>
  <c r="O47" i="10" s="1"/>
  <c r="P47" i="10" s="1"/>
  <c r="J47" i="10" s="1"/>
  <c r="F67" i="10"/>
  <c r="O67" i="10" s="1"/>
  <c r="P67" i="10" s="1"/>
  <c r="J67" i="10" s="1"/>
  <c r="F111" i="10"/>
  <c r="O111" i="10" s="1"/>
  <c r="P111" i="10" s="1"/>
  <c r="F127" i="10"/>
  <c r="O127" i="10" s="1"/>
  <c r="P127" i="10" s="1"/>
  <c r="F138" i="10"/>
  <c r="O138" i="10" s="1"/>
  <c r="P138" i="10" s="1"/>
  <c r="F175" i="10"/>
  <c r="O175" i="10" s="1"/>
  <c r="P175" i="10" s="1"/>
  <c r="F319" i="10"/>
  <c r="O319" i="10" s="1"/>
  <c r="P319" i="10" s="1"/>
  <c r="F335" i="10"/>
  <c r="O335" i="10" s="1"/>
  <c r="P335" i="10" s="1"/>
  <c r="F351" i="10"/>
  <c r="O351" i="10" s="1"/>
  <c r="P351" i="10" s="1"/>
  <c r="F367" i="10"/>
  <c r="O367" i="10" s="1"/>
  <c r="P367" i="10" s="1"/>
  <c r="F399" i="10"/>
  <c r="O399" i="10" s="1"/>
  <c r="P399" i="10" s="1"/>
  <c r="F531" i="10"/>
  <c r="O531" i="10" s="1"/>
  <c r="P531" i="10" s="1"/>
  <c r="F599" i="10"/>
  <c r="O599" i="10" s="1"/>
  <c r="P599" i="10" s="1"/>
  <c r="F617" i="10"/>
  <c r="O617" i="10" s="1"/>
  <c r="P617" i="10" s="1"/>
  <c r="F638" i="10"/>
  <c r="O638" i="10" s="1"/>
  <c r="P638" i="10" s="1"/>
  <c r="F681" i="10"/>
  <c r="O681" i="10" s="1"/>
  <c r="P681" i="10" s="1"/>
  <c r="F761" i="10"/>
  <c r="O761" i="10" s="1"/>
  <c r="P761" i="10" s="1"/>
  <c r="F854" i="10"/>
  <c r="O854" i="10" s="1"/>
  <c r="P854" i="10" s="1"/>
  <c r="F896" i="10"/>
  <c r="O896" i="10" s="1"/>
  <c r="P896" i="10" s="1"/>
  <c r="F938" i="10"/>
  <c r="O938" i="10" s="1"/>
  <c r="P938" i="10" s="1"/>
  <c r="F954" i="10"/>
  <c r="O954" i="10" s="1"/>
  <c r="P954" i="10" s="1"/>
  <c r="F997" i="10"/>
  <c r="O997" i="10" s="1"/>
  <c r="P997" i="10" s="1"/>
  <c r="F1016" i="10"/>
  <c r="O1016" i="10" s="1"/>
  <c r="P1016" i="10" s="1"/>
  <c r="F97" i="10"/>
  <c r="O97" i="10" s="1"/>
  <c r="P97" i="10" s="1"/>
  <c r="F129" i="10"/>
  <c r="O129" i="10" s="1"/>
  <c r="P129" i="10" s="1"/>
  <c r="F161" i="10"/>
  <c r="O161" i="10" s="1"/>
  <c r="P161" i="10" s="1"/>
  <c r="F193" i="10"/>
  <c r="O193" i="10" s="1"/>
  <c r="P193" i="10" s="1"/>
  <c r="F225" i="10"/>
  <c r="O225" i="10" s="1"/>
  <c r="P225" i="10" s="1"/>
  <c r="F257" i="10"/>
  <c r="O257" i="10" s="1"/>
  <c r="P257" i="10" s="1"/>
  <c r="F289" i="10"/>
  <c r="O289" i="10" s="1"/>
  <c r="P289" i="10" s="1"/>
  <c r="F321" i="10"/>
  <c r="O321" i="10" s="1"/>
  <c r="P321" i="10" s="1"/>
  <c r="F353" i="10"/>
  <c r="O353" i="10" s="1"/>
  <c r="P353" i="10" s="1"/>
  <c r="F385" i="10"/>
  <c r="O385" i="10" s="1"/>
  <c r="P385" i="10" s="1"/>
  <c r="F417" i="10"/>
  <c r="O417" i="10" s="1"/>
  <c r="P417" i="10" s="1"/>
  <c r="F451" i="10"/>
  <c r="O451" i="10" s="1"/>
  <c r="P451" i="10" s="1"/>
  <c r="F467" i="10"/>
  <c r="O467" i="10" s="1"/>
  <c r="P467" i="10" s="1"/>
  <c r="F483" i="10"/>
  <c r="O483" i="10" s="1"/>
  <c r="P483" i="10" s="1"/>
  <c r="F499" i="10"/>
  <c r="O499" i="10" s="1"/>
  <c r="P499" i="10" s="1"/>
  <c r="F539" i="10"/>
  <c r="O539" i="10" s="1"/>
  <c r="P539" i="10" s="1"/>
  <c r="F557" i="10"/>
  <c r="O557" i="10" s="1"/>
  <c r="P557" i="10" s="1"/>
  <c r="F571" i="10"/>
  <c r="O571" i="10" s="1"/>
  <c r="P571" i="10" s="1"/>
  <c r="F589" i="10"/>
  <c r="O589" i="10" s="1"/>
  <c r="P589" i="10" s="1"/>
  <c r="F603" i="10"/>
  <c r="O603" i="10" s="1"/>
  <c r="P603" i="10" s="1"/>
  <c r="F621" i="10"/>
  <c r="O621" i="10" s="1"/>
  <c r="P621" i="10" s="1"/>
  <c r="F635" i="10"/>
  <c r="O635" i="10" s="1"/>
  <c r="P635" i="10" s="1"/>
  <c r="F653" i="10"/>
  <c r="O653" i="10" s="1"/>
  <c r="P653" i="10" s="1"/>
  <c r="F667" i="10"/>
  <c r="O667" i="10" s="1"/>
  <c r="P667" i="10" s="1"/>
  <c r="F685" i="10"/>
  <c r="O685" i="10" s="1"/>
  <c r="P685" i="10" s="1"/>
  <c r="F699" i="10"/>
  <c r="O699" i="10" s="1"/>
  <c r="P699" i="10" s="1"/>
  <c r="F717" i="10"/>
  <c r="O717" i="10" s="1"/>
  <c r="P717" i="10" s="1"/>
  <c r="F731" i="10"/>
  <c r="O731" i="10" s="1"/>
  <c r="P731" i="10" s="1"/>
  <c r="F749" i="10"/>
  <c r="O749" i="10" s="1"/>
  <c r="P749" i="10" s="1"/>
  <c r="F763" i="10"/>
  <c r="O763" i="10" s="1"/>
  <c r="P763" i="10" s="1"/>
  <c r="F781" i="10"/>
  <c r="O781" i="10" s="1"/>
  <c r="P781" i="10" s="1"/>
  <c r="F836" i="10"/>
  <c r="O836" i="10" s="1"/>
  <c r="P836" i="10" s="1"/>
  <c r="F842" i="10"/>
  <c r="O842" i="10" s="1"/>
  <c r="P842" i="10" s="1"/>
  <c r="F868" i="10"/>
  <c r="O868" i="10" s="1"/>
  <c r="P868" i="10" s="1"/>
  <c r="F874" i="10"/>
  <c r="O874" i="10" s="1"/>
  <c r="P874" i="10" s="1"/>
  <c r="F900" i="10"/>
  <c r="O900" i="10" s="1"/>
  <c r="P900" i="10" s="1"/>
  <c r="F906" i="10"/>
  <c r="O906" i="10" s="1"/>
  <c r="P906" i="10" s="1"/>
  <c r="F932" i="10"/>
  <c r="O932" i="10" s="1"/>
  <c r="P932" i="10" s="1"/>
  <c r="F952" i="10"/>
  <c r="O952" i="10" s="1"/>
  <c r="P952" i="10" s="1"/>
  <c r="F958" i="10"/>
  <c r="O958" i="10" s="1"/>
  <c r="P958" i="10" s="1"/>
  <c r="F984" i="10"/>
  <c r="O984" i="10" s="1"/>
  <c r="P984" i="10" s="1"/>
  <c r="F990" i="10"/>
  <c r="O990" i="10" s="1"/>
  <c r="P990" i="10" s="1"/>
  <c r="F1010" i="10"/>
  <c r="O1010" i="10" s="1"/>
  <c r="P1010" i="10" s="1"/>
  <c r="F1023" i="10"/>
  <c r="O1023" i="10" s="1"/>
  <c r="P1023" i="10" s="1"/>
  <c r="F1055" i="10"/>
  <c r="O1055" i="10" s="1"/>
  <c r="P1055" i="10" s="1"/>
  <c r="F1071" i="10"/>
  <c r="O1071" i="10" s="1"/>
  <c r="P1071" i="10" s="1"/>
  <c r="F1092" i="10"/>
  <c r="O1092" i="10" s="1"/>
  <c r="P1092" i="10" s="1"/>
  <c r="F1121" i="10"/>
  <c r="O1121" i="10" s="1"/>
  <c r="P1121" i="10" s="1"/>
  <c r="F1134" i="10"/>
  <c r="O1134" i="10" s="1"/>
  <c r="P1134" i="10" s="1"/>
  <c r="F1166" i="10"/>
  <c r="O1166" i="10" s="1"/>
  <c r="P1166" i="10" s="1"/>
  <c r="F1118" i="10"/>
  <c r="O1118" i="10" s="1"/>
  <c r="P1118" i="10" s="1"/>
  <c r="F1128" i="10"/>
  <c r="O1128" i="10" s="1"/>
  <c r="P1128" i="10" s="1"/>
  <c r="F1153" i="10"/>
  <c r="O1153" i="10" s="1"/>
  <c r="P1153" i="10" s="1"/>
  <c r="F1160" i="10"/>
  <c r="O1160" i="10" s="1"/>
  <c r="P1160" i="10" s="1"/>
  <c r="F1154" i="10"/>
  <c r="O1154" i="10" s="1"/>
  <c r="P1154" i="10" s="1"/>
  <c r="F1171" i="10"/>
  <c r="O1171" i="10" s="1"/>
  <c r="P1171" i="10" s="1"/>
  <c r="F1133" i="10"/>
  <c r="O1133" i="10" s="1"/>
  <c r="P1133" i="10" s="1"/>
  <c r="F1140" i="10"/>
  <c r="O1140" i="10" s="1"/>
  <c r="P1140" i="10" s="1"/>
  <c r="F1165" i="10"/>
  <c r="O1165" i="10" s="1"/>
  <c r="P1165" i="10" s="1"/>
  <c r="F29" i="10"/>
  <c r="O29" i="10" s="1"/>
  <c r="P29" i="10" s="1"/>
  <c r="J29" i="10" s="1"/>
  <c r="F45" i="10"/>
  <c r="O45" i="10" s="1"/>
  <c r="P45" i="10" s="1"/>
  <c r="J45" i="10" s="1"/>
  <c r="F65" i="10"/>
  <c r="O65" i="10" s="1"/>
  <c r="P65" i="10" s="1"/>
  <c r="J65" i="10" s="1"/>
  <c r="F90" i="10"/>
  <c r="O90" i="10" s="1"/>
  <c r="P90" i="10" s="1"/>
  <c r="F231" i="10"/>
  <c r="O231" i="10" s="1"/>
  <c r="P231" i="10" s="1"/>
  <c r="F247" i="10"/>
  <c r="O247" i="10" s="1"/>
  <c r="P247" i="10" s="1"/>
  <c r="F263" i="10"/>
  <c r="O263" i="10" s="1"/>
  <c r="P263" i="10" s="1"/>
  <c r="F375" i="10"/>
  <c r="O375" i="10" s="1"/>
  <c r="P375" i="10" s="1"/>
  <c r="F391" i="10"/>
  <c r="O391" i="10" s="1"/>
  <c r="P391" i="10" s="1"/>
  <c r="F402" i="10"/>
  <c r="O402" i="10" s="1"/>
  <c r="P402" i="10" s="1"/>
  <c r="F423" i="10"/>
  <c r="O423" i="10" s="1"/>
  <c r="P423" i="10" s="1"/>
  <c r="F523" i="10"/>
  <c r="O523" i="10" s="1"/>
  <c r="P523" i="10" s="1"/>
  <c r="F615" i="10"/>
  <c r="O615" i="10" s="1"/>
  <c r="P615" i="10" s="1"/>
  <c r="F632" i="10"/>
  <c r="O632" i="10" s="1"/>
  <c r="P632" i="10" s="1"/>
  <c r="F696" i="10"/>
  <c r="O696" i="10" s="1"/>
  <c r="P696" i="10" s="1"/>
  <c r="F759" i="10"/>
  <c r="O759" i="10" s="1"/>
  <c r="P759" i="10" s="1"/>
  <c r="F777" i="10"/>
  <c r="O777" i="10" s="1"/>
  <c r="P777" i="10" s="1"/>
  <c r="F880" i="10"/>
  <c r="O880" i="10" s="1"/>
  <c r="P880" i="10" s="1"/>
  <c r="F895" i="10"/>
  <c r="O895" i="10" s="1"/>
  <c r="P895" i="10" s="1"/>
  <c r="F913" i="10"/>
  <c r="O913" i="10" s="1"/>
  <c r="P913" i="10" s="1"/>
  <c r="F929" i="10"/>
  <c r="O929" i="10" s="1"/>
  <c r="P929" i="10" s="1"/>
  <c r="F970" i="10"/>
  <c r="O970" i="10" s="1"/>
  <c r="P970" i="10" s="1"/>
  <c r="F986" i="10"/>
  <c r="O986" i="10" s="1"/>
  <c r="P986" i="10" s="1"/>
  <c r="F1027" i="10"/>
  <c r="O1027" i="10" s="1"/>
  <c r="P1027" i="10" s="1"/>
  <c r="F1115" i="10"/>
  <c r="O1115" i="10" s="1"/>
  <c r="P1115" i="10" s="1"/>
  <c r="F101" i="10"/>
  <c r="O101" i="10" s="1"/>
  <c r="P101" i="10" s="1"/>
  <c r="F133" i="10"/>
  <c r="O133" i="10" s="1"/>
  <c r="P133" i="10" s="1"/>
  <c r="F165" i="10"/>
  <c r="O165" i="10" s="1"/>
  <c r="P165" i="10" s="1"/>
  <c r="F197" i="10"/>
  <c r="O197" i="10" s="1"/>
  <c r="P197" i="10" s="1"/>
  <c r="F229" i="10"/>
  <c r="O229" i="10" s="1"/>
  <c r="P229" i="10" s="1"/>
  <c r="F261" i="10"/>
  <c r="O261" i="10" s="1"/>
  <c r="P261" i="10" s="1"/>
  <c r="F293" i="10"/>
  <c r="O293" i="10" s="1"/>
  <c r="P293" i="10" s="1"/>
  <c r="F325" i="10"/>
  <c r="O325" i="10" s="1"/>
  <c r="P325" i="10" s="1"/>
  <c r="F357" i="10"/>
  <c r="O357" i="10" s="1"/>
  <c r="P357" i="10" s="1"/>
  <c r="F389" i="10"/>
  <c r="O389" i="10" s="1"/>
  <c r="P389" i="10" s="1"/>
  <c r="F421" i="10"/>
  <c r="O421" i="10" s="1"/>
  <c r="P421" i="10" s="1"/>
  <c r="F439" i="10"/>
  <c r="O439" i="10" s="1"/>
  <c r="P439" i="10" s="1"/>
  <c r="F443" i="10"/>
  <c r="O443" i="10" s="1"/>
  <c r="P443" i="10" s="1"/>
  <c r="F448" i="10"/>
  <c r="O448" i="10" s="1"/>
  <c r="P448" i="10" s="1"/>
  <c r="F458" i="10"/>
  <c r="O458" i="10" s="1"/>
  <c r="P458" i="10" s="1"/>
  <c r="F464" i="10"/>
  <c r="O464" i="10" s="1"/>
  <c r="P464" i="10" s="1"/>
  <c r="F474" i="10"/>
  <c r="O474" i="10" s="1"/>
  <c r="P474" i="10" s="1"/>
  <c r="F480" i="10"/>
  <c r="O480" i="10" s="1"/>
  <c r="P480" i="10" s="1"/>
  <c r="F490" i="10"/>
  <c r="O490" i="10" s="1"/>
  <c r="P490" i="10" s="1"/>
  <c r="F496" i="10"/>
  <c r="O496" i="10" s="1"/>
  <c r="P496" i="10" s="1"/>
  <c r="F506" i="10"/>
  <c r="O506" i="10" s="1"/>
  <c r="P506" i="10" s="1"/>
  <c r="F512" i="10"/>
  <c r="O512" i="10" s="1"/>
  <c r="P512" i="10" s="1"/>
  <c r="F538" i="10"/>
  <c r="O538" i="10" s="1"/>
  <c r="P538" i="10" s="1"/>
  <c r="F564" i="10"/>
  <c r="O564" i="10" s="1"/>
  <c r="P564" i="10" s="1"/>
  <c r="F570" i="10"/>
  <c r="O570" i="10" s="1"/>
  <c r="P570" i="10" s="1"/>
  <c r="F596" i="10"/>
  <c r="O596" i="10" s="1"/>
  <c r="P596" i="10" s="1"/>
  <c r="F602" i="10"/>
  <c r="O602" i="10" s="1"/>
  <c r="P602" i="10" s="1"/>
  <c r="F628" i="10"/>
  <c r="O628" i="10" s="1"/>
  <c r="P628" i="10" s="1"/>
  <c r="F643" i="10"/>
  <c r="O643" i="10" s="1"/>
  <c r="P643" i="10" s="1"/>
  <c r="F661" i="10"/>
  <c r="O661" i="10" s="1"/>
  <c r="P661" i="10" s="1"/>
  <c r="F675" i="10"/>
  <c r="O675" i="10" s="1"/>
  <c r="P675" i="10" s="1"/>
  <c r="F693" i="10"/>
  <c r="O693" i="10" s="1"/>
  <c r="P693" i="10" s="1"/>
  <c r="F707" i="10"/>
  <c r="O707" i="10" s="1"/>
  <c r="P707" i="10" s="1"/>
  <c r="F725" i="10"/>
  <c r="O725" i="10" s="1"/>
  <c r="P725" i="10" s="1"/>
  <c r="F739" i="10"/>
  <c r="O739" i="10" s="1"/>
  <c r="P739" i="10" s="1"/>
  <c r="F757" i="10"/>
  <c r="O757" i="10" s="1"/>
  <c r="P757" i="10" s="1"/>
  <c r="F771" i="10"/>
  <c r="O771" i="10" s="1"/>
  <c r="P771" i="10" s="1"/>
  <c r="F799" i="10"/>
  <c r="O799" i="10" s="1"/>
  <c r="P799" i="10" s="1"/>
  <c r="F804" i="10"/>
  <c r="O804" i="10" s="1"/>
  <c r="P804" i="10" s="1"/>
  <c r="F809" i="10"/>
  <c r="O809" i="10" s="1"/>
  <c r="P809" i="10" s="1"/>
  <c r="F829" i="10"/>
  <c r="O829" i="10" s="1"/>
  <c r="P829" i="10" s="1"/>
  <c r="F843" i="10"/>
  <c r="O843" i="10" s="1"/>
  <c r="P843" i="10" s="1"/>
  <c r="F861" i="10"/>
  <c r="O861" i="10" s="1"/>
  <c r="P861" i="10" s="1"/>
  <c r="F875" i="10"/>
  <c r="O875" i="10" s="1"/>
  <c r="P875" i="10" s="1"/>
  <c r="F893" i="10"/>
  <c r="O893" i="10" s="1"/>
  <c r="P893" i="10" s="1"/>
  <c r="F907" i="10"/>
  <c r="O907" i="10" s="1"/>
  <c r="P907" i="10" s="1"/>
  <c r="F925" i="10"/>
  <c r="O925" i="10" s="1"/>
  <c r="P925" i="10" s="1"/>
  <c r="F945" i="10"/>
  <c r="O945" i="10" s="1"/>
  <c r="P945" i="10" s="1"/>
  <c r="F959" i="10"/>
  <c r="O959" i="10" s="1"/>
  <c r="P959" i="10" s="1"/>
  <c r="F977" i="10"/>
  <c r="O977" i="10" s="1"/>
  <c r="P977" i="10" s="1"/>
  <c r="F991" i="10"/>
  <c r="O991" i="10" s="1"/>
  <c r="P991" i="10" s="1"/>
  <c r="F1022" i="10"/>
  <c r="O1022" i="10" s="1"/>
  <c r="P1022" i="10" s="1"/>
  <c r="F1036" i="10"/>
  <c r="O1036" i="10" s="1"/>
  <c r="P1036" i="10" s="1"/>
  <c r="F1046" i="10"/>
  <c r="O1046" i="10" s="1"/>
  <c r="P1046" i="10" s="1"/>
  <c r="F1052" i="10"/>
  <c r="O1052" i="10" s="1"/>
  <c r="P1052" i="10" s="1"/>
  <c r="F1062" i="10"/>
  <c r="O1062" i="10" s="1"/>
  <c r="P1062" i="10" s="1"/>
  <c r="F1068" i="10"/>
  <c r="O1068" i="10" s="1"/>
  <c r="P1068" i="10" s="1"/>
  <c r="F1078" i="10"/>
  <c r="O1078" i="10" s="1"/>
  <c r="P1078" i="10" s="1"/>
  <c r="F1083" i="10"/>
  <c r="O1083" i="10" s="1"/>
  <c r="P1083" i="10" s="1"/>
  <c r="F1090" i="10"/>
  <c r="O1090" i="10" s="1"/>
  <c r="P1090" i="10" s="1"/>
  <c r="F21" i="10"/>
  <c r="O21" i="10" s="1"/>
  <c r="P21" i="10" s="1"/>
  <c r="J21" i="10" s="1"/>
  <c r="F69" i="10"/>
  <c r="O69" i="10" s="1"/>
  <c r="P69" i="10" s="1"/>
  <c r="J69" i="10" s="1"/>
  <c r="F170" i="10"/>
  <c r="O170" i="10" s="1"/>
  <c r="P170" i="10" s="1"/>
  <c r="F202" i="10"/>
  <c r="O202" i="10" s="1"/>
  <c r="P202" i="10" s="1"/>
  <c r="F234" i="10"/>
  <c r="O234" i="10" s="1"/>
  <c r="P234" i="10" s="1"/>
  <c r="F250" i="10"/>
  <c r="O250" i="10" s="1"/>
  <c r="P250" i="10" s="1"/>
  <c r="F282" i="10"/>
  <c r="O282" i="10" s="1"/>
  <c r="P282" i="10" s="1"/>
  <c r="F314" i="10"/>
  <c r="O314" i="10" s="1"/>
  <c r="P314" i="10" s="1"/>
  <c r="F330" i="10"/>
  <c r="O330" i="10" s="1"/>
  <c r="P330" i="10" s="1"/>
  <c r="F383" i="10"/>
  <c r="O383" i="10" s="1"/>
  <c r="P383" i="10" s="1"/>
  <c r="F431" i="10"/>
  <c r="O431" i="10" s="1"/>
  <c r="P431" i="10" s="1"/>
  <c r="F524" i="10"/>
  <c r="O524" i="10" s="1"/>
  <c r="P524" i="10" s="1"/>
  <c r="F606" i="10"/>
  <c r="O606" i="10" s="1"/>
  <c r="P606" i="10" s="1"/>
  <c r="F654" i="10"/>
  <c r="O654" i="10" s="1"/>
  <c r="P654" i="10" s="1"/>
  <c r="F711" i="10"/>
  <c r="O711" i="10" s="1"/>
  <c r="P711" i="10" s="1"/>
  <c r="F727" i="10"/>
  <c r="O727" i="10" s="1"/>
  <c r="P727" i="10" s="1"/>
  <c r="F760" i="10"/>
  <c r="O760" i="10" s="1"/>
  <c r="P760" i="10" s="1"/>
  <c r="F831" i="10"/>
  <c r="O831" i="10" s="1"/>
  <c r="P831" i="10" s="1"/>
  <c r="F927" i="10"/>
  <c r="O927" i="10" s="1"/>
  <c r="P927" i="10" s="1"/>
  <c r="F965" i="10"/>
  <c r="O965" i="10" s="1"/>
  <c r="P965" i="10" s="1"/>
  <c r="F91" i="10"/>
  <c r="O91" i="10" s="1"/>
  <c r="P91" i="10" s="1"/>
  <c r="F107" i="10"/>
  <c r="O107" i="10" s="1"/>
  <c r="P107" i="10" s="1"/>
  <c r="F123" i="10"/>
  <c r="O123" i="10" s="1"/>
  <c r="P123" i="10" s="1"/>
  <c r="F139" i="10"/>
  <c r="O139" i="10" s="1"/>
  <c r="P139" i="10" s="1"/>
  <c r="F155" i="10"/>
  <c r="O155" i="10" s="1"/>
  <c r="P155" i="10" s="1"/>
  <c r="F171" i="10"/>
  <c r="O171" i="10" s="1"/>
  <c r="P171" i="10" s="1"/>
  <c r="F187" i="10"/>
  <c r="O187" i="10" s="1"/>
  <c r="P187" i="10" s="1"/>
  <c r="F203" i="10"/>
  <c r="O203" i="10" s="1"/>
  <c r="P203" i="10" s="1"/>
  <c r="F219" i="10"/>
  <c r="O219" i="10" s="1"/>
  <c r="P219" i="10" s="1"/>
  <c r="F235" i="10"/>
  <c r="O235" i="10" s="1"/>
  <c r="P235" i="10" s="1"/>
  <c r="F251" i="10"/>
  <c r="O251" i="10" s="1"/>
  <c r="P251" i="10" s="1"/>
  <c r="F267" i="10"/>
  <c r="O267" i="10" s="1"/>
  <c r="P267" i="10" s="1"/>
  <c r="F283" i="10"/>
  <c r="O283" i="10" s="1"/>
  <c r="P283" i="10" s="1"/>
  <c r="F299" i="10"/>
  <c r="O299" i="10" s="1"/>
  <c r="P299" i="10" s="1"/>
  <c r="F315" i="10"/>
  <c r="O315" i="10" s="1"/>
  <c r="P315" i="10" s="1"/>
  <c r="F331" i="10"/>
  <c r="O331" i="10" s="1"/>
  <c r="P331" i="10" s="1"/>
  <c r="F347" i="10"/>
  <c r="O347" i="10" s="1"/>
  <c r="P347" i="10" s="1"/>
  <c r="F363" i="10"/>
  <c r="O363" i="10" s="1"/>
  <c r="P363" i="10" s="1"/>
  <c r="F379" i="10"/>
  <c r="O379" i="10" s="1"/>
  <c r="P379" i="10" s="1"/>
  <c r="F395" i="10"/>
  <c r="O395" i="10" s="1"/>
  <c r="P395" i="10" s="1"/>
  <c r="F411" i="10"/>
  <c r="O411" i="10" s="1"/>
  <c r="P411" i="10" s="1"/>
  <c r="F427" i="10"/>
  <c r="O427" i="10" s="1"/>
  <c r="P427" i="10" s="1"/>
  <c r="F526" i="10"/>
  <c r="O526" i="10" s="1"/>
  <c r="P526" i="10" s="1"/>
  <c r="F534" i="10"/>
  <c r="O534" i="10" s="1"/>
  <c r="P534" i="10" s="1"/>
  <c r="F560" i="10"/>
  <c r="O560" i="10" s="1"/>
  <c r="P560" i="10" s="1"/>
  <c r="F566" i="10"/>
  <c r="O566" i="10" s="1"/>
  <c r="P566" i="10" s="1"/>
  <c r="F592" i="10"/>
  <c r="O592" i="10" s="1"/>
  <c r="P592" i="10" s="1"/>
  <c r="F598" i="10"/>
  <c r="O598" i="10" s="1"/>
  <c r="P598" i="10" s="1"/>
  <c r="F624" i="10"/>
  <c r="O624" i="10" s="1"/>
  <c r="P624" i="10" s="1"/>
  <c r="F639" i="10"/>
  <c r="O639" i="10" s="1"/>
  <c r="P639" i="10" s="1"/>
  <c r="F657" i="10"/>
  <c r="O657" i="10" s="1"/>
  <c r="P657" i="10" s="1"/>
  <c r="F671" i="10"/>
  <c r="O671" i="10" s="1"/>
  <c r="P671" i="10" s="1"/>
  <c r="F689" i="10"/>
  <c r="O689" i="10" s="1"/>
  <c r="P689" i="10" s="1"/>
  <c r="F703" i="10"/>
  <c r="O703" i="10" s="1"/>
  <c r="P703" i="10" s="1"/>
  <c r="F721" i="10"/>
  <c r="O721" i="10" s="1"/>
  <c r="P721" i="10" s="1"/>
  <c r="F735" i="10"/>
  <c r="O735" i="10" s="1"/>
  <c r="P735" i="10" s="1"/>
  <c r="F753" i="10"/>
  <c r="O753" i="10" s="1"/>
  <c r="P753" i="10" s="1"/>
  <c r="F767" i="10"/>
  <c r="O767" i="10" s="1"/>
  <c r="P767" i="10" s="1"/>
  <c r="F791" i="10"/>
  <c r="O791" i="10" s="1"/>
  <c r="P791" i="10" s="1"/>
  <c r="F796" i="10"/>
  <c r="O796" i="10" s="1"/>
  <c r="P796" i="10" s="1"/>
  <c r="F810" i="10"/>
  <c r="O810" i="10" s="1"/>
  <c r="P810" i="10" s="1"/>
  <c r="F824" i="10"/>
  <c r="O824" i="10" s="1"/>
  <c r="P824" i="10" s="1"/>
  <c r="F830" i="10"/>
  <c r="O830" i="10" s="1"/>
  <c r="P830" i="10" s="1"/>
  <c r="F856" i="10"/>
  <c r="O856" i="10" s="1"/>
  <c r="P856" i="10" s="1"/>
  <c r="F862" i="10"/>
  <c r="O862" i="10" s="1"/>
  <c r="P862" i="10" s="1"/>
  <c r="F888" i="10"/>
  <c r="O888" i="10" s="1"/>
  <c r="P888" i="10" s="1"/>
  <c r="F894" i="10"/>
  <c r="O894" i="10" s="1"/>
  <c r="P894" i="10" s="1"/>
  <c r="F920" i="10"/>
  <c r="O920" i="10" s="1"/>
  <c r="P920" i="10" s="1"/>
  <c r="F926" i="10"/>
  <c r="O926" i="10" s="1"/>
  <c r="P926" i="10" s="1"/>
  <c r="F939" i="10"/>
  <c r="O939" i="10" s="1"/>
  <c r="P939" i="10" s="1"/>
  <c r="F957" i="10"/>
  <c r="O957" i="10" s="1"/>
  <c r="P957" i="10" s="1"/>
  <c r="F971" i="10"/>
  <c r="O971" i="10" s="1"/>
  <c r="P971" i="10" s="1"/>
  <c r="F989" i="10"/>
  <c r="O989" i="10" s="1"/>
  <c r="P989" i="10" s="1"/>
  <c r="F1003" i="10"/>
  <c r="O1003" i="10" s="1"/>
  <c r="P1003" i="10" s="1"/>
  <c r="F1097" i="10"/>
  <c r="O1097" i="10" s="1"/>
  <c r="P1097" i="10" s="1"/>
  <c r="F19" i="10"/>
  <c r="O19" i="10" s="1"/>
  <c r="P19" i="10" s="1"/>
  <c r="J19" i="10" s="1"/>
  <c r="F35" i="10"/>
  <c r="O35" i="10" s="1"/>
  <c r="P35" i="10" s="1"/>
  <c r="J35" i="10" s="1"/>
  <c r="F55" i="10"/>
  <c r="O55" i="10" s="1"/>
  <c r="P55" i="10" s="1"/>
  <c r="J55" i="10" s="1"/>
  <c r="F71" i="10"/>
  <c r="O71" i="10" s="1"/>
  <c r="P71" i="10" s="1"/>
  <c r="J71" i="10" s="1"/>
  <c r="F159" i="10"/>
  <c r="O159" i="10" s="1"/>
  <c r="P159" i="10" s="1"/>
  <c r="F183" i="10"/>
  <c r="O183" i="10" s="1"/>
  <c r="P183" i="10" s="1"/>
  <c r="F199" i="10"/>
  <c r="O199" i="10" s="1"/>
  <c r="P199" i="10" s="1"/>
  <c r="F215" i="10"/>
  <c r="O215" i="10" s="1"/>
  <c r="P215" i="10" s="1"/>
  <c r="F370" i="10"/>
  <c r="O370" i="10" s="1"/>
  <c r="P370" i="10" s="1"/>
  <c r="F434" i="10"/>
  <c r="O434" i="10" s="1"/>
  <c r="P434" i="10" s="1"/>
  <c r="F551" i="10"/>
  <c r="O551" i="10" s="1"/>
  <c r="P551" i="10" s="1"/>
  <c r="F567" i="10"/>
  <c r="O567" i="10" s="1"/>
  <c r="P567" i="10" s="1"/>
  <c r="F585" i="10"/>
  <c r="O585" i="10" s="1"/>
  <c r="P585" i="10" s="1"/>
  <c r="F622" i="10"/>
  <c r="O622" i="10" s="1"/>
  <c r="P622" i="10" s="1"/>
  <c r="F665" i="10"/>
  <c r="O665" i="10" s="1"/>
  <c r="P665" i="10" s="1"/>
  <c r="F702" i="10"/>
  <c r="O702" i="10" s="1"/>
  <c r="P702" i="10" s="1"/>
  <c r="F745" i="10"/>
  <c r="O745" i="10" s="1"/>
  <c r="P745" i="10" s="1"/>
  <c r="F782" i="10"/>
  <c r="O782" i="10" s="1"/>
  <c r="P782" i="10" s="1"/>
  <c r="F881" i="10"/>
  <c r="O881" i="10" s="1"/>
  <c r="P881" i="10" s="1"/>
  <c r="F981" i="10"/>
  <c r="O981" i="10" s="1"/>
  <c r="P981" i="10" s="1"/>
  <c r="F89" i="10"/>
  <c r="O89" i="10" s="1"/>
  <c r="P89" i="10" s="1"/>
  <c r="F121" i="10"/>
  <c r="O121" i="10" s="1"/>
  <c r="P121" i="10" s="1"/>
  <c r="F153" i="10"/>
  <c r="O153" i="10" s="1"/>
  <c r="P153" i="10" s="1"/>
  <c r="F185" i="10"/>
  <c r="O185" i="10" s="1"/>
  <c r="P185" i="10" s="1"/>
  <c r="F217" i="10"/>
  <c r="O217" i="10" s="1"/>
  <c r="P217" i="10" s="1"/>
  <c r="F249" i="10"/>
  <c r="O249" i="10" s="1"/>
  <c r="P249" i="10" s="1"/>
  <c r="F281" i="10"/>
  <c r="O281" i="10" s="1"/>
  <c r="P281" i="10" s="1"/>
  <c r="F313" i="10"/>
  <c r="O313" i="10" s="1"/>
  <c r="P313" i="10" s="1"/>
  <c r="F345" i="10"/>
  <c r="O345" i="10" s="1"/>
  <c r="P345" i="10" s="1"/>
  <c r="F377" i="10"/>
  <c r="O377" i="10" s="1"/>
  <c r="P377" i="10" s="1"/>
  <c r="F409" i="10"/>
  <c r="O409" i="10" s="1"/>
  <c r="P409" i="10" s="1"/>
  <c r="F438" i="10"/>
  <c r="O438" i="10" s="1"/>
  <c r="P438" i="10" s="1"/>
  <c r="F446" i="10"/>
  <c r="O446" i="10" s="1"/>
  <c r="P446" i="10" s="1"/>
  <c r="F452" i="10"/>
  <c r="O452" i="10" s="1"/>
  <c r="P452" i="10" s="1"/>
  <c r="F462" i="10"/>
  <c r="O462" i="10" s="1"/>
  <c r="P462" i="10" s="1"/>
  <c r="F468" i="10"/>
  <c r="O468" i="10" s="1"/>
  <c r="P468" i="10" s="1"/>
  <c r="F478" i="10"/>
  <c r="O478" i="10" s="1"/>
  <c r="P478" i="10" s="1"/>
  <c r="F484" i="10"/>
  <c r="O484" i="10" s="1"/>
  <c r="P484" i="10" s="1"/>
  <c r="F494" i="10"/>
  <c r="O494" i="10" s="1"/>
  <c r="P494" i="10" s="1"/>
  <c r="F500" i="10"/>
  <c r="O500" i="10" s="1"/>
  <c r="P500" i="10" s="1"/>
  <c r="F510" i="10"/>
  <c r="O510" i="10" s="1"/>
  <c r="P510" i="10" s="1"/>
  <c r="F518" i="10"/>
  <c r="O518" i="10" s="1"/>
  <c r="P518" i="10" s="1"/>
  <c r="F540" i="10"/>
  <c r="O540" i="10" s="1"/>
  <c r="P540" i="10" s="1"/>
  <c r="F546" i="10"/>
  <c r="O546" i="10" s="1"/>
  <c r="P546" i="10" s="1"/>
  <c r="F572" i="10"/>
  <c r="O572" i="10" s="1"/>
  <c r="P572" i="10" s="1"/>
  <c r="F578" i="10"/>
  <c r="O578" i="10" s="1"/>
  <c r="P578" i="10" s="1"/>
  <c r="F604" i="10"/>
  <c r="O604" i="10" s="1"/>
  <c r="P604" i="10" s="1"/>
  <c r="F610" i="10"/>
  <c r="O610" i="10" s="1"/>
  <c r="P610" i="10" s="1"/>
  <c r="F636" i="10"/>
  <c r="O636" i="10" s="1"/>
  <c r="P636" i="10" s="1"/>
  <c r="F642" i="10"/>
  <c r="O642" i="10" s="1"/>
  <c r="P642" i="10" s="1"/>
  <c r="F668" i="10"/>
  <c r="O668" i="10" s="1"/>
  <c r="P668" i="10" s="1"/>
  <c r="F674" i="10"/>
  <c r="O674" i="10" s="1"/>
  <c r="P674" i="10" s="1"/>
  <c r="F700" i="10"/>
  <c r="O700" i="10" s="1"/>
  <c r="P700" i="10" s="1"/>
  <c r="F706" i="10"/>
  <c r="O706" i="10" s="1"/>
  <c r="P706" i="10" s="1"/>
  <c r="F732" i="10"/>
  <c r="O732" i="10" s="1"/>
  <c r="P732" i="10" s="1"/>
  <c r="F738" i="10"/>
  <c r="O738" i="10" s="1"/>
  <c r="P738" i="10" s="1"/>
  <c r="F764" i="10"/>
  <c r="O764" i="10" s="1"/>
  <c r="P764" i="10" s="1"/>
  <c r="F770" i="10"/>
  <c r="O770" i="10" s="1"/>
  <c r="P770" i="10" s="1"/>
  <c r="F798" i="10"/>
  <c r="O798" i="10" s="1"/>
  <c r="P798" i="10" s="1"/>
  <c r="F806" i="10"/>
  <c r="O806" i="10" s="1"/>
  <c r="P806" i="10" s="1"/>
  <c r="F819" i="10"/>
  <c r="O819" i="10" s="1"/>
  <c r="P819" i="10" s="1"/>
  <c r="F837" i="10"/>
  <c r="O837" i="10" s="1"/>
  <c r="P837" i="10" s="1"/>
  <c r="F851" i="10"/>
  <c r="O851" i="10" s="1"/>
  <c r="P851" i="10" s="1"/>
  <c r="F869" i="10"/>
  <c r="O869" i="10" s="1"/>
  <c r="P869" i="10" s="1"/>
  <c r="F883" i="10"/>
  <c r="O883" i="10" s="1"/>
  <c r="P883" i="10" s="1"/>
  <c r="F901" i="10"/>
  <c r="O901" i="10" s="1"/>
  <c r="P901" i="10" s="1"/>
  <c r="F915" i="10"/>
  <c r="O915" i="10" s="1"/>
  <c r="P915" i="10" s="1"/>
  <c r="F933" i="10"/>
  <c r="O933" i="10" s="1"/>
  <c r="P933" i="10" s="1"/>
  <c r="F953" i="10"/>
  <c r="O953" i="10" s="1"/>
  <c r="P953" i="10" s="1"/>
  <c r="F967" i="10"/>
  <c r="O967" i="10" s="1"/>
  <c r="P967" i="10" s="1"/>
  <c r="F985" i="10"/>
  <c r="O985" i="10" s="1"/>
  <c r="P985" i="10" s="1"/>
  <c r="F999" i="10"/>
  <c r="O999" i="10" s="1"/>
  <c r="P999" i="10" s="1"/>
  <c r="F1019" i="10"/>
  <c r="O1019" i="10" s="1"/>
  <c r="P1019" i="10" s="1"/>
  <c r="F1024" i="10"/>
  <c r="O1024" i="10" s="1"/>
  <c r="P1024" i="10" s="1"/>
  <c r="F1038" i="10"/>
  <c r="O1038" i="10" s="1"/>
  <c r="P1038" i="10" s="1"/>
  <c r="F1050" i="10"/>
  <c r="O1050" i="10" s="1"/>
  <c r="P1050" i="10" s="1"/>
  <c r="F1056" i="10"/>
  <c r="O1056" i="10" s="1"/>
  <c r="P1056" i="10" s="1"/>
  <c r="F1066" i="10"/>
  <c r="O1066" i="10" s="1"/>
  <c r="P1066" i="10" s="1"/>
  <c r="F1072" i="10"/>
  <c r="O1072" i="10" s="1"/>
  <c r="P1072" i="10" s="1"/>
  <c r="F1093" i="10"/>
  <c r="O1093" i="10" s="1"/>
  <c r="P1093" i="10" s="1"/>
  <c r="F1109" i="10"/>
  <c r="O1109" i="10" s="1"/>
  <c r="P1109" i="10" s="1"/>
  <c r="F1158" i="10"/>
  <c r="O1158" i="10" s="1"/>
  <c r="P1158" i="10" s="1"/>
  <c r="F1120" i="10"/>
  <c r="O1120" i="10" s="1"/>
  <c r="P1120" i="10" s="1"/>
  <c r="F1129" i="10"/>
  <c r="O1129" i="10" s="1"/>
  <c r="P1129" i="10" s="1"/>
  <c r="F1136" i="10"/>
  <c r="O1136" i="10" s="1"/>
  <c r="P1136" i="10" s="1"/>
  <c r="F1161" i="10"/>
  <c r="O1161" i="10" s="1"/>
  <c r="P1161" i="10" s="1"/>
  <c r="F1168" i="10"/>
  <c r="O1168" i="10" s="1"/>
  <c r="P1168" i="10" s="1"/>
  <c r="F1126" i="10"/>
  <c r="O1126" i="10" s="1"/>
  <c r="P1126" i="10" s="1"/>
  <c r="F1146" i="10"/>
  <c r="O1146" i="10" s="1"/>
  <c r="P1146" i="10" s="1"/>
  <c r="F1141" i="10"/>
  <c r="O1141" i="10" s="1"/>
  <c r="P1141" i="10" s="1"/>
  <c r="F1148" i="10"/>
  <c r="O1148" i="10" s="1"/>
  <c r="P1148" i="10" s="1"/>
  <c r="F33" i="10"/>
  <c r="O33" i="10" s="1"/>
  <c r="P33" i="10" s="1"/>
  <c r="J33" i="10" s="1"/>
  <c r="F49" i="10"/>
  <c r="O49" i="10" s="1"/>
  <c r="P49" i="10" s="1"/>
  <c r="J49" i="10" s="1"/>
  <c r="F77" i="10"/>
  <c r="O77" i="10" s="1"/>
  <c r="P77" i="10" s="1"/>
  <c r="J77" i="10" s="1"/>
  <c r="F162" i="10"/>
  <c r="O162" i="10" s="1"/>
  <c r="P162" i="10" s="1"/>
  <c r="F271" i="10"/>
  <c r="O271" i="10" s="1"/>
  <c r="P271" i="10" s="1"/>
  <c r="F287" i="10"/>
  <c r="O287" i="10" s="1"/>
  <c r="P287" i="10" s="1"/>
  <c r="F303" i="10"/>
  <c r="O303" i="10" s="1"/>
  <c r="P303" i="10" s="1"/>
  <c r="F346" i="10"/>
  <c r="O346" i="10" s="1"/>
  <c r="P346" i="10" s="1"/>
  <c r="F378" i="10"/>
  <c r="O378" i="10" s="1"/>
  <c r="P378" i="10" s="1"/>
  <c r="F394" i="10"/>
  <c r="O394" i="10" s="1"/>
  <c r="P394" i="10" s="1"/>
  <c r="F426" i="10"/>
  <c r="O426" i="10" s="1"/>
  <c r="P426" i="10" s="1"/>
  <c r="F528" i="10"/>
  <c r="O528" i="10" s="1"/>
  <c r="P528" i="10" s="1"/>
  <c r="F601" i="10"/>
  <c r="O601" i="10" s="1"/>
  <c r="P601" i="10" s="1"/>
  <c r="F663" i="10"/>
  <c r="O663" i="10" s="1"/>
  <c r="P663" i="10" s="1"/>
  <c r="F680" i="10"/>
  <c r="O680" i="10" s="1"/>
  <c r="P680" i="10" s="1"/>
  <c r="F822" i="10"/>
  <c r="O822" i="10" s="1"/>
  <c r="P822" i="10" s="1"/>
  <c r="F848" i="10"/>
  <c r="O848" i="10" s="1"/>
  <c r="P848" i="10" s="1"/>
  <c r="F865" i="10"/>
  <c r="O865" i="10" s="1"/>
  <c r="P865" i="10" s="1"/>
  <c r="F995" i="10"/>
  <c r="O995" i="10" s="1"/>
  <c r="P995" i="10" s="1"/>
  <c r="F1030" i="10"/>
  <c r="O1030" i="10" s="1"/>
  <c r="P1030" i="10" s="1"/>
  <c r="F93" i="10"/>
  <c r="O93" i="10" s="1"/>
  <c r="P93" i="10" s="1"/>
  <c r="F125" i="10"/>
  <c r="O125" i="10" s="1"/>
  <c r="P125" i="10" s="1"/>
  <c r="F157" i="10"/>
  <c r="O157" i="10" s="1"/>
  <c r="P157" i="10" s="1"/>
  <c r="F189" i="10"/>
  <c r="O189" i="10" s="1"/>
  <c r="P189" i="10" s="1"/>
  <c r="F221" i="10"/>
  <c r="O221" i="10" s="1"/>
  <c r="P221" i="10" s="1"/>
  <c r="F253" i="10"/>
  <c r="O253" i="10" s="1"/>
  <c r="P253" i="10" s="1"/>
  <c r="F285" i="10"/>
  <c r="O285" i="10" s="1"/>
  <c r="P285" i="10" s="1"/>
  <c r="F317" i="10"/>
  <c r="O317" i="10" s="1"/>
  <c r="P317" i="10" s="1"/>
  <c r="F349" i="10"/>
  <c r="O349" i="10" s="1"/>
  <c r="P349" i="10" s="1"/>
  <c r="F381" i="10"/>
  <c r="O381" i="10" s="1"/>
  <c r="P381" i="10" s="1"/>
  <c r="F413" i="10"/>
  <c r="O413" i="10" s="1"/>
  <c r="P413" i="10" s="1"/>
  <c r="F440" i="10"/>
  <c r="O440" i="10" s="1"/>
  <c r="P440" i="10" s="1"/>
  <c r="F444" i="10"/>
  <c r="O444" i="10" s="1"/>
  <c r="P444" i="10" s="1"/>
  <c r="F455" i="10"/>
  <c r="O455" i="10" s="1"/>
  <c r="P455" i="10" s="1"/>
  <c r="F471" i="10"/>
  <c r="O471" i="10" s="1"/>
  <c r="P471" i="10" s="1"/>
  <c r="F487" i="10"/>
  <c r="O487" i="10" s="1"/>
  <c r="P487" i="10" s="1"/>
  <c r="F503" i="10"/>
  <c r="O503" i="10" s="1"/>
  <c r="P503" i="10" s="1"/>
  <c r="F519" i="10"/>
  <c r="O519" i="10" s="1"/>
  <c r="P519" i="10" s="1"/>
  <c r="F547" i="10"/>
  <c r="O547" i="10" s="1"/>
  <c r="P547" i="10" s="1"/>
  <c r="F565" i="10"/>
  <c r="O565" i="10" s="1"/>
  <c r="P565" i="10" s="1"/>
  <c r="F579" i="10"/>
  <c r="O579" i="10" s="1"/>
  <c r="P579" i="10" s="1"/>
  <c r="F597" i="10"/>
  <c r="O597" i="10" s="1"/>
  <c r="P597" i="10" s="1"/>
  <c r="F611" i="10"/>
  <c r="O611" i="10" s="1"/>
  <c r="P611" i="10" s="1"/>
  <c r="F629" i="10"/>
  <c r="O629" i="10" s="1"/>
  <c r="P629" i="10" s="1"/>
  <c r="F644" i="10"/>
  <c r="O644" i="10" s="1"/>
  <c r="P644" i="10" s="1"/>
  <c r="F650" i="10"/>
  <c r="O650" i="10" s="1"/>
  <c r="P650" i="10" s="1"/>
  <c r="F676" i="10"/>
  <c r="O676" i="10" s="1"/>
  <c r="P676" i="10" s="1"/>
  <c r="F682" i="10"/>
  <c r="O682" i="10" s="1"/>
  <c r="P682" i="10" s="1"/>
  <c r="F708" i="10"/>
  <c r="O708" i="10" s="1"/>
  <c r="P708" i="10" s="1"/>
  <c r="F714" i="10"/>
  <c r="O714" i="10" s="1"/>
  <c r="P714" i="10" s="1"/>
  <c r="F740" i="10"/>
  <c r="O740" i="10" s="1"/>
  <c r="P740" i="10" s="1"/>
  <c r="F746" i="10"/>
  <c r="O746" i="10" s="1"/>
  <c r="P746" i="10" s="1"/>
  <c r="F772" i="10"/>
  <c r="O772" i="10" s="1"/>
  <c r="P772" i="10" s="1"/>
  <c r="F778" i="10"/>
  <c r="O778" i="10" s="1"/>
  <c r="P778" i="10" s="1"/>
  <c r="F800" i="10"/>
  <c r="O800" i="10" s="1"/>
  <c r="P800" i="10" s="1"/>
  <c r="F818" i="10"/>
  <c r="O818" i="10" s="1"/>
  <c r="P818" i="10" s="1"/>
  <c r="F844" i="10"/>
  <c r="O844" i="10" s="1"/>
  <c r="P844" i="10" s="1"/>
  <c r="F850" i="10"/>
  <c r="O850" i="10" s="1"/>
  <c r="P850" i="10" s="1"/>
  <c r="F876" i="10"/>
  <c r="O876" i="10" s="1"/>
  <c r="P876" i="10" s="1"/>
  <c r="F882" i="10"/>
  <c r="O882" i="10" s="1"/>
  <c r="P882" i="10" s="1"/>
  <c r="F908" i="10"/>
  <c r="O908" i="10" s="1"/>
  <c r="P908" i="10" s="1"/>
  <c r="F914" i="10"/>
  <c r="O914" i="10" s="1"/>
  <c r="P914" i="10" s="1"/>
  <c r="F960" i="10"/>
  <c r="O960" i="10" s="1"/>
  <c r="P960" i="10" s="1"/>
  <c r="F966" i="10"/>
  <c r="O966" i="10" s="1"/>
  <c r="P966" i="10" s="1"/>
  <c r="F992" i="10"/>
  <c r="O992" i="10" s="1"/>
  <c r="P992" i="10" s="1"/>
  <c r="F998" i="10"/>
  <c r="O998" i="10" s="1"/>
  <c r="P998" i="10" s="1"/>
  <c r="F1011" i="10"/>
  <c r="O1011" i="10" s="1"/>
  <c r="P1011" i="10" s="1"/>
  <c r="F1043" i="10"/>
  <c r="O1043" i="10" s="1"/>
  <c r="P1043" i="10" s="1"/>
  <c r="F1059" i="10"/>
  <c r="O1059" i="10" s="1"/>
  <c r="P1059" i="10" s="1"/>
  <c r="F1075" i="10"/>
  <c r="O1075" i="10" s="1"/>
  <c r="P1075" i="10" s="1"/>
  <c r="F1084" i="10"/>
  <c r="O1084" i="10" s="1"/>
  <c r="P1084" i="10" s="1"/>
  <c r="F1099" i="10"/>
  <c r="O1099" i="10" s="1"/>
  <c r="P1099" i="10" s="1"/>
  <c r="F1105" i="10"/>
  <c r="O1105" i="10" s="1"/>
  <c r="P1105" i="10" s="1"/>
  <c r="F25" i="10"/>
  <c r="O25" i="10" s="1"/>
  <c r="P25" i="10" s="1"/>
  <c r="J25" i="10" s="1"/>
  <c r="F73" i="10"/>
  <c r="O73" i="10" s="1"/>
  <c r="P73" i="10" s="1"/>
  <c r="J73" i="10" s="1"/>
  <c r="F106" i="10"/>
  <c r="O106" i="10" s="1"/>
  <c r="P106" i="10" s="1"/>
  <c r="F122" i="10"/>
  <c r="O122" i="10" s="1"/>
  <c r="P122" i="10" s="1"/>
  <c r="F143" i="10"/>
  <c r="O143" i="10" s="1"/>
  <c r="P143" i="10" s="1"/>
  <c r="F191" i="10"/>
  <c r="O191" i="10" s="1"/>
  <c r="P191" i="10" s="1"/>
  <c r="F223" i="10"/>
  <c r="O223" i="10" s="1"/>
  <c r="P223" i="10" s="1"/>
  <c r="F386" i="10"/>
  <c r="O386" i="10" s="1"/>
  <c r="P386" i="10" s="1"/>
  <c r="F542" i="10"/>
  <c r="O542" i="10" s="1"/>
  <c r="P542" i="10" s="1"/>
  <c r="F569" i="10"/>
  <c r="O569" i="10" s="1"/>
  <c r="P569" i="10" s="1"/>
  <c r="F590" i="10"/>
  <c r="O590" i="10" s="1"/>
  <c r="P590" i="10" s="1"/>
  <c r="F679" i="10"/>
  <c r="O679" i="10" s="1"/>
  <c r="P679" i="10" s="1"/>
  <c r="F695" i="10"/>
  <c r="O695" i="10" s="1"/>
  <c r="P695" i="10" s="1"/>
  <c r="F750" i="10"/>
  <c r="O750" i="10" s="1"/>
  <c r="P750" i="10" s="1"/>
  <c r="F786" i="10"/>
  <c r="O786" i="10" s="1"/>
  <c r="P786" i="10" s="1"/>
  <c r="F849" i="10"/>
  <c r="O849" i="10" s="1"/>
  <c r="P849" i="10" s="1"/>
  <c r="F870" i="10"/>
  <c r="O870" i="10" s="1"/>
  <c r="P870" i="10" s="1"/>
  <c r="F911" i="10"/>
  <c r="O911" i="10" s="1"/>
  <c r="P911" i="10" s="1"/>
  <c r="F949" i="10"/>
  <c r="O949" i="10" s="1"/>
  <c r="P949" i="10" s="1"/>
  <c r="F1028" i="10"/>
  <c r="O1028" i="10" s="1"/>
  <c r="P1028" i="10" s="1"/>
  <c r="F86" i="10"/>
  <c r="O86" i="10" s="1"/>
  <c r="P86" i="10" s="1"/>
  <c r="F102" i="10"/>
  <c r="O102" i="10" s="1"/>
  <c r="P102" i="10" s="1"/>
  <c r="F118" i="10"/>
  <c r="O118" i="10" s="1"/>
  <c r="P118" i="10" s="1"/>
  <c r="F134" i="10"/>
  <c r="O134" i="10" s="1"/>
  <c r="P134" i="10" s="1"/>
  <c r="F150" i="10"/>
  <c r="O150" i="10" s="1"/>
  <c r="P150" i="10" s="1"/>
  <c r="F166" i="10"/>
  <c r="O166" i="10" s="1"/>
  <c r="P166" i="10" s="1"/>
  <c r="F182" i="10"/>
  <c r="O182" i="10" s="1"/>
  <c r="P182" i="10" s="1"/>
  <c r="F198" i="10"/>
  <c r="O198" i="10" s="1"/>
  <c r="P198" i="10" s="1"/>
  <c r="F214" i="10"/>
  <c r="O214" i="10" s="1"/>
  <c r="P214" i="10" s="1"/>
  <c r="F230" i="10"/>
  <c r="O230" i="10" s="1"/>
  <c r="P230" i="10" s="1"/>
  <c r="F246" i="10"/>
  <c r="O246" i="10" s="1"/>
  <c r="P246" i="10" s="1"/>
  <c r="F262" i="10"/>
  <c r="O262" i="10" s="1"/>
  <c r="P262" i="10" s="1"/>
  <c r="F278" i="10"/>
  <c r="O278" i="10" s="1"/>
  <c r="P278" i="10" s="1"/>
  <c r="F294" i="10"/>
  <c r="O294" i="10" s="1"/>
  <c r="P294" i="10" s="1"/>
  <c r="F310" i="10"/>
  <c r="O310" i="10" s="1"/>
  <c r="P310" i="10" s="1"/>
  <c r="F326" i="10"/>
  <c r="O326" i="10" s="1"/>
  <c r="P326" i="10" s="1"/>
  <c r="F342" i="10"/>
  <c r="O342" i="10" s="1"/>
  <c r="P342" i="10" s="1"/>
  <c r="F358" i="10"/>
  <c r="O358" i="10" s="1"/>
  <c r="P358" i="10" s="1"/>
  <c r="F374" i="10"/>
  <c r="O374" i="10" s="1"/>
  <c r="P374" i="10" s="1"/>
  <c r="F390" i="10"/>
  <c r="O390" i="10" s="1"/>
  <c r="P390" i="10" s="1"/>
  <c r="F406" i="10"/>
  <c r="O406" i="10" s="1"/>
  <c r="P406" i="10" s="1"/>
  <c r="F422" i="10"/>
  <c r="O422" i="10" s="1"/>
  <c r="P422" i="10" s="1"/>
  <c r="F543" i="10"/>
  <c r="O543" i="10" s="1"/>
  <c r="P543" i="10" s="1"/>
  <c r="F561" i="10"/>
  <c r="O561" i="10" s="1"/>
  <c r="P561" i="10" s="1"/>
  <c r="F575" i="10"/>
  <c r="O575" i="10" s="1"/>
  <c r="P575" i="10" s="1"/>
  <c r="F593" i="10"/>
  <c r="O593" i="10" s="1"/>
  <c r="P593" i="10" s="1"/>
  <c r="F607" i="10"/>
  <c r="O607" i="10" s="1"/>
  <c r="P607" i="10" s="1"/>
  <c r="F625" i="10"/>
  <c r="O625" i="10" s="1"/>
  <c r="P625" i="10" s="1"/>
  <c r="F640" i="10"/>
  <c r="O640" i="10" s="1"/>
  <c r="P640" i="10" s="1"/>
  <c r="F646" i="10"/>
  <c r="O646" i="10" s="1"/>
  <c r="P646" i="10" s="1"/>
  <c r="F672" i="10"/>
  <c r="O672" i="10" s="1"/>
  <c r="P672" i="10" s="1"/>
  <c r="F678" i="10"/>
  <c r="O678" i="10" s="1"/>
  <c r="P678" i="10" s="1"/>
  <c r="F704" i="10"/>
  <c r="O704" i="10" s="1"/>
  <c r="P704" i="10" s="1"/>
  <c r="F710" i="10"/>
  <c r="O710" i="10" s="1"/>
  <c r="P710" i="10" s="1"/>
  <c r="F736" i="10"/>
  <c r="O736" i="10" s="1"/>
  <c r="P736" i="10" s="1"/>
  <c r="F742" i="10"/>
  <c r="O742" i="10" s="1"/>
  <c r="P742" i="10" s="1"/>
  <c r="F768" i="10"/>
  <c r="O768" i="10" s="1"/>
  <c r="P768" i="10" s="1"/>
  <c r="F774" i="10"/>
  <c r="O774" i="10" s="1"/>
  <c r="P774" i="10" s="1"/>
  <c r="F787" i="10"/>
  <c r="O787" i="10" s="1"/>
  <c r="P787" i="10" s="1"/>
  <c r="F792" i="10"/>
  <c r="O792" i="10" s="1"/>
  <c r="P792" i="10" s="1"/>
  <c r="F797" i="10"/>
  <c r="O797" i="10" s="1"/>
  <c r="P797" i="10" s="1"/>
  <c r="F825" i="10"/>
  <c r="O825" i="10" s="1"/>
  <c r="P825" i="10" s="1"/>
  <c r="F839" i="10"/>
  <c r="O839" i="10" s="1"/>
  <c r="P839" i="10" s="1"/>
  <c r="F857" i="10"/>
  <c r="O857" i="10" s="1"/>
  <c r="P857" i="10" s="1"/>
  <c r="F871" i="10"/>
  <c r="O871" i="10" s="1"/>
  <c r="P871" i="10" s="1"/>
  <c r="F889" i="10"/>
  <c r="O889" i="10" s="1"/>
  <c r="P889" i="10" s="1"/>
  <c r="F903" i="10"/>
  <c r="O903" i="10" s="1"/>
  <c r="P903" i="10" s="1"/>
  <c r="F921" i="10"/>
  <c r="O921" i="10" s="1"/>
  <c r="P921" i="10" s="1"/>
  <c r="F935" i="10"/>
  <c r="O935" i="10" s="1"/>
  <c r="P935" i="10" s="1"/>
  <c r="F940" i="10"/>
  <c r="O940" i="10" s="1"/>
  <c r="P940" i="10" s="1"/>
  <c r="F946" i="10"/>
  <c r="O946" i="10" s="1"/>
  <c r="P946" i="10" s="1"/>
  <c r="F972" i="10"/>
  <c r="O972" i="10" s="1"/>
  <c r="P972" i="10" s="1"/>
  <c r="F978" i="10"/>
  <c r="O978" i="10" s="1"/>
  <c r="P978" i="10" s="1"/>
  <c r="F1004" i="10"/>
  <c r="O1004" i="10" s="1"/>
  <c r="P1004" i="10" s="1"/>
  <c r="F1031" i="10"/>
  <c r="O1031" i="10" s="1"/>
  <c r="P1031" i="10" s="1"/>
  <c r="F1086" i="10"/>
  <c r="O1086" i="10" s="1"/>
  <c r="P1086" i="10" s="1"/>
  <c r="F23" i="10"/>
  <c r="O23" i="10" s="1"/>
  <c r="P23" i="10" s="1"/>
  <c r="J23" i="10" s="1"/>
  <c r="F39" i="10"/>
  <c r="O39" i="10" s="1"/>
  <c r="P39" i="10" s="1"/>
  <c r="J39" i="10" s="1"/>
  <c r="F59" i="10"/>
  <c r="O59" i="10" s="1"/>
  <c r="P59" i="10" s="1"/>
  <c r="J59" i="10" s="1"/>
  <c r="F75" i="10"/>
  <c r="O75" i="10" s="1"/>
  <c r="P75" i="10" s="1"/>
  <c r="J75" i="10" s="1"/>
  <c r="F186" i="10"/>
  <c r="O186" i="10" s="1"/>
  <c r="P186" i="10" s="1"/>
  <c r="F218" i="10"/>
  <c r="O218" i="10" s="1"/>
  <c r="P218" i="10" s="1"/>
  <c r="F295" i="10"/>
  <c r="O295" i="10" s="1"/>
  <c r="P295" i="10" s="1"/>
  <c r="F537" i="10"/>
  <c r="O537" i="10" s="1"/>
  <c r="P537" i="10" s="1"/>
  <c r="F631" i="10"/>
  <c r="O631" i="10" s="1"/>
  <c r="P631" i="10" s="1"/>
  <c r="F648" i="10"/>
  <c r="O648" i="10" s="1"/>
  <c r="P648" i="10" s="1"/>
  <c r="F728" i="10"/>
  <c r="O728" i="10" s="1"/>
  <c r="P728" i="10" s="1"/>
  <c r="F813" i="10"/>
  <c r="O813" i="10" s="1"/>
  <c r="P813" i="10" s="1"/>
  <c r="F847" i="10"/>
  <c r="O847" i="10" s="1"/>
  <c r="P847" i="10" s="1"/>
  <c r="F864" i="10"/>
  <c r="O864" i="10" s="1"/>
  <c r="P864" i="10" s="1"/>
  <c r="F928" i="10"/>
  <c r="O928" i="10" s="1"/>
  <c r="P928" i="10" s="1"/>
  <c r="F947" i="10"/>
  <c r="O947" i="10" s="1"/>
  <c r="P947" i="10" s="1"/>
  <c r="F964" i="10"/>
  <c r="O964" i="10" s="1"/>
  <c r="P964" i="10" s="1"/>
  <c r="F1088" i="10"/>
  <c r="O1088" i="10" s="1"/>
  <c r="P1088" i="10" s="1"/>
  <c r="F81" i="10"/>
  <c r="O81" i="10" s="1"/>
  <c r="P81" i="10" s="1"/>
  <c r="F113" i="10"/>
  <c r="O113" i="10" s="1"/>
  <c r="P113" i="10" s="1"/>
  <c r="F145" i="10"/>
  <c r="O145" i="10" s="1"/>
  <c r="P145" i="10" s="1"/>
  <c r="F177" i="10"/>
  <c r="O177" i="10" s="1"/>
  <c r="P177" i="10" s="1"/>
  <c r="F209" i="10"/>
  <c r="O209" i="10" s="1"/>
  <c r="P209" i="10" s="1"/>
  <c r="F241" i="10"/>
  <c r="O241" i="10" s="1"/>
  <c r="P241" i="10" s="1"/>
  <c r="F273" i="10"/>
  <c r="O273" i="10" s="1"/>
  <c r="P273" i="10" s="1"/>
  <c r="F305" i="10"/>
  <c r="O305" i="10" s="1"/>
  <c r="P305" i="10" s="1"/>
  <c r="F337" i="10"/>
  <c r="O337" i="10" s="1"/>
  <c r="P337" i="10" s="1"/>
  <c r="F369" i="10"/>
  <c r="O369" i="10" s="1"/>
  <c r="P369" i="10" s="1"/>
  <c r="F401" i="10"/>
  <c r="O401" i="10" s="1"/>
  <c r="P401" i="10" s="1"/>
  <c r="F433" i="10"/>
  <c r="O433" i="10" s="1"/>
  <c r="P433" i="10" s="1"/>
  <c r="F459" i="10"/>
  <c r="O459" i="10" s="1"/>
  <c r="P459" i="10" s="1"/>
  <c r="F475" i="10"/>
  <c r="O475" i="10" s="1"/>
  <c r="P475" i="10" s="1"/>
  <c r="F491" i="10"/>
  <c r="O491" i="10" s="1"/>
  <c r="P491" i="10" s="1"/>
  <c r="F507" i="10"/>
  <c r="O507" i="10" s="1"/>
  <c r="P507" i="10" s="1"/>
  <c r="F541" i="10"/>
  <c r="O541" i="10" s="1"/>
  <c r="P541" i="10" s="1"/>
  <c r="F555" i="10"/>
  <c r="O555" i="10" s="1"/>
  <c r="P555" i="10" s="1"/>
  <c r="F573" i="10"/>
  <c r="O573" i="10" s="1"/>
  <c r="P573" i="10" s="1"/>
  <c r="F587" i="10"/>
  <c r="O587" i="10" s="1"/>
  <c r="P587" i="10" s="1"/>
  <c r="F605" i="10"/>
  <c r="O605" i="10" s="1"/>
  <c r="P605" i="10" s="1"/>
  <c r="F619" i="10"/>
  <c r="O619" i="10" s="1"/>
  <c r="P619" i="10" s="1"/>
  <c r="F637" i="10"/>
  <c r="O637" i="10" s="1"/>
  <c r="P637" i="10" s="1"/>
  <c r="F651" i="10"/>
  <c r="O651" i="10" s="1"/>
  <c r="P651" i="10" s="1"/>
  <c r="F669" i="10"/>
  <c r="O669" i="10" s="1"/>
  <c r="P669" i="10" s="1"/>
  <c r="F683" i="10"/>
  <c r="O683" i="10" s="1"/>
  <c r="P683" i="10" s="1"/>
  <c r="F701" i="10"/>
  <c r="O701" i="10" s="1"/>
  <c r="P701" i="10" s="1"/>
  <c r="F715" i="10"/>
  <c r="O715" i="10" s="1"/>
  <c r="P715" i="10" s="1"/>
  <c r="F733" i="10"/>
  <c r="O733" i="10" s="1"/>
  <c r="P733" i="10" s="1"/>
  <c r="F747" i="10"/>
  <c r="O747" i="10" s="1"/>
  <c r="P747" i="10" s="1"/>
  <c r="F765" i="10"/>
  <c r="O765" i="10" s="1"/>
  <c r="P765" i="10" s="1"/>
  <c r="F779" i="10"/>
  <c r="O779" i="10" s="1"/>
  <c r="P779" i="10" s="1"/>
  <c r="F815" i="10"/>
  <c r="O815" i="10" s="1"/>
  <c r="P815" i="10" s="1"/>
  <c r="F820" i="10"/>
  <c r="O820" i="10" s="1"/>
  <c r="P820" i="10" s="1"/>
  <c r="F826" i="10"/>
  <c r="O826" i="10" s="1"/>
  <c r="P826" i="10" s="1"/>
  <c r="F852" i="10"/>
  <c r="O852" i="10" s="1"/>
  <c r="P852" i="10" s="1"/>
  <c r="F858" i="10"/>
  <c r="O858" i="10" s="1"/>
  <c r="P858" i="10" s="1"/>
  <c r="F884" i="10"/>
  <c r="O884" i="10" s="1"/>
  <c r="P884" i="10" s="1"/>
  <c r="F890" i="10"/>
  <c r="O890" i="10" s="1"/>
  <c r="P890" i="10" s="1"/>
  <c r="F916" i="10"/>
  <c r="O916" i="10" s="1"/>
  <c r="P916" i="10" s="1"/>
  <c r="F922" i="10"/>
  <c r="O922" i="10" s="1"/>
  <c r="P922" i="10" s="1"/>
  <c r="F942" i="10"/>
  <c r="O942" i="10" s="1"/>
  <c r="P942" i="10" s="1"/>
  <c r="F968" i="10"/>
  <c r="O968" i="10" s="1"/>
  <c r="P968" i="10" s="1"/>
  <c r="F974" i="10"/>
  <c r="O974" i="10" s="1"/>
  <c r="P974" i="10" s="1"/>
  <c r="F1000" i="10"/>
  <c r="O1000" i="10" s="1"/>
  <c r="P1000" i="10" s="1"/>
  <c r="F1006" i="10"/>
  <c r="O1006" i="10" s="1"/>
  <c r="P1006" i="10" s="1"/>
  <c r="F1020" i="10"/>
  <c r="O1020" i="10" s="1"/>
  <c r="P1020" i="10" s="1"/>
  <c r="F1047" i="10"/>
  <c r="O1047" i="10" s="1"/>
  <c r="P1047" i="10" s="1"/>
  <c r="F1063" i="10"/>
  <c r="O1063" i="10" s="1"/>
  <c r="P1063" i="10" s="1"/>
  <c r="F1079" i="10"/>
  <c r="O1079" i="10" s="1"/>
  <c r="P1079" i="10" s="1"/>
  <c r="F1082" i="10"/>
  <c r="O1082" i="10" s="1"/>
  <c r="P1082" i="10" s="1"/>
  <c r="F1117" i="10"/>
  <c r="O1117" i="10" s="1"/>
  <c r="P1117" i="10" s="1"/>
  <c r="F1150" i="10"/>
  <c r="O1150" i="10" s="1"/>
  <c r="P1150" i="10" s="1"/>
  <c r="F1122" i="10"/>
  <c r="O1122" i="10" s="1"/>
  <c r="P1122" i="10" s="1"/>
  <c r="F1137" i="10"/>
  <c r="O1137" i="10" s="1"/>
  <c r="P1137" i="10" s="1"/>
  <c r="F1144" i="10"/>
  <c r="O1144" i="10" s="1"/>
  <c r="P1144" i="10" s="1"/>
  <c r="F1169" i="10"/>
  <c r="O1169" i="10" s="1"/>
  <c r="P1169" i="10" s="1"/>
  <c r="F1138" i="10"/>
  <c r="O1138" i="10" s="1"/>
  <c r="P1138" i="10" s="1"/>
  <c r="F1125" i="10"/>
  <c r="O1125" i="10" s="1"/>
  <c r="P1125" i="10" s="1"/>
  <c r="F1149" i="10"/>
  <c r="O1149" i="10" s="1"/>
  <c r="P1149" i="10" s="1"/>
  <c r="F1156" i="10"/>
  <c r="O1156" i="10" s="1"/>
  <c r="P1156" i="10" s="1"/>
  <c r="G61" i="14"/>
  <c r="T24" i="11"/>
  <c r="U24" i="11"/>
  <c r="K42" i="4"/>
  <c r="J44" i="4"/>
  <c r="N11" i="13"/>
  <c r="R5" i="12"/>
  <c r="Q6" i="12"/>
  <c r="L14" i="4"/>
  <c r="K14" i="4"/>
  <c r="O14" i="11"/>
  <c r="P14" i="11"/>
  <c r="J13" i="4"/>
  <c r="M39" i="4"/>
  <c r="N10" i="14"/>
  <c r="J9" i="14" a="1"/>
  <c r="J9" i="14" s="1"/>
  <c r="Y22" i="11"/>
  <c r="Z22" i="11"/>
  <c r="G55" i="7" l="1"/>
  <c r="G54" i="7" s="1"/>
  <c r="G53" i="7" s="1"/>
  <c r="G52" i="7" s="1"/>
  <c r="G51" i="7" s="1"/>
  <c r="G50" i="7" s="1"/>
  <c r="G49" i="7" s="1"/>
  <c r="G48" i="7" s="1"/>
  <c r="G47" i="7" s="1"/>
  <c r="G46" i="7" s="1"/>
  <c r="G45" i="7" s="1"/>
  <c r="G44" i="7" s="1"/>
  <c r="G43" i="7" s="1"/>
  <c r="G42" i="7" s="1"/>
  <c r="G41" i="7" s="1"/>
  <c r="G40" i="7" s="1"/>
  <c r="G39" i="7" s="1"/>
  <c r="G38" i="7" s="1"/>
  <c r="G37" i="7" s="1"/>
  <c r="G36" i="7" s="1"/>
  <c r="G35" i="7" s="1"/>
  <c r="G34" i="7" s="1"/>
  <c r="G33" i="7" s="1"/>
  <c r="G32" i="7" s="1"/>
  <c r="G31" i="7" s="1"/>
  <c r="G30" i="7" s="1"/>
  <c r="G29" i="7" s="1"/>
  <c r="G28" i="7" s="1"/>
  <c r="G27" i="7" s="1"/>
  <c r="G26" i="7" s="1"/>
  <c r="G25" i="7" s="1"/>
  <c r="G24" i="7" s="1"/>
  <c r="G23" i="7" s="1"/>
  <c r="G22" i="7" s="1"/>
  <c r="G21" i="7" s="1"/>
  <c r="G20" i="7" s="1"/>
  <c r="G19" i="7" s="1"/>
  <c r="G18" i="7" s="1"/>
  <c r="G17" i="7" s="1"/>
  <c r="G16" i="7" s="1"/>
  <c r="G15" i="7" s="1"/>
  <c r="G14" i="7" s="1"/>
  <c r="G13" i="7" s="1"/>
  <c r="G12" i="7" s="1"/>
  <c r="G11" i="7" s="1"/>
  <c r="G10" i="7" s="1"/>
  <c r="G9" i="7" s="1"/>
  <c r="W6" i="3"/>
  <c r="J442" i="10"/>
  <c r="K442" i="10"/>
  <c r="K329" i="10"/>
  <c r="J329" i="10"/>
  <c r="K201" i="10"/>
  <c r="J201" i="10"/>
  <c r="K1103" i="10"/>
  <c r="J1103" i="10"/>
  <c r="K775" i="10"/>
  <c r="J775" i="10"/>
  <c r="K558" i="10"/>
  <c r="J558" i="10"/>
  <c r="K266" i="10"/>
  <c r="J266" i="10"/>
  <c r="K1111" i="10"/>
  <c r="J1111" i="10"/>
  <c r="K1026" i="10"/>
  <c r="J1026" i="10"/>
  <c r="K955" i="10"/>
  <c r="J955" i="10"/>
  <c r="J904" i="10"/>
  <c r="K904" i="10"/>
  <c r="J840" i="10"/>
  <c r="K840" i="10"/>
  <c r="K751" i="10"/>
  <c r="J751" i="10"/>
  <c r="K687" i="10"/>
  <c r="J687" i="10"/>
  <c r="K614" i="10"/>
  <c r="J614" i="10"/>
  <c r="K550" i="10"/>
  <c r="J550" i="10"/>
  <c r="K435" i="10"/>
  <c r="J435" i="10"/>
  <c r="K371" i="10"/>
  <c r="J371" i="10"/>
  <c r="K307" i="10"/>
  <c r="J307" i="10"/>
  <c r="K243" i="10"/>
  <c r="J243" i="10"/>
  <c r="K179" i="10"/>
  <c r="J179" i="10"/>
  <c r="K115" i="10"/>
  <c r="J115" i="10"/>
  <c r="K1089" i="10"/>
  <c r="J1089" i="10"/>
  <c r="J838" i="10"/>
  <c r="K838" i="10"/>
  <c r="K647" i="10"/>
  <c r="J647" i="10"/>
  <c r="K407" i="10"/>
  <c r="J407" i="10"/>
  <c r="J306" i="10"/>
  <c r="K306" i="10"/>
  <c r="J226" i="10"/>
  <c r="K226" i="10"/>
  <c r="J1100" i="10"/>
  <c r="K1100" i="10"/>
  <c r="K1070" i="10"/>
  <c r="J1070" i="10"/>
  <c r="K1039" i="10"/>
  <c r="J1039" i="10"/>
  <c r="J993" i="10"/>
  <c r="K993" i="10"/>
  <c r="K923" i="10"/>
  <c r="J923" i="10"/>
  <c r="K859" i="10"/>
  <c r="J859" i="10"/>
  <c r="J773" i="10"/>
  <c r="K773" i="10"/>
  <c r="J709" i="10"/>
  <c r="K709" i="10"/>
  <c r="J645" i="10"/>
  <c r="K645" i="10"/>
  <c r="J580" i="10"/>
  <c r="K580" i="10"/>
  <c r="K515" i="10"/>
  <c r="J515" i="10"/>
  <c r="K482" i="10"/>
  <c r="J482" i="10"/>
  <c r="K450" i="10"/>
  <c r="J450" i="10"/>
  <c r="K373" i="10"/>
  <c r="J373" i="10"/>
  <c r="K245" i="10"/>
  <c r="J245" i="10"/>
  <c r="K117" i="10"/>
  <c r="J117" i="10"/>
  <c r="K963" i="10"/>
  <c r="J963" i="10"/>
  <c r="K811" i="10"/>
  <c r="J811" i="10"/>
  <c r="J729" i="10"/>
  <c r="K729" i="10"/>
  <c r="J552" i="10"/>
  <c r="K552" i="10"/>
  <c r="K207" i="10"/>
  <c r="J207" i="10"/>
  <c r="K103" i="10"/>
  <c r="J103" i="10"/>
  <c r="J449" i="10"/>
  <c r="K449" i="10"/>
  <c r="J465" i="10"/>
  <c r="K465" i="10"/>
  <c r="J481" i="10"/>
  <c r="K481" i="10"/>
  <c r="J497" i="10"/>
  <c r="K497" i="10"/>
  <c r="J513" i="10"/>
  <c r="K513" i="10"/>
  <c r="J533" i="10"/>
  <c r="K533" i="10"/>
  <c r="J801" i="10"/>
  <c r="K801" i="10"/>
  <c r="J1009" i="10"/>
  <c r="K1009" i="10"/>
  <c r="J1037" i="10"/>
  <c r="K1037" i="10"/>
  <c r="J1053" i="10"/>
  <c r="K1053" i="10"/>
  <c r="J1069" i="10"/>
  <c r="K1069" i="10"/>
  <c r="J92" i="10"/>
  <c r="K92" i="10"/>
  <c r="J108" i="10"/>
  <c r="K108" i="10"/>
  <c r="J124" i="10"/>
  <c r="K124" i="10"/>
  <c r="J140" i="10"/>
  <c r="K140" i="10"/>
  <c r="J156" i="10"/>
  <c r="K156" i="10"/>
  <c r="J172" i="10"/>
  <c r="K172" i="10"/>
  <c r="J188" i="10"/>
  <c r="K188" i="10"/>
  <c r="J204" i="10"/>
  <c r="K204" i="10"/>
  <c r="J220" i="10"/>
  <c r="K220" i="10"/>
  <c r="J236" i="10"/>
  <c r="K236" i="10"/>
  <c r="J252" i="10"/>
  <c r="K252" i="10"/>
  <c r="J268" i="10"/>
  <c r="K268" i="10"/>
  <c r="J284" i="10"/>
  <c r="K284" i="10"/>
  <c r="J300" i="10"/>
  <c r="K300" i="10"/>
  <c r="J316" i="10"/>
  <c r="K316" i="10"/>
  <c r="J332" i="10"/>
  <c r="K332" i="10"/>
  <c r="J348" i="10"/>
  <c r="K348" i="10"/>
  <c r="J364" i="10"/>
  <c r="K364" i="10"/>
  <c r="J380" i="10"/>
  <c r="K380" i="10"/>
  <c r="J396" i="10"/>
  <c r="K396" i="10"/>
  <c r="J412" i="10"/>
  <c r="K412" i="10"/>
  <c r="J428" i="10"/>
  <c r="K428" i="10"/>
  <c r="J1108" i="10"/>
  <c r="K1108" i="10"/>
  <c r="J1139" i="10"/>
  <c r="K1139" i="10"/>
  <c r="J1155" i="10"/>
  <c r="K1155" i="10"/>
  <c r="M15" i="14"/>
  <c r="J11" i="13" a="1"/>
  <c r="J11" i="13" s="1"/>
  <c r="N12" i="13"/>
  <c r="K1122" i="10"/>
  <c r="J1122" i="10"/>
  <c r="J884" i="10"/>
  <c r="K884" i="10"/>
  <c r="K619" i="10"/>
  <c r="J619" i="10"/>
  <c r="K369" i="10"/>
  <c r="J369" i="10"/>
  <c r="J813" i="10"/>
  <c r="K813" i="10"/>
  <c r="K1086" i="10"/>
  <c r="J1086" i="10"/>
  <c r="J857" i="10"/>
  <c r="K857" i="10"/>
  <c r="J561" i="10"/>
  <c r="K561" i="10"/>
  <c r="K262" i="10"/>
  <c r="J262" i="10"/>
  <c r="J1028" i="10"/>
  <c r="K1028" i="10"/>
  <c r="K122" i="10"/>
  <c r="J122" i="10"/>
  <c r="J992" i="10"/>
  <c r="K992" i="10"/>
  <c r="J708" i="10"/>
  <c r="K708" i="10"/>
  <c r="J444" i="10"/>
  <c r="K444" i="10"/>
  <c r="K93" i="10"/>
  <c r="J93" i="10"/>
  <c r="K271" i="10"/>
  <c r="J271" i="10"/>
  <c r="J1129" i="10"/>
  <c r="K1129" i="10"/>
  <c r="K999" i="10"/>
  <c r="J999" i="10"/>
  <c r="J806" i="10"/>
  <c r="K806" i="10"/>
  <c r="K610" i="10"/>
  <c r="J610" i="10"/>
  <c r="K438" i="10"/>
  <c r="J438" i="10"/>
  <c r="J981" i="10"/>
  <c r="K981" i="10"/>
  <c r="K215" i="10"/>
  <c r="J215" i="10"/>
  <c r="K894" i="10"/>
  <c r="J894" i="10"/>
  <c r="J721" i="10"/>
  <c r="K721" i="10"/>
  <c r="K379" i="10"/>
  <c r="J379" i="10"/>
  <c r="K123" i="10"/>
  <c r="J123" i="10"/>
  <c r="K431" i="10"/>
  <c r="J431" i="10"/>
  <c r="K1083" i="10"/>
  <c r="J1083" i="10"/>
  <c r="J925" i="10"/>
  <c r="K925" i="10"/>
  <c r="K739" i="10"/>
  <c r="J739" i="10"/>
  <c r="K538" i="10"/>
  <c r="J538" i="10"/>
  <c r="K293" i="10"/>
  <c r="J293" i="10"/>
  <c r="J913" i="10"/>
  <c r="K913" i="10"/>
  <c r="K375" i="10"/>
  <c r="J375" i="10"/>
  <c r="J1092" i="10"/>
  <c r="K1092" i="10"/>
  <c r="J874" i="10"/>
  <c r="K874" i="10"/>
  <c r="J653" i="10"/>
  <c r="K653" i="10"/>
  <c r="K417" i="10"/>
  <c r="J417" i="10"/>
  <c r="K854" i="10"/>
  <c r="J854" i="10"/>
  <c r="K175" i="10"/>
  <c r="J175" i="10"/>
  <c r="J956" i="10"/>
  <c r="K956" i="10"/>
  <c r="J726" i="10"/>
  <c r="K726" i="10"/>
  <c r="K382" i="10"/>
  <c r="J382" i="10"/>
  <c r="K190" i="10"/>
  <c r="J190" i="10"/>
  <c r="K879" i="10"/>
  <c r="J879" i="10"/>
  <c r="K279" i="10"/>
  <c r="J279" i="10"/>
  <c r="K1035" i="10"/>
  <c r="J1035" i="10"/>
  <c r="K730" i="10"/>
  <c r="J730" i="10"/>
  <c r="J549" i="10"/>
  <c r="K549" i="10"/>
  <c r="K301" i="10"/>
  <c r="J301" i="10"/>
  <c r="J713" i="10"/>
  <c r="K713" i="10"/>
  <c r="K1130" i="10"/>
  <c r="J1130" i="10"/>
  <c r="J508" i="10"/>
  <c r="K508" i="10"/>
  <c r="Z23" i="11"/>
  <c r="Y23" i="11"/>
  <c r="J10" i="14" a="1"/>
  <c r="J10" i="14" s="1"/>
  <c r="N11" i="14"/>
  <c r="K1156" i="10"/>
  <c r="J1156" i="10"/>
  <c r="K1169" i="10"/>
  <c r="J1169" i="10"/>
  <c r="K1150" i="10"/>
  <c r="J1150" i="10"/>
  <c r="K1063" i="10"/>
  <c r="J1063" i="10"/>
  <c r="J1000" i="10"/>
  <c r="K1000" i="10"/>
  <c r="J922" i="10"/>
  <c r="K922" i="10"/>
  <c r="J858" i="10"/>
  <c r="K858" i="10"/>
  <c r="K815" i="10"/>
  <c r="J815" i="10"/>
  <c r="J733" i="10"/>
  <c r="K733" i="10"/>
  <c r="J669" i="10"/>
  <c r="K669" i="10"/>
  <c r="J605" i="10"/>
  <c r="K605" i="10"/>
  <c r="J541" i="10"/>
  <c r="K541" i="10"/>
  <c r="K459" i="10"/>
  <c r="J459" i="10"/>
  <c r="K337" i="10"/>
  <c r="J337" i="10"/>
  <c r="K209" i="10"/>
  <c r="J209" i="10"/>
  <c r="K81" i="10"/>
  <c r="J81" i="10"/>
  <c r="J928" i="10"/>
  <c r="K928" i="10"/>
  <c r="J728" i="10"/>
  <c r="K728" i="10"/>
  <c r="K295" i="10"/>
  <c r="J295" i="10"/>
  <c r="K1031" i="10"/>
  <c r="J1031" i="10"/>
  <c r="K946" i="10"/>
  <c r="J946" i="10"/>
  <c r="K903" i="10"/>
  <c r="J903" i="10"/>
  <c r="K839" i="10"/>
  <c r="J839" i="10"/>
  <c r="K787" i="10"/>
  <c r="J787" i="10"/>
  <c r="J736" i="10"/>
  <c r="K736" i="10"/>
  <c r="J672" i="10"/>
  <c r="K672" i="10"/>
  <c r="K607" i="10"/>
  <c r="J607" i="10"/>
  <c r="K543" i="10"/>
  <c r="J543" i="10"/>
  <c r="K374" i="10"/>
  <c r="J374" i="10"/>
  <c r="K310" i="10"/>
  <c r="J310" i="10"/>
  <c r="K246" i="10"/>
  <c r="J246" i="10"/>
  <c r="J182" i="10"/>
  <c r="K182" i="10"/>
  <c r="J118" i="10"/>
  <c r="K118" i="10"/>
  <c r="J949" i="10"/>
  <c r="K949" i="10"/>
  <c r="K786" i="10"/>
  <c r="J786" i="10"/>
  <c r="K590" i="10"/>
  <c r="J590" i="10"/>
  <c r="K223" i="10"/>
  <c r="J223" i="10"/>
  <c r="K106" i="10"/>
  <c r="J106" i="10"/>
  <c r="K1099" i="10"/>
  <c r="J1099" i="10"/>
  <c r="K1043" i="10"/>
  <c r="J1043" i="10"/>
  <c r="K966" i="10"/>
  <c r="J966" i="10"/>
  <c r="K882" i="10"/>
  <c r="J882" i="10"/>
  <c r="K818" i="10"/>
  <c r="J818" i="10"/>
  <c r="J746" i="10"/>
  <c r="K746" i="10"/>
  <c r="J682" i="10"/>
  <c r="K682" i="10"/>
  <c r="K629" i="10"/>
  <c r="J629" i="10"/>
  <c r="J565" i="10"/>
  <c r="K565" i="10"/>
  <c r="K487" i="10"/>
  <c r="J487" i="10"/>
  <c r="J440" i="10"/>
  <c r="K440" i="10"/>
  <c r="K317" i="10"/>
  <c r="J317" i="10"/>
  <c r="K189" i="10"/>
  <c r="J189" i="10"/>
  <c r="J1030" i="10"/>
  <c r="K1030" i="10"/>
  <c r="K822" i="10"/>
  <c r="J822" i="10"/>
  <c r="J528" i="10"/>
  <c r="K528" i="10"/>
  <c r="K346" i="10"/>
  <c r="J346" i="10"/>
  <c r="J162" i="10"/>
  <c r="K162" i="10"/>
  <c r="K1148" i="10"/>
  <c r="J1148" i="10"/>
  <c r="K1168" i="10"/>
  <c r="J1168" i="10"/>
  <c r="K1120" i="10"/>
  <c r="J1120" i="10"/>
  <c r="J1072" i="10"/>
  <c r="K1072" i="10"/>
  <c r="K1038" i="10"/>
  <c r="J1038" i="10"/>
  <c r="J985" i="10"/>
  <c r="K985" i="10"/>
  <c r="K915" i="10"/>
  <c r="J915" i="10"/>
  <c r="K851" i="10"/>
  <c r="J851" i="10"/>
  <c r="K798" i="10"/>
  <c r="J798" i="10"/>
  <c r="J732" i="10"/>
  <c r="K732" i="10"/>
  <c r="J668" i="10"/>
  <c r="K668" i="10"/>
  <c r="J604" i="10"/>
  <c r="K604" i="10"/>
  <c r="J540" i="10"/>
  <c r="K540" i="10"/>
  <c r="K494" i="10"/>
  <c r="J494" i="10"/>
  <c r="K462" i="10"/>
  <c r="J462" i="10"/>
  <c r="K409" i="10"/>
  <c r="J409" i="10"/>
  <c r="K281" i="10"/>
  <c r="J281" i="10"/>
  <c r="K153" i="10"/>
  <c r="J153" i="10"/>
  <c r="J881" i="10"/>
  <c r="K881" i="10"/>
  <c r="J665" i="10"/>
  <c r="K665" i="10"/>
  <c r="K551" i="10"/>
  <c r="J551" i="10"/>
  <c r="K199" i="10"/>
  <c r="J199" i="10"/>
  <c r="K1003" i="10"/>
  <c r="J1003" i="10"/>
  <c r="K939" i="10"/>
  <c r="J939" i="10"/>
  <c r="J888" i="10"/>
  <c r="K888" i="10"/>
  <c r="J824" i="10"/>
  <c r="K824" i="10"/>
  <c r="K767" i="10"/>
  <c r="J767" i="10"/>
  <c r="K703" i="10"/>
  <c r="J703" i="10"/>
  <c r="K639" i="10"/>
  <c r="J639" i="10"/>
  <c r="J566" i="10"/>
  <c r="K566" i="10"/>
  <c r="K427" i="10"/>
  <c r="J427" i="10"/>
  <c r="K363" i="10"/>
  <c r="J363" i="10"/>
  <c r="K299" i="10"/>
  <c r="J299" i="10"/>
  <c r="K235" i="10"/>
  <c r="J235" i="10"/>
  <c r="K171" i="10"/>
  <c r="J171" i="10"/>
  <c r="K107" i="10"/>
  <c r="J107" i="10"/>
  <c r="K831" i="10"/>
  <c r="J831" i="10"/>
  <c r="K654" i="10"/>
  <c r="J654" i="10"/>
  <c r="K383" i="10"/>
  <c r="J383" i="10"/>
  <c r="K250" i="10"/>
  <c r="J250" i="10"/>
  <c r="J1078" i="10"/>
  <c r="K1078" i="10"/>
  <c r="J1046" i="10"/>
  <c r="K1046" i="10"/>
  <c r="J977" i="10"/>
  <c r="K977" i="10"/>
  <c r="K907" i="10"/>
  <c r="J907" i="10"/>
  <c r="K843" i="10"/>
  <c r="J843" i="10"/>
  <c r="K799" i="10"/>
  <c r="J799" i="10"/>
  <c r="J725" i="10"/>
  <c r="K725" i="10"/>
  <c r="J661" i="10"/>
  <c r="K661" i="10"/>
  <c r="J596" i="10"/>
  <c r="K596" i="10"/>
  <c r="J512" i="10"/>
  <c r="K512" i="10"/>
  <c r="J480" i="10"/>
  <c r="K480" i="10"/>
  <c r="J448" i="10"/>
  <c r="K448" i="10"/>
  <c r="K389" i="10"/>
  <c r="J389" i="10"/>
  <c r="K261" i="10"/>
  <c r="J261" i="10"/>
  <c r="K133" i="10"/>
  <c r="J133" i="10"/>
  <c r="J986" i="10"/>
  <c r="K986" i="10"/>
  <c r="K895" i="10"/>
  <c r="J895" i="10"/>
  <c r="J696" i="10"/>
  <c r="K696" i="10"/>
  <c r="K423" i="10"/>
  <c r="J423" i="10"/>
  <c r="K263" i="10"/>
  <c r="J263" i="10"/>
  <c r="K1140" i="10"/>
  <c r="J1140" i="10"/>
  <c r="K1160" i="10"/>
  <c r="J1160" i="10"/>
  <c r="K1166" i="10"/>
  <c r="J1166" i="10"/>
  <c r="K1071" i="10"/>
  <c r="J1071" i="10"/>
  <c r="K990" i="10"/>
  <c r="J990" i="10"/>
  <c r="J932" i="10"/>
  <c r="K932" i="10"/>
  <c r="J868" i="10"/>
  <c r="K868" i="10"/>
  <c r="K763" i="10"/>
  <c r="J763" i="10"/>
  <c r="K699" i="10"/>
  <c r="J699" i="10"/>
  <c r="K635" i="10"/>
  <c r="J635" i="10"/>
  <c r="K571" i="10"/>
  <c r="J571" i="10"/>
  <c r="K483" i="10"/>
  <c r="J483" i="10"/>
  <c r="K385" i="10"/>
  <c r="J385" i="10"/>
  <c r="K257" i="10"/>
  <c r="J257" i="10"/>
  <c r="K129" i="10"/>
  <c r="J129" i="10"/>
  <c r="J954" i="10"/>
  <c r="K954" i="10"/>
  <c r="J761" i="10"/>
  <c r="K761" i="10"/>
  <c r="K599" i="10"/>
  <c r="J599" i="10"/>
  <c r="K351" i="10"/>
  <c r="J351" i="10"/>
  <c r="K138" i="10"/>
  <c r="J138" i="10"/>
  <c r="K1106" i="10"/>
  <c r="J1106" i="10"/>
  <c r="K994" i="10"/>
  <c r="J994" i="10"/>
  <c r="K919" i="10"/>
  <c r="J919" i="10"/>
  <c r="K855" i="10"/>
  <c r="J855" i="10"/>
  <c r="J784" i="10"/>
  <c r="K784" i="10"/>
  <c r="J720" i="10"/>
  <c r="K720" i="10"/>
  <c r="J656" i="10"/>
  <c r="K656" i="10"/>
  <c r="K591" i="10"/>
  <c r="J591" i="10"/>
  <c r="K430" i="10"/>
  <c r="J430" i="10"/>
  <c r="K366" i="10"/>
  <c r="J366" i="10"/>
  <c r="K302" i="10"/>
  <c r="J302" i="10"/>
  <c r="K238" i="10"/>
  <c r="J238" i="10"/>
  <c r="K174" i="10"/>
  <c r="J174" i="10"/>
  <c r="K110" i="10"/>
  <c r="J110" i="10"/>
  <c r="J1094" i="10"/>
  <c r="K1094" i="10"/>
  <c r="K863" i="10"/>
  <c r="J863" i="10"/>
  <c r="K670" i="10"/>
  <c r="J670" i="10"/>
  <c r="K535" i="10"/>
  <c r="J535" i="10"/>
  <c r="K167" i="10"/>
  <c r="J167" i="10"/>
  <c r="J82" i="10"/>
  <c r="K82" i="10"/>
  <c r="K1067" i="10"/>
  <c r="J1067" i="10"/>
  <c r="J1013" i="10"/>
  <c r="K1013" i="10"/>
  <c r="J950" i="10"/>
  <c r="K950" i="10"/>
  <c r="J898" i="10"/>
  <c r="K898" i="10"/>
  <c r="J834" i="10"/>
  <c r="K834" i="10"/>
  <c r="K803" i="10"/>
  <c r="J803" i="10"/>
  <c r="J724" i="10"/>
  <c r="K724" i="10"/>
  <c r="J660" i="10"/>
  <c r="K660" i="10"/>
  <c r="K595" i="10"/>
  <c r="J595" i="10"/>
  <c r="J521" i="10"/>
  <c r="K521" i="10"/>
  <c r="K479" i="10"/>
  <c r="J479" i="10"/>
  <c r="K397" i="10"/>
  <c r="J397" i="10"/>
  <c r="K269" i="10"/>
  <c r="J269" i="10"/>
  <c r="K141" i="10"/>
  <c r="J141" i="10"/>
  <c r="J948" i="10"/>
  <c r="K948" i="10"/>
  <c r="J536" i="10"/>
  <c r="K536" i="10"/>
  <c r="J210" i="10"/>
  <c r="K210" i="10"/>
  <c r="K1132" i="10"/>
  <c r="J1132" i="10"/>
  <c r="K1152" i="10"/>
  <c r="J1152" i="10"/>
  <c r="J1098" i="10"/>
  <c r="K1098" i="10"/>
  <c r="J1064" i="10"/>
  <c r="K1064" i="10"/>
  <c r="K1034" i="10"/>
  <c r="J1034" i="10"/>
  <c r="K951" i="10"/>
  <c r="J951" i="10"/>
  <c r="J885" i="10"/>
  <c r="K885" i="10"/>
  <c r="J821" i="10"/>
  <c r="K821" i="10"/>
  <c r="J754" i="10"/>
  <c r="K754" i="10"/>
  <c r="J690" i="10"/>
  <c r="K690" i="10"/>
  <c r="K626" i="10"/>
  <c r="J626" i="10"/>
  <c r="K562" i="10"/>
  <c r="J562" i="10"/>
  <c r="J502" i="10"/>
  <c r="K502" i="10"/>
  <c r="J470" i="10"/>
  <c r="K470" i="10"/>
  <c r="K425" i="10"/>
  <c r="J425" i="10"/>
  <c r="K297" i="10"/>
  <c r="J297" i="10"/>
  <c r="K169" i="10"/>
  <c r="J169" i="10"/>
  <c r="J912" i="10"/>
  <c r="K912" i="10"/>
  <c r="J712" i="10"/>
  <c r="K712" i="10"/>
  <c r="K527" i="10"/>
  <c r="J527" i="10"/>
  <c r="K255" i="10"/>
  <c r="J255" i="10"/>
  <c r="K1102" i="10"/>
  <c r="J1102" i="10"/>
  <c r="J1005" i="10"/>
  <c r="K1005" i="10"/>
  <c r="J941" i="10"/>
  <c r="K941" i="10"/>
  <c r="K878" i="10"/>
  <c r="J878" i="10"/>
  <c r="J788" i="10"/>
  <c r="K788" i="10"/>
  <c r="J737" i="10"/>
  <c r="K737" i="10"/>
  <c r="J673" i="10"/>
  <c r="K673" i="10"/>
  <c r="J608" i="10"/>
  <c r="K608" i="10"/>
  <c r="J544" i="10"/>
  <c r="K544" i="10"/>
  <c r="K419" i="10"/>
  <c r="J419" i="10"/>
  <c r="K355" i="10"/>
  <c r="J355" i="10"/>
  <c r="K291" i="10"/>
  <c r="J291" i="10"/>
  <c r="K227" i="10"/>
  <c r="J227" i="10"/>
  <c r="K163" i="10"/>
  <c r="J163" i="10"/>
  <c r="K99" i="10"/>
  <c r="J99" i="10"/>
  <c r="K1015" i="10"/>
  <c r="J1015" i="10"/>
  <c r="J812" i="10"/>
  <c r="K812" i="10"/>
  <c r="K633" i="10"/>
  <c r="J633" i="10"/>
  <c r="K359" i="10"/>
  <c r="J359" i="10"/>
  <c r="J290" i="10"/>
  <c r="K290" i="10"/>
  <c r="J194" i="10"/>
  <c r="K194" i="10"/>
  <c r="K1085" i="10"/>
  <c r="J1085" i="10"/>
  <c r="J1060" i="10"/>
  <c r="K1060" i="10"/>
  <c r="J1018" i="10"/>
  <c r="K1018" i="10"/>
  <c r="K975" i="10"/>
  <c r="J975" i="10"/>
  <c r="J909" i="10"/>
  <c r="K909" i="10"/>
  <c r="J845" i="10"/>
  <c r="K845" i="10"/>
  <c r="K755" i="10"/>
  <c r="J755" i="10"/>
  <c r="K691" i="10"/>
  <c r="J691" i="10"/>
  <c r="J618" i="10"/>
  <c r="K618" i="10"/>
  <c r="J554" i="10"/>
  <c r="K554" i="10"/>
  <c r="J504" i="10"/>
  <c r="K504" i="10"/>
  <c r="J472" i="10"/>
  <c r="K472" i="10"/>
  <c r="K441" i="10"/>
  <c r="J441" i="10"/>
  <c r="K341" i="10"/>
  <c r="J341" i="10"/>
  <c r="K213" i="10"/>
  <c r="J213" i="10"/>
  <c r="K85" i="10"/>
  <c r="J85" i="10"/>
  <c r="K918" i="10"/>
  <c r="J918" i="10"/>
  <c r="K790" i="10"/>
  <c r="J790" i="10"/>
  <c r="J649" i="10"/>
  <c r="K649" i="10"/>
  <c r="J532" i="10"/>
  <c r="K532" i="10"/>
  <c r="K151" i="10"/>
  <c r="J151" i="10"/>
  <c r="J453" i="10"/>
  <c r="K453" i="10"/>
  <c r="J469" i="10"/>
  <c r="K469" i="10"/>
  <c r="J485" i="10"/>
  <c r="K485" i="10"/>
  <c r="J501" i="10"/>
  <c r="K501" i="10"/>
  <c r="J517" i="10"/>
  <c r="K517" i="10"/>
  <c r="J785" i="10"/>
  <c r="K785" i="10"/>
  <c r="J805" i="10"/>
  <c r="K805" i="10"/>
  <c r="J1021" i="10"/>
  <c r="K1021" i="10"/>
  <c r="J1041" i="10"/>
  <c r="K1041" i="10"/>
  <c r="J1057" i="10"/>
  <c r="K1057" i="10"/>
  <c r="J1073" i="10"/>
  <c r="K1073" i="10"/>
  <c r="J80" i="10"/>
  <c r="K80" i="10"/>
  <c r="J96" i="10"/>
  <c r="K96" i="10"/>
  <c r="J112" i="10"/>
  <c r="K112" i="10"/>
  <c r="J128" i="10"/>
  <c r="K128" i="10"/>
  <c r="J144" i="10"/>
  <c r="K144" i="10"/>
  <c r="J160" i="10"/>
  <c r="K160" i="10"/>
  <c r="J176" i="10"/>
  <c r="K176" i="10"/>
  <c r="J192" i="10"/>
  <c r="K192" i="10"/>
  <c r="J208" i="10"/>
  <c r="K208" i="10"/>
  <c r="J224" i="10"/>
  <c r="K224" i="10"/>
  <c r="J240" i="10"/>
  <c r="K240" i="10"/>
  <c r="J256" i="10"/>
  <c r="K256" i="10"/>
  <c r="J272" i="10"/>
  <c r="K272" i="10"/>
  <c r="J288" i="10"/>
  <c r="K288" i="10"/>
  <c r="J304" i="10"/>
  <c r="K304" i="10"/>
  <c r="J320" i="10"/>
  <c r="K320" i="10"/>
  <c r="J336" i="10"/>
  <c r="K336" i="10"/>
  <c r="J352" i="10"/>
  <c r="K352" i="10"/>
  <c r="J368" i="10"/>
  <c r="K368" i="10"/>
  <c r="J384" i="10"/>
  <c r="K384" i="10"/>
  <c r="J400" i="10"/>
  <c r="K400" i="10"/>
  <c r="J416" i="10"/>
  <c r="K416" i="10"/>
  <c r="J432" i="10"/>
  <c r="K432" i="10"/>
  <c r="J1112" i="10"/>
  <c r="K1112" i="10"/>
  <c r="J1127" i="10"/>
  <c r="K1127" i="10"/>
  <c r="J1143" i="10"/>
  <c r="K1143" i="10"/>
  <c r="J1159" i="10"/>
  <c r="K1159" i="10"/>
  <c r="K15" i="11"/>
  <c r="F14" i="11"/>
  <c r="G15" i="11" s="1"/>
  <c r="J15" i="11"/>
  <c r="M14" i="13"/>
  <c r="P15" i="11"/>
  <c r="O15" i="11"/>
  <c r="K1079" i="10"/>
  <c r="J1079" i="10"/>
  <c r="K942" i="10"/>
  <c r="J942" i="10"/>
  <c r="K747" i="10"/>
  <c r="J747" i="10"/>
  <c r="K555" i="10"/>
  <c r="J555" i="10"/>
  <c r="K241" i="10"/>
  <c r="J241" i="10"/>
  <c r="K947" i="10"/>
  <c r="J947" i="10"/>
  <c r="J921" i="10"/>
  <c r="K921" i="10"/>
  <c r="K742" i="10"/>
  <c r="J742" i="10"/>
  <c r="J625" i="10"/>
  <c r="K625" i="10"/>
  <c r="K326" i="10"/>
  <c r="J326" i="10"/>
  <c r="J134" i="10"/>
  <c r="K134" i="10"/>
  <c r="K679" i="10"/>
  <c r="J679" i="10"/>
  <c r="K1105" i="10"/>
  <c r="J1105" i="10"/>
  <c r="J908" i="10"/>
  <c r="K908" i="10"/>
  <c r="J772" i="10"/>
  <c r="K772" i="10"/>
  <c r="K579" i="10"/>
  <c r="J579" i="10"/>
  <c r="K349" i="10"/>
  <c r="J349" i="10"/>
  <c r="J848" i="10"/>
  <c r="K848" i="10"/>
  <c r="K378" i="10"/>
  <c r="J378" i="10"/>
  <c r="K1126" i="10"/>
  <c r="J1126" i="10"/>
  <c r="K1093" i="10"/>
  <c r="J1093" i="10"/>
  <c r="J869" i="10"/>
  <c r="K869" i="10"/>
  <c r="K674" i="10"/>
  <c r="J674" i="10"/>
  <c r="K546" i="10"/>
  <c r="J546" i="10"/>
  <c r="J468" i="10"/>
  <c r="K468" i="10"/>
  <c r="K702" i="10"/>
  <c r="J702" i="10"/>
  <c r="J957" i="10"/>
  <c r="K957" i="10"/>
  <c r="K830" i="10"/>
  <c r="J830" i="10"/>
  <c r="J657" i="10"/>
  <c r="K657" i="10"/>
  <c r="K526" i="10"/>
  <c r="J526" i="10"/>
  <c r="K251" i="10"/>
  <c r="J251" i="10"/>
  <c r="K927" i="10"/>
  <c r="J927" i="10"/>
  <c r="K282" i="10"/>
  <c r="J282" i="10"/>
  <c r="J1052" i="10"/>
  <c r="K1052" i="10"/>
  <c r="J861" i="10"/>
  <c r="K861" i="10"/>
  <c r="K675" i="10"/>
  <c r="J675" i="10"/>
  <c r="J490" i="10"/>
  <c r="K490" i="10"/>
  <c r="K421" i="10"/>
  <c r="J421" i="10"/>
  <c r="K1027" i="10"/>
  <c r="J1027" i="10"/>
  <c r="K759" i="10"/>
  <c r="J759" i="10"/>
  <c r="K90" i="10"/>
  <c r="J90" i="10"/>
  <c r="K1154" i="10"/>
  <c r="J1154" i="10"/>
  <c r="K1010" i="10"/>
  <c r="J1010" i="10"/>
  <c r="J781" i="10"/>
  <c r="K781" i="10"/>
  <c r="K499" i="10"/>
  <c r="J499" i="10"/>
  <c r="K161" i="10"/>
  <c r="J161" i="10"/>
  <c r="J617" i="10"/>
  <c r="K617" i="10"/>
  <c r="J1014" i="10"/>
  <c r="K1014" i="10"/>
  <c r="K795" i="10"/>
  <c r="J795" i="10"/>
  <c r="J609" i="10"/>
  <c r="K609" i="10"/>
  <c r="K318" i="10"/>
  <c r="J318" i="10"/>
  <c r="K126" i="10"/>
  <c r="J126" i="10"/>
  <c r="K1110" i="10"/>
  <c r="J1110" i="10"/>
  <c r="J553" i="10"/>
  <c r="K553" i="10"/>
  <c r="K1101" i="10"/>
  <c r="J1101" i="10"/>
  <c r="J924" i="10"/>
  <c r="K924" i="10"/>
  <c r="J860" i="10"/>
  <c r="K860" i="10"/>
  <c r="J613" i="10"/>
  <c r="K613" i="10"/>
  <c r="K429" i="10"/>
  <c r="J429" i="10"/>
  <c r="J1002" i="10"/>
  <c r="K1002" i="10"/>
  <c r="K87" i="10"/>
  <c r="J87" i="10"/>
  <c r="K1142" i="10"/>
  <c r="J1142" i="10"/>
  <c r="K1042" i="10"/>
  <c r="J1042" i="10"/>
  <c r="J969" i="10"/>
  <c r="K969" i="10"/>
  <c r="K899" i="10"/>
  <c r="J899" i="10"/>
  <c r="K835" i="10"/>
  <c r="J835" i="10"/>
  <c r="J780" i="10"/>
  <c r="K780" i="10"/>
  <c r="J716" i="10"/>
  <c r="K716" i="10"/>
  <c r="J652" i="10"/>
  <c r="K652" i="10"/>
  <c r="J476" i="10"/>
  <c r="K476" i="10"/>
  <c r="R6" i="12"/>
  <c r="Q7" i="12"/>
  <c r="L44" i="4"/>
  <c r="K44" i="4"/>
  <c r="F50" i="6"/>
  <c r="K1149" i="10"/>
  <c r="J1149" i="10"/>
  <c r="K1144" i="10"/>
  <c r="J1144" i="10"/>
  <c r="K1117" i="10"/>
  <c r="J1117" i="10"/>
  <c r="K1047" i="10"/>
  <c r="J1047" i="10"/>
  <c r="K974" i="10"/>
  <c r="J974" i="10"/>
  <c r="J916" i="10"/>
  <c r="K916" i="10"/>
  <c r="J852" i="10"/>
  <c r="K852" i="10"/>
  <c r="K779" i="10"/>
  <c r="J779" i="10"/>
  <c r="K715" i="10"/>
  <c r="J715" i="10"/>
  <c r="K651" i="10"/>
  <c r="J651" i="10"/>
  <c r="K587" i="10"/>
  <c r="J587" i="10"/>
  <c r="K507" i="10"/>
  <c r="J507" i="10"/>
  <c r="K433" i="10"/>
  <c r="J433" i="10"/>
  <c r="K305" i="10"/>
  <c r="J305" i="10"/>
  <c r="K177" i="10"/>
  <c r="J177" i="10"/>
  <c r="J1088" i="10"/>
  <c r="K1088" i="10"/>
  <c r="J864" i="10"/>
  <c r="K864" i="10"/>
  <c r="J648" i="10"/>
  <c r="K648" i="10"/>
  <c r="K218" i="10"/>
  <c r="J218" i="10"/>
  <c r="J1004" i="10"/>
  <c r="K1004" i="10"/>
  <c r="J940" i="10"/>
  <c r="K940" i="10"/>
  <c r="J889" i="10"/>
  <c r="K889" i="10"/>
  <c r="J825" i="10"/>
  <c r="K825" i="10"/>
  <c r="K774" i="10"/>
  <c r="J774" i="10"/>
  <c r="K710" i="10"/>
  <c r="J710" i="10"/>
  <c r="J646" i="10"/>
  <c r="K646" i="10"/>
  <c r="J593" i="10"/>
  <c r="K593" i="10"/>
  <c r="J422" i="10"/>
  <c r="K422" i="10"/>
  <c r="J358" i="10"/>
  <c r="K358" i="10"/>
  <c r="K294" i="10"/>
  <c r="J294" i="10"/>
  <c r="K230" i="10"/>
  <c r="J230" i="10"/>
  <c r="K166" i="10"/>
  <c r="J166" i="10"/>
  <c r="J102" i="10"/>
  <c r="K102" i="10"/>
  <c r="K911" i="10"/>
  <c r="J911" i="10"/>
  <c r="K750" i="10"/>
  <c r="J750" i="10"/>
  <c r="J569" i="10"/>
  <c r="K569" i="10"/>
  <c r="K191" i="10"/>
  <c r="J191" i="10"/>
  <c r="J1084" i="10"/>
  <c r="K1084" i="10"/>
  <c r="K1011" i="10"/>
  <c r="J1011" i="10"/>
  <c r="J960" i="10"/>
  <c r="K960" i="10"/>
  <c r="J876" i="10"/>
  <c r="K876" i="10"/>
  <c r="J800" i="10"/>
  <c r="K800" i="10"/>
  <c r="J740" i="10"/>
  <c r="K740" i="10"/>
  <c r="J676" i="10"/>
  <c r="K676" i="10"/>
  <c r="K611" i="10"/>
  <c r="J611" i="10"/>
  <c r="K547" i="10"/>
  <c r="J547" i="10"/>
  <c r="K471" i="10"/>
  <c r="J471" i="10"/>
  <c r="K413" i="10"/>
  <c r="J413" i="10"/>
  <c r="K285" i="10"/>
  <c r="J285" i="10"/>
  <c r="K157" i="10"/>
  <c r="J157" i="10"/>
  <c r="K995" i="10"/>
  <c r="J995" i="10"/>
  <c r="J680" i="10"/>
  <c r="K680" i="10"/>
  <c r="K426" i="10"/>
  <c r="J426" i="10"/>
  <c r="K303" i="10"/>
  <c r="J303" i="10"/>
  <c r="J1141" i="10"/>
  <c r="K1141" i="10"/>
  <c r="J1161" i="10"/>
  <c r="K1161" i="10"/>
  <c r="K1158" i="10"/>
  <c r="J1158" i="10"/>
  <c r="K1066" i="10"/>
  <c r="J1066" i="10"/>
  <c r="J1024" i="10"/>
  <c r="K1024" i="10"/>
  <c r="K967" i="10"/>
  <c r="J967" i="10"/>
  <c r="J901" i="10"/>
  <c r="K901" i="10"/>
  <c r="J837" i="10"/>
  <c r="K837" i="10"/>
  <c r="K770" i="10"/>
  <c r="J770" i="10"/>
  <c r="K706" i="10"/>
  <c r="J706" i="10"/>
  <c r="K642" i="10"/>
  <c r="J642" i="10"/>
  <c r="K578" i="10"/>
  <c r="J578" i="10"/>
  <c r="J518" i="10"/>
  <c r="K518" i="10"/>
  <c r="J484" i="10"/>
  <c r="K484" i="10"/>
  <c r="J452" i="10"/>
  <c r="K452" i="10"/>
  <c r="K377" i="10"/>
  <c r="J377" i="10"/>
  <c r="K249" i="10"/>
  <c r="J249" i="10"/>
  <c r="K121" i="10"/>
  <c r="J121" i="10"/>
  <c r="K782" i="10"/>
  <c r="J782" i="10"/>
  <c r="K622" i="10"/>
  <c r="J622" i="10"/>
  <c r="J434" i="10"/>
  <c r="K434" i="10"/>
  <c r="K183" i="10"/>
  <c r="J183" i="10"/>
  <c r="J989" i="10"/>
  <c r="K989" i="10"/>
  <c r="K926" i="10"/>
  <c r="J926" i="10"/>
  <c r="K862" i="10"/>
  <c r="J862" i="10"/>
  <c r="J810" i="10"/>
  <c r="K810" i="10"/>
  <c r="J753" i="10"/>
  <c r="K753" i="10"/>
  <c r="J689" i="10"/>
  <c r="K689" i="10"/>
  <c r="J624" i="10"/>
  <c r="K624" i="10"/>
  <c r="J560" i="10"/>
  <c r="K560" i="10"/>
  <c r="K411" i="10"/>
  <c r="J411" i="10"/>
  <c r="K347" i="10"/>
  <c r="J347" i="10"/>
  <c r="K283" i="10"/>
  <c r="J283" i="10"/>
  <c r="K219" i="10"/>
  <c r="J219" i="10"/>
  <c r="K155" i="10"/>
  <c r="J155" i="10"/>
  <c r="K91" i="10"/>
  <c r="J91" i="10"/>
  <c r="J760" i="10"/>
  <c r="K760" i="10"/>
  <c r="K606" i="10"/>
  <c r="J606" i="10"/>
  <c r="K330" i="10"/>
  <c r="J330" i="10"/>
  <c r="K234" i="10"/>
  <c r="J234" i="10"/>
  <c r="J1068" i="10"/>
  <c r="K1068" i="10"/>
  <c r="J1036" i="10"/>
  <c r="K1036" i="10"/>
  <c r="K959" i="10"/>
  <c r="J959" i="10"/>
  <c r="J893" i="10"/>
  <c r="K893" i="10"/>
  <c r="J829" i="10"/>
  <c r="K829" i="10"/>
  <c r="K771" i="10"/>
  <c r="J771" i="10"/>
  <c r="K707" i="10"/>
  <c r="J707" i="10"/>
  <c r="K643" i="10"/>
  <c r="J643" i="10"/>
  <c r="K570" i="10"/>
  <c r="J570" i="10"/>
  <c r="J506" i="10"/>
  <c r="K506" i="10"/>
  <c r="J474" i="10"/>
  <c r="K474" i="10"/>
  <c r="K443" i="10"/>
  <c r="J443" i="10"/>
  <c r="K357" i="10"/>
  <c r="J357" i="10"/>
  <c r="K229" i="10"/>
  <c r="J229" i="10"/>
  <c r="K101" i="10"/>
  <c r="J101" i="10"/>
  <c r="J970" i="10"/>
  <c r="K970" i="10"/>
  <c r="J880" i="10"/>
  <c r="K880" i="10"/>
  <c r="J632" i="10"/>
  <c r="K632" i="10"/>
  <c r="J402" i="10"/>
  <c r="K402" i="10"/>
  <c r="K247" i="10"/>
  <c r="J247" i="10"/>
  <c r="J1133" i="10"/>
  <c r="K1133" i="10"/>
  <c r="K1153" i="10"/>
  <c r="J1153" i="10"/>
  <c r="K1134" i="10"/>
  <c r="J1134" i="10"/>
  <c r="K1055" i="10"/>
  <c r="J1055" i="10"/>
  <c r="J984" i="10"/>
  <c r="K984" i="10"/>
  <c r="J906" i="10"/>
  <c r="K906" i="10"/>
  <c r="J842" i="10"/>
  <c r="K842" i="10"/>
  <c r="J749" i="10"/>
  <c r="K749" i="10"/>
  <c r="J685" i="10"/>
  <c r="K685" i="10"/>
  <c r="J621" i="10"/>
  <c r="K621" i="10"/>
  <c r="J557" i="10"/>
  <c r="K557" i="10"/>
  <c r="K467" i="10"/>
  <c r="J467" i="10"/>
  <c r="K353" i="10"/>
  <c r="J353" i="10"/>
  <c r="K225" i="10"/>
  <c r="J225" i="10"/>
  <c r="K97" i="10"/>
  <c r="J97" i="10"/>
  <c r="J938" i="10"/>
  <c r="K938" i="10"/>
  <c r="J681" i="10"/>
  <c r="K681" i="10"/>
  <c r="K531" i="10"/>
  <c r="J531" i="10"/>
  <c r="K335" i="10"/>
  <c r="J335" i="10"/>
  <c r="K127" i="10"/>
  <c r="J127" i="10"/>
  <c r="J1096" i="10"/>
  <c r="K1096" i="10"/>
  <c r="J988" i="10"/>
  <c r="K988" i="10"/>
  <c r="J905" i="10"/>
  <c r="K905" i="10"/>
  <c r="J841" i="10"/>
  <c r="K841" i="10"/>
  <c r="K758" i="10"/>
  <c r="J758" i="10"/>
  <c r="J694" i="10"/>
  <c r="K694" i="10"/>
  <c r="K630" i="10"/>
  <c r="J630" i="10"/>
  <c r="J577" i="10"/>
  <c r="K577" i="10"/>
  <c r="K414" i="10"/>
  <c r="J414" i="10"/>
  <c r="K350" i="10"/>
  <c r="J350" i="10"/>
  <c r="K286" i="10"/>
  <c r="J286" i="10"/>
  <c r="K222" i="10"/>
  <c r="J222" i="10"/>
  <c r="K158" i="10"/>
  <c r="J158" i="10"/>
  <c r="K94" i="10"/>
  <c r="J94" i="10"/>
  <c r="J996" i="10"/>
  <c r="K996" i="10"/>
  <c r="J776" i="10"/>
  <c r="K776" i="10"/>
  <c r="J600" i="10"/>
  <c r="K600" i="10"/>
  <c r="K362" i="10"/>
  <c r="J362" i="10"/>
  <c r="J130" i="10"/>
  <c r="K130" i="10"/>
  <c r="K1051" i="10"/>
  <c r="J1051" i="10"/>
  <c r="J1008" i="10"/>
  <c r="K1008" i="10"/>
  <c r="J944" i="10"/>
  <c r="K944" i="10"/>
  <c r="J892" i="10"/>
  <c r="K892" i="10"/>
  <c r="J828" i="10"/>
  <c r="K828" i="10"/>
  <c r="K762" i="10"/>
  <c r="J762" i="10"/>
  <c r="K698" i="10"/>
  <c r="J698" i="10"/>
  <c r="K634" i="10"/>
  <c r="J634" i="10"/>
  <c r="J581" i="10"/>
  <c r="K581" i="10"/>
  <c r="J516" i="10"/>
  <c r="K516" i="10"/>
  <c r="K463" i="10"/>
  <c r="J463" i="10"/>
  <c r="K365" i="10"/>
  <c r="J365" i="10"/>
  <c r="K237" i="10"/>
  <c r="J237" i="10"/>
  <c r="K109" i="10"/>
  <c r="J109" i="10"/>
  <c r="J832" i="10"/>
  <c r="K832" i="10"/>
  <c r="J354" i="10"/>
  <c r="K354" i="10"/>
  <c r="J178" i="10"/>
  <c r="K178" i="10"/>
  <c r="K1170" i="10"/>
  <c r="J1170" i="10"/>
  <c r="J1145" i="10"/>
  <c r="K1145" i="10"/>
  <c r="K1091" i="10"/>
  <c r="J1091" i="10"/>
  <c r="K1058" i="10"/>
  <c r="J1058" i="10"/>
  <c r="J1001" i="10"/>
  <c r="K1001" i="10"/>
  <c r="K931" i="10"/>
  <c r="J931" i="10"/>
  <c r="K867" i="10"/>
  <c r="J867" i="10"/>
  <c r="J816" i="10"/>
  <c r="K816" i="10"/>
  <c r="J748" i="10"/>
  <c r="K748" i="10"/>
  <c r="J684" i="10"/>
  <c r="K684" i="10"/>
  <c r="J620" i="10"/>
  <c r="K620" i="10"/>
  <c r="J556" i="10"/>
  <c r="K556" i="10"/>
  <c r="J492" i="10"/>
  <c r="K492" i="10"/>
  <c r="J460" i="10"/>
  <c r="K460" i="10"/>
  <c r="K393" i="10"/>
  <c r="J393" i="10"/>
  <c r="K265" i="10"/>
  <c r="J265" i="10"/>
  <c r="K137" i="10"/>
  <c r="J137" i="10"/>
  <c r="J833" i="10"/>
  <c r="K833" i="10"/>
  <c r="J697" i="10"/>
  <c r="K697" i="10"/>
  <c r="K415" i="10"/>
  <c r="J415" i="10"/>
  <c r="K239" i="10"/>
  <c r="J239" i="10"/>
  <c r="K1095" i="10"/>
  <c r="J1095" i="10"/>
  <c r="K987" i="10"/>
  <c r="J987" i="10"/>
  <c r="J936" i="10"/>
  <c r="K936" i="10"/>
  <c r="J872" i="10"/>
  <c r="K872" i="10"/>
  <c r="K783" i="10"/>
  <c r="J783" i="10"/>
  <c r="K719" i="10"/>
  <c r="J719" i="10"/>
  <c r="K655" i="10"/>
  <c r="J655" i="10"/>
  <c r="K582" i="10"/>
  <c r="J582" i="10"/>
  <c r="K530" i="10"/>
  <c r="J530" i="10"/>
  <c r="K403" i="10"/>
  <c r="J403" i="10"/>
  <c r="K339" i="10"/>
  <c r="J339" i="10"/>
  <c r="K275" i="10"/>
  <c r="J275" i="10"/>
  <c r="K211" i="10"/>
  <c r="J211" i="10"/>
  <c r="K147" i="10"/>
  <c r="J147" i="10"/>
  <c r="K83" i="10"/>
  <c r="J83" i="10"/>
  <c r="J934" i="10"/>
  <c r="K934" i="10"/>
  <c r="K718" i="10"/>
  <c r="J718" i="10"/>
  <c r="J616" i="10"/>
  <c r="K616" i="10"/>
  <c r="J338" i="10"/>
  <c r="K338" i="10"/>
  <c r="J258" i="10"/>
  <c r="K258" i="10"/>
  <c r="J146" i="10"/>
  <c r="K146" i="10"/>
  <c r="J1119" i="10"/>
  <c r="K1119" i="10"/>
  <c r="J1081" i="10"/>
  <c r="K1081" i="10"/>
  <c r="K1054" i="10"/>
  <c r="J1054" i="10"/>
  <c r="J1012" i="10"/>
  <c r="K1012" i="10"/>
  <c r="J961" i="10"/>
  <c r="K961" i="10"/>
  <c r="K891" i="10"/>
  <c r="J891" i="10"/>
  <c r="K827" i="10"/>
  <c r="J827" i="10"/>
  <c r="J741" i="10"/>
  <c r="K741" i="10"/>
  <c r="J677" i="10"/>
  <c r="K677" i="10"/>
  <c r="J612" i="10"/>
  <c r="K612" i="10"/>
  <c r="J548" i="10"/>
  <c r="K548" i="10"/>
  <c r="K498" i="10"/>
  <c r="J498" i="10"/>
  <c r="K466" i="10"/>
  <c r="J466" i="10"/>
  <c r="K437" i="10"/>
  <c r="J437" i="10"/>
  <c r="K309" i="10"/>
  <c r="J309" i="10"/>
  <c r="K181" i="10"/>
  <c r="J181" i="10"/>
  <c r="J1017" i="10"/>
  <c r="K1017" i="10"/>
  <c r="J902" i="10"/>
  <c r="K902" i="10"/>
  <c r="K766" i="10"/>
  <c r="J766" i="10"/>
  <c r="J584" i="10"/>
  <c r="K584" i="10"/>
  <c r="K410" i="10"/>
  <c r="J410" i="10"/>
  <c r="K135" i="10"/>
  <c r="J135" i="10"/>
  <c r="J457" i="10"/>
  <c r="K457" i="10"/>
  <c r="J473" i="10"/>
  <c r="K473" i="10"/>
  <c r="J489" i="10"/>
  <c r="K489" i="10"/>
  <c r="J505" i="10"/>
  <c r="K505" i="10"/>
  <c r="J525" i="10"/>
  <c r="K525" i="10"/>
  <c r="J789" i="10"/>
  <c r="K789" i="10"/>
  <c r="J817" i="10"/>
  <c r="K817" i="10"/>
  <c r="J1025" i="10"/>
  <c r="K1025" i="10"/>
  <c r="J1045" i="10"/>
  <c r="K1045" i="10"/>
  <c r="J1061" i="10"/>
  <c r="K1061" i="10"/>
  <c r="J1077" i="10"/>
  <c r="K1077" i="10"/>
  <c r="J84" i="10"/>
  <c r="K84" i="10"/>
  <c r="J100" i="10"/>
  <c r="K100" i="10"/>
  <c r="J116" i="10"/>
  <c r="K116" i="10"/>
  <c r="J132" i="10"/>
  <c r="K132" i="10"/>
  <c r="J148" i="10"/>
  <c r="K148" i="10"/>
  <c r="J164" i="10"/>
  <c r="K164" i="10"/>
  <c r="J180" i="10"/>
  <c r="K180" i="10"/>
  <c r="J196" i="10"/>
  <c r="K196" i="10"/>
  <c r="J212" i="10"/>
  <c r="K212" i="10"/>
  <c r="J228" i="10"/>
  <c r="K228" i="10"/>
  <c r="J244" i="10"/>
  <c r="K244" i="10"/>
  <c r="J260" i="10"/>
  <c r="K260" i="10"/>
  <c r="J276" i="10"/>
  <c r="K276" i="10"/>
  <c r="J292" i="10"/>
  <c r="K292" i="10"/>
  <c r="J308" i="10"/>
  <c r="K308" i="10"/>
  <c r="J324" i="10"/>
  <c r="K324" i="10"/>
  <c r="J340" i="10"/>
  <c r="K340" i="10"/>
  <c r="J356" i="10"/>
  <c r="K356" i="10"/>
  <c r="J372" i="10"/>
  <c r="K372" i="10"/>
  <c r="J388" i="10"/>
  <c r="K388" i="10"/>
  <c r="J404" i="10"/>
  <c r="K404" i="10"/>
  <c r="J420" i="10"/>
  <c r="K420" i="10"/>
  <c r="J436" i="10"/>
  <c r="K436" i="10"/>
  <c r="J1116" i="10"/>
  <c r="K1116" i="10"/>
  <c r="J1131" i="10"/>
  <c r="K1131" i="10"/>
  <c r="J1147" i="10"/>
  <c r="K1147" i="10"/>
  <c r="J1163" i="10"/>
  <c r="K1163" i="10"/>
  <c r="U25" i="11"/>
  <c r="T25" i="11"/>
  <c r="K1138" i="10"/>
  <c r="J1138" i="10"/>
  <c r="K1006" i="10"/>
  <c r="J1006" i="10"/>
  <c r="J820" i="10"/>
  <c r="K820" i="10"/>
  <c r="K683" i="10"/>
  <c r="J683" i="10"/>
  <c r="K475" i="10"/>
  <c r="J475" i="10"/>
  <c r="K113" i="10"/>
  <c r="J113" i="10"/>
  <c r="J537" i="10"/>
  <c r="K537" i="10"/>
  <c r="J972" i="10"/>
  <c r="K972" i="10"/>
  <c r="J792" i="10"/>
  <c r="K792" i="10"/>
  <c r="K678" i="10"/>
  <c r="J678" i="10"/>
  <c r="K390" i="10"/>
  <c r="J390" i="10"/>
  <c r="K198" i="10"/>
  <c r="J198" i="10"/>
  <c r="J849" i="10"/>
  <c r="K849" i="10"/>
  <c r="J386" i="10"/>
  <c r="K386" i="10"/>
  <c r="K1059" i="10"/>
  <c r="J1059" i="10"/>
  <c r="J844" i="10"/>
  <c r="K844" i="10"/>
  <c r="J644" i="10"/>
  <c r="K644" i="10"/>
  <c r="K503" i="10"/>
  <c r="J503" i="10"/>
  <c r="K221" i="10"/>
  <c r="J221" i="10"/>
  <c r="J601" i="10"/>
  <c r="K601" i="10"/>
  <c r="K1050" i="10"/>
  <c r="J1050" i="10"/>
  <c r="J933" i="10"/>
  <c r="K933" i="10"/>
  <c r="K738" i="10"/>
  <c r="J738" i="10"/>
  <c r="J500" i="10"/>
  <c r="K500" i="10"/>
  <c r="K313" i="10"/>
  <c r="J313" i="10"/>
  <c r="K185" i="10"/>
  <c r="J185" i="10"/>
  <c r="K567" i="10"/>
  <c r="J567" i="10"/>
  <c r="K1097" i="10"/>
  <c r="J1097" i="10"/>
  <c r="K791" i="10"/>
  <c r="J791" i="10"/>
  <c r="J592" i="10"/>
  <c r="K592" i="10"/>
  <c r="K315" i="10"/>
  <c r="J315" i="10"/>
  <c r="K187" i="10"/>
  <c r="J187" i="10"/>
  <c r="K711" i="10"/>
  <c r="J711" i="10"/>
  <c r="K170" i="10"/>
  <c r="J170" i="10"/>
  <c r="K991" i="10"/>
  <c r="J991" i="10"/>
  <c r="J804" i="10"/>
  <c r="K804" i="10"/>
  <c r="K602" i="10"/>
  <c r="J602" i="10"/>
  <c r="J458" i="10"/>
  <c r="K458" i="10"/>
  <c r="K165" i="10"/>
  <c r="J165" i="10"/>
  <c r="K523" i="10"/>
  <c r="J523" i="10"/>
  <c r="J1165" i="10"/>
  <c r="K1165" i="10"/>
  <c r="J1118" i="10"/>
  <c r="K1118" i="10"/>
  <c r="J952" i="10"/>
  <c r="K952" i="10"/>
  <c r="J717" i="10"/>
  <c r="K717" i="10"/>
  <c r="J589" i="10"/>
  <c r="K589" i="10"/>
  <c r="K289" i="10"/>
  <c r="J289" i="10"/>
  <c r="J997" i="10"/>
  <c r="K997" i="10"/>
  <c r="K367" i="10"/>
  <c r="J367" i="10"/>
  <c r="J1114" i="10"/>
  <c r="K1114" i="10"/>
  <c r="J873" i="10"/>
  <c r="K873" i="10"/>
  <c r="K662" i="10"/>
  <c r="J662" i="10"/>
  <c r="J545" i="10"/>
  <c r="K545" i="10"/>
  <c r="K254" i="10"/>
  <c r="J254" i="10"/>
  <c r="K686" i="10"/>
  <c r="J686" i="10"/>
  <c r="J98" i="10"/>
  <c r="K98" i="10"/>
  <c r="J976" i="10"/>
  <c r="K976" i="10"/>
  <c r="J808" i="10"/>
  <c r="K808" i="10"/>
  <c r="K666" i="10"/>
  <c r="J666" i="10"/>
  <c r="K495" i="10"/>
  <c r="J495" i="10"/>
  <c r="K173" i="10"/>
  <c r="J173" i="10"/>
  <c r="K311" i="10"/>
  <c r="J311" i="10"/>
  <c r="J1157" i="10"/>
  <c r="K1157" i="10"/>
  <c r="K1074" i="10"/>
  <c r="J1074" i="10"/>
  <c r="J588" i="10"/>
  <c r="K588" i="10"/>
  <c r="L13" i="4"/>
  <c r="L17" i="4" s="1"/>
  <c r="K13" i="4"/>
  <c r="J17" i="4"/>
  <c r="K17" i="4" s="1"/>
  <c r="G62" i="14"/>
  <c r="K1125" i="10"/>
  <c r="J1125" i="10"/>
  <c r="K1137" i="10"/>
  <c r="J1137" i="10"/>
  <c r="J1082" i="10"/>
  <c r="K1082" i="10"/>
  <c r="J1020" i="10"/>
  <c r="K1020" i="10"/>
  <c r="J968" i="10"/>
  <c r="K968" i="10"/>
  <c r="J890" i="10"/>
  <c r="K890" i="10"/>
  <c r="J826" i="10"/>
  <c r="K826" i="10"/>
  <c r="J765" i="10"/>
  <c r="K765" i="10"/>
  <c r="J701" i="10"/>
  <c r="K701" i="10"/>
  <c r="J637" i="10"/>
  <c r="K637" i="10"/>
  <c r="J573" i="10"/>
  <c r="K573" i="10"/>
  <c r="K491" i="10"/>
  <c r="J491" i="10"/>
  <c r="K401" i="10"/>
  <c r="J401" i="10"/>
  <c r="K273" i="10"/>
  <c r="J273" i="10"/>
  <c r="K145" i="10"/>
  <c r="J145" i="10"/>
  <c r="J964" i="10"/>
  <c r="K964" i="10"/>
  <c r="K847" i="10"/>
  <c r="J847" i="10"/>
  <c r="K631" i="10"/>
  <c r="J631" i="10"/>
  <c r="K186" i="10"/>
  <c r="J186" i="10"/>
  <c r="K978" i="10"/>
  <c r="J978" i="10"/>
  <c r="K935" i="10"/>
  <c r="J935" i="10"/>
  <c r="K871" i="10"/>
  <c r="J871" i="10"/>
  <c r="J797" i="10"/>
  <c r="K797" i="10"/>
  <c r="J768" i="10"/>
  <c r="K768" i="10"/>
  <c r="J704" i="10"/>
  <c r="K704" i="10"/>
  <c r="J640" i="10"/>
  <c r="K640" i="10"/>
  <c r="K575" i="10"/>
  <c r="J575" i="10"/>
  <c r="J406" i="10"/>
  <c r="K406" i="10"/>
  <c r="J342" i="10"/>
  <c r="K342" i="10"/>
  <c r="K278" i="10"/>
  <c r="J278" i="10"/>
  <c r="K214" i="10"/>
  <c r="J214" i="10"/>
  <c r="K150" i="10"/>
  <c r="J150" i="10"/>
  <c r="J86" i="10"/>
  <c r="K86" i="10"/>
  <c r="J870" i="10"/>
  <c r="K870" i="10"/>
  <c r="K695" i="10"/>
  <c r="J695" i="10"/>
  <c r="K542" i="10"/>
  <c r="J542" i="10"/>
  <c r="K143" i="10"/>
  <c r="J143" i="10"/>
  <c r="K1075" i="10"/>
  <c r="J1075" i="10"/>
  <c r="K998" i="10"/>
  <c r="J998" i="10"/>
  <c r="K914" i="10"/>
  <c r="J914" i="10"/>
  <c r="K850" i="10"/>
  <c r="J850" i="10"/>
  <c r="J778" i="10"/>
  <c r="K778" i="10"/>
  <c r="J714" i="10"/>
  <c r="K714" i="10"/>
  <c r="J650" i="10"/>
  <c r="K650" i="10"/>
  <c r="J597" i="10"/>
  <c r="K597" i="10"/>
  <c r="K519" i="10"/>
  <c r="J519" i="10"/>
  <c r="K455" i="10"/>
  <c r="J455" i="10"/>
  <c r="K381" i="10"/>
  <c r="J381" i="10"/>
  <c r="K253" i="10"/>
  <c r="J253" i="10"/>
  <c r="K125" i="10"/>
  <c r="J125" i="10"/>
  <c r="J865" i="10"/>
  <c r="K865" i="10"/>
  <c r="K663" i="10"/>
  <c r="J663" i="10"/>
  <c r="K394" i="10"/>
  <c r="J394" i="10"/>
  <c r="K287" i="10"/>
  <c r="J287" i="10"/>
  <c r="K1146" i="10"/>
  <c r="J1146" i="10"/>
  <c r="K1136" i="10"/>
  <c r="J1136" i="10"/>
  <c r="K1109" i="10"/>
  <c r="J1109" i="10"/>
  <c r="J1056" i="10"/>
  <c r="K1056" i="10"/>
  <c r="K1019" i="10"/>
  <c r="J1019" i="10"/>
  <c r="J953" i="10"/>
  <c r="K953" i="10"/>
  <c r="K883" i="10"/>
  <c r="J883" i="10"/>
  <c r="K819" i="10"/>
  <c r="J819" i="10"/>
  <c r="J764" i="10"/>
  <c r="K764" i="10"/>
  <c r="J700" i="10"/>
  <c r="K700" i="10"/>
  <c r="J636" i="10"/>
  <c r="K636" i="10"/>
  <c r="J572" i="10"/>
  <c r="K572" i="10"/>
  <c r="K510" i="10"/>
  <c r="J510" i="10"/>
  <c r="K478" i="10"/>
  <c r="J478" i="10"/>
  <c r="K446" i="10"/>
  <c r="J446" i="10"/>
  <c r="K345" i="10"/>
  <c r="J345" i="10"/>
  <c r="K217" i="10"/>
  <c r="J217" i="10"/>
  <c r="K89" i="10"/>
  <c r="J89" i="10"/>
  <c r="J745" i="10"/>
  <c r="K745" i="10"/>
  <c r="J585" i="10"/>
  <c r="K585" i="10"/>
  <c r="J370" i="10"/>
  <c r="K370" i="10"/>
  <c r="K159" i="10"/>
  <c r="J159" i="10"/>
  <c r="K971" i="10"/>
  <c r="J971" i="10"/>
  <c r="J920" i="10"/>
  <c r="K920" i="10"/>
  <c r="J856" i="10"/>
  <c r="K856" i="10"/>
  <c r="J796" i="10"/>
  <c r="K796" i="10"/>
  <c r="K735" i="10"/>
  <c r="J735" i="10"/>
  <c r="K671" i="10"/>
  <c r="J671" i="10"/>
  <c r="J598" i="10"/>
  <c r="K598" i="10"/>
  <c r="J534" i="10"/>
  <c r="K534" i="10"/>
  <c r="K395" i="10"/>
  <c r="J395" i="10"/>
  <c r="K331" i="10"/>
  <c r="J331" i="10"/>
  <c r="K267" i="10"/>
  <c r="J267" i="10"/>
  <c r="K203" i="10"/>
  <c r="J203" i="10"/>
  <c r="K139" i="10"/>
  <c r="J139" i="10"/>
  <c r="J965" i="10"/>
  <c r="K965" i="10"/>
  <c r="K727" i="10"/>
  <c r="J727" i="10"/>
  <c r="J524" i="10"/>
  <c r="K524" i="10"/>
  <c r="K314" i="10"/>
  <c r="J314" i="10"/>
  <c r="K202" i="10"/>
  <c r="J202" i="10"/>
  <c r="J1090" i="10"/>
  <c r="K1090" i="10"/>
  <c r="J1062" i="10"/>
  <c r="K1062" i="10"/>
  <c r="K1022" i="10"/>
  <c r="J1022" i="10"/>
  <c r="J945" i="10"/>
  <c r="K945" i="10"/>
  <c r="K875" i="10"/>
  <c r="J875" i="10"/>
  <c r="J809" i="10"/>
  <c r="K809" i="10"/>
  <c r="J757" i="10"/>
  <c r="K757" i="10"/>
  <c r="J693" i="10"/>
  <c r="K693" i="10"/>
  <c r="J628" i="10"/>
  <c r="K628" i="10"/>
  <c r="J564" i="10"/>
  <c r="K564" i="10"/>
  <c r="J496" i="10"/>
  <c r="K496" i="10"/>
  <c r="J464" i="10"/>
  <c r="K464" i="10"/>
  <c r="K439" i="10"/>
  <c r="J439" i="10"/>
  <c r="K325" i="10"/>
  <c r="J325" i="10"/>
  <c r="K197" i="10"/>
  <c r="J197" i="10"/>
  <c r="K1115" i="10"/>
  <c r="J1115" i="10"/>
  <c r="J929" i="10"/>
  <c r="K929" i="10"/>
  <c r="J777" i="10"/>
  <c r="K777" i="10"/>
  <c r="K615" i="10"/>
  <c r="J615" i="10"/>
  <c r="K391" i="10"/>
  <c r="J391" i="10"/>
  <c r="K231" i="10"/>
  <c r="J231" i="10"/>
  <c r="K1171" i="10"/>
  <c r="J1171" i="10"/>
  <c r="K1128" i="10"/>
  <c r="J1128" i="10"/>
  <c r="J1121" i="10"/>
  <c r="K1121" i="10"/>
  <c r="K1023" i="10"/>
  <c r="J1023" i="10"/>
  <c r="K958" i="10"/>
  <c r="J958" i="10"/>
  <c r="J900" i="10"/>
  <c r="K900" i="10"/>
  <c r="J836" i="10"/>
  <c r="K836" i="10"/>
  <c r="K731" i="10"/>
  <c r="J731" i="10"/>
  <c r="K667" i="10"/>
  <c r="J667" i="10"/>
  <c r="K603" i="10"/>
  <c r="J603" i="10"/>
  <c r="K539" i="10"/>
  <c r="J539" i="10"/>
  <c r="K451" i="10"/>
  <c r="J451" i="10"/>
  <c r="K321" i="10"/>
  <c r="J321" i="10"/>
  <c r="K193" i="10"/>
  <c r="J193" i="10"/>
  <c r="J1016" i="10"/>
  <c r="K1016" i="10"/>
  <c r="J896" i="10"/>
  <c r="K896" i="10"/>
  <c r="K638" i="10"/>
  <c r="J638" i="10"/>
  <c r="K399" i="10"/>
  <c r="J399" i="10"/>
  <c r="K319" i="10"/>
  <c r="J319" i="10"/>
  <c r="K111" i="10"/>
  <c r="J111" i="10"/>
  <c r="J1033" i="10"/>
  <c r="K1033" i="10"/>
  <c r="K962" i="10"/>
  <c r="J962" i="10"/>
  <c r="K887" i="10"/>
  <c r="J887" i="10"/>
  <c r="K823" i="10"/>
  <c r="J823" i="10"/>
  <c r="J752" i="10"/>
  <c r="K752" i="10"/>
  <c r="J688" i="10"/>
  <c r="K688" i="10"/>
  <c r="K623" i="10"/>
  <c r="J623" i="10"/>
  <c r="K559" i="10"/>
  <c r="J559" i="10"/>
  <c r="K398" i="10"/>
  <c r="J398" i="10"/>
  <c r="K334" i="10"/>
  <c r="J334" i="10"/>
  <c r="K270" i="10"/>
  <c r="J270" i="10"/>
  <c r="K206" i="10"/>
  <c r="J206" i="10"/>
  <c r="K142" i="10"/>
  <c r="J142" i="10"/>
  <c r="K78" i="10"/>
  <c r="J78" i="10"/>
  <c r="J980" i="10"/>
  <c r="K980" i="10"/>
  <c r="K743" i="10"/>
  <c r="J743" i="10"/>
  <c r="K583" i="10"/>
  <c r="J583" i="10"/>
  <c r="K343" i="10"/>
  <c r="J343" i="10"/>
  <c r="J114" i="10"/>
  <c r="K114" i="10"/>
  <c r="J1040" i="10"/>
  <c r="K1040" i="10"/>
  <c r="J982" i="10"/>
  <c r="K982" i="10"/>
  <c r="J930" i="10"/>
  <c r="K930" i="10"/>
  <c r="J866" i="10"/>
  <c r="K866" i="10"/>
  <c r="K814" i="10"/>
  <c r="J814" i="10"/>
  <c r="J756" i="10"/>
  <c r="K756" i="10"/>
  <c r="J692" i="10"/>
  <c r="K692" i="10"/>
  <c r="K627" i="10"/>
  <c r="J627" i="10"/>
  <c r="K563" i="10"/>
  <c r="J563" i="10"/>
  <c r="K511" i="10"/>
  <c r="J511" i="10"/>
  <c r="K447" i="10"/>
  <c r="J447" i="10"/>
  <c r="K333" i="10"/>
  <c r="J333" i="10"/>
  <c r="K205" i="10"/>
  <c r="J205" i="10"/>
  <c r="K1087" i="10"/>
  <c r="J1087" i="10"/>
  <c r="K734" i="10"/>
  <c r="J734" i="10"/>
  <c r="K327" i="10"/>
  <c r="J327" i="10"/>
  <c r="K154" i="10"/>
  <c r="J154" i="10"/>
  <c r="K1164" i="10"/>
  <c r="J1164" i="10"/>
  <c r="K1162" i="10"/>
  <c r="J1162" i="10"/>
  <c r="K1124" i="10"/>
  <c r="J1124" i="10"/>
  <c r="J1080" i="10"/>
  <c r="K1080" i="10"/>
  <c r="J1048" i="10"/>
  <c r="K1048" i="10"/>
  <c r="K983" i="10"/>
  <c r="J983" i="10"/>
  <c r="J917" i="10"/>
  <c r="K917" i="10"/>
  <c r="J853" i="10"/>
  <c r="K853" i="10"/>
  <c r="K802" i="10"/>
  <c r="J802" i="10"/>
  <c r="J722" i="10"/>
  <c r="K722" i="10"/>
  <c r="J658" i="10"/>
  <c r="K658" i="10"/>
  <c r="K594" i="10"/>
  <c r="J594" i="10"/>
  <c r="J514" i="10"/>
  <c r="K514" i="10"/>
  <c r="J486" i="10"/>
  <c r="K486" i="10"/>
  <c r="J454" i="10"/>
  <c r="K454" i="10"/>
  <c r="K361" i="10"/>
  <c r="J361" i="10"/>
  <c r="K233" i="10"/>
  <c r="J233" i="10"/>
  <c r="K105" i="10"/>
  <c r="J105" i="10"/>
  <c r="K794" i="10"/>
  <c r="J794" i="10"/>
  <c r="K574" i="10"/>
  <c r="J574" i="10"/>
  <c r="K298" i="10"/>
  <c r="J298" i="10"/>
  <c r="K79" i="10"/>
  <c r="J79" i="10"/>
  <c r="J8" i="13" a="1"/>
  <c r="J8" i="13" s="1"/>
  <c r="J1032" i="10"/>
  <c r="K1032" i="10"/>
  <c r="J973" i="10"/>
  <c r="K973" i="10"/>
  <c r="K910" i="10"/>
  <c r="J910" i="10"/>
  <c r="K846" i="10"/>
  <c r="J846" i="10"/>
  <c r="J769" i="10"/>
  <c r="K769" i="10"/>
  <c r="J705" i="10"/>
  <c r="K705" i="10"/>
  <c r="J641" i="10"/>
  <c r="K641" i="10"/>
  <c r="J576" i="10"/>
  <c r="K576" i="10"/>
  <c r="J522" i="10"/>
  <c r="K522" i="10"/>
  <c r="K387" i="10"/>
  <c r="J387" i="10"/>
  <c r="K323" i="10"/>
  <c r="J323" i="10"/>
  <c r="K259" i="10"/>
  <c r="J259" i="10"/>
  <c r="K195" i="10"/>
  <c r="J195" i="10"/>
  <c r="K131" i="10"/>
  <c r="J131" i="10"/>
  <c r="K1107" i="10"/>
  <c r="J1107" i="10"/>
  <c r="J897" i="10"/>
  <c r="K897" i="10"/>
  <c r="J664" i="10"/>
  <c r="K664" i="10"/>
  <c r="J418" i="10"/>
  <c r="K418" i="10"/>
  <c r="J322" i="10"/>
  <c r="K322" i="10"/>
  <c r="J242" i="10"/>
  <c r="K242" i="10"/>
  <c r="K95" i="10"/>
  <c r="J95" i="10"/>
  <c r="K1113" i="10"/>
  <c r="J1113" i="10"/>
  <c r="J1076" i="10"/>
  <c r="K1076" i="10"/>
  <c r="J1044" i="10"/>
  <c r="K1044" i="10"/>
  <c r="K1007" i="10"/>
  <c r="J1007" i="10"/>
  <c r="K943" i="10"/>
  <c r="J943" i="10"/>
  <c r="J877" i="10"/>
  <c r="K877" i="10"/>
  <c r="K807" i="10"/>
  <c r="J807" i="10"/>
  <c r="K723" i="10"/>
  <c r="J723" i="10"/>
  <c r="K659" i="10"/>
  <c r="J659" i="10"/>
  <c r="J586" i="10"/>
  <c r="K586" i="10"/>
  <c r="J520" i="10"/>
  <c r="K520" i="10"/>
  <c r="J488" i="10"/>
  <c r="K488" i="10"/>
  <c r="J456" i="10"/>
  <c r="K456" i="10"/>
  <c r="K405" i="10"/>
  <c r="J405" i="10"/>
  <c r="K277" i="10"/>
  <c r="J277" i="10"/>
  <c r="K149" i="10"/>
  <c r="J149" i="10"/>
  <c r="K979" i="10"/>
  <c r="J979" i="10"/>
  <c r="K886" i="10"/>
  <c r="J886" i="10"/>
  <c r="J744" i="10"/>
  <c r="K744" i="10"/>
  <c r="J568" i="10"/>
  <c r="K568" i="10"/>
  <c r="J274" i="10"/>
  <c r="K274" i="10"/>
  <c r="K119" i="10"/>
  <c r="J119" i="10"/>
  <c r="J445" i="10"/>
  <c r="K445" i="10"/>
  <c r="J461" i="10"/>
  <c r="K461" i="10"/>
  <c r="J477" i="10"/>
  <c r="K477" i="10"/>
  <c r="J493" i="10"/>
  <c r="K493" i="10"/>
  <c r="J509" i="10"/>
  <c r="K509" i="10"/>
  <c r="J529" i="10"/>
  <c r="K529" i="10"/>
  <c r="J793" i="10"/>
  <c r="K793" i="10"/>
  <c r="J937" i="10"/>
  <c r="K937" i="10"/>
  <c r="J1029" i="10"/>
  <c r="K1029" i="10"/>
  <c r="J1049" i="10"/>
  <c r="K1049" i="10"/>
  <c r="J1065" i="10"/>
  <c r="K1065" i="10"/>
  <c r="J88" i="10"/>
  <c r="K88" i="10"/>
  <c r="J104" i="10"/>
  <c r="K104" i="10"/>
  <c r="J120" i="10"/>
  <c r="K120" i="10"/>
  <c r="J136" i="10"/>
  <c r="K136" i="10"/>
  <c r="J152" i="10"/>
  <c r="K152" i="10"/>
  <c r="J168" i="10"/>
  <c r="K168" i="10"/>
  <c r="J184" i="10"/>
  <c r="K184" i="10"/>
  <c r="J200" i="10"/>
  <c r="K200" i="10"/>
  <c r="J216" i="10"/>
  <c r="K216" i="10"/>
  <c r="J232" i="10"/>
  <c r="K232" i="10"/>
  <c r="J248" i="10"/>
  <c r="K248" i="10"/>
  <c r="J264" i="10"/>
  <c r="K264" i="10"/>
  <c r="J280" i="10"/>
  <c r="K280" i="10"/>
  <c r="J296" i="10"/>
  <c r="K296" i="10"/>
  <c r="J312" i="10"/>
  <c r="K312" i="10"/>
  <c r="J328" i="10"/>
  <c r="K328" i="10"/>
  <c r="J344" i="10"/>
  <c r="K344" i="10"/>
  <c r="J360" i="10"/>
  <c r="K360" i="10"/>
  <c r="J376" i="10"/>
  <c r="K376" i="10"/>
  <c r="J392" i="10"/>
  <c r="K392" i="10"/>
  <c r="J408" i="10"/>
  <c r="K408" i="10"/>
  <c r="J424" i="10"/>
  <c r="K424" i="10"/>
  <c r="J1104" i="10"/>
  <c r="K1104" i="10"/>
  <c r="J1123" i="10"/>
  <c r="K1123" i="10"/>
  <c r="J1135" i="10"/>
  <c r="K1135" i="10"/>
  <c r="J1151" i="10"/>
  <c r="K1151" i="10"/>
  <c r="J1167" i="10"/>
  <c r="K1167" i="10"/>
  <c r="G8" i="7" l="1"/>
  <c r="G5" i="7" s="1"/>
  <c r="J9" i="10"/>
  <c r="N12" i="14"/>
  <c r="J11" i="14" a="1"/>
  <c r="J11" i="14" s="1"/>
  <c r="M16" i="14"/>
  <c r="U26" i="11"/>
  <c r="T26" i="11"/>
  <c r="N44" i="4"/>
  <c r="M44" i="4"/>
  <c r="J19" i="4"/>
  <c r="K9" i="10"/>
  <c r="G63" i="14"/>
  <c r="R7" i="12"/>
  <c r="Q8" i="12"/>
  <c r="P16" i="11"/>
  <c r="O16" i="11"/>
  <c r="J12" i="13" a="1"/>
  <c r="J12" i="13" s="1"/>
  <c r="N13" i="13"/>
  <c r="G50" i="6"/>
  <c r="F54" i="6"/>
  <c r="G54" i="6" s="1"/>
  <c r="M15" i="13"/>
  <c r="J16" i="11"/>
  <c r="K16" i="11"/>
  <c r="F15" i="11"/>
  <c r="G16" i="11" s="1"/>
  <c r="Z24" i="11"/>
  <c r="Y24" i="11"/>
  <c r="G1" i="7" a="1"/>
  <c r="G1" i="7" l="1"/>
  <c r="B5" i="2" s="1"/>
  <c r="B7" i="2" s="1"/>
  <c r="F25" i="2" s="1"/>
  <c r="Z25" i="11"/>
  <c r="Y25" i="11"/>
  <c r="R8" i="12"/>
  <c r="Q9" i="12"/>
  <c r="R9" i="12" s="1"/>
  <c r="M16" i="13"/>
  <c r="N24" i="4"/>
  <c r="B5" i="3"/>
  <c r="O44" i="4"/>
  <c r="M17" i="14"/>
  <c r="J12" i="14" a="1"/>
  <c r="J12" i="14" s="1"/>
  <c r="N13" i="14"/>
  <c r="P17" i="11"/>
  <c r="O17" i="11"/>
  <c r="G64" i="14"/>
  <c r="U27" i="11"/>
  <c r="T27" i="11"/>
  <c r="K17" i="11"/>
  <c r="J17" i="11"/>
  <c r="F16" i="11"/>
  <c r="G17" i="11" s="1"/>
  <c r="N14" i="13"/>
  <c r="J13" i="13" a="1"/>
  <c r="J13" i="13" s="1"/>
  <c r="J24" i="4"/>
  <c r="K19" i="4"/>
  <c r="F16" i="2" l="1"/>
  <c r="G65" i="14"/>
  <c r="E10" i="5"/>
  <c r="E6" i="5"/>
  <c r="E4" i="5"/>
  <c r="E13" i="5"/>
  <c r="E11" i="5"/>
  <c r="E2" i="5"/>
  <c r="E8" i="5"/>
  <c r="E5" i="5"/>
  <c r="E3" i="5"/>
  <c r="E12" i="5"/>
  <c r="E9" i="5"/>
  <c r="E7" i="5"/>
  <c r="R1" i="12"/>
  <c r="O18" i="11"/>
  <c r="P18" i="11"/>
  <c r="B2" i="3"/>
  <c r="O18" i="3" s="1"/>
  <c r="K18" i="11"/>
  <c r="J18" i="11"/>
  <c r="F17" i="11"/>
  <c r="G18" i="11" s="1"/>
  <c r="L24" i="4"/>
  <c r="K24" i="4"/>
  <c r="T28" i="11"/>
  <c r="U28" i="11"/>
  <c r="M18" i="14"/>
  <c r="O24" i="4"/>
  <c r="F46" i="4"/>
  <c r="J14" i="13" a="1"/>
  <c r="J14" i="13" s="1"/>
  <c r="N15" i="13"/>
  <c r="N14" i="14"/>
  <c r="J13" i="14" a="1"/>
  <c r="J13" i="14" s="1"/>
  <c r="M17" i="13"/>
  <c r="Y26" i="11"/>
  <c r="Z26" i="11"/>
  <c r="O12" i="3" l="1"/>
  <c r="I16" i="3"/>
  <c r="I5" i="3"/>
  <c r="I10" i="3"/>
  <c r="O13" i="3"/>
  <c r="C7" i="3"/>
  <c r="U5" i="3"/>
  <c r="I9" i="3"/>
  <c r="I4" i="3"/>
  <c r="O14" i="3"/>
  <c r="C6" i="3"/>
  <c r="O16" i="3"/>
  <c r="O5" i="3"/>
  <c r="O10" i="3"/>
  <c r="I30" i="3"/>
  <c r="I25" i="3"/>
  <c r="O11" i="3"/>
  <c r="I22" i="3"/>
  <c r="I24" i="3"/>
  <c r="O7" i="3"/>
  <c r="I13" i="3"/>
  <c r="I14" i="3"/>
  <c r="O4" i="3"/>
  <c r="I28" i="3"/>
  <c r="I17" i="3"/>
  <c r="I18" i="3"/>
  <c r="I26" i="3"/>
  <c r="O9" i="3"/>
  <c r="I21" i="3"/>
  <c r="I8" i="3"/>
  <c r="I6" i="3"/>
  <c r="I19" i="3"/>
  <c r="I27" i="3"/>
  <c r="I11" i="3"/>
  <c r="I23" i="3"/>
  <c r="I7" i="3"/>
  <c r="O2" i="3"/>
  <c r="I15" i="3"/>
  <c r="O17" i="3"/>
  <c r="O15" i="3"/>
  <c r="O8" i="3"/>
  <c r="I29" i="3"/>
  <c r="I12" i="3"/>
  <c r="O6" i="3"/>
  <c r="I20" i="3"/>
  <c r="I2" i="3"/>
  <c r="C4" i="3"/>
  <c r="O3" i="5"/>
  <c r="Q3" i="5" s="1"/>
  <c r="G3" i="5"/>
  <c r="H3" i="5"/>
  <c r="G11" i="5"/>
  <c r="O11" i="5"/>
  <c r="Q11" i="5" s="1"/>
  <c r="H11" i="5"/>
  <c r="O10" i="5"/>
  <c r="Q10" i="5" s="1"/>
  <c r="G10" i="5"/>
  <c r="H10" i="5"/>
  <c r="M19" i="14"/>
  <c r="O9" i="5"/>
  <c r="Q9" i="5" s="1"/>
  <c r="G9" i="5"/>
  <c r="H9" i="5"/>
  <c r="O8" i="5"/>
  <c r="Q8" i="5" s="1"/>
  <c r="G8" i="5"/>
  <c r="H8" i="5"/>
  <c r="G4" i="5"/>
  <c r="O4" i="5"/>
  <c r="Q4" i="5" s="1"/>
  <c r="H4" i="5"/>
  <c r="G66" i="14"/>
  <c r="U29" i="11"/>
  <c r="T29" i="11"/>
  <c r="N1" i="12"/>
  <c r="N2" i="10" s="1"/>
  <c r="N3" i="10"/>
  <c r="N6" i="10" s="1"/>
  <c r="O12" i="5"/>
  <c r="Q12" i="5" s="1"/>
  <c r="G12" i="5"/>
  <c r="H12" i="5"/>
  <c r="G2" i="5"/>
  <c r="H16" i="5"/>
  <c r="O2" i="5"/>
  <c r="H2" i="5"/>
  <c r="O6" i="5"/>
  <c r="Q6" i="5" s="1"/>
  <c r="G6" i="5"/>
  <c r="H6" i="5"/>
  <c r="M18" i="13"/>
  <c r="J14" i="14" a="1"/>
  <c r="J14" i="14" s="1"/>
  <c r="N15" i="14"/>
  <c r="J15" i="13" a="1"/>
  <c r="J15" i="13" s="1"/>
  <c r="N16" i="13"/>
  <c r="D46" i="4"/>
  <c r="T4" i="3"/>
  <c r="G46" i="4"/>
  <c r="F3" i="4"/>
  <c r="G3" i="4" s="1"/>
  <c r="Z27" i="11"/>
  <c r="Y27" i="11"/>
  <c r="E41" i="4"/>
  <c r="E39" i="4"/>
  <c r="E37" i="4"/>
  <c r="E26" i="4"/>
  <c r="E22" i="4"/>
  <c r="E21" i="4"/>
  <c r="E19" i="4"/>
  <c r="E12" i="4"/>
  <c r="E43" i="4"/>
  <c r="E17" i="4"/>
  <c r="E27" i="4"/>
  <c r="E8" i="4"/>
  <c r="E6" i="4"/>
  <c r="E42" i="4"/>
  <c r="E40" i="4"/>
  <c r="E38" i="4"/>
  <c r="E35" i="4"/>
  <c r="E31" i="4"/>
  <c r="E28" i="4"/>
  <c r="E23" i="4"/>
  <c r="E11" i="4"/>
  <c r="E9" i="4"/>
  <c r="E45" i="4"/>
  <c r="E36" i="4"/>
  <c r="E29" i="4"/>
  <c r="E20" i="4"/>
  <c r="E16" i="4"/>
  <c r="E5" i="4"/>
  <c r="E34" i="4"/>
  <c r="E10" i="4"/>
  <c r="E25" i="4"/>
  <c r="E24" i="4"/>
  <c r="E18" i="4"/>
  <c r="E14" i="4"/>
  <c r="E7" i="4"/>
  <c r="E33" i="4"/>
  <c r="E30" i="4"/>
  <c r="E15" i="4"/>
  <c r="K19" i="11"/>
  <c r="F18" i="11"/>
  <c r="G19" i="11" s="1"/>
  <c r="J19" i="11"/>
  <c r="C5" i="3"/>
  <c r="P19" i="11"/>
  <c r="O19" i="11"/>
  <c r="G7" i="5"/>
  <c r="O7" i="5"/>
  <c r="Q7" i="5" s="1"/>
  <c r="H7" i="5"/>
  <c r="O5" i="5"/>
  <c r="Q5" i="5" s="1"/>
  <c r="G5" i="5"/>
  <c r="H5" i="5"/>
  <c r="O13" i="5"/>
  <c r="Q13" i="5" s="1"/>
  <c r="G13" i="5"/>
  <c r="H13" i="5"/>
  <c r="G16" i="5" l="1"/>
  <c r="M19" i="13"/>
  <c r="M20" i="14"/>
  <c r="J20" i="11"/>
  <c r="K20" i="11"/>
  <c r="F19" i="11"/>
  <c r="G20" i="11" s="1"/>
  <c r="Z28" i="11"/>
  <c r="Y28" i="11"/>
  <c r="N16" i="14"/>
  <c r="J15" i="14" a="1"/>
  <c r="J15" i="14" s="1"/>
  <c r="N7" i="10"/>
  <c r="O7" i="10" s="1"/>
  <c r="O6" i="10"/>
  <c r="J16" i="13" a="1"/>
  <c r="J16" i="13" s="1"/>
  <c r="N17" i="13"/>
  <c r="U4" i="3"/>
  <c r="T2" i="3"/>
  <c r="U2" i="3" s="1"/>
  <c r="U30" i="11"/>
  <c r="T30" i="11"/>
  <c r="G67" i="14"/>
  <c r="G68" i="14" s="1"/>
  <c r="G69" i="14" s="1"/>
  <c r="G70" i="14" s="1"/>
  <c r="G71" i="14" s="1"/>
  <c r="G72" i="14" s="1"/>
  <c r="G73" i="14" s="1"/>
  <c r="G74" i="14" s="1"/>
  <c r="G75" i="14" s="1"/>
  <c r="G76" i="14" s="1"/>
  <c r="G77" i="14" s="1"/>
  <c r="G78" i="14" s="1"/>
  <c r="G79" i="14" s="1"/>
  <c r="G80" i="14" s="1"/>
  <c r="G81" i="14" s="1"/>
  <c r="G82" i="14" s="1"/>
  <c r="G83" i="14" s="1"/>
  <c r="G84" i="14" s="1"/>
  <c r="G85" i="14" s="1"/>
  <c r="G86" i="14" s="1"/>
  <c r="G87" i="14" s="1"/>
  <c r="G88" i="14" s="1"/>
  <c r="G89" i="14" s="1"/>
  <c r="G90" i="14" s="1"/>
  <c r="G91" i="14" s="1"/>
  <c r="G92" i="14" s="1"/>
  <c r="G93" i="14" s="1"/>
  <c r="G94" i="14" s="1"/>
  <c r="G95" i="14" s="1"/>
  <c r="G96" i="14" s="1"/>
  <c r="G97" i="14" s="1"/>
  <c r="G98" i="14" s="1"/>
  <c r="G99" i="14" s="1"/>
  <c r="G100" i="14" s="1"/>
  <c r="G101" i="14" s="1"/>
  <c r="G102" i="14" s="1"/>
  <c r="G103" i="14" s="1"/>
  <c r="G104" i="14" s="1"/>
  <c r="G105" i="14" s="1"/>
  <c r="G106" i="14" s="1"/>
  <c r="G107" i="14" s="1"/>
  <c r="G108" i="14" s="1"/>
  <c r="G109" i="14" s="1"/>
  <c r="G110" i="14" s="1"/>
  <c r="G111" i="14" s="1"/>
  <c r="G112" i="14" s="1"/>
  <c r="G113" i="14" s="1"/>
  <c r="G114" i="14" s="1"/>
  <c r="G115" i="14" s="1"/>
  <c r="G116" i="14" s="1"/>
  <c r="G117" i="14" s="1"/>
  <c r="G118" i="14" s="1"/>
  <c r="G119" i="14" s="1"/>
  <c r="G120" i="14" s="1"/>
  <c r="G121" i="14" s="1"/>
  <c r="G122" i="14" s="1"/>
  <c r="G123" i="14" s="1"/>
  <c r="G124" i="14" s="1"/>
  <c r="G125" i="14" s="1"/>
  <c r="G126" i="14" s="1"/>
  <c r="G127" i="14" s="1"/>
  <c r="G128" i="14" s="1"/>
  <c r="G129" i="14" s="1"/>
  <c r="G130" i="14" s="1"/>
  <c r="G131" i="14" s="1"/>
  <c r="G132" i="14" s="1"/>
  <c r="G133" i="14" s="1"/>
  <c r="G134" i="14" s="1"/>
  <c r="G135" i="14" s="1"/>
  <c r="G136" i="14" s="1"/>
  <c r="G137" i="14" s="1"/>
  <c r="G138" i="14" s="1"/>
  <c r="G139" i="14" s="1"/>
  <c r="G140" i="14" s="1"/>
  <c r="G141" i="14" s="1"/>
  <c r="G142" i="14" s="1"/>
  <c r="G143" i="14" s="1"/>
  <c r="G144" i="14" s="1"/>
  <c r="G145" i="14" s="1"/>
  <c r="G146" i="14" s="1"/>
  <c r="G147" i="14" s="1"/>
  <c r="G148" i="14" s="1"/>
  <c r="G149" i="14" s="1"/>
  <c r="G150" i="14" s="1"/>
  <c r="G151" i="14" s="1"/>
  <c r="G152" i="14" s="1"/>
  <c r="G153" i="14" s="1"/>
  <c r="G154" i="14" s="1"/>
  <c r="G155" i="14" s="1"/>
  <c r="G156" i="14" s="1"/>
  <c r="G157" i="14" s="1"/>
  <c r="G158" i="14" s="1"/>
  <c r="G159" i="14" s="1"/>
  <c r="G160" i="14" s="1"/>
  <c r="G161" i="14" s="1"/>
  <c r="G162" i="14" s="1"/>
  <c r="G163" i="14" s="1"/>
  <c r="G164" i="14" s="1"/>
  <c r="G165" i="14" s="1"/>
  <c r="G166" i="14" s="1"/>
  <c r="G167" i="14" s="1"/>
  <c r="G168" i="14" s="1"/>
  <c r="G169" i="14" s="1"/>
  <c r="G170" i="14" s="1"/>
  <c r="G171" i="14" s="1"/>
  <c r="G172" i="14" s="1"/>
  <c r="G173" i="14" s="1"/>
  <c r="G174" i="14" s="1"/>
  <c r="G175" i="14" s="1"/>
  <c r="G176" i="14" s="1"/>
  <c r="G177" i="14" s="1"/>
  <c r="G178" i="14" s="1"/>
  <c r="G179" i="14" s="1"/>
  <c r="G180" i="14" s="1"/>
  <c r="G181" i="14" s="1"/>
  <c r="G182" i="14" s="1"/>
  <c r="G183" i="14" s="1"/>
  <c r="G184" i="14" s="1"/>
  <c r="G185" i="14" s="1"/>
  <c r="G186" i="14" s="1"/>
  <c r="G187" i="14" s="1"/>
  <c r="G188" i="14" s="1"/>
  <c r="G189" i="14" s="1"/>
  <c r="G190" i="14" s="1"/>
  <c r="G191" i="14" s="1"/>
  <c r="G192" i="14" s="1"/>
  <c r="G193" i="14" s="1"/>
  <c r="G194" i="14" s="1"/>
  <c r="G195" i="14" s="1"/>
  <c r="G196" i="14" s="1"/>
  <c r="G197" i="14" s="1"/>
  <c r="G198" i="14" s="1"/>
  <c r="G199" i="14" s="1"/>
  <c r="G200" i="14" s="1"/>
  <c r="G201" i="14" s="1"/>
  <c r="G202" i="14" s="1"/>
  <c r="G203" i="14" s="1"/>
  <c r="G204" i="14" s="1"/>
  <c r="G205" i="14" s="1"/>
  <c r="G206" i="14" s="1"/>
  <c r="G207" i="14" s="1"/>
  <c r="G208" i="14" s="1"/>
  <c r="G209" i="14" s="1"/>
  <c r="G210" i="14" s="1"/>
  <c r="G211" i="14" s="1"/>
  <c r="G212" i="14" s="1"/>
  <c r="G213" i="14" s="1"/>
  <c r="G214" i="14" s="1"/>
  <c r="G215" i="14" s="1"/>
  <c r="G216" i="14" s="1"/>
  <c r="G217" i="14" s="1"/>
  <c r="G218" i="14" s="1"/>
  <c r="G219" i="14" s="1"/>
  <c r="G220" i="14" s="1"/>
  <c r="G221" i="14" s="1"/>
  <c r="G222" i="14" s="1"/>
  <c r="G223" i="14" s="1"/>
  <c r="G224" i="14" s="1"/>
  <c r="G225" i="14" s="1"/>
  <c r="G226" i="14" s="1"/>
  <c r="G227" i="14" s="1"/>
  <c r="G228" i="14" s="1"/>
  <c r="G229" i="14" s="1"/>
  <c r="G230" i="14" s="1"/>
  <c r="G231" i="14" s="1"/>
  <c r="G232" i="14" s="1"/>
  <c r="G233" i="14" s="1"/>
  <c r="G234" i="14" s="1"/>
  <c r="G235" i="14" s="1"/>
  <c r="G236" i="14" s="1"/>
  <c r="G237" i="14" s="1"/>
  <c r="G238" i="14" s="1"/>
  <c r="G239" i="14" s="1"/>
  <c r="G240" i="14" s="1"/>
  <c r="G241" i="14" s="1"/>
  <c r="G242" i="14" s="1"/>
  <c r="G243" i="14" s="1"/>
  <c r="G244" i="14" s="1"/>
  <c r="G245" i="14" s="1"/>
  <c r="G246" i="14" s="1"/>
  <c r="G247" i="14" s="1"/>
  <c r="G248" i="14" s="1"/>
  <c r="G249" i="14" s="1"/>
  <c r="G250" i="14" s="1"/>
  <c r="G251" i="14" s="1"/>
  <c r="G252" i="14" s="1"/>
  <c r="G253" i="14" s="1"/>
  <c r="G254" i="14" s="1"/>
  <c r="G255" i="14" s="1"/>
  <c r="G256" i="14" s="1"/>
  <c r="G257" i="14" s="1"/>
  <c r="G258" i="14" s="1"/>
  <c r="G259" i="14" s="1"/>
  <c r="G260" i="14" s="1"/>
  <c r="G261" i="14" s="1"/>
  <c r="G262" i="14" s="1"/>
  <c r="G263" i="14" s="1"/>
  <c r="G264" i="14" s="1"/>
  <c r="G265" i="14" s="1"/>
  <c r="G266" i="14" s="1"/>
  <c r="G267" i="14" s="1"/>
  <c r="G268" i="14" s="1"/>
  <c r="G269" i="14" s="1"/>
  <c r="G270" i="14" s="1"/>
  <c r="G271" i="14" s="1"/>
  <c r="G272" i="14" s="1"/>
  <c r="G273" i="14" s="1"/>
  <c r="G274" i="14" s="1"/>
  <c r="G275" i="14" s="1"/>
  <c r="G276" i="14" s="1"/>
  <c r="G277" i="14" s="1"/>
  <c r="G278" i="14" s="1"/>
  <c r="G279" i="14" s="1"/>
  <c r="G280" i="14" s="1"/>
  <c r="G281" i="14" s="1"/>
  <c r="G282" i="14" s="1"/>
  <c r="G283" i="14" s="1"/>
  <c r="G284" i="14" s="1"/>
  <c r="G285" i="14" s="1"/>
  <c r="G286" i="14" s="1"/>
  <c r="G287" i="14" s="1"/>
  <c r="G288" i="14" s="1"/>
  <c r="G289" i="14" s="1"/>
  <c r="G290" i="14" s="1"/>
  <c r="G291" i="14" s="1"/>
  <c r="G292" i="14" s="1"/>
  <c r="G293" i="14" s="1"/>
  <c r="G294" i="14" s="1"/>
  <c r="G295" i="14" s="1"/>
  <c r="G296" i="14" s="1"/>
  <c r="G297" i="14" s="1"/>
  <c r="G298" i="14" s="1"/>
  <c r="G299" i="14" s="1"/>
  <c r="G300" i="14" s="1"/>
  <c r="G301" i="14" s="1"/>
  <c r="G302" i="14" s="1"/>
  <c r="G303" i="14" s="1"/>
  <c r="G304" i="14" s="1"/>
  <c r="G305" i="14" s="1"/>
  <c r="G306" i="14" s="1"/>
  <c r="G307" i="14" s="1"/>
  <c r="G308" i="14" s="1"/>
  <c r="G309" i="14" s="1"/>
  <c r="G310" i="14" s="1"/>
  <c r="G311" i="14" s="1"/>
  <c r="G312" i="14" s="1"/>
  <c r="G313" i="14" s="1"/>
  <c r="G314" i="14" s="1"/>
  <c r="G315" i="14" s="1"/>
  <c r="G316" i="14" s="1"/>
  <c r="G317" i="14" s="1"/>
  <c r="G318" i="14" s="1"/>
  <c r="G319" i="14" s="1"/>
  <c r="G320" i="14" s="1"/>
  <c r="G321" i="14" s="1"/>
  <c r="G322" i="14" s="1"/>
  <c r="G323" i="14" s="1"/>
  <c r="G324" i="14" s="1"/>
  <c r="G325" i="14" s="1"/>
  <c r="G326" i="14" s="1"/>
  <c r="G327" i="14" s="1"/>
  <c r="G328" i="14" s="1"/>
  <c r="G329" i="14" s="1"/>
  <c r="G330" i="14" s="1"/>
  <c r="G331" i="14" s="1"/>
  <c r="G332" i="14" s="1"/>
  <c r="G333" i="14" s="1"/>
  <c r="G334" i="14" s="1"/>
  <c r="G335" i="14" s="1"/>
  <c r="G336" i="14" s="1"/>
  <c r="G337" i="14" s="1"/>
  <c r="G338" i="14" s="1"/>
  <c r="G339" i="14" s="1"/>
  <c r="G340" i="14" s="1"/>
  <c r="G341" i="14" s="1"/>
  <c r="G342" i="14" s="1"/>
  <c r="G343" i="14" s="1"/>
  <c r="G344" i="14" s="1"/>
  <c r="G345" i="14" s="1"/>
  <c r="G346" i="14" s="1"/>
  <c r="G347" i="14" s="1"/>
  <c r="G348" i="14" s="1"/>
  <c r="G349" i="14" s="1"/>
  <c r="G350" i="14" s="1"/>
  <c r="G351" i="14" s="1"/>
  <c r="G352" i="14" s="1"/>
  <c r="G353" i="14" s="1"/>
  <c r="G354" i="14" s="1"/>
  <c r="G355" i="14" s="1"/>
  <c r="G356" i="14" s="1"/>
  <c r="G357" i="14" s="1"/>
  <c r="G358" i="14" s="1"/>
  <c r="G359" i="14" s="1"/>
  <c r="G360" i="14" s="1"/>
  <c r="G361" i="14" s="1"/>
  <c r="G362" i="14" s="1"/>
  <c r="G363" i="14" s="1"/>
  <c r="G364" i="14" s="1"/>
  <c r="G365" i="14" s="1"/>
  <c r="G366" i="14" s="1"/>
  <c r="G367" i="14" s="1"/>
  <c r="G368" i="14" s="1"/>
  <c r="G369" i="14" s="1"/>
  <c r="G370" i="14" s="1"/>
  <c r="G371" i="14" s="1"/>
  <c r="G372" i="14" s="1"/>
  <c r="G373" i="14" s="1"/>
  <c r="G374" i="14" s="1"/>
  <c r="G375" i="14" s="1"/>
  <c r="G376" i="14" s="1"/>
  <c r="G377" i="14" s="1"/>
  <c r="G378" i="14" s="1"/>
  <c r="G379" i="14" s="1"/>
  <c r="G380" i="14" s="1"/>
  <c r="G381" i="14" s="1"/>
  <c r="G382" i="14" s="1"/>
  <c r="G383" i="14" s="1"/>
  <c r="G384" i="14" s="1"/>
  <c r="G385" i="14" s="1"/>
  <c r="G386" i="14" s="1"/>
  <c r="G387" i="14" s="1"/>
  <c r="G388" i="14" s="1"/>
  <c r="G389" i="14" s="1"/>
  <c r="G390" i="14" s="1"/>
  <c r="G391" i="14" s="1"/>
  <c r="G392" i="14" s="1"/>
  <c r="G393" i="14" s="1"/>
  <c r="G394" i="14" s="1"/>
  <c r="G395" i="14" s="1"/>
  <c r="G396" i="14" s="1"/>
  <c r="G397" i="14" s="1"/>
  <c r="G398" i="14" s="1"/>
  <c r="G399" i="14" s="1"/>
  <c r="G400" i="14" s="1"/>
  <c r="G401" i="14" s="1"/>
  <c r="G402" i="14" s="1"/>
  <c r="G403" i="14" s="1"/>
  <c r="G404" i="14" s="1"/>
  <c r="G405" i="14" s="1"/>
  <c r="G406" i="14" s="1"/>
  <c r="G407" i="14" s="1"/>
  <c r="G408" i="14" s="1"/>
  <c r="G409" i="14" s="1"/>
  <c r="G410" i="14" s="1"/>
  <c r="G411" i="14" s="1"/>
  <c r="G412" i="14" s="1"/>
  <c r="G413" i="14" s="1"/>
  <c r="G414" i="14" s="1"/>
  <c r="G415" i="14" s="1"/>
  <c r="G416" i="14" s="1"/>
  <c r="G417" i="14" s="1"/>
  <c r="G418" i="14" s="1"/>
  <c r="G419" i="14" s="1"/>
  <c r="G420" i="14" s="1"/>
  <c r="G421" i="14" s="1"/>
  <c r="G422" i="14" s="1"/>
  <c r="G423" i="14" s="1"/>
  <c r="G424" i="14" s="1"/>
  <c r="G425" i="14" s="1"/>
  <c r="G426" i="14" s="1"/>
  <c r="G427" i="14" s="1"/>
  <c r="G428" i="14" s="1"/>
  <c r="G429" i="14" s="1"/>
  <c r="G430" i="14" s="1"/>
  <c r="G431" i="14" s="1"/>
  <c r="G432" i="14" s="1"/>
  <c r="G433" i="14" s="1"/>
  <c r="G434" i="14" s="1"/>
  <c r="G435" i="14" s="1"/>
  <c r="G436" i="14" s="1"/>
  <c r="G437" i="14" s="1"/>
  <c r="G438" i="14" s="1"/>
  <c r="G439" i="14" s="1"/>
  <c r="G440" i="14" s="1"/>
  <c r="G441" i="14" s="1"/>
  <c r="G442" i="14" s="1"/>
  <c r="G443" i="14" s="1"/>
  <c r="G444" i="14" s="1"/>
  <c r="G445" i="14" s="1"/>
  <c r="G446" i="14" s="1"/>
  <c r="G447" i="14" s="1"/>
  <c r="G448" i="14" s="1"/>
  <c r="G449" i="14" s="1"/>
  <c r="G450" i="14" s="1"/>
  <c r="G451" i="14" s="1"/>
  <c r="G452" i="14" s="1"/>
  <c r="G453" i="14" s="1"/>
  <c r="G454" i="14" s="1"/>
  <c r="G455" i="14" s="1"/>
  <c r="G456" i="14" s="1"/>
  <c r="G457" i="14" s="1"/>
  <c r="G458" i="14" s="1"/>
  <c r="G459" i="14" s="1"/>
  <c r="G460" i="14" s="1"/>
  <c r="G461" i="14" s="1"/>
  <c r="G462" i="14" s="1"/>
  <c r="G463" i="14" s="1"/>
  <c r="G464" i="14" s="1"/>
  <c r="G465" i="14" s="1"/>
  <c r="G466" i="14" s="1"/>
  <c r="G467" i="14" s="1"/>
  <c r="G468" i="14" s="1"/>
  <c r="G469" i="14" s="1"/>
  <c r="G470" i="14" s="1"/>
  <c r="G471" i="14" s="1"/>
  <c r="G472" i="14" s="1"/>
  <c r="G473" i="14" s="1"/>
  <c r="G474" i="14" s="1"/>
  <c r="G475" i="14" s="1"/>
  <c r="G476" i="14" s="1"/>
  <c r="G477" i="14" s="1"/>
  <c r="G478" i="14" s="1"/>
  <c r="G479" i="14" s="1"/>
  <c r="G480" i="14" s="1"/>
  <c r="G481" i="14" s="1"/>
  <c r="G482" i="14" s="1"/>
  <c r="G483" i="14" s="1"/>
  <c r="G484" i="14" s="1"/>
  <c r="G485" i="14" s="1"/>
  <c r="G486" i="14" s="1"/>
  <c r="G487" i="14" s="1"/>
  <c r="G488" i="14" s="1"/>
  <c r="G489" i="14" s="1"/>
  <c r="G490" i="14" s="1"/>
  <c r="G491" i="14" s="1"/>
  <c r="G492" i="14" s="1"/>
  <c r="G493" i="14" s="1"/>
  <c r="G494" i="14" s="1"/>
  <c r="G495" i="14" s="1"/>
  <c r="G496" i="14" s="1"/>
  <c r="G497" i="14" s="1"/>
  <c r="G498" i="14" s="1"/>
  <c r="G499" i="14" s="1"/>
  <c r="G500" i="14" s="1"/>
  <c r="G501" i="14" s="1"/>
  <c r="G502" i="14" s="1"/>
  <c r="G503" i="14" s="1"/>
  <c r="G504" i="14" s="1"/>
  <c r="G505" i="14" s="1"/>
  <c r="G506" i="14" s="1"/>
  <c r="G507" i="14" s="1"/>
  <c r="G508" i="14" s="1"/>
  <c r="G509" i="14" s="1"/>
  <c r="G510" i="14" s="1"/>
  <c r="G511" i="14" s="1"/>
  <c r="G512" i="14" s="1"/>
  <c r="G513" i="14" s="1"/>
  <c r="G514" i="14" s="1"/>
  <c r="G515" i="14" s="1"/>
  <c r="G516" i="14" s="1"/>
  <c r="G517" i="14" s="1"/>
  <c r="G518" i="14" s="1"/>
  <c r="G519" i="14" s="1"/>
  <c r="G520" i="14" s="1"/>
  <c r="G521" i="14" s="1"/>
  <c r="G522" i="14" s="1"/>
  <c r="G523" i="14" s="1"/>
  <c r="G524" i="14" s="1"/>
  <c r="G525" i="14" s="1"/>
  <c r="G526" i="14" s="1"/>
  <c r="G527" i="14" s="1"/>
  <c r="G528" i="14" s="1"/>
  <c r="G529" i="14" s="1"/>
  <c r="G530" i="14" s="1"/>
  <c r="G531" i="14" s="1"/>
  <c r="G532" i="14" s="1"/>
  <c r="G533" i="14" s="1"/>
  <c r="G534" i="14" s="1"/>
  <c r="G535" i="14" s="1"/>
  <c r="G536" i="14" s="1"/>
  <c r="G537" i="14" s="1"/>
  <c r="G538" i="14" s="1"/>
  <c r="G539" i="14" s="1"/>
  <c r="G540" i="14" s="1"/>
  <c r="G541" i="14" s="1"/>
  <c r="G542" i="14" s="1"/>
  <c r="G543" i="14" s="1"/>
  <c r="G544" i="14" s="1"/>
  <c r="G545" i="14" s="1"/>
  <c r="G546" i="14" s="1"/>
  <c r="G547" i="14" s="1"/>
  <c r="G548" i="14" s="1"/>
  <c r="G549" i="14" s="1"/>
  <c r="G550" i="14" s="1"/>
  <c r="G551" i="14" s="1"/>
  <c r="G552" i="14" s="1"/>
  <c r="G553" i="14" s="1"/>
  <c r="G554" i="14" s="1"/>
  <c r="G555" i="14" s="1"/>
  <c r="G556" i="14" s="1"/>
  <c r="G557" i="14" s="1"/>
  <c r="G558" i="14" s="1"/>
  <c r="G559" i="14" s="1"/>
  <c r="G560" i="14" s="1"/>
  <c r="G561" i="14" s="1"/>
  <c r="G562" i="14" s="1"/>
  <c r="G563" i="14" s="1"/>
  <c r="G564" i="14" s="1"/>
  <c r="G565" i="14" s="1"/>
  <c r="G566" i="14" s="1"/>
  <c r="G567" i="14" s="1"/>
  <c r="G568" i="14" s="1"/>
  <c r="G569" i="14" s="1"/>
  <c r="G570" i="14" s="1"/>
  <c r="G571" i="14" s="1"/>
  <c r="G572" i="14" s="1"/>
  <c r="G573" i="14" s="1"/>
  <c r="G574" i="14" s="1"/>
  <c r="G575" i="14" s="1"/>
  <c r="G576" i="14" s="1"/>
  <c r="G577" i="14" s="1"/>
  <c r="G578" i="14" s="1"/>
  <c r="G579" i="14" s="1"/>
  <c r="G580" i="14" s="1"/>
  <c r="G581" i="14" s="1"/>
  <c r="G582" i="14" s="1"/>
  <c r="G583" i="14" s="1"/>
  <c r="G584" i="14" s="1"/>
  <c r="G585" i="14" s="1"/>
  <c r="G586" i="14" s="1"/>
  <c r="G587" i="14" s="1"/>
  <c r="G588" i="14" s="1"/>
  <c r="G589" i="14" s="1"/>
  <c r="G590" i="14" s="1"/>
  <c r="G591" i="14" s="1"/>
  <c r="G592" i="14" s="1"/>
  <c r="G593" i="14" s="1"/>
  <c r="G594" i="14" s="1"/>
  <c r="G595" i="14" s="1"/>
  <c r="G596" i="14" s="1"/>
  <c r="G597" i="14" s="1"/>
  <c r="G598" i="14" s="1"/>
  <c r="G599" i="14" s="1"/>
  <c r="G600" i="14" s="1"/>
  <c r="G601" i="14" s="1"/>
  <c r="G602" i="14" s="1"/>
  <c r="G603" i="14" s="1"/>
  <c r="G604" i="14" s="1"/>
  <c r="G605" i="14" s="1"/>
  <c r="G606" i="14" s="1"/>
  <c r="G607" i="14" s="1"/>
  <c r="G608" i="14" s="1"/>
  <c r="G609" i="14" s="1"/>
  <c r="G610" i="14" s="1"/>
  <c r="G611" i="14" s="1"/>
  <c r="G612" i="14" s="1"/>
  <c r="G613" i="14" s="1"/>
  <c r="G614" i="14" s="1"/>
  <c r="G615" i="14" s="1"/>
  <c r="G616" i="14" s="1"/>
  <c r="G617" i="14" s="1"/>
  <c r="G618" i="14" s="1"/>
  <c r="G619" i="14" s="1"/>
  <c r="G620" i="14" s="1"/>
  <c r="G621" i="14" s="1"/>
  <c r="G622" i="14" s="1"/>
  <c r="G623" i="14" s="1"/>
  <c r="G624" i="14" s="1"/>
  <c r="G625" i="14" s="1"/>
  <c r="G626" i="14" s="1"/>
  <c r="G627" i="14" s="1"/>
  <c r="G628" i="14" s="1"/>
  <c r="G629" i="14" s="1"/>
  <c r="G630" i="14" s="1"/>
  <c r="G631" i="14" s="1"/>
  <c r="G632" i="14" s="1"/>
  <c r="G633" i="14" s="1"/>
  <c r="G634" i="14" s="1"/>
  <c r="G635" i="14" s="1"/>
  <c r="G636" i="14" s="1"/>
  <c r="G637" i="14" s="1"/>
  <c r="G638" i="14" s="1"/>
  <c r="G639" i="14" s="1"/>
  <c r="G640" i="14" s="1"/>
  <c r="G641" i="14" s="1"/>
  <c r="G642" i="14" s="1"/>
  <c r="G643" i="14" s="1"/>
  <c r="G644" i="14" s="1"/>
  <c r="G645" i="14" s="1"/>
  <c r="G646" i="14" s="1"/>
  <c r="G647" i="14" s="1"/>
  <c r="G648" i="14" s="1"/>
  <c r="G649" i="14" s="1"/>
  <c r="G650" i="14" s="1"/>
  <c r="G651" i="14" s="1"/>
  <c r="G652" i="14" s="1"/>
  <c r="G653" i="14" s="1"/>
  <c r="G654" i="14" s="1"/>
  <c r="G655" i="14" s="1"/>
  <c r="G656" i="14" s="1"/>
  <c r="G657" i="14" s="1"/>
  <c r="G658" i="14" s="1"/>
  <c r="G659" i="14" s="1"/>
  <c r="G660" i="14" s="1"/>
  <c r="G661" i="14" s="1"/>
  <c r="G662" i="14" s="1"/>
  <c r="G663" i="14" s="1"/>
  <c r="G664" i="14" s="1"/>
  <c r="G665" i="14" s="1"/>
  <c r="G666" i="14" s="1"/>
  <c r="G667" i="14" s="1"/>
  <c r="G668" i="14" s="1"/>
  <c r="G669" i="14" s="1"/>
  <c r="G670" i="14" s="1"/>
  <c r="G671" i="14" s="1"/>
  <c r="G672" i="14" s="1"/>
  <c r="G673" i="14" s="1"/>
  <c r="G674" i="14" s="1"/>
  <c r="G675" i="14" s="1"/>
  <c r="G676" i="14" s="1"/>
  <c r="G677" i="14" s="1"/>
  <c r="G678" i="14" s="1"/>
  <c r="G679" i="14" s="1"/>
  <c r="G680" i="14" s="1"/>
  <c r="G681" i="14" s="1"/>
  <c r="G682" i="14" s="1"/>
  <c r="G683" i="14" s="1"/>
  <c r="G684" i="14" s="1"/>
  <c r="G685" i="14" s="1"/>
  <c r="G686" i="14" s="1"/>
  <c r="G687" i="14" s="1"/>
  <c r="G688" i="14" s="1"/>
  <c r="G689" i="14" s="1"/>
  <c r="G690" i="14" s="1"/>
  <c r="G691" i="14" s="1"/>
  <c r="G692" i="14" s="1"/>
  <c r="G693" i="14" s="1"/>
  <c r="G694" i="14" s="1"/>
  <c r="G695" i="14" s="1"/>
  <c r="G696" i="14" s="1"/>
  <c r="G697" i="14" s="1"/>
  <c r="G698" i="14" s="1"/>
  <c r="G699" i="14" s="1"/>
  <c r="G700" i="14" s="1"/>
  <c r="G701" i="14" s="1"/>
  <c r="G702" i="14" s="1"/>
  <c r="G703" i="14" s="1"/>
  <c r="G704" i="14" s="1"/>
  <c r="G705" i="14" s="1"/>
  <c r="G706" i="14" s="1"/>
  <c r="G707" i="14" s="1"/>
  <c r="G708" i="14" s="1"/>
  <c r="G709" i="14" s="1"/>
  <c r="G710" i="14" s="1"/>
  <c r="G711" i="14" s="1"/>
  <c r="G712" i="14" s="1"/>
  <c r="G713" i="14" s="1"/>
  <c r="G714" i="14" s="1"/>
  <c r="G715" i="14" s="1"/>
  <c r="G716" i="14" s="1"/>
  <c r="G717" i="14" s="1"/>
  <c r="G718" i="14" s="1"/>
  <c r="G719" i="14" s="1"/>
  <c r="G720" i="14" s="1"/>
  <c r="G721" i="14" s="1"/>
  <c r="G722" i="14" s="1"/>
  <c r="G723" i="14" s="1"/>
  <c r="G724" i="14" s="1"/>
  <c r="G725" i="14" s="1"/>
  <c r="G726" i="14" s="1"/>
  <c r="G727" i="14" s="1"/>
  <c r="G728" i="14" s="1"/>
  <c r="G729" i="14" s="1"/>
  <c r="G730" i="14" s="1"/>
  <c r="G731" i="14" s="1"/>
  <c r="G732" i="14" s="1"/>
  <c r="G733" i="14" s="1"/>
  <c r="G734" i="14" s="1"/>
  <c r="G735" i="14" s="1"/>
  <c r="G736" i="14" s="1"/>
  <c r="G737" i="14" s="1"/>
  <c r="G738" i="14" s="1"/>
  <c r="G739" i="14" s="1"/>
  <c r="G740" i="14" s="1"/>
  <c r="G741" i="14" s="1"/>
  <c r="G742" i="14" s="1"/>
  <c r="G743" i="14" s="1"/>
  <c r="G744" i="14" s="1"/>
  <c r="G745" i="14" s="1"/>
  <c r="G746" i="14" s="1"/>
  <c r="G747" i="14" s="1"/>
  <c r="G748" i="14" s="1"/>
  <c r="G749" i="14" s="1"/>
  <c r="G750" i="14" s="1"/>
  <c r="G751" i="14" s="1"/>
  <c r="G752" i="14" s="1"/>
  <c r="G753" i="14" s="1"/>
  <c r="G754" i="14" s="1"/>
  <c r="G755" i="14" s="1"/>
  <c r="G756" i="14" s="1"/>
  <c r="G757" i="14" s="1"/>
  <c r="G758" i="14" s="1"/>
  <c r="G759" i="14" s="1"/>
  <c r="G760" i="14" s="1"/>
  <c r="G761" i="14" s="1"/>
  <c r="G762" i="14" s="1"/>
  <c r="G763" i="14" s="1"/>
  <c r="G764" i="14" s="1"/>
  <c r="G765" i="14" s="1"/>
  <c r="G766" i="14" s="1"/>
  <c r="G767" i="14" s="1"/>
  <c r="G768" i="14" s="1"/>
  <c r="G769" i="14" s="1"/>
  <c r="G770" i="14" s="1"/>
  <c r="G771" i="14" s="1"/>
  <c r="G772" i="14" s="1"/>
  <c r="G773" i="14" s="1"/>
  <c r="G774" i="14" s="1"/>
  <c r="G775" i="14" s="1"/>
  <c r="G776" i="14" s="1"/>
  <c r="G777" i="14" s="1"/>
  <c r="G778" i="14" s="1"/>
  <c r="G779" i="14" s="1"/>
  <c r="G780" i="14" s="1"/>
  <c r="G781" i="14" s="1"/>
  <c r="G782" i="14" s="1"/>
  <c r="G783" i="14" s="1"/>
  <c r="G784" i="14" s="1"/>
  <c r="G785" i="14" s="1"/>
  <c r="G786" i="14" s="1"/>
  <c r="G787" i="14" s="1"/>
  <c r="G788" i="14" s="1"/>
  <c r="G789" i="14" s="1"/>
  <c r="G790" i="14" s="1"/>
  <c r="G791" i="14" s="1"/>
  <c r="G792" i="14" s="1"/>
  <c r="G793" i="14" s="1"/>
  <c r="G794" i="14" s="1"/>
  <c r="G795" i="14" s="1"/>
  <c r="G796" i="14" s="1"/>
  <c r="G797" i="14" s="1"/>
  <c r="G798" i="14" s="1"/>
  <c r="G799" i="14" s="1"/>
  <c r="G800" i="14" s="1"/>
  <c r="G801" i="14" s="1"/>
  <c r="G802" i="14" s="1"/>
  <c r="G803" i="14" s="1"/>
  <c r="G804" i="14" s="1"/>
  <c r="G805" i="14" s="1"/>
  <c r="G806" i="14" s="1"/>
  <c r="G807" i="14" s="1"/>
  <c r="G808" i="14" s="1"/>
  <c r="G809" i="14" s="1"/>
  <c r="G810" i="14" s="1"/>
  <c r="G811" i="14" s="1"/>
  <c r="G812" i="14" s="1"/>
  <c r="G813" i="14" s="1"/>
  <c r="G814" i="14" s="1"/>
  <c r="G815" i="14" s="1"/>
  <c r="G816" i="14" s="1"/>
  <c r="G817" i="14" s="1"/>
  <c r="G818" i="14" s="1"/>
  <c r="G819" i="14" s="1"/>
  <c r="G820" i="14" s="1"/>
  <c r="G821" i="14" s="1"/>
  <c r="G822" i="14" s="1"/>
  <c r="G823" i="14" s="1"/>
  <c r="G824" i="14" s="1"/>
  <c r="G825" i="14" s="1"/>
  <c r="G826" i="14" s="1"/>
  <c r="G827" i="14" s="1"/>
  <c r="G828" i="14" s="1"/>
  <c r="G829" i="14" s="1"/>
  <c r="G830" i="14" s="1"/>
  <c r="G831" i="14" s="1"/>
  <c r="G832" i="14" s="1"/>
  <c r="G833" i="14" s="1"/>
  <c r="G834" i="14" s="1"/>
  <c r="G835" i="14" s="1"/>
  <c r="G836" i="14" s="1"/>
  <c r="G837" i="14" s="1"/>
  <c r="G838" i="14" s="1"/>
  <c r="G839" i="14" s="1"/>
  <c r="G840" i="14" s="1"/>
  <c r="G841" i="14" s="1"/>
  <c r="G842" i="14" s="1"/>
  <c r="G843" i="14" s="1"/>
  <c r="G844" i="14" s="1"/>
  <c r="G845" i="14" s="1"/>
  <c r="G846" i="14" s="1"/>
  <c r="G847" i="14" s="1"/>
  <c r="G848" i="14" s="1"/>
  <c r="G849" i="14" s="1"/>
  <c r="G850" i="14" s="1"/>
  <c r="G851" i="14" s="1"/>
  <c r="G852" i="14" s="1"/>
  <c r="G853" i="14" s="1"/>
  <c r="G854" i="14" s="1"/>
  <c r="G855" i="14" s="1"/>
  <c r="G856" i="14" s="1"/>
  <c r="G857" i="14" s="1"/>
  <c r="G858" i="14" s="1"/>
  <c r="G859" i="14" s="1"/>
  <c r="G860" i="14" s="1"/>
  <c r="G861" i="14" s="1"/>
  <c r="G862" i="14" s="1"/>
  <c r="G863" i="14" s="1"/>
  <c r="G864" i="14" s="1"/>
  <c r="G865" i="14" s="1"/>
  <c r="G866" i="14" s="1"/>
  <c r="G867" i="14" s="1"/>
  <c r="G868" i="14" s="1"/>
  <c r="G869" i="14" s="1"/>
  <c r="G870" i="14" s="1"/>
  <c r="G871" i="14" s="1"/>
  <c r="G872" i="14" s="1"/>
  <c r="G873" i="14" s="1"/>
  <c r="G874" i="14" s="1"/>
  <c r="G875" i="14" s="1"/>
  <c r="G876" i="14" s="1"/>
  <c r="G877" i="14" s="1"/>
  <c r="G878" i="14" s="1"/>
  <c r="G879" i="14" s="1"/>
  <c r="G880" i="14" s="1"/>
  <c r="G881" i="14" s="1"/>
  <c r="G882" i="14" s="1"/>
  <c r="G883" i="14" s="1"/>
  <c r="G884" i="14" s="1"/>
  <c r="G885" i="14" s="1"/>
  <c r="G886" i="14" s="1"/>
  <c r="G887" i="14" s="1"/>
  <c r="G888" i="14" s="1"/>
  <c r="G889" i="14" s="1"/>
  <c r="G890" i="14" s="1"/>
  <c r="G891" i="14" s="1"/>
  <c r="G892" i="14" s="1"/>
  <c r="G893" i="14" s="1"/>
  <c r="G894" i="14" s="1"/>
  <c r="G895" i="14" s="1"/>
  <c r="G896" i="14" s="1"/>
  <c r="G897" i="14" s="1"/>
  <c r="G898" i="14" s="1"/>
  <c r="G899" i="14" s="1"/>
  <c r="G900" i="14" s="1"/>
  <c r="G901" i="14" s="1"/>
  <c r="G902" i="14" s="1"/>
  <c r="G903" i="14" s="1"/>
  <c r="G904" i="14" s="1"/>
  <c r="G905" i="14" s="1"/>
  <c r="G906" i="14" s="1"/>
  <c r="G907" i="14" s="1"/>
  <c r="G908" i="14" s="1"/>
  <c r="G909" i="14" s="1"/>
  <c r="G910" i="14" s="1"/>
  <c r="G911" i="14" s="1"/>
  <c r="G912" i="14" s="1"/>
  <c r="G913" i="14" s="1"/>
  <c r="G914" i="14" s="1"/>
  <c r="G915" i="14" s="1"/>
  <c r="G916" i="14" s="1"/>
  <c r="G917" i="14" s="1"/>
  <c r="G918" i="14" s="1"/>
  <c r="G919" i="14" s="1"/>
  <c r="G920" i="14" s="1"/>
  <c r="G921" i="14" s="1"/>
  <c r="G922" i="14" s="1"/>
  <c r="G923" i="14" s="1"/>
  <c r="G924" i="14" s="1"/>
  <c r="G925" i="14" s="1"/>
  <c r="G926" i="14" s="1"/>
  <c r="G927" i="14" s="1"/>
  <c r="G928" i="14" s="1"/>
  <c r="G929" i="14" s="1"/>
  <c r="G930" i="14" s="1"/>
  <c r="G931" i="14" s="1"/>
  <c r="G932" i="14" s="1"/>
  <c r="G933" i="14" s="1"/>
  <c r="G934" i="14" s="1"/>
  <c r="G935" i="14" s="1"/>
  <c r="G936" i="14" s="1"/>
  <c r="G937" i="14" s="1"/>
  <c r="G938" i="14" s="1"/>
  <c r="G939" i="14" s="1"/>
  <c r="G940" i="14" s="1"/>
  <c r="G941" i="14" s="1"/>
  <c r="G942" i="14" s="1"/>
  <c r="G943" i="14" s="1"/>
  <c r="G944" i="14" s="1"/>
  <c r="G945" i="14" s="1"/>
  <c r="G946" i="14" s="1"/>
  <c r="G947" i="14" s="1"/>
  <c r="G948" i="14" s="1"/>
  <c r="G949" i="14" s="1"/>
  <c r="G950" i="14" s="1"/>
  <c r="G951" i="14" s="1"/>
  <c r="G952" i="14" s="1"/>
  <c r="G953" i="14" s="1"/>
  <c r="G954" i="14" s="1"/>
  <c r="G955" i="14" s="1"/>
  <c r="G956" i="14" s="1"/>
  <c r="G957" i="14" s="1"/>
  <c r="G958" i="14" s="1"/>
  <c r="G959" i="14" s="1"/>
  <c r="G960" i="14" s="1"/>
  <c r="G961" i="14" s="1"/>
  <c r="G962" i="14" s="1"/>
  <c r="G963" i="14" s="1"/>
  <c r="G964" i="14" s="1"/>
  <c r="G965" i="14" s="1"/>
  <c r="G966" i="14" s="1"/>
  <c r="G967" i="14" s="1"/>
  <c r="G968" i="14" s="1"/>
  <c r="G969" i="14" s="1"/>
  <c r="G970" i="14" s="1"/>
  <c r="G971" i="14" s="1"/>
  <c r="G972" i="14" s="1"/>
  <c r="G973" i="14" s="1"/>
  <c r="G974" i="14" s="1"/>
  <c r="G975" i="14" s="1"/>
  <c r="G976" i="14" s="1"/>
  <c r="G977" i="14" s="1"/>
  <c r="G978" i="14" s="1"/>
  <c r="G979" i="14" s="1"/>
  <c r="G980" i="14" s="1"/>
  <c r="G981" i="14" s="1"/>
  <c r="G982" i="14" s="1"/>
  <c r="G983" i="14" s="1"/>
  <c r="G984" i="14" s="1"/>
  <c r="G985" i="14" s="1"/>
  <c r="G986" i="14" s="1"/>
  <c r="G987" i="14" s="1"/>
  <c r="G988" i="14" s="1"/>
  <c r="G989" i="14" s="1"/>
  <c r="G990" i="14" s="1"/>
  <c r="G991" i="14" s="1"/>
  <c r="G992" i="14" s="1"/>
  <c r="G993" i="14" s="1"/>
  <c r="G994" i="14" s="1"/>
  <c r="G995" i="14" s="1"/>
  <c r="G996" i="14" s="1"/>
  <c r="G997" i="14" s="1"/>
  <c r="G998" i="14" s="1"/>
  <c r="G999" i="14" s="1"/>
  <c r="G1000" i="14" s="1"/>
  <c r="G1001" i="14" s="1"/>
  <c r="G1002" i="14" s="1"/>
  <c r="G1003" i="14" s="1"/>
  <c r="P20" i="11"/>
  <c r="O20" i="11"/>
  <c r="E3" i="4"/>
  <c r="D3" i="4"/>
  <c r="H46" i="6"/>
  <c r="E46" i="4"/>
  <c r="Q2" i="5"/>
  <c r="Q16" i="5" s="1"/>
  <c r="R16" i="5"/>
  <c r="Z29" i="11" l="1"/>
  <c r="Y29" i="11"/>
  <c r="K21" i="11"/>
  <c r="F20" i="11"/>
  <c r="G21" i="11" s="1"/>
  <c r="J21" i="11"/>
  <c r="P21" i="11"/>
  <c r="O21" i="11"/>
  <c r="M21" i="14"/>
  <c r="M20" i="13"/>
  <c r="N18" i="13"/>
  <c r="J17" i="13" a="1"/>
  <c r="J17" i="13" s="1"/>
  <c r="AD46" i="6"/>
  <c r="Z46" i="6"/>
  <c r="V46" i="6"/>
  <c r="R46" i="6"/>
  <c r="N46" i="6"/>
  <c r="J46" i="6"/>
  <c r="AF46" i="6"/>
  <c r="AB46" i="6"/>
  <c r="X46" i="6"/>
  <c r="T46" i="6"/>
  <c r="P46" i="6"/>
  <c r="L46" i="6"/>
  <c r="H3" i="6"/>
  <c r="U31" i="11"/>
  <c r="T31" i="11"/>
  <c r="J16" i="14" a="1"/>
  <c r="J16" i="14" s="1"/>
  <c r="N17" i="14"/>
  <c r="F46" i="6" l="1"/>
  <c r="T32" i="11"/>
  <c r="U32" i="11"/>
  <c r="J18" i="13" a="1"/>
  <c r="J18" i="13" s="1"/>
  <c r="N19" i="13"/>
  <c r="M22" i="14"/>
  <c r="O22" i="11"/>
  <c r="P22" i="11"/>
  <c r="M21" i="13"/>
  <c r="Y30" i="11"/>
  <c r="Z30" i="11"/>
  <c r="N18" i="14"/>
  <c r="J17" i="14" a="1"/>
  <c r="J17" i="14" s="1"/>
  <c r="K22" i="11"/>
  <c r="F21" i="11"/>
  <c r="G22" i="11" s="1"/>
  <c r="J22" i="11"/>
  <c r="J18" i="14" l="1" a="1"/>
  <c r="J18" i="14" s="1"/>
  <c r="N19" i="14"/>
  <c r="M22" i="13"/>
  <c r="M23" i="14"/>
  <c r="K23" i="11"/>
  <c r="F22" i="11"/>
  <c r="G23" i="11" s="1"/>
  <c r="J23" i="11"/>
  <c r="G46" i="6"/>
  <c r="F3" i="6"/>
  <c r="G3" i="6" s="1"/>
  <c r="U33" i="11"/>
  <c r="T33" i="11"/>
  <c r="Z31" i="11"/>
  <c r="Y31" i="11"/>
  <c r="J19" i="13" a="1"/>
  <c r="J19" i="13" s="1"/>
  <c r="N20" i="13"/>
  <c r="P23" i="11"/>
  <c r="O23" i="11"/>
  <c r="M23" i="13" l="1"/>
  <c r="P24" i="11"/>
  <c r="O24" i="11"/>
  <c r="Z32" i="11"/>
  <c r="Y32" i="11"/>
  <c r="N20" i="14"/>
  <c r="J19" i="14" a="1"/>
  <c r="J19" i="14" s="1"/>
  <c r="U34" i="11"/>
  <c r="T34" i="11"/>
  <c r="J24" i="11"/>
  <c r="K24" i="11"/>
  <c r="F23" i="11"/>
  <c r="G24" i="11" s="1"/>
  <c r="M24" i="14"/>
  <c r="J20" i="13" a="1"/>
  <c r="J20" i="13" s="1"/>
  <c r="N21" i="13"/>
  <c r="P25" i="11" l="1"/>
  <c r="O25" i="11"/>
  <c r="M25" i="14"/>
  <c r="K25" i="11"/>
  <c r="F24" i="11"/>
  <c r="G25" i="11" s="1"/>
  <c r="J25" i="11"/>
  <c r="J20" i="14" a="1"/>
  <c r="J20" i="14" s="1"/>
  <c r="N21" i="14"/>
  <c r="Z33" i="11"/>
  <c r="Y33" i="11"/>
  <c r="U35" i="11"/>
  <c r="T35" i="11"/>
  <c r="N22" i="13"/>
  <c r="J21" i="13" a="1"/>
  <c r="J21" i="13" s="1"/>
  <c r="M24" i="13"/>
  <c r="K26" i="11" l="1"/>
  <c r="F25" i="11"/>
  <c r="G26" i="11" s="1"/>
  <c r="J26" i="11"/>
  <c r="M26" i="14"/>
  <c r="J22" i="13" a="1"/>
  <c r="J22" i="13" s="1"/>
  <c r="N23" i="13"/>
  <c r="O26" i="11"/>
  <c r="P26" i="11"/>
  <c r="M25" i="13"/>
  <c r="Y34" i="11"/>
  <c r="Z34" i="11"/>
  <c r="T36" i="11"/>
  <c r="U36" i="11"/>
  <c r="N22" i="14"/>
  <c r="J21" i="14" a="1"/>
  <c r="J21" i="14" s="1"/>
  <c r="J22" i="14" l="1" a="1"/>
  <c r="J22" i="14" s="1"/>
  <c r="N23" i="14"/>
  <c r="J23" i="13" a="1"/>
  <c r="J23" i="13" s="1"/>
  <c r="N24" i="13"/>
  <c r="U37" i="11"/>
  <c r="T37" i="11"/>
  <c r="M26" i="13"/>
  <c r="M27" i="14"/>
  <c r="Z35" i="11"/>
  <c r="Y35" i="11"/>
  <c r="P27" i="11"/>
  <c r="O27" i="11"/>
  <c r="K27" i="11"/>
  <c r="F26" i="11"/>
  <c r="G27" i="11" s="1"/>
  <c r="J27" i="11"/>
  <c r="P28" i="11" l="1"/>
  <c r="O28" i="11"/>
  <c r="M28" i="14"/>
  <c r="Z36" i="11"/>
  <c r="Y36" i="11"/>
  <c r="J24" i="13" a="1"/>
  <c r="J24" i="13" s="1"/>
  <c r="N25" i="13"/>
  <c r="M27" i="13"/>
  <c r="N24" i="14"/>
  <c r="J23" i="14" a="1"/>
  <c r="J23" i="14" s="1"/>
  <c r="U38" i="11"/>
  <c r="T38" i="11"/>
  <c r="J28" i="11"/>
  <c r="K28" i="11"/>
  <c r="F27" i="11"/>
  <c r="G28" i="11" s="1"/>
  <c r="U39" i="11" l="1"/>
  <c r="T39" i="11"/>
  <c r="M29" i="14"/>
  <c r="N26" i="13"/>
  <c r="J25" i="13" a="1"/>
  <c r="J25" i="13" s="1"/>
  <c r="M28" i="13"/>
  <c r="P29" i="11"/>
  <c r="O29" i="11"/>
  <c r="K29" i="11"/>
  <c r="F28" i="11"/>
  <c r="G29" i="11" s="1"/>
  <c r="J29" i="11"/>
  <c r="J24" i="14" a="1"/>
  <c r="J24" i="14" s="1"/>
  <c r="N25" i="14"/>
  <c r="Z37" i="11"/>
  <c r="Y37" i="11"/>
  <c r="M29" i="13" l="1"/>
  <c r="J26" i="13" a="1"/>
  <c r="J26" i="13" s="1"/>
  <c r="N27" i="13"/>
  <c r="T40" i="11"/>
  <c r="U40" i="11"/>
  <c r="N26" i="14"/>
  <c r="J25" i="14" a="1"/>
  <c r="J25" i="14" s="1"/>
  <c r="K30" i="11"/>
  <c r="F29" i="11"/>
  <c r="G30" i="11" s="1"/>
  <c r="J30" i="11"/>
  <c r="Y38" i="11"/>
  <c r="Z38" i="11"/>
  <c r="O30" i="11"/>
  <c r="P30" i="11"/>
  <c r="M30" i="14"/>
  <c r="P31" i="11" l="1"/>
  <c r="O31" i="11"/>
  <c r="K31" i="11"/>
  <c r="F30" i="11"/>
  <c r="G31" i="11" s="1"/>
  <c r="J31" i="11"/>
  <c r="M31" i="14"/>
  <c r="U41" i="11"/>
  <c r="T41" i="11"/>
  <c r="M30" i="13"/>
  <c r="J27" i="13" a="1"/>
  <c r="J27" i="13" s="1"/>
  <c r="N28" i="13"/>
  <c r="Z39" i="11"/>
  <c r="Y39" i="11"/>
  <c r="J26" i="14" a="1"/>
  <c r="J26" i="14" s="1"/>
  <c r="N27" i="14"/>
  <c r="N28" i="14" l="1"/>
  <c r="J27" i="14" a="1"/>
  <c r="J27" i="14" s="1"/>
  <c r="Z40" i="11"/>
  <c r="Y40" i="11"/>
  <c r="M32" i="14"/>
  <c r="P32" i="11"/>
  <c r="O32" i="11"/>
  <c r="J28" i="13" a="1"/>
  <c r="J28" i="13" s="1"/>
  <c r="N29" i="13"/>
  <c r="U42" i="11"/>
  <c r="T42" i="11"/>
  <c r="M31" i="13"/>
  <c r="J32" i="11"/>
  <c r="K32" i="11"/>
  <c r="F31" i="11"/>
  <c r="G32" i="11" s="1"/>
  <c r="M32" i="13" l="1"/>
  <c r="U43" i="11"/>
  <c r="T43" i="11"/>
  <c r="P33" i="11"/>
  <c r="O33" i="11"/>
  <c r="J28" i="14" a="1"/>
  <c r="J28" i="14" s="1"/>
  <c r="N29" i="14"/>
  <c r="Z41" i="11"/>
  <c r="Y41" i="11"/>
  <c r="K33" i="11"/>
  <c r="F32" i="11"/>
  <c r="G33" i="11" s="1"/>
  <c r="J33" i="11"/>
  <c r="N30" i="13"/>
  <c r="J29" i="13" a="1"/>
  <c r="J29" i="13" s="1"/>
  <c r="M33" i="14"/>
  <c r="J30" i="13" l="1" a="1"/>
  <c r="J30" i="13" s="1"/>
  <c r="N31" i="13"/>
  <c r="Y42" i="11"/>
  <c r="Z42" i="11"/>
  <c r="K34" i="11"/>
  <c r="F33" i="11"/>
  <c r="G34" i="11" s="1"/>
  <c r="J34" i="11"/>
  <c r="O34" i="11"/>
  <c r="P34" i="11"/>
  <c r="M33" i="13"/>
  <c r="M34" i="14"/>
  <c r="N30" i="14"/>
  <c r="J29" i="14" a="1"/>
  <c r="J29" i="14" s="1"/>
  <c r="T44" i="11"/>
  <c r="U44" i="11"/>
  <c r="U45" i="11" l="1"/>
  <c r="T45" i="11"/>
  <c r="M35" i="14"/>
  <c r="P35" i="11"/>
  <c r="O35" i="11"/>
  <c r="J30" i="14" a="1"/>
  <c r="J30" i="14" s="1"/>
  <c r="N31" i="14"/>
  <c r="K35" i="11"/>
  <c r="F34" i="11"/>
  <c r="G35" i="11" s="1"/>
  <c r="J35" i="11"/>
  <c r="Z43" i="11"/>
  <c r="Y43" i="11"/>
  <c r="M34" i="13"/>
  <c r="J31" i="13" a="1"/>
  <c r="J31" i="13" s="1"/>
  <c r="N32" i="13"/>
  <c r="J36" i="11" l="1"/>
  <c r="K36" i="11"/>
  <c r="F35" i="11"/>
  <c r="G36" i="11" s="1"/>
  <c r="M36" i="14"/>
  <c r="P36" i="11"/>
  <c r="O36" i="11"/>
  <c r="J32" i="13" a="1"/>
  <c r="J32" i="13" s="1"/>
  <c r="N33" i="13"/>
  <c r="M35" i="13"/>
  <c r="U46" i="11"/>
  <c r="T46" i="11"/>
  <c r="Z44" i="11"/>
  <c r="Y44" i="11"/>
  <c r="J31" i="14" a="1"/>
  <c r="J31" i="14" s="1"/>
  <c r="N32" i="14"/>
  <c r="Z45" i="11" l="1"/>
  <c r="Y45" i="11"/>
  <c r="P37" i="11"/>
  <c r="O37" i="11"/>
  <c r="J32" i="14" a="1"/>
  <c r="J32" i="14" s="1"/>
  <c r="N33" i="14"/>
  <c r="U47" i="11"/>
  <c r="T47" i="11"/>
  <c r="M36" i="13"/>
  <c r="N34" i="13"/>
  <c r="J33" i="13" a="1"/>
  <c r="J33" i="13" s="1"/>
  <c r="M37" i="14"/>
  <c r="K37" i="11"/>
  <c r="F36" i="11"/>
  <c r="G37" i="11" s="1"/>
  <c r="J37" i="11"/>
  <c r="T48" i="11" l="1"/>
  <c r="U48" i="11"/>
  <c r="J34" i="13" a="1"/>
  <c r="J34" i="13" s="1"/>
  <c r="N35" i="13"/>
  <c r="Y46" i="11"/>
  <c r="Z46" i="11"/>
  <c r="K38" i="11"/>
  <c r="F37" i="11"/>
  <c r="G38" i="11" s="1"/>
  <c r="J38" i="11"/>
  <c r="M38" i="14"/>
  <c r="O38" i="11"/>
  <c r="P38" i="11"/>
  <c r="M37" i="13"/>
  <c r="N34" i="14"/>
  <c r="J33" i="14" a="1"/>
  <c r="J33" i="14" s="1"/>
  <c r="M39" i="14" l="1"/>
  <c r="J34" i="14" a="1"/>
  <c r="J34" i="14" s="1"/>
  <c r="N35" i="14"/>
  <c r="M38" i="13"/>
  <c r="K39" i="11"/>
  <c r="F38" i="11"/>
  <c r="G39" i="11" s="1"/>
  <c r="J39" i="11"/>
  <c r="Z47" i="11"/>
  <c r="Y47" i="11"/>
  <c r="U49" i="11"/>
  <c r="T49" i="11"/>
  <c r="P39" i="11"/>
  <c r="O39" i="11"/>
  <c r="J35" i="13" a="1"/>
  <c r="J35" i="13" s="1"/>
  <c r="N36" i="13"/>
  <c r="J36" i="13" l="1" a="1"/>
  <c r="J36" i="13" s="1"/>
  <c r="N37" i="13"/>
  <c r="P40" i="11"/>
  <c r="O40" i="11"/>
  <c r="Z48" i="11"/>
  <c r="Y48" i="11"/>
  <c r="U50" i="11"/>
  <c r="T50" i="11"/>
  <c r="J40" i="11"/>
  <c r="K40" i="11"/>
  <c r="F39" i="11"/>
  <c r="G40" i="11" s="1"/>
  <c r="M39" i="13"/>
  <c r="M40" i="14"/>
  <c r="J35" i="14" a="1"/>
  <c r="J35" i="14" s="1"/>
  <c r="N36" i="14"/>
  <c r="J36" i="14" l="1" a="1"/>
  <c r="J36" i="14" s="1"/>
  <c r="N37" i="14"/>
  <c r="Z49" i="11"/>
  <c r="Y49" i="11"/>
  <c r="K41" i="11"/>
  <c r="F40" i="11"/>
  <c r="G41" i="11" s="1"/>
  <c r="J41" i="11"/>
  <c r="N38" i="13"/>
  <c r="J37" i="13" a="1"/>
  <c r="J37" i="13" s="1"/>
  <c r="M40" i="13"/>
  <c r="U51" i="11"/>
  <c r="T51" i="11"/>
  <c r="P41" i="11"/>
  <c r="O41" i="11"/>
  <c r="M41" i="14"/>
  <c r="M42" i="14" l="1"/>
  <c r="J38" i="13" a="1"/>
  <c r="J38" i="13" s="1"/>
  <c r="N39" i="13"/>
  <c r="Y50" i="11"/>
  <c r="Z50" i="11"/>
  <c r="O42" i="11"/>
  <c r="P42" i="11"/>
  <c r="M41" i="13"/>
  <c r="K42" i="11"/>
  <c r="F41" i="11"/>
  <c r="G42" i="11" s="1"/>
  <c r="J42" i="11"/>
  <c r="N38" i="14"/>
  <c r="J37" i="14" a="1"/>
  <c r="J37" i="14" s="1"/>
  <c r="T52" i="11"/>
  <c r="U52" i="11"/>
  <c r="J38" i="14" l="1" a="1"/>
  <c r="J38" i="14" s="1"/>
  <c r="N39" i="14"/>
  <c r="K43" i="11"/>
  <c r="F42" i="11"/>
  <c r="G43" i="11" s="1"/>
  <c r="J43" i="11"/>
  <c r="M42" i="13"/>
  <c r="Z51" i="11"/>
  <c r="Y51" i="11"/>
  <c r="M43" i="14"/>
  <c r="U53" i="11"/>
  <c r="T53" i="11"/>
  <c r="J39" i="13" a="1"/>
  <c r="J39" i="13" s="1"/>
  <c r="N40" i="13"/>
  <c r="P43" i="11"/>
  <c r="O43" i="11"/>
  <c r="J39" i="14" l="1" a="1"/>
  <c r="J39" i="14" s="1"/>
  <c r="N40" i="14"/>
  <c r="J40" i="13" a="1"/>
  <c r="J40" i="13" s="1"/>
  <c r="N41" i="13"/>
  <c r="U54" i="11"/>
  <c r="T54" i="11"/>
  <c r="Z52" i="11"/>
  <c r="Y52" i="11"/>
  <c r="J44" i="11"/>
  <c r="K44" i="11"/>
  <c r="F43" i="11"/>
  <c r="G44" i="11" s="1"/>
  <c r="M44" i="14"/>
  <c r="M43" i="13"/>
  <c r="P44" i="11"/>
  <c r="O44" i="11"/>
  <c r="Z53" i="11" l="1"/>
  <c r="Y53" i="11"/>
  <c r="N42" i="13"/>
  <c r="J41" i="13" a="1"/>
  <c r="J41" i="13" s="1"/>
  <c r="M44" i="13"/>
  <c r="U55" i="11"/>
  <c r="T55" i="11"/>
  <c r="J40" i="14" a="1"/>
  <c r="J40" i="14" s="1"/>
  <c r="N41" i="14"/>
  <c r="P45" i="11"/>
  <c r="O45" i="11"/>
  <c r="M45" i="14"/>
  <c r="K45" i="11"/>
  <c r="F44" i="11"/>
  <c r="G45" i="11" s="1"/>
  <c r="J45" i="11"/>
  <c r="O46" i="11" l="1"/>
  <c r="P46" i="11"/>
  <c r="T56" i="11"/>
  <c r="U56" i="11"/>
  <c r="J42" i="13" a="1"/>
  <c r="J42" i="13" s="1"/>
  <c r="N43" i="13"/>
  <c r="N42" i="14"/>
  <c r="J41" i="14" a="1"/>
  <c r="J41" i="14" s="1"/>
  <c r="M45" i="13"/>
  <c r="Y54" i="11"/>
  <c r="Z54" i="11"/>
  <c r="K46" i="11"/>
  <c r="F45" i="11"/>
  <c r="G46" i="11" s="1"/>
  <c r="J46" i="11"/>
  <c r="M46" i="14"/>
  <c r="M47" i="14" l="1"/>
  <c r="M46" i="13"/>
  <c r="J43" i="13" a="1"/>
  <c r="J43" i="13" s="1"/>
  <c r="N44" i="13"/>
  <c r="U57" i="11"/>
  <c r="T57" i="11"/>
  <c r="K47" i="11"/>
  <c r="F46" i="11"/>
  <c r="G47" i="11" s="1"/>
  <c r="J47" i="11"/>
  <c r="P47" i="11"/>
  <c r="O47" i="11"/>
  <c r="Z55" i="11"/>
  <c r="Y55" i="11"/>
  <c r="J42" i="14" a="1"/>
  <c r="J42" i="14" s="1"/>
  <c r="N43" i="14"/>
  <c r="J43" i="14" l="1" a="1"/>
  <c r="J43" i="14" s="1"/>
  <c r="N44" i="14"/>
  <c r="J44" i="13" a="1"/>
  <c r="J44" i="13" s="1"/>
  <c r="N45" i="13"/>
  <c r="M48" i="14"/>
  <c r="Z56" i="11"/>
  <c r="Y56" i="11"/>
  <c r="P48" i="11"/>
  <c r="O48" i="11"/>
  <c r="U58" i="11"/>
  <c r="T58" i="11"/>
  <c r="J48" i="11"/>
  <c r="K48" i="11"/>
  <c r="F47" i="11"/>
  <c r="G48" i="11" s="1"/>
  <c r="M47" i="13"/>
  <c r="N46" i="13" l="1"/>
  <c r="J45" i="13" a="1"/>
  <c r="J45" i="13" s="1"/>
  <c r="M48" i="13"/>
  <c r="M49" i="14"/>
  <c r="J44" i="14" a="1"/>
  <c r="J44" i="14" s="1"/>
  <c r="N45" i="14"/>
  <c r="K49" i="11"/>
  <c r="F48" i="11"/>
  <c r="G49" i="11" s="1"/>
  <c r="J49" i="11"/>
  <c r="P49" i="11"/>
  <c r="O49" i="11"/>
  <c r="U59" i="11"/>
  <c r="T59" i="11"/>
  <c r="Z57" i="11"/>
  <c r="Y57" i="11"/>
  <c r="Y58" i="11" l="1"/>
  <c r="Z58" i="11"/>
  <c r="M49" i="13"/>
  <c r="J46" i="13" a="1"/>
  <c r="J46" i="13" s="1"/>
  <c r="N47" i="13"/>
  <c r="N46" i="14"/>
  <c r="J45" i="14" a="1"/>
  <c r="J45" i="14" s="1"/>
  <c r="K50" i="11"/>
  <c r="F49" i="11"/>
  <c r="G50" i="11" s="1"/>
  <c r="J50" i="11"/>
  <c r="T60" i="11"/>
  <c r="U60" i="11"/>
  <c r="O50" i="11"/>
  <c r="P50" i="11"/>
  <c r="M50" i="14"/>
  <c r="P51" i="11" l="1"/>
  <c r="O51" i="11"/>
  <c r="J47" i="13" a="1"/>
  <c r="J47" i="13" s="1"/>
  <c r="N48" i="13"/>
  <c r="M51" i="14"/>
  <c r="U61" i="11"/>
  <c r="T61" i="11"/>
  <c r="Z59" i="11"/>
  <c r="Y59" i="11"/>
  <c r="K51" i="11"/>
  <c r="F50" i="11"/>
  <c r="G51" i="11" s="1"/>
  <c r="J51" i="11"/>
  <c r="J46" i="14" a="1"/>
  <c r="J46" i="14" s="1"/>
  <c r="N47" i="14"/>
  <c r="M50" i="13"/>
  <c r="Z60" i="11" l="1"/>
  <c r="Y60" i="11"/>
  <c r="P52" i="11"/>
  <c r="O52" i="11"/>
  <c r="J52" i="11"/>
  <c r="K52" i="11"/>
  <c r="F51" i="11"/>
  <c r="G52" i="11" s="1"/>
  <c r="M51" i="13"/>
  <c r="U62" i="11"/>
  <c r="T62" i="11"/>
  <c r="M52" i="14"/>
  <c r="J47" i="14" a="1"/>
  <c r="J47" i="14" s="1"/>
  <c r="N48" i="14"/>
  <c r="J48" i="13" a="1"/>
  <c r="J48" i="13" s="1"/>
  <c r="N49" i="13"/>
  <c r="M52" i="13" l="1"/>
  <c r="P53" i="11"/>
  <c r="O53" i="11"/>
  <c r="N50" i="13"/>
  <c r="J49" i="13" a="1"/>
  <c r="J49" i="13" s="1"/>
  <c r="Z61" i="11"/>
  <c r="Y61" i="11"/>
  <c r="M53" i="14"/>
  <c r="K53" i="11"/>
  <c r="F52" i="11"/>
  <c r="G53" i="11" s="1"/>
  <c r="J53" i="11"/>
  <c r="J48" i="14" a="1"/>
  <c r="J48" i="14" s="1"/>
  <c r="N49" i="14"/>
  <c r="U63" i="11"/>
  <c r="T63" i="11"/>
  <c r="T64" i="11" l="1"/>
  <c r="U64" i="11"/>
  <c r="K54" i="11"/>
  <c r="F53" i="11"/>
  <c r="G54" i="11" s="1"/>
  <c r="J54" i="11"/>
  <c r="M54" i="14"/>
  <c r="M53" i="13"/>
  <c r="Y62" i="11"/>
  <c r="Z62" i="11"/>
  <c r="J50" i="13" a="1"/>
  <c r="J50" i="13" s="1"/>
  <c r="N51" i="13"/>
  <c r="N50" i="14"/>
  <c r="J49" i="14" a="1"/>
  <c r="J49" i="14" s="1"/>
  <c r="O54" i="11"/>
  <c r="P54" i="11"/>
  <c r="P55" i="11" l="1"/>
  <c r="O55" i="11"/>
  <c r="M54" i="13"/>
  <c r="J51" i="13" a="1"/>
  <c r="J51" i="13" s="1"/>
  <c r="N52" i="13"/>
  <c r="J50" i="14" a="1"/>
  <c r="J50" i="14" s="1"/>
  <c r="N51" i="14"/>
  <c r="Z63" i="11"/>
  <c r="Y63" i="11"/>
  <c r="M55" i="14"/>
  <c r="K55" i="11"/>
  <c r="F54" i="11"/>
  <c r="G55" i="11" s="1"/>
  <c r="J55" i="11"/>
  <c r="U65" i="11"/>
  <c r="T65" i="11"/>
  <c r="M56" i="14" l="1"/>
  <c r="Z64" i="11"/>
  <c r="Y64" i="11"/>
  <c r="J52" i="13" a="1"/>
  <c r="J52" i="13" s="1"/>
  <c r="N53" i="13"/>
  <c r="M55" i="13"/>
  <c r="J56" i="11"/>
  <c r="K56" i="11"/>
  <c r="F55" i="11"/>
  <c r="G56" i="11" s="1"/>
  <c r="U66" i="11"/>
  <c r="T66" i="11"/>
  <c r="P56" i="11"/>
  <c r="O56" i="11"/>
  <c r="J51" i="14" a="1"/>
  <c r="J51" i="14" s="1"/>
  <c r="N52" i="14"/>
  <c r="J52" i="14" l="1" a="1"/>
  <c r="J52" i="14" s="1"/>
  <c r="N53" i="14"/>
  <c r="U67" i="11"/>
  <c r="T67" i="11"/>
  <c r="N54" i="13"/>
  <c r="J53" i="13" a="1"/>
  <c r="J53" i="13" s="1"/>
  <c r="M57" i="14"/>
  <c r="K57" i="11"/>
  <c r="F56" i="11"/>
  <c r="G57" i="11" s="1"/>
  <c r="J57" i="11"/>
  <c r="P57" i="11"/>
  <c r="O57" i="11"/>
  <c r="Z65" i="11"/>
  <c r="Y65" i="11"/>
  <c r="M56" i="13"/>
  <c r="N54" i="14" l="1"/>
  <c r="J53" i="14" a="1"/>
  <c r="J53" i="14" s="1"/>
  <c r="J54" i="13" a="1"/>
  <c r="J54" i="13" s="1"/>
  <c r="N55" i="13"/>
  <c r="K58" i="11"/>
  <c r="F57" i="11"/>
  <c r="G58" i="11" s="1"/>
  <c r="J58" i="11"/>
  <c r="O58" i="11"/>
  <c r="P58" i="11"/>
  <c r="M57" i="13"/>
  <c r="Y66" i="11"/>
  <c r="Z66" i="11"/>
  <c r="M58" i="14"/>
  <c r="T68" i="11"/>
  <c r="U68" i="11"/>
  <c r="K59" i="11" l="1"/>
  <c r="F58" i="11"/>
  <c r="G59" i="11" s="1"/>
  <c r="J59" i="11"/>
  <c r="N56" i="13"/>
  <c r="J55" i="13" a="1"/>
  <c r="J55" i="13" s="1"/>
  <c r="U69" i="11"/>
  <c r="T69" i="11"/>
  <c r="Z67" i="11"/>
  <c r="Y67" i="11"/>
  <c r="P59" i="11"/>
  <c r="O59" i="11"/>
  <c r="M59" i="14"/>
  <c r="M58" i="13"/>
  <c r="J54" i="14" a="1"/>
  <c r="J54" i="14" s="1"/>
  <c r="N55" i="14"/>
  <c r="U70" i="11" l="1"/>
  <c r="T70" i="11"/>
  <c r="J60" i="11"/>
  <c r="K60" i="11"/>
  <c r="F59" i="11"/>
  <c r="G60" i="11" s="1"/>
  <c r="N56" i="14"/>
  <c r="J55" i="14" a="1"/>
  <c r="J55" i="14" s="1"/>
  <c r="M60" i="14"/>
  <c r="Z68" i="11"/>
  <c r="Y68" i="11"/>
  <c r="N57" i="13"/>
  <c r="J56" i="13" a="1"/>
  <c r="J56" i="13" s="1"/>
  <c r="M59" i="13"/>
  <c r="P60" i="11"/>
  <c r="O60" i="11"/>
  <c r="P61" i="11" l="1"/>
  <c r="O61" i="11"/>
  <c r="N58" i="13"/>
  <c r="J57" i="13" a="1"/>
  <c r="J57" i="13" s="1"/>
  <c r="M60" i="13"/>
  <c r="Z69" i="11"/>
  <c r="Y69" i="11"/>
  <c r="K61" i="11"/>
  <c r="F60" i="11"/>
  <c r="G61" i="11" s="1"/>
  <c r="J61" i="11"/>
  <c r="N57" i="14"/>
  <c r="J56" i="14" a="1"/>
  <c r="J56" i="14" s="1"/>
  <c r="U71" i="11"/>
  <c r="T71" i="11"/>
  <c r="M61" i="14"/>
  <c r="N58" i="14" l="1"/>
  <c r="J57" i="14" a="1"/>
  <c r="J57" i="14" s="1"/>
  <c r="Y70" i="11"/>
  <c r="Z70" i="11"/>
  <c r="T72" i="11"/>
  <c r="U72" i="11"/>
  <c r="K62" i="11"/>
  <c r="F61" i="11"/>
  <c r="G62" i="11" s="1"/>
  <c r="J62" i="11"/>
  <c r="N59" i="13"/>
  <c r="J58" i="13" a="1"/>
  <c r="J58" i="13" s="1"/>
  <c r="M62" i="14"/>
  <c r="M61" i="13"/>
  <c r="O62" i="11"/>
  <c r="P62" i="11"/>
  <c r="P63" i="11" l="1"/>
  <c r="O63" i="11"/>
  <c r="M62" i="13"/>
  <c r="Z71" i="11"/>
  <c r="Y71" i="11"/>
  <c r="N60" i="13"/>
  <c r="J59" i="13" a="1"/>
  <c r="J59" i="13" s="1"/>
  <c r="M63" i="14"/>
  <c r="K63" i="11"/>
  <c r="F62" i="11"/>
  <c r="G63" i="11" s="1"/>
  <c r="J63" i="11"/>
  <c r="U73" i="11"/>
  <c r="T73" i="11"/>
  <c r="N59" i="14"/>
  <c r="J58" i="14" a="1"/>
  <c r="J58" i="14" s="1"/>
  <c r="Z72" i="11" l="1"/>
  <c r="Y72" i="11"/>
  <c r="M63" i="13"/>
  <c r="J64" i="11"/>
  <c r="K64" i="11"/>
  <c r="F63" i="11"/>
  <c r="G64" i="11" s="1"/>
  <c r="M64" i="14"/>
  <c r="P64" i="11"/>
  <c r="O64" i="11"/>
  <c r="N60" i="14"/>
  <c r="J59" i="14" a="1"/>
  <c r="J59" i="14" s="1"/>
  <c r="U74" i="11"/>
  <c r="T74" i="11"/>
  <c r="N61" i="13"/>
  <c r="J60" i="13" a="1"/>
  <c r="J60" i="13" s="1"/>
  <c r="M64" i="13" l="1"/>
  <c r="Z73" i="11"/>
  <c r="Y73" i="11"/>
  <c r="N61" i="14"/>
  <c r="J60" i="14" a="1"/>
  <c r="J60" i="14" s="1"/>
  <c r="N62" i="13"/>
  <c r="J61" i="13" a="1"/>
  <c r="J61" i="13" s="1"/>
  <c r="U75" i="11"/>
  <c r="T75" i="11"/>
  <c r="P65" i="11"/>
  <c r="O65" i="11"/>
  <c r="M65" i="14"/>
  <c r="K65" i="11"/>
  <c r="F64" i="11"/>
  <c r="G65" i="11" s="1"/>
  <c r="J65" i="11"/>
  <c r="K66" i="11" l="1"/>
  <c r="F65" i="11"/>
  <c r="G66" i="11" s="1"/>
  <c r="J66" i="11"/>
  <c r="N62" i="14"/>
  <c r="J61" i="14" a="1"/>
  <c r="J61" i="14" s="1"/>
  <c r="O66" i="11"/>
  <c r="P66" i="11"/>
  <c r="Y74" i="11"/>
  <c r="Z74" i="11"/>
  <c r="M66" i="14"/>
  <c r="T76" i="11"/>
  <c r="U76" i="11"/>
  <c r="M65" i="13"/>
  <c r="N63" i="13"/>
  <c r="J62" i="13" a="1"/>
  <c r="J62" i="13" s="1"/>
  <c r="N64" i="13" l="1"/>
  <c r="J63" i="13" a="1"/>
  <c r="J63" i="13" s="1"/>
  <c r="U77" i="11"/>
  <c r="T77" i="11"/>
  <c r="Z75" i="11"/>
  <c r="Y75" i="11"/>
  <c r="M66" i="13"/>
  <c r="M67" i="14"/>
  <c r="K67" i="11"/>
  <c r="F66" i="11"/>
  <c r="G67" i="11" s="1"/>
  <c r="J67" i="11"/>
  <c r="P67" i="11"/>
  <c r="O67" i="11"/>
  <c r="N63" i="14"/>
  <c r="J62" i="14" a="1"/>
  <c r="J62" i="14" s="1"/>
  <c r="U78" i="11" l="1"/>
  <c r="T78" i="11"/>
  <c r="M67" i="13"/>
  <c r="N64" i="14"/>
  <c r="J63" i="14" a="1"/>
  <c r="J63" i="14" s="1"/>
  <c r="M68" i="14"/>
  <c r="Z76" i="11"/>
  <c r="Y76" i="11"/>
  <c r="P68" i="11"/>
  <c r="O68" i="11"/>
  <c r="J68" i="11"/>
  <c r="K68" i="11"/>
  <c r="F67" i="11"/>
  <c r="G68" i="11" s="1"/>
  <c r="N65" i="13"/>
  <c r="J64" i="13" a="1"/>
  <c r="J64" i="13" s="1"/>
  <c r="U79" i="11" l="1"/>
  <c r="T79" i="11"/>
  <c r="Z77" i="11"/>
  <c r="Y77" i="11"/>
  <c r="K69" i="11"/>
  <c r="F68" i="11"/>
  <c r="G69" i="11" s="1"/>
  <c r="J69" i="11"/>
  <c r="N65" i="14"/>
  <c r="J64" i="14" a="1"/>
  <c r="J64" i="14" s="1"/>
  <c r="N66" i="13"/>
  <c r="J65" i="13" a="1"/>
  <c r="J65" i="13" s="1"/>
  <c r="P69" i="11"/>
  <c r="O69" i="11"/>
  <c r="M69" i="14"/>
  <c r="M68" i="13"/>
  <c r="N66" i="14" l="1"/>
  <c r="J65" i="14" a="1"/>
  <c r="J65" i="14" s="1"/>
  <c r="Y78" i="11"/>
  <c r="Z78" i="11"/>
  <c r="T80" i="11"/>
  <c r="U80" i="11"/>
  <c r="M69" i="13"/>
  <c r="O70" i="11"/>
  <c r="P70" i="11"/>
  <c r="M70" i="14"/>
  <c r="N67" i="13"/>
  <c r="J66" i="13" a="1"/>
  <c r="J66" i="13" s="1"/>
  <c r="K70" i="11"/>
  <c r="F69" i="11"/>
  <c r="G70" i="11" s="1"/>
  <c r="J70" i="11"/>
  <c r="N68" i="13" l="1"/>
  <c r="J67" i="13" a="1"/>
  <c r="J67" i="13" s="1"/>
  <c r="P71" i="11"/>
  <c r="O71" i="11"/>
  <c r="U81" i="11"/>
  <c r="T81" i="11"/>
  <c r="Q82" i="11" s="1"/>
  <c r="N67" i="14"/>
  <c r="J66" i="14" a="1"/>
  <c r="J66" i="14" s="1"/>
  <c r="M70" i="13"/>
  <c r="K71" i="11"/>
  <c r="F70" i="11"/>
  <c r="G71" i="11" s="1"/>
  <c r="J71" i="11"/>
  <c r="M71" i="14"/>
  <c r="Z79" i="11"/>
  <c r="Y79" i="11"/>
  <c r="M71" i="13" l="1"/>
  <c r="T4" i="11"/>
  <c r="I3" i="12" s="1"/>
  <c r="I8" i="12" s="1"/>
  <c r="I6" i="12"/>
  <c r="B24" i="2"/>
  <c r="M72" i="14"/>
  <c r="Z80" i="11"/>
  <c r="Y80" i="11"/>
  <c r="J72" i="11"/>
  <c r="K72" i="11"/>
  <c r="F71" i="11"/>
  <c r="G72" i="11" s="1"/>
  <c r="N69" i="13"/>
  <c r="J68" i="13" a="1"/>
  <c r="J68" i="13" s="1"/>
  <c r="N68" i="14"/>
  <c r="J67" i="14" a="1"/>
  <c r="J67" i="14" s="1"/>
  <c r="P72" i="11"/>
  <c r="O72" i="11"/>
  <c r="N69" i="14" l="1"/>
  <c r="J68" i="14" a="1"/>
  <c r="J68" i="14" s="1"/>
  <c r="M73" i="14"/>
  <c r="K73" i="11"/>
  <c r="F72" i="11"/>
  <c r="G73" i="11" s="1"/>
  <c r="J73" i="11"/>
  <c r="M72" i="13"/>
  <c r="P73" i="11"/>
  <c r="O73" i="11"/>
  <c r="N70" i="13"/>
  <c r="J69" i="13" a="1"/>
  <c r="J69" i="13" s="1"/>
  <c r="Z81" i="11"/>
  <c r="Y81" i="11"/>
  <c r="V82" i="11" s="1"/>
  <c r="N70" i="14" l="1"/>
  <c r="J69" i="14" a="1"/>
  <c r="J69" i="14" s="1"/>
  <c r="K74" i="11"/>
  <c r="F73" i="11"/>
  <c r="G74" i="11" s="1"/>
  <c r="J74" i="11"/>
  <c r="M74" i="14"/>
  <c r="K6" i="12"/>
  <c r="B25" i="2"/>
  <c r="Y4" i="11"/>
  <c r="K3" i="12" s="1"/>
  <c r="K8" i="12" s="1"/>
  <c r="B1" i="14" s="1"/>
  <c r="M73" i="13"/>
  <c r="O74" i="11"/>
  <c r="P74" i="11"/>
  <c r="N71" i="13"/>
  <c r="J70" i="13" a="1"/>
  <c r="J70" i="13" s="1"/>
  <c r="I8" i="14" l="1"/>
  <c r="B8" i="14"/>
  <c r="P75" i="11"/>
  <c r="O75" i="11"/>
  <c r="O20" i="2"/>
  <c r="O27" i="2"/>
  <c r="O23" i="2"/>
  <c r="K75" i="11"/>
  <c r="F74" i="11"/>
  <c r="G75" i="11" s="1"/>
  <c r="J75" i="11"/>
  <c r="N71" i="14"/>
  <c r="J70" i="14" a="1"/>
  <c r="J70" i="14" s="1"/>
  <c r="M74" i="13"/>
  <c r="N72" i="13"/>
  <c r="J71" i="13" a="1"/>
  <c r="J71" i="13" s="1"/>
  <c r="M75" i="14"/>
  <c r="M76" i="14" l="1"/>
  <c r="M75" i="13"/>
  <c r="N72" i="14"/>
  <c r="J71" i="14" a="1"/>
  <c r="J71" i="14" s="1"/>
  <c r="N73" i="13"/>
  <c r="J72" i="13" a="1"/>
  <c r="J72" i="13" s="1"/>
  <c r="J76" i="11"/>
  <c r="K76" i="11"/>
  <c r="F75" i="11"/>
  <c r="G76" i="11" s="1"/>
  <c r="K8" i="14"/>
  <c r="L8" i="14" s="1"/>
  <c r="P76" i="11"/>
  <c r="O76" i="11"/>
  <c r="I9" i="14" l="1"/>
  <c r="R11" i="10" a="1"/>
  <c r="R11" i="10" s="1"/>
  <c r="N74" i="13"/>
  <c r="J73" i="13" a="1"/>
  <c r="J73" i="13" s="1"/>
  <c r="M76" i="13"/>
  <c r="P77" i="11"/>
  <c r="O77" i="11"/>
  <c r="K77" i="11"/>
  <c r="F76" i="11"/>
  <c r="G77" i="11" s="1"/>
  <c r="J77" i="11"/>
  <c r="M77" i="14"/>
  <c r="N73" i="14"/>
  <c r="J72" i="14" a="1"/>
  <c r="J72" i="14" s="1"/>
  <c r="M78" i="14" l="1"/>
  <c r="M77" i="13"/>
  <c r="K78" i="11"/>
  <c r="F77" i="11"/>
  <c r="G78" i="11" s="1"/>
  <c r="J78" i="11"/>
  <c r="O78" i="11"/>
  <c r="P78" i="11"/>
  <c r="N74" i="14"/>
  <c r="J73" i="14" a="1"/>
  <c r="J73" i="14" s="1"/>
  <c r="N75" i="13"/>
  <c r="J74" i="13" a="1"/>
  <c r="J74" i="13" s="1"/>
  <c r="K9" i="14"/>
  <c r="L9" i="14" s="1"/>
  <c r="I10" i="14" l="1"/>
  <c r="R12" i="10" a="1"/>
  <c r="R12" i="10" s="1"/>
  <c r="P79" i="11"/>
  <c r="O79" i="11"/>
  <c r="M78" i="13"/>
  <c r="K79" i="11"/>
  <c r="F78" i="11"/>
  <c r="G79" i="11" s="1"/>
  <c r="J79" i="11"/>
  <c r="N75" i="14"/>
  <c r="J74" i="14" a="1"/>
  <c r="J74" i="14" s="1"/>
  <c r="A100" i="11"/>
  <c r="M79" i="14"/>
  <c r="N76" i="13"/>
  <c r="J75" i="13" a="1"/>
  <c r="J75" i="13" s="1"/>
  <c r="M80" i="14" l="1"/>
  <c r="J80" i="11"/>
  <c r="K80" i="11"/>
  <c r="F79" i="11"/>
  <c r="G80" i="11" s="1"/>
  <c r="N76" i="14"/>
  <c r="J75" i="14" a="1"/>
  <c r="J75" i="14" s="1"/>
  <c r="M79" i="13"/>
  <c r="A102" i="11"/>
  <c r="P80" i="11"/>
  <c r="O80" i="11"/>
  <c r="N77" i="13"/>
  <c r="J76" i="13" a="1"/>
  <c r="J76" i="13" s="1"/>
  <c r="K10" i="14"/>
  <c r="K81" i="11" l="1"/>
  <c r="F80" i="11"/>
  <c r="G81" i="11" s="1"/>
  <c r="A98" i="11" s="1"/>
  <c r="J81" i="11"/>
  <c r="N78" i="13"/>
  <c r="J77" i="13" a="1"/>
  <c r="J77" i="13" s="1"/>
  <c r="N77" i="14"/>
  <c r="J76" i="14" a="1"/>
  <c r="J76" i="14" s="1"/>
  <c r="M81" i="14"/>
  <c r="L10" i="14"/>
  <c r="P81" i="11"/>
  <c r="O81" i="11"/>
  <c r="L82" i="11" s="1"/>
  <c r="M80" i="13"/>
  <c r="A74" i="11" l="1"/>
  <c r="A80" i="11"/>
  <c r="N79" i="13"/>
  <c r="J78" i="13" a="1"/>
  <c r="J78" i="13" s="1"/>
  <c r="M81" i="13"/>
  <c r="I11" i="14"/>
  <c r="R13" i="10" a="1"/>
  <c r="R13" i="10" s="1"/>
  <c r="H82" i="11"/>
  <c r="F81" i="11"/>
  <c r="D82" i="11" s="1"/>
  <c r="D4" i="11" s="1"/>
  <c r="F2" i="11" s="1"/>
  <c r="G2" i="11" s="1"/>
  <c r="N78" i="14"/>
  <c r="J77" i="14" a="1"/>
  <c r="J77" i="14" s="1"/>
  <c r="A81" i="11"/>
  <c r="A8" i="11"/>
  <c r="A9" i="11"/>
  <c r="A11" i="11"/>
  <c r="A88" i="11"/>
  <c r="A92" i="11"/>
  <c r="A7" i="11"/>
  <c r="A10" i="11"/>
  <c r="A16" i="11"/>
  <c r="A13" i="11"/>
  <c r="A12" i="11"/>
  <c r="A14" i="11"/>
  <c r="A15" i="11"/>
  <c r="A18" i="11"/>
  <c r="A17" i="11"/>
  <c r="A19" i="11"/>
  <c r="A20" i="11"/>
  <c r="A21" i="11"/>
  <c r="A22" i="11"/>
  <c r="A23" i="11"/>
  <c r="A24" i="11"/>
  <c r="A27" i="11"/>
  <c r="A26" i="11"/>
  <c r="A28" i="11"/>
  <c r="A25" i="11"/>
  <c r="A29" i="11"/>
  <c r="A31" i="11"/>
  <c r="A30" i="11"/>
  <c r="A32" i="11"/>
  <c r="A36" i="11"/>
  <c r="A34" i="11"/>
  <c r="A33" i="11"/>
  <c r="A37" i="11"/>
  <c r="A38" i="11"/>
  <c r="A35" i="11"/>
  <c r="A40" i="11"/>
  <c r="A41" i="11"/>
  <c r="A39" i="11"/>
  <c r="A42" i="11"/>
  <c r="A43" i="11"/>
  <c r="A44" i="11"/>
  <c r="A45" i="11"/>
  <c r="A46" i="11"/>
  <c r="A47" i="11"/>
  <c r="A48" i="11"/>
  <c r="A50" i="11"/>
  <c r="A51" i="11"/>
  <c r="A52" i="11"/>
  <c r="A49" i="11"/>
  <c r="A54" i="11"/>
  <c r="A53" i="11"/>
  <c r="A55" i="11"/>
  <c r="A56" i="11"/>
  <c r="A58" i="11"/>
  <c r="A57" i="11"/>
  <c r="A59" i="11"/>
  <c r="A60" i="11"/>
  <c r="A61" i="11"/>
  <c r="A62" i="11"/>
  <c r="A64" i="11"/>
  <c r="A63" i="11"/>
  <c r="A67" i="11"/>
  <c r="A66" i="11"/>
  <c r="A65" i="11"/>
  <c r="A68" i="11"/>
  <c r="A69" i="11"/>
  <c r="A70" i="11"/>
  <c r="A73" i="11"/>
  <c r="A71" i="11"/>
  <c r="A75" i="11"/>
  <c r="A76" i="11"/>
  <c r="A79" i="11"/>
  <c r="A78" i="11"/>
  <c r="A77" i="11"/>
  <c r="A72" i="11"/>
  <c r="G6" i="12"/>
  <c r="B23" i="2"/>
  <c r="O4" i="11"/>
  <c r="G3" i="12" s="1"/>
  <c r="G8" i="12" s="1"/>
  <c r="M82" i="14"/>
  <c r="M83" i="14" l="1"/>
  <c r="M82" i="13"/>
  <c r="B6" i="11"/>
  <c r="N79" i="14"/>
  <c r="J78" i="14" a="1"/>
  <c r="J78" i="14" s="1"/>
  <c r="E6" i="12"/>
  <c r="C6" i="12" s="1"/>
  <c r="J4" i="11"/>
  <c r="E3" i="12" s="1"/>
  <c r="E2" i="11"/>
  <c r="B22" i="2"/>
  <c r="K11" i="14"/>
  <c r="L11" i="14" s="1"/>
  <c r="N80" i="13"/>
  <c r="J79" i="13" a="1"/>
  <c r="J79" i="13" s="1"/>
  <c r="E8" i="12" l="1"/>
  <c r="I12" i="14"/>
  <c r="R14" i="10" a="1"/>
  <c r="R14" i="10" s="1"/>
  <c r="M83" i="13"/>
  <c r="O26" i="2"/>
  <c r="B26" i="2"/>
  <c r="F1" i="2" s="1"/>
  <c r="O22" i="2"/>
  <c r="O19" i="2"/>
  <c r="N81" i="13"/>
  <c r="J80" i="13" a="1"/>
  <c r="J80" i="13" s="1"/>
  <c r="N80" i="14"/>
  <c r="J79" i="14" a="1"/>
  <c r="J79" i="14" s="1"/>
  <c r="M84" i="14"/>
  <c r="B1" i="13" l="1"/>
  <c r="C8" i="12"/>
  <c r="F29" i="2"/>
  <c r="O18" i="2"/>
  <c r="P26" i="2" s="1"/>
  <c r="F3" i="2"/>
  <c r="O35" i="2"/>
  <c r="M84" i="13"/>
  <c r="M85" i="14"/>
  <c r="N82" i="13"/>
  <c r="J81" i="13" a="1"/>
  <c r="J81" i="13" s="1"/>
  <c r="O37" i="2"/>
  <c r="N81" i="14"/>
  <c r="J80" i="14" a="1"/>
  <c r="J80" i="14" s="1"/>
  <c r="O36" i="2"/>
  <c r="K12" i="14"/>
  <c r="L12" i="14" s="1"/>
  <c r="B8" i="13" l="1"/>
  <c r="I8" i="13"/>
  <c r="P22" i="2"/>
  <c r="P36" i="2"/>
  <c r="P37" i="2"/>
  <c r="M85" i="13"/>
  <c r="N83" i="13"/>
  <c r="J82" i="13" a="1"/>
  <c r="J82" i="13" s="1"/>
  <c r="P32" i="2"/>
  <c r="P29" i="2"/>
  <c r="P25" i="2"/>
  <c r="P31" i="2"/>
  <c r="P28" i="2"/>
  <c r="P24" i="2"/>
  <c r="P21" i="2"/>
  <c r="P30" i="2"/>
  <c r="P39" i="2"/>
  <c r="P38" i="2"/>
  <c r="P27" i="2"/>
  <c r="P20" i="2"/>
  <c r="P23" i="2"/>
  <c r="E20" i="2"/>
  <c r="L16" i="2"/>
  <c r="L17" i="2"/>
  <c r="C39" i="2"/>
  <c r="L5" i="2"/>
  <c r="C31" i="2"/>
  <c r="C19" i="2"/>
  <c r="L15" i="2"/>
  <c r="L6" i="2"/>
  <c r="L8" i="2"/>
  <c r="C7" i="2"/>
  <c r="L12" i="2"/>
  <c r="M86" i="14"/>
  <c r="P19" i="2"/>
  <c r="G29" i="2"/>
  <c r="G30" i="2"/>
  <c r="G31" i="2"/>
  <c r="G28" i="2"/>
  <c r="G26" i="2"/>
  <c r="G25" i="2"/>
  <c r="G27" i="2"/>
  <c r="I13" i="14"/>
  <c r="R15" i="10" a="1"/>
  <c r="R15" i="10" s="1"/>
  <c r="N82" i="14"/>
  <c r="J81" i="14" a="1"/>
  <c r="J81" i="14" s="1"/>
  <c r="O40" i="2"/>
  <c r="P35" i="2"/>
  <c r="C26" i="2"/>
  <c r="K8" i="13" l="1"/>
  <c r="L8" i="13" s="1"/>
  <c r="P40" i="2"/>
  <c r="N83" i="14"/>
  <c r="J82" i="14" a="1"/>
  <c r="J82" i="14" s="1"/>
  <c r="K23" i="2"/>
  <c r="K21" i="2"/>
  <c r="G20" i="2"/>
  <c r="R2" i="2"/>
  <c r="R3" i="2" s="1"/>
  <c r="R4" i="2" s="1"/>
  <c r="R5" i="2" s="1"/>
  <c r="R6" i="2" s="1"/>
  <c r="R7" i="2" s="1"/>
  <c r="R8" i="2" s="1"/>
  <c r="R9" i="2" s="1"/>
  <c r="R10" i="2" s="1"/>
  <c r="R11" i="2" s="1"/>
  <c r="F20" i="2"/>
  <c r="F22" i="2" s="1"/>
  <c r="G22" i="2" s="1"/>
  <c r="K22" i="2"/>
  <c r="K24" i="2"/>
  <c r="M86" i="13"/>
  <c r="K13" i="14"/>
  <c r="L13" i="14" s="1"/>
  <c r="M87" i="14"/>
  <c r="N84" i="13"/>
  <c r="J83" i="13" a="1"/>
  <c r="J83" i="13" s="1"/>
  <c r="Q11" i="10" l="1" a="1"/>
  <c r="Q11" i="10" s="1"/>
  <c r="S11" i="10" s="1"/>
  <c r="I9" i="13"/>
  <c r="M88" i="14"/>
  <c r="I14" i="14"/>
  <c r="R16" i="10" a="1"/>
  <c r="R16" i="10" s="1"/>
  <c r="M87" i="13"/>
  <c r="N85" i="13"/>
  <c r="J84" i="13" a="1"/>
  <c r="J84" i="13" s="1"/>
  <c r="N84" i="14"/>
  <c r="J83" i="14" a="1"/>
  <c r="J83" i="14" s="1"/>
  <c r="K9" i="13" l="1"/>
  <c r="N86" i="13"/>
  <c r="J85" i="13" a="1"/>
  <c r="J85" i="13" s="1"/>
  <c r="K14" i="14"/>
  <c r="L14" i="14" s="1"/>
  <c r="I15" i="14" s="1"/>
  <c r="M88" i="13"/>
  <c r="M89" i="14"/>
  <c r="N85" i="14"/>
  <c r="J84" i="14" a="1"/>
  <c r="J84" i="14" s="1"/>
  <c r="L9" i="13" l="1"/>
  <c r="K15" i="14"/>
  <c r="L15" i="14" s="1"/>
  <c r="I16" i="14" s="1"/>
  <c r="M90" i="14"/>
  <c r="N86" i="14"/>
  <c r="J85" i="14" a="1"/>
  <c r="J85" i="14" s="1"/>
  <c r="M89" i="13"/>
  <c r="N87" i="13"/>
  <c r="J86" i="13" a="1"/>
  <c r="J86" i="13" s="1"/>
  <c r="I10" i="13" l="1"/>
  <c r="Q12" i="10" a="1"/>
  <c r="Q12" i="10" s="1"/>
  <c r="S12" i="10" s="1"/>
  <c r="K16" i="14"/>
  <c r="L16" i="14" s="1"/>
  <c r="I17" i="14" s="1"/>
  <c r="M90" i="13"/>
  <c r="M91" i="14"/>
  <c r="N88" i="13"/>
  <c r="J87" i="13" a="1"/>
  <c r="J87" i="13" s="1"/>
  <c r="N87" i="14"/>
  <c r="J86" i="14" a="1"/>
  <c r="J86" i="14" s="1"/>
  <c r="K10" i="13" l="1"/>
  <c r="K17" i="14"/>
  <c r="L17" i="14" s="1"/>
  <c r="I18" i="14" s="1"/>
  <c r="M91" i="13"/>
  <c r="N89" i="13"/>
  <c r="J88" i="13" a="1"/>
  <c r="J88" i="13" s="1"/>
  <c r="N88" i="14"/>
  <c r="J87" i="14" a="1"/>
  <c r="J87" i="14" s="1"/>
  <c r="M92" i="14"/>
  <c r="L10" i="13" l="1"/>
  <c r="K18" i="14"/>
  <c r="L18" i="14" s="1"/>
  <c r="I19" i="14" s="1"/>
  <c r="M92" i="13"/>
  <c r="M93" i="14"/>
  <c r="N89" i="14"/>
  <c r="J88" i="14" a="1"/>
  <c r="J88" i="14" s="1"/>
  <c r="N90" i="13"/>
  <c r="J89" i="13" a="1"/>
  <c r="J89" i="13" s="1"/>
  <c r="I11" i="13" l="1"/>
  <c r="Q13" i="10" a="1"/>
  <c r="Q13" i="10" s="1"/>
  <c r="S13" i="10" s="1"/>
  <c r="K19" i="14"/>
  <c r="L19" i="14" s="1"/>
  <c r="I20" i="14" s="1"/>
  <c r="M93" i="13"/>
  <c r="N90" i="14"/>
  <c r="J89" i="14" a="1"/>
  <c r="J89" i="14" s="1"/>
  <c r="M94" i="14"/>
  <c r="N91" i="13"/>
  <c r="J90" i="13" a="1"/>
  <c r="J90" i="13" s="1"/>
  <c r="K11" i="13" l="1"/>
  <c r="L11" i="13" s="1"/>
  <c r="K20" i="14"/>
  <c r="M95" i="14"/>
  <c r="M94" i="13"/>
  <c r="N92" i="13"/>
  <c r="J91" i="13" a="1"/>
  <c r="J91" i="13" s="1"/>
  <c r="N91" i="14"/>
  <c r="J90" i="14" a="1"/>
  <c r="J90" i="14" s="1"/>
  <c r="I12" i="13" l="1"/>
  <c r="Q14" i="10" a="1"/>
  <c r="Q14" i="10" s="1"/>
  <c r="S14" i="10" s="1"/>
  <c r="M96" i="14"/>
  <c r="N93" i="13"/>
  <c r="J92" i="13" a="1"/>
  <c r="J92" i="13" s="1"/>
  <c r="M95" i="13"/>
  <c r="N92" i="14"/>
  <c r="J91" i="14" a="1"/>
  <c r="J91" i="14" s="1"/>
  <c r="L20" i="14"/>
  <c r="I21" i="14" s="1"/>
  <c r="K12" i="13" l="1"/>
  <c r="L12" i="13" s="1"/>
  <c r="N94" i="13"/>
  <c r="J93" i="13" a="1"/>
  <c r="J93" i="13" s="1"/>
  <c r="N93" i="14"/>
  <c r="J92" i="14" a="1"/>
  <c r="J92" i="14" s="1"/>
  <c r="M96" i="13"/>
  <c r="K21" i="14"/>
  <c r="M97" i="14"/>
  <c r="Q15" i="10" l="1" a="1"/>
  <c r="Q15" i="10" s="1"/>
  <c r="S15" i="10" s="1"/>
  <c r="I13" i="13"/>
  <c r="N95" i="13"/>
  <c r="J94" i="13" a="1"/>
  <c r="J94" i="13" s="1"/>
  <c r="L21" i="14"/>
  <c r="I22" i="14" s="1"/>
  <c r="N94" i="14"/>
  <c r="J93" i="14" a="1"/>
  <c r="J93" i="14" s="1"/>
  <c r="M98" i="14"/>
  <c r="M97" i="13"/>
  <c r="K13" i="13" l="1"/>
  <c r="L13" i="13" s="1"/>
  <c r="I14" i="13" s="1"/>
  <c r="M98" i="13"/>
  <c r="N95" i="14"/>
  <c r="J94" i="14" a="1"/>
  <c r="J94" i="14" s="1"/>
  <c r="N96" i="13"/>
  <c r="J95" i="13" a="1"/>
  <c r="J95" i="13" s="1"/>
  <c r="M99" i="14"/>
  <c r="K22" i="14"/>
  <c r="K14" i="13" l="1"/>
  <c r="L14" i="13" s="1"/>
  <c r="M100" i="14"/>
  <c r="N96" i="14"/>
  <c r="J95" i="14" a="1"/>
  <c r="J95" i="14" s="1"/>
  <c r="M99" i="13"/>
  <c r="L22" i="14"/>
  <c r="I23" i="14" s="1"/>
  <c r="N97" i="13"/>
  <c r="J96" i="13" a="1"/>
  <c r="J96" i="13" s="1"/>
  <c r="Q17" i="10" l="1" a="1"/>
  <c r="Q17" i="10" s="1"/>
  <c r="I15" i="13"/>
  <c r="M100" i="13"/>
  <c r="M101" i="14"/>
  <c r="N98" i="13"/>
  <c r="J97" i="13" a="1"/>
  <c r="J97" i="13" s="1"/>
  <c r="K23" i="14"/>
  <c r="L23" i="14" s="1"/>
  <c r="I24" i="14" s="1"/>
  <c r="N97" i="14"/>
  <c r="J96" i="14" a="1"/>
  <c r="J96" i="14" s="1"/>
  <c r="K15" i="13" l="1"/>
  <c r="L15" i="13" s="1"/>
  <c r="I16" i="13" s="1"/>
  <c r="K24" i="14"/>
  <c r="L24" i="14" s="1"/>
  <c r="I25" i="14" s="1"/>
  <c r="N98" i="14"/>
  <c r="J97" i="14" a="1"/>
  <c r="J97" i="14" s="1"/>
  <c r="M101" i="13"/>
  <c r="M102" i="14"/>
  <c r="N99" i="13"/>
  <c r="J98" i="13" a="1"/>
  <c r="J98" i="13" s="1"/>
  <c r="K16" i="13" l="1"/>
  <c r="L16" i="13" s="1"/>
  <c r="I17" i="13" s="1"/>
  <c r="K25" i="14"/>
  <c r="L25" i="14" s="1"/>
  <c r="I26" i="14" s="1"/>
  <c r="N100" i="13"/>
  <c r="J99" i="13" a="1"/>
  <c r="J99" i="13" s="1"/>
  <c r="N99" i="14"/>
  <c r="J98" i="14" a="1"/>
  <c r="J98" i="14" s="1"/>
  <c r="M103" i="14"/>
  <c r="M102" i="13"/>
  <c r="K17" i="13" l="1"/>
  <c r="L17" i="13" s="1"/>
  <c r="I18" i="13" s="1"/>
  <c r="K26" i="14"/>
  <c r="L26" i="14" s="1"/>
  <c r="I27" i="14" s="1"/>
  <c r="M103" i="13"/>
  <c r="N100" i="14"/>
  <c r="J99" i="14" a="1"/>
  <c r="J99" i="14" s="1"/>
  <c r="M104" i="14"/>
  <c r="N101" i="13"/>
  <c r="J100" i="13" a="1"/>
  <c r="J100" i="13" s="1"/>
  <c r="K18" i="13" l="1"/>
  <c r="L18" i="13" s="1"/>
  <c r="I19" i="13" s="1"/>
  <c r="K27" i="14"/>
  <c r="L27" i="14" s="1"/>
  <c r="I28" i="14" s="1"/>
  <c r="N101" i="14"/>
  <c r="J100" i="14" a="1"/>
  <c r="J100" i="14" s="1"/>
  <c r="M105" i="14"/>
  <c r="N102" i="13"/>
  <c r="J101" i="13" a="1"/>
  <c r="J101" i="13" s="1"/>
  <c r="M104" i="13"/>
  <c r="K19" i="13" l="1"/>
  <c r="L19" i="13" s="1"/>
  <c r="I20" i="13" s="1"/>
  <c r="K28" i="14"/>
  <c r="L28" i="14" s="1"/>
  <c r="I29" i="14" s="1"/>
  <c r="M105" i="13"/>
  <c r="M106" i="14"/>
  <c r="N103" i="13"/>
  <c r="J102" i="13" a="1"/>
  <c r="J102" i="13" s="1"/>
  <c r="N102" i="14"/>
  <c r="J101" i="14" a="1"/>
  <c r="J101" i="14" s="1"/>
  <c r="K20" i="13" l="1"/>
  <c r="K29" i="14"/>
  <c r="L29" i="14" s="1"/>
  <c r="I30" i="14" s="1"/>
  <c r="N103" i="14"/>
  <c r="J102" i="14" a="1"/>
  <c r="J102" i="14" s="1"/>
  <c r="M106" i="13"/>
  <c r="M107" i="14"/>
  <c r="N104" i="13"/>
  <c r="J103" i="13" a="1"/>
  <c r="J103" i="13" s="1"/>
  <c r="L20" i="13" l="1"/>
  <c r="I21" i="13" s="1"/>
  <c r="K30" i="14"/>
  <c r="L30" i="14" s="1"/>
  <c r="I31" i="14" s="1"/>
  <c r="M107" i="13"/>
  <c r="N104" i="14"/>
  <c r="J103" i="14" a="1"/>
  <c r="J103" i="14" s="1"/>
  <c r="M108" i="14"/>
  <c r="N105" i="13"/>
  <c r="J104" i="13" a="1"/>
  <c r="J104" i="13" s="1"/>
  <c r="K21" i="13" l="1"/>
  <c r="K31" i="14"/>
  <c r="L31" i="14" s="1"/>
  <c r="I32" i="14" s="1"/>
  <c r="M109" i="14"/>
  <c r="M108" i="13"/>
  <c r="N106" i="13"/>
  <c r="J105" i="13" a="1"/>
  <c r="J105" i="13" s="1"/>
  <c r="N105" i="14"/>
  <c r="J104" i="14" a="1"/>
  <c r="J104" i="14" s="1"/>
  <c r="L21" i="13" l="1"/>
  <c r="I22" i="13" s="1"/>
  <c r="K32" i="14"/>
  <c r="N107" i="13"/>
  <c r="J106" i="13" a="1"/>
  <c r="J106" i="13" s="1"/>
  <c r="M109" i="13"/>
  <c r="N106" i="14"/>
  <c r="J105" i="14" a="1"/>
  <c r="J105" i="14" s="1"/>
  <c r="M110" i="14"/>
  <c r="K22" i="13" l="1"/>
  <c r="N108" i="13"/>
  <c r="J107" i="13" a="1"/>
  <c r="J107" i="13" s="1"/>
  <c r="M110" i="13"/>
  <c r="M111" i="14"/>
  <c r="N107" i="14"/>
  <c r="J106" i="14" a="1"/>
  <c r="J106" i="14" s="1"/>
  <c r="L32" i="14"/>
  <c r="I33" i="14" s="1"/>
  <c r="L22" i="13" l="1"/>
  <c r="I23" i="13" s="1"/>
  <c r="N108" i="14"/>
  <c r="J107" i="14" a="1"/>
  <c r="J107" i="14" s="1"/>
  <c r="M111" i="13"/>
  <c r="N109" i="13"/>
  <c r="J108" i="13" a="1"/>
  <c r="J108" i="13" s="1"/>
  <c r="K33" i="14"/>
  <c r="M112" i="14"/>
  <c r="K23" i="13" l="1"/>
  <c r="L23" i="13" s="1"/>
  <c r="I24" i="13" s="1"/>
  <c r="M112" i="13"/>
  <c r="M113" i="14"/>
  <c r="N110" i="13"/>
  <c r="J109" i="13" a="1"/>
  <c r="J109" i="13" s="1"/>
  <c r="L33" i="14"/>
  <c r="I34" i="14" s="1"/>
  <c r="N109" i="14"/>
  <c r="J108" i="14" a="1"/>
  <c r="J108" i="14" s="1"/>
  <c r="K24" i="13" l="1"/>
  <c r="L24" i="13" s="1"/>
  <c r="I25" i="13" s="1"/>
  <c r="N111" i="13"/>
  <c r="J110" i="13" a="1"/>
  <c r="J110" i="13" s="1"/>
  <c r="N110" i="14"/>
  <c r="J109" i="14" a="1"/>
  <c r="J109" i="14" s="1"/>
  <c r="K34" i="14"/>
  <c r="L34" i="14" s="1"/>
  <c r="I35" i="14" s="1"/>
  <c r="M114" i="14"/>
  <c r="M113" i="13"/>
  <c r="K25" i="13" l="1"/>
  <c r="L25" i="13" s="1"/>
  <c r="I26" i="13" s="1"/>
  <c r="K35" i="14"/>
  <c r="L35" i="14" s="1"/>
  <c r="I36" i="14" s="1"/>
  <c r="M114" i="13"/>
  <c r="N112" i="13"/>
  <c r="J111" i="13" a="1"/>
  <c r="J111" i="13" s="1"/>
  <c r="M115" i="14"/>
  <c r="N111" i="14"/>
  <c r="J110" i="14" a="1"/>
  <c r="J110" i="14" s="1"/>
  <c r="K26" i="13" l="1"/>
  <c r="L26" i="13" s="1"/>
  <c r="I27" i="13" s="1"/>
  <c r="K36" i="14"/>
  <c r="L36" i="14" s="1"/>
  <c r="I37" i="14" s="1"/>
  <c r="N113" i="13"/>
  <c r="J112" i="13" a="1"/>
  <c r="J112" i="13" s="1"/>
  <c r="N112" i="14"/>
  <c r="J111" i="14" a="1"/>
  <c r="J111" i="14" s="1"/>
  <c r="M116" i="14"/>
  <c r="M115" i="13"/>
  <c r="K27" i="13" l="1"/>
  <c r="L27" i="13" s="1"/>
  <c r="I28" i="13" s="1"/>
  <c r="K37" i="14"/>
  <c r="L37" i="14" s="1"/>
  <c r="I38" i="14" s="1"/>
  <c r="M116" i="13"/>
  <c r="N113" i="14"/>
  <c r="J112" i="14" a="1"/>
  <c r="J112" i="14" s="1"/>
  <c r="M117" i="14"/>
  <c r="N114" i="13"/>
  <c r="J113" i="13" a="1"/>
  <c r="J113" i="13" s="1"/>
  <c r="K28" i="13" l="1"/>
  <c r="L28" i="13" s="1"/>
  <c r="I29" i="13" s="1"/>
  <c r="K38" i="14"/>
  <c r="L38" i="14" s="1"/>
  <c r="I39" i="14" s="1"/>
  <c r="N114" i="14"/>
  <c r="J113" i="14" a="1"/>
  <c r="J113" i="14" s="1"/>
  <c r="M118" i="14"/>
  <c r="N115" i="13"/>
  <c r="J114" i="13" a="1"/>
  <c r="J114" i="13" s="1"/>
  <c r="M117" i="13"/>
  <c r="K29" i="13" l="1"/>
  <c r="L29" i="13" s="1"/>
  <c r="I30" i="13" s="1"/>
  <c r="K39" i="14"/>
  <c r="L39" i="14" s="1"/>
  <c r="I40" i="14" s="1"/>
  <c r="M118" i="13"/>
  <c r="N115" i="14"/>
  <c r="J114" i="14" a="1"/>
  <c r="J114" i="14" s="1"/>
  <c r="N116" i="13"/>
  <c r="J115" i="13" a="1"/>
  <c r="J115" i="13" s="1"/>
  <c r="M119" i="14"/>
  <c r="K30" i="13" l="1"/>
  <c r="L30" i="13" s="1"/>
  <c r="I31" i="13" s="1"/>
  <c r="K40" i="14"/>
  <c r="L40" i="14" s="1"/>
  <c r="I41" i="14" s="1"/>
  <c r="N116" i="14"/>
  <c r="J115" i="14" a="1"/>
  <c r="J115" i="14" s="1"/>
  <c r="M119" i="13"/>
  <c r="M120" i="14"/>
  <c r="N117" i="13"/>
  <c r="J116" i="13" a="1"/>
  <c r="J116" i="13" s="1"/>
  <c r="K31" i="13" l="1"/>
  <c r="L31" i="13" s="1"/>
  <c r="I32" i="13" s="1"/>
  <c r="K41" i="14"/>
  <c r="L41" i="14" s="1"/>
  <c r="I42" i="14" s="1"/>
  <c r="M120" i="13"/>
  <c r="N118" i="13"/>
  <c r="J117" i="13" a="1"/>
  <c r="J117" i="13" s="1"/>
  <c r="M121" i="14"/>
  <c r="N117" i="14"/>
  <c r="J116" i="14" a="1"/>
  <c r="J116" i="14" s="1"/>
  <c r="K32" i="13" l="1"/>
  <c r="K42" i="14"/>
  <c r="L42" i="14" s="1"/>
  <c r="I43" i="14" s="1"/>
  <c r="N118" i="14"/>
  <c r="J117" i="14" a="1"/>
  <c r="J117" i="14" s="1"/>
  <c r="N119" i="13"/>
  <c r="J118" i="13" a="1"/>
  <c r="J118" i="13" s="1"/>
  <c r="M122" i="14"/>
  <c r="M121" i="13"/>
  <c r="L32" i="13" l="1"/>
  <c r="I33" i="13" s="1"/>
  <c r="K43" i="14"/>
  <c r="L43" i="14" s="1"/>
  <c r="I44" i="14" s="1"/>
  <c r="N119" i="14"/>
  <c r="J118" i="14" a="1"/>
  <c r="J118" i="14" s="1"/>
  <c r="M122" i="13"/>
  <c r="N120" i="13"/>
  <c r="J119" i="13" a="1"/>
  <c r="J119" i="13" s="1"/>
  <c r="M123" i="14"/>
  <c r="K33" i="13" l="1"/>
  <c r="K44" i="14"/>
  <c r="N120" i="14"/>
  <c r="J119" i="14" a="1"/>
  <c r="J119" i="14" s="1"/>
  <c r="N121" i="13"/>
  <c r="J120" i="13" a="1"/>
  <c r="J120" i="13" s="1"/>
  <c r="M123" i="13"/>
  <c r="M124" i="14"/>
  <c r="L33" i="13" l="1"/>
  <c r="I34" i="13" s="1"/>
  <c r="M124" i="13"/>
  <c r="N121" i="14"/>
  <c r="J120" i="14" a="1"/>
  <c r="J120" i="14" s="1"/>
  <c r="N122" i="13"/>
  <c r="J121" i="13" a="1"/>
  <c r="J121" i="13" s="1"/>
  <c r="M125" i="14"/>
  <c r="L44" i="14"/>
  <c r="I45" i="14" s="1"/>
  <c r="K34" i="13" l="1"/>
  <c r="N122" i="14"/>
  <c r="J121" i="14" a="1"/>
  <c r="J121" i="14" s="1"/>
  <c r="K45" i="14"/>
  <c r="L45" i="14" s="1"/>
  <c r="I46" i="14" s="1"/>
  <c r="N123" i="13"/>
  <c r="J122" i="13" a="1"/>
  <c r="J122" i="13" s="1"/>
  <c r="M125" i="13"/>
  <c r="M126" i="14"/>
  <c r="L34" i="13" l="1"/>
  <c r="I35" i="13" s="1"/>
  <c r="K46" i="14"/>
  <c r="L46" i="14" s="1"/>
  <c r="I47" i="14" s="1"/>
  <c r="M126" i="13"/>
  <c r="M127" i="14"/>
  <c r="N124" i="13"/>
  <c r="J123" i="13" a="1"/>
  <c r="J123" i="13" s="1"/>
  <c r="N123" i="14"/>
  <c r="J122" i="14" a="1"/>
  <c r="J122" i="14" s="1"/>
  <c r="K35" i="13" l="1"/>
  <c r="L35" i="13" s="1"/>
  <c r="I36" i="13" s="1"/>
  <c r="K47" i="14"/>
  <c r="N125" i="13"/>
  <c r="J124" i="13" a="1"/>
  <c r="J124" i="13" s="1"/>
  <c r="M127" i="13"/>
  <c r="N124" i="14"/>
  <c r="J123" i="14" a="1"/>
  <c r="J123" i="14" s="1"/>
  <c r="M128" i="14"/>
  <c r="K36" i="13" l="1"/>
  <c r="L36" i="13" s="1"/>
  <c r="I37" i="13" s="1"/>
  <c r="M129" i="14"/>
  <c r="M128" i="13"/>
  <c r="L47" i="14"/>
  <c r="I48" i="14" s="1"/>
  <c r="N125" i="14"/>
  <c r="J124" i="14" a="1"/>
  <c r="J124" i="14" s="1"/>
  <c r="N126" i="13"/>
  <c r="J125" i="13" a="1"/>
  <c r="J125" i="13" s="1"/>
  <c r="K37" i="13" l="1"/>
  <c r="L37" i="13" s="1"/>
  <c r="I38" i="13" s="1"/>
  <c r="M130" i="14"/>
  <c r="N127" i="13"/>
  <c r="J126" i="13" a="1"/>
  <c r="J126" i="13" s="1"/>
  <c r="M129" i="13"/>
  <c r="K48" i="14"/>
  <c r="L48" i="14" s="1"/>
  <c r="I49" i="14" s="1"/>
  <c r="N126" i="14"/>
  <c r="J125" i="14" a="1"/>
  <c r="J125" i="14" s="1"/>
  <c r="K38" i="13" l="1"/>
  <c r="L38" i="13" s="1"/>
  <c r="I39" i="13" s="1"/>
  <c r="K49" i="14"/>
  <c r="L49" i="14" s="1"/>
  <c r="I50" i="14" s="1"/>
  <c r="M130" i="13"/>
  <c r="M131" i="14"/>
  <c r="N127" i="14"/>
  <c r="J126" i="14" a="1"/>
  <c r="J126" i="14" s="1"/>
  <c r="N128" i="13"/>
  <c r="J127" i="13" a="1"/>
  <c r="J127" i="13" s="1"/>
  <c r="K39" i="13" l="1"/>
  <c r="L39" i="13" s="1"/>
  <c r="I40" i="13" s="1"/>
  <c r="K50" i="14"/>
  <c r="L50" i="14" s="1"/>
  <c r="I51" i="14" s="1"/>
  <c r="N129" i="13"/>
  <c r="J128" i="13" a="1"/>
  <c r="J128" i="13" s="1"/>
  <c r="M131" i="13"/>
  <c r="M132" i="14"/>
  <c r="N128" i="14"/>
  <c r="J127" i="14" a="1"/>
  <c r="J127" i="14" s="1"/>
  <c r="K40" i="13" l="1"/>
  <c r="L40" i="13" s="1"/>
  <c r="I41" i="13" s="1"/>
  <c r="K51" i="14"/>
  <c r="L51" i="14" s="1"/>
  <c r="I52" i="14" s="1"/>
  <c r="M132" i="13"/>
  <c r="N129" i="14"/>
  <c r="J128" i="14" a="1"/>
  <c r="J128" i="14" s="1"/>
  <c r="M133" i="14"/>
  <c r="N130" i="13"/>
  <c r="J129" i="13" a="1"/>
  <c r="J129" i="13" s="1"/>
  <c r="K41" i="13" l="1"/>
  <c r="L41" i="13" s="1"/>
  <c r="I42" i="13" s="1"/>
  <c r="K52" i="14"/>
  <c r="L52" i="14" s="1"/>
  <c r="I53" i="14" s="1"/>
  <c r="N131" i="13"/>
  <c r="J130" i="13" a="1"/>
  <c r="J130" i="13" s="1"/>
  <c r="N130" i="14"/>
  <c r="J129" i="14" a="1"/>
  <c r="J129" i="14" s="1"/>
  <c r="M134" i="14"/>
  <c r="M133" i="13"/>
  <c r="K42" i="13" l="1"/>
  <c r="L42" i="13" s="1"/>
  <c r="I43" i="13" s="1"/>
  <c r="K53" i="14"/>
  <c r="L53" i="14" s="1"/>
  <c r="I54" i="14" s="1"/>
  <c r="M135" i="14"/>
  <c r="N132" i="13"/>
  <c r="J131" i="13" a="1"/>
  <c r="J131" i="13" s="1"/>
  <c r="M134" i="13"/>
  <c r="N131" i="14"/>
  <c r="J130" i="14" a="1"/>
  <c r="J130" i="14" s="1"/>
  <c r="K43" i="13" l="1"/>
  <c r="L43" i="13" s="1"/>
  <c r="I44" i="13" s="1"/>
  <c r="K54" i="14"/>
  <c r="L54" i="14" s="1"/>
  <c r="I55" i="14" s="1"/>
  <c r="N132" i="14"/>
  <c r="J131" i="14" a="1"/>
  <c r="J131" i="14" s="1"/>
  <c r="N133" i="13"/>
  <c r="J132" i="13" a="1"/>
  <c r="J132" i="13" s="1"/>
  <c r="M135" i="13"/>
  <c r="M136" i="14"/>
  <c r="K44" i="13" l="1"/>
  <c r="M137" i="14"/>
  <c r="N134" i="13"/>
  <c r="J133" i="13" a="1"/>
  <c r="J133" i="13" s="1"/>
  <c r="K55" i="14"/>
  <c r="L55" i="14" s="1"/>
  <c r="I56" i="14" s="1"/>
  <c r="M136" i="13"/>
  <c r="N133" i="14"/>
  <c r="J132" i="14" a="1"/>
  <c r="J132" i="14" s="1"/>
  <c r="L44" i="13" l="1"/>
  <c r="I45" i="13" s="1"/>
  <c r="K56" i="14"/>
  <c r="M137" i="13"/>
  <c r="N135" i="13"/>
  <c r="J134" i="13" a="1"/>
  <c r="J134" i="13" s="1"/>
  <c r="N134" i="14"/>
  <c r="J133" i="14" a="1"/>
  <c r="J133" i="14" s="1"/>
  <c r="M138" i="14"/>
  <c r="K45" i="13" l="1"/>
  <c r="N136" i="13"/>
  <c r="J135" i="13" a="1"/>
  <c r="J135" i="13" s="1"/>
  <c r="M139" i="14"/>
  <c r="M138" i="13"/>
  <c r="N135" i="14"/>
  <c r="J134" i="14" a="1"/>
  <c r="J134" i="14" s="1"/>
  <c r="L56" i="14"/>
  <c r="I57" i="14" s="1"/>
  <c r="L45" i="13" l="1"/>
  <c r="I46" i="13" s="1"/>
  <c r="M140" i="14"/>
  <c r="M139" i="13"/>
  <c r="K57" i="14"/>
  <c r="N136" i="14"/>
  <c r="J135" i="14" a="1"/>
  <c r="J135" i="14" s="1"/>
  <c r="N137" i="13"/>
  <c r="J136" i="13" a="1"/>
  <c r="J136" i="13" s="1"/>
  <c r="K46" i="13" l="1"/>
  <c r="M140" i="13"/>
  <c r="N138" i="13"/>
  <c r="J137" i="13" a="1"/>
  <c r="J137" i="13" s="1"/>
  <c r="M141" i="14"/>
  <c r="N137" i="14"/>
  <c r="J136" i="14" a="1"/>
  <c r="J136" i="14" s="1"/>
  <c r="L57" i="14"/>
  <c r="I58" i="14" s="1"/>
  <c r="L46" i="13" l="1"/>
  <c r="I47" i="13" s="1"/>
  <c r="K58" i="14"/>
  <c r="N139" i="13"/>
  <c r="J138" i="13" a="1"/>
  <c r="J138" i="13" s="1"/>
  <c r="M141" i="13"/>
  <c r="M142" i="14"/>
  <c r="N138" i="14"/>
  <c r="J137" i="14" a="1"/>
  <c r="J137" i="14" s="1"/>
  <c r="K47" i="13" l="1"/>
  <c r="L47" i="13" s="1"/>
  <c r="I48" i="13" s="1"/>
  <c r="M143" i="14"/>
  <c r="N140" i="13"/>
  <c r="J139" i="13" a="1"/>
  <c r="J139" i="13" s="1"/>
  <c r="M142" i="13"/>
  <c r="N139" i="14"/>
  <c r="J138" i="14" a="1"/>
  <c r="J138" i="14" s="1"/>
  <c r="L58" i="14"/>
  <c r="I59" i="14" s="1"/>
  <c r="K48" i="13" l="1"/>
  <c r="L48" i="13" s="1"/>
  <c r="I49" i="13" s="1"/>
  <c r="K59" i="14"/>
  <c r="L59" i="14" s="1"/>
  <c r="I60" i="14" s="1"/>
  <c r="M144" i="14"/>
  <c r="N140" i="14"/>
  <c r="J139" i="14" a="1"/>
  <c r="J139" i="14" s="1"/>
  <c r="M143" i="13"/>
  <c r="N141" i="13"/>
  <c r="J140" i="13" a="1"/>
  <c r="J140" i="13" s="1"/>
  <c r="K49" i="13" l="1"/>
  <c r="L49" i="13" s="1"/>
  <c r="I50" i="13" s="1"/>
  <c r="K60" i="14"/>
  <c r="L60" i="14" s="1"/>
  <c r="I61" i="14" s="1"/>
  <c r="N141" i="14"/>
  <c r="J140" i="14" a="1"/>
  <c r="J140" i="14" s="1"/>
  <c r="N142" i="13"/>
  <c r="J141" i="13" a="1"/>
  <c r="J141" i="13" s="1"/>
  <c r="M144" i="13"/>
  <c r="M145" i="14"/>
  <c r="K50" i="13" l="1"/>
  <c r="L50" i="13" s="1"/>
  <c r="I51" i="13" s="1"/>
  <c r="K61" i="14"/>
  <c r="L61" i="14" s="1"/>
  <c r="I62" i="14" s="1"/>
  <c r="N143" i="13"/>
  <c r="J142" i="13" a="1"/>
  <c r="J142" i="13" s="1"/>
  <c r="M145" i="13"/>
  <c r="M146" i="14"/>
  <c r="N142" i="14"/>
  <c r="J141" i="14" a="1"/>
  <c r="J141" i="14" s="1"/>
  <c r="K51" i="13" l="1"/>
  <c r="L51" i="13" s="1"/>
  <c r="I52" i="13" s="1"/>
  <c r="K62" i="14"/>
  <c r="L62" i="14" s="1"/>
  <c r="I63" i="14" s="1"/>
  <c r="M146" i="13"/>
  <c r="N143" i="14"/>
  <c r="J142" i="14" a="1"/>
  <c r="J142" i="14" s="1"/>
  <c r="M147" i="14"/>
  <c r="N144" i="13"/>
  <c r="J143" i="13" a="1"/>
  <c r="J143" i="13" s="1"/>
  <c r="K52" i="13" l="1"/>
  <c r="L52" i="13" s="1"/>
  <c r="I53" i="13" s="1"/>
  <c r="K63" i="14"/>
  <c r="L63" i="14" s="1"/>
  <c r="I64" i="14" s="1"/>
  <c r="N144" i="14"/>
  <c r="J143" i="14" a="1"/>
  <c r="J143" i="14" s="1"/>
  <c r="M148" i="14"/>
  <c r="M147" i="13"/>
  <c r="N145" i="13"/>
  <c r="J144" i="13" a="1"/>
  <c r="J144" i="13" s="1"/>
  <c r="K53" i="13" l="1"/>
  <c r="L53" i="13" s="1"/>
  <c r="I54" i="13" s="1"/>
  <c r="K64" i="14"/>
  <c r="L64" i="14" s="1"/>
  <c r="I65" i="14" s="1"/>
  <c r="M149" i="14"/>
  <c r="M148" i="13"/>
  <c r="N146" i="13"/>
  <c r="J145" i="13" a="1"/>
  <c r="J145" i="13" s="1"/>
  <c r="N145" i="14"/>
  <c r="J144" i="14" a="1"/>
  <c r="J144" i="14" s="1"/>
  <c r="K54" i="13" l="1"/>
  <c r="L54" i="13" s="1"/>
  <c r="I55" i="13" s="1"/>
  <c r="K65" i="14"/>
  <c r="L65" i="14" s="1"/>
  <c r="I66" i="14" s="1"/>
  <c r="M149" i="13"/>
  <c r="M150" i="14"/>
  <c r="N146" i="14"/>
  <c r="J145" i="14" a="1"/>
  <c r="J145" i="14" s="1"/>
  <c r="N147" i="13"/>
  <c r="J146" i="13" a="1"/>
  <c r="J146" i="13" s="1"/>
  <c r="K55" i="13" l="1"/>
  <c r="L55" i="13" s="1"/>
  <c r="I56" i="13" s="1"/>
  <c r="K66" i="14"/>
  <c r="L66" i="14" s="1"/>
  <c r="I67" i="14" s="1"/>
  <c r="M151" i="14"/>
  <c r="M150" i="13"/>
  <c r="N148" i="13"/>
  <c r="J147" i="13" a="1"/>
  <c r="J147" i="13" s="1"/>
  <c r="N147" i="14"/>
  <c r="J146" i="14" a="1"/>
  <c r="J146" i="14" s="1"/>
  <c r="K56" i="13" l="1"/>
  <c r="K67" i="14"/>
  <c r="L67" i="14" s="1"/>
  <c r="I68" i="14" s="1"/>
  <c r="M151" i="13"/>
  <c r="N148" i="14"/>
  <c r="J147" i="14" a="1"/>
  <c r="J147" i="14" s="1"/>
  <c r="M152" i="14"/>
  <c r="N149" i="13"/>
  <c r="J148" i="13" a="1"/>
  <c r="J148" i="13" s="1"/>
  <c r="L56" i="13" l="1"/>
  <c r="I57" i="13" s="1"/>
  <c r="K68" i="14"/>
  <c r="M152" i="13"/>
  <c r="N150" i="13"/>
  <c r="J149" i="13" a="1"/>
  <c r="J149" i="13" s="1"/>
  <c r="M153" i="14"/>
  <c r="N149" i="14"/>
  <c r="J148" i="14" a="1"/>
  <c r="J148" i="14" s="1"/>
  <c r="K57" i="13" l="1"/>
  <c r="N150" i="14"/>
  <c r="J149" i="14" a="1"/>
  <c r="J149" i="14" s="1"/>
  <c r="N151" i="13"/>
  <c r="J150" i="13" a="1"/>
  <c r="J150" i="13" s="1"/>
  <c r="M154" i="14"/>
  <c r="M153" i="13"/>
  <c r="L68" i="14"/>
  <c r="I69" i="14" s="1"/>
  <c r="L57" i="13" l="1"/>
  <c r="I58" i="13" s="1"/>
  <c r="K69" i="14"/>
  <c r="M155" i="14"/>
  <c r="N152" i="13"/>
  <c r="J151" i="13" a="1"/>
  <c r="J151" i="13" s="1"/>
  <c r="M154" i="13"/>
  <c r="N151" i="14"/>
  <c r="J150" i="14" a="1"/>
  <c r="J150" i="14" s="1"/>
  <c r="K58" i="13" l="1"/>
  <c r="M155" i="13"/>
  <c r="M156" i="14"/>
  <c r="N152" i="14"/>
  <c r="J151" i="14" a="1"/>
  <c r="J151" i="14" s="1"/>
  <c r="N153" i="13"/>
  <c r="J152" i="13" a="1"/>
  <c r="J152" i="13" s="1"/>
  <c r="L69" i="14"/>
  <c r="I70" i="14" s="1"/>
  <c r="L58" i="13" l="1"/>
  <c r="I59" i="13" s="1"/>
  <c r="M157" i="14"/>
  <c r="M156" i="13"/>
  <c r="K70" i="14"/>
  <c r="L70" i="14" s="1"/>
  <c r="I71" i="14" s="1"/>
  <c r="N154" i="13"/>
  <c r="J153" i="13" a="1"/>
  <c r="J153" i="13" s="1"/>
  <c r="N153" i="14"/>
  <c r="J152" i="14" a="1"/>
  <c r="J152" i="14" s="1"/>
  <c r="K59" i="13" l="1"/>
  <c r="L59" i="13" s="1"/>
  <c r="I60" i="13" s="1"/>
  <c r="K71" i="14"/>
  <c r="L71" i="14" s="1"/>
  <c r="I72" i="14" s="1"/>
  <c r="N154" i="14"/>
  <c r="J153" i="14" a="1"/>
  <c r="J153" i="14" s="1"/>
  <c r="N155" i="13"/>
  <c r="J154" i="13" a="1"/>
  <c r="J154" i="13" s="1"/>
  <c r="M157" i="13"/>
  <c r="M158" i="14"/>
  <c r="K60" i="13" l="1"/>
  <c r="L60" i="13" s="1"/>
  <c r="I61" i="13" s="1"/>
  <c r="K72" i="14"/>
  <c r="L72" i="14" s="1"/>
  <c r="I73" i="14" s="1"/>
  <c r="N156" i="13"/>
  <c r="J155" i="13" a="1"/>
  <c r="J155" i="13" s="1"/>
  <c r="M159" i="14"/>
  <c r="M158" i="13"/>
  <c r="N155" i="14"/>
  <c r="J154" i="14" a="1"/>
  <c r="J154" i="14" s="1"/>
  <c r="K61" i="13" l="1"/>
  <c r="L61" i="13" s="1"/>
  <c r="I62" i="13" s="1"/>
  <c r="K73" i="14"/>
  <c r="L73" i="14" s="1"/>
  <c r="I74" i="14" s="1"/>
  <c r="M160" i="14"/>
  <c r="N156" i="14"/>
  <c r="J155" i="14" a="1"/>
  <c r="J155" i="14" s="1"/>
  <c r="M159" i="13"/>
  <c r="N157" i="13"/>
  <c r="J156" i="13" a="1"/>
  <c r="J156" i="13" s="1"/>
  <c r="K62" i="13" l="1"/>
  <c r="L62" i="13" s="1"/>
  <c r="I63" i="13" s="1"/>
  <c r="K74" i="14"/>
  <c r="L74" i="14" s="1"/>
  <c r="I75" i="14" s="1"/>
  <c r="N157" i="14"/>
  <c r="J156" i="14" a="1"/>
  <c r="J156" i="14" s="1"/>
  <c r="M160" i="13"/>
  <c r="M161" i="14"/>
  <c r="N158" i="13"/>
  <c r="J157" i="13" a="1"/>
  <c r="J157" i="13" s="1"/>
  <c r="K63" i="13" l="1"/>
  <c r="L63" i="13" s="1"/>
  <c r="I64" i="13" s="1"/>
  <c r="K75" i="14"/>
  <c r="L75" i="14" s="1"/>
  <c r="I76" i="14" s="1"/>
  <c r="N159" i="13"/>
  <c r="J158" i="13" a="1"/>
  <c r="J158" i="13" s="1"/>
  <c r="M161" i="13"/>
  <c r="M162" i="14"/>
  <c r="N158" i="14"/>
  <c r="J157" i="14" a="1"/>
  <c r="J157" i="14" s="1"/>
  <c r="K64" i="13" l="1"/>
  <c r="L64" i="13" s="1"/>
  <c r="I65" i="13" s="1"/>
  <c r="K76" i="14"/>
  <c r="L76" i="14" s="1"/>
  <c r="I77" i="14" s="1"/>
  <c r="M162" i="13"/>
  <c r="N159" i="14"/>
  <c r="J158" i="14" a="1"/>
  <c r="J158" i="14" s="1"/>
  <c r="M163" i="14"/>
  <c r="N160" i="13"/>
  <c r="J159" i="13" a="1"/>
  <c r="J159" i="13" s="1"/>
  <c r="K65" i="13" l="1"/>
  <c r="L65" i="13" s="1"/>
  <c r="I66" i="13" s="1"/>
  <c r="K77" i="14"/>
  <c r="L77" i="14" s="1"/>
  <c r="I78" i="14" s="1"/>
  <c r="N161" i="13"/>
  <c r="J160" i="13" a="1"/>
  <c r="J160" i="13" s="1"/>
  <c r="N160" i="14"/>
  <c r="J159" i="14" a="1"/>
  <c r="J159" i="14" s="1"/>
  <c r="M164" i="14"/>
  <c r="M163" i="13"/>
  <c r="K66" i="13" l="1"/>
  <c r="L66" i="13" s="1"/>
  <c r="I67" i="13" s="1"/>
  <c r="K78" i="14"/>
  <c r="L78" i="14" s="1"/>
  <c r="I79" i="14" s="1"/>
  <c r="N161" i="14"/>
  <c r="J160" i="14" a="1"/>
  <c r="J160" i="14" s="1"/>
  <c r="M164" i="13"/>
  <c r="M165" i="14"/>
  <c r="N162" i="13"/>
  <c r="J161" i="13" a="1"/>
  <c r="J161" i="13" s="1"/>
  <c r="K67" i="13" l="1"/>
  <c r="L67" i="13" s="1"/>
  <c r="I68" i="13" s="1"/>
  <c r="K79" i="14"/>
  <c r="L79" i="14" s="1"/>
  <c r="I80" i="14" s="1"/>
  <c r="N163" i="13"/>
  <c r="J162" i="13" a="1"/>
  <c r="J162" i="13" s="1"/>
  <c r="M165" i="13"/>
  <c r="M166" i="14"/>
  <c r="N162" i="14"/>
  <c r="J161" i="14" a="1"/>
  <c r="J161" i="14" s="1"/>
  <c r="K68" i="13" l="1"/>
  <c r="K80" i="14"/>
  <c r="M166" i="13"/>
  <c r="N163" i="14"/>
  <c r="J162" i="14" a="1"/>
  <c r="J162" i="14" s="1"/>
  <c r="M167" i="14"/>
  <c r="N164" i="13"/>
  <c r="J163" i="13" a="1"/>
  <c r="J163" i="13" s="1"/>
  <c r="L68" i="13" l="1"/>
  <c r="I69" i="13" s="1"/>
  <c r="N165" i="13"/>
  <c r="J164" i="13" a="1"/>
  <c r="J164" i="13" s="1"/>
  <c r="N164" i="14"/>
  <c r="J163" i="14" a="1"/>
  <c r="J163" i="14" s="1"/>
  <c r="M168" i="14"/>
  <c r="M167" i="13"/>
  <c r="L80" i="14"/>
  <c r="I81" i="14" s="1"/>
  <c r="K69" i="13" l="1"/>
  <c r="M168" i="13"/>
  <c r="M169" i="14"/>
  <c r="K81" i="14"/>
  <c r="N165" i="14"/>
  <c r="J164" i="14" a="1"/>
  <c r="J164" i="14" s="1"/>
  <c r="N166" i="13"/>
  <c r="J165" i="13" a="1"/>
  <c r="J165" i="13" s="1"/>
  <c r="L69" i="13" l="1"/>
  <c r="I70" i="13" s="1"/>
  <c r="N166" i="14"/>
  <c r="J165" i="14" a="1"/>
  <c r="J165" i="14" s="1"/>
  <c r="M170" i="14"/>
  <c r="N167" i="13"/>
  <c r="J166" i="13" a="1"/>
  <c r="J166" i="13" s="1"/>
  <c r="M169" i="13"/>
  <c r="L81" i="14"/>
  <c r="I82" i="14" s="1"/>
  <c r="K70" i="13" l="1"/>
  <c r="L70" i="13" s="1"/>
  <c r="I71" i="13" s="1"/>
  <c r="M171" i="14"/>
  <c r="K82" i="14"/>
  <c r="L82" i="14" s="1"/>
  <c r="I83" i="14" s="1"/>
  <c r="M170" i="13"/>
  <c r="N168" i="13"/>
  <c r="J167" i="13" a="1"/>
  <c r="J167" i="13" s="1"/>
  <c r="N167" i="14"/>
  <c r="J166" i="14" a="1"/>
  <c r="J166" i="14" s="1"/>
  <c r="K71" i="13" l="1"/>
  <c r="L71" i="13" s="1"/>
  <c r="I72" i="13" s="1"/>
  <c r="K83" i="14"/>
  <c r="L83" i="14" s="1"/>
  <c r="I84" i="14" s="1"/>
  <c r="N168" i="14"/>
  <c r="J167" i="14" a="1"/>
  <c r="J167" i="14" s="1"/>
  <c r="N169" i="13"/>
  <c r="J168" i="13" a="1"/>
  <c r="J168" i="13" s="1"/>
  <c r="M171" i="13"/>
  <c r="M172" i="14"/>
  <c r="K72" i="13" l="1"/>
  <c r="L72" i="13" s="1"/>
  <c r="I73" i="13" s="1"/>
  <c r="K84" i="14"/>
  <c r="L84" i="14" s="1"/>
  <c r="I85" i="14" s="1"/>
  <c r="M172" i="13"/>
  <c r="M173" i="14"/>
  <c r="N170" i="13"/>
  <c r="J169" i="13" a="1"/>
  <c r="J169" i="13" s="1"/>
  <c r="N169" i="14"/>
  <c r="J168" i="14" a="1"/>
  <c r="J168" i="14" s="1"/>
  <c r="K73" i="13" l="1"/>
  <c r="L73" i="13" s="1"/>
  <c r="I74" i="13" s="1"/>
  <c r="K85" i="14"/>
  <c r="L85" i="14" s="1"/>
  <c r="I86" i="14" s="1"/>
  <c r="M174" i="14"/>
  <c r="N170" i="14"/>
  <c r="J169" i="14" a="1"/>
  <c r="J169" i="14" s="1"/>
  <c r="M173" i="13"/>
  <c r="N171" i="13"/>
  <c r="J170" i="13" a="1"/>
  <c r="J170" i="13" s="1"/>
  <c r="K74" i="13" l="1"/>
  <c r="L74" i="13" s="1"/>
  <c r="I75" i="13" s="1"/>
  <c r="K86" i="14"/>
  <c r="L86" i="14" s="1"/>
  <c r="I87" i="14" s="1"/>
  <c r="N171" i="14"/>
  <c r="J170" i="14" a="1"/>
  <c r="J170" i="14" s="1"/>
  <c r="N172" i="13"/>
  <c r="J171" i="13" a="1"/>
  <c r="J171" i="13" s="1"/>
  <c r="M174" i="13"/>
  <c r="M175" i="14"/>
  <c r="K75" i="13" l="1"/>
  <c r="L75" i="13" s="1"/>
  <c r="I76" i="13" s="1"/>
  <c r="K87" i="14"/>
  <c r="L87" i="14" s="1"/>
  <c r="I88" i="14" s="1"/>
  <c r="N173" i="13"/>
  <c r="J172" i="13" a="1"/>
  <c r="J172" i="13" s="1"/>
  <c r="M176" i="14"/>
  <c r="M175" i="13"/>
  <c r="N172" i="14"/>
  <c r="J171" i="14" a="1"/>
  <c r="J171" i="14" s="1"/>
  <c r="K76" i="13" l="1"/>
  <c r="L76" i="13" s="1"/>
  <c r="I77" i="13" s="1"/>
  <c r="K88" i="14"/>
  <c r="L88" i="14" s="1"/>
  <c r="I89" i="14" s="1"/>
  <c r="N173" i="14"/>
  <c r="J172" i="14" a="1"/>
  <c r="J172" i="14" s="1"/>
  <c r="M177" i="14"/>
  <c r="M176" i="13"/>
  <c r="N174" i="13"/>
  <c r="J173" i="13" a="1"/>
  <c r="J173" i="13" s="1"/>
  <c r="K77" i="13" l="1"/>
  <c r="L77" i="13" s="1"/>
  <c r="I78" i="13" s="1"/>
  <c r="K89" i="14"/>
  <c r="L89" i="14" s="1"/>
  <c r="I90" i="14" s="1"/>
  <c r="N175" i="13"/>
  <c r="J174" i="13" a="1"/>
  <c r="J174" i="13" s="1"/>
  <c r="M178" i="14"/>
  <c r="M177" i="13"/>
  <c r="N174" i="14"/>
  <c r="J173" i="14" a="1"/>
  <c r="J173" i="14" s="1"/>
  <c r="K78" i="13" l="1"/>
  <c r="L78" i="13" s="1"/>
  <c r="I79" i="13" s="1"/>
  <c r="K90" i="14"/>
  <c r="L90" i="14" s="1"/>
  <c r="I91" i="14" s="1"/>
  <c r="N175" i="14"/>
  <c r="J174" i="14" a="1"/>
  <c r="J174" i="14" s="1"/>
  <c r="M179" i="14"/>
  <c r="M178" i="13"/>
  <c r="N176" i="13"/>
  <c r="J175" i="13" a="1"/>
  <c r="J175" i="13" s="1"/>
  <c r="K79" i="13" l="1"/>
  <c r="L79" i="13" s="1"/>
  <c r="I80" i="13" s="1"/>
  <c r="K91" i="14"/>
  <c r="L91" i="14" s="1"/>
  <c r="I92" i="14" s="1"/>
  <c r="M180" i="14"/>
  <c r="N177" i="13"/>
  <c r="J176" i="13" a="1"/>
  <c r="J176" i="13" s="1"/>
  <c r="M179" i="13"/>
  <c r="N176" i="14"/>
  <c r="J175" i="14" a="1"/>
  <c r="J175" i="14" s="1"/>
  <c r="K80" i="13" l="1"/>
  <c r="K92" i="14"/>
  <c r="N178" i="13"/>
  <c r="J177" i="13" a="1"/>
  <c r="J177" i="13" s="1"/>
  <c r="N177" i="14"/>
  <c r="J176" i="14" a="1"/>
  <c r="J176" i="14" s="1"/>
  <c r="M180" i="13"/>
  <c r="M181" i="14"/>
  <c r="L80" i="13" l="1"/>
  <c r="I81" i="13" s="1"/>
  <c r="N178" i="14"/>
  <c r="J177" i="14" a="1"/>
  <c r="J177" i="14" s="1"/>
  <c r="M181" i="13"/>
  <c r="M182" i="14"/>
  <c r="N179" i="13"/>
  <c r="J178" i="13" a="1"/>
  <c r="J178" i="13" s="1"/>
  <c r="L92" i="14"/>
  <c r="I93" i="14" s="1"/>
  <c r="K81" i="13" l="1"/>
  <c r="L81" i="13" s="1"/>
  <c r="I82" i="13" s="1"/>
  <c r="M182" i="13"/>
  <c r="N180" i="13"/>
  <c r="J179" i="13" a="1"/>
  <c r="J179" i="13" s="1"/>
  <c r="K93" i="14"/>
  <c r="M183" i="14"/>
  <c r="N179" i="14"/>
  <c r="J178" i="14" a="1"/>
  <c r="J178" i="14" s="1"/>
  <c r="K82" i="13" l="1"/>
  <c r="L82" i="13" s="1"/>
  <c r="I83" i="13" s="1"/>
  <c r="N180" i="14"/>
  <c r="J179" i="14" a="1"/>
  <c r="J179" i="14" s="1"/>
  <c r="M184" i="14"/>
  <c r="L93" i="14"/>
  <c r="I94" i="14" s="1"/>
  <c r="M183" i="13"/>
  <c r="N181" i="13"/>
  <c r="J180" i="13" a="1"/>
  <c r="J180" i="13" s="1"/>
  <c r="K83" i="13" l="1"/>
  <c r="L83" i="13" s="1"/>
  <c r="I84" i="13" s="1"/>
  <c r="K94" i="14"/>
  <c r="L94" i="14" s="1"/>
  <c r="I95" i="14" s="1"/>
  <c r="N182" i="13"/>
  <c r="J181" i="13" a="1"/>
  <c r="J181" i="13" s="1"/>
  <c r="M184" i="13"/>
  <c r="M185" i="14"/>
  <c r="N181" i="14"/>
  <c r="J180" i="14" a="1"/>
  <c r="J180" i="14" s="1"/>
  <c r="K84" i="13" l="1"/>
  <c r="L84" i="13" s="1"/>
  <c r="I85" i="13" s="1"/>
  <c r="K95" i="14"/>
  <c r="L95" i="14" s="1"/>
  <c r="I96" i="14" s="1"/>
  <c r="M185" i="13"/>
  <c r="N182" i="14"/>
  <c r="J181" i="14" a="1"/>
  <c r="J181" i="14" s="1"/>
  <c r="M186" i="14"/>
  <c r="N183" i="13"/>
  <c r="J182" i="13" a="1"/>
  <c r="J182" i="13" s="1"/>
  <c r="K85" i="13" l="1"/>
  <c r="L85" i="13" s="1"/>
  <c r="I86" i="13" s="1"/>
  <c r="K96" i="14"/>
  <c r="L96" i="14" s="1"/>
  <c r="I97" i="14" s="1"/>
  <c r="N183" i="14"/>
  <c r="J182" i="14" a="1"/>
  <c r="J182" i="14" s="1"/>
  <c r="N184" i="13"/>
  <c r="J183" i="13" a="1"/>
  <c r="J183" i="13" s="1"/>
  <c r="M187" i="14"/>
  <c r="M186" i="13"/>
  <c r="K86" i="13" l="1"/>
  <c r="L86" i="13" s="1"/>
  <c r="I87" i="13" s="1"/>
  <c r="K97" i="14"/>
  <c r="L97" i="14" s="1"/>
  <c r="I98" i="14" s="1"/>
  <c r="N185" i="13"/>
  <c r="J184" i="13" a="1"/>
  <c r="J184" i="13" s="1"/>
  <c r="M187" i="13"/>
  <c r="M188" i="14"/>
  <c r="N184" i="14"/>
  <c r="J183" i="14" a="1"/>
  <c r="J183" i="14" s="1"/>
  <c r="K87" i="13" l="1"/>
  <c r="L87" i="13" s="1"/>
  <c r="I88" i="13" s="1"/>
  <c r="M188" i="13"/>
  <c r="N185" i="14"/>
  <c r="J184" i="14" a="1"/>
  <c r="J184" i="14" s="1"/>
  <c r="K98" i="14"/>
  <c r="L98" i="14" s="1"/>
  <c r="I99" i="14" s="1"/>
  <c r="M189" i="14"/>
  <c r="N186" i="13"/>
  <c r="J185" i="13" a="1"/>
  <c r="J185" i="13" s="1"/>
  <c r="K88" i="13" l="1"/>
  <c r="L88" i="13" s="1"/>
  <c r="I89" i="13" s="1"/>
  <c r="K99" i="14"/>
  <c r="L99" i="14" s="1"/>
  <c r="I100" i="14" s="1"/>
  <c r="N187" i="13"/>
  <c r="J186" i="13" a="1"/>
  <c r="J186" i="13" s="1"/>
  <c r="M189" i="13"/>
  <c r="M190" i="14"/>
  <c r="N186" i="14"/>
  <c r="J185" i="14" a="1"/>
  <c r="J185" i="14" s="1"/>
  <c r="K89" i="13" l="1"/>
  <c r="L89" i="13" s="1"/>
  <c r="I90" i="13" s="1"/>
  <c r="K100" i="14"/>
  <c r="L100" i="14" s="1"/>
  <c r="I101" i="14" s="1"/>
  <c r="M190" i="13"/>
  <c r="N187" i="14"/>
  <c r="J186" i="14" a="1"/>
  <c r="J186" i="14" s="1"/>
  <c r="M191" i="14"/>
  <c r="N188" i="13"/>
  <c r="J187" i="13" a="1"/>
  <c r="J187" i="13" s="1"/>
  <c r="K90" i="13" l="1"/>
  <c r="L90" i="13" s="1"/>
  <c r="I91" i="13" s="1"/>
  <c r="K101" i="14"/>
  <c r="L101" i="14" s="1"/>
  <c r="I102" i="14" s="1"/>
  <c r="N189" i="13"/>
  <c r="J188" i="13" a="1"/>
  <c r="J188" i="13" s="1"/>
  <c r="N188" i="14"/>
  <c r="J187" i="14" a="1"/>
  <c r="J187" i="14" s="1"/>
  <c r="M192" i="14"/>
  <c r="M191" i="13"/>
  <c r="K91" i="13" l="1"/>
  <c r="L91" i="13" s="1"/>
  <c r="I92" i="13" s="1"/>
  <c r="K102" i="14"/>
  <c r="L102" i="14" s="1"/>
  <c r="I103" i="14" s="1"/>
  <c r="N189" i="14"/>
  <c r="J188" i="14" a="1"/>
  <c r="J188" i="14" s="1"/>
  <c r="M192" i="13"/>
  <c r="M193" i="14"/>
  <c r="N190" i="13"/>
  <c r="J189" i="13" a="1"/>
  <c r="J189" i="13" s="1"/>
  <c r="K92" i="13" l="1"/>
  <c r="K103" i="14"/>
  <c r="L103" i="14" s="1"/>
  <c r="I104" i="14" s="1"/>
  <c r="N191" i="13"/>
  <c r="J190" i="13" a="1"/>
  <c r="J190" i="13" s="1"/>
  <c r="M194" i="14"/>
  <c r="M193" i="13"/>
  <c r="N190" i="14"/>
  <c r="J189" i="14" a="1"/>
  <c r="J189" i="14" s="1"/>
  <c r="L92" i="13" l="1"/>
  <c r="I93" i="13" s="1"/>
  <c r="K104" i="14"/>
  <c r="M195" i="14"/>
  <c r="N192" i="13"/>
  <c r="J191" i="13" a="1"/>
  <c r="J191" i="13" s="1"/>
  <c r="N191" i="14"/>
  <c r="J190" i="14" a="1"/>
  <c r="J190" i="14" s="1"/>
  <c r="M194" i="13"/>
  <c r="K93" i="13" l="1"/>
  <c r="N193" i="13"/>
  <c r="J192" i="13" a="1"/>
  <c r="J192" i="13" s="1"/>
  <c r="M196" i="14"/>
  <c r="M195" i="13"/>
  <c r="N192" i="14"/>
  <c r="J191" i="14" a="1"/>
  <c r="J191" i="14" s="1"/>
  <c r="L104" i="14"/>
  <c r="I105" i="14" s="1"/>
  <c r="L93" i="13" l="1"/>
  <c r="I94" i="13" s="1"/>
  <c r="N193" i="14"/>
  <c r="J192" i="14" a="1"/>
  <c r="J192" i="14" s="1"/>
  <c r="M197" i="14"/>
  <c r="N194" i="13"/>
  <c r="J193" i="13" a="1"/>
  <c r="J193" i="13" s="1"/>
  <c r="M196" i="13"/>
  <c r="K105" i="14"/>
  <c r="K94" i="13" l="1"/>
  <c r="L94" i="13" s="1"/>
  <c r="I95" i="13" s="1"/>
  <c r="L105" i="14"/>
  <c r="I106" i="14" s="1"/>
  <c r="M197" i="13"/>
  <c r="M198" i="14"/>
  <c r="N195" i="13"/>
  <c r="J194" i="13" a="1"/>
  <c r="J194" i="13" s="1"/>
  <c r="N194" i="14"/>
  <c r="J193" i="14" a="1"/>
  <c r="J193" i="14" s="1"/>
  <c r="K95" i="13" l="1"/>
  <c r="L95" i="13" s="1"/>
  <c r="I96" i="13" s="1"/>
  <c r="M198" i="13"/>
  <c r="N195" i="14"/>
  <c r="J194" i="14" a="1"/>
  <c r="J194" i="14" s="1"/>
  <c r="N196" i="13"/>
  <c r="J195" i="13" a="1"/>
  <c r="J195" i="13" s="1"/>
  <c r="M199" i="14"/>
  <c r="K106" i="14"/>
  <c r="L106" i="14" s="1"/>
  <c r="I107" i="14" s="1"/>
  <c r="K96" i="13" l="1"/>
  <c r="L96" i="13" s="1"/>
  <c r="I97" i="13" s="1"/>
  <c r="K107" i="14"/>
  <c r="L107" i="14" s="1"/>
  <c r="I108" i="14" s="1"/>
  <c r="M199" i="13"/>
  <c r="N197" i="13"/>
  <c r="J196" i="13" a="1"/>
  <c r="J196" i="13" s="1"/>
  <c r="M200" i="14"/>
  <c r="N196" i="14"/>
  <c r="J195" i="14" a="1"/>
  <c r="J195" i="14" s="1"/>
  <c r="K97" i="13" l="1"/>
  <c r="L97" i="13" s="1"/>
  <c r="I98" i="13" s="1"/>
  <c r="K108" i="14"/>
  <c r="L108" i="14" s="1"/>
  <c r="I109" i="14" s="1"/>
  <c r="N198" i="13"/>
  <c r="J197" i="13" a="1"/>
  <c r="J197" i="13" s="1"/>
  <c r="M201" i="14"/>
  <c r="N197" i="14"/>
  <c r="J196" i="14" a="1"/>
  <c r="J196" i="14" s="1"/>
  <c r="M200" i="13"/>
  <c r="K98" i="13" l="1"/>
  <c r="L98" i="13" s="1"/>
  <c r="I99" i="13" s="1"/>
  <c r="K109" i="14"/>
  <c r="L109" i="14" s="1"/>
  <c r="I110" i="14" s="1"/>
  <c r="M201" i="13"/>
  <c r="M202" i="14"/>
  <c r="N198" i="14"/>
  <c r="J197" i="14" a="1"/>
  <c r="J197" i="14" s="1"/>
  <c r="N199" i="13"/>
  <c r="J198" i="13" a="1"/>
  <c r="J198" i="13" s="1"/>
  <c r="K99" i="13" l="1"/>
  <c r="L99" i="13" s="1"/>
  <c r="I100" i="13" s="1"/>
  <c r="K110" i="14"/>
  <c r="L110" i="14" s="1"/>
  <c r="I111" i="14" s="1"/>
  <c r="M203" i="14"/>
  <c r="N200" i="13"/>
  <c r="J199" i="13" a="1"/>
  <c r="J199" i="13" s="1"/>
  <c r="M202" i="13"/>
  <c r="N199" i="14"/>
  <c r="J198" i="14" a="1"/>
  <c r="J198" i="14" s="1"/>
  <c r="K100" i="13" l="1"/>
  <c r="L100" i="13" s="1"/>
  <c r="I101" i="13" s="1"/>
  <c r="K111" i="14"/>
  <c r="L111" i="14" s="1"/>
  <c r="I112" i="14" s="1"/>
  <c r="N201" i="13"/>
  <c r="J200" i="13" a="1"/>
  <c r="J200" i="13" s="1"/>
  <c r="N200" i="14"/>
  <c r="J199" i="14" a="1"/>
  <c r="J199" i="14" s="1"/>
  <c r="M203" i="13"/>
  <c r="M204" i="14"/>
  <c r="K101" i="13" l="1"/>
  <c r="L101" i="13" s="1"/>
  <c r="I102" i="13" s="1"/>
  <c r="K112" i="14"/>
  <c r="L112" i="14" s="1"/>
  <c r="I113" i="14" s="1"/>
  <c r="M205" i="14"/>
  <c r="N201" i="14"/>
  <c r="J200" i="14" a="1"/>
  <c r="J200" i="14" s="1"/>
  <c r="M204" i="13"/>
  <c r="N202" i="13"/>
  <c r="J201" i="13" a="1"/>
  <c r="J201" i="13" s="1"/>
  <c r="K102" i="13" l="1"/>
  <c r="L102" i="13" s="1"/>
  <c r="I103" i="13" s="1"/>
  <c r="K113" i="14"/>
  <c r="L113" i="14" s="1"/>
  <c r="I114" i="14" s="1"/>
  <c r="M205" i="13"/>
  <c r="N202" i="14"/>
  <c r="J201" i="14" a="1"/>
  <c r="J201" i="14" s="1"/>
  <c r="N203" i="13"/>
  <c r="J202" i="13" a="1"/>
  <c r="J202" i="13" s="1"/>
  <c r="M206" i="14"/>
  <c r="K103" i="13" l="1"/>
  <c r="L103" i="13" s="1"/>
  <c r="I104" i="13" s="1"/>
  <c r="K114" i="14"/>
  <c r="L114" i="14" s="1"/>
  <c r="I115" i="14" s="1"/>
  <c r="M207" i="14"/>
  <c r="N203" i="14"/>
  <c r="J202" i="14" a="1"/>
  <c r="J202" i="14" s="1"/>
  <c r="M206" i="13"/>
  <c r="N204" i="13"/>
  <c r="J203" i="13" a="1"/>
  <c r="J203" i="13" s="1"/>
  <c r="K104" i="13" l="1"/>
  <c r="K115" i="14"/>
  <c r="L115" i="14" s="1"/>
  <c r="I116" i="14" s="1"/>
  <c r="N204" i="14"/>
  <c r="J203" i="14" a="1"/>
  <c r="J203" i="14" s="1"/>
  <c r="N205" i="13"/>
  <c r="J204" i="13" a="1"/>
  <c r="J204" i="13" s="1"/>
  <c r="M207" i="13"/>
  <c r="M208" i="14"/>
  <c r="L104" i="13" l="1"/>
  <c r="I105" i="13" s="1"/>
  <c r="K116" i="14"/>
  <c r="N205" i="14"/>
  <c r="J204" i="14" a="1"/>
  <c r="J204" i="14" s="1"/>
  <c r="M208" i="13"/>
  <c r="M209" i="14"/>
  <c r="N206" i="13"/>
  <c r="J205" i="13" a="1"/>
  <c r="J205" i="13" s="1"/>
  <c r="K105" i="13" l="1"/>
  <c r="N207" i="13"/>
  <c r="J206" i="13" a="1"/>
  <c r="J206" i="13" s="1"/>
  <c r="N206" i="14"/>
  <c r="J205" i="14" a="1"/>
  <c r="J205" i="14" s="1"/>
  <c r="M210" i="14"/>
  <c r="M209" i="13"/>
  <c r="L116" i="14"/>
  <c r="I117" i="14" s="1"/>
  <c r="L105" i="13" l="1"/>
  <c r="I106" i="13" s="1"/>
  <c r="K117" i="14"/>
  <c r="M211" i="14"/>
  <c r="M210" i="13"/>
  <c r="N207" i="14"/>
  <c r="J206" i="14" a="1"/>
  <c r="J206" i="14" s="1"/>
  <c r="N208" i="13"/>
  <c r="J207" i="13" a="1"/>
  <c r="J207" i="13" s="1"/>
  <c r="K106" i="13" l="1"/>
  <c r="L106" i="13" s="1"/>
  <c r="I107" i="13" s="1"/>
  <c r="M212" i="14"/>
  <c r="N209" i="13"/>
  <c r="J208" i="13" a="1"/>
  <c r="J208" i="13" s="1"/>
  <c r="M211" i="13"/>
  <c r="N208" i="14"/>
  <c r="J207" i="14" a="1"/>
  <c r="J207" i="14" s="1"/>
  <c r="L117" i="14"/>
  <c r="I118" i="14" s="1"/>
  <c r="K107" i="13" l="1"/>
  <c r="L107" i="13" s="1"/>
  <c r="I108" i="13" s="1"/>
  <c r="K118" i="14"/>
  <c r="L118" i="14" s="1"/>
  <c r="I119" i="14" s="1"/>
  <c r="M213" i="14"/>
  <c r="N209" i="14"/>
  <c r="J208" i="14" a="1"/>
  <c r="J208" i="14" s="1"/>
  <c r="M212" i="13"/>
  <c r="N210" i="13"/>
  <c r="J209" i="13" a="1"/>
  <c r="J209" i="13" s="1"/>
  <c r="K108" i="13" l="1"/>
  <c r="L108" i="13" s="1"/>
  <c r="I109" i="13" s="1"/>
  <c r="K119" i="14"/>
  <c r="L119" i="14" s="1"/>
  <c r="I120" i="14" s="1"/>
  <c r="N210" i="14"/>
  <c r="J209" i="14" a="1"/>
  <c r="J209" i="14" s="1"/>
  <c r="N211" i="13"/>
  <c r="J210" i="13" a="1"/>
  <c r="J210" i="13" s="1"/>
  <c r="M213" i="13"/>
  <c r="M214" i="14"/>
  <c r="K109" i="13" l="1"/>
  <c r="L109" i="13" s="1"/>
  <c r="I110" i="13" s="1"/>
  <c r="K120" i="14"/>
  <c r="L120" i="14" s="1"/>
  <c r="I121" i="14" s="1"/>
  <c r="N212" i="13"/>
  <c r="J211" i="13" a="1"/>
  <c r="J211" i="13" s="1"/>
  <c r="M215" i="14"/>
  <c r="M214" i="13"/>
  <c r="N211" i="14"/>
  <c r="J210" i="14" a="1"/>
  <c r="J210" i="14" s="1"/>
  <c r="K110" i="13" l="1"/>
  <c r="L110" i="13" s="1"/>
  <c r="I111" i="13" s="1"/>
  <c r="K121" i="14"/>
  <c r="L121" i="14" s="1"/>
  <c r="I122" i="14" s="1"/>
  <c r="M216" i="14"/>
  <c r="N212" i="14"/>
  <c r="J211" i="14" a="1"/>
  <c r="J211" i="14" s="1"/>
  <c r="M215" i="13"/>
  <c r="N213" i="13"/>
  <c r="J212" i="13" a="1"/>
  <c r="J212" i="13" s="1"/>
  <c r="K111" i="13" l="1"/>
  <c r="L111" i="13" s="1"/>
  <c r="I112" i="13" s="1"/>
  <c r="K122" i="14"/>
  <c r="L122" i="14" s="1"/>
  <c r="I123" i="14" s="1"/>
  <c r="N213" i="14"/>
  <c r="J212" i="14" a="1"/>
  <c r="J212" i="14" s="1"/>
  <c r="N214" i="13"/>
  <c r="J213" i="13" a="1"/>
  <c r="J213" i="13" s="1"/>
  <c r="M216" i="13"/>
  <c r="M217" i="14"/>
  <c r="K112" i="13" l="1"/>
  <c r="L112" i="13" s="1"/>
  <c r="I113" i="13" s="1"/>
  <c r="M218" i="14"/>
  <c r="N215" i="13"/>
  <c r="J214" i="13" a="1"/>
  <c r="J214" i="13" s="1"/>
  <c r="M217" i="13"/>
  <c r="N214" i="14"/>
  <c r="J213" i="14" a="1"/>
  <c r="J213" i="14" s="1"/>
  <c r="K123" i="14"/>
  <c r="L123" i="14" s="1"/>
  <c r="I124" i="14" s="1"/>
  <c r="K113" i="13" l="1"/>
  <c r="L113" i="13" s="1"/>
  <c r="I114" i="13" s="1"/>
  <c r="K124" i="14"/>
  <c r="L124" i="14" s="1"/>
  <c r="I125" i="14" s="1"/>
  <c r="M219" i="14"/>
  <c r="N215" i="14"/>
  <c r="J214" i="14" a="1"/>
  <c r="J214" i="14" s="1"/>
  <c r="M218" i="13"/>
  <c r="N216" i="13"/>
  <c r="J215" i="13" a="1"/>
  <c r="J215" i="13" s="1"/>
  <c r="K114" i="13" l="1"/>
  <c r="L114" i="13" s="1"/>
  <c r="I115" i="13" s="1"/>
  <c r="N216" i="14"/>
  <c r="J215" i="14" a="1"/>
  <c r="J215" i="14" s="1"/>
  <c r="M220" i="14"/>
  <c r="N217" i="13"/>
  <c r="J216" i="13" a="1"/>
  <c r="J216" i="13" s="1"/>
  <c r="K125" i="14"/>
  <c r="L125" i="14" s="1"/>
  <c r="I126" i="14" s="1"/>
  <c r="M219" i="13"/>
  <c r="K115" i="13" l="1"/>
  <c r="L115" i="13" s="1"/>
  <c r="I116" i="13" s="1"/>
  <c r="K126" i="14"/>
  <c r="L126" i="14" s="1"/>
  <c r="I127" i="14" s="1"/>
  <c r="N217" i="14"/>
  <c r="J216" i="14" a="1"/>
  <c r="J216" i="14" s="1"/>
  <c r="M220" i="13"/>
  <c r="N218" i="13"/>
  <c r="J217" i="13" a="1"/>
  <c r="J217" i="13" s="1"/>
  <c r="M221" i="14"/>
  <c r="K116" i="13" l="1"/>
  <c r="N219" i="13"/>
  <c r="J218" i="13" a="1"/>
  <c r="J218" i="13" s="1"/>
  <c r="M222" i="14"/>
  <c r="M221" i="13"/>
  <c r="N218" i="14"/>
  <c r="J217" i="14" a="1"/>
  <c r="J217" i="14" s="1"/>
  <c r="K127" i="14"/>
  <c r="L127" i="14" s="1"/>
  <c r="I128" i="14" s="1"/>
  <c r="L116" i="13" l="1"/>
  <c r="I117" i="13" s="1"/>
  <c r="K128" i="14"/>
  <c r="M223" i="14"/>
  <c r="M222" i="13"/>
  <c r="N219" i="14"/>
  <c r="J218" i="14" a="1"/>
  <c r="J218" i="14" s="1"/>
  <c r="N220" i="13"/>
  <c r="J219" i="13" a="1"/>
  <c r="J219" i="13" s="1"/>
  <c r="K117" i="13" l="1"/>
  <c r="M223" i="13"/>
  <c r="N221" i="13"/>
  <c r="J220" i="13" a="1"/>
  <c r="J220" i="13" s="1"/>
  <c r="M224" i="14"/>
  <c r="N220" i="14"/>
  <c r="J219" i="14" a="1"/>
  <c r="J219" i="14" s="1"/>
  <c r="L128" i="14"/>
  <c r="I129" i="14" s="1"/>
  <c r="L117" i="13" l="1"/>
  <c r="I118" i="13" s="1"/>
  <c r="M224" i="13"/>
  <c r="K129" i="14"/>
  <c r="N221" i="14"/>
  <c r="J220" i="14" a="1"/>
  <c r="J220" i="14" s="1"/>
  <c r="M225" i="14"/>
  <c r="N222" i="13"/>
  <c r="J221" i="13" a="1"/>
  <c r="J221" i="13" s="1"/>
  <c r="K118" i="13" l="1"/>
  <c r="L118" i="13" s="1"/>
  <c r="I119" i="13" s="1"/>
  <c r="M225" i="13"/>
  <c r="N223" i="13"/>
  <c r="J222" i="13" a="1"/>
  <c r="J222" i="13" s="1"/>
  <c r="N222" i="14"/>
  <c r="J221" i="14" a="1"/>
  <c r="J221" i="14" s="1"/>
  <c r="M226" i="14"/>
  <c r="L129" i="14"/>
  <c r="I130" i="14" s="1"/>
  <c r="K119" i="13" l="1"/>
  <c r="L119" i="13" s="1"/>
  <c r="I120" i="13" s="1"/>
  <c r="K130" i="14"/>
  <c r="L130" i="14" s="1"/>
  <c r="I131" i="14" s="1"/>
  <c r="M226" i="13"/>
  <c r="N223" i="14"/>
  <c r="J222" i="14" a="1"/>
  <c r="J222" i="14" s="1"/>
  <c r="M227" i="14"/>
  <c r="N224" i="13"/>
  <c r="J223" i="13" a="1"/>
  <c r="J223" i="13" s="1"/>
  <c r="K120" i="13" l="1"/>
  <c r="L120" i="13" s="1"/>
  <c r="I121" i="13" s="1"/>
  <c r="K131" i="14"/>
  <c r="L131" i="14" s="1"/>
  <c r="I132" i="14" s="1"/>
  <c r="N225" i="13"/>
  <c r="J224" i="13" a="1"/>
  <c r="J224" i="13" s="1"/>
  <c r="N224" i="14"/>
  <c r="J223" i="14" a="1"/>
  <c r="J223" i="14" s="1"/>
  <c r="M228" i="14"/>
  <c r="M227" i="13"/>
  <c r="K121" i="13" l="1"/>
  <c r="L121" i="13" s="1"/>
  <c r="I122" i="13" s="1"/>
  <c r="K132" i="14"/>
  <c r="L132" i="14" s="1"/>
  <c r="I133" i="14" s="1"/>
  <c r="M228" i="13"/>
  <c r="N225" i="14"/>
  <c r="J224" i="14" a="1"/>
  <c r="J224" i="14" s="1"/>
  <c r="M229" i="14"/>
  <c r="N226" i="13"/>
  <c r="J225" i="13" a="1"/>
  <c r="J225" i="13" s="1"/>
  <c r="K122" i="13" l="1"/>
  <c r="L122" i="13" s="1"/>
  <c r="I123" i="13" s="1"/>
  <c r="K133" i="14"/>
  <c r="L133" i="14" s="1"/>
  <c r="I134" i="14" s="1"/>
  <c r="N226" i="14"/>
  <c r="J225" i="14" a="1"/>
  <c r="J225" i="14" s="1"/>
  <c r="N227" i="13"/>
  <c r="J226" i="13" a="1"/>
  <c r="J226" i="13" s="1"/>
  <c r="M230" i="14"/>
  <c r="M229" i="13"/>
  <c r="K123" i="13" l="1"/>
  <c r="L123" i="13" s="1"/>
  <c r="I124" i="13" s="1"/>
  <c r="K134" i="14"/>
  <c r="L134" i="14" s="1"/>
  <c r="I135" i="14" s="1"/>
  <c r="M230" i="13"/>
  <c r="N228" i="13"/>
  <c r="J227" i="13" a="1"/>
  <c r="J227" i="13" s="1"/>
  <c r="M231" i="14"/>
  <c r="N227" i="14"/>
  <c r="J226" i="14" a="1"/>
  <c r="J226" i="14" s="1"/>
  <c r="K124" i="13" l="1"/>
  <c r="L124" i="13" s="1"/>
  <c r="I125" i="13" s="1"/>
  <c r="K135" i="14"/>
  <c r="L135" i="14" s="1"/>
  <c r="I136" i="14" s="1"/>
  <c r="N228" i="14"/>
  <c r="J227" i="14" a="1"/>
  <c r="J227" i="14" s="1"/>
  <c r="M232" i="14"/>
  <c r="N229" i="13"/>
  <c r="J228" i="13" a="1"/>
  <c r="J228" i="13" s="1"/>
  <c r="M231" i="13"/>
  <c r="K125" i="13" l="1"/>
  <c r="L125" i="13" s="1"/>
  <c r="I126" i="13" s="1"/>
  <c r="K136" i="14"/>
  <c r="L136" i="14" s="1"/>
  <c r="I137" i="14" s="1"/>
  <c r="M232" i="13"/>
  <c r="M233" i="14"/>
  <c r="N230" i="13"/>
  <c r="J229" i="13" a="1"/>
  <c r="J229" i="13" s="1"/>
  <c r="N229" i="14"/>
  <c r="J228" i="14" a="1"/>
  <c r="J228" i="14" s="1"/>
  <c r="K126" i="13" l="1"/>
  <c r="L126" i="13" s="1"/>
  <c r="I127" i="13" s="1"/>
  <c r="K137" i="14"/>
  <c r="L137" i="14" s="1"/>
  <c r="I138" i="14" s="1"/>
  <c r="M234" i="14"/>
  <c r="N230" i="14"/>
  <c r="J229" i="14" a="1"/>
  <c r="J229" i="14" s="1"/>
  <c r="M233" i="13"/>
  <c r="N231" i="13"/>
  <c r="J230" i="13" a="1"/>
  <c r="J230" i="13" s="1"/>
  <c r="K127" i="13" l="1"/>
  <c r="L127" i="13" s="1"/>
  <c r="I128" i="13" s="1"/>
  <c r="K138" i="14"/>
  <c r="L138" i="14" s="1"/>
  <c r="I139" i="14" s="1"/>
  <c r="N232" i="13"/>
  <c r="J231" i="13" a="1"/>
  <c r="J231" i="13" s="1"/>
  <c r="N231" i="14"/>
  <c r="J230" i="14" a="1"/>
  <c r="J230" i="14" s="1"/>
  <c r="M234" i="13"/>
  <c r="M235" i="14"/>
  <c r="K128" i="13" l="1"/>
  <c r="K139" i="14"/>
  <c r="L139" i="14" s="1"/>
  <c r="I140" i="14" s="1"/>
  <c r="M235" i="13"/>
  <c r="N233" i="13"/>
  <c r="J232" i="13" a="1"/>
  <c r="J232" i="13" s="1"/>
  <c r="M236" i="14"/>
  <c r="N232" i="14"/>
  <c r="J231" i="14" a="1"/>
  <c r="J231" i="14" s="1"/>
  <c r="L128" i="13" l="1"/>
  <c r="I129" i="13" s="1"/>
  <c r="K140" i="14"/>
  <c r="L140" i="14" s="1"/>
  <c r="I141" i="14" s="1"/>
  <c r="N233" i="14"/>
  <c r="J232" i="14" a="1"/>
  <c r="J232" i="14" s="1"/>
  <c r="M237" i="14"/>
  <c r="N234" i="13"/>
  <c r="J233" i="13" a="1"/>
  <c r="J233" i="13" s="1"/>
  <c r="M236" i="13"/>
  <c r="K129" i="13" l="1"/>
  <c r="K141" i="14"/>
  <c r="L141" i="14" s="1"/>
  <c r="I142" i="14" s="1"/>
  <c r="M237" i="13"/>
  <c r="M238" i="14"/>
  <c r="N235" i="13"/>
  <c r="J234" i="13" a="1"/>
  <c r="J234" i="13" s="1"/>
  <c r="N234" i="14"/>
  <c r="J233" i="14" a="1"/>
  <c r="J233" i="14" s="1"/>
  <c r="L129" i="13" l="1"/>
  <c r="I130" i="13" s="1"/>
  <c r="K142" i="14"/>
  <c r="L142" i="14" s="1"/>
  <c r="I143" i="14" s="1"/>
  <c r="N235" i="14"/>
  <c r="J234" i="14" a="1"/>
  <c r="J234" i="14" s="1"/>
  <c r="M239" i="14"/>
  <c r="N236" i="13"/>
  <c r="J235" i="13" a="1"/>
  <c r="J235" i="13" s="1"/>
  <c r="M238" i="13"/>
  <c r="K130" i="13" l="1"/>
  <c r="L130" i="13" s="1"/>
  <c r="I131" i="13" s="1"/>
  <c r="K143" i="14"/>
  <c r="L143" i="14" s="1"/>
  <c r="I144" i="14" s="1"/>
  <c r="M239" i="13"/>
  <c r="M240" i="14"/>
  <c r="N237" i="13"/>
  <c r="J236" i="13" a="1"/>
  <c r="J236" i="13" s="1"/>
  <c r="N236" i="14"/>
  <c r="J235" i="14" a="1"/>
  <c r="J235" i="14" s="1"/>
  <c r="K131" i="13" l="1"/>
  <c r="L131" i="13" s="1"/>
  <c r="I132" i="13" s="1"/>
  <c r="K144" i="14"/>
  <c r="L144" i="14" s="1"/>
  <c r="I145" i="14" s="1"/>
  <c r="M241" i="14"/>
  <c r="N237" i="14"/>
  <c r="J236" i="14" a="1"/>
  <c r="J236" i="14" s="1"/>
  <c r="M240" i="13"/>
  <c r="N238" i="13"/>
  <c r="J237" i="13" a="1"/>
  <c r="J237" i="13" s="1"/>
  <c r="K132" i="13" l="1"/>
  <c r="L132" i="13" s="1"/>
  <c r="I133" i="13" s="1"/>
  <c r="K145" i="14"/>
  <c r="L145" i="14" s="1"/>
  <c r="I146" i="14" s="1"/>
  <c r="N239" i="13"/>
  <c r="J238" i="13" a="1"/>
  <c r="J238" i="13" s="1"/>
  <c r="M241" i="13"/>
  <c r="N238" i="14"/>
  <c r="J237" i="14" a="1"/>
  <c r="J237" i="14" s="1"/>
  <c r="M242" i="14"/>
  <c r="K133" i="13" l="1"/>
  <c r="L133" i="13" s="1"/>
  <c r="I134" i="13" s="1"/>
  <c r="K146" i="14"/>
  <c r="L146" i="14" s="1"/>
  <c r="I147" i="14" s="1"/>
  <c r="M243" i="14"/>
  <c r="M242" i="13"/>
  <c r="N239" i="14"/>
  <c r="J238" i="14" a="1"/>
  <c r="J238" i="14" s="1"/>
  <c r="N240" i="13"/>
  <c r="J239" i="13" a="1"/>
  <c r="J239" i="13" s="1"/>
  <c r="K134" i="13" l="1"/>
  <c r="L134" i="13" s="1"/>
  <c r="I135" i="13" s="1"/>
  <c r="K147" i="14"/>
  <c r="L147" i="14" s="1"/>
  <c r="I148" i="14" s="1"/>
  <c r="M244" i="14"/>
  <c r="M243" i="13"/>
  <c r="N241" i="13"/>
  <c r="J240" i="13" a="1"/>
  <c r="J240" i="13" s="1"/>
  <c r="N240" i="14"/>
  <c r="J239" i="14" a="1"/>
  <c r="J239" i="14" s="1"/>
  <c r="K135" i="13" l="1"/>
  <c r="L135" i="13" s="1"/>
  <c r="I136" i="13" s="1"/>
  <c r="K148" i="14"/>
  <c r="L148" i="14" s="1"/>
  <c r="I149" i="14" s="1"/>
  <c r="M244" i="13"/>
  <c r="N241" i="14"/>
  <c r="J240" i="14" a="1"/>
  <c r="J240" i="14" s="1"/>
  <c r="M245" i="14"/>
  <c r="N242" i="13"/>
  <c r="J241" i="13" a="1"/>
  <c r="J241" i="13" s="1"/>
  <c r="K136" i="13" l="1"/>
  <c r="L136" i="13" s="1"/>
  <c r="I137" i="13" s="1"/>
  <c r="K149" i="14"/>
  <c r="L149" i="14" s="1"/>
  <c r="I150" i="14" s="1"/>
  <c r="N242" i="14"/>
  <c r="J241" i="14" a="1"/>
  <c r="J241" i="14" s="1"/>
  <c r="N243" i="13"/>
  <c r="J242" i="13" a="1"/>
  <c r="J242" i="13" s="1"/>
  <c r="M246" i="14"/>
  <c r="M245" i="13"/>
  <c r="K137" i="13" l="1"/>
  <c r="L137" i="13" s="1"/>
  <c r="I138" i="13" s="1"/>
  <c r="K150" i="14"/>
  <c r="L150" i="14" s="1"/>
  <c r="I151" i="14" s="1"/>
  <c r="N243" i="14"/>
  <c r="J242" i="14" a="1"/>
  <c r="J242" i="14" s="1"/>
  <c r="M247" i="14"/>
  <c r="M246" i="13"/>
  <c r="N244" i="13"/>
  <c r="J243" i="13" a="1"/>
  <c r="J243" i="13" s="1"/>
  <c r="K138" i="13" l="1"/>
  <c r="L138" i="13" s="1"/>
  <c r="I139" i="13" s="1"/>
  <c r="K151" i="14"/>
  <c r="L151" i="14" s="1"/>
  <c r="I152" i="14" s="1"/>
  <c r="M248" i="14"/>
  <c r="M247" i="13"/>
  <c r="N245" i="13"/>
  <c r="J244" i="13" a="1"/>
  <c r="J244" i="13" s="1"/>
  <c r="N244" i="14"/>
  <c r="J243" i="14" a="1"/>
  <c r="J243" i="14" s="1"/>
  <c r="K139" i="13" l="1"/>
  <c r="L139" i="13" s="1"/>
  <c r="I140" i="13" s="1"/>
  <c r="K152" i="14"/>
  <c r="M248" i="13"/>
  <c r="N245" i="14"/>
  <c r="J244" i="14" a="1"/>
  <c r="J244" i="14" s="1"/>
  <c r="M249" i="14"/>
  <c r="N246" i="13"/>
  <c r="J245" i="13" a="1"/>
  <c r="J245" i="13" s="1"/>
  <c r="K140" i="13" l="1"/>
  <c r="N247" i="13"/>
  <c r="J246" i="13" a="1"/>
  <c r="J246" i="13" s="1"/>
  <c r="N246" i="14"/>
  <c r="J245" i="14" a="1"/>
  <c r="J245" i="14" s="1"/>
  <c r="L152" i="14"/>
  <c r="I153" i="14" s="1"/>
  <c r="M250" i="14"/>
  <c r="M249" i="13"/>
  <c r="L140" i="13" l="1"/>
  <c r="I141" i="13" s="1"/>
  <c r="M251" i="14"/>
  <c r="N247" i="14"/>
  <c r="J246" i="14" a="1"/>
  <c r="J246" i="14" s="1"/>
  <c r="M250" i="13"/>
  <c r="K153" i="14"/>
  <c r="N248" i="13"/>
  <c r="J247" i="13" a="1"/>
  <c r="J247" i="13" s="1"/>
  <c r="K141" i="13" l="1"/>
  <c r="M251" i="13"/>
  <c r="M252" i="14"/>
  <c r="N249" i="13"/>
  <c r="J248" i="13" a="1"/>
  <c r="J248" i="13" s="1"/>
  <c r="L153" i="14"/>
  <c r="I154" i="14" s="1"/>
  <c r="N248" i="14"/>
  <c r="J247" i="14" a="1"/>
  <c r="J247" i="14" s="1"/>
  <c r="L141" i="13" l="1"/>
  <c r="I142" i="13" s="1"/>
  <c r="M252" i="13"/>
  <c r="M253" i="14"/>
  <c r="N249" i="14"/>
  <c r="J248" i="14" a="1"/>
  <c r="J248" i="14" s="1"/>
  <c r="K154" i="14"/>
  <c r="L154" i="14" s="1"/>
  <c r="I155" i="14" s="1"/>
  <c r="N250" i="13"/>
  <c r="J249" i="13" a="1"/>
  <c r="J249" i="13" s="1"/>
  <c r="K142" i="13" l="1"/>
  <c r="L142" i="13" s="1"/>
  <c r="I143" i="13" s="1"/>
  <c r="K155" i="14"/>
  <c r="L155" i="14" s="1"/>
  <c r="I156" i="14" s="1"/>
  <c r="N251" i="13"/>
  <c r="J250" i="13" a="1"/>
  <c r="J250" i="13" s="1"/>
  <c r="N250" i="14"/>
  <c r="J249" i="14" a="1"/>
  <c r="J249" i="14" s="1"/>
  <c r="M254" i="14"/>
  <c r="M253" i="13"/>
  <c r="K143" i="13" l="1"/>
  <c r="L143" i="13" s="1"/>
  <c r="I144" i="13" s="1"/>
  <c r="K156" i="14"/>
  <c r="L156" i="14" s="1"/>
  <c r="I157" i="14" s="1"/>
  <c r="N251" i="14"/>
  <c r="J250" i="14" a="1"/>
  <c r="J250" i="14" s="1"/>
  <c r="M255" i="14"/>
  <c r="M254" i="13"/>
  <c r="N252" i="13"/>
  <c r="J251" i="13" a="1"/>
  <c r="J251" i="13" s="1"/>
  <c r="K144" i="13" l="1"/>
  <c r="L144" i="13" s="1"/>
  <c r="I145" i="13" s="1"/>
  <c r="M256" i="14"/>
  <c r="M255" i="13"/>
  <c r="K157" i="14"/>
  <c r="L157" i="14" s="1"/>
  <c r="I158" i="14" s="1"/>
  <c r="N252" i="14"/>
  <c r="J251" i="14" a="1"/>
  <c r="J251" i="14" s="1"/>
  <c r="N253" i="13"/>
  <c r="J252" i="13" a="1"/>
  <c r="J252" i="13" s="1"/>
  <c r="K145" i="13" l="1"/>
  <c r="L145" i="13" s="1"/>
  <c r="I146" i="13" s="1"/>
  <c r="K158" i="14"/>
  <c r="L158" i="14" s="1"/>
  <c r="I159" i="14" s="1"/>
  <c r="M256" i="13"/>
  <c r="M257" i="14"/>
  <c r="N254" i="13"/>
  <c r="J253" i="13" a="1"/>
  <c r="J253" i="13" s="1"/>
  <c r="N253" i="14"/>
  <c r="J252" i="14" a="1"/>
  <c r="J252" i="14" s="1"/>
  <c r="K146" i="13" l="1"/>
  <c r="L146" i="13" s="1"/>
  <c r="I147" i="13" s="1"/>
  <c r="K159" i="14"/>
  <c r="L159" i="14" s="1"/>
  <c r="I160" i="14" s="1"/>
  <c r="M257" i="13"/>
  <c r="M258" i="14"/>
  <c r="N254" i="14"/>
  <c r="J253" i="14" a="1"/>
  <c r="J253" i="14" s="1"/>
  <c r="N255" i="13"/>
  <c r="J254" i="13" a="1"/>
  <c r="J254" i="13" s="1"/>
  <c r="K147" i="13" l="1"/>
  <c r="L147" i="13" s="1"/>
  <c r="I148" i="13" s="1"/>
  <c r="K160" i="14"/>
  <c r="L160" i="14" s="1"/>
  <c r="I161" i="14" s="1"/>
  <c r="M259" i="14"/>
  <c r="M258" i="13"/>
  <c r="N256" i="13"/>
  <c r="J255" i="13" a="1"/>
  <c r="J255" i="13" s="1"/>
  <c r="N255" i="14"/>
  <c r="J254" i="14" a="1"/>
  <c r="J254" i="14" s="1"/>
  <c r="K148" i="13" l="1"/>
  <c r="L148" i="13" s="1"/>
  <c r="I149" i="13" s="1"/>
  <c r="K161" i="14"/>
  <c r="L161" i="14" s="1"/>
  <c r="I162" i="14" s="1"/>
  <c r="M259" i="13"/>
  <c r="N256" i="14"/>
  <c r="J255" i="14" a="1"/>
  <c r="J255" i="14" s="1"/>
  <c r="M260" i="14"/>
  <c r="N257" i="13"/>
  <c r="J256" i="13" a="1"/>
  <c r="J256" i="13" s="1"/>
  <c r="K149" i="13" l="1"/>
  <c r="L149" i="13" s="1"/>
  <c r="I150" i="13" s="1"/>
  <c r="K162" i="14"/>
  <c r="L162" i="14" s="1"/>
  <c r="I163" i="14" s="1"/>
  <c r="N258" i="13"/>
  <c r="J257" i="13" a="1"/>
  <c r="J257" i="13" s="1"/>
  <c r="N257" i="14"/>
  <c r="J256" i="14" a="1"/>
  <c r="J256" i="14" s="1"/>
  <c r="M261" i="14"/>
  <c r="M260" i="13"/>
  <c r="K150" i="13" l="1"/>
  <c r="L150" i="13" s="1"/>
  <c r="I151" i="13" s="1"/>
  <c r="K163" i="14"/>
  <c r="L163" i="14" s="1"/>
  <c r="I164" i="14" s="1"/>
  <c r="N258" i="14"/>
  <c r="J257" i="14" a="1"/>
  <c r="J257" i="14" s="1"/>
  <c r="M261" i="13"/>
  <c r="M262" i="14"/>
  <c r="N259" i="13"/>
  <c r="J258" i="13" a="1"/>
  <c r="J258" i="13" s="1"/>
  <c r="K151" i="13" l="1"/>
  <c r="L151" i="13" s="1"/>
  <c r="I152" i="13" s="1"/>
  <c r="K164" i="14"/>
  <c r="M262" i="13"/>
  <c r="N260" i="13"/>
  <c r="J259" i="13" a="1"/>
  <c r="J259" i="13" s="1"/>
  <c r="M263" i="14"/>
  <c r="N259" i="14"/>
  <c r="J258" i="14" a="1"/>
  <c r="J258" i="14" s="1"/>
  <c r="K152" i="13" l="1"/>
  <c r="N261" i="13"/>
  <c r="J260" i="13" a="1"/>
  <c r="J260" i="13" s="1"/>
  <c r="N260" i="14"/>
  <c r="J259" i="14" a="1"/>
  <c r="J259" i="14" s="1"/>
  <c r="M264" i="14"/>
  <c r="M263" i="13"/>
  <c r="L164" i="14"/>
  <c r="I165" i="14" s="1"/>
  <c r="L152" i="13" l="1"/>
  <c r="I153" i="13" s="1"/>
  <c r="M264" i="13"/>
  <c r="M265" i="14"/>
  <c r="K165" i="14"/>
  <c r="N261" i="14"/>
  <c r="J260" i="14" a="1"/>
  <c r="J260" i="14" s="1"/>
  <c r="N262" i="13"/>
  <c r="J261" i="13" a="1"/>
  <c r="J261" i="13" s="1"/>
  <c r="K153" i="13" l="1"/>
  <c r="M266" i="14"/>
  <c r="N263" i="13"/>
  <c r="J262" i="13" a="1"/>
  <c r="J262" i="13" s="1"/>
  <c r="N262" i="14"/>
  <c r="J261" i="14" a="1"/>
  <c r="J261" i="14" s="1"/>
  <c r="M265" i="13"/>
  <c r="L165" i="14"/>
  <c r="I166" i="14" s="1"/>
  <c r="L153" i="13" l="1"/>
  <c r="I154" i="13" s="1"/>
  <c r="K166" i="14"/>
  <c r="L166" i="14" s="1"/>
  <c r="I167" i="14" s="1"/>
  <c r="M266" i="13"/>
  <c r="N263" i="14"/>
  <c r="J262" i="14" a="1"/>
  <c r="J262" i="14" s="1"/>
  <c r="M267" i="14"/>
  <c r="N264" i="13"/>
  <c r="J263" i="13" a="1"/>
  <c r="J263" i="13" s="1"/>
  <c r="K154" i="13" l="1"/>
  <c r="L154" i="13" s="1"/>
  <c r="I155" i="13" s="1"/>
  <c r="K167" i="14"/>
  <c r="L167" i="14" s="1"/>
  <c r="I168" i="14" s="1"/>
  <c r="M268" i="14"/>
  <c r="M267" i="13"/>
  <c r="N265" i="13"/>
  <c r="J264" i="13" a="1"/>
  <c r="J264" i="13" s="1"/>
  <c r="N264" i="14"/>
  <c r="J263" i="14" a="1"/>
  <c r="J263" i="14" s="1"/>
  <c r="K155" i="13" l="1"/>
  <c r="L155" i="13" s="1"/>
  <c r="I156" i="13" s="1"/>
  <c r="K168" i="14"/>
  <c r="L168" i="14" s="1"/>
  <c r="I169" i="14" s="1"/>
  <c r="N265" i="14"/>
  <c r="J264" i="14" a="1"/>
  <c r="J264" i="14" s="1"/>
  <c r="M269" i="14"/>
  <c r="M268" i="13"/>
  <c r="N266" i="13"/>
  <c r="J265" i="13" a="1"/>
  <c r="J265" i="13" s="1"/>
  <c r="K156" i="13" l="1"/>
  <c r="L156" i="13" s="1"/>
  <c r="I157" i="13" s="1"/>
  <c r="K169" i="14"/>
  <c r="L169" i="14" s="1"/>
  <c r="I170" i="14" s="1"/>
  <c r="M270" i="14"/>
  <c r="N267" i="13"/>
  <c r="J266" i="13" a="1"/>
  <c r="J266" i="13" s="1"/>
  <c r="M269" i="13"/>
  <c r="N266" i="14"/>
  <c r="J265" i="14" a="1"/>
  <c r="J265" i="14" s="1"/>
  <c r="K157" i="13" l="1"/>
  <c r="L157" i="13" s="1"/>
  <c r="I158" i="13" s="1"/>
  <c r="K170" i="14"/>
  <c r="L170" i="14" s="1"/>
  <c r="I171" i="14" s="1"/>
  <c r="N268" i="13"/>
  <c r="J267" i="13" a="1"/>
  <c r="J267" i="13" s="1"/>
  <c r="N267" i="14"/>
  <c r="J266" i="14" a="1"/>
  <c r="J266" i="14" s="1"/>
  <c r="M270" i="13"/>
  <c r="M271" i="14"/>
  <c r="K158" i="13" l="1"/>
  <c r="L158" i="13" s="1"/>
  <c r="I159" i="13" s="1"/>
  <c r="K171" i="14"/>
  <c r="L171" i="14" s="1"/>
  <c r="I172" i="14" s="1"/>
  <c r="M272" i="14"/>
  <c r="N268" i="14"/>
  <c r="J267" i="14" a="1"/>
  <c r="J267" i="14" s="1"/>
  <c r="M271" i="13"/>
  <c r="N269" i="13"/>
  <c r="J268" i="13" a="1"/>
  <c r="J268" i="13" s="1"/>
  <c r="K159" i="13" l="1"/>
  <c r="L159" i="13" s="1"/>
  <c r="I160" i="13" s="1"/>
  <c r="K172" i="14"/>
  <c r="L172" i="14" s="1"/>
  <c r="I173" i="14" s="1"/>
  <c r="N269" i="14"/>
  <c r="J268" i="14" a="1"/>
  <c r="J268" i="14" s="1"/>
  <c r="M273" i="14"/>
  <c r="N270" i="13"/>
  <c r="J269" i="13" a="1"/>
  <c r="J269" i="13" s="1"/>
  <c r="M272" i="13"/>
  <c r="K160" i="13" l="1"/>
  <c r="L160" i="13" s="1"/>
  <c r="I161" i="13" s="1"/>
  <c r="K173" i="14"/>
  <c r="L173" i="14" s="1"/>
  <c r="I174" i="14" s="1"/>
  <c r="M274" i="14"/>
  <c r="M273" i="13"/>
  <c r="N271" i="13"/>
  <c r="J270" i="13" a="1"/>
  <c r="J270" i="13" s="1"/>
  <c r="N270" i="14"/>
  <c r="J269" i="14" a="1"/>
  <c r="J269" i="14" s="1"/>
  <c r="K161" i="13" l="1"/>
  <c r="L161" i="13" s="1"/>
  <c r="I162" i="13" s="1"/>
  <c r="K174" i="14"/>
  <c r="L174" i="14" s="1"/>
  <c r="I175" i="14" s="1"/>
  <c r="M275" i="14"/>
  <c r="M274" i="13"/>
  <c r="N271" i="14"/>
  <c r="J270" i="14" a="1"/>
  <c r="J270" i="14" s="1"/>
  <c r="N272" i="13"/>
  <c r="J271" i="13" a="1"/>
  <c r="J271" i="13" s="1"/>
  <c r="K162" i="13" l="1"/>
  <c r="L162" i="13" s="1"/>
  <c r="I163" i="13" s="1"/>
  <c r="K175" i="14"/>
  <c r="L175" i="14" s="1"/>
  <c r="I176" i="14" s="1"/>
  <c r="M275" i="13"/>
  <c r="M276" i="14"/>
  <c r="N273" i="13"/>
  <c r="J272" i="13" a="1"/>
  <c r="J272" i="13" s="1"/>
  <c r="N272" i="14"/>
  <c r="J271" i="14" a="1"/>
  <c r="J271" i="14" s="1"/>
  <c r="K163" i="13" l="1"/>
  <c r="L163" i="13" s="1"/>
  <c r="I164" i="13" s="1"/>
  <c r="K176" i="14"/>
  <c r="N273" i="14"/>
  <c r="J272" i="14" a="1"/>
  <c r="J272" i="14" s="1"/>
  <c r="M277" i="14"/>
  <c r="M276" i="13"/>
  <c r="N274" i="13"/>
  <c r="J273" i="13" a="1"/>
  <c r="J273" i="13" s="1"/>
  <c r="K164" i="13" l="1"/>
  <c r="N275" i="13"/>
  <c r="J274" i="13" a="1"/>
  <c r="J274" i="13" s="1"/>
  <c r="M278" i="14"/>
  <c r="M277" i="13"/>
  <c r="N274" i="14"/>
  <c r="J273" i="14" a="1"/>
  <c r="J273" i="14" s="1"/>
  <c r="L176" i="14"/>
  <c r="I177" i="14" s="1"/>
  <c r="L164" i="13" l="1"/>
  <c r="I165" i="13" s="1"/>
  <c r="N276" i="13"/>
  <c r="J275" i="13" a="1"/>
  <c r="J275" i="13" s="1"/>
  <c r="N275" i="14"/>
  <c r="J274" i="14" a="1"/>
  <c r="J274" i="14" s="1"/>
  <c r="M278" i="13"/>
  <c r="K177" i="14"/>
  <c r="L177" i="14" s="1"/>
  <c r="I178" i="14" s="1"/>
  <c r="M279" i="14"/>
  <c r="K165" i="13" l="1"/>
  <c r="K178" i="14"/>
  <c r="L178" i="14" s="1"/>
  <c r="I179" i="14" s="1"/>
  <c r="N276" i="14"/>
  <c r="J275" i="14" a="1"/>
  <c r="J275" i="14" s="1"/>
  <c r="M280" i="14"/>
  <c r="M279" i="13"/>
  <c r="N277" i="13"/>
  <c r="J276" i="13" a="1"/>
  <c r="J276" i="13" s="1"/>
  <c r="L165" i="13" l="1"/>
  <c r="I166" i="13" s="1"/>
  <c r="K179" i="14"/>
  <c r="L179" i="14" s="1"/>
  <c r="I180" i="14" s="1"/>
  <c r="M281" i="14"/>
  <c r="N277" i="14"/>
  <c r="J276" i="14" a="1"/>
  <c r="J276" i="14" s="1"/>
  <c r="M280" i="13"/>
  <c r="N278" i="13"/>
  <c r="J277" i="13" a="1"/>
  <c r="J277" i="13" s="1"/>
  <c r="K166" i="13" l="1"/>
  <c r="L166" i="13" s="1"/>
  <c r="I167" i="13" s="1"/>
  <c r="K180" i="14"/>
  <c r="L180" i="14" s="1"/>
  <c r="I181" i="14" s="1"/>
  <c r="N278" i="14"/>
  <c r="J277" i="14" a="1"/>
  <c r="J277" i="14" s="1"/>
  <c r="M281" i="13"/>
  <c r="N279" i="13"/>
  <c r="J278" i="13" a="1"/>
  <c r="J278" i="13" s="1"/>
  <c r="M282" i="14"/>
  <c r="K167" i="13" l="1"/>
  <c r="L167" i="13" s="1"/>
  <c r="I168" i="13" s="1"/>
  <c r="K181" i="14"/>
  <c r="L181" i="14" s="1"/>
  <c r="I182" i="14" s="1"/>
  <c r="M283" i="14"/>
  <c r="M282" i="13"/>
  <c r="N280" i="13"/>
  <c r="J279" i="13" a="1"/>
  <c r="J279" i="13" s="1"/>
  <c r="N279" i="14"/>
  <c r="J278" i="14" a="1"/>
  <c r="J278" i="14" s="1"/>
  <c r="K168" i="13" l="1"/>
  <c r="L168" i="13" s="1"/>
  <c r="I169" i="13" s="1"/>
  <c r="K182" i="14"/>
  <c r="L182" i="14" s="1"/>
  <c r="I183" i="14" s="1"/>
  <c r="M283" i="13"/>
  <c r="N280" i="14"/>
  <c r="J279" i="14" a="1"/>
  <c r="J279" i="14" s="1"/>
  <c r="M284" i="14"/>
  <c r="N281" i="13"/>
  <c r="J280" i="13" a="1"/>
  <c r="J280" i="13" s="1"/>
  <c r="K169" i="13" l="1"/>
  <c r="L169" i="13" s="1"/>
  <c r="I170" i="13" s="1"/>
  <c r="K183" i="14"/>
  <c r="L183" i="14" s="1"/>
  <c r="I184" i="14" s="1"/>
  <c r="N282" i="13"/>
  <c r="J281" i="13" a="1"/>
  <c r="J281" i="13" s="1"/>
  <c r="M285" i="14"/>
  <c r="N281" i="14"/>
  <c r="J280" i="14" a="1"/>
  <c r="J280" i="14" s="1"/>
  <c r="M284" i="13"/>
  <c r="K170" i="13" l="1"/>
  <c r="L170" i="13" s="1"/>
  <c r="I171" i="13" s="1"/>
  <c r="K184" i="14"/>
  <c r="L184" i="14" s="1"/>
  <c r="I185" i="14" s="1"/>
  <c r="M285" i="13"/>
  <c r="M286" i="14"/>
  <c r="N282" i="14"/>
  <c r="J281" i="14" a="1"/>
  <c r="J281" i="14" s="1"/>
  <c r="N283" i="13"/>
  <c r="J282" i="13" a="1"/>
  <c r="J282" i="13" s="1"/>
  <c r="K171" i="13" l="1"/>
  <c r="L171" i="13" s="1"/>
  <c r="I172" i="13" s="1"/>
  <c r="K185" i="14"/>
  <c r="L185" i="14" s="1"/>
  <c r="I186" i="14" s="1"/>
  <c r="M287" i="14"/>
  <c r="M286" i="13"/>
  <c r="N284" i="13"/>
  <c r="J283" i="13" a="1"/>
  <c r="J283" i="13" s="1"/>
  <c r="N283" i="14"/>
  <c r="J282" i="14" a="1"/>
  <c r="J282" i="14" s="1"/>
  <c r="K172" i="13" l="1"/>
  <c r="L172" i="13" s="1"/>
  <c r="I173" i="13" s="1"/>
  <c r="M287" i="13"/>
  <c r="N284" i="14"/>
  <c r="J283" i="14" a="1"/>
  <c r="J283" i="14" s="1"/>
  <c r="M288" i="14"/>
  <c r="N285" i="13"/>
  <c r="J284" i="13" a="1"/>
  <c r="J284" i="13" s="1"/>
  <c r="K186" i="14"/>
  <c r="L186" i="14" s="1"/>
  <c r="I187" i="14" s="1"/>
  <c r="K173" i="13" l="1"/>
  <c r="L173" i="13" s="1"/>
  <c r="I174" i="13" s="1"/>
  <c r="N286" i="13"/>
  <c r="J285" i="13" a="1"/>
  <c r="J285" i="13" s="1"/>
  <c r="M289" i="14"/>
  <c r="M288" i="13"/>
  <c r="K187" i="14"/>
  <c r="L187" i="14" s="1"/>
  <c r="I188" i="14" s="1"/>
  <c r="N285" i="14"/>
  <c r="J284" i="14" a="1"/>
  <c r="J284" i="14" s="1"/>
  <c r="K174" i="13" l="1"/>
  <c r="L174" i="13" s="1"/>
  <c r="I175" i="13" s="1"/>
  <c r="K188" i="14"/>
  <c r="L188" i="14" s="1"/>
  <c r="I189" i="14" s="1"/>
  <c r="N286" i="14"/>
  <c r="J285" i="14" a="1"/>
  <c r="J285" i="14" s="1"/>
  <c r="M289" i="13"/>
  <c r="M290" i="14"/>
  <c r="N287" i="13"/>
  <c r="J286" i="13" a="1"/>
  <c r="J286" i="13" s="1"/>
  <c r="K175" i="13" l="1"/>
  <c r="L175" i="13" s="1"/>
  <c r="I176" i="13" s="1"/>
  <c r="K189" i="14"/>
  <c r="L189" i="14" s="1"/>
  <c r="I190" i="14" s="1"/>
  <c r="N288" i="13"/>
  <c r="J287" i="13" a="1"/>
  <c r="J287" i="13" s="1"/>
  <c r="M290" i="13"/>
  <c r="M291" i="14"/>
  <c r="N287" i="14"/>
  <c r="J286" i="14" a="1"/>
  <c r="J286" i="14" s="1"/>
  <c r="K176" i="13" l="1"/>
  <c r="K190" i="14"/>
  <c r="M292" i="14"/>
  <c r="N289" i="13"/>
  <c r="J288" i="13" a="1"/>
  <c r="J288" i="13" s="1"/>
  <c r="N288" i="14"/>
  <c r="J287" i="14" a="1"/>
  <c r="J287" i="14" s="1"/>
  <c r="M291" i="13"/>
  <c r="L176" i="13" l="1"/>
  <c r="I177" i="13" s="1"/>
  <c r="M292" i="13"/>
  <c r="M293" i="14"/>
  <c r="N290" i="13"/>
  <c r="J289" i="13" a="1"/>
  <c r="J289" i="13" s="1"/>
  <c r="N289" i="14"/>
  <c r="J288" i="14" a="1"/>
  <c r="J288" i="14" s="1"/>
  <c r="L190" i="14"/>
  <c r="I191" i="14" s="1"/>
  <c r="K177" i="13" l="1"/>
  <c r="L177" i="13" s="1"/>
  <c r="I178" i="13" s="1"/>
  <c r="K191" i="14"/>
  <c r="L191" i="14" s="1"/>
  <c r="I192" i="14" s="1"/>
  <c r="N290" i="14"/>
  <c r="J289" i="14" a="1"/>
  <c r="J289" i="14" s="1"/>
  <c r="N291" i="13"/>
  <c r="J290" i="13" a="1"/>
  <c r="J290" i="13" s="1"/>
  <c r="M293" i="13"/>
  <c r="M294" i="14"/>
  <c r="K178" i="13" l="1"/>
  <c r="L178" i="13" s="1"/>
  <c r="I179" i="13" s="1"/>
  <c r="K192" i="14"/>
  <c r="L192" i="14" s="1"/>
  <c r="I193" i="14" s="1"/>
  <c r="N292" i="13"/>
  <c r="J291" i="13" a="1"/>
  <c r="J291" i="13" s="1"/>
  <c r="M294" i="13"/>
  <c r="M295" i="14"/>
  <c r="N291" i="14"/>
  <c r="J290" i="14" a="1"/>
  <c r="J290" i="14" s="1"/>
  <c r="K179" i="13" l="1"/>
  <c r="L179" i="13" s="1"/>
  <c r="I180" i="13" s="1"/>
  <c r="K193" i="14"/>
  <c r="L193" i="14" s="1"/>
  <c r="I194" i="14" s="1"/>
  <c r="M295" i="13"/>
  <c r="N292" i="14"/>
  <c r="J291" i="14" a="1"/>
  <c r="J291" i="14" s="1"/>
  <c r="M296" i="14"/>
  <c r="N293" i="13"/>
  <c r="J292" i="13" a="1"/>
  <c r="J292" i="13" s="1"/>
  <c r="K180" i="13" l="1"/>
  <c r="L180" i="13" s="1"/>
  <c r="I181" i="13" s="1"/>
  <c r="K194" i="14"/>
  <c r="L194" i="14" s="1"/>
  <c r="I195" i="14" s="1"/>
  <c r="N293" i="14"/>
  <c r="J292" i="14" a="1"/>
  <c r="J292" i="14" s="1"/>
  <c r="N294" i="13"/>
  <c r="J293" i="13" a="1"/>
  <c r="J293" i="13" s="1"/>
  <c r="M297" i="14"/>
  <c r="M296" i="13"/>
  <c r="K181" i="13" l="1"/>
  <c r="L181" i="13" s="1"/>
  <c r="I182" i="13" s="1"/>
  <c r="K195" i="14"/>
  <c r="L195" i="14" s="1"/>
  <c r="I196" i="14" s="1"/>
  <c r="M297" i="13"/>
  <c r="N295" i="13"/>
  <c r="J294" i="13" a="1"/>
  <c r="J294" i="13" s="1"/>
  <c r="M298" i="14"/>
  <c r="N294" i="14"/>
  <c r="J293" i="14" a="1"/>
  <c r="J293" i="14" s="1"/>
  <c r="K182" i="13" l="1"/>
  <c r="L182" i="13" s="1"/>
  <c r="I183" i="13" s="1"/>
  <c r="K196" i="14"/>
  <c r="L196" i="14" s="1"/>
  <c r="I197" i="14" s="1"/>
  <c r="N296" i="13"/>
  <c r="J295" i="13" a="1"/>
  <c r="J295" i="13" s="1"/>
  <c r="M298" i="13"/>
  <c r="N295" i="14"/>
  <c r="J294" i="14" a="1"/>
  <c r="J294" i="14" s="1"/>
  <c r="M299" i="14"/>
  <c r="K183" i="13" l="1"/>
  <c r="L183" i="13" s="1"/>
  <c r="I184" i="13" s="1"/>
  <c r="K197" i="14"/>
  <c r="L197" i="14" s="1"/>
  <c r="I198" i="14" s="1"/>
  <c r="N296" i="14"/>
  <c r="J295" i="14" a="1"/>
  <c r="J295" i="14" s="1"/>
  <c r="M300" i="14"/>
  <c r="M299" i="13"/>
  <c r="N297" i="13"/>
  <c r="J296" i="13" a="1"/>
  <c r="J296" i="13" s="1"/>
  <c r="K184" i="13" l="1"/>
  <c r="L184" i="13" s="1"/>
  <c r="I185" i="13" s="1"/>
  <c r="K198" i="14"/>
  <c r="L198" i="14" s="1"/>
  <c r="I199" i="14" s="1"/>
  <c r="N298" i="13"/>
  <c r="J297" i="13" a="1"/>
  <c r="J297" i="13" s="1"/>
  <c r="M301" i="14"/>
  <c r="M300" i="13"/>
  <c r="N297" i="14"/>
  <c r="J296" i="14" a="1"/>
  <c r="J296" i="14" s="1"/>
  <c r="K185" i="13" l="1"/>
  <c r="L185" i="13" s="1"/>
  <c r="I186" i="13" s="1"/>
  <c r="K199" i="14"/>
  <c r="L199" i="14" s="1"/>
  <c r="I200" i="14" s="1"/>
  <c r="N298" i="14"/>
  <c r="J297" i="14" a="1"/>
  <c r="J297" i="14" s="1"/>
  <c r="M301" i="13"/>
  <c r="M302" i="14"/>
  <c r="N299" i="13"/>
  <c r="J298" i="13" a="1"/>
  <c r="J298" i="13" s="1"/>
  <c r="K186" i="13" l="1"/>
  <c r="L186" i="13" s="1"/>
  <c r="I187" i="13" s="1"/>
  <c r="K200" i="14"/>
  <c r="N299" i="14"/>
  <c r="J298" i="14" a="1"/>
  <c r="J298" i="14" s="1"/>
  <c r="N300" i="13"/>
  <c r="J299" i="13" a="1"/>
  <c r="J299" i="13" s="1"/>
  <c r="M302" i="13"/>
  <c r="M303" i="14"/>
  <c r="K187" i="13" l="1"/>
  <c r="L187" i="13" s="1"/>
  <c r="I188" i="13" s="1"/>
  <c r="M303" i="13"/>
  <c r="M304" i="14"/>
  <c r="N300" i="14"/>
  <c r="J299" i="14" a="1"/>
  <c r="J299" i="14" s="1"/>
  <c r="L200" i="14"/>
  <c r="I201" i="14" s="1"/>
  <c r="N301" i="13"/>
  <c r="J300" i="13" a="1"/>
  <c r="J300" i="13" s="1"/>
  <c r="K188" i="13" l="1"/>
  <c r="L188" i="13" s="1"/>
  <c r="I189" i="13" s="1"/>
  <c r="N301" i="14"/>
  <c r="J300" i="14" a="1"/>
  <c r="J300" i="14" s="1"/>
  <c r="N302" i="13"/>
  <c r="J301" i="13" a="1"/>
  <c r="J301" i="13" s="1"/>
  <c r="M305" i="14"/>
  <c r="K201" i="14"/>
  <c r="M304" i="13"/>
  <c r="K189" i="13" l="1"/>
  <c r="L189" i="13" s="1"/>
  <c r="I190" i="13" s="1"/>
  <c r="N302" i="14"/>
  <c r="J301" i="14" a="1"/>
  <c r="J301" i="14" s="1"/>
  <c r="L201" i="14"/>
  <c r="I202" i="14" s="1"/>
  <c r="M306" i="14"/>
  <c r="M305" i="13"/>
  <c r="N303" i="13"/>
  <c r="J302" i="13" a="1"/>
  <c r="J302" i="13" s="1"/>
  <c r="K190" i="13" l="1"/>
  <c r="K202" i="14"/>
  <c r="L202" i="14" s="1"/>
  <c r="I203" i="14" s="1"/>
  <c r="M307" i="14"/>
  <c r="N303" i="14"/>
  <c r="J302" i="14" a="1"/>
  <c r="J302" i="14" s="1"/>
  <c r="N304" i="13"/>
  <c r="J303" i="13" a="1"/>
  <c r="J303" i="13" s="1"/>
  <c r="M306" i="13"/>
  <c r="L190" i="13" l="1"/>
  <c r="I191" i="13" s="1"/>
  <c r="K203" i="14"/>
  <c r="L203" i="14" s="1"/>
  <c r="I204" i="14" s="1"/>
  <c r="N304" i="14"/>
  <c r="J303" i="14" a="1"/>
  <c r="J303" i="14" s="1"/>
  <c r="N305" i="13"/>
  <c r="J304" i="13" a="1"/>
  <c r="J304" i="13" s="1"/>
  <c r="M307" i="13"/>
  <c r="M308" i="14"/>
  <c r="K191" i="13" l="1"/>
  <c r="L191" i="13" s="1"/>
  <c r="I192" i="13" s="1"/>
  <c r="K204" i="14"/>
  <c r="L204" i="14" s="1"/>
  <c r="I205" i="14" s="1"/>
  <c r="N305" i="14"/>
  <c r="J304" i="14" a="1"/>
  <c r="J304" i="14" s="1"/>
  <c r="M309" i="14"/>
  <c r="N306" i="13"/>
  <c r="J305" i="13" a="1"/>
  <c r="J305" i="13" s="1"/>
  <c r="M308" i="13"/>
  <c r="K192" i="13" l="1"/>
  <c r="L192" i="13" s="1"/>
  <c r="I193" i="13" s="1"/>
  <c r="K205" i="14"/>
  <c r="L205" i="14" s="1"/>
  <c r="I206" i="14" s="1"/>
  <c r="M309" i="13"/>
  <c r="M310" i="14"/>
  <c r="N307" i="13"/>
  <c r="J306" i="13" a="1"/>
  <c r="J306" i="13" s="1"/>
  <c r="N306" i="14"/>
  <c r="J305" i="14" a="1"/>
  <c r="J305" i="14" s="1"/>
  <c r="K193" i="13" l="1"/>
  <c r="L193" i="13" s="1"/>
  <c r="I194" i="13" s="1"/>
  <c r="K206" i="14"/>
  <c r="L206" i="14" s="1"/>
  <c r="I207" i="14" s="1"/>
  <c r="M310" i="13"/>
  <c r="N308" i="13"/>
  <c r="J307" i="13" a="1"/>
  <c r="J307" i="13" s="1"/>
  <c r="M311" i="14"/>
  <c r="N307" i="14"/>
  <c r="J306" i="14" a="1"/>
  <c r="J306" i="14" s="1"/>
  <c r="K194" i="13" l="1"/>
  <c r="L194" i="13" s="1"/>
  <c r="I195" i="13" s="1"/>
  <c r="K207" i="14"/>
  <c r="L207" i="14" s="1"/>
  <c r="I208" i="14" s="1"/>
  <c r="N309" i="13"/>
  <c r="J308" i="13" a="1"/>
  <c r="J308" i="13" s="1"/>
  <c r="N308" i="14"/>
  <c r="J307" i="14" a="1"/>
  <c r="J307" i="14" s="1"/>
  <c r="M312" i="14"/>
  <c r="M311" i="13"/>
  <c r="K195" i="13" l="1"/>
  <c r="L195" i="13" s="1"/>
  <c r="I196" i="13" s="1"/>
  <c r="K208" i="14"/>
  <c r="L208" i="14" s="1"/>
  <c r="I209" i="14" s="1"/>
  <c r="N310" i="13"/>
  <c r="J309" i="13" a="1"/>
  <c r="J309" i="13" s="1"/>
  <c r="M313" i="14"/>
  <c r="M312" i="13"/>
  <c r="N309" i="14"/>
  <c r="J308" i="14" a="1"/>
  <c r="J308" i="14" s="1"/>
  <c r="K196" i="13" l="1"/>
  <c r="L196" i="13" s="1"/>
  <c r="I197" i="13" s="1"/>
  <c r="K209" i="14"/>
  <c r="L209" i="14" s="1"/>
  <c r="I210" i="14" s="1"/>
  <c r="N310" i="14"/>
  <c r="J309" i="14" a="1"/>
  <c r="J309" i="14" s="1"/>
  <c r="M313" i="13"/>
  <c r="M314" i="14"/>
  <c r="N311" i="13"/>
  <c r="J310" i="13" a="1"/>
  <c r="J310" i="13" s="1"/>
  <c r="K197" i="13" l="1"/>
  <c r="L197" i="13" s="1"/>
  <c r="I198" i="13" s="1"/>
  <c r="K210" i="14"/>
  <c r="L210" i="14" s="1"/>
  <c r="I211" i="14" s="1"/>
  <c r="N312" i="13"/>
  <c r="J311" i="13" a="1"/>
  <c r="J311" i="13" s="1"/>
  <c r="M314" i="13"/>
  <c r="M315" i="14"/>
  <c r="N311" i="14"/>
  <c r="J310" i="14" a="1"/>
  <c r="J310" i="14" s="1"/>
  <c r="K198" i="13" l="1"/>
  <c r="L198" i="13" s="1"/>
  <c r="I199" i="13" s="1"/>
  <c r="K211" i="14"/>
  <c r="L211" i="14" s="1"/>
  <c r="I212" i="14" s="1"/>
  <c r="N312" i="14"/>
  <c r="J311" i="14" a="1"/>
  <c r="J311" i="14" s="1"/>
  <c r="M315" i="13"/>
  <c r="M316" i="14"/>
  <c r="N313" i="13"/>
  <c r="J312" i="13" a="1"/>
  <c r="J312" i="13" s="1"/>
  <c r="K199" i="13" l="1"/>
  <c r="L199" i="13" s="1"/>
  <c r="I200" i="13" s="1"/>
  <c r="K212" i="14"/>
  <c r="N314" i="13"/>
  <c r="J313" i="13" a="1"/>
  <c r="J313" i="13" s="1"/>
  <c r="M316" i="13"/>
  <c r="M317" i="14"/>
  <c r="N313" i="14"/>
  <c r="J312" i="14" a="1"/>
  <c r="J312" i="14" s="1"/>
  <c r="K200" i="13" l="1"/>
  <c r="N314" i="14"/>
  <c r="J313" i="14" a="1"/>
  <c r="J313" i="14" s="1"/>
  <c r="M317" i="13"/>
  <c r="M318" i="14"/>
  <c r="N315" i="13"/>
  <c r="J314" i="13" a="1"/>
  <c r="J314" i="13" s="1"/>
  <c r="L212" i="14"/>
  <c r="I213" i="14" s="1"/>
  <c r="L200" i="13" l="1"/>
  <c r="I201" i="13" s="1"/>
  <c r="M318" i="13"/>
  <c r="N316" i="13"/>
  <c r="J315" i="13" a="1"/>
  <c r="J315" i="13" s="1"/>
  <c r="N315" i="14"/>
  <c r="J314" i="14" a="1"/>
  <c r="J314" i="14" s="1"/>
  <c r="K213" i="14"/>
  <c r="M319" i="14"/>
  <c r="K201" i="13" l="1"/>
  <c r="L213" i="14"/>
  <c r="I214" i="14" s="1"/>
  <c r="N317" i="13"/>
  <c r="J316" i="13" a="1"/>
  <c r="J316" i="13" s="1"/>
  <c r="M320" i="14"/>
  <c r="M319" i="13"/>
  <c r="N316" i="14"/>
  <c r="J315" i="14" a="1"/>
  <c r="J315" i="14" s="1"/>
  <c r="L201" i="13" l="1"/>
  <c r="I202" i="13" s="1"/>
  <c r="N317" i="14"/>
  <c r="J316" i="14" a="1"/>
  <c r="J316" i="14" s="1"/>
  <c r="N318" i="13"/>
  <c r="J317" i="13" a="1"/>
  <c r="J317" i="13" s="1"/>
  <c r="M320" i="13"/>
  <c r="M321" i="14"/>
  <c r="K214" i="14"/>
  <c r="L214" i="14" s="1"/>
  <c r="I215" i="14" s="1"/>
  <c r="K202" i="13" l="1"/>
  <c r="L202" i="13" s="1"/>
  <c r="I203" i="13" s="1"/>
  <c r="K215" i="14"/>
  <c r="L215" i="14" s="1"/>
  <c r="I216" i="14" s="1"/>
  <c r="N319" i="13"/>
  <c r="J318" i="13" a="1"/>
  <c r="J318" i="13" s="1"/>
  <c r="M322" i="14"/>
  <c r="M321" i="13"/>
  <c r="N318" i="14"/>
  <c r="J317" i="14" a="1"/>
  <c r="J317" i="14" s="1"/>
  <c r="K203" i="13" l="1"/>
  <c r="L203" i="13" s="1"/>
  <c r="I204" i="13" s="1"/>
  <c r="K216" i="14"/>
  <c r="L216" i="14" s="1"/>
  <c r="I217" i="14" s="1"/>
  <c r="M323" i="14"/>
  <c r="N319" i="14"/>
  <c r="J318" i="14" a="1"/>
  <c r="J318" i="14" s="1"/>
  <c r="M322" i="13"/>
  <c r="N320" i="13"/>
  <c r="J319" i="13" a="1"/>
  <c r="J319" i="13" s="1"/>
  <c r="K204" i="13" l="1"/>
  <c r="L204" i="13" s="1"/>
  <c r="I205" i="13" s="1"/>
  <c r="K217" i="14"/>
  <c r="L217" i="14" s="1"/>
  <c r="I218" i="14" s="1"/>
  <c r="N321" i="13"/>
  <c r="J320" i="13" a="1"/>
  <c r="J320" i="13" s="1"/>
  <c r="N320" i="14"/>
  <c r="J319" i="14" a="1"/>
  <c r="J319" i="14" s="1"/>
  <c r="M323" i="13"/>
  <c r="M324" i="14"/>
  <c r="K205" i="13" l="1"/>
  <c r="L205" i="13" s="1"/>
  <c r="I206" i="13" s="1"/>
  <c r="K218" i="14"/>
  <c r="L218" i="14" s="1"/>
  <c r="I219" i="14" s="1"/>
  <c r="M324" i="13"/>
  <c r="N322" i="13"/>
  <c r="J321" i="13" a="1"/>
  <c r="J321" i="13" s="1"/>
  <c r="M325" i="14"/>
  <c r="N321" i="14"/>
  <c r="J320" i="14" a="1"/>
  <c r="J320" i="14" s="1"/>
  <c r="K206" i="13" l="1"/>
  <c r="L206" i="13" s="1"/>
  <c r="I207" i="13" s="1"/>
  <c r="K219" i="14"/>
  <c r="L219" i="14" s="1"/>
  <c r="I220" i="14" s="1"/>
  <c r="N322" i="14"/>
  <c r="J321" i="14" a="1"/>
  <c r="J321" i="14" s="1"/>
  <c r="M326" i="14"/>
  <c r="M325" i="13"/>
  <c r="N323" i="13"/>
  <c r="J322" i="13" a="1"/>
  <c r="J322" i="13" s="1"/>
  <c r="K207" i="13" l="1"/>
  <c r="L207" i="13" s="1"/>
  <c r="I208" i="13" s="1"/>
  <c r="K220" i="14"/>
  <c r="L220" i="14" s="1"/>
  <c r="I221" i="14" s="1"/>
  <c r="M326" i="13"/>
  <c r="N323" i="14"/>
  <c r="J322" i="14" a="1"/>
  <c r="J322" i="14" s="1"/>
  <c r="N324" i="13"/>
  <c r="J323" i="13" a="1"/>
  <c r="J323" i="13" s="1"/>
  <c r="M327" i="14"/>
  <c r="K208" i="13" l="1"/>
  <c r="L208" i="13" s="1"/>
  <c r="I209" i="13" s="1"/>
  <c r="K221" i="14"/>
  <c r="L221" i="14" s="1"/>
  <c r="I222" i="14" s="1"/>
  <c r="N324" i="14"/>
  <c r="J323" i="14" a="1"/>
  <c r="J323" i="14" s="1"/>
  <c r="M328" i="14"/>
  <c r="M327" i="13"/>
  <c r="N325" i="13"/>
  <c r="J324" i="13" a="1"/>
  <c r="J324" i="13" s="1"/>
  <c r="K209" i="13" l="1"/>
  <c r="L209" i="13" s="1"/>
  <c r="I210" i="13" s="1"/>
  <c r="K222" i="14"/>
  <c r="L222" i="14" s="1"/>
  <c r="I223" i="14" s="1"/>
  <c r="M329" i="14"/>
  <c r="N326" i="13"/>
  <c r="J325" i="13" a="1"/>
  <c r="J325" i="13" s="1"/>
  <c r="M328" i="13"/>
  <c r="N325" i="14"/>
  <c r="J324" i="14" a="1"/>
  <c r="J324" i="14" s="1"/>
  <c r="K210" i="13" l="1"/>
  <c r="L210" i="13" s="1"/>
  <c r="I211" i="13" s="1"/>
  <c r="K223" i="14"/>
  <c r="L223" i="14" s="1"/>
  <c r="I224" i="14" s="1"/>
  <c r="N327" i="13"/>
  <c r="J326" i="13" a="1"/>
  <c r="J326" i="13" s="1"/>
  <c r="M330" i="14"/>
  <c r="N326" i="14"/>
  <c r="J325" i="14" a="1"/>
  <c r="J325" i="14" s="1"/>
  <c r="M329" i="13"/>
  <c r="K211" i="13" l="1"/>
  <c r="L211" i="13" s="1"/>
  <c r="I212" i="13" s="1"/>
  <c r="K224" i="14"/>
  <c r="M331" i="14"/>
  <c r="M330" i="13"/>
  <c r="N327" i="14"/>
  <c r="J326" i="14" a="1"/>
  <c r="J326" i="14" s="1"/>
  <c r="N328" i="13"/>
  <c r="J327" i="13" a="1"/>
  <c r="J327" i="13" s="1"/>
  <c r="K212" i="13" l="1"/>
  <c r="M332" i="14"/>
  <c r="M331" i="13"/>
  <c r="N329" i="13"/>
  <c r="J328" i="13" a="1"/>
  <c r="J328" i="13" s="1"/>
  <c r="L224" i="14"/>
  <c r="I225" i="14" s="1"/>
  <c r="N328" i="14"/>
  <c r="J327" i="14" a="1"/>
  <c r="J327" i="14" s="1"/>
  <c r="L212" i="13" l="1"/>
  <c r="I213" i="13" s="1"/>
  <c r="M333" i="14"/>
  <c r="K225" i="14"/>
  <c r="N329" i="14"/>
  <c r="J328" i="14" a="1"/>
  <c r="J328" i="14" s="1"/>
  <c r="N330" i="13"/>
  <c r="J329" i="13" a="1"/>
  <c r="J329" i="13" s="1"/>
  <c r="M332" i="13"/>
  <c r="K213" i="13" l="1"/>
  <c r="M334" i="14"/>
  <c r="M333" i="13"/>
  <c r="N330" i="14"/>
  <c r="J329" i="14" a="1"/>
  <c r="J329" i="14" s="1"/>
  <c r="N331" i="13"/>
  <c r="J330" i="13" a="1"/>
  <c r="J330" i="13" s="1"/>
  <c r="L225" i="14"/>
  <c r="I226" i="14" s="1"/>
  <c r="L213" i="13" l="1"/>
  <c r="I214" i="13" s="1"/>
  <c r="N331" i="14"/>
  <c r="J330" i="14" a="1"/>
  <c r="J330" i="14" s="1"/>
  <c r="M335" i="14"/>
  <c r="K226" i="14"/>
  <c r="L226" i="14" s="1"/>
  <c r="I227" i="14" s="1"/>
  <c r="N332" i="13"/>
  <c r="J331" i="13" a="1"/>
  <c r="J331" i="13" s="1"/>
  <c r="M334" i="13"/>
  <c r="K214" i="13" l="1"/>
  <c r="L214" i="13" s="1"/>
  <c r="I215" i="13" s="1"/>
  <c r="K227" i="14"/>
  <c r="L227" i="14" s="1"/>
  <c r="I228" i="14" s="1"/>
  <c r="N332" i="14"/>
  <c r="J331" i="14" a="1"/>
  <c r="J331" i="14" s="1"/>
  <c r="M336" i="14"/>
  <c r="M335" i="13"/>
  <c r="N333" i="13"/>
  <c r="J332" i="13" a="1"/>
  <c r="J332" i="13" s="1"/>
  <c r="K215" i="13" l="1"/>
  <c r="L215" i="13" s="1"/>
  <c r="I216" i="13" s="1"/>
  <c r="M337" i="14"/>
  <c r="M336" i="13"/>
  <c r="N334" i="13"/>
  <c r="J333" i="13" a="1"/>
  <c r="J333" i="13" s="1"/>
  <c r="N333" i="14"/>
  <c r="J332" i="14" a="1"/>
  <c r="J332" i="14" s="1"/>
  <c r="K228" i="14"/>
  <c r="L228" i="14" s="1"/>
  <c r="I229" i="14" s="1"/>
  <c r="K216" i="13" l="1"/>
  <c r="L216" i="13" s="1"/>
  <c r="I217" i="13" s="1"/>
  <c r="K229" i="14"/>
  <c r="L229" i="14" s="1"/>
  <c r="I230" i="14" s="1"/>
  <c r="M337" i="13"/>
  <c r="N335" i="13"/>
  <c r="J334" i="13" a="1"/>
  <c r="J334" i="13" s="1"/>
  <c r="N334" i="14"/>
  <c r="J333" i="14" a="1"/>
  <c r="J333" i="14" s="1"/>
  <c r="M338" i="14"/>
  <c r="K217" i="13" l="1"/>
  <c r="L217" i="13" s="1"/>
  <c r="I218" i="13" s="1"/>
  <c r="K230" i="14"/>
  <c r="L230" i="14" s="1"/>
  <c r="I231" i="14" s="1"/>
  <c r="N336" i="13"/>
  <c r="J335" i="13" a="1"/>
  <c r="J335" i="13" s="1"/>
  <c r="N335" i="14"/>
  <c r="J334" i="14" a="1"/>
  <c r="J334" i="14" s="1"/>
  <c r="M338" i="13"/>
  <c r="M339" i="14"/>
  <c r="K218" i="13" l="1"/>
  <c r="L218" i="13" s="1"/>
  <c r="I219" i="13" s="1"/>
  <c r="K231" i="14"/>
  <c r="L231" i="14" s="1"/>
  <c r="I232" i="14" s="1"/>
  <c r="M340" i="14"/>
  <c r="N336" i="14"/>
  <c r="J335" i="14" a="1"/>
  <c r="J335" i="14" s="1"/>
  <c r="M339" i="13"/>
  <c r="N337" i="13"/>
  <c r="J336" i="13" a="1"/>
  <c r="J336" i="13" s="1"/>
  <c r="K219" i="13" l="1"/>
  <c r="L219" i="13" s="1"/>
  <c r="I220" i="13" s="1"/>
  <c r="K232" i="14"/>
  <c r="L232" i="14" s="1"/>
  <c r="I233" i="14" s="1"/>
  <c r="M341" i="14"/>
  <c r="N338" i="13"/>
  <c r="J337" i="13" a="1"/>
  <c r="J337" i="13" s="1"/>
  <c r="M340" i="13"/>
  <c r="N337" i="14"/>
  <c r="J336" i="14" a="1"/>
  <c r="J336" i="14" s="1"/>
  <c r="K220" i="13" l="1"/>
  <c r="L220" i="13" s="1"/>
  <c r="I221" i="13" s="1"/>
  <c r="K233" i="14"/>
  <c r="L233" i="14" s="1"/>
  <c r="I234" i="14" s="1"/>
  <c r="N338" i="14"/>
  <c r="J337" i="14" a="1"/>
  <c r="J337" i="14" s="1"/>
  <c r="N339" i="13"/>
  <c r="J338" i="13" a="1"/>
  <c r="J338" i="13" s="1"/>
  <c r="M341" i="13"/>
  <c r="M342" i="14"/>
  <c r="K221" i="13" l="1"/>
  <c r="L221" i="13" s="1"/>
  <c r="I222" i="13" s="1"/>
  <c r="N339" i="14"/>
  <c r="J338" i="14" a="1"/>
  <c r="J338" i="14" s="1"/>
  <c r="K234" i="14"/>
  <c r="L234" i="14" s="1"/>
  <c r="I235" i="14" s="1"/>
  <c r="M343" i="14"/>
  <c r="N340" i="13"/>
  <c r="J339" i="13" a="1"/>
  <c r="J339" i="13" s="1"/>
  <c r="M342" i="13"/>
  <c r="K222" i="13" l="1"/>
  <c r="L222" i="13" s="1"/>
  <c r="I223" i="13" s="1"/>
  <c r="K235" i="14"/>
  <c r="L235" i="14" s="1"/>
  <c r="I236" i="14" s="1"/>
  <c r="N340" i="14"/>
  <c r="J339" i="14" a="1"/>
  <c r="J339" i="14" s="1"/>
  <c r="M343" i="13"/>
  <c r="M344" i="14"/>
  <c r="N341" i="13"/>
  <c r="J340" i="13" a="1"/>
  <c r="J340" i="13" s="1"/>
  <c r="K223" i="13" l="1"/>
  <c r="L223" i="13" s="1"/>
  <c r="I224" i="13" s="1"/>
  <c r="K236" i="14"/>
  <c r="L236" i="14" s="1"/>
  <c r="I237" i="14" s="1"/>
  <c r="N342" i="13"/>
  <c r="J341" i="13" a="1"/>
  <c r="J341" i="13" s="1"/>
  <c r="M344" i="13"/>
  <c r="M345" i="14"/>
  <c r="N341" i="14"/>
  <c r="J340" i="14" a="1"/>
  <c r="J340" i="14" s="1"/>
  <c r="K224" i="13" l="1"/>
  <c r="K237" i="14"/>
  <c r="L237" i="14" s="1"/>
  <c r="I238" i="14" s="1"/>
  <c r="M345" i="13"/>
  <c r="N342" i="14"/>
  <c r="J341" i="14" a="1"/>
  <c r="J341" i="14" s="1"/>
  <c r="M346" i="14"/>
  <c r="N343" i="13"/>
  <c r="J342" i="13" a="1"/>
  <c r="J342" i="13" s="1"/>
  <c r="L224" i="13" l="1"/>
  <c r="I225" i="13" s="1"/>
  <c r="N344" i="13"/>
  <c r="J343" i="13" a="1"/>
  <c r="J343" i="13" s="1"/>
  <c r="M347" i="14"/>
  <c r="M346" i="13"/>
  <c r="N343" i="14"/>
  <c r="J342" i="14" a="1"/>
  <c r="J342" i="14" s="1"/>
  <c r="K238" i="14"/>
  <c r="L238" i="14" s="1"/>
  <c r="I239" i="14" s="1"/>
  <c r="K225" i="13" l="1"/>
  <c r="K239" i="14"/>
  <c r="L239" i="14" s="1"/>
  <c r="I240" i="14" s="1"/>
  <c r="M347" i="13"/>
  <c r="M348" i="14"/>
  <c r="N344" i="14"/>
  <c r="J343" i="14" a="1"/>
  <c r="J343" i="14" s="1"/>
  <c r="N345" i="13"/>
  <c r="J344" i="13" a="1"/>
  <c r="J344" i="13" s="1"/>
  <c r="L225" i="13" l="1"/>
  <c r="I226" i="13" s="1"/>
  <c r="K240" i="14"/>
  <c r="L240" i="14" s="1"/>
  <c r="I241" i="14" s="1"/>
  <c r="N345" i="14"/>
  <c r="J344" i="14" a="1"/>
  <c r="J344" i="14" s="1"/>
  <c r="M348" i="13"/>
  <c r="N346" i="13"/>
  <c r="J345" i="13" a="1"/>
  <c r="J345" i="13" s="1"/>
  <c r="M349" i="14"/>
  <c r="K226" i="13" l="1"/>
  <c r="L226" i="13" s="1"/>
  <c r="I227" i="13" s="1"/>
  <c r="K241" i="14"/>
  <c r="L241" i="14" s="1"/>
  <c r="I242" i="14" s="1"/>
  <c r="N347" i="13"/>
  <c r="J346" i="13" a="1"/>
  <c r="J346" i="13" s="1"/>
  <c r="N346" i="14"/>
  <c r="J345" i="14" a="1"/>
  <c r="J345" i="14" s="1"/>
  <c r="M349" i="13"/>
  <c r="M350" i="14"/>
  <c r="K227" i="13" l="1"/>
  <c r="L227" i="13" s="1"/>
  <c r="I228" i="13" s="1"/>
  <c r="K242" i="14"/>
  <c r="L242" i="14" s="1"/>
  <c r="I243" i="14" s="1"/>
  <c r="M350" i="13"/>
  <c r="M351" i="14"/>
  <c r="N347" i="14"/>
  <c r="J346" i="14" a="1"/>
  <c r="J346" i="14" s="1"/>
  <c r="N348" i="13"/>
  <c r="J347" i="13" a="1"/>
  <c r="J347" i="13" s="1"/>
  <c r="K228" i="13" l="1"/>
  <c r="L228" i="13" s="1"/>
  <c r="I229" i="13" s="1"/>
  <c r="K243" i="14"/>
  <c r="L243" i="14" s="1"/>
  <c r="I244" i="14" s="1"/>
  <c r="M351" i="13"/>
  <c r="M352" i="14"/>
  <c r="N349" i="13"/>
  <c r="J348" i="13" a="1"/>
  <c r="J348" i="13" s="1"/>
  <c r="N348" i="14"/>
  <c r="J347" i="14" a="1"/>
  <c r="J347" i="14" s="1"/>
  <c r="K229" i="13" l="1"/>
  <c r="L229" i="13" s="1"/>
  <c r="I230" i="13" s="1"/>
  <c r="K244" i="14"/>
  <c r="L244" i="14" s="1"/>
  <c r="I245" i="14" s="1"/>
  <c r="M352" i="13"/>
  <c r="M353" i="14"/>
  <c r="N349" i="14"/>
  <c r="J348" i="14" a="1"/>
  <c r="J348" i="14" s="1"/>
  <c r="N350" i="13"/>
  <c r="J349" i="13" a="1"/>
  <c r="J349" i="13" s="1"/>
  <c r="K230" i="13" l="1"/>
  <c r="L230" i="13" s="1"/>
  <c r="I231" i="13" s="1"/>
  <c r="K245" i="14"/>
  <c r="L245" i="14" s="1"/>
  <c r="I246" i="14" s="1"/>
  <c r="M354" i="14"/>
  <c r="M353" i="13"/>
  <c r="N351" i="13"/>
  <c r="J350" i="13" a="1"/>
  <c r="J350" i="13" s="1"/>
  <c r="N350" i="14"/>
  <c r="J349" i="14" a="1"/>
  <c r="J349" i="14" s="1"/>
  <c r="K231" i="13" l="1"/>
  <c r="L231" i="13" s="1"/>
  <c r="I232" i="13" s="1"/>
  <c r="K246" i="14"/>
  <c r="L246" i="14" s="1"/>
  <c r="I247" i="14" s="1"/>
  <c r="M355" i="14"/>
  <c r="M354" i="13"/>
  <c r="N351" i="14"/>
  <c r="J350" i="14" a="1"/>
  <c r="J350" i="14" s="1"/>
  <c r="N352" i="13"/>
  <c r="J351" i="13" a="1"/>
  <c r="J351" i="13" s="1"/>
  <c r="K232" i="13" l="1"/>
  <c r="L232" i="13" s="1"/>
  <c r="I233" i="13" s="1"/>
  <c r="K247" i="14"/>
  <c r="L247" i="14" s="1"/>
  <c r="I248" i="14" s="1"/>
  <c r="M356" i="14"/>
  <c r="M355" i="13"/>
  <c r="N353" i="13"/>
  <c r="J352" i="13" a="1"/>
  <c r="J352" i="13" s="1"/>
  <c r="N352" i="14"/>
  <c r="J351" i="14" a="1"/>
  <c r="J351" i="14" s="1"/>
  <c r="K233" i="13" l="1"/>
  <c r="L233" i="13" s="1"/>
  <c r="I234" i="13" s="1"/>
  <c r="K248" i="14"/>
  <c r="L248" i="14" s="1"/>
  <c r="I249" i="14" s="1"/>
  <c r="M357" i="14"/>
  <c r="M356" i="13"/>
  <c r="N353" i="14"/>
  <c r="J352" i="14" a="1"/>
  <c r="J352" i="14" s="1"/>
  <c r="N354" i="13"/>
  <c r="J353" i="13" a="1"/>
  <c r="J353" i="13" s="1"/>
  <c r="K234" i="13" l="1"/>
  <c r="L234" i="13" s="1"/>
  <c r="I235" i="13" s="1"/>
  <c r="K249" i="14"/>
  <c r="L249" i="14" s="1"/>
  <c r="I250" i="14" s="1"/>
  <c r="M357" i="13"/>
  <c r="N355" i="13"/>
  <c r="J354" i="13" a="1"/>
  <c r="J354" i="13" s="1"/>
  <c r="M358" i="14"/>
  <c r="N354" i="14"/>
  <c r="J353" i="14" a="1"/>
  <c r="J353" i="14" s="1"/>
  <c r="K235" i="13" l="1"/>
  <c r="L235" i="13" s="1"/>
  <c r="I236" i="13" s="1"/>
  <c r="N356" i="13"/>
  <c r="J355" i="13" a="1"/>
  <c r="J355" i="13" s="1"/>
  <c r="N355" i="14"/>
  <c r="J354" i="14" a="1"/>
  <c r="J354" i="14" s="1"/>
  <c r="M359" i="14"/>
  <c r="M358" i="13"/>
  <c r="K250" i="14"/>
  <c r="L250" i="14" s="1"/>
  <c r="I251" i="14" s="1"/>
  <c r="K236" i="13" l="1"/>
  <c r="K251" i="14"/>
  <c r="L251" i="14" s="1"/>
  <c r="I252" i="14" s="1"/>
  <c r="N357" i="13"/>
  <c r="J356" i="13" a="1"/>
  <c r="J356" i="13" s="1"/>
  <c r="M360" i="14"/>
  <c r="M359" i="13"/>
  <c r="N356" i="14"/>
  <c r="J355" i="14" a="1"/>
  <c r="J355" i="14" s="1"/>
  <c r="L236" i="13" l="1"/>
  <c r="I237" i="13" s="1"/>
  <c r="K252" i="14"/>
  <c r="L252" i="14" s="1"/>
  <c r="I253" i="14" s="1"/>
  <c r="N358" i="13"/>
  <c r="J357" i="13" a="1"/>
  <c r="J357" i="13" s="1"/>
  <c r="N357" i="14"/>
  <c r="J356" i="14" a="1"/>
  <c r="J356" i="14" s="1"/>
  <c r="M360" i="13"/>
  <c r="M361" i="14"/>
  <c r="K237" i="13" l="1"/>
  <c r="K253" i="14"/>
  <c r="L253" i="14" s="1"/>
  <c r="I254" i="14" s="1"/>
  <c r="M361" i="13"/>
  <c r="N359" i="13"/>
  <c r="J358" i="13" a="1"/>
  <c r="J358" i="13" s="1"/>
  <c r="N358" i="14"/>
  <c r="J357" i="14" a="1"/>
  <c r="J357" i="14" s="1"/>
  <c r="M362" i="14"/>
  <c r="L237" i="13" l="1"/>
  <c r="I238" i="13" s="1"/>
  <c r="K254" i="14"/>
  <c r="L254" i="14" s="1"/>
  <c r="I255" i="14" s="1"/>
  <c r="N360" i="13"/>
  <c r="J359" i="13" a="1"/>
  <c r="J359" i="13" s="1"/>
  <c r="N359" i="14"/>
  <c r="J358" i="14" a="1"/>
  <c r="J358" i="14" s="1"/>
  <c r="M363" i="14"/>
  <c r="M362" i="13"/>
  <c r="K238" i="13" l="1"/>
  <c r="L238" i="13" s="1"/>
  <c r="I239" i="13" s="1"/>
  <c r="K255" i="14"/>
  <c r="L255" i="14" s="1"/>
  <c r="I256" i="14" s="1"/>
  <c r="N360" i="14"/>
  <c r="J359" i="14" a="1"/>
  <c r="J359" i="14" s="1"/>
  <c r="M363" i="13"/>
  <c r="M364" i="14"/>
  <c r="N361" i="13"/>
  <c r="J360" i="13" a="1"/>
  <c r="J360" i="13" s="1"/>
  <c r="K239" i="13" l="1"/>
  <c r="L239" i="13" s="1"/>
  <c r="I240" i="13" s="1"/>
  <c r="K256" i="14"/>
  <c r="L256" i="14" s="1"/>
  <c r="I257" i="14" s="1"/>
  <c r="N362" i="13"/>
  <c r="J361" i="13" a="1"/>
  <c r="J361" i="13" s="1"/>
  <c r="M364" i="13"/>
  <c r="M365" i="14"/>
  <c r="N361" i="14"/>
  <c r="J360" i="14" a="1"/>
  <c r="J360" i="14" s="1"/>
  <c r="K240" i="13" l="1"/>
  <c r="L240" i="13" s="1"/>
  <c r="I241" i="13" s="1"/>
  <c r="K257" i="14"/>
  <c r="L257" i="14" s="1"/>
  <c r="I258" i="14" s="1"/>
  <c r="N362" i="14"/>
  <c r="J361" i="14" a="1"/>
  <c r="J361" i="14" s="1"/>
  <c r="M365" i="13"/>
  <c r="M366" i="14"/>
  <c r="N363" i="13"/>
  <c r="J362" i="13" a="1"/>
  <c r="J362" i="13" s="1"/>
  <c r="K241" i="13" l="1"/>
  <c r="L241" i="13" s="1"/>
  <c r="I242" i="13" s="1"/>
  <c r="K258" i="14"/>
  <c r="L258" i="14" s="1"/>
  <c r="I259" i="14" s="1"/>
  <c r="M366" i="13"/>
  <c r="N364" i="13"/>
  <c r="J363" i="13" a="1"/>
  <c r="J363" i="13" s="1"/>
  <c r="M367" i="14"/>
  <c r="N363" i="14"/>
  <c r="J362" i="14" a="1"/>
  <c r="J362" i="14" s="1"/>
  <c r="K242" i="13" l="1"/>
  <c r="L242" i="13" s="1"/>
  <c r="I243" i="13" s="1"/>
  <c r="K259" i="14"/>
  <c r="L259" i="14" s="1"/>
  <c r="I260" i="14" s="1"/>
  <c r="N364" i="14"/>
  <c r="J363" i="14" a="1"/>
  <c r="J363" i="14" s="1"/>
  <c r="N365" i="13"/>
  <c r="J364" i="13" a="1"/>
  <c r="J364" i="13" s="1"/>
  <c r="M368" i="14"/>
  <c r="M367" i="13"/>
  <c r="K243" i="13" l="1"/>
  <c r="L243" i="13" s="1"/>
  <c r="I244" i="13" s="1"/>
  <c r="K260" i="14"/>
  <c r="L260" i="14" s="1"/>
  <c r="I261" i="14" s="1"/>
  <c r="M368" i="13"/>
  <c r="N366" i="13"/>
  <c r="J365" i="13" a="1"/>
  <c r="J365" i="13" s="1"/>
  <c r="M369" i="14"/>
  <c r="N365" i="14"/>
  <c r="J364" i="14" a="1"/>
  <c r="J364" i="14" s="1"/>
  <c r="K244" i="13" l="1"/>
  <c r="L244" i="13" s="1"/>
  <c r="I245" i="13" s="1"/>
  <c r="N366" i="14"/>
  <c r="J365" i="14" a="1"/>
  <c r="J365" i="14" s="1"/>
  <c r="N367" i="13"/>
  <c r="J366" i="13" a="1"/>
  <c r="J366" i="13" s="1"/>
  <c r="M370" i="14"/>
  <c r="M369" i="13"/>
  <c r="K261" i="14"/>
  <c r="L261" i="14" s="1"/>
  <c r="I262" i="14" s="1"/>
  <c r="K245" i="13" l="1"/>
  <c r="L245" i="13" s="1"/>
  <c r="I246" i="13" s="1"/>
  <c r="K262" i="14"/>
  <c r="M371" i="14"/>
  <c r="N367" i="14"/>
  <c r="J366" i="14" a="1"/>
  <c r="J366" i="14" s="1"/>
  <c r="M370" i="13"/>
  <c r="N368" i="13"/>
  <c r="J367" i="13" a="1"/>
  <c r="J367" i="13" s="1"/>
  <c r="K246" i="13" l="1"/>
  <c r="L246" i="13" s="1"/>
  <c r="I247" i="13" s="1"/>
  <c r="N368" i="14"/>
  <c r="J367" i="14" a="1"/>
  <c r="J367" i="14" s="1"/>
  <c r="L262" i="14"/>
  <c r="I263" i="14" s="1"/>
  <c r="M371" i="13"/>
  <c r="N369" i="13"/>
  <c r="J368" i="13" a="1"/>
  <c r="J368" i="13" s="1"/>
  <c r="M372" i="14"/>
  <c r="K247" i="13" l="1"/>
  <c r="L247" i="13" s="1"/>
  <c r="I248" i="13" s="1"/>
  <c r="N370" i="13"/>
  <c r="J369" i="13" a="1"/>
  <c r="J369" i="13" s="1"/>
  <c r="M373" i="14"/>
  <c r="M372" i="13"/>
  <c r="N369" i="14"/>
  <c r="J368" i="14" a="1"/>
  <c r="J368" i="14" s="1"/>
  <c r="K263" i="14"/>
  <c r="L263" i="14" s="1"/>
  <c r="I264" i="14" s="1"/>
  <c r="K248" i="13" l="1"/>
  <c r="N371" i="13"/>
  <c r="J370" i="13" a="1"/>
  <c r="J370" i="13" s="1"/>
  <c r="K264" i="14"/>
  <c r="L264" i="14" s="1"/>
  <c r="I265" i="14" s="1"/>
  <c r="M373" i="13"/>
  <c r="M374" i="14"/>
  <c r="N370" i="14"/>
  <c r="J369" i="14" a="1"/>
  <c r="J369" i="14" s="1"/>
  <c r="L248" i="13" l="1"/>
  <c r="I249" i="13" s="1"/>
  <c r="K265" i="14"/>
  <c r="L265" i="14" s="1"/>
  <c r="I266" i="14" s="1"/>
  <c r="N371" i="14"/>
  <c r="J370" i="14" a="1"/>
  <c r="J370" i="14" s="1"/>
  <c r="M375" i="14"/>
  <c r="M374" i="13"/>
  <c r="N372" i="13"/>
  <c r="J371" i="13" a="1"/>
  <c r="J371" i="13" s="1"/>
  <c r="K249" i="13" l="1"/>
  <c r="K266" i="14"/>
  <c r="L266" i="14" s="1"/>
  <c r="I267" i="14" s="1"/>
  <c r="M375" i="13"/>
  <c r="N373" i="13"/>
  <c r="J372" i="13" a="1"/>
  <c r="J372" i="13" s="1"/>
  <c r="N372" i="14"/>
  <c r="J371" i="14" a="1"/>
  <c r="J371" i="14" s="1"/>
  <c r="M376" i="14"/>
  <c r="L249" i="13" l="1"/>
  <c r="I250" i="13" s="1"/>
  <c r="K267" i="14"/>
  <c r="L267" i="14" s="1"/>
  <c r="I268" i="14" s="1"/>
  <c r="M376" i="13"/>
  <c r="M377" i="14"/>
  <c r="N373" i="14"/>
  <c r="J372" i="14" a="1"/>
  <c r="J372" i="14" s="1"/>
  <c r="N374" i="13"/>
  <c r="J373" i="13" a="1"/>
  <c r="J373" i="13" s="1"/>
  <c r="K250" i="13" l="1"/>
  <c r="L250" i="13" s="1"/>
  <c r="I251" i="13" s="1"/>
  <c r="K268" i="14"/>
  <c r="L268" i="14" s="1"/>
  <c r="I269" i="14" s="1"/>
  <c r="M377" i="13"/>
  <c r="N375" i="13"/>
  <c r="J374" i="13" a="1"/>
  <c r="J374" i="13" s="1"/>
  <c r="N374" i="14"/>
  <c r="J373" i="14" a="1"/>
  <c r="J373" i="14" s="1"/>
  <c r="M378" i="14"/>
  <c r="K251" i="13" l="1"/>
  <c r="L251" i="13" s="1"/>
  <c r="I252" i="13" s="1"/>
  <c r="K269" i="14"/>
  <c r="L269" i="14" s="1"/>
  <c r="I270" i="14" s="1"/>
  <c r="N376" i="13"/>
  <c r="J375" i="13" a="1"/>
  <c r="J375" i="13" s="1"/>
  <c r="M379" i="14"/>
  <c r="M378" i="13"/>
  <c r="N375" i="14"/>
  <c r="J374" i="14" a="1"/>
  <c r="J374" i="14" s="1"/>
  <c r="K252" i="13" l="1"/>
  <c r="L252" i="13" s="1"/>
  <c r="I253" i="13" s="1"/>
  <c r="K270" i="14"/>
  <c r="L270" i="14" s="1"/>
  <c r="I271" i="14" s="1"/>
  <c r="N377" i="13"/>
  <c r="J376" i="13" a="1"/>
  <c r="J376" i="13" s="1"/>
  <c r="M379" i="13"/>
  <c r="M380" i="14"/>
  <c r="N376" i="14"/>
  <c r="J375" i="14" a="1"/>
  <c r="J375" i="14" s="1"/>
  <c r="K253" i="13" l="1"/>
  <c r="L253" i="13" s="1"/>
  <c r="I254" i="13" s="1"/>
  <c r="K271" i="14"/>
  <c r="L271" i="14" s="1"/>
  <c r="I272" i="14" s="1"/>
  <c r="N378" i="13"/>
  <c r="J377" i="13" a="1"/>
  <c r="J377" i="13" s="1"/>
  <c r="M380" i="13"/>
  <c r="N377" i="14"/>
  <c r="J376" i="14" a="1"/>
  <c r="J376" i="14" s="1"/>
  <c r="M381" i="14"/>
  <c r="K254" i="13" l="1"/>
  <c r="L254" i="13" s="1"/>
  <c r="I255" i="13" s="1"/>
  <c r="K272" i="14"/>
  <c r="N378" i="14"/>
  <c r="J377" i="14" a="1"/>
  <c r="J377" i="14" s="1"/>
  <c r="M382" i="14"/>
  <c r="N379" i="13"/>
  <c r="J378" i="13" a="1"/>
  <c r="J378" i="13" s="1"/>
  <c r="M381" i="13"/>
  <c r="K255" i="13" l="1"/>
  <c r="L255" i="13" s="1"/>
  <c r="I256" i="13" s="1"/>
  <c r="M382" i="13"/>
  <c r="M383" i="14"/>
  <c r="L272" i="14"/>
  <c r="I273" i="14" s="1"/>
  <c r="N380" i="13"/>
  <c r="J379" i="13" a="1"/>
  <c r="J379" i="13" s="1"/>
  <c r="N379" i="14"/>
  <c r="J378" i="14" a="1"/>
  <c r="J378" i="14" s="1"/>
  <c r="K256" i="13" l="1"/>
  <c r="L256" i="13" s="1"/>
  <c r="I257" i="13" s="1"/>
  <c r="N380" i="14"/>
  <c r="J379" i="14" a="1"/>
  <c r="J379" i="14" s="1"/>
  <c r="M384" i="14"/>
  <c r="K273" i="14"/>
  <c r="M383" i="13"/>
  <c r="N381" i="13"/>
  <c r="J380" i="13" a="1"/>
  <c r="J380" i="13" s="1"/>
  <c r="K257" i="13" l="1"/>
  <c r="L257" i="13" s="1"/>
  <c r="I258" i="13" s="1"/>
  <c r="N381" i="14"/>
  <c r="J380" i="14" a="1"/>
  <c r="J380" i="14" s="1"/>
  <c r="M384" i="13"/>
  <c r="M385" i="14"/>
  <c r="N382" i="13"/>
  <c r="J381" i="13" a="1"/>
  <c r="J381" i="13" s="1"/>
  <c r="L273" i="14"/>
  <c r="I274" i="14" s="1"/>
  <c r="K258" i="13" l="1"/>
  <c r="L258" i="13" s="1"/>
  <c r="I259" i="13" s="1"/>
  <c r="N382" i="14"/>
  <c r="J381" i="14" a="1"/>
  <c r="J381" i="14" s="1"/>
  <c r="N383" i="13"/>
  <c r="J382" i="13" a="1"/>
  <c r="J382" i="13" s="1"/>
  <c r="M385" i="13"/>
  <c r="K274" i="14"/>
  <c r="L274" i="14" s="1"/>
  <c r="I275" i="14" s="1"/>
  <c r="M386" i="14"/>
  <c r="K259" i="13" l="1"/>
  <c r="L259" i="13" s="1"/>
  <c r="I260" i="13" s="1"/>
  <c r="K275" i="14"/>
  <c r="L275" i="14" s="1"/>
  <c r="I276" i="14" s="1"/>
  <c r="N383" i="14"/>
  <c r="J382" i="14" a="1"/>
  <c r="J382" i="14" s="1"/>
  <c r="N384" i="13"/>
  <c r="J383" i="13" a="1"/>
  <c r="J383" i="13" s="1"/>
  <c r="M387" i="14"/>
  <c r="M386" i="13"/>
  <c r="K260" i="13" l="1"/>
  <c r="L260" i="13" s="1"/>
  <c r="I261" i="13" s="1"/>
  <c r="K276" i="14"/>
  <c r="L276" i="14" s="1"/>
  <c r="I277" i="14" s="1"/>
  <c r="N385" i="13"/>
  <c r="J384" i="13" a="1"/>
  <c r="J384" i="13" s="1"/>
  <c r="M388" i="14"/>
  <c r="N384" i="14"/>
  <c r="J383" i="14" a="1"/>
  <c r="J383" i="14" s="1"/>
  <c r="M387" i="13"/>
  <c r="K261" i="13" l="1"/>
  <c r="L261" i="13" s="1"/>
  <c r="I262" i="13" s="1"/>
  <c r="K277" i="14"/>
  <c r="L277" i="14" s="1"/>
  <c r="I278" i="14" s="1"/>
  <c r="M388" i="13"/>
  <c r="M389" i="14"/>
  <c r="N385" i="14"/>
  <c r="J384" i="14" a="1"/>
  <c r="J384" i="14" s="1"/>
  <c r="N386" i="13"/>
  <c r="J385" i="13" a="1"/>
  <c r="J385" i="13" s="1"/>
  <c r="K262" i="13" l="1"/>
  <c r="K278" i="14"/>
  <c r="L278" i="14" s="1"/>
  <c r="I279" i="14" s="1"/>
  <c r="M390" i="14"/>
  <c r="N387" i="13"/>
  <c r="J386" i="13" a="1"/>
  <c r="J386" i="13" s="1"/>
  <c r="M389" i="13"/>
  <c r="N386" i="14"/>
  <c r="J385" i="14" a="1"/>
  <c r="J385" i="14" s="1"/>
  <c r="L262" i="13" l="1"/>
  <c r="I263" i="13" s="1"/>
  <c r="K279" i="14"/>
  <c r="L279" i="14" s="1"/>
  <c r="I280" i="14" s="1"/>
  <c r="N387" i="14"/>
  <c r="J386" i="14" a="1"/>
  <c r="J386" i="14" s="1"/>
  <c r="M391" i="14"/>
  <c r="M390" i="13"/>
  <c r="N388" i="13"/>
  <c r="J387" i="13" a="1"/>
  <c r="J387" i="13" s="1"/>
  <c r="K263" i="13" l="1"/>
  <c r="L263" i="13" s="1"/>
  <c r="I264" i="13" s="1"/>
  <c r="K280" i="14"/>
  <c r="L280" i="14" s="1"/>
  <c r="I281" i="14" s="1"/>
  <c r="M392" i="14"/>
  <c r="N389" i="13"/>
  <c r="J388" i="13" a="1"/>
  <c r="J388" i="13" s="1"/>
  <c r="N388" i="14"/>
  <c r="J387" i="14" a="1"/>
  <c r="J387" i="14" s="1"/>
  <c r="M391" i="13"/>
  <c r="K264" i="13" l="1"/>
  <c r="L264" i="13" s="1"/>
  <c r="I265" i="13" s="1"/>
  <c r="K281" i="14"/>
  <c r="L281" i="14" s="1"/>
  <c r="I282" i="14" s="1"/>
  <c r="N389" i="14"/>
  <c r="J388" i="14" a="1"/>
  <c r="J388" i="14" s="1"/>
  <c r="M393" i="14"/>
  <c r="M392" i="13"/>
  <c r="N390" i="13"/>
  <c r="J389" i="13" a="1"/>
  <c r="J389" i="13" s="1"/>
  <c r="K265" i="13" l="1"/>
  <c r="L265" i="13" s="1"/>
  <c r="I266" i="13" s="1"/>
  <c r="K282" i="14"/>
  <c r="L282" i="14" s="1"/>
  <c r="I283" i="14" s="1"/>
  <c r="M394" i="14"/>
  <c r="N391" i="13"/>
  <c r="J390" i="13" a="1"/>
  <c r="J390" i="13" s="1"/>
  <c r="M393" i="13"/>
  <c r="N390" i="14"/>
  <c r="J389" i="14" a="1"/>
  <c r="J389" i="14" s="1"/>
  <c r="K266" i="13" l="1"/>
  <c r="L266" i="13" s="1"/>
  <c r="I267" i="13" s="1"/>
  <c r="K283" i="14"/>
  <c r="L283" i="14" s="1"/>
  <c r="I284" i="14" s="1"/>
  <c r="N391" i="14"/>
  <c r="J390" i="14" a="1"/>
  <c r="J390" i="14" s="1"/>
  <c r="N392" i="13"/>
  <c r="J391" i="13" a="1"/>
  <c r="J391" i="13" s="1"/>
  <c r="M394" i="13"/>
  <c r="M395" i="14"/>
  <c r="K267" i="13" l="1"/>
  <c r="L267" i="13" s="1"/>
  <c r="I268" i="13" s="1"/>
  <c r="K284" i="14"/>
  <c r="M396" i="14"/>
  <c r="N393" i="13"/>
  <c r="J392" i="13" a="1"/>
  <c r="J392" i="13" s="1"/>
  <c r="M395" i="13"/>
  <c r="N392" i="14"/>
  <c r="J391" i="14" a="1"/>
  <c r="J391" i="14" s="1"/>
  <c r="K268" i="13" l="1"/>
  <c r="L268" i="13" s="1"/>
  <c r="I269" i="13" s="1"/>
  <c r="N393" i="14"/>
  <c r="J392" i="14" a="1"/>
  <c r="J392" i="14" s="1"/>
  <c r="N394" i="13"/>
  <c r="J393" i="13" a="1"/>
  <c r="J393" i="13" s="1"/>
  <c r="M396" i="13"/>
  <c r="M397" i="14"/>
  <c r="L284" i="14"/>
  <c r="I285" i="14" s="1"/>
  <c r="K269" i="13" l="1"/>
  <c r="L269" i="13" s="1"/>
  <c r="I270" i="13" s="1"/>
  <c r="M398" i="14"/>
  <c r="N395" i="13"/>
  <c r="J394" i="13" a="1"/>
  <c r="J394" i="13" s="1"/>
  <c r="M397" i="13"/>
  <c r="K285" i="14"/>
  <c r="N394" i="14"/>
  <c r="J393" i="14" a="1"/>
  <c r="J393" i="14" s="1"/>
  <c r="K270" i="13" l="1"/>
  <c r="L270" i="13" s="1"/>
  <c r="I271" i="13" s="1"/>
  <c r="N395" i="14"/>
  <c r="J394" i="14" a="1"/>
  <c r="J394" i="14" s="1"/>
  <c r="M399" i="14"/>
  <c r="L285" i="14"/>
  <c r="I286" i="14" s="1"/>
  <c r="N396" i="13"/>
  <c r="J395" i="13" a="1"/>
  <c r="J395" i="13" s="1"/>
  <c r="M398" i="13"/>
  <c r="K271" i="13" l="1"/>
  <c r="L271" i="13" s="1"/>
  <c r="I272" i="13" s="1"/>
  <c r="M400" i="14"/>
  <c r="N397" i="13"/>
  <c r="J396" i="13" a="1"/>
  <c r="J396" i="13" s="1"/>
  <c r="N396" i="14"/>
  <c r="J395" i="14" a="1"/>
  <c r="J395" i="14" s="1"/>
  <c r="M399" i="13"/>
  <c r="K286" i="14"/>
  <c r="L286" i="14" s="1"/>
  <c r="I287" i="14" s="1"/>
  <c r="K272" i="13" l="1"/>
  <c r="K287" i="14"/>
  <c r="L287" i="14" s="1"/>
  <c r="I288" i="14" s="1"/>
  <c r="M401" i="14"/>
  <c r="M400" i="13"/>
  <c r="N397" i="14"/>
  <c r="J396" i="14" a="1"/>
  <c r="J396" i="14" s="1"/>
  <c r="N398" i="13"/>
  <c r="J397" i="13" a="1"/>
  <c r="J397" i="13" s="1"/>
  <c r="L272" i="13" l="1"/>
  <c r="I273" i="13" s="1"/>
  <c r="K288" i="14"/>
  <c r="L288" i="14" s="1"/>
  <c r="I289" i="14" s="1"/>
  <c r="M402" i="14"/>
  <c r="N398" i="14"/>
  <c r="J397" i="14" a="1"/>
  <c r="J397" i="14" s="1"/>
  <c r="N399" i="13"/>
  <c r="J398" i="13" a="1"/>
  <c r="J398" i="13" s="1"/>
  <c r="M401" i="13"/>
  <c r="K273" i="13" l="1"/>
  <c r="M402" i="13"/>
  <c r="M403" i="14"/>
  <c r="N400" i="13"/>
  <c r="J399" i="13" a="1"/>
  <c r="J399" i="13" s="1"/>
  <c r="N399" i="14"/>
  <c r="J398" i="14" a="1"/>
  <c r="J398" i="14" s="1"/>
  <c r="K289" i="14"/>
  <c r="L289" i="14" s="1"/>
  <c r="I290" i="14" s="1"/>
  <c r="L273" i="13" l="1"/>
  <c r="I274" i="13" s="1"/>
  <c r="K290" i="14"/>
  <c r="L290" i="14" s="1"/>
  <c r="I291" i="14" s="1"/>
  <c r="N401" i="13"/>
  <c r="J400" i="13" a="1"/>
  <c r="J400" i="13" s="1"/>
  <c r="M403" i="13"/>
  <c r="N400" i="14"/>
  <c r="J399" i="14" a="1"/>
  <c r="J399" i="14" s="1"/>
  <c r="M404" i="14"/>
  <c r="K274" i="13" l="1"/>
  <c r="L274" i="13" s="1"/>
  <c r="I275" i="13" s="1"/>
  <c r="K291" i="14"/>
  <c r="L291" i="14" s="1"/>
  <c r="I292" i="14" s="1"/>
  <c r="M405" i="14"/>
  <c r="M404" i="13"/>
  <c r="N402" i="13"/>
  <c r="J401" i="13" a="1"/>
  <c r="J401" i="13" s="1"/>
  <c r="N401" i="14"/>
  <c r="J400" i="14" a="1"/>
  <c r="J400" i="14" s="1"/>
  <c r="K275" i="13" l="1"/>
  <c r="L275" i="13" s="1"/>
  <c r="I276" i="13" s="1"/>
  <c r="K292" i="14"/>
  <c r="L292" i="14" s="1"/>
  <c r="I293" i="14" s="1"/>
  <c r="N402" i="14"/>
  <c r="J401" i="14" a="1"/>
  <c r="J401" i="14" s="1"/>
  <c r="M406" i="14"/>
  <c r="M405" i="13"/>
  <c r="N403" i="13"/>
  <c r="J402" i="13" a="1"/>
  <c r="J402" i="13" s="1"/>
  <c r="K276" i="13" l="1"/>
  <c r="L276" i="13" s="1"/>
  <c r="I277" i="13" s="1"/>
  <c r="K293" i="14"/>
  <c r="L293" i="14" s="1"/>
  <c r="I294" i="14" s="1"/>
  <c r="M406" i="13"/>
  <c r="N403" i="14"/>
  <c r="J402" i="14" a="1"/>
  <c r="J402" i="14" s="1"/>
  <c r="M407" i="14"/>
  <c r="N404" i="13"/>
  <c r="J403" i="13" a="1"/>
  <c r="J403" i="13" s="1"/>
  <c r="K277" i="13" l="1"/>
  <c r="L277" i="13" s="1"/>
  <c r="I278" i="13" s="1"/>
  <c r="K294" i="14"/>
  <c r="L294" i="14" s="1"/>
  <c r="I295" i="14" s="1"/>
  <c r="N405" i="13"/>
  <c r="J404" i="13" a="1"/>
  <c r="J404" i="13" s="1"/>
  <c r="N404" i="14"/>
  <c r="J403" i="14" a="1"/>
  <c r="J403" i="14" s="1"/>
  <c r="M408" i="14"/>
  <c r="M407" i="13"/>
  <c r="K278" i="13" l="1"/>
  <c r="L278" i="13" s="1"/>
  <c r="I279" i="13" s="1"/>
  <c r="K295" i="14"/>
  <c r="L295" i="14" s="1"/>
  <c r="I296" i="14" s="1"/>
  <c r="N405" i="14"/>
  <c r="J404" i="14" a="1"/>
  <c r="J404" i="14" s="1"/>
  <c r="M408" i="13"/>
  <c r="M409" i="14"/>
  <c r="N406" i="13"/>
  <c r="J405" i="13" a="1"/>
  <c r="J405" i="13" s="1"/>
  <c r="K279" i="13" l="1"/>
  <c r="L279" i="13" s="1"/>
  <c r="I280" i="13" s="1"/>
  <c r="K296" i="14"/>
  <c r="N407" i="13"/>
  <c r="J406" i="13" a="1"/>
  <c r="J406" i="13" s="1"/>
  <c r="N406" i="14"/>
  <c r="J405" i="14" a="1"/>
  <c r="J405" i="14" s="1"/>
  <c r="M410" i="14"/>
  <c r="M409" i="13"/>
  <c r="K280" i="13" l="1"/>
  <c r="L280" i="13" s="1"/>
  <c r="I281" i="13" s="1"/>
  <c r="M411" i="14"/>
  <c r="N408" i="13"/>
  <c r="J407" i="13" a="1"/>
  <c r="J407" i="13" s="1"/>
  <c r="N407" i="14"/>
  <c r="J406" i="14" a="1"/>
  <c r="J406" i="14" s="1"/>
  <c r="M410" i="13"/>
  <c r="L296" i="14"/>
  <c r="I297" i="14" s="1"/>
  <c r="K281" i="13" l="1"/>
  <c r="L281" i="13" s="1"/>
  <c r="I282" i="13" s="1"/>
  <c r="K297" i="14"/>
  <c r="M411" i="13"/>
  <c r="N408" i="14"/>
  <c r="J407" i="14" a="1"/>
  <c r="J407" i="14" s="1"/>
  <c r="N409" i="13"/>
  <c r="J408" i="13" a="1"/>
  <c r="J408" i="13" s="1"/>
  <c r="M412" i="14"/>
  <c r="K282" i="13" l="1"/>
  <c r="L282" i="13" s="1"/>
  <c r="I283" i="13" s="1"/>
  <c r="M412" i="13"/>
  <c r="M413" i="14"/>
  <c r="N410" i="13"/>
  <c r="J409" i="13" a="1"/>
  <c r="J409" i="13" s="1"/>
  <c r="N409" i="14"/>
  <c r="J408" i="14" a="1"/>
  <c r="J408" i="14" s="1"/>
  <c r="L297" i="14"/>
  <c r="I298" i="14" s="1"/>
  <c r="K283" i="13" l="1"/>
  <c r="L283" i="13" s="1"/>
  <c r="I284" i="13" s="1"/>
  <c r="N411" i="13"/>
  <c r="J410" i="13" a="1"/>
  <c r="J410" i="13" s="1"/>
  <c r="M413" i="13"/>
  <c r="N410" i="14"/>
  <c r="J409" i="14" a="1"/>
  <c r="J409" i="14" s="1"/>
  <c r="M414" i="14"/>
  <c r="K298" i="14"/>
  <c r="L298" i="14" s="1"/>
  <c r="I299" i="14" s="1"/>
  <c r="K284" i="13" l="1"/>
  <c r="K299" i="14"/>
  <c r="L299" i="14" s="1"/>
  <c r="I300" i="14" s="1"/>
  <c r="N411" i="14"/>
  <c r="J410" i="14" a="1"/>
  <c r="J410" i="14" s="1"/>
  <c r="N412" i="13"/>
  <c r="J411" i="13" a="1"/>
  <c r="J411" i="13" s="1"/>
  <c r="M415" i="14"/>
  <c r="M414" i="13"/>
  <c r="L284" i="13" l="1"/>
  <c r="I285" i="13" s="1"/>
  <c r="K300" i="14"/>
  <c r="L300" i="14" s="1"/>
  <c r="I301" i="14" s="1"/>
  <c r="N412" i="14"/>
  <c r="J411" i="14" a="1"/>
  <c r="J411" i="14" s="1"/>
  <c r="M415" i="13"/>
  <c r="N413" i="13"/>
  <c r="J412" i="13" a="1"/>
  <c r="J412" i="13" s="1"/>
  <c r="M416" i="14"/>
  <c r="K285" i="13" l="1"/>
  <c r="L285" i="13" s="1"/>
  <c r="I286" i="13" s="1"/>
  <c r="K301" i="14"/>
  <c r="L301" i="14" s="1"/>
  <c r="I302" i="14" s="1"/>
  <c r="M417" i="14"/>
  <c r="M416" i="13"/>
  <c r="N414" i="13"/>
  <c r="J413" i="13" a="1"/>
  <c r="J413" i="13" s="1"/>
  <c r="N413" i="14"/>
  <c r="J412" i="14" a="1"/>
  <c r="J412" i="14" s="1"/>
  <c r="K286" i="13" l="1"/>
  <c r="L286" i="13" s="1"/>
  <c r="I287" i="13" s="1"/>
  <c r="K302" i="14"/>
  <c r="L302" i="14" s="1"/>
  <c r="I303" i="14" s="1"/>
  <c r="M417" i="13"/>
  <c r="M418" i="14"/>
  <c r="N414" i="14"/>
  <c r="J413" i="14" a="1"/>
  <c r="J413" i="14" s="1"/>
  <c r="N415" i="13"/>
  <c r="J414" i="13" a="1"/>
  <c r="J414" i="13" s="1"/>
  <c r="K287" i="13" l="1"/>
  <c r="L287" i="13" s="1"/>
  <c r="I288" i="13" s="1"/>
  <c r="M418" i="13"/>
  <c r="N415" i="14"/>
  <c r="J414" i="14" a="1"/>
  <c r="J414" i="14" s="1"/>
  <c r="M419" i="14"/>
  <c r="N416" i="13"/>
  <c r="J415" i="13" a="1"/>
  <c r="J415" i="13" s="1"/>
  <c r="K303" i="14"/>
  <c r="L303" i="14" s="1"/>
  <c r="I304" i="14" s="1"/>
  <c r="K288" i="13" l="1"/>
  <c r="L288" i="13" s="1"/>
  <c r="I289" i="13" s="1"/>
  <c r="K304" i="14"/>
  <c r="L304" i="14" s="1"/>
  <c r="I305" i="14" s="1"/>
  <c r="M420" i="14"/>
  <c r="M419" i="13"/>
  <c r="N417" i="13"/>
  <c r="J416" i="13" a="1"/>
  <c r="J416" i="13" s="1"/>
  <c r="N416" i="14"/>
  <c r="J415" i="14" a="1"/>
  <c r="J415" i="14" s="1"/>
  <c r="K289" i="13" l="1"/>
  <c r="L289" i="13" s="1"/>
  <c r="I290" i="13" s="1"/>
  <c r="K305" i="14"/>
  <c r="L305" i="14" s="1"/>
  <c r="I306" i="14" s="1"/>
  <c r="M420" i="13"/>
  <c r="N417" i="14"/>
  <c r="J416" i="14" a="1"/>
  <c r="J416" i="14" s="1"/>
  <c r="M421" i="14"/>
  <c r="N418" i="13"/>
  <c r="J417" i="13" a="1"/>
  <c r="J417" i="13" s="1"/>
  <c r="K290" i="13" l="1"/>
  <c r="L290" i="13" s="1"/>
  <c r="I291" i="13" s="1"/>
  <c r="K306" i="14"/>
  <c r="L306" i="14" s="1"/>
  <c r="I307" i="14" s="1"/>
  <c r="N419" i="13"/>
  <c r="J418" i="13" a="1"/>
  <c r="J418" i="13" s="1"/>
  <c r="M422" i="14"/>
  <c r="N418" i="14"/>
  <c r="J417" i="14" a="1"/>
  <c r="J417" i="14" s="1"/>
  <c r="M421" i="13"/>
  <c r="K291" i="13" l="1"/>
  <c r="L291" i="13" s="1"/>
  <c r="I292" i="13" s="1"/>
  <c r="M422" i="13"/>
  <c r="K307" i="14"/>
  <c r="L307" i="14" s="1"/>
  <c r="I308" i="14" s="1"/>
  <c r="N419" i="14"/>
  <c r="J418" i="14" a="1"/>
  <c r="J418" i="14" s="1"/>
  <c r="N420" i="13"/>
  <c r="J419" i="13" a="1"/>
  <c r="J419" i="13" s="1"/>
  <c r="M423" i="14"/>
  <c r="K292" i="13" l="1"/>
  <c r="L292" i="13" s="1"/>
  <c r="I293" i="13" s="1"/>
  <c r="K308" i="14"/>
  <c r="L308" i="14" s="1"/>
  <c r="I309" i="14" s="1"/>
  <c r="M424" i="14"/>
  <c r="N420" i="14"/>
  <c r="J419" i="14" a="1"/>
  <c r="J419" i="14" s="1"/>
  <c r="M423" i="13"/>
  <c r="N421" i="13"/>
  <c r="J420" i="13" a="1"/>
  <c r="J420" i="13" s="1"/>
  <c r="K293" i="13" l="1"/>
  <c r="L293" i="13" s="1"/>
  <c r="I294" i="13" s="1"/>
  <c r="K309" i="14"/>
  <c r="L309" i="14" s="1"/>
  <c r="I310" i="14" s="1"/>
  <c r="N422" i="13"/>
  <c r="J421" i="13" a="1"/>
  <c r="J421" i="13" s="1"/>
  <c r="M424" i="13"/>
  <c r="N421" i="14"/>
  <c r="J420" i="14" a="1"/>
  <c r="J420" i="14" s="1"/>
  <c r="M425" i="14"/>
  <c r="K294" i="13" l="1"/>
  <c r="L294" i="13" s="1"/>
  <c r="I295" i="13" s="1"/>
  <c r="K310" i="14"/>
  <c r="L310" i="14" s="1"/>
  <c r="I311" i="14" s="1"/>
  <c r="N422" i="14"/>
  <c r="J421" i="14" a="1"/>
  <c r="J421" i="14" s="1"/>
  <c r="M426" i="14"/>
  <c r="M425" i="13"/>
  <c r="N423" i="13"/>
  <c r="J422" i="13" a="1"/>
  <c r="J422" i="13" s="1"/>
  <c r="K295" i="13" l="1"/>
  <c r="L295" i="13" s="1"/>
  <c r="I296" i="13" s="1"/>
  <c r="K311" i="14"/>
  <c r="L311" i="14" s="1"/>
  <c r="I312" i="14" s="1"/>
  <c r="N424" i="13"/>
  <c r="J423" i="13" a="1"/>
  <c r="J423" i="13" s="1"/>
  <c r="M427" i="14"/>
  <c r="M426" i="13"/>
  <c r="N423" i="14"/>
  <c r="J422" i="14" a="1"/>
  <c r="J422" i="14" s="1"/>
  <c r="K296" i="13" l="1"/>
  <c r="L296" i="13" s="1"/>
  <c r="I297" i="13" s="1"/>
  <c r="K312" i="14"/>
  <c r="L312" i="14" s="1"/>
  <c r="I313" i="14" s="1"/>
  <c r="M428" i="14"/>
  <c r="N424" i="14"/>
  <c r="J423" i="14" a="1"/>
  <c r="J423" i="14" s="1"/>
  <c r="M427" i="13"/>
  <c r="N425" i="13"/>
  <c r="J424" i="13" a="1"/>
  <c r="J424" i="13" s="1"/>
  <c r="K297" i="13" l="1"/>
  <c r="L297" i="13" s="1"/>
  <c r="I298" i="13" s="1"/>
  <c r="K313" i="14"/>
  <c r="L313" i="14" s="1"/>
  <c r="I314" i="14" s="1"/>
  <c r="M429" i="14"/>
  <c r="N426" i="13"/>
  <c r="J425" i="13" a="1"/>
  <c r="J425" i="13" s="1"/>
  <c r="M428" i="13"/>
  <c r="N425" i="14"/>
  <c r="J424" i="14" a="1"/>
  <c r="J424" i="14" s="1"/>
  <c r="K298" i="13" l="1"/>
  <c r="K314" i="14"/>
  <c r="L314" i="14" s="1"/>
  <c r="I315" i="14" s="1"/>
  <c r="M430" i="14"/>
  <c r="N426" i="14"/>
  <c r="J425" i="14" a="1"/>
  <c r="J425" i="14" s="1"/>
  <c r="N427" i="13"/>
  <c r="J426" i="13" a="1"/>
  <c r="J426" i="13" s="1"/>
  <c r="M429" i="13"/>
  <c r="L298" i="13" l="1"/>
  <c r="I299" i="13" s="1"/>
  <c r="K315" i="14"/>
  <c r="L315" i="14" s="1"/>
  <c r="I316" i="14" s="1"/>
  <c r="M431" i="14"/>
  <c r="N428" i="13"/>
  <c r="J427" i="13" a="1"/>
  <c r="J427" i="13" s="1"/>
  <c r="M430" i="13"/>
  <c r="N427" i="14"/>
  <c r="J426" i="14" a="1"/>
  <c r="J426" i="14" s="1"/>
  <c r="K299" i="13" l="1"/>
  <c r="L299" i="13" s="1"/>
  <c r="I300" i="13" s="1"/>
  <c r="K316" i="14"/>
  <c r="L316" i="14" s="1"/>
  <c r="I317" i="14" s="1"/>
  <c r="N429" i="13"/>
  <c r="J428" i="13" a="1"/>
  <c r="J428" i="13" s="1"/>
  <c r="M431" i="13"/>
  <c r="N428" i="14"/>
  <c r="J427" i="14" a="1"/>
  <c r="J427" i="14" s="1"/>
  <c r="M432" i="14"/>
  <c r="K300" i="13" l="1"/>
  <c r="L300" i="13" s="1"/>
  <c r="I301" i="13" s="1"/>
  <c r="K317" i="14"/>
  <c r="L317" i="14" s="1"/>
  <c r="I318" i="14" s="1"/>
  <c r="M433" i="14"/>
  <c r="M432" i="13"/>
  <c r="N429" i="14"/>
  <c r="J428" i="14" a="1"/>
  <c r="J428" i="14" s="1"/>
  <c r="N430" i="13"/>
  <c r="J429" i="13" a="1"/>
  <c r="J429" i="13" s="1"/>
  <c r="K301" i="13" l="1"/>
  <c r="L301" i="13" s="1"/>
  <c r="I302" i="13" s="1"/>
  <c r="K318" i="14"/>
  <c r="L318" i="14" s="1"/>
  <c r="I319" i="14" s="1"/>
  <c r="M434" i="14"/>
  <c r="N430" i="14"/>
  <c r="J429" i="14" a="1"/>
  <c r="J429" i="14" s="1"/>
  <c r="N431" i="13"/>
  <c r="J430" i="13" a="1"/>
  <c r="J430" i="13" s="1"/>
  <c r="M433" i="13"/>
  <c r="K302" i="13" l="1"/>
  <c r="L302" i="13" s="1"/>
  <c r="I303" i="13" s="1"/>
  <c r="M435" i="14"/>
  <c r="K319" i="14"/>
  <c r="L319" i="14" s="1"/>
  <c r="I320" i="14" s="1"/>
  <c r="N432" i="13"/>
  <c r="J431" i="13" a="1"/>
  <c r="J431" i="13" s="1"/>
  <c r="M434" i="13"/>
  <c r="N431" i="14"/>
  <c r="J430" i="14" a="1"/>
  <c r="J430" i="14" s="1"/>
  <c r="K303" i="13" l="1"/>
  <c r="L303" i="13" s="1"/>
  <c r="I304" i="13" s="1"/>
  <c r="K320" i="14"/>
  <c r="L320" i="14" s="1"/>
  <c r="I321" i="14" s="1"/>
  <c r="M436" i="14"/>
  <c r="N432" i="14"/>
  <c r="J431" i="14" a="1"/>
  <c r="J431" i="14" s="1"/>
  <c r="N433" i="13"/>
  <c r="J432" i="13" a="1"/>
  <c r="J432" i="13" s="1"/>
  <c r="M435" i="13"/>
  <c r="K304" i="13" l="1"/>
  <c r="L304" i="13" s="1"/>
  <c r="I305" i="13" s="1"/>
  <c r="M436" i="13"/>
  <c r="N433" i="14"/>
  <c r="J432" i="14" a="1"/>
  <c r="J432" i="14" s="1"/>
  <c r="M437" i="14"/>
  <c r="N434" i="13"/>
  <c r="J433" i="13" a="1"/>
  <c r="J433" i="13" s="1"/>
  <c r="K321" i="14"/>
  <c r="L321" i="14" s="1"/>
  <c r="I322" i="14" s="1"/>
  <c r="K305" i="13" l="1"/>
  <c r="L305" i="13" s="1"/>
  <c r="I306" i="13" s="1"/>
  <c r="K322" i="14"/>
  <c r="L322" i="14" s="1"/>
  <c r="I323" i="14" s="1"/>
  <c r="M437" i="13"/>
  <c r="N435" i="13"/>
  <c r="J434" i="13" a="1"/>
  <c r="J434" i="13" s="1"/>
  <c r="M438" i="14"/>
  <c r="N434" i="14"/>
  <c r="J433" i="14" a="1"/>
  <c r="J433" i="14" s="1"/>
  <c r="K306" i="13" l="1"/>
  <c r="L306" i="13" s="1"/>
  <c r="I307" i="13" s="1"/>
  <c r="K323" i="14"/>
  <c r="L323" i="14" s="1"/>
  <c r="I324" i="14" s="1"/>
  <c r="N436" i="13"/>
  <c r="J435" i="13" a="1"/>
  <c r="J435" i="13" s="1"/>
  <c r="M439" i="14"/>
  <c r="M438" i="13"/>
  <c r="N435" i="14"/>
  <c r="J434" i="14" a="1"/>
  <c r="J434" i="14" s="1"/>
  <c r="K307" i="13" l="1"/>
  <c r="L307" i="13" s="1"/>
  <c r="I308" i="13" s="1"/>
  <c r="K324" i="14"/>
  <c r="L324" i="14" s="1"/>
  <c r="I325" i="14" s="1"/>
  <c r="N436" i="14"/>
  <c r="J435" i="14" a="1"/>
  <c r="J435" i="14" s="1"/>
  <c r="M439" i="13"/>
  <c r="M440" i="14"/>
  <c r="N437" i="13"/>
  <c r="J436" i="13" a="1"/>
  <c r="J436" i="13" s="1"/>
  <c r="K308" i="13" l="1"/>
  <c r="K325" i="14"/>
  <c r="L325" i="14" s="1"/>
  <c r="I326" i="14" s="1"/>
  <c r="M440" i="13"/>
  <c r="N438" i="13"/>
  <c r="J437" i="13" a="1"/>
  <c r="J437" i="13" s="1"/>
  <c r="M441" i="14"/>
  <c r="N437" i="14"/>
  <c r="J436" i="14" a="1"/>
  <c r="J436" i="14" s="1"/>
  <c r="L308" i="13" l="1"/>
  <c r="I309" i="13" s="1"/>
  <c r="K326" i="14"/>
  <c r="L326" i="14" s="1"/>
  <c r="I327" i="14" s="1"/>
  <c r="M441" i="13"/>
  <c r="N438" i="14"/>
  <c r="J437" i="14" a="1"/>
  <c r="J437" i="14" s="1"/>
  <c r="M442" i="14"/>
  <c r="N439" i="13"/>
  <c r="J438" i="13" a="1"/>
  <c r="J438" i="13" s="1"/>
  <c r="K309" i="13" l="1"/>
  <c r="L309" i="13" s="1"/>
  <c r="I310" i="13" s="1"/>
  <c r="K327" i="14"/>
  <c r="L327" i="14" s="1"/>
  <c r="I328" i="14" s="1"/>
  <c r="N439" i="14"/>
  <c r="J438" i="14" a="1"/>
  <c r="J438" i="14" s="1"/>
  <c r="N440" i="13"/>
  <c r="J439" i="13" a="1"/>
  <c r="J439" i="13" s="1"/>
  <c r="M443" i="14"/>
  <c r="M442" i="13"/>
  <c r="K310" i="13" l="1"/>
  <c r="L310" i="13" s="1"/>
  <c r="I311" i="13" s="1"/>
  <c r="K328" i="14"/>
  <c r="L328" i="14" s="1"/>
  <c r="I329" i="14" s="1"/>
  <c r="N441" i="13"/>
  <c r="J440" i="13" a="1"/>
  <c r="J440" i="13" s="1"/>
  <c r="M444" i="14"/>
  <c r="M443" i="13"/>
  <c r="N440" i="14"/>
  <c r="J439" i="14" a="1"/>
  <c r="J439" i="14" s="1"/>
  <c r="K311" i="13" l="1"/>
  <c r="L311" i="13" s="1"/>
  <c r="I312" i="13" s="1"/>
  <c r="K329" i="14"/>
  <c r="L329" i="14" s="1"/>
  <c r="I330" i="14" s="1"/>
  <c r="M445" i="14"/>
  <c r="N441" i="14"/>
  <c r="J440" i="14" a="1"/>
  <c r="J440" i="14" s="1"/>
  <c r="M444" i="13"/>
  <c r="N442" i="13"/>
  <c r="J441" i="13" a="1"/>
  <c r="J441" i="13" s="1"/>
  <c r="K312" i="13" l="1"/>
  <c r="L312" i="13" s="1"/>
  <c r="I313" i="13" s="1"/>
  <c r="K330" i="14"/>
  <c r="L330" i="14" s="1"/>
  <c r="I331" i="14" s="1"/>
  <c r="N443" i="13"/>
  <c r="J442" i="13" a="1"/>
  <c r="J442" i="13" s="1"/>
  <c r="M445" i="13"/>
  <c r="N442" i="14"/>
  <c r="J441" i="14" a="1"/>
  <c r="J441" i="14" s="1"/>
  <c r="M446" i="14"/>
  <c r="K313" i="13" l="1"/>
  <c r="L313" i="13" s="1"/>
  <c r="I314" i="13" s="1"/>
  <c r="K331" i="14"/>
  <c r="L331" i="14" s="1"/>
  <c r="I332" i="14" s="1"/>
  <c r="M447" i="14"/>
  <c r="N443" i="14"/>
  <c r="J442" i="14" a="1"/>
  <c r="J442" i="14" s="1"/>
  <c r="N444" i="13"/>
  <c r="J443" i="13" a="1"/>
  <c r="J443" i="13" s="1"/>
  <c r="M446" i="13"/>
  <c r="K314" i="13" l="1"/>
  <c r="L314" i="13" s="1"/>
  <c r="I315" i="13" s="1"/>
  <c r="M448" i="14"/>
  <c r="M447" i="13"/>
  <c r="N445" i="13"/>
  <c r="J444" i="13" a="1"/>
  <c r="J444" i="13" s="1"/>
  <c r="N444" i="14"/>
  <c r="J443" i="14" a="1"/>
  <c r="J443" i="14" s="1"/>
  <c r="K332" i="14"/>
  <c r="L332" i="14" s="1"/>
  <c r="I333" i="14" s="1"/>
  <c r="K315" i="13" l="1"/>
  <c r="L315" i="13" s="1"/>
  <c r="I316" i="13" s="1"/>
  <c r="K333" i="14"/>
  <c r="L333" i="14" s="1"/>
  <c r="I334" i="14" s="1"/>
  <c r="N446" i="13"/>
  <c r="J445" i="13" a="1"/>
  <c r="J445" i="13" s="1"/>
  <c r="M449" i="14"/>
  <c r="M448" i="13"/>
  <c r="N445" i="14"/>
  <c r="J444" i="14" a="1"/>
  <c r="J444" i="14" s="1"/>
  <c r="K316" i="13" l="1"/>
  <c r="L316" i="13" s="1"/>
  <c r="I317" i="13" s="1"/>
  <c r="K334" i="14"/>
  <c r="N446" i="14"/>
  <c r="J445" i="14" a="1"/>
  <c r="J445" i="14" s="1"/>
  <c r="M450" i="14"/>
  <c r="M449" i="13"/>
  <c r="N447" i="13"/>
  <c r="J446" i="13" a="1"/>
  <c r="J446" i="13" s="1"/>
  <c r="K317" i="13" l="1"/>
  <c r="L317" i="13" s="1"/>
  <c r="I318" i="13" s="1"/>
  <c r="L334" i="14"/>
  <c r="I335" i="14" s="1"/>
  <c r="N448" i="13"/>
  <c r="J447" i="13" a="1"/>
  <c r="J447" i="13" s="1"/>
  <c r="M450" i="13"/>
  <c r="N447" i="14"/>
  <c r="J446" i="14" a="1"/>
  <c r="J446" i="14" s="1"/>
  <c r="M451" i="14"/>
  <c r="K318" i="13" l="1"/>
  <c r="L318" i="13" s="1"/>
  <c r="I319" i="13" s="1"/>
  <c r="M452" i="14"/>
  <c r="M451" i="13"/>
  <c r="K335" i="14"/>
  <c r="L335" i="14" s="1"/>
  <c r="I336" i="14" s="1"/>
  <c r="N448" i="14"/>
  <c r="J447" i="14" a="1"/>
  <c r="J447" i="14" s="1"/>
  <c r="N449" i="13"/>
  <c r="J448" i="13" a="1"/>
  <c r="J448" i="13" s="1"/>
  <c r="K319" i="13" l="1"/>
  <c r="L319" i="13" s="1"/>
  <c r="I320" i="13" s="1"/>
  <c r="K336" i="14"/>
  <c r="L336" i="14" s="1"/>
  <c r="I337" i="14" s="1"/>
  <c r="M453" i="14"/>
  <c r="N450" i="13"/>
  <c r="J449" i="13" a="1"/>
  <c r="J449" i="13" s="1"/>
  <c r="M452" i="13"/>
  <c r="N449" i="14"/>
  <c r="J448" i="14" a="1"/>
  <c r="J448" i="14" s="1"/>
  <c r="K320" i="13" l="1"/>
  <c r="K337" i="14"/>
  <c r="L337" i="14" s="1"/>
  <c r="I338" i="14" s="1"/>
  <c r="N450" i="14"/>
  <c r="J449" i="14" a="1"/>
  <c r="J449" i="14" s="1"/>
  <c r="N451" i="13"/>
  <c r="J450" i="13" a="1"/>
  <c r="J450" i="13" s="1"/>
  <c r="M453" i="13"/>
  <c r="M454" i="14"/>
  <c r="L320" i="13" l="1"/>
  <c r="I321" i="13" s="1"/>
  <c r="K338" i="14"/>
  <c r="L338" i="14" s="1"/>
  <c r="I339" i="14" s="1"/>
  <c r="N451" i="14"/>
  <c r="J450" i="14" a="1"/>
  <c r="J450" i="14" s="1"/>
  <c r="N452" i="13"/>
  <c r="J451" i="13" a="1"/>
  <c r="J451" i="13" s="1"/>
  <c r="M454" i="13"/>
  <c r="M455" i="14"/>
  <c r="K321" i="13" l="1"/>
  <c r="K339" i="14"/>
  <c r="L339" i="14" s="1"/>
  <c r="I340" i="14" s="1"/>
  <c r="M456" i="14"/>
  <c r="M455" i="13"/>
  <c r="N452" i="14"/>
  <c r="J451" i="14" a="1"/>
  <c r="J451" i="14" s="1"/>
  <c r="N453" i="13"/>
  <c r="J452" i="13" a="1"/>
  <c r="J452" i="13" s="1"/>
  <c r="L321" i="13" l="1"/>
  <c r="I322" i="13" s="1"/>
  <c r="K340" i="14"/>
  <c r="L340" i="14" s="1"/>
  <c r="I341" i="14" s="1"/>
  <c r="M457" i="14"/>
  <c r="N453" i="14"/>
  <c r="J452" i="14" a="1"/>
  <c r="J452" i="14" s="1"/>
  <c r="N454" i="13"/>
  <c r="J453" i="13" a="1"/>
  <c r="J453" i="13" s="1"/>
  <c r="M456" i="13"/>
  <c r="K322" i="13" l="1"/>
  <c r="L322" i="13" s="1"/>
  <c r="I323" i="13" s="1"/>
  <c r="K341" i="14"/>
  <c r="L341" i="14" s="1"/>
  <c r="I342" i="14" s="1"/>
  <c r="M457" i="13"/>
  <c r="N455" i="13"/>
  <c r="J454" i="13" a="1"/>
  <c r="J454" i="13" s="1"/>
  <c r="M458" i="14"/>
  <c r="N454" i="14"/>
  <c r="J453" i="14" a="1"/>
  <c r="J453" i="14" s="1"/>
  <c r="K323" i="13" l="1"/>
  <c r="L323" i="13" s="1"/>
  <c r="I324" i="13" s="1"/>
  <c r="K342" i="14"/>
  <c r="L342" i="14" s="1"/>
  <c r="I343" i="14" s="1"/>
  <c r="N455" i="14"/>
  <c r="J454" i="14" a="1"/>
  <c r="J454" i="14" s="1"/>
  <c r="N456" i="13"/>
  <c r="J455" i="13" a="1"/>
  <c r="J455" i="13" s="1"/>
  <c r="M459" i="14"/>
  <c r="M458" i="13"/>
  <c r="K324" i="13" l="1"/>
  <c r="L324" i="13" s="1"/>
  <c r="I325" i="13" s="1"/>
  <c r="K343" i="14"/>
  <c r="L343" i="14" s="1"/>
  <c r="I344" i="14" s="1"/>
  <c r="M459" i="13"/>
  <c r="M460" i="14"/>
  <c r="N457" i="13"/>
  <c r="J456" i="13" a="1"/>
  <c r="J456" i="13" s="1"/>
  <c r="N456" i="14"/>
  <c r="J455" i="14" a="1"/>
  <c r="J455" i="14" s="1"/>
  <c r="K325" i="13" l="1"/>
  <c r="L325" i="13" s="1"/>
  <c r="I326" i="13" s="1"/>
  <c r="K344" i="14"/>
  <c r="N457" i="14"/>
  <c r="J456" i="14" a="1"/>
  <c r="J456" i="14" s="1"/>
  <c r="M461" i="14"/>
  <c r="M460" i="13"/>
  <c r="N458" i="13"/>
  <c r="J457" i="13" a="1"/>
  <c r="J457" i="13" s="1"/>
  <c r="K326" i="13" l="1"/>
  <c r="L326" i="13" s="1"/>
  <c r="I327" i="13" s="1"/>
  <c r="M462" i="14"/>
  <c r="M461" i="13"/>
  <c r="N459" i="13"/>
  <c r="J458" i="13" a="1"/>
  <c r="J458" i="13" s="1"/>
  <c r="N458" i="14"/>
  <c r="J457" i="14" a="1"/>
  <c r="J457" i="14" s="1"/>
  <c r="L344" i="14"/>
  <c r="I345" i="14" s="1"/>
  <c r="K327" i="13" l="1"/>
  <c r="L327" i="13" s="1"/>
  <c r="I328" i="13" s="1"/>
  <c r="M463" i="14"/>
  <c r="N460" i="13"/>
  <c r="J459" i="13" a="1"/>
  <c r="J459" i="13" s="1"/>
  <c r="K345" i="14"/>
  <c r="N459" i="14"/>
  <c r="J458" i="14" a="1"/>
  <c r="J458" i="14" s="1"/>
  <c r="M462" i="13"/>
  <c r="K328" i="13" l="1"/>
  <c r="L328" i="13" s="1"/>
  <c r="I329" i="13" s="1"/>
  <c r="M464" i="14"/>
  <c r="N460" i="14"/>
  <c r="J459" i="14" a="1"/>
  <c r="J459" i="14" s="1"/>
  <c r="M463" i="13"/>
  <c r="L345" i="14"/>
  <c r="I346" i="14" s="1"/>
  <c r="N461" i="13"/>
  <c r="J460" i="13" a="1"/>
  <c r="J460" i="13" s="1"/>
  <c r="K329" i="13" l="1"/>
  <c r="L329" i="13" s="1"/>
  <c r="I330" i="13" s="1"/>
  <c r="N462" i="13"/>
  <c r="J461" i="13" a="1"/>
  <c r="J461" i="13" s="1"/>
  <c r="K346" i="14"/>
  <c r="L346" i="14" s="1"/>
  <c r="I347" i="14" s="1"/>
  <c r="N461" i="14"/>
  <c r="J460" i="14" a="1"/>
  <c r="J460" i="14" s="1"/>
  <c r="M464" i="13"/>
  <c r="M465" i="14"/>
  <c r="K330" i="13" l="1"/>
  <c r="L330" i="13" s="1"/>
  <c r="I331" i="13" s="1"/>
  <c r="K347" i="14"/>
  <c r="L347" i="14" s="1"/>
  <c r="I348" i="14" s="1"/>
  <c r="M466" i="14"/>
  <c r="N463" i="13"/>
  <c r="J462" i="13" a="1"/>
  <c r="J462" i="13" s="1"/>
  <c r="N462" i="14"/>
  <c r="J461" i="14" a="1"/>
  <c r="J461" i="14" s="1"/>
  <c r="M465" i="13"/>
  <c r="K331" i="13" l="1"/>
  <c r="L331" i="13" s="1"/>
  <c r="I332" i="13" s="1"/>
  <c r="K348" i="14"/>
  <c r="L348" i="14" s="1"/>
  <c r="I349" i="14" s="1"/>
  <c r="N464" i="13"/>
  <c r="J463" i="13" a="1"/>
  <c r="J463" i="13" s="1"/>
  <c r="M467" i="14"/>
  <c r="M466" i="13"/>
  <c r="N463" i="14"/>
  <c r="J462" i="14" a="1"/>
  <c r="J462" i="14" s="1"/>
  <c r="K332" i="13" l="1"/>
  <c r="L332" i="13" s="1"/>
  <c r="I333" i="13" s="1"/>
  <c r="M468" i="14"/>
  <c r="N464" i="14"/>
  <c r="J463" i="14" a="1"/>
  <c r="J463" i="14" s="1"/>
  <c r="M467" i="13"/>
  <c r="N465" i="13"/>
  <c r="J464" i="13" a="1"/>
  <c r="J464" i="13" s="1"/>
  <c r="K349" i="14"/>
  <c r="L349" i="14" s="1"/>
  <c r="I350" i="14" s="1"/>
  <c r="K333" i="13" l="1"/>
  <c r="L333" i="13" s="1"/>
  <c r="I334" i="13" s="1"/>
  <c r="K350" i="14"/>
  <c r="L350" i="14" s="1"/>
  <c r="I351" i="14" s="1"/>
  <c r="M469" i="14"/>
  <c r="N466" i="13"/>
  <c r="J465" i="13" a="1"/>
  <c r="J465" i="13" s="1"/>
  <c r="M468" i="13"/>
  <c r="N465" i="14"/>
  <c r="J464" i="14" a="1"/>
  <c r="J464" i="14" s="1"/>
  <c r="K334" i="13" l="1"/>
  <c r="K351" i="14"/>
  <c r="L351" i="14" s="1"/>
  <c r="I352" i="14" s="1"/>
  <c r="N467" i="13"/>
  <c r="J466" i="13" a="1"/>
  <c r="J466" i="13" s="1"/>
  <c r="M469" i="13"/>
  <c r="N466" i="14"/>
  <c r="J465" i="14" a="1"/>
  <c r="J465" i="14" s="1"/>
  <c r="M470" i="14"/>
  <c r="L334" i="13" l="1"/>
  <c r="I335" i="13" s="1"/>
  <c r="K352" i="14"/>
  <c r="L352" i="14" s="1"/>
  <c r="I353" i="14" s="1"/>
  <c r="N468" i="13"/>
  <c r="J467" i="13" a="1"/>
  <c r="J467" i="13" s="1"/>
  <c r="N467" i="14"/>
  <c r="J466" i="14" a="1"/>
  <c r="J466" i="14" s="1"/>
  <c r="M471" i="14"/>
  <c r="M470" i="13"/>
  <c r="K335" i="13" l="1"/>
  <c r="L335" i="13" s="1"/>
  <c r="I336" i="13" s="1"/>
  <c r="K353" i="14"/>
  <c r="L353" i="14" s="1"/>
  <c r="I354" i="14" s="1"/>
  <c r="M471" i="13"/>
  <c r="M472" i="14"/>
  <c r="N469" i="13"/>
  <c r="J468" i="13" a="1"/>
  <c r="J468" i="13" s="1"/>
  <c r="N468" i="14"/>
  <c r="J467" i="14" a="1"/>
  <c r="J467" i="14" s="1"/>
  <c r="K336" i="13" l="1"/>
  <c r="L336" i="13" s="1"/>
  <c r="I337" i="13" s="1"/>
  <c r="K354" i="14"/>
  <c r="L354" i="14" s="1"/>
  <c r="I355" i="14" s="1"/>
  <c r="N469" i="14"/>
  <c r="J468" i="14" a="1"/>
  <c r="J468" i="14" s="1"/>
  <c r="M473" i="14"/>
  <c r="M472" i="13"/>
  <c r="N470" i="13"/>
  <c r="J469" i="13" a="1"/>
  <c r="J469" i="13" s="1"/>
  <c r="K337" i="13" l="1"/>
  <c r="L337" i="13" s="1"/>
  <c r="I338" i="13" s="1"/>
  <c r="K355" i="14"/>
  <c r="L355" i="14" s="1"/>
  <c r="I356" i="14" s="1"/>
  <c r="M474" i="14"/>
  <c r="N471" i="13"/>
  <c r="J470" i="13" a="1"/>
  <c r="J470" i="13" s="1"/>
  <c r="M473" i="13"/>
  <c r="N470" i="14"/>
  <c r="J469" i="14" a="1"/>
  <c r="J469" i="14" s="1"/>
  <c r="K338" i="13" l="1"/>
  <c r="L338" i="13" s="1"/>
  <c r="I339" i="13" s="1"/>
  <c r="K356" i="14"/>
  <c r="N472" i="13"/>
  <c r="J471" i="13" a="1"/>
  <c r="J471" i="13" s="1"/>
  <c r="N471" i="14"/>
  <c r="J470" i="14" a="1"/>
  <c r="J470" i="14" s="1"/>
  <c r="M474" i="13"/>
  <c r="M475" i="14"/>
  <c r="K339" i="13" l="1"/>
  <c r="L339" i="13" s="1"/>
  <c r="I340" i="13" s="1"/>
  <c r="M476" i="14"/>
  <c r="N472" i="14"/>
  <c r="J471" i="14" a="1"/>
  <c r="J471" i="14" s="1"/>
  <c r="M475" i="13"/>
  <c r="N473" i="13"/>
  <c r="J472" i="13" a="1"/>
  <c r="J472" i="13" s="1"/>
  <c r="L356" i="14"/>
  <c r="I357" i="14" s="1"/>
  <c r="K340" i="13" l="1"/>
  <c r="L340" i="13" s="1"/>
  <c r="I341" i="13" s="1"/>
  <c r="N474" i="13"/>
  <c r="J473" i="13" a="1"/>
  <c r="J473" i="13" s="1"/>
  <c r="M476" i="13"/>
  <c r="K357" i="14"/>
  <c r="M477" i="14"/>
  <c r="N473" i="14"/>
  <c r="J472" i="14" a="1"/>
  <c r="J472" i="14" s="1"/>
  <c r="K341" i="13" l="1"/>
  <c r="L341" i="13" s="1"/>
  <c r="I342" i="13" s="1"/>
  <c r="N475" i="13"/>
  <c r="J474" i="13" a="1"/>
  <c r="J474" i="13" s="1"/>
  <c r="M478" i="14"/>
  <c r="N474" i="14"/>
  <c r="J473" i="14" a="1"/>
  <c r="J473" i="14" s="1"/>
  <c r="L357" i="14"/>
  <c r="I358" i="14" s="1"/>
  <c r="M477" i="13"/>
  <c r="K342" i="13" l="1"/>
  <c r="L342" i="13" s="1"/>
  <c r="I343" i="13" s="1"/>
  <c r="M478" i="13"/>
  <c r="N475" i="14"/>
  <c r="J474" i="14" a="1"/>
  <c r="J474" i="14" s="1"/>
  <c r="N476" i="13"/>
  <c r="J475" i="13" a="1"/>
  <c r="J475" i="13" s="1"/>
  <c r="M479" i="14"/>
  <c r="K358" i="14"/>
  <c r="L358" i="14" s="1"/>
  <c r="I359" i="14" s="1"/>
  <c r="K343" i="13" l="1"/>
  <c r="L343" i="13" s="1"/>
  <c r="I344" i="13" s="1"/>
  <c r="K359" i="14"/>
  <c r="L359" i="14" s="1"/>
  <c r="I360" i="14" s="1"/>
  <c r="N477" i="13"/>
  <c r="J476" i="13" a="1"/>
  <c r="J476" i="13" s="1"/>
  <c r="M479" i="13"/>
  <c r="M480" i="14"/>
  <c r="N476" i="14"/>
  <c r="J475" i="14" a="1"/>
  <c r="J475" i="14" s="1"/>
  <c r="K344" i="13" l="1"/>
  <c r="K360" i="14"/>
  <c r="L360" i="14" s="1"/>
  <c r="I361" i="14" s="1"/>
  <c r="M480" i="13"/>
  <c r="N477" i="14"/>
  <c r="J476" i="14" a="1"/>
  <c r="J476" i="14" s="1"/>
  <c r="M481" i="14"/>
  <c r="N478" i="13"/>
  <c r="J477" i="13" a="1"/>
  <c r="J477" i="13" s="1"/>
  <c r="L344" i="13" l="1"/>
  <c r="I345" i="13" s="1"/>
  <c r="K361" i="14"/>
  <c r="L361" i="14" s="1"/>
  <c r="I362" i="14" s="1"/>
  <c r="M482" i="14"/>
  <c r="N478" i="14"/>
  <c r="J477" i="14" a="1"/>
  <c r="J477" i="14" s="1"/>
  <c r="N479" i="13"/>
  <c r="J478" i="13" a="1"/>
  <c r="J478" i="13" s="1"/>
  <c r="M481" i="13"/>
  <c r="K345" i="13" l="1"/>
  <c r="L345" i="13" s="1"/>
  <c r="I346" i="13" s="1"/>
  <c r="K362" i="14"/>
  <c r="L362" i="14" s="1"/>
  <c r="I363" i="14" s="1"/>
  <c r="N480" i="13"/>
  <c r="J479" i="13" a="1"/>
  <c r="J479" i="13" s="1"/>
  <c r="N479" i="14"/>
  <c r="J478" i="14" a="1"/>
  <c r="J478" i="14" s="1"/>
  <c r="M482" i="13"/>
  <c r="M483" i="14"/>
  <c r="K346" i="13" l="1"/>
  <c r="L346" i="13" s="1"/>
  <c r="I347" i="13" s="1"/>
  <c r="M483" i="13"/>
  <c r="N480" i="14"/>
  <c r="J479" i="14" a="1"/>
  <c r="J479" i="14" s="1"/>
  <c r="K363" i="14"/>
  <c r="L363" i="14" s="1"/>
  <c r="I364" i="14" s="1"/>
  <c r="M484" i="14"/>
  <c r="N481" i="13"/>
  <c r="J480" i="13" a="1"/>
  <c r="J480" i="13" s="1"/>
  <c r="K347" i="13" l="1"/>
  <c r="L347" i="13" s="1"/>
  <c r="I348" i="13" s="1"/>
  <c r="K364" i="14"/>
  <c r="L364" i="14" s="1"/>
  <c r="I365" i="14" s="1"/>
  <c r="M484" i="13"/>
  <c r="N482" i="13"/>
  <c r="J481" i="13" a="1"/>
  <c r="J481" i="13" s="1"/>
  <c r="M485" i="14"/>
  <c r="N481" i="14"/>
  <c r="J480" i="14" a="1"/>
  <c r="J480" i="14" s="1"/>
  <c r="K348" i="13" l="1"/>
  <c r="L348" i="13" s="1"/>
  <c r="I349" i="13" s="1"/>
  <c r="K365" i="14"/>
  <c r="L365" i="14" s="1"/>
  <c r="I366" i="14" s="1"/>
  <c r="N482" i="14"/>
  <c r="J481" i="14" a="1"/>
  <c r="J481" i="14" s="1"/>
  <c r="N483" i="13"/>
  <c r="J482" i="13" a="1"/>
  <c r="J482" i="13" s="1"/>
  <c r="M486" i="14"/>
  <c r="M485" i="13"/>
  <c r="K349" i="13" l="1"/>
  <c r="L349" i="13" s="1"/>
  <c r="I350" i="13" s="1"/>
  <c r="K366" i="14"/>
  <c r="L366" i="14" s="1"/>
  <c r="I367" i="14" s="1"/>
  <c r="M486" i="13"/>
  <c r="N484" i="13"/>
  <c r="J483" i="13" a="1"/>
  <c r="J483" i="13" s="1"/>
  <c r="M487" i="14"/>
  <c r="N483" i="14"/>
  <c r="J482" i="14" a="1"/>
  <c r="J482" i="14" s="1"/>
  <c r="K350" i="13" l="1"/>
  <c r="L350" i="13" s="1"/>
  <c r="I351" i="13" s="1"/>
  <c r="K367" i="14"/>
  <c r="L367" i="14" s="1"/>
  <c r="I368" i="14" s="1"/>
  <c r="N485" i="13"/>
  <c r="J484" i="13" a="1"/>
  <c r="J484" i="13" s="1"/>
  <c r="N484" i="14"/>
  <c r="J483" i="14" a="1"/>
  <c r="J483" i="14" s="1"/>
  <c r="M487" i="13"/>
  <c r="M488" i="14"/>
  <c r="K351" i="13" l="1"/>
  <c r="L351" i="13" s="1"/>
  <c r="I352" i="13" s="1"/>
  <c r="K368" i="14"/>
  <c r="L368" i="14" s="1"/>
  <c r="I369" i="14" s="1"/>
  <c r="M489" i="14"/>
  <c r="N485" i="14"/>
  <c r="J484" i="14" a="1"/>
  <c r="J484" i="14" s="1"/>
  <c r="M488" i="13"/>
  <c r="N486" i="13"/>
  <c r="J485" i="13" a="1"/>
  <c r="J485" i="13" s="1"/>
  <c r="K352" i="13" l="1"/>
  <c r="L352" i="13" s="1"/>
  <c r="I353" i="13" s="1"/>
  <c r="N487" i="13"/>
  <c r="J486" i="13" a="1"/>
  <c r="J486" i="13" s="1"/>
  <c r="N486" i="14"/>
  <c r="J485" i="14" a="1"/>
  <c r="J485" i="14" s="1"/>
  <c r="M489" i="13"/>
  <c r="M490" i="14"/>
  <c r="K369" i="14"/>
  <c r="L369" i="14" s="1"/>
  <c r="I370" i="14" s="1"/>
  <c r="K353" i="13" l="1"/>
  <c r="L353" i="13" s="1"/>
  <c r="I354" i="13" s="1"/>
  <c r="N487" i="14"/>
  <c r="J486" i="14" a="1"/>
  <c r="J486" i="14" s="1"/>
  <c r="K370" i="14"/>
  <c r="M490" i="13"/>
  <c r="M491" i="14"/>
  <c r="N488" i="13"/>
  <c r="J487" i="13" a="1"/>
  <c r="J487" i="13" s="1"/>
  <c r="K354" i="13" l="1"/>
  <c r="L354" i="13" s="1"/>
  <c r="I355" i="13" s="1"/>
  <c r="N488" i="14"/>
  <c r="J487" i="14" a="1"/>
  <c r="J487" i="14" s="1"/>
  <c r="M491" i="13"/>
  <c r="N489" i="13"/>
  <c r="J488" i="13" a="1"/>
  <c r="J488" i="13" s="1"/>
  <c r="M492" i="14"/>
  <c r="L370" i="14"/>
  <c r="I371" i="14" s="1"/>
  <c r="K355" i="13" l="1"/>
  <c r="L355" i="13" s="1"/>
  <c r="I356" i="13" s="1"/>
  <c r="N489" i="14"/>
  <c r="J488" i="14" a="1"/>
  <c r="J488" i="14" s="1"/>
  <c r="K371" i="14"/>
  <c r="L371" i="14" s="1"/>
  <c r="I372" i="14" s="1"/>
  <c r="N490" i="13"/>
  <c r="J489" i="13" a="1"/>
  <c r="J489" i="13" s="1"/>
  <c r="M493" i="14"/>
  <c r="M492" i="13"/>
  <c r="K356" i="13" l="1"/>
  <c r="N490" i="14"/>
  <c r="J489" i="14" a="1"/>
  <c r="J489" i="14" s="1"/>
  <c r="M494" i="14"/>
  <c r="N491" i="13"/>
  <c r="J490" i="13" a="1"/>
  <c r="J490" i="13" s="1"/>
  <c r="M493" i="13"/>
  <c r="K372" i="14"/>
  <c r="L372" i="14" s="1"/>
  <c r="I373" i="14" s="1"/>
  <c r="L356" i="13" l="1"/>
  <c r="I357" i="13" s="1"/>
  <c r="K373" i="14"/>
  <c r="L373" i="14" s="1"/>
  <c r="I374" i="14" s="1"/>
  <c r="N492" i="13"/>
  <c r="J491" i="13" a="1"/>
  <c r="J491" i="13" s="1"/>
  <c r="M494" i="13"/>
  <c r="M495" i="14"/>
  <c r="N491" i="14"/>
  <c r="J490" i="14" a="1"/>
  <c r="J490" i="14" s="1"/>
  <c r="K357" i="13" l="1"/>
  <c r="K374" i="14"/>
  <c r="L374" i="14" s="1"/>
  <c r="I375" i="14" s="1"/>
  <c r="M496" i="14"/>
  <c r="M495" i="13"/>
  <c r="N493" i="13"/>
  <c r="J492" i="13" a="1"/>
  <c r="J492" i="13" s="1"/>
  <c r="N492" i="14"/>
  <c r="J491" i="14" a="1"/>
  <c r="J491" i="14" s="1"/>
  <c r="L357" i="13" l="1"/>
  <c r="I358" i="13" s="1"/>
  <c r="K375" i="14"/>
  <c r="L375" i="14" s="1"/>
  <c r="I376" i="14" s="1"/>
  <c r="N494" i="13"/>
  <c r="J493" i="13" a="1"/>
  <c r="J493" i="13" s="1"/>
  <c r="M497" i="14"/>
  <c r="N493" i="14"/>
  <c r="J492" i="14" a="1"/>
  <c r="J492" i="14" s="1"/>
  <c r="M496" i="13"/>
  <c r="K358" i="13" l="1"/>
  <c r="L358" i="13" s="1"/>
  <c r="I359" i="13" s="1"/>
  <c r="K376" i="14"/>
  <c r="L376" i="14" s="1"/>
  <c r="I377" i="14" s="1"/>
  <c r="N494" i="14"/>
  <c r="J493" i="14" a="1"/>
  <c r="J493" i="14" s="1"/>
  <c r="M497" i="13"/>
  <c r="M498" i="14"/>
  <c r="N495" i="13"/>
  <c r="J494" i="13" a="1"/>
  <c r="J494" i="13" s="1"/>
  <c r="K359" i="13" l="1"/>
  <c r="L359" i="13" s="1"/>
  <c r="I360" i="13" s="1"/>
  <c r="K377" i="14"/>
  <c r="L377" i="14" s="1"/>
  <c r="I378" i="14" s="1"/>
  <c r="N496" i="13"/>
  <c r="J495" i="13" a="1"/>
  <c r="J495" i="13" s="1"/>
  <c r="M498" i="13"/>
  <c r="M499" i="14"/>
  <c r="N495" i="14"/>
  <c r="J494" i="14" a="1"/>
  <c r="J494" i="14" s="1"/>
  <c r="K360" i="13" l="1"/>
  <c r="L360" i="13" s="1"/>
  <c r="I361" i="13" s="1"/>
  <c r="K378" i="14"/>
  <c r="L378" i="14" s="1"/>
  <c r="I379" i="14" s="1"/>
  <c r="M499" i="13"/>
  <c r="N496" i="14"/>
  <c r="J495" i="14" a="1"/>
  <c r="J495" i="14" s="1"/>
  <c r="M500" i="14"/>
  <c r="N497" i="13"/>
  <c r="J496" i="13" a="1"/>
  <c r="J496" i="13" s="1"/>
  <c r="K361" i="13" l="1"/>
  <c r="L361" i="13" s="1"/>
  <c r="I362" i="13" s="1"/>
  <c r="K379" i="14"/>
  <c r="L379" i="14" s="1"/>
  <c r="I380" i="14" s="1"/>
  <c r="N498" i="13"/>
  <c r="J497" i="13" a="1"/>
  <c r="J497" i="13" s="1"/>
  <c r="N497" i="14"/>
  <c r="J496" i="14" a="1"/>
  <c r="J496" i="14" s="1"/>
  <c r="M501" i="14"/>
  <c r="M500" i="13"/>
  <c r="K362" i="13" l="1"/>
  <c r="L362" i="13" s="1"/>
  <c r="I363" i="13" s="1"/>
  <c r="K380" i="14"/>
  <c r="M502" i="14"/>
  <c r="N499" i="13"/>
  <c r="J498" i="13" a="1"/>
  <c r="J498" i="13" s="1"/>
  <c r="M501" i="13"/>
  <c r="N498" i="14"/>
  <c r="J497" i="14" a="1"/>
  <c r="J497" i="14" s="1"/>
  <c r="K363" i="13" l="1"/>
  <c r="L363" i="13" s="1"/>
  <c r="I364" i="13" s="1"/>
  <c r="N499" i="14"/>
  <c r="J498" i="14" a="1"/>
  <c r="J498" i="14" s="1"/>
  <c r="N500" i="13"/>
  <c r="J499" i="13" a="1"/>
  <c r="J499" i="13" s="1"/>
  <c r="L380" i="14"/>
  <c r="I381" i="14" s="1"/>
  <c r="M502" i="13"/>
  <c r="M503" i="14"/>
  <c r="K364" i="13" l="1"/>
  <c r="L364" i="13" s="1"/>
  <c r="I365" i="13" s="1"/>
  <c r="N500" i="14"/>
  <c r="J499" i="14" a="1"/>
  <c r="J499" i="14" s="1"/>
  <c r="M504" i="14"/>
  <c r="K381" i="14"/>
  <c r="M503" i="13"/>
  <c r="N501" i="13"/>
  <c r="J500" i="13" a="1"/>
  <c r="J500" i="13" s="1"/>
  <c r="K365" i="13" l="1"/>
  <c r="L365" i="13" s="1"/>
  <c r="I366" i="13" s="1"/>
  <c r="N502" i="13"/>
  <c r="J501" i="13" a="1"/>
  <c r="J501" i="13" s="1"/>
  <c r="L381" i="14"/>
  <c r="I382" i="14" s="1"/>
  <c r="M504" i="13"/>
  <c r="N501" i="14"/>
  <c r="J500" i="14" a="1"/>
  <c r="J500" i="14" s="1"/>
  <c r="M505" i="14"/>
  <c r="K366" i="13" l="1"/>
  <c r="L366" i="13" s="1"/>
  <c r="I367" i="13" s="1"/>
  <c r="M505" i="13"/>
  <c r="N503" i="13"/>
  <c r="J502" i="13" a="1"/>
  <c r="J502" i="13" s="1"/>
  <c r="M506" i="14"/>
  <c r="N502" i="14"/>
  <c r="J501" i="14" a="1"/>
  <c r="J501" i="14" s="1"/>
  <c r="K382" i="14"/>
  <c r="L382" i="14" s="1"/>
  <c r="I383" i="14" s="1"/>
  <c r="K367" i="13" l="1"/>
  <c r="L367" i="13" s="1"/>
  <c r="I368" i="13" s="1"/>
  <c r="N503" i="14"/>
  <c r="J502" i="14" a="1"/>
  <c r="J502" i="14" s="1"/>
  <c r="N504" i="13"/>
  <c r="J503" i="13" a="1"/>
  <c r="J503" i="13" s="1"/>
  <c r="K383" i="14"/>
  <c r="L383" i="14" s="1"/>
  <c r="I384" i="14" s="1"/>
  <c r="M507" i="14"/>
  <c r="M506" i="13"/>
  <c r="K368" i="13" l="1"/>
  <c r="K384" i="14"/>
  <c r="L384" i="14" s="1"/>
  <c r="I385" i="14" s="1"/>
  <c r="M508" i="14"/>
  <c r="N505" i="13"/>
  <c r="J504" i="13" a="1"/>
  <c r="J504" i="13" s="1"/>
  <c r="M507" i="13"/>
  <c r="N504" i="14"/>
  <c r="J503" i="14" a="1"/>
  <c r="J503" i="14" s="1"/>
  <c r="L368" i="13" l="1"/>
  <c r="I369" i="13" s="1"/>
  <c r="K385" i="14"/>
  <c r="L385" i="14" s="1"/>
  <c r="I386" i="14" s="1"/>
  <c r="M508" i="13"/>
  <c r="M509" i="14"/>
  <c r="N505" i="14"/>
  <c r="J504" i="14" a="1"/>
  <c r="J504" i="14" s="1"/>
  <c r="N506" i="13"/>
  <c r="J505" i="13" a="1"/>
  <c r="J505" i="13" s="1"/>
  <c r="K369" i="13" l="1"/>
  <c r="L369" i="13" s="1"/>
  <c r="I370" i="13" s="1"/>
  <c r="N507" i="13"/>
  <c r="J506" i="13" a="1"/>
  <c r="J506" i="13" s="1"/>
  <c r="M510" i="14"/>
  <c r="M509" i="13"/>
  <c r="N506" i="14"/>
  <c r="J505" i="14" a="1"/>
  <c r="J505" i="14" s="1"/>
  <c r="K386" i="14"/>
  <c r="L386" i="14" s="1"/>
  <c r="I387" i="14" s="1"/>
  <c r="K370" i="13" l="1"/>
  <c r="L370" i="13" s="1"/>
  <c r="I371" i="13" s="1"/>
  <c r="N507" i="14"/>
  <c r="J506" i="14" a="1"/>
  <c r="J506" i="14" s="1"/>
  <c r="M511" i="14"/>
  <c r="K387" i="14"/>
  <c r="L387" i="14" s="1"/>
  <c r="I388" i="14" s="1"/>
  <c r="M510" i="13"/>
  <c r="N508" i="13"/>
  <c r="J507" i="13" a="1"/>
  <c r="J507" i="13" s="1"/>
  <c r="K371" i="13" l="1"/>
  <c r="L371" i="13" s="1"/>
  <c r="I372" i="13" s="1"/>
  <c r="K388" i="14"/>
  <c r="L388" i="14" s="1"/>
  <c r="I389" i="14" s="1"/>
  <c r="N508" i="14"/>
  <c r="J507" i="14" a="1"/>
  <c r="J507" i="14" s="1"/>
  <c r="N509" i="13"/>
  <c r="J508" i="13" a="1"/>
  <c r="J508" i="13" s="1"/>
  <c r="M511" i="13"/>
  <c r="M512" i="14"/>
  <c r="K372" i="13" l="1"/>
  <c r="L372" i="13" s="1"/>
  <c r="I373" i="13" s="1"/>
  <c r="K389" i="14"/>
  <c r="L389" i="14" s="1"/>
  <c r="I390" i="14" s="1"/>
  <c r="N510" i="13"/>
  <c r="J509" i="13" a="1"/>
  <c r="J509" i="13" s="1"/>
  <c r="M512" i="13"/>
  <c r="M513" i="14"/>
  <c r="N509" i="14"/>
  <c r="J508" i="14" a="1"/>
  <c r="J508" i="14" s="1"/>
  <c r="K373" i="13" l="1"/>
  <c r="L373" i="13" s="1"/>
  <c r="I374" i="13" s="1"/>
  <c r="K390" i="14"/>
  <c r="L390" i="14" s="1"/>
  <c r="I391" i="14" s="1"/>
  <c r="M513" i="13"/>
  <c r="J509" i="14" a="1"/>
  <c r="J509" i="14" s="1"/>
  <c r="N510" i="14"/>
  <c r="M514" i="14"/>
  <c r="N511" i="13"/>
  <c r="J510" i="13" a="1"/>
  <c r="J510" i="13" s="1"/>
  <c r="K374" i="13" l="1"/>
  <c r="L374" i="13" s="1"/>
  <c r="I375" i="13" s="1"/>
  <c r="K391" i="14"/>
  <c r="L391" i="14" s="1"/>
  <c r="I392" i="14" s="1"/>
  <c r="J510" i="14" a="1"/>
  <c r="J510" i="14" s="1"/>
  <c r="N511" i="14"/>
  <c r="N512" i="13"/>
  <c r="J511" i="13" a="1"/>
  <c r="J511" i="13" s="1"/>
  <c r="M515" i="14"/>
  <c r="M514" i="13"/>
  <c r="K375" i="13" l="1"/>
  <c r="L375" i="13" s="1"/>
  <c r="I376" i="13" s="1"/>
  <c r="K392" i="14"/>
  <c r="L392" i="14" s="1"/>
  <c r="I393" i="14" s="1"/>
  <c r="M515" i="13"/>
  <c r="N513" i="13"/>
  <c r="J512" i="13" a="1"/>
  <c r="J512" i="13" s="1"/>
  <c r="M516" i="14"/>
  <c r="J511" i="14" a="1"/>
  <c r="J511" i="14" s="1"/>
  <c r="N512" i="14"/>
  <c r="K376" i="13" l="1"/>
  <c r="L376" i="13" s="1"/>
  <c r="I377" i="13" s="1"/>
  <c r="N514" i="13"/>
  <c r="J513" i="13" a="1"/>
  <c r="J513" i="13" s="1"/>
  <c r="J512" i="14" a="1"/>
  <c r="J512" i="14" s="1"/>
  <c r="N513" i="14"/>
  <c r="M517" i="14"/>
  <c r="M516" i="13"/>
  <c r="K393" i="14"/>
  <c r="L393" i="14" s="1"/>
  <c r="I394" i="14" s="1"/>
  <c r="K377" i="13" l="1"/>
  <c r="L377" i="13" s="1"/>
  <c r="I378" i="13" s="1"/>
  <c r="K394" i="14"/>
  <c r="J513" i="14" a="1"/>
  <c r="J513" i="14" s="1"/>
  <c r="N514" i="14"/>
  <c r="N515" i="13"/>
  <c r="J514" i="13" a="1"/>
  <c r="J514" i="13" s="1"/>
  <c r="M517" i="13"/>
  <c r="M518" i="14"/>
  <c r="K378" i="13" l="1"/>
  <c r="L378" i="13" s="1"/>
  <c r="I379" i="13" s="1"/>
  <c r="M519" i="14"/>
  <c r="N516" i="13"/>
  <c r="J515" i="13" a="1"/>
  <c r="J515" i="13" s="1"/>
  <c r="M518" i="13"/>
  <c r="J514" i="14" a="1"/>
  <c r="J514" i="14" s="1"/>
  <c r="N515" i="14"/>
  <c r="L394" i="14"/>
  <c r="I395" i="14" s="1"/>
  <c r="K379" i="13" l="1"/>
  <c r="L379" i="13" s="1"/>
  <c r="I380" i="13" s="1"/>
  <c r="K395" i="14"/>
  <c r="L395" i="14" s="1"/>
  <c r="I396" i="14" s="1"/>
  <c r="M519" i="13"/>
  <c r="M520" i="14"/>
  <c r="J515" i="14" a="1"/>
  <c r="J515" i="14" s="1"/>
  <c r="N516" i="14"/>
  <c r="N517" i="13"/>
  <c r="J516" i="13" a="1"/>
  <c r="J516" i="13" s="1"/>
  <c r="K380" i="13" l="1"/>
  <c r="N518" i="13"/>
  <c r="J517" i="13" a="1"/>
  <c r="J517" i="13" s="1"/>
  <c r="M521" i="14"/>
  <c r="J516" i="14" a="1"/>
  <c r="J516" i="14" s="1"/>
  <c r="N517" i="14"/>
  <c r="K396" i="14"/>
  <c r="L396" i="14" s="1"/>
  <c r="I397" i="14" s="1"/>
  <c r="M520" i="13"/>
  <c r="L380" i="13" l="1"/>
  <c r="I381" i="13" s="1"/>
  <c r="K397" i="14"/>
  <c r="L397" i="14" s="1"/>
  <c r="I398" i="14" s="1"/>
  <c r="J517" i="14" a="1"/>
  <c r="J517" i="14" s="1"/>
  <c r="N518" i="14"/>
  <c r="M522" i="14"/>
  <c r="M521" i="13"/>
  <c r="N519" i="13"/>
  <c r="J518" i="13" a="1"/>
  <c r="J518" i="13" s="1"/>
  <c r="K381" i="13" l="1"/>
  <c r="K398" i="14"/>
  <c r="L398" i="14" s="1"/>
  <c r="I399" i="14" s="1"/>
  <c r="N520" i="13"/>
  <c r="J519" i="13" a="1"/>
  <c r="J519" i="13" s="1"/>
  <c r="M523" i="14"/>
  <c r="M522" i="13"/>
  <c r="J518" i="14" a="1"/>
  <c r="J518" i="14" s="1"/>
  <c r="N519" i="14"/>
  <c r="L381" i="13" l="1"/>
  <c r="I382" i="13" s="1"/>
  <c r="J519" i="14" a="1"/>
  <c r="J519" i="14" s="1"/>
  <c r="N520" i="14"/>
  <c r="M524" i="14"/>
  <c r="N521" i="13"/>
  <c r="J520" i="13" a="1"/>
  <c r="J520" i="13" s="1"/>
  <c r="M523" i="13"/>
  <c r="K399" i="14"/>
  <c r="L399" i="14" s="1"/>
  <c r="I400" i="14" s="1"/>
  <c r="K382" i="13" l="1"/>
  <c r="L382" i="13" s="1"/>
  <c r="I383" i="13" s="1"/>
  <c r="K400" i="14"/>
  <c r="L400" i="14" s="1"/>
  <c r="I401" i="14" s="1"/>
  <c r="J520" i="14" a="1"/>
  <c r="J520" i="14" s="1"/>
  <c r="N521" i="14"/>
  <c r="M524" i="13"/>
  <c r="M525" i="14"/>
  <c r="N522" i="13"/>
  <c r="J521" i="13" a="1"/>
  <c r="J521" i="13" s="1"/>
  <c r="K383" i="13" l="1"/>
  <c r="L383" i="13" s="1"/>
  <c r="I384" i="13" s="1"/>
  <c r="K401" i="14"/>
  <c r="L401" i="14" s="1"/>
  <c r="I402" i="14" s="1"/>
  <c r="M525" i="13"/>
  <c r="N523" i="13"/>
  <c r="J522" i="13" a="1"/>
  <c r="J522" i="13" s="1"/>
  <c r="M526" i="14"/>
  <c r="J521" i="14" a="1"/>
  <c r="J521" i="14" s="1"/>
  <c r="N522" i="14"/>
  <c r="K384" i="13" l="1"/>
  <c r="L384" i="13" s="1"/>
  <c r="I385" i="13" s="1"/>
  <c r="K402" i="14"/>
  <c r="L402" i="14" s="1"/>
  <c r="I403" i="14" s="1"/>
  <c r="J522" i="14" a="1"/>
  <c r="J522" i="14" s="1"/>
  <c r="N523" i="14"/>
  <c r="M527" i="14"/>
  <c r="M526" i="13"/>
  <c r="N524" i="13"/>
  <c r="J523" i="13" a="1"/>
  <c r="J523" i="13" s="1"/>
  <c r="K385" i="13" l="1"/>
  <c r="L385" i="13" s="1"/>
  <c r="I386" i="13" s="1"/>
  <c r="K403" i="14"/>
  <c r="L403" i="14" s="1"/>
  <c r="I404" i="14" s="1"/>
  <c r="M528" i="14"/>
  <c r="N525" i="13"/>
  <c r="J524" i="13" a="1"/>
  <c r="J524" i="13" s="1"/>
  <c r="M527" i="13"/>
  <c r="J523" i="14" a="1"/>
  <c r="J523" i="14" s="1"/>
  <c r="N524" i="14"/>
  <c r="K386" i="13" l="1"/>
  <c r="L386" i="13" s="1"/>
  <c r="I387" i="13" s="1"/>
  <c r="K404" i="14"/>
  <c r="L404" i="14" s="1"/>
  <c r="I405" i="14" s="1"/>
  <c r="M528" i="13"/>
  <c r="M529" i="14"/>
  <c r="J524" i="14" a="1"/>
  <c r="J524" i="14" s="1"/>
  <c r="N525" i="14"/>
  <c r="N526" i="13"/>
  <c r="J525" i="13" a="1"/>
  <c r="J525" i="13" s="1"/>
  <c r="K387" i="13" l="1"/>
  <c r="L387" i="13" s="1"/>
  <c r="I388" i="13" s="1"/>
  <c r="N527" i="13"/>
  <c r="J526" i="13" a="1"/>
  <c r="J526" i="13" s="1"/>
  <c r="M530" i="14"/>
  <c r="K405" i="14"/>
  <c r="J525" i="14" a="1"/>
  <c r="J525" i="14" s="1"/>
  <c r="N526" i="14"/>
  <c r="M529" i="13"/>
  <c r="K388" i="13" l="1"/>
  <c r="L388" i="13" s="1"/>
  <c r="I389" i="13" s="1"/>
  <c r="L405" i="14"/>
  <c r="I406" i="14" s="1"/>
  <c r="N528" i="13"/>
  <c r="J527" i="13" a="1"/>
  <c r="J527" i="13" s="1"/>
  <c r="M530" i="13"/>
  <c r="J526" i="14" a="1"/>
  <c r="J526" i="14" s="1"/>
  <c r="N527" i="14"/>
  <c r="M531" i="14"/>
  <c r="K389" i="13" l="1"/>
  <c r="L389" i="13" s="1"/>
  <c r="I390" i="13" s="1"/>
  <c r="J527" i="14" a="1"/>
  <c r="J527" i="14" s="1"/>
  <c r="N528" i="14"/>
  <c r="M532" i="14"/>
  <c r="N529" i="13"/>
  <c r="J528" i="13" a="1"/>
  <c r="J528" i="13" s="1"/>
  <c r="M531" i="13"/>
  <c r="K406" i="14"/>
  <c r="L406" i="14" s="1"/>
  <c r="I407" i="14" s="1"/>
  <c r="K390" i="13" l="1"/>
  <c r="L390" i="13" s="1"/>
  <c r="I391" i="13" s="1"/>
  <c r="K407" i="14"/>
  <c r="L407" i="14" s="1"/>
  <c r="I408" i="14" s="1"/>
  <c r="J528" i="14" a="1"/>
  <c r="J528" i="14" s="1"/>
  <c r="N529" i="14"/>
  <c r="M532" i="13"/>
  <c r="N530" i="13"/>
  <c r="J529" i="13" a="1"/>
  <c r="J529" i="13" s="1"/>
  <c r="M533" i="14"/>
  <c r="K391" i="13" l="1"/>
  <c r="L391" i="13" s="1"/>
  <c r="I392" i="13" s="1"/>
  <c r="K408" i="14"/>
  <c r="L408" i="14" s="1"/>
  <c r="I409" i="14" s="1"/>
  <c r="N531" i="13"/>
  <c r="J530" i="13" a="1"/>
  <c r="J530" i="13" s="1"/>
  <c r="M534" i="14"/>
  <c r="M533" i="13"/>
  <c r="J529" i="14" a="1"/>
  <c r="J529" i="14" s="1"/>
  <c r="N530" i="14"/>
  <c r="K392" i="13" l="1"/>
  <c r="K409" i="14"/>
  <c r="L409" i="14" s="1"/>
  <c r="I410" i="14" s="1"/>
  <c r="J530" i="14" a="1"/>
  <c r="J530" i="14" s="1"/>
  <c r="N531" i="14"/>
  <c r="M534" i="13"/>
  <c r="N532" i="13"/>
  <c r="J531" i="13" a="1"/>
  <c r="J531" i="13" s="1"/>
  <c r="M535" i="14"/>
  <c r="L392" i="13" l="1"/>
  <c r="I393" i="13" s="1"/>
  <c r="K410" i="14"/>
  <c r="L410" i="14" s="1"/>
  <c r="I411" i="14" s="1"/>
  <c r="J531" i="14" a="1"/>
  <c r="J531" i="14" s="1"/>
  <c r="N532" i="14"/>
  <c r="M536" i="14"/>
  <c r="N533" i="13"/>
  <c r="J532" i="13" a="1"/>
  <c r="J532" i="13" s="1"/>
  <c r="M535" i="13"/>
  <c r="K393" i="13" l="1"/>
  <c r="K411" i="14"/>
  <c r="L411" i="14" s="1"/>
  <c r="I412" i="14" s="1"/>
  <c r="M536" i="13"/>
  <c r="M537" i="14"/>
  <c r="J532" i="14" a="1"/>
  <c r="J532" i="14" s="1"/>
  <c r="N533" i="14"/>
  <c r="N534" i="13"/>
  <c r="J533" i="13" a="1"/>
  <c r="J533" i="13" s="1"/>
  <c r="L393" i="13" l="1"/>
  <c r="I394" i="13" s="1"/>
  <c r="K412" i="14"/>
  <c r="L412" i="14" s="1"/>
  <c r="I413" i="14" s="1"/>
  <c r="J533" i="14" a="1"/>
  <c r="J533" i="14" s="1"/>
  <c r="N534" i="14"/>
  <c r="M537" i="13"/>
  <c r="N535" i="13"/>
  <c r="J534" i="13" a="1"/>
  <c r="J534" i="13" s="1"/>
  <c r="M538" i="14"/>
  <c r="K394" i="13" l="1"/>
  <c r="L394" i="13" s="1"/>
  <c r="I395" i="13" s="1"/>
  <c r="K413" i="14"/>
  <c r="L413" i="14" s="1"/>
  <c r="I414" i="14" s="1"/>
  <c r="J534" i="14" a="1"/>
  <c r="J534" i="14" s="1"/>
  <c r="N535" i="14"/>
  <c r="M539" i="14"/>
  <c r="M538" i="13"/>
  <c r="N536" i="13"/>
  <c r="J535" i="13" a="1"/>
  <c r="J535" i="13" s="1"/>
  <c r="K395" i="13" l="1"/>
  <c r="L395" i="13" s="1"/>
  <c r="I396" i="13" s="1"/>
  <c r="K414" i="14"/>
  <c r="L414" i="14" s="1"/>
  <c r="I415" i="14" s="1"/>
  <c r="M540" i="14"/>
  <c r="N537" i="13"/>
  <c r="J536" i="13" a="1"/>
  <c r="J536" i="13" s="1"/>
  <c r="M539" i="13"/>
  <c r="J535" i="14" a="1"/>
  <c r="J535" i="14" s="1"/>
  <c r="N536" i="14"/>
  <c r="K396" i="13" l="1"/>
  <c r="L396" i="13" s="1"/>
  <c r="I397" i="13" s="1"/>
  <c r="K415" i="14"/>
  <c r="L415" i="14" s="1"/>
  <c r="I416" i="14" s="1"/>
  <c r="M540" i="13"/>
  <c r="M541" i="14"/>
  <c r="J536" i="14" a="1"/>
  <c r="J536" i="14" s="1"/>
  <c r="N537" i="14"/>
  <c r="N538" i="13"/>
  <c r="J537" i="13" a="1"/>
  <c r="J537" i="13" s="1"/>
  <c r="K397" i="13" l="1"/>
  <c r="L397" i="13" s="1"/>
  <c r="I398" i="13" s="1"/>
  <c r="K416" i="14"/>
  <c r="J537" i="14" a="1"/>
  <c r="J537" i="14" s="1"/>
  <c r="N538" i="14"/>
  <c r="M541" i="13"/>
  <c r="N539" i="13"/>
  <c r="J538" i="13" a="1"/>
  <c r="J538" i="13" s="1"/>
  <c r="M542" i="14"/>
  <c r="K398" i="13" l="1"/>
  <c r="L398" i="13" s="1"/>
  <c r="I399" i="13" s="1"/>
  <c r="J538" i="14" a="1"/>
  <c r="J538" i="14" s="1"/>
  <c r="N539" i="14"/>
  <c r="N540" i="13"/>
  <c r="J539" i="13" a="1"/>
  <c r="J539" i="13" s="1"/>
  <c r="M543" i="14"/>
  <c r="M542" i="13"/>
  <c r="L416" i="14"/>
  <c r="I417" i="14" s="1"/>
  <c r="K399" i="13" l="1"/>
  <c r="L399" i="13" s="1"/>
  <c r="I400" i="13" s="1"/>
  <c r="M544" i="14"/>
  <c r="J539" i="14" a="1"/>
  <c r="J539" i="14" s="1"/>
  <c r="N540" i="14"/>
  <c r="M543" i="13"/>
  <c r="K417" i="14"/>
  <c r="N541" i="13"/>
  <c r="J540" i="13" a="1"/>
  <c r="J540" i="13" s="1"/>
  <c r="K400" i="13" l="1"/>
  <c r="L400" i="13" s="1"/>
  <c r="I401" i="13" s="1"/>
  <c r="M544" i="13"/>
  <c r="M545" i="14"/>
  <c r="N542" i="13"/>
  <c r="J541" i="13" a="1"/>
  <c r="J541" i="13" s="1"/>
  <c r="J540" i="14" a="1"/>
  <c r="J540" i="14" s="1"/>
  <c r="N541" i="14"/>
  <c r="L417" i="14"/>
  <c r="I418" i="14" s="1"/>
  <c r="K401" i="13" l="1"/>
  <c r="L401" i="13" s="1"/>
  <c r="I402" i="13" s="1"/>
  <c r="N543" i="13"/>
  <c r="J542" i="13" a="1"/>
  <c r="J542" i="13" s="1"/>
  <c r="J541" i="14" a="1"/>
  <c r="J541" i="14" s="1"/>
  <c r="N542" i="14"/>
  <c r="M546" i="14"/>
  <c r="K418" i="14"/>
  <c r="L418" i="14" s="1"/>
  <c r="I419" i="14" s="1"/>
  <c r="M545" i="13"/>
  <c r="K402" i="13" l="1"/>
  <c r="L402" i="13" s="1"/>
  <c r="I403" i="13" s="1"/>
  <c r="K419" i="14"/>
  <c r="L419" i="14" s="1"/>
  <c r="I420" i="14" s="1"/>
  <c r="M546" i="13"/>
  <c r="M547" i="14"/>
  <c r="N544" i="13"/>
  <c r="J543" i="13" a="1"/>
  <c r="J543" i="13" s="1"/>
  <c r="J542" i="14" a="1"/>
  <c r="J542" i="14" s="1"/>
  <c r="N543" i="14"/>
  <c r="K403" i="13" l="1"/>
  <c r="L403" i="13" s="1"/>
  <c r="I404" i="13" s="1"/>
  <c r="K420" i="14"/>
  <c r="L420" i="14" s="1"/>
  <c r="I421" i="14" s="1"/>
  <c r="J543" i="14" a="1"/>
  <c r="J543" i="14" s="1"/>
  <c r="N544" i="14"/>
  <c r="M548" i="14"/>
  <c r="M547" i="13"/>
  <c r="N545" i="13"/>
  <c r="J544" i="13" a="1"/>
  <c r="J544" i="13" s="1"/>
  <c r="K404" i="13" l="1"/>
  <c r="K421" i="14"/>
  <c r="L421" i="14" s="1"/>
  <c r="I422" i="14" s="1"/>
  <c r="M549" i="14"/>
  <c r="N546" i="13"/>
  <c r="J545" i="13" a="1"/>
  <c r="J545" i="13" s="1"/>
  <c r="M548" i="13"/>
  <c r="J544" i="14" a="1"/>
  <c r="J544" i="14" s="1"/>
  <c r="N545" i="14"/>
  <c r="L404" i="13" l="1"/>
  <c r="I405" i="13" s="1"/>
  <c r="K422" i="14"/>
  <c r="L422" i="14" s="1"/>
  <c r="I423" i="14" s="1"/>
  <c r="M549" i="13"/>
  <c r="M550" i="14"/>
  <c r="J545" i="14" a="1"/>
  <c r="J545" i="14" s="1"/>
  <c r="N546" i="14"/>
  <c r="N547" i="13"/>
  <c r="J546" i="13" a="1"/>
  <c r="J546" i="13" s="1"/>
  <c r="K405" i="13" l="1"/>
  <c r="K423" i="14"/>
  <c r="L423" i="14" s="1"/>
  <c r="I424" i="14" s="1"/>
  <c r="J546" i="14" a="1"/>
  <c r="J546" i="14" s="1"/>
  <c r="N547" i="14"/>
  <c r="M550" i="13"/>
  <c r="M551" i="14"/>
  <c r="N548" i="13"/>
  <c r="J547" i="13" a="1"/>
  <c r="J547" i="13" s="1"/>
  <c r="L405" i="13" l="1"/>
  <c r="I406" i="13" s="1"/>
  <c r="K424" i="14"/>
  <c r="L424" i="14" s="1"/>
  <c r="I425" i="14" s="1"/>
  <c r="J547" i="14" a="1"/>
  <c r="J547" i="14" s="1"/>
  <c r="N548" i="14"/>
  <c r="M551" i="13"/>
  <c r="N549" i="13"/>
  <c r="J548" i="13" a="1"/>
  <c r="J548" i="13" s="1"/>
  <c r="M552" i="14"/>
  <c r="K406" i="13" l="1"/>
  <c r="L406" i="13" s="1"/>
  <c r="I407" i="13" s="1"/>
  <c r="K425" i="14"/>
  <c r="L425" i="14" s="1"/>
  <c r="I426" i="14" s="1"/>
  <c r="N550" i="13"/>
  <c r="J549" i="13" a="1"/>
  <c r="J549" i="13" s="1"/>
  <c r="M553" i="14"/>
  <c r="M552" i="13"/>
  <c r="J548" i="14" a="1"/>
  <c r="J548" i="14" s="1"/>
  <c r="N549" i="14"/>
  <c r="K407" i="13" l="1"/>
  <c r="L407" i="13" s="1"/>
  <c r="I408" i="13" s="1"/>
  <c r="K426" i="14"/>
  <c r="L426" i="14" s="1"/>
  <c r="I427" i="14" s="1"/>
  <c r="M554" i="14"/>
  <c r="M553" i="13"/>
  <c r="J549" i="14" a="1"/>
  <c r="J549" i="14" s="1"/>
  <c r="N550" i="14"/>
  <c r="N551" i="13"/>
  <c r="J550" i="13" a="1"/>
  <c r="J550" i="13" s="1"/>
  <c r="K408" i="13" l="1"/>
  <c r="L408" i="13" s="1"/>
  <c r="I409" i="13" s="1"/>
  <c r="K427" i="14"/>
  <c r="L427" i="14" s="1"/>
  <c r="I428" i="14" s="1"/>
  <c r="N552" i="13"/>
  <c r="J551" i="13" a="1"/>
  <c r="J551" i="13" s="1"/>
  <c r="M554" i="13"/>
  <c r="J550" i="14" a="1"/>
  <c r="J550" i="14" s="1"/>
  <c r="N551" i="14"/>
  <c r="M555" i="14"/>
  <c r="K409" i="13" l="1"/>
  <c r="L409" i="13" s="1"/>
  <c r="I410" i="13" s="1"/>
  <c r="K428" i="14"/>
  <c r="N553" i="13"/>
  <c r="J552" i="13" a="1"/>
  <c r="J552" i="13" s="1"/>
  <c r="J551" i="14" a="1"/>
  <c r="J551" i="14" s="1"/>
  <c r="N552" i="14"/>
  <c r="M556" i="14"/>
  <c r="M555" i="13"/>
  <c r="K410" i="13" l="1"/>
  <c r="L410" i="13" s="1"/>
  <c r="I411" i="13" s="1"/>
  <c r="M556" i="13"/>
  <c r="J552" i="14" a="1"/>
  <c r="J552" i="14" s="1"/>
  <c r="N553" i="14"/>
  <c r="L428" i="14"/>
  <c r="I429" i="14" s="1"/>
  <c r="M557" i="14"/>
  <c r="N554" i="13"/>
  <c r="J553" i="13" a="1"/>
  <c r="J553" i="13" s="1"/>
  <c r="K411" i="13" l="1"/>
  <c r="L411" i="13" s="1"/>
  <c r="I412" i="13" s="1"/>
  <c r="K429" i="14"/>
  <c r="J553" i="14" a="1"/>
  <c r="J553" i="14" s="1"/>
  <c r="N554" i="14"/>
  <c r="M558" i="14"/>
  <c r="N555" i="13"/>
  <c r="J554" i="13" a="1"/>
  <c r="J554" i="13" s="1"/>
  <c r="M557" i="13"/>
  <c r="K412" i="13" l="1"/>
  <c r="L412" i="13" s="1"/>
  <c r="I413" i="13" s="1"/>
  <c r="N556" i="13"/>
  <c r="J555" i="13" a="1"/>
  <c r="J555" i="13" s="1"/>
  <c r="M558" i="13"/>
  <c r="M559" i="14"/>
  <c r="L429" i="14"/>
  <c r="I430" i="14" s="1"/>
  <c r="J554" i="14" a="1"/>
  <c r="J554" i="14" s="1"/>
  <c r="N555" i="14"/>
  <c r="K413" i="13" l="1"/>
  <c r="L413" i="13" s="1"/>
  <c r="I414" i="13" s="1"/>
  <c r="N557" i="13"/>
  <c r="J556" i="13" a="1"/>
  <c r="J556" i="13" s="1"/>
  <c r="J555" i="14" a="1"/>
  <c r="J555" i="14" s="1"/>
  <c r="N556" i="14"/>
  <c r="M559" i="13"/>
  <c r="K430" i="14"/>
  <c r="L430" i="14" s="1"/>
  <c r="I431" i="14" s="1"/>
  <c r="M560" i="14"/>
  <c r="K414" i="13" l="1"/>
  <c r="L414" i="13" s="1"/>
  <c r="I415" i="13" s="1"/>
  <c r="K431" i="14"/>
  <c r="L431" i="14" s="1"/>
  <c r="I432" i="14" s="1"/>
  <c r="M561" i="14"/>
  <c r="M560" i="13"/>
  <c r="N558" i="13"/>
  <c r="J557" i="13" a="1"/>
  <c r="J557" i="13" s="1"/>
  <c r="J556" i="14" a="1"/>
  <c r="J556" i="14" s="1"/>
  <c r="N557" i="14"/>
  <c r="K415" i="13" l="1"/>
  <c r="L415" i="13" s="1"/>
  <c r="I416" i="13" s="1"/>
  <c r="K432" i="14"/>
  <c r="L432" i="14" s="1"/>
  <c r="I433" i="14" s="1"/>
  <c r="J557" i="14" a="1"/>
  <c r="J557" i="14" s="1"/>
  <c r="N558" i="14"/>
  <c r="M561" i="13"/>
  <c r="M562" i="14"/>
  <c r="N559" i="13"/>
  <c r="J558" i="13" a="1"/>
  <c r="J558" i="13" s="1"/>
  <c r="K416" i="13" l="1"/>
  <c r="K433" i="14"/>
  <c r="L433" i="14" s="1"/>
  <c r="I434" i="14" s="1"/>
  <c r="M562" i="13"/>
  <c r="M563" i="14"/>
  <c r="J558" i="14" a="1"/>
  <c r="J558" i="14" s="1"/>
  <c r="N559" i="14"/>
  <c r="N560" i="13"/>
  <c r="J559" i="13" a="1"/>
  <c r="J559" i="13" s="1"/>
  <c r="L416" i="13" l="1"/>
  <c r="I417" i="13" s="1"/>
  <c r="K434" i="14"/>
  <c r="L434" i="14" s="1"/>
  <c r="I435" i="14" s="1"/>
  <c r="M564" i="14"/>
  <c r="J559" i="14" a="1"/>
  <c r="J559" i="14" s="1"/>
  <c r="N560" i="14"/>
  <c r="M563" i="13"/>
  <c r="N561" i="13"/>
  <c r="J560" i="13" a="1"/>
  <c r="J560" i="13" s="1"/>
  <c r="K417" i="13" l="1"/>
  <c r="K435" i="14"/>
  <c r="L435" i="14" s="1"/>
  <c r="I436" i="14" s="1"/>
  <c r="J560" i="14" a="1"/>
  <c r="J560" i="14" s="1"/>
  <c r="N561" i="14"/>
  <c r="M565" i="14"/>
  <c r="N562" i="13"/>
  <c r="J561" i="13" a="1"/>
  <c r="J561" i="13" s="1"/>
  <c r="M564" i="13"/>
  <c r="L417" i="13" l="1"/>
  <c r="I418" i="13" s="1"/>
  <c r="K436" i="14"/>
  <c r="L436" i="14" s="1"/>
  <c r="I437" i="14" s="1"/>
  <c r="J561" i="14" a="1"/>
  <c r="J561" i="14" s="1"/>
  <c r="N562" i="14"/>
  <c r="M565" i="13"/>
  <c r="N563" i="13"/>
  <c r="J562" i="13" a="1"/>
  <c r="J562" i="13" s="1"/>
  <c r="M566" i="14"/>
  <c r="K418" i="13" l="1"/>
  <c r="L418" i="13" s="1"/>
  <c r="I419" i="13" s="1"/>
  <c r="K437" i="14"/>
  <c r="L437" i="14" s="1"/>
  <c r="I438" i="14" s="1"/>
  <c r="M566" i="13"/>
  <c r="N564" i="13"/>
  <c r="J563" i="13" a="1"/>
  <c r="J563" i="13" s="1"/>
  <c r="J562" i="14" a="1"/>
  <c r="J562" i="14" s="1"/>
  <c r="N563" i="14"/>
  <c r="M567" i="14"/>
  <c r="K419" i="13" l="1"/>
  <c r="L419" i="13" s="1"/>
  <c r="I420" i="13" s="1"/>
  <c r="K438" i="14"/>
  <c r="L438" i="14" s="1"/>
  <c r="I439" i="14" s="1"/>
  <c r="M568" i="14"/>
  <c r="N565" i="13"/>
  <c r="J564" i="13" a="1"/>
  <c r="J564" i="13" s="1"/>
  <c r="J563" i="14" a="1"/>
  <c r="J563" i="14" s="1"/>
  <c r="N564" i="14"/>
  <c r="M567" i="13"/>
  <c r="K420" i="13" l="1"/>
  <c r="L420" i="13" s="1"/>
  <c r="I421" i="13" s="1"/>
  <c r="K439" i="14"/>
  <c r="L439" i="14" s="1"/>
  <c r="I440" i="14" s="1"/>
  <c r="M568" i="13"/>
  <c r="N566" i="13"/>
  <c r="J565" i="13" a="1"/>
  <c r="J565" i="13" s="1"/>
  <c r="J564" i="14" a="1"/>
  <c r="J564" i="14" s="1"/>
  <c r="N565" i="14"/>
  <c r="M569" i="14"/>
  <c r="K421" i="13" l="1"/>
  <c r="L421" i="13" s="1"/>
  <c r="I422" i="13" s="1"/>
  <c r="K440" i="14"/>
  <c r="M570" i="14"/>
  <c r="N567" i="13"/>
  <c r="J566" i="13" a="1"/>
  <c r="J566" i="13" s="1"/>
  <c r="J565" i="14" a="1"/>
  <c r="J565" i="14" s="1"/>
  <c r="N566" i="14"/>
  <c r="M569" i="13"/>
  <c r="K422" i="13" l="1"/>
  <c r="L422" i="13" s="1"/>
  <c r="I423" i="13" s="1"/>
  <c r="M570" i="13"/>
  <c r="N568" i="13"/>
  <c r="J567" i="13" a="1"/>
  <c r="J567" i="13" s="1"/>
  <c r="J566" i="14" a="1"/>
  <c r="J566" i="14" s="1"/>
  <c r="N567" i="14"/>
  <c r="M571" i="14"/>
  <c r="L440" i="14"/>
  <c r="I441" i="14" s="1"/>
  <c r="K423" i="13" l="1"/>
  <c r="L423" i="13" s="1"/>
  <c r="I424" i="13" s="1"/>
  <c r="M572" i="14"/>
  <c r="N569" i="13"/>
  <c r="J568" i="13" a="1"/>
  <c r="J568" i="13" s="1"/>
  <c r="K441" i="14"/>
  <c r="J567" i="14" a="1"/>
  <c r="J567" i="14" s="1"/>
  <c r="N568" i="14"/>
  <c r="M571" i="13"/>
  <c r="K424" i="13" l="1"/>
  <c r="L424" i="13" s="1"/>
  <c r="I425" i="13" s="1"/>
  <c r="M573" i="14"/>
  <c r="L441" i="14"/>
  <c r="I442" i="14" s="1"/>
  <c r="M572" i="13"/>
  <c r="J568" i="14" a="1"/>
  <c r="J568" i="14" s="1"/>
  <c r="N569" i="14"/>
  <c r="N570" i="13"/>
  <c r="J569" i="13" a="1"/>
  <c r="J569" i="13" s="1"/>
  <c r="K425" i="13" l="1"/>
  <c r="L425" i="13" s="1"/>
  <c r="I426" i="13" s="1"/>
  <c r="M573" i="13"/>
  <c r="J569" i="14" a="1"/>
  <c r="J569" i="14" s="1"/>
  <c r="N570" i="14"/>
  <c r="K442" i="14"/>
  <c r="L442" i="14" s="1"/>
  <c r="I443" i="14" s="1"/>
  <c r="N571" i="13"/>
  <c r="J570" i="13" a="1"/>
  <c r="J570" i="13" s="1"/>
  <c r="M574" i="14"/>
  <c r="K426" i="13" l="1"/>
  <c r="L426" i="13" s="1"/>
  <c r="I427" i="13" s="1"/>
  <c r="K443" i="14"/>
  <c r="L443" i="14" s="1"/>
  <c r="I444" i="14" s="1"/>
  <c r="M575" i="14"/>
  <c r="M574" i="13"/>
  <c r="J570" i="14" a="1"/>
  <c r="J570" i="14" s="1"/>
  <c r="N571" i="14"/>
  <c r="N572" i="13"/>
  <c r="J571" i="13" a="1"/>
  <c r="J571" i="13" s="1"/>
  <c r="K427" i="13" l="1"/>
  <c r="L427" i="13" s="1"/>
  <c r="I428" i="13" s="1"/>
  <c r="K444" i="14"/>
  <c r="L444" i="14" s="1"/>
  <c r="I445" i="14" s="1"/>
  <c r="N573" i="13"/>
  <c r="J572" i="13" a="1"/>
  <c r="J572" i="13" s="1"/>
  <c r="J571" i="14" a="1"/>
  <c r="J571" i="14" s="1"/>
  <c r="N572" i="14"/>
  <c r="M576" i="14"/>
  <c r="M575" i="13"/>
  <c r="K428" i="13" l="1"/>
  <c r="K445" i="14"/>
  <c r="L445" i="14" s="1"/>
  <c r="I446" i="14" s="1"/>
  <c r="J572" i="14" a="1"/>
  <c r="J572" i="14" s="1"/>
  <c r="N573" i="14"/>
  <c r="M577" i="14"/>
  <c r="M576" i="13"/>
  <c r="N574" i="13"/>
  <c r="J573" i="13" a="1"/>
  <c r="J573" i="13" s="1"/>
  <c r="L428" i="13" l="1"/>
  <c r="I429" i="13" s="1"/>
  <c r="K446" i="14"/>
  <c r="L446" i="14" s="1"/>
  <c r="I447" i="14" s="1"/>
  <c r="J573" i="14" a="1"/>
  <c r="J573" i="14" s="1"/>
  <c r="N574" i="14"/>
  <c r="N575" i="13"/>
  <c r="J574" i="13" a="1"/>
  <c r="J574" i="13" s="1"/>
  <c r="M578" i="14"/>
  <c r="M577" i="13"/>
  <c r="K429" i="13" l="1"/>
  <c r="L429" i="13" s="1"/>
  <c r="I430" i="13" s="1"/>
  <c r="K447" i="14"/>
  <c r="L447" i="14" s="1"/>
  <c r="I448" i="14" s="1"/>
  <c r="N576" i="13"/>
  <c r="J575" i="13" a="1"/>
  <c r="J575" i="13" s="1"/>
  <c r="M578" i="13"/>
  <c r="M579" i="14"/>
  <c r="J574" i="14" a="1"/>
  <c r="J574" i="14" s="1"/>
  <c r="N575" i="14"/>
  <c r="K430" i="13" l="1"/>
  <c r="L430" i="13" s="1"/>
  <c r="I431" i="13" s="1"/>
  <c r="K448" i="14"/>
  <c r="L448" i="14" s="1"/>
  <c r="I449" i="14" s="1"/>
  <c r="J575" i="14" a="1"/>
  <c r="J575" i="14" s="1"/>
  <c r="N576" i="14"/>
  <c r="M579" i="13"/>
  <c r="M580" i="14"/>
  <c r="N577" i="13"/>
  <c r="J576" i="13" a="1"/>
  <c r="J576" i="13" s="1"/>
  <c r="K431" i="13" l="1"/>
  <c r="L431" i="13" s="1"/>
  <c r="I432" i="13" s="1"/>
  <c r="K449" i="14"/>
  <c r="L449" i="14" s="1"/>
  <c r="I450" i="14" s="1"/>
  <c r="N578" i="13"/>
  <c r="J577" i="13" a="1"/>
  <c r="J577" i="13" s="1"/>
  <c r="J576" i="14" a="1"/>
  <c r="J576" i="14" s="1"/>
  <c r="N577" i="14"/>
  <c r="M580" i="13"/>
  <c r="M581" i="14"/>
  <c r="K432" i="13" l="1"/>
  <c r="L432" i="13" s="1"/>
  <c r="I433" i="13" s="1"/>
  <c r="K450" i="14"/>
  <c r="L450" i="14" s="1"/>
  <c r="I451" i="14" s="1"/>
  <c r="J577" i="14" a="1"/>
  <c r="J577" i="14" s="1"/>
  <c r="N578" i="14"/>
  <c r="M581" i="13"/>
  <c r="M582" i="14"/>
  <c r="N579" i="13"/>
  <c r="J578" i="13" a="1"/>
  <c r="J578" i="13" s="1"/>
  <c r="K433" i="13" l="1"/>
  <c r="L433" i="13" s="1"/>
  <c r="I434" i="13" s="1"/>
  <c r="M582" i="13"/>
  <c r="N580" i="13"/>
  <c r="J579" i="13" a="1"/>
  <c r="J579" i="13" s="1"/>
  <c r="M583" i="14"/>
  <c r="J578" i="14" a="1"/>
  <c r="J578" i="14" s="1"/>
  <c r="N579" i="14"/>
  <c r="K451" i="14"/>
  <c r="L451" i="14" s="1"/>
  <c r="I452" i="14" s="1"/>
  <c r="K434" i="13" l="1"/>
  <c r="L434" i="13" s="1"/>
  <c r="I435" i="13" s="1"/>
  <c r="K452" i="14"/>
  <c r="M584" i="14"/>
  <c r="M583" i="13"/>
  <c r="J579" i="14" a="1"/>
  <c r="J579" i="14" s="1"/>
  <c r="N580" i="14"/>
  <c r="N581" i="13"/>
  <c r="J580" i="13" a="1"/>
  <c r="J580" i="13" s="1"/>
  <c r="K435" i="13" l="1"/>
  <c r="L435" i="13" s="1"/>
  <c r="I436" i="13" s="1"/>
  <c r="M584" i="13"/>
  <c r="N582" i="13"/>
  <c r="J581" i="13" a="1"/>
  <c r="J581" i="13" s="1"/>
  <c r="J580" i="14" a="1"/>
  <c r="J580" i="14" s="1"/>
  <c r="N581" i="14"/>
  <c r="M585" i="14"/>
  <c r="L452" i="14"/>
  <c r="I453" i="14" s="1"/>
  <c r="K436" i="13" l="1"/>
  <c r="L436" i="13" s="1"/>
  <c r="I437" i="13" s="1"/>
  <c r="K453" i="14"/>
  <c r="L453" i="14" s="1"/>
  <c r="I454" i="14" s="1"/>
  <c r="M585" i="13"/>
  <c r="M586" i="14"/>
  <c r="J581" i="14" a="1"/>
  <c r="J581" i="14" s="1"/>
  <c r="N582" i="14"/>
  <c r="N583" i="13"/>
  <c r="J582" i="13" a="1"/>
  <c r="J582" i="13" s="1"/>
  <c r="K437" i="13" l="1"/>
  <c r="L437" i="13" s="1"/>
  <c r="I438" i="13" s="1"/>
  <c r="K454" i="14"/>
  <c r="L454" i="14" s="1"/>
  <c r="I455" i="14" s="1"/>
  <c r="N584" i="13"/>
  <c r="J583" i="13" a="1"/>
  <c r="J583" i="13" s="1"/>
  <c r="J582" i="14" a="1"/>
  <c r="J582" i="14" s="1"/>
  <c r="N583" i="14"/>
  <c r="M586" i="13"/>
  <c r="M587" i="14"/>
  <c r="K438" i="13" l="1"/>
  <c r="L438" i="13" s="1"/>
  <c r="I439" i="13" s="1"/>
  <c r="K455" i="14"/>
  <c r="L455" i="14" s="1"/>
  <c r="I456" i="14" s="1"/>
  <c r="M588" i="14"/>
  <c r="J583" i="14" a="1"/>
  <c r="J583" i="14" s="1"/>
  <c r="N584" i="14"/>
  <c r="N585" i="13"/>
  <c r="J584" i="13" a="1"/>
  <c r="J584" i="13" s="1"/>
  <c r="M587" i="13"/>
  <c r="K439" i="13" l="1"/>
  <c r="L439" i="13" s="1"/>
  <c r="I440" i="13" s="1"/>
  <c r="K456" i="14"/>
  <c r="L456" i="14" s="1"/>
  <c r="I457" i="14" s="1"/>
  <c r="M588" i="13"/>
  <c r="J584" i="14" a="1"/>
  <c r="J584" i="14" s="1"/>
  <c r="N585" i="14"/>
  <c r="M589" i="14"/>
  <c r="N586" i="13"/>
  <c r="J585" i="13" a="1"/>
  <c r="J585" i="13" s="1"/>
  <c r="K440" i="13" l="1"/>
  <c r="L440" i="13" s="1"/>
  <c r="I441" i="13" s="1"/>
  <c r="K457" i="14"/>
  <c r="L457" i="14" s="1"/>
  <c r="I458" i="14" s="1"/>
  <c r="M589" i="13"/>
  <c r="N587" i="13"/>
  <c r="J586" i="13" a="1"/>
  <c r="J586" i="13" s="1"/>
  <c r="J585" i="14" a="1"/>
  <c r="J585" i="14" s="1"/>
  <c r="N586" i="14"/>
  <c r="M590" i="14"/>
  <c r="K441" i="13" l="1"/>
  <c r="L441" i="13" s="1"/>
  <c r="I442" i="13" s="1"/>
  <c r="N588" i="13"/>
  <c r="J587" i="13" a="1"/>
  <c r="J587" i="13" s="1"/>
  <c r="J586" i="14" a="1"/>
  <c r="J586" i="14" s="1"/>
  <c r="N587" i="14"/>
  <c r="M590" i="13"/>
  <c r="M591" i="14"/>
  <c r="K458" i="14"/>
  <c r="L458" i="14" s="1"/>
  <c r="I459" i="14" s="1"/>
  <c r="K442" i="13" l="1"/>
  <c r="K459" i="14"/>
  <c r="L459" i="14" s="1"/>
  <c r="I460" i="14" s="1"/>
  <c r="M592" i="14"/>
  <c r="J587" i="14" a="1"/>
  <c r="J587" i="14" s="1"/>
  <c r="N588" i="14"/>
  <c r="M591" i="13"/>
  <c r="N589" i="13"/>
  <c r="J588" i="13" a="1"/>
  <c r="J588" i="13" s="1"/>
  <c r="L442" i="13" l="1"/>
  <c r="I443" i="13" s="1"/>
  <c r="K460" i="14"/>
  <c r="L460" i="14" s="1"/>
  <c r="I461" i="14" s="1"/>
  <c r="M592" i="13"/>
  <c r="M593" i="14"/>
  <c r="J588" i="14" a="1"/>
  <c r="J588" i="14" s="1"/>
  <c r="N589" i="14"/>
  <c r="N590" i="13"/>
  <c r="J589" i="13" a="1"/>
  <c r="J589" i="13" s="1"/>
  <c r="K443" i="13" l="1"/>
  <c r="L443" i="13" s="1"/>
  <c r="I444" i="13" s="1"/>
  <c r="K461" i="14"/>
  <c r="L461" i="14" s="1"/>
  <c r="I462" i="14" s="1"/>
  <c r="J589" i="14" a="1"/>
  <c r="J589" i="14" s="1"/>
  <c r="N590" i="14"/>
  <c r="M593" i="13"/>
  <c r="N591" i="13"/>
  <c r="J590" i="13" a="1"/>
  <c r="J590" i="13" s="1"/>
  <c r="M594" i="14"/>
  <c r="K444" i="13" l="1"/>
  <c r="L444" i="13" s="1"/>
  <c r="I445" i="13" s="1"/>
  <c r="K462" i="14"/>
  <c r="L462" i="14" s="1"/>
  <c r="I463" i="14" s="1"/>
  <c r="M595" i="14"/>
  <c r="M594" i="13"/>
  <c r="J590" i="14" a="1"/>
  <c r="J590" i="14" s="1"/>
  <c r="N591" i="14"/>
  <c r="N592" i="13"/>
  <c r="J591" i="13" a="1"/>
  <c r="J591" i="13" s="1"/>
  <c r="K445" i="13" l="1"/>
  <c r="L445" i="13" s="1"/>
  <c r="I446" i="13" s="1"/>
  <c r="K463" i="14"/>
  <c r="L463" i="14" s="1"/>
  <c r="I464" i="14" s="1"/>
  <c r="M595" i="13"/>
  <c r="N593" i="13"/>
  <c r="J592" i="13" a="1"/>
  <c r="J592" i="13" s="1"/>
  <c r="J591" i="14" a="1"/>
  <c r="J591" i="14" s="1"/>
  <c r="N592" i="14"/>
  <c r="M596" i="14"/>
  <c r="K446" i="13" l="1"/>
  <c r="L446" i="13" s="1"/>
  <c r="I447" i="13" s="1"/>
  <c r="K464" i="14"/>
  <c r="M597" i="14"/>
  <c r="N594" i="13"/>
  <c r="J593" i="13" a="1"/>
  <c r="J593" i="13" s="1"/>
  <c r="J592" i="14" a="1"/>
  <c r="J592" i="14" s="1"/>
  <c r="N593" i="14"/>
  <c r="M596" i="13"/>
  <c r="K447" i="13" l="1"/>
  <c r="L447" i="13" s="1"/>
  <c r="I448" i="13" s="1"/>
  <c r="M597" i="13"/>
  <c r="N595" i="13"/>
  <c r="J594" i="13" a="1"/>
  <c r="J594" i="13" s="1"/>
  <c r="J593" i="14" a="1"/>
  <c r="J593" i="14" s="1"/>
  <c r="N594" i="14"/>
  <c r="M598" i="14"/>
  <c r="L464" i="14"/>
  <c r="I465" i="14" s="1"/>
  <c r="K448" i="13" l="1"/>
  <c r="L448" i="13" s="1"/>
  <c r="I449" i="13" s="1"/>
  <c r="M598" i="13"/>
  <c r="K465" i="14"/>
  <c r="M599" i="14"/>
  <c r="J594" i="14" a="1"/>
  <c r="J594" i="14" s="1"/>
  <c r="N595" i="14"/>
  <c r="N596" i="13"/>
  <c r="J595" i="13" a="1"/>
  <c r="J595" i="13" s="1"/>
  <c r="K449" i="13" l="1"/>
  <c r="L449" i="13" s="1"/>
  <c r="I450" i="13" s="1"/>
  <c r="M600" i="14"/>
  <c r="M599" i="13"/>
  <c r="N597" i="13"/>
  <c r="J596" i="13" a="1"/>
  <c r="J596" i="13" s="1"/>
  <c r="J595" i="14" a="1"/>
  <c r="J595" i="14" s="1"/>
  <c r="N596" i="14"/>
  <c r="L465" i="14"/>
  <c r="I466" i="14" s="1"/>
  <c r="K450" i="13" l="1"/>
  <c r="L450" i="13" s="1"/>
  <c r="I451" i="13" s="1"/>
  <c r="M601" i="14"/>
  <c r="J596" i="14" a="1"/>
  <c r="J596" i="14" s="1"/>
  <c r="N597" i="14"/>
  <c r="N598" i="13"/>
  <c r="J597" i="13" a="1"/>
  <c r="J597" i="13" s="1"/>
  <c r="K466" i="14"/>
  <c r="L466" i="14" s="1"/>
  <c r="I467" i="14" s="1"/>
  <c r="M600" i="13"/>
  <c r="K451" i="13" l="1"/>
  <c r="L451" i="13" s="1"/>
  <c r="I452" i="13" s="1"/>
  <c r="M602" i="14"/>
  <c r="N599" i="13"/>
  <c r="J598" i="13" a="1"/>
  <c r="J598" i="13" s="1"/>
  <c r="J597" i="14" a="1"/>
  <c r="J597" i="14" s="1"/>
  <c r="N598" i="14"/>
  <c r="K467" i="14"/>
  <c r="L467" i="14" s="1"/>
  <c r="I468" i="14" s="1"/>
  <c r="M601" i="13"/>
  <c r="K452" i="13" l="1"/>
  <c r="L452" i="13" s="1"/>
  <c r="I453" i="13" s="1"/>
  <c r="K468" i="14"/>
  <c r="L468" i="14" s="1"/>
  <c r="I469" i="14" s="1"/>
  <c r="M602" i="13"/>
  <c r="J598" i="14" a="1"/>
  <c r="J598" i="14" s="1"/>
  <c r="N599" i="14"/>
  <c r="M603" i="14"/>
  <c r="N600" i="13"/>
  <c r="J599" i="13" a="1"/>
  <c r="J599" i="13" s="1"/>
  <c r="K453" i="13" l="1"/>
  <c r="L453" i="13" s="1"/>
  <c r="I454" i="13" s="1"/>
  <c r="K469" i="14"/>
  <c r="L469" i="14" s="1"/>
  <c r="I470" i="14" s="1"/>
  <c r="J599" i="14" a="1"/>
  <c r="J599" i="14" s="1"/>
  <c r="N600" i="14"/>
  <c r="N601" i="13"/>
  <c r="J600" i="13" a="1"/>
  <c r="J600" i="13" s="1"/>
  <c r="M604" i="14"/>
  <c r="M603" i="13"/>
  <c r="K454" i="13" l="1"/>
  <c r="K470" i="14"/>
  <c r="L470" i="14" s="1"/>
  <c r="I471" i="14" s="1"/>
  <c r="M604" i="13"/>
  <c r="N602" i="13"/>
  <c r="J601" i="13" a="1"/>
  <c r="J601" i="13" s="1"/>
  <c r="M605" i="14"/>
  <c r="J600" i="14" a="1"/>
  <c r="J600" i="14" s="1"/>
  <c r="N601" i="14"/>
  <c r="L454" i="13" l="1"/>
  <c r="I455" i="13" s="1"/>
  <c r="K471" i="14"/>
  <c r="L471" i="14" s="1"/>
  <c r="I472" i="14" s="1"/>
  <c r="M606" i="14"/>
  <c r="M605" i="13"/>
  <c r="J601" i="14" a="1"/>
  <c r="J601" i="14" s="1"/>
  <c r="N602" i="14"/>
  <c r="N603" i="13"/>
  <c r="J602" i="13" a="1"/>
  <c r="J602" i="13" s="1"/>
  <c r="K455" i="13" l="1"/>
  <c r="L455" i="13" s="1"/>
  <c r="I456" i="13" s="1"/>
  <c r="K472" i="14"/>
  <c r="L472" i="14" s="1"/>
  <c r="I473" i="14" s="1"/>
  <c r="M606" i="13"/>
  <c r="N604" i="13"/>
  <c r="J603" i="13" a="1"/>
  <c r="J603" i="13" s="1"/>
  <c r="J602" i="14" a="1"/>
  <c r="J602" i="14" s="1"/>
  <c r="N603" i="14"/>
  <c r="M607" i="14"/>
  <c r="K456" i="13" l="1"/>
  <c r="L456" i="13" s="1"/>
  <c r="I457" i="13" s="1"/>
  <c r="K473" i="14"/>
  <c r="L473" i="14" s="1"/>
  <c r="I474" i="14" s="1"/>
  <c r="M608" i="14"/>
  <c r="N605" i="13"/>
  <c r="J604" i="13" a="1"/>
  <c r="J604" i="13" s="1"/>
  <c r="J603" i="14" a="1"/>
  <c r="J603" i="14" s="1"/>
  <c r="N604" i="14"/>
  <c r="M607" i="13"/>
  <c r="K457" i="13" l="1"/>
  <c r="L457" i="13" s="1"/>
  <c r="I458" i="13" s="1"/>
  <c r="K474" i="14"/>
  <c r="L474" i="14" s="1"/>
  <c r="I475" i="14" s="1"/>
  <c r="J604" i="14" a="1"/>
  <c r="J604" i="14" s="1"/>
  <c r="N605" i="14"/>
  <c r="M609" i="14"/>
  <c r="M608" i="13"/>
  <c r="N606" i="13"/>
  <c r="J605" i="13" a="1"/>
  <c r="J605" i="13" s="1"/>
  <c r="K458" i="13" l="1"/>
  <c r="L458" i="13" s="1"/>
  <c r="I459" i="13" s="1"/>
  <c r="K475" i="14"/>
  <c r="L475" i="14" s="1"/>
  <c r="I476" i="14" s="1"/>
  <c r="M610" i="14"/>
  <c r="J605" i="14" a="1"/>
  <c r="J605" i="14" s="1"/>
  <c r="N606" i="14"/>
  <c r="N607" i="13"/>
  <c r="J606" i="13" a="1"/>
  <c r="J606" i="13" s="1"/>
  <c r="M609" i="13"/>
  <c r="K459" i="13" l="1"/>
  <c r="L459" i="13" s="1"/>
  <c r="I460" i="13" s="1"/>
  <c r="K476" i="14"/>
  <c r="L476" i="14" s="1"/>
  <c r="I477" i="14" s="1"/>
  <c r="J606" i="14" a="1"/>
  <c r="J606" i="14" s="1"/>
  <c r="N607" i="14"/>
  <c r="M611" i="14"/>
  <c r="M610" i="13"/>
  <c r="N608" i="13"/>
  <c r="J607" i="13" a="1"/>
  <c r="J607" i="13" s="1"/>
  <c r="K460" i="13" l="1"/>
  <c r="L460" i="13" s="1"/>
  <c r="I461" i="13" s="1"/>
  <c r="J607" i="14" a="1"/>
  <c r="J607" i="14" s="1"/>
  <c r="N608" i="14"/>
  <c r="M611" i="13"/>
  <c r="M612" i="14"/>
  <c r="N609" i="13"/>
  <c r="J608" i="13" a="1"/>
  <c r="J608" i="13" s="1"/>
  <c r="K477" i="14"/>
  <c r="L477" i="14" s="1"/>
  <c r="I478" i="14" s="1"/>
  <c r="K461" i="13" l="1"/>
  <c r="L461" i="13" s="1"/>
  <c r="I462" i="13" s="1"/>
  <c r="K478" i="14"/>
  <c r="M613" i="14"/>
  <c r="J608" i="14" a="1"/>
  <c r="J608" i="14" s="1"/>
  <c r="N609" i="14"/>
  <c r="M612" i="13"/>
  <c r="N610" i="13"/>
  <c r="J609" i="13" a="1"/>
  <c r="J609" i="13" s="1"/>
  <c r="K462" i="13" l="1"/>
  <c r="L462" i="13" s="1"/>
  <c r="I463" i="13" s="1"/>
  <c r="N611" i="13"/>
  <c r="J610" i="13" a="1"/>
  <c r="J610" i="13" s="1"/>
  <c r="M613" i="13"/>
  <c r="M614" i="14"/>
  <c r="L478" i="14"/>
  <c r="I479" i="14" s="1"/>
  <c r="J609" i="14" a="1"/>
  <c r="J609" i="14" s="1"/>
  <c r="N610" i="14"/>
  <c r="K463" i="13" l="1"/>
  <c r="L463" i="13" s="1"/>
  <c r="I464" i="13" s="1"/>
  <c r="M614" i="13"/>
  <c r="N612" i="13"/>
  <c r="J611" i="13" a="1"/>
  <c r="J611" i="13" s="1"/>
  <c r="K479" i="14"/>
  <c r="L479" i="14" s="1"/>
  <c r="I480" i="14" s="1"/>
  <c r="J610" i="14" a="1"/>
  <c r="J610" i="14" s="1"/>
  <c r="N611" i="14"/>
  <c r="M615" i="14"/>
  <c r="K464" i="13" l="1"/>
  <c r="K480" i="14"/>
  <c r="L480" i="14" s="1"/>
  <c r="I481" i="14" s="1"/>
  <c r="N613" i="13"/>
  <c r="J612" i="13" a="1"/>
  <c r="J612" i="13" s="1"/>
  <c r="J611" i="14" a="1"/>
  <c r="J611" i="14" s="1"/>
  <c r="N612" i="14"/>
  <c r="M616" i="14"/>
  <c r="M615" i="13"/>
  <c r="L464" i="13" l="1"/>
  <c r="I465" i="13" s="1"/>
  <c r="K481" i="14"/>
  <c r="L481" i="14" s="1"/>
  <c r="I482" i="14" s="1"/>
  <c r="J612" i="14" a="1"/>
  <c r="J612" i="14" s="1"/>
  <c r="N613" i="14"/>
  <c r="M617" i="14"/>
  <c r="M616" i="13"/>
  <c r="N614" i="13"/>
  <c r="J613" i="13" a="1"/>
  <c r="J613" i="13" s="1"/>
  <c r="K465" i="13" l="1"/>
  <c r="K482" i="14"/>
  <c r="L482" i="14" s="1"/>
  <c r="I483" i="14" s="1"/>
  <c r="N615" i="13"/>
  <c r="J614" i="13" a="1"/>
  <c r="J614" i="13" s="1"/>
  <c r="M617" i="13"/>
  <c r="J613" i="14" a="1"/>
  <c r="J613" i="14" s="1"/>
  <c r="N614" i="14"/>
  <c r="M618" i="14"/>
  <c r="L465" i="13" l="1"/>
  <c r="I466" i="13" s="1"/>
  <c r="K483" i="14"/>
  <c r="L483" i="14" s="1"/>
  <c r="I484" i="14" s="1"/>
  <c r="M619" i="14"/>
  <c r="N616" i="13"/>
  <c r="J615" i="13" a="1"/>
  <c r="J615" i="13" s="1"/>
  <c r="M618" i="13"/>
  <c r="J614" i="14" a="1"/>
  <c r="J614" i="14" s="1"/>
  <c r="N615" i="14"/>
  <c r="K466" i="13" l="1"/>
  <c r="L466" i="13" s="1"/>
  <c r="I467" i="13" s="1"/>
  <c r="K484" i="14"/>
  <c r="L484" i="14" s="1"/>
  <c r="I485" i="14" s="1"/>
  <c r="J615" i="14" a="1"/>
  <c r="J615" i="14" s="1"/>
  <c r="N616" i="14"/>
  <c r="M619" i="13"/>
  <c r="M620" i="14"/>
  <c r="N617" i="13"/>
  <c r="J616" i="13" a="1"/>
  <c r="J616" i="13" s="1"/>
  <c r="K467" i="13" l="1"/>
  <c r="L467" i="13" s="1"/>
  <c r="I468" i="13" s="1"/>
  <c r="K485" i="14"/>
  <c r="L485" i="14" s="1"/>
  <c r="I486" i="14" s="1"/>
  <c r="N618" i="13"/>
  <c r="J617" i="13" a="1"/>
  <c r="J617" i="13" s="1"/>
  <c r="M621" i="14"/>
  <c r="J616" i="14" a="1"/>
  <c r="J616" i="14" s="1"/>
  <c r="N617" i="14"/>
  <c r="M620" i="13"/>
  <c r="K468" i="13" l="1"/>
  <c r="L468" i="13" s="1"/>
  <c r="I469" i="13" s="1"/>
  <c r="K486" i="14"/>
  <c r="L486" i="14" s="1"/>
  <c r="I487" i="14" s="1"/>
  <c r="M621" i="13"/>
  <c r="M622" i="14"/>
  <c r="J617" i="14" a="1"/>
  <c r="J617" i="14" s="1"/>
  <c r="N618" i="14"/>
  <c r="N619" i="13"/>
  <c r="J618" i="13" a="1"/>
  <c r="J618" i="13" s="1"/>
  <c r="K469" i="13" l="1"/>
  <c r="L469" i="13" s="1"/>
  <c r="I470" i="13" s="1"/>
  <c r="K487" i="14"/>
  <c r="L487" i="14" s="1"/>
  <c r="I488" i="14" s="1"/>
  <c r="M623" i="14"/>
  <c r="N620" i="13"/>
  <c r="J619" i="13" a="1"/>
  <c r="J619" i="13" s="1"/>
  <c r="J618" i="14" a="1"/>
  <c r="J618" i="14" s="1"/>
  <c r="N619" i="14"/>
  <c r="M622" i="13"/>
  <c r="K470" i="13" l="1"/>
  <c r="L470" i="13" s="1"/>
  <c r="I471" i="13" s="1"/>
  <c r="K488" i="14"/>
  <c r="M623" i="13"/>
  <c r="N621" i="13"/>
  <c r="J620" i="13" a="1"/>
  <c r="J620" i="13" s="1"/>
  <c r="M624" i="14"/>
  <c r="J619" i="14" a="1"/>
  <c r="J619" i="14" s="1"/>
  <c r="N620" i="14"/>
  <c r="K471" i="13" l="1"/>
  <c r="L471" i="13" s="1"/>
  <c r="I472" i="13" s="1"/>
  <c r="L488" i="14"/>
  <c r="I489" i="14" s="1"/>
  <c r="J620" i="14" a="1"/>
  <c r="J620" i="14" s="1"/>
  <c r="N621" i="14"/>
  <c r="M624" i="13"/>
  <c r="N622" i="13"/>
  <c r="J621" i="13" a="1"/>
  <c r="J621" i="13" s="1"/>
  <c r="M625" i="14"/>
  <c r="K472" i="13" l="1"/>
  <c r="L472" i="13" s="1"/>
  <c r="I473" i="13" s="1"/>
  <c r="M626" i="14"/>
  <c r="M625" i="13"/>
  <c r="K489" i="14"/>
  <c r="N623" i="13"/>
  <c r="J622" i="13" a="1"/>
  <c r="J622" i="13" s="1"/>
  <c r="J621" i="14" a="1"/>
  <c r="J621" i="14" s="1"/>
  <c r="N622" i="14"/>
  <c r="K473" i="13" l="1"/>
  <c r="L473" i="13" s="1"/>
  <c r="I474" i="13" s="1"/>
  <c r="J622" i="14" a="1"/>
  <c r="J622" i="14" s="1"/>
  <c r="N623" i="14"/>
  <c r="M626" i="13"/>
  <c r="M627" i="14"/>
  <c r="L489" i="14"/>
  <c r="I490" i="14" s="1"/>
  <c r="N624" i="13"/>
  <c r="J623" i="13" a="1"/>
  <c r="J623" i="13" s="1"/>
  <c r="K474" i="13" l="1"/>
  <c r="L474" i="13" s="1"/>
  <c r="I475" i="13" s="1"/>
  <c r="J623" i="14" a="1"/>
  <c r="J623" i="14" s="1"/>
  <c r="N624" i="14"/>
  <c r="K490" i="14"/>
  <c r="L490" i="14" s="1"/>
  <c r="I491" i="14" s="1"/>
  <c r="M627" i="13"/>
  <c r="M628" i="14"/>
  <c r="N625" i="13"/>
  <c r="J624" i="13" a="1"/>
  <c r="J624" i="13" s="1"/>
  <c r="K475" i="13" l="1"/>
  <c r="L475" i="13" s="1"/>
  <c r="I476" i="13" s="1"/>
  <c r="K491" i="14"/>
  <c r="L491" i="14" s="1"/>
  <c r="I492" i="14" s="1"/>
  <c r="M628" i="13"/>
  <c r="M629" i="14"/>
  <c r="J624" i="14" a="1"/>
  <c r="J624" i="14" s="1"/>
  <c r="N625" i="14"/>
  <c r="N626" i="13"/>
  <c r="J625" i="13" a="1"/>
  <c r="J625" i="13" s="1"/>
  <c r="K476" i="13" l="1"/>
  <c r="K492" i="14"/>
  <c r="L492" i="14" s="1"/>
  <c r="I493" i="14" s="1"/>
  <c r="J625" i="14" a="1"/>
  <c r="J625" i="14" s="1"/>
  <c r="N626" i="14"/>
  <c r="M629" i="13"/>
  <c r="M630" i="14"/>
  <c r="N627" i="13"/>
  <c r="J626" i="13" a="1"/>
  <c r="J626" i="13" s="1"/>
  <c r="L476" i="13" l="1"/>
  <c r="I477" i="13" s="1"/>
  <c r="K493" i="14"/>
  <c r="L493" i="14" s="1"/>
  <c r="I494" i="14" s="1"/>
  <c r="M630" i="13"/>
  <c r="N628" i="13"/>
  <c r="J627" i="13" a="1"/>
  <c r="J627" i="13" s="1"/>
  <c r="M631" i="14"/>
  <c r="J626" i="14" a="1"/>
  <c r="J626" i="14" s="1"/>
  <c r="N627" i="14"/>
  <c r="K477" i="13" l="1"/>
  <c r="L477" i="13" s="1"/>
  <c r="I478" i="13" s="1"/>
  <c r="M631" i="13"/>
  <c r="J627" i="14" a="1"/>
  <c r="J627" i="14" s="1"/>
  <c r="N628" i="14"/>
  <c r="N629" i="13"/>
  <c r="J628" i="13" a="1"/>
  <c r="J628" i="13" s="1"/>
  <c r="M632" i="14"/>
  <c r="K494" i="14"/>
  <c r="L494" i="14" s="1"/>
  <c r="I495" i="14" s="1"/>
  <c r="K478" i="13" l="1"/>
  <c r="L478" i="13" s="1"/>
  <c r="I479" i="13" s="1"/>
  <c r="N630" i="13"/>
  <c r="J629" i="13" a="1"/>
  <c r="J629" i="13" s="1"/>
  <c r="M632" i="13"/>
  <c r="K495" i="14"/>
  <c r="L495" i="14" s="1"/>
  <c r="I496" i="14" s="1"/>
  <c r="M633" i="14"/>
  <c r="J628" i="14" a="1"/>
  <c r="J628" i="14" s="1"/>
  <c r="N629" i="14"/>
  <c r="K479" i="13" l="1"/>
  <c r="L479" i="13" s="1"/>
  <c r="I480" i="13" s="1"/>
  <c r="K496" i="14"/>
  <c r="L496" i="14" s="1"/>
  <c r="I497" i="14" s="1"/>
  <c r="J629" i="14" a="1"/>
  <c r="J629" i="14" s="1"/>
  <c r="N630" i="14"/>
  <c r="N631" i="13"/>
  <c r="J630" i="13" a="1"/>
  <c r="J630" i="13" s="1"/>
  <c r="M634" i="14"/>
  <c r="M633" i="13"/>
  <c r="K480" i="13" l="1"/>
  <c r="L480" i="13" s="1"/>
  <c r="I481" i="13" s="1"/>
  <c r="K497" i="14"/>
  <c r="L497" i="14" s="1"/>
  <c r="I498" i="14" s="1"/>
  <c r="M635" i="14"/>
  <c r="J630" i="14" a="1"/>
  <c r="J630" i="14" s="1"/>
  <c r="N631" i="14"/>
  <c r="M634" i="13"/>
  <c r="N632" i="13"/>
  <c r="J631" i="13" a="1"/>
  <c r="J631" i="13" s="1"/>
  <c r="K481" i="13" l="1"/>
  <c r="L481" i="13" s="1"/>
  <c r="I482" i="13" s="1"/>
  <c r="K498" i="14"/>
  <c r="L498" i="14" s="1"/>
  <c r="I499" i="14" s="1"/>
  <c r="J631" i="14" a="1"/>
  <c r="J631" i="14" s="1"/>
  <c r="N632" i="14"/>
  <c r="N633" i="13"/>
  <c r="J632" i="13" a="1"/>
  <c r="J632" i="13" s="1"/>
  <c r="M636" i="14"/>
  <c r="M635" i="13"/>
  <c r="K482" i="13" l="1"/>
  <c r="L482" i="13" s="1"/>
  <c r="I483" i="13" s="1"/>
  <c r="K499" i="14"/>
  <c r="L499" i="14" s="1"/>
  <c r="I500" i="14" s="1"/>
  <c r="M636" i="13"/>
  <c r="N634" i="13"/>
  <c r="J633" i="13" a="1"/>
  <c r="J633" i="13" s="1"/>
  <c r="M637" i="14"/>
  <c r="J632" i="14" a="1"/>
  <c r="J632" i="14" s="1"/>
  <c r="N633" i="14"/>
  <c r="K483" i="13" l="1"/>
  <c r="L483" i="13" s="1"/>
  <c r="I484" i="13" s="1"/>
  <c r="K500" i="14"/>
  <c r="L500" i="14" s="1"/>
  <c r="I501" i="14" s="1"/>
  <c r="N635" i="13"/>
  <c r="J634" i="13" a="1"/>
  <c r="J634" i="13" s="1"/>
  <c r="M638" i="14"/>
  <c r="M637" i="13"/>
  <c r="J633" i="14" a="1"/>
  <c r="J633" i="14" s="1"/>
  <c r="N634" i="14"/>
  <c r="K484" i="13" l="1"/>
  <c r="L484" i="13" s="1"/>
  <c r="I485" i="13" s="1"/>
  <c r="K501" i="14"/>
  <c r="L501" i="14" s="1"/>
  <c r="I502" i="14" s="1"/>
  <c r="J634" i="14" a="1"/>
  <c r="J634" i="14" s="1"/>
  <c r="N635" i="14"/>
  <c r="M639" i="14"/>
  <c r="M638" i="13"/>
  <c r="N636" i="13"/>
  <c r="J635" i="13" a="1"/>
  <c r="J635" i="13" s="1"/>
  <c r="K485" i="13" l="1"/>
  <c r="L485" i="13" s="1"/>
  <c r="I486" i="13" s="1"/>
  <c r="K502" i="14"/>
  <c r="L502" i="14" s="1"/>
  <c r="I503" i="14" s="1"/>
  <c r="N637" i="13"/>
  <c r="J636" i="13" a="1"/>
  <c r="J636" i="13" s="1"/>
  <c r="M639" i="13"/>
  <c r="J635" i="14" a="1"/>
  <c r="J635" i="14" s="1"/>
  <c r="N636" i="14"/>
  <c r="M640" i="14"/>
  <c r="K486" i="13" l="1"/>
  <c r="L486" i="13" s="1"/>
  <c r="I487" i="13" s="1"/>
  <c r="K503" i="14"/>
  <c r="L503" i="14" s="1"/>
  <c r="I504" i="14" s="1"/>
  <c r="M641" i="14"/>
  <c r="M640" i="13"/>
  <c r="J636" i="14" a="1"/>
  <c r="J636" i="14" s="1"/>
  <c r="N637" i="14"/>
  <c r="N638" i="13"/>
  <c r="J637" i="13" a="1"/>
  <c r="J637" i="13" s="1"/>
  <c r="K487" i="13" l="1"/>
  <c r="L487" i="13" s="1"/>
  <c r="I488" i="13" s="1"/>
  <c r="K504" i="14"/>
  <c r="L504" i="14" s="1"/>
  <c r="I505" i="14" s="1"/>
  <c r="M641" i="13"/>
  <c r="N639" i="13"/>
  <c r="J638" i="13" a="1"/>
  <c r="J638" i="13" s="1"/>
  <c r="J637" i="14" a="1"/>
  <c r="J637" i="14" s="1"/>
  <c r="N638" i="14"/>
  <c r="M642" i="14"/>
  <c r="K488" i="13" l="1"/>
  <c r="K505" i="14"/>
  <c r="L505" i="14" s="1"/>
  <c r="I506" i="14" s="1"/>
  <c r="M643" i="14"/>
  <c r="N640" i="13"/>
  <c r="J639" i="13" a="1"/>
  <c r="J639" i="13" s="1"/>
  <c r="J638" i="14" a="1"/>
  <c r="J638" i="14" s="1"/>
  <c r="N639" i="14"/>
  <c r="M642" i="13"/>
  <c r="L488" i="13" l="1"/>
  <c r="I489" i="13" s="1"/>
  <c r="K506" i="14"/>
  <c r="L506" i="14" s="1"/>
  <c r="I507" i="14" s="1"/>
  <c r="J639" i="14" a="1"/>
  <c r="J639" i="14" s="1"/>
  <c r="N640" i="14"/>
  <c r="M644" i="14"/>
  <c r="M643" i="13"/>
  <c r="N641" i="13"/>
  <c r="J640" i="13" a="1"/>
  <c r="J640" i="13" s="1"/>
  <c r="K489" i="13" l="1"/>
  <c r="K507" i="14"/>
  <c r="L507" i="14" s="1"/>
  <c r="I508" i="14" s="1"/>
  <c r="M645" i="14"/>
  <c r="N642" i="13"/>
  <c r="J641" i="13" a="1"/>
  <c r="J641" i="13" s="1"/>
  <c r="M644" i="13"/>
  <c r="J640" i="14" a="1"/>
  <c r="J640" i="14" s="1"/>
  <c r="N641" i="14"/>
  <c r="L489" i="13" l="1"/>
  <c r="I490" i="13" s="1"/>
  <c r="K508" i="14"/>
  <c r="L508" i="14" s="1"/>
  <c r="I509" i="14" s="1"/>
  <c r="J641" i="14" a="1"/>
  <c r="J641" i="14" s="1"/>
  <c r="N642" i="14"/>
  <c r="M646" i="14"/>
  <c r="M645" i="13"/>
  <c r="N643" i="13"/>
  <c r="J642" i="13" a="1"/>
  <c r="J642" i="13" s="1"/>
  <c r="K490" i="13" l="1"/>
  <c r="L490" i="13" s="1"/>
  <c r="I491" i="13" s="1"/>
  <c r="K509" i="14"/>
  <c r="L509" i="14" s="1"/>
  <c r="I510" i="14" s="1"/>
  <c r="M647" i="14"/>
  <c r="J642" i="14" a="1"/>
  <c r="J642" i="14" s="1"/>
  <c r="N643" i="14"/>
  <c r="N644" i="13"/>
  <c r="J643" i="13" a="1"/>
  <c r="J643" i="13" s="1"/>
  <c r="M646" i="13"/>
  <c r="K491" i="13" l="1"/>
  <c r="L491" i="13" s="1"/>
  <c r="I492" i="13" s="1"/>
  <c r="K510" i="14"/>
  <c r="L510" i="14" s="1"/>
  <c r="I511" i="14" s="1"/>
  <c r="M647" i="13"/>
  <c r="J643" i="14" a="1"/>
  <c r="J643" i="14" s="1"/>
  <c r="N644" i="14"/>
  <c r="M648" i="14"/>
  <c r="N645" i="13"/>
  <c r="J644" i="13" a="1"/>
  <c r="J644" i="13" s="1"/>
  <c r="K492" i="13" l="1"/>
  <c r="L492" i="13" s="1"/>
  <c r="I493" i="13" s="1"/>
  <c r="K511" i="14"/>
  <c r="L511" i="14" s="1"/>
  <c r="I512" i="14" s="1"/>
  <c r="J644" i="14" a="1"/>
  <c r="J644" i="14" s="1"/>
  <c r="N645" i="14"/>
  <c r="N646" i="13"/>
  <c r="J645" i="13" a="1"/>
  <c r="J645" i="13" s="1"/>
  <c r="M649" i="14"/>
  <c r="M648" i="13"/>
  <c r="K493" i="13" l="1"/>
  <c r="L493" i="13" s="1"/>
  <c r="I494" i="13" s="1"/>
  <c r="K512" i="14"/>
  <c r="N647" i="13"/>
  <c r="J646" i="13" a="1"/>
  <c r="J646" i="13" s="1"/>
  <c r="M650" i="14"/>
  <c r="J645" i="14" a="1"/>
  <c r="J645" i="14" s="1"/>
  <c r="N646" i="14"/>
  <c r="M649" i="13"/>
  <c r="K494" i="13" l="1"/>
  <c r="L494" i="13" s="1"/>
  <c r="I495" i="13" s="1"/>
  <c r="J646" i="14" a="1"/>
  <c r="J646" i="14" s="1"/>
  <c r="N647" i="14"/>
  <c r="M650" i="13"/>
  <c r="M651" i="14"/>
  <c r="N648" i="13"/>
  <c r="J647" i="13" a="1"/>
  <c r="J647" i="13" s="1"/>
  <c r="L512" i="14"/>
  <c r="I513" i="14" s="1"/>
  <c r="K495" i="13" l="1"/>
  <c r="L495" i="13" s="1"/>
  <c r="I496" i="13" s="1"/>
  <c r="M652" i="14"/>
  <c r="M651" i="13"/>
  <c r="J647" i="14" a="1"/>
  <c r="J647" i="14" s="1"/>
  <c r="N648" i="14"/>
  <c r="N649" i="13"/>
  <c r="J648" i="13" a="1"/>
  <c r="J648" i="13" s="1"/>
  <c r="K513" i="14"/>
  <c r="L513" i="14" s="1"/>
  <c r="I514" i="14" s="1"/>
  <c r="K496" i="13" l="1"/>
  <c r="L496" i="13" s="1"/>
  <c r="I497" i="13" s="1"/>
  <c r="K514" i="14"/>
  <c r="L514" i="14" s="1"/>
  <c r="I515" i="14" s="1"/>
  <c r="M652" i="13"/>
  <c r="N650" i="13"/>
  <c r="J649" i="13" a="1"/>
  <c r="J649" i="13" s="1"/>
  <c r="J648" i="14" a="1"/>
  <c r="J648" i="14" s="1"/>
  <c r="N649" i="14"/>
  <c r="M653" i="14"/>
  <c r="K497" i="13" l="1"/>
  <c r="L497" i="13" s="1"/>
  <c r="I498" i="13" s="1"/>
  <c r="K515" i="14"/>
  <c r="L515" i="14" s="1"/>
  <c r="I516" i="14" s="1"/>
  <c r="N651" i="13"/>
  <c r="J650" i="13" a="1"/>
  <c r="J650" i="13" s="1"/>
  <c r="M653" i="13"/>
  <c r="J649" i="14" a="1"/>
  <c r="J649" i="14" s="1"/>
  <c r="N650" i="14"/>
  <c r="M654" i="14"/>
  <c r="K498" i="13" l="1"/>
  <c r="L498" i="13" s="1"/>
  <c r="I499" i="13" s="1"/>
  <c r="K516" i="14"/>
  <c r="L516" i="14" s="1"/>
  <c r="I517" i="14" s="1"/>
  <c r="M655" i="14"/>
  <c r="M654" i="13"/>
  <c r="J650" i="14" a="1"/>
  <c r="J650" i="14" s="1"/>
  <c r="N651" i="14"/>
  <c r="N652" i="13"/>
  <c r="J651" i="13" a="1"/>
  <c r="J651" i="13" s="1"/>
  <c r="K499" i="13" l="1"/>
  <c r="L499" i="13" s="1"/>
  <c r="I500" i="13" s="1"/>
  <c r="K517" i="14"/>
  <c r="L517" i="14" s="1"/>
  <c r="I518" i="14" s="1"/>
  <c r="M655" i="13"/>
  <c r="N653" i="13"/>
  <c r="J652" i="13" a="1"/>
  <c r="J652" i="13" s="1"/>
  <c r="J651" i="14" a="1"/>
  <c r="J651" i="14" s="1"/>
  <c r="N652" i="14"/>
  <c r="M656" i="14"/>
  <c r="K500" i="13" l="1"/>
  <c r="K518" i="14"/>
  <c r="L518" i="14" s="1"/>
  <c r="I519" i="14" s="1"/>
  <c r="N654" i="13"/>
  <c r="J653" i="13" a="1"/>
  <c r="J653" i="13" s="1"/>
  <c r="M657" i="14"/>
  <c r="J652" i="14" a="1"/>
  <c r="J652" i="14" s="1"/>
  <c r="N653" i="14"/>
  <c r="M656" i="13"/>
  <c r="L500" i="13" l="1"/>
  <c r="I501" i="13" s="1"/>
  <c r="K519" i="14"/>
  <c r="L519" i="14" s="1"/>
  <c r="I520" i="14" s="1"/>
  <c r="M657" i="13"/>
  <c r="M658" i="14"/>
  <c r="N655" i="13"/>
  <c r="J654" i="13" a="1"/>
  <c r="J654" i="13" s="1"/>
  <c r="J653" i="14" a="1"/>
  <c r="J653" i="14" s="1"/>
  <c r="N654" i="14"/>
  <c r="K501" i="13" l="1"/>
  <c r="K520" i="14"/>
  <c r="L520" i="14" s="1"/>
  <c r="I521" i="14" s="1"/>
  <c r="M658" i="13"/>
  <c r="J654" i="14" a="1"/>
  <c r="J654" i="14" s="1"/>
  <c r="N655" i="14"/>
  <c r="N656" i="13"/>
  <c r="J655" i="13" a="1"/>
  <c r="J655" i="13" s="1"/>
  <c r="M659" i="14"/>
  <c r="L501" i="13" l="1"/>
  <c r="I502" i="13" s="1"/>
  <c r="M659" i="13"/>
  <c r="M660" i="14"/>
  <c r="N657" i="13"/>
  <c r="J656" i="13" a="1"/>
  <c r="J656" i="13" s="1"/>
  <c r="J655" i="14" a="1"/>
  <c r="J655" i="14" s="1"/>
  <c r="N656" i="14"/>
  <c r="K521" i="14"/>
  <c r="L521" i="14" s="1"/>
  <c r="I522" i="14" s="1"/>
  <c r="K502" i="13" l="1"/>
  <c r="L502" i="13" s="1"/>
  <c r="I503" i="13" s="1"/>
  <c r="K522" i="14"/>
  <c r="L522" i="14" s="1"/>
  <c r="I523" i="14" s="1"/>
  <c r="M660" i="13"/>
  <c r="N658" i="13"/>
  <c r="J657" i="13" a="1"/>
  <c r="J657" i="13" s="1"/>
  <c r="J656" i="14" a="1"/>
  <c r="J656" i="14" s="1"/>
  <c r="N657" i="14"/>
  <c r="M661" i="14"/>
  <c r="K503" i="13" l="1"/>
  <c r="L503" i="13" s="1"/>
  <c r="I504" i="13" s="1"/>
  <c r="K523" i="14"/>
  <c r="L523" i="14" s="1"/>
  <c r="I524" i="14" s="1"/>
  <c r="N659" i="13"/>
  <c r="J658" i="13" a="1"/>
  <c r="J658" i="13" s="1"/>
  <c r="J657" i="14" a="1"/>
  <c r="J657" i="14" s="1"/>
  <c r="N658" i="14"/>
  <c r="M661" i="13"/>
  <c r="M662" i="14"/>
  <c r="K504" i="13" l="1"/>
  <c r="L504" i="13" s="1"/>
  <c r="I505" i="13" s="1"/>
  <c r="J658" i="14" a="1"/>
  <c r="J658" i="14" s="1"/>
  <c r="N659" i="14"/>
  <c r="M663" i="14"/>
  <c r="N660" i="13"/>
  <c r="J659" i="13" a="1"/>
  <c r="J659" i="13" s="1"/>
  <c r="M662" i="13"/>
  <c r="K524" i="14"/>
  <c r="L524" i="14" s="1"/>
  <c r="I525" i="14" s="1"/>
  <c r="K505" i="13" l="1"/>
  <c r="L505" i="13" s="1"/>
  <c r="I506" i="13" s="1"/>
  <c r="K525" i="14"/>
  <c r="L525" i="14" s="1"/>
  <c r="I526" i="14" s="1"/>
  <c r="N661" i="13"/>
  <c r="J660" i="13" a="1"/>
  <c r="J660" i="13" s="1"/>
  <c r="M663" i="13"/>
  <c r="M664" i="14"/>
  <c r="J659" i="14" a="1"/>
  <c r="J659" i="14" s="1"/>
  <c r="N660" i="14"/>
  <c r="K506" i="13" l="1"/>
  <c r="L506" i="13" s="1"/>
  <c r="I507" i="13" s="1"/>
  <c r="K526" i="14"/>
  <c r="M665" i="14"/>
  <c r="J660" i="14" a="1"/>
  <c r="J660" i="14" s="1"/>
  <c r="N661" i="14"/>
  <c r="N662" i="13"/>
  <c r="J661" i="13" a="1"/>
  <c r="J661" i="13" s="1"/>
  <c r="M664" i="13"/>
  <c r="K507" i="13" l="1"/>
  <c r="L507" i="13" s="1"/>
  <c r="I508" i="13" s="1"/>
  <c r="M665" i="13"/>
  <c r="J661" i="14" a="1"/>
  <c r="J661" i="14" s="1"/>
  <c r="N662" i="14"/>
  <c r="M666" i="14"/>
  <c r="N663" i="13"/>
  <c r="J662" i="13" a="1"/>
  <c r="J662" i="13" s="1"/>
  <c r="L526" i="14"/>
  <c r="I527" i="14" s="1"/>
  <c r="K508" i="13" l="1"/>
  <c r="L508" i="13" s="1"/>
  <c r="I509" i="13" s="1"/>
  <c r="J662" i="14" a="1"/>
  <c r="J662" i="14" s="1"/>
  <c r="N663" i="14"/>
  <c r="K527" i="14"/>
  <c r="L527" i="14" s="1"/>
  <c r="I528" i="14" s="1"/>
  <c r="N664" i="13"/>
  <c r="J663" i="13" a="1"/>
  <c r="J663" i="13" s="1"/>
  <c r="M666" i="13"/>
  <c r="M667" i="14"/>
  <c r="K509" i="13" l="1"/>
  <c r="L509" i="13" s="1"/>
  <c r="I510" i="13" s="1"/>
  <c r="K528" i="14"/>
  <c r="L528" i="14" s="1"/>
  <c r="I529" i="14" s="1"/>
  <c r="M668" i="14"/>
  <c r="N665" i="13"/>
  <c r="J664" i="13" a="1"/>
  <c r="J664" i="13" s="1"/>
  <c r="J663" i="14" a="1"/>
  <c r="J663" i="14" s="1"/>
  <c r="N664" i="14"/>
  <c r="M667" i="13"/>
  <c r="K510" i="13" l="1"/>
  <c r="L510" i="13" s="1"/>
  <c r="I511" i="13" s="1"/>
  <c r="K529" i="14"/>
  <c r="L529" i="14" s="1"/>
  <c r="I530" i="14" s="1"/>
  <c r="N666" i="13"/>
  <c r="J665" i="13" a="1"/>
  <c r="J665" i="13" s="1"/>
  <c r="M668" i="13"/>
  <c r="J664" i="14" a="1"/>
  <c r="J664" i="14" s="1"/>
  <c r="N665" i="14"/>
  <c r="M669" i="14"/>
  <c r="K511" i="13" l="1"/>
  <c r="L511" i="13" s="1"/>
  <c r="I512" i="13" s="1"/>
  <c r="K530" i="14"/>
  <c r="L530" i="14" s="1"/>
  <c r="I531" i="14" s="1"/>
  <c r="J665" i="14" a="1"/>
  <c r="J665" i="14" s="1"/>
  <c r="N666" i="14"/>
  <c r="M670" i="14"/>
  <c r="M669" i="13"/>
  <c r="N667" i="13"/>
  <c r="J666" i="13" a="1"/>
  <c r="J666" i="13" s="1"/>
  <c r="K512" i="13" l="1"/>
  <c r="K531" i="14"/>
  <c r="L531" i="14" s="1"/>
  <c r="I532" i="14" s="1"/>
  <c r="N668" i="13"/>
  <c r="J667" i="13" a="1"/>
  <c r="J667" i="13" s="1"/>
  <c r="M670" i="13"/>
  <c r="J666" i="14" a="1"/>
  <c r="J666" i="14" s="1"/>
  <c r="N667" i="14"/>
  <c r="M671" i="14"/>
  <c r="L512" i="13" l="1"/>
  <c r="I513" i="13" s="1"/>
  <c r="N669" i="13"/>
  <c r="J668" i="13" a="1"/>
  <c r="J668" i="13" s="1"/>
  <c r="M672" i="14"/>
  <c r="M671" i="13"/>
  <c r="J667" i="14" a="1"/>
  <c r="J667" i="14" s="1"/>
  <c r="N668" i="14"/>
  <c r="K532" i="14"/>
  <c r="L532" i="14" s="1"/>
  <c r="I533" i="14" s="1"/>
  <c r="K513" i="13" l="1"/>
  <c r="K533" i="14"/>
  <c r="L533" i="14" s="1"/>
  <c r="I534" i="14" s="1"/>
  <c r="J668" i="14" a="1"/>
  <c r="J668" i="14" s="1"/>
  <c r="N669" i="14"/>
  <c r="M673" i="14"/>
  <c r="M672" i="13"/>
  <c r="N670" i="13"/>
  <c r="J669" i="13" a="1"/>
  <c r="J669" i="13" s="1"/>
  <c r="L513" i="13" l="1"/>
  <c r="I514" i="13" s="1"/>
  <c r="K534" i="14"/>
  <c r="L534" i="14" s="1"/>
  <c r="I535" i="14" s="1"/>
  <c r="N671" i="13"/>
  <c r="J670" i="13" a="1"/>
  <c r="J670" i="13" s="1"/>
  <c r="M673" i="13"/>
  <c r="M674" i="14"/>
  <c r="J669" i="14" a="1"/>
  <c r="J669" i="14" s="1"/>
  <c r="N670" i="14"/>
  <c r="K514" i="13" l="1"/>
  <c r="L514" i="13" s="1"/>
  <c r="I515" i="13" s="1"/>
  <c r="K535" i="14"/>
  <c r="L535" i="14" s="1"/>
  <c r="I536" i="14" s="1"/>
  <c r="J670" i="14" a="1"/>
  <c r="J670" i="14" s="1"/>
  <c r="N671" i="14"/>
  <c r="M674" i="13"/>
  <c r="N672" i="13"/>
  <c r="J671" i="13" a="1"/>
  <c r="J671" i="13" s="1"/>
  <c r="M675" i="14"/>
  <c r="K515" i="13" l="1"/>
  <c r="L515" i="13" s="1"/>
  <c r="I516" i="13" s="1"/>
  <c r="K536" i="14"/>
  <c r="L536" i="14" s="1"/>
  <c r="I537" i="14" s="1"/>
  <c r="M675" i="13"/>
  <c r="J671" i="14" a="1"/>
  <c r="J671" i="14" s="1"/>
  <c r="N672" i="14"/>
  <c r="M676" i="14"/>
  <c r="N673" i="13"/>
  <c r="J672" i="13" a="1"/>
  <c r="J672" i="13" s="1"/>
  <c r="K516" i="13" l="1"/>
  <c r="L516" i="13" s="1"/>
  <c r="I517" i="13" s="1"/>
  <c r="K537" i="14"/>
  <c r="L537" i="14" s="1"/>
  <c r="I538" i="14" s="1"/>
  <c r="J672" i="14" a="1"/>
  <c r="J672" i="14" s="1"/>
  <c r="N673" i="14"/>
  <c r="N674" i="13"/>
  <c r="J673" i="13" a="1"/>
  <c r="J673" i="13" s="1"/>
  <c r="M677" i="14"/>
  <c r="M676" i="13"/>
  <c r="K517" i="13" l="1"/>
  <c r="L517" i="13" s="1"/>
  <c r="I518" i="13" s="1"/>
  <c r="K538" i="14"/>
  <c r="J673" i="14" a="1"/>
  <c r="J673" i="14" s="1"/>
  <c r="N674" i="14"/>
  <c r="M677" i="13"/>
  <c r="M678" i="14"/>
  <c r="N675" i="13"/>
  <c r="J674" i="13" a="1"/>
  <c r="J674" i="13" s="1"/>
  <c r="K518" i="13" l="1"/>
  <c r="L518" i="13" s="1"/>
  <c r="I519" i="13" s="1"/>
  <c r="J674" i="14" a="1"/>
  <c r="J674" i="14" s="1"/>
  <c r="N675" i="14"/>
  <c r="N676" i="13"/>
  <c r="J675" i="13" a="1"/>
  <c r="J675" i="13" s="1"/>
  <c r="M679" i="14"/>
  <c r="M678" i="13"/>
  <c r="L538" i="14"/>
  <c r="I539" i="14" s="1"/>
  <c r="K519" i="13" l="1"/>
  <c r="L519" i="13" s="1"/>
  <c r="I520" i="13" s="1"/>
  <c r="M680" i="14"/>
  <c r="J675" i="14" a="1"/>
  <c r="J675" i="14" s="1"/>
  <c r="N676" i="14"/>
  <c r="M679" i="13"/>
  <c r="K539" i="14"/>
  <c r="L539" i="14" s="1"/>
  <c r="I540" i="14" s="1"/>
  <c r="N677" i="13"/>
  <c r="J676" i="13" a="1"/>
  <c r="J676" i="13" s="1"/>
  <c r="K520" i="13" l="1"/>
  <c r="L520" i="13" s="1"/>
  <c r="I521" i="13" s="1"/>
  <c r="K540" i="14"/>
  <c r="L540" i="14" s="1"/>
  <c r="I541" i="14" s="1"/>
  <c r="M680" i="13"/>
  <c r="N678" i="13"/>
  <c r="J677" i="13" a="1"/>
  <c r="J677" i="13" s="1"/>
  <c r="J676" i="14" a="1"/>
  <c r="J676" i="14" s="1"/>
  <c r="N677" i="14"/>
  <c r="M681" i="14"/>
  <c r="K521" i="13" l="1"/>
  <c r="L521" i="13" s="1"/>
  <c r="I522" i="13" s="1"/>
  <c r="K541" i="14"/>
  <c r="L541" i="14" s="1"/>
  <c r="I542" i="14" s="1"/>
  <c r="N679" i="13"/>
  <c r="J678" i="13" a="1"/>
  <c r="J678" i="13" s="1"/>
  <c r="M682" i="14"/>
  <c r="J677" i="14" a="1"/>
  <c r="J677" i="14" s="1"/>
  <c r="N678" i="14"/>
  <c r="M681" i="13"/>
  <c r="K522" i="13" l="1"/>
  <c r="L522" i="13" s="1"/>
  <c r="I523" i="13" s="1"/>
  <c r="K542" i="14"/>
  <c r="L542" i="14" s="1"/>
  <c r="I543" i="14" s="1"/>
  <c r="J678" i="14" a="1"/>
  <c r="J678" i="14" s="1"/>
  <c r="N679" i="14"/>
  <c r="M682" i="13"/>
  <c r="M683" i="14"/>
  <c r="N680" i="13"/>
  <c r="J679" i="13" a="1"/>
  <c r="J679" i="13" s="1"/>
  <c r="K523" i="13" l="1"/>
  <c r="L523" i="13" s="1"/>
  <c r="I524" i="13" s="1"/>
  <c r="K543" i="14"/>
  <c r="L543" i="14" s="1"/>
  <c r="I544" i="14" s="1"/>
  <c r="N681" i="13"/>
  <c r="J680" i="13" a="1"/>
  <c r="J680" i="13" s="1"/>
  <c r="M683" i="13"/>
  <c r="M684" i="14"/>
  <c r="J679" i="14" a="1"/>
  <c r="J679" i="14" s="1"/>
  <c r="N680" i="14"/>
  <c r="K524" i="13" l="1"/>
  <c r="L524" i="13" s="1"/>
  <c r="I525" i="13" s="1"/>
  <c r="K544" i="14"/>
  <c r="L544" i="14" s="1"/>
  <c r="I545" i="14" s="1"/>
  <c r="J680" i="14" a="1"/>
  <c r="J680" i="14" s="1"/>
  <c r="N681" i="14"/>
  <c r="M684" i="13"/>
  <c r="M685" i="14"/>
  <c r="N682" i="13"/>
  <c r="J681" i="13" a="1"/>
  <c r="J681" i="13" s="1"/>
  <c r="K525" i="13" l="1"/>
  <c r="L525" i="13" s="1"/>
  <c r="I526" i="13" s="1"/>
  <c r="K545" i="14"/>
  <c r="L545" i="14" s="1"/>
  <c r="I546" i="14" s="1"/>
  <c r="M686" i="14"/>
  <c r="M685" i="13"/>
  <c r="N683" i="13"/>
  <c r="J682" i="13" a="1"/>
  <c r="J682" i="13" s="1"/>
  <c r="J681" i="14" a="1"/>
  <c r="J681" i="14" s="1"/>
  <c r="N682" i="14"/>
  <c r="K526" i="13" l="1"/>
  <c r="K546" i="14"/>
  <c r="L546" i="14" s="1"/>
  <c r="I547" i="14" s="1"/>
  <c r="M687" i="14"/>
  <c r="J682" i="14" a="1"/>
  <c r="J682" i="14" s="1"/>
  <c r="N683" i="14"/>
  <c r="M686" i="13"/>
  <c r="N684" i="13"/>
  <c r="J683" i="13" a="1"/>
  <c r="J683" i="13" s="1"/>
  <c r="L526" i="13" l="1"/>
  <c r="I527" i="13" s="1"/>
  <c r="K547" i="14"/>
  <c r="L547" i="14" s="1"/>
  <c r="I548" i="14" s="1"/>
  <c r="N685" i="13"/>
  <c r="J684" i="13" a="1"/>
  <c r="J684" i="13" s="1"/>
  <c r="J683" i="14" a="1"/>
  <c r="J683" i="14" s="1"/>
  <c r="N684" i="14"/>
  <c r="M687" i="13"/>
  <c r="M688" i="14"/>
  <c r="K527" i="13" l="1"/>
  <c r="L527" i="13" s="1"/>
  <c r="I528" i="13" s="1"/>
  <c r="K548" i="14"/>
  <c r="N686" i="13"/>
  <c r="J685" i="13" a="1"/>
  <c r="J685" i="13" s="1"/>
  <c r="J684" i="14" a="1"/>
  <c r="J684" i="14" s="1"/>
  <c r="N685" i="14"/>
  <c r="M688" i="13"/>
  <c r="M689" i="14"/>
  <c r="K528" i="13" l="1"/>
  <c r="L528" i="13" s="1"/>
  <c r="I529" i="13" s="1"/>
  <c r="M690" i="14"/>
  <c r="J685" i="14" a="1"/>
  <c r="J685" i="14" s="1"/>
  <c r="N686" i="14"/>
  <c r="N687" i="13"/>
  <c r="J686" i="13" a="1"/>
  <c r="J686" i="13" s="1"/>
  <c r="M689" i="13"/>
  <c r="L548" i="14"/>
  <c r="I549" i="14" s="1"/>
  <c r="K529" i="13" l="1"/>
  <c r="L529" i="13" s="1"/>
  <c r="I530" i="13" s="1"/>
  <c r="N688" i="13"/>
  <c r="J687" i="13" a="1"/>
  <c r="J687" i="13" s="1"/>
  <c r="M691" i="14"/>
  <c r="M690" i="13"/>
  <c r="J686" i="14" a="1"/>
  <c r="J686" i="14" s="1"/>
  <c r="N687" i="14"/>
  <c r="K549" i="14"/>
  <c r="L549" i="14" s="1"/>
  <c r="I550" i="14" s="1"/>
  <c r="K530" i="13" l="1"/>
  <c r="L530" i="13" s="1"/>
  <c r="I531" i="13" s="1"/>
  <c r="K550" i="14"/>
  <c r="L550" i="14" s="1"/>
  <c r="I551" i="14" s="1"/>
  <c r="J687" i="14" a="1"/>
  <c r="J687" i="14" s="1"/>
  <c r="N688" i="14"/>
  <c r="M692" i="14"/>
  <c r="M691" i="13"/>
  <c r="N689" i="13"/>
  <c r="J688" i="13" a="1"/>
  <c r="J688" i="13" s="1"/>
  <c r="K531" i="13" l="1"/>
  <c r="L531" i="13" s="1"/>
  <c r="I532" i="13" s="1"/>
  <c r="K551" i="14"/>
  <c r="L551" i="14" s="1"/>
  <c r="I552" i="14" s="1"/>
  <c r="N690" i="13"/>
  <c r="J689" i="13" a="1"/>
  <c r="J689" i="13" s="1"/>
  <c r="M693" i="14"/>
  <c r="M692" i="13"/>
  <c r="J688" i="14" a="1"/>
  <c r="J688" i="14" s="1"/>
  <c r="N689" i="14"/>
  <c r="K532" i="13" l="1"/>
  <c r="L532" i="13" s="1"/>
  <c r="I533" i="13" s="1"/>
  <c r="K552" i="14"/>
  <c r="L552" i="14" s="1"/>
  <c r="I553" i="14" s="1"/>
  <c r="J689" i="14" a="1"/>
  <c r="J689" i="14" s="1"/>
  <c r="N690" i="14"/>
  <c r="M694" i="14"/>
  <c r="M693" i="13"/>
  <c r="N691" i="13"/>
  <c r="J690" i="13" a="1"/>
  <c r="J690" i="13" s="1"/>
  <c r="K533" i="13" l="1"/>
  <c r="L533" i="13" s="1"/>
  <c r="I534" i="13" s="1"/>
  <c r="K553" i="14"/>
  <c r="L553" i="14" s="1"/>
  <c r="I554" i="14" s="1"/>
  <c r="N692" i="13"/>
  <c r="J691" i="13" a="1"/>
  <c r="J691" i="13" s="1"/>
  <c r="M695" i="14"/>
  <c r="M694" i="13"/>
  <c r="J690" i="14" a="1"/>
  <c r="J690" i="14" s="1"/>
  <c r="N691" i="14"/>
  <c r="K534" i="13" l="1"/>
  <c r="L534" i="13" s="1"/>
  <c r="I535" i="13" s="1"/>
  <c r="K554" i="14"/>
  <c r="L554" i="14" s="1"/>
  <c r="I555" i="14" s="1"/>
  <c r="J691" i="14" a="1"/>
  <c r="J691" i="14" s="1"/>
  <c r="N692" i="14"/>
  <c r="M696" i="14"/>
  <c r="M695" i="13"/>
  <c r="N693" i="13"/>
  <c r="J692" i="13" a="1"/>
  <c r="J692" i="13" s="1"/>
  <c r="K535" i="13" l="1"/>
  <c r="L535" i="13" s="1"/>
  <c r="I536" i="13" s="1"/>
  <c r="K555" i="14"/>
  <c r="L555" i="14" s="1"/>
  <c r="I556" i="14" s="1"/>
  <c r="M697" i="14"/>
  <c r="N694" i="13"/>
  <c r="J693" i="13" a="1"/>
  <c r="J693" i="13" s="1"/>
  <c r="M696" i="13"/>
  <c r="J692" i="14" a="1"/>
  <c r="J692" i="14" s="1"/>
  <c r="N693" i="14"/>
  <c r="K536" i="13" l="1"/>
  <c r="L536" i="13" s="1"/>
  <c r="I537" i="13" s="1"/>
  <c r="M698" i="14"/>
  <c r="J693" i="14" a="1"/>
  <c r="J693" i="14" s="1"/>
  <c r="N694" i="14"/>
  <c r="M697" i="13"/>
  <c r="N695" i="13"/>
  <c r="J694" i="13" a="1"/>
  <c r="J694" i="13" s="1"/>
  <c r="K556" i="14"/>
  <c r="L556" i="14" s="1"/>
  <c r="I557" i="14" s="1"/>
  <c r="K537" i="13" l="1"/>
  <c r="L537" i="13" s="1"/>
  <c r="I538" i="13" s="1"/>
  <c r="K557" i="14"/>
  <c r="L557" i="14" s="1"/>
  <c r="I558" i="14" s="1"/>
  <c r="M699" i="14"/>
  <c r="N696" i="13"/>
  <c r="J695" i="13" a="1"/>
  <c r="J695" i="13" s="1"/>
  <c r="M698" i="13"/>
  <c r="N695" i="14"/>
  <c r="J694" i="14" a="1"/>
  <c r="J694" i="14" s="1"/>
  <c r="K538" i="13" l="1"/>
  <c r="K558" i="14"/>
  <c r="L558" i="14" s="1"/>
  <c r="I559" i="14" s="1"/>
  <c r="N696" i="14"/>
  <c r="J695" i="14" a="1"/>
  <c r="J695" i="14" s="1"/>
  <c r="N697" i="13"/>
  <c r="J696" i="13" a="1"/>
  <c r="J696" i="13" s="1"/>
  <c r="M699" i="13"/>
  <c r="M700" i="14"/>
  <c r="L538" i="13" l="1"/>
  <c r="I539" i="13" s="1"/>
  <c r="K559" i="14"/>
  <c r="L559" i="14" s="1"/>
  <c r="I560" i="14" s="1"/>
  <c r="N697" i="14"/>
  <c r="J696" i="14" a="1"/>
  <c r="J696" i="14" s="1"/>
  <c r="M700" i="13"/>
  <c r="M701" i="14"/>
  <c r="N698" i="13"/>
  <c r="J697" i="13" a="1"/>
  <c r="J697" i="13" s="1"/>
  <c r="K539" i="13" l="1"/>
  <c r="L539" i="13" s="1"/>
  <c r="I540" i="13" s="1"/>
  <c r="M701" i="13"/>
  <c r="N699" i="13"/>
  <c r="J698" i="13" a="1"/>
  <c r="J698" i="13" s="1"/>
  <c r="N698" i="14"/>
  <c r="J697" i="14" a="1"/>
  <c r="J697" i="14" s="1"/>
  <c r="M702" i="14"/>
  <c r="K560" i="14"/>
  <c r="K540" i="13" l="1"/>
  <c r="L540" i="13" s="1"/>
  <c r="I541" i="13" s="1"/>
  <c r="M703" i="14"/>
  <c r="N700" i="13"/>
  <c r="J699" i="13" a="1"/>
  <c r="J699" i="13" s="1"/>
  <c r="L560" i="14"/>
  <c r="I561" i="14" s="1"/>
  <c r="M702" i="13"/>
  <c r="N699" i="14"/>
  <c r="J698" i="14" a="1"/>
  <c r="J698" i="14" s="1"/>
  <c r="K541" i="13" l="1"/>
  <c r="L541" i="13" s="1"/>
  <c r="I542" i="13" s="1"/>
  <c r="N701" i="13"/>
  <c r="J700" i="13" a="1"/>
  <c r="J700" i="13" s="1"/>
  <c r="N700" i="14"/>
  <c r="J699" i="14" a="1"/>
  <c r="J699" i="14" s="1"/>
  <c r="M704" i="14"/>
  <c r="M703" i="13"/>
  <c r="K561" i="14"/>
  <c r="L561" i="14" s="1"/>
  <c r="I562" i="14" s="1"/>
  <c r="K542" i="13" l="1"/>
  <c r="L542" i="13" s="1"/>
  <c r="I543" i="13" s="1"/>
  <c r="K562" i="14"/>
  <c r="L562" i="14" s="1"/>
  <c r="I563" i="14" s="1"/>
  <c r="N702" i="13"/>
  <c r="J701" i="13" a="1"/>
  <c r="J701" i="13" s="1"/>
  <c r="M705" i="14"/>
  <c r="M704" i="13"/>
  <c r="N701" i="14"/>
  <c r="J700" i="14" a="1"/>
  <c r="J700" i="14" s="1"/>
  <c r="K543" i="13" l="1"/>
  <c r="L543" i="13" s="1"/>
  <c r="I544" i="13" s="1"/>
  <c r="K563" i="14"/>
  <c r="L563" i="14" s="1"/>
  <c r="I564" i="14" s="1"/>
  <c r="N702" i="14"/>
  <c r="J701" i="14" a="1"/>
  <c r="J701" i="14" s="1"/>
  <c r="M706" i="14"/>
  <c r="M705" i="13"/>
  <c r="N703" i="13"/>
  <c r="J702" i="13" a="1"/>
  <c r="J702" i="13" s="1"/>
  <c r="K544" i="13" l="1"/>
  <c r="L544" i="13" s="1"/>
  <c r="I545" i="13" s="1"/>
  <c r="K564" i="14"/>
  <c r="L564" i="14" s="1"/>
  <c r="I565" i="14" s="1"/>
  <c r="N704" i="13"/>
  <c r="J703" i="13" a="1"/>
  <c r="J703" i="13" s="1"/>
  <c r="M707" i="14"/>
  <c r="M706" i="13"/>
  <c r="N703" i="14"/>
  <c r="J702" i="14" a="1"/>
  <c r="J702" i="14" s="1"/>
  <c r="K545" i="13" l="1"/>
  <c r="L545" i="13" s="1"/>
  <c r="I546" i="13" s="1"/>
  <c r="K565" i="14"/>
  <c r="L565" i="14" s="1"/>
  <c r="I566" i="14" s="1"/>
  <c r="M708" i="14"/>
  <c r="N704" i="14"/>
  <c r="J703" i="14" a="1"/>
  <c r="J703" i="14" s="1"/>
  <c r="M707" i="13"/>
  <c r="N705" i="13"/>
  <c r="J704" i="13" a="1"/>
  <c r="J704" i="13" s="1"/>
  <c r="K546" i="13" l="1"/>
  <c r="L546" i="13" s="1"/>
  <c r="I547" i="13" s="1"/>
  <c r="K566" i="14"/>
  <c r="L566" i="14" s="1"/>
  <c r="I567" i="14" s="1"/>
  <c r="N705" i="14"/>
  <c r="J704" i="14" a="1"/>
  <c r="J704" i="14" s="1"/>
  <c r="N706" i="13"/>
  <c r="J705" i="13" a="1"/>
  <c r="J705" i="13" s="1"/>
  <c r="M708" i="13"/>
  <c r="M709" i="14"/>
  <c r="K547" i="13" l="1"/>
  <c r="L547" i="13" s="1"/>
  <c r="I548" i="13" s="1"/>
  <c r="K567" i="14"/>
  <c r="L567" i="14" s="1"/>
  <c r="I568" i="14" s="1"/>
  <c r="M709" i="13"/>
  <c r="M710" i="14"/>
  <c r="N707" i="13"/>
  <c r="J706" i="13" a="1"/>
  <c r="J706" i="13" s="1"/>
  <c r="N706" i="14"/>
  <c r="J705" i="14" a="1"/>
  <c r="J705" i="14" s="1"/>
  <c r="K548" i="13" l="1"/>
  <c r="K568" i="14"/>
  <c r="L568" i="14" s="1"/>
  <c r="I569" i="14" s="1"/>
  <c r="M710" i="13"/>
  <c r="N707" i="14"/>
  <c r="J706" i="14" a="1"/>
  <c r="J706" i="14" s="1"/>
  <c r="M711" i="14"/>
  <c r="N708" i="13"/>
  <c r="J707" i="13" a="1"/>
  <c r="J707" i="13" s="1"/>
  <c r="L548" i="13" l="1"/>
  <c r="I549" i="13" s="1"/>
  <c r="K569" i="14"/>
  <c r="L569" i="14" s="1"/>
  <c r="I570" i="14" s="1"/>
  <c r="N708" i="14"/>
  <c r="J707" i="14" a="1"/>
  <c r="J707" i="14" s="1"/>
  <c r="N709" i="13"/>
  <c r="J708" i="13" a="1"/>
  <c r="J708" i="13" s="1"/>
  <c r="M712" i="14"/>
  <c r="M711" i="13"/>
  <c r="K549" i="13" l="1"/>
  <c r="K570" i="14"/>
  <c r="L570" i="14" s="1"/>
  <c r="I571" i="14" s="1"/>
  <c r="M712" i="13"/>
  <c r="N710" i="13"/>
  <c r="J709" i="13" a="1"/>
  <c r="J709" i="13" s="1"/>
  <c r="N709" i="14"/>
  <c r="J708" i="14" a="1"/>
  <c r="J708" i="14" s="1"/>
  <c r="M713" i="14"/>
  <c r="L549" i="13" l="1"/>
  <c r="I550" i="13" s="1"/>
  <c r="K571" i="14"/>
  <c r="L571" i="14" s="1"/>
  <c r="I572" i="14" s="1"/>
  <c r="N710" i="14"/>
  <c r="J709" i="14" a="1"/>
  <c r="J709" i="14" s="1"/>
  <c r="M714" i="14"/>
  <c r="N711" i="13"/>
  <c r="J710" i="13" a="1"/>
  <c r="J710" i="13" s="1"/>
  <c r="M713" i="13"/>
  <c r="K550" i="13" l="1"/>
  <c r="L550" i="13" s="1"/>
  <c r="I551" i="13" s="1"/>
  <c r="K572" i="14"/>
  <c r="M715" i="14"/>
  <c r="N712" i="13"/>
  <c r="J711" i="13" a="1"/>
  <c r="J711" i="13" s="1"/>
  <c r="M714" i="13"/>
  <c r="N711" i="14"/>
  <c r="J710" i="14" a="1"/>
  <c r="J710" i="14" s="1"/>
  <c r="K551" i="13" l="1"/>
  <c r="L551" i="13" s="1"/>
  <c r="I552" i="13" s="1"/>
  <c r="L572" i="14"/>
  <c r="I573" i="14" s="1"/>
  <c r="N712" i="14"/>
  <c r="J711" i="14" a="1"/>
  <c r="J711" i="14" s="1"/>
  <c r="M715" i="13"/>
  <c r="N713" i="13"/>
  <c r="J712" i="13" a="1"/>
  <c r="J712" i="13" s="1"/>
  <c r="M716" i="14"/>
  <c r="K552" i="13" l="1"/>
  <c r="L552" i="13" s="1"/>
  <c r="I553" i="13" s="1"/>
  <c r="N714" i="13"/>
  <c r="J713" i="13" a="1"/>
  <c r="J713" i="13" s="1"/>
  <c r="M717" i="14"/>
  <c r="M716" i="13"/>
  <c r="K573" i="14"/>
  <c r="N713" i="14"/>
  <c r="J712" i="14" a="1"/>
  <c r="J712" i="14" s="1"/>
  <c r="K553" i="13" l="1"/>
  <c r="L553" i="13" s="1"/>
  <c r="I554" i="13" s="1"/>
  <c r="M717" i="13"/>
  <c r="N715" i="13"/>
  <c r="J714" i="13" a="1"/>
  <c r="J714" i="13" s="1"/>
  <c r="N714" i="14"/>
  <c r="J713" i="14" a="1"/>
  <c r="J713" i="14" s="1"/>
  <c r="M718" i="14"/>
  <c r="L573" i="14"/>
  <c r="I574" i="14" s="1"/>
  <c r="K554" i="13" l="1"/>
  <c r="L554" i="13" s="1"/>
  <c r="I555" i="13" s="1"/>
  <c r="K574" i="14"/>
  <c r="L574" i="14" s="1"/>
  <c r="I575" i="14" s="1"/>
  <c r="N715" i="14"/>
  <c r="J714" i="14" a="1"/>
  <c r="J714" i="14" s="1"/>
  <c r="M718" i="13"/>
  <c r="M719" i="14"/>
  <c r="N716" i="13"/>
  <c r="J715" i="13" a="1"/>
  <c r="J715" i="13" s="1"/>
  <c r="K555" i="13" l="1"/>
  <c r="L555" i="13" s="1"/>
  <c r="I556" i="13" s="1"/>
  <c r="M719" i="13"/>
  <c r="K575" i="14"/>
  <c r="L575" i="14" s="1"/>
  <c r="I576" i="14" s="1"/>
  <c r="N717" i="13"/>
  <c r="J716" i="13" a="1"/>
  <c r="J716" i="13" s="1"/>
  <c r="M720" i="14"/>
  <c r="N716" i="14"/>
  <c r="J715" i="14" a="1"/>
  <c r="J715" i="14" s="1"/>
  <c r="K556" i="13" l="1"/>
  <c r="L556" i="13" s="1"/>
  <c r="I557" i="13" s="1"/>
  <c r="K576" i="14"/>
  <c r="L576" i="14" s="1"/>
  <c r="I577" i="14" s="1"/>
  <c r="M720" i="13"/>
  <c r="N718" i="13"/>
  <c r="J717" i="13" a="1"/>
  <c r="J717" i="13" s="1"/>
  <c r="M721" i="14"/>
  <c r="N717" i="14"/>
  <c r="J716" i="14" a="1"/>
  <c r="J716" i="14" s="1"/>
  <c r="K557" i="13" l="1"/>
  <c r="L557" i="13" s="1"/>
  <c r="I558" i="13" s="1"/>
  <c r="K577" i="14"/>
  <c r="L577" i="14" s="1"/>
  <c r="I578" i="14" s="1"/>
  <c r="N719" i="13"/>
  <c r="J718" i="13" a="1"/>
  <c r="J718" i="13" s="1"/>
  <c r="N718" i="14"/>
  <c r="J717" i="14" a="1"/>
  <c r="J717" i="14" s="1"/>
  <c r="M722" i="14"/>
  <c r="M721" i="13"/>
  <c r="K558" i="13" l="1"/>
  <c r="L558" i="13" s="1"/>
  <c r="I559" i="13" s="1"/>
  <c r="K578" i="14"/>
  <c r="L578" i="14" s="1"/>
  <c r="I579" i="14" s="1"/>
  <c r="N720" i="13"/>
  <c r="J719" i="13" a="1"/>
  <c r="J719" i="13" s="1"/>
  <c r="M722" i="13"/>
  <c r="N719" i="14"/>
  <c r="J718" i="14" a="1"/>
  <c r="J718" i="14" s="1"/>
  <c r="M723" i="14"/>
  <c r="K559" i="13" l="1"/>
  <c r="L559" i="13" s="1"/>
  <c r="I560" i="13" s="1"/>
  <c r="K579" i="14"/>
  <c r="L579" i="14" s="1"/>
  <c r="I580" i="14" s="1"/>
  <c r="M724" i="14"/>
  <c r="M723" i="13"/>
  <c r="N721" i="13"/>
  <c r="J720" i="13" a="1"/>
  <c r="J720" i="13" s="1"/>
  <c r="N720" i="14"/>
  <c r="J719" i="14" a="1"/>
  <c r="J719" i="14" s="1"/>
  <c r="K560" i="13" l="1"/>
  <c r="K580" i="14"/>
  <c r="L580" i="14" s="1"/>
  <c r="I581" i="14" s="1"/>
  <c r="N721" i="14"/>
  <c r="J720" i="14" a="1"/>
  <c r="J720" i="14" s="1"/>
  <c r="M724" i="13"/>
  <c r="M725" i="14"/>
  <c r="N722" i="13"/>
  <c r="J721" i="13" a="1"/>
  <c r="J721" i="13" s="1"/>
  <c r="L560" i="13" l="1"/>
  <c r="I561" i="13" s="1"/>
  <c r="K581" i="14"/>
  <c r="L581" i="14" s="1"/>
  <c r="I582" i="14" s="1"/>
  <c r="M725" i="13"/>
  <c r="N722" i="14"/>
  <c r="J721" i="14" a="1"/>
  <c r="J721" i="14" s="1"/>
  <c r="N723" i="13"/>
  <c r="J722" i="13" a="1"/>
  <c r="J722" i="13" s="1"/>
  <c r="M726" i="14"/>
  <c r="K561" i="13" l="1"/>
  <c r="K582" i="14"/>
  <c r="L582" i="14" s="1"/>
  <c r="I583" i="14" s="1"/>
  <c r="M726" i="13"/>
  <c r="N724" i="13"/>
  <c r="J723" i="13" a="1"/>
  <c r="J723" i="13" s="1"/>
  <c r="M727" i="14"/>
  <c r="N723" i="14"/>
  <c r="J722" i="14" a="1"/>
  <c r="J722" i="14" s="1"/>
  <c r="L561" i="13" l="1"/>
  <c r="I562" i="13" s="1"/>
  <c r="K583" i="14"/>
  <c r="L583" i="14" s="1"/>
  <c r="I584" i="14" s="1"/>
  <c r="M727" i="13"/>
  <c r="N724" i="14"/>
  <c r="J723" i="14" a="1"/>
  <c r="J723" i="14" s="1"/>
  <c r="M728" i="14"/>
  <c r="N725" i="13"/>
  <c r="J724" i="13" a="1"/>
  <c r="J724" i="13" s="1"/>
  <c r="K562" i="13" l="1"/>
  <c r="L562" i="13" s="1"/>
  <c r="I563" i="13" s="1"/>
  <c r="K584" i="14"/>
  <c r="N726" i="13"/>
  <c r="J725" i="13" a="1"/>
  <c r="J725" i="13" s="1"/>
  <c r="N725" i="14"/>
  <c r="J724" i="14" a="1"/>
  <c r="J724" i="14" s="1"/>
  <c r="M729" i="14"/>
  <c r="M728" i="13"/>
  <c r="K563" i="13" l="1"/>
  <c r="L563" i="13" s="1"/>
  <c r="I564" i="13" s="1"/>
  <c r="M729" i="13"/>
  <c r="N726" i="14"/>
  <c r="J725" i="14" a="1"/>
  <c r="J725" i="14" s="1"/>
  <c r="L584" i="14"/>
  <c r="I585" i="14" s="1"/>
  <c r="M730" i="14"/>
  <c r="N727" i="13"/>
  <c r="J726" i="13" a="1"/>
  <c r="J726" i="13" s="1"/>
  <c r="K564" i="13" l="1"/>
  <c r="L564" i="13" s="1"/>
  <c r="I565" i="13" s="1"/>
  <c r="K585" i="14"/>
  <c r="N728" i="13"/>
  <c r="J727" i="13" a="1"/>
  <c r="J727" i="13" s="1"/>
  <c r="M731" i="14"/>
  <c r="N727" i="14"/>
  <c r="J726" i="14" a="1"/>
  <c r="J726" i="14" s="1"/>
  <c r="M730" i="13"/>
  <c r="K565" i="13" l="1"/>
  <c r="L565" i="13" s="1"/>
  <c r="I566" i="13" s="1"/>
  <c r="M731" i="13"/>
  <c r="M732" i="14"/>
  <c r="L585" i="14"/>
  <c r="I586" i="14" s="1"/>
  <c r="N728" i="14"/>
  <c r="J727" i="14" a="1"/>
  <c r="J727" i="14" s="1"/>
  <c r="N729" i="13"/>
  <c r="J728" i="13" a="1"/>
  <c r="J728" i="13" s="1"/>
  <c r="K566" i="13" l="1"/>
  <c r="L566" i="13" s="1"/>
  <c r="I567" i="13" s="1"/>
  <c r="K586" i="14"/>
  <c r="L586" i="14" s="1"/>
  <c r="I587" i="14" s="1"/>
  <c r="N730" i="13"/>
  <c r="J729" i="13" a="1"/>
  <c r="J729" i="13" s="1"/>
  <c r="M733" i="14"/>
  <c r="N729" i="14"/>
  <c r="J728" i="14" a="1"/>
  <c r="J728" i="14" s="1"/>
  <c r="M732" i="13"/>
  <c r="K567" i="13" l="1"/>
  <c r="L567" i="13" s="1"/>
  <c r="I568" i="13" s="1"/>
  <c r="K587" i="14"/>
  <c r="L587" i="14" s="1"/>
  <c r="I588" i="14" s="1"/>
  <c r="N730" i="14"/>
  <c r="J729" i="14" a="1"/>
  <c r="J729" i="14" s="1"/>
  <c r="M733" i="13"/>
  <c r="M734" i="14"/>
  <c r="N731" i="13"/>
  <c r="J730" i="13" a="1"/>
  <c r="J730" i="13" s="1"/>
  <c r="K568" i="13" l="1"/>
  <c r="L568" i="13" s="1"/>
  <c r="I569" i="13" s="1"/>
  <c r="K588" i="14"/>
  <c r="L588" i="14" s="1"/>
  <c r="I589" i="14" s="1"/>
  <c r="M734" i="13"/>
  <c r="N732" i="13"/>
  <c r="J731" i="13" a="1"/>
  <c r="J731" i="13" s="1"/>
  <c r="M735" i="14"/>
  <c r="N731" i="14"/>
  <c r="J730" i="14" a="1"/>
  <c r="J730" i="14" s="1"/>
  <c r="K569" i="13" l="1"/>
  <c r="L569" i="13" s="1"/>
  <c r="I570" i="13" s="1"/>
  <c r="K589" i="14"/>
  <c r="L589" i="14" s="1"/>
  <c r="I590" i="14" s="1"/>
  <c r="N732" i="14"/>
  <c r="J731" i="14" a="1"/>
  <c r="J731" i="14" s="1"/>
  <c r="M736" i="14"/>
  <c r="N733" i="13"/>
  <c r="J732" i="13" a="1"/>
  <c r="J732" i="13" s="1"/>
  <c r="M735" i="13"/>
  <c r="K570" i="13" l="1"/>
  <c r="L570" i="13" s="1"/>
  <c r="I571" i="13" s="1"/>
  <c r="K590" i="14"/>
  <c r="L590" i="14" s="1"/>
  <c r="I591" i="14" s="1"/>
  <c r="M737" i="14"/>
  <c r="M736" i="13"/>
  <c r="N734" i="13"/>
  <c r="J733" i="13" a="1"/>
  <c r="J733" i="13" s="1"/>
  <c r="N733" i="14"/>
  <c r="J732" i="14" a="1"/>
  <c r="J732" i="14" s="1"/>
  <c r="K571" i="13" l="1"/>
  <c r="L571" i="13" s="1"/>
  <c r="I572" i="13" s="1"/>
  <c r="K591" i="14"/>
  <c r="L591" i="14" s="1"/>
  <c r="I592" i="14" s="1"/>
  <c r="M737" i="13"/>
  <c r="M738" i="14"/>
  <c r="N734" i="14"/>
  <c r="J733" i="14" a="1"/>
  <c r="J733" i="14" s="1"/>
  <c r="N735" i="13"/>
  <c r="J734" i="13" a="1"/>
  <c r="J734" i="13" s="1"/>
  <c r="K572" i="13" l="1"/>
  <c r="L572" i="13" s="1"/>
  <c r="I573" i="13" s="1"/>
  <c r="M738" i="13"/>
  <c r="N735" i="14"/>
  <c r="J734" i="14" a="1"/>
  <c r="J734" i="14" s="1"/>
  <c r="M739" i="14"/>
  <c r="N736" i="13"/>
  <c r="J735" i="13" a="1"/>
  <c r="J735" i="13" s="1"/>
  <c r="K592" i="14"/>
  <c r="L592" i="14" s="1"/>
  <c r="I593" i="14" s="1"/>
  <c r="K573" i="13" l="1"/>
  <c r="L573" i="13" s="1"/>
  <c r="I574" i="13" s="1"/>
  <c r="K593" i="14"/>
  <c r="L593" i="14" s="1"/>
  <c r="I594" i="14" s="1"/>
  <c r="N737" i="13"/>
  <c r="J736" i="13" a="1"/>
  <c r="J736" i="13" s="1"/>
  <c r="N736" i="14"/>
  <c r="J735" i="14" a="1"/>
  <c r="J735" i="14" s="1"/>
  <c r="M740" i="14"/>
  <c r="M739" i="13"/>
  <c r="K574" i="13" l="1"/>
  <c r="N737" i="14"/>
  <c r="J736" i="14" a="1"/>
  <c r="J736" i="14" s="1"/>
  <c r="M740" i="13"/>
  <c r="M741" i="14"/>
  <c r="N738" i="13"/>
  <c r="J737" i="13" a="1"/>
  <c r="J737" i="13" s="1"/>
  <c r="K594" i="14"/>
  <c r="L594" i="14" s="1"/>
  <c r="I595" i="14" s="1"/>
  <c r="L574" i="13" l="1"/>
  <c r="I575" i="13" s="1"/>
  <c r="K595" i="14"/>
  <c r="L595" i="14" s="1"/>
  <c r="I596" i="14" s="1"/>
  <c r="M742" i="14"/>
  <c r="N739" i="13"/>
  <c r="J738" i="13" a="1"/>
  <c r="J738" i="13" s="1"/>
  <c r="M741" i="13"/>
  <c r="N738" i="14"/>
  <c r="J737" i="14" a="1"/>
  <c r="J737" i="14" s="1"/>
  <c r="K575" i="13" l="1"/>
  <c r="L575" i="13" s="1"/>
  <c r="I576" i="13" s="1"/>
  <c r="K596" i="14"/>
  <c r="N740" i="13"/>
  <c r="J739" i="13" a="1"/>
  <c r="J739" i="13" s="1"/>
  <c r="M743" i="14"/>
  <c r="M742" i="13"/>
  <c r="N739" i="14"/>
  <c r="J738" i="14" a="1"/>
  <c r="J738" i="14" s="1"/>
  <c r="K576" i="13" l="1"/>
  <c r="L576" i="13" s="1"/>
  <c r="I577" i="13" s="1"/>
  <c r="N740" i="14"/>
  <c r="J739" i="14" a="1"/>
  <c r="J739" i="14" s="1"/>
  <c r="L596" i="14"/>
  <c r="I597" i="14" s="1"/>
  <c r="M744" i="14"/>
  <c r="M743" i="13"/>
  <c r="N741" i="13"/>
  <c r="J740" i="13" a="1"/>
  <c r="J740" i="13" s="1"/>
  <c r="K577" i="13" l="1"/>
  <c r="L577" i="13" s="1"/>
  <c r="I578" i="13" s="1"/>
  <c r="M745" i="14"/>
  <c r="N741" i="14"/>
  <c r="J740" i="14" a="1"/>
  <c r="J740" i="14" s="1"/>
  <c r="N742" i="13"/>
  <c r="J741" i="13" a="1"/>
  <c r="J741" i="13" s="1"/>
  <c r="M744" i="13"/>
  <c r="K597" i="14"/>
  <c r="L597" i="14" s="1"/>
  <c r="I598" i="14" s="1"/>
  <c r="K578" i="13" l="1"/>
  <c r="L578" i="13" s="1"/>
  <c r="I579" i="13" s="1"/>
  <c r="K598" i="14"/>
  <c r="L598" i="14" s="1"/>
  <c r="I599" i="14" s="1"/>
  <c r="N743" i="13"/>
  <c r="J742" i="13" a="1"/>
  <c r="J742" i="13" s="1"/>
  <c r="M745" i="13"/>
  <c r="N742" i="14"/>
  <c r="J741" i="14" a="1"/>
  <c r="J741" i="14" s="1"/>
  <c r="M746" i="14"/>
  <c r="K579" i="13" l="1"/>
  <c r="L579" i="13" s="1"/>
  <c r="I580" i="13" s="1"/>
  <c r="K599" i="14"/>
  <c r="L599" i="14" s="1"/>
  <c r="I600" i="14" s="1"/>
  <c r="M747" i="14"/>
  <c r="N743" i="14"/>
  <c r="J742" i="14" a="1"/>
  <c r="J742" i="14" s="1"/>
  <c r="N744" i="13"/>
  <c r="J743" i="13" a="1"/>
  <c r="J743" i="13" s="1"/>
  <c r="M746" i="13"/>
  <c r="K580" i="13" l="1"/>
  <c r="L580" i="13" s="1"/>
  <c r="I581" i="13" s="1"/>
  <c r="K600" i="14"/>
  <c r="L600" i="14" s="1"/>
  <c r="I601" i="14" s="1"/>
  <c r="N744" i="14"/>
  <c r="J743" i="14" a="1"/>
  <c r="J743" i="14" s="1"/>
  <c r="M748" i="14"/>
  <c r="N745" i="13"/>
  <c r="J744" i="13" a="1"/>
  <c r="J744" i="13" s="1"/>
  <c r="M747" i="13"/>
  <c r="K581" i="13" l="1"/>
  <c r="L581" i="13" s="1"/>
  <c r="I582" i="13" s="1"/>
  <c r="N745" i="14"/>
  <c r="J744" i="14" a="1"/>
  <c r="J744" i="14" s="1"/>
  <c r="M748" i="13"/>
  <c r="N746" i="13"/>
  <c r="J745" i="13" a="1"/>
  <c r="J745" i="13" s="1"/>
  <c r="M749" i="14"/>
  <c r="K601" i="14"/>
  <c r="L601" i="14" s="1"/>
  <c r="I602" i="14" s="1"/>
  <c r="K582" i="13" l="1"/>
  <c r="L582" i="13" s="1"/>
  <c r="I583" i="13" s="1"/>
  <c r="K602" i="14"/>
  <c r="L602" i="14" s="1"/>
  <c r="I603" i="14" s="1"/>
  <c r="N747" i="13"/>
  <c r="J746" i="13" a="1"/>
  <c r="J746" i="13" s="1"/>
  <c r="M750" i="14"/>
  <c r="M749" i="13"/>
  <c r="N746" i="14"/>
  <c r="J745" i="14" a="1"/>
  <c r="J745" i="14" s="1"/>
  <c r="K583" i="13" l="1"/>
  <c r="L583" i="13" s="1"/>
  <c r="I584" i="13" s="1"/>
  <c r="K603" i="14"/>
  <c r="L603" i="14" s="1"/>
  <c r="I604" i="14" s="1"/>
  <c r="M751" i="14"/>
  <c r="N747" i="14"/>
  <c r="J746" i="14" a="1"/>
  <c r="J746" i="14" s="1"/>
  <c r="M750" i="13"/>
  <c r="N748" i="13"/>
  <c r="J747" i="13" a="1"/>
  <c r="J747" i="13" s="1"/>
  <c r="K584" i="13" l="1"/>
  <c r="K604" i="14"/>
  <c r="L604" i="14" s="1"/>
  <c r="I605" i="14" s="1"/>
  <c r="N749" i="13"/>
  <c r="J748" i="13" a="1"/>
  <c r="J748" i="13" s="1"/>
  <c r="N748" i="14"/>
  <c r="J747" i="14" a="1"/>
  <c r="J747" i="14" s="1"/>
  <c r="M751" i="13"/>
  <c r="M752" i="14"/>
  <c r="L584" i="13" l="1"/>
  <c r="I585" i="13" s="1"/>
  <c r="K605" i="14"/>
  <c r="L605" i="14" s="1"/>
  <c r="I606" i="14" s="1"/>
  <c r="M753" i="14"/>
  <c r="M752" i="13"/>
  <c r="N750" i="13"/>
  <c r="J749" i="13" a="1"/>
  <c r="J749" i="13" s="1"/>
  <c r="N749" i="14"/>
  <c r="J748" i="14" a="1"/>
  <c r="J748" i="14" s="1"/>
  <c r="K585" i="13" l="1"/>
  <c r="L585" i="13" s="1"/>
  <c r="I586" i="13" s="1"/>
  <c r="K606" i="14"/>
  <c r="L606" i="14" s="1"/>
  <c r="I607" i="14" s="1"/>
  <c r="M754" i="14"/>
  <c r="N750" i="14"/>
  <c r="J749" i="14" a="1"/>
  <c r="J749" i="14" s="1"/>
  <c r="M753" i="13"/>
  <c r="N751" i="13"/>
  <c r="J750" i="13" a="1"/>
  <c r="J750" i="13" s="1"/>
  <c r="K586" i="13" l="1"/>
  <c r="L586" i="13" s="1"/>
  <c r="I587" i="13" s="1"/>
  <c r="K607" i="14"/>
  <c r="L607" i="14" s="1"/>
  <c r="I608" i="14" s="1"/>
  <c r="N752" i="13"/>
  <c r="J751" i="13" a="1"/>
  <c r="J751" i="13" s="1"/>
  <c r="N751" i="14"/>
  <c r="J750" i="14" a="1"/>
  <c r="J750" i="14" s="1"/>
  <c r="M754" i="13"/>
  <c r="M755" i="14"/>
  <c r="K587" i="13" l="1"/>
  <c r="L587" i="13" s="1"/>
  <c r="I588" i="13" s="1"/>
  <c r="K608" i="14"/>
  <c r="M755" i="13"/>
  <c r="M756" i="14"/>
  <c r="N752" i="14"/>
  <c r="J751" i="14" a="1"/>
  <c r="J751" i="14" s="1"/>
  <c r="N753" i="13"/>
  <c r="J752" i="13" a="1"/>
  <c r="J752" i="13" s="1"/>
  <c r="K588" i="13" l="1"/>
  <c r="L588" i="13" s="1"/>
  <c r="I589" i="13" s="1"/>
  <c r="M757" i="14"/>
  <c r="N754" i="13"/>
  <c r="J753" i="13" a="1"/>
  <c r="J753" i="13" s="1"/>
  <c r="M756" i="13"/>
  <c r="N753" i="14"/>
  <c r="J752" i="14" a="1"/>
  <c r="J752" i="14" s="1"/>
  <c r="L608" i="14"/>
  <c r="I609" i="14" s="1"/>
  <c r="K589" i="13" l="1"/>
  <c r="L589" i="13" s="1"/>
  <c r="I590" i="13" s="1"/>
  <c r="N754" i="14"/>
  <c r="J753" i="14" a="1"/>
  <c r="J753" i="14" s="1"/>
  <c r="M757" i="13"/>
  <c r="N755" i="13"/>
  <c r="J754" i="13" a="1"/>
  <c r="J754" i="13" s="1"/>
  <c r="K609" i="14"/>
  <c r="M758" i="14"/>
  <c r="K590" i="13" l="1"/>
  <c r="L590" i="13" s="1"/>
  <c r="I591" i="13" s="1"/>
  <c r="M758" i="13"/>
  <c r="L609" i="14"/>
  <c r="I610" i="14" s="1"/>
  <c r="N756" i="13"/>
  <c r="J755" i="13" a="1"/>
  <c r="J755" i="13" s="1"/>
  <c r="N755" i="14"/>
  <c r="J754" i="14" a="1"/>
  <c r="J754" i="14" s="1"/>
  <c r="M759" i="14"/>
  <c r="K591" i="13" l="1"/>
  <c r="L591" i="13" s="1"/>
  <c r="I592" i="13" s="1"/>
  <c r="N756" i="14"/>
  <c r="J755" i="14" a="1"/>
  <c r="J755" i="14" s="1"/>
  <c r="K610" i="14"/>
  <c r="L610" i="14" s="1"/>
  <c r="I611" i="14" s="1"/>
  <c r="M760" i="14"/>
  <c r="M759" i="13"/>
  <c r="N757" i="13"/>
  <c r="J756" i="13" a="1"/>
  <c r="J756" i="13" s="1"/>
  <c r="K592" i="13" l="1"/>
  <c r="L592" i="13" s="1"/>
  <c r="I593" i="13" s="1"/>
  <c r="M761" i="14"/>
  <c r="M760" i="13"/>
  <c r="K611" i="14"/>
  <c r="L611" i="14" s="1"/>
  <c r="I612" i="14" s="1"/>
  <c r="N758" i="13"/>
  <c r="J757" i="13" a="1"/>
  <c r="J757" i="13" s="1"/>
  <c r="N757" i="14"/>
  <c r="J756" i="14" a="1"/>
  <c r="J756" i="14" s="1"/>
  <c r="K593" i="13" l="1"/>
  <c r="L593" i="13" s="1"/>
  <c r="I594" i="13" s="1"/>
  <c r="K612" i="14"/>
  <c r="L612" i="14" s="1"/>
  <c r="I613" i="14" s="1"/>
  <c r="M761" i="13"/>
  <c r="N758" i="14"/>
  <c r="J757" i="14" a="1"/>
  <c r="J757" i="14" s="1"/>
  <c r="M762" i="14"/>
  <c r="N759" i="13"/>
  <c r="J758" i="13" a="1"/>
  <c r="J758" i="13" s="1"/>
  <c r="K594" i="13" l="1"/>
  <c r="L594" i="13" s="1"/>
  <c r="I595" i="13" s="1"/>
  <c r="K613" i="14"/>
  <c r="L613" i="14" s="1"/>
  <c r="I614" i="14" s="1"/>
  <c r="M762" i="13"/>
  <c r="N760" i="13"/>
  <c r="J759" i="13" a="1"/>
  <c r="J759" i="13" s="1"/>
  <c r="N759" i="14"/>
  <c r="J758" i="14" a="1"/>
  <c r="J758" i="14" s="1"/>
  <c r="M763" i="14"/>
  <c r="K595" i="13" l="1"/>
  <c r="L595" i="13" s="1"/>
  <c r="I596" i="13" s="1"/>
  <c r="M763" i="13"/>
  <c r="M764" i="14"/>
  <c r="N761" i="13"/>
  <c r="J760" i="13" a="1"/>
  <c r="J760" i="13" s="1"/>
  <c r="K614" i="14"/>
  <c r="L614" i="14" s="1"/>
  <c r="I615" i="14" s="1"/>
  <c r="N760" i="14"/>
  <c r="J759" i="14" a="1"/>
  <c r="J759" i="14" s="1"/>
  <c r="K596" i="13" l="1"/>
  <c r="K615" i="14"/>
  <c r="L615" i="14" s="1"/>
  <c r="I616" i="14" s="1"/>
  <c r="M764" i="13"/>
  <c r="N762" i="13"/>
  <c r="J761" i="13" a="1"/>
  <c r="J761" i="13" s="1"/>
  <c r="N761" i="14"/>
  <c r="J760" i="14" a="1"/>
  <c r="J760" i="14" s="1"/>
  <c r="M765" i="14"/>
  <c r="L596" i="13" l="1"/>
  <c r="I597" i="13" s="1"/>
  <c r="N762" i="14"/>
  <c r="J761" i="14" a="1"/>
  <c r="J761" i="14" s="1"/>
  <c r="M765" i="13"/>
  <c r="M766" i="14"/>
  <c r="N763" i="13"/>
  <c r="J762" i="13" a="1"/>
  <c r="J762" i="13" s="1"/>
  <c r="K616" i="14"/>
  <c r="L616" i="14" s="1"/>
  <c r="I617" i="14" s="1"/>
  <c r="K597" i="13" l="1"/>
  <c r="K617" i="14"/>
  <c r="L617" i="14" s="1"/>
  <c r="I618" i="14" s="1"/>
  <c r="M767" i="14"/>
  <c r="N763" i="14"/>
  <c r="J762" i="14" a="1"/>
  <c r="J762" i="14" s="1"/>
  <c r="M766" i="13"/>
  <c r="N764" i="13"/>
  <c r="J763" i="13" a="1"/>
  <c r="J763" i="13" s="1"/>
  <c r="L597" i="13" l="1"/>
  <c r="I598" i="13" s="1"/>
  <c r="K618" i="14"/>
  <c r="L618" i="14" s="1"/>
  <c r="I619" i="14" s="1"/>
  <c r="M768" i="14"/>
  <c r="N765" i="13"/>
  <c r="J764" i="13" a="1"/>
  <c r="J764" i="13" s="1"/>
  <c r="M767" i="13"/>
  <c r="N764" i="14"/>
  <c r="J763" i="14" a="1"/>
  <c r="J763" i="14" s="1"/>
  <c r="K598" i="13" l="1"/>
  <c r="L598" i="13" s="1"/>
  <c r="I599" i="13" s="1"/>
  <c r="K619" i="14"/>
  <c r="L619" i="14" s="1"/>
  <c r="I620" i="14" s="1"/>
  <c r="M769" i="14"/>
  <c r="N766" i="13"/>
  <c r="J765" i="13" a="1"/>
  <c r="J765" i="13" s="1"/>
  <c r="N765" i="14"/>
  <c r="J764" i="14" a="1"/>
  <c r="J764" i="14" s="1"/>
  <c r="M768" i="13"/>
  <c r="K599" i="13" l="1"/>
  <c r="L599" i="13" s="1"/>
  <c r="I600" i="13" s="1"/>
  <c r="K620" i="14"/>
  <c r="N767" i="13"/>
  <c r="J766" i="13" a="1"/>
  <c r="J766" i="13" s="1"/>
  <c r="M770" i="14"/>
  <c r="M769" i="13"/>
  <c r="N766" i="14"/>
  <c r="J765" i="14" a="1"/>
  <c r="J765" i="14" s="1"/>
  <c r="K600" i="13" l="1"/>
  <c r="L600" i="13" s="1"/>
  <c r="I601" i="13" s="1"/>
  <c r="M770" i="13"/>
  <c r="N767" i="14"/>
  <c r="J766" i="14" a="1"/>
  <c r="J766" i="14" s="1"/>
  <c r="M771" i="14"/>
  <c r="N768" i="13"/>
  <c r="J767" i="13" a="1"/>
  <c r="J767" i="13" s="1"/>
  <c r="L620" i="14"/>
  <c r="I621" i="14" s="1"/>
  <c r="K601" i="13" l="1"/>
  <c r="L601" i="13" s="1"/>
  <c r="I602" i="13" s="1"/>
  <c r="M771" i="13"/>
  <c r="N769" i="13"/>
  <c r="J768" i="13" a="1"/>
  <c r="J768" i="13" s="1"/>
  <c r="M772" i="14"/>
  <c r="K621" i="14"/>
  <c r="L621" i="14" s="1"/>
  <c r="I622" i="14" s="1"/>
  <c r="N768" i="14"/>
  <c r="J767" i="14" a="1"/>
  <c r="J767" i="14" s="1"/>
  <c r="K602" i="13" l="1"/>
  <c r="L602" i="13" s="1"/>
  <c r="I603" i="13" s="1"/>
  <c r="K622" i="14"/>
  <c r="L622" i="14" s="1"/>
  <c r="I623" i="14" s="1"/>
  <c r="M773" i="14"/>
  <c r="N769" i="14"/>
  <c r="J768" i="14" a="1"/>
  <c r="J768" i="14" s="1"/>
  <c r="M772" i="13"/>
  <c r="N770" i="13"/>
  <c r="J769" i="13" a="1"/>
  <c r="J769" i="13" s="1"/>
  <c r="K603" i="13" l="1"/>
  <c r="L603" i="13" s="1"/>
  <c r="I604" i="13" s="1"/>
  <c r="K623" i="14"/>
  <c r="L623" i="14" s="1"/>
  <c r="I624" i="14" s="1"/>
  <c r="N771" i="13"/>
  <c r="J770" i="13" a="1"/>
  <c r="J770" i="13" s="1"/>
  <c r="N770" i="14"/>
  <c r="J769" i="14" a="1"/>
  <c r="J769" i="14" s="1"/>
  <c r="M773" i="13"/>
  <c r="M774" i="14"/>
  <c r="K604" i="13" l="1"/>
  <c r="L604" i="13" s="1"/>
  <c r="I605" i="13" s="1"/>
  <c r="K624" i="14"/>
  <c r="L624" i="14" s="1"/>
  <c r="I625" i="14" s="1"/>
  <c r="M774" i="13"/>
  <c r="M775" i="14"/>
  <c r="N772" i="13"/>
  <c r="J771" i="13" a="1"/>
  <c r="J771" i="13" s="1"/>
  <c r="N771" i="14"/>
  <c r="J770" i="14" a="1"/>
  <c r="J770" i="14" s="1"/>
  <c r="K605" i="13" l="1"/>
  <c r="L605" i="13" s="1"/>
  <c r="I606" i="13" s="1"/>
  <c r="M776" i="14"/>
  <c r="M775" i="13"/>
  <c r="N772" i="14"/>
  <c r="J771" i="14" a="1"/>
  <c r="J771" i="14" s="1"/>
  <c r="K625" i="14"/>
  <c r="L625" i="14" s="1"/>
  <c r="I626" i="14" s="1"/>
  <c r="N773" i="13"/>
  <c r="J772" i="13" a="1"/>
  <c r="J772" i="13" s="1"/>
  <c r="K606" i="13" l="1"/>
  <c r="L606" i="13" s="1"/>
  <c r="I607" i="13" s="1"/>
  <c r="K626" i="14"/>
  <c r="L626" i="14" s="1"/>
  <c r="I627" i="14" s="1"/>
  <c r="M777" i="14"/>
  <c r="N773" i="14"/>
  <c r="J772" i="14" a="1"/>
  <c r="J772" i="14" s="1"/>
  <c r="N774" i="13"/>
  <c r="J773" i="13" a="1"/>
  <c r="J773" i="13" s="1"/>
  <c r="M776" i="13"/>
  <c r="K607" i="13" l="1"/>
  <c r="L607" i="13" s="1"/>
  <c r="I608" i="13" s="1"/>
  <c r="K627" i="14"/>
  <c r="L627" i="14" s="1"/>
  <c r="I628" i="14" s="1"/>
  <c r="N774" i="14"/>
  <c r="J773" i="14" a="1"/>
  <c r="J773" i="14" s="1"/>
  <c r="M778" i="14"/>
  <c r="M777" i="13"/>
  <c r="N775" i="13"/>
  <c r="J774" i="13" a="1"/>
  <c r="J774" i="13" s="1"/>
  <c r="K608" i="13" l="1"/>
  <c r="K628" i="14"/>
  <c r="L628" i="14" s="1"/>
  <c r="I629" i="14" s="1"/>
  <c r="M778" i="13"/>
  <c r="M779" i="14"/>
  <c r="N776" i="13"/>
  <c r="J775" i="13" a="1"/>
  <c r="J775" i="13" s="1"/>
  <c r="N775" i="14"/>
  <c r="J774" i="14" a="1"/>
  <c r="J774" i="14" s="1"/>
  <c r="L608" i="13" l="1"/>
  <c r="I609" i="13" s="1"/>
  <c r="K629" i="14"/>
  <c r="L629" i="14" s="1"/>
  <c r="I630" i="14" s="1"/>
  <c r="N777" i="13"/>
  <c r="J776" i="13" a="1"/>
  <c r="J776" i="13" s="1"/>
  <c r="M779" i="13"/>
  <c r="N776" i="14"/>
  <c r="J775" i="14" a="1"/>
  <c r="J775" i="14" s="1"/>
  <c r="M780" i="14"/>
  <c r="K609" i="13" l="1"/>
  <c r="K630" i="14"/>
  <c r="L630" i="14" s="1"/>
  <c r="I631" i="14" s="1"/>
  <c r="M781" i="14"/>
  <c r="M780" i="13"/>
  <c r="N777" i="14"/>
  <c r="J776" i="14" a="1"/>
  <c r="J776" i="14" s="1"/>
  <c r="N778" i="13"/>
  <c r="J777" i="13" a="1"/>
  <c r="J777" i="13" s="1"/>
  <c r="L609" i="13" l="1"/>
  <c r="I610" i="13" s="1"/>
  <c r="K631" i="14"/>
  <c r="L631" i="14" s="1"/>
  <c r="I632" i="14" s="1"/>
  <c r="N779" i="13"/>
  <c r="J778" i="13" a="1"/>
  <c r="J778" i="13" s="1"/>
  <c r="M781" i="13"/>
  <c r="N778" i="14"/>
  <c r="J777" i="14" a="1"/>
  <c r="J777" i="14" s="1"/>
  <c r="M782" i="14"/>
  <c r="K610" i="13" l="1"/>
  <c r="L610" i="13" s="1"/>
  <c r="I611" i="13" s="1"/>
  <c r="K632" i="14"/>
  <c r="M783" i="14"/>
  <c r="M782" i="13"/>
  <c r="N780" i="13"/>
  <c r="J779" i="13" a="1"/>
  <c r="J779" i="13" s="1"/>
  <c r="N779" i="14"/>
  <c r="J778" i="14" a="1"/>
  <c r="J778" i="14" s="1"/>
  <c r="K611" i="13" l="1"/>
  <c r="L611" i="13" s="1"/>
  <c r="I612" i="13" s="1"/>
  <c r="N780" i="14"/>
  <c r="J779" i="14" a="1"/>
  <c r="J779" i="14" s="1"/>
  <c r="M784" i="14"/>
  <c r="L632" i="14"/>
  <c r="I633" i="14" s="1"/>
  <c r="N781" i="13"/>
  <c r="J780" i="13" a="1"/>
  <c r="J780" i="13" s="1"/>
  <c r="M783" i="13"/>
  <c r="K612" i="13" l="1"/>
  <c r="L612" i="13" s="1"/>
  <c r="I613" i="13" s="1"/>
  <c r="M784" i="13"/>
  <c r="K633" i="14"/>
  <c r="L633" i="14" s="1"/>
  <c r="I634" i="14" s="1"/>
  <c r="N781" i="14"/>
  <c r="J780" i="14" a="1"/>
  <c r="J780" i="14" s="1"/>
  <c r="M785" i="14"/>
  <c r="N782" i="13"/>
  <c r="J781" i="13" a="1"/>
  <c r="J781" i="13" s="1"/>
  <c r="K613" i="13" l="1"/>
  <c r="L613" i="13" s="1"/>
  <c r="I614" i="13" s="1"/>
  <c r="M785" i="13"/>
  <c r="N782" i="14"/>
  <c r="J781" i="14" a="1"/>
  <c r="J781" i="14" s="1"/>
  <c r="N783" i="13"/>
  <c r="J782" i="13" a="1"/>
  <c r="J782" i="13" s="1"/>
  <c r="M786" i="14"/>
  <c r="K634" i="14"/>
  <c r="L634" i="14" s="1"/>
  <c r="I635" i="14" s="1"/>
  <c r="K614" i="13" l="1"/>
  <c r="L614" i="13" s="1"/>
  <c r="I615" i="13" s="1"/>
  <c r="K635" i="14"/>
  <c r="L635" i="14" s="1"/>
  <c r="I636" i="14" s="1"/>
  <c r="N784" i="13"/>
  <c r="J783" i="13" a="1"/>
  <c r="J783" i="13" s="1"/>
  <c r="M786" i="13"/>
  <c r="M787" i="14"/>
  <c r="N783" i="14"/>
  <c r="J782" i="14" a="1"/>
  <c r="J782" i="14" s="1"/>
  <c r="K615" i="13" l="1"/>
  <c r="L615" i="13" s="1"/>
  <c r="I616" i="13" s="1"/>
  <c r="K636" i="14"/>
  <c r="L636" i="14" s="1"/>
  <c r="I637" i="14" s="1"/>
  <c r="M787" i="13"/>
  <c r="N784" i="14"/>
  <c r="J783" i="14" a="1"/>
  <c r="J783" i="14" s="1"/>
  <c r="M788" i="14"/>
  <c r="N785" i="13"/>
  <c r="J784" i="13" a="1"/>
  <c r="J784" i="13" s="1"/>
  <c r="K616" i="13" l="1"/>
  <c r="L616" i="13" s="1"/>
  <c r="I617" i="13" s="1"/>
  <c r="K637" i="14"/>
  <c r="L637" i="14" s="1"/>
  <c r="I638" i="14" s="1"/>
  <c r="N785" i="14"/>
  <c r="J784" i="14" a="1"/>
  <c r="J784" i="14" s="1"/>
  <c r="N786" i="13"/>
  <c r="J785" i="13" a="1"/>
  <c r="J785" i="13" s="1"/>
  <c r="M789" i="14"/>
  <c r="M788" i="13"/>
  <c r="K617" i="13" l="1"/>
  <c r="L617" i="13" s="1"/>
  <c r="I618" i="13" s="1"/>
  <c r="K638" i="14"/>
  <c r="L638" i="14" s="1"/>
  <c r="I639" i="14" s="1"/>
  <c r="M789" i="13"/>
  <c r="N787" i="13"/>
  <c r="J786" i="13" a="1"/>
  <c r="J786" i="13" s="1"/>
  <c r="M790" i="14"/>
  <c r="N786" i="14"/>
  <c r="J785" i="14" a="1"/>
  <c r="J785" i="14" s="1"/>
  <c r="K618" i="13" l="1"/>
  <c r="L618" i="13" s="1"/>
  <c r="I619" i="13" s="1"/>
  <c r="K639" i="14"/>
  <c r="L639" i="14" s="1"/>
  <c r="I640" i="14" s="1"/>
  <c r="N788" i="13"/>
  <c r="J787" i="13" a="1"/>
  <c r="J787" i="13" s="1"/>
  <c r="N787" i="14"/>
  <c r="J786" i="14" a="1"/>
  <c r="J786" i="14" s="1"/>
  <c r="M791" i="14"/>
  <c r="M790" i="13"/>
  <c r="K619" i="13" l="1"/>
  <c r="L619" i="13" s="1"/>
  <c r="I620" i="13" s="1"/>
  <c r="K640" i="14"/>
  <c r="L640" i="14" s="1"/>
  <c r="I641" i="14" s="1"/>
  <c r="N788" i="14"/>
  <c r="J787" i="14" a="1"/>
  <c r="J787" i="14" s="1"/>
  <c r="M791" i="13"/>
  <c r="M792" i="14"/>
  <c r="N789" i="13"/>
  <c r="J788" i="13" a="1"/>
  <c r="J788" i="13" s="1"/>
  <c r="K620" i="13" l="1"/>
  <c r="K641" i="14"/>
  <c r="L641" i="14" s="1"/>
  <c r="I642" i="14" s="1"/>
  <c r="M792" i="13"/>
  <c r="N790" i="13"/>
  <c r="J789" i="13" a="1"/>
  <c r="J789" i="13" s="1"/>
  <c r="M793" i="14"/>
  <c r="N789" i="14"/>
  <c r="J788" i="14" a="1"/>
  <c r="J788" i="14" s="1"/>
  <c r="L620" i="13" l="1"/>
  <c r="I621" i="13" s="1"/>
  <c r="K642" i="14"/>
  <c r="L642" i="14" s="1"/>
  <c r="I643" i="14" s="1"/>
  <c r="M794" i="14"/>
  <c r="N790" i="14"/>
  <c r="J789" i="14" a="1"/>
  <c r="J789" i="14" s="1"/>
  <c r="N791" i="13"/>
  <c r="J790" i="13" a="1"/>
  <c r="J790" i="13" s="1"/>
  <c r="M793" i="13"/>
  <c r="K621" i="13" l="1"/>
  <c r="K643" i="14"/>
  <c r="L643" i="14" s="1"/>
  <c r="I644" i="14" s="1"/>
  <c r="M795" i="14"/>
  <c r="N792" i="13"/>
  <c r="J791" i="13" a="1"/>
  <c r="J791" i="13" s="1"/>
  <c r="M794" i="13"/>
  <c r="N791" i="14"/>
  <c r="J790" i="14" a="1"/>
  <c r="J790" i="14" s="1"/>
  <c r="L621" i="13" l="1"/>
  <c r="I622" i="13" s="1"/>
  <c r="K644" i="14"/>
  <c r="N792" i="14"/>
  <c r="J791" i="14" a="1"/>
  <c r="J791" i="14" s="1"/>
  <c r="N793" i="13"/>
  <c r="J792" i="13" a="1"/>
  <c r="J792" i="13" s="1"/>
  <c r="M795" i="13"/>
  <c r="M796" i="14"/>
  <c r="K622" i="13" l="1"/>
  <c r="L622" i="13" s="1"/>
  <c r="I623" i="13" s="1"/>
  <c r="M797" i="14"/>
  <c r="N793" i="14"/>
  <c r="J792" i="14" a="1"/>
  <c r="J792" i="14" s="1"/>
  <c r="M796" i="13"/>
  <c r="N794" i="13"/>
  <c r="J793" i="13" a="1"/>
  <c r="J793" i="13" s="1"/>
  <c r="L644" i="14"/>
  <c r="I645" i="14" s="1"/>
  <c r="K623" i="13" l="1"/>
  <c r="L623" i="13" s="1"/>
  <c r="I624" i="13" s="1"/>
  <c r="N795" i="13"/>
  <c r="J794" i="13" a="1"/>
  <c r="J794" i="13" s="1"/>
  <c r="K645" i="14"/>
  <c r="M798" i="14"/>
  <c r="M797" i="13"/>
  <c r="N794" i="14"/>
  <c r="J793" i="14" a="1"/>
  <c r="J793" i="14" s="1"/>
  <c r="K624" i="13" l="1"/>
  <c r="L624" i="13" s="1"/>
  <c r="I625" i="13" s="1"/>
  <c r="N796" i="13"/>
  <c r="J795" i="13" a="1"/>
  <c r="J795" i="13" s="1"/>
  <c r="M799" i="14"/>
  <c r="N795" i="14"/>
  <c r="J794" i="14" a="1"/>
  <c r="J794" i="14" s="1"/>
  <c r="M798" i="13"/>
  <c r="L645" i="14"/>
  <c r="I646" i="14" s="1"/>
  <c r="K625" i="13" l="1"/>
  <c r="L625" i="13" s="1"/>
  <c r="I626" i="13" s="1"/>
  <c r="K646" i="14"/>
  <c r="L646" i="14" s="1"/>
  <c r="I647" i="14" s="1"/>
  <c r="N797" i="13"/>
  <c r="J796" i="13" a="1"/>
  <c r="J796" i="13" s="1"/>
  <c r="N796" i="14"/>
  <c r="J795" i="14" a="1"/>
  <c r="J795" i="14" s="1"/>
  <c r="M799" i="13"/>
  <c r="M800" i="14"/>
  <c r="K626" i="13" l="1"/>
  <c r="L626" i="13" s="1"/>
  <c r="I627" i="13" s="1"/>
  <c r="K647" i="14"/>
  <c r="L647" i="14" s="1"/>
  <c r="I648" i="14" s="1"/>
  <c r="M801" i="14"/>
  <c r="N797" i="14"/>
  <c r="J796" i="14" a="1"/>
  <c r="J796" i="14" s="1"/>
  <c r="M800" i="13"/>
  <c r="N798" i="13"/>
  <c r="J797" i="13" a="1"/>
  <c r="J797" i="13" s="1"/>
  <c r="K627" i="13" l="1"/>
  <c r="L627" i="13" s="1"/>
  <c r="I628" i="13" s="1"/>
  <c r="K648" i="14"/>
  <c r="L648" i="14" s="1"/>
  <c r="I649" i="14" s="1"/>
  <c r="N799" i="13"/>
  <c r="J798" i="13" a="1"/>
  <c r="J798" i="13" s="1"/>
  <c r="N798" i="14"/>
  <c r="J797" i="14" a="1"/>
  <c r="J797" i="14" s="1"/>
  <c r="M801" i="13"/>
  <c r="M802" i="14"/>
  <c r="K628" i="13" l="1"/>
  <c r="L628" i="13" s="1"/>
  <c r="I629" i="13" s="1"/>
  <c r="K649" i="14"/>
  <c r="L649" i="14" s="1"/>
  <c r="I650" i="14" s="1"/>
  <c r="M803" i="14"/>
  <c r="N799" i="14"/>
  <c r="J798" i="14" a="1"/>
  <c r="J798" i="14" s="1"/>
  <c r="M802" i="13"/>
  <c r="N800" i="13"/>
  <c r="J799" i="13" a="1"/>
  <c r="J799" i="13" s="1"/>
  <c r="K629" i="13" l="1"/>
  <c r="L629" i="13" s="1"/>
  <c r="I630" i="13" s="1"/>
  <c r="K650" i="14"/>
  <c r="L650" i="14" s="1"/>
  <c r="I651" i="14" s="1"/>
  <c r="N800" i="14"/>
  <c r="J799" i="14" a="1"/>
  <c r="J799" i="14" s="1"/>
  <c r="N801" i="13"/>
  <c r="J800" i="13" a="1"/>
  <c r="J800" i="13" s="1"/>
  <c r="M803" i="13"/>
  <c r="M804" i="14"/>
  <c r="K630" i="13" l="1"/>
  <c r="L630" i="13" s="1"/>
  <c r="I631" i="13" s="1"/>
  <c r="K651" i="14"/>
  <c r="L651" i="14" s="1"/>
  <c r="I652" i="14" s="1"/>
  <c r="M805" i="14"/>
  <c r="N802" i="13"/>
  <c r="J801" i="13" a="1"/>
  <c r="J801" i="13" s="1"/>
  <c r="M804" i="13"/>
  <c r="N801" i="14"/>
  <c r="J800" i="14" a="1"/>
  <c r="J800" i="14" s="1"/>
  <c r="K631" i="13" l="1"/>
  <c r="L631" i="13" s="1"/>
  <c r="I632" i="13" s="1"/>
  <c r="K652" i="14"/>
  <c r="L652" i="14" s="1"/>
  <c r="I653" i="14" s="1"/>
  <c r="N803" i="13"/>
  <c r="J802" i="13" a="1"/>
  <c r="J802" i="13" s="1"/>
  <c r="M805" i="13"/>
  <c r="M806" i="14"/>
  <c r="N802" i="14"/>
  <c r="J801" i="14" a="1"/>
  <c r="J801" i="14" s="1"/>
  <c r="K632" i="13" l="1"/>
  <c r="K653" i="14"/>
  <c r="L653" i="14" s="1"/>
  <c r="I654" i="14" s="1"/>
  <c r="M806" i="13"/>
  <c r="N803" i="14"/>
  <c r="J802" i="14" a="1"/>
  <c r="J802" i="14" s="1"/>
  <c r="M807" i="14"/>
  <c r="N804" i="13"/>
  <c r="J803" i="13" a="1"/>
  <c r="J803" i="13" s="1"/>
  <c r="L632" i="13" l="1"/>
  <c r="I633" i="13" s="1"/>
  <c r="K654" i="14"/>
  <c r="L654" i="14" s="1"/>
  <c r="I655" i="14" s="1"/>
  <c r="N805" i="13"/>
  <c r="J804" i="13" a="1"/>
  <c r="J804" i="13" s="1"/>
  <c r="N804" i="14"/>
  <c r="J803" i="14" a="1"/>
  <c r="J803" i="14" s="1"/>
  <c r="M808" i="14"/>
  <c r="M807" i="13"/>
  <c r="K633" i="13" l="1"/>
  <c r="L633" i="13" s="1"/>
  <c r="I634" i="13" s="1"/>
  <c r="K655" i="14"/>
  <c r="L655" i="14" s="1"/>
  <c r="I656" i="14" s="1"/>
  <c r="N806" i="13"/>
  <c r="J805" i="13" a="1"/>
  <c r="J805" i="13" s="1"/>
  <c r="M809" i="14"/>
  <c r="M808" i="13"/>
  <c r="N805" i="14"/>
  <c r="J804" i="14" a="1"/>
  <c r="J804" i="14" s="1"/>
  <c r="K634" i="13" l="1"/>
  <c r="L634" i="13" s="1"/>
  <c r="I635" i="13" s="1"/>
  <c r="M810" i="14"/>
  <c r="N806" i="14"/>
  <c r="J805" i="14" a="1"/>
  <c r="J805" i="14" s="1"/>
  <c r="M809" i="13"/>
  <c r="K656" i="14"/>
  <c r="N807" i="13"/>
  <c r="J806" i="13" a="1"/>
  <c r="J806" i="13" s="1"/>
  <c r="K635" i="13" l="1"/>
  <c r="L635" i="13" s="1"/>
  <c r="I636" i="13" s="1"/>
  <c r="M810" i="13"/>
  <c r="M811" i="14"/>
  <c r="N808" i="13"/>
  <c r="J807" i="13" a="1"/>
  <c r="J807" i="13" s="1"/>
  <c r="L656" i="14"/>
  <c r="I657" i="14" s="1"/>
  <c r="N807" i="14"/>
  <c r="J806" i="14" a="1"/>
  <c r="J806" i="14" s="1"/>
  <c r="K636" i="13" l="1"/>
  <c r="L636" i="13" s="1"/>
  <c r="I637" i="13" s="1"/>
  <c r="N808" i="14"/>
  <c r="J807" i="14" a="1"/>
  <c r="J807" i="14" s="1"/>
  <c r="N809" i="13"/>
  <c r="J808" i="13" a="1"/>
  <c r="J808" i="13" s="1"/>
  <c r="M811" i="13"/>
  <c r="K657" i="14"/>
  <c r="M812" i="14"/>
  <c r="K637" i="13" l="1"/>
  <c r="L637" i="13" s="1"/>
  <c r="I638" i="13" s="1"/>
  <c r="N809" i="14"/>
  <c r="J808" i="14" a="1"/>
  <c r="J808" i="14" s="1"/>
  <c r="M813" i="14"/>
  <c r="M812" i="13"/>
  <c r="L657" i="14"/>
  <c r="I658" i="14" s="1"/>
  <c r="N810" i="13"/>
  <c r="J809" i="13" a="1"/>
  <c r="J809" i="13" s="1"/>
  <c r="K638" i="13" l="1"/>
  <c r="L638" i="13" s="1"/>
  <c r="I639" i="13" s="1"/>
  <c r="M813" i="13"/>
  <c r="N811" i="13"/>
  <c r="J810" i="13" a="1"/>
  <c r="J810" i="13" s="1"/>
  <c r="N810" i="14"/>
  <c r="J809" i="14" a="1"/>
  <c r="J809" i="14" s="1"/>
  <c r="K658" i="14"/>
  <c r="L658" i="14" s="1"/>
  <c r="I659" i="14" s="1"/>
  <c r="M814" i="14"/>
  <c r="K639" i="13" l="1"/>
  <c r="L639" i="13" s="1"/>
  <c r="I640" i="13" s="1"/>
  <c r="M814" i="13"/>
  <c r="N811" i="14"/>
  <c r="J810" i="14" a="1"/>
  <c r="J810" i="14" s="1"/>
  <c r="M815" i="14"/>
  <c r="K659" i="14"/>
  <c r="L659" i="14" s="1"/>
  <c r="I660" i="14" s="1"/>
  <c r="N812" i="13"/>
  <c r="J811" i="13" a="1"/>
  <c r="J811" i="13" s="1"/>
  <c r="K640" i="13" l="1"/>
  <c r="L640" i="13" s="1"/>
  <c r="I641" i="13" s="1"/>
  <c r="K660" i="14"/>
  <c r="L660" i="14" s="1"/>
  <c r="I661" i="14" s="1"/>
  <c r="M816" i="14"/>
  <c r="M815" i="13"/>
  <c r="N812" i="14"/>
  <c r="J811" i="14" a="1"/>
  <c r="J811" i="14" s="1"/>
  <c r="N813" i="13"/>
  <c r="J812" i="13" a="1"/>
  <c r="J812" i="13" s="1"/>
  <c r="K641" i="13" l="1"/>
  <c r="L641" i="13" s="1"/>
  <c r="I642" i="13" s="1"/>
  <c r="K661" i="14"/>
  <c r="L661" i="14" s="1"/>
  <c r="I662" i="14" s="1"/>
  <c r="M816" i="13"/>
  <c r="N814" i="13"/>
  <c r="J813" i="13" a="1"/>
  <c r="J813" i="13" s="1"/>
  <c r="M817" i="14"/>
  <c r="N813" i="14"/>
  <c r="J812" i="14" a="1"/>
  <c r="J812" i="14" s="1"/>
  <c r="K642" i="13" l="1"/>
  <c r="L642" i="13" s="1"/>
  <c r="I643" i="13" s="1"/>
  <c r="K662" i="14"/>
  <c r="L662" i="14" s="1"/>
  <c r="I663" i="14" s="1"/>
  <c r="N814" i="14"/>
  <c r="J813" i="14" a="1"/>
  <c r="J813" i="14" s="1"/>
  <c r="N815" i="13"/>
  <c r="J814" i="13" a="1"/>
  <c r="J814" i="13" s="1"/>
  <c r="M818" i="14"/>
  <c r="M817" i="13"/>
  <c r="K643" i="13" l="1"/>
  <c r="L643" i="13" s="1"/>
  <c r="I644" i="13" s="1"/>
  <c r="N816" i="13"/>
  <c r="J815" i="13" a="1"/>
  <c r="J815" i="13" s="1"/>
  <c r="M819" i="14"/>
  <c r="M818" i="13"/>
  <c r="N815" i="14"/>
  <c r="J814" i="14" a="1"/>
  <c r="J814" i="14" s="1"/>
  <c r="K663" i="14"/>
  <c r="L663" i="14" s="1"/>
  <c r="I664" i="14" s="1"/>
  <c r="K644" i="13" l="1"/>
  <c r="K664" i="14"/>
  <c r="L664" i="14" s="1"/>
  <c r="I665" i="14" s="1"/>
  <c r="M820" i="14"/>
  <c r="N817" i="13"/>
  <c r="J816" i="13" a="1"/>
  <c r="J816" i="13" s="1"/>
  <c r="N816" i="14"/>
  <c r="J815" i="14" a="1"/>
  <c r="J815" i="14" s="1"/>
  <c r="M819" i="13"/>
  <c r="L644" i="13" l="1"/>
  <c r="I645" i="13" s="1"/>
  <c r="N817" i="14"/>
  <c r="J816" i="14" a="1"/>
  <c r="J816" i="14" s="1"/>
  <c r="M821" i="14"/>
  <c r="M820" i="13"/>
  <c r="N818" i="13"/>
  <c r="J817" i="13" a="1"/>
  <c r="J817" i="13" s="1"/>
  <c r="K665" i="14"/>
  <c r="L665" i="14" s="1"/>
  <c r="I666" i="14" s="1"/>
  <c r="K645" i="13" l="1"/>
  <c r="K666" i="14"/>
  <c r="L666" i="14" s="1"/>
  <c r="I667" i="14" s="1"/>
  <c r="M821" i="13"/>
  <c r="N818" i="14"/>
  <c r="J817" i="14" a="1"/>
  <c r="J817" i="14" s="1"/>
  <c r="M822" i="14"/>
  <c r="N819" i="13"/>
  <c r="J818" i="13" a="1"/>
  <c r="J818" i="13" s="1"/>
  <c r="L645" i="13" l="1"/>
  <c r="I646" i="13" s="1"/>
  <c r="K667" i="14"/>
  <c r="L667" i="14" s="1"/>
  <c r="I668" i="14" s="1"/>
  <c r="N820" i="13"/>
  <c r="J819" i="13" a="1"/>
  <c r="J819" i="13" s="1"/>
  <c r="N819" i="14"/>
  <c r="J818" i="14" a="1"/>
  <c r="J818" i="14" s="1"/>
  <c r="M822" i="13"/>
  <c r="M823" i="14"/>
  <c r="K646" i="13" l="1"/>
  <c r="L646" i="13" s="1"/>
  <c r="I647" i="13" s="1"/>
  <c r="M824" i="14"/>
  <c r="N821" i="13"/>
  <c r="J820" i="13" a="1"/>
  <c r="J820" i="13" s="1"/>
  <c r="M823" i="13"/>
  <c r="N820" i="14"/>
  <c r="J819" i="14" a="1"/>
  <c r="J819" i="14" s="1"/>
  <c r="K668" i="14"/>
  <c r="K647" i="13" l="1"/>
  <c r="L647" i="13" s="1"/>
  <c r="I648" i="13" s="1"/>
  <c r="M824" i="13"/>
  <c r="M825" i="14"/>
  <c r="L668" i="14"/>
  <c r="I669" i="14" s="1"/>
  <c r="N821" i="14"/>
  <c r="J820" i="14" a="1"/>
  <c r="J820" i="14" s="1"/>
  <c r="N822" i="13"/>
  <c r="J821" i="13" a="1"/>
  <c r="J821" i="13" s="1"/>
  <c r="K648" i="13" l="1"/>
  <c r="L648" i="13" s="1"/>
  <c r="I649" i="13" s="1"/>
  <c r="K669" i="14"/>
  <c r="N823" i="13"/>
  <c r="J822" i="13" a="1"/>
  <c r="J822" i="13" s="1"/>
  <c r="M826" i="14"/>
  <c r="N822" i="14"/>
  <c r="J821" i="14" a="1"/>
  <c r="J821" i="14" s="1"/>
  <c r="M825" i="13"/>
  <c r="K649" i="13" l="1"/>
  <c r="L649" i="13" s="1"/>
  <c r="I650" i="13" s="1"/>
  <c r="L669" i="14"/>
  <c r="I670" i="14" s="1"/>
  <c r="M826" i="13"/>
  <c r="M827" i="14"/>
  <c r="N823" i="14"/>
  <c r="J822" i="14" a="1"/>
  <c r="J822" i="14" s="1"/>
  <c r="N824" i="13"/>
  <c r="J823" i="13" a="1"/>
  <c r="J823" i="13" s="1"/>
  <c r="K650" i="13" l="1"/>
  <c r="L650" i="13" s="1"/>
  <c r="I651" i="13" s="1"/>
  <c r="M828" i="14"/>
  <c r="K670" i="14"/>
  <c r="L670" i="14" s="1"/>
  <c r="I671" i="14" s="1"/>
  <c r="N825" i="13"/>
  <c r="J824" i="13" a="1"/>
  <c r="J824" i="13" s="1"/>
  <c r="M827" i="13"/>
  <c r="N824" i="14"/>
  <c r="J823" i="14" a="1"/>
  <c r="J823" i="14" s="1"/>
  <c r="K651" i="13" l="1"/>
  <c r="L651" i="13" s="1"/>
  <c r="I652" i="13" s="1"/>
  <c r="K671" i="14"/>
  <c r="L671" i="14" s="1"/>
  <c r="I672" i="14" s="1"/>
  <c r="N826" i="13"/>
  <c r="J825" i="13" a="1"/>
  <c r="J825" i="13" s="1"/>
  <c r="N825" i="14"/>
  <c r="J824" i="14" a="1"/>
  <c r="J824" i="14" s="1"/>
  <c r="M828" i="13"/>
  <c r="M829" i="14"/>
  <c r="K652" i="13" l="1"/>
  <c r="L652" i="13" s="1"/>
  <c r="I653" i="13" s="1"/>
  <c r="K672" i="14"/>
  <c r="L672" i="14" s="1"/>
  <c r="I673" i="14" s="1"/>
  <c r="N826" i="14"/>
  <c r="J825" i="14" a="1"/>
  <c r="J825" i="14" s="1"/>
  <c r="M829" i="13"/>
  <c r="M830" i="14"/>
  <c r="N827" i="13"/>
  <c r="J826" i="13" a="1"/>
  <c r="J826" i="13" s="1"/>
  <c r="K653" i="13" l="1"/>
  <c r="L653" i="13" s="1"/>
  <c r="I654" i="13" s="1"/>
  <c r="K673" i="14"/>
  <c r="L673" i="14" s="1"/>
  <c r="I674" i="14" s="1"/>
  <c r="N828" i="13"/>
  <c r="J827" i="13" a="1"/>
  <c r="J827" i="13" s="1"/>
  <c r="M831" i="14"/>
  <c r="N827" i="14"/>
  <c r="J826" i="14" a="1"/>
  <c r="J826" i="14" s="1"/>
  <c r="M830" i="13"/>
  <c r="K654" i="13" l="1"/>
  <c r="L654" i="13" s="1"/>
  <c r="I655" i="13" s="1"/>
  <c r="K674" i="14"/>
  <c r="L674" i="14" s="1"/>
  <c r="I675" i="14" s="1"/>
  <c r="M831" i="13"/>
  <c r="M832" i="14"/>
  <c r="N828" i="14"/>
  <c r="J827" i="14" a="1"/>
  <c r="J827" i="14" s="1"/>
  <c r="N829" i="13"/>
  <c r="J828" i="13" a="1"/>
  <c r="J828" i="13" s="1"/>
  <c r="K655" i="13" l="1"/>
  <c r="L655" i="13" s="1"/>
  <c r="I656" i="13" s="1"/>
  <c r="K675" i="14"/>
  <c r="L675" i="14" s="1"/>
  <c r="I676" i="14" s="1"/>
  <c r="M833" i="14"/>
  <c r="N830" i="13"/>
  <c r="J829" i="13" a="1"/>
  <c r="J829" i="13" s="1"/>
  <c r="M832" i="13"/>
  <c r="N829" i="14"/>
  <c r="J828" i="14" a="1"/>
  <c r="J828" i="14" s="1"/>
  <c r="K656" i="13" l="1"/>
  <c r="K676" i="14"/>
  <c r="L676" i="14" s="1"/>
  <c r="I677" i="14" s="1"/>
  <c r="N831" i="13"/>
  <c r="J830" i="13" a="1"/>
  <c r="J830" i="13" s="1"/>
  <c r="N830" i="14"/>
  <c r="J829" i="14" a="1"/>
  <c r="J829" i="14" s="1"/>
  <c r="M833" i="13"/>
  <c r="M834" i="14"/>
  <c r="L656" i="13" l="1"/>
  <c r="I657" i="13" s="1"/>
  <c r="K677" i="14"/>
  <c r="L677" i="14" s="1"/>
  <c r="I678" i="14" s="1"/>
  <c r="N832" i="13"/>
  <c r="J831" i="13" a="1"/>
  <c r="J831" i="13" s="1"/>
  <c r="M835" i="14"/>
  <c r="N831" i="14"/>
  <c r="J830" i="14" a="1"/>
  <c r="J830" i="14" s="1"/>
  <c r="M834" i="13"/>
  <c r="K657" i="13" l="1"/>
  <c r="K678" i="14"/>
  <c r="L678" i="14" s="1"/>
  <c r="I679" i="14" s="1"/>
  <c r="M835" i="13"/>
  <c r="N832" i="14"/>
  <c r="J831" i="14" a="1"/>
  <c r="J831" i="14" s="1"/>
  <c r="N833" i="13"/>
  <c r="J832" i="13" a="1"/>
  <c r="J832" i="13" s="1"/>
  <c r="M836" i="14"/>
  <c r="L657" i="13" l="1"/>
  <c r="I658" i="13" s="1"/>
  <c r="K679" i="14"/>
  <c r="L679" i="14" s="1"/>
  <c r="I680" i="14" s="1"/>
  <c r="M836" i="13"/>
  <c r="M837" i="14"/>
  <c r="N834" i="13"/>
  <c r="J833" i="13" a="1"/>
  <c r="J833" i="13" s="1"/>
  <c r="N833" i="14"/>
  <c r="J832" i="14" a="1"/>
  <c r="J832" i="14" s="1"/>
  <c r="K658" i="13" l="1"/>
  <c r="L658" i="13" s="1"/>
  <c r="I659" i="13" s="1"/>
  <c r="K680" i="14"/>
  <c r="M838" i="14"/>
  <c r="N834" i="14"/>
  <c r="J833" i="14" a="1"/>
  <c r="J833" i="14" s="1"/>
  <c r="M837" i="13"/>
  <c r="N835" i="13"/>
  <c r="J834" i="13" a="1"/>
  <c r="J834" i="13" s="1"/>
  <c r="K659" i="13" l="1"/>
  <c r="L659" i="13" s="1"/>
  <c r="I660" i="13" s="1"/>
  <c r="N835" i="14"/>
  <c r="J834" i="14" a="1"/>
  <c r="J834" i="14" s="1"/>
  <c r="N836" i="13"/>
  <c r="J835" i="13" a="1"/>
  <c r="J835" i="13" s="1"/>
  <c r="M838" i="13"/>
  <c r="M839" i="14"/>
  <c r="L680" i="14"/>
  <c r="I681" i="14" s="1"/>
  <c r="K660" i="13" l="1"/>
  <c r="L660" i="13" s="1"/>
  <c r="I661" i="13" s="1"/>
  <c r="M840" i="14"/>
  <c r="N836" i="14"/>
  <c r="J835" i="14" a="1"/>
  <c r="J835" i="14" s="1"/>
  <c r="M839" i="13"/>
  <c r="K681" i="14"/>
  <c r="N837" i="13"/>
  <c r="J836" i="13" a="1"/>
  <c r="J836" i="13" s="1"/>
  <c r="K661" i="13" l="1"/>
  <c r="L661" i="13" s="1"/>
  <c r="I662" i="13" s="1"/>
  <c r="M840" i="13"/>
  <c r="M841" i="14"/>
  <c r="L681" i="14"/>
  <c r="I682" i="14" s="1"/>
  <c r="N837" i="14"/>
  <c r="J836" i="14" a="1"/>
  <c r="J836" i="14" s="1"/>
  <c r="N838" i="13"/>
  <c r="J837" i="13" a="1"/>
  <c r="J837" i="13" s="1"/>
  <c r="K662" i="13" l="1"/>
  <c r="L662" i="13" s="1"/>
  <c r="I663" i="13" s="1"/>
  <c r="M842" i="14"/>
  <c r="N838" i="14"/>
  <c r="J837" i="14" a="1"/>
  <c r="J837" i="14" s="1"/>
  <c r="N839" i="13"/>
  <c r="J838" i="13" a="1"/>
  <c r="J838" i="13" s="1"/>
  <c r="K682" i="14"/>
  <c r="L682" i="14" s="1"/>
  <c r="I683" i="14" s="1"/>
  <c r="M841" i="13"/>
  <c r="K663" i="13" l="1"/>
  <c r="L663" i="13" s="1"/>
  <c r="I664" i="13" s="1"/>
  <c r="K683" i="14"/>
  <c r="L683" i="14" s="1"/>
  <c r="I684" i="14" s="1"/>
  <c r="M843" i="14"/>
  <c r="N839" i="14"/>
  <c r="J838" i="14" a="1"/>
  <c r="J838" i="14" s="1"/>
  <c r="M842" i="13"/>
  <c r="N840" i="13"/>
  <c r="J839" i="13" a="1"/>
  <c r="J839" i="13" s="1"/>
  <c r="K664" i="13" l="1"/>
  <c r="L664" i="13" s="1"/>
  <c r="I665" i="13" s="1"/>
  <c r="K684" i="14"/>
  <c r="L684" i="14" s="1"/>
  <c r="I685" i="14" s="1"/>
  <c r="N841" i="13"/>
  <c r="J840" i="13" a="1"/>
  <c r="J840" i="13" s="1"/>
  <c r="N840" i="14"/>
  <c r="J839" i="14" a="1"/>
  <c r="J839" i="14" s="1"/>
  <c r="M843" i="13"/>
  <c r="M844" i="14"/>
  <c r="K665" i="13" l="1"/>
  <c r="L665" i="13" s="1"/>
  <c r="I666" i="13" s="1"/>
  <c r="K685" i="14"/>
  <c r="L685" i="14" s="1"/>
  <c r="I686" i="14" s="1"/>
  <c r="N841" i="14"/>
  <c r="J840" i="14" a="1"/>
  <c r="J840" i="14" s="1"/>
  <c r="M845" i="14"/>
  <c r="M844" i="13"/>
  <c r="N842" i="13"/>
  <c r="J841" i="13" a="1"/>
  <c r="J841" i="13" s="1"/>
  <c r="K666" i="13" l="1"/>
  <c r="L666" i="13" s="1"/>
  <c r="I667" i="13" s="1"/>
  <c r="K686" i="14"/>
  <c r="L686" i="14" s="1"/>
  <c r="I687" i="14" s="1"/>
  <c r="N843" i="13"/>
  <c r="J842" i="13" a="1"/>
  <c r="J842" i="13" s="1"/>
  <c r="M846" i="14"/>
  <c r="M845" i="13"/>
  <c r="N842" i="14"/>
  <c r="J841" i="14" a="1"/>
  <c r="J841" i="14" s="1"/>
  <c r="K667" i="13" l="1"/>
  <c r="L667" i="13" s="1"/>
  <c r="I668" i="13" s="1"/>
  <c r="K687" i="14"/>
  <c r="L687" i="14" s="1"/>
  <c r="I688" i="14" s="1"/>
  <c r="N843" i="14"/>
  <c r="J842" i="14" a="1"/>
  <c r="J842" i="14" s="1"/>
  <c r="M847" i="14"/>
  <c r="M846" i="13"/>
  <c r="N844" i="13"/>
  <c r="J843" i="13" a="1"/>
  <c r="J843" i="13" s="1"/>
  <c r="K668" i="13" l="1"/>
  <c r="K688" i="14"/>
  <c r="L688" i="14" s="1"/>
  <c r="I689" i="14" s="1"/>
  <c r="M848" i="14"/>
  <c r="N845" i="13"/>
  <c r="J844" i="13" a="1"/>
  <c r="J844" i="13" s="1"/>
  <c r="M847" i="13"/>
  <c r="N844" i="14"/>
  <c r="J843" i="14" a="1"/>
  <c r="J843" i="14" s="1"/>
  <c r="L668" i="13" l="1"/>
  <c r="I669" i="13" s="1"/>
  <c r="K689" i="14"/>
  <c r="L689" i="14" s="1"/>
  <c r="I690" i="14" s="1"/>
  <c r="M849" i="14"/>
  <c r="N845" i="14"/>
  <c r="J844" i="14" a="1"/>
  <c r="J844" i="14" s="1"/>
  <c r="M848" i="13"/>
  <c r="N846" i="13"/>
  <c r="J845" i="13" a="1"/>
  <c r="J845" i="13" s="1"/>
  <c r="K669" i="13" l="1"/>
  <c r="K690" i="14"/>
  <c r="L690" i="14" s="1"/>
  <c r="I691" i="14" s="1"/>
  <c r="N847" i="13"/>
  <c r="J846" i="13" a="1"/>
  <c r="J846" i="13" s="1"/>
  <c r="N846" i="14"/>
  <c r="J845" i="14" a="1"/>
  <c r="J845" i="14" s="1"/>
  <c r="M849" i="13"/>
  <c r="M850" i="14"/>
  <c r="L669" i="13" l="1"/>
  <c r="I670" i="13" s="1"/>
  <c r="K691" i="14"/>
  <c r="L691" i="14" s="1"/>
  <c r="I692" i="14" s="1"/>
  <c r="N848" i="13"/>
  <c r="J847" i="13" a="1"/>
  <c r="J847" i="13" s="1"/>
  <c r="M850" i="13"/>
  <c r="N847" i="14"/>
  <c r="J846" i="14" a="1"/>
  <c r="J846" i="14" s="1"/>
  <c r="M851" i="14"/>
  <c r="K670" i="13" l="1"/>
  <c r="L670" i="13" s="1"/>
  <c r="I671" i="13" s="1"/>
  <c r="K692" i="14"/>
  <c r="N848" i="14"/>
  <c r="J847" i="14" a="1"/>
  <c r="J847" i="14" s="1"/>
  <c r="N849" i="13"/>
  <c r="J848" i="13" a="1"/>
  <c r="J848" i="13" s="1"/>
  <c r="M852" i="14"/>
  <c r="M851" i="13"/>
  <c r="K671" i="13" l="1"/>
  <c r="L671" i="13" s="1"/>
  <c r="I672" i="13" s="1"/>
  <c r="M852" i="13"/>
  <c r="N850" i="13"/>
  <c r="J849" i="13" a="1"/>
  <c r="J849" i="13" s="1"/>
  <c r="M853" i="14"/>
  <c r="N849" i="14"/>
  <c r="J848" i="14" a="1"/>
  <c r="J848" i="14" s="1"/>
  <c r="L692" i="14"/>
  <c r="I693" i="14" s="1"/>
  <c r="K672" i="13" l="1"/>
  <c r="L672" i="13" s="1"/>
  <c r="I673" i="13" s="1"/>
  <c r="N850" i="14"/>
  <c r="J849" i="14" a="1"/>
  <c r="J849" i="14" s="1"/>
  <c r="M853" i="13"/>
  <c r="N851" i="13"/>
  <c r="J850" i="13" a="1"/>
  <c r="J850" i="13" s="1"/>
  <c r="M854" i="14"/>
  <c r="K693" i="14"/>
  <c r="K673" i="13" l="1"/>
  <c r="L673" i="13" s="1"/>
  <c r="I674" i="13" s="1"/>
  <c r="N852" i="13"/>
  <c r="J851" i="13" a="1"/>
  <c r="J851" i="13" s="1"/>
  <c r="L693" i="14"/>
  <c r="I694" i="14" s="1"/>
  <c r="N851" i="14"/>
  <c r="J850" i="14" a="1"/>
  <c r="J850" i="14" s="1"/>
  <c r="M855" i="14"/>
  <c r="M854" i="13"/>
  <c r="K674" i="13" l="1"/>
  <c r="L674" i="13" s="1"/>
  <c r="I675" i="13" s="1"/>
  <c r="M855" i="13"/>
  <c r="N853" i="13"/>
  <c r="J852" i="13" a="1"/>
  <c r="J852" i="13" s="1"/>
  <c r="N852" i="14"/>
  <c r="J851" i="14" a="1"/>
  <c r="J851" i="14" s="1"/>
  <c r="M856" i="14"/>
  <c r="K694" i="14"/>
  <c r="L694" i="14" s="1"/>
  <c r="I695" i="14" s="1"/>
  <c r="K675" i="13" l="1"/>
  <c r="L675" i="13" s="1"/>
  <c r="I676" i="13" s="1"/>
  <c r="K695" i="14"/>
  <c r="L695" i="14" s="1"/>
  <c r="I696" i="14" s="1"/>
  <c r="M856" i="13"/>
  <c r="N853" i="14"/>
  <c r="J852" i="14" a="1"/>
  <c r="J852" i="14" s="1"/>
  <c r="M857" i="14"/>
  <c r="N854" i="13"/>
  <c r="J853" i="13" a="1"/>
  <c r="J853" i="13" s="1"/>
  <c r="K676" i="13" l="1"/>
  <c r="L676" i="13" s="1"/>
  <c r="I677" i="13" s="1"/>
  <c r="K696" i="14"/>
  <c r="L696" i="14" s="1"/>
  <c r="I697" i="14" s="1"/>
  <c r="N854" i="14"/>
  <c r="J853" i="14" a="1"/>
  <c r="J853" i="14" s="1"/>
  <c r="N855" i="13"/>
  <c r="J854" i="13" a="1"/>
  <c r="J854" i="13" s="1"/>
  <c r="M858" i="14"/>
  <c r="M857" i="13"/>
  <c r="K677" i="13" l="1"/>
  <c r="L677" i="13" s="1"/>
  <c r="I678" i="13" s="1"/>
  <c r="K697" i="14"/>
  <c r="L697" i="14" s="1"/>
  <c r="I698" i="14" s="1"/>
  <c r="N856" i="13"/>
  <c r="J855" i="13" a="1"/>
  <c r="J855" i="13" s="1"/>
  <c r="M858" i="13"/>
  <c r="M859" i="14"/>
  <c r="N855" i="14"/>
  <c r="J854" i="14" a="1"/>
  <c r="J854" i="14" s="1"/>
  <c r="K678" i="13" l="1"/>
  <c r="L678" i="13" s="1"/>
  <c r="I679" i="13" s="1"/>
  <c r="K698" i="14"/>
  <c r="L698" i="14" s="1"/>
  <c r="I699" i="14" s="1"/>
  <c r="M859" i="13"/>
  <c r="N856" i="14"/>
  <c r="J855" i="14" a="1"/>
  <c r="J855" i="14" s="1"/>
  <c r="M860" i="14"/>
  <c r="N857" i="13"/>
  <c r="J856" i="13" a="1"/>
  <c r="J856" i="13" s="1"/>
  <c r="K679" i="13" l="1"/>
  <c r="L679" i="13" s="1"/>
  <c r="I680" i="13" s="1"/>
  <c r="K699" i="14"/>
  <c r="L699" i="14" s="1"/>
  <c r="I700" i="14" s="1"/>
  <c r="N857" i="14"/>
  <c r="J856" i="14" a="1"/>
  <c r="J856" i="14" s="1"/>
  <c r="N858" i="13"/>
  <c r="J857" i="13" a="1"/>
  <c r="J857" i="13" s="1"/>
  <c r="M861" i="14"/>
  <c r="M860" i="13"/>
  <c r="K680" i="13" l="1"/>
  <c r="K700" i="14"/>
  <c r="L700" i="14" s="1"/>
  <c r="I701" i="14" s="1"/>
  <c r="N859" i="13"/>
  <c r="J858" i="13" a="1"/>
  <c r="J858" i="13" s="1"/>
  <c r="M861" i="13"/>
  <c r="M862" i="14"/>
  <c r="N858" i="14"/>
  <c r="J857" i="14" a="1"/>
  <c r="J857" i="14" s="1"/>
  <c r="L680" i="13" l="1"/>
  <c r="I681" i="13" s="1"/>
  <c r="K701" i="14"/>
  <c r="L701" i="14" s="1"/>
  <c r="I702" i="14" s="1"/>
  <c r="M862" i="13"/>
  <c r="N860" i="13"/>
  <c r="J859" i="13" a="1"/>
  <c r="J859" i="13" s="1"/>
  <c r="M863" i="14"/>
  <c r="N859" i="14"/>
  <c r="J858" i="14" a="1"/>
  <c r="J858" i="14" s="1"/>
  <c r="K681" i="13" l="1"/>
  <c r="K702" i="14"/>
  <c r="L702" i="14" s="1"/>
  <c r="I703" i="14" s="1"/>
  <c r="M864" i="14"/>
  <c r="M863" i="13"/>
  <c r="N860" i="14"/>
  <c r="J859" i="14" a="1"/>
  <c r="J859" i="14" s="1"/>
  <c r="N861" i="13"/>
  <c r="J860" i="13" a="1"/>
  <c r="J860" i="13" s="1"/>
  <c r="L681" i="13" l="1"/>
  <c r="I682" i="13" s="1"/>
  <c r="K703" i="14"/>
  <c r="L703" i="14" s="1"/>
  <c r="I704" i="14" s="1"/>
  <c r="N861" i="14"/>
  <c r="J860" i="14" a="1"/>
  <c r="J860" i="14" s="1"/>
  <c r="N862" i="13"/>
  <c r="J861" i="13" a="1"/>
  <c r="J861" i="13" s="1"/>
  <c r="M864" i="13"/>
  <c r="M865" i="14"/>
  <c r="K682" i="13" l="1"/>
  <c r="L682" i="13" s="1"/>
  <c r="I683" i="13" s="1"/>
  <c r="K704" i="14"/>
  <c r="N862" i="14"/>
  <c r="J861" i="14" a="1"/>
  <c r="J861" i="14" s="1"/>
  <c r="M865" i="13"/>
  <c r="M866" i="14"/>
  <c r="N863" i="13"/>
  <c r="J862" i="13" a="1"/>
  <c r="J862" i="13" s="1"/>
  <c r="K683" i="13" l="1"/>
  <c r="L683" i="13" s="1"/>
  <c r="I684" i="13" s="1"/>
  <c r="N864" i="13"/>
  <c r="J863" i="13" a="1"/>
  <c r="J863" i="13" s="1"/>
  <c r="L704" i="14"/>
  <c r="I705" i="14" s="1"/>
  <c r="M866" i="13"/>
  <c r="M867" i="14"/>
  <c r="N863" i="14"/>
  <c r="J862" i="14" a="1"/>
  <c r="J862" i="14" s="1"/>
  <c r="K684" i="13" l="1"/>
  <c r="L684" i="13" s="1"/>
  <c r="I685" i="13" s="1"/>
  <c r="N864" i="14"/>
  <c r="J863" i="14" a="1"/>
  <c r="J863" i="14" s="1"/>
  <c r="N865" i="13"/>
  <c r="J864" i="13" a="1"/>
  <c r="J864" i="13" s="1"/>
  <c r="M868" i="14"/>
  <c r="K705" i="14"/>
  <c r="M867" i="13"/>
  <c r="K685" i="13" l="1"/>
  <c r="L685" i="13" s="1"/>
  <c r="I686" i="13" s="1"/>
  <c r="L705" i="14"/>
  <c r="I706" i="14" s="1"/>
  <c r="N866" i="13"/>
  <c r="J865" i="13" a="1"/>
  <c r="J865" i="13" s="1"/>
  <c r="M868" i="13"/>
  <c r="M869" i="14"/>
  <c r="N865" i="14"/>
  <c r="J864" i="14" a="1"/>
  <c r="J864" i="14" s="1"/>
  <c r="K686" i="13" l="1"/>
  <c r="L686" i="13" s="1"/>
  <c r="I687" i="13" s="1"/>
  <c r="M869" i="13"/>
  <c r="K706" i="14"/>
  <c r="L706" i="14" s="1"/>
  <c r="I707" i="14" s="1"/>
  <c r="N866" i="14"/>
  <c r="J865" i="14" a="1"/>
  <c r="J865" i="14" s="1"/>
  <c r="M870" i="14"/>
  <c r="N867" i="13"/>
  <c r="J866" i="13" a="1"/>
  <c r="J866" i="13" s="1"/>
  <c r="K687" i="13" l="1"/>
  <c r="L687" i="13" s="1"/>
  <c r="I688" i="13" s="1"/>
  <c r="K707" i="14"/>
  <c r="L707" i="14" s="1"/>
  <c r="I708" i="14" s="1"/>
  <c r="M870" i="13"/>
  <c r="N868" i="13"/>
  <c r="J867" i="13" a="1"/>
  <c r="J867" i="13" s="1"/>
  <c r="M871" i="14"/>
  <c r="N867" i="14"/>
  <c r="J866" i="14" a="1"/>
  <c r="J866" i="14" s="1"/>
  <c r="K688" i="13" l="1"/>
  <c r="L688" i="13" s="1"/>
  <c r="I689" i="13" s="1"/>
  <c r="K708" i="14"/>
  <c r="L708" i="14" s="1"/>
  <c r="I709" i="14" s="1"/>
  <c r="N869" i="13"/>
  <c r="J868" i="13" a="1"/>
  <c r="J868" i="13" s="1"/>
  <c r="M871" i="13"/>
  <c r="N868" i="14"/>
  <c r="J867" i="14" a="1"/>
  <c r="J867" i="14" s="1"/>
  <c r="M872" i="14"/>
  <c r="K689" i="13" l="1"/>
  <c r="L689" i="13" s="1"/>
  <c r="I690" i="13" s="1"/>
  <c r="K709" i="14"/>
  <c r="L709" i="14" s="1"/>
  <c r="I710" i="14" s="1"/>
  <c r="M872" i="13"/>
  <c r="N869" i="14"/>
  <c r="J868" i="14" a="1"/>
  <c r="J868" i="14" s="1"/>
  <c r="M873" i="14"/>
  <c r="N870" i="13"/>
  <c r="J869" i="13" a="1"/>
  <c r="J869" i="13" s="1"/>
  <c r="K690" i="13" l="1"/>
  <c r="L690" i="13" s="1"/>
  <c r="I691" i="13" s="1"/>
  <c r="K710" i="14"/>
  <c r="L710" i="14" s="1"/>
  <c r="I711" i="14" s="1"/>
  <c r="N871" i="13"/>
  <c r="J870" i="13" a="1"/>
  <c r="J870" i="13" s="1"/>
  <c r="M874" i="14"/>
  <c r="M873" i="13"/>
  <c r="N870" i="14"/>
  <c r="J869" i="14" a="1"/>
  <c r="J869" i="14" s="1"/>
  <c r="K691" i="13" l="1"/>
  <c r="L691" i="13" s="1"/>
  <c r="I692" i="13" s="1"/>
  <c r="K711" i="14"/>
  <c r="L711" i="14" s="1"/>
  <c r="I712" i="14" s="1"/>
  <c r="M875" i="14"/>
  <c r="M874" i="13"/>
  <c r="N871" i="14"/>
  <c r="J870" i="14" a="1"/>
  <c r="J870" i="14" s="1"/>
  <c r="N872" i="13"/>
  <c r="J871" i="13" a="1"/>
  <c r="J871" i="13" s="1"/>
  <c r="K692" i="13" l="1"/>
  <c r="L692" i="13" s="1"/>
  <c r="I693" i="13" s="1"/>
  <c r="K712" i="14"/>
  <c r="L712" i="14" s="1"/>
  <c r="I713" i="14" s="1"/>
  <c r="M875" i="13"/>
  <c r="N873" i="13"/>
  <c r="J872" i="13" a="1"/>
  <c r="J872" i="13" s="1"/>
  <c r="M876" i="14"/>
  <c r="N872" i="14"/>
  <c r="J871" i="14" a="1"/>
  <c r="J871" i="14" s="1"/>
  <c r="K693" i="13" l="1"/>
  <c r="L693" i="13" s="1"/>
  <c r="I694" i="13" s="1"/>
  <c r="N873" i="14"/>
  <c r="J872" i="14" a="1"/>
  <c r="J872" i="14" s="1"/>
  <c r="K713" i="14"/>
  <c r="L713" i="14" s="1"/>
  <c r="I714" i="14" s="1"/>
  <c r="M877" i="14"/>
  <c r="M876" i="13"/>
  <c r="N874" i="13"/>
  <c r="J873" i="13" a="1"/>
  <c r="J873" i="13" s="1"/>
  <c r="K694" i="13" l="1"/>
  <c r="K714" i="14"/>
  <c r="L714" i="14" s="1"/>
  <c r="I715" i="14" s="1"/>
  <c r="M878" i="14"/>
  <c r="N875" i="13"/>
  <c r="J874" i="13" a="1"/>
  <c r="J874" i="13" s="1"/>
  <c r="N874" i="14"/>
  <c r="J873" i="14" a="1"/>
  <c r="J873" i="14" s="1"/>
  <c r="M877" i="13"/>
  <c r="L694" i="13" l="1"/>
  <c r="I695" i="13" s="1"/>
  <c r="K715" i="14"/>
  <c r="L715" i="14" s="1"/>
  <c r="I716" i="14" s="1"/>
  <c r="M879" i="14"/>
  <c r="M878" i="13"/>
  <c r="N875" i="14"/>
  <c r="J874" i="14" a="1"/>
  <c r="J874" i="14" s="1"/>
  <c r="N876" i="13"/>
  <c r="J875" i="13" a="1"/>
  <c r="J875" i="13" s="1"/>
  <c r="K695" i="13" l="1"/>
  <c r="L695" i="13" s="1"/>
  <c r="I696" i="13" s="1"/>
  <c r="K716" i="14"/>
  <c r="L716" i="14" s="1"/>
  <c r="I717" i="14" s="1"/>
  <c r="M879" i="13"/>
  <c r="N877" i="13"/>
  <c r="J876" i="13" a="1"/>
  <c r="J876" i="13" s="1"/>
  <c r="M880" i="14"/>
  <c r="N876" i="14"/>
  <c r="J875" i="14" a="1"/>
  <c r="J875" i="14" s="1"/>
  <c r="K696" i="13" l="1"/>
  <c r="L696" i="13" s="1"/>
  <c r="I697" i="13" s="1"/>
  <c r="N877" i="14"/>
  <c r="J876" i="14" a="1"/>
  <c r="J876" i="14" s="1"/>
  <c r="M881" i="14"/>
  <c r="N878" i="13"/>
  <c r="J877" i="13" a="1"/>
  <c r="J877" i="13" s="1"/>
  <c r="K717" i="14"/>
  <c r="M880" i="13"/>
  <c r="K697" i="13" l="1"/>
  <c r="L697" i="13" s="1"/>
  <c r="I698" i="13" s="1"/>
  <c r="N878" i="14"/>
  <c r="J877" i="14" a="1"/>
  <c r="J877" i="14" s="1"/>
  <c r="M882" i="14"/>
  <c r="L717" i="14"/>
  <c r="I718" i="14" s="1"/>
  <c r="N879" i="13"/>
  <c r="J878" i="13" a="1"/>
  <c r="J878" i="13" s="1"/>
  <c r="M881" i="13"/>
  <c r="K698" i="13" l="1"/>
  <c r="L698" i="13" s="1"/>
  <c r="I699" i="13" s="1"/>
  <c r="M883" i="14"/>
  <c r="N879" i="14"/>
  <c r="J878" i="14" a="1"/>
  <c r="J878" i="14" s="1"/>
  <c r="M882" i="13"/>
  <c r="K718" i="14"/>
  <c r="N880" i="13"/>
  <c r="J879" i="13" a="1"/>
  <c r="J879" i="13" s="1"/>
  <c r="K699" i="13" l="1"/>
  <c r="L699" i="13" s="1"/>
  <c r="I700" i="13" s="1"/>
  <c r="M883" i="13"/>
  <c r="M884" i="14"/>
  <c r="N881" i="13"/>
  <c r="J880" i="13" a="1"/>
  <c r="J880" i="13" s="1"/>
  <c r="L718" i="14"/>
  <c r="I719" i="14" s="1"/>
  <c r="N880" i="14"/>
  <c r="J879" i="14" a="1"/>
  <c r="J879" i="14" s="1"/>
  <c r="K700" i="13" l="1"/>
  <c r="L700" i="13" s="1"/>
  <c r="I701" i="13" s="1"/>
  <c r="M884" i="13"/>
  <c r="N882" i="13"/>
  <c r="J881" i="13" a="1"/>
  <c r="J881" i="13" s="1"/>
  <c r="N881" i="14"/>
  <c r="J880" i="14" a="1"/>
  <c r="J880" i="14" s="1"/>
  <c r="K719" i="14"/>
  <c r="M885" i="14"/>
  <c r="K701" i="13" l="1"/>
  <c r="L701" i="13" s="1"/>
  <c r="I702" i="13" s="1"/>
  <c r="M885" i="13"/>
  <c r="N882" i="14"/>
  <c r="J881" i="14" a="1"/>
  <c r="J881" i="14" s="1"/>
  <c r="M886" i="14"/>
  <c r="L719" i="14"/>
  <c r="I720" i="14" s="1"/>
  <c r="N883" i="13"/>
  <c r="J882" i="13" a="1"/>
  <c r="J882" i="13" s="1"/>
  <c r="K702" i="13" l="1"/>
  <c r="L702" i="13" s="1"/>
  <c r="I703" i="13" s="1"/>
  <c r="M887" i="14"/>
  <c r="M886" i="13"/>
  <c r="N884" i="13"/>
  <c r="J883" i="13" a="1"/>
  <c r="J883" i="13" s="1"/>
  <c r="K720" i="14"/>
  <c r="N883" i="14"/>
  <c r="J882" i="14" a="1"/>
  <c r="J882" i="14" s="1"/>
  <c r="K703" i="13" l="1"/>
  <c r="L703" i="13" s="1"/>
  <c r="I704" i="13" s="1"/>
  <c r="M888" i="14"/>
  <c r="N884" i="14"/>
  <c r="J883" i="14" a="1"/>
  <c r="J883" i="14" s="1"/>
  <c r="N885" i="13"/>
  <c r="J884" i="13" a="1"/>
  <c r="J884" i="13" s="1"/>
  <c r="M887" i="13"/>
  <c r="L720" i="14"/>
  <c r="I721" i="14" s="1"/>
  <c r="K704" i="13" l="1"/>
  <c r="M889" i="14"/>
  <c r="K721" i="14"/>
  <c r="L721" i="14" s="1"/>
  <c r="I722" i="14" s="1"/>
  <c r="M888" i="13"/>
  <c r="N886" i="13"/>
  <c r="J885" i="13" a="1"/>
  <c r="J885" i="13" s="1"/>
  <c r="N885" i="14"/>
  <c r="J884" i="14" a="1"/>
  <c r="J884" i="14" s="1"/>
  <c r="L704" i="13" l="1"/>
  <c r="I705" i="13" s="1"/>
  <c r="K722" i="14"/>
  <c r="L722" i="14" s="1"/>
  <c r="I723" i="14" s="1"/>
  <c r="N887" i="13"/>
  <c r="J886" i="13" a="1"/>
  <c r="J886" i="13" s="1"/>
  <c r="N886" i="14"/>
  <c r="J885" i="14" a="1"/>
  <c r="J885" i="14" s="1"/>
  <c r="M889" i="13"/>
  <c r="M890" i="14"/>
  <c r="K705" i="13" l="1"/>
  <c r="K723" i="14"/>
  <c r="L723" i="14" s="1"/>
  <c r="I724" i="14" s="1"/>
  <c r="M890" i="13"/>
  <c r="N888" i="13"/>
  <c r="J887" i="13" a="1"/>
  <c r="J887" i="13" s="1"/>
  <c r="N887" i="14"/>
  <c r="J886" i="14" a="1"/>
  <c r="J886" i="14" s="1"/>
  <c r="M891" i="14"/>
  <c r="L705" i="13" l="1"/>
  <c r="I706" i="13" s="1"/>
  <c r="M892" i="14"/>
  <c r="N889" i="13"/>
  <c r="J888" i="13" a="1"/>
  <c r="J888" i="13" s="1"/>
  <c r="N888" i="14"/>
  <c r="J887" i="14" a="1"/>
  <c r="J887" i="14" s="1"/>
  <c r="M891" i="13"/>
  <c r="K724" i="14"/>
  <c r="L724" i="14" s="1"/>
  <c r="I725" i="14" s="1"/>
  <c r="K706" i="13" l="1"/>
  <c r="L706" i="13" s="1"/>
  <c r="I707" i="13" s="1"/>
  <c r="K725" i="14"/>
  <c r="L725" i="14" s="1"/>
  <c r="I726" i="14" s="1"/>
  <c r="N890" i="13"/>
  <c r="J889" i="13" a="1"/>
  <c r="J889" i="13" s="1"/>
  <c r="N889" i="14"/>
  <c r="J888" i="14" a="1"/>
  <c r="J888" i="14" s="1"/>
  <c r="M892" i="13"/>
  <c r="M893" i="14"/>
  <c r="K707" i="13" l="1"/>
  <c r="L707" i="13" s="1"/>
  <c r="I708" i="13" s="1"/>
  <c r="K726" i="14"/>
  <c r="L726" i="14" s="1"/>
  <c r="I727" i="14" s="1"/>
  <c r="N890" i="14"/>
  <c r="J889" i="14" a="1"/>
  <c r="J889" i="14" s="1"/>
  <c r="M894" i="14"/>
  <c r="M893" i="13"/>
  <c r="N891" i="13"/>
  <c r="J890" i="13" a="1"/>
  <c r="J890" i="13" s="1"/>
  <c r="K708" i="13" l="1"/>
  <c r="L708" i="13" s="1"/>
  <c r="I709" i="13" s="1"/>
  <c r="K727" i="14"/>
  <c r="L727" i="14" s="1"/>
  <c r="I728" i="14" s="1"/>
  <c r="M895" i="14"/>
  <c r="N892" i="13"/>
  <c r="J891" i="13" a="1"/>
  <c r="J891" i="13" s="1"/>
  <c r="M894" i="13"/>
  <c r="N891" i="14"/>
  <c r="J890" i="14" a="1"/>
  <c r="J890" i="14" s="1"/>
  <c r="K709" i="13" l="1"/>
  <c r="L709" i="13" s="1"/>
  <c r="I710" i="13" s="1"/>
  <c r="K728" i="14"/>
  <c r="L728" i="14" s="1"/>
  <c r="I729" i="14" s="1"/>
  <c r="N893" i="13"/>
  <c r="J892" i="13" a="1"/>
  <c r="J892" i="13" s="1"/>
  <c r="M896" i="14"/>
  <c r="N892" i="14"/>
  <c r="J891" i="14" a="1"/>
  <c r="J891" i="14" s="1"/>
  <c r="M895" i="13"/>
  <c r="K710" i="13" l="1"/>
  <c r="L710" i="13" s="1"/>
  <c r="I711" i="13" s="1"/>
  <c r="K729" i="14"/>
  <c r="L729" i="14" s="1"/>
  <c r="I730" i="14" s="1"/>
  <c r="M896" i="13"/>
  <c r="M897" i="14"/>
  <c r="N893" i="14"/>
  <c r="J892" i="14" a="1"/>
  <c r="J892" i="14" s="1"/>
  <c r="N894" i="13"/>
  <c r="J893" i="13" a="1"/>
  <c r="J893" i="13" s="1"/>
  <c r="K711" i="13" l="1"/>
  <c r="L711" i="13" s="1"/>
  <c r="I712" i="13" s="1"/>
  <c r="K730" i="14"/>
  <c r="L730" i="14" s="1"/>
  <c r="I731" i="14" s="1"/>
  <c r="M898" i="14"/>
  <c r="N895" i="13"/>
  <c r="J894" i="13" a="1"/>
  <c r="J894" i="13" s="1"/>
  <c r="M897" i="13"/>
  <c r="N894" i="14"/>
  <c r="J893" i="14" a="1"/>
  <c r="J893" i="14" s="1"/>
  <c r="K712" i="13" l="1"/>
  <c r="L712" i="13" s="1"/>
  <c r="I713" i="13" s="1"/>
  <c r="K731" i="14"/>
  <c r="L731" i="14" s="1"/>
  <c r="I732" i="14" s="1"/>
  <c r="N896" i="13"/>
  <c r="J895" i="13" a="1"/>
  <c r="J895" i="13" s="1"/>
  <c r="N895" i="14"/>
  <c r="J894" i="14" a="1"/>
  <c r="J894" i="14" s="1"/>
  <c r="M898" i="13"/>
  <c r="M899" i="14"/>
  <c r="K713" i="13" l="1"/>
  <c r="L713" i="13" s="1"/>
  <c r="I714" i="13" s="1"/>
  <c r="K732" i="14"/>
  <c r="L732" i="14" s="1"/>
  <c r="I733" i="14" s="1"/>
  <c r="M900" i="14"/>
  <c r="N896" i="14"/>
  <c r="J895" i="14" a="1"/>
  <c r="J895" i="14" s="1"/>
  <c r="M899" i="13"/>
  <c r="N897" i="13"/>
  <c r="J896" i="13" a="1"/>
  <c r="J896" i="13" s="1"/>
  <c r="K714" i="13" l="1"/>
  <c r="L714" i="13" s="1"/>
  <c r="I715" i="13" s="1"/>
  <c r="K733" i="14"/>
  <c r="L733" i="14" s="1"/>
  <c r="I734" i="14" s="1"/>
  <c r="N897" i="14"/>
  <c r="J896" i="14" a="1"/>
  <c r="J896" i="14" s="1"/>
  <c r="M900" i="13"/>
  <c r="N898" i="13"/>
  <c r="J897" i="13" a="1"/>
  <c r="J897" i="13" s="1"/>
  <c r="M901" i="14"/>
  <c r="K715" i="13" l="1"/>
  <c r="L715" i="13" s="1"/>
  <c r="I716" i="13" s="1"/>
  <c r="K734" i="14"/>
  <c r="L734" i="14" s="1"/>
  <c r="I735" i="14" s="1"/>
  <c r="M902" i="14"/>
  <c r="M901" i="13"/>
  <c r="N899" i="13"/>
  <c r="J898" i="13" a="1"/>
  <c r="J898" i="13" s="1"/>
  <c r="N898" i="14"/>
  <c r="J897" i="14" a="1"/>
  <c r="J897" i="14" s="1"/>
  <c r="K716" i="13" l="1"/>
  <c r="K735" i="14"/>
  <c r="L735" i="14" s="1"/>
  <c r="I736" i="14" s="1"/>
  <c r="M902" i="13"/>
  <c r="N899" i="14"/>
  <c r="J898" i="14" a="1"/>
  <c r="J898" i="14" s="1"/>
  <c r="M903" i="14"/>
  <c r="N900" i="13"/>
  <c r="J899" i="13" a="1"/>
  <c r="J899" i="13" s="1"/>
  <c r="L716" i="13" l="1"/>
  <c r="I717" i="13" s="1"/>
  <c r="K736" i="14"/>
  <c r="L736" i="14" s="1"/>
  <c r="I737" i="14" s="1"/>
  <c r="M903" i="13"/>
  <c r="N901" i="13"/>
  <c r="J900" i="13" a="1"/>
  <c r="J900" i="13" s="1"/>
  <c r="M904" i="14"/>
  <c r="N900" i="14"/>
  <c r="J899" i="14" a="1"/>
  <c r="J899" i="14" s="1"/>
  <c r="K717" i="13" l="1"/>
  <c r="K737" i="14"/>
  <c r="L737" i="14" s="1"/>
  <c r="I738" i="14" s="1"/>
  <c r="M904" i="13"/>
  <c r="M905" i="14"/>
  <c r="N901" i="14"/>
  <c r="J900" i="14" a="1"/>
  <c r="J900" i="14" s="1"/>
  <c r="N902" i="13"/>
  <c r="J901" i="13" a="1"/>
  <c r="J901" i="13" s="1"/>
  <c r="L717" i="13" l="1"/>
  <c r="I718" i="13" s="1"/>
  <c r="K738" i="14"/>
  <c r="L738" i="14" s="1"/>
  <c r="I739" i="14" s="1"/>
  <c r="N903" i="13"/>
  <c r="J902" i="13" a="1"/>
  <c r="J902" i="13" s="1"/>
  <c r="M906" i="14"/>
  <c r="M905" i="13"/>
  <c r="N902" i="14"/>
  <c r="J901" i="14" a="1"/>
  <c r="J901" i="14" s="1"/>
  <c r="K718" i="13" l="1"/>
  <c r="K739" i="14"/>
  <c r="L739" i="14" s="1"/>
  <c r="I740" i="14" s="1"/>
  <c r="N904" i="13"/>
  <c r="J903" i="13" a="1"/>
  <c r="J903" i="13" s="1"/>
  <c r="N903" i="14"/>
  <c r="J902" i="14" a="1"/>
  <c r="J902" i="14" s="1"/>
  <c r="M906" i="13"/>
  <c r="M907" i="14"/>
  <c r="L718" i="13" l="1"/>
  <c r="I719" i="13" s="1"/>
  <c r="K740" i="14"/>
  <c r="L740" i="14" s="1"/>
  <c r="I741" i="14" s="1"/>
  <c r="N904" i="14"/>
  <c r="J903" i="14" a="1"/>
  <c r="J903" i="14" s="1"/>
  <c r="M907" i="13"/>
  <c r="M908" i="14"/>
  <c r="N905" i="13"/>
  <c r="J904" i="13" a="1"/>
  <c r="J904" i="13" s="1"/>
  <c r="K719" i="13" l="1"/>
  <c r="K741" i="14"/>
  <c r="L741" i="14" s="1"/>
  <c r="I742" i="14" s="1"/>
  <c r="M909" i="14"/>
  <c r="N905" i="14"/>
  <c r="J904" i="14" a="1"/>
  <c r="J904" i="14" s="1"/>
  <c r="N906" i="13"/>
  <c r="J905" i="13" a="1"/>
  <c r="J905" i="13" s="1"/>
  <c r="M908" i="13"/>
  <c r="L719" i="13" l="1"/>
  <c r="I720" i="13" s="1"/>
  <c r="K742" i="14"/>
  <c r="L742" i="14" s="1"/>
  <c r="I743" i="14" s="1"/>
  <c r="M910" i="14"/>
  <c r="M909" i="13"/>
  <c r="N907" i="13"/>
  <c r="J906" i="13" a="1"/>
  <c r="J906" i="13" s="1"/>
  <c r="N906" i="14"/>
  <c r="J905" i="14" a="1"/>
  <c r="J905" i="14" s="1"/>
  <c r="K720" i="13" l="1"/>
  <c r="L720" i="13" s="1"/>
  <c r="I721" i="13" s="1"/>
  <c r="K743" i="14"/>
  <c r="L743" i="14" s="1"/>
  <c r="I744" i="14" s="1"/>
  <c r="M910" i="13"/>
  <c r="M911" i="14"/>
  <c r="N907" i="14"/>
  <c r="J906" i="14" a="1"/>
  <c r="J906" i="14" s="1"/>
  <c r="N908" i="13"/>
  <c r="J907" i="13" a="1"/>
  <c r="J907" i="13" s="1"/>
  <c r="K721" i="13" l="1"/>
  <c r="L721" i="13" s="1"/>
  <c r="I722" i="13" s="1"/>
  <c r="K744" i="14"/>
  <c r="L744" i="14" s="1"/>
  <c r="I745" i="14" s="1"/>
  <c r="M912" i="14"/>
  <c r="N909" i="13"/>
  <c r="J908" i="13" a="1"/>
  <c r="J908" i="13" s="1"/>
  <c r="M911" i="13"/>
  <c r="N908" i="14"/>
  <c r="J907" i="14" a="1"/>
  <c r="J907" i="14" s="1"/>
  <c r="K722" i="13" l="1"/>
  <c r="L722" i="13" s="1"/>
  <c r="I723" i="13" s="1"/>
  <c r="K745" i="14"/>
  <c r="L745" i="14" s="1"/>
  <c r="I746" i="14" s="1"/>
  <c r="N909" i="14"/>
  <c r="J908" i="14" a="1"/>
  <c r="J908" i="14" s="1"/>
  <c r="N910" i="13"/>
  <c r="J909" i="13" a="1"/>
  <c r="J909" i="13" s="1"/>
  <c r="M912" i="13"/>
  <c r="M913" i="14"/>
  <c r="K723" i="13" l="1"/>
  <c r="L723" i="13" s="1"/>
  <c r="I724" i="13" s="1"/>
  <c r="K746" i="14"/>
  <c r="L746" i="14" s="1"/>
  <c r="I747" i="14" s="1"/>
  <c r="N911" i="13"/>
  <c r="J910" i="13" a="1"/>
  <c r="J910" i="13" s="1"/>
  <c r="M913" i="13"/>
  <c r="N910" i="14"/>
  <c r="J909" i="14" a="1"/>
  <c r="J909" i="14" s="1"/>
  <c r="M914" i="14"/>
  <c r="K724" i="13" l="1"/>
  <c r="L724" i="13" s="1"/>
  <c r="I725" i="13" s="1"/>
  <c r="K747" i="14"/>
  <c r="L747" i="14" s="1"/>
  <c r="I748" i="14" s="1"/>
  <c r="N911" i="14"/>
  <c r="J910" i="14" a="1"/>
  <c r="J910" i="14" s="1"/>
  <c r="N912" i="13"/>
  <c r="J911" i="13" a="1"/>
  <c r="J911" i="13" s="1"/>
  <c r="M915" i="14"/>
  <c r="M914" i="13"/>
  <c r="K725" i="13" l="1"/>
  <c r="L725" i="13" s="1"/>
  <c r="I726" i="13" s="1"/>
  <c r="K748" i="14"/>
  <c r="L748" i="14" s="1"/>
  <c r="I749" i="14" s="1"/>
  <c r="M915" i="13"/>
  <c r="N912" i="14"/>
  <c r="J911" i="14" a="1"/>
  <c r="J911" i="14" s="1"/>
  <c r="M916" i="14"/>
  <c r="N913" i="13"/>
  <c r="J912" i="13" a="1"/>
  <c r="J912" i="13" s="1"/>
  <c r="K726" i="13" l="1"/>
  <c r="L726" i="13" s="1"/>
  <c r="I727" i="13" s="1"/>
  <c r="K749" i="14"/>
  <c r="L749" i="14" s="1"/>
  <c r="I750" i="14" s="1"/>
  <c r="N913" i="14"/>
  <c r="J912" i="14" a="1"/>
  <c r="J912" i="14" s="1"/>
  <c r="N914" i="13"/>
  <c r="J913" i="13" a="1"/>
  <c r="J913" i="13" s="1"/>
  <c r="M917" i="14"/>
  <c r="M916" i="13"/>
  <c r="K727" i="13" l="1"/>
  <c r="L727" i="13" s="1"/>
  <c r="I728" i="13" s="1"/>
  <c r="M917" i="13"/>
  <c r="N915" i="13"/>
  <c r="J914" i="13" a="1"/>
  <c r="J914" i="13" s="1"/>
  <c r="M918" i="14"/>
  <c r="N914" i="14"/>
  <c r="J913" i="14" a="1"/>
  <c r="J913" i="14" s="1"/>
  <c r="K750" i="14"/>
  <c r="L750" i="14" s="1"/>
  <c r="I751" i="14" s="1"/>
  <c r="K728" i="13" l="1"/>
  <c r="L728" i="13" s="1"/>
  <c r="I729" i="13" s="1"/>
  <c r="K751" i="14"/>
  <c r="L751" i="14" s="1"/>
  <c r="I752" i="14" s="1"/>
  <c r="M918" i="13"/>
  <c r="M919" i="14"/>
  <c r="N915" i="14"/>
  <c r="J914" i="14" a="1"/>
  <c r="J914" i="14" s="1"/>
  <c r="N916" i="13"/>
  <c r="J915" i="13" a="1"/>
  <c r="J915" i="13" s="1"/>
  <c r="K729" i="13" l="1"/>
  <c r="L729" i="13" s="1"/>
  <c r="I730" i="13" s="1"/>
  <c r="K752" i="14"/>
  <c r="L752" i="14" s="1"/>
  <c r="I753" i="14" s="1"/>
  <c r="M919" i="13"/>
  <c r="M920" i="14"/>
  <c r="N917" i="13"/>
  <c r="J916" i="13" a="1"/>
  <c r="J916" i="13" s="1"/>
  <c r="N916" i="14"/>
  <c r="J915" i="14" a="1"/>
  <c r="J915" i="14" s="1"/>
  <c r="K730" i="13" l="1"/>
  <c r="L730" i="13" s="1"/>
  <c r="I731" i="13" s="1"/>
  <c r="K753" i="14"/>
  <c r="L753" i="14" s="1"/>
  <c r="I754" i="14" s="1"/>
  <c r="M920" i="13"/>
  <c r="M921" i="14"/>
  <c r="N917" i="14"/>
  <c r="J916" i="14" a="1"/>
  <c r="J916" i="14" s="1"/>
  <c r="N918" i="13"/>
  <c r="J917" i="13" a="1"/>
  <c r="J917" i="13" s="1"/>
  <c r="K731" i="13" l="1"/>
  <c r="L731" i="13" s="1"/>
  <c r="I732" i="13" s="1"/>
  <c r="K754" i="14"/>
  <c r="L754" i="14" s="1"/>
  <c r="I755" i="14" s="1"/>
  <c r="M922" i="14"/>
  <c r="M921" i="13"/>
  <c r="N919" i="13"/>
  <c r="J918" i="13" a="1"/>
  <c r="J918" i="13" s="1"/>
  <c r="N918" i="14"/>
  <c r="J917" i="14" a="1"/>
  <c r="J917" i="14" s="1"/>
  <c r="K732" i="13" l="1"/>
  <c r="L732" i="13" s="1"/>
  <c r="I733" i="13" s="1"/>
  <c r="K755" i="14"/>
  <c r="L755" i="14" s="1"/>
  <c r="I756" i="14" s="1"/>
  <c r="N919" i="14"/>
  <c r="J918" i="14" a="1"/>
  <c r="J918" i="14" s="1"/>
  <c r="M922" i="13"/>
  <c r="M923" i="14"/>
  <c r="N920" i="13"/>
  <c r="J919" i="13" a="1"/>
  <c r="J919" i="13" s="1"/>
  <c r="K733" i="13" l="1"/>
  <c r="L733" i="13" s="1"/>
  <c r="I734" i="13" s="1"/>
  <c r="K756" i="14"/>
  <c r="L756" i="14" s="1"/>
  <c r="I757" i="14" s="1"/>
  <c r="N921" i="13"/>
  <c r="J920" i="13" a="1"/>
  <c r="J920" i="13" s="1"/>
  <c r="M923" i="13"/>
  <c r="M924" i="14"/>
  <c r="N920" i="14"/>
  <c r="J919" i="14" a="1"/>
  <c r="J919" i="14" s="1"/>
  <c r="K734" i="13" l="1"/>
  <c r="L734" i="13" s="1"/>
  <c r="I735" i="13" s="1"/>
  <c r="K757" i="14"/>
  <c r="L757" i="14" s="1"/>
  <c r="I758" i="14" s="1"/>
  <c r="M924" i="13"/>
  <c r="N921" i="14"/>
  <c r="J920" i="14" a="1"/>
  <c r="J920" i="14" s="1"/>
  <c r="M925" i="14"/>
  <c r="N922" i="13"/>
  <c r="J921" i="13" a="1"/>
  <c r="J921" i="13" s="1"/>
  <c r="K735" i="13" l="1"/>
  <c r="L735" i="13" s="1"/>
  <c r="I736" i="13" s="1"/>
  <c r="K758" i="14"/>
  <c r="L758" i="14" s="1"/>
  <c r="I759" i="14" s="1"/>
  <c r="M925" i="13"/>
  <c r="N923" i="13"/>
  <c r="J922" i="13" a="1"/>
  <c r="J922" i="13" s="1"/>
  <c r="M926" i="14"/>
  <c r="N922" i="14"/>
  <c r="J921" i="14" a="1"/>
  <c r="J921" i="14" s="1"/>
  <c r="K736" i="13" l="1"/>
  <c r="L736" i="13" s="1"/>
  <c r="I737" i="13" s="1"/>
  <c r="K759" i="14"/>
  <c r="L759" i="14" s="1"/>
  <c r="I760" i="14" s="1"/>
  <c r="N923" i="14"/>
  <c r="J922" i="14" a="1"/>
  <c r="J922" i="14" s="1"/>
  <c r="N924" i="13"/>
  <c r="J923" i="13" a="1"/>
  <c r="J923" i="13" s="1"/>
  <c r="M926" i="13"/>
  <c r="M927" i="14"/>
  <c r="K737" i="13" l="1"/>
  <c r="L737" i="13" s="1"/>
  <c r="I738" i="13" s="1"/>
  <c r="K760" i="14"/>
  <c r="L760" i="14" s="1"/>
  <c r="I761" i="14" s="1"/>
  <c r="M928" i="14"/>
  <c r="M927" i="13"/>
  <c r="N925" i="13"/>
  <c r="J924" i="13" a="1"/>
  <c r="J924" i="13" s="1"/>
  <c r="N924" i="14"/>
  <c r="J923" i="14" a="1"/>
  <c r="J923" i="14" s="1"/>
  <c r="K738" i="13" l="1"/>
  <c r="L738" i="13" s="1"/>
  <c r="I739" i="13" s="1"/>
  <c r="K761" i="14"/>
  <c r="L761" i="14" s="1"/>
  <c r="I762" i="14" s="1"/>
  <c r="M928" i="13"/>
  <c r="N925" i="14"/>
  <c r="J924" i="14" a="1"/>
  <c r="J924" i="14" s="1"/>
  <c r="M929" i="14"/>
  <c r="N926" i="13"/>
  <c r="J925" i="13" a="1"/>
  <c r="J925" i="13" s="1"/>
  <c r="K739" i="13" l="1"/>
  <c r="L739" i="13" s="1"/>
  <c r="I740" i="13" s="1"/>
  <c r="K762" i="14"/>
  <c r="L762" i="14" s="1"/>
  <c r="I763" i="14" s="1"/>
  <c r="N926" i="14"/>
  <c r="J925" i="14" a="1"/>
  <c r="J925" i="14" s="1"/>
  <c r="M930" i="14"/>
  <c r="N927" i="13"/>
  <c r="J926" i="13" a="1"/>
  <c r="J926" i="13" s="1"/>
  <c r="M929" i="13"/>
  <c r="K740" i="13" l="1"/>
  <c r="L740" i="13" s="1"/>
  <c r="I741" i="13" s="1"/>
  <c r="K763" i="14"/>
  <c r="L763" i="14" s="1"/>
  <c r="I764" i="14" s="1"/>
  <c r="M930" i="13"/>
  <c r="M931" i="14"/>
  <c r="N928" i="13"/>
  <c r="J927" i="13" a="1"/>
  <c r="J927" i="13" s="1"/>
  <c r="N927" i="14"/>
  <c r="J926" i="14" a="1"/>
  <c r="J926" i="14" s="1"/>
  <c r="K741" i="13" l="1"/>
  <c r="L741" i="13" s="1"/>
  <c r="I742" i="13" s="1"/>
  <c r="K764" i="14"/>
  <c r="L764" i="14" s="1"/>
  <c r="I765" i="14" s="1"/>
  <c r="M932" i="14"/>
  <c r="M931" i="13"/>
  <c r="N928" i="14"/>
  <c r="J927" i="14" a="1"/>
  <c r="J927" i="14" s="1"/>
  <c r="N929" i="13"/>
  <c r="J928" i="13" a="1"/>
  <c r="J928" i="13" s="1"/>
  <c r="K742" i="13" l="1"/>
  <c r="L742" i="13" s="1"/>
  <c r="I743" i="13" s="1"/>
  <c r="K765" i="14"/>
  <c r="L765" i="14" s="1"/>
  <c r="I766" i="14" s="1"/>
  <c r="M932" i="13"/>
  <c r="N930" i="13"/>
  <c r="J929" i="13" a="1"/>
  <c r="J929" i="13" s="1"/>
  <c r="M933" i="14"/>
  <c r="N929" i="14"/>
  <c r="J928" i="14" a="1"/>
  <c r="J928" i="14" s="1"/>
  <c r="K743" i="13" l="1"/>
  <c r="L743" i="13" s="1"/>
  <c r="I744" i="13" s="1"/>
  <c r="K766" i="14"/>
  <c r="L766" i="14" s="1"/>
  <c r="I767" i="14" s="1"/>
  <c r="N931" i="13"/>
  <c r="J930" i="13" a="1"/>
  <c r="J930" i="13" s="1"/>
  <c r="M933" i="13"/>
  <c r="J929" i="14" a="1"/>
  <c r="J929" i="14" s="1"/>
  <c r="N930" i="14"/>
  <c r="M934" i="14"/>
  <c r="K744" i="13" l="1"/>
  <c r="L744" i="13" s="1"/>
  <c r="I745" i="13" s="1"/>
  <c r="K767" i="14"/>
  <c r="L767" i="14" s="1"/>
  <c r="I768" i="14" s="1"/>
  <c r="N931" i="14"/>
  <c r="J930" i="14" a="1"/>
  <c r="J930" i="14" s="1"/>
  <c r="M935" i="14"/>
  <c r="M934" i="13"/>
  <c r="N932" i="13"/>
  <c r="J931" i="13" a="1"/>
  <c r="J931" i="13" s="1"/>
  <c r="K745" i="13" l="1"/>
  <c r="L745" i="13" s="1"/>
  <c r="I746" i="13" s="1"/>
  <c r="K768" i="14"/>
  <c r="L768" i="14" s="1"/>
  <c r="I769" i="14" s="1"/>
  <c r="N933" i="13"/>
  <c r="J932" i="13" a="1"/>
  <c r="J932" i="13" s="1"/>
  <c r="M936" i="14"/>
  <c r="M935" i="13"/>
  <c r="J931" i="14" a="1"/>
  <c r="J931" i="14" s="1"/>
  <c r="N932" i="14"/>
  <c r="K746" i="13" l="1"/>
  <c r="L746" i="13" s="1"/>
  <c r="I747" i="13" s="1"/>
  <c r="N933" i="14"/>
  <c r="J932" i="14" a="1"/>
  <c r="J932" i="14" s="1"/>
  <c r="M937" i="14"/>
  <c r="M936" i="13"/>
  <c r="N934" i="13"/>
  <c r="J933" i="13" a="1"/>
  <c r="J933" i="13" s="1"/>
  <c r="K769" i="14"/>
  <c r="L769" i="14" s="1"/>
  <c r="I770" i="14" s="1"/>
  <c r="K747" i="13" l="1"/>
  <c r="L747" i="13" s="1"/>
  <c r="I748" i="13" s="1"/>
  <c r="K770" i="14"/>
  <c r="L770" i="14" s="1"/>
  <c r="I771" i="14" s="1"/>
  <c r="N935" i="13"/>
  <c r="J934" i="13" a="1"/>
  <c r="J934" i="13" s="1"/>
  <c r="J933" i="14" a="1"/>
  <c r="J933" i="14" s="1"/>
  <c r="N934" i="14"/>
  <c r="M938" i="14"/>
  <c r="M937" i="13"/>
  <c r="K748" i="13" l="1"/>
  <c r="L748" i="13" s="1"/>
  <c r="I749" i="13" s="1"/>
  <c r="K771" i="14"/>
  <c r="L771" i="14" s="1"/>
  <c r="I772" i="14" s="1"/>
  <c r="M939" i="14"/>
  <c r="N936" i="13"/>
  <c r="J935" i="13" a="1"/>
  <c r="J935" i="13" s="1"/>
  <c r="M938" i="13"/>
  <c r="N935" i="14"/>
  <c r="J934" i="14" a="1"/>
  <c r="J934" i="14" s="1"/>
  <c r="K749" i="13" l="1"/>
  <c r="L749" i="13" s="1"/>
  <c r="I750" i="13" s="1"/>
  <c r="K772" i="14"/>
  <c r="L772" i="14" s="1"/>
  <c r="I773" i="14" s="1"/>
  <c r="J935" i="14" a="1"/>
  <c r="J935" i="14" s="1"/>
  <c r="N936" i="14"/>
  <c r="N937" i="13"/>
  <c r="J936" i="13" a="1"/>
  <c r="J936" i="13" s="1"/>
  <c r="M939" i="13"/>
  <c r="M940" i="14"/>
  <c r="K750" i="13" l="1"/>
  <c r="L750" i="13" s="1"/>
  <c r="I751" i="13" s="1"/>
  <c r="K773" i="14"/>
  <c r="L773" i="14" s="1"/>
  <c r="I774" i="14" s="1"/>
  <c r="N938" i="13"/>
  <c r="J937" i="13" a="1"/>
  <c r="J937" i="13" s="1"/>
  <c r="M941" i="14"/>
  <c r="M940" i="13"/>
  <c r="N937" i="14"/>
  <c r="J936" i="14" a="1"/>
  <c r="J936" i="14" s="1"/>
  <c r="K751" i="13" l="1"/>
  <c r="L751" i="13" s="1"/>
  <c r="I752" i="13" s="1"/>
  <c r="K774" i="14"/>
  <c r="L774" i="14" s="1"/>
  <c r="I775" i="14" s="1"/>
  <c r="J937" i="14" a="1"/>
  <c r="J937" i="14" s="1"/>
  <c r="N938" i="14"/>
  <c r="M942" i="14"/>
  <c r="M941" i="13"/>
  <c r="N939" i="13"/>
  <c r="J938" i="13" a="1"/>
  <c r="J938" i="13" s="1"/>
  <c r="K752" i="13" l="1"/>
  <c r="L752" i="13" s="1"/>
  <c r="I753" i="13" s="1"/>
  <c r="K775" i="14"/>
  <c r="L775" i="14" s="1"/>
  <c r="I776" i="14" s="1"/>
  <c r="N939" i="14"/>
  <c r="J938" i="14" a="1"/>
  <c r="J938" i="14" s="1"/>
  <c r="M943" i="14"/>
  <c r="M942" i="13"/>
  <c r="N940" i="13"/>
  <c r="J939" i="13" a="1"/>
  <c r="J939" i="13" s="1"/>
  <c r="K753" i="13" l="1"/>
  <c r="L753" i="13" s="1"/>
  <c r="I754" i="13" s="1"/>
  <c r="K776" i="14"/>
  <c r="L776" i="14" s="1"/>
  <c r="I777" i="14" s="1"/>
  <c r="M944" i="14"/>
  <c r="N941" i="13"/>
  <c r="J940" i="13" a="1"/>
  <c r="J940" i="13" s="1"/>
  <c r="M943" i="13"/>
  <c r="J939" i="14" a="1"/>
  <c r="J939" i="14" s="1"/>
  <c r="N940" i="14"/>
  <c r="K754" i="13" l="1"/>
  <c r="L754" i="13" s="1"/>
  <c r="I755" i="13" s="1"/>
  <c r="K777" i="14"/>
  <c r="L777" i="14" s="1"/>
  <c r="I778" i="14" s="1"/>
  <c r="N941" i="14"/>
  <c r="J940" i="14" a="1"/>
  <c r="J940" i="14" s="1"/>
  <c r="N942" i="13"/>
  <c r="J941" i="13" a="1"/>
  <c r="J941" i="13" s="1"/>
  <c r="M944" i="13"/>
  <c r="M945" i="14"/>
  <c r="K755" i="13" l="1"/>
  <c r="L755" i="13" s="1"/>
  <c r="I756" i="13" s="1"/>
  <c r="K778" i="14"/>
  <c r="L778" i="14" s="1"/>
  <c r="I779" i="14" s="1"/>
  <c r="M946" i="14"/>
  <c r="N943" i="13"/>
  <c r="J942" i="13" a="1"/>
  <c r="J942" i="13" s="1"/>
  <c r="M945" i="13"/>
  <c r="J941" i="14" a="1"/>
  <c r="J941" i="14" s="1"/>
  <c r="N942" i="14"/>
  <c r="K756" i="13" l="1"/>
  <c r="L756" i="13" s="1"/>
  <c r="I757" i="13" s="1"/>
  <c r="K779" i="14"/>
  <c r="L779" i="14" s="1"/>
  <c r="I780" i="14" s="1"/>
  <c r="N943" i="14"/>
  <c r="J942" i="14" a="1"/>
  <c r="J942" i="14" s="1"/>
  <c r="M947" i="14"/>
  <c r="N944" i="13"/>
  <c r="J943" i="13" a="1"/>
  <c r="J943" i="13" s="1"/>
  <c r="M946" i="13"/>
  <c r="K757" i="13" l="1"/>
  <c r="L757" i="13" s="1"/>
  <c r="I758" i="13" s="1"/>
  <c r="M947" i="13"/>
  <c r="M948" i="14"/>
  <c r="N945" i="13"/>
  <c r="J944" i="13" a="1"/>
  <c r="J944" i="13" s="1"/>
  <c r="J943" i="14" a="1"/>
  <c r="J943" i="14" s="1"/>
  <c r="N944" i="14"/>
  <c r="K780" i="14"/>
  <c r="L780" i="14" s="1"/>
  <c r="I781" i="14" s="1"/>
  <c r="K758" i="13" l="1"/>
  <c r="L758" i="13" s="1"/>
  <c r="I759" i="13" s="1"/>
  <c r="K781" i="14"/>
  <c r="L781" i="14" s="1"/>
  <c r="I782" i="14" s="1"/>
  <c r="M948" i="13"/>
  <c r="N945" i="14"/>
  <c r="J944" i="14" a="1"/>
  <c r="J944" i="14" s="1"/>
  <c r="M949" i="14"/>
  <c r="N946" i="13"/>
  <c r="J945" i="13" a="1"/>
  <c r="J945" i="13" s="1"/>
  <c r="K759" i="13" l="1"/>
  <c r="L759" i="13" s="1"/>
  <c r="I760" i="13" s="1"/>
  <c r="K782" i="14"/>
  <c r="L782" i="14" s="1"/>
  <c r="I783" i="14" s="1"/>
  <c r="N947" i="13"/>
  <c r="J946" i="13" a="1"/>
  <c r="J946" i="13" s="1"/>
  <c r="J945" i="14" a="1"/>
  <c r="J945" i="14" s="1"/>
  <c r="N946" i="14"/>
  <c r="M950" i="14"/>
  <c r="M949" i="13"/>
  <c r="K760" i="13" l="1"/>
  <c r="L760" i="13" s="1"/>
  <c r="I761" i="13" s="1"/>
  <c r="K783" i="14"/>
  <c r="L783" i="14" s="1"/>
  <c r="I784" i="14" s="1"/>
  <c r="M950" i="13"/>
  <c r="N947" i="14"/>
  <c r="J946" i="14" a="1"/>
  <c r="J946" i="14" s="1"/>
  <c r="M951" i="14"/>
  <c r="N948" i="13"/>
  <c r="J947" i="13" a="1"/>
  <c r="J947" i="13" s="1"/>
  <c r="K761" i="13" l="1"/>
  <c r="L761" i="13" s="1"/>
  <c r="I762" i="13" s="1"/>
  <c r="K784" i="14"/>
  <c r="L784" i="14" s="1"/>
  <c r="I785" i="14" s="1"/>
  <c r="N949" i="13"/>
  <c r="J948" i="13" a="1"/>
  <c r="J948" i="13" s="1"/>
  <c r="J947" i="14" a="1"/>
  <c r="J947" i="14" s="1"/>
  <c r="N948" i="14"/>
  <c r="M952" i="14"/>
  <c r="M951" i="13"/>
  <c r="K762" i="13" l="1"/>
  <c r="L762" i="13" s="1"/>
  <c r="I763" i="13" s="1"/>
  <c r="K785" i="14"/>
  <c r="L785" i="14" s="1"/>
  <c r="I786" i="14" s="1"/>
  <c r="M953" i="14"/>
  <c r="M952" i="13"/>
  <c r="N949" i="14"/>
  <c r="J948" i="14" a="1"/>
  <c r="J948" i="14" s="1"/>
  <c r="N950" i="13"/>
  <c r="J949" i="13" a="1"/>
  <c r="J949" i="13" s="1"/>
  <c r="K763" i="13" l="1"/>
  <c r="L763" i="13" s="1"/>
  <c r="I764" i="13" s="1"/>
  <c r="K786" i="14"/>
  <c r="L786" i="14" s="1"/>
  <c r="I787" i="14" s="1"/>
  <c r="M953" i="13"/>
  <c r="N951" i="13"/>
  <c r="J950" i="13" a="1"/>
  <c r="J950" i="13" s="1"/>
  <c r="M954" i="14"/>
  <c r="J949" i="14" a="1"/>
  <c r="J949" i="14" s="1"/>
  <c r="N950" i="14"/>
  <c r="K764" i="13" l="1"/>
  <c r="L764" i="13" s="1"/>
  <c r="I765" i="13" s="1"/>
  <c r="K787" i="14"/>
  <c r="L787" i="14" s="1"/>
  <c r="I788" i="14" s="1"/>
  <c r="N952" i="13"/>
  <c r="J951" i="13" a="1"/>
  <c r="J951" i="13" s="1"/>
  <c r="N951" i="14"/>
  <c r="J950" i="14" a="1"/>
  <c r="J950" i="14" s="1"/>
  <c r="M955" i="14"/>
  <c r="M954" i="13"/>
  <c r="K765" i="13" l="1"/>
  <c r="L765" i="13" s="1"/>
  <c r="I766" i="13" s="1"/>
  <c r="K788" i="14"/>
  <c r="L788" i="14" s="1"/>
  <c r="I789" i="14" s="1"/>
  <c r="J951" i="14" a="1"/>
  <c r="J951" i="14" s="1"/>
  <c r="N952" i="14"/>
  <c r="M955" i="13"/>
  <c r="M956" i="14"/>
  <c r="N953" i="13"/>
  <c r="J952" i="13" a="1"/>
  <c r="J952" i="13" s="1"/>
  <c r="K766" i="13" l="1"/>
  <c r="L766" i="13" s="1"/>
  <c r="I767" i="13" s="1"/>
  <c r="M956" i="13"/>
  <c r="N954" i="13"/>
  <c r="J953" i="13" a="1"/>
  <c r="J953" i="13" s="1"/>
  <c r="K789" i="14"/>
  <c r="L789" i="14" s="1"/>
  <c r="I790" i="14" s="1"/>
  <c r="M957" i="14"/>
  <c r="N953" i="14"/>
  <c r="J952" i="14" a="1"/>
  <c r="J952" i="14" s="1"/>
  <c r="K767" i="13" l="1"/>
  <c r="L767" i="13" s="1"/>
  <c r="I768" i="13" s="1"/>
  <c r="M957" i="13"/>
  <c r="K790" i="14"/>
  <c r="L790" i="14" s="1"/>
  <c r="I791" i="14" s="1"/>
  <c r="M958" i="14"/>
  <c r="J953" i="14" a="1"/>
  <c r="J953" i="14" s="1"/>
  <c r="N954" i="14"/>
  <c r="N955" i="13"/>
  <c r="J954" i="13" a="1"/>
  <c r="J954" i="13" s="1"/>
  <c r="K768" i="13" l="1"/>
  <c r="L768" i="13" s="1"/>
  <c r="I769" i="13" s="1"/>
  <c r="K791" i="14"/>
  <c r="L791" i="14" s="1"/>
  <c r="I792" i="14" s="1"/>
  <c r="M959" i="14"/>
  <c r="M958" i="13"/>
  <c r="N956" i="13"/>
  <c r="J955" i="13" a="1"/>
  <c r="J955" i="13" s="1"/>
  <c r="N955" i="14"/>
  <c r="J954" i="14" a="1"/>
  <c r="J954" i="14" s="1"/>
  <c r="K769" i="13" l="1"/>
  <c r="L769" i="13" s="1"/>
  <c r="I770" i="13" s="1"/>
  <c r="K792" i="14"/>
  <c r="L792" i="14" s="1"/>
  <c r="I793" i="14" s="1"/>
  <c r="M959" i="13"/>
  <c r="M960" i="14"/>
  <c r="J955" i="14" a="1"/>
  <c r="J955" i="14" s="1"/>
  <c r="N956" i="14"/>
  <c r="N957" i="13"/>
  <c r="J956" i="13" a="1"/>
  <c r="J956" i="13" s="1"/>
  <c r="K770" i="13" l="1"/>
  <c r="L770" i="13" s="1"/>
  <c r="I771" i="13" s="1"/>
  <c r="K793" i="14"/>
  <c r="L793" i="14" s="1"/>
  <c r="I794" i="14" s="1"/>
  <c r="M961" i="14"/>
  <c r="M960" i="13"/>
  <c r="N958" i="13"/>
  <c r="J957" i="13" a="1"/>
  <c r="J957" i="13" s="1"/>
  <c r="N957" i="14"/>
  <c r="J956" i="14" a="1"/>
  <c r="J956" i="14" s="1"/>
  <c r="K771" i="13" l="1"/>
  <c r="L771" i="13" s="1"/>
  <c r="I772" i="13" s="1"/>
  <c r="K794" i="14"/>
  <c r="L794" i="14" s="1"/>
  <c r="I795" i="14" s="1"/>
  <c r="M962" i="14"/>
  <c r="M961" i="13"/>
  <c r="J957" i="14" a="1"/>
  <c r="J957" i="14" s="1"/>
  <c r="N958" i="14"/>
  <c r="N959" i="13"/>
  <c r="J958" i="13" a="1"/>
  <c r="J958" i="13" s="1"/>
  <c r="K772" i="13" l="1"/>
  <c r="L772" i="13" s="1"/>
  <c r="I773" i="13" s="1"/>
  <c r="K795" i="14"/>
  <c r="L795" i="14" s="1"/>
  <c r="I796" i="14" s="1"/>
  <c r="N960" i="13"/>
  <c r="J959" i="13" a="1"/>
  <c r="J959" i="13" s="1"/>
  <c r="N959" i="14"/>
  <c r="J958" i="14" a="1"/>
  <c r="J958" i="14" s="1"/>
  <c r="M963" i="14"/>
  <c r="M962" i="13"/>
  <c r="K773" i="13" l="1"/>
  <c r="L773" i="13" s="1"/>
  <c r="I774" i="13" s="1"/>
  <c r="K796" i="14"/>
  <c r="L796" i="14" s="1"/>
  <c r="I797" i="14" s="1"/>
  <c r="M964" i="14"/>
  <c r="M963" i="13"/>
  <c r="J959" i="14" a="1"/>
  <c r="J959" i="14" s="1"/>
  <c r="N960" i="14"/>
  <c r="N961" i="13"/>
  <c r="J960" i="13" a="1"/>
  <c r="J960" i="13" s="1"/>
  <c r="K774" i="13" l="1"/>
  <c r="L774" i="13" s="1"/>
  <c r="I775" i="13" s="1"/>
  <c r="K797" i="14"/>
  <c r="L797" i="14" s="1"/>
  <c r="I798" i="14" s="1"/>
  <c r="N961" i="14"/>
  <c r="J960" i="14" a="1"/>
  <c r="J960" i="14" s="1"/>
  <c r="M965" i="14"/>
  <c r="N962" i="13"/>
  <c r="J961" i="13" a="1"/>
  <c r="J961" i="13" s="1"/>
  <c r="M964" i="13"/>
  <c r="K775" i="13" l="1"/>
  <c r="L775" i="13" s="1"/>
  <c r="I776" i="13" s="1"/>
  <c r="K798" i="14"/>
  <c r="L798" i="14" s="1"/>
  <c r="I799" i="14" s="1"/>
  <c r="M965" i="13"/>
  <c r="M966" i="14"/>
  <c r="N963" i="13"/>
  <c r="J962" i="13" a="1"/>
  <c r="J962" i="13" s="1"/>
  <c r="J961" i="14" a="1"/>
  <c r="J961" i="14" s="1"/>
  <c r="N962" i="14"/>
  <c r="K776" i="13" l="1"/>
  <c r="L776" i="13" s="1"/>
  <c r="I777" i="13" s="1"/>
  <c r="K799" i="14"/>
  <c r="L799" i="14" s="1"/>
  <c r="I800" i="14" s="1"/>
  <c r="N963" i="14"/>
  <c r="J962" i="14" a="1"/>
  <c r="J962" i="14" s="1"/>
  <c r="M967" i="14"/>
  <c r="M966" i="13"/>
  <c r="N964" i="13"/>
  <c r="J963" i="13" a="1"/>
  <c r="J963" i="13" s="1"/>
  <c r="K777" i="13" l="1"/>
  <c r="L777" i="13" s="1"/>
  <c r="I778" i="13" s="1"/>
  <c r="K800" i="14"/>
  <c r="L800" i="14" s="1"/>
  <c r="I801" i="14" s="1"/>
  <c r="M968" i="14"/>
  <c r="N965" i="13"/>
  <c r="J964" i="13" a="1"/>
  <c r="J964" i="13" s="1"/>
  <c r="M967" i="13"/>
  <c r="J963" i="14" a="1"/>
  <c r="J963" i="14" s="1"/>
  <c r="N964" i="14"/>
  <c r="K778" i="13" l="1"/>
  <c r="L778" i="13" s="1"/>
  <c r="I779" i="13" s="1"/>
  <c r="K801" i="14"/>
  <c r="L801" i="14" s="1"/>
  <c r="I802" i="14" s="1"/>
  <c r="N965" i="14"/>
  <c r="J964" i="14" a="1"/>
  <c r="J964" i="14" s="1"/>
  <c r="N966" i="13"/>
  <c r="J965" i="13" a="1"/>
  <c r="J965" i="13" s="1"/>
  <c r="M968" i="13"/>
  <c r="M969" i="14"/>
  <c r="K779" i="13" l="1"/>
  <c r="L779" i="13" s="1"/>
  <c r="I780" i="13" s="1"/>
  <c r="K802" i="14"/>
  <c r="L802" i="14" s="1"/>
  <c r="I803" i="14" s="1"/>
  <c r="N967" i="13"/>
  <c r="J966" i="13" a="1"/>
  <c r="J966" i="13" s="1"/>
  <c r="M970" i="14"/>
  <c r="M969" i="13"/>
  <c r="J965" i="14" a="1"/>
  <c r="J965" i="14" s="1"/>
  <c r="N966" i="14"/>
  <c r="K780" i="13" l="1"/>
  <c r="L780" i="13" s="1"/>
  <c r="I781" i="13" s="1"/>
  <c r="K803" i="14"/>
  <c r="L803" i="14" s="1"/>
  <c r="I804" i="14" s="1"/>
  <c r="M970" i="13"/>
  <c r="N967" i="14"/>
  <c r="J966" i="14" a="1"/>
  <c r="J966" i="14" s="1"/>
  <c r="M971" i="14"/>
  <c r="N968" i="13"/>
  <c r="J967" i="13" a="1"/>
  <c r="J967" i="13" s="1"/>
  <c r="K781" i="13" l="1"/>
  <c r="L781" i="13" s="1"/>
  <c r="I782" i="13" s="1"/>
  <c r="K804" i="14"/>
  <c r="L804" i="14" s="1"/>
  <c r="I805" i="14" s="1"/>
  <c r="M972" i="14"/>
  <c r="M971" i="13"/>
  <c r="N969" i="13"/>
  <c r="J968" i="13" a="1"/>
  <c r="J968" i="13" s="1"/>
  <c r="J967" i="14" a="1"/>
  <c r="J967" i="14" s="1"/>
  <c r="N968" i="14"/>
  <c r="K782" i="13" l="1"/>
  <c r="L782" i="13" s="1"/>
  <c r="I783" i="13" s="1"/>
  <c r="K805" i="14"/>
  <c r="L805" i="14" s="1"/>
  <c r="I806" i="14" s="1"/>
  <c r="N969" i="14"/>
  <c r="J968" i="14" a="1"/>
  <c r="J968" i="14" s="1"/>
  <c r="M973" i="14"/>
  <c r="M972" i="13"/>
  <c r="N970" i="13"/>
  <c r="J969" i="13" a="1"/>
  <c r="J969" i="13" s="1"/>
  <c r="K783" i="13" l="1"/>
  <c r="L783" i="13" s="1"/>
  <c r="I784" i="13" s="1"/>
  <c r="K806" i="14"/>
  <c r="L806" i="14" s="1"/>
  <c r="I807" i="14" s="1"/>
  <c r="N971" i="13"/>
  <c r="J970" i="13" a="1"/>
  <c r="J970" i="13" s="1"/>
  <c r="M973" i="13"/>
  <c r="M974" i="14"/>
  <c r="J969" i="14" a="1"/>
  <c r="J969" i="14" s="1"/>
  <c r="N970" i="14"/>
  <c r="K784" i="13" l="1"/>
  <c r="L784" i="13" s="1"/>
  <c r="I785" i="13" s="1"/>
  <c r="K807" i="14"/>
  <c r="L807" i="14" s="1"/>
  <c r="I808" i="14" s="1"/>
  <c r="N971" i="14"/>
  <c r="J970" i="14" a="1"/>
  <c r="J970" i="14" s="1"/>
  <c r="M974" i="13"/>
  <c r="M975" i="14"/>
  <c r="N972" i="13"/>
  <c r="J971" i="13" a="1"/>
  <c r="J971" i="13" s="1"/>
  <c r="K785" i="13" l="1"/>
  <c r="L785" i="13" s="1"/>
  <c r="I786" i="13" s="1"/>
  <c r="K808" i="14"/>
  <c r="L808" i="14" s="1"/>
  <c r="I809" i="14" s="1"/>
  <c r="N973" i="13"/>
  <c r="J972" i="13" a="1"/>
  <c r="J972" i="13" s="1"/>
  <c r="M975" i="13"/>
  <c r="M976" i="14"/>
  <c r="J971" i="14" a="1"/>
  <c r="J971" i="14" s="1"/>
  <c r="N972" i="14"/>
  <c r="K786" i="13" l="1"/>
  <c r="L786" i="13" s="1"/>
  <c r="I787" i="13" s="1"/>
  <c r="K809" i="14"/>
  <c r="L809" i="14" s="1"/>
  <c r="I810" i="14" s="1"/>
  <c r="M977" i="14"/>
  <c r="N973" i="14"/>
  <c r="J972" i="14" a="1"/>
  <c r="J972" i="14" s="1"/>
  <c r="M976" i="13"/>
  <c r="N974" i="13"/>
  <c r="J973" i="13" a="1"/>
  <c r="J973" i="13" s="1"/>
  <c r="K787" i="13" l="1"/>
  <c r="L787" i="13" s="1"/>
  <c r="I788" i="13" s="1"/>
  <c r="K810" i="14"/>
  <c r="L810" i="14" s="1"/>
  <c r="I811" i="14" s="1"/>
  <c r="M977" i="13"/>
  <c r="M978" i="14"/>
  <c r="N975" i="13"/>
  <c r="J974" i="13" a="1"/>
  <c r="J974" i="13" s="1"/>
  <c r="J973" i="14" a="1"/>
  <c r="J973" i="14" s="1"/>
  <c r="N974" i="14"/>
  <c r="K788" i="13" l="1"/>
  <c r="L788" i="13" s="1"/>
  <c r="I789" i="13" s="1"/>
  <c r="K811" i="14"/>
  <c r="L811" i="14" s="1"/>
  <c r="I812" i="14" s="1"/>
  <c r="N975" i="14"/>
  <c r="J974" i="14" a="1"/>
  <c r="J974" i="14" s="1"/>
  <c r="M978" i="13"/>
  <c r="M979" i="14"/>
  <c r="N976" i="13"/>
  <c r="J975" i="13" a="1"/>
  <c r="J975" i="13" s="1"/>
  <c r="K789" i="13" l="1"/>
  <c r="L789" i="13" s="1"/>
  <c r="I790" i="13" s="1"/>
  <c r="K812" i="14"/>
  <c r="L812" i="14" s="1"/>
  <c r="I813" i="14" s="1"/>
  <c r="M979" i="13"/>
  <c r="M980" i="14"/>
  <c r="N977" i="13"/>
  <c r="J976" i="13" a="1"/>
  <c r="J976" i="13" s="1"/>
  <c r="J975" i="14" a="1"/>
  <c r="J975" i="14" s="1"/>
  <c r="N976" i="14"/>
  <c r="K790" i="13" l="1"/>
  <c r="L790" i="13" s="1"/>
  <c r="I791" i="13" s="1"/>
  <c r="K813" i="14"/>
  <c r="L813" i="14" s="1"/>
  <c r="I814" i="14" s="1"/>
  <c r="N977" i="14"/>
  <c r="J976" i="14" a="1"/>
  <c r="J976" i="14" s="1"/>
  <c r="M981" i="14"/>
  <c r="M980" i="13"/>
  <c r="N978" i="13"/>
  <c r="J977" i="13" a="1"/>
  <c r="J977" i="13" s="1"/>
  <c r="K791" i="13" l="1"/>
  <c r="L791" i="13" s="1"/>
  <c r="I792" i="13" s="1"/>
  <c r="K814" i="14"/>
  <c r="L814" i="14" s="1"/>
  <c r="I815" i="14" s="1"/>
  <c r="M982" i="14"/>
  <c r="N979" i="13"/>
  <c r="J978" i="13" a="1"/>
  <c r="J978" i="13" s="1"/>
  <c r="M981" i="13"/>
  <c r="J977" i="14" a="1"/>
  <c r="J977" i="14" s="1"/>
  <c r="N978" i="14"/>
  <c r="K792" i="13" l="1"/>
  <c r="L792" i="13" s="1"/>
  <c r="I793" i="13" s="1"/>
  <c r="K815" i="14"/>
  <c r="L815" i="14" s="1"/>
  <c r="I816" i="14" s="1"/>
  <c r="N979" i="14"/>
  <c r="J978" i="14" a="1"/>
  <c r="J978" i="14" s="1"/>
  <c r="N980" i="13"/>
  <c r="J979" i="13" a="1"/>
  <c r="J979" i="13" s="1"/>
  <c r="M982" i="13"/>
  <c r="M983" i="14"/>
  <c r="K793" i="13" l="1"/>
  <c r="L793" i="13" s="1"/>
  <c r="I794" i="13" s="1"/>
  <c r="K816" i="14"/>
  <c r="L816" i="14" s="1"/>
  <c r="I817" i="14" s="1"/>
  <c r="N981" i="13"/>
  <c r="J980" i="13" a="1"/>
  <c r="J980" i="13" s="1"/>
  <c r="M984" i="14"/>
  <c r="M983" i="13"/>
  <c r="J979" i="14" a="1"/>
  <c r="J979" i="14" s="1"/>
  <c r="N980" i="14"/>
  <c r="K794" i="13" l="1"/>
  <c r="L794" i="13" s="1"/>
  <c r="I795" i="13" s="1"/>
  <c r="K817" i="14"/>
  <c r="L817" i="14" s="1"/>
  <c r="I818" i="14" s="1"/>
  <c r="M984" i="13"/>
  <c r="N982" i="13"/>
  <c r="J981" i="13" a="1"/>
  <c r="J981" i="13" s="1"/>
  <c r="N981" i="14"/>
  <c r="J980" i="14" a="1"/>
  <c r="J980" i="14" s="1"/>
  <c r="M985" i="14"/>
  <c r="K795" i="13" l="1"/>
  <c r="L795" i="13" s="1"/>
  <c r="I796" i="13" s="1"/>
  <c r="K818" i="14"/>
  <c r="L818" i="14" s="1"/>
  <c r="I819" i="14" s="1"/>
  <c r="N983" i="13"/>
  <c r="J982" i="13" a="1"/>
  <c r="J982" i="13" s="1"/>
  <c r="J981" i="14" a="1"/>
  <c r="J981" i="14" s="1"/>
  <c r="N982" i="14"/>
  <c r="M985" i="13"/>
  <c r="M986" i="14"/>
  <c r="K796" i="13" l="1"/>
  <c r="L796" i="13" s="1"/>
  <c r="I797" i="13" s="1"/>
  <c r="K819" i="14"/>
  <c r="L819" i="14" s="1"/>
  <c r="I820" i="14" s="1"/>
  <c r="M986" i="13"/>
  <c r="M987" i="14"/>
  <c r="N983" i="14"/>
  <c r="J982" i="14" a="1"/>
  <c r="J982" i="14" s="1"/>
  <c r="N984" i="13"/>
  <c r="J983" i="13" a="1"/>
  <c r="J983" i="13" s="1"/>
  <c r="K797" i="13" l="1"/>
  <c r="L797" i="13" s="1"/>
  <c r="I798" i="13" s="1"/>
  <c r="K820" i="14"/>
  <c r="L820" i="14" s="1"/>
  <c r="I821" i="14" s="1"/>
  <c r="N985" i="13"/>
  <c r="J984" i="13" a="1"/>
  <c r="J984" i="13" s="1"/>
  <c r="M987" i="13"/>
  <c r="M988" i="14"/>
  <c r="J983" i="14" a="1"/>
  <c r="J983" i="14" s="1"/>
  <c r="N984" i="14"/>
  <c r="K798" i="13" l="1"/>
  <c r="L798" i="13" s="1"/>
  <c r="I799" i="13" s="1"/>
  <c r="K821" i="14"/>
  <c r="L821" i="14" s="1"/>
  <c r="I822" i="14" s="1"/>
  <c r="N985" i="14"/>
  <c r="J984" i="14" a="1"/>
  <c r="J984" i="14" s="1"/>
  <c r="M988" i="13"/>
  <c r="M989" i="14"/>
  <c r="N986" i="13"/>
  <c r="J985" i="13" a="1"/>
  <c r="J985" i="13" s="1"/>
  <c r="K799" i="13" l="1"/>
  <c r="L799" i="13" s="1"/>
  <c r="I800" i="13" s="1"/>
  <c r="K822" i="14"/>
  <c r="L822" i="14" s="1"/>
  <c r="I823" i="14" s="1"/>
  <c r="M990" i="14"/>
  <c r="J985" i="14" a="1"/>
  <c r="J985" i="14" s="1"/>
  <c r="N986" i="14"/>
  <c r="M989" i="13"/>
  <c r="N987" i="13"/>
  <c r="J986" i="13" a="1"/>
  <c r="J986" i="13" s="1"/>
  <c r="K800" i="13" l="1"/>
  <c r="L800" i="13" s="1"/>
  <c r="I801" i="13" s="1"/>
  <c r="K823" i="14"/>
  <c r="L823" i="14" s="1"/>
  <c r="I824" i="14" s="1"/>
  <c r="N987" i="14"/>
  <c r="J986" i="14" a="1"/>
  <c r="J986" i="14" s="1"/>
  <c r="N988" i="13"/>
  <c r="J987" i="13" a="1"/>
  <c r="J987" i="13" s="1"/>
  <c r="M990" i="13"/>
  <c r="M991" i="14"/>
  <c r="K801" i="13" l="1"/>
  <c r="L801" i="13" s="1"/>
  <c r="I802" i="13" s="1"/>
  <c r="K824" i="14"/>
  <c r="L824" i="14" s="1"/>
  <c r="I825" i="14" s="1"/>
  <c r="N989" i="13"/>
  <c r="J988" i="13" a="1"/>
  <c r="J988" i="13" s="1"/>
  <c r="M992" i="14"/>
  <c r="M991" i="13"/>
  <c r="J987" i="14" a="1"/>
  <c r="J987" i="14" s="1"/>
  <c r="N988" i="14"/>
  <c r="K802" i="13" l="1"/>
  <c r="L802" i="13" s="1"/>
  <c r="I803" i="13" s="1"/>
  <c r="K825" i="14"/>
  <c r="L825" i="14" s="1"/>
  <c r="I826" i="14" s="1"/>
  <c r="N990" i="13"/>
  <c r="J989" i="13" a="1"/>
  <c r="J989" i="13" s="1"/>
  <c r="N989" i="14"/>
  <c r="J988" i="14" a="1"/>
  <c r="J988" i="14" s="1"/>
  <c r="M993" i="14"/>
  <c r="M992" i="13"/>
  <c r="K803" i="13" l="1"/>
  <c r="L803" i="13" s="1"/>
  <c r="I804" i="13" s="1"/>
  <c r="K826" i="14"/>
  <c r="L826" i="14" s="1"/>
  <c r="I827" i="14" s="1"/>
  <c r="M994" i="14"/>
  <c r="M993" i="13"/>
  <c r="J989" i="14" a="1"/>
  <c r="J989" i="14" s="1"/>
  <c r="N990" i="14"/>
  <c r="N991" i="13"/>
  <c r="J990" i="13" a="1"/>
  <c r="J990" i="13" s="1"/>
  <c r="K804" i="13" l="1"/>
  <c r="L804" i="13" s="1"/>
  <c r="I805" i="13" s="1"/>
  <c r="M994" i="13"/>
  <c r="N992" i="13"/>
  <c r="J991" i="13" a="1"/>
  <c r="J991" i="13" s="1"/>
  <c r="K827" i="14"/>
  <c r="L827" i="14" s="1"/>
  <c r="I828" i="14" s="1"/>
  <c r="N991" i="14"/>
  <c r="J990" i="14" a="1"/>
  <c r="J990" i="14" s="1"/>
  <c r="M995" i="14"/>
  <c r="K805" i="13" l="1"/>
  <c r="L805" i="13" s="1"/>
  <c r="I806" i="13" s="1"/>
  <c r="K828" i="14"/>
  <c r="L828" i="14" s="1"/>
  <c r="I829" i="14" s="1"/>
  <c r="M995" i="13"/>
  <c r="J991" i="14" a="1"/>
  <c r="J991" i="14" s="1"/>
  <c r="N992" i="14"/>
  <c r="M996" i="14"/>
  <c r="N993" i="13"/>
  <c r="J992" i="13" a="1"/>
  <c r="J992" i="13" s="1"/>
  <c r="K806" i="13" l="1"/>
  <c r="L806" i="13" s="1"/>
  <c r="I807" i="13" s="1"/>
  <c r="K829" i="14"/>
  <c r="L829" i="14" s="1"/>
  <c r="I830" i="14" s="1"/>
  <c r="N993" i="14"/>
  <c r="J992" i="14" a="1"/>
  <c r="J992" i="14" s="1"/>
  <c r="M997" i="14"/>
  <c r="M996" i="13"/>
  <c r="N994" i="13"/>
  <c r="J993" i="13" a="1"/>
  <c r="J993" i="13" s="1"/>
  <c r="K807" i="13" l="1"/>
  <c r="L807" i="13" s="1"/>
  <c r="I808" i="13" s="1"/>
  <c r="N995" i="13"/>
  <c r="J994" i="13" a="1"/>
  <c r="J994" i="13" s="1"/>
  <c r="M997" i="13"/>
  <c r="K830" i="14"/>
  <c r="L830" i="14" s="1"/>
  <c r="I831" i="14" s="1"/>
  <c r="M998" i="14"/>
  <c r="J993" i="14" a="1"/>
  <c r="J993" i="14" s="1"/>
  <c r="N994" i="14"/>
  <c r="K808" i="13" l="1"/>
  <c r="L808" i="13" s="1"/>
  <c r="I809" i="13" s="1"/>
  <c r="K831" i="14"/>
  <c r="L831" i="14" s="1"/>
  <c r="I832" i="14" s="1"/>
  <c r="N996" i="13"/>
  <c r="J995" i="13" a="1"/>
  <c r="J995" i="13" s="1"/>
  <c r="M999" i="14"/>
  <c r="M998" i="13"/>
  <c r="N995" i="14"/>
  <c r="J994" i="14" a="1"/>
  <c r="J994" i="14" s="1"/>
  <c r="K809" i="13" l="1"/>
  <c r="L809" i="13" s="1"/>
  <c r="I810" i="13" s="1"/>
  <c r="M1000" i="14"/>
  <c r="J995" i="14" a="1"/>
  <c r="J995" i="14" s="1"/>
  <c r="N996" i="14"/>
  <c r="M999" i="13"/>
  <c r="N997" i="13"/>
  <c r="J996" i="13" a="1"/>
  <c r="J996" i="13" s="1"/>
  <c r="K832" i="14"/>
  <c r="L832" i="14" s="1"/>
  <c r="I833" i="14" s="1"/>
  <c r="K810" i="13" l="1"/>
  <c r="L810" i="13" s="1"/>
  <c r="I811" i="13" s="1"/>
  <c r="K833" i="14"/>
  <c r="L833" i="14" s="1"/>
  <c r="I834" i="14" s="1"/>
  <c r="N998" i="13"/>
  <c r="J997" i="13" a="1"/>
  <c r="J997" i="13" s="1"/>
  <c r="M1000" i="13"/>
  <c r="M1001" i="14"/>
  <c r="N997" i="14"/>
  <c r="J996" i="14" a="1"/>
  <c r="J996" i="14" s="1"/>
  <c r="K811" i="13" l="1"/>
  <c r="L811" i="13" s="1"/>
  <c r="I812" i="13" s="1"/>
  <c r="M1001" i="13"/>
  <c r="J997" i="14" a="1"/>
  <c r="J997" i="14" s="1"/>
  <c r="N998" i="14"/>
  <c r="M1002" i="14"/>
  <c r="N999" i="13"/>
  <c r="J998" i="13" a="1"/>
  <c r="J998" i="13" s="1"/>
  <c r="K834" i="14"/>
  <c r="L834" i="14" s="1"/>
  <c r="I835" i="14" s="1"/>
  <c r="K812" i="13" l="1"/>
  <c r="L812" i="13" s="1"/>
  <c r="I813" i="13" s="1"/>
  <c r="K835" i="14"/>
  <c r="L835" i="14" s="1"/>
  <c r="I836" i="14" s="1"/>
  <c r="N1000" i="13"/>
  <c r="J999" i="13" a="1"/>
  <c r="J999" i="13" s="1"/>
  <c r="M1003" i="14"/>
  <c r="M1002" i="13"/>
  <c r="N999" i="14"/>
  <c r="J998" i="14" a="1"/>
  <c r="J998" i="14" s="1"/>
  <c r="K813" i="13" l="1"/>
  <c r="L813" i="13" s="1"/>
  <c r="I814" i="13" s="1"/>
  <c r="J999" i="14" a="1"/>
  <c r="J999" i="14" s="1"/>
  <c r="N1000" i="14"/>
  <c r="M1004" i="14"/>
  <c r="M1003" i="13"/>
  <c r="N1001" i="13"/>
  <c r="J1000" i="13" a="1"/>
  <c r="J1000" i="13" s="1"/>
  <c r="K836" i="14"/>
  <c r="L836" i="14" s="1"/>
  <c r="I837" i="14" s="1"/>
  <c r="K814" i="13" l="1"/>
  <c r="L814" i="13" s="1"/>
  <c r="I815" i="13" s="1"/>
  <c r="K837" i="14"/>
  <c r="L837" i="14" s="1"/>
  <c r="I838" i="14" s="1"/>
  <c r="M1004" i="13"/>
  <c r="N1001" i="14"/>
  <c r="J1000" i="14" a="1"/>
  <c r="J1000" i="14" s="1"/>
  <c r="M1005" i="14"/>
  <c r="N1002" i="13"/>
  <c r="J1001" i="13" a="1"/>
  <c r="J1001" i="13" s="1"/>
  <c r="K815" i="13" l="1"/>
  <c r="L815" i="13" s="1"/>
  <c r="I816" i="13" s="1"/>
  <c r="J1001" i="14" a="1"/>
  <c r="J1001" i="14" s="1"/>
  <c r="N1002" i="14"/>
  <c r="N1003" i="13"/>
  <c r="J1002" i="13" a="1"/>
  <c r="J1002" i="13" s="1"/>
  <c r="M1005" i="13"/>
  <c r="M1006" i="14"/>
  <c r="K838" i="14"/>
  <c r="L838" i="14" s="1"/>
  <c r="I839" i="14" s="1"/>
  <c r="K816" i="13" l="1"/>
  <c r="L816" i="13" s="1"/>
  <c r="I817" i="13" s="1"/>
  <c r="K839" i="14"/>
  <c r="L839" i="14" s="1"/>
  <c r="I840" i="14" s="1"/>
  <c r="M1006" i="13"/>
  <c r="N1003" i="14"/>
  <c r="J1002" i="14" a="1"/>
  <c r="J1002" i="14" s="1"/>
  <c r="M1007" i="14"/>
  <c r="N1004" i="13"/>
  <c r="J1003" i="13" a="1"/>
  <c r="J1003" i="13" s="1"/>
  <c r="K817" i="13" l="1"/>
  <c r="L817" i="13" s="1"/>
  <c r="I818" i="13" s="1"/>
  <c r="K840" i="14"/>
  <c r="L840" i="14" s="1"/>
  <c r="I841" i="14" s="1"/>
  <c r="N1004" i="14"/>
  <c r="J1003" i="14" a="1"/>
  <c r="J1003" i="14" s="1"/>
  <c r="N1005" i="13"/>
  <c r="J1004" i="13" a="1"/>
  <c r="J1004" i="13" s="1"/>
  <c r="M1008" i="14"/>
  <c r="M1007" i="13"/>
  <c r="K818" i="13" l="1"/>
  <c r="L818" i="13" s="1"/>
  <c r="I819" i="13" s="1"/>
  <c r="K841" i="14"/>
  <c r="L841" i="14" s="1"/>
  <c r="I842" i="14" s="1"/>
  <c r="M1008" i="13"/>
  <c r="N1006" i="13"/>
  <c r="J1005" i="13" a="1"/>
  <c r="J1005" i="13" s="1"/>
  <c r="M1009" i="14"/>
  <c r="N1005" i="14"/>
  <c r="J1004" i="14" a="1"/>
  <c r="J1004" i="14" s="1"/>
  <c r="K819" i="13" l="1"/>
  <c r="L819" i="13" s="1"/>
  <c r="I820" i="13" s="1"/>
  <c r="N1007" i="13"/>
  <c r="J1006" i="13" a="1"/>
  <c r="J1006" i="13" s="1"/>
  <c r="M1009" i="13"/>
  <c r="N1006" i="14"/>
  <c r="J1005" i="14" a="1"/>
  <c r="J1005" i="14" s="1"/>
  <c r="M1010" i="14"/>
  <c r="K842" i="14"/>
  <c r="L842" i="14" s="1"/>
  <c r="I843" i="14" s="1"/>
  <c r="K820" i="13" l="1"/>
  <c r="L820" i="13" s="1"/>
  <c r="I821" i="13" s="1"/>
  <c r="K843" i="14"/>
  <c r="L843" i="14" s="1"/>
  <c r="I844" i="14" s="1"/>
  <c r="J1006" i="14" a="1"/>
  <c r="J1006" i="14" s="1"/>
  <c r="N1007" i="14"/>
  <c r="N1008" i="13"/>
  <c r="J1007" i="13" a="1"/>
  <c r="J1007" i="13" s="1"/>
  <c r="M1010" i="13"/>
  <c r="M1011" i="14"/>
  <c r="K821" i="13" l="1"/>
  <c r="L821" i="13" s="1"/>
  <c r="I822" i="13" s="1"/>
  <c r="K844" i="14"/>
  <c r="L844" i="14" s="1"/>
  <c r="I845" i="14" s="1"/>
  <c r="M1011" i="13"/>
  <c r="N1009" i="13"/>
  <c r="J1008" i="13" a="1"/>
  <c r="J1008" i="13" s="1"/>
  <c r="M1012" i="14"/>
  <c r="N1008" i="14"/>
  <c r="J1007" i="14" a="1"/>
  <c r="J1007" i="14" s="1"/>
  <c r="K822" i="13" l="1"/>
  <c r="L822" i="13" s="1"/>
  <c r="I823" i="13" s="1"/>
  <c r="N1010" i="13"/>
  <c r="J1009" i="13" a="1"/>
  <c r="J1009" i="13" s="1"/>
  <c r="N1009" i="14"/>
  <c r="J1008" i="14" a="1"/>
  <c r="J1008" i="14" s="1"/>
  <c r="M1013" i="14"/>
  <c r="M1012" i="13"/>
  <c r="K845" i="14"/>
  <c r="L845" i="14" s="1"/>
  <c r="I846" i="14" s="1"/>
  <c r="K823" i="13" l="1"/>
  <c r="L823" i="13" s="1"/>
  <c r="I824" i="13" s="1"/>
  <c r="K846" i="14"/>
  <c r="L846" i="14" s="1"/>
  <c r="I847" i="14" s="1"/>
  <c r="M1014" i="14"/>
  <c r="N1011" i="13"/>
  <c r="J1010" i="13" a="1"/>
  <c r="J1010" i="13" s="1"/>
  <c r="M1013" i="13"/>
  <c r="N1010" i="14"/>
  <c r="J1009" i="14" a="1"/>
  <c r="J1009" i="14" s="1"/>
  <c r="K824" i="13" l="1"/>
  <c r="L824" i="13" s="1"/>
  <c r="I825" i="13" s="1"/>
  <c r="K847" i="14"/>
  <c r="L847" i="14" s="1"/>
  <c r="I848" i="14" s="1"/>
  <c r="N1012" i="13"/>
  <c r="J1011" i="13" a="1"/>
  <c r="J1011" i="13" s="1"/>
  <c r="J1010" i="14" a="1"/>
  <c r="J1010" i="14" s="1"/>
  <c r="N1011" i="14"/>
  <c r="M1014" i="13"/>
  <c r="M1015" i="14"/>
  <c r="K825" i="13" l="1"/>
  <c r="L825" i="13" s="1"/>
  <c r="I826" i="13" s="1"/>
  <c r="K848" i="14"/>
  <c r="L848" i="14" s="1"/>
  <c r="I849" i="14" s="1"/>
  <c r="M1016" i="14"/>
  <c r="N1012" i="14"/>
  <c r="J1011" i="14" a="1"/>
  <c r="J1011" i="14" s="1"/>
  <c r="M1015" i="13"/>
  <c r="N1013" i="13"/>
  <c r="J1012" i="13" a="1"/>
  <c r="J1012" i="13" s="1"/>
  <c r="K826" i="13" l="1"/>
  <c r="L826" i="13" s="1"/>
  <c r="I827" i="13" s="1"/>
  <c r="K849" i="14"/>
  <c r="L849" i="14" s="1"/>
  <c r="I850" i="14" s="1"/>
  <c r="N1013" i="14"/>
  <c r="J1012" i="14" a="1"/>
  <c r="J1012" i="14" s="1"/>
  <c r="N1014" i="13"/>
  <c r="J1013" i="13" a="1"/>
  <c r="J1013" i="13" s="1"/>
  <c r="M1016" i="13"/>
  <c r="M1017" i="14"/>
  <c r="K827" i="13" l="1"/>
  <c r="L827" i="13" s="1"/>
  <c r="I828" i="13" s="1"/>
  <c r="K850" i="14"/>
  <c r="L850" i="14" s="1"/>
  <c r="I851" i="14" s="1"/>
  <c r="N1015" i="13"/>
  <c r="J1014" i="13" a="1"/>
  <c r="J1014" i="13" s="1"/>
  <c r="M1018" i="14"/>
  <c r="M1017" i="13"/>
  <c r="N1014" i="14"/>
  <c r="J1013" i="14" a="1"/>
  <c r="J1013" i="14" s="1"/>
  <c r="K828" i="13" l="1"/>
  <c r="L828" i="13" s="1"/>
  <c r="I829" i="13" s="1"/>
  <c r="K851" i="14"/>
  <c r="L851" i="14" s="1"/>
  <c r="I852" i="14" s="1"/>
  <c r="M1018" i="13"/>
  <c r="N1016" i="13"/>
  <c r="J1015" i="13" a="1"/>
  <c r="J1015" i="13" s="1"/>
  <c r="M1019" i="14"/>
  <c r="J1014" i="14" a="1"/>
  <c r="J1014" i="14" s="1"/>
  <c r="N1015" i="14"/>
  <c r="K829" i="13" l="1"/>
  <c r="L829" i="13" s="1"/>
  <c r="I830" i="13" s="1"/>
  <c r="K852" i="14"/>
  <c r="L852" i="14" s="1"/>
  <c r="I853" i="14" s="1"/>
  <c r="N1017" i="13"/>
  <c r="J1016" i="13" a="1"/>
  <c r="J1016" i="13" s="1"/>
  <c r="M1019" i="13"/>
  <c r="N1016" i="14"/>
  <c r="J1015" i="14" a="1"/>
  <c r="J1015" i="14" s="1"/>
  <c r="M1020" i="14"/>
  <c r="K830" i="13" l="1"/>
  <c r="L830" i="13" s="1"/>
  <c r="I831" i="13" s="1"/>
  <c r="K853" i="14"/>
  <c r="L853" i="14" s="1"/>
  <c r="I854" i="14" s="1"/>
  <c r="N1017" i="14"/>
  <c r="J1016" i="14" a="1"/>
  <c r="J1016" i="14" s="1"/>
  <c r="M1021" i="14"/>
  <c r="M1020" i="13"/>
  <c r="N1018" i="13"/>
  <c r="J1017" i="13" a="1"/>
  <c r="J1017" i="13" s="1"/>
  <c r="K831" i="13" l="1"/>
  <c r="L831" i="13" s="1"/>
  <c r="I832" i="13" s="1"/>
  <c r="K854" i="14"/>
  <c r="L854" i="14" s="1"/>
  <c r="I855" i="14" s="1"/>
  <c r="N1019" i="13"/>
  <c r="J1018" i="13" a="1"/>
  <c r="J1018" i="13" s="1"/>
  <c r="M1022" i="14"/>
  <c r="M1021" i="13"/>
  <c r="N1018" i="14"/>
  <c r="J1017" i="14" a="1"/>
  <c r="J1017" i="14" s="1"/>
  <c r="K832" i="13" l="1"/>
  <c r="L832" i="13" s="1"/>
  <c r="I833" i="13" s="1"/>
  <c r="K855" i="14"/>
  <c r="L855" i="14" s="1"/>
  <c r="I856" i="14" s="1"/>
  <c r="J1018" i="14" a="1"/>
  <c r="J1018" i="14" s="1"/>
  <c r="N1019" i="14"/>
  <c r="M1022" i="13"/>
  <c r="N1020" i="13"/>
  <c r="J1019" i="13" a="1"/>
  <c r="J1019" i="13" s="1"/>
  <c r="M1023" i="14"/>
  <c r="K833" i="13" l="1"/>
  <c r="L833" i="13" s="1"/>
  <c r="I834" i="13" s="1"/>
  <c r="N1021" i="13"/>
  <c r="J1020" i="13" a="1"/>
  <c r="J1020" i="13" s="1"/>
  <c r="M1024" i="14"/>
  <c r="M1023" i="13"/>
  <c r="K856" i="14"/>
  <c r="L856" i="14" s="1"/>
  <c r="I857" i="14" s="1"/>
  <c r="N1020" i="14"/>
  <c r="J1019" i="14" a="1"/>
  <c r="J1019" i="14" s="1"/>
  <c r="K834" i="13" l="1"/>
  <c r="L834" i="13" s="1"/>
  <c r="I835" i="13" s="1"/>
  <c r="K857" i="14"/>
  <c r="L857" i="14" s="1"/>
  <c r="I858" i="14" s="1"/>
  <c r="M1024" i="13"/>
  <c r="N1022" i="13"/>
  <c r="J1021" i="13" a="1"/>
  <c r="J1021" i="13" s="1"/>
  <c r="N1021" i="14"/>
  <c r="J1020" i="14" a="1"/>
  <c r="J1020" i="14" s="1"/>
  <c r="M1025" i="14"/>
  <c r="K835" i="13" l="1"/>
  <c r="L835" i="13" s="1"/>
  <c r="I836" i="13" s="1"/>
  <c r="K858" i="14"/>
  <c r="L858" i="14" s="1"/>
  <c r="I859" i="14" s="1"/>
  <c r="M1026" i="14"/>
  <c r="N1023" i="13"/>
  <c r="J1022" i="13" a="1"/>
  <c r="J1022" i="13" s="1"/>
  <c r="M1025" i="13"/>
  <c r="N1022" i="14"/>
  <c r="J1021" i="14" a="1"/>
  <c r="J1021" i="14" s="1"/>
  <c r="K836" i="13" l="1"/>
  <c r="L836" i="13" s="1"/>
  <c r="I837" i="13" s="1"/>
  <c r="K859" i="14"/>
  <c r="L859" i="14" s="1"/>
  <c r="I860" i="14" s="1"/>
  <c r="N1024" i="13"/>
  <c r="J1023" i="13" a="1"/>
  <c r="J1023" i="13" s="1"/>
  <c r="J1022" i="14" a="1"/>
  <c r="J1022" i="14" s="1"/>
  <c r="N1023" i="14"/>
  <c r="M1026" i="13"/>
  <c r="M1027" i="14"/>
  <c r="K837" i="13" l="1"/>
  <c r="L837" i="13" s="1"/>
  <c r="I838" i="13" s="1"/>
  <c r="K860" i="14"/>
  <c r="L860" i="14" s="1"/>
  <c r="I861" i="14" s="1"/>
  <c r="M1028" i="14"/>
  <c r="N1024" i="14"/>
  <c r="J1023" i="14" a="1"/>
  <c r="J1023" i="14" s="1"/>
  <c r="M1027" i="13"/>
  <c r="N1025" i="13"/>
  <c r="J1024" i="13" a="1"/>
  <c r="J1024" i="13" s="1"/>
  <c r="K838" i="13" l="1"/>
  <c r="L838" i="13" s="1"/>
  <c r="I839" i="13" s="1"/>
  <c r="K861" i="14"/>
  <c r="L861" i="14" s="1"/>
  <c r="I862" i="14" s="1"/>
  <c r="N1026" i="13"/>
  <c r="J1025" i="13" a="1"/>
  <c r="J1025" i="13" s="1"/>
  <c r="N1025" i="14"/>
  <c r="J1024" i="14" a="1"/>
  <c r="J1024" i="14" s="1"/>
  <c r="M1028" i="13"/>
  <c r="M1029" i="14"/>
  <c r="K839" i="13" l="1"/>
  <c r="L839" i="13" s="1"/>
  <c r="I840" i="13" s="1"/>
  <c r="K862" i="14"/>
  <c r="L862" i="14" s="1"/>
  <c r="I863" i="14" s="1"/>
  <c r="J1025" i="14" a="1"/>
  <c r="J1025" i="14" s="1"/>
  <c r="N1026" i="14"/>
  <c r="M1030" i="14"/>
  <c r="M1029" i="13"/>
  <c r="N1027" i="13"/>
  <c r="J1026" i="13" a="1"/>
  <c r="J1026" i="13" s="1"/>
  <c r="K840" i="13" l="1"/>
  <c r="L840" i="13" s="1"/>
  <c r="I841" i="13" s="1"/>
  <c r="K863" i="14"/>
  <c r="L863" i="14" s="1"/>
  <c r="I864" i="14" s="1"/>
  <c r="M1030" i="13"/>
  <c r="N1028" i="13"/>
  <c r="J1027" i="13" a="1"/>
  <c r="J1027" i="13" s="1"/>
  <c r="M1031" i="14"/>
  <c r="J1026" i="14" a="1"/>
  <c r="J1026" i="14" s="1"/>
  <c r="N1027" i="14"/>
  <c r="K841" i="13" l="1"/>
  <c r="L841" i="13" s="1"/>
  <c r="I842" i="13" s="1"/>
  <c r="K864" i="14"/>
  <c r="L864" i="14" s="1"/>
  <c r="I865" i="14" s="1"/>
  <c r="N1029" i="13"/>
  <c r="J1028" i="13" a="1"/>
  <c r="J1028" i="13" s="1"/>
  <c r="M1032" i="14"/>
  <c r="M1031" i="13"/>
  <c r="N1028" i="14"/>
  <c r="J1027" i="14" a="1"/>
  <c r="J1027" i="14" s="1"/>
  <c r="K842" i="13" l="1"/>
  <c r="L842" i="13" s="1"/>
  <c r="I843" i="13" s="1"/>
  <c r="K865" i="14"/>
  <c r="L865" i="14" s="1"/>
  <c r="I866" i="14" s="1"/>
  <c r="N1029" i="14"/>
  <c r="J1028" i="14" a="1"/>
  <c r="J1028" i="14" s="1"/>
  <c r="M1033" i="14"/>
  <c r="M1032" i="13"/>
  <c r="N1030" i="13"/>
  <c r="J1029" i="13" a="1"/>
  <c r="J1029" i="13" s="1"/>
  <c r="K843" i="13" l="1"/>
  <c r="L843" i="13" s="1"/>
  <c r="I844" i="13" s="1"/>
  <c r="K866" i="14"/>
  <c r="L866" i="14" s="1"/>
  <c r="I867" i="14" s="1"/>
  <c r="N1031" i="13"/>
  <c r="J1030" i="13" a="1"/>
  <c r="J1030" i="13" s="1"/>
  <c r="M1033" i="13"/>
  <c r="M1034" i="14"/>
  <c r="J1029" i="14" a="1"/>
  <c r="J1029" i="14" s="1"/>
  <c r="N1030" i="14"/>
  <c r="K844" i="13" l="1"/>
  <c r="L844" i="13" s="1"/>
  <c r="I845" i="13" s="1"/>
  <c r="K867" i="14"/>
  <c r="L867" i="14" s="1"/>
  <c r="I868" i="14" s="1"/>
  <c r="M1035" i="14"/>
  <c r="J1030" i="14" a="1"/>
  <c r="J1030" i="14" s="1"/>
  <c r="N1031" i="14"/>
  <c r="M1034" i="13"/>
  <c r="N1032" i="13"/>
  <c r="J1031" i="13" a="1"/>
  <c r="J1031" i="13" s="1"/>
  <c r="K845" i="13" l="1"/>
  <c r="L845" i="13" s="1"/>
  <c r="I846" i="13" s="1"/>
  <c r="K868" i="14"/>
  <c r="L868" i="14" s="1"/>
  <c r="I869" i="14" s="1"/>
  <c r="N1033" i="13"/>
  <c r="J1032" i="13" a="1"/>
  <c r="J1032" i="13" s="1"/>
  <c r="J1031" i="14" a="1"/>
  <c r="J1031" i="14" s="1"/>
  <c r="N1032" i="14"/>
  <c r="M1035" i="13"/>
  <c r="M1036" i="14"/>
  <c r="K846" i="13" l="1"/>
  <c r="L846" i="13" s="1"/>
  <c r="I847" i="13" s="1"/>
  <c r="K869" i="14"/>
  <c r="L869" i="14" s="1"/>
  <c r="I870" i="14" s="1"/>
  <c r="N1033" i="14"/>
  <c r="J1032" i="14" a="1"/>
  <c r="J1032" i="14" s="1"/>
  <c r="M1037" i="14"/>
  <c r="M1036" i="13"/>
  <c r="N1034" i="13"/>
  <c r="J1033" i="13" a="1"/>
  <c r="J1033" i="13" s="1"/>
  <c r="K847" i="13" l="1"/>
  <c r="L847" i="13" s="1"/>
  <c r="I848" i="13" s="1"/>
  <c r="K870" i="14"/>
  <c r="L870" i="14" s="1"/>
  <c r="I871" i="14" s="1"/>
  <c r="N1035" i="13"/>
  <c r="J1034" i="13" a="1"/>
  <c r="J1034" i="13" s="1"/>
  <c r="M1038" i="14"/>
  <c r="M1037" i="13"/>
  <c r="J1033" i="14" a="1"/>
  <c r="J1033" i="14" s="1"/>
  <c r="N1034" i="14"/>
  <c r="K848" i="13" l="1"/>
  <c r="L848" i="13" s="1"/>
  <c r="I849" i="13" s="1"/>
  <c r="M1039" i="14"/>
  <c r="N1036" i="13"/>
  <c r="J1035" i="13" a="1"/>
  <c r="J1035" i="13" s="1"/>
  <c r="M1038" i="13"/>
  <c r="J1034" i="14" a="1"/>
  <c r="J1034" i="14" s="1"/>
  <c r="N1035" i="14"/>
  <c r="K871" i="14"/>
  <c r="L871" i="14" s="1"/>
  <c r="I872" i="14" s="1"/>
  <c r="K849" i="13" l="1"/>
  <c r="L849" i="13" s="1"/>
  <c r="I850" i="13" s="1"/>
  <c r="K872" i="14"/>
  <c r="L872" i="14" s="1"/>
  <c r="I873" i="14" s="1"/>
  <c r="N1036" i="14"/>
  <c r="J1035" i="14" a="1"/>
  <c r="J1035" i="14" s="1"/>
  <c r="M1039" i="13"/>
  <c r="M1040" i="14"/>
  <c r="N1037" i="13"/>
  <c r="J1036" i="13" a="1"/>
  <c r="J1036" i="13" s="1"/>
  <c r="K850" i="13" l="1"/>
  <c r="L850" i="13" s="1"/>
  <c r="I851" i="13" s="1"/>
  <c r="M1040" i="13"/>
  <c r="N1038" i="13"/>
  <c r="J1037" i="13" a="1"/>
  <c r="J1037" i="13" s="1"/>
  <c r="M1041" i="14"/>
  <c r="N1037" i="14"/>
  <c r="J1036" i="14" a="1"/>
  <c r="J1036" i="14" s="1"/>
  <c r="K873" i="14"/>
  <c r="L873" i="14" s="1"/>
  <c r="I874" i="14" s="1"/>
  <c r="K851" i="13" l="1"/>
  <c r="L851" i="13" s="1"/>
  <c r="I852" i="13" s="1"/>
  <c r="K874" i="14"/>
  <c r="L874" i="14" s="1"/>
  <c r="I875" i="14" s="1"/>
  <c r="M1042" i="14"/>
  <c r="N1039" i="13"/>
  <c r="J1038" i="13" a="1"/>
  <c r="J1038" i="13" s="1"/>
  <c r="M1041" i="13"/>
  <c r="J1037" i="14" a="1"/>
  <c r="J1037" i="14" s="1"/>
  <c r="N1038" i="14"/>
  <c r="K852" i="13" l="1"/>
  <c r="L852" i="13" s="1"/>
  <c r="I853" i="13" s="1"/>
  <c r="N1040" i="13"/>
  <c r="J1039" i="13" a="1"/>
  <c r="J1039" i="13" s="1"/>
  <c r="K875" i="14"/>
  <c r="L875" i="14" s="1"/>
  <c r="I876" i="14" s="1"/>
  <c r="M1042" i="13"/>
  <c r="M1043" i="14"/>
  <c r="J1038" i="14" a="1"/>
  <c r="J1038" i="14" s="1"/>
  <c r="N1039" i="14"/>
  <c r="K853" i="13" l="1"/>
  <c r="L853" i="13" s="1"/>
  <c r="I854" i="13" s="1"/>
  <c r="K876" i="14"/>
  <c r="L876" i="14" s="1"/>
  <c r="I877" i="14" s="1"/>
  <c r="M1043" i="13"/>
  <c r="M1044" i="14"/>
  <c r="N1040" i="14"/>
  <c r="J1039" i="14" a="1"/>
  <c r="J1039" i="14" s="1"/>
  <c r="N1041" i="13"/>
  <c r="J1040" i="13" a="1"/>
  <c r="J1040" i="13" s="1"/>
  <c r="K854" i="13" l="1"/>
  <c r="L854" i="13" s="1"/>
  <c r="I855" i="13" s="1"/>
  <c r="K877" i="14"/>
  <c r="L877" i="14" s="1"/>
  <c r="I878" i="14" s="1"/>
  <c r="M1044" i="13"/>
  <c r="N1042" i="13"/>
  <c r="J1041" i="13" a="1"/>
  <c r="J1041" i="13" s="1"/>
  <c r="M1045" i="14"/>
  <c r="N1041" i="14"/>
  <c r="J1040" i="14" a="1"/>
  <c r="J1040" i="14" s="1"/>
  <c r="K855" i="13" l="1"/>
  <c r="L855" i="13" s="1"/>
  <c r="I856" i="13" s="1"/>
  <c r="K878" i="14"/>
  <c r="L878" i="14" s="1"/>
  <c r="I879" i="14" s="1"/>
  <c r="J1041" i="14" a="1"/>
  <c r="J1041" i="14" s="1"/>
  <c r="N1042" i="14"/>
  <c r="M1045" i="13"/>
  <c r="N1043" i="13"/>
  <c r="J1042" i="13" a="1"/>
  <c r="J1042" i="13" s="1"/>
  <c r="M1046" i="14"/>
  <c r="K856" i="13" l="1"/>
  <c r="L856" i="13" s="1"/>
  <c r="I857" i="13" s="1"/>
  <c r="K879" i="14"/>
  <c r="L879" i="14" s="1"/>
  <c r="I880" i="14" s="1"/>
  <c r="J1042" i="14" a="1"/>
  <c r="J1042" i="14" s="1"/>
  <c r="N1043" i="14"/>
  <c r="M1047" i="14"/>
  <c r="N1044" i="13"/>
  <c r="J1043" i="13" a="1"/>
  <c r="J1043" i="13" s="1"/>
  <c r="M1046" i="13"/>
  <c r="K857" i="13" l="1"/>
  <c r="L857" i="13" s="1"/>
  <c r="I858" i="13" s="1"/>
  <c r="K880" i="14"/>
  <c r="L880" i="14" s="1"/>
  <c r="I881" i="14" s="1"/>
  <c r="N1045" i="13"/>
  <c r="J1044" i="13" a="1"/>
  <c r="J1044" i="13" s="1"/>
  <c r="M1047" i="13"/>
  <c r="M1048" i="14"/>
  <c r="N1044" i="14"/>
  <c r="J1043" i="14" a="1"/>
  <c r="J1043" i="14" s="1"/>
  <c r="K858" i="13" l="1"/>
  <c r="L858" i="13" s="1"/>
  <c r="I859" i="13" s="1"/>
  <c r="K881" i="14"/>
  <c r="L881" i="14" s="1"/>
  <c r="I882" i="14" s="1"/>
  <c r="M1048" i="13"/>
  <c r="N1045" i="14"/>
  <c r="J1044" i="14" a="1"/>
  <c r="J1044" i="14" s="1"/>
  <c r="M1049" i="14"/>
  <c r="N1046" i="13"/>
  <c r="J1045" i="13" a="1"/>
  <c r="J1045" i="13" s="1"/>
  <c r="K859" i="13" l="1"/>
  <c r="L859" i="13" s="1"/>
  <c r="I860" i="13" s="1"/>
  <c r="K882" i="14"/>
  <c r="L882" i="14" s="1"/>
  <c r="I883" i="14" s="1"/>
  <c r="N1047" i="13"/>
  <c r="J1046" i="13" a="1"/>
  <c r="J1046" i="13" s="1"/>
  <c r="J1045" i="14" a="1"/>
  <c r="J1045" i="14" s="1"/>
  <c r="N1046" i="14"/>
  <c r="M1049" i="13"/>
  <c r="M1050" i="14"/>
  <c r="K860" i="13" l="1"/>
  <c r="L860" i="13" s="1"/>
  <c r="I861" i="13" s="1"/>
  <c r="K883" i="14"/>
  <c r="L883" i="14" s="1"/>
  <c r="I884" i="14" s="1"/>
  <c r="M1050" i="13"/>
  <c r="N1048" i="13"/>
  <c r="J1047" i="13" a="1"/>
  <c r="J1047" i="13" s="1"/>
  <c r="M1051" i="14"/>
  <c r="J1046" i="14" a="1"/>
  <c r="J1046" i="14" s="1"/>
  <c r="N1047" i="14"/>
  <c r="K861" i="13" l="1"/>
  <c r="L861" i="13" s="1"/>
  <c r="I862" i="13" s="1"/>
  <c r="K884" i="14"/>
  <c r="L884" i="14" s="1"/>
  <c r="I885" i="14" s="1"/>
  <c r="N1049" i="13"/>
  <c r="J1048" i="13" a="1"/>
  <c r="J1048" i="13" s="1"/>
  <c r="M1051" i="13"/>
  <c r="N1048" i="14"/>
  <c r="J1047" i="14" a="1"/>
  <c r="J1047" i="14" s="1"/>
  <c r="M1052" i="14"/>
  <c r="K862" i="13" l="1"/>
  <c r="L862" i="13" s="1"/>
  <c r="I863" i="13" s="1"/>
  <c r="M1053" i="14"/>
  <c r="K885" i="14"/>
  <c r="L885" i="14" s="1"/>
  <c r="I886" i="14" s="1"/>
  <c r="N1049" i="14"/>
  <c r="J1048" i="14" a="1"/>
  <c r="J1048" i="14" s="1"/>
  <c r="M1052" i="13"/>
  <c r="N1050" i="13"/>
  <c r="J1049" i="13" a="1"/>
  <c r="J1049" i="13" s="1"/>
  <c r="K863" i="13" l="1"/>
  <c r="L863" i="13" s="1"/>
  <c r="I864" i="13" s="1"/>
  <c r="K886" i="14"/>
  <c r="L886" i="14" s="1"/>
  <c r="I887" i="14" s="1"/>
  <c r="N1051" i="13"/>
  <c r="J1050" i="13" a="1"/>
  <c r="J1050" i="13" s="1"/>
  <c r="J1049" i="14" a="1"/>
  <c r="J1049" i="14" s="1"/>
  <c r="N1050" i="14"/>
  <c r="M1054" i="14"/>
  <c r="M1053" i="13"/>
  <c r="K864" i="13" l="1"/>
  <c r="L864" i="13" s="1"/>
  <c r="I865" i="13" s="1"/>
  <c r="K887" i="14"/>
  <c r="L887" i="14" s="1"/>
  <c r="I888" i="14" s="1"/>
  <c r="J1050" i="14" a="1"/>
  <c r="J1050" i="14" s="1"/>
  <c r="N1051" i="14"/>
  <c r="M1054" i="13"/>
  <c r="M1055" i="14"/>
  <c r="N1052" i="13"/>
  <c r="J1051" i="13" a="1"/>
  <c r="J1051" i="13" s="1"/>
  <c r="K865" i="13" l="1"/>
  <c r="L865" i="13" s="1"/>
  <c r="I866" i="13" s="1"/>
  <c r="M1055" i="13"/>
  <c r="N1053" i="13"/>
  <c r="J1052" i="13" a="1"/>
  <c r="J1052" i="13" s="1"/>
  <c r="M1056" i="14"/>
  <c r="N1052" i="14"/>
  <c r="J1051" i="14" a="1"/>
  <c r="J1051" i="14" s="1"/>
  <c r="K888" i="14"/>
  <c r="L888" i="14" s="1"/>
  <c r="I889" i="14" s="1"/>
  <c r="K866" i="13" l="1"/>
  <c r="L866" i="13" s="1"/>
  <c r="I867" i="13" s="1"/>
  <c r="K889" i="14"/>
  <c r="L889" i="14" s="1"/>
  <c r="I890" i="14" s="1"/>
  <c r="M1056" i="13"/>
  <c r="M1057" i="14"/>
  <c r="N1053" i="14"/>
  <c r="J1052" i="14" a="1"/>
  <c r="J1052" i="14" s="1"/>
  <c r="N1054" i="13"/>
  <c r="J1053" i="13" a="1"/>
  <c r="J1053" i="13" s="1"/>
  <c r="K867" i="13" l="1"/>
  <c r="L867" i="13" s="1"/>
  <c r="I868" i="13" s="1"/>
  <c r="K890" i="14"/>
  <c r="L890" i="14" s="1"/>
  <c r="I891" i="14" s="1"/>
  <c r="J1053" i="14" a="1"/>
  <c r="J1053" i="14" s="1"/>
  <c r="N1054" i="14"/>
  <c r="N1055" i="13"/>
  <c r="J1054" i="13" a="1"/>
  <c r="J1054" i="13" s="1"/>
  <c r="M1058" i="14"/>
  <c r="M1057" i="13"/>
  <c r="K868" i="13" l="1"/>
  <c r="L868" i="13" s="1"/>
  <c r="I869" i="13" s="1"/>
  <c r="K891" i="14"/>
  <c r="L891" i="14" s="1"/>
  <c r="I892" i="14" s="1"/>
  <c r="J1054" i="14" a="1"/>
  <c r="J1054" i="14" s="1"/>
  <c r="N1055" i="14"/>
  <c r="N1056" i="13"/>
  <c r="J1055" i="13" a="1"/>
  <c r="J1055" i="13" s="1"/>
  <c r="M1059" i="14"/>
  <c r="M1058" i="13"/>
  <c r="K869" i="13" l="1"/>
  <c r="L869" i="13" s="1"/>
  <c r="I870" i="13" s="1"/>
  <c r="K892" i="14"/>
  <c r="L892" i="14" s="1"/>
  <c r="I893" i="14" s="1"/>
  <c r="M1059" i="13"/>
  <c r="N1057" i="13"/>
  <c r="J1056" i="13" a="1"/>
  <c r="J1056" i="13" s="1"/>
  <c r="M1060" i="14"/>
  <c r="N1056" i="14"/>
  <c r="J1055" i="14" a="1"/>
  <c r="J1055" i="14" s="1"/>
  <c r="K870" i="13" l="1"/>
  <c r="L870" i="13" s="1"/>
  <c r="I871" i="13" s="1"/>
  <c r="K893" i="14"/>
  <c r="L893" i="14" s="1"/>
  <c r="I894" i="14" s="1"/>
  <c r="N1058" i="13"/>
  <c r="J1057" i="13" a="1"/>
  <c r="J1057" i="13" s="1"/>
  <c r="N1057" i="14"/>
  <c r="J1056" i="14" a="1"/>
  <c r="J1056" i="14" s="1"/>
  <c r="M1060" i="13"/>
  <c r="M1061" i="14"/>
  <c r="K871" i="13" l="1"/>
  <c r="L871" i="13" s="1"/>
  <c r="I872" i="13" s="1"/>
  <c r="K894" i="14"/>
  <c r="L894" i="14" s="1"/>
  <c r="I895" i="14" s="1"/>
  <c r="M1062" i="14"/>
  <c r="N1059" i="13"/>
  <c r="J1058" i="13" a="1"/>
  <c r="J1058" i="13" s="1"/>
  <c r="M1061" i="13"/>
  <c r="J1057" i="14" a="1"/>
  <c r="J1057" i="14" s="1"/>
  <c r="N1058" i="14"/>
  <c r="K872" i="13" l="1"/>
  <c r="L872" i="13" s="1"/>
  <c r="I873" i="13" s="1"/>
  <c r="K895" i="14"/>
  <c r="L895" i="14" s="1"/>
  <c r="I896" i="14" s="1"/>
  <c r="J1058" i="14" a="1"/>
  <c r="J1058" i="14" s="1"/>
  <c r="N1059" i="14"/>
  <c r="N1060" i="13"/>
  <c r="J1059" i="13" a="1"/>
  <c r="J1059" i="13" s="1"/>
  <c r="M1062" i="13"/>
  <c r="M1063" i="14"/>
  <c r="K873" i="13" l="1"/>
  <c r="L873" i="13" s="1"/>
  <c r="I874" i="13" s="1"/>
  <c r="K896" i="14"/>
  <c r="L896" i="14" s="1"/>
  <c r="I897" i="14" s="1"/>
  <c r="N1061" i="13"/>
  <c r="J1060" i="13" a="1"/>
  <c r="J1060" i="13" s="1"/>
  <c r="M1064" i="14"/>
  <c r="M1063" i="13"/>
  <c r="N1060" i="14"/>
  <c r="J1059" i="14" a="1"/>
  <c r="J1059" i="14" s="1"/>
  <c r="K874" i="13" l="1"/>
  <c r="L874" i="13" s="1"/>
  <c r="I875" i="13" s="1"/>
  <c r="K897" i="14"/>
  <c r="L897" i="14" s="1"/>
  <c r="I898" i="14" s="1"/>
  <c r="N1061" i="14"/>
  <c r="J1060" i="14" a="1"/>
  <c r="J1060" i="14" s="1"/>
  <c r="M1065" i="14"/>
  <c r="M1064" i="13"/>
  <c r="N1062" i="13"/>
  <c r="J1061" i="13" a="1"/>
  <c r="J1061" i="13" s="1"/>
  <c r="K875" i="13" l="1"/>
  <c r="L875" i="13" s="1"/>
  <c r="I876" i="13" s="1"/>
  <c r="K898" i="14"/>
  <c r="L898" i="14" s="1"/>
  <c r="I899" i="14" s="1"/>
  <c r="J1061" i="14" a="1"/>
  <c r="J1061" i="14" s="1"/>
  <c r="N1062" i="14"/>
  <c r="M1065" i="13"/>
  <c r="N1063" i="13"/>
  <c r="J1062" i="13" a="1"/>
  <c r="J1062" i="13" s="1"/>
  <c r="M1066" i="14"/>
  <c r="K876" i="13" l="1"/>
  <c r="L876" i="13" s="1"/>
  <c r="I877" i="13" s="1"/>
  <c r="K899" i="14"/>
  <c r="L899" i="14" s="1"/>
  <c r="I900" i="14" s="1"/>
  <c r="M1067" i="14"/>
  <c r="M1066" i="13"/>
  <c r="J1062" i="14" a="1"/>
  <c r="J1062" i="14" s="1"/>
  <c r="N1063" i="14"/>
  <c r="N1064" i="13"/>
  <c r="J1063" i="13" a="1"/>
  <c r="J1063" i="13" s="1"/>
  <c r="K877" i="13" l="1"/>
  <c r="L877" i="13" s="1"/>
  <c r="I878" i="13" s="1"/>
  <c r="K900" i="14"/>
  <c r="L900" i="14" s="1"/>
  <c r="I901" i="14" s="1"/>
  <c r="M1067" i="13"/>
  <c r="N1065" i="13"/>
  <c r="J1064" i="13" a="1"/>
  <c r="J1064" i="13" s="1"/>
  <c r="N1064" i="14"/>
  <c r="J1063" i="14" a="1"/>
  <c r="J1063" i="14" s="1"/>
  <c r="M1068" i="14"/>
  <c r="K878" i="13" l="1"/>
  <c r="L878" i="13" s="1"/>
  <c r="I879" i="13" s="1"/>
  <c r="K901" i="14"/>
  <c r="L901" i="14" s="1"/>
  <c r="I902" i="14" s="1"/>
  <c r="M1069" i="14"/>
  <c r="N1066" i="13"/>
  <c r="J1065" i="13" a="1"/>
  <c r="J1065" i="13" s="1"/>
  <c r="M1068" i="13"/>
  <c r="N1065" i="14"/>
  <c r="J1064" i="14" a="1"/>
  <c r="J1064" i="14" s="1"/>
  <c r="K879" i="13" l="1"/>
  <c r="L879" i="13" s="1"/>
  <c r="I880" i="13" s="1"/>
  <c r="K902" i="14"/>
  <c r="L902" i="14" s="1"/>
  <c r="I903" i="14" s="1"/>
  <c r="J1065" i="14" a="1"/>
  <c r="J1065" i="14" s="1"/>
  <c r="N1066" i="14"/>
  <c r="N1067" i="13"/>
  <c r="J1066" i="13" a="1"/>
  <c r="J1066" i="13" s="1"/>
  <c r="M1069" i="13"/>
  <c r="M1070" i="14"/>
  <c r="K880" i="13" l="1"/>
  <c r="L880" i="13" s="1"/>
  <c r="I881" i="13" s="1"/>
  <c r="K903" i="14"/>
  <c r="L903" i="14" s="1"/>
  <c r="I904" i="14" s="1"/>
  <c r="M1071" i="14"/>
  <c r="N1068" i="13"/>
  <c r="J1067" i="13" a="1"/>
  <c r="J1067" i="13" s="1"/>
  <c r="M1070" i="13"/>
  <c r="J1066" i="14" a="1"/>
  <c r="J1066" i="14" s="1"/>
  <c r="N1067" i="14"/>
  <c r="K881" i="13" l="1"/>
  <c r="L881" i="13" s="1"/>
  <c r="I882" i="13" s="1"/>
  <c r="K904" i="14"/>
  <c r="L904" i="14" s="1"/>
  <c r="I905" i="14" s="1"/>
  <c r="N1068" i="14"/>
  <c r="J1067" i="14" a="1"/>
  <c r="J1067" i="14" s="1"/>
  <c r="N1069" i="13"/>
  <c r="J1068" i="13" a="1"/>
  <c r="J1068" i="13" s="1"/>
  <c r="M1071" i="13"/>
  <c r="M1072" i="14"/>
  <c r="K882" i="13" l="1"/>
  <c r="L882" i="13" s="1"/>
  <c r="I883" i="13" s="1"/>
  <c r="K905" i="14"/>
  <c r="L905" i="14" s="1"/>
  <c r="I906" i="14" s="1"/>
  <c r="N1070" i="13"/>
  <c r="J1069" i="13" a="1"/>
  <c r="J1069" i="13" s="1"/>
  <c r="M1073" i="14"/>
  <c r="M1072" i="13"/>
  <c r="N1069" i="14"/>
  <c r="J1068" i="14" a="1"/>
  <c r="J1068" i="14" s="1"/>
  <c r="K883" i="13" l="1"/>
  <c r="L883" i="13" s="1"/>
  <c r="I884" i="13" s="1"/>
  <c r="K906" i="14"/>
  <c r="L906" i="14" s="1"/>
  <c r="I907" i="14" s="1"/>
  <c r="J1069" i="14" a="1"/>
  <c r="J1069" i="14" s="1"/>
  <c r="N1070" i="14"/>
  <c r="M1074" i="14"/>
  <c r="M1073" i="13"/>
  <c r="N1071" i="13"/>
  <c r="J1070" i="13" a="1"/>
  <c r="J1070" i="13" s="1"/>
  <c r="K884" i="13" l="1"/>
  <c r="L884" i="13" s="1"/>
  <c r="I885" i="13" s="1"/>
  <c r="K907" i="14"/>
  <c r="L907" i="14" s="1"/>
  <c r="I908" i="14" s="1"/>
  <c r="M1075" i="14"/>
  <c r="N1072" i="13"/>
  <c r="J1071" i="13" a="1"/>
  <c r="J1071" i="13" s="1"/>
  <c r="M1074" i="13"/>
  <c r="J1070" i="14" a="1"/>
  <c r="J1070" i="14" s="1"/>
  <c r="N1071" i="14"/>
  <c r="K885" i="13" l="1"/>
  <c r="L885" i="13" s="1"/>
  <c r="I886" i="13" s="1"/>
  <c r="M1076" i="14"/>
  <c r="N1073" i="13"/>
  <c r="J1072" i="13" a="1"/>
  <c r="J1072" i="13" s="1"/>
  <c r="M1075" i="13"/>
  <c r="N1072" i="14"/>
  <c r="J1071" i="14" a="1"/>
  <c r="J1071" i="14" s="1"/>
  <c r="K908" i="14"/>
  <c r="L908" i="14" s="1"/>
  <c r="I909" i="14" s="1"/>
  <c r="K886" i="13" l="1"/>
  <c r="L886" i="13" s="1"/>
  <c r="I887" i="13" s="1"/>
  <c r="K909" i="14"/>
  <c r="L909" i="14" s="1"/>
  <c r="I910" i="14" s="1"/>
  <c r="N1074" i="13"/>
  <c r="J1073" i="13" a="1"/>
  <c r="J1073" i="13" s="1"/>
  <c r="N1073" i="14"/>
  <c r="J1072" i="14" a="1"/>
  <c r="J1072" i="14" s="1"/>
  <c r="M1076" i="13"/>
  <c r="M1077" i="14"/>
  <c r="K887" i="13" l="1"/>
  <c r="L887" i="13" s="1"/>
  <c r="I888" i="13" s="1"/>
  <c r="K910" i="14"/>
  <c r="L910" i="14" s="1"/>
  <c r="I911" i="14" s="1"/>
  <c r="M1078" i="14"/>
  <c r="J1073" i="14" a="1"/>
  <c r="J1073" i="14" s="1"/>
  <c r="N1074" i="14"/>
  <c r="M1077" i="13"/>
  <c r="N1075" i="13"/>
  <c r="J1074" i="13" a="1"/>
  <c r="J1074" i="13" s="1"/>
  <c r="K888" i="13" l="1"/>
  <c r="L888" i="13" s="1"/>
  <c r="I889" i="13" s="1"/>
  <c r="K911" i="14"/>
  <c r="L911" i="14" s="1"/>
  <c r="I912" i="14" s="1"/>
  <c r="J1074" i="14" a="1"/>
  <c r="J1074" i="14" s="1"/>
  <c r="N1075" i="14"/>
  <c r="N1076" i="13"/>
  <c r="J1075" i="13" a="1"/>
  <c r="J1075" i="13" s="1"/>
  <c r="M1078" i="13"/>
  <c r="M1079" i="14"/>
  <c r="K889" i="13" l="1"/>
  <c r="L889" i="13" s="1"/>
  <c r="I890" i="13" s="1"/>
  <c r="K912" i="14"/>
  <c r="L912" i="14" s="1"/>
  <c r="I913" i="14" s="1"/>
  <c r="N1077" i="13"/>
  <c r="J1076" i="13" a="1"/>
  <c r="J1076" i="13" s="1"/>
  <c r="M1080" i="14"/>
  <c r="N1076" i="14"/>
  <c r="J1075" i="14" a="1"/>
  <c r="J1075" i="14" s="1"/>
  <c r="M1079" i="13"/>
  <c r="K890" i="13" l="1"/>
  <c r="L890" i="13" s="1"/>
  <c r="I891" i="13" s="1"/>
  <c r="K913" i="14"/>
  <c r="L913" i="14" s="1"/>
  <c r="I914" i="14" s="1"/>
  <c r="M1080" i="13"/>
  <c r="M1081" i="14"/>
  <c r="N1077" i="14"/>
  <c r="J1076" i="14" a="1"/>
  <c r="J1076" i="14" s="1"/>
  <c r="N1078" i="13"/>
  <c r="J1077" i="13" a="1"/>
  <c r="J1077" i="13" s="1"/>
  <c r="K891" i="13" l="1"/>
  <c r="L891" i="13" s="1"/>
  <c r="I892" i="13" s="1"/>
  <c r="K914" i="14"/>
  <c r="L914" i="14" s="1"/>
  <c r="I915" i="14" s="1"/>
  <c r="N1079" i="13"/>
  <c r="J1078" i="13" a="1"/>
  <c r="J1078" i="13" s="1"/>
  <c r="M1082" i="14"/>
  <c r="J1077" i="14" a="1"/>
  <c r="J1077" i="14" s="1"/>
  <c r="N1078" i="14"/>
  <c r="M1081" i="13"/>
  <c r="K892" i="13" l="1"/>
  <c r="L892" i="13" s="1"/>
  <c r="I893" i="13" s="1"/>
  <c r="K915" i="14"/>
  <c r="L915" i="14" s="1"/>
  <c r="I916" i="14" s="1"/>
  <c r="N1080" i="13"/>
  <c r="J1079" i="13" a="1"/>
  <c r="J1079" i="13" s="1"/>
  <c r="J1078" i="14" a="1"/>
  <c r="J1078" i="14" s="1"/>
  <c r="N1079" i="14"/>
  <c r="M1082" i="13"/>
  <c r="M1083" i="14"/>
  <c r="K893" i="13" l="1"/>
  <c r="L893" i="13" s="1"/>
  <c r="I894" i="13" s="1"/>
  <c r="K916" i="14"/>
  <c r="L916" i="14" s="1"/>
  <c r="I917" i="14" s="1"/>
  <c r="M1083" i="13"/>
  <c r="M1084" i="14"/>
  <c r="N1080" i="14"/>
  <c r="J1079" i="14" a="1"/>
  <c r="J1079" i="14" s="1"/>
  <c r="N1081" i="13"/>
  <c r="J1080" i="13" a="1"/>
  <c r="J1080" i="13" s="1"/>
  <c r="K894" i="13" l="1"/>
  <c r="L894" i="13" s="1"/>
  <c r="I895" i="13" s="1"/>
  <c r="K917" i="14"/>
  <c r="L917" i="14" s="1"/>
  <c r="I918" i="14" s="1"/>
  <c r="N1082" i="13"/>
  <c r="J1081" i="13" a="1"/>
  <c r="J1081" i="13" s="1"/>
  <c r="M1085" i="14"/>
  <c r="M1084" i="13"/>
  <c r="N1081" i="14"/>
  <c r="J1080" i="14" a="1"/>
  <c r="J1080" i="14" s="1"/>
  <c r="K895" i="13" l="1"/>
  <c r="L895" i="13" s="1"/>
  <c r="I896" i="13" s="1"/>
  <c r="K918" i="14"/>
  <c r="L918" i="14" s="1"/>
  <c r="I919" i="14" s="1"/>
  <c r="M1085" i="13"/>
  <c r="J1081" i="14" a="1"/>
  <c r="J1081" i="14" s="1"/>
  <c r="N1082" i="14"/>
  <c r="M1086" i="14"/>
  <c r="N1083" i="13"/>
  <c r="J1082" i="13" a="1"/>
  <c r="J1082" i="13" s="1"/>
  <c r="K896" i="13" l="1"/>
  <c r="L896" i="13" s="1"/>
  <c r="I897" i="13" s="1"/>
  <c r="K919" i="14"/>
  <c r="L919" i="14" s="1"/>
  <c r="I920" i="14" s="1"/>
  <c r="J1082" i="14" a="1"/>
  <c r="J1082" i="14" s="1"/>
  <c r="N1083" i="14"/>
  <c r="N1084" i="13"/>
  <c r="J1083" i="13" a="1"/>
  <c r="J1083" i="13" s="1"/>
  <c r="M1086" i="13"/>
  <c r="M1087" i="14"/>
  <c r="K897" i="13" l="1"/>
  <c r="L897" i="13" s="1"/>
  <c r="I898" i="13" s="1"/>
  <c r="K920" i="14"/>
  <c r="L920" i="14" s="1"/>
  <c r="I921" i="14" s="1"/>
  <c r="M1088" i="14"/>
  <c r="N1085" i="13"/>
  <c r="J1084" i="13" a="1"/>
  <c r="J1084" i="13" s="1"/>
  <c r="M1087" i="13"/>
  <c r="N1084" i="14"/>
  <c r="J1083" i="14" a="1"/>
  <c r="J1083" i="14" s="1"/>
  <c r="K898" i="13" l="1"/>
  <c r="L898" i="13" s="1"/>
  <c r="I899" i="13" s="1"/>
  <c r="K921" i="14"/>
  <c r="L921" i="14" s="1"/>
  <c r="I922" i="14" s="1"/>
  <c r="M1088" i="13"/>
  <c r="M1089" i="14"/>
  <c r="N1085" i="14"/>
  <c r="J1084" i="14" a="1"/>
  <c r="J1084" i="14" s="1"/>
  <c r="N1086" i="13"/>
  <c r="J1085" i="13" a="1"/>
  <c r="J1085" i="13" s="1"/>
  <c r="K899" i="13" l="1"/>
  <c r="L899" i="13" s="1"/>
  <c r="I900" i="13" s="1"/>
  <c r="K922" i="14"/>
  <c r="L922" i="14" s="1"/>
  <c r="I923" i="14" s="1"/>
  <c r="N1087" i="13"/>
  <c r="J1086" i="13" a="1"/>
  <c r="J1086" i="13" s="1"/>
  <c r="M1090" i="14"/>
  <c r="M1089" i="13"/>
  <c r="J1085" i="14" a="1"/>
  <c r="J1085" i="14" s="1"/>
  <c r="N1086" i="14"/>
  <c r="K900" i="13" l="1"/>
  <c r="L900" i="13" s="1"/>
  <c r="I901" i="13" s="1"/>
  <c r="K923" i="14"/>
  <c r="L923" i="14" s="1"/>
  <c r="I924" i="14" s="1"/>
  <c r="M1091" i="14"/>
  <c r="J1086" i="14" a="1"/>
  <c r="J1086" i="14" s="1"/>
  <c r="N1087" i="14"/>
  <c r="M1090" i="13"/>
  <c r="N1088" i="13"/>
  <c r="J1087" i="13" a="1"/>
  <c r="J1087" i="13" s="1"/>
  <c r="K901" i="13" l="1"/>
  <c r="L901" i="13" s="1"/>
  <c r="I902" i="13" s="1"/>
  <c r="K924" i="14"/>
  <c r="L924" i="14" s="1"/>
  <c r="I925" i="14" s="1"/>
  <c r="N1088" i="14"/>
  <c r="J1087" i="14" a="1"/>
  <c r="J1087" i="14" s="1"/>
  <c r="M1091" i="13"/>
  <c r="N1089" i="13"/>
  <c r="J1088" i="13" a="1"/>
  <c r="J1088" i="13" s="1"/>
  <c r="M1092" i="14"/>
  <c r="K902" i="13" l="1"/>
  <c r="L902" i="13" s="1"/>
  <c r="I903" i="13" s="1"/>
  <c r="N1090" i="13"/>
  <c r="J1089" i="13" a="1"/>
  <c r="J1089" i="13" s="1"/>
  <c r="M1092" i="13"/>
  <c r="M1093" i="14"/>
  <c r="N1089" i="14"/>
  <c r="J1088" i="14" a="1"/>
  <c r="J1088" i="14" s="1"/>
  <c r="K925" i="14"/>
  <c r="L925" i="14" s="1"/>
  <c r="I926" i="14" s="1"/>
  <c r="K903" i="13" l="1"/>
  <c r="L903" i="13" s="1"/>
  <c r="I904" i="13" s="1"/>
  <c r="K926" i="14"/>
  <c r="L926" i="14" s="1"/>
  <c r="I927" i="14" s="1"/>
  <c r="M1094" i="14"/>
  <c r="N1091" i="13"/>
  <c r="J1090" i="13" a="1"/>
  <c r="J1090" i="13" s="1"/>
  <c r="J1089" i="14" a="1"/>
  <c r="J1089" i="14" s="1"/>
  <c r="N1090" i="14"/>
  <c r="M1093" i="13"/>
  <c r="K904" i="13" l="1"/>
  <c r="L904" i="13" s="1"/>
  <c r="I905" i="13" s="1"/>
  <c r="K927" i="14"/>
  <c r="L927" i="14" s="1"/>
  <c r="I928" i="14" s="1"/>
  <c r="J1090" i="14" a="1"/>
  <c r="J1090" i="14" s="1"/>
  <c r="N1091" i="14"/>
  <c r="M1095" i="14"/>
  <c r="M1094" i="13"/>
  <c r="N1092" i="13"/>
  <c r="J1091" i="13" a="1"/>
  <c r="J1091" i="13" s="1"/>
  <c r="K905" i="13" l="1"/>
  <c r="L905" i="13" s="1"/>
  <c r="I906" i="13" s="1"/>
  <c r="K928" i="14"/>
  <c r="L928" i="14" s="1"/>
  <c r="I929" i="14" s="1"/>
  <c r="N1093" i="13"/>
  <c r="J1092" i="13" a="1"/>
  <c r="J1092" i="13" s="1"/>
  <c r="M1096" i="14"/>
  <c r="M1095" i="13"/>
  <c r="N1092" i="14"/>
  <c r="J1091" i="14" a="1"/>
  <c r="J1091" i="14" s="1"/>
  <c r="K906" i="13" l="1"/>
  <c r="L906" i="13" s="1"/>
  <c r="I907" i="13" s="1"/>
  <c r="K929" i="14"/>
  <c r="L929" i="14" s="1"/>
  <c r="I930" i="14" s="1"/>
  <c r="M1096" i="13"/>
  <c r="N1094" i="13"/>
  <c r="J1093" i="13" a="1"/>
  <c r="J1093" i="13" s="1"/>
  <c r="N1093" i="14"/>
  <c r="J1092" i="14" a="1"/>
  <c r="J1092" i="14" s="1"/>
  <c r="M1097" i="14"/>
  <c r="K907" i="13" l="1"/>
  <c r="L907" i="13" s="1"/>
  <c r="I908" i="13" s="1"/>
  <c r="K930" i="14"/>
  <c r="L930" i="14" s="1"/>
  <c r="I931" i="14" s="1"/>
  <c r="M1098" i="14"/>
  <c r="N1095" i="13"/>
  <c r="J1094" i="13" a="1"/>
  <c r="J1094" i="13" s="1"/>
  <c r="M1097" i="13"/>
  <c r="J1093" i="14" a="1"/>
  <c r="J1093" i="14" s="1"/>
  <c r="N1094" i="14"/>
  <c r="K908" i="13" l="1"/>
  <c r="L908" i="13" s="1"/>
  <c r="I909" i="13" s="1"/>
  <c r="K931" i="14"/>
  <c r="L931" i="14" s="1"/>
  <c r="I932" i="14" s="1"/>
  <c r="N1096" i="13"/>
  <c r="J1095" i="13" a="1"/>
  <c r="J1095" i="13" s="1"/>
  <c r="J1094" i="14" a="1"/>
  <c r="J1094" i="14" s="1"/>
  <c r="N1095" i="14"/>
  <c r="M1098" i="13"/>
  <c r="M1099" i="14"/>
  <c r="K909" i="13" l="1"/>
  <c r="L909" i="13" s="1"/>
  <c r="I910" i="13" s="1"/>
  <c r="K932" i="14"/>
  <c r="L932" i="14" s="1"/>
  <c r="I933" i="14" s="1"/>
  <c r="N1096" i="14"/>
  <c r="J1095" i="14" a="1"/>
  <c r="J1095" i="14" s="1"/>
  <c r="M1100" i="14"/>
  <c r="M1099" i="13"/>
  <c r="N1097" i="13"/>
  <c r="J1096" i="13" a="1"/>
  <c r="J1096" i="13" s="1"/>
  <c r="K910" i="13" l="1"/>
  <c r="L910" i="13" s="1"/>
  <c r="I911" i="13" s="1"/>
  <c r="K933" i="14"/>
  <c r="L933" i="14" s="1"/>
  <c r="I934" i="14" s="1"/>
  <c r="N1098" i="13"/>
  <c r="J1097" i="13" a="1"/>
  <c r="J1097" i="13" s="1"/>
  <c r="M1101" i="14"/>
  <c r="M1100" i="13"/>
  <c r="N1097" i="14"/>
  <c r="J1096" i="14" a="1"/>
  <c r="J1096" i="14" s="1"/>
  <c r="K911" i="13" l="1"/>
  <c r="L911" i="13" s="1"/>
  <c r="I912" i="13" s="1"/>
  <c r="K934" i="14"/>
  <c r="L934" i="14" s="1"/>
  <c r="I935" i="14" s="1"/>
  <c r="J1097" i="14" a="1"/>
  <c r="J1097" i="14" s="1"/>
  <c r="N1098" i="14"/>
  <c r="M1102" i="14"/>
  <c r="M1101" i="13"/>
  <c r="N1099" i="13"/>
  <c r="J1098" i="13" a="1"/>
  <c r="J1098" i="13" s="1"/>
  <c r="K912" i="13" l="1"/>
  <c r="L912" i="13" s="1"/>
  <c r="I913" i="13" s="1"/>
  <c r="N1100" i="13"/>
  <c r="J1099" i="13" a="1"/>
  <c r="J1099" i="13" s="1"/>
  <c r="M1103" i="14"/>
  <c r="M1102" i="13"/>
  <c r="J1098" i="14" a="1"/>
  <c r="J1098" i="14" s="1"/>
  <c r="N1099" i="14"/>
  <c r="K935" i="14"/>
  <c r="L935" i="14" s="1"/>
  <c r="I936" i="14" s="1"/>
  <c r="K913" i="13" l="1"/>
  <c r="L913" i="13" s="1"/>
  <c r="I914" i="13" s="1"/>
  <c r="K936" i="14"/>
  <c r="L936" i="14" s="1"/>
  <c r="I937" i="14" s="1"/>
  <c r="M1103" i="13"/>
  <c r="N1101" i="13"/>
  <c r="J1100" i="13" a="1"/>
  <c r="J1100" i="13" s="1"/>
  <c r="N1100" i="14"/>
  <c r="J1099" i="14" a="1"/>
  <c r="J1099" i="14" s="1"/>
  <c r="M1104" i="14"/>
  <c r="K914" i="13" l="1"/>
  <c r="L914" i="13" s="1"/>
  <c r="I915" i="13" s="1"/>
  <c r="K937" i="14"/>
  <c r="L937" i="14" s="1"/>
  <c r="I938" i="14" s="1"/>
  <c r="N1101" i="14"/>
  <c r="J1100" i="14" a="1"/>
  <c r="J1100" i="14" s="1"/>
  <c r="M1104" i="13"/>
  <c r="M1105" i="14"/>
  <c r="N1102" i="13"/>
  <c r="J1101" i="13" a="1"/>
  <c r="J1101" i="13" s="1"/>
  <c r="K915" i="13" l="1"/>
  <c r="L915" i="13" s="1"/>
  <c r="I916" i="13" s="1"/>
  <c r="M1106" i="14"/>
  <c r="N1103" i="13"/>
  <c r="J1102" i="13" a="1"/>
  <c r="J1102" i="13" s="1"/>
  <c r="K938" i="14"/>
  <c r="L938" i="14" s="1"/>
  <c r="I939" i="14" s="1"/>
  <c r="M1105" i="13"/>
  <c r="J1101" i="14" a="1"/>
  <c r="J1101" i="14" s="1"/>
  <c r="N1102" i="14"/>
  <c r="K916" i="13" l="1"/>
  <c r="L916" i="13" s="1"/>
  <c r="I917" i="13" s="1"/>
  <c r="K939" i="14"/>
  <c r="L939" i="14" s="1"/>
  <c r="I940" i="14" s="1"/>
  <c r="J1102" i="14" a="1"/>
  <c r="J1102" i="14" s="1"/>
  <c r="N1103" i="14"/>
  <c r="M1107" i="14"/>
  <c r="M1106" i="13"/>
  <c r="N1104" i="13"/>
  <c r="J1103" i="13" a="1"/>
  <c r="J1103" i="13" s="1"/>
  <c r="K917" i="13" l="1"/>
  <c r="L917" i="13" s="1"/>
  <c r="I918" i="13" s="1"/>
  <c r="K940" i="14"/>
  <c r="L940" i="14" s="1"/>
  <c r="I941" i="14" s="1"/>
  <c r="N1105" i="13"/>
  <c r="J1104" i="13" a="1"/>
  <c r="J1104" i="13" s="1"/>
  <c r="M1108" i="14"/>
  <c r="M1107" i="13"/>
  <c r="N1104" i="14"/>
  <c r="J1103" i="14" a="1"/>
  <c r="J1103" i="14" s="1"/>
  <c r="K918" i="13" l="1"/>
  <c r="L918" i="13" s="1"/>
  <c r="I919" i="13" s="1"/>
  <c r="K941" i="14"/>
  <c r="L941" i="14" s="1"/>
  <c r="I942" i="14" s="1"/>
  <c r="M1108" i="13"/>
  <c r="N1105" i="14"/>
  <c r="J1104" i="14" a="1"/>
  <c r="J1104" i="14" s="1"/>
  <c r="M1109" i="14"/>
  <c r="N1106" i="13"/>
  <c r="J1105" i="13" a="1"/>
  <c r="J1105" i="13" s="1"/>
  <c r="K919" i="13" l="1"/>
  <c r="L919" i="13" s="1"/>
  <c r="I920" i="13" s="1"/>
  <c r="K942" i="14"/>
  <c r="L942" i="14" s="1"/>
  <c r="I943" i="14" s="1"/>
  <c r="N1107" i="13"/>
  <c r="J1106" i="13" a="1"/>
  <c r="J1106" i="13" s="1"/>
  <c r="J1105" i="14" a="1"/>
  <c r="J1105" i="14" s="1"/>
  <c r="N1106" i="14"/>
  <c r="M1109" i="13"/>
  <c r="M1110" i="14"/>
  <c r="K920" i="13" l="1"/>
  <c r="L920" i="13" s="1"/>
  <c r="I921" i="13" s="1"/>
  <c r="K943" i="14"/>
  <c r="L943" i="14" s="1"/>
  <c r="I944" i="14" s="1"/>
  <c r="M1110" i="13"/>
  <c r="M1111" i="14"/>
  <c r="J1106" i="14" a="1"/>
  <c r="J1106" i="14" s="1"/>
  <c r="N1107" i="14"/>
  <c r="N1108" i="13"/>
  <c r="J1107" i="13" a="1"/>
  <c r="J1107" i="13" s="1"/>
  <c r="K921" i="13" l="1"/>
  <c r="L921" i="13" s="1"/>
  <c r="I922" i="13" s="1"/>
  <c r="K944" i="14"/>
  <c r="L944" i="14" s="1"/>
  <c r="I945" i="14" s="1"/>
  <c r="M1112" i="14"/>
  <c r="N1109" i="13"/>
  <c r="J1108" i="13" a="1"/>
  <c r="J1108" i="13" s="1"/>
  <c r="N1108" i="14"/>
  <c r="J1107" i="14" a="1"/>
  <c r="J1107" i="14" s="1"/>
  <c r="M1111" i="13"/>
  <c r="K922" i="13" l="1"/>
  <c r="L922" i="13" s="1"/>
  <c r="I923" i="13" s="1"/>
  <c r="K945" i="14"/>
  <c r="L945" i="14" s="1"/>
  <c r="I946" i="14" s="1"/>
  <c r="M1112" i="13"/>
  <c r="N1110" i="13"/>
  <c r="J1109" i="13" a="1"/>
  <c r="J1109" i="13" s="1"/>
  <c r="N1109" i="14"/>
  <c r="J1108" i="14" a="1"/>
  <c r="J1108" i="14" s="1"/>
  <c r="M1113" i="14"/>
  <c r="K923" i="13" l="1"/>
  <c r="L923" i="13" s="1"/>
  <c r="I924" i="13" s="1"/>
  <c r="K946" i="14"/>
  <c r="L946" i="14" s="1"/>
  <c r="I947" i="14" s="1"/>
  <c r="M1114" i="14"/>
  <c r="N1111" i="13"/>
  <c r="J1110" i="13" a="1"/>
  <c r="J1110" i="13" s="1"/>
  <c r="M1113" i="13"/>
  <c r="J1109" i="14" a="1"/>
  <c r="J1109" i="14" s="1"/>
  <c r="N1110" i="14"/>
  <c r="K924" i="13" l="1"/>
  <c r="L924" i="13" s="1"/>
  <c r="I925" i="13" s="1"/>
  <c r="J1110" i="14" a="1"/>
  <c r="J1110" i="14" s="1"/>
  <c r="N1111" i="14"/>
  <c r="K947" i="14"/>
  <c r="L947" i="14" s="1"/>
  <c r="I948" i="14" s="1"/>
  <c r="N1112" i="13"/>
  <c r="J1111" i="13" a="1"/>
  <c r="J1111" i="13" s="1"/>
  <c r="M1114" i="13"/>
  <c r="M1115" i="14"/>
  <c r="K925" i="13" l="1"/>
  <c r="L925" i="13" s="1"/>
  <c r="I926" i="13" s="1"/>
  <c r="K948" i="14"/>
  <c r="L948" i="14" s="1"/>
  <c r="I949" i="14" s="1"/>
  <c r="N1112" i="14"/>
  <c r="J1111" i="14" a="1"/>
  <c r="J1111" i="14" s="1"/>
  <c r="N1113" i="13"/>
  <c r="J1112" i="13" a="1"/>
  <c r="J1112" i="13" s="1"/>
  <c r="M1115" i="13"/>
  <c r="M1116" i="14"/>
  <c r="K926" i="13" l="1"/>
  <c r="L926" i="13" s="1"/>
  <c r="I927" i="13" s="1"/>
  <c r="K949" i="14"/>
  <c r="L949" i="14" s="1"/>
  <c r="I950" i="14" s="1"/>
  <c r="N1114" i="13"/>
  <c r="J1113" i="13" a="1"/>
  <c r="J1113" i="13" s="1"/>
  <c r="M1117" i="14"/>
  <c r="M1116" i="13"/>
  <c r="N1113" i="14"/>
  <c r="J1112" i="14" a="1"/>
  <c r="J1112" i="14" s="1"/>
  <c r="K927" i="13" l="1"/>
  <c r="L927" i="13" s="1"/>
  <c r="I928" i="13" s="1"/>
  <c r="J1113" i="14" a="1"/>
  <c r="J1113" i="14" s="1"/>
  <c r="N1114" i="14"/>
  <c r="M1118" i="14"/>
  <c r="M1117" i="13"/>
  <c r="K950" i="14"/>
  <c r="L950" i="14" s="1"/>
  <c r="I951" i="14" s="1"/>
  <c r="N1115" i="13"/>
  <c r="J1114" i="13" a="1"/>
  <c r="J1114" i="13" s="1"/>
  <c r="K928" i="13" l="1"/>
  <c r="L928" i="13" s="1"/>
  <c r="I929" i="13" s="1"/>
  <c r="K951" i="14"/>
  <c r="L951" i="14" s="1"/>
  <c r="I952" i="14" s="1"/>
  <c r="M1119" i="14"/>
  <c r="N1116" i="13"/>
  <c r="J1115" i="13" a="1"/>
  <c r="J1115" i="13" s="1"/>
  <c r="M1118" i="13"/>
  <c r="J1114" i="14" a="1"/>
  <c r="J1114" i="14" s="1"/>
  <c r="N1115" i="14"/>
  <c r="K929" i="13" l="1"/>
  <c r="L929" i="13" s="1"/>
  <c r="I930" i="13" s="1"/>
  <c r="K952" i="14"/>
  <c r="L952" i="14" s="1"/>
  <c r="I953" i="14" s="1"/>
  <c r="N1116" i="14"/>
  <c r="J1115" i="14" a="1"/>
  <c r="J1115" i="14" s="1"/>
  <c r="N1117" i="13"/>
  <c r="J1116" i="13" a="1"/>
  <c r="J1116" i="13" s="1"/>
  <c r="M1119" i="13"/>
  <c r="M1120" i="14"/>
  <c r="K930" i="13" l="1"/>
  <c r="L930" i="13" s="1"/>
  <c r="I931" i="13" s="1"/>
  <c r="K953" i="14"/>
  <c r="L953" i="14" s="1"/>
  <c r="I954" i="14" s="1"/>
  <c r="N1118" i="13"/>
  <c r="J1117" i="13" a="1"/>
  <c r="J1117" i="13" s="1"/>
  <c r="M1121" i="14"/>
  <c r="M1120" i="13"/>
  <c r="N1117" i="14"/>
  <c r="J1116" i="14" a="1"/>
  <c r="J1116" i="14" s="1"/>
  <c r="K931" i="13" l="1"/>
  <c r="L931" i="13" s="1"/>
  <c r="I932" i="13" s="1"/>
  <c r="K954" i="14"/>
  <c r="L954" i="14" s="1"/>
  <c r="I955" i="14" s="1"/>
  <c r="J1117" i="14" a="1"/>
  <c r="J1117" i="14" s="1"/>
  <c r="N1118" i="14"/>
  <c r="M1122" i="14"/>
  <c r="M1121" i="13"/>
  <c r="N1119" i="13"/>
  <c r="J1118" i="13" a="1"/>
  <c r="J1118" i="13" s="1"/>
  <c r="K932" i="13" l="1"/>
  <c r="L932" i="13" s="1"/>
  <c r="I933" i="13" s="1"/>
  <c r="K955" i="14"/>
  <c r="L955" i="14" s="1"/>
  <c r="I956" i="14" s="1"/>
  <c r="M1123" i="14"/>
  <c r="M1122" i="13"/>
  <c r="N1120" i="13"/>
  <c r="J1119" i="13" a="1"/>
  <c r="J1119" i="13" s="1"/>
  <c r="J1118" i="14" a="1"/>
  <c r="J1118" i="14" s="1"/>
  <c r="N1119" i="14"/>
  <c r="K933" i="13" l="1"/>
  <c r="L933" i="13" s="1"/>
  <c r="I934" i="13" s="1"/>
  <c r="N1120" i="14"/>
  <c r="J1119" i="14" a="1"/>
  <c r="J1119" i="14" s="1"/>
  <c r="M1123" i="13"/>
  <c r="K956" i="14"/>
  <c r="L956" i="14" s="1"/>
  <c r="I957" i="14" s="1"/>
  <c r="M1124" i="14"/>
  <c r="N1121" i="13"/>
  <c r="J1120" i="13" a="1"/>
  <c r="J1120" i="13" s="1"/>
  <c r="K934" i="13" l="1"/>
  <c r="L934" i="13" s="1"/>
  <c r="I935" i="13" s="1"/>
  <c r="K957" i="14"/>
  <c r="L957" i="14" s="1"/>
  <c r="I958" i="14" s="1"/>
  <c r="N1121" i="14"/>
  <c r="J1120" i="14" a="1"/>
  <c r="J1120" i="14" s="1"/>
  <c r="N1122" i="13"/>
  <c r="J1121" i="13" a="1"/>
  <c r="J1121" i="13" s="1"/>
  <c r="M1124" i="13"/>
  <c r="M1125" i="14"/>
  <c r="K935" i="13" l="1"/>
  <c r="L935" i="13" s="1"/>
  <c r="I936" i="13" s="1"/>
  <c r="K958" i="14"/>
  <c r="L958" i="14" s="1"/>
  <c r="I959" i="14" s="1"/>
  <c r="N1123" i="13"/>
  <c r="J1122" i="13" a="1"/>
  <c r="J1122" i="13" s="1"/>
  <c r="M1126" i="14"/>
  <c r="M1125" i="13"/>
  <c r="J1121" i="14" a="1"/>
  <c r="J1121" i="14" s="1"/>
  <c r="N1122" i="14"/>
  <c r="K936" i="13" l="1"/>
  <c r="L936" i="13" s="1"/>
  <c r="I937" i="13" s="1"/>
  <c r="K959" i="14"/>
  <c r="L959" i="14" s="1"/>
  <c r="I960" i="14" s="1"/>
  <c r="M1127" i="14"/>
  <c r="M1126" i="13"/>
  <c r="J1122" i="14" a="1"/>
  <c r="J1122" i="14" s="1"/>
  <c r="N1123" i="14"/>
  <c r="N1124" i="13"/>
  <c r="J1123" i="13" a="1"/>
  <c r="J1123" i="13" s="1"/>
  <c r="K937" i="13" l="1"/>
  <c r="L937" i="13" s="1"/>
  <c r="I938" i="13" s="1"/>
  <c r="K960" i="14"/>
  <c r="L960" i="14" s="1"/>
  <c r="I961" i="14" s="1"/>
  <c r="M1127" i="13"/>
  <c r="N1125" i="13"/>
  <c r="J1124" i="13" a="1"/>
  <c r="J1124" i="13" s="1"/>
  <c r="M1128" i="14"/>
  <c r="N1124" i="14"/>
  <c r="J1123" i="14" a="1"/>
  <c r="J1123" i="14" s="1"/>
  <c r="K938" i="13" l="1"/>
  <c r="L938" i="13" s="1"/>
  <c r="I939" i="13" s="1"/>
  <c r="K961" i="14"/>
  <c r="L961" i="14" s="1"/>
  <c r="I962" i="14" s="1"/>
  <c r="N1126" i="13"/>
  <c r="J1125" i="13" a="1"/>
  <c r="J1125" i="13" s="1"/>
  <c r="M1128" i="13"/>
  <c r="N1125" i="14"/>
  <c r="J1124" i="14" a="1"/>
  <c r="J1124" i="14" s="1"/>
  <c r="M1129" i="14"/>
  <c r="K939" i="13" l="1"/>
  <c r="L939" i="13" s="1"/>
  <c r="I940" i="13" s="1"/>
  <c r="K962" i="14"/>
  <c r="L962" i="14" s="1"/>
  <c r="I963" i="14" s="1"/>
  <c r="J1125" i="14" a="1"/>
  <c r="J1125" i="14" s="1"/>
  <c r="N1126" i="14"/>
  <c r="M1130" i="14"/>
  <c r="M1129" i="13"/>
  <c r="N1127" i="13"/>
  <c r="J1126" i="13" a="1"/>
  <c r="J1126" i="13" s="1"/>
  <c r="K940" i="13" l="1"/>
  <c r="L940" i="13" s="1"/>
  <c r="I941" i="13" s="1"/>
  <c r="K963" i="14"/>
  <c r="L963" i="14" s="1"/>
  <c r="I964" i="14" s="1"/>
  <c r="M1131" i="14"/>
  <c r="N1128" i="13"/>
  <c r="J1127" i="13" a="1"/>
  <c r="J1127" i="13" s="1"/>
  <c r="J1126" i="14" a="1"/>
  <c r="J1126" i="14" s="1"/>
  <c r="N1127" i="14"/>
  <c r="M1130" i="13"/>
  <c r="K941" i="13" l="1"/>
  <c r="L941" i="13" s="1"/>
  <c r="I942" i="13" s="1"/>
  <c r="N1129" i="13"/>
  <c r="J1128" i="13" a="1"/>
  <c r="J1128" i="13" s="1"/>
  <c r="M1131" i="13"/>
  <c r="N1128" i="14"/>
  <c r="J1127" i="14" a="1"/>
  <c r="J1127" i="14" s="1"/>
  <c r="M1132" i="14"/>
  <c r="K964" i="14"/>
  <c r="L964" i="14" s="1"/>
  <c r="I965" i="14" s="1"/>
  <c r="K942" i="13" l="1"/>
  <c r="L942" i="13" s="1"/>
  <c r="I943" i="13" s="1"/>
  <c r="K965" i="14"/>
  <c r="L965" i="14" s="1"/>
  <c r="I966" i="14" s="1"/>
  <c r="N1130" i="13"/>
  <c r="J1129" i="13" a="1"/>
  <c r="J1129" i="13" s="1"/>
  <c r="N1129" i="14"/>
  <c r="J1128" i="14" a="1"/>
  <c r="J1128" i="14" s="1"/>
  <c r="M1132" i="13"/>
  <c r="M1133" i="14"/>
  <c r="K943" i="13" l="1"/>
  <c r="L943" i="13" s="1"/>
  <c r="I944" i="13" s="1"/>
  <c r="M1134" i="14"/>
  <c r="J1129" i="14" a="1"/>
  <c r="J1129" i="14" s="1"/>
  <c r="N1130" i="14"/>
  <c r="M1133" i="13"/>
  <c r="N1131" i="13"/>
  <c r="J1130" i="13" a="1"/>
  <c r="J1130" i="13" s="1"/>
  <c r="K966" i="14"/>
  <c r="L966" i="14" s="1"/>
  <c r="I967" i="14" s="1"/>
  <c r="K944" i="13" l="1"/>
  <c r="L944" i="13" s="1"/>
  <c r="I945" i="13" s="1"/>
  <c r="N1132" i="13"/>
  <c r="J1131" i="13" a="1"/>
  <c r="J1131" i="13" s="1"/>
  <c r="M1134" i="13"/>
  <c r="K967" i="14"/>
  <c r="L967" i="14" s="1"/>
  <c r="I968" i="14" s="1"/>
  <c r="M1135" i="14"/>
  <c r="J1130" i="14" a="1"/>
  <c r="J1130" i="14" s="1"/>
  <c r="N1131" i="14"/>
  <c r="K945" i="13" l="1"/>
  <c r="L945" i="13" s="1"/>
  <c r="I946" i="13" s="1"/>
  <c r="K968" i="14"/>
  <c r="L968" i="14" s="1"/>
  <c r="I969" i="14" s="1"/>
  <c r="N1133" i="13"/>
  <c r="J1132" i="13" a="1"/>
  <c r="J1132" i="13" s="1"/>
  <c r="N1132" i="14"/>
  <c r="J1131" i="14" a="1"/>
  <c r="J1131" i="14" s="1"/>
  <c r="M1136" i="14"/>
  <c r="M1135" i="13"/>
  <c r="K946" i="13" l="1"/>
  <c r="L946" i="13" s="1"/>
  <c r="I947" i="13" s="1"/>
  <c r="K969" i="14"/>
  <c r="L969" i="14" s="1"/>
  <c r="I970" i="14" s="1"/>
  <c r="N1133" i="14"/>
  <c r="J1132" i="14" a="1"/>
  <c r="J1132" i="14" s="1"/>
  <c r="M1136" i="13"/>
  <c r="M1137" i="14"/>
  <c r="N1134" i="13"/>
  <c r="J1133" i="13" a="1"/>
  <c r="J1133" i="13" s="1"/>
  <c r="K947" i="13" l="1"/>
  <c r="L947" i="13" s="1"/>
  <c r="I948" i="13" s="1"/>
  <c r="K970" i="14"/>
  <c r="L970" i="14" s="1"/>
  <c r="I971" i="14" s="1"/>
  <c r="N1135" i="13"/>
  <c r="J1134" i="13" a="1"/>
  <c r="J1134" i="13" s="1"/>
  <c r="M1137" i="13"/>
  <c r="M1138" i="14"/>
  <c r="J1133" i="14" a="1"/>
  <c r="J1133" i="14" s="1"/>
  <c r="N1134" i="14"/>
  <c r="K948" i="13" l="1"/>
  <c r="L948" i="13" s="1"/>
  <c r="I949" i="13" s="1"/>
  <c r="K971" i="14"/>
  <c r="L971" i="14" s="1"/>
  <c r="I972" i="14" s="1"/>
  <c r="J1134" i="14" a="1"/>
  <c r="J1134" i="14" s="1"/>
  <c r="N1135" i="14"/>
  <c r="M1138" i="13"/>
  <c r="M1139" i="14"/>
  <c r="N1136" i="13"/>
  <c r="J1135" i="13" a="1"/>
  <c r="J1135" i="13" s="1"/>
  <c r="K949" i="13" l="1"/>
  <c r="L949" i="13" s="1"/>
  <c r="I950" i="13" s="1"/>
  <c r="K972" i="14"/>
  <c r="L972" i="14" s="1"/>
  <c r="I973" i="14" s="1"/>
  <c r="N1137" i="13"/>
  <c r="J1136" i="13" a="1"/>
  <c r="J1136" i="13" s="1"/>
  <c r="M1139" i="13"/>
  <c r="M1140" i="14"/>
  <c r="N1136" i="14"/>
  <c r="J1135" i="14" a="1"/>
  <c r="J1135" i="14" s="1"/>
  <c r="K950" i="13" l="1"/>
  <c r="L950" i="13" s="1"/>
  <c r="I951" i="13" s="1"/>
  <c r="K973" i="14"/>
  <c r="L973" i="14" s="1"/>
  <c r="I974" i="14" s="1"/>
  <c r="N1137" i="14"/>
  <c r="J1136" i="14" a="1"/>
  <c r="J1136" i="14" s="1"/>
  <c r="M1140" i="13"/>
  <c r="M1141" i="14"/>
  <c r="N1138" i="13"/>
  <c r="J1137" i="13" a="1"/>
  <c r="J1137" i="13" s="1"/>
  <c r="K951" i="13" l="1"/>
  <c r="L951" i="13" s="1"/>
  <c r="I952" i="13" s="1"/>
  <c r="K974" i="14"/>
  <c r="L974" i="14" s="1"/>
  <c r="I975" i="14" s="1"/>
  <c r="N1139" i="13"/>
  <c r="J1138" i="13" a="1"/>
  <c r="J1138" i="13" s="1"/>
  <c r="M1142" i="14"/>
  <c r="M1141" i="13"/>
  <c r="J1137" i="14" a="1"/>
  <c r="J1137" i="14" s="1"/>
  <c r="N1138" i="14"/>
  <c r="K952" i="13" l="1"/>
  <c r="L952" i="13" s="1"/>
  <c r="I953" i="13" s="1"/>
  <c r="K975" i="14"/>
  <c r="L975" i="14" s="1"/>
  <c r="I976" i="14" s="1"/>
  <c r="M1143" i="14"/>
  <c r="N1140" i="13"/>
  <c r="J1139" i="13" a="1"/>
  <c r="J1139" i="13" s="1"/>
  <c r="M1142" i="13"/>
  <c r="J1138" i="14" a="1"/>
  <c r="J1138" i="14" s="1"/>
  <c r="N1139" i="14"/>
  <c r="K953" i="13" l="1"/>
  <c r="L953" i="13" s="1"/>
  <c r="I954" i="13" s="1"/>
  <c r="K976" i="14"/>
  <c r="L976" i="14" s="1"/>
  <c r="I977" i="14" s="1"/>
  <c r="N1141" i="13"/>
  <c r="J1140" i="13" a="1"/>
  <c r="J1140" i="13" s="1"/>
  <c r="M1143" i="13"/>
  <c r="M1144" i="14"/>
  <c r="N1140" i="14"/>
  <c r="J1139" i="14" a="1"/>
  <c r="J1139" i="14" s="1"/>
  <c r="K954" i="13" l="1"/>
  <c r="L954" i="13" s="1"/>
  <c r="I955" i="13" s="1"/>
  <c r="K977" i="14"/>
  <c r="L977" i="14" s="1"/>
  <c r="I978" i="14" s="1"/>
  <c r="M1144" i="13"/>
  <c r="N1141" i="14"/>
  <c r="J1140" i="14" a="1"/>
  <c r="J1140" i="14" s="1"/>
  <c r="M1145" i="14"/>
  <c r="N1142" i="13"/>
  <c r="J1141" i="13" a="1"/>
  <c r="J1141" i="13" s="1"/>
  <c r="K955" i="13" l="1"/>
  <c r="L955" i="13" s="1"/>
  <c r="I956" i="13" s="1"/>
  <c r="K978" i="14"/>
  <c r="L978" i="14" s="1"/>
  <c r="I979" i="14" s="1"/>
  <c r="J1141" i="14" a="1"/>
  <c r="J1141" i="14" s="1"/>
  <c r="N1142" i="14"/>
  <c r="N1143" i="13"/>
  <c r="J1142" i="13" a="1"/>
  <c r="J1142" i="13" s="1"/>
  <c r="M1145" i="13"/>
  <c r="M1146" i="14"/>
  <c r="K956" i="13" l="1"/>
  <c r="L956" i="13" s="1"/>
  <c r="I957" i="13" s="1"/>
  <c r="K979" i="14"/>
  <c r="L979" i="14" s="1"/>
  <c r="I980" i="14" s="1"/>
  <c r="M1146" i="13"/>
  <c r="J1142" i="14" a="1"/>
  <c r="J1142" i="14" s="1"/>
  <c r="N1143" i="14"/>
  <c r="M1147" i="14"/>
  <c r="N1144" i="13"/>
  <c r="J1143" i="13" a="1"/>
  <c r="J1143" i="13" s="1"/>
  <c r="K957" i="13" l="1"/>
  <c r="L957" i="13" s="1"/>
  <c r="I958" i="13" s="1"/>
  <c r="K980" i="14"/>
  <c r="L980" i="14" s="1"/>
  <c r="I981" i="14" s="1"/>
  <c r="N1144" i="14"/>
  <c r="J1143" i="14" a="1"/>
  <c r="J1143" i="14" s="1"/>
  <c r="N1145" i="13"/>
  <c r="J1144" i="13" a="1"/>
  <c r="J1144" i="13" s="1"/>
  <c r="M1148" i="14"/>
  <c r="M1147" i="13"/>
  <c r="K958" i="13" l="1"/>
  <c r="L958" i="13" s="1"/>
  <c r="I959" i="13" s="1"/>
  <c r="K981" i="14"/>
  <c r="L981" i="14" s="1"/>
  <c r="I982" i="14" s="1"/>
  <c r="N1146" i="13"/>
  <c r="J1145" i="13" a="1"/>
  <c r="J1145" i="13" s="1"/>
  <c r="M1148" i="13"/>
  <c r="M1149" i="14"/>
  <c r="N1145" i="14"/>
  <c r="J1144" i="14" a="1"/>
  <c r="J1144" i="14" s="1"/>
  <c r="K959" i="13" l="1"/>
  <c r="L959" i="13" s="1"/>
  <c r="I960" i="13" s="1"/>
  <c r="M1149" i="13"/>
  <c r="K982" i="14"/>
  <c r="L982" i="14" s="1"/>
  <c r="I983" i="14" s="1"/>
  <c r="J1145" i="14" a="1"/>
  <c r="J1145" i="14" s="1"/>
  <c r="N1146" i="14"/>
  <c r="M1150" i="14"/>
  <c r="N1147" i="13"/>
  <c r="J1146" i="13" a="1"/>
  <c r="J1146" i="13" s="1"/>
  <c r="K960" i="13" l="1"/>
  <c r="L960" i="13" s="1"/>
  <c r="I961" i="13" s="1"/>
  <c r="K983" i="14"/>
  <c r="L983" i="14" s="1"/>
  <c r="I984" i="14" s="1"/>
  <c r="J1146" i="14" a="1"/>
  <c r="J1146" i="14" s="1"/>
  <c r="N1147" i="14"/>
  <c r="M1150" i="13"/>
  <c r="N1148" i="13"/>
  <c r="J1147" i="13" a="1"/>
  <c r="J1147" i="13" s="1"/>
  <c r="M1151" i="14"/>
  <c r="K961" i="13" l="1"/>
  <c r="L961" i="13" s="1"/>
  <c r="I962" i="13" s="1"/>
  <c r="M1152" i="14"/>
  <c r="M1151" i="13"/>
  <c r="N1149" i="13"/>
  <c r="J1148" i="13" a="1"/>
  <c r="J1148" i="13" s="1"/>
  <c r="N1148" i="14"/>
  <c r="J1147" i="14" a="1"/>
  <c r="J1147" i="14" s="1"/>
  <c r="K984" i="14"/>
  <c r="L984" i="14" s="1"/>
  <c r="I985" i="14" s="1"/>
  <c r="K962" i="13" l="1"/>
  <c r="L962" i="13" s="1"/>
  <c r="I963" i="13" s="1"/>
  <c r="K985" i="14"/>
  <c r="L985" i="14" s="1"/>
  <c r="I986" i="14" s="1"/>
  <c r="N1150" i="13"/>
  <c r="J1149" i="13" a="1"/>
  <c r="J1149" i="13" s="1"/>
  <c r="M1153" i="14"/>
  <c r="M1152" i="13"/>
  <c r="N1149" i="14"/>
  <c r="J1148" i="14" a="1"/>
  <c r="J1148" i="14" s="1"/>
  <c r="K963" i="13" l="1"/>
  <c r="L963" i="13" s="1"/>
  <c r="I964" i="13" s="1"/>
  <c r="K986" i="14"/>
  <c r="L986" i="14" s="1"/>
  <c r="I987" i="14" s="1"/>
  <c r="J1149" i="14" a="1"/>
  <c r="J1149" i="14" s="1"/>
  <c r="N1150" i="14"/>
  <c r="M1154" i="14"/>
  <c r="M1153" i="13"/>
  <c r="N1151" i="13"/>
  <c r="J1150" i="13" a="1"/>
  <c r="J1150" i="13" s="1"/>
  <c r="K964" i="13" l="1"/>
  <c r="L964" i="13" s="1"/>
  <c r="I965" i="13" s="1"/>
  <c r="K987" i="14"/>
  <c r="L987" i="14" s="1"/>
  <c r="I988" i="14" s="1"/>
  <c r="M1155" i="14"/>
  <c r="N1152" i="13"/>
  <c r="J1151" i="13" a="1"/>
  <c r="J1151" i="13" s="1"/>
  <c r="M1154" i="13"/>
  <c r="J1150" i="14" a="1"/>
  <c r="J1150" i="14" s="1"/>
  <c r="N1151" i="14"/>
  <c r="K965" i="13" l="1"/>
  <c r="L965" i="13" s="1"/>
  <c r="I966" i="13" s="1"/>
  <c r="K988" i="14"/>
  <c r="L988" i="14" s="1"/>
  <c r="I989" i="14" s="1"/>
  <c r="N1153" i="13"/>
  <c r="J1152" i="13" a="1"/>
  <c r="J1152" i="13" s="1"/>
  <c r="M1155" i="13"/>
  <c r="M1156" i="14"/>
  <c r="N1152" i="14"/>
  <c r="J1151" i="14" a="1"/>
  <c r="J1151" i="14" s="1"/>
  <c r="K966" i="13" l="1"/>
  <c r="L966" i="13" s="1"/>
  <c r="I967" i="13" s="1"/>
  <c r="K989" i="14"/>
  <c r="L989" i="14" s="1"/>
  <c r="I990" i="14" s="1"/>
  <c r="M1156" i="13"/>
  <c r="N1153" i="14"/>
  <c r="J1152" i="14" a="1"/>
  <c r="J1152" i="14" s="1"/>
  <c r="M1157" i="14"/>
  <c r="N1154" i="13"/>
  <c r="J1153" i="13" a="1"/>
  <c r="J1153" i="13" s="1"/>
  <c r="K967" i="13" l="1"/>
  <c r="L967" i="13" s="1"/>
  <c r="I968" i="13" s="1"/>
  <c r="K990" i="14"/>
  <c r="L990" i="14" s="1"/>
  <c r="I991" i="14" s="1"/>
  <c r="N1155" i="13"/>
  <c r="J1154" i="13" a="1"/>
  <c r="J1154" i="13" s="1"/>
  <c r="J1153" i="14" a="1"/>
  <c r="J1153" i="14" s="1"/>
  <c r="N1154" i="14"/>
  <c r="M1157" i="13"/>
  <c r="M1158" i="14"/>
  <c r="K968" i="13" l="1"/>
  <c r="L968" i="13" s="1"/>
  <c r="I969" i="13" s="1"/>
  <c r="K991" i="14"/>
  <c r="L991" i="14" s="1"/>
  <c r="I992" i="14" s="1"/>
  <c r="J1154" i="14" a="1"/>
  <c r="J1154" i="14" s="1"/>
  <c r="N1155" i="14"/>
  <c r="M1158" i="13"/>
  <c r="M1159" i="14"/>
  <c r="N1156" i="13"/>
  <c r="J1155" i="13" a="1"/>
  <c r="J1155" i="13" s="1"/>
  <c r="K969" i="13" l="1"/>
  <c r="L969" i="13" s="1"/>
  <c r="I970" i="13" s="1"/>
  <c r="K992" i="14"/>
  <c r="L992" i="14" s="1"/>
  <c r="I993" i="14" s="1"/>
  <c r="M1160" i="14"/>
  <c r="M1159" i="13"/>
  <c r="N1157" i="13"/>
  <c r="J1156" i="13" a="1"/>
  <c r="J1156" i="13" s="1"/>
  <c r="N1156" i="14"/>
  <c r="J1155" i="14" a="1"/>
  <c r="J1155" i="14" s="1"/>
  <c r="K970" i="13" l="1"/>
  <c r="L970" i="13" s="1"/>
  <c r="I971" i="13" s="1"/>
  <c r="M1160" i="13"/>
  <c r="N1157" i="14"/>
  <c r="J1156" i="14" a="1"/>
  <c r="J1156" i="14" s="1"/>
  <c r="K993" i="14"/>
  <c r="L993" i="14" s="1"/>
  <c r="I994" i="14" s="1"/>
  <c r="N1158" i="13"/>
  <c r="J1157" i="13" a="1"/>
  <c r="J1157" i="13" s="1"/>
  <c r="M1161" i="14"/>
  <c r="K971" i="13" l="1"/>
  <c r="L971" i="13" s="1"/>
  <c r="I972" i="13" s="1"/>
  <c r="K994" i="14"/>
  <c r="L994" i="14" s="1"/>
  <c r="I995" i="14" s="1"/>
  <c r="M1161" i="13"/>
  <c r="M1162" i="14"/>
  <c r="N1159" i="13"/>
  <c r="J1158" i="13" a="1"/>
  <c r="J1158" i="13" s="1"/>
  <c r="J1157" i="14" a="1"/>
  <c r="J1157" i="14" s="1"/>
  <c r="N1158" i="14"/>
  <c r="K972" i="13" l="1"/>
  <c r="L972" i="13" s="1"/>
  <c r="I973" i="13" s="1"/>
  <c r="K995" i="14"/>
  <c r="L995" i="14" s="1"/>
  <c r="I996" i="14" s="1"/>
  <c r="M1163" i="14"/>
  <c r="M1162" i="13"/>
  <c r="J1158" i="14" a="1"/>
  <c r="J1158" i="14" s="1"/>
  <c r="N1159" i="14"/>
  <c r="N1160" i="13"/>
  <c r="J1159" i="13" a="1"/>
  <c r="J1159" i="13" s="1"/>
  <c r="K973" i="13" l="1"/>
  <c r="L973" i="13" s="1"/>
  <c r="I974" i="13" s="1"/>
  <c r="K996" i="14"/>
  <c r="L996" i="14" s="1"/>
  <c r="I997" i="14" s="1"/>
  <c r="M1163" i="13"/>
  <c r="N1161" i="13"/>
  <c r="J1160" i="13" a="1"/>
  <c r="J1160" i="13" s="1"/>
  <c r="N1160" i="14"/>
  <c r="J1159" i="14" a="1"/>
  <c r="J1159" i="14" s="1"/>
  <c r="M1164" i="14"/>
  <c r="K974" i="13" l="1"/>
  <c r="L974" i="13" s="1"/>
  <c r="I975" i="13" s="1"/>
  <c r="K997" i="14"/>
  <c r="L997" i="14" s="1"/>
  <c r="I998" i="14" s="1"/>
  <c r="N1162" i="13"/>
  <c r="J1161" i="13" a="1"/>
  <c r="J1161" i="13" s="1"/>
  <c r="M1164" i="13"/>
  <c r="M1165" i="14"/>
  <c r="N1161" i="14"/>
  <c r="J1160" i="14" a="1"/>
  <c r="J1160" i="14" s="1"/>
  <c r="K975" i="13" l="1"/>
  <c r="L975" i="13" s="1"/>
  <c r="I976" i="13" s="1"/>
  <c r="K998" i="14"/>
  <c r="L998" i="14" s="1"/>
  <c r="I999" i="14" s="1"/>
  <c r="M1165" i="13"/>
  <c r="J1161" i="14" a="1"/>
  <c r="J1161" i="14" s="1"/>
  <c r="N1162" i="14"/>
  <c r="N1163" i="13"/>
  <c r="J1162" i="13" a="1"/>
  <c r="J1162" i="13" s="1"/>
  <c r="M1166" i="14"/>
  <c r="K976" i="13" l="1"/>
  <c r="L976" i="13" s="1"/>
  <c r="I977" i="13" s="1"/>
  <c r="K999" i="14"/>
  <c r="L999" i="14" s="1"/>
  <c r="I1000" i="14" s="1"/>
  <c r="M1166" i="13"/>
  <c r="J1162" i="14" a="1"/>
  <c r="J1162" i="14" s="1"/>
  <c r="N1163" i="14"/>
  <c r="M1167" i="14"/>
  <c r="N1164" i="13"/>
  <c r="J1163" i="13" a="1"/>
  <c r="J1163" i="13" s="1"/>
  <c r="K977" i="13" l="1"/>
  <c r="L977" i="13" s="1"/>
  <c r="I978" i="13" s="1"/>
  <c r="K1000" i="14"/>
  <c r="L1000" i="14" s="1"/>
  <c r="I1001" i="14" s="1"/>
  <c r="N1164" i="14"/>
  <c r="J1163" i="14" a="1"/>
  <c r="J1163" i="14" s="1"/>
  <c r="N1165" i="13"/>
  <c r="J1164" i="13" a="1"/>
  <c r="J1164" i="13" s="1"/>
  <c r="M1168" i="14"/>
  <c r="M1167" i="13"/>
  <c r="K978" i="13" l="1"/>
  <c r="L978" i="13" s="1"/>
  <c r="I979" i="13" s="1"/>
  <c r="K1001" i="14"/>
  <c r="L1001" i="14" s="1"/>
  <c r="I1002" i="14" s="1"/>
  <c r="M1168" i="13"/>
  <c r="N1166" i="13"/>
  <c r="J1165" i="13" a="1"/>
  <c r="J1165" i="13" s="1"/>
  <c r="M1169" i="14"/>
  <c r="N1165" i="14"/>
  <c r="J1164" i="14" a="1"/>
  <c r="J1164" i="14" s="1"/>
  <c r="K979" i="13" l="1"/>
  <c r="L979" i="13" s="1"/>
  <c r="I980" i="13" s="1"/>
  <c r="K1002" i="14"/>
  <c r="L1002" i="14" s="1"/>
  <c r="I1003" i="14" s="1"/>
  <c r="N1167" i="13"/>
  <c r="J1166" i="13" a="1"/>
  <c r="J1166" i="13" s="1"/>
  <c r="M1169" i="13"/>
  <c r="J1165" i="14" a="1"/>
  <c r="J1165" i="14" s="1"/>
  <c r="N1166" i="14"/>
  <c r="M1170" i="14"/>
  <c r="K980" i="13" l="1"/>
  <c r="L980" i="13" s="1"/>
  <c r="I981" i="13" s="1"/>
  <c r="K1003" i="14"/>
  <c r="L1003" i="14" s="1"/>
  <c r="I1004" i="14" s="1"/>
  <c r="J1166" i="14" a="1"/>
  <c r="J1166" i="14" s="1"/>
  <c r="N1167" i="14"/>
  <c r="M1170" i="13"/>
  <c r="M1171" i="14"/>
  <c r="N1168" i="13"/>
  <c r="J1167" i="13" a="1"/>
  <c r="J1167" i="13" s="1"/>
  <c r="K981" i="13" l="1"/>
  <c r="L981" i="13" s="1"/>
  <c r="I982" i="13" s="1"/>
  <c r="K1004" i="14"/>
  <c r="L1004" i="14" s="1"/>
  <c r="I1005" i="14" s="1"/>
  <c r="J1167" i="14" a="1"/>
  <c r="J1167" i="14" s="1"/>
  <c r="N1168" i="14"/>
  <c r="M1171" i="13"/>
  <c r="M1172" i="14"/>
  <c r="N1169" i="13"/>
  <c r="J1168" i="13" a="1"/>
  <c r="J1168" i="13" s="1"/>
  <c r="K982" i="13" l="1"/>
  <c r="L982" i="13" s="1"/>
  <c r="I983" i="13" s="1"/>
  <c r="K1005" i="14"/>
  <c r="L1005" i="14" s="1"/>
  <c r="I1006" i="14" s="1"/>
  <c r="M1172" i="13"/>
  <c r="N1170" i="13"/>
  <c r="J1169" i="13" a="1"/>
  <c r="J1169" i="13" s="1"/>
  <c r="N1169" i="14"/>
  <c r="J1168" i="14" a="1"/>
  <c r="J1168" i="14" s="1"/>
  <c r="M1173" i="14"/>
  <c r="K983" i="13" l="1"/>
  <c r="L983" i="13" s="1"/>
  <c r="I984" i="13" s="1"/>
  <c r="K1006" i="14"/>
  <c r="L1006" i="14" s="1"/>
  <c r="I1007" i="14" s="1"/>
  <c r="M1174" i="14"/>
  <c r="N1171" i="13"/>
  <c r="J1170" i="13" a="1"/>
  <c r="J1170" i="13" s="1"/>
  <c r="M1173" i="13"/>
  <c r="J1169" i="14" a="1"/>
  <c r="J1169" i="14" s="1"/>
  <c r="N1170" i="14"/>
  <c r="K984" i="13" l="1"/>
  <c r="L984" i="13" s="1"/>
  <c r="I985" i="13" s="1"/>
  <c r="K1007" i="14"/>
  <c r="L1007" i="14" s="1"/>
  <c r="I1008" i="14" s="1"/>
  <c r="J1170" i="14" a="1"/>
  <c r="J1170" i="14" s="1"/>
  <c r="N1171" i="14"/>
  <c r="N1172" i="13"/>
  <c r="J1171" i="13" a="1"/>
  <c r="J1171" i="13" s="1"/>
  <c r="M1174" i="13"/>
  <c r="M1175" i="14"/>
  <c r="K985" i="13" l="1"/>
  <c r="L985" i="13" s="1"/>
  <c r="I986" i="13" s="1"/>
  <c r="K1008" i="14"/>
  <c r="L1008" i="14" s="1"/>
  <c r="I1009" i="14" s="1"/>
  <c r="N1173" i="13"/>
  <c r="J1172" i="13" a="1"/>
  <c r="J1172" i="13" s="1"/>
  <c r="M1176" i="14"/>
  <c r="M1175" i="13"/>
  <c r="N1172" i="14"/>
  <c r="J1171" i="14" a="1"/>
  <c r="J1171" i="14" s="1"/>
  <c r="K986" i="13" l="1"/>
  <c r="L986" i="13" s="1"/>
  <c r="I987" i="13" s="1"/>
  <c r="K1009" i="14"/>
  <c r="L1009" i="14" s="1"/>
  <c r="I1010" i="14" s="1"/>
  <c r="N1173" i="14"/>
  <c r="J1172" i="14" a="1"/>
  <c r="J1172" i="14" s="1"/>
  <c r="M1177" i="14"/>
  <c r="M1176" i="13"/>
  <c r="N1174" i="13"/>
  <c r="J1173" i="13" a="1"/>
  <c r="J1173" i="13" s="1"/>
  <c r="K987" i="13" l="1"/>
  <c r="L987" i="13" s="1"/>
  <c r="I988" i="13" s="1"/>
  <c r="K1010" i="14"/>
  <c r="L1010" i="14" s="1"/>
  <c r="I1011" i="14" s="1"/>
  <c r="N1175" i="13"/>
  <c r="J1174" i="13" a="1"/>
  <c r="J1174" i="13" s="1"/>
  <c r="M1178" i="14"/>
  <c r="J1173" i="14" a="1"/>
  <c r="J1173" i="14" s="1"/>
  <c r="N1174" i="14"/>
  <c r="M1177" i="13"/>
  <c r="K988" i="13" l="1"/>
  <c r="L988" i="13" s="1"/>
  <c r="I989" i="13" s="1"/>
  <c r="K1011" i="14"/>
  <c r="L1011" i="14" s="1"/>
  <c r="I1012" i="14" s="1"/>
  <c r="M1179" i="14"/>
  <c r="J1174" i="14" a="1"/>
  <c r="J1174" i="14" s="1"/>
  <c r="N1175" i="14"/>
  <c r="M1178" i="13"/>
  <c r="N1176" i="13"/>
  <c r="J1175" i="13" a="1"/>
  <c r="J1175" i="13" s="1"/>
  <c r="K989" i="13" l="1"/>
  <c r="L989" i="13" s="1"/>
  <c r="I990" i="13" s="1"/>
  <c r="K1012" i="14"/>
  <c r="L1012" i="14" s="1"/>
  <c r="I1013" i="14" s="1"/>
  <c r="N1177" i="13"/>
  <c r="J1176" i="13" a="1"/>
  <c r="J1176" i="13" s="1"/>
  <c r="J1175" i="14" a="1"/>
  <c r="J1175" i="14" s="1"/>
  <c r="N1176" i="14"/>
  <c r="M1179" i="13"/>
  <c r="M1180" i="14"/>
  <c r="K990" i="13" l="1"/>
  <c r="L990" i="13" s="1"/>
  <c r="I991" i="13" s="1"/>
  <c r="K1013" i="14"/>
  <c r="L1013" i="14" s="1"/>
  <c r="I1014" i="14" s="1"/>
  <c r="M1181" i="14"/>
  <c r="N1177" i="14"/>
  <c r="J1176" i="14" a="1"/>
  <c r="J1176" i="14" s="1"/>
  <c r="M1180" i="13"/>
  <c r="N1178" i="13"/>
  <c r="J1177" i="13" a="1"/>
  <c r="J1177" i="13" s="1"/>
  <c r="K991" i="13" l="1"/>
  <c r="L991" i="13" s="1"/>
  <c r="I992" i="13" s="1"/>
  <c r="K1014" i="14"/>
  <c r="L1014" i="14" s="1"/>
  <c r="I1015" i="14" s="1"/>
  <c r="N1179" i="13"/>
  <c r="J1178" i="13" a="1"/>
  <c r="J1178" i="13" s="1"/>
  <c r="J1177" i="14" a="1"/>
  <c r="J1177" i="14" s="1"/>
  <c r="N1178" i="14"/>
  <c r="M1181" i="13"/>
  <c r="M1182" i="14"/>
  <c r="K992" i="13" l="1"/>
  <c r="L992" i="13" s="1"/>
  <c r="I993" i="13" s="1"/>
  <c r="K1015" i="14"/>
  <c r="L1015" i="14" s="1"/>
  <c r="I1016" i="14" s="1"/>
  <c r="J1178" i="14" a="1"/>
  <c r="J1178" i="14" s="1"/>
  <c r="N1179" i="14"/>
  <c r="M1183" i="14"/>
  <c r="M1182" i="13"/>
  <c r="N1180" i="13"/>
  <c r="J1179" i="13" a="1"/>
  <c r="J1179" i="13" s="1"/>
  <c r="K993" i="13" l="1"/>
  <c r="L993" i="13" s="1"/>
  <c r="I994" i="13" s="1"/>
  <c r="K1016" i="14"/>
  <c r="L1016" i="14" s="1"/>
  <c r="I1017" i="14" s="1"/>
  <c r="N1181" i="13"/>
  <c r="J1180" i="13" a="1"/>
  <c r="J1180" i="13" s="1"/>
  <c r="M1183" i="13"/>
  <c r="N1180" i="14"/>
  <c r="J1179" i="14" a="1"/>
  <c r="J1179" i="14" s="1"/>
  <c r="M1184" i="14"/>
  <c r="K994" i="13" l="1"/>
  <c r="L994" i="13" s="1"/>
  <c r="I995" i="13" s="1"/>
  <c r="M1185" i="14"/>
  <c r="N1181" i="14"/>
  <c r="J1180" i="14" a="1"/>
  <c r="J1180" i="14" s="1"/>
  <c r="N1182" i="13"/>
  <c r="J1181" i="13" a="1"/>
  <c r="J1181" i="13" s="1"/>
  <c r="M1184" i="13"/>
  <c r="K1017" i="14"/>
  <c r="L1017" i="14" s="1"/>
  <c r="I1018" i="14" s="1"/>
  <c r="K995" i="13" l="1"/>
  <c r="L995" i="13" s="1"/>
  <c r="I996" i="13" s="1"/>
  <c r="K1018" i="14"/>
  <c r="L1018" i="14" s="1"/>
  <c r="I1019" i="14" s="1"/>
  <c r="N1183" i="13"/>
  <c r="J1182" i="13" a="1"/>
  <c r="J1182" i="13" s="1"/>
  <c r="M1186" i="14"/>
  <c r="M1185" i="13"/>
  <c r="J1181" i="14" a="1"/>
  <c r="J1181" i="14" s="1"/>
  <c r="N1182" i="14"/>
  <c r="K996" i="13" l="1"/>
  <c r="L996" i="13" s="1"/>
  <c r="I997" i="13" s="1"/>
  <c r="K1019" i="14"/>
  <c r="L1019" i="14" s="1"/>
  <c r="I1020" i="14" s="1"/>
  <c r="J1182" i="14" a="1"/>
  <c r="J1182" i="14" s="1"/>
  <c r="N1183" i="14"/>
  <c r="M1187" i="14"/>
  <c r="M1186" i="13"/>
  <c r="N1184" i="13"/>
  <c r="J1183" i="13" a="1"/>
  <c r="J1183" i="13" s="1"/>
  <c r="K997" i="13" l="1"/>
  <c r="L997" i="13" s="1"/>
  <c r="I998" i="13" s="1"/>
  <c r="K1020" i="14"/>
  <c r="L1020" i="14" s="1"/>
  <c r="I1021" i="14" s="1"/>
  <c r="M1188" i="14"/>
  <c r="N1185" i="13"/>
  <c r="J1184" i="13" a="1"/>
  <c r="J1184" i="13" s="1"/>
  <c r="J1183" i="14" a="1"/>
  <c r="J1183" i="14" s="1"/>
  <c r="N1184" i="14"/>
  <c r="M1187" i="13"/>
  <c r="K998" i="13" l="1"/>
  <c r="L998" i="13" s="1"/>
  <c r="I999" i="13" s="1"/>
  <c r="K1021" i="14"/>
  <c r="L1021" i="14" s="1"/>
  <c r="I1022" i="14" s="1"/>
  <c r="N1186" i="13"/>
  <c r="J1185" i="13" a="1"/>
  <c r="J1185" i="13" s="1"/>
  <c r="M1188" i="13"/>
  <c r="N1185" i="14"/>
  <c r="J1184" i="14" a="1"/>
  <c r="J1184" i="14" s="1"/>
  <c r="M1189" i="14"/>
  <c r="K999" i="13" l="1"/>
  <c r="L999" i="13" s="1"/>
  <c r="I1000" i="13" s="1"/>
  <c r="K1022" i="14"/>
  <c r="L1022" i="14" s="1"/>
  <c r="I1023" i="14" s="1"/>
  <c r="M1190" i="14"/>
  <c r="J1185" i="14" a="1"/>
  <c r="J1185" i="14" s="1"/>
  <c r="N1186" i="14"/>
  <c r="N1187" i="13"/>
  <c r="J1186" i="13" a="1"/>
  <c r="J1186" i="13" s="1"/>
  <c r="M1189" i="13"/>
  <c r="K1000" i="13" l="1"/>
  <c r="L1000" i="13" s="1"/>
  <c r="I1001" i="13" s="1"/>
  <c r="K1023" i="14"/>
  <c r="L1023" i="14" s="1"/>
  <c r="I1024" i="14" s="1"/>
  <c r="J1186" i="14" a="1"/>
  <c r="J1186" i="14" s="1"/>
  <c r="N1187" i="14"/>
  <c r="M1190" i="13"/>
  <c r="N1188" i="13"/>
  <c r="J1187" i="13" a="1"/>
  <c r="J1187" i="13" s="1"/>
  <c r="M1191" i="14"/>
  <c r="K1001" i="13" l="1"/>
  <c r="L1001" i="13" s="1"/>
  <c r="I1002" i="13" s="1"/>
  <c r="K1024" i="14"/>
  <c r="L1024" i="14" s="1"/>
  <c r="I1025" i="14" s="1"/>
  <c r="N1189" i="13"/>
  <c r="J1188" i="13" a="1"/>
  <c r="J1188" i="13" s="1"/>
  <c r="J1187" i="14" a="1"/>
  <c r="J1187" i="14" s="1"/>
  <c r="N1188" i="14"/>
  <c r="M1192" i="14"/>
  <c r="M1191" i="13"/>
  <c r="K1002" i="13" l="1"/>
  <c r="L1002" i="13" s="1"/>
  <c r="I1003" i="13" s="1"/>
  <c r="K1025" i="14"/>
  <c r="L1025" i="14" s="1"/>
  <c r="I1026" i="14" s="1"/>
  <c r="M1192" i="13"/>
  <c r="N1189" i="14"/>
  <c r="J1188" i="14" a="1"/>
  <c r="J1188" i="14" s="1"/>
  <c r="M1193" i="14"/>
  <c r="N1190" i="13"/>
  <c r="J1189" i="13" a="1"/>
  <c r="J1189" i="13" s="1"/>
  <c r="K1003" i="13" l="1"/>
  <c r="L1003" i="13" s="1"/>
  <c r="I1004" i="13" s="1"/>
  <c r="K1026" i="14"/>
  <c r="L1026" i="14" s="1"/>
  <c r="I1027" i="14" s="1"/>
  <c r="N1191" i="13"/>
  <c r="J1190" i="13" a="1"/>
  <c r="J1190" i="13" s="1"/>
  <c r="J1189" i="14" a="1"/>
  <c r="J1189" i="14" s="1"/>
  <c r="N1190" i="14"/>
  <c r="M1193" i="13"/>
  <c r="M1194" i="14"/>
  <c r="K1004" i="13" l="1"/>
  <c r="L1004" i="13" s="1"/>
  <c r="I1005" i="13" s="1"/>
  <c r="K1027" i="14"/>
  <c r="L1027" i="14" s="1"/>
  <c r="I1028" i="14" s="1"/>
  <c r="J1190" i="14" a="1"/>
  <c r="J1190" i="14" s="1"/>
  <c r="N1191" i="14"/>
  <c r="M1195" i="14"/>
  <c r="M1194" i="13"/>
  <c r="N1192" i="13"/>
  <c r="J1191" i="13" a="1"/>
  <c r="J1191" i="13" s="1"/>
  <c r="K1005" i="13" l="1"/>
  <c r="L1005" i="13" s="1"/>
  <c r="I1006" i="13" s="1"/>
  <c r="K1028" i="14"/>
  <c r="L1028" i="14" s="1"/>
  <c r="I1029" i="14" s="1"/>
  <c r="M1196" i="14"/>
  <c r="N1193" i="13"/>
  <c r="J1192" i="13" a="1"/>
  <c r="J1192" i="13" s="1"/>
  <c r="J1191" i="14" a="1"/>
  <c r="J1191" i="14" s="1"/>
  <c r="N1192" i="14"/>
  <c r="M1195" i="13"/>
  <c r="K1006" i="13" l="1"/>
  <c r="L1006" i="13" s="1"/>
  <c r="I1007" i="13" s="1"/>
  <c r="K1029" i="14"/>
  <c r="L1029" i="14" s="1"/>
  <c r="I1030" i="14" s="1"/>
  <c r="N1194" i="13"/>
  <c r="J1193" i="13" a="1"/>
  <c r="J1193" i="13" s="1"/>
  <c r="N1193" i="14"/>
  <c r="J1192" i="14" a="1"/>
  <c r="J1192" i="14" s="1"/>
  <c r="M1196" i="13"/>
  <c r="M1197" i="14"/>
  <c r="K1007" i="13" l="1"/>
  <c r="L1007" i="13" s="1"/>
  <c r="I1008" i="13" s="1"/>
  <c r="K1030" i="14"/>
  <c r="L1030" i="14" s="1"/>
  <c r="I1031" i="14" s="1"/>
  <c r="J1193" i="14" a="1"/>
  <c r="J1193" i="14" s="1"/>
  <c r="N1194" i="14"/>
  <c r="M1198" i="14"/>
  <c r="M1197" i="13"/>
  <c r="N1195" i="13"/>
  <c r="J1194" i="13" a="1"/>
  <c r="J1194" i="13" s="1"/>
  <c r="K1008" i="13" l="1"/>
  <c r="L1008" i="13" s="1"/>
  <c r="I1009" i="13" s="1"/>
  <c r="K1031" i="14"/>
  <c r="L1031" i="14" s="1"/>
  <c r="I1032" i="14" s="1"/>
  <c r="N1196" i="13"/>
  <c r="J1195" i="13" a="1"/>
  <c r="J1195" i="13" s="1"/>
  <c r="M1199" i="14"/>
  <c r="M1198" i="13"/>
  <c r="J1194" i="14" a="1"/>
  <c r="J1194" i="14" s="1"/>
  <c r="N1195" i="14"/>
  <c r="K1009" i="13" l="1"/>
  <c r="L1009" i="13" s="1"/>
  <c r="I1010" i="13" s="1"/>
  <c r="K1032" i="14"/>
  <c r="L1032" i="14" s="1"/>
  <c r="I1033" i="14" s="1"/>
  <c r="J1195" i="14" a="1"/>
  <c r="J1195" i="14" s="1"/>
  <c r="N1196" i="14"/>
  <c r="M1200" i="14"/>
  <c r="M1199" i="13"/>
  <c r="N1197" i="13"/>
  <c r="J1196" i="13" a="1"/>
  <c r="J1196" i="13" s="1"/>
  <c r="K1010" i="13" l="1"/>
  <c r="L1010" i="13" s="1"/>
  <c r="I1011" i="13" s="1"/>
  <c r="K1033" i="14"/>
  <c r="L1033" i="14" s="1"/>
  <c r="I1034" i="14" s="1"/>
  <c r="N1198" i="13"/>
  <c r="J1197" i="13" a="1"/>
  <c r="J1197" i="13" s="1"/>
  <c r="M1201" i="14"/>
  <c r="N1197" i="14"/>
  <c r="J1196" i="14" a="1"/>
  <c r="J1196" i="14" s="1"/>
  <c r="M1200" i="13"/>
  <c r="K1011" i="13" l="1"/>
  <c r="L1011" i="13" s="1"/>
  <c r="I1012" i="13" s="1"/>
  <c r="K1034" i="14"/>
  <c r="L1034" i="14" s="1"/>
  <c r="I1035" i="14" s="1"/>
  <c r="M1201" i="13"/>
  <c r="J1197" i="14" a="1"/>
  <c r="J1197" i="14" s="1"/>
  <c r="N1198" i="14"/>
  <c r="M1202" i="14"/>
  <c r="N1199" i="13"/>
  <c r="J1198" i="13" a="1"/>
  <c r="J1198" i="13" s="1"/>
  <c r="K1012" i="13" l="1"/>
  <c r="L1012" i="13" s="1"/>
  <c r="I1013" i="13" s="1"/>
  <c r="K1035" i="14"/>
  <c r="L1035" i="14" s="1"/>
  <c r="I1036" i="14" s="1"/>
  <c r="J1198" i="14" a="1"/>
  <c r="J1198" i="14" s="1"/>
  <c r="N1199" i="14"/>
  <c r="N1200" i="13"/>
  <c r="J1199" i="13" a="1"/>
  <c r="J1199" i="13" s="1"/>
  <c r="M1202" i="13"/>
  <c r="M1203" i="14"/>
  <c r="K1013" i="13" l="1"/>
  <c r="L1013" i="13" s="1"/>
  <c r="I1014" i="13" s="1"/>
  <c r="K1036" i="14"/>
  <c r="L1036" i="14" s="1"/>
  <c r="I1037" i="14" s="1"/>
  <c r="M1204" i="14"/>
  <c r="N1201" i="13"/>
  <c r="J1200" i="13" a="1"/>
  <c r="J1200" i="13" s="1"/>
  <c r="J1199" i="14" a="1"/>
  <c r="J1199" i="14" s="1"/>
  <c r="N1200" i="14"/>
  <c r="M1203" i="13"/>
  <c r="K1014" i="13" l="1"/>
  <c r="L1014" i="13" s="1"/>
  <c r="I1015" i="13" s="1"/>
  <c r="N1202" i="13"/>
  <c r="J1201" i="13" a="1"/>
  <c r="J1201" i="13" s="1"/>
  <c r="K1037" i="14"/>
  <c r="L1037" i="14" s="1"/>
  <c r="I1038" i="14" s="1"/>
  <c r="M1204" i="13"/>
  <c r="N1201" i="14"/>
  <c r="J1200" i="14" a="1"/>
  <c r="J1200" i="14" s="1"/>
  <c r="M1205" i="14"/>
  <c r="K1015" i="13" l="1"/>
  <c r="L1015" i="13" s="1"/>
  <c r="I1016" i="13" s="1"/>
  <c r="K1038" i="14"/>
  <c r="L1038" i="14" s="1"/>
  <c r="I1039" i="14" s="1"/>
  <c r="M1205" i="13"/>
  <c r="M1206" i="14"/>
  <c r="N1203" i="13"/>
  <c r="J1202" i="13" a="1"/>
  <c r="J1202" i="13" s="1"/>
  <c r="J1201" i="14" a="1"/>
  <c r="J1201" i="14" s="1"/>
  <c r="N1202" i="14"/>
  <c r="K1016" i="13" l="1"/>
  <c r="L1016" i="13" s="1"/>
  <c r="I1017" i="13" s="1"/>
  <c r="K1039" i="14"/>
  <c r="L1039" i="14" s="1"/>
  <c r="I1040" i="14" s="1"/>
  <c r="M1207" i="14"/>
  <c r="M1206" i="13"/>
  <c r="J1202" i="14" a="1"/>
  <c r="J1202" i="14" s="1"/>
  <c r="N1203" i="14"/>
  <c r="N1204" i="13"/>
  <c r="J1203" i="13" a="1"/>
  <c r="J1203" i="13" s="1"/>
  <c r="K1017" i="13" l="1"/>
  <c r="L1017" i="13" s="1"/>
  <c r="I1018" i="13" s="1"/>
  <c r="K1040" i="14"/>
  <c r="L1040" i="14" s="1"/>
  <c r="I1041" i="14" s="1"/>
  <c r="M1207" i="13"/>
  <c r="N1205" i="13"/>
  <c r="J1204" i="13" a="1"/>
  <c r="J1204" i="13" s="1"/>
  <c r="M1208" i="14"/>
  <c r="J1203" i="14" a="1"/>
  <c r="J1203" i="14" s="1"/>
  <c r="N1204" i="14"/>
  <c r="K1018" i="13" l="1"/>
  <c r="L1018" i="13" s="1"/>
  <c r="I1019" i="13" s="1"/>
  <c r="K1041" i="14"/>
  <c r="L1041" i="14" s="1"/>
  <c r="I1042" i="14" s="1"/>
  <c r="N1205" i="14"/>
  <c r="J1204" i="14" a="1"/>
  <c r="J1204" i="14" s="1"/>
  <c r="N1206" i="13"/>
  <c r="J1205" i="13" a="1"/>
  <c r="J1205" i="13" s="1"/>
  <c r="M1208" i="13"/>
  <c r="M1209" i="14"/>
  <c r="K1019" i="13" l="1"/>
  <c r="L1019" i="13" s="1"/>
  <c r="I1020" i="13" s="1"/>
  <c r="K1042" i="14"/>
  <c r="L1042" i="14" s="1"/>
  <c r="I1043" i="14" s="1"/>
  <c r="N1207" i="13"/>
  <c r="J1206" i="13" a="1"/>
  <c r="J1206" i="13" s="1"/>
  <c r="M1210" i="14"/>
  <c r="M1209" i="13"/>
  <c r="J1205" i="14" a="1"/>
  <c r="J1205" i="14" s="1"/>
  <c r="N1206" i="14"/>
  <c r="K1020" i="13" l="1"/>
  <c r="L1020" i="13" s="1"/>
  <c r="I1021" i="13" s="1"/>
  <c r="K1043" i="14"/>
  <c r="L1043" i="14" s="1"/>
  <c r="I1044" i="14" s="1"/>
  <c r="J1206" i="14" a="1"/>
  <c r="J1206" i="14" s="1"/>
  <c r="N1207" i="14"/>
  <c r="M1211" i="14"/>
  <c r="M1210" i="13"/>
  <c r="N1208" i="13"/>
  <c r="J1207" i="13" a="1"/>
  <c r="J1207" i="13" s="1"/>
  <c r="K1021" i="13" l="1"/>
  <c r="L1021" i="13" s="1"/>
  <c r="I1022" i="13" s="1"/>
  <c r="K1044" i="14"/>
  <c r="L1044" i="14" s="1"/>
  <c r="I1045" i="14" s="1"/>
  <c r="N1209" i="13"/>
  <c r="J1208" i="13" a="1"/>
  <c r="J1208" i="13" s="1"/>
  <c r="M1212" i="14"/>
  <c r="J1207" i="14" a="1"/>
  <c r="J1207" i="14" s="1"/>
  <c r="N1208" i="14"/>
  <c r="M1211" i="13"/>
  <c r="K1022" i="13" l="1"/>
  <c r="L1022" i="13" s="1"/>
  <c r="I1023" i="13" s="1"/>
  <c r="K1045" i="14"/>
  <c r="L1045" i="14" s="1"/>
  <c r="I1046" i="14" s="1"/>
  <c r="N1209" i="14"/>
  <c r="J1208" i="14" a="1"/>
  <c r="J1208" i="14" s="1"/>
  <c r="M1212" i="13"/>
  <c r="M1213" i="14"/>
  <c r="N1210" i="13"/>
  <c r="J1209" i="13" a="1"/>
  <c r="J1209" i="13" s="1"/>
  <c r="K1023" i="13" l="1"/>
  <c r="L1023" i="13" s="1"/>
  <c r="I1024" i="13" s="1"/>
  <c r="K1046" i="14"/>
  <c r="L1046" i="14" s="1"/>
  <c r="I1047" i="14" s="1"/>
  <c r="N1211" i="13"/>
  <c r="J1210" i="13" a="1"/>
  <c r="J1210" i="13" s="1"/>
  <c r="M1213" i="13"/>
  <c r="M1214" i="14"/>
  <c r="J1209" i="14" a="1"/>
  <c r="J1209" i="14" s="1"/>
  <c r="N1210" i="14"/>
  <c r="K1024" i="13" l="1"/>
  <c r="L1024" i="13" s="1"/>
  <c r="I1025" i="13" s="1"/>
  <c r="K1047" i="14"/>
  <c r="L1047" i="14" s="1"/>
  <c r="I1048" i="14" s="1"/>
  <c r="J1210" i="14" a="1"/>
  <c r="J1210" i="14" s="1"/>
  <c r="N1211" i="14"/>
  <c r="M1214" i="13"/>
  <c r="M1215" i="14"/>
  <c r="N1212" i="13"/>
  <c r="J1211" i="13" a="1"/>
  <c r="J1211" i="13" s="1"/>
  <c r="K1025" i="13" l="1"/>
  <c r="L1025" i="13" s="1"/>
  <c r="I1026" i="13" s="1"/>
  <c r="K1048" i="14"/>
  <c r="L1048" i="14" s="1"/>
  <c r="I1049" i="14" s="1"/>
  <c r="N1213" i="13"/>
  <c r="J1212" i="13" a="1"/>
  <c r="J1212" i="13" s="1"/>
  <c r="M1215" i="13"/>
  <c r="M1216" i="14"/>
  <c r="J1211" i="14" a="1"/>
  <c r="J1211" i="14" s="1"/>
  <c r="N1212" i="14"/>
  <c r="K1026" i="13" l="1"/>
  <c r="L1026" i="13" s="1"/>
  <c r="I1027" i="13" s="1"/>
  <c r="K1049" i="14"/>
  <c r="L1049" i="14" s="1"/>
  <c r="I1050" i="14" s="1"/>
  <c r="N1213" i="14"/>
  <c r="J1212" i="14" a="1"/>
  <c r="J1212" i="14" s="1"/>
  <c r="M1216" i="13"/>
  <c r="M1217" i="14"/>
  <c r="N1214" i="13"/>
  <c r="J1213" i="13" a="1"/>
  <c r="J1213" i="13" s="1"/>
  <c r="K1027" i="13" l="1"/>
  <c r="L1027" i="13" s="1"/>
  <c r="I1028" i="13" s="1"/>
  <c r="K1050" i="14"/>
  <c r="L1050" i="14" s="1"/>
  <c r="I1051" i="14" s="1"/>
  <c r="N1215" i="13"/>
  <c r="J1214" i="13" a="1"/>
  <c r="J1214" i="13" s="1"/>
  <c r="M1217" i="13"/>
  <c r="M1218" i="14"/>
  <c r="J1213" i="14" a="1"/>
  <c r="J1213" i="14" s="1"/>
  <c r="N1214" i="14"/>
  <c r="K1028" i="13" l="1"/>
  <c r="L1028" i="13" s="1"/>
  <c r="I1029" i="13" s="1"/>
  <c r="K1051" i="14"/>
  <c r="L1051" i="14" s="1"/>
  <c r="I1052" i="14" s="1"/>
  <c r="J1214" i="14" a="1"/>
  <c r="J1214" i="14" s="1"/>
  <c r="N1215" i="14"/>
  <c r="M1218" i="13"/>
  <c r="M1219" i="14"/>
  <c r="N1216" i="13"/>
  <c r="J1215" i="13" a="1"/>
  <c r="J1215" i="13" s="1"/>
  <c r="K1029" i="13" l="1"/>
  <c r="L1029" i="13" s="1"/>
  <c r="I1030" i="13" s="1"/>
  <c r="K1052" i="14"/>
  <c r="L1052" i="14" s="1"/>
  <c r="I1053" i="14" s="1"/>
  <c r="M1219" i="13"/>
  <c r="N1217" i="13"/>
  <c r="J1216" i="13" a="1"/>
  <c r="J1216" i="13" s="1"/>
  <c r="J1215" i="14" a="1"/>
  <c r="J1215" i="14" s="1"/>
  <c r="N1216" i="14"/>
  <c r="M1220" i="14"/>
  <c r="K1030" i="13" l="1"/>
  <c r="L1030" i="13" s="1"/>
  <c r="I1031" i="13" s="1"/>
  <c r="K1053" i="14"/>
  <c r="L1053" i="14" s="1"/>
  <c r="I1054" i="14" s="1"/>
  <c r="N1218" i="13"/>
  <c r="J1217" i="13" a="1"/>
  <c r="J1217" i="13" s="1"/>
  <c r="N1217" i="14"/>
  <c r="J1216" i="14" a="1"/>
  <c r="J1216" i="14" s="1"/>
  <c r="M1220" i="13"/>
  <c r="M1221" i="14"/>
  <c r="K1031" i="13" l="1"/>
  <c r="L1031" i="13" s="1"/>
  <c r="I1032" i="13" s="1"/>
  <c r="K1054" i="14"/>
  <c r="L1054" i="14" s="1"/>
  <c r="I1055" i="14" s="1"/>
  <c r="M1222" i="14"/>
  <c r="J1217" i="14" a="1"/>
  <c r="J1217" i="14" s="1"/>
  <c r="N1218" i="14"/>
  <c r="M1221" i="13"/>
  <c r="N1219" i="13"/>
  <c r="J1218" i="13" a="1"/>
  <c r="J1218" i="13" s="1"/>
  <c r="K1032" i="13" l="1"/>
  <c r="L1032" i="13" s="1"/>
  <c r="I1033" i="13" s="1"/>
  <c r="K1055" i="14"/>
  <c r="L1055" i="14" s="1"/>
  <c r="I1056" i="14" s="1"/>
  <c r="J1218" i="14" a="1"/>
  <c r="J1218" i="14" s="1"/>
  <c r="N1219" i="14"/>
  <c r="J1219" i="13" a="1"/>
  <c r="J1219" i="13" s="1"/>
  <c r="N1220" i="13"/>
  <c r="M1222" i="13"/>
  <c r="M1223" i="14"/>
  <c r="K1033" i="13" l="1"/>
  <c r="L1033" i="13" s="1"/>
  <c r="I1034" i="13" s="1"/>
  <c r="K1056" i="14"/>
  <c r="L1056" i="14" s="1"/>
  <c r="I1057" i="14" s="1"/>
  <c r="J1220" i="13" a="1"/>
  <c r="J1220" i="13" s="1"/>
  <c r="N1221" i="13"/>
  <c r="J1219" i="14" a="1"/>
  <c r="J1219" i="14" s="1"/>
  <c r="N1220" i="14"/>
  <c r="M1224" i="14"/>
  <c r="M1223" i="13"/>
  <c r="K1034" i="13" l="1"/>
  <c r="L1034" i="13" s="1"/>
  <c r="I1035" i="13" s="1"/>
  <c r="K1057" i="14"/>
  <c r="L1057" i="14" s="1"/>
  <c r="I1058" i="14" s="1"/>
  <c r="N1221" i="14"/>
  <c r="J1220" i="14" a="1"/>
  <c r="J1220" i="14" s="1"/>
  <c r="N1222" i="13"/>
  <c r="J1221" i="13" a="1"/>
  <c r="J1221" i="13" s="1"/>
  <c r="M1224" i="13"/>
  <c r="M1225" i="14"/>
  <c r="K1035" i="13" l="1"/>
  <c r="L1035" i="13" s="1"/>
  <c r="I1036" i="13" s="1"/>
  <c r="K1058" i="14"/>
  <c r="L1058" i="14" s="1"/>
  <c r="I1059" i="14" s="1"/>
  <c r="M1226" i="14"/>
  <c r="J1222" i="13" a="1"/>
  <c r="J1222" i="13" s="1"/>
  <c r="N1223" i="13"/>
  <c r="M1225" i="13"/>
  <c r="J1221" i="14" a="1"/>
  <c r="J1221" i="14" s="1"/>
  <c r="N1222" i="14"/>
  <c r="K1036" i="13" l="1"/>
  <c r="L1036" i="13" s="1"/>
  <c r="I1037" i="13" s="1"/>
  <c r="K1059" i="14"/>
  <c r="L1059" i="14" s="1"/>
  <c r="I1060" i="14" s="1"/>
  <c r="J1223" i="13" a="1"/>
  <c r="J1223" i="13" s="1"/>
  <c r="N1224" i="13"/>
  <c r="J1222" i="14" a="1"/>
  <c r="J1222" i="14" s="1"/>
  <c r="N1223" i="14"/>
  <c r="M1226" i="13"/>
  <c r="M1227" i="14"/>
  <c r="K1037" i="13" l="1"/>
  <c r="L1037" i="13" s="1"/>
  <c r="I1038" i="13" s="1"/>
  <c r="K1060" i="14"/>
  <c r="L1060" i="14" s="1"/>
  <c r="I1061" i="14" s="1"/>
  <c r="J1223" i="14" a="1"/>
  <c r="J1223" i="14" s="1"/>
  <c r="N1224" i="14"/>
  <c r="J1224" i="13" a="1"/>
  <c r="J1224" i="13" s="1"/>
  <c r="N1225" i="13"/>
  <c r="M1228" i="14"/>
  <c r="M1227" i="13"/>
  <c r="K1038" i="13" l="1"/>
  <c r="L1038" i="13" s="1"/>
  <c r="I1039" i="13" s="1"/>
  <c r="K1061" i="14"/>
  <c r="L1061" i="14" s="1"/>
  <c r="I1062" i="14" s="1"/>
  <c r="M1228" i="13"/>
  <c r="N1226" i="13"/>
  <c r="J1225" i="13" a="1"/>
  <c r="J1225" i="13" s="1"/>
  <c r="N1225" i="14"/>
  <c r="J1224" i="14" a="1"/>
  <c r="J1224" i="14" s="1"/>
  <c r="M1229" i="14"/>
  <c r="K1039" i="13" l="1"/>
  <c r="L1039" i="13" s="1"/>
  <c r="I1040" i="13" s="1"/>
  <c r="K1062" i="14"/>
  <c r="L1062" i="14" s="1"/>
  <c r="I1063" i="14" s="1"/>
  <c r="M1230" i="14"/>
  <c r="J1226" i="13" a="1"/>
  <c r="J1226" i="13" s="1"/>
  <c r="N1227" i="13"/>
  <c r="M1229" i="13"/>
  <c r="J1225" i="14" a="1"/>
  <c r="J1225" i="14" s="1"/>
  <c r="N1226" i="14"/>
  <c r="K1040" i="13" l="1"/>
  <c r="L1040" i="13" s="1"/>
  <c r="I1041" i="13" s="1"/>
  <c r="K1063" i="14"/>
  <c r="L1063" i="14" s="1"/>
  <c r="I1064" i="14" s="1"/>
  <c r="J1227" i="13" a="1"/>
  <c r="J1227" i="13" s="1"/>
  <c r="N1228" i="13"/>
  <c r="J1226" i="14" a="1"/>
  <c r="J1226" i="14" s="1"/>
  <c r="N1227" i="14"/>
  <c r="M1230" i="13"/>
  <c r="M1231" i="14"/>
  <c r="K1041" i="13" l="1"/>
  <c r="L1041" i="13" s="1"/>
  <c r="I1042" i="13" s="1"/>
  <c r="K1064" i="14"/>
  <c r="L1064" i="14" s="1"/>
  <c r="I1065" i="14" s="1"/>
  <c r="J1227" i="14" a="1"/>
  <c r="J1227" i="14" s="1"/>
  <c r="N1228" i="14"/>
  <c r="M1232" i="14"/>
  <c r="J1228" i="13" a="1"/>
  <c r="J1228" i="13" s="1"/>
  <c r="N1229" i="13"/>
  <c r="M1231" i="13"/>
  <c r="K1042" i="13" l="1"/>
  <c r="L1042" i="13" s="1"/>
  <c r="I1043" i="13" s="1"/>
  <c r="K1065" i="14"/>
  <c r="L1065" i="14" s="1"/>
  <c r="I1066" i="14" s="1"/>
  <c r="N1230" i="13"/>
  <c r="J1229" i="13" a="1"/>
  <c r="J1229" i="13" s="1"/>
  <c r="M1232" i="13"/>
  <c r="M1233" i="14"/>
  <c r="N1229" i="14"/>
  <c r="J1228" i="14" a="1"/>
  <c r="J1228" i="14" s="1"/>
  <c r="K1043" i="13" l="1"/>
  <c r="L1043" i="13" s="1"/>
  <c r="I1044" i="13" s="1"/>
  <c r="K1066" i="14"/>
  <c r="L1066" i="14" s="1"/>
  <c r="I1067" i="14" s="1"/>
  <c r="M1233" i="13"/>
  <c r="J1229" i="14" a="1"/>
  <c r="J1229" i="14" s="1"/>
  <c r="N1230" i="14"/>
  <c r="M1234" i="14"/>
  <c r="J1230" i="13" a="1"/>
  <c r="J1230" i="13" s="1"/>
  <c r="N1231" i="13"/>
  <c r="K1044" i="13" l="1"/>
  <c r="L1044" i="13" s="1"/>
  <c r="I1045" i="13" s="1"/>
  <c r="K1067" i="14"/>
  <c r="L1067" i="14" s="1"/>
  <c r="I1068" i="14" s="1"/>
  <c r="J1231" i="13" a="1"/>
  <c r="J1231" i="13" s="1"/>
  <c r="N1232" i="13"/>
  <c r="M1234" i="13"/>
  <c r="J1230" i="14" a="1"/>
  <c r="J1230" i="14" s="1"/>
  <c r="N1231" i="14"/>
  <c r="M1235" i="14"/>
  <c r="K1045" i="13" l="1"/>
  <c r="L1045" i="13" s="1"/>
  <c r="I1046" i="13" s="1"/>
  <c r="K1068" i="14"/>
  <c r="L1068" i="14" s="1"/>
  <c r="I1069" i="14" s="1"/>
  <c r="M1236" i="14"/>
  <c r="M1235" i="13"/>
  <c r="J1232" i="13" a="1"/>
  <c r="J1232" i="13" s="1"/>
  <c r="N1233" i="13"/>
  <c r="J1231" i="14" a="1"/>
  <c r="J1231" i="14" s="1"/>
  <c r="N1232" i="14"/>
  <c r="K1046" i="13" l="1"/>
  <c r="L1046" i="13" s="1"/>
  <c r="I1047" i="13" s="1"/>
  <c r="K1069" i="14"/>
  <c r="L1069" i="14" s="1"/>
  <c r="I1070" i="14" s="1"/>
  <c r="M1236" i="13"/>
  <c r="N1234" i="13"/>
  <c r="J1233" i="13" a="1"/>
  <c r="J1233" i="13" s="1"/>
  <c r="N1233" i="14"/>
  <c r="J1232" i="14" a="1"/>
  <c r="J1232" i="14" s="1"/>
  <c r="M1237" i="14"/>
  <c r="K1047" i="13" l="1"/>
  <c r="L1047" i="13" s="1"/>
  <c r="I1048" i="13" s="1"/>
  <c r="K1070" i="14"/>
  <c r="L1070" i="14" s="1"/>
  <c r="I1071" i="14" s="1"/>
  <c r="J1234" i="13" a="1"/>
  <c r="J1234" i="13" s="1"/>
  <c r="N1235" i="13"/>
  <c r="M1237" i="13"/>
  <c r="M1238" i="14"/>
  <c r="J1233" i="14" a="1"/>
  <c r="J1233" i="14" s="1"/>
  <c r="N1234" i="14"/>
  <c r="K1048" i="13" l="1"/>
  <c r="L1048" i="13" s="1"/>
  <c r="I1049" i="13" s="1"/>
  <c r="K1071" i="14"/>
  <c r="L1071" i="14" s="1"/>
  <c r="I1072" i="14" s="1"/>
  <c r="J1234" i="14" a="1"/>
  <c r="J1234" i="14" s="1"/>
  <c r="N1235" i="14"/>
  <c r="M1238" i="13"/>
  <c r="J1235" i="13" a="1"/>
  <c r="J1235" i="13" s="1"/>
  <c r="N1236" i="13"/>
  <c r="M1239" i="14"/>
  <c r="K1049" i="13" l="1"/>
  <c r="L1049" i="13" s="1"/>
  <c r="I1050" i="13" s="1"/>
  <c r="K1072" i="14"/>
  <c r="L1072" i="14" s="1"/>
  <c r="I1073" i="14" s="1"/>
  <c r="M1240" i="14"/>
  <c r="M1239" i="13"/>
  <c r="J1235" i="14" a="1"/>
  <c r="J1235" i="14" s="1"/>
  <c r="N1236" i="14"/>
  <c r="J1236" i="13" a="1"/>
  <c r="J1236" i="13" s="1"/>
  <c r="N1237" i="13"/>
  <c r="K1050" i="13" l="1"/>
  <c r="L1050" i="13" s="1"/>
  <c r="I1051" i="13" s="1"/>
  <c r="K1073" i="14"/>
  <c r="L1073" i="14" s="1"/>
  <c r="I1074" i="14" s="1"/>
  <c r="M1240" i="13"/>
  <c r="N1238" i="13"/>
  <c r="J1237" i="13" a="1"/>
  <c r="J1237" i="13" s="1"/>
  <c r="N1237" i="14"/>
  <c r="J1236" i="14" a="1"/>
  <c r="J1236" i="14" s="1"/>
  <c r="M1241" i="14"/>
  <c r="K1051" i="13" l="1"/>
  <c r="L1051" i="13" s="1"/>
  <c r="I1052" i="13" s="1"/>
  <c r="K1074" i="14"/>
  <c r="L1074" i="14" s="1"/>
  <c r="I1075" i="14" s="1"/>
  <c r="J1238" i="13" a="1"/>
  <c r="J1238" i="13" s="1"/>
  <c r="N1239" i="13"/>
  <c r="M1241" i="13"/>
  <c r="M1242" i="14"/>
  <c r="J1237" i="14" a="1"/>
  <c r="J1237" i="14" s="1"/>
  <c r="N1238" i="14"/>
  <c r="K1052" i="13" l="1"/>
  <c r="L1052" i="13" s="1"/>
  <c r="I1053" i="13" s="1"/>
  <c r="K1075" i="14"/>
  <c r="L1075" i="14" s="1"/>
  <c r="I1076" i="14" s="1"/>
  <c r="J1238" i="14" a="1"/>
  <c r="J1238" i="14" s="1"/>
  <c r="N1239" i="14"/>
  <c r="J1239" i="13" a="1"/>
  <c r="J1239" i="13" s="1"/>
  <c r="N1240" i="13"/>
  <c r="M1242" i="13"/>
  <c r="M1243" i="14"/>
  <c r="K1053" i="13" l="1"/>
  <c r="L1053" i="13" s="1"/>
  <c r="I1054" i="13" s="1"/>
  <c r="K1076" i="14"/>
  <c r="L1076" i="14" s="1"/>
  <c r="I1077" i="14" s="1"/>
  <c r="J1240" i="13" a="1"/>
  <c r="J1240" i="13" s="1"/>
  <c r="N1241" i="13"/>
  <c r="J1239" i="14" a="1"/>
  <c r="J1239" i="14" s="1"/>
  <c r="N1240" i="14"/>
  <c r="M1244" i="14"/>
  <c r="M1243" i="13"/>
  <c r="K1054" i="13" l="1"/>
  <c r="L1054" i="13" s="1"/>
  <c r="I1055" i="13" s="1"/>
  <c r="K1077" i="14"/>
  <c r="L1077" i="14" s="1"/>
  <c r="I1078" i="14" s="1"/>
  <c r="N1241" i="14"/>
  <c r="J1240" i="14" a="1"/>
  <c r="J1240" i="14" s="1"/>
  <c r="M1244" i="13"/>
  <c r="N1242" i="13"/>
  <c r="J1241" i="13" a="1"/>
  <c r="J1241" i="13" s="1"/>
  <c r="M1245" i="14"/>
  <c r="K1055" i="13" l="1"/>
  <c r="L1055" i="13" s="1"/>
  <c r="I1056" i="13" s="1"/>
  <c r="K1078" i="14"/>
  <c r="L1078" i="14" s="1"/>
  <c r="I1079" i="14" s="1"/>
  <c r="J1242" i="13" a="1"/>
  <c r="J1242" i="13" s="1"/>
  <c r="N1243" i="13"/>
  <c r="M1245" i="13"/>
  <c r="M1246" i="14"/>
  <c r="J1241" i="14" a="1"/>
  <c r="J1241" i="14" s="1"/>
  <c r="N1242" i="14"/>
  <c r="K1056" i="13" l="1"/>
  <c r="L1056" i="13" s="1"/>
  <c r="I1057" i="13" s="1"/>
  <c r="J1242" i="14" a="1"/>
  <c r="J1242" i="14" s="1"/>
  <c r="N1243" i="14"/>
  <c r="M1246" i="13"/>
  <c r="K1079" i="14"/>
  <c r="L1079" i="14" s="1"/>
  <c r="I1080" i="14" s="1"/>
  <c r="J1243" i="13" a="1"/>
  <c r="J1243" i="13" s="1"/>
  <c r="N1244" i="13"/>
  <c r="M1247" i="14"/>
  <c r="K1057" i="13" l="1"/>
  <c r="L1057" i="13" s="1"/>
  <c r="I1058" i="13" s="1"/>
  <c r="K1080" i="14"/>
  <c r="L1080" i="14" s="1"/>
  <c r="I1081" i="14" s="1"/>
  <c r="J1243" i="14" a="1"/>
  <c r="J1243" i="14" s="1"/>
  <c r="N1244" i="14"/>
  <c r="J1244" i="13" a="1"/>
  <c r="J1244" i="13" s="1"/>
  <c r="N1245" i="13"/>
  <c r="M1248" i="14"/>
  <c r="M1247" i="13"/>
  <c r="K1058" i="13" l="1"/>
  <c r="L1058" i="13" s="1"/>
  <c r="I1059" i="13" s="1"/>
  <c r="K1081" i="14"/>
  <c r="L1081" i="14" s="1"/>
  <c r="I1082" i="14" s="1"/>
  <c r="N1246" i="13"/>
  <c r="J1245" i="13" a="1"/>
  <c r="J1245" i="13" s="1"/>
  <c r="N1245" i="14"/>
  <c r="J1244" i="14" a="1"/>
  <c r="J1244" i="14" s="1"/>
  <c r="M1248" i="13"/>
  <c r="M1249" i="14"/>
  <c r="K1059" i="13" l="1"/>
  <c r="L1059" i="13" s="1"/>
  <c r="I1060" i="13" s="1"/>
  <c r="K1082" i="14"/>
  <c r="L1082" i="14" s="1"/>
  <c r="I1083" i="14" s="1"/>
  <c r="J1245" i="14" a="1"/>
  <c r="J1245" i="14" s="1"/>
  <c r="N1246" i="14"/>
  <c r="M1250" i="14"/>
  <c r="M1249" i="13"/>
  <c r="J1246" i="13" a="1"/>
  <c r="J1246" i="13" s="1"/>
  <c r="N1247" i="13"/>
  <c r="K1060" i="13" l="1"/>
  <c r="L1060" i="13" s="1"/>
  <c r="I1061" i="13" s="1"/>
  <c r="K1083" i="14"/>
  <c r="L1083" i="14" s="1"/>
  <c r="I1084" i="14" s="1"/>
  <c r="J1247" i="13" a="1"/>
  <c r="J1247" i="13" s="1"/>
  <c r="N1248" i="13"/>
  <c r="M1251" i="14"/>
  <c r="J1246" i="14" a="1"/>
  <c r="J1246" i="14" s="1"/>
  <c r="N1247" i="14"/>
  <c r="M1250" i="13"/>
  <c r="K1061" i="13" l="1"/>
  <c r="L1061" i="13" s="1"/>
  <c r="I1062" i="13" s="1"/>
  <c r="K1084" i="14"/>
  <c r="L1084" i="14" s="1"/>
  <c r="I1085" i="14" s="1"/>
  <c r="M1252" i="14"/>
  <c r="M1251" i="13"/>
  <c r="J1248" i="13" a="1"/>
  <c r="J1248" i="13" s="1"/>
  <c r="N1249" i="13"/>
  <c r="J1247" i="14" a="1"/>
  <c r="J1247" i="14" s="1"/>
  <c r="N1248" i="14"/>
  <c r="K1062" i="13" l="1"/>
  <c r="L1062" i="13" s="1"/>
  <c r="I1063" i="13" s="1"/>
  <c r="K1085" i="14"/>
  <c r="L1085" i="14" s="1"/>
  <c r="I1086" i="14" s="1"/>
  <c r="N1249" i="14"/>
  <c r="J1248" i="14" a="1"/>
  <c r="J1248" i="14" s="1"/>
  <c r="M1252" i="13"/>
  <c r="N1250" i="13"/>
  <c r="J1249" i="13" a="1"/>
  <c r="J1249" i="13" s="1"/>
  <c r="M1253" i="14"/>
  <c r="K1063" i="13" l="1"/>
  <c r="L1063" i="13" s="1"/>
  <c r="I1064" i="13" s="1"/>
  <c r="K1086" i="14"/>
  <c r="L1086" i="14" s="1"/>
  <c r="I1087" i="14" s="1"/>
  <c r="M1253" i="13"/>
  <c r="M1254" i="14"/>
  <c r="J1250" i="13" a="1"/>
  <c r="J1250" i="13" s="1"/>
  <c r="N1251" i="13"/>
  <c r="J1249" i="14" a="1"/>
  <c r="J1249" i="14" s="1"/>
  <c r="N1250" i="14"/>
  <c r="K1064" i="13" l="1"/>
  <c r="L1064" i="13" s="1"/>
  <c r="I1065" i="13" s="1"/>
  <c r="K1087" i="14"/>
  <c r="L1087" i="14" s="1"/>
  <c r="I1088" i="14" s="1"/>
  <c r="J1250" i="14" a="1"/>
  <c r="J1250" i="14" s="1"/>
  <c r="N1251" i="14"/>
  <c r="M1255" i="14"/>
  <c r="J1251" i="13" a="1"/>
  <c r="J1251" i="13" s="1"/>
  <c r="N1252" i="13"/>
  <c r="M1254" i="13"/>
  <c r="K1065" i="13" l="1"/>
  <c r="L1065" i="13" s="1"/>
  <c r="I1066" i="13" s="1"/>
  <c r="K1088" i="14"/>
  <c r="L1088" i="14" s="1"/>
  <c r="I1089" i="14" s="1"/>
  <c r="J1252" i="13" a="1"/>
  <c r="J1252" i="13" s="1"/>
  <c r="N1253" i="13"/>
  <c r="M1256" i="14"/>
  <c r="M1255" i="13"/>
  <c r="J1251" i="14" a="1"/>
  <c r="J1251" i="14" s="1"/>
  <c r="N1252" i="14"/>
  <c r="K1066" i="13" l="1"/>
  <c r="L1066" i="13" s="1"/>
  <c r="I1067" i="13" s="1"/>
  <c r="K1089" i="14"/>
  <c r="L1089" i="14" s="1"/>
  <c r="I1090" i="14" s="1"/>
  <c r="M1257" i="14"/>
  <c r="N1254" i="13"/>
  <c r="J1253" i="13" a="1"/>
  <c r="J1253" i="13" s="1"/>
  <c r="N1253" i="14"/>
  <c r="J1252" i="14" a="1"/>
  <c r="J1252" i="14" s="1"/>
  <c r="M1256" i="13"/>
  <c r="K1067" i="13" l="1"/>
  <c r="L1067" i="13" s="1"/>
  <c r="I1068" i="13" s="1"/>
  <c r="K1090" i="14"/>
  <c r="L1090" i="14" s="1"/>
  <c r="I1091" i="14" s="1"/>
  <c r="J1254" i="13" a="1"/>
  <c r="J1254" i="13" s="1"/>
  <c r="N1255" i="13"/>
  <c r="M1257" i="13"/>
  <c r="J1253" i="14" a="1"/>
  <c r="J1253" i="14" s="1"/>
  <c r="N1254" i="14"/>
  <c r="M1258" i="14"/>
  <c r="K1068" i="13" l="1"/>
  <c r="L1068" i="13" s="1"/>
  <c r="I1069" i="13" s="1"/>
  <c r="K1091" i="14"/>
  <c r="L1091" i="14" s="1"/>
  <c r="I1092" i="14" s="1"/>
  <c r="J1254" i="14" a="1"/>
  <c r="J1254" i="14" s="1"/>
  <c r="N1255" i="14"/>
  <c r="M1259" i="14"/>
  <c r="M1258" i="13"/>
  <c r="J1255" i="13" a="1"/>
  <c r="J1255" i="13" s="1"/>
  <c r="N1256" i="13"/>
  <c r="K1069" i="13" l="1"/>
  <c r="L1069" i="13" s="1"/>
  <c r="I1070" i="13" s="1"/>
  <c r="K1092" i="14"/>
  <c r="L1092" i="14" s="1"/>
  <c r="I1093" i="14" s="1"/>
  <c r="M1260" i="14"/>
  <c r="J1256" i="13" a="1"/>
  <c r="J1256" i="13" s="1"/>
  <c r="N1257" i="13"/>
  <c r="J1255" i="14" a="1"/>
  <c r="J1255" i="14" s="1"/>
  <c r="N1256" i="14"/>
  <c r="M1259" i="13"/>
  <c r="K1070" i="13" l="1"/>
  <c r="L1070" i="13" s="1"/>
  <c r="I1071" i="13" s="1"/>
  <c r="K1093" i="14"/>
  <c r="L1093" i="14" s="1"/>
  <c r="I1094" i="14" s="1"/>
  <c r="N1258" i="13"/>
  <c r="J1257" i="13" a="1"/>
  <c r="J1257" i="13" s="1"/>
  <c r="M1260" i="13"/>
  <c r="N1257" i="14"/>
  <c r="J1256" i="14" a="1"/>
  <c r="J1256" i="14" s="1"/>
  <c r="M1261" i="14"/>
  <c r="K1071" i="13" l="1"/>
  <c r="L1071" i="13" s="1"/>
  <c r="I1072" i="13" s="1"/>
  <c r="K1094" i="14"/>
  <c r="L1094" i="14" s="1"/>
  <c r="I1095" i="14" s="1"/>
  <c r="M1261" i="13"/>
  <c r="M1262" i="14"/>
  <c r="J1257" i="14" a="1"/>
  <c r="J1257" i="14" s="1"/>
  <c r="N1258" i="14"/>
  <c r="J1258" i="13" a="1"/>
  <c r="J1258" i="13" s="1"/>
  <c r="N1259" i="13"/>
  <c r="K1072" i="13" l="1"/>
  <c r="L1072" i="13" s="1"/>
  <c r="I1073" i="13" s="1"/>
  <c r="K1095" i="14"/>
  <c r="L1095" i="14" s="1"/>
  <c r="I1096" i="14" s="1"/>
  <c r="M1263" i="14"/>
  <c r="J1258" i="14" a="1"/>
  <c r="J1258" i="14" s="1"/>
  <c r="N1259" i="14"/>
  <c r="J1259" i="13" a="1"/>
  <c r="J1259" i="13" s="1"/>
  <c r="N1260" i="13"/>
  <c r="M1262" i="13"/>
  <c r="K1073" i="13" l="1"/>
  <c r="L1073" i="13" s="1"/>
  <c r="I1074" i="13" s="1"/>
  <c r="K1096" i="14"/>
  <c r="L1096" i="14" s="1"/>
  <c r="I1097" i="14" s="1"/>
  <c r="J1259" i="14" a="1"/>
  <c r="J1259" i="14" s="1"/>
  <c r="N1260" i="14"/>
  <c r="J1260" i="13" a="1"/>
  <c r="J1260" i="13" s="1"/>
  <c r="N1261" i="13"/>
  <c r="M1264" i="14"/>
  <c r="M1263" i="13"/>
  <c r="K1074" i="13" l="1"/>
  <c r="L1074" i="13" s="1"/>
  <c r="I1075" i="13" s="1"/>
  <c r="K1097" i="14"/>
  <c r="L1097" i="14" s="1"/>
  <c r="I1098" i="14" s="1"/>
  <c r="N1262" i="13"/>
  <c r="J1261" i="13" a="1"/>
  <c r="J1261" i="13" s="1"/>
  <c r="M1265" i="14"/>
  <c r="M1264" i="13"/>
  <c r="N1261" i="14"/>
  <c r="J1260" i="14" a="1"/>
  <c r="J1260" i="14" s="1"/>
  <c r="K1075" i="13" l="1"/>
  <c r="L1075" i="13" s="1"/>
  <c r="I1076" i="13" s="1"/>
  <c r="K1098" i="14"/>
  <c r="L1098" i="14" s="1"/>
  <c r="I1099" i="14" s="1"/>
  <c r="J1261" i="14" a="1"/>
  <c r="J1261" i="14" s="1"/>
  <c r="N1262" i="14"/>
  <c r="M1266" i="14"/>
  <c r="M1265" i="13"/>
  <c r="J1262" i="13" a="1"/>
  <c r="J1262" i="13" s="1"/>
  <c r="N1263" i="13"/>
  <c r="K1076" i="13" l="1"/>
  <c r="L1076" i="13" s="1"/>
  <c r="I1077" i="13" s="1"/>
  <c r="K1099" i="14"/>
  <c r="L1099" i="14" s="1"/>
  <c r="I1100" i="14" s="1"/>
  <c r="M1267" i="14"/>
  <c r="J1263" i="13" a="1"/>
  <c r="J1263" i="13" s="1"/>
  <c r="N1264" i="13"/>
  <c r="J1262" i="14" a="1"/>
  <c r="J1262" i="14" s="1"/>
  <c r="N1263" i="14"/>
  <c r="M1266" i="13"/>
  <c r="K1077" i="13" l="1"/>
  <c r="L1077" i="13" s="1"/>
  <c r="I1078" i="13" s="1"/>
  <c r="K1100" i="14"/>
  <c r="L1100" i="14" s="1"/>
  <c r="I1101" i="14" s="1"/>
  <c r="J1264" i="13" a="1"/>
  <c r="J1264" i="13" s="1"/>
  <c r="N1265" i="13"/>
  <c r="J1263" i="14" a="1"/>
  <c r="J1263" i="14" s="1"/>
  <c r="N1264" i="14"/>
  <c r="M1268" i="14"/>
  <c r="M1267" i="13"/>
  <c r="K1078" i="13" l="1"/>
  <c r="L1078" i="13" s="1"/>
  <c r="I1079" i="13" s="1"/>
  <c r="M1269" i="14"/>
  <c r="N1265" i="14"/>
  <c r="J1264" i="14" a="1"/>
  <c r="J1264" i="14" s="1"/>
  <c r="K1101" i="14"/>
  <c r="L1101" i="14" s="1"/>
  <c r="I1102" i="14" s="1"/>
  <c r="M1268" i="13"/>
  <c r="N1266" i="13"/>
  <c r="J1265" i="13" a="1"/>
  <c r="J1265" i="13" s="1"/>
  <c r="K1079" i="13" l="1"/>
  <c r="L1079" i="13" s="1"/>
  <c r="I1080" i="13" s="1"/>
  <c r="K1102" i="14"/>
  <c r="L1102" i="14" s="1"/>
  <c r="I1103" i="14" s="1"/>
  <c r="M1269" i="13"/>
  <c r="J1265" i="14" a="1"/>
  <c r="J1265" i="14" s="1"/>
  <c r="N1266" i="14"/>
  <c r="J1266" i="13" a="1"/>
  <c r="J1266" i="13" s="1"/>
  <c r="N1267" i="13"/>
  <c r="M1270" i="14"/>
  <c r="K1080" i="13" l="1"/>
  <c r="L1080" i="13" s="1"/>
  <c r="I1081" i="13" s="1"/>
  <c r="K1103" i="14"/>
  <c r="L1103" i="14" s="1"/>
  <c r="I1104" i="14" s="1"/>
  <c r="J1267" i="13" a="1"/>
  <c r="J1267" i="13" s="1"/>
  <c r="N1268" i="13"/>
  <c r="J1266" i="14" a="1"/>
  <c r="J1266" i="14" s="1"/>
  <c r="N1267" i="14"/>
  <c r="M1271" i="14"/>
  <c r="M1270" i="13"/>
  <c r="K1081" i="13" l="1"/>
  <c r="L1081" i="13" s="1"/>
  <c r="I1082" i="13" s="1"/>
  <c r="K1104" i="14"/>
  <c r="L1104" i="14" s="1"/>
  <c r="I1105" i="14" s="1"/>
  <c r="J1267" i="14" a="1"/>
  <c r="J1267" i="14" s="1"/>
  <c r="N1268" i="14"/>
  <c r="M1271" i="13"/>
  <c r="J1268" i="13" a="1"/>
  <c r="J1268" i="13" s="1"/>
  <c r="N1269" i="13"/>
  <c r="M1272" i="14"/>
  <c r="K1082" i="13" l="1"/>
  <c r="L1082" i="13" s="1"/>
  <c r="I1083" i="13" s="1"/>
  <c r="K1105" i="14"/>
  <c r="L1105" i="14" s="1"/>
  <c r="I1106" i="14" s="1"/>
  <c r="N1269" i="14"/>
  <c r="J1268" i="14" a="1"/>
  <c r="J1268" i="14" s="1"/>
  <c r="M1273" i="14"/>
  <c r="N1270" i="13"/>
  <c r="J1269" i="13" a="1"/>
  <c r="J1269" i="13" s="1"/>
  <c r="M1272" i="13"/>
  <c r="K1083" i="13" l="1"/>
  <c r="L1083" i="13" s="1"/>
  <c r="I1084" i="13" s="1"/>
  <c r="K1106" i="14"/>
  <c r="L1106" i="14" s="1"/>
  <c r="I1107" i="14" s="1"/>
  <c r="M1273" i="13"/>
  <c r="M1274" i="14"/>
  <c r="J1270" i="13" a="1"/>
  <c r="J1270" i="13" s="1"/>
  <c r="N1271" i="13"/>
  <c r="J1269" i="14" a="1"/>
  <c r="J1269" i="14" s="1"/>
  <c r="N1270" i="14"/>
  <c r="K1084" i="13" l="1"/>
  <c r="L1084" i="13" s="1"/>
  <c r="I1085" i="13" s="1"/>
  <c r="K1107" i="14"/>
  <c r="L1107" i="14" s="1"/>
  <c r="I1108" i="14" s="1"/>
  <c r="J1270" i="14" a="1"/>
  <c r="J1270" i="14" s="1"/>
  <c r="N1271" i="14"/>
  <c r="J1271" i="13" a="1"/>
  <c r="J1271" i="13" s="1"/>
  <c r="N1272" i="13"/>
  <c r="M1275" i="14"/>
  <c r="M1274" i="13"/>
  <c r="K1085" i="13" l="1"/>
  <c r="L1085" i="13" s="1"/>
  <c r="I1086" i="13" s="1"/>
  <c r="K1108" i="14"/>
  <c r="L1108" i="14" s="1"/>
  <c r="I1109" i="14" s="1"/>
  <c r="J1272" i="13" a="1"/>
  <c r="J1272" i="13" s="1"/>
  <c r="N1273" i="13"/>
  <c r="J1271" i="14" a="1"/>
  <c r="J1271" i="14" s="1"/>
  <c r="N1272" i="14"/>
  <c r="M1275" i="13"/>
  <c r="M1276" i="14"/>
  <c r="K1086" i="13" l="1"/>
  <c r="L1086" i="13" s="1"/>
  <c r="I1087" i="13" s="1"/>
  <c r="K1109" i="14"/>
  <c r="L1109" i="14" s="1"/>
  <c r="I1110" i="14" s="1"/>
  <c r="N1273" i="14"/>
  <c r="J1272" i="14" a="1"/>
  <c r="J1272" i="14" s="1"/>
  <c r="N1274" i="13"/>
  <c r="J1273" i="13" a="1"/>
  <c r="J1273" i="13" s="1"/>
  <c r="M1277" i="14"/>
  <c r="M1276" i="13"/>
  <c r="K1087" i="13" l="1"/>
  <c r="L1087" i="13" s="1"/>
  <c r="I1088" i="13" s="1"/>
  <c r="K1110" i="14"/>
  <c r="L1110" i="14" s="1"/>
  <c r="I1111" i="14" s="1"/>
  <c r="M1277" i="13"/>
  <c r="J1274" i="13" a="1"/>
  <c r="J1274" i="13" s="1"/>
  <c r="N1275" i="13"/>
  <c r="M1278" i="14"/>
  <c r="J1273" i="14" a="1"/>
  <c r="J1273" i="14" s="1"/>
  <c r="N1274" i="14"/>
  <c r="K1088" i="13" l="1"/>
  <c r="L1088" i="13" s="1"/>
  <c r="I1089" i="13" s="1"/>
  <c r="K1111" i="14"/>
  <c r="L1111" i="14" s="1"/>
  <c r="I1112" i="14" s="1"/>
  <c r="J1275" i="13" a="1"/>
  <c r="J1275" i="13" s="1"/>
  <c r="N1276" i="13"/>
  <c r="J1274" i="14" a="1"/>
  <c r="J1274" i="14" s="1"/>
  <c r="N1275" i="14"/>
  <c r="M1279" i="14"/>
  <c r="M1278" i="13"/>
  <c r="K1089" i="13" l="1"/>
  <c r="L1089" i="13" s="1"/>
  <c r="I1090" i="13" s="1"/>
  <c r="K1112" i="14"/>
  <c r="L1112" i="14" s="1"/>
  <c r="I1113" i="14" s="1"/>
  <c r="J1275" i="14" a="1"/>
  <c r="J1275" i="14" s="1"/>
  <c r="N1276" i="14"/>
  <c r="J1276" i="13" a="1"/>
  <c r="J1276" i="13" s="1"/>
  <c r="N1277" i="13"/>
  <c r="M1279" i="13"/>
  <c r="M1280" i="14"/>
  <c r="K1090" i="13" l="1"/>
  <c r="L1090" i="13" s="1"/>
  <c r="I1091" i="13" s="1"/>
  <c r="K1113" i="14"/>
  <c r="L1113" i="14" s="1"/>
  <c r="I1114" i="14" s="1"/>
  <c r="N1278" i="13"/>
  <c r="J1277" i="13" a="1"/>
  <c r="J1277" i="13" s="1"/>
  <c r="M1281" i="14"/>
  <c r="N1277" i="14"/>
  <c r="J1276" i="14" a="1"/>
  <c r="J1276" i="14" s="1"/>
  <c r="M1280" i="13"/>
  <c r="K1091" i="13" l="1"/>
  <c r="L1091" i="13" s="1"/>
  <c r="I1092" i="13" s="1"/>
  <c r="K1114" i="14"/>
  <c r="L1114" i="14" s="1"/>
  <c r="I1115" i="14" s="1"/>
  <c r="M1281" i="13"/>
  <c r="M1282" i="14"/>
  <c r="J1277" i="14" a="1"/>
  <c r="J1277" i="14" s="1"/>
  <c r="N1278" i="14"/>
  <c r="J1278" i="13" a="1"/>
  <c r="J1278" i="13" s="1"/>
  <c r="N1279" i="13"/>
  <c r="K1092" i="13" l="1"/>
  <c r="L1092" i="13" s="1"/>
  <c r="I1093" i="13" s="1"/>
  <c r="K1115" i="14"/>
  <c r="L1115" i="14" s="1"/>
  <c r="I1116" i="14" s="1"/>
  <c r="M1283" i="14"/>
  <c r="J1278" i="14" a="1"/>
  <c r="J1278" i="14" s="1"/>
  <c r="N1279" i="14"/>
  <c r="J1279" i="13" a="1"/>
  <c r="J1279" i="13" s="1"/>
  <c r="N1280" i="13"/>
  <c r="M1282" i="13"/>
  <c r="K1093" i="13" l="1"/>
  <c r="L1093" i="13" s="1"/>
  <c r="I1094" i="13" s="1"/>
  <c r="K1116" i="14"/>
  <c r="L1116" i="14" s="1"/>
  <c r="I1117" i="14" s="1"/>
  <c r="J1279" i="14" a="1"/>
  <c r="J1279" i="14" s="1"/>
  <c r="N1280" i="14"/>
  <c r="M1283" i="13"/>
  <c r="J1280" i="13" a="1"/>
  <c r="J1280" i="13" s="1"/>
  <c r="N1281" i="13"/>
  <c r="M1284" i="14"/>
  <c r="K1094" i="13" l="1"/>
  <c r="L1094" i="13" s="1"/>
  <c r="I1095" i="13" s="1"/>
  <c r="K1117" i="14"/>
  <c r="L1117" i="14" s="1"/>
  <c r="I1118" i="14" s="1"/>
  <c r="N1282" i="13"/>
  <c r="J1281" i="13" a="1"/>
  <c r="J1281" i="13" s="1"/>
  <c r="M1285" i="14"/>
  <c r="M1284" i="13"/>
  <c r="N1281" i="14"/>
  <c r="J1280" i="14" a="1"/>
  <c r="J1280" i="14" s="1"/>
  <c r="K1095" i="13" l="1"/>
  <c r="L1095" i="13" s="1"/>
  <c r="I1096" i="13" s="1"/>
  <c r="K1118" i="14"/>
  <c r="L1118" i="14" s="1"/>
  <c r="I1119" i="14" s="1"/>
  <c r="J1281" i="14" a="1"/>
  <c r="J1281" i="14" s="1"/>
  <c r="N1282" i="14"/>
  <c r="M1286" i="14"/>
  <c r="M1285" i="13"/>
  <c r="J1282" i="13" a="1"/>
  <c r="J1282" i="13" s="1"/>
  <c r="N1283" i="13"/>
  <c r="K1096" i="13" l="1"/>
  <c r="L1096" i="13" s="1"/>
  <c r="I1097" i="13" s="1"/>
  <c r="K1119" i="14"/>
  <c r="L1119" i="14" s="1"/>
  <c r="I1120" i="14" s="1"/>
  <c r="M1287" i="14"/>
  <c r="J1282" i="14" a="1"/>
  <c r="J1282" i="14" s="1"/>
  <c r="N1283" i="14"/>
  <c r="J1283" i="13" a="1"/>
  <c r="J1283" i="13" s="1"/>
  <c r="N1284" i="13"/>
  <c r="M1286" i="13"/>
  <c r="K1097" i="13" l="1"/>
  <c r="L1097" i="13" s="1"/>
  <c r="I1098" i="13" s="1"/>
  <c r="K1120" i="14"/>
  <c r="L1120" i="14" s="1"/>
  <c r="I1121" i="14" s="1"/>
  <c r="J1283" i="14" a="1"/>
  <c r="J1283" i="14" s="1"/>
  <c r="N1284" i="14"/>
  <c r="M1287" i="13"/>
  <c r="J1284" i="13" a="1"/>
  <c r="J1284" i="13" s="1"/>
  <c r="N1285" i="13"/>
  <c r="M1288" i="14"/>
  <c r="K1098" i="13" l="1"/>
  <c r="L1098" i="13" s="1"/>
  <c r="I1099" i="13" s="1"/>
  <c r="K1121" i="14"/>
  <c r="L1121" i="14" s="1"/>
  <c r="I1122" i="14" s="1"/>
  <c r="M1289" i="14"/>
  <c r="M1288" i="13"/>
  <c r="N1286" i="13"/>
  <c r="J1285" i="13" a="1"/>
  <c r="J1285" i="13" s="1"/>
  <c r="N1285" i="14"/>
  <c r="J1284" i="14" a="1"/>
  <c r="J1284" i="14" s="1"/>
  <c r="K1099" i="13" l="1"/>
  <c r="L1099" i="13" s="1"/>
  <c r="I1100" i="13" s="1"/>
  <c r="K1122" i="14"/>
  <c r="L1122" i="14" s="1"/>
  <c r="I1123" i="14" s="1"/>
  <c r="M1289" i="13"/>
  <c r="J1285" i="14" a="1"/>
  <c r="J1285" i="14" s="1"/>
  <c r="N1286" i="14"/>
  <c r="J1286" i="13" a="1"/>
  <c r="J1286" i="13" s="1"/>
  <c r="N1287" i="13"/>
  <c r="M1290" i="14"/>
  <c r="K1100" i="13" l="1"/>
  <c r="L1100" i="13" s="1"/>
  <c r="I1101" i="13" s="1"/>
  <c r="K1123" i="14"/>
  <c r="L1123" i="14" s="1"/>
  <c r="I1124" i="14" s="1"/>
  <c r="J1286" i="14" a="1"/>
  <c r="J1286" i="14" s="1"/>
  <c r="N1287" i="14"/>
  <c r="J1287" i="13" a="1"/>
  <c r="J1287" i="13" s="1"/>
  <c r="N1288" i="13"/>
  <c r="M1291" i="14"/>
  <c r="M1290" i="13"/>
  <c r="K1101" i="13" l="1"/>
  <c r="L1101" i="13" s="1"/>
  <c r="I1102" i="13" s="1"/>
  <c r="K1124" i="14"/>
  <c r="L1124" i="14" s="1"/>
  <c r="I1125" i="14" s="1"/>
  <c r="J1288" i="13" a="1"/>
  <c r="J1288" i="13" s="1"/>
  <c r="N1289" i="13"/>
  <c r="M1291" i="13"/>
  <c r="M1292" i="14"/>
  <c r="J1287" i="14" a="1"/>
  <c r="J1287" i="14" s="1"/>
  <c r="N1288" i="14"/>
  <c r="K1102" i="13" l="1"/>
  <c r="L1102" i="13" s="1"/>
  <c r="I1103" i="13" s="1"/>
  <c r="K1125" i="14"/>
  <c r="L1125" i="14" s="1"/>
  <c r="I1126" i="14" s="1"/>
  <c r="N1290" i="13"/>
  <c r="J1289" i="13" a="1"/>
  <c r="J1289" i="13" s="1"/>
  <c r="M1293" i="14"/>
  <c r="N1289" i="14"/>
  <c r="J1288" i="14" a="1"/>
  <c r="J1288" i="14" s="1"/>
  <c r="M1292" i="13"/>
  <c r="K1103" i="13" l="1"/>
  <c r="L1103" i="13" s="1"/>
  <c r="I1104" i="13" s="1"/>
  <c r="K1126" i="14"/>
  <c r="L1126" i="14" s="1"/>
  <c r="I1127" i="14" s="1"/>
  <c r="M1293" i="13"/>
  <c r="M1294" i="14"/>
  <c r="J1289" i="14" a="1"/>
  <c r="J1289" i="14" s="1"/>
  <c r="N1290" i="14"/>
  <c r="J1290" i="13" a="1"/>
  <c r="J1290" i="13" s="1"/>
  <c r="N1291" i="13"/>
  <c r="K1104" i="13" l="1"/>
  <c r="L1104" i="13" s="1"/>
  <c r="I1105" i="13" s="1"/>
  <c r="K1127" i="14"/>
  <c r="L1127" i="14" s="1"/>
  <c r="I1128" i="14" s="1"/>
  <c r="M1295" i="14"/>
  <c r="J1290" i="14" a="1"/>
  <c r="J1290" i="14" s="1"/>
  <c r="N1291" i="14"/>
  <c r="J1291" i="13" a="1"/>
  <c r="J1291" i="13" s="1"/>
  <c r="N1292" i="13"/>
  <c r="M1294" i="13"/>
  <c r="K1105" i="13" l="1"/>
  <c r="L1105" i="13" s="1"/>
  <c r="I1106" i="13" s="1"/>
  <c r="K1128" i="14"/>
  <c r="L1128" i="14" s="1"/>
  <c r="I1129" i="14" s="1"/>
  <c r="J1291" i="14" a="1"/>
  <c r="J1291" i="14" s="1"/>
  <c r="N1292" i="14"/>
  <c r="J1292" i="13" a="1"/>
  <c r="J1292" i="13" s="1"/>
  <c r="N1293" i="13"/>
  <c r="M1296" i="14"/>
  <c r="M1295" i="13"/>
  <c r="K1106" i="13" l="1"/>
  <c r="L1106" i="13" s="1"/>
  <c r="I1107" i="13" s="1"/>
  <c r="K1129" i="14"/>
  <c r="L1129" i="14" s="1"/>
  <c r="I1130" i="14" s="1"/>
  <c r="N1294" i="13"/>
  <c r="J1293" i="13" a="1"/>
  <c r="J1293" i="13" s="1"/>
  <c r="N1293" i="14"/>
  <c r="J1292" i="14" a="1"/>
  <c r="J1292" i="14" s="1"/>
  <c r="M1296" i="13"/>
  <c r="M1297" i="14"/>
  <c r="K1107" i="13" l="1"/>
  <c r="L1107" i="13" s="1"/>
  <c r="I1108" i="13" s="1"/>
  <c r="K1130" i="14"/>
  <c r="L1130" i="14" s="1"/>
  <c r="I1131" i="14" s="1"/>
  <c r="M1298" i="14"/>
  <c r="J1293" i="14" a="1"/>
  <c r="J1293" i="14" s="1"/>
  <c r="N1294" i="14"/>
  <c r="M1297" i="13"/>
  <c r="J1294" i="13" a="1"/>
  <c r="J1294" i="13" s="1"/>
  <c r="N1295" i="13"/>
  <c r="K1108" i="13" l="1"/>
  <c r="L1108" i="13" s="1"/>
  <c r="I1109" i="13" s="1"/>
  <c r="K1131" i="14"/>
  <c r="L1131" i="14" s="1"/>
  <c r="I1132" i="14" s="1"/>
  <c r="J1294" i="14" a="1"/>
  <c r="J1294" i="14" s="1"/>
  <c r="N1295" i="14"/>
  <c r="J1295" i="13" a="1"/>
  <c r="J1295" i="13" s="1"/>
  <c r="N1296" i="13"/>
  <c r="M1298" i="13"/>
  <c r="M1299" i="14"/>
  <c r="K1109" i="13" l="1"/>
  <c r="L1109" i="13" s="1"/>
  <c r="I1110" i="13" s="1"/>
  <c r="K1132" i="14"/>
  <c r="L1132" i="14" s="1"/>
  <c r="I1133" i="14" s="1"/>
  <c r="M1300" i="14"/>
  <c r="J1296" i="13" a="1"/>
  <c r="J1296" i="13" s="1"/>
  <c r="N1297" i="13"/>
  <c r="J1295" i="14" a="1"/>
  <c r="J1295" i="14" s="1"/>
  <c r="N1296" i="14"/>
  <c r="M1299" i="13"/>
  <c r="K1110" i="13" l="1"/>
  <c r="L1110" i="13" s="1"/>
  <c r="I1111" i="13" s="1"/>
  <c r="K1133" i="14"/>
  <c r="L1133" i="14" s="1"/>
  <c r="I1134" i="14" s="1"/>
  <c r="M1300" i="13"/>
  <c r="N1298" i="13"/>
  <c r="J1297" i="13" a="1"/>
  <c r="J1297" i="13" s="1"/>
  <c r="N1297" i="14"/>
  <c r="J1296" i="14" a="1"/>
  <c r="J1296" i="14" s="1"/>
  <c r="M1301" i="14"/>
  <c r="K1111" i="13" l="1"/>
  <c r="L1111" i="13" s="1"/>
  <c r="I1112" i="13" s="1"/>
  <c r="K1134" i="14"/>
  <c r="L1134" i="14" s="1"/>
  <c r="I1135" i="14" s="1"/>
  <c r="J1298" i="13" a="1"/>
  <c r="J1298" i="13" s="1"/>
  <c r="N1299" i="13"/>
  <c r="M1302" i="14"/>
  <c r="M1301" i="13"/>
  <c r="J1297" i="14" a="1"/>
  <c r="J1297" i="14" s="1"/>
  <c r="N1298" i="14"/>
  <c r="K1112" i="13" l="1"/>
  <c r="L1112" i="13" s="1"/>
  <c r="I1113" i="13" s="1"/>
  <c r="K1135" i="14"/>
  <c r="L1135" i="14" s="1"/>
  <c r="I1136" i="14" s="1"/>
  <c r="J1298" i="14" a="1"/>
  <c r="J1298" i="14" s="1"/>
  <c r="N1299" i="14"/>
  <c r="M1303" i="14"/>
  <c r="J1299" i="13" a="1"/>
  <c r="J1299" i="13" s="1"/>
  <c r="N1300" i="13"/>
  <c r="M1302" i="13"/>
  <c r="K1113" i="13" l="1"/>
  <c r="L1113" i="13" s="1"/>
  <c r="I1114" i="13" s="1"/>
  <c r="K1136" i="14"/>
  <c r="L1136" i="14" s="1"/>
  <c r="I1137" i="14" s="1"/>
  <c r="M1304" i="14"/>
  <c r="M1303" i="13"/>
  <c r="J1300" i="13" a="1"/>
  <c r="J1300" i="13" s="1"/>
  <c r="N1301" i="13"/>
  <c r="J1299" i="14" a="1"/>
  <c r="J1299" i="14" s="1"/>
  <c r="N1300" i="14"/>
  <c r="K1114" i="13" l="1"/>
  <c r="L1114" i="13" s="1"/>
  <c r="I1115" i="13" s="1"/>
  <c r="K1137" i="14"/>
  <c r="L1137" i="14" s="1"/>
  <c r="I1138" i="14" s="1"/>
  <c r="M1304" i="13"/>
  <c r="N1301" i="14"/>
  <c r="J1300" i="14" a="1"/>
  <c r="J1300" i="14" s="1"/>
  <c r="N1302" i="13"/>
  <c r="J1301" i="13" a="1"/>
  <c r="J1301" i="13" s="1"/>
  <c r="M1305" i="14"/>
  <c r="K1115" i="13" l="1"/>
  <c r="L1115" i="13" s="1"/>
  <c r="I1116" i="13" s="1"/>
  <c r="K1138" i="14"/>
  <c r="L1138" i="14" s="1"/>
  <c r="I1139" i="14" s="1"/>
  <c r="J1301" i="14" a="1"/>
  <c r="J1301" i="14" s="1"/>
  <c r="N1302" i="14"/>
  <c r="M1305" i="13"/>
  <c r="M1306" i="14"/>
  <c r="J1302" i="13" a="1"/>
  <c r="J1302" i="13" s="1"/>
  <c r="N1303" i="13"/>
  <c r="K1116" i="13" l="1"/>
  <c r="L1116" i="13" s="1"/>
  <c r="I1117" i="13" s="1"/>
  <c r="K1139" i="14"/>
  <c r="L1139" i="14" s="1"/>
  <c r="I1140" i="14" s="1"/>
  <c r="J1303" i="13" a="1"/>
  <c r="J1303" i="13" s="1"/>
  <c r="N1304" i="13"/>
  <c r="M1306" i="13"/>
  <c r="J1302" i="14" a="1"/>
  <c r="J1302" i="14" s="1"/>
  <c r="N1303" i="14"/>
  <c r="M1307" i="14"/>
  <c r="K1117" i="13" l="1"/>
  <c r="L1117" i="13" s="1"/>
  <c r="I1118" i="13" s="1"/>
  <c r="K1140" i="14"/>
  <c r="L1140" i="14" s="1"/>
  <c r="I1141" i="14" s="1"/>
  <c r="M1308" i="14"/>
  <c r="M1307" i="13"/>
  <c r="J1304" i="13" a="1"/>
  <c r="J1304" i="13" s="1"/>
  <c r="N1305" i="13"/>
  <c r="J1303" i="14" a="1"/>
  <c r="J1303" i="14" s="1"/>
  <c r="N1304" i="14"/>
  <c r="K1118" i="13" l="1"/>
  <c r="L1118" i="13" s="1"/>
  <c r="I1119" i="13" s="1"/>
  <c r="K1141" i="14"/>
  <c r="L1141" i="14" s="1"/>
  <c r="I1142" i="14" s="1"/>
  <c r="M1308" i="13"/>
  <c r="N1305" i="14"/>
  <c r="J1304" i="14" a="1"/>
  <c r="J1304" i="14" s="1"/>
  <c r="N1306" i="13"/>
  <c r="J1305" i="13" a="1"/>
  <c r="J1305" i="13" s="1"/>
  <c r="M1309" i="14"/>
  <c r="K1119" i="13" l="1"/>
  <c r="L1119" i="13" s="1"/>
  <c r="I1120" i="13" s="1"/>
  <c r="K1142" i="14"/>
  <c r="L1142" i="14" s="1"/>
  <c r="I1143" i="14" s="1"/>
  <c r="J1305" i="14" a="1"/>
  <c r="J1305" i="14" s="1"/>
  <c r="N1306" i="14"/>
  <c r="M1309" i="13"/>
  <c r="M1310" i="14"/>
  <c r="J1306" i="13" a="1"/>
  <c r="J1306" i="13" s="1"/>
  <c r="N1307" i="13"/>
  <c r="K1120" i="13" l="1"/>
  <c r="L1120" i="13" s="1"/>
  <c r="I1121" i="13" s="1"/>
  <c r="K1143" i="14"/>
  <c r="L1143" i="14" s="1"/>
  <c r="I1144" i="14" s="1"/>
  <c r="J1307" i="13" a="1"/>
  <c r="J1307" i="13" s="1"/>
  <c r="N1308" i="13"/>
  <c r="M1310" i="13"/>
  <c r="J1306" i="14" a="1"/>
  <c r="J1306" i="14" s="1"/>
  <c r="N1307" i="14"/>
  <c r="M1311" i="14"/>
  <c r="K1121" i="13" l="1"/>
  <c r="L1121" i="13" s="1"/>
  <c r="I1122" i="13" s="1"/>
  <c r="K1144" i="14"/>
  <c r="L1144" i="14" s="1"/>
  <c r="I1145" i="14" s="1"/>
  <c r="M1311" i="13"/>
  <c r="J1307" i="14" a="1"/>
  <c r="J1307" i="14" s="1"/>
  <c r="N1308" i="14"/>
  <c r="J1308" i="13" a="1"/>
  <c r="J1308" i="13" s="1"/>
  <c r="N1309" i="13"/>
  <c r="M1312" i="14"/>
  <c r="K1122" i="13" l="1"/>
  <c r="L1122" i="13" s="1"/>
  <c r="I1123" i="13" s="1"/>
  <c r="K1145" i="14"/>
  <c r="L1145" i="14" s="1"/>
  <c r="I1146" i="14" s="1"/>
  <c r="N1310" i="13"/>
  <c r="J1309" i="13" a="1"/>
  <c r="J1309" i="13" s="1"/>
  <c r="N1309" i="14"/>
  <c r="J1308" i="14" a="1"/>
  <c r="J1308" i="14" s="1"/>
  <c r="M1313" i="14"/>
  <c r="M1312" i="13"/>
  <c r="K1123" i="13" l="1"/>
  <c r="L1123" i="13" s="1"/>
  <c r="I1124" i="13" s="1"/>
  <c r="K1146" i="14"/>
  <c r="L1146" i="14" s="1"/>
  <c r="I1147" i="14" s="1"/>
  <c r="M1313" i="13"/>
  <c r="J1309" i="14" a="1"/>
  <c r="J1309" i="14" s="1"/>
  <c r="N1310" i="14"/>
  <c r="M1314" i="14"/>
  <c r="J1310" i="13" a="1"/>
  <c r="J1310" i="13" s="1"/>
  <c r="N1311" i="13"/>
  <c r="K1124" i="13" l="1"/>
  <c r="L1124" i="13" s="1"/>
  <c r="I1125" i="13" s="1"/>
  <c r="K1147" i="14"/>
  <c r="L1147" i="14" s="1"/>
  <c r="I1148" i="14" s="1"/>
  <c r="J1311" i="13" a="1"/>
  <c r="J1311" i="13" s="1"/>
  <c r="N1312" i="13"/>
  <c r="J1310" i="14" a="1"/>
  <c r="J1310" i="14" s="1"/>
  <c r="N1311" i="14"/>
  <c r="M1315" i="14"/>
  <c r="M1314" i="13"/>
  <c r="K1125" i="13" l="1"/>
  <c r="L1125" i="13" s="1"/>
  <c r="I1126" i="13" s="1"/>
  <c r="K1148" i="14"/>
  <c r="L1148" i="14" s="1"/>
  <c r="I1149" i="14" s="1"/>
  <c r="J1311" i="14" a="1"/>
  <c r="J1311" i="14" s="1"/>
  <c r="N1312" i="14"/>
  <c r="J1312" i="13" a="1"/>
  <c r="J1312" i="13" s="1"/>
  <c r="N1313" i="13"/>
  <c r="M1315" i="13"/>
  <c r="M1316" i="14"/>
  <c r="K1126" i="13" l="1"/>
  <c r="L1126" i="13" s="1"/>
  <c r="I1127" i="13" s="1"/>
  <c r="K1149" i="14"/>
  <c r="L1149" i="14" s="1"/>
  <c r="I1150" i="14" s="1"/>
  <c r="N1314" i="13"/>
  <c r="J1313" i="13" a="1"/>
  <c r="J1313" i="13" s="1"/>
  <c r="N1313" i="14"/>
  <c r="J1312" i="14" a="1"/>
  <c r="J1312" i="14" s="1"/>
  <c r="M1317" i="14"/>
  <c r="M1316" i="13"/>
  <c r="K1127" i="13" l="1"/>
  <c r="L1127" i="13" s="1"/>
  <c r="I1128" i="13" s="1"/>
  <c r="K1150" i="14"/>
  <c r="L1150" i="14" s="1"/>
  <c r="I1151" i="14" s="1"/>
  <c r="J1313" i="14" a="1"/>
  <c r="J1313" i="14" s="1"/>
  <c r="N1314" i="14"/>
  <c r="M1317" i="13"/>
  <c r="M1318" i="14"/>
  <c r="J1314" i="13" a="1"/>
  <c r="J1314" i="13" s="1"/>
  <c r="N1315" i="13"/>
  <c r="K1128" i="13" l="1"/>
  <c r="L1128" i="13" s="1"/>
  <c r="I1129" i="13" s="1"/>
  <c r="K1151" i="14"/>
  <c r="L1151" i="14" s="1"/>
  <c r="I1152" i="14" s="1"/>
  <c r="M1318" i="13"/>
  <c r="J1315" i="13" a="1"/>
  <c r="J1315" i="13" s="1"/>
  <c r="N1316" i="13"/>
  <c r="J1314" i="14" a="1"/>
  <c r="J1314" i="14" s="1"/>
  <c r="N1315" i="14"/>
  <c r="M1319" i="14"/>
  <c r="K1129" i="13" l="1"/>
  <c r="L1129" i="13" s="1"/>
  <c r="I1130" i="13" s="1"/>
  <c r="K1152" i="14"/>
  <c r="L1152" i="14" s="1"/>
  <c r="I1153" i="14" s="1"/>
  <c r="J1316" i="13" a="1"/>
  <c r="J1316" i="13" s="1"/>
  <c r="N1317" i="13"/>
  <c r="M1320" i="14"/>
  <c r="J1315" i="14" a="1"/>
  <c r="J1315" i="14" s="1"/>
  <c r="N1316" i="14"/>
  <c r="M1319" i="13"/>
  <c r="K1130" i="13" l="1"/>
  <c r="L1130" i="13" s="1"/>
  <c r="I1131" i="13" s="1"/>
  <c r="K1153" i="14"/>
  <c r="L1153" i="14" s="1"/>
  <c r="I1154" i="14" s="1"/>
  <c r="M1320" i="13"/>
  <c r="M1321" i="14"/>
  <c r="N1317" i="14"/>
  <c r="J1316" i="14" a="1"/>
  <c r="J1316" i="14" s="1"/>
  <c r="N1318" i="13"/>
  <c r="J1317" i="13" a="1"/>
  <c r="J1317" i="13" s="1"/>
  <c r="K1131" i="13" l="1"/>
  <c r="L1131" i="13" s="1"/>
  <c r="I1132" i="13" s="1"/>
  <c r="K1154" i="14"/>
  <c r="L1154" i="14" s="1"/>
  <c r="I1155" i="14" s="1"/>
  <c r="J1318" i="13" a="1"/>
  <c r="J1318" i="13" s="1"/>
  <c r="N1319" i="13"/>
  <c r="M1322" i="14"/>
  <c r="M1321" i="13"/>
  <c r="J1317" i="14" a="1"/>
  <c r="J1317" i="14" s="1"/>
  <c r="N1318" i="14"/>
  <c r="K1132" i="13" l="1"/>
  <c r="L1132" i="13" s="1"/>
  <c r="I1133" i="13" s="1"/>
  <c r="K1155" i="14"/>
  <c r="L1155" i="14" s="1"/>
  <c r="I1156" i="14" s="1"/>
  <c r="J1318" i="14" a="1"/>
  <c r="J1318" i="14" s="1"/>
  <c r="N1319" i="14"/>
  <c r="M1323" i="14"/>
  <c r="J1319" i="13" a="1"/>
  <c r="J1319" i="13" s="1"/>
  <c r="N1320" i="13"/>
  <c r="M1322" i="13"/>
  <c r="K1133" i="13" l="1"/>
  <c r="L1133" i="13" s="1"/>
  <c r="I1134" i="13" s="1"/>
  <c r="K1156" i="14"/>
  <c r="L1156" i="14" s="1"/>
  <c r="I1157" i="14" s="1"/>
  <c r="M1324" i="14"/>
  <c r="M1323" i="13"/>
  <c r="J1320" i="13" a="1"/>
  <c r="J1320" i="13" s="1"/>
  <c r="N1321" i="13"/>
  <c r="J1319" i="14" a="1"/>
  <c r="J1319" i="14" s="1"/>
  <c r="N1320" i="14"/>
  <c r="K1134" i="13" l="1"/>
  <c r="L1134" i="13" s="1"/>
  <c r="I1135" i="13" s="1"/>
  <c r="K1157" i="14"/>
  <c r="L1157" i="14" s="1"/>
  <c r="I1158" i="14" s="1"/>
  <c r="N1321" i="14"/>
  <c r="J1320" i="14" a="1"/>
  <c r="J1320" i="14" s="1"/>
  <c r="M1324" i="13"/>
  <c r="N1322" i="13"/>
  <c r="J1321" i="13" a="1"/>
  <c r="J1321" i="13" s="1"/>
  <c r="M1325" i="14"/>
  <c r="K1135" i="13" l="1"/>
  <c r="L1135" i="13" s="1"/>
  <c r="I1136" i="13" s="1"/>
  <c r="K1158" i="14"/>
  <c r="L1158" i="14" s="1"/>
  <c r="I1159" i="14" s="1"/>
  <c r="M1325" i="13"/>
  <c r="M1326" i="14"/>
  <c r="J1322" i="13" a="1"/>
  <c r="J1322" i="13" s="1"/>
  <c r="N1323" i="13"/>
  <c r="J1321" i="14" a="1"/>
  <c r="J1321" i="14" s="1"/>
  <c r="N1322" i="14"/>
  <c r="K1136" i="13" l="1"/>
  <c r="L1136" i="13" s="1"/>
  <c r="I1137" i="13" s="1"/>
  <c r="K1159" i="14"/>
  <c r="L1159" i="14" s="1"/>
  <c r="I1160" i="14" s="1"/>
  <c r="J1322" i="14" a="1"/>
  <c r="J1322" i="14" s="1"/>
  <c r="N1323" i="14"/>
  <c r="M1327" i="14"/>
  <c r="J1323" i="13" a="1"/>
  <c r="J1323" i="13" s="1"/>
  <c r="N1324" i="13"/>
  <c r="M1326" i="13"/>
  <c r="K1137" i="13" l="1"/>
  <c r="L1137" i="13" s="1"/>
  <c r="I1138" i="13" s="1"/>
  <c r="K1160" i="14"/>
  <c r="L1160" i="14" s="1"/>
  <c r="I1161" i="14" s="1"/>
  <c r="M1328" i="14"/>
  <c r="M1327" i="13"/>
  <c r="J1324" i="13" a="1"/>
  <c r="J1324" i="13" s="1"/>
  <c r="N1325" i="13"/>
  <c r="J1323" i="14" a="1"/>
  <c r="J1323" i="14" s="1"/>
  <c r="N1324" i="14"/>
  <c r="K1138" i="13" l="1"/>
  <c r="L1138" i="13" s="1"/>
  <c r="I1139" i="13" s="1"/>
  <c r="K1161" i="14"/>
  <c r="L1161" i="14" s="1"/>
  <c r="I1162" i="14" s="1"/>
  <c r="N1325" i="14"/>
  <c r="J1324" i="14" a="1"/>
  <c r="J1324" i="14" s="1"/>
  <c r="M1328" i="13"/>
  <c r="N1326" i="13"/>
  <c r="J1325" i="13" a="1"/>
  <c r="J1325" i="13" s="1"/>
  <c r="M1329" i="14"/>
  <c r="K1139" i="13" l="1"/>
  <c r="L1139" i="13" s="1"/>
  <c r="I1140" i="13" s="1"/>
  <c r="M1329" i="13"/>
  <c r="K1162" i="14"/>
  <c r="L1162" i="14" s="1"/>
  <c r="I1163" i="14" s="1"/>
  <c r="M1330" i="14"/>
  <c r="J1326" i="13" a="1"/>
  <c r="J1326" i="13" s="1"/>
  <c r="N1327" i="13"/>
  <c r="J1325" i="14" a="1"/>
  <c r="J1325" i="14" s="1"/>
  <c r="N1326" i="14"/>
  <c r="K1140" i="13" l="1"/>
  <c r="L1140" i="13" s="1"/>
  <c r="I1141" i="13" s="1"/>
  <c r="K1163" i="14"/>
  <c r="L1163" i="14" s="1"/>
  <c r="I1164" i="14" s="1"/>
  <c r="M1330" i="13"/>
  <c r="J1326" i="14" a="1"/>
  <c r="J1326" i="14" s="1"/>
  <c r="N1327" i="14"/>
  <c r="M1331" i="14"/>
  <c r="J1327" i="13" a="1"/>
  <c r="J1327" i="13" s="1"/>
  <c r="N1328" i="13"/>
  <c r="K1141" i="13" l="1"/>
  <c r="L1141" i="13" s="1"/>
  <c r="I1142" i="13" s="1"/>
  <c r="K1164" i="14"/>
  <c r="L1164" i="14" s="1"/>
  <c r="I1165" i="14" s="1"/>
  <c r="J1328" i="13" a="1"/>
  <c r="J1328" i="13" s="1"/>
  <c r="N1329" i="13"/>
  <c r="J1327" i="14" a="1"/>
  <c r="J1327" i="14" s="1"/>
  <c r="N1328" i="14"/>
  <c r="M1332" i="14"/>
  <c r="M1331" i="13"/>
  <c r="K1142" i="13" l="1"/>
  <c r="L1142" i="13" s="1"/>
  <c r="I1143" i="13" s="1"/>
  <c r="K1165" i="14"/>
  <c r="L1165" i="14" s="1"/>
  <c r="I1166" i="14" s="1"/>
  <c r="M1332" i="13"/>
  <c r="N1330" i="13"/>
  <c r="J1329" i="13" a="1"/>
  <c r="J1329" i="13" s="1"/>
  <c r="N1329" i="14"/>
  <c r="J1328" i="14" a="1"/>
  <c r="J1328" i="14" s="1"/>
  <c r="M1333" i="14"/>
  <c r="K1143" i="13" l="1"/>
  <c r="L1143" i="13" s="1"/>
  <c r="I1144" i="13" s="1"/>
  <c r="K1166" i="14"/>
  <c r="L1166" i="14" s="1"/>
  <c r="I1167" i="14" s="1"/>
  <c r="M1334" i="14"/>
  <c r="J1330" i="13" a="1"/>
  <c r="J1330" i="13" s="1"/>
  <c r="N1331" i="13"/>
  <c r="M1333" i="13"/>
  <c r="J1329" i="14" a="1"/>
  <c r="J1329" i="14" s="1"/>
  <c r="N1330" i="14"/>
  <c r="K1144" i="13" l="1"/>
  <c r="L1144" i="13" s="1"/>
  <c r="I1145" i="13" s="1"/>
  <c r="K1167" i="14"/>
  <c r="L1167" i="14" s="1"/>
  <c r="I1168" i="14" s="1"/>
  <c r="J1330" i="14" a="1"/>
  <c r="J1330" i="14" s="1"/>
  <c r="N1331" i="14"/>
  <c r="J1331" i="13" a="1"/>
  <c r="J1331" i="13" s="1"/>
  <c r="N1332" i="13"/>
  <c r="M1334" i="13"/>
  <c r="M1335" i="14"/>
  <c r="K1145" i="13" l="1"/>
  <c r="L1145" i="13" s="1"/>
  <c r="I1146" i="13" s="1"/>
  <c r="K1168" i="14"/>
  <c r="L1168" i="14" s="1"/>
  <c r="I1169" i="14" s="1"/>
  <c r="J1332" i="13" a="1"/>
  <c r="J1332" i="13" s="1"/>
  <c r="N1333" i="13"/>
  <c r="J1331" i="14" a="1"/>
  <c r="J1331" i="14" s="1"/>
  <c r="N1332" i="14"/>
  <c r="M1336" i="14"/>
  <c r="M1335" i="13"/>
  <c r="K1146" i="13" l="1"/>
  <c r="L1146" i="13" s="1"/>
  <c r="I1147" i="13" s="1"/>
  <c r="K1169" i="14"/>
  <c r="L1169" i="14" s="1"/>
  <c r="I1170" i="14" s="1"/>
  <c r="N1333" i="14"/>
  <c r="J1332" i="14" a="1"/>
  <c r="J1332" i="14" s="1"/>
  <c r="N1334" i="13"/>
  <c r="J1333" i="13" a="1"/>
  <c r="J1333" i="13" s="1"/>
  <c r="M1336" i="13"/>
  <c r="M1337" i="14"/>
  <c r="K1147" i="13" l="1"/>
  <c r="L1147" i="13" s="1"/>
  <c r="I1148" i="13" s="1"/>
  <c r="K1170" i="14"/>
  <c r="L1170" i="14" s="1"/>
  <c r="I1171" i="14" s="1"/>
  <c r="M1338" i="14"/>
  <c r="J1334" i="13" a="1"/>
  <c r="J1334" i="13" s="1"/>
  <c r="N1335" i="13"/>
  <c r="M1337" i="13"/>
  <c r="J1333" i="14" a="1"/>
  <c r="J1333" i="14" s="1"/>
  <c r="N1334" i="14"/>
  <c r="K1148" i="13" l="1"/>
  <c r="L1148" i="13" s="1"/>
  <c r="I1149" i="13" s="1"/>
  <c r="K1171" i="14"/>
  <c r="L1171" i="14" s="1"/>
  <c r="I1172" i="14" s="1"/>
  <c r="J1334" i="14" a="1"/>
  <c r="J1334" i="14" s="1"/>
  <c r="N1335" i="14"/>
  <c r="J1335" i="13" a="1"/>
  <c r="J1335" i="13" s="1"/>
  <c r="N1336" i="13"/>
  <c r="M1338" i="13"/>
  <c r="M1339" i="14"/>
  <c r="K1149" i="13" l="1"/>
  <c r="L1149" i="13" s="1"/>
  <c r="I1150" i="13" s="1"/>
  <c r="K1172" i="14"/>
  <c r="L1172" i="14" s="1"/>
  <c r="I1173" i="14" s="1"/>
  <c r="J1336" i="13" a="1"/>
  <c r="J1336" i="13" s="1"/>
  <c r="N1337" i="13"/>
  <c r="J1335" i="14" a="1"/>
  <c r="J1335" i="14" s="1"/>
  <c r="N1336" i="14"/>
  <c r="M1340" i="14"/>
  <c r="M1339" i="13"/>
  <c r="K1150" i="13" l="1"/>
  <c r="L1150" i="13" s="1"/>
  <c r="I1151" i="13" s="1"/>
  <c r="K1173" i="14"/>
  <c r="L1173" i="14" s="1"/>
  <c r="I1174" i="14" s="1"/>
  <c r="N1337" i="14"/>
  <c r="J1336" i="14" a="1"/>
  <c r="J1336" i="14" s="1"/>
  <c r="N1338" i="13"/>
  <c r="J1337" i="13" a="1"/>
  <c r="J1337" i="13" s="1"/>
  <c r="M1340" i="13"/>
  <c r="M1341" i="14"/>
  <c r="K1151" i="13" l="1"/>
  <c r="L1151" i="13" s="1"/>
  <c r="I1152" i="13" s="1"/>
  <c r="K1174" i="14"/>
  <c r="L1174" i="14" s="1"/>
  <c r="I1175" i="14" s="1"/>
  <c r="M1342" i="14"/>
  <c r="J1338" i="13" a="1"/>
  <c r="J1338" i="13" s="1"/>
  <c r="N1339" i="13"/>
  <c r="M1341" i="13"/>
  <c r="J1337" i="14" a="1"/>
  <c r="J1337" i="14" s="1"/>
  <c r="N1338" i="14"/>
  <c r="K1152" i="13" l="1"/>
  <c r="L1152" i="13" s="1"/>
  <c r="I1153" i="13" s="1"/>
  <c r="K1175" i="14"/>
  <c r="L1175" i="14" s="1"/>
  <c r="I1176" i="14" s="1"/>
  <c r="J1339" i="13" a="1"/>
  <c r="J1339" i="13" s="1"/>
  <c r="N1340" i="13"/>
  <c r="J1338" i="14" a="1"/>
  <c r="J1338" i="14" s="1"/>
  <c r="N1339" i="14"/>
  <c r="M1342" i="13"/>
  <c r="M1343" i="14"/>
  <c r="K1153" i="13" l="1"/>
  <c r="L1153" i="13" s="1"/>
  <c r="I1154" i="13" s="1"/>
  <c r="K1176" i="14"/>
  <c r="L1176" i="14" s="1"/>
  <c r="I1177" i="14" s="1"/>
  <c r="M1344" i="14"/>
  <c r="J1340" i="13" a="1"/>
  <c r="J1340" i="13" s="1"/>
  <c r="N1341" i="13"/>
  <c r="J1339" i="14" a="1"/>
  <c r="J1339" i="14" s="1"/>
  <c r="N1340" i="14"/>
  <c r="M1343" i="13"/>
  <c r="K1154" i="13" l="1"/>
  <c r="L1154" i="13" s="1"/>
  <c r="I1155" i="13" s="1"/>
  <c r="K1177" i="14"/>
  <c r="L1177" i="14" s="1"/>
  <c r="I1178" i="14" s="1"/>
  <c r="N1342" i="13"/>
  <c r="J1341" i="13" a="1"/>
  <c r="J1341" i="13" s="1"/>
  <c r="M1344" i="13"/>
  <c r="N1341" i="14"/>
  <c r="J1340" i="14" a="1"/>
  <c r="J1340" i="14" s="1"/>
  <c r="M1345" i="14"/>
  <c r="K1155" i="13" l="1"/>
  <c r="L1155" i="13" s="1"/>
  <c r="I1156" i="13" s="1"/>
  <c r="K1178" i="14"/>
  <c r="L1178" i="14" s="1"/>
  <c r="I1179" i="14" s="1"/>
  <c r="M1345" i="13"/>
  <c r="M1346" i="14"/>
  <c r="J1341" i="14" a="1"/>
  <c r="J1341" i="14" s="1"/>
  <c r="N1342" i="14"/>
  <c r="J1342" i="13" a="1"/>
  <c r="J1342" i="13" s="1"/>
  <c r="N1343" i="13"/>
  <c r="K1156" i="13" l="1"/>
  <c r="L1156" i="13" s="1"/>
  <c r="I1157" i="13" s="1"/>
  <c r="K1179" i="14"/>
  <c r="L1179" i="14" s="1"/>
  <c r="I1180" i="14" s="1"/>
  <c r="J1343" i="13" a="1"/>
  <c r="J1343" i="13" s="1"/>
  <c r="N1344" i="13"/>
  <c r="M1347" i="14"/>
  <c r="J1342" i="14" a="1"/>
  <c r="J1342" i="14" s="1"/>
  <c r="N1343" i="14"/>
  <c r="M1346" i="13"/>
  <c r="K1157" i="13" l="1"/>
  <c r="L1157" i="13" s="1"/>
  <c r="I1158" i="13" s="1"/>
  <c r="K1180" i="14"/>
  <c r="L1180" i="14" s="1"/>
  <c r="I1181" i="14" s="1"/>
  <c r="M1348" i="14"/>
  <c r="M1347" i="13"/>
  <c r="J1343" i="14" a="1"/>
  <c r="J1343" i="14" s="1"/>
  <c r="N1344" i="14"/>
  <c r="J1344" i="13" a="1"/>
  <c r="J1344" i="13" s="1"/>
  <c r="N1345" i="13"/>
  <c r="K1158" i="13" l="1"/>
  <c r="L1158" i="13" s="1"/>
  <c r="I1159" i="13" s="1"/>
  <c r="K1181" i="14"/>
  <c r="L1181" i="14" s="1"/>
  <c r="I1182" i="14" s="1"/>
  <c r="M1348" i="13"/>
  <c r="N1345" i="14"/>
  <c r="J1344" i="14" a="1"/>
  <c r="J1344" i="14" s="1"/>
  <c r="N1346" i="13"/>
  <c r="J1345" i="13" a="1"/>
  <c r="J1345" i="13" s="1"/>
  <c r="M1349" i="14"/>
  <c r="K1159" i="13" l="1"/>
  <c r="L1159" i="13" s="1"/>
  <c r="I1160" i="13" s="1"/>
  <c r="K1182" i="14"/>
  <c r="L1182" i="14" s="1"/>
  <c r="I1183" i="14" s="1"/>
  <c r="M1350" i="14"/>
  <c r="J1345" i="14" a="1"/>
  <c r="J1345" i="14" s="1"/>
  <c r="N1346" i="14"/>
  <c r="M1349" i="13"/>
  <c r="J1346" i="13" a="1"/>
  <c r="J1346" i="13" s="1"/>
  <c r="N1347" i="13"/>
  <c r="K1160" i="13" l="1"/>
  <c r="L1160" i="13" s="1"/>
  <c r="I1161" i="13" s="1"/>
  <c r="K1183" i="14"/>
  <c r="L1183" i="14" s="1"/>
  <c r="I1184" i="14" s="1"/>
  <c r="J1347" i="13" a="1"/>
  <c r="J1347" i="13" s="1"/>
  <c r="N1348" i="13"/>
  <c r="J1346" i="14" a="1"/>
  <c r="J1346" i="14" s="1"/>
  <c r="N1347" i="14"/>
  <c r="M1350" i="13"/>
  <c r="M1351" i="14"/>
  <c r="K1161" i="13" l="1"/>
  <c r="L1161" i="13" s="1"/>
  <c r="I1162" i="13" s="1"/>
  <c r="K1184" i="14"/>
  <c r="L1184" i="14" s="1"/>
  <c r="I1185" i="14" s="1"/>
  <c r="J1347" i="14" a="1"/>
  <c r="J1347" i="14" s="1"/>
  <c r="N1348" i="14"/>
  <c r="J1348" i="13" a="1"/>
  <c r="J1348" i="13" s="1"/>
  <c r="N1349" i="13"/>
  <c r="M1352" i="14"/>
  <c r="M1351" i="13"/>
  <c r="K1162" i="13" l="1"/>
  <c r="L1162" i="13" s="1"/>
  <c r="I1163" i="13" s="1"/>
  <c r="K1185" i="14"/>
  <c r="L1185" i="14" s="1"/>
  <c r="I1186" i="14" s="1"/>
  <c r="N1350" i="13"/>
  <c r="J1349" i="13" a="1"/>
  <c r="J1349" i="13" s="1"/>
  <c r="M1352" i="13"/>
  <c r="N1349" i="14"/>
  <c r="J1348" i="14" a="1"/>
  <c r="J1348" i="14" s="1"/>
  <c r="M1353" i="14"/>
  <c r="K1163" i="13" l="1"/>
  <c r="L1163" i="13" s="1"/>
  <c r="I1164" i="13" s="1"/>
  <c r="K1186" i="14"/>
  <c r="L1186" i="14" s="1"/>
  <c r="I1187" i="14" s="1"/>
  <c r="M1354" i="14"/>
  <c r="M1353" i="13"/>
  <c r="J1349" i="14" a="1"/>
  <c r="J1349" i="14" s="1"/>
  <c r="N1350" i="14"/>
  <c r="J1350" i="13" a="1"/>
  <c r="J1350" i="13" s="1"/>
  <c r="N1351" i="13"/>
  <c r="K1164" i="13" l="1"/>
  <c r="L1164" i="13" s="1"/>
  <c r="I1165" i="13" s="1"/>
  <c r="K1187" i="14"/>
  <c r="L1187" i="14" s="1"/>
  <c r="I1188" i="14" s="1"/>
  <c r="J1351" i="13" a="1"/>
  <c r="J1351" i="13" s="1"/>
  <c r="N1352" i="13"/>
  <c r="M1354" i="13"/>
  <c r="J1350" i="14" a="1"/>
  <c r="J1350" i="14" s="1"/>
  <c r="N1351" i="14"/>
  <c r="M1355" i="14"/>
  <c r="K1165" i="13" l="1"/>
  <c r="L1165" i="13" s="1"/>
  <c r="I1166" i="13" s="1"/>
  <c r="K1188" i="14"/>
  <c r="L1188" i="14" s="1"/>
  <c r="I1189" i="14" s="1"/>
  <c r="M1356" i="14"/>
  <c r="M1355" i="13"/>
  <c r="J1351" i="14" a="1"/>
  <c r="J1351" i="14" s="1"/>
  <c r="N1352" i="14"/>
  <c r="J1352" i="13" a="1"/>
  <c r="J1352" i="13" s="1"/>
  <c r="N1353" i="13"/>
  <c r="K1166" i="13" l="1"/>
  <c r="L1166" i="13" s="1"/>
  <c r="I1167" i="13" s="1"/>
  <c r="K1189" i="14"/>
  <c r="L1189" i="14" s="1"/>
  <c r="I1190" i="14" s="1"/>
  <c r="N1354" i="13"/>
  <c r="J1353" i="13" a="1"/>
  <c r="J1353" i="13" s="1"/>
  <c r="M1356" i="13"/>
  <c r="N1353" i="14"/>
  <c r="J1352" i="14" a="1"/>
  <c r="J1352" i="14" s="1"/>
  <c r="M1357" i="14"/>
  <c r="K1167" i="13" l="1"/>
  <c r="L1167" i="13" s="1"/>
  <c r="I1168" i="13" s="1"/>
  <c r="K1190" i="14"/>
  <c r="L1190" i="14" s="1"/>
  <c r="I1191" i="14" s="1"/>
  <c r="J1353" i="14" a="1"/>
  <c r="J1353" i="14" s="1"/>
  <c r="N1354" i="14"/>
  <c r="J1354" i="13" a="1"/>
  <c r="J1354" i="13" s="1"/>
  <c r="N1355" i="13"/>
  <c r="M1357" i="13"/>
  <c r="M1358" i="14"/>
  <c r="K1168" i="13" l="1"/>
  <c r="L1168" i="13" s="1"/>
  <c r="I1169" i="13" s="1"/>
  <c r="K1191" i="14"/>
  <c r="L1191" i="14" s="1"/>
  <c r="I1192" i="14" s="1"/>
  <c r="J1355" i="13" a="1"/>
  <c r="J1355" i="13" s="1"/>
  <c r="N1356" i="13"/>
  <c r="M1359" i="14"/>
  <c r="J1354" i="14" a="1"/>
  <c r="J1354" i="14" s="1"/>
  <c r="N1355" i="14"/>
  <c r="M1358" i="13"/>
  <c r="K1169" i="13" l="1"/>
  <c r="L1169" i="13" s="1"/>
  <c r="I1170" i="13" s="1"/>
  <c r="K1192" i="14"/>
  <c r="L1192" i="14" s="1"/>
  <c r="I1193" i="14" s="1"/>
  <c r="M1360" i="14"/>
  <c r="M1359" i="13"/>
  <c r="J1355" i="14" a="1"/>
  <c r="J1355" i="14" s="1"/>
  <c r="N1356" i="14"/>
  <c r="J1356" i="13" a="1"/>
  <c r="J1356" i="13" s="1"/>
  <c r="N1357" i="13"/>
  <c r="K1170" i="13" l="1"/>
  <c r="L1170" i="13" s="1"/>
  <c r="I1171" i="13" s="1"/>
  <c r="K1193" i="14"/>
  <c r="L1193" i="14" s="1"/>
  <c r="I1194" i="14" s="1"/>
  <c r="N1358" i="13"/>
  <c r="J1357" i="13" a="1"/>
  <c r="J1357" i="13" s="1"/>
  <c r="M1360" i="13"/>
  <c r="N1357" i="14"/>
  <c r="J1356" i="14" a="1"/>
  <c r="J1356" i="14" s="1"/>
  <c r="M1361" i="14"/>
  <c r="K1171" i="13" l="1"/>
  <c r="L1171" i="13" s="1"/>
  <c r="I1172" i="13" s="1"/>
  <c r="K1194" i="14"/>
  <c r="L1194" i="14" s="1"/>
  <c r="I1195" i="14" s="1"/>
  <c r="M1361" i="13"/>
  <c r="M1362" i="14"/>
  <c r="J1357" i="14" a="1"/>
  <c r="J1357" i="14" s="1"/>
  <c r="N1358" i="14"/>
  <c r="J1358" i="13" a="1"/>
  <c r="J1358" i="13" s="1"/>
  <c r="N1359" i="13"/>
  <c r="K1172" i="13" l="1"/>
  <c r="L1172" i="13" s="1"/>
  <c r="I1173" i="13" s="1"/>
  <c r="K1195" i="14"/>
  <c r="L1195" i="14" s="1"/>
  <c r="I1196" i="14" s="1"/>
  <c r="J1359" i="13" a="1"/>
  <c r="J1359" i="13" s="1"/>
  <c r="N1360" i="13"/>
  <c r="J1358" i="14" a="1"/>
  <c r="J1358" i="14" s="1"/>
  <c r="N1359" i="14"/>
  <c r="M1363" i="14"/>
  <c r="M1362" i="13"/>
  <c r="K1173" i="13" l="1"/>
  <c r="L1173" i="13" s="1"/>
  <c r="I1174" i="13" s="1"/>
  <c r="K1196" i="14"/>
  <c r="L1196" i="14" s="1"/>
  <c r="I1197" i="14" s="1"/>
  <c r="J1359" i="14" a="1"/>
  <c r="J1359" i="14" s="1"/>
  <c r="N1360" i="14"/>
  <c r="M1363" i="13"/>
  <c r="M1364" i="14"/>
  <c r="J1360" i="13" a="1"/>
  <c r="J1360" i="13" s="1"/>
  <c r="N1361" i="13"/>
  <c r="K1174" i="13" l="1"/>
  <c r="L1174" i="13" s="1"/>
  <c r="I1175" i="13" s="1"/>
  <c r="K1197" i="14"/>
  <c r="L1197" i="14" s="1"/>
  <c r="I1198" i="14" s="1"/>
  <c r="N1362" i="13"/>
  <c r="J1361" i="13" a="1"/>
  <c r="J1361" i="13" s="1"/>
  <c r="M1364" i="13"/>
  <c r="N1361" i="14"/>
  <c r="J1360" i="14" a="1"/>
  <c r="J1360" i="14" s="1"/>
  <c r="M1365" i="14"/>
  <c r="K1175" i="13" l="1"/>
  <c r="L1175" i="13" s="1"/>
  <c r="I1176" i="13" s="1"/>
  <c r="M1365" i="13"/>
  <c r="M1366" i="14"/>
  <c r="J1361" i="14" a="1"/>
  <c r="J1361" i="14" s="1"/>
  <c r="N1362" i="14"/>
  <c r="J1362" i="13" a="1"/>
  <c r="J1362" i="13" s="1"/>
  <c r="N1363" i="13"/>
  <c r="K1198" i="14"/>
  <c r="L1198" i="14" s="1"/>
  <c r="I1199" i="14" s="1"/>
  <c r="K1176" i="13" l="1"/>
  <c r="L1176" i="13" s="1"/>
  <c r="I1177" i="13" s="1"/>
  <c r="K1199" i="14"/>
  <c r="L1199" i="14" s="1"/>
  <c r="I1200" i="14" s="1"/>
  <c r="M1366" i="13"/>
  <c r="J1362" i="14" a="1"/>
  <c r="J1362" i="14" s="1"/>
  <c r="N1363" i="14"/>
  <c r="J1363" i="13" a="1"/>
  <c r="J1363" i="13" s="1"/>
  <c r="N1364" i="13"/>
  <c r="M1367" i="14"/>
  <c r="K1177" i="13" l="1"/>
  <c r="L1177" i="13" s="1"/>
  <c r="I1178" i="13" s="1"/>
  <c r="K1200" i="14"/>
  <c r="L1200" i="14" s="1"/>
  <c r="I1201" i="14" s="1"/>
  <c r="M1368" i="14"/>
  <c r="J1363" i="14" a="1"/>
  <c r="J1363" i="14" s="1"/>
  <c r="N1364" i="14"/>
  <c r="J1364" i="13" a="1"/>
  <c r="J1364" i="13" s="1"/>
  <c r="N1365" i="13"/>
  <c r="M1367" i="13"/>
  <c r="K1178" i="13" l="1"/>
  <c r="L1178" i="13" s="1"/>
  <c r="I1179" i="13" s="1"/>
  <c r="K1201" i="14"/>
  <c r="L1201" i="14" s="1"/>
  <c r="I1202" i="14" s="1"/>
  <c r="N1365" i="14"/>
  <c r="J1364" i="14" a="1"/>
  <c r="J1364" i="14" s="1"/>
  <c r="M1368" i="13"/>
  <c r="N1366" i="13"/>
  <c r="J1365" i="13" a="1"/>
  <c r="J1365" i="13" s="1"/>
  <c r="M1369" i="14"/>
  <c r="K1179" i="13" l="1"/>
  <c r="L1179" i="13" s="1"/>
  <c r="I1180" i="13" s="1"/>
  <c r="K1202" i="14"/>
  <c r="L1202" i="14" s="1"/>
  <c r="I1203" i="14" s="1"/>
  <c r="M1369" i="13"/>
  <c r="M1370" i="14"/>
  <c r="J1366" i="13" a="1"/>
  <c r="J1366" i="13" s="1"/>
  <c r="N1367" i="13"/>
  <c r="J1365" i="14" a="1"/>
  <c r="J1365" i="14" s="1"/>
  <c r="N1366" i="14"/>
  <c r="K1180" i="13" l="1"/>
  <c r="L1180" i="13" s="1"/>
  <c r="I1181" i="13" s="1"/>
  <c r="K1203" i="14"/>
  <c r="L1203" i="14" s="1"/>
  <c r="I1204" i="14" s="1"/>
  <c r="M1370" i="13"/>
  <c r="M1371" i="14"/>
  <c r="J1366" i="14" a="1"/>
  <c r="J1366" i="14" s="1"/>
  <c r="N1367" i="14"/>
  <c r="J1367" i="13" a="1"/>
  <c r="J1367" i="13" s="1"/>
  <c r="N1368" i="13"/>
  <c r="K1181" i="13" l="1"/>
  <c r="L1181" i="13" s="1"/>
  <c r="I1182" i="13" s="1"/>
  <c r="J1368" i="13" a="1"/>
  <c r="J1368" i="13" s="1"/>
  <c r="N1369" i="13"/>
  <c r="M1372" i="14"/>
  <c r="M1371" i="13"/>
  <c r="K1204" i="14"/>
  <c r="L1204" i="14" s="1"/>
  <c r="I1205" i="14" s="1"/>
  <c r="J1367" i="14" a="1"/>
  <c r="J1367" i="14" s="1"/>
  <c r="N1368" i="14"/>
  <c r="K1182" i="13" l="1"/>
  <c r="L1182" i="13" s="1"/>
  <c r="I1183" i="13" s="1"/>
  <c r="K1205" i="14"/>
  <c r="L1205" i="14" s="1"/>
  <c r="I1206" i="14" s="1"/>
  <c r="N1370" i="13"/>
  <c r="J1369" i="13" a="1"/>
  <c r="J1369" i="13" s="1"/>
  <c r="N1369" i="14"/>
  <c r="J1368" i="14" a="1"/>
  <c r="J1368" i="14" s="1"/>
  <c r="M1373" i="14"/>
  <c r="M1372" i="13"/>
  <c r="K1183" i="13" l="1"/>
  <c r="L1183" i="13" s="1"/>
  <c r="I1184" i="13" s="1"/>
  <c r="K1206" i="14"/>
  <c r="L1206" i="14" s="1"/>
  <c r="I1207" i="14" s="1"/>
  <c r="M1373" i="13"/>
  <c r="J1369" i="14" a="1"/>
  <c r="J1369" i="14" s="1"/>
  <c r="N1370" i="14"/>
  <c r="M1374" i="14"/>
  <c r="J1370" i="13" a="1"/>
  <c r="J1370" i="13" s="1"/>
  <c r="N1371" i="13"/>
  <c r="K1184" i="13" l="1"/>
  <c r="L1184" i="13" s="1"/>
  <c r="I1185" i="13" s="1"/>
  <c r="K1207" i="14"/>
  <c r="L1207" i="14" s="1"/>
  <c r="I1208" i="14" s="1"/>
  <c r="J1371" i="13" a="1"/>
  <c r="J1371" i="13" s="1"/>
  <c r="N1372" i="13"/>
  <c r="J1370" i="14" a="1"/>
  <c r="J1370" i="14" s="1"/>
  <c r="N1371" i="14"/>
  <c r="M1375" i="14"/>
  <c r="M1374" i="13"/>
  <c r="K1185" i="13" l="1"/>
  <c r="L1185" i="13" s="1"/>
  <c r="I1186" i="13" s="1"/>
  <c r="K1208" i="14"/>
  <c r="L1208" i="14" s="1"/>
  <c r="I1209" i="14" s="1"/>
  <c r="M1375" i="13"/>
  <c r="M1376" i="14"/>
  <c r="J1372" i="13" a="1"/>
  <c r="J1372" i="13" s="1"/>
  <c r="N1373" i="13"/>
  <c r="J1371" i="14" a="1"/>
  <c r="J1371" i="14" s="1"/>
  <c r="N1372" i="14"/>
  <c r="K1186" i="13" l="1"/>
  <c r="L1186" i="13" s="1"/>
  <c r="I1187" i="13" s="1"/>
  <c r="K1209" i="14"/>
  <c r="L1209" i="14" s="1"/>
  <c r="I1210" i="14" s="1"/>
  <c r="N1373" i="14"/>
  <c r="J1372" i="14" a="1"/>
  <c r="J1372" i="14" s="1"/>
  <c r="M1377" i="14"/>
  <c r="N1374" i="13"/>
  <c r="J1373" i="13" a="1"/>
  <c r="J1373" i="13" s="1"/>
  <c r="M1376" i="13"/>
  <c r="K1187" i="13" l="1"/>
  <c r="L1187" i="13" s="1"/>
  <c r="I1188" i="13" s="1"/>
  <c r="K1210" i="14"/>
  <c r="L1210" i="14" s="1"/>
  <c r="I1211" i="14" s="1"/>
  <c r="M1377" i="13"/>
  <c r="M1378" i="14"/>
  <c r="J1374" i="13" a="1"/>
  <c r="J1374" i="13" s="1"/>
  <c r="N1375" i="13"/>
  <c r="J1373" i="14" a="1"/>
  <c r="J1373" i="14" s="1"/>
  <c r="N1374" i="14"/>
  <c r="K1188" i="13" l="1"/>
  <c r="L1188" i="13" s="1"/>
  <c r="I1189" i="13" s="1"/>
  <c r="K1211" i="14"/>
  <c r="L1211" i="14" s="1"/>
  <c r="I1212" i="14" s="1"/>
  <c r="J1374" i="14" a="1"/>
  <c r="J1374" i="14" s="1"/>
  <c r="N1375" i="14"/>
  <c r="M1379" i="14"/>
  <c r="J1375" i="13" a="1"/>
  <c r="J1375" i="13" s="1"/>
  <c r="N1376" i="13"/>
  <c r="M1378" i="13"/>
  <c r="K1189" i="13" l="1"/>
  <c r="L1189" i="13" s="1"/>
  <c r="I1190" i="13" s="1"/>
  <c r="K1212" i="14"/>
  <c r="L1212" i="14" s="1"/>
  <c r="I1213" i="14" s="1"/>
  <c r="J1375" i="14" a="1"/>
  <c r="J1375" i="14" s="1"/>
  <c r="N1376" i="14"/>
  <c r="M1380" i="14"/>
  <c r="M1379" i="13"/>
  <c r="J1376" i="13" a="1"/>
  <c r="J1376" i="13" s="1"/>
  <c r="N1377" i="13"/>
  <c r="K1190" i="13" l="1"/>
  <c r="L1190" i="13" s="1"/>
  <c r="I1191" i="13" s="1"/>
  <c r="K1213" i="14"/>
  <c r="L1213" i="14" s="1"/>
  <c r="I1214" i="14" s="1"/>
  <c r="N1378" i="13"/>
  <c r="J1377" i="13" a="1"/>
  <c r="J1377" i="13" s="1"/>
  <c r="M1381" i="14"/>
  <c r="N1377" i="14"/>
  <c r="J1376" i="14" a="1"/>
  <c r="J1376" i="14" s="1"/>
  <c r="M1380" i="13"/>
  <c r="K1191" i="13" l="1"/>
  <c r="L1191" i="13" s="1"/>
  <c r="I1192" i="13" s="1"/>
  <c r="K1214" i="14"/>
  <c r="L1214" i="14" s="1"/>
  <c r="I1215" i="14" s="1"/>
  <c r="M1381" i="13"/>
  <c r="M1382" i="14"/>
  <c r="J1377" i="14" a="1"/>
  <c r="J1377" i="14" s="1"/>
  <c r="N1378" i="14"/>
  <c r="J1378" i="13" a="1"/>
  <c r="J1378" i="13" s="1"/>
  <c r="N1379" i="13"/>
  <c r="K1192" i="13" l="1"/>
  <c r="L1192" i="13" s="1"/>
  <c r="I1193" i="13" s="1"/>
  <c r="K1215" i="14"/>
  <c r="L1215" i="14" s="1"/>
  <c r="I1216" i="14" s="1"/>
  <c r="M1383" i="14"/>
  <c r="J1379" i="13" a="1"/>
  <c r="J1379" i="13" s="1"/>
  <c r="N1380" i="13"/>
  <c r="J1378" i="14" a="1"/>
  <c r="J1378" i="14" s="1"/>
  <c r="N1379" i="14"/>
  <c r="M1382" i="13"/>
  <c r="K1193" i="13" l="1"/>
  <c r="L1193" i="13" s="1"/>
  <c r="I1194" i="13" s="1"/>
  <c r="K1216" i="14"/>
  <c r="L1216" i="14" s="1"/>
  <c r="I1217" i="14" s="1"/>
  <c r="J1380" i="13" a="1"/>
  <c r="J1380" i="13" s="1"/>
  <c r="N1381" i="13"/>
  <c r="J1379" i="14" a="1"/>
  <c r="J1379" i="14" s="1"/>
  <c r="N1380" i="14"/>
  <c r="M1384" i="14"/>
  <c r="M1383" i="13"/>
  <c r="K1194" i="13" l="1"/>
  <c r="L1194" i="13" s="1"/>
  <c r="I1195" i="13" s="1"/>
  <c r="K1217" i="14"/>
  <c r="L1217" i="14" s="1"/>
  <c r="I1218" i="14" s="1"/>
  <c r="N1382" i="13"/>
  <c r="J1381" i="13" a="1"/>
  <c r="J1381" i="13" s="1"/>
  <c r="N1381" i="14"/>
  <c r="J1380" i="14" a="1"/>
  <c r="J1380" i="14" s="1"/>
  <c r="M1384" i="13"/>
  <c r="M1385" i="14"/>
  <c r="K1195" i="13" l="1"/>
  <c r="L1195" i="13" s="1"/>
  <c r="I1196" i="13" s="1"/>
  <c r="K1218" i="14"/>
  <c r="L1218" i="14" s="1"/>
  <c r="I1219" i="14" s="1"/>
  <c r="J1381" i="14" a="1"/>
  <c r="J1381" i="14" s="1"/>
  <c r="N1382" i="14"/>
  <c r="M1386" i="14"/>
  <c r="M1385" i="13"/>
  <c r="J1382" i="13" a="1"/>
  <c r="J1382" i="13" s="1"/>
  <c r="N1383" i="13"/>
  <c r="K1196" i="13" l="1"/>
  <c r="L1196" i="13" s="1"/>
  <c r="I1197" i="13" s="1"/>
  <c r="K1219" i="14"/>
  <c r="L1219" i="14" s="1"/>
  <c r="I1220" i="14" s="1"/>
  <c r="J1383" i="13" a="1"/>
  <c r="J1383" i="13" s="1"/>
  <c r="N1384" i="13"/>
  <c r="M1387" i="14"/>
  <c r="M1386" i="13"/>
  <c r="J1382" i="14" a="1"/>
  <c r="J1382" i="14" s="1"/>
  <c r="N1383" i="14"/>
  <c r="K1197" i="13" l="1"/>
  <c r="L1197" i="13" s="1"/>
  <c r="I1198" i="13" s="1"/>
  <c r="K1220" i="14"/>
  <c r="L1220" i="14" s="1"/>
  <c r="I1221" i="14" s="1"/>
  <c r="J1384" i="13" a="1"/>
  <c r="J1384" i="13" s="1"/>
  <c r="N1385" i="13"/>
  <c r="M1387" i="13"/>
  <c r="J1383" i="14" a="1"/>
  <c r="J1383" i="14" s="1"/>
  <c r="N1384" i="14"/>
  <c r="M1388" i="14"/>
  <c r="K1198" i="13" l="1"/>
  <c r="L1198" i="13" s="1"/>
  <c r="I1199" i="13" s="1"/>
  <c r="M1389" i="14"/>
  <c r="M1388" i="13"/>
  <c r="K1221" i="14"/>
  <c r="L1221" i="14" s="1"/>
  <c r="I1222" i="14" s="1"/>
  <c r="N1385" i="14"/>
  <c r="J1384" i="14" a="1"/>
  <c r="J1384" i="14" s="1"/>
  <c r="N1386" i="13"/>
  <c r="J1385" i="13" a="1"/>
  <c r="J1385" i="13" s="1"/>
  <c r="K1199" i="13" l="1"/>
  <c r="L1199" i="13" s="1"/>
  <c r="I1200" i="13" s="1"/>
  <c r="K1222" i="14"/>
  <c r="L1222" i="14" s="1"/>
  <c r="I1223" i="14" s="1"/>
  <c r="J1386" i="13" a="1"/>
  <c r="J1386" i="13" s="1"/>
  <c r="N1387" i="13"/>
  <c r="M1390" i="14"/>
  <c r="M1389" i="13"/>
  <c r="J1385" i="14" a="1"/>
  <c r="J1385" i="14" s="1"/>
  <c r="N1386" i="14"/>
  <c r="K1200" i="13" l="1"/>
  <c r="L1200" i="13" s="1"/>
  <c r="I1201" i="13" s="1"/>
  <c r="K1223" i="14"/>
  <c r="L1223" i="14" s="1"/>
  <c r="I1224" i="14" s="1"/>
  <c r="J1386" i="14" a="1"/>
  <c r="J1386" i="14" s="1"/>
  <c r="N1387" i="14"/>
  <c r="M1391" i="14"/>
  <c r="J1387" i="13" a="1"/>
  <c r="J1387" i="13" s="1"/>
  <c r="N1388" i="13"/>
  <c r="M1390" i="13"/>
  <c r="K1201" i="13" l="1"/>
  <c r="L1201" i="13" s="1"/>
  <c r="I1202" i="13" s="1"/>
  <c r="K1224" i="14"/>
  <c r="L1224" i="14" s="1"/>
  <c r="I1225" i="14" s="1"/>
  <c r="M1392" i="14"/>
  <c r="J1388" i="13" a="1"/>
  <c r="J1388" i="13" s="1"/>
  <c r="N1389" i="13"/>
  <c r="M1391" i="13"/>
  <c r="J1387" i="14" a="1"/>
  <c r="J1387" i="14" s="1"/>
  <c r="N1388" i="14"/>
  <c r="K1202" i="13" l="1"/>
  <c r="L1202" i="13" s="1"/>
  <c r="I1203" i="13" s="1"/>
  <c r="K1225" i="14"/>
  <c r="L1225" i="14" s="1"/>
  <c r="I1226" i="14" s="1"/>
  <c r="N1389" i="14"/>
  <c r="J1388" i="14" a="1"/>
  <c r="J1388" i="14" s="1"/>
  <c r="N1390" i="13"/>
  <c r="J1389" i="13" a="1"/>
  <c r="J1389" i="13" s="1"/>
  <c r="M1392" i="13"/>
  <c r="M1393" i="14"/>
  <c r="K1203" i="13" l="1"/>
  <c r="L1203" i="13" s="1"/>
  <c r="I1204" i="13" s="1"/>
  <c r="K1226" i="14"/>
  <c r="L1226" i="14" s="1"/>
  <c r="I1227" i="14" s="1"/>
  <c r="J1390" i="13" a="1"/>
  <c r="J1390" i="13" s="1"/>
  <c r="N1391" i="13"/>
  <c r="M1394" i="14"/>
  <c r="M1393" i="13"/>
  <c r="J1389" i="14" a="1"/>
  <c r="J1389" i="14" s="1"/>
  <c r="N1390" i="14"/>
  <c r="K1204" i="13" l="1"/>
  <c r="L1204" i="13" s="1"/>
  <c r="I1205" i="13" s="1"/>
  <c r="K1227" i="14"/>
  <c r="L1227" i="14" s="1"/>
  <c r="I1228" i="14" s="1"/>
  <c r="J1390" i="14" a="1"/>
  <c r="J1390" i="14" s="1"/>
  <c r="N1391" i="14"/>
  <c r="M1395" i="14"/>
  <c r="J1391" i="13" a="1"/>
  <c r="J1391" i="13" s="1"/>
  <c r="N1392" i="13"/>
  <c r="M1394" i="13"/>
  <c r="K1205" i="13" l="1"/>
  <c r="L1205" i="13" s="1"/>
  <c r="I1206" i="13" s="1"/>
  <c r="K1228" i="14"/>
  <c r="L1228" i="14" s="1"/>
  <c r="I1229" i="14" s="1"/>
  <c r="J1392" i="13" a="1"/>
  <c r="J1392" i="13" s="1"/>
  <c r="N1393" i="13"/>
  <c r="M1396" i="14"/>
  <c r="M1395" i="13"/>
  <c r="J1391" i="14" a="1"/>
  <c r="J1391" i="14" s="1"/>
  <c r="N1392" i="14"/>
  <c r="K1206" i="13" l="1"/>
  <c r="L1206" i="13" s="1"/>
  <c r="I1207" i="13" s="1"/>
  <c r="K1229" i="14"/>
  <c r="L1229" i="14" s="1"/>
  <c r="I1230" i="14" s="1"/>
  <c r="M1397" i="14"/>
  <c r="N1393" i="14"/>
  <c r="J1392" i="14" a="1"/>
  <c r="J1392" i="14" s="1"/>
  <c r="N1394" i="13"/>
  <c r="J1393" i="13" a="1"/>
  <c r="J1393" i="13" s="1"/>
  <c r="M1396" i="13"/>
  <c r="K1207" i="13" l="1"/>
  <c r="L1207" i="13" s="1"/>
  <c r="I1208" i="13" s="1"/>
  <c r="K1230" i="14"/>
  <c r="L1230" i="14" s="1"/>
  <c r="I1231" i="14" s="1"/>
  <c r="M1397" i="13"/>
  <c r="J1393" i="14" a="1"/>
  <c r="J1393" i="14" s="1"/>
  <c r="N1394" i="14"/>
  <c r="J1394" i="13" a="1"/>
  <c r="J1394" i="13" s="1"/>
  <c r="N1395" i="13"/>
  <c r="M1398" i="14"/>
  <c r="K1208" i="13" l="1"/>
  <c r="L1208" i="13" s="1"/>
  <c r="I1209" i="13" s="1"/>
  <c r="K1231" i="14"/>
  <c r="L1231" i="14" s="1"/>
  <c r="I1232" i="14" s="1"/>
  <c r="J1394" i="14" a="1"/>
  <c r="J1394" i="14" s="1"/>
  <c r="N1395" i="14"/>
  <c r="J1395" i="13" a="1"/>
  <c r="J1395" i="13" s="1"/>
  <c r="N1396" i="13"/>
  <c r="M1399" i="14"/>
  <c r="M1398" i="13"/>
  <c r="K1209" i="13" l="1"/>
  <c r="L1209" i="13" s="1"/>
  <c r="I1210" i="13" s="1"/>
  <c r="K1232" i="14"/>
  <c r="L1232" i="14" s="1"/>
  <c r="I1233" i="14" s="1"/>
  <c r="J1396" i="13" a="1"/>
  <c r="J1396" i="13" s="1"/>
  <c r="N1397" i="13"/>
  <c r="J1395" i="14" a="1"/>
  <c r="J1395" i="14" s="1"/>
  <c r="N1396" i="14"/>
  <c r="M1399" i="13"/>
  <c r="M1400" i="14"/>
  <c r="K1210" i="13" l="1"/>
  <c r="L1210" i="13" s="1"/>
  <c r="I1211" i="13" s="1"/>
  <c r="K1233" i="14"/>
  <c r="L1233" i="14" s="1"/>
  <c r="I1234" i="14" s="1"/>
  <c r="N1397" i="14"/>
  <c r="J1396" i="14" a="1"/>
  <c r="J1396" i="14" s="1"/>
  <c r="N1398" i="13"/>
  <c r="J1397" i="13" a="1"/>
  <c r="J1397" i="13" s="1"/>
  <c r="M1401" i="14"/>
  <c r="M1400" i="13"/>
  <c r="K1211" i="13" l="1"/>
  <c r="L1211" i="13" s="1"/>
  <c r="I1212" i="13" s="1"/>
  <c r="K1234" i="14"/>
  <c r="L1234" i="14" s="1"/>
  <c r="I1235" i="14" s="1"/>
  <c r="J1398" i="13" a="1"/>
  <c r="J1398" i="13" s="1"/>
  <c r="N1399" i="13"/>
  <c r="M1401" i="13"/>
  <c r="M1402" i="14"/>
  <c r="J1397" i="14" a="1"/>
  <c r="J1397" i="14" s="1"/>
  <c r="N1398" i="14"/>
  <c r="K1212" i="13" l="1"/>
  <c r="L1212" i="13" s="1"/>
  <c r="I1213" i="13" s="1"/>
  <c r="K1235" i="14"/>
  <c r="L1235" i="14" s="1"/>
  <c r="I1236" i="14" s="1"/>
  <c r="J1398" i="14" a="1"/>
  <c r="J1398" i="14" s="1"/>
  <c r="N1399" i="14"/>
  <c r="M1402" i="13"/>
  <c r="J1399" i="13" a="1"/>
  <c r="J1399" i="13" s="1"/>
  <c r="N1400" i="13"/>
  <c r="M1403" i="14"/>
  <c r="K1213" i="13" l="1"/>
  <c r="L1213" i="13" s="1"/>
  <c r="I1214" i="13" s="1"/>
  <c r="K1236" i="14"/>
  <c r="L1236" i="14" s="1"/>
  <c r="I1237" i="14" s="1"/>
  <c r="M1403" i="13"/>
  <c r="J1400" i="13" a="1"/>
  <c r="J1400" i="13" s="1"/>
  <c r="N1401" i="13"/>
  <c r="J1399" i="14" a="1"/>
  <c r="J1399" i="14" s="1"/>
  <c r="N1400" i="14"/>
  <c r="M1404" i="14"/>
  <c r="K1214" i="13" l="1"/>
  <c r="L1214" i="13" s="1"/>
  <c r="I1215" i="13" s="1"/>
  <c r="K1237" i="14"/>
  <c r="L1237" i="14" s="1"/>
  <c r="I1238" i="14" s="1"/>
  <c r="N1402" i="13"/>
  <c r="J1401" i="13" a="1"/>
  <c r="J1401" i="13" s="1"/>
  <c r="M1405" i="14"/>
  <c r="N1401" i="14"/>
  <c r="J1400" i="14" a="1"/>
  <c r="J1400" i="14" s="1"/>
  <c r="M1404" i="13"/>
  <c r="K1215" i="13" l="1"/>
  <c r="L1215" i="13" s="1"/>
  <c r="I1216" i="13" s="1"/>
  <c r="K1238" i="14"/>
  <c r="L1238" i="14" s="1"/>
  <c r="I1239" i="14" s="1"/>
  <c r="M1405" i="13"/>
  <c r="M1406" i="14"/>
  <c r="J1401" i="14" a="1"/>
  <c r="J1401" i="14" s="1"/>
  <c r="N1402" i="14"/>
  <c r="J1402" i="13" a="1"/>
  <c r="J1402" i="13" s="1"/>
  <c r="N1403" i="13"/>
  <c r="K1216" i="13" l="1"/>
  <c r="L1216" i="13" s="1"/>
  <c r="I1217" i="13" s="1"/>
  <c r="K1239" i="14"/>
  <c r="L1239" i="14" s="1"/>
  <c r="I1240" i="14" s="1"/>
  <c r="M1407" i="14"/>
  <c r="J1402" i="14" a="1"/>
  <c r="J1402" i="14" s="1"/>
  <c r="N1403" i="14"/>
  <c r="J1403" i="13" a="1"/>
  <c r="J1403" i="13" s="1"/>
  <c r="N1404" i="13"/>
  <c r="M1406" i="13"/>
  <c r="K1217" i="13" l="1"/>
  <c r="L1217" i="13" s="1"/>
  <c r="I1218" i="13" s="1"/>
  <c r="K1240" i="14"/>
  <c r="L1240" i="14" s="1"/>
  <c r="I1241" i="14" s="1"/>
  <c r="J1403" i="14" a="1"/>
  <c r="J1403" i="14" s="1"/>
  <c r="N1404" i="14"/>
  <c r="J1404" i="13" a="1"/>
  <c r="J1404" i="13" s="1"/>
  <c r="N1405" i="13"/>
  <c r="M1408" i="14"/>
  <c r="M1407" i="13"/>
  <c r="K1218" i="13" l="1"/>
  <c r="L1218" i="13" s="1"/>
  <c r="I1219" i="13" s="1"/>
  <c r="K1241" i="14"/>
  <c r="L1241" i="14" s="1"/>
  <c r="I1242" i="14" s="1"/>
  <c r="N1406" i="13"/>
  <c r="J1405" i="13" a="1"/>
  <c r="J1405" i="13" s="1"/>
  <c r="N1405" i="14"/>
  <c r="J1404" i="14" a="1"/>
  <c r="J1404" i="14" s="1"/>
  <c r="M1408" i="13"/>
  <c r="M1409" i="14"/>
  <c r="K1219" i="13" l="1"/>
  <c r="L1219" i="13" s="1"/>
  <c r="I1220" i="13" s="1"/>
  <c r="K1242" i="14"/>
  <c r="L1242" i="14" s="1"/>
  <c r="I1243" i="14" s="1"/>
  <c r="J1405" i="14" a="1"/>
  <c r="J1405" i="14" s="1"/>
  <c r="N1406" i="14"/>
  <c r="M1410" i="14"/>
  <c r="M1409" i="13"/>
  <c r="J1406" i="13" a="1"/>
  <c r="J1406" i="13" s="1"/>
  <c r="N1407" i="13"/>
  <c r="K1220" i="13" l="1"/>
  <c r="L1220" i="13" s="1"/>
  <c r="I1221" i="13" s="1"/>
  <c r="K1243" i="14"/>
  <c r="L1243" i="14" s="1"/>
  <c r="I1244" i="14" s="1"/>
  <c r="M1411" i="14"/>
  <c r="J1407" i="13" a="1"/>
  <c r="J1407" i="13" s="1"/>
  <c r="N1408" i="13"/>
  <c r="J1406" i="14" a="1"/>
  <c r="J1406" i="14" s="1"/>
  <c r="N1407" i="14"/>
  <c r="M1410" i="13"/>
  <c r="K1221" i="13" l="1"/>
  <c r="L1221" i="13" s="1"/>
  <c r="I1222" i="13" s="1"/>
  <c r="K1244" i="14"/>
  <c r="L1244" i="14" s="1"/>
  <c r="I1245" i="14" s="1"/>
  <c r="J1408" i="13" a="1"/>
  <c r="J1408" i="13" s="1"/>
  <c r="N1409" i="13"/>
  <c r="J1407" i="14" a="1"/>
  <c r="J1407" i="14" s="1"/>
  <c r="N1408" i="14"/>
  <c r="M1412" i="14"/>
  <c r="M1411" i="13"/>
  <c r="K1222" i="13" l="1"/>
  <c r="L1222" i="13" s="1"/>
  <c r="I1223" i="13" s="1"/>
  <c r="K1245" i="14"/>
  <c r="L1245" i="14" s="1"/>
  <c r="I1246" i="14" s="1"/>
  <c r="N1410" i="13"/>
  <c r="J1409" i="13" a="1"/>
  <c r="J1409" i="13" s="1"/>
  <c r="N1409" i="14"/>
  <c r="J1408" i="14" a="1"/>
  <c r="J1408" i="14" s="1"/>
  <c r="M1412" i="13"/>
  <c r="M1413" i="14"/>
  <c r="K1223" i="13" l="1"/>
  <c r="L1223" i="13" s="1"/>
  <c r="I1224" i="13" s="1"/>
  <c r="K1246" i="14"/>
  <c r="L1246" i="14" s="1"/>
  <c r="I1247" i="14" s="1"/>
  <c r="J1409" i="14" a="1"/>
  <c r="J1409" i="14" s="1"/>
  <c r="N1410" i="14"/>
  <c r="M1414" i="14"/>
  <c r="M1413" i="13"/>
  <c r="J1410" i="13" a="1"/>
  <c r="J1410" i="13" s="1"/>
  <c r="N1411" i="13"/>
  <c r="K1224" i="13" l="1"/>
  <c r="L1224" i="13" s="1"/>
  <c r="I1225" i="13" s="1"/>
  <c r="K1247" i="14"/>
  <c r="L1247" i="14" s="1"/>
  <c r="I1248" i="14" s="1"/>
  <c r="M1415" i="14"/>
  <c r="J1411" i="13" a="1"/>
  <c r="J1411" i="13" s="1"/>
  <c r="N1412" i="13"/>
  <c r="J1410" i="14" a="1"/>
  <c r="J1410" i="14" s="1"/>
  <c r="N1411" i="14"/>
  <c r="M1414" i="13"/>
  <c r="K1225" i="13" l="1"/>
  <c r="L1225" i="13" s="1"/>
  <c r="I1226" i="13" s="1"/>
  <c r="K1248" i="14"/>
  <c r="L1248" i="14" s="1"/>
  <c r="I1249" i="14" s="1"/>
  <c r="J1412" i="13" a="1"/>
  <c r="J1412" i="13" s="1"/>
  <c r="N1413" i="13"/>
  <c r="J1411" i="14" a="1"/>
  <c r="J1411" i="14" s="1"/>
  <c r="N1412" i="14"/>
  <c r="M1416" i="14"/>
  <c r="M1415" i="13"/>
  <c r="K1226" i="13" l="1"/>
  <c r="L1226" i="13" s="1"/>
  <c r="I1227" i="13" s="1"/>
  <c r="K1249" i="14"/>
  <c r="L1249" i="14" s="1"/>
  <c r="I1250" i="14" s="1"/>
  <c r="N1413" i="14"/>
  <c r="J1412" i="14" a="1"/>
  <c r="J1412" i="14" s="1"/>
  <c r="N1414" i="13"/>
  <c r="J1413" i="13" a="1"/>
  <c r="J1413" i="13" s="1"/>
  <c r="M1416" i="13"/>
  <c r="M1417" i="14"/>
  <c r="K1227" i="13" l="1"/>
  <c r="L1227" i="13" s="1"/>
  <c r="I1228" i="13" s="1"/>
  <c r="K1250" i="14"/>
  <c r="L1250" i="14" s="1"/>
  <c r="I1251" i="14" s="1"/>
  <c r="J1414" i="13" a="1"/>
  <c r="J1414" i="13" s="1"/>
  <c r="N1415" i="13"/>
  <c r="M1418" i="14"/>
  <c r="M1417" i="13"/>
  <c r="J1413" i="14" a="1"/>
  <c r="J1413" i="14" s="1"/>
  <c r="N1414" i="14"/>
  <c r="K1228" i="13" l="1"/>
  <c r="L1228" i="13" s="1"/>
  <c r="I1229" i="13" s="1"/>
  <c r="K1251" i="14"/>
  <c r="L1251" i="14" s="1"/>
  <c r="I1252" i="14" s="1"/>
  <c r="J1414" i="14" a="1"/>
  <c r="J1414" i="14" s="1"/>
  <c r="N1415" i="14"/>
  <c r="M1419" i="14"/>
  <c r="J1415" i="13" a="1"/>
  <c r="J1415" i="13" s="1"/>
  <c r="N1416" i="13"/>
  <c r="M1418" i="13"/>
  <c r="K1229" i="13" l="1"/>
  <c r="L1229" i="13" s="1"/>
  <c r="I1230" i="13" s="1"/>
  <c r="K1252" i="14"/>
  <c r="L1252" i="14" s="1"/>
  <c r="I1253" i="14" s="1"/>
  <c r="J1416" i="13" a="1"/>
  <c r="J1416" i="13" s="1"/>
  <c r="N1417" i="13"/>
  <c r="J1415" i="14" a="1"/>
  <c r="J1415" i="14" s="1"/>
  <c r="N1416" i="14"/>
  <c r="M1420" i="14"/>
  <c r="M1419" i="13"/>
  <c r="K1230" i="13" l="1"/>
  <c r="L1230" i="13" s="1"/>
  <c r="I1231" i="13" s="1"/>
  <c r="K1253" i="14"/>
  <c r="L1253" i="14" s="1"/>
  <c r="I1254" i="14" s="1"/>
  <c r="N1418" i="13"/>
  <c r="J1417" i="13" a="1"/>
  <c r="J1417" i="13" s="1"/>
  <c r="N1417" i="14"/>
  <c r="J1416" i="14" a="1"/>
  <c r="J1416" i="14" s="1"/>
  <c r="M1420" i="13"/>
  <c r="M1421" i="14"/>
  <c r="K1231" i="13" l="1"/>
  <c r="L1231" i="13" s="1"/>
  <c r="I1232" i="13" s="1"/>
  <c r="K1254" i="14"/>
  <c r="L1254" i="14" s="1"/>
  <c r="I1255" i="14" s="1"/>
  <c r="M1422" i="14"/>
  <c r="J1417" i="14" a="1"/>
  <c r="J1417" i="14" s="1"/>
  <c r="N1418" i="14"/>
  <c r="M1421" i="13"/>
  <c r="J1418" i="13" a="1"/>
  <c r="J1418" i="13" s="1"/>
  <c r="N1419" i="13"/>
  <c r="K1232" i="13" l="1"/>
  <c r="L1232" i="13" s="1"/>
  <c r="I1233" i="13" s="1"/>
  <c r="K1255" i="14"/>
  <c r="L1255" i="14" s="1"/>
  <c r="I1256" i="14" s="1"/>
  <c r="J1418" i="14" a="1"/>
  <c r="J1418" i="14" s="1"/>
  <c r="N1419" i="14"/>
  <c r="J1419" i="13" a="1"/>
  <c r="J1419" i="13" s="1"/>
  <c r="N1420" i="13"/>
  <c r="M1422" i="13"/>
  <c r="M1423" i="14"/>
  <c r="K1233" i="13" l="1"/>
  <c r="L1233" i="13" s="1"/>
  <c r="I1234" i="13" s="1"/>
  <c r="K1256" i="14"/>
  <c r="L1256" i="14" s="1"/>
  <c r="I1257" i="14" s="1"/>
  <c r="J1420" i="13" a="1"/>
  <c r="J1420" i="13" s="1"/>
  <c r="N1421" i="13"/>
  <c r="J1419" i="14" a="1"/>
  <c r="J1419" i="14" s="1"/>
  <c r="N1420" i="14"/>
  <c r="M1424" i="14"/>
  <c r="M1423" i="13"/>
  <c r="K1234" i="13" l="1"/>
  <c r="L1234" i="13" s="1"/>
  <c r="I1235" i="13" s="1"/>
  <c r="K1257" i="14"/>
  <c r="L1257" i="14" s="1"/>
  <c r="I1258" i="14" s="1"/>
  <c r="M1424" i="13"/>
  <c r="N1422" i="13"/>
  <c r="J1421" i="13" a="1"/>
  <c r="J1421" i="13" s="1"/>
  <c r="N1421" i="14"/>
  <c r="J1420" i="14" a="1"/>
  <c r="J1420" i="14" s="1"/>
  <c r="M1425" i="14"/>
  <c r="K1235" i="13" l="1"/>
  <c r="L1235" i="13" s="1"/>
  <c r="I1236" i="13" s="1"/>
  <c r="K1258" i="14"/>
  <c r="L1258" i="14" s="1"/>
  <c r="I1259" i="14" s="1"/>
  <c r="M1426" i="14"/>
  <c r="M1425" i="13"/>
  <c r="J1422" i="13" a="1"/>
  <c r="J1422" i="13" s="1"/>
  <c r="N1423" i="13"/>
  <c r="J1421" i="14" a="1"/>
  <c r="J1421" i="14" s="1"/>
  <c r="N1422" i="14"/>
  <c r="K1236" i="13" l="1"/>
  <c r="L1236" i="13" s="1"/>
  <c r="I1237" i="13" s="1"/>
  <c r="K1259" i="14"/>
  <c r="L1259" i="14" s="1"/>
  <c r="I1260" i="14" s="1"/>
  <c r="J1423" i="13" a="1"/>
  <c r="J1423" i="13" s="1"/>
  <c r="N1424" i="13"/>
  <c r="J1422" i="14" a="1"/>
  <c r="J1422" i="14" s="1"/>
  <c r="N1423" i="14"/>
  <c r="M1426" i="13"/>
  <c r="M1427" i="14"/>
  <c r="K1237" i="13" l="1"/>
  <c r="L1237" i="13" s="1"/>
  <c r="I1238" i="13" s="1"/>
  <c r="K1260" i="14"/>
  <c r="L1260" i="14" s="1"/>
  <c r="I1261" i="14" s="1"/>
  <c r="J1423" i="14" a="1"/>
  <c r="J1423" i="14" s="1"/>
  <c r="N1424" i="14"/>
  <c r="J1424" i="13" a="1"/>
  <c r="J1424" i="13" s="1"/>
  <c r="N1425" i="13"/>
  <c r="M1428" i="14"/>
  <c r="M1427" i="13"/>
  <c r="K1238" i="13" l="1"/>
  <c r="L1238" i="13" s="1"/>
  <c r="I1239" i="13" s="1"/>
  <c r="N1426" i="13"/>
  <c r="J1425" i="13" a="1"/>
  <c r="J1425" i="13" s="1"/>
  <c r="N1425" i="14"/>
  <c r="J1424" i="14" a="1"/>
  <c r="J1424" i="14" s="1"/>
  <c r="M1429" i="14"/>
  <c r="M1428" i="13"/>
  <c r="K1261" i="14"/>
  <c r="L1261" i="14" s="1"/>
  <c r="I1262" i="14" s="1"/>
  <c r="K1239" i="13" l="1"/>
  <c r="L1239" i="13" s="1"/>
  <c r="I1240" i="13" s="1"/>
  <c r="K1262" i="14"/>
  <c r="L1262" i="14" s="1"/>
  <c r="I1263" i="14" s="1"/>
  <c r="M1430" i="14"/>
  <c r="J1426" i="13" a="1"/>
  <c r="J1426" i="13" s="1"/>
  <c r="N1427" i="13"/>
  <c r="M1429" i="13"/>
  <c r="J1425" i="14" a="1"/>
  <c r="J1425" i="14" s="1"/>
  <c r="N1426" i="14"/>
  <c r="K1240" i="13" l="1"/>
  <c r="L1240" i="13" s="1"/>
  <c r="I1241" i="13" s="1"/>
  <c r="J1426" i="14" a="1"/>
  <c r="J1426" i="14" s="1"/>
  <c r="N1427" i="14"/>
  <c r="J1427" i="13" a="1"/>
  <c r="J1427" i="13" s="1"/>
  <c r="N1428" i="13"/>
  <c r="M1430" i="13"/>
  <c r="M1431" i="14"/>
  <c r="K1263" i="14"/>
  <c r="L1263" i="14" s="1"/>
  <c r="I1264" i="14" s="1"/>
  <c r="K1241" i="13" l="1"/>
  <c r="L1241" i="13" s="1"/>
  <c r="I1242" i="13" s="1"/>
  <c r="K1264" i="14"/>
  <c r="L1264" i="14" s="1"/>
  <c r="I1265" i="14" s="1"/>
  <c r="J1427" i="14" a="1"/>
  <c r="J1427" i="14" s="1"/>
  <c r="N1428" i="14"/>
  <c r="M1431" i="13"/>
  <c r="J1428" i="13" a="1"/>
  <c r="J1428" i="13" s="1"/>
  <c r="N1429" i="13"/>
  <c r="M1432" i="14"/>
  <c r="K1242" i="13" l="1"/>
  <c r="L1242" i="13" s="1"/>
  <c r="I1243" i="13" s="1"/>
  <c r="K1265" i="14"/>
  <c r="L1265" i="14" s="1"/>
  <c r="I1266" i="14" s="1"/>
  <c r="M1432" i="13"/>
  <c r="N1430" i="13"/>
  <c r="J1429" i="13" a="1"/>
  <c r="J1429" i="13" s="1"/>
  <c r="N1429" i="14"/>
  <c r="J1428" i="14" a="1"/>
  <c r="J1428" i="14" s="1"/>
  <c r="M1433" i="14"/>
  <c r="K1243" i="13" l="1"/>
  <c r="L1243" i="13" s="1"/>
  <c r="I1244" i="13" s="1"/>
  <c r="K1266" i="14"/>
  <c r="L1266" i="14" s="1"/>
  <c r="I1267" i="14" s="1"/>
  <c r="M1434" i="14"/>
  <c r="M1433" i="13"/>
  <c r="J1430" i="13" a="1"/>
  <c r="J1430" i="13" s="1"/>
  <c r="N1431" i="13"/>
  <c r="J1429" i="14" a="1"/>
  <c r="J1429" i="14" s="1"/>
  <c r="N1430" i="14"/>
  <c r="K1244" i="13" l="1"/>
  <c r="L1244" i="13" s="1"/>
  <c r="I1245" i="13" s="1"/>
  <c r="K1267" i="14"/>
  <c r="L1267" i="14" s="1"/>
  <c r="I1268" i="14" s="1"/>
  <c r="M1434" i="13"/>
  <c r="J1431" i="13" a="1"/>
  <c r="J1431" i="13" s="1"/>
  <c r="N1432" i="13"/>
  <c r="J1430" i="14" a="1"/>
  <c r="J1430" i="14" s="1"/>
  <c r="N1431" i="14"/>
  <c r="M1435" i="14"/>
  <c r="K1245" i="13" l="1"/>
  <c r="L1245" i="13" s="1"/>
  <c r="I1246" i="13" s="1"/>
  <c r="K1268" i="14"/>
  <c r="L1268" i="14" s="1"/>
  <c r="I1269" i="14" s="1"/>
  <c r="M1436" i="14"/>
  <c r="J1431" i="14" a="1"/>
  <c r="J1431" i="14" s="1"/>
  <c r="N1432" i="14"/>
  <c r="J1432" i="13" a="1"/>
  <c r="J1432" i="13" s="1"/>
  <c r="N1433" i="13"/>
  <c r="M1435" i="13"/>
  <c r="K1246" i="13" l="1"/>
  <c r="L1246" i="13" s="1"/>
  <c r="I1247" i="13" s="1"/>
  <c r="K1269" i="14"/>
  <c r="L1269" i="14" s="1"/>
  <c r="I1270" i="14" s="1"/>
  <c r="N1433" i="14"/>
  <c r="J1432" i="14" a="1"/>
  <c r="J1432" i="14" s="1"/>
  <c r="M1436" i="13"/>
  <c r="N1434" i="13"/>
  <c r="J1433" i="13" a="1"/>
  <c r="J1433" i="13" s="1"/>
  <c r="M1437" i="14"/>
  <c r="K1247" i="13" l="1"/>
  <c r="L1247" i="13" s="1"/>
  <c r="I1248" i="13" s="1"/>
  <c r="K1270" i="14"/>
  <c r="L1270" i="14" s="1"/>
  <c r="I1271" i="14" s="1"/>
  <c r="M1437" i="13"/>
  <c r="M1438" i="14"/>
  <c r="J1434" i="13" a="1"/>
  <c r="J1434" i="13" s="1"/>
  <c r="N1435" i="13"/>
  <c r="J1433" i="14" a="1"/>
  <c r="J1433" i="14" s="1"/>
  <c r="N1434" i="14"/>
  <c r="K1248" i="13" l="1"/>
  <c r="L1248" i="13" s="1"/>
  <c r="I1249" i="13" s="1"/>
  <c r="K1271" i="14"/>
  <c r="L1271" i="14" s="1"/>
  <c r="I1272" i="14" s="1"/>
  <c r="J1434" i="14" a="1"/>
  <c r="J1434" i="14" s="1"/>
  <c r="N1435" i="14"/>
  <c r="M1439" i="14"/>
  <c r="J1435" i="13" a="1"/>
  <c r="J1435" i="13" s="1"/>
  <c r="N1436" i="13"/>
  <c r="M1438" i="13"/>
  <c r="K1249" i="13" l="1"/>
  <c r="L1249" i="13" s="1"/>
  <c r="I1250" i="13" s="1"/>
  <c r="K1272" i="14"/>
  <c r="L1272" i="14" s="1"/>
  <c r="I1273" i="14" s="1"/>
  <c r="M1440" i="14"/>
  <c r="M1439" i="13"/>
  <c r="J1436" i="13" a="1"/>
  <c r="J1436" i="13" s="1"/>
  <c r="N1437" i="13"/>
  <c r="J1435" i="14" a="1"/>
  <c r="J1435" i="14" s="1"/>
  <c r="N1436" i="14"/>
  <c r="K1250" i="13" l="1"/>
  <c r="L1250" i="13" s="1"/>
  <c r="I1251" i="13" s="1"/>
  <c r="K1273" i="14"/>
  <c r="L1273" i="14" s="1"/>
  <c r="I1274" i="14" s="1"/>
  <c r="M1440" i="13"/>
  <c r="N1438" i="13"/>
  <c r="J1437" i="13" a="1"/>
  <c r="J1437" i="13" s="1"/>
  <c r="N1437" i="14"/>
  <c r="J1436" i="14" a="1"/>
  <c r="J1436" i="14" s="1"/>
  <c r="M1441" i="14"/>
  <c r="K1251" i="13" l="1"/>
  <c r="L1251" i="13" s="1"/>
  <c r="I1252" i="13" s="1"/>
  <c r="K1274" i="14"/>
  <c r="L1274" i="14" s="1"/>
  <c r="I1275" i="14" s="1"/>
  <c r="J1438" i="13" a="1"/>
  <c r="J1438" i="13" s="1"/>
  <c r="N1439" i="13"/>
  <c r="M1441" i="13"/>
  <c r="M1442" i="14"/>
  <c r="J1437" i="14" a="1"/>
  <c r="J1437" i="14" s="1"/>
  <c r="N1438" i="14"/>
  <c r="K1252" i="13" l="1"/>
  <c r="L1252" i="13" s="1"/>
  <c r="I1253" i="13" s="1"/>
  <c r="K1275" i="14"/>
  <c r="L1275" i="14" s="1"/>
  <c r="I1276" i="14" s="1"/>
  <c r="J1439" i="13" a="1"/>
  <c r="J1439" i="13" s="1"/>
  <c r="N1440" i="13"/>
  <c r="J1438" i="14" a="1"/>
  <c r="J1438" i="14" s="1"/>
  <c r="N1439" i="14"/>
  <c r="M1442" i="13"/>
  <c r="M1443" i="14"/>
  <c r="K1253" i="13" l="1"/>
  <c r="L1253" i="13" s="1"/>
  <c r="I1254" i="13" s="1"/>
  <c r="K1276" i="14"/>
  <c r="L1276" i="14" s="1"/>
  <c r="I1277" i="14" s="1"/>
  <c r="M1444" i="14"/>
  <c r="J1440" i="13" a="1"/>
  <c r="J1440" i="13" s="1"/>
  <c r="N1441" i="13"/>
  <c r="J1439" i="14" a="1"/>
  <c r="J1439" i="14" s="1"/>
  <c r="N1440" i="14"/>
  <c r="M1443" i="13"/>
  <c r="K1254" i="13" l="1"/>
  <c r="L1254" i="13" s="1"/>
  <c r="I1255" i="13" s="1"/>
  <c r="K1277" i="14"/>
  <c r="L1277" i="14" s="1"/>
  <c r="I1278" i="14" s="1"/>
  <c r="N1442" i="13"/>
  <c r="J1441" i="13" a="1"/>
  <c r="J1441" i="13" s="1"/>
  <c r="M1444" i="13"/>
  <c r="N1441" i="14"/>
  <c r="J1440" i="14" a="1"/>
  <c r="J1440" i="14" s="1"/>
  <c r="M1445" i="14"/>
  <c r="K1255" i="13" l="1"/>
  <c r="L1255" i="13" s="1"/>
  <c r="I1256" i="13" s="1"/>
  <c r="K1278" i="14"/>
  <c r="L1278" i="14" s="1"/>
  <c r="I1279" i="14" s="1"/>
  <c r="M1445" i="13"/>
  <c r="M1446" i="14"/>
  <c r="J1441" i="14" a="1"/>
  <c r="J1441" i="14" s="1"/>
  <c r="N1442" i="14"/>
  <c r="J1442" i="13" a="1"/>
  <c r="J1442" i="13" s="1"/>
  <c r="N1443" i="13"/>
  <c r="K1256" i="13" l="1"/>
  <c r="L1256" i="13" s="1"/>
  <c r="I1257" i="13" s="1"/>
  <c r="K1279" i="14"/>
  <c r="L1279" i="14" s="1"/>
  <c r="I1280" i="14" s="1"/>
  <c r="J1443" i="13" a="1"/>
  <c r="J1443" i="13" s="1"/>
  <c r="N1444" i="13"/>
  <c r="M1447" i="14"/>
  <c r="J1442" i="14" a="1"/>
  <c r="J1442" i="14" s="1"/>
  <c r="N1443" i="14"/>
  <c r="M1446" i="13"/>
  <c r="K1257" i="13" l="1"/>
  <c r="L1257" i="13" s="1"/>
  <c r="I1258" i="13" s="1"/>
  <c r="K1280" i="14"/>
  <c r="L1280" i="14" s="1"/>
  <c r="I1281" i="14" s="1"/>
  <c r="J1443" i="14" a="1"/>
  <c r="J1443" i="14" s="1"/>
  <c r="N1444" i="14"/>
  <c r="M1448" i="14"/>
  <c r="M1447" i="13"/>
  <c r="J1444" i="13" a="1"/>
  <c r="J1444" i="13" s="1"/>
  <c r="N1445" i="13"/>
  <c r="K1258" i="13" l="1"/>
  <c r="L1258" i="13" s="1"/>
  <c r="I1259" i="13" s="1"/>
  <c r="K1281" i="14"/>
  <c r="L1281" i="14" s="1"/>
  <c r="I1282" i="14" s="1"/>
  <c r="N1446" i="13"/>
  <c r="J1445" i="13" a="1"/>
  <c r="J1445" i="13" s="1"/>
  <c r="M1449" i="14"/>
  <c r="M1448" i="13"/>
  <c r="N1445" i="14"/>
  <c r="J1444" i="14" a="1"/>
  <c r="J1444" i="14" s="1"/>
  <c r="K1259" i="13" l="1"/>
  <c r="L1259" i="13" s="1"/>
  <c r="I1260" i="13" s="1"/>
  <c r="K1282" i="14"/>
  <c r="L1282" i="14" s="1"/>
  <c r="I1283" i="14" s="1"/>
  <c r="J1445" i="14" a="1"/>
  <c r="J1445" i="14" s="1"/>
  <c r="N1446" i="14"/>
  <c r="M1450" i="14"/>
  <c r="M1449" i="13"/>
  <c r="J1446" i="13" a="1"/>
  <c r="J1446" i="13" s="1"/>
  <c r="N1447" i="13"/>
  <c r="K1260" i="13" l="1"/>
  <c r="L1260" i="13" s="1"/>
  <c r="I1261" i="13" s="1"/>
  <c r="K1283" i="14"/>
  <c r="L1283" i="14" s="1"/>
  <c r="I1284" i="14" s="1"/>
  <c r="M1451" i="14"/>
  <c r="J1446" i="14" a="1"/>
  <c r="J1446" i="14" s="1"/>
  <c r="N1447" i="14"/>
  <c r="J1447" i="13" a="1"/>
  <c r="J1447" i="13" s="1"/>
  <c r="N1448" i="13"/>
  <c r="M1450" i="13"/>
  <c r="K1261" i="13" l="1"/>
  <c r="L1261" i="13" s="1"/>
  <c r="I1262" i="13" s="1"/>
  <c r="K1284" i="14"/>
  <c r="L1284" i="14" s="1"/>
  <c r="I1285" i="14" s="1"/>
  <c r="J1447" i="14" a="1"/>
  <c r="J1447" i="14" s="1"/>
  <c r="N1448" i="14"/>
  <c r="J1448" i="13" a="1"/>
  <c r="J1448" i="13" s="1"/>
  <c r="N1449" i="13"/>
  <c r="M1452" i="14"/>
  <c r="M1451" i="13"/>
  <c r="K1262" i="13" l="1"/>
  <c r="L1262" i="13" s="1"/>
  <c r="I1263" i="13" s="1"/>
  <c r="K1285" i="14"/>
  <c r="L1285" i="14" s="1"/>
  <c r="I1286" i="14" s="1"/>
  <c r="N1450" i="13"/>
  <c r="J1449" i="13" a="1"/>
  <c r="J1449" i="13" s="1"/>
  <c r="N1449" i="14"/>
  <c r="J1448" i="14" a="1"/>
  <c r="J1448" i="14" s="1"/>
  <c r="M1452" i="13"/>
  <c r="M1453" i="14"/>
  <c r="K1263" i="13" l="1"/>
  <c r="L1263" i="13" s="1"/>
  <c r="I1264" i="13" s="1"/>
  <c r="K1286" i="14"/>
  <c r="L1286" i="14" s="1"/>
  <c r="I1287" i="14" s="1"/>
  <c r="J1449" i="14" a="1"/>
  <c r="J1449" i="14" s="1"/>
  <c r="N1450" i="14"/>
  <c r="M1454" i="14"/>
  <c r="M1453" i="13"/>
  <c r="J1450" i="13" a="1"/>
  <c r="J1450" i="13" s="1"/>
  <c r="N1451" i="13"/>
  <c r="K1264" i="13" l="1"/>
  <c r="L1264" i="13" s="1"/>
  <c r="I1265" i="13" s="1"/>
  <c r="K1287" i="14"/>
  <c r="L1287" i="14" s="1"/>
  <c r="I1288" i="14" s="1"/>
  <c r="M1454" i="13"/>
  <c r="J1451" i="13" a="1"/>
  <c r="J1451" i="13" s="1"/>
  <c r="N1452" i="13"/>
  <c r="M1455" i="14"/>
  <c r="J1450" i="14" a="1"/>
  <c r="J1450" i="14" s="1"/>
  <c r="N1451" i="14"/>
  <c r="K1265" i="13" l="1"/>
  <c r="L1265" i="13" s="1"/>
  <c r="I1266" i="13" s="1"/>
  <c r="K1288" i="14"/>
  <c r="L1288" i="14" s="1"/>
  <c r="I1289" i="14" s="1"/>
  <c r="M1456" i="14"/>
  <c r="M1455" i="13"/>
  <c r="J1452" i="13" a="1"/>
  <c r="J1452" i="13" s="1"/>
  <c r="N1453" i="13"/>
  <c r="J1451" i="14" a="1"/>
  <c r="J1451" i="14" s="1"/>
  <c r="N1452" i="14"/>
  <c r="K1266" i="13" l="1"/>
  <c r="L1266" i="13" s="1"/>
  <c r="I1267" i="13" s="1"/>
  <c r="K1289" i="14"/>
  <c r="L1289" i="14" s="1"/>
  <c r="I1290" i="14" s="1"/>
  <c r="M1456" i="13"/>
  <c r="N1453" i="14"/>
  <c r="J1452" i="14" a="1"/>
  <c r="J1452" i="14" s="1"/>
  <c r="N1454" i="13"/>
  <c r="J1453" i="13" a="1"/>
  <c r="J1453" i="13" s="1"/>
  <c r="M1457" i="14"/>
  <c r="K1267" i="13" l="1"/>
  <c r="L1267" i="13" s="1"/>
  <c r="I1268" i="13" s="1"/>
  <c r="K1290" i="14"/>
  <c r="L1290" i="14" s="1"/>
  <c r="I1291" i="14" s="1"/>
  <c r="J1453" i="14" a="1"/>
  <c r="J1453" i="14" s="1"/>
  <c r="N1454" i="14"/>
  <c r="M1457" i="13"/>
  <c r="M1458" i="14"/>
  <c r="J1454" i="13" a="1"/>
  <c r="J1454" i="13" s="1"/>
  <c r="N1455" i="13"/>
  <c r="K1268" i="13" l="1"/>
  <c r="L1268" i="13" s="1"/>
  <c r="I1269" i="13" s="1"/>
  <c r="K1291" i="14"/>
  <c r="L1291" i="14" s="1"/>
  <c r="I1292" i="14" s="1"/>
  <c r="M1458" i="13"/>
  <c r="J1454" i="14" a="1"/>
  <c r="J1454" i="14" s="1"/>
  <c r="N1455" i="14"/>
  <c r="J1455" i="13" a="1"/>
  <c r="J1455" i="13" s="1"/>
  <c r="N1456" i="13"/>
  <c r="M1459" i="14"/>
  <c r="K1269" i="13" l="1"/>
  <c r="L1269" i="13" s="1"/>
  <c r="I1270" i="13" s="1"/>
  <c r="K1292" i="14"/>
  <c r="L1292" i="14" s="1"/>
  <c r="I1293" i="14" s="1"/>
  <c r="M1460" i="14"/>
  <c r="J1456" i="13" a="1"/>
  <c r="J1456" i="13" s="1"/>
  <c r="N1457" i="13"/>
  <c r="J1455" i="14" a="1"/>
  <c r="J1455" i="14" s="1"/>
  <c r="N1456" i="14"/>
  <c r="M1459" i="13"/>
  <c r="K1270" i="13" l="1"/>
  <c r="L1270" i="13" s="1"/>
  <c r="I1271" i="13" s="1"/>
  <c r="K1293" i="14"/>
  <c r="L1293" i="14" s="1"/>
  <c r="I1294" i="14" s="1"/>
  <c r="N1457" i="14"/>
  <c r="J1456" i="14" a="1"/>
  <c r="J1456" i="14" s="1"/>
  <c r="N1458" i="13"/>
  <c r="J1457" i="13" a="1"/>
  <c r="J1457" i="13" s="1"/>
  <c r="M1460" i="13"/>
  <c r="M1461" i="14"/>
  <c r="K1271" i="13" l="1"/>
  <c r="L1271" i="13" s="1"/>
  <c r="I1272" i="13" s="1"/>
  <c r="K1294" i="14"/>
  <c r="L1294" i="14" s="1"/>
  <c r="I1295" i="14" s="1"/>
  <c r="M1462" i="14"/>
  <c r="J1458" i="13" a="1"/>
  <c r="J1458" i="13" s="1"/>
  <c r="N1459" i="13"/>
  <c r="M1461" i="13"/>
  <c r="J1457" i="14" a="1"/>
  <c r="J1457" i="14" s="1"/>
  <c r="N1458" i="14"/>
  <c r="K1272" i="13" l="1"/>
  <c r="L1272" i="13" s="1"/>
  <c r="I1273" i="13" s="1"/>
  <c r="K1295" i="14"/>
  <c r="L1295" i="14" s="1"/>
  <c r="I1296" i="14" s="1"/>
  <c r="J1459" i="13" a="1"/>
  <c r="J1459" i="13" s="1"/>
  <c r="N1460" i="13"/>
  <c r="J1458" i="14" a="1"/>
  <c r="J1458" i="14" s="1"/>
  <c r="N1459" i="14"/>
  <c r="M1462" i="13"/>
  <c r="M1463" i="14"/>
  <c r="K1273" i="13" l="1"/>
  <c r="L1273" i="13" s="1"/>
  <c r="I1274" i="13" s="1"/>
  <c r="K1296" i="14"/>
  <c r="L1296" i="14" s="1"/>
  <c r="I1297" i="14" s="1"/>
  <c r="M1464" i="14"/>
  <c r="J1460" i="13" a="1"/>
  <c r="J1460" i="13" s="1"/>
  <c r="N1461" i="13"/>
  <c r="J1459" i="14" a="1"/>
  <c r="J1459" i="14" s="1"/>
  <c r="N1460" i="14"/>
  <c r="M1463" i="13"/>
  <c r="K1274" i="13" l="1"/>
  <c r="L1274" i="13" s="1"/>
  <c r="I1275" i="13" s="1"/>
  <c r="K1297" i="14"/>
  <c r="L1297" i="14" s="1"/>
  <c r="I1298" i="14" s="1"/>
  <c r="M1464" i="13"/>
  <c r="N1461" i="14"/>
  <c r="J1460" i="14" a="1"/>
  <c r="J1460" i="14" s="1"/>
  <c r="N1462" i="13"/>
  <c r="J1461" i="13" a="1"/>
  <c r="J1461" i="13" s="1"/>
  <c r="M1465" i="14"/>
  <c r="K1275" i="13" l="1"/>
  <c r="L1275" i="13" s="1"/>
  <c r="I1276" i="13" s="1"/>
  <c r="K1298" i="14"/>
  <c r="L1298" i="14" s="1"/>
  <c r="I1299" i="14" s="1"/>
  <c r="J1461" i="14" a="1"/>
  <c r="J1461" i="14" s="1"/>
  <c r="N1462" i="14"/>
  <c r="M1465" i="13"/>
  <c r="M1466" i="14"/>
  <c r="J1462" i="13" a="1"/>
  <c r="J1462" i="13" s="1"/>
  <c r="N1463" i="13"/>
  <c r="K1276" i="13" l="1"/>
  <c r="L1276" i="13" s="1"/>
  <c r="I1277" i="13" s="1"/>
  <c r="K1299" i="14"/>
  <c r="L1299" i="14" s="1"/>
  <c r="I1300" i="14" s="1"/>
  <c r="M1466" i="13"/>
  <c r="J1463" i="13" a="1"/>
  <c r="J1463" i="13" s="1"/>
  <c r="N1464" i="13"/>
  <c r="J1462" i="14" a="1"/>
  <c r="J1462" i="14" s="1"/>
  <c r="N1463" i="14"/>
  <c r="M1467" i="14"/>
  <c r="K1277" i="13" l="1"/>
  <c r="L1277" i="13" s="1"/>
  <c r="I1278" i="13" s="1"/>
  <c r="K1300" i="14"/>
  <c r="L1300" i="14" s="1"/>
  <c r="I1301" i="14" s="1"/>
  <c r="M1468" i="14"/>
  <c r="J1463" i="14" a="1"/>
  <c r="J1463" i="14" s="1"/>
  <c r="N1464" i="14"/>
  <c r="J1464" i="13" a="1"/>
  <c r="J1464" i="13" s="1"/>
  <c r="N1465" i="13"/>
  <c r="M1467" i="13"/>
  <c r="K1278" i="13" l="1"/>
  <c r="L1278" i="13" s="1"/>
  <c r="I1279" i="13" s="1"/>
  <c r="K1301" i="14"/>
  <c r="L1301" i="14" s="1"/>
  <c r="I1302" i="14" s="1"/>
  <c r="N1465" i="14"/>
  <c r="J1464" i="14" a="1"/>
  <c r="J1464" i="14" s="1"/>
  <c r="N1466" i="13"/>
  <c r="J1465" i="13" a="1"/>
  <c r="J1465" i="13" s="1"/>
  <c r="M1468" i="13"/>
  <c r="M1469" i="14"/>
  <c r="K1279" i="13" l="1"/>
  <c r="L1279" i="13" s="1"/>
  <c r="I1280" i="13" s="1"/>
  <c r="K1302" i="14"/>
  <c r="L1302" i="14" s="1"/>
  <c r="I1303" i="14" s="1"/>
  <c r="M1470" i="14"/>
  <c r="J1466" i="13" a="1"/>
  <c r="J1466" i="13" s="1"/>
  <c r="N1467" i="13"/>
  <c r="M1469" i="13"/>
  <c r="J1465" i="14" a="1"/>
  <c r="J1465" i="14" s="1"/>
  <c r="N1466" i="14"/>
  <c r="K1280" i="13" l="1"/>
  <c r="L1280" i="13" s="1"/>
  <c r="I1281" i="13" s="1"/>
  <c r="K1303" i="14"/>
  <c r="L1303" i="14" s="1"/>
  <c r="I1304" i="14" s="1"/>
  <c r="J1467" i="13" a="1"/>
  <c r="J1467" i="13" s="1"/>
  <c r="N1468" i="13"/>
  <c r="J1466" i="14" a="1"/>
  <c r="J1466" i="14" s="1"/>
  <c r="N1467" i="14"/>
  <c r="M1470" i="13"/>
  <c r="M1471" i="14"/>
  <c r="K1281" i="13" l="1"/>
  <c r="L1281" i="13" s="1"/>
  <c r="I1282" i="13" s="1"/>
  <c r="K1304" i="14"/>
  <c r="L1304" i="14" s="1"/>
  <c r="I1305" i="14" s="1"/>
  <c r="M1472" i="14"/>
  <c r="J1467" i="14" a="1"/>
  <c r="J1467" i="14" s="1"/>
  <c r="N1468" i="14"/>
  <c r="J1468" i="13" a="1"/>
  <c r="J1468" i="13" s="1"/>
  <c r="N1469" i="13"/>
  <c r="M1471" i="13"/>
  <c r="K1282" i="13" l="1"/>
  <c r="L1282" i="13" s="1"/>
  <c r="I1283" i="13" s="1"/>
  <c r="K1305" i="14"/>
  <c r="L1305" i="14" s="1"/>
  <c r="I1306" i="14" s="1"/>
  <c r="N1469" i="14"/>
  <c r="J1468" i="14" a="1"/>
  <c r="J1468" i="14" s="1"/>
  <c r="M1472" i="13"/>
  <c r="N1470" i="13"/>
  <c r="J1469" i="13" a="1"/>
  <c r="J1469" i="13" s="1"/>
  <c r="M1473" i="14"/>
  <c r="K1283" i="13" l="1"/>
  <c r="L1283" i="13" s="1"/>
  <c r="I1284" i="13" s="1"/>
  <c r="K1306" i="14"/>
  <c r="L1306" i="14" s="1"/>
  <c r="I1307" i="14" s="1"/>
  <c r="M1473" i="13"/>
  <c r="M1474" i="14"/>
  <c r="J1470" i="13" a="1"/>
  <c r="J1470" i="13" s="1"/>
  <c r="N1471" i="13"/>
  <c r="J1469" i="14" a="1"/>
  <c r="J1469" i="14" s="1"/>
  <c r="N1470" i="14"/>
  <c r="K1284" i="13" l="1"/>
  <c r="L1284" i="13" s="1"/>
  <c r="I1285" i="13" s="1"/>
  <c r="K1307" i="14"/>
  <c r="L1307" i="14" s="1"/>
  <c r="I1308" i="14" s="1"/>
  <c r="M1475" i="14"/>
  <c r="J1470" i="14" a="1"/>
  <c r="J1470" i="14" s="1"/>
  <c r="N1471" i="14"/>
  <c r="J1471" i="13" a="1"/>
  <c r="J1471" i="13" s="1"/>
  <c r="N1472" i="13"/>
  <c r="M1474" i="13"/>
  <c r="K1285" i="13" l="1"/>
  <c r="L1285" i="13" s="1"/>
  <c r="I1286" i="13" s="1"/>
  <c r="K1308" i="14"/>
  <c r="L1308" i="14" s="1"/>
  <c r="I1309" i="14" s="1"/>
  <c r="J1471" i="14" a="1"/>
  <c r="J1471" i="14" s="1"/>
  <c r="N1472" i="14"/>
  <c r="J1472" i="13" a="1"/>
  <c r="J1472" i="13" s="1"/>
  <c r="N1473" i="13"/>
  <c r="M1476" i="14"/>
  <c r="M1475" i="13"/>
  <c r="K1286" i="13" l="1"/>
  <c r="L1286" i="13" s="1"/>
  <c r="I1287" i="13" s="1"/>
  <c r="K1309" i="14"/>
  <c r="L1309" i="14" s="1"/>
  <c r="I1310" i="14" s="1"/>
  <c r="M1476" i="13"/>
  <c r="N1473" i="14"/>
  <c r="J1472" i="14" a="1"/>
  <c r="J1472" i="14" s="1"/>
  <c r="N1474" i="13"/>
  <c r="J1473" i="13" a="1"/>
  <c r="J1473" i="13" s="1"/>
  <c r="M1477" i="14"/>
  <c r="K1287" i="13" l="1"/>
  <c r="L1287" i="13" s="1"/>
  <c r="I1288" i="13" s="1"/>
  <c r="K1310" i="14"/>
  <c r="L1310" i="14" s="1"/>
  <c r="I1311" i="14" s="1"/>
  <c r="J1473" i="14" a="1"/>
  <c r="J1473" i="14" s="1"/>
  <c r="N1474" i="14"/>
  <c r="M1478" i="14"/>
  <c r="M1477" i="13"/>
  <c r="J1474" i="13" a="1"/>
  <c r="J1474" i="13" s="1"/>
  <c r="N1475" i="13"/>
  <c r="K1288" i="13" l="1"/>
  <c r="L1288" i="13" s="1"/>
  <c r="I1289" i="13" s="1"/>
  <c r="K1311" i="14"/>
  <c r="L1311" i="14" s="1"/>
  <c r="I1312" i="14" s="1"/>
  <c r="J1475" i="13" a="1"/>
  <c r="J1475" i="13" s="1"/>
  <c r="N1476" i="13"/>
  <c r="J1474" i="14" a="1"/>
  <c r="J1474" i="14" s="1"/>
  <c r="N1475" i="14"/>
  <c r="M1479" i="14"/>
  <c r="M1478" i="13"/>
  <c r="K1289" i="13" l="1"/>
  <c r="L1289" i="13" s="1"/>
  <c r="I1290" i="13" s="1"/>
  <c r="K1312" i="14"/>
  <c r="L1312" i="14" s="1"/>
  <c r="I1313" i="14" s="1"/>
  <c r="M1479" i="13"/>
  <c r="M1480" i="14"/>
  <c r="J1476" i="13" a="1"/>
  <c r="J1476" i="13" s="1"/>
  <c r="N1477" i="13"/>
  <c r="J1475" i="14" a="1"/>
  <c r="J1475" i="14" s="1"/>
  <c r="N1476" i="14"/>
  <c r="K1290" i="13" l="1"/>
  <c r="L1290" i="13" s="1"/>
  <c r="I1291" i="13" s="1"/>
  <c r="K1313" i="14"/>
  <c r="L1313" i="14" s="1"/>
  <c r="I1314" i="14" s="1"/>
  <c r="N1477" i="14"/>
  <c r="J1476" i="14" a="1"/>
  <c r="J1476" i="14" s="1"/>
  <c r="M1481" i="14"/>
  <c r="N1478" i="13"/>
  <c r="J1477" i="13" a="1"/>
  <c r="J1477" i="13" s="1"/>
  <c r="M1480" i="13"/>
  <c r="K1291" i="13" l="1"/>
  <c r="L1291" i="13" s="1"/>
  <c r="I1292" i="13" s="1"/>
  <c r="K1314" i="14"/>
  <c r="L1314" i="14" s="1"/>
  <c r="I1315" i="14" s="1"/>
  <c r="M1481" i="13"/>
  <c r="M1482" i="14"/>
  <c r="J1478" i="13" a="1"/>
  <c r="J1478" i="13" s="1"/>
  <c r="N1479" i="13"/>
  <c r="J1477" i="14" a="1"/>
  <c r="J1477" i="14" s="1"/>
  <c r="N1478" i="14"/>
  <c r="K1292" i="13" l="1"/>
  <c r="L1292" i="13" s="1"/>
  <c r="I1293" i="13" s="1"/>
  <c r="K1315" i="14"/>
  <c r="L1315" i="14" s="1"/>
  <c r="I1316" i="14" s="1"/>
  <c r="J1478" i="14" a="1"/>
  <c r="J1478" i="14" s="1"/>
  <c r="N1479" i="14"/>
  <c r="M1483" i="14"/>
  <c r="J1479" i="13" a="1"/>
  <c r="J1479" i="13" s="1"/>
  <c r="N1480" i="13"/>
  <c r="M1482" i="13"/>
  <c r="K1293" i="13" l="1"/>
  <c r="L1293" i="13" s="1"/>
  <c r="I1294" i="13" s="1"/>
  <c r="K1316" i="14"/>
  <c r="L1316" i="14" s="1"/>
  <c r="I1317" i="14" s="1"/>
  <c r="J1480" i="13" a="1"/>
  <c r="J1480" i="13" s="1"/>
  <c r="N1481" i="13"/>
  <c r="M1484" i="14"/>
  <c r="M1483" i="13"/>
  <c r="J1479" i="14" a="1"/>
  <c r="J1479" i="14" s="1"/>
  <c r="N1480" i="14"/>
  <c r="K1294" i="13" l="1"/>
  <c r="L1294" i="13" s="1"/>
  <c r="I1295" i="13" s="1"/>
  <c r="K1317" i="14"/>
  <c r="L1317" i="14" s="1"/>
  <c r="I1318" i="14" s="1"/>
  <c r="N1481" i="14"/>
  <c r="J1480" i="14" a="1"/>
  <c r="J1480" i="14" s="1"/>
  <c r="M1485" i="14"/>
  <c r="N1482" i="13"/>
  <c r="J1481" i="13" a="1"/>
  <c r="J1481" i="13" s="1"/>
  <c r="M1484" i="13"/>
  <c r="K1295" i="13" l="1"/>
  <c r="L1295" i="13" s="1"/>
  <c r="I1296" i="13" s="1"/>
  <c r="K1318" i="14"/>
  <c r="L1318" i="14" s="1"/>
  <c r="I1319" i="14" s="1"/>
  <c r="M1485" i="13"/>
  <c r="M1486" i="14"/>
  <c r="J1482" i="13" a="1"/>
  <c r="J1482" i="13" s="1"/>
  <c r="N1483" i="13"/>
  <c r="J1481" i="14" a="1"/>
  <c r="J1481" i="14" s="1"/>
  <c r="N1482" i="14"/>
  <c r="K1296" i="13" l="1"/>
  <c r="L1296" i="13" s="1"/>
  <c r="I1297" i="13" s="1"/>
  <c r="K1319" i="14"/>
  <c r="L1319" i="14" s="1"/>
  <c r="I1320" i="14" s="1"/>
  <c r="J1482" i="14" a="1"/>
  <c r="J1482" i="14" s="1"/>
  <c r="N1483" i="14"/>
  <c r="M1487" i="14"/>
  <c r="J1483" i="13" a="1"/>
  <c r="J1483" i="13" s="1"/>
  <c r="N1484" i="13"/>
  <c r="M1486" i="13"/>
  <c r="K1297" i="13" l="1"/>
  <c r="L1297" i="13" s="1"/>
  <c r="I1298" i="13" s="1"/>
  <c r="K1320" i="14"/>
  <c r="L1320" i="14" s="1"/>
  <c r="I1321" i="14" s="1"/>
  <c r="M1488" i="14"/>
  <c r="M1487" i="13"/>
  <c r="J1483" i="14" a="1"/>
  <c r="J1483" i="14" s="1"/>
  <c r="N1484" i="14"/>
  <c r="J1484" i="13" a="1"/>
  <c r="J1484" i="13" s="1"/>
  <c r="N1485" i="13"/>
  <c r="K1298" i="13" l="1"/>
  <c r="L1298" i="13" s="1"/>
  <c r="I1299" i="13" s="1"/>
  <c r="K1321" i="14"/>
  <c r="L1321" i="14" s="1"/>
  <c r="I1322" i="14" s="1"/>
  <c r="N1486" i="13"/>
  <c r="J1485" i="13" a="1"/>
  <c r="J1485" i="13" s="1"/>
  <c r="M1488" i="13"/>
  <c r="N1485" i="14"/>
  <c r="J1484" i="14" a="1"/>
  <c r="J1484" i="14" s="1"/>
  <c r="M1489" i="14"/>
  <c r="K1299" i="13" l="1"/>
  <c r="L1299" i="13" s="1"/>
  <c r="I1300" i="13" s="1"/>
  <c r="K1322" i="14"/>
  <c r="L1322" i="14" s="1"/>
  <c r="I1323" i="14" s="1"/>
  <c r="M1489" i="13"/>
  <c r="M1490" i="14"/>
  <c r="J1485" i="14" a="1"/>
  <c r="J1485" i="14" s="1"/>
  <c r="N1486" i="14"/>
  <c r="J1486" i="13" a="1"/>
  <c r="J1486" i="13" s="1"/>
  <c r="N1487" i="13"/>
  <c r="K1300" i="13" l="1"/>
  <c r="L1300" i="13" s="1"/>
  <c r="I1301" i="13" s="1"/>
  <c r="K1323" i="14"/>
  <c r="L1323" i="14" s="1"/>
  <c r="I1324" i="14" s="1"/>
  <c r="M1491" i="14"/>
  <c r="J1486" i="14" a="1"/>
  <c r="J1486" i="14" s="1"/>
  <c r="N1487" i="14"/>
  <c r="J1487" i="13" a="1"/>
  <c r="J1487" i="13" s="1"/>
  <c r="N1488" i="13"/>
  <c r="M1490" i="13"/>
  <c r="K1301" i="13" l="1"/>
  <c r="L1301" i="13" s="1"/>
  <c r="I1302" i="13" s="1"/>
  <c r="K1324" i="14"/>
  <c r="L1324" i="14" s="1"/>
  <c r="I1325" i="14" s="1"/>
  <c r="J1487" i="14" a="1"/>
  <c r="J1487" i="14" s="1"/>
  <c r="N1488" i="14"/>
  <c r="J1488" i="13" a="1"/>
  <c r="J1488" i="13" s="1"/>
  <c r="N1489" i="13"/>
  <c r="M1492" i="14"/>
  <c r="M1491" i="13"/>
  <c r="K1302" i="13" l="1"/>
  <c r="L1302" i="13" s="1"/>
  <c r="I1303" i="13" s="1"/>
  <c r="K1325" i="14"/>
  <c r="L1325" i="14" s="1"/>
  <c r="I1326" i="14" s="1"/>
  <c r="N1490" i="13"/>
  <c r="J1489" i="13" a="1"/>
  <c r="J1489" i="13" s="1"/>
  <c r="M1492" i="13"/>
  <c r="N1489" i="14"/>
  <c r="J1488" i="14" a="1"/>
  <c r="J1488" i="14" s="1"/>
  <c r="M1493" i="14"/>
  <c r="K1303" i="13" l="1"/>
  <c r="L1303" i="13" s="1"/>
  <c r="I1304" i="13" s="1"/>
  <c r="K1326" i="14"/>
  <c r="L1326" i="14" s="1"/>
  <c r="I1327" i="14" s="1"/>
  <c r="M1493" i="13"/>
  <c r="M1494" i="14"/>
  <c r="J1489" i="14" a="1"/>
  <c r="J1489" i="14" s="1"/>
  <c r="N1490" i="14"/>
  <c r="J1490" i="13" a="1"/>
  <c r="J1490" i="13" s="1"/>
  <c r="N1491" i="13"/>
  <c r="K1304" i="13" l="1"/>
  <c r="L1304" i="13" s="1"/>
  <c r="I1305" i="13" s="1"/>
  <c r="K1327" i="14"/>
  <c r="L1327" i="14" s="1"/>
  <c r="I1328" i="14" s="1"/>
  <c r="J1491" i="13" a="1"/>
  <c r="J1491" i="13" s="1"/>
  <c r="N1492" i="13"/>
  <c r="M1495" i="14"/>
  <c r="J1490" i="14" a="1"/>
  <c r="J1490" i="14" s="1"/>
  <c r="N1491" i="14"/>
  <c r="M1494" i="13"/>
  <c r="K1305" i="13" l="1"/>
  <c r="L1305" i="13" s="1"/>
  <c r="I1306" i="13" s="1"/>
  <c r="K1328" i="14"/>
  <c r="L1328" i="14" s="1"/>
  <c r="I1329" i="14" s="1"/>
  <c r="M1496" i="14"/>
  <c r="J1491" i="14" a="1"/>
  <c r="J1491" i="14" s="1"/>
  <c r="N1492" i="14"/>
  <c r="M1495" i="13"/>
  <c r="J1492" i="13" a="1"/>
  <c r="J1492" i="13" s="1"/>
  <c r="N1493" i="13"/>
  <c r="K1306" i="13" l="1"/>
  <c r="L1306" i="13" s="1"/>
  <c r="I1307" i="13" s="1"/>
  <c r="K1329" i="14"/>
  <c r="L1329" i="14" s="1"/>
  <c r="I1330" i="14" s="1"/>
  <c r="N1493" i="14"/>
  <c r="J1492" i="14" a="1"/>
  <c r="J1492" i="14" s="1"/>
  <c r="N1494" i="13"/>
  <c r="J1493" i="13" a="1"/>
  <c r="J1493" i="13" s="1"/>
  <c r="M1496" i="13"/>
  <c r="M1497" i="14"/>
  <c r="K1307" i="13" l="1"/>
  <c r="L1307" i="13" s="1"/>
  <c r="I1308" i="13" s="1"/>
  <c r="K1330" i="14"/>
  <c r="L1330" i="14" s="1"/>
  <c r="I1331" i="14" s="1"/>
  <c r="J1494" i="13" a="1"/>
  <c r="J1494" i="13" s="1"/>
  <c r="N1495" i="13"/>
  <c r="M1498" i="14"/>
  <c r="M1497" i="13"/>
  <c r="J1493" i="14" a="1"/>
  <c r="J1493" i="14" s="1"/>
  <c r="N1494" i="14"/>
  <c r="K1308" i="13" l="1"/>
  <c r="L1308" i="13" s="1"/>
  <c r="I1309" i="13" s="1"/>
  <c r="K1331" i="14"/>
  <c r="L1331" i="14" s="1"/>
  <c r="I1332" i="14" s="1"/>
  <c r="J1494" i="14" a="1"/>
  <c r="J1494" i="14" s="1"/>
  <c r="N1495" i="14"/>
  <c r="M1499" i="14"/>
  <c r="J1495" i="13" a="1"/>
  <c r="J1495" i="13" s="1"/>
  <c r="N1496" i="13"/>
  <c r="M1498" i="13"/>
  <c r="K1309" i="13" l="1"/>
  <c r="L1309" i="13" s="1"/>
  <c r="I1310" i="13" s="1"/>
  <c r="K1332" i="14"/>
  <c r="L1332" i="14" s="1"/>
  <c r="I1333" i="14" s="1"/>
  <c r="J1496" i="13" a="1"/>
  <c r="J1496" i="13" s="1"/>
  <c r="N1497" i="13"/>
  <c r="M1500" i="14"/>
  <c r="M1499" i="13"/>
  <c r="J1495" i="14" a="1"/>
  <c r="J1495" i="14" s="1"/>
  <c r="N1496" i="14"/>
  <c r="K1310" i="13" l="1"/>
  <c r="L1310" i="13" s="1"/>
  <c r="I1311" i="13" s="1"/>
  <c r="K1333" i="14"/>
  <c r="L1333" i="14" s="1"/>
  <c r="I1334" i="14" s="1"/>
  <c r="M1501" i="14"/>
  <c r="N1498" i="13"/>
  <c r="J1497" i="13" a="1"/>
  <c r="J1497" i="13" s="1"/>
  <c r="N1497" i="14"/>
  <c r="J1496" i="14" a="1"/>
  <c r="J1496" i="14" s="1"/>
  <c r="M1500" i="13"/>
  <c r="K1311" i="13" l="1"/>
  <c r="L1311" i="13" s="1"/>
  <c r="I1312" i="13" s="1"/>
  <c r="K1334" i="14"/>
  <c r="L1334" i="14" s="1"/>
  <c r="I1335" i="14" s="1"/>
  <c r="M1501" i="13"/>
  <c r="J1498" i="13" a="1"/>
  <c r="J1498" i="13" s="1"/>
  <c r="N1499" i="13"/>
  <c r="J1497" i="14" a="1"/>
  <c r="J1497" i="14" s="1"/>
  <c r="N1498" i="14"/>
  <c r="M1502" i="14"/>
  <c r="K1312" i="13" l="1"/>
  <c r="L1312" i="13" s="1"/>
  <c r="I1313" i="13" s="1"/>
  <c r="K1335" i="14"/>
  <c r="L1335" i="14" s="1"/>
  <c r="I1336" i="14" s="1"/>
  <c r="M1503" i="14"/>
  <c r="J1499" i="13" a="1"/>
  <c r="J1499" i="13" s="1"/>
  <c r="N1500" i="13"/>
  <c r="J1498" i="14" a="1"/>
  <c r="J1498" i="14" s="1"/>
  <c r="N1499" i="14"/>
  <c r="M1502" i="13"/>
  <c r="K1313" i="13" l="1"/>
  <c r="L1313" i="13" s="1"/>
  <c r="I1314" i="13" s="1"/>
  <c r="K1336" i="14"/>
  <c r="L1336" i="14" s="1"/>
  <c r="I1337" i="14" s="1"/>
  <c r="M1503" i="13"/>
  <c r="J1499" i="14" a="1"/>
  <c r="J1499" i="14" s="1"/>
  <c r="N1500" i="14"/>
  <c r="M1504" i="14"/>
  <c r="J1500" i="13" a="1"/>
  <c r="J1500" i="13" s="1"/>
  <c r="N1501" i="13"/>
  <c r="K1314" i="13" l="1"/>
  <c r="L1314" i="13" s="1"/>
  <c r="I1315" i="13" s="1"/>
  <c r="K1337" i="14"/>
  <c r="L1337" i="14" s="1"/>
  <c r="I1338" i="14" s="1"/>
  <c r="N1501" i="14"/>
  <c r="J1500" i="14" a="1"/>
  <c r="J1500" i="14" s="1"/>
  <c r="N1502" i="13"/>
  <c r="J1501" i="13" a="1"/>
  <c r="J1501" i="13" s="1"/>
  <c r="M1505" i="14"/>
  <c r="M1504" i="13"/>
  <c r="K1315" i="13" l="1"/>
  <c r="L1315" i="13" s="1"/>
  <c r="I1316" i="13" s="1"/>
  <c r="J1502" i="13" a="1"/>
  <c r="J1502" i="13" s="1"/>
  <c r="N1503" i="13"/>
  <c r="M1506" i="14"/>
  <c r="M1505" i="13"/>
  <c r="J1501" i="14" a="1"/>
  <c r="J1501" i="14" s="1"/>
  <c r="N1502" i="14"/>
  <c r="K1338" i="14"/>
  <c r="L1338" i="14" s="1"/>
  <c r="I1339" i="14" s="1"/>
  <c r="K1316" i="13" l="1"/>
  <c r="L1316" i="13" s="1"/>
  <c r="I1317" i="13" s="1"/>
  <c r="K1339" i="14"/>
  <c r="L1339" i="14" s="1"/>
  <c r="I1340" i="14" s="1"/>
  <c r="J1503" i="13" a="1"/>
  <c r="J1503" i="13" s="1"/>
  <c r="N1504" i="13"/>
  <c r="M1506" i="13"/>
  <c r="J1502" i="14" a="1"/>
  <c r="J1502" i="14" s="1"/>
  <c r="N1503" i="14"/>
  <c r="M1507" i="14"/>
  <c r="K1317" i="13" l="1"/>
  <c r="L1317" i="13" s="1"/>
  <c r="I1318" i="13" s="1"/>
  <c r="K1340" i="14"/>
  <c r="L1340" i="14" s="1"/>
  <c r="I1341" i="14" s="1"/>
  <c r="M1508" i="14"/>
  <c r="M1507" i="13"/>
  <c r="J1503" i="14" a="1"/>
  <c r="J1503" i="14" s="1"/>
  <c r="N1504" i="14"/>
  <c r="J1504" i="13" a="1"/>
  <c r="J1504" i="13" s="1"/>
  <c r="N1505" i="13"/>
  <c r="K1318" i="13" l="1"/>
  <c r="L1318" i="13" s="1"/>
  <c r="I1319" i="13" s="1"/>
  <c r="K1341" i="14"/>
  <c r="L1341" i="14" s="1"/>
  <c r="I1342" i="14" s="1"/>
  <c r="N1506" i="13"/>
  <c r="J1505" i="13" a="1"/>
  <c r="J1505" i="13" s="1"/>
  <c r="M1508" i="13"/>
  <c r="N1505" i="14"/>
  <c r="J1504" i="14" a="1"/>
  <c r="J1504" i="14" s="1"/>
  <c r="M1509" i="14"/>
  <c r="K1319" i="13" l="1"/>
  <c r="L1319" i="13" s="1"/>
  <c r="I1320" i="13" s="1"/>
  <c r="K1342" i="14"/>
  <c r="L1342" i="14" s="1"/>
  <c r="I1343" i="14" s="1"/>
  <c r="J1505" i="14" a="1"/>
  <c r="J1505" i="14" s="1"/>
  <c r="N1506" i="14"/>
  <c r="M1509" i="13"/>
  <c r="M1510" i="14"/>
  <c r="J1506" i="13" a="1"/>
  <c r="J1506" i="13" s="1"/>
  <c r="N1507" i="13"/>
  <c r="K1320" i="13" l="1"/>
  <c r="L1320" i="13" s="1"/>
  <c r="I1321" i="13" s="1"/>
  <c r="M1511" i="14"/>
  <c r="J1507" i="13" a="1"/>
  <c r="J1507" i="13" s="1"/>
  <c r="N1508" i="13"/>
  <c r="M1510" i="13"/>
  <c r="K1343" i="14"/>
  <c r="L1343" i="14" s="1"/>
  <c r="I1344" i="14" s="1"/>
  <c r="J1506" i="14" a="1"/>
  <c r="J1506" i="14" s="1"/>
  <c r="N1507" i="14"/>
  <c r="K1321" i="13" l="1"/>
  <c r="L1321" i="13" s="1"/>
  <c r="I1322" i="13" s="1"/>
  <c r="K1344" i="14"/>
  <c r="L1344" i="14" s="1"/>
  <c r="I1345" i="14" s="1"/>
  <c r="J1507" i="14" a="1"/>
  <c r="J1507" i="14" s="1"/>
  <c r="N1508" i="14"/>
  <c r="M1512" i="14"/>
  <c r="M1511" i="13"/>
  <c r="J1508" i="13" a="1"/>
  <c r="J1508" i="13" s="1"/>
  <c r="N1509" i="13"/>
  <c r="K1322" i="13" l="1"/>
  <c r="L1322" i="13" s="1"/>
  <c r="I1323" i="13" s="1"/>
  <c r="K1345" i="14"/>
  <c r="L1345" i="14" s="1"/>
  <c r="I1346" i="14" s="1"/>
  <c r="N1510" i="13"/>
  <c r="J1509" i="13" a="1"/>
  <c r="J1509" i="13" s="1"/>
  <c r="N1509" i="14"/>
  <c r="J1508" i="14" a="1"/>
  <c r="J1508" i="14" s="1"/>
  <c r="M1512" i="13"/>
  <c r="M1513" i="14"/>
  <c r="K1323" i="13" l="1"/>
  <c r="L1323" i="13" s="1"/>
  <c r="I1324" i="13" s="1"/>
  <c r="K1346" i="14"/>
  <c r="L1346" i="14" s="1"/>
  <c r="I1347" i="14" s="1"/>
  <c r="M1513" i="13"/>
  <c r="M1514" i="14"/>
  <c r="J1509" i="14" a="1"/>
  <c r="J1509" i="14" s="1"/>
  <c r="N1510" i="14"/>
  <c r="J1510" i="13" a="1"/>
  <c r="J1510" i="13" s="1"/>
  <c r="N1511" i="13"/>
  <c r="K1324" i="13" l="1"/>
  <c r="L1324" i="13" s="1"/>
  <c r="I1325" i="13" s="1"/>
  <c r="K1347" i="14"/>
  <c r="L1347" i="14" s="1"/>
  <c r="I1348" i="14" s="1"/>
  <c r="M1515" i="14"/>
  <c r="J1511" i="13" a="1"/>
  <c r="J1511" i="13" s="1"/>
  <c r="N1512" i="13"/>
  <c r="J1510" i="14" a="1"/>
  <c r="J1510" i="14" s="1"/>
  <c r="N1511" i="14"/>
  <c r="M1514" i="13"/>
  <c r="K1325" i="13" l="1"/>
  <c r="L1325" i="13" s="1"/>
  <c r="I1326" i="13" s="1"/>
  <c r="K1348" i="14"/>
  <c r="L1348" i="14" s="1"/>
  <c r="I1349" i="14" s="1"/>
  <c r="J1512" i="13" a="1"/>
  <c r="J1512" i="13" s="1"/>
  <c r="N1513" i="13"/>
  <c r="M1516" i="14"/>
  <c r="M1515" i="13"/>
  <c r="J1511" i="14" a="1"/>
  <c r="J1511" i="14" s="1"/>
  <c r="N1512" i="14"/>
  <c r="K1326" i="13" l="1"/>
  <c r="L1326" i="13" s="1"/>
  <c r="I1327" i="13" s="1"/>
  <c r="N1513" i="14"/>
  <c r="J1512" i="14" a="1"/>
  <c r="J1512" i="14" s="1"/>
  <c r="K1349" i="14"/>
  <c r="L1349" i="14" s="1"/>
  <c r="I1350" i="14" s="1"/>
  <c r="M1517" i="14"/>
  <c r="N1514" i="13"/>
  <c r="J1513" i="13" a="1"/>
  <c r="J1513" i="13" s="1"/>
  <c r="M1516" i="13"/>
  <c r="K1327" i="13" l="1"/>
  <c r="L1327" i="13" s="1"/>
  <c r="I1328" i="13" s="1"/>
  <c r="K1350" i="14"/>
  <c r="L1350" i="14" s="1"/>
  <c r="I1351" i="14" s="1"/>
  <c r="M1517" i="13"/>
  <c r="M1518" i="14"/>
  <c r="J1513" i="14" a="1"/>
  <c r="J1513" i="14" s="1"/>
  <c r="N1514" i="14"/>
  <c r="J1514" i="13" a="1"/>
  <c r="J1514" i="13" s="1"/>
  <c r="N1515" i="13"/>
  <c r="K1328" i="13" l="1"/>
  <c r="L1328" i="13" s="1"/>
  <c r="I1329" i="13" s="1"/>
  <c r="K1351" i="14"/>
  <c r="L1351" i="14" s="1"/>
  <c r="I1352" i="14" s="1"/>
  <c r="J1515" i="13" a="1"/>
  <c r="J1515" i="13" s="1"/>
  <c r="N1516" i="13"/>
  <c r="M1519" i="14"/>
  <c r="J1514" i="14" a="1"/>
  <c r="J1514" i="14" s="1"/>
  <c r="N1515" i="14"/>
  <c r="M1518" i="13"/>
  <c r="K1329" i="13" l="1"/>
  <c r="L1329" i="13" s="1"/>
  <c r="I1330" i="13" s="1"/>
  <c r="K1352" i="14"/>
  <c r="L1352" i="14" s="1"/>
  <c r="I1353" i="14" s="1"/>
  <c r="M1520" i="14"/>
  <c r="M1519" i="13"/>
  <c r="J1515" i="14" a="1"/>
  <c r="J1515" i="14" s="1"/>
  <c r="N1516" i="14"/>
  <c r="J1516" i="13" a="1"/>
  <c r="J1516" i="13" s="1"/>
  <c r="N1517" i="13"/>
  <c r="K1330" i="13" l="1"/>
  <c r="L1330" i="13" s="1"/>
  <c r="I1331" i="13" s="1"/>
  <c r="K1353" i="14"/>
  <c r="L1353" i="14" s="1"/>
  <c r="I1354" i="14" s="1"/>
  <c r="N1517" i="14"/>
  <c r="J1516" i="14" a="1"/>
  <c r="J1516" i="14" s="1"/>
  <c r="N1518" i="13"/>
  <c r="J1517" i="13" a="1"/>
  <c r="J1517" i="13" s="1"/>
  <c r="M1520" i="13"/>
  <c r="M1521" i="14"/>
  <c r="K1331" i="13" l="1"/>
  <c r="L1331" i="13" s="1"/>
  <c r="I1332" i="13" s="1"/>
  <c r="K1354" i="14"/>
  <c r="L1354" i="14" s="1"/>
  <c r="I1355" i="14" s="1"/>
  <c r="M1522" i="14"/>
  <c r="J1518" i="13" a="1"/>
  <c r="J1518" i="13" s="1"/>
  <c r="N1519" i="13"/>
  <c r="M1521" i="13"/>
  <c r="J1517" i="14" a="1"/>
  <c r="J1517" i="14" s="1"/>
  <c r="N1518" i="14"/>
  <c r="K1332" i="13" l="1"/>
  <c r="L1332" i="13" s="1"/>
  <c r="I1333" i="13" s="1"/>
  <c r="K1355" i="14"/>
  <c r="L1355" i="14" s="1"/>
  <c r="I1356" i="14" s="1"/>
  <c r="J1519" i="13" a="1"/>
  <c r="J1519" i="13" s="1"/>
  <c r="N1520" i="13"/>
  <c r="J1518" i="14" a="1"/>
  <c r="J1518" i="14" s="1"/>
  <c r="N1519" i="14"/>
  <c r="M1522" i="13"/>
  <c r="M1523" i="14"/>
  <c r="K1333" i="13" l="1"/>
  <c r="L1333" i="13" s="1"/>
  <c r="I1334" i="13" s="1"/>
  <c r="K1356" i="14"/>
  <c r="L1356" i="14" s="1"/>
  <c r="I1357" i="14" s="1"/>
  <c r="J1519" i="14" a="1"/>
  <c r="J1519" i="14" s="1"/>
  <c r="N1520" i="14"/>
  <c r="M1523" i="13"/>
  <c r="M1524" i="14"/>
  <c r="J1520" i="13" a="1"/>
  <c r="J1520" i="13" s="1"/>
  <c r="N1521" i="13"/>
  <c r="K1334" i="13" l="1"/>
  <c r="L1334" i="13" s="1"/>
  <c r="I1335" i="13" s="1"/>
  <c r="K1357" i="14"/>
  <c r="L1357" i="14" s="1"/>
  <c r="I1358" i="14" s="1"/>
  <c r="N1522" i="13"/>
  <c r="J1521" i="13" a="1"/>
  <c r="J1521" i="13" s="1"/>
  <c r="M1524" i="13"/>
  <c r="N1521" i="14"/>
  <c r="J1520" i="14" a="1"/>
  <c r="J1520" i="14" s="1"/>
  <c r="M1525" i="14"/>
  <c r="K1335" i="13" l="1"/>
  <c r="L1335" i="13" s="1"/>
  <c r="I1336" i="13" s="1"/>
  <c r="J1522" i="13" a="1"/>
  <c r="J1522" i="13" s="1"/>
  <c r="N1523" i="13"/>
  <c r="K1358" i="14"/>
  <c r="L1358" i="14" s="1"/>
  <c r="I1359" i="14" s="1"/>
  <c r="M1525" i="13"/>
  <c r="J1521" i="14" a="1"/>
  <c r="J1521" i="14" s="1"/>
  <c r="N1522" i="14"/>
  <c r="M1526" i="14"/>
  <c r="K1336" i="13" l="1"/>
  <c r="L1336" i="13" s="1"/>
  <c r="I1337" i="13" s="1"/>
  <c r="K1359" i="14"/>
  <c r="L1359" i="14" s="1"/>
  <c r="I1360" i="14" s="1"/>
  <c r="J1522" i="14" a="1"/>
  <c r="J1522" i="14" s="1"/>
  <c r="N1523" i="14"/>
  <c r="J1523" i="13" a="1"/>
  <c r="J1523" i="13" s="1"/>
  <c r="N1524" i="13"/>
  <c r="M1527" i="14"/>
  <c r="M1526" i="13"/>
  <c r="K1337" i="13" l="1"/>
  <c r="L1337" i="13" s="1"/>
  <c r="I1338" i="13" s="1"/>
  <c r="J1524" i="13" a="1"/>
  <c r="J1524" i="13" s="1"/>
  <c r="N1525" i="13"/>
  <c r="M1527" i="13"/>
  <c r="K1360" i="14"/>
  <c r="L1360" i="14" s="1"/>
  <c r="I1361" i="14" s="1"/>
  <c r="J1523" i="14" a="1"/>
  <c r="J1523" i="14" s="1"/>
  <c r="N1524" i="14"/>
  <c r="M1528" i="14"/>
  <c r="K1338" i="13" l="1"/>
  <c r="L1338" i="13" s="1"/>
  <c r="I1339" i="13" s="1"/>
  <c r="M1529" i="14"/>
  <c r="N1526" i="13"/>
  <c r="J1525" i="13" a="1"/>
  <c r="J1525" i="13" s="1"/>
  <c r="N1525" i="14"/>
  <c r="J1524" i="14" a="1"/>
  <c r="J1524" i="14" s="1"/>
  <c r="K1361" i="14"/>
  <c r="L1361" i="14" s="1"/>
  <c r="I1362" i="14" s="1"/>
  <c r="M1528" i="13"/>
  <c r="K1339" i="13" l="1"/>
  <c r="L1339" i="13" s="1"/>
  <c r="I1340" i="13" s="1"/>
  <c r="K1362" i="14"/>
  <c r="L1362" i="14" s="1"/>
  <c r="I1363" i="14" s="1"/>
  <c r="M1529" i="13"/>
  <c r="J1525" i="14" a="1"/>
  <c r="J1525" i="14" s="1"/>
  <c r="N1526" i="14"/>
  <c r="M1530" i="14"/>
  <c r="J1526" i="13" a="1"/>
  <c r="J1526" i="13" s="1"/>
  <c r="N1527" i="13"/>
  <c r="K1340" i="13" l="1"/>
  <c r="L1340" i="13" s="1"/>
  <c r="I1341" i="13" s="1"/>
  <c r="K1363" i="14"/>
  <c r="L1363" i="14" s="1"/>
  <c r="I1364" i="14" s="1"/>
  <c r="J1526" i="14" a="1"/>
  <c r="J1526" i="14" s="1"/>
  <c r="N1527" i="14"/>
  <c r="J1527" i="13" a="1"/>
  <c r="J1527" i="13" s="1"/>
  <c r="N1528" i="13"/>
  <c r="M1531" i="14"/>
  <c r="M1530" i="13"/>
  <c r="K1341" i="13" l="1"/>
  <c r="L1341" i="13" s="1"/>
  <c r="I1342" i="13" s="1"/>
  <c r="K1364" i="14"/>
  <c r="L1364" i="14" s="1"/>
  <c r="I1365" i="14" s="1"/>
  <c r="M1532" i="14"/>
  <c r="J1528" i="13" a="1"/>
  <c r="J1528" i="13" s="1"/>
  <c r="N1529" i="13"/>
  <c r="M1531" i="13"/>
  <c r="J1527" i="14" a="1"/>
  <c r="J1527" i="14" s="1"/>
  <c r="N1528" i="14"/>
  <c r="K1342" i="13" l="1"/>
  <c r="L1342" i="13" s="1"/>
  <c r="I1343" i="13" s="1"/>
  <c r="K1365" i="14"/>
  <c r="L1365" i="14" s="1"/>
  <c r="I1366" i="14" s="1"/>
  <c r="N1530" i="13"/>
  <c r="J1529" i="13" a="1"/>
  <c r="J1529" i="13" s="1"/>
  <c r="N1529" i="14"/>
  <c r="J1528" i="14" a="1"/>
  <c r="J1528" i="14" s="1"/>
  <c r="M1532" i="13"/>
  <c r="M1533" i="14"/>
  <c r="K1343" i="13" l="1"/>
  <c r="L1343" i="13" s="1"/>
  <c r="I1344" i="13" s="1"/>
  <c r="K1366" i="14"/>
  <c r="L1366" i="14" s="1"/>
  <c r="I1367" i="14" s="1"/>
  <c r="J1529" i="14" a="1"/>
  <c r="J1529" i="14" s="1"/>
  <c r="N1530" i="14"/>
  <c r="M1534" i="14"/>
  <c r="M1533" i="13"/>
  <c r="J1530" i="13" a="1"/>
  <c r="J1530" i="13" s="1"/>
  <c r="N1531" i="13"/>
  <c r="K1344" i="13" l="1"/>
  <c r="L1344" i="13" s="1"/>
  <c r="I1345" i="13" s="1"/>
  <c r="K1367" i="14"/>
  <c r="L1367" i="14" s="1"/>
  <c r="I1368" i="14" s="1"/>
  <c r="M1535" i="14"/>
  <c r="J1530" i="14" a="1"/>
  <c r="J1530" i="14" s="1"/>
  <c r="N1531" i="14"/>
  <c r="J1531" i="13" a="1"/>
  <c r="J1531" i="13" s="1"/>
  <c r="N1532" i="13"/>
  <c r="M1534" i="13"/>
  <c r="K1345" i="13" l="1"/>
  <c r="L1345" i="13" s="1"/>
  <c r="I1346" i="13" s="1"/>
  <c r="K1368" i="14"/>
  <c r="L1368" i="14" s="1"/>
  <c r="I1369" i="14" s="1"/>
  <c r="J1531" i="14" a="1"/>
  <c r="J1531" i="14" s="1"/>
  <c r="N1532" i="14"/>
  <c r="M1535" i="13"/>
  <c r="J1532" i="13" a="1"/>
  <c r="J1532" i="13" s="1"/>
  <c r="N1533" i="13"/>
  <c r="M1536" i="14"/>
  <c r="K1346" i="13" l="1"/>
  <c r="L1346" i="13" s="1"/>
  <c r="I1347" i="13" s="1"/>
  <c r="K1369" i="14"/>
  <c r="L1369" i="14" s="1"/>
  <c r="I1370" i="14" s="1"/>
  <c r="N1534" i="13"/>
  <c r="J1533" i="13" a="1"/>
  <c r="J1533" i="13" s="1"/>
  <c r="N1533" i="14"/>
  <c r="J1532" i="14" a="1"/>
  <c r="J1532" i="14" s="1"/>
  <c r="M1537" i="14"/>
  <c r="M1536" i="13"/>
  <c r="K1347" i="13" l="1"/>
  <c r="L1347" i="13" s="1"/>
  <c r="I1348" i="13" s="1"/>
  <c r="K1370" i="14"/>
  <c r="L1370" i="14" s="1"/>
  <c r="I1371" i="14" s="1"/>
  <c r="M1537" i="13"/>
  <c r="J1533" i="14" a="1"/>
  <c r="J1533" i="14" s="1"/>
  <c r="N1534" i="14"/>
  <c r="M1538" i="14"/>
  <c r="J1534" i="13" a="1"/>
  <c r="J1534" i="13" s="1"/>
  <c r="N1535" i="13"/>
  <c r="K1348" i="13" l="1"/>
  <c r="L1348" i="13" s="1"/>
  <c r="I1349" i="13" s="1"/>
  <c r="K1371" i="14"/>
  <c r="L1371" i="14" s="1"/>
  <c r="I1372" i="14" s="1"/>
  <c r="J1534" i="14" a="1"/>
  <c r="J1534" i="14" s="1"/>
  <c r="N1535" i="14"/>
  <c r="J1535" i="13" a="1"/>
  <c r="J1535" i="13" s="1"/>
  <c r="N1536" i="13"/>
  <c r="M1539" i="14"/>
  <c r="M1538" i="13"/>
  <c r="K1349" i="13" l="1"/>
  <c r="L1349" i="13" s="1"/>
  <c r="I1350" i="13" s="1"/>
  <c r="K1372" i="14"/>
  <c r="L1372" i="14" s="1"/>
  <c r="I1373" i="14" s="1"/>
  <c r="J1536" i="13" a="1"/>
  <c r="J1536" i="13" s="1"/>
  <c r="N1537" i="13"/>
  <c r="J1535" i="14" a="1"/>
  <c r="J1535" i="14" s="1"/>
  <c r="N1536" i="14"/>
  <c r="M1539" i="13"/>
  <c r="M1540" i="14"/>
  <c r="K1350" i="13" l="1"/>
  <c r="L1350" i="13" s="1"/>
  <c r="I1351" i="13" s="1"/>
  <c r="K1373" i="14"/>
  <c r="L1373" i="14" s="1"/>
  <c r="I1374" i="14" s="1"/>
  <c r="N1537" i="14"/>
  <c r="J1536" i="14" a="1"/>
  <c r="J1536" i="14" s="1"/>
  <c r="N1538" i="13"/>
  <c r="J1537" i="13" a="1"/>
  <c r="J1537" i="13" s="1"/>
  <c r="M1541" i="14"/>
  <c r="M1540" i="13"/>
  <c r="K1351" i="13" l="1"/>
  <c r="L1351" i="13" s="1"/>
  <c r="I1352" i="13" s="1"/>
  <c r="K1374" i="14"/>
  <c r="L1374" i="14" s="1"/>
  <c r="I1375" i="14" s="1"/>
  <c r="M1542" i="14"/>
  <c r="J1537" i="14" a="1"/>
  <c r="J1537" i="14" s="1"/>
  <c r="N1538" i="14"/>
  <c r="M1541" i="13"/>
  <c r="J1538" i="13" a="1"/>
  <c r="J1538" i="13" s="1"/>
  <c r="N1539" i="13"/>
  <c r="K1352" i="13" l="1"/>
  <c r="L1352" i="13" s="1"/>
  <c r="I1353" i="13" s="1"/>
  <c r="J1539" i="13" a="1"/>
  <c r="J1539" i="13" s="1"/>
  <c r="N1540" i="13"/>
  <c r="J1538" i="14" a="1"/>
  <c r="J1538" i="14" s="1"/>
  <c r="N1539" i="14"/>
  <c r="K1375" i="14"/>
  <c r="L1375" i="14" s="1"/>
  <c r="I1376" i="14" s="1"/>
  <c r="M1542" i="13"/>
  <c r="M1543" i="14"/>
  <c r="K1353" i="13" l="1"/>
  <c r="L1353" i="13" s="1"/>
  <c r="I1354" i="13" s="1"/>
  <c r="M1543" i="13"/>
  <c r="M1544" i="14"/>
  <c r="J1540" i="13" a="1"/>
  <c r="J1540" i="13" s="1"/>
  <c r="N1541" i="13"/>
  <c r="K1376" i="14"/>
  <c r="L1376" i="14" s="1"/>
  <c r="I1377" i="14" s="1"/>
  <c r="J1539" i="14" a="1"/>
  <c r="J1539" i="14" s="1"/>
  <c r="N1540" i="14"/>
  <c r="K1354" i="13" l="1"/>
  <c r="L1354" i="13" s="1"/>
  <c r="I1355" i="13" s="1"/>
  <c r="K1377" i="14"/>
  <c r="L1377" i="14" s="1"/>
  <c r="I1378" i="14" s="1"/>
  <c r="N1542" i="13"/>
  <c r="J1541" i="13" a="1"/>
  <c r="J1541" i="13" s="1"/>
  <c r="M1544" i="13"/>
  <c r="N1541" i="14"/>
  <c r="J1540" i="14" a="1"/>
  <c r="J1540" i="14" s="1"/>
  <c r="M1545" i="14"/>
  <c r="K1355" i="13" l="1"/>
  <c r="L1355" i="13" s="1"/>
  <c r="I1356" i="13" s="1"/>
  <c r="K1378" i="14"/>
  <c r="L1378" i="14" s="1"/>
  <c r="I1379" i="14" s="1"/>
  <c r="M1545" i="13"/>
  <c r="M1546" i="14"/>
  <c r="J1541" i="14" a="1"/>
  <c r="J1541" i="14" s="1"/>
  <c r="N1542" i="14"/>
  <c r="J1542" i="13" a="1"/>
  <c r="J1542" i="13" s="1"/>
  <c r="N1543" i="13"/>
  <c r="K1356" i="13" l="1"/>
  <c r="L1356" i="13" s="1"/>
  <c r="I1357" i="13" s="1"/>
  <c r="K1379" i="14"/>
  <c r="L1379" i="14" s="1"/>
  <c r="I1380" i="14" s="1"/>
  <c r="J1543" i="13" a="1"/>
  <c r="J1543" i="13" s="1"/>
  <c r="N1544" i="13"/>
  <c r="M1547" i="14"/>
  <c r="J1542" i="14" a="1"/>
  <c r="J1542" i="14" s="1"/>
  <c r="N1543" i="14"/>
  <c r="M1546" i="13"/>
  <c r="K1357" i="13" l="1"/>
  <c r="L1357" i="13" s="1"/>
  <c r="I1358" i="13" s="1"/>
  <c r="K1380" i="14"/>
  <c r="L1380" i="14" s="1"/>
  <c r="I1381" i="14" s="1"/>
  <c r="M1548" i="14"/>
  <c r="M1547" i="13"/>
  <c r="J1544" i="13" a="1"/>
  <c r="J1544" i="13" s="1"/>
  <c r="N1545" i="13"/>
  <c r="J1543" i="14" a="1"/>
  <c r="J1543" i="14" s="1"/>
  <c r="N1544" i="14"/>
  <c r="K1358" i="13" l="1"/>
  <c r="L1358" i="13" s="1"/>
  <c r="I1359" i="13" s="1"/>
  <c r="K1381" i="14"/>
  <c r="L1381" i="14" s="1"/>
  <c r="I1382" i="14" s="1"/>
  <c r="N1545" i="14"/>
  <c r="J1544" i="14" a="1"/>
  <c r="J1544" i="14" s="1"/>
  <c r="M1549" i="14"/>
  <c r="N1546" i="13"/>
  <c r="J1545" i="13" a="1"/>
  <c r="J1545" i="13" s="1"/>
  <c r="M1548" i="13"/>
  <c r="K1359" i="13" l="1"/>
  <c r="L1359" i="13" s="1"/>
  <c r="I1360" i="13" s="1"/>
  <c r="K1382" i="14"/>
  <c r="L1382" i="14" s="1"/>
  <c r="I1383" i="14" s="1"/>
  <c r="M1549" i="13"/>
  <c r="M1550" i="14"/>
  <c r="J1546" i="13" a="1"/>
  <c r="J1546" i="13" s="1"/>
  <c r="N1547" i="13"/>
  <c r="J1545" i="14" a="1"/>
  <c r="J1545" i="14" s="1"/>
  <c r="N1546" i="14"/>
  <c r="K1360" i="13" l="1"/>
  <c r="L1360" i="13" s="1"/>
  <c r="I1361" i="13" s="1"/>
  <c r="K1383" i="14"/>
  <c r="L1383" i="14" s="1"/>
  <c r="I1384" i="14" s="1"/>
  <c r="J1546" i="14" a="1"/>
  <c r="J1546" i="14" s="1"/>
  <c r="N1547" i="14"/>
  <c r="M1551" i="14"/>
  <c r="J1547" i="13" a="1"/>
  <c r="J1547" i="13" s="1"/>
  <c r="N1548" i="13"/>
  <c r="M1550" i="13"/>
  <c r="K1361" i="13" l="1"/>
  <c r="L1361" i="13" s="1"/>
  <c r="I1362" i="13" s="1"/>
  <c r="K1384" i="14"/>
  <c r="L1384" i="14" s="1"/>
  <c r="I1385" i="14" s="1"/>
  <c r="J1547" i="14" a="1"/>
  <c r="J1547" i="14" s="1"/>
  <c r="N1548" i="14"/>
  <c r="J1548" i="13" a="1"/>
  <c r="J1548" i="13" s="1"/>
  <c r="N1549" i="13"/>
  <c r="M1552" i="14"/>
  <c r="M1551" i="13"/>
  <c r="K1362" i="13" l="1"/>
  <c r="L1362" i="13" s="1"/>
  <c r="I1363" i="13" s="1"/>
  <c r="K1385" i="14"/>
  <c r="L1385" i="14" s="1"/>
  <c r="I1386" i="14" s="1"/>
  <c r="N1550" i="13"/>
  <c r="J1549" i="13" a="1"/>
  <c r="J1549" i="13" s="1"/>
  <c r="N1549" i="14"/>
  <c r="J1548" i="14" a="1"/>
  <c r="J1548" i="14" s="1"/>
  <c r="M1552" i="13"/>
  <c r="M1553" i="14"/>
  <c r="K1363" i="13" l="1"/>
  <c r="L1363" i="13" s="1"/>
  <c r="I1364" i="13" s="1"/>
  <c r="K1386" i="14"/>
  <c r="L1386" i="14" s="1"/>
  <c r="I1387" i="14" s="1"/>
  <c r="M1553" i="13"/>
  <c r="M1554" i="14"/>
  <c r="J1549" i="14" a="1"/>
  <c r="J1549" i="14" s="1"/>
  <c r="N1550" i="14"/>
  <c r="J1550" i="13" a="1"/>
  <c r="J1550" i="13" s="1"/>
  <c r="N1551" i="13"/>
  <c r="K1364" i="13" l="1"/>
  <c r="L1364" i="13" s="1"/>
  <c r="I1365" i="13" s="1"/>
  <c r="K1387" i="14"/>
  <c r="L1387" i="14" s="1"/>
  <c r="I1388" i="14" s="1"/>
  <c r="M1555" i="14"/>
  <c r="J1551" i="13" a="1"/>
  <c r="J1551" i="13" s="1"/>
  <c r="N1552" i="13"/>
  <c r="J1550" i="14" a="1"/>
  <c r="J1550" i="14" s="1"/>
  <c r="N1551" i="14"/>
  <c r="M1554" i="13"/>
  <c r="K1365" i="13" l="1"/>
  <c r="L1365" i="13" s="1"/>
  <c r="I1366" i="13" s="1"/>
  <c r="J1552" i="13" a="1"/>
  <c r="J1552" i="13" s="1"/>
  <c r="N1553" i="13"/>
  <c r="M1555" i="13"/>
  <c r="J1551" i="14" a="1"/>
  <c r="J1551" i="14" s="1"/>
  <c r="N1552" i="14"/>
  <c r="M1556" i="14"/>
  <c r="K1388" i="14"/>
  <c r="L1388" i="14" s="1"/>
  <c r="I1389" i="14" s="1"/>
  <c r="K1366" i="13" l="1"/>
  <c r="L1366" i="13" s="1"/>
  <c r="I1367" i="13" s="1"/>
  <c r="K1389" i="14"/>
  <c r="L1389" i="14" s="1"/>
  <c r="I1390" i="14" s="1"/>
  <c r="N1553" i="14"/>
  <c r="J1552" i="14" a="1"/>
  <c r="J1552" i="14" s="1"/>
  <c r="N1554" i="13"/>
  <c r="J1553" i="13" a="1"/>
  <c r="J1553" i="13" s="1"/>
  <c r="M1557" i="14"/>
  <c r="M1556" i="13"/>
  <c r="K1367" i="13" l="1"/>
  <c r="L1367" i="13" s="1"/>
  <c r="I1368" i="13" s="1"/>
  <c r="K1390" i="14"/>
  <c r="L1390" i="14" s="1"/>
  <c r="I1391" i="14" s="1"/>
  <c r="M1557" i="13"/>
  <c r="J1554" i="13" a="1"/>
  <c r="J1554" i="13" s="1"/>
  <c r="N1555" i="13"/>
  <c r="M1558" i="14"/>
  <c r="J1553" i="14" a="1"/>
  <c r="J1553" i="14" s="1"/>
  <c r="N1554" i="14"/>
  <c r="K1368" i="13" l="1"/>
  <c r="L1368" i="13" s="1"/>
  <c r="I1369" i="13" s="1"/>
  <c r="K1391" i="14"/>
  <c r="L1391" i="14" s="1"/>
  <c r="I1392" i="14" s="1"/>
  <c r="J1555" i="13" a="1"/>
  <c r="J1555" i="13" s="1"/>
  <c r="N1556" i="13"/>
  <c r="J1554" i="14" a="1"/>
  <c r="J1554" i="14" s="1"/>
  <c r="N1555" i="14"/>
  <c r="M1559" i="14"/>
  <c r="M1558" i="13"/>
  <c r="K1369" i="13" l="1"/>
  <c r="L1369" i="13" s="1"/>
  <c r="I1370" i="13" s="1"/>
  <c r="K1392" i="14"/>
  <c r="L1392" i="14" s="1"/>
  <c r="I1393" i="14" s="1"/>
  <c r="M1560" i="14"/>
  <c r="J1555" i="14" a="1"/>
  <c r="J1555" i="14" s="1"/>
  <c r="N1556" i="14"/>
  <c r="M1559" i="13"/>
  <c r="J1556" i="13" a="1"/>
  <c r="J1556" i="13" s="1"/>
  <c r="N1557" i="13"/>
  <c r="K1370" i="13" l="1"/>
  <c r="L1370" i="13" s="1"/>
  <c r="I1371" i="13" s="1"/>
  <c r="K1393" i="14"/>
  <c r="L1393" i="14" s="1"/>
  <c r="I1394" i="14" s="1"/>
  <c r="N1557" i="14"/>
  <c r="J1556" i="14" a="1"/>
  <c r="J1556" i="14" s="1"/>
  <c r="N1558" i="13"/>
  <c r="J1557" i="13" a="1"/>
  <c r="J1557" i="13" s="1"/>
  <c r="M1560" i="13"/>
  <c r="M1561" i="14"/>
  <c r="K1371" i="13" l="1"/>
  <c r="L1371" i="13" s="1"/>
  <c r="I1372" i="13" s="1"/>
  <c r="K1394" i="14"/>
  <c r="L1394" i="14" s="1"/>
  <c r="I1395" i="14" s="1"/>
  <c r="J1558" i="13" a="1"/>
  <c r="J1558" i="13" s="1"/>
  <c r="N1559" i="13"/>
  <c r="M1562" i="14"/>
  <c r="M1561" i="13"/>
  <c r="J1557" i="14" a="1"/>
  <c r="J1557" i="14" s="1"/>
  <c r="N1558" i="14"/>
  <c r="K1372" i="13" l="1"/>
  <c r="L1372" i="13" s="1"/>
  <c r="I1373" i="13" s="1"/>
  <c r="K1395" i="14"/>
  <c r="L1395" i="14" s="1"/>
  <c r="I1396" i="14" s="1"/>
  <c r="M1563" i="14"/>
  <c r="J1558" i="14" a="1"/>
  <c r="J1558" i="14" s="1"/>
  <c r="N1559" i="14"/>
  <c r="J1559" i="13" a="1"/>
  <c r="J1559" i="13" s="1"/>
  <c r="N1560" i="13"/>
  <c r="M1562" i="13"/>
  <c r="K1373" i="13" l="1"/>
  <c r="L1373" i="13" s="1"/>
  <c r="I1374" i="13" s="1"/>
  <c r="K1396" i="14"/>
  <c r="L1396" i="14" s="1"/>
  <c r="I1397" i="14" s="1"/>
  <c r="J1560" i="13" a="1"/>
  <c r="J1560" i="13" s="1"/>
  <c r="N1561" i="13"/>
  <c r="M1564" i="14"/>
  <c r="J1559" i="14" a="1"/>
  <c r="J1559" i="14" s="1"/>
  <c r="N1560" i="14"/>
  <c r="M1563" i="13"/>
  <c r="K1374" i="13" l="1"/>
  <c r="L1374" i="13" s="1"/>
  <c r="I1375" i="13" s="1"/>
  <c r="K1397" i="14"/>
  <c r="L1397" i="14" s="1"/>
  <c r="I1398" i="14" s="1"/>
  <c r="M1564" i="13"/>
  <c r="M1565" i="14"/>
  <c r="N1562" i="13"/>
  <c r="J1561" i="13" a="1"/>
  <c r="J1561" i="13" s="1"/>
  <c r="N1561" i="14"/>
  <c r="J1560" i="14" a="1"/>
  <c r="J1560" i="14" s="1"/>
  <c r="K1375" i="13" l="1"/>
  <c r="L1375" i="13" s="1"/>
  <c r="I1376" i="13" s="1"/>
  <c r="K1398" i="14"/>
  <c r="L1398" i="14" s="1"/>
  <c r="I1399" i="14" s="1"/>
  <c r="J1561" i="14" a="1"/>
  <c r="J1561" i="14" s="1"/>
  <c r="N1562" i="14"/>
  <c r="M1566" i="14"/>
  <c r="M1565" i="13"/>
  <c r="J1562" i="13" a="1"/>
  <c r="J1562" i="13" s="1"/>
  <c r="N1563" i="13"/>
  <c r="K1376" i="13" l="1"/>
  <c r="L1376" i="13" s="1"/>
  <c r="I1377" i="13" s="1"/>
  <c r="K1399" i="14"/>
  <c r="L1399" i="14" s="1"/>
  <c r="I1400" i="14" s="1"/>
  <c r="M1566" i="13"/>
  <c r="J1563" i="13" a="1"/>
  <c r="J1563" i="13" s="1"/>
  <c r="N1564" i="13"/>
  <c r="M1567" i="14"/>
  <c r="J1562" i="14" a="1"/>
  <c r="J1562" i="14" s="1"/>
  <c r="N1563" i="14"/>
  <c r="K1377" i="13" l="1"/>
  <c r="L1377" i="13" s="1"/>
  <c r="I1378" i="13" s="1"/>
  <c r="K1400" i="14"/>
  <c r="L1400" i="14" s="1"/>
  <c r="I1401" i="14" s="1"/>
  <c r="J1564" i="13" a="1"/>
  <c r="J1564" i="13" s="1"/>
  <c r="N1565" i="13"/>
  <c r="J1563" i="14" a="1"/>
  <c r="J1563" i="14" s="1"/>
  <c r="N1564" i="14"/>
  <c r="M1568" i="14"/>
  <c r="M1567" i="13"/>
  <c r="K1378" i="13" l="1"/>
  <c r="L1378" i="13" s="1"/>
  <c r="I1379" i="13" s="1"/>
  <c r="K1401" i="14"/>
  <c r="L1401" i="14" s="1"/>
  <c r="I1402" i="14" s="1"/>
  <c r="M1569" i="14"/>
  <c r="N1565" i="14"/>
  <c r="J1564" i="14" a="1"/>
  <c r="J1564" i="14" s="1"/>
  <c r="M1568" i="13"/>
  <c r="N1566" i="13"/>
  <c r="J1565" i="13" a="1"/>
  <c r="J1565" i="13" s="1"/>
  <c r="K1379" i="13" l="1"/>
  <c r="L1379" i="13" s="1"/>
  <c r="I1380" i="13" s="1"/>
  <c r="K1402" i="14"/>
  <c r="L1402" i="14" s="1"/>
  <c r="I1403" i="14" s="1"/>
  <c r="M1569" i="13"/>
  <c r="J1566" i="13" a="1"/>
  <c r="J1566" i="13" s="1"/>
  <c r="N1567" i="13"/>
  <c r="M1570" i="14"/>
  <c r="J1565" i="14" a="1"/>
  <c r="J1565" i="14" s="1"/>
  <c r="N1566" i="14"/>
  <c r="K1380" i="13" l="1"/>
  <c r="L1380" i="13" s="1"/>
  <c r="I1381" i="13" s="1"/>
  <c r="K1403" i="14"/>
  <c r="L1403" i="14" s="1"/>
  <c r="I1404" i="14" s="1"/>
  <c r="J1567" i="13" a="1"/>
  <c r="J1567" i="13" s="1"/>
  <c r="N1568" i="13"/>
  <c r="J1566" i="14" a="1"/>
  <c r="J1566" i="14" s="1"/>
  <c r="N1567" i="14"/>
  <c r="M1571" i="14"/>
  <c r="M1570" i="13"/>
  <c r="K1381" i="13" l="1"/>
  <c r="L1381" i="13" s="1"/>
  <c r="I1382" i="13" s="1"/>
  <c r="K1404" i="14"/>
  <c r="L1404" i="14" s="1"/>
  <c r="I1405" i="14" s="1"/>
  <c r="J1567" i="14" a="1"/>
  <c r="J1567" i="14" s="1"/>
  <c r="N1568" i="14"/>
  <c r="J1568" i="13" a="1"/>
  <c r="J1568" i="13" s="1"/>
  <c r="N1569" i="13"/>
  <c r="M1571" i="13"/>
  <c r="M1572" i="14"/>
  <c r="K1382" i="13" l="1"/>
  <c r="L1382" i="13" s="1"/>
  <c r="I1383" i="13" s="1"/>
  <c r="K1405" i="14"/>
  <c r="L1405" i="14" s="1"/>
  <c r="I1406" i="14" s="1"/>
  <c r="N1570" i="13"/>
  <c r="J1569" i="13" a="1"/>
  <c r="J1569" i="13" s="1"/>
  <c r="N1569" i="14"/>
  <c r="J1568" i="14" a="1"/>
  <c r="J1568" i="14" s="1"/>
  <c r="M1573" i="14"/>
  <c r="M1572" i="13"/>
  <c r="K1383" i="13" l="1"/>
  <c r="L1383" i="13" s="1"/>
  <c r="I1384" i="13" s="1"/>
  <c r="K1406" i="14"/>
  <c r="L1406" i="14" s="1"/>
  <c r="I1407" i="14" s="1"/>
  <c r="M1573" i="13"/>
  <c r="J1569" i="14" a="1"/>
  <c r="J1569" i="14" s="1"/>
  <c r="N1570" i="14"/>
  <c r="M1574" i="14"/>
  <c r="J1570" i="13" a="1"/>
  <c r="J1570" i="13" s="1"/>
  <c r="N1571" i="13"/>
  <c r="K1384" i="13" l="1"/>
  <c r="L1384" i="13" s="1"/>
  <c r="I1385" i="13" s="1"/>
  <c r="K1407" i="14"/>
  <c r="L1407" i="14" s="1"/>
  <c r="I1408" i="14" s="1"/>
  <c r="J1570" i="14" a="1"/>
  <c r="J1570" i="14" s="1"/>
  <c r="N1571" i="14"/>
  <c r="J1571" i="13" a="1"/>
  <c r="J1571" i="13" s="1"/>
  <c r="N1572" i="13"/>
  <c r="M1574" i="13"/>
  <c r="M1575" i="14"/>
  <c r="K1385" i="13" l="1"/>
  <c r="L1385" i="13" s="1"/>
  <c r="I1386" i="13" s="1"/>
  <c r="K1408" i="14"/>
  <c r="L1408" i="14" s="1"/>
  <c r="I1409" i="14" s="1"/>
  <c r="M1576" i="14"/>
  <c r="J1572" i="13" a="1"/>
  <c r="J1572" i="13" s="1"/>
  <c r="N1573" i="13"/>
  <c r="J1571" i="14" a="1"/>
  <c r="J1571" i="14" s="1"/>
  <c r="N1572" i="14"/>
  <c r="M1575" i="13"/>
  <c r="K1386" i="13" l="1"/>
  <c r="L1386" i="13" s="1"/>
  <c r="I1387" i="13" s="1"/>
  <c r="K1409" i="14"/>
  <c r="L1409" i="14" s="1"/>
  <c r="I1410" i="14" s="1"/>
  <c r="N1574" i="13"/>
  <c r="J1573" i="13" a="1"/>
  <c r="J1573" i="13" s="1"/>
  <c r="M1576" i="13"/>
  <c r="M1577" i="14"/>
  <c r="N1573" i="14"/>
  <c r="J1572" i="14" a="1"/>
  <c r="J1572" i="14" s="1"/>
  <c r="K1387" i="13" l="1"/>
  <c r="L1387" i="13" s="1"/>
  <c r="I1388" i="13" s="1"/>
  <c r="K1410" i="14"/>
  <c r="L1410" i="14" s="1"/>
  <c r="I1411" i="14" s="1"/>
  <c r="M1577" i="13"/>
  <c r="J1573" i="14" a="1"/>
  <c r="J1573" i="14" s="1"/>
  <c r="N1574" i="14"/>
  <c r="M1578" i="14"/>
  <c r="J1574" i="13" a="1"/>
  <c r="J1574" i="13" s="1"/>
  <c r="N1575" i="13"/>
  <c r="K1388" i="13" l="1"/>
  <c r="L1388" i="13" s="1"/>
  <c r="I1389" i="13" s="1"/>
  <c r="J1575" i="13" a="1"/>
  <c r="J1575" i="13" s="1"/>
  <c r="N1576" i="13"/>
  <c r="J1574" i="14" a="1"/>
  <c r="J1574" i="14" s="1"/>
  <c r="N1575" i="14"/>
  <c r="M1579" i="14"/>
  <c r="M1578" i="13"/>
  <c r="K1411" i="14"/>
  <c r="L1411" i="14" s="1"/>
  <c r="I1412" i="14" s="1"/>
  <c r="K1389" i="13" l="1"/>
  <c r="L1389" i="13" s="1"/>
  <c r="I1390" i="13" s="1"/>
  <c r="M1579" i="13"/>
  <c r="M1580" i="14"/>
  <c r="J1576" i="13" a="1"/>
  <c r="J1576" i="13" s="1"/>
  <c r="N1577" i="13"/>
  <c r="J1575" i="14" a="1"/>
  <c r="J1575" i="14" s="1"/>
  <c r="N1576" i="14"/>
  <c r="K1412" i="14"/>
  <c r="L1412" i="14" s="1"/>
  <c r="I1413" i="14" s="1"/>
  <c r="K1390" i="13" l="1"/>
  <c r="L1390" i="13" s="1"/>
  <c r="I1391" i="13" s="1"/>
  <c r="K1413" i="14"/>
  <c r="L1413" i="14" s="1"/>
  <c r="I1414" i="14" s="1"/>
  <c r="M1580" i="13"/>
  <c r="N1578" i="13"/>
  <c r="J1577" i="13" a="1"/>
  <c r="J1577" i="13" s="1"/>
  <c r="N1577" i="14"/>
  <c r="J1576" i="14" a="1"/>
  <c r="J1576" i="14" s="1"/>
  <c r="M1581" i="14"/>
  <c r="K1391" i="13" l="1"/>
  <c r="L1391" i="13" s="1"/>
  <c r="I1392" i="13" s="1"/>
  <c r="K1414" i="14"/>
  <c r="L1414" i="14" s="1"/>
  <c r="I1415" i="14" s="1"/>
  <c r="M1582" i="14"/>
  <c r="J1578" i="13" a="1"/>
  <c r="J1578" i="13" s="1"/>
  <c r="N1579" i="13"/>
  <c r="M1581" i="13"/>
  <c r="J1577" i="14" a="1"/>
  <c r="J1577" i="14" s="1"/>
  <c r="N1578" i="14"/>
  <c r="K1392" i="13" l="1"/>
  <c r="L1392" i="13" s="1"/>
  <c r="I1393" i="13" s="1"/>
  <c r="K1415" i="14"/>
  <c r="L1415" i="14" s="1"/>
  <c r="I1416" i="14" s="1"/>
  <c r="J1578" i="14" a="1"/>
  <c r="J1578" i="14" s="1"/>
  <c r="N1579" i="14"/>
  <c r="J1579" i="13" a="1"/>
  <c r="J1579" i="13" s="1"/>
  <c r="N1580" i="13"/>
  <c r="M1582" i="13"/>
  <c r="M1583" i="14"/>
  <c r="K1393" i="13" l="1"/>
  <c r="L1393" i="13" s="1"/>
  <c r="I1394" i="13" s="1"/>
  <c r="K1416" i="14"/>
  <c r="L1416" i="14" s="1"/>
  <c r="I1417" i="14" s="1"/>
  <c r="M1584" i="14"/>
  <c r="J1580" i="13" a="1"/>
  <c r="J1580" i="13" s="1"/>
  <c r="N1581" i="13"/>
  <c r="J1579" i="14" a="1"/>
  <c r="J1579" i="14" s="1"/>
  <c r="N1580" i="14"/>
  <c r="M1583" i="13"/>
  <c r="K1394" i="13" l="1"/>
  <c r="L1394" i="13" s="1"/>
  <c r="I1395" i="13" s="1"/>
  <c r="N1581" i="14"/>
  <c r="J1580" i="14" a="1"/>
  <c r="J1580" i="14" s="1"/>
  <c r="N1582" i="13"/>
  <c r="J1581" i="13" a="1"/>
  <c r="J1581" i="13" s="1"/>
  <c r="K1417" i="14"/>
  <c r="L1417" i="14" s="1"/>
  <c r="I1418" i="14" s="1"/>
  <c r="M1584" i="13"/>
  <c r="M1585" i="14"/>
  <c r="K1395" i="13" l="1"/>
  <c r="L1395" i="13" s="1"/>
  <c r="I1396" i="13" s="1"/>
  <c r="K1418" i="14"/>
  <c r="L1418" i="14" s="1"/>
  <c r="I1419" i="14" s="1"/>
  <c r="J1581" i="14" a="1"/>
  <c r="J1581" i="14" s="1"/>
  <c r="N1582" i="14"/>
  <c r="M1586" i="14"/>
  <c r="M1585" i="13"/>
  <c r="J1582" i="13" a="1"/>
  <c r="J1582" i="13" s="1"/>
  <c r="N1583" i="13"/>
  <c r="K1396" i="13" l="1"/>
  <c r="L1396" i="13" s="1"/>
  <c r="I1397" i="13" s="1"/>
  <c r="K1419" i="14"/>
  <c r="L1419" i="14" s="1"/>
  <c r="I1420" i="14" s="1"/>
  <c r="J1583" i="13" a="1"/>
  <c r="J1583" i="13" s="1"/>
  <c r="N1584" i="13"/>
  <c r="M1587" i="14"/>
  <c r="J1582" i="14" a="1"/>
  <c r="J1582" i="14" s="1"/>
  <c r="N1583" i="14"/>
  <c r="M1586" i="13"/>
  <c r="K1397" i="13" l="1"/>
  <c r="L1397" i="13" s="1"/>
  <c r="I1398" i="13" s="1"/>
  <c r="K1420" i="14"/>
  <c r="L1420" i="14" s="1"/>
  <c r="I1421" i="14" s="1"/>
  <c r="J1584" i="13" a="1"/>
  <c r="J1584" i="13" s="1"/>
  <c r="N1585" i="13"/>
  <c r="M1588" i="14"/>
  <c r="M1587" i="13"/>
  <c r="J1583" i="14" a="1"/>
  <c r="J1583" i="14" s="1"/>
  <c r="N1584" i="14"/>
  <c r="K1398" i="13" l="1"/>
  <c r="L1398" i="13" s="1"/>
  <c r="I1399" i="13" s="1"/>
  <c r="K1421" i="14"/>
  <c r="L1421" i="14" s="1"/>
  <c r="I1422" i="14" s="1"/>
  <c r="N1585" i="14"/>
  <c r="J1584" i="14" a="1"/>
  <c r="J1584" i="14" s="1"/>
  <c r="M1588" i="13"/>
  <c r="M1589" i="14"/>
  <c r="N1586" i="13"/>
  <c r="J1585" i="13" a="1"/>
  <c r="J1585" i="13" s="1"/>
  <c r="K1399" i="13" l="1"/>
  <c r="L1399" i="13" s="1"/>
  <c r="I1400" i="13" s="1"/>
  <c r="K1422" i="14"/>
  <c r="L1422" i="14" s="1"/>
  <c r="I1423" i="14" s="1"/>
  <c r="M1590" i="14"/>
  <c r="J1585" i="14" a="1"/>
  <c r="J1585" i="14" s="1"/>
  <c r="N1586" i="14"/>
  <c r="M1589" i="13"/>
  <c r="J1586" i="13" a="1"/>
  <c r="J1586" i="13" s="1"/>
  <c r="N1587" i="13"/>
  <c r="K1400" i="13" l="1"/>
  <c r="L1400" i="13" s="1"/>
  <c r="I1401" i="13" s="1"/>
  <c r="K1423" i="14"/>
  <c r="L1423" i="14" s="1"/>
  <c r="I1424" i="14" s="1"/>
  <c r="J1586" i="14" a="1"/>
  <c r="J1586" i="14" s="1"/>
  <c r="N1587" i="14"/>
  <c r="J1587" i="13" a="1"/>
  <c r="J1587" i="13" s="1"/>
  <c r="N1588" i="13"/>
  <c r="M1590" i="13"/>
  <c r="M1591" i="14"/>
  <c r="K1401" i="13" l="1"/>
  <c r="L1401" i="13" s="1"/>
  <c r="I1402" i="13" s="1"/>
  <c r="K1424" i="14"/>
  <c r="L1424" i="14" s="1"/>
  <c r="I1425" i="14" s="1"/>
  <c r="M1592" i="14"/>
  <c r="J1588" i="13" a="1"/>
  <c r="J1588" i="13" s="1"/>
  <c r="N1589" i="13"/>
  <c r="J1587" i="14" a="1"/>
  <c r="J1587" i="14" s="1"/>
  <c r="N1588" i="14"/>
  <c r="M1591" i="13"/>
  <c r="K1402" i="13" l="1"/>
  <c r="L1402" i="13" s="1"/>
  <c r="I1403" i="13" s="1"/>
  <c r="K1425" i="14"/>
  <c r="L1425" i="14" s="1"/>
  <c r="I1426" i="14" s="1"/>
  <c r="N1590" i="13"/>
  <c r="J1589" i="13" a="1"/>
  <c r="J1589" i="13" s="1"/>
  <c r="M1592" i="13"/>
  <c r="N1589" i="14"/>
  <c r="J1588" i="14" a="1"/>
  <c r="J1588" i="14" s="1"/>
  <c r="M1593" i="14"/>
  <c r="K1403" i="13" l="1"/>
  <c r="L1403" i="13" s="1"/>
  <c r="I1404" i="13" s="1"/>
  <c r="K1426" i="14"/>
  <c r="L1426" i="14" s="1"/>
  <c r="I1427" i="14" s="1"/>
  <c r="J1589" i="14" a="1"/>
  <c r="J1589" i="14" s="1"/>
  <c r="N1590" i="14"/>
  <c r="M1593" i="13"/>
  <c r="M1594" i="14"/>
  <c r="J1590" i="13" a="1"/>
  <c r="J1590" i="13" s="1"/>
  <c r="N1591" i="13"/>
  <c r="K1404" i="13" l="1"/>
  <c r="L1404" i="13" s="1"/>
  <c r="I1405" i="13" s="1"/>
  <c r="K1427" i="14"/>
  <c r="L1427" i="14" s="1"/>
  <c r="I1428" i="14" s="1"/>
  <c r="M1594" i="13"/>
  <c r="J1590" i="14" a="1"/>
  <c r="J1590" i="14" s="1"/>
  <c r="N1591" i="14"/>
  <c r="J1591" i="13" a="1"/>
  <c r="J1591" i="13" s="1"/>
  <c r="N1592" i="13"/>
  <c r="M1595" i="14"/>
  <c r="K1405" i="13" l="1"/>
  <c r="L1405" i="13" s="1"/>
  <c r="I1406" i="13" s="1"/>
  <c r="K1428" i="14"/>
  <c r="L1428" i="14" s="1"/>
  <c r="I1429" i="14" s="1"/>
  <c r="J1592" i="13" a="1"/>
  <c r="J1592" i="13" s="1"/>
  <c r="N1593" i="13"/>
  <c r="M1596" i="14"/>
  <c r="J1591" i="14" a="1"/>
  <c r="J1591" i="14" s="1"/>
  <c r="N1592" i="14"/>
  <c r="M1595" i="13"/>
  <c r="K1406" i="13" l="1"/>
  <c r="L1406" i="13" s="1"/>
  <c r="I1407" i="13" s="1"/>
  <c r="K1429" i="14"/>
  <c r="L1429" i="14" s="1"/>
  <c r="I1430" i="14" s="1"/>
  <c r="N1594" i="13"/>
  <c r="J1593" i="13" a="1"/>
  <c r="J1593" i="13" s="1"/>
  <c r="M1596" i="13"/>
  <c r="M1597" i="14"/>
  <c r="N1593" i="14"/>
  <c r="J1592" i="14" a="1"/>
  <c r="J1592" i="14" s="1"/>
  <c r="K1407" i="13" l="1"/>
  <c r="L1407" i="13" s="1"/>
  <c r="I1408" i="13" s="1"/>
  <c r="K1430" i="14"/>
  <c r="L1430" i="14" s="1"/>
  <c r="I1431" i="14" s="1"/>
  <c r="M1597" i="13"/>
  <c r="J1593" i="14" a="1"/>
  <c r="J1593" i="14" s="1"/>
  <c r="N1594" i="14"/>
  <c r="M1598" i="14"/>
  <c r="J1594" i="13" a="1"/>
  <c r="J1594" i="13" s="1"/>
  <c r="N1595" i="13"/>
  <c r="K1408" i="13" l="1"/>
  <c r="L1408" i="13" s="1"/>
  <c r="I1409" i="13" s="1"/>
  <c r="K1431" i="14"/>
  <c r="L1431" i="14" s="1"/>
  <c r="I1432" i="14" s="1"/>
  <c r="M1599" i="14"/>
  <c r="J1595" i="13" a="1"/>
  <c r="J1595" i="13" s="1"/>
  <c r="N1596" i="13"/>
  <c r="M1598" i="13"/>
  <c r="J1594" i="14" a="1"/>
  <c r="J1594" i="14" s="1"/>
  <c r="N1595" i="14"/>
  <c r="K1409" i="13" l="1"/>
  <c r="L1409" i="13" s="1"/>
  <c r="I1410" i="13" s="1"/>
  <c r="K1432" i="14"/>
  <c r="L1432" i="14" s="1"/>
  <c r="I1433" i="14" s="1"/>
  <c r="M1600" i="14"/>
  <c r="J1596" i="13" a="1"/>
  <c r="J1596" i="13" s="1"/>
  <c r="N1597" i="13"/>
  <c r="J1595" i="14" a="1"/>
  <c r="J1595" i="14" s="1"/>
  <c r="N1596" i="14"/>
  <c r="M1599" i="13"/>
  <c r="K1410" i="13" l="1"/>
  <c r="L1410" i="13" s="1"/>
  <c r="I1411" i="13" s="1"/>
  <c r="N1598" i="13"/>
  <c r="J1597" i="13" a="1"/>
  <c r="J1597" i="13" s="1"/>
  <c r="N1597" i="14"/>
  <c r="J1596" i="14" a="1"/>
  <c r="J1596" i="14" s="1"/>
  <c r="M1600" i="13"/>
  <c r="K1433" i="14"/>
  <c r="L1433" i="14" s="1"/>
  <c r="I1434" i="14" s="1"/>
  <c r="M1601" i="14"/>
  <c r="K1411" i="13" l="1"/>
  <c r="L1411" i="13" s="1"/>
  <c r="I1412" i="13" s="1"/>
  <c r="K1434" i="14"/>
  <c r="L1434" i="14" s="1"/>
  <c r="I1435" i="14" s="1"/>
  <c r="M1602" i="14"/>
  <c r="J1598" i="13" a="1"/>
  <c r="J1598" i="13" s="1"/>
  <c r="N1599" i="13"/>
  <c r="M1601" i="13"/>
  <c r="J1597" i="14" a="1"/>
  <c r="J1597" i="14" s="1"/>
  <c r="N1598" i="14"/>
  <c r="K1412" i="13" l="1"/>
  <c r="L1412" i="13" s="1"/>
  <c r="I1413" i="13" s="1"/>
  <c r="K1435" i="14"/>
  <c r="L1435" i="14" s="1"/>
  <c r="I1436" i="14" s="1"/>
  <c r="J1599" i="13" a="1"/>
  <c r="J1599" i="13" s="1"/>
  <c r="N1600" i="13"/>
  <c r="J1598" i="14" a="1"/>
  <c r="J1598" i="14" s="1"/>
  <c r="N1599" i="14"/>
  <c r="M1602" i="13"/>
  <c r="M1603" i="14"/>
  <c r="K1413" i="13" l="1"/>
  <c r="L1413" i="13" s="1"/>
  <c r="I1414" i="13" s="1"/>
  <c r="K1436" i="14"/>
  <c r="L1436" i="14" s="1"/>
  <c r="I1437" i="14" s="1"/>
  <c r="M1604" i="14"/>
  <c r="J1600" i="13" a="1"/>
  <c r="J1600" i="13" s="1"/>
  <c r="N1601" i="13"/>
  <c r="J1599" i="14" a="1"/>
  <c r="J1599" i="14" s="1"/>
  <c r="N1600" i="14"/>
  <c r="M1603" i="13"/>
  <c r="K1414" i="13" l="1"/>
  <c r="L1414" i="13" s="1"/>
  <c r="I1415" i="13" s="1"/>
  <c r="K1437" i="14"/>
  <c r="L1437" i="14" s="1"/>
  <c r="I1438" i="14" s="1"/>
  <c r="N1601" i="14"/>
  <c r="J1600" i="14" a="1"/>
  <c r="J1600" i="14" s="1"/>
  <c r="M1605" i="14"/>
  <c r="N1602" i="13"/>
  <c r="J1601" i="13" a="1"/>
  <c r="J1601" i="13" s="1"/>
  <c r="M1604" i="13"/>
  <c r="K1415" i="13" l="1"/>
  <c r="L1415" i="13" s="1"/>
  <c r="I1416" i="13" s="1"/>
  <c r="K1438" i="14"/>
  <c r="L1438" i="14" s="1"/>
  <c r="I1439" i="14" s="1"/>
  <c r="J1601" i="14" a="1"/>
  <c r="J1601" i="14" s="1"/>
  <c r="N1602" i="14"/>
  <c r="J1602" i="13" a="1"/>
  <c r="J1602" i="13" s="1"/>
  <c r="N1603" i="13"/>
  <c r="M1605" i="13"/>
  <c r="M1606" i="14"/>
  <c r="K1416" i="13" l="1"/>
  <c r="L1416" i="13" s="1"/>
  <c r="I1417" i="13" s="1"/>
  <c r="K1439" i="14"/>
  <c r="L1439" i="14" s="1"/>
  <c r="I1440" i="14" s="1"/>
  <c r="J1603" i="13" a="1"/>
  <c r="J1603" i="13" s="1"/>
  <c r="N1604" i="13"/>
  <c r="M1606" i="13"/>
  <c r="M1607" i="14"/>
  <c r="J1602" i="14" a="1"/>
  <c r="J1602" i="14" s="1"/>
  <c r="N1603" i="14"/>
  <c r="K1417" i="13" l="1"/>
  <c r="L1417" i="13" s="1"/>
  <c r="I1418" i="13" s="1"/>
  <c r="K1440" i="14"/>
  <c r="L1440" i="14" s="1"/>
  <c r="I1441" i="14" s="1"/>
  <c r="M1607" i="13"/>
  <c r="J1604" i="13" a="1"/>
  <c r="J1604" i="13" s="1"/>
  <c r="N1605" i="13"/>
  <c r="J1603" i="14" a="1"/>
  <c r="J1603" i="14" s="1"/>
  <c r="N1604" i="14"/>
  <c r="M1608" i="14"/>
  <c r="K1418" i="13" l="1"/>
  <c r="L1418" i="13" s="1"/>
  <c r="I1419" i="13" s="1"/>
  <c r="K1441" i="14"/>
  <c r="L1441" i="14" s="1"/>
  <c r="I1442" i="14" s="1"/>
  <c r="N1605" i="14"/>
  <c r="J1604" i="14" a="1"/>
  <c r="J1604" i="14" s="1"/>
  <c r="M1609" i="14"/>
  <c r="M1608" i="13"/>
  <c r="N1606" i="13"/>
  <c r="J1605" i="13" a="1"/>
  <c r="J1605" i="13" s="1"/>
  <c r="K1419" i="13" l="1"/>
  <c r="L1419" i="13" s="1"/>
  <c r="I1420" i="13" s="1"/>
  <c r="K1442" i="14"/>
  <c r="L1442" i="14" s="1"/>
  <c r="I1443" i="14" s="1"/>
  <c r="J1606" i="13" a="1"/>
  <c r="J1606" i="13" s="1"/>
  <c r="N1607" i="13"/>
  <c r="M1610" i="14"/>
  <c r="M1609" i="13"/>
  <c r="J1605" i="14" a="1"/>
  <c r="J1605" i="14" s="1"/>
  <c r="N1606" i="14"/>
  <c r="K1420" i="13" l="1"/>
  <c r="L1420" i="13" s="1"/>
  <c r="I1421" i="13" s="1"/>
  <c r="K1443" i="14"/>
  <c r="L1443" i="14" s="1"/>
  <c r="I1444" i="14" s="1"/>
  <c r="M1611" i="14"/>
  <c r="J1607" i="13" a="1"/>
  <c r="J1607" i="13" s="1"/>
  <c r="N1608" i="13"/>
  <c r="J1606" i="14" a="1"/>
  <c r="J1606" i="14" s="1"/>
  <c r="N1607" i="14"/>
  <c r="M1610" i="13"/>
  <c r="K1421" i="13" l="1"/>
  <c r="L1421" i="13" s="1"/>
  <c r="I1422" i="13" s="1"/>
  <c r="J1608" i="13" a="1"/>
  <c r="J1608" i="13" s="1"/>
  <c r="N1609" i="13"/>
  <c r="M1611" i="13"/>
  <c r="J1607" i="14" a="1"/>
  <c r="J1607" i="14" s="1"/>
  <c r="N1608" i="14"/>
  <c r="M1612" i="14"/>
  <c r="K1444" i="14"/>
  <c r="L1444" i="14" s="1"/>
  <c r="I1445" i="14" s="1"/>
  <c r="K1422" i="13" l="1"/>
  <c r="L1422" i="13" s="1"/>
  <c r="I1423" i="13" s="1"/>
  <c r="K1445" i="14"/>
  <c r="L1445" i="14" s="1"/>
  <c r="I1446" i="14" s="1"/>
  <c r="N1609" i="14"/>
  <c r="J1608" i="14" a="1"/>
  <c r="J1608" i="14" s="1"/>
  <c r="N1610" i="13"/>
  <c r="J1609" i="13" a="1"/>
  <c r="J1609" i="13" s="1"/>
  <c r="M1613" i="14"/>
  <c r="M1612" i="13"/>
  <c r="K1423" i="13" l="1"/>
  <c r="L1423" i="13" s="1"/>
  <c r="I1424" i="13" s="1"/>
  <c r="K1446" i="14"/>
  <c r="L1446" i="14" s="1"/>
  <c r="I1447" i="14" s="1"/>
  <c r="M1614" i="14"/>
  <c r="M1613" i="13"/>
  <c r="J1610" i="13" a="1"/>
  <c r="J1610" i="13" s="1"/>
  <c r="N1611" i="13"/>
  <c r="J1609" i="14" a="1"/>
  <c r="J1609" i="14" s="1"/>
  <c r="N1610" i="14"/>
  <c r="K1424" i="13" l="1"/>
  <c r="L1424" i="13" s="1"/>
  <c r="I1425" i="13" s="1"/>
  <c r="K1447" i="14"/>
  <c r="L1447" i="14" s="1"/>
  <c r="I1448" i="14" s="1"/>
  <c r="J1610" i="14" a="1"/>
  <c r="J1610" i="14" s="1"/>
  <c r="N1611" i="14"/>
  <c r="M1615" i="14"/>
  <c r="J1611" i="13" a="1"/>
  <c r="J1611" i="13" s="1"/>
  <c r="N1612" i="13"/>
  <c r="M1614" i="13"/>
  <c r="K1425" i="13" l="1"/>
  <c r="L1425" i="13" s="1"/>
  <c r="I1426" i="13" s="1"/>
  <c r="K1448" i="14"/>
  <c r="L1448" i="14" s="1"/>
  <c r="I1449" i="14" s="1"/>
  <c r="M1616" i="14"/>
  <c r="J1612" i="13" a="1"/>
  <c r="J1612" i="13" s="1"/>
  <c r="N1613" i="13"/>
  <c r="M1615" i="13"/>
  <c r="J1611" i="14" a="1"/>
  <c r="J1611" i="14" s="1"/>
  <c r="N1612" i="14"/>
  <c r="K1426" i="13" l="1"/>
  <c r="L1426" i="13" s="1"/>
  <c r="I1427" i="13" s="1"/>
  <c r="K1449" i="14"/>
  <c r="L1449" i="14" s="1"/>
  <c r="I1450" i="14" s="1"/>
  <c r="N1613" i="14"/>
  <c r="J1612" i="14" a="1"/>
  <c r="J1612" i="14" s="1"/>
  <c r="N1614" i="13"/>
  <c r="J1613" i="13" a="1"/>
  <c r="J1613" i="13" s="1"/>
  <c r="M1616" i="13"/>
  <c r="M1617" i="14"/>
  <c r="K1427" i="13" l="1"/>
  <c r="L1427" i="13" s="1"/>
  <c r="I1428" i="13" s="1"/>
  <c r="K1450" i="14"/>
  <c r="L1450" i="14" s="1"/>
  <c r="I1451" i="14" s="1"/>
  <c r="M1618" i="14"/>
  <c r="J1614" i="13" a="1"/>
  <c r="J1614" i="13" s="1"/>
  <c r="N1615" i="13"/>
  <c r="M1617" i="13"/>
  <c r="J1613" i="14" a="1"/>
  <c r="J1613" i="14" s="1"/>
  <c r="N1614" i="14"/>
  <c r="K1428" i="13" l="1"/>
  <c r="L1428" i="13" s="1"/>
  <c r="I1429" i="13" s="1"/>
  <c r="K1451" i="14"/>
  <c r="L1451" i="14" s="1"/>
  <c r="I1452" i="14" s="1"/>
  <c r="J1614" i="14" a="1"/>
  <c r="J1614" i="14" s="1"/>
  <c r="N1615" i="14"/>
  <c r="J1615" i="13" a="1"/>
  <c r="J1615" i="13" s="1"/>
  <c r="N1616" i="13"/>
  <c r="M1618" i="13"/>
  <c r="M1619" i="14"/>
  <c r="K1429" i="13" l="1"/>
  <c r="L1429" i="13" s="1"/>
  <c r="I1430" i="13" s="1"/>
  <c r="K1452" i="14"/>
  <c r="L1452" i="14" s="1"/>
  <c r="I1453" i="14" s="1"/>
  <c r="M1620" i="14"/>
  <c r="J1616" i="13" a="1"/>
  <c r="J1616" i="13" s="1"/>
  <c r="N1617" i="13"/>
  <c r="J1615" i="14" a="1"/>
  <c r="J1615" i="14" s="1"/>
  <c r="N1616" i="14"/>
  <c r="M1619" i="13"/>
  <c r="K1430" i="13" l="1"/>
  <c r="L1430" i="13" s="1"/>
  <c r="I1431" i="13" s="1"/>
  <c r="K1453" i="14"/>
  <c r="L1453" i="14" s="1"/>
  <c r="I1454" i="14" s="1"/>
  <c r="N1618" i="13"/>
  <c r="J1617" i="13" a="1"/>
  <c r="J1617" i="13" s="1"/>
  <c r="N1617" i="14"/>
  <c r="J1616" i="14" a="1"/>
  <c r="J1616" i="14" s="1"/>
  <c r="M1620" i="13"/>
  <c r="M1621" i="14"/>
  <c r="K1431" i="13" l="1"/>
  <c r="L1431" i="13" s="1"/>
  <c r="I1432" i="13" s="1"/>
  <c r="K1454" i="14"/>
  <c r="L1454" i="14" s="1"/>
  <c r="I1455" i="14" s="1"/>
  <c r="J1617" i="14" a="1"/>
  <c r="J1617" i="14" s="1"/>
  <c r="N1618" i="14"/>
  <c r="M1622" i="14"/>
  <c r="M1621" i="13"/>
  <c r="J1618" i="13" a="1"/>
  <c r="J1618" i="13" s="1"/>
  <c r="N1619" i="13"/>
  <c r="K1432" i="13" l="1"/>
  <c r="L1432" i="13" s="1"/>
  <c r="I1433" i="13" s="1"/>
  <c r="K1455" i="14"/>
  <c r="L1455" i="14" s="1"/>
  <c r="I1456" i="14" s="1"/>
  <c r="J1619" i="13" a="1"/>
  <c r="J1619" i="13" s="1"/>
  <c r="N1620" i="13"/>
  <c r="M1623" i="14"/>
  <c r="J1618" i="14" a="1"/>
  <c r="J1618" i="14" s="1"/>
  <c r="N1619" i="14"/>
  <c r="M1622" i="13"/>
  <c r="K1433" i="13" l="1"/>
  <c r="L1433" i="13" s="1"/>
  <c r="I1434" i="13" s="1"/>
  <c r="K1456" i="14"/>
  <c r="L1456" i="14" s="1"/>
  <c r="I1457" i="14" s="1"/>
  <c r="J1620" i="13" a="1"/>
  <c r="J1620" i="13" s="1"/>
  <c r="N1621" i="13"/>
  <c r="M1624" i="14"/>
  <c r="J1619" i="14" a="1"/>
  <c r="J1619" i="14" s="1"/>
  <c r="N1620" i="14"/>
  <c r="M1623" i="13"/>
  <c r="K1434" i="13" l="1"/>
  <c r="L1434" i="13" s="1"/>
  <c r="I1435" i="13" s="1"/>
  <c r="K1457" i="14"/>
  <c r="L1457" i="14" s="1"/>
  <c r="I1458" i="14" s="1"/>
  <c r="N1621" i="14"/>
  <c r="J1620" i="14" a="1"/>
  <c r="J1620" i="14" s="1"/>
  <c r="N1622" i="13"/>
  <c r="J1621" i="13" a="1"/>
  <c r="J1621" i="13" s="1"/>
  <c r="M1624" i="13"/>
  <c r="M1625" i="14"/>
  <c r="K1435" i="13" l="1"/>
  <c r="L1435" i="13" s="1"/>
  <c r="I1436" i="13" s="1"/>
  <c r="J1622" i="13" a="1"/>
  <c r="J1622" i="13" s="1"/>
  <c r="N1623" i="13"/>
  <c r="M1626" i="14"/>
  <c r="K1458" i="14"/>
  <c r="L1458" i="14" s="1"/>
  <c r="I1459" i="14" s="1"/>
  <c r="M1625" i="13"/>
  <c r="J1621" i="14" a="1"/>
  <c r="J1621" i="14" s="1"/>
  <c r="N1622" i="14"/>
  <c r="K1436" i="13" l="1"/>
  <c r="L1436" i="13" s="1"/>
  <c r="I1437" i="13" s="1"/>
  <c r="K1459" i="14"/>
  <c r="L1459" i="14" s="1"/>
  <c r="I1460" i="14" s="1"/>
  <c r="J1623" i="13" a="1"/>
  <c r="J1623" i="13" s="1"/>
  <c r="N1624" i="13"/>
  <c r="J1622" i="14" a="1"/>
  <c r="J1622" i="14" s="1"/>
  <c r="N1623" i="14"/>
  <c r="M1626" i="13"/>
  <c r="M1627" i="14"/>
  <c r="K1437" i="13" l="1"/>
  <c r="L1437" i="13" s="1"/>
  <c r="I1438" i="13" s="1"/>
  <c r="K1460" i="14"/>
  <c r="L1460" i="14" s="1"/>
  <c r="I1461" i="14" s="1"/>
  <c r="M1628" i="14"/>
  <c r="J1623" i="14" a="1"/>
  <c r="J1623" i="14" s="1"/>
  <c r="N1624" i="14"/>
  <c r="J1624" i="13" a="1"/>
  <c r="J1624" i="13" s="1"/>
  <c r="N1625" i="13"/>
  <c r="M1627" i="13"/>
  <c r="K1438" i="13" l="1"/>
  <c r="L1438" i="13" s="1"/>
  <c r="I1439" i="13" s="1"/>
  <c r="K1461" i="14"/>
  <c r="L1461" i="14" s="1"/>
  <c r="I1462" i="14" s="1"/>
  <c r="N1625" i="14"/>
  <c r="J1624" i="14" a="1"/>
  <c r="J1624" i="14" s="1"/>
  <c r="M1628" i="13"/>
  <c r="N1626" i="13"/>
  <c r="J1625" i="13" a="1"/>
  <c r="J1625" i="13" s="1"/>
  <c r="M1629" i="14"/>
  <c r="K1439" i="13" l="1"/>
  <c r="L1439" i="13" s="1"/>
  <c r="I1440" i="13" s="1"/>
  <c r="K1462" i="14"/>
  <c r="L1462" i="14" s="1"/>
  <c r="I1463" i="14" s="1"/>
  <c r="J1626" i="13" a="1"/>
  <c r="J1626" i="13" s="1"/>
  <c r="N1627" i="13"/>
  <c r="M1629" i="13"/>
  <c r="M1630" i="14"/>
  <c r="J1625" i="14" a="1"/>
  <c r="J1625" i="14" s="1"/>
  <c r="N1626" i="14"/>
  <c r="K1440" i="13" l="1"/>
  <c r="L1440" i="13" s="1"/>
  <c r="I1441" i="13" s="1"/>
  <c r="K1463" i="14"/>
  <c r="L1463" i="14" s="1"/>
  <c r="I1464" i="14" s="1"/>
  <c r="J1626" i="14" a="1"/>
  <c r="J1626" i="14" s="1"/>
  <c r="N1627" i="14"/>
  <c r="M1630" i="13"/>
  <c r="J1627" i="13" a="1"/>
  <c r="J1627" i="13" s="1"/>
  <c r="N1628" i="13"/>
  <c r="M1631" i="14"/>
  <c r="K1441" i="13" l="1"/>
  <c r="L1441" i="13" s="1"/>
  <c r="I1442" i="13" s="1"/>
  <c r="K1464" i="14"/>
  <c r="L1464" i="14" s="1"/>
  <c r="I1465" i="14" s="1"/>
  <c r="M1631" i="13"/>
  <c r="J1628" i="13" a="1"/>
  <c r="J1628" i="13" s="1"/>
  <c r="N1629" i="13"/>
  <c r="J1627" i="14" a="1"/>
  <c r="J1627" i="14" s="1"/>
  <c r="N1628" i="14"/>
  <c r="M1632" i="14"/>
  <c r="K1442" i="13" l="1"/>
  <c r="L1442" i="13" s="1"/>
  <c r="I1443" i="13" s="1"/>
  <c r="K1465" i="14"/>
  <c r="L1465" i="14" s="1"/>
  <c r="I1466" i="14" s="1"/>
  <c r="N1630" i="13"/>
  <c r="J1629" i="13" a="1"/>
  <c r="J1629" i="13" s="1"/>
  <c r="M1633" i="14"/>
  <c r="N1629" i="14"/>
  <c r="J1628" i="14" a="1"/>
  <c r="J1628" i="14" s="1"/>
  <c r="M1632" i="13"/>
  <c r="K1443" i="13" l="1"/>
  <c r="L1443" i="13" s="1"/>
  <c r="I1444" i="13" s="1"/>
  <c r="K1466" i="14"/>
  <c r="L1466" i="14" s="1"/>
  <c r="I1467" i="14" s="1"/>
  <c r="J1630" i="13" a="1"/>
  <c r="J1630" i="13" s="1"/>
  <c r="N1631" i="13"/>
  <c r="J1629" i="14" a="1"/>
  <c r="J1629" i="14" s="1"/>
  <c r="N1630" i="14"/>
  <c r="M1633" i="13"/>
  <c r="M1634" i="14"/>
  <c r="K1444" i="13" l="1"/>
  <c r="L1444" i="13" s="1"/>
  <c r="I1445" i="13" s="1"/>
  <c r="K1467" i="14"/>
  <c r="L1467" i="14" s="1"/>
  <c r="I1468" i="14" s="1"/>
  <c r="M1635" i="14"/>
  <c r="J1630" i="14" a="1"/>
  <c r="J1630" i="14" s="1"/>
  <c r="N1631" i="14"/>
  <c r="J1631" i="13" a="1"/>
  <c r="J1631" i="13" s="1"/>
  <c r="N1632" i="13"/>
  <c r="M1634" i="13"/>
  <c r="K1445" i="13" l="1"/>
  <c r="L1445" i="13" s="1"/>
  <c r="I1446" i="13" s="1"/>
  <c r="K1468" i="14"/>
  <c r="L1468" i="14" s="1"/>
  <c r="I1469" i="14" s="1"/>
  <c r="M1635" i="13"/>
  <c r="M1636" i="14"/>
  <c r="J1631" i="14" a="1"/>
  <c r="J1631" i="14" s="1"/>
  <c r="N1632" i="14"/>
  <c r="J1632" i="13" a="1"/>
  <c r="J1632" i="13" s="1"/>
  <c r="N1633" i="13"/>
  <c r="K1446" i="13" l="1"/>
  <c r="L1446" i="13" s="1"/>
  <c r="I1447" i="13" s="1"/>
  <c r="K1469" i="14"/>
  <c r="L1469" i="14" s="1"/>
  <c r="I1470" i="14" s="1"/>
  <c r="M1636" i="13"/>
  <c r="N1633" i="14"/>
  <c r="J1632" i="14" a="1"/>
  <c r="J1632" i="14" s="1"/>
  <c r="N1634" i="13"/>
  <c r="J1633" i="13" a="1"/>
  <c r="J1633" i="13" s="1"/>
  <c r="M1637" i="14"/>
  <c r="K1447" i="13" l="1"/>
  <c r="L1447" i="13" s="1"/>
  <c r="I1448" i="13" s="1"/>
  <c r="K1470" i="14"/>
  <c r="L1470" i="14" s="1"/>
  <c r="I1471" i="14" s="1"/>
  <c r="J1633" i="14" a="1"/>
  <c r="J1633" i="14" s="1"/>
  <c r="N1634" i="14"/>
  <c r="M1637" i="13"/>
  <c r="M1638" i="14"/>
  <c r="J1634" i="13" a="1"/>
  <c r="J1634" i="13" s="1"/>
  <c r="N1635" i="13"/>
  <c r="K1448" i="13" l="1"/>
  <c r="L1448" i="13" s="1"/>
  <c r="I1449" i="13" s="1"/>
  <c r="K1471" i="14"/>
  <c r="L1471" i="14" s="1"/>
  <c r="I1472" i="14" s="1"/>
  <c r="M1639" i="14"/>
  <c r="J1635" i="13" a="1"/>
  <c r="J1635" i="13" s="1"/>
  <c r="N1636" i="13"/>
  <c r="M1638" i="13"/>
  <c r="J1634" i="14" a="1"/>
  <c r="J1634" i="14" s="1"/>
  <c r="N1635" i="14"/>
  <c r="K1449" i="13" l="1"/>
  <c r="L1449" i="13" s="1"/>
  <c r="I1450" i="13" s="1"/>
  <c r="K1472" i="14"/>
  <c r="L1472" i="14" s="1"/>
  <c r="I1473" i="14" s="1"/>
  <c r="J1635" i="14" a="1"/>
  <c r="J1635" i="14" s="1"/>
  <c r="N1636" i="14"/>
  <c r="M1640" i="14"/>
  <c r="M1639" i="13"/>
  <c r="J1636" i="13" a="1"/>
  <c r="J1636" i="13" s="1"/>
  <c r="N1637" i="13"/>
  <c r="K1450" i="13" l="1"/>
  <c r="L1450" i="13" s="1"/>
  <c r="I1451" i="13" s="1"/>
  <c r="K1473" i="14"/>
  <c r="L1473" i="14" s="1"/>
  <c r="I1474" i="14" s="1"/>
  <c r="N1638" i="13"/>
  <c r="J1637" i="13" a="1"/>
  <c r="J1637" i="13" s="1"/>
  <c r="N1637" i="14"/>
  <c r="J1636" i="14" a="1"/>
  <c r="J1636" i="14" s="1"/>
  <c r="M1641" i="14"/>
  <c r="M1640" i="13"/>
  <c r="K1451" i="13" l="1"/>
  <c r="L1451" i="13" s="1"/>
  <c r="I1452" i="13" s="1"/>
  <c r="K1474" i="14"/>
  <c r="L1474" i="14" s="1"/>
  <c r="I1475" i="14" s="1"/>
  <c r="J1637" i="14" a="1"/>
  <c r="J1637" i="14" s="1"/>
  <c r="N1638" i="14"/>
  <c r="M1641" i="13"/>
  <c r="M1642" i="14"/>
  <c r="J1638" i="13" a="1"/>
  <c r="J1638" i="13" s="1"/>
  <c r="N1639" i="13"/>
  <c r="K1452" i="13" l="1"/>
  <c r="L1452" i="13" s="1"/>
  <c r="I1453" i="13" s="1"/>
  <c r="K1475" i="14"/>
  <c r="L1475" i="14" s="1"/>
  <c r="I1476" i="14" s="1"/>
  <c r="J1639" i="13" a="1"/>
  <c r="J1639" i="13" s="1"/>
  <c r="N1640" i="13"/>
  <c r="M1642" i="13"/>
  <c r="J1638" i="14" a="1"/>
  <c r="J1638" i="14" s="1"/>
  <c r="N1639" i="14"/>
  <c r="M1643" i="14"/>
  <c r="K1453" i="13" l="1"/>
  <c r="L1453" i="13" s="1"/>
  <c r="I1454" i="13" s="1"/>
  <c r="K1476" i="14"/>
  <c r="L1476" i="14" s="1"/>
  <c r="I1477" i="14" s="1"/>
  <c r="J1639" i="14" a="1"/>
  <c r="J1639" i="14" s="1"/>
  <c r="N1640" i="14"/>
  <c r="M1644" i="14"/>
  <c r="M1643" i="13"/>
  <c r="J1640" i="13" a="1"/>
  <c r="J1640" i="13" s="1"/>
  <c r="N1641" i="13"/>
  <c r="K1454" i="13" l="1"/>
  <c r="L1454" i="13" s="1"/>
  <c r="I1455" i="13" s="1"/>
  <c r="K1477" i="14"/>
  <c r="L1477" i="14" s="1"/>
  <c r="I1478" i="14" s="1"/>
  <c r="N1642" i="13"/>
  <c r="J1641" i="13" a="1"/>
  <c r="J1641" i="13" s="1"/>
  <c r="M1645" i="14"/>
  <c r="N1641" i="14"/>
  <c r="J1640" i="14" a="1"/>
  <c r="J1640" i="14" s="1"/>
  <c r="M1644" i="13"/>
  <c r="K1455" i="13" l="1"/>
  <c r="L1455" i="13" s="1"/>
  <c r="I1456" i="13" s="1"/>
  <c r="K1478" i="14"/>
  <c r="L1478" i="14" s="1"/>
  <c r="I1479" i="14" s="1"/>
  <c r="J1641" i="14" a="1"/>
  <c r="J1641" i="14" s="1"/>
  <c r="N1642" i="14"/>
  <c r="M1645" i="13"/>
  <c r="M1646" i="14"/>
  <c r="J1642" i="13" a="1"/>
  <c r="J1642" i="13" s="1"/>
  <c r="N1643" i="13"/>
  <c r="K1456" i="13" l="1"/>
  <c r="L1456" i="13" s="1"/>
  <c r="I1457" i="13" s="1"/>
  <c r="K1479" i="14"/>
  <c r="L1479" i="14" s="1"/>
  <c r="I1480" i="14" s="1"/>
  <c r="J1643" i="13" a="1"/>
  <c r="J1643" i="13" s="1"/>
  <c r="N1644" i="13"/>
  <c r="M1646" i="13"/>
  <c r="J1642" i="14" a="1"/>
  <c r="J1642" i="14" s="1"/>
  <c r="N1643" i="14"/>
  <c r="M1647" i="14"/>
  <c r="K1457" i="13" l="1"/>
  <c r="L1457" i="13" s="1"/>
  <c r="I1458" i="13" s="1"/>
  <c r="K1480" i="14"/>
  <c r="L1480" i="14" s="1"/>
  <c r="I1481" i="14" s="1"/>
  <c r="M1648" i="14"/>
  <c r="M1647" i="13"/>
  <c r="J1643" i="14" a="1"/>
  <c r="J1643" i="14" s="1"/>
  <c r="N1644" i="14"/>
  <c r="J1644" i="13" a="1"/>
  <c r="J1644" i="13" s="1"/>
  <c r="N1645" i="13"/>
  <c r="K1458" i="13" l="1"/>
  <c r="L1458" i="13" s="1"/>
  <c r="I1459" i="13" s="1"/>
  <c r="K1481" i="14"/>
  <c r="L1481" i="14" s="1"/>
  <c r="I1482" i="14" s="1"/>
  <c r="M1648" i="13"/>
  <c r="N1646" i="13"/>
  <c r="J1645" i="13" a="1"/>
  <c r="J1645" i="13" s="1"/>
  <c r="N1645" i="14"/>
  <c r="J1644" i="14" a="1"/>
  <c r="J1644" i="14" s="1"/>
  <c r="M1649" i="14"/>
  <c r="K1459" i="13" l="1"/>
  <c r="L1459" i="13" s="1"/>
  <c r="I1460" i="13" s="1"/>
  <c r="K1482" i="14"/>
  <c r="L1482" i="14" s="1"/>
  <c r="I1483" i="14" s="1"/>
  <c r="J1646" i="13" a="1"/>
  <c r="J1646" i="13" s="1"/>
  <c r="N1647" i="13"/>
  <c r="M1649" i="13"/>
  <c r="M1650" i="14"/>
  <c r="J1645" i="14" a="1"/>
  <c r="J1645" i="14" s="1"/>
  <c r="N1646" i="14"/>
  <c r="K1460" i="13" l="1"/>
  <c r="L1460" i="13" s="1"/>
  <c r="I1461" i="13" s="1"/>
  <c r="K1483" i="14"/>
  <c r="L1483" i="14" s="1"/>
  <c r="I1484" i="14" s="1"/>
  <c r="J1647" i="13" a="1"/>
  <c r="J1647" i="13" s="1"/>
  <c r="N1648" i="13"/>
  <c r="J1646" i="14" a="1"/>
  <c r="J1646" i="14" s="1"/>
  <c r="N1647" i="14"/>
  <c r="M1651" i="14"/>
  <c r="M1650" i="13"/>
  <c r="K1461" i="13" l="1"/>
  <c r="L1461" i="13" s="1"/>
  <c r="I1462" i="13" s="1"/>
  <c r="J1647" i="14" a="1"/>
  <c r="J1647" i="14" s="1"/>
  <c r="N1648" i="14"/>
  <c r="K1484" i="14"/>
  <c r="L1484" i="14" s="1"/>
  <c r="I1485" i="14" s="1"/>
  <c r="M1652" i="14"/>
  <c r="J1648" i="13" a="1"/>
  <c r="J1648" i="13" s="1"/>
  <c r="N1649" i="13"/>
  <c r="M1651" i="13"/>
  <c r="K1462" i="13" l="1"/>
  <c r="L1462" i="13" s="1"/>
  <c r="I1463" i="13" s="1"/>
  <c r="K1485" i="14"/>
  <c r="L1485" i="14" s="1"/>
  <c r="I1486" i="14" s="1"/>
  <c r="M1652" i="13"/>
  <c r="M1653" i="14"/>
  <c r="N1649" i="14"/>
  <c r="J1648" i="14" a="1"/>
  <c r="J1648" i="14" s="1"/>
  <c r="N1650" i="13"/>
  <c r="J1649" i="13" a="1"/>
  <c r="J1649" i="13" s="1"/>
  <c r="K1463" i="13" l="1"/>
  <c r="L1463" i="13" s="1"/>
  <c r="I1464" i="13" s="1"/>
  <c r="K1486" i="14"/>
  <c r="L1486" i="14" s="1"/>
  <c r="I1487" i="14" s="1"/>
  <c r="J1650" i="13" a="1"/>
  <c r="J1650" i="13" s="1"/>
  <c r="N1651" i="13"/>
  <c r="M1654" i="14"/>
  <c r="M1653" i="13"/>
  <c r="J1649" i="14" a="1"/>
  <c r="J1649" i="14" s="1"/>
  <c r="N1650" i="14"/>
  <c r="K1464" i="13" l="1"/>
  <c r="L1464" i="13" s="1"/>
  <c r="I1465" i="13" s="1"/>
  <c r="K1487" i="14"/>
  <c r="L1487" i="14" s="1"/>
  <c r="I1488" i="14" s="1"/>
  <c r="J1650" i="14" a="1"/>
  <c r="J1650" i="14" s="1"/>
  <c r="N1651" i="14"/>
  <c r="J1651" i="13" a="1"/>
  <c r="J1651" i="13" s="1"/>
  <c r="N1652" i="13"/>
  <c r="M1654" i="13"/>
  <c r="M1655" i="14"/>
  <c r="K1465" i="13" l="1"/>
  <c r="L1465" i="13" s="1"/>
  <c r="I1466" i="13" s="1"/>
  <c r="K1488" i="14"/>
  <c r="L1488" i="14" s="1"/>
  <c r="I1489" i="14" s="1"/>
  <c r="J1652" i="13" a="1"/>
  <c r="J1652" i="13" s="1"/>
  <c r="N1653" i="13"/>
  <c r="J1651" i="14" a="1"/>
  <c r="J1651" i="14" s="1"/>
  <c r="N1652" i="14"/>
  <c r="M1656" i="14"/>
  <c r="M1655" i="13"/>
  <c r="K1466" i="13" l="1"/>
  <c r="L1466" i="13" s="1"/>
  <c r="I1467" i="13" s="1"/>
  <c r="K1489" i="14"/>
  <c r="L1489" i="14" s="1"/>
  <c r="I1490" i="14" s="1"/>
  <c r="M1656" i="13"/>
  <c r="N1654" i="13"/>
  <c r="J1653" i="13" a="1"/>
  <c r="J1653" i="13" s="1"/>
  <c r="N1653" i="14"/>
  <c r="J1652" i="14" a="1"/>
  <c r="J1652" i="14" s="1"/>
  <c r="M1657" i="14"/>
  <c r="K1467" i="13" l="1"/>
  <c r="L1467" i="13" s="1"/>
  <c r="I1468" i="13" s="1"/>
  <c r="K1490" i="14"/>
  <c r="L1490" i="14" s="1"/>
  <c r="I1491" i="14" s="1"/>
  <c r="M1658" i="14"/>
  <c r="J1654" i="13" a="1"/>
  <c r="J1654" i="13" s="1"/>
  <c r="N1655" i="13"/>
  <c r="M1657" i="13"/>
  <c r="J1653" i="14" a="1"/>
  <c r="J1653" i="14" s="1"/>
  <c r="N1654" i="14"/>
  <c r="K1468" i="13" l="1"/>
  <c r="L1468" i="13" s="1"/>
  <c r="I1469" i="13" s="1"/>
  <c r="K1491" i="14"/>
  <c r="L1491" i="14" s="1"/>
  <c r="I1492" i="14" s="1"/>
  <c r="J1655" i="13" a="1"/>
  <c r="J1655" i="13" s="1"/>
  <c r="N1656" i="13"/>
  <c r="J1654" i="14" a="1"/>
  <c r="J1654" i="14" s="1"/>
  <c r="N1655" i="14"/>
  <c r="M1658" i="13"/>
  <c r="M1659" i="14"/>
  <c r="K1469" i="13" l="1"/>
  <c r="L1469" i="13" s="1"/>
  <c r="I1470" i="13" s="1"/>
  <c r="M1660" i="14"/>
  <c r="J1655" i="14" a="1"/>
  <c r="J1655" i="14" s="1"/>
  <c r="N1656" i="14"/>
  <c r="J1656" i="13" a="1"/>
  <c r="J1656" i="13" s="1"/>
  <c r="N1657" i="13"/>
  <c r="M1659" i="13"/>
  <c r="K1492" i="14"/>
  <c r="L1492" i="14" s="1"/>
  <c r="I1493" i="14" s="1"/>
  <c r="K1470" i="13" l="1"/>
  <c r="L1470" i="13" s="1"/>
  <c r="I1471" i="13" s="1"/>
  <c r="K1493" i="14"/>
  <c r="L1493" i="14" s="1"/>
  <c r="I1494" i="14" s="1"/>
  <c r="M1661" i="14"/>
  <c r="N1657" i="14"/>
  <c r="J1656" i="14" a="1"/>
  <c r="J1656" i="14" s="1"/>
  <c r="N1658" i="13"/>
  <c r="J1657" i="13" a="1"/>
  <c r="J1657" i="13" s="1"/>
  <c r="M1660" i="13"/>
  <c r="K1471" i="13" l="1"/>
  <c r="L1471" i="13" s="1"/>
  <c r="I1472" i="13" s="1"/>
  <c r="K1494" i="14"/>
  <c r="L1494" i="14" s="1"/>
  <c r="I1495" i="14" s="1"/>
  <c r="J1658" i="13" a="1"/>
  <c r="J1658" i="13" s="1"/>
  <c r="N1659" i="13"/>
  <c r="M1662" i="14"/>
  <c r="M1661" i="13"/>
  <c r="J1657" i="14" a="1"/>
  <c r="J1657" i="14" s="1"/>
  <c r="N1658" i="14"/>
  <c r="K1472" i="13" l="1"/>
  <c r="L1472" i="13" s="1"/>
  <c r="I1473" i="13" s="1"/>
  <c r="K1495" i="14"/>
  <c r="L1495" i="14" s="1"/>
  <c r="I1496" i="14" s="1"/>
  <c r="J1658" i="14" a="1"/>
  <c r="J1658" i="14" s="1"/>
  <c r="N1659" i="14"/>
  <c r="M1663" i="14"/>
  <c r="J1659" i="13" a="1"/>
  <c r="J1659" i="13" s="1"/>
  <c r="N1660" i="13"/>
  <c r="M1662" i="13"/>
  <c r="K1473" i="13" l="1"/>
  <c r="L1473" i="13" s="1"/>
  <c r="I1474" i="13" s="1"/>
  <c r="K1496" i="14"/>
  <c r="L1496" i="14" s="1"/>
  <c r="I1497" i="14" s="1"/>
  <c r="M1664" i="14"/>
  <c r="M1663" i="13"/>
  <c r="J1660" i="13" a="1"/>
  <c r="J1660" i="13" s="1"/>
  <c r="N1661" i="13"/>
  <c r="J1659" i="14" a="1"/>
  <c r="J1659" i="14" s="1"/>
  <c r="N1660" i="14"/>
  <c r="K1474" i="13" l="1"/>
  <c r="L1474" i="13" s="1"/>
  <c r="I1475" i="13" s="1"/>
  <c r="N1662" i="13"/>
  <c r="J1661" i="13" a="1"/>
  <c r="J1661" i="13" s="1"/>
  <c r="M1665" i="14"/>
  <c r="N1661" i="14"/>
  <c r="J1660" i="14" a="1"/>
  <c r="J1660" i="14" s="1"/>
  <c r="M1664" i="13"/>
  <c r="K1497" i="14"/>
  <c r="L1497" i="14" s="1"/>
  <c r="I1498" i="14" s="1"/>
  <c r="K1475" i="13" l="1"/>
  <c r="L1475" i="13" s="1"/>
  <c r="I1476" i="13" s="1"/>
  <c r="K1498" i="14"/>
  <c r="L1498" i="14" s="1"/>
  <c r="I1499" i="14" s="1"/>
  <c r="M1666" i="14"/>
  <c r="J1661" i="14" a="1"/>
  <c r="J1661" i="14" s="1"/>
  <c r="N1662" i="14"/>
  <c r="J1662" i="13" a="1"/>
  <c r="J1662" i="13" s="1"/>
  <c r="N1663" i="13"/>
  <c r="M1665" i="13"/>
  <c r="K1476" i="13" l="1"/>
  <c r="L1476" i="13" s="1"/>
  <c r="I1477" i="13" s="1"/>
  <c r="K1499" i="14"/>
  <c r="L1499" i="14" s="1"/>
  <c r="I1500" i="14" s="1"/>
  <c r="J1663" i="13" a="1"/>
  <c r="J1663" i="13" s="1"/>
  <c r="N1664" i="13"/>
  <c r="M1667" i="14"/>
  <c r="J1662" i="14" a="1"/>
  <c r="J1662" i="14" s="1"/>
  <c r="N1663" i="14"/>
  <c r="M1666" i="13"/>
  <c r="K1477" i="13" l="1"/>
  <c r="L1477" i="13" s="1"/>
  <c r="I1478" i="13" s="1"/>
  <c r="K1500" i="14"/>
  <c r="L1500" i="14" s="1"/>
  <c r="I1501" i="14" s="1"/>
  <c r="M1668" i="14"/>
  <c r="M1667" i="13"/>
  <c r="J1663" i="14" a="1"/>
  <c r="J1663" i="14" s="1"/>
  <c r="N1664" i="14"/>
  <c r="J1664" i="13" a="1"/>
  <c r="J1664" i="13" s="1"/>
  <c r="N1665" i="13"/>
  <c r="K1478" i="13" l="1"/>
  <c r="L1478" i="13" s="1"/>
  <c r="I1479" i="13" s="1"/>
  <c r="M1669" i="14"/>
  <c r="N1666" i="13"/>
  <c r="J1665" i="13" a="1"/>
  <c r="J1665" i="13" s="1"/>
  <c r="N1665" i="14"/>
  <c r="J1664" i="14" a="1"/>
  <c r="J1664" i="14" s="1"/>
  <c r="M1668" i="13"/>
  <c r="K1501" i="14"/>
  <c r="L1501" i="14" s="1"/>
  <c r="I1502" i="14" s="1"/>
  <c r="K1479" i="13" l="1"/>
  <c r="L1479" i="13" s="1"/>
  <c r="I1480" i="13" s="1"/>
  <c r="K1502" i="14"/>
  <c r="L1502" i="14" s="1"/>
  <c r="I1503" i="14" s="1"/>
  <c r="J1665" i="14" a="1"/>
  <c r="J1665" i="14" s="1"/>
  <c r="N1666" i="14"/>
  <c r="M1670" i="14"/>
  <c r="M1669" i="13"/>
  <c r="J1666" i="13" a="1"/>
  <c r="J1666" i="13" s="1"/>
  <c r="N1667" i="13"/>
  <c r="K1480" i="13" l="1"/>
  <c r="L1480" i="13" s="1"/>
  <c r="I1481" i="13" s="1"/>
  <c r="M1670" i="13"/>
  <c r="J1667" i="13" a="1"/>
  <c r="J1667" i="13" s="1"/>
  <c r="N1668" i="13"/>
  <c r="M1671" i="14"/>
  <c r="J1666" i="14" a="1"/>
  <c r="J1666" i="14" s="1"/>
  <c r="N1667" i="14"/>
  <c r="K1503" i="14"/>
  <c r="L1503" i="14" s="1"/>
  <c r="I1504" i="14" s="1"/>
  <c r="K1481" i="13" l="1"/>
  <c r="L1481" i="13" s="1"/>
  <c r="I1482" i="13" s="1"/>
  <c r="K1504" i="14"/>
  <c r="L1504" i="14" s="1"/>
  <c r="I1505" i="14" s="1"/>
  <c r="M1671" i="13"/>
  <c r="J1667" i="14" a="1"/>
  <c r="J1667" i="14" s="1"/>
  <c r="N1668" i="14"/>
  <c r="J1668" i="13" a="1"/>
  <c r="J1668" i="13" s="1"/>
  <c r="N1669" i="13"/>
  <c r="M1672" i="14"/>
  <c r="K1482" i="13" l="1"/>
  <c r="L1482" i="13" s="1"/>
  <c r="I1483" i="13" s="1"/>
  <c r="K1505" i="14"/>
  <c r="L1505" i="14" s="1"/>
  <c r="I1506" i="14" s="1"/>
  <c r="M1673" i="14"/>
  <c r="N1670" i="13"/>
  <c r="J1669" i="13" a="1"/>
  <c r="J1669" i="13" s="1"/>
  <c r="N1669" i="14"/>
  <c r="J1668" i="14" a="1"/>
  <c r="J1668" i="14" s="1"/>
  <c r="M1672" i="13"/>
  <c r="K1483" i="13" l="1"/>
  <c r="L1483" i="13" s="1"/>
  <c r="I1484" i="13" s="1"/>
  <c r="K1506" i="14"/>
  <c r="L1506" i="14" s="1"/>
  <c r="I1507" i="14" s="1"/>
  <c r="M1673" i="13"/>
  <c r="J1670" i="13" a="1"/>
  <c r="J1670" i="13" s="1"/>
  <c r="N1671" i="13"/>
  <c r="J1669" i="14" a="1"/>
  <c r="J1669" i="14" s="1"/>
  <c r="N1670" i="14"/>
  <c r="M1674" i="14"/>
  <c r="K1484" i="13" l="1"/>
  <c r="L1484" i="13" s="1"/>
  <c r="I1485" i="13" s="1"/>
  <c r="K1507" i="14"/>
  <c r="L1507" i="14" s="1"/>
  <c r="I1508" i="14" s="1"/>
  <c r="J1670" i="14" a="1"/>
  <c r="J1670" i="14" s="1"/>
  <c r="N1671" i="14"/>
  <c r="J1671" i="13" a="1"/>
  <c r="J1671" i="13" s="1"/>
  <c r="N1672" i="13"/>
  <c r="M1674" i="13"/>
  <c r="M1675" i="14"/>
  <c r="K1485" i="13" l="1"/>
  <c r="L1485" i="13" s="1"/>
  <c r="I1486" i="13" s="1"/>
  <c r="M1676" i="14"/>
  <c r="J1671" i="14" a="1"/>
  <c r="J1671" i="14" s="1"/>
  <c r="N1672" i="14"/>
  <c r="J1672" i="13" a="1"/>
  <c r="J1672" i="13" s="1"/>
  <c r="N1673" i="13"/>
  <c r="M1675" i="13"/>
  <c r="K1508" i="14"/>
  <c r="L1508" i="14" s="1"/>
  <c r="I1509" i="14" s="1"/>
  <c r="K1486" i="13" l="1"/>
  <c r="L1486" i="13" s="1"/>
  <c r="I1487" i="13" s="1"/>
  <c r="K1509" i="14"/>
  <c r="L1509" i="14" s="1"/>
  <c r="I1510" i="14" s="1"/>
  <c r="N1674" i="13"/>
  <c r="J1673" i="13" a="1"/>
  <c r="J1673" i="13" s="1"/>
  <c r="M1677" i="14"/>
  <c r="N1673" i="14"/>
  <c r="J1672" i="14" a="1"/>
  <c r="J1672" i="14" s="1"/>
  <c r="M1676" i="13"/>
  <c r="K1487" i="13" l="1"/>
  <c r="L1487" i="13" s="1"/>
  <c r="I1488" i="13" s="1"/>
  <c r="K1510" i="14"/>
  <c r="L1510" i="14" s="1"/>
  <c r="I1511" i="14" s="1"/>
  <c r="M1678" i="14"/>
  <c r="M1677" i="13"/>
  <c r="J1673" i="14" a="1"/>
  <c r="J1673" i="14" s="1"/>
  <c r="N1674" i="14"/>
  <c r="J1674" i="13" a="1"/>
  <c r="J1674" i="13" s="1"/>
  <c r="N1675" i="13"/>
  <c r="K1488" i="13" l="1"/>
  <c r="L1488" i="13" s="1"/>
  <c r="I1489" i="13" s="1"/>
  <c r="K1511" i="14"/>
  <c r="L1511" i="14" s="1"/>
  <c r="I1512" i="14" s="1"/>
  <c r="M1678" i="13"/>
  <c r="J1674" i="14" a="1"/>
  <c r="J1674" i="14" s="1"/>
  <c r="N1675" i="14"/>
  <c r="J1675" i="13" a="1"/>
  <c r="J1675" i="13" s="1"/>
  <c r="N1676" i="13"/>
  <c r="M1679" i="14"/>
  <c r="K1489" i="13" l="1"/>
  <c r="L1489" i="13" s="1"/>
  <c r="I1490" i="13" s="1"/>
  <c r="K1512" i="14"/>
  <c r="L1512" i="14" s="1"/>
  <c r="I1513" i="14" s="1"/>
  <c r="M1680" i="14"/>
  <c r="J1676" i="13" a="1"/>
  <c r="J1676" i="13" s="1"/>
  <c r="N1677" i="13"/>
  <c r="J1675" i="14" a="1"/>
  <c r="J1675" i="14" s="1"/>
  <c r="N1676" i="14"/>
  <c r="M1679" i="13"/>
  <c r="K1490" i="13" l="1"/>
  <c r="L1490" i="13" s="1"/>
  <c r="I1491" i="13" s="1"/>
  <c r="M1680" i="13"/>
  <c r="N1677" i="14"/>
  <c r="J1676" i="14" a="1"/>
  <c r="J1676" i="14" s="1"/>
  <c r="M1681" i="14"/>
  <c r="N1678" i="13"/>
  <c r="J1677" i="13" a="1"/>
  <c r="J1677" i="13" s="1"/>
  <c r="K1513" i="14"/>
  <c r="L1513" i="14" s="1"/>
  <c r="I1514" i="14" s="1"/>
  <c r="K1491" i="13" l="1"/>
  <c r="L1491" i="13" s="1"/>
  <c r="I1492" i="13" s="1"/>
  <c r="K1514" i="14"/>
  <c r="L1514" i="14" s="1"/>
  <c r="I1515" i="14" s="1"/>
  <c r="M1681" i="13"/>
  <c r="M1682" i="14"/>
  <c r="J1678" i="13" a="1"/>
  <c r="J1678" i="13" s="1"/>
  <c r="N1679" i="13"/>
  <c r="J1677" i="14" a="1"/>
  <c r="J1677" i="14" s="1"/>
  <c r="N1678" i="14"/>
  <c r="K1492" i="13" l="1"/>
  <c r="L1492" i="13" s="1"/>
  <c r="I1493" i="13" s="1"/>
  <c r="K1515" i="14"/>
  <c r="L1515" i="14" s="1"/>
  <c r="I1516" i="14" s="1"/>
  <c r="M1683" i="14"/>
  <c r="J1679" i="13" a="1"/>
  <c r="J1679" i="13" s="1"/>
  <c r="N1680" i="13"/>
  <c r="J1678" i="14" a="1"/>
  <c r="J1678" i="14" s="1"/>
  <c r="N1679" i="14"/>
  <c r="M1682" i="13"/>
  <c r="K1493" i="13" l="1"/>
  <c r="L1493" i="13" s="1"/>
  <c r="I1494" i="13" s="1"/>
  <c r="K1516" i="14"/>
  <c r="L1516" i="14" s="1"/>
  <c r="I1517" i="14" s="1"/>
  <c r="J1680" i="13" a="1"/>
  <c r="J1680" i="13" s="1"/>
  <c r="N1681" i="13"/>
  <c r="M1683" i="13"/>
  <c r="J1679" i="14" a="1"/>
  <c r="J1679" i="14" s="1"/>
  <c r="N1680" i="14"/>
  <c r="M1684" i="14"/>
  <c r="K1494" i="13" l="1"/>
  <c r="L1494" i="13" s="1"/>
  <c r="I1495" i="13" s="1"/>
  <c r="M1685" i="14"/>
  <c r="M1684" i="13"/>
  <c r="N1681" i="14"/>
  <c r="J1680" i="14" a="1"/>
  <c r="J1680" i="14" s="1"/>
  <c r="N1682" i="13"/>
  <c r="J1681" i="13" a="1"/>
  <c r="J1681" i="13" s="1"/>
  <c r="K1517" i="14"/>
  <c r="L1517" i="14" s="1"/>
  <c r="I1518" i="14" s="1"/>
  <c r="K1495" i="13" l="1"/>
  <c r="L1495" i="13" s="1"/>
  <c r="I1496" i="13" s="1"/>
  <c r="K1518" i="14"/>
  <c r="L1518" i="14" s="1"/>
  <c r="I1519" i="14" s="1"/>
  <c r="J1681" i="14" a="1"/>
  <c r="J1681" i="14" s="1"/>
  <c r="N1682" i="14"/>
  <c r="M1686" i="14"/>
  <c r="M1685" i="13"/>
  <c r="J1682" i="13" a="1"/>
  <c r="J1682" i="13" s="1"/>
  <c r="N1683" i="13"/>
  <c r="K1496" i="13" l="1"/>
  <c r="L1496" i="13" s="1"/>
  <c r="I1497" i="13" s="1"/>
  <c r="K1519" i="14"/>
  <c r="L1519" i="14" s="1"/>
  <c r="I1520" i="14" s="1"/>
  <c r="J1683" i="13" a="1"/>
  <c r="J1683" i="13" s="1"/>
  <c r="N1684" i="13"/>
  <c r="M1687" i="14"/>
  <c r="J1682" i="14" a="1"/>
  <c r="J1682" i="14" s="1"/>
  <c r="N1683" i="14"/>
  <c r="M1686" i="13"/>
  <c r="K1497" i="13" l="1"/>
  <c r="L1497" i="13" s="1"/>
  <c r="I1498" i="13" s="1"/>
  <c r="K1520" i="14"/>
  <c r="L1520" i="14" s="1"/>
  <c r="I1521" i="14" s="1"/>
  <c r="M1688" i="14"/>
  <c r="M1687" i="13"/>
  <c r="J1684" i="13" a="1"/>
  <c r="J1684" i="13" s="1"/>
  <c r="N1685" i="13"/>
  <c r="J1683" i="14" a="1"/>
  <c r="J1683" i="14" s="1"/>
  <c r="N1684" i="14"/>
  <c r="K1498" i="13" l="1"/>
  <c r="L1498" i="13" s="1"/>
  <c r="I1499" i="13" s="1"/>
  <c r="K1521" i="14"/>
  <c r="L1521" i="14" s="1"/>
  <c r="I1522" i="14" s="1"/>
  <c r="M1688" i="13"/>
  <c r="N1685" i="14"/>
  <c r="J1684" i="14" a="1"/>
  <c r="J1684" i="14" s="1"/>
  <c r="N1686" i="13"/>
  <c r="J1685" i="13" a="1"/>
  <c r="J1685" i="13" s="1"/>
  <c r="M1689" i="14"/>
  <c r="K1499" i="13" l="1"/>
  <c r="L1499" i="13" s="1"/>
  <c r="I1500" i="13" s="1"/>
  <c r="K1522" i="14"/>
  <c r="L1522" i="14" s="1"/>
  <c r="I1523" i="14" s="1"/>
  <c r="M1690" i="14"/>
  <c r="J1685" i="14" a="1"/>
  <c r="J1685" i="14" s="1"/>
  <c r="N1686" i="14"/>
  <c r="M1689" i="13"/>
  <c r="J1686" i="13" a="1"/>
  <c r="J1686" i="13" s="1"/>
  <c r="N1687" i="13"/>
  <c r="K1500" i="13" l="1"/>
  <c r="L1500" i="13" s="1"/>
  <c r="I1501" i="13" s="1"/>
  <c r="K1523" i="14"/>
  <c r="L1523" i="14" s="1"/>
  <c r="I1524" i="14" s="1"/>
  <c r="J1686" i="14" a="1"/>
  <c r="J1686" i="14" s="1"/>
  <c r="N1687" i="14"/>
  <c r="J1687" i="13" a="1"/>
  <c r="J1687" i="13" s="1"/>
  <c r="N1688" i="13"/>
  <c r="M1690" i="13"/>
  <c r="M1691" i="14"/>
  <c r="K1501" i="13" l="1"/>
  <c r="L1501" i="13" s="1"/>
  <c r="I1502" i="13" s="1"/>
  <c r="K1524" i="14"/>
  <c r="L1524" i="14" s="1"/>
  <c r="I1525" i="14" s="1"/>
  <c r="M1692" i="14"/>
  <c r="J1687" i="14" a="1"/>
  <c r="J1687" i="14" s="1"/>
  <c r="N1688" i="14"/>
  <c r="J1688" i="13" a="1"/>
  <c r="J1688" i="13" s="1"/>
  <c r="N1689" i="13"/>
  <c r="M1691" i="13"/>
  <c r="K1502" i="13" l="1"/>
  <c r="L1502" i="13" s="1"/>
  <c r="I1503" i="13" s="1"/>
  <c r="K1525" i="14"/>
  <c r="L1525" i="14" s="1"/>
  <c r="I1526" i="14" s="1"/>
  <c r="M1692" i="13"/>
  <c r="N1690" i="13"/>
  <c r="J1689" i="13" a="1"/>
  <c r="J1689" i="13" s="1"/>
  <c r="N1689" i="14"/>
  <c r="J1688" i="14" a="1"/>
  <c r="J1688" i="14" s="1"/>
  <c r="M1693" i="14"/>
  <c r="K1503" i="13" l="1"/>
  <c r="L1503" i="13" s="1"/>
  <c r="I1504" i="13" s="1"/>
  <c r="K1526" i="14"/>
  <c r="L1526" i="14" s="1"/>
  <c r="I1527" i="14" s="1"/>
  <c r="J1690" i="13" a="1"/>
  <c r="J1690" i="13" s="1"/>
  <c r="N1691" i="13"/>
  <c r="M1693" i="13"/>
  <c r="M1694" i="14"/>
  <c r="J1689" i="14" a="1"/>
  <c r="J1689" i="14" s="1"/>
  <c r="N1690" i="14"/>
  <c r="K1504" i="13" l="1"/>
  <c r="L1504" i="13" s="1"/>
  <c r="I1505" i="13" s="1"/>
  <c r="J1691" i="13" a="1"/>
  <c r="J1691" i="13" s="1"/>
  <c r="N1692" i="13"/>
  <c r="M1695" i="14"/>
  <c r="J1690" i="14" a="1"/>
  <c r="J1690" i="14" s="1"/>
  <c r="N1691" i="14"/>
  <c r="M1694" i="13"/>
  <c r="K1527" i="14"/>
  <c r="L1527" i="14" s="1"/>
  <c r="I1528" i="14" s="1"/>
  <c r="K1505" i="13" l="1"/>
  <c r="L1505" i="13" s="1"/>
  <c r="I1506" i="13" s="1"/>
  <c r="K1528" i="14"/>
  <c r="L1528" i="14" s="1"/>
  <c r="I1529" i="14" s="1"/>
  <c r="J1692" i="13" a="1"/>
  <c r="J1692" i="13" s="1"/>
  <c r="N1693" i="13"/>
  <c r="M1696" i="14"/>
  <c r="J1691" i="14" a="1"/>
  <c r="J1691" i="14" s="1"/>
  <c r="N1692" i="14"/>
  <c r="M1695" i="13"/>
  <c r="K1506" i="13" l="1"/>
  <c r="L1506" i="13" s="1"/>
  <c r="I1507" i="13" s="1"/>
  <c r="K1529" i="14"/>
  <c r="L1529" i="14" s="1"/>
  <c r="I1530" i="14" s="1"/>
  <c r="M1696" i="13"/>
  <c r="M1697" i="14"/>
  <c r="N1693" i="14"/>
  <c r="J1692" i="14" a="1"/>
  <c r="J1692" i="14" s="1"/>
  <c r="N1694" i="13"/>
  <c r="J1693" i="13" a="1"/>
  <c r="J1693" i="13" s="1"/>
  <c r="K1507" i="13" l="1"/>
  <c r="L1507" i="13" s="1"/>
  <c r="I1508" i="13" s="1"/>
  <c r="K1530" i="14"/>
  <c r="L1530" i="14" s="1"/>
  <c r="I1531" i="14" s="1"/>
  <c r="M1697" i="13"/>
  <c r="J1693" i="14" a="1"/>
  <c r="J1693" i="14" s="1"/>
  <c r="N1694" i="14"/>
  <c r="J1694" i="13" a="1"/>
  <c r="J1694" i="13" s="1"/>
  <c r="N1695" i="13"/>
  <c r="M1698" i="14"/>
  <c r="K1508" i="13" l="1"/>
  <c r="L1508" i="13" s="1"/>
  <c r="I1509" i="13" s="1"/>
  <c r="K1531" i="14"/>
  <c r="L1531" i="14" s="1"/>
  <c r="I1532" i="14" s="1"/>
  <c r="J1694" i="14" a="1"/>
  <c r="J1694" i="14" s="1"/>
  <c r="N1695" i="14"/>
  <c r="M1699" i="14"/>
  <c r="J1695" i="13" a="1"/>
  <c r="J1695" i="13" s="1"/>
  <c r="N1696" i="13"/>
  <c r="M1698" i="13"/>
  <c r="K1509" i="13" l="1"/>
  <c r="L1509" i="13" s="1"/>
  <c r="I1510" i="13" s="1"/>
  <c r="K1532" i="14"/>
  <c r="L1532" i="14" s="1"/>
  <c r="I1533" i="14" s="1"/>
  <c r="M1700" i="14"/>
  <c r="M1699" i="13"/>
  <c r="J1696" i="13" a="1"/>
  <c r="J1696" i="13" s="1"/>
  <c r="N1697" i="13"/>
  <c r="J1695" i="14" a="1"/>
  <c r="J1695" i="14" s="1"/>
  <c r="N1696" i="14"/>
  <c r="K1510" i="13" l="1"/>
  <c r="L1510" i="13" s="1"/>
  <c r="I1511" i="13" s="1"/>
  <c r="K1533" i="14"/>
  <c r="L1533" i="14" s="1"/>
  <c r="I1534" i="14" s="1"/>
  <c r="M1700" i="13"/>
  <c r="N1698" i="13"/>
  <c r="J1697" i="13" a="1"/>
  <c r="J1697" i="13" s="1"/>
  <c r="N1697" i="14"/>
  <c r="J1696" i="14" a="1"/>
  <c r="J1696" i="14" s="1"/>
  <c r="M1701" i="14"/>
  <c r="K1511" i="13" l="1"/>
  <c r="L1511" i="13" s="1"/>
  <c r="I1512" i="13" s="1"/>
  <c r="K1534" i="14"/>
  <c r="L1534" i="14" s="1"/>
  <c r="I1535" i="14" s="1"/>
  <c r="M1702" i="14"/>
  <c r="J1698" i="13" a="1"/>
  <c r="J1698" i="13" s="1"/>
  <c r="N1699" i="13"/>
  <c r="M1701" i="13"/>
  <c r="J1697" i="14" a="1"/>
  <c r="J1697" i="14" s="1"/>
  <c r="N1698" i="14"/>
  <c r="K1512" i="13" l="1"/>
  <c r="L1512" i="13" s="1"/>
  <c r="I1513" i="13" s="1"/>
  <c r="K1535" i="14"/>
  <c r="L1535" i="14" s="1"/>
  <c r="I1536" i="14" s="1"/>
  <c r="J1699" i="13" a="1"/>
  <c r="J1699" i="13" s="1"/>
  <c r="N1700" i="13"/>
  <c r="J1698" i="14" a="1"/>
  <c r="J1698" i="14" s="1"/>
  <c r="N1699" i="14"/>
  <c r="M1702" i="13"/>
  <c r="M1703" i="14"/>
  <c r="K1513" i="13" l="1"/>
  <c r="L1513" i="13" s="1"/>
  <c r="I1514" i="13" s="1"/>
  <c r="K1536" i="14"/>
  <c r="L1536" i="14" s="1"/>
  <c r="I1537" i="14" s="1"/>
  <c r="J1699" i="14" a="1"/>
  <c r="J1699" i="14" s="1"/>
  <c r="N1700" i="14"/>
  <c r="M1704" i="14"/>
  <c r="J1700" i="13" a="1"/>
  <c r="J1700" i="13" s="1"/>
  <c r="N1701" i="13"/>
  <c r="M1703" i="13"/>
  <c r="K1514" i="13" l="1"/>
  <c r="L1514" i="13" s="1"/>
  <c r="I1515" i="13" s="1"/>
  <c r="K1537" i="14"/>
  <c r="L1537" i="14" s="1"/>
  <c r="I1538" i="14" s="1"/>
  <c r="M1704" i="13"/>
  <c r="M1705" i="14"/>
  <c r="N1701" i="14"/>
  <c r="J1700" i="14" a="1"/>
  <c r="J1700" i="14" s="1"/>
  <c r="N1702" i="13"/>
  <c r="J1701" i="13" a="1"/>
  <c r="J1701" i="13" s="1"/>
  <c r="K1515" i="13" l="1"/>
  <c r="L1515" i="13" s="1"/>
  <c r="I1516" i="13" s="1"/>
  <c r="K1538" i="14"/>
  <c r="L1538" i="14" s="1"/>
  <c r="I1539" i="14" s="1"/>
  <c r="J1702" i="13" a="1"/>
  <c r="J1702" i="13" s="1"/>
  <c r="N1703" i="13"/>
  <c r="M1706" i="14"/>
  <c r="M1705" i="13"/>
  <c r="J1701" i="14" a="1"/>
  <c r="J1701" i="14" s="1"/>
  <c r="N1702" i="14"/>
  <c r="K1516" i="13" l="1"/>
  <c r="L1516" i="13" s="1"/>
  <c r="I1517" i="13" s="1"/>
  <c r="K1539" i="14"/>
  <c r="L1539" i="14" s="1"/>
  <c r="I1540" i="14" s="1"/>
  <c r="M1707" i="14"/>
  <c r="J1702" i="14" a="1"/>
  <c r="J1702" i="14" s="1"/>
  <c r="N1703" i="14"/>
  <c r="J1703" i="13" a="1"/>
  <c r="J1703" i="13" s="1"/>
  <c r="N1704" i="13"/>
  <c r="M1706" i="13"/>
  <c r="K1517" i="13" l="1"/>
  <c r="L1517" i="13" s="1"/>
  <c r="I1518" i="13" s="1"/>
  <c r="K1540" i="14"/>
  <c r="L1540" i="14" s="1"/>
  <c r="I1541" i="14" s="1"/>
  <c r="J1703" i="14" a="1"/>
  <c r="J1703" i="14" s="1"/>
  <c r="N1704" i="14"/>
  <c r="M1707" i="13"/>
  <c r="J1704" i="13" a="1"/>
  <c r="J1704" i="13" s="1"/>
  <c r="N1705" i="13"/>
  <c r="M1708" i="14"/>
  <c r="K1518" i="13" l="1"/>
  <c r="L1518" i="13" s="1"/>
  <c r="I1519" i="13" s="1"/>
  <c r="K1541" i="14"/>
  <c r="L1541" i="14" s="1"/>
  <c r="I1542" i="14" s="1"/>
  <c r="N1706" i="13"/>
  <c r="J1705" i="13" a="1"/>
  <c r="J1705" i="13" s="1"/>
  <c r="M1709" i="14"/>
  <c r="M1708" i="13"/>
  <c r="N1705" i="14"/>
  <c r="J1704" i="14" a="1"/>
  <c r="J1704" i="14" s="1"/>
  <c r="K1519" i="13" l="1"/>
  <c r="L1519" i="13" s="1"/>
  <c r="I1520" i="13" s="1"/>
  <c r="K1542" i="14"/>
  <c r="L1542" i="14" s="1"/>
  <c r="I1543" i="14" s="1"/>
  <c r="J1705" i="14" a="1"/>
  <c r="J1705" i="14" s="1"/>
  <c r="N1706" i="14"/>
  <c r="M1710" i="14"/>
  <c r="M1709" i="13"/>
  <c r="J1706" i="13" a="1"/>
  <c r="J1706" i="13" s="1"/>
  <c r="N1707" i="13"/>
  <c r="K1520" i="13" l="1"/>
  <c r="L1520" i="13" s="1"/>
  <c r="I1521" i="13" s="1"/>
  <c r="K1543" i="14"/>
  <c r="L1543" i="14" s="1"/>
  <c r="I1544" i="14" s="1"/>
  <c r="M1711" i="14"/>
  <c r="J1706" i="14" a="1"/>
  <c r="J1706" i="14" s="1"/>
  <c r="N1707" i="14"/>
  <c r="J1707" i="13" a="1"/>
  <c r="J1707" i="13" s="1"/>
  <c r="N1708" i="13"/>
  <c r="M1710" i="13"/>
  <c r="K1521" i="13" l="1"/>
  <c r="L1521" i="13" s="1"/>
  <c r="I1522" i="13" s="1"/>
  <c r="K1544" i="14"/>
  <c r="L1544" i="14" s="1"/>
  <c r="I1545" i="14" s="1"/>
  <c r="J1707" i="14" a="1"/>
  <c r="J1707" i="14" s="1"/>
  <c r="N1708" i="14"/>
  <c r="J1708" i="13" a="1"/>
  <c r="J1708" i="13" s="1"/>
  <c r="N1709" i="13"/>
  <c r="M1712" i="14"/>
  <c r="M1711" i="13"/>
  <c r="K1522" i="13" l="1"/>
  <c r="L1522" i="13" s="1"/>
  <c r="I1523" i="13" s="1"/>
  <c r="K1545" i="14"/>
  <c r="L1545" i="14" s="1"/>
  <c r="I1546" i="14" s="1"/>
  <c r="M1712" i="13"/>
  <c r="N1710" i="13"/>
  <c r="J1709" i="13" a="1"/>
  <c r="J1709" i="13" s="1"/>
  <c r="N1709" i="14"/>
  <c r="J1708" i="14" a="1"/>
  <c r="J1708" i="14" s="1"/>
  <c r="M1713" i="14"/>
  <c r="K1523" i="13" l="1"/>
  <c r="L1523" i="13" s="1"/>
  <c r="I1524" i="13" s="1"/>
  <c r="K1546" i="14"/>
  <c r="L1546" i="14" s="1"/>
  <c r="I1547" i="14" s="1"/>
  <c r="M1714" i="14"/>
  <c r="J1710" i="13" a="1"/>
  <c r="J1710" i="13" s="1"/>
  <c r="N1711" i="13"/>
  <c r="M1713" i="13"/>
  <c r="J1709" i="14" a="1"/>
  <c r="J1709" i="14" s="1"/>
  <c r="N1710" i="14"/>
  <c r="K1524" i="13" l="1"/>
  <c r="L1524" i="13" s="1"/>
  <c r="I1525" i="13" s="1"/>
  <c r="K1547" i="14"/>
  <c r="L1547" i="14" s="1"/>
  <c r="I1548" i="14" s="1"/>
  <c r="J1710" i="14" a="1"/>
  <c r="J1710" i="14" s="1"/>
  <c r="N1711" i="14"/>
  <c r="J1711" i="13" a="1"/>
  <c r="J1711" i="13" s="1"/>
  <c r="N1712" i="13"/>
  <c r="M1714" i="13"/>
  <c r="M1715" i="14"/>
  <c r="K1525" i="13" l="1"/>
  <c r="L1525" i="13" s="1"/>
  <c r="I1526" i="13" s="1"/>
  <c r="K1548" i="14"/>
  <c r="L1548" i="14" s="1"/>
  <c r="I1549" i="14" s="1"/>
  <c r="J1712" i="13" a="1"/>
  <c r="J1712" i="13" s="1"/>
  <c r="N1713" i="13"/>
  <c r="M1716" i="14"/>
  <c r="M1715" i="13"/>
  <c r="J1711" i="14" a="1"/>
  <c r="J1711" i="14" s="1"/>
  <c r="N1712" i="14"/>
  <c r="K1526" i="13" l="1"/>
  <c r="L1526" i="13" s="1"/>
  <c r="I1527" i="13" s="1"/>
  <c r="K1549" i="14"/>
  <c r="L1549" i="14" s="1"/>
  <c r="I1550" i="14" s="1"/>
  <c r="N1713" i="14"/>
  <c r="J1712" i="14" a="1"/>
  <c r="J1712" i="14" s="1"/>
  <c r="M1717" i="14"/>
  <c r="N1714" i="13"/>
  <c r="J1713" i="13" a="1"/>
  <c r="J1713" i="13" s="1"/>
  <c r="M1716" i="13"/>
  <c r="K1527" i="13" l="1"/>
  <c r="L1527" i="13" s="1"/>
  <c r="I1528" i="13" s="1"/>
  <c r="K1550" i="14"/>
  <c r="L1550" i="14" s="1"/>
  <c r="I1551" i="14" s="1"/>
  <c r="M1717" i="13"/>
  <c r="M1718" i="14"/>
  <c r="J1714" i="13" a="1"/>
  <c r="J1714" i="13" s="1"/>
  <c r="N1715" i="13"/>
  <c r="J1713" i="14" a="1"/>
  <c r="J1713" i="14" s="1"/>
  <c r="N1714" i="14"/>
  <c r="K1528" i="13" l="1"/>
  <c r="L1528" i="13" s="1"/>
  <c r="I1529" i="13" s="1"/>
  <c r="N1715" i="14"/>
  <c r="J1714" i="14" a="1"/>
  <c r="J1714" i="14" s="1"/>
  <c r="K1551" i="14"/>
  <c r="L1551" i="14" s="1"/>
  <c r="I1552" i="14" s="1"/>
  <c r="J1715" i="13" a="1"/>
  <c r="J1715" i="13" s="1"/>
  <c r="N1716" i="13"/>
  <c r="M1719" i="14"/>
  <c r="M1718" i="13"/>
  <c r="K1529" i="13" l="1"/>
  <c r="L1529" i="13" s="1"/>
  <c r="I1530" i="13" s="1"/>
  <c r="K1552" i="14"/>
  <c r="L1552" i="14" s="1"/>
  <c r="I1553" i="14" s="1"/>
  <c r="N1716" i="14"/>
  <c r="J1715" i="14" a="1"/>
  <c r="J1715" i="14" s="1"/>
  <c r="J1716" i="13" a="1"/>
  <c r="J1716" i="13" s="1"/>
  <c r="N1717" i="13"/>
  <c r="M1719" i="13"/>
  <c r="M1720" i="14"/>
  <c r="K1530" i="13" l="1"/>
  <c r="L1530" i="13" s="1"/>
  <c r="I1531" i="13" s="1"/>
  <c r="K1553" i="14"/>
  <c r="L1553" i="14" s="1"/>
  <c r="I1554" i="14" s="1"/>
  <c r="N1718" i="13"/>
  <c r="J1717" i="13" a="1"/>
  <c r="J1717" i="13" s="1"/>
  <c r="M1721" i="14"/>
  <c r="M1720" i="13"/>
  <c r="J1716" i="14" a="1"/>
  <c r="J1716" i="14" s="1"/>
  <c r="N1717" i="14"/>
  <c r="K1531" i="13" l="1"/>
  <c r="L1531" i="13" s="1"/>
  <c r="I1532" i="13" s="1"/>
  <c r="K1554" i="14"/>
  <c r="L1554" i="14" s="1"/>
  <c r="I1555" i="14" s="1"/>
  <c r="N1718" i="14"/>
  <c r="J1717" i="14" a="1"/>
  <c r="J1717" i="14" s="1"/>
  <c r="M1722" i="14"/>
  <c r="M1721" i="13"/>
  <c r="J1718" i="13" a="1"/>
  <c r="J1718" i="13" s="1"/>
  <c r="N1719" i="13"/>
  <c r="K1532" i="13" l="1"/>
  <c r="L1532" i="13" s="1"/>
  <c r="I1533" i="13" s="1"/>
  <c r="J1719" i="13" a="1"/>
  <c r="J1719" i="13" s="1"/>
  <c r="N1720" i="13"/>
  <c r="M1723" i="14"/>
  <c r="M1722" i="13"/>
  <c r="J1718" i="14" a="1"/>
  <c r="J1718" i="14" s="1"/>
  <c r="N1719" i="14"/>
  <c r="K1555" i="14"/>
  <c r="L1555" i="14" s="1"/>
  <c r="I1556" i="14" s="1"/>
  <c r="K1533" i="13" l="1"/>
  <c r="L1533" i="13" s="1"/>
  <c r="I1534" i="13" s="1"/>
  <c r="K1556" i="14"/>
  <c r="L1556" i="14" s="1"/>
  <c r="I1557" i="14" s="1"/>
  <c r="M1723" i="13"/>
  <c r="M1724" i="14"/>
  <c r="N1720" i="14"/>
  <c r="J1719" i="14" a="1"/>
  <c r="J1719" i="14" s="1"/>
  <c r="J1720" i="13" a="1"/>
  <c r="J1720" i="13" s="1"/>
  <c r="N1721" i="13"/>
  <c r="K1534" i="13" l="1"/>
  <c r="L1534" i="13" s="1"/>
  <c r="I1535" i="13" s="1"/>
  <c r="K1557" i="14"/>
  <c r="L1557" i="14" s="1"/>
  <c r="I1558" i="14" s="1"/>
  <c r="N1722" i="13"/>
  <c r="J1721" i="13" a="1"/>
  <c r="J1721" i="13" s="1"/>
  <c r="M1725" i="14"/>
  <c r="J1720" i="14" a="1"/>
  <c r="J1720" i="14" s="1"/>
  <c r="N1721" i="14"/>
  <c r="M1724" i="13"/>
  <c r="K1535" i="13" l="1"/>
  <c r="L1535" i="13" s="1"/>
  <c r="I1536" i="13" s="1"/>
  <c r="M1725" i="13"/>
  <c r="M1726" i="14"/>
  <c r="K1558" i="14"/>
  <c r="L1558" i="14" s="1"/>
  <c r="I1559" i="14" s="1"/>
  <c r="J1721" i="14" a="1"/>
  <c r="J1721" i="14" s="1"/>
  <c r="N1722" i="14"/>
  <c r="J1722" i="13" a="1"/>
  <c r="J1722" i="13" s="1"/>
  <c r="N1723" i="13"/>
  <c r="K1536" i="13" l="1"/>
  <c r="L1536" i="13" s="1"/>
  <c r="I1537" i="13" s="1"/>
  <c r="K1559" i="14"/>
  <c r="L1559" i="14" s="1"/>
  <c r="I1560" i="14" s="1"/>
  <c r="J1723" i="13" a="1"/>
  <c r="J1723" i="13" s="1"/>
  <c r="N1724" i="13"/>
  <c r="M1726" i="13"/>
  <c r="J1722" i="14" a="1"/>
  <c r="J1722" i="14" s="1"/>
  <c r="N1723" i="14"/>
  <c r="M1727" i="14"/>
  <c r="K1537" i="13" l="1"/>
  <c r="L1537" i="13" s="1"/>
  <c r="I1538" i="13" s="1"/>
  <c r="K1560" i="14"/>
  <c r="L1560" i="14" s="1"/>
  <c r="I1561" i="14" s="1"/>
  <c r="N1724" i="14"/>
  <c r="J1723" i="14" a="1"/>
  <c r="J1723" i="14" s="1"/>
  <c r="M1728" i="14"/>
  <c r="M1727" i="13"/>
  <c r="J1724" i="13" a="1"/>
  <c r="J1724" i="13" s="1"/>
  <c r="N1725" i="13"/>
  <c r="K1538" i="13" l="1"/>
  <c r="L1538" i="13" s="1"/>
  <c r="I1539" i="13" s="1"/>
  <c r="N1726" i="13"/>
  <c r="J1725" i="13" a="1"/>
  <c r="J1725" i="13" s="1"/>
  <c r="K1561" i="14"/>
  <c r="L1561" i="14" s="1"/>
  <c r="I1562" i="14" s="1"/>
  <c r="M1729" i="14"/>
  <c r="M1728" i="13"/>
  <c r="J1724" i="14" a="1"/>
  <c r="J1724" i="14" s="1"/>
  <c r="N1725" i="14"/>
  <c r="K1539" i="13" l="1"/>
  <c r="L1539" i="13" s="1"/>
  <c r="I1540" i="13" s="1"/>
  <c r="K1562" i="14"/>
  <c r="L1562" i="14" s="1"/>
  <c r="I1563" i="14" s="1"/>
  <c r="J1726" i="13" a="1"/>
  <c r="J1726" i="13" s="1"/>
  <c r="N1727" i="13"/>
  <c r="J1725" i="14" a="1"/>
  <c r="J1725" i="14" s="1"/>
  <c r="N1726" i="14"/>
  <c r="M1730" i="14"/>
  <c r="M1729" i="13"/>
  <c r="K1540" i="13" l="1"/>
  <c r="L1540" i="13" s="1"/>
  <c r="I1541" i="13" s="1"/>
  <c r="K1563" i="14"/>
  <c r="L1563" i="14" s="1"/>
  <c r="I1564" i="14" s="1"/>
  <c r="J1726" i="14" a="1"/>
  <c r="J1726" i="14" s="1"/>
  <c r="N1727" i="14"/>
  <c r="M1730" i="13"/>
  <c r="J1727" i="13" a="1"/>
  <c r="J1727" i="13" s="1"/>
  <c r="N1728" i="13"/>
  <c r="M1731" i="14"/>
  <c r="K1541" i="13" l="1"/>
  <c r="L1541" i="13" s="1"/>
  <c r="I1542" i="13" s="1"/>
  <c r="K1564" i="14"/>
  <c r="L1564" i="14" s="1"/>
  <c r="I1565" i="14" s="1"/>
  <c r="M1732" i="14"/>
  <c r="M1731" i="13"/>
  <c r="N1728" i="14"/>
  <c r="J1727" i="14" a="1"/>
  <c r="J1727" i="14" s="1"/>
  <c r="J1728" i="13" a="1"/>
  <c r="J1728" i="13" s="1"/>
  <c r="N1729" i="13"/>
  <c r="K1542" i="13" l="1"/>
  <c r="L1542" i="13" s="1"/>
  <c r="I1543" i="13" s="1"/>
  <c r="K1565" i="14"/>
  <c r="L1565" i="14" s="1"/>
  <c r="I1566" i="14" s="1"/>
  <c r="N1730" i="13"/>
  <c r="J1729" i="13" a="1"/>
  <c r="J1729" i="13" s="1"/>
  <c r="M1732" i="13"/>
  <c r="J1728" i="14" a="1"/>
  <c r="J1728" i="14" s="1"/>
  <c r="N1729" i="14"/>
  <c r="M1733" i="14"/>
  <c r="K1543" i="13" l="1"/>
  <c r="L1543" i="13" s="1"/>
  <c r="I1544" i="13" s="1"/>
  <c r="K1566" i="14"/>
  <c r="L1566" i="14" s="1"/>
  <c r="I1567" i="14" s="1"/>
  <c r="J1729" i="14" a="1"/>
  <c r="J1729" i="14" s="1"/>
  <c r="N1730" i="14"/>
  <c r="M1733" i="13"/>
  <c r="M1734" i="14"/>
  <c r="J1730" i="13" a="1"/>
  <c r="J1730" i="13" s="1"/>
  <c r="N1731" i="13"/>
  <c r="K1544" i="13" l="1"/>
  <c r="L1544" i="13" s="1"/>
  <c r="I1545" i="13" s="1"/>
  <c r="K1567" i="14"/>
  <c r="L1567" i="14" s="1"/>
  <c r="I1568" i="14" s="1"/>
  <c r="M1734" i="13"/>
  <c r="J1730" i="14" a="1"/>
  <c r="J1730" i="14" s="1"/>
  <c r="N1731" i="14"/>
  <c r="J1731" i="13" a="1"/>
  <c r="J1731" i="13" s="1"/>
  <c r="N1732" i="13"/>
  <c r="M1735" i="14"/>
  <c r="K1545" i="13" l="1"/>
  <c r="L1545" i="13" s="1"/>
  <c r="I1546" i="13" s="1"/>
  <c r="K1568" i="14"/>
  <c r="L1568" i="14" s="1"/>
  <c r="I1569" i="14" s="1"/>
  <c r="N1732" i="14"/>
  <c r="J1731" i="14" a="1"/>
  <c r="J1731" i="14" s="1"/>
  <c r="J1732" i="13" a="1"/>
  <c r="J1732" i="13" s="1"/>
  <c r="N1733" i="13"/>
  <c r="M1736" i="14"/>
  <c r="M1735" i="13"/>
  <c r="K1546" i="13" l="1"/>
  <c r="L1546" i="13" s="1"/>
  <c r="I1547" i="13" s="1"/>
  <c r="N1734" i="13"/>
  <c r="J1733" i="13" a="1"/>
  <c r="J1733" i="13" s="1"/>
  <c r="K1569" i="14"/>
  <c r="L1569" i="14" s="1"/>
  <c r="I1570" i="14" s="1"/>
  <c r="M1736" i="13"/>
  <c r="M1737" i="14"/>
  <c r="J1732" i="14" a="1"/>
  <c r="J1732" i="14" s="1"/>
  <c r="N1733" i="14"/>
  <c r="K1547" i="13" l="1"/>
  <c r="L1547" i="13" s="1"/>
  <c r="I1548" i="13" s="1"/>
  <c r="K1570" i="14"/>
  <c r="L1570" i="14" s="1"/>
  <c r="I1571" i="14" s="1"/>
  <c r="J1733" i="14" a="1"/>
  <c r="J1733" i="14" s="1"/>
  <c r="N1734" i="14"/>
  <c r="M1737" i="13"/>
  <c r="J1734" i="13" a="1"/>
  <c r="J1734" i="13" s="1"/>
  <c r="N1735" i="13"/>
  <c r="M1738" i="14"/>
  <c r="K1548" i="13" l="1"/>
  <c r="L1548" i="13" s="1"/>
  <c r="I1549" i="13" s="1"/>
  <c r="K1571" i="14"/>
  <c r="L1571" i="14" s="1"/>
  <c r="I1572" i="14" s="1"/>
  <c r="J1734" i="14" a="1"/>
  <c r="J1734" i="14" s="1"/>
  <c r="N1735" i="14"/>
  <c r="M1739" i="14"/>
  <c r="M1738" i="13"/>
  <c r="J1735" i="13" a="1"/>
  <c r="J1735" i="13" s="1"/>
  <c r="N1736" i="13"/>
  <c r="K1549" i="13" l="1"/>
  <c r="L1549" i="13" s="1"/>
  <c r="I1550" i="13" s="1"/>
  <c r="K1572" i="14"/>
  <c r="L1572" i="14" s="1"/>
  <c r="I1573" i="14" s="1"/>
  <c r="J1736" i="13" a="1"/>
  <c r="J1736" i="13" s="1"/>
  <c r="N1737" i="13"/>
  <c r="M1740" i="14"/>
  <c r="N1736" i="14"/>
  <c r="J1735" i="14" a="1"/>
  <c r="J1735" i="14" s="1"/>
  <c r="M1739" i="13"/>
  <c r="K1550" i="13" l="1"/>
  <c r="L1550" i="13" s="1"/>
  <c r="I1551" i="13" s="1"/>
  <c r="K1573" i="14"/>
  <c r="L1573" i="14" s="1"/>
  <c r="I1574" i="14" s="1"/>
  <c r="M1740" i="13"/>
  <c r="M1741" i="14"/>
  <c r="N1738" i="13"/>
  <c r="J1737" i="13" a="1"/>
  <c r="J1737" i="13" s="1"/>
  <c r="J1736" i="14" a="1"/>
  <c r="J1736" i="14" s="1"/>
  <c r="N1737" i="14"/>
  <c r="K1551" i="13" l="1"/>
  <c r="L1551" i="13" s="1"/>
  <c r="I1552" i="13" s="1"/>
  <c r="K1574" i="14"/>
  <c r="L1574" i="14" s="1"/>
  <c r="I1575" i="14" s="1"/>
  <c r="J1737" i="14" a="1"/>
  <c r="J1737" i="14" s="1"/>
  <c r="N1738" i="14"/>
  <c r="M1742" i="14"/>
  <c r="M1741" i="13"/>
  <c r="J1738" i="13" a="1"/>
  <c r="J1738" i="13" s="1"/>
  <c r="N1739" i="13"/>
  <c r="K1552" i="13" l="1"/>
  <c r="L1552" i="13" s="1"/>
  <c r="I1553" i="13" s="1"/>
  <c r="K1575" i="14"/>
  <c r="L1575" i="14" s="1"/>
  <c r="I1576" i="14" s="1"/>
  <c r="J1739" i="13" a="1"/>
  <c r="J1739" i="13" s="1"/>
  <c r="N1740" i="13"/>
  <c r="M1743" i="14"/>
  <c r="J1738" i="14" a="1"/>
  <c r="J1738" i="14" s="1"/>
  <c r="N1739" i="14"/>
  <c r="M1742" i="13"/>
  <c r="K1553" i="13" l="1"/>
  <c r="L1553" i="13" s="1"/>
  <c r="I1554" i="13" s="1"/>
  <c r="K1576" i="14"/>
  <c r="L1576" i="14" s="1"/>
  <c r="I1577" i="14" s="1"/>
  <c r="M1743" i="13"/>
  <c r="J1740" i="13" a="1"/>
  <c r="J1740" i="13" s="1"/>
  <c r="N1741" i="13"/>
  <c r="N1740" i="14"/>
  <c r="J1739" i="14" a="1"/>
  <c r="J1739" i="14" s="1"/>
  <c r="M1744" i="14"/>
  <c r="K1554" i="13" l="1"/>
  <c r="L1554" i="13" s="1"/>
  <c r="I1555" i="13" s="1"/>
  <c r="J1740" i="14" a="1"/>
  <c r="J1740" i="14" s="1"/>
  <c r="N1741" i="14"/>
  <c r="K1577" i="14"/>
  <c r="L1577" i="14" s="1"/>
  <c r="I1578" i="14" s="1"/>
  <c r="N1742" i="13"/>
  <c r="J1741" i="13" a="1"/>
  <c r="J1741" i="13" s="1"/>
  <c r="M1744" i="13"/>
  <c r="M1745" i="14"/>
  <c r="K1555" i="13" l="1"/>
  <c r="L1555" i="13" s="1"/>
  <c r="I1556" i="13" s="1"/>
  <c r="K1578" i="14"/>
  <c r="L1578" i="14" s="1"/>
  <c r="I1579" i="14" s="1"/>
  <c r="M1746" i="14"/>
  <c r="J1742" i="13" a="1"/>
  <c r="J1742" i="13" s="1"/>
  <c r="N1743" i="13"/>
  <c r="M1745" i="13"/>
  <c r="J1741" i="14" a="1"/>
  <c r="J1741" i="14" s="1"/>
  <c r="N1742" i="14"/>
  <c r="K1556" i="13" l="1"/>
  <c r="L1556" i="13" s="1"/>
  <c r="I1557" i="13" s="1"/>
  <c r="K1579" i="14"/>
  <c r="L1579" i="14" s="1"/>
  <c r="I1580" i="14" s="1"/>
  <c r="J1743" i="13" a="1"/>
  <c r="J1743" i="13" s="1"/>
  <c r="N1744" i="13"/>
  <c r="J1742" i="14" a="1"/>
  <c r="J1742" i="14" s="1"/>
  <c r="N1743" i="14"/>
  <c r="M1747" i="14"/>
  <c r="M1746" i="13"/>
  <c r="K1557" i="13" l="1"/>
  <c r="L1557" i="13" s="1"/>
  <c r="I1558" i="13" s="1"/>
  <c r="K1580" i="14"/>
  <c r="L1580" i="14" s="1"/>
  <c r="I1581" i="14" s="1"/>
  <c r="N1744" i="14"/>
  <c r="J1743" i="14" a="1"/>
  <c r="J1743" i="14" s="1"/>
  <c r="J1744" i="13" a="1"/>
  <c r="J1744" i="13" s="1"/>
  <c r="N1745" i="13"/>
  <c r="M1747" i="13"/>
  <c r="M1748" i="14"/>
  <c r="K1558" i="13" l="1"/>
  <c r="L1558" i="13" s="1"/>
  <c r="I1559" i="13" s="1"/>
  <c r="K1581" i="14"/>
  <c r="L1581" i="14" s="1"/>
  <c r="I1582" i="14" s="1"/>
  <c r="N1746" i="13"/>
  <c r="J1745" i="13" a="1"/>
  <c r="J1745" i="13" s="1"/>
  <c r="M1749" i="14"/>
  <c r="M1748" i="13"/>
  <c r="J1744" i="14" a="1"/>
  <c r="J1744" i="14" s="1"/>
  <c r="N1745" i="14"/>
  <c r="K1559" i="13" l="1"/>
  <c r="L1559" i="13" s="1"/>
  <c r="I1560" i="13" s="1"/>
  <c r="K1582" i="14"/>
  <c r="L1582" i="14" s="1"/>
  <c r="I1583" i="14" s="1"/>
  <c r="J1745" i="14" a="1"/>
  <c r="J1745" i="14" s="1"/>
  <c r="N1746" i="14"/>
  <c r="M1750" i="14"/>
  <c r="M1749" i="13"/>
  <c r="J1746" i="13" a="1"/>
  <c r="J1746" i="13" s="1"/>
  <c r="N1747" i="13"/>
  <c r="K1560" i="13" l="1"/>
  <c r="L1560" i="13" s="1"/>
  <c r="I1561" i="13" s="1"/>
  <c r="K1583" i="14"/>
  <c r="L1583" i="14" s="1"/>
  <c r="I1584" i="14" s="1"/>
  <c r="J1747" i="13" a="1"/>
  <c r="J1747" i="13" s="1"/>
  <c r="N1748" i="13"/>
  <c r="M1751" i="14"/>
  <c r="J1746" i="14" a="1"/>
  <c r="J1746" i="14" s="1"/>
  <c r="N1747" i="14"/>
  <c r="M1750" i="13"/>
  <c r="K1561" i="13" l="1"/>
  <c r="L1561" i="13" s="1"/>
  <c r="I1562" i="13" s="1"/>
  <c r="K1584" i="14"/>
  <c r="L1584" i="14" s="1"/>
  <c r="I1585" i="14" s="1"/>
  <c r="N1748" i="14"/>
  <c r="J1747" i="14" a="1"/>
  <c r="J1747" i="14" s="1"/>
  <c r="M1752" i="14"/>
  <c r="M1751" i="13"/>
  <c r="J1748" i="13" a="1"/>
  <c r="J1748" i="13" s="1"/>
  <c r="N1749" i="13"/>
  <c r="K1562" i="13" l="1"/>
  <c r="L1562" i="13" s="1"/>
  <c r="I1563" i="13" s="1"/>
  <c r="K1585" i="14"/>
  <c r="L1585" i="14" s="1"/>
  <c r="I1586" i="14" s="1"/>
  <c r="N1750" i="13"/>
  <c r="J1749" i="13" a="1"/>
  <c r="J1749" i="13" s="1"/>
  <c r="M1753" i="14"/>
  <c r="M1752" i="13"/>
  <c r="J1748" i="14" a="1"/>
  <c r="J1748" i="14" s="1"/>
  <c r="N1749" i="14"/>
  <c r="K1563" i="13" l="1"/>
  <c r="L1563" i="13" s="1"/>
  <c r="I1564" i="13" s="1"/>
  <c r="K1586" i="14"/>
  <c r="L1586" i="14" s="1"/>
  <c r="I1587" i="14" s="1"/>
  <c r="J1749" i="14" a="1"/>
  <c r="J1749" i="14" s="1"/>
  <c r="N1750" i="14"/>
  <c r="M1753" i="13"/>
  <c r="M1754" i="14"/>
  <c r="J1750" i="13" a="1"/>
  <c r="J1750" i="13" s="1"/>
  <c r="N1751" i="13"/>
  <c r="K1564" i="13" l="1"/>
  <c r="L1564" i="13" s="1"/>
  <c r="I1565" i="13" s="1"/>
  <c r="K1587" i="14"/>
  <c r="L1587" i="14" s="1"/>
  <c r="I1588" i="14" s="1"/>
  <c r="M1755" i="14"/>
  <c r="J1751" i="13" a="1"/>
  <c r="J1751" i="13" s="1"/>
  <c r="N1752" i="13"/>
  <c r="J1750" i="14" a="1"/>
  <c r="J1750" i="14" s="1"/>
  <c r="N1751" i="14"/>
  <c r="M1754" i="13"/>
  <c r="K1565" i="13" l="1"/>
  <c r="L1565" i="13" s="1"/>
  <c r="I1566" i="13" s="1"/>
  <c r="N1752" i="14"/>
  <c r="J1751" i="14" a="1"/>
  <c r="J1751" i="14" s="1"/>
  <c r="J1752" i="13" a="1"/>
  <c r="J1752" i="13" s="1"/>
  <c r="N1753" i="13"/>
  <c r="K1588" i="14"/>
  <c r="L1588" i="14" s="1"/>
  <c r="I1589" i="14" s="1"/>
  <c r="M1755" i="13"/>
  <c r="M1756" i="14"/>
  <c r="K1566" i="13" l="1"/>
  <c r="L1566" i="13" s="1"/>
  <c r="I1567" i="13" s="1"/>
  <c r="M1757" i="14"/>
  <c r="J1752" i="14" a="1"/>
  <c r="J1752" i="14" s="1"/>
  <c r="N1753" i="14"/>
  <c r="N1754" i="13"/>
  <c r="J1753" i="13" a="1"/>
  <c r="J1753" i="13" s="1"/>
  <c r="K1589" i="14"/>
  <c r="L1589" i="14" s="1"/>
  <c r="I1590" i="14" s="1"/>
  <c r="M1756" i="13"/>
  <c r="K1567" i="13" l="1"/>
  <c r="L1567" i="13" s="1"/>
  <c r="I1568" i="13" s="1"/>
  <c r="K1590" i="14"/>
  <c r="L1590" i="14" s="1"/>
  <c r="I1591" i="14" s="1"/>
  <c r="J1754" i="13" a="1"/>
  <c r="J1754" i="13" s="1"/>
  <c r="N1755" i="13"/>
  <c r="M1758" i="14"/>
  <c r="J1753" i="14" a="1"/>
  <c r="J1753" i="14" s="1"/>
  <c r="N1754" i="14"/>
  <c r="M1757" i="13"/>
  <c r="K1568" i="13" l="1"/>
  <c r="L1568" i="13" s="1"/>
  <c r="I1569" i="13" s="1"/>
  <c r="K1591" i="14"/>
  <c r="L1591" i="14" s="1"/>
  <c r="I1592" i="14" s="1"/>
  <c r="J1754" i="14" a="1"/>
  <c r="J1754" i="14" s="1"/>
  <c r="N1755" i="14"/>
  <c r="M1759" i="14"/>
  <c r="M1758" i="13"/>
  <c r="J1755" i="13" a="1"/>
  <c r="J1755" i="13" s="1"/>
  <c r="N1756" i="13"/>
  <c r="K1569" i="13" l="1"/>
  <c r="L1569" i="13" s="1"/>
  <c r="I1570" i="13" s="1"/>
  <c r="K1592" i="14"/>
  <c r="L1592" i="14" s="1"/>
  <c r="I1593" i="14" s="1"/>
  <c r="N1756" i="14"/>
  <c r="J1755" i="14" a="1"/>
  <c r="J1755" i="14" s="1"/>
  <c r="M1759" i="13"/>
  <c r="J1756" i="13" a="1"/>
  <c r="J1756" i="13" s="1"/>
  <c r="N1757" i="13"/>
  <c r="M1760" i="14"/>
  <c r="K1570" i="13" l="1"/>
  <c r="L1570" i="13" s="1"/>
  <c r="I1571" i="13" s="1"/>
  <c r="K1593" i="14"/>
  <c r="L1593" i="14" s="1"/>
  <c r="I1594" i="14" s="1"/>
  <c r="M1761" i="14"/>
  <c r="M1760" i="13"/>
  <c r="N1758" i="13"/>
  <c r="J1757" i="13" a="1"/>
  <c r="J1757" i="13" s="1"/>
  <c r="J1756" i="14" a="1"/>
  <c r="J1756" i="14" s="1"/>
  <c r="N1757" i="14"/>
  <c r="K1571" i="13" l="1"/>
  <c r="L1571" i="13" s="1"/>
  <c r="I1572" i="13" s="1"/>
  <c r="K1594" i="14"/>
  <c r="L1594" i="14" s="1"/>
  <c r="I1595" i="14" s="1"/>
  <c r="J1757" i="14" a="1"/>
  <c r="J1757" i="14" s="1"/>
  <c r="N1758" i="14"/>
  <c r="M1761" i="13"/>
  <c r="J1758" i="13" a="1"/>
  <c r="J1758" i="13" s="1"/>
  <c r="N1759" i="13"/>
  <c r="M1762" i="14"/>
  <c r="K1572" i="13" l="1"/>
  <c r="L1572" i="13" s="1"/>
  <c r="I1573" i="13" s="1"/>
  <c r="K1595" i="14"/>
  <c r="L1595" i="14" s="1"/>
  <c r="I1596" i="14" s="1"/>
  <c r="M1763" i="14"/>
  <c r="J1758" i="14" a="1"/>
  <c r="J1758" i="14" s="1"/>
  <c r="N1759" i="14"/>
  <c r="J1759" i="13" a="1"/>
  <c r="J1759" i="13" s="1"/>
  <c r="N1760" i="13"/>
  <c r="M1762" i="13"/>
  <c r="K1573" i="13" l="1"/>
  <c r="L1573" i="13" s="1"/>
  <c r="I1574" i="13" s="1"/>
  <c r="K1596" i="14"/>
  <c r="L1596" i="14" s="1"/>
  <c r="I1597" i="14" s="1"/>
  <c r="J1760" i="13" a="1"/>
  <c r="J1760" i="13" s="1"/>
  <c r="N1761" i="13"/>
  <c r="M1763" i="13"/>
  <c r="M1764" i="14"/>
  <c r="N1760" i="14"/>
  <c r="J1759" i="14" a="1"/>
  <c r="J1759" i="14" s="1"/>
  <c r="K1574" i="13" l="1"/>
  <c r="L1574" i="13" s="1"/>
  <c r="I1575" i="13" s="1"/>
  <c r="K1597" i="14"/>
  <c r="L1597" i="14" s="1"/>
  <c r="I1598" i="14" s="1"/>
  <c r="M1764" i="13"/>
  <c r="N1762" i="13"/>
  <c r="J1761" i="13" a="1"/>
  <c r="J1761" i="13" s="1"/>
  <c r="J1760" i="14" a="1"/>
  <c r="J1760" i="14" s="1"/>
  <c r="N1761" i="14"/>
  <c r="M1765" i="14"/>
  <c r="K1575" i="13" l="1"/>
  <c r="L1575" i="13" s="1"/>
  <c r="I1576" i="13" s="1"/>
  <c r="K1598" i="14"/>
  <c r="L1598" i="14" s="1"/>
  <c r="I1599" i="14" s="1"/>
  <c r="J1762" i="13" a="1"/>
  <c r="J1762" i="13" s="1"/>
  <c r="N1763" i="13"/>
  <c r="J1761" i="14" a="1"/>
  <c r="J1761" i="14" s="1"/>
  <c r="N1762" i="14"/>
  <c r="M1765" i="13"/>
  <c r="M1766" i="14"/>
  <c r="K1576" i="13" l="1"/>
  <c r="L1576" i="13" s="1"/>
  <c r="I1577" i="13" s="1"/>
  <c r="K1599" i="14"/>
  <c r="L1599" i="14" s="1"/>
  <c r="I1600" i="14" s="1"/>
  <c r="J1762" i="14" a="1"/>
  <c r="J1762" i="14" s="1"/>
  <c r="N1763" i="14"/>
  <c r="M1767" i="14"/>
  <c r="J1763" i="13" a="1"/>
  <c r="J1763" i="13" s="1"/>
  <c r="N1764" i="13"/>
  <c r="M1766" i="13"/>
  <c r="K1577" i="13" l="1"/>
  <c r="L1577" i="13" s="1"/>
  <c r="I1578" i="13" s="1"/>
  <c r="K1600" i="14"/>
  <c r="L1600" i="14" s="1"/>
  <c r="I1601" i="14" s="1"/>
  <c r="M1767" i="13"/>
  <c r="M1768" i="14"/>
  <c r="J1764" i="13" a="1"/>
  <c r="J1764" i="13" s="1"/>
  <c r="N1765" i="13"/>
  <c r="N1764" i="14"/>
  <c r="J1763" i="14" a="1"/>
  <c r="J1763" i="14" s="1"/>
  <c r="K1578" i="13" l="1"/>
  <c r="L1578" i="13" s="1"/>
  <c r="I1579" i="13" s="1"/>
  <c r="K1601" i="14"/>
  <c r="L1601" i="14" s="1"/>
  <c r="I1602" i="14" s="1"/>
  <c r="J1764" i="14" a="1"/>
  <c r="J1764" i="14" s="1"/>
  <c r="N1765" i="14"/>
  <c r="M1769" i="14"/>
  <c r="N1766" i="13"/>
  <c r="J1765" i="13" a="1"/>
  <c r="J1765" i="13" s="1"/>
  <c r="M1768" i="13"/>
  <c r="K1579" i="13" l="1"/>
  <c r="L1579" i="13" s="1"/>
  <c r="I1580" i="13" s="1"/>
  <c r="K1602" i="14"/>
  <c r="L1602" i="14" s="1"/>
  <c r="I1603" i="14" s="1"/>
  <c r="J1766" i="13" a="1"/>
  <c r="J1766" i="13" s="1"/>
  <c r="N1767" i="13"/>
  <c r="M1769" i="13"/>
  <c r="M1770" i="14"/>
  <c r="J1765" i="14" a="1"/>
  <c r="J1765" i="14" s="1"/>
  <c r="N1766" i="14"/>
  <c r="K1580" i="13" l="1"/>
  <c r="L1580" i="13" s="1"/>
  <c r="I1581" i="13" s="1"/>
  <c r="K1603" i="14"/>
  <c r="L1603" i="14" s="1"/>
  <c r="I1604" i="14" s="1"/>
  <c r="J1766" i="14" a="1"/>
  <c r="J1766" i="14" s="1"/>
  <c r="N1767" i="14"/>
  <c r="M1770" i="13"/>
  <c r="M1771" i="14"/>
  <c r="J1767" i="13" a="1"/>
  <c r="J1767" i="13" s="1"/>
  <c r="N1768" i="13"/>
  <c r="K1581" i="13" l="1"/>
  <c r="L1581" i="13" s="1"/>
  <c r="I1582" i="13" s="1"/>
  <c r="K1604" i="14"/>
  <c r="L1604" i="14" s="1"/>
  <c r="I1605" i="14" s="1"/>
  <c r="J1768" i="13" a="1"/>
  <c r="J1768" i="13" s="1"/>
  <c r="N1769" i="13"/>
  <c r="M1771" i="13"/>
  <c r="N1768" i="14"/>
  <c r="J1767" i="14" a="1"/>
  <c r="J1767" i="14" s="1"/>
  <c r="M1772" i="14"/>
  <c r="K1582" i="13" l="1"/>
  <c r="L1582" i="13" s="1"/>
  <c r="I1583" i="13" s="1"/>
  <c r="M1773" i="14"/>
  <c r="M1772" i="13"/>
  <c r="K1605" i="14"/>
  <c r="L1605" i="14" s="1"/>
  <c r="I1606" i="14" s="1"/>
  <c r="N1770" i="13"/>
  <c r="J1769" i="13" a="1"/>
  <c r="J1769" i="13" s="1"/>
  <c r="J1768" i="14" a="1"/>
  <c r="J1768" i="14" s="1"/>
  <c r="N1769" i="14"/>
  <c r="K1583" i="13" l="1"/>
  <c r="L1583" i="13" s="1"/>
  <c r="I1584" i="13" s="1"/>
  <c r="J1769" i="14" a="1"/>
  <c r="J1769" i="14" s="1"/>
  <c r="N1770" i="14"/>
  <c r="M1774" i="14"/>
  <c r="M1773" i="13"/>
  <c r="K1606" i="14"/>
  <c r="L1606" i="14" s="1"/>
  <c r="I1607" i="14" s="1"/>
  <c r="J1770" i="13" a="1"/>
  <c r="J1770" i="13" s="1"/>
  <c r="N1771" i="13"/>
  <c r="K1584" i="13" l="1"/>
  <c r="L1584" i="13" s="1"/>
  <c r="I1585" i="13" s="1"/>
  <c r="K1607" i="14"/>
  <c r="L1607" i="14" s="1"/>
  <c r="I1608" i="14" s="1"/>
  <c r="J1770" i="14" a="1"/>
  <c r="J1770" i="14" s="1"/>
  <c r="N1771" i="14"/>
  <c r="M1774" i="13"/>
  <c r="J1771" i="13" a="1"/>
  <c r="J1771" i="13" s="1"/>
  <c r="N1772" i="13"/>
  <c r="M1775" i="14"/>
  <c r="K1585" i="13" l="1"/>
  <c r="L1585" i="13" s="1"/>
  <c r="I1586" i="13" s="1"/>
  <c r="K1608" i="14"/>
  <c r="L1608" i="14" s="1"/>
  <c r="I1609" i="14" s="1"/>
  <c r="J1772" i="13" a="1"/>
  <c r="J1772" i="13" s="1"/>
  <c r="N1773" i="13"/>
  <c r="M1776" i="14"/>
  <c r="M1775" i="13"/>
  <c r="N1772" i="14"/>
  <c r="J1771" i="14" a="1"/>
  <c r="J1771" i="14" s="1"/>
  <c r="K1586" i="13" l="1"/>
  <c r="L1586" i="13" s="1"/>
  <c r="I1587" i="13" s="1"/>
  <c r="K1609" i="14"/>
  <c r="L1609" i="14" s="1"/>
  <c r="I1610" i="14" s="1"/>
  <c r="J1772" i="14" a="1"/>
  <c r="J1772" i="14" s="1"/>
  <c r="N1773" i="14"/>
  <c r="M1777" i="14"/>
  <c r="N1774" i="13"/>
  <c r="J1773" i="13" a="1"/>
  <c r="J1773" i="13" s="1"/>
  <c r="M1776" i="13"/>
  <c r="K1587" i="13" l="1"/>
  <c r="L1587" i="13" s="1"/>
  <c r="I1588" i="13" s="1"/>
  <c r="K1610" i="14"/>
  <c r="L1610" i="14" s="1"/>
  <c r="I1611" i="14" s="1"/>
  <c r="M1777" i="13"/>
  <c r="M1778" i="14"/>
  <c r="J1773" i="14" a="1"/>
  <c r="J1773" i="14" s="1"/>
  <c r="N1774" i="14"/>
  <c r="J1774" i="13" a="1"/>
  <c r="J1774" i="13" s="1"/>
  <c r="N1775" i="13"/>
  <c r="K1588" i="13" l="1"/>
  <c r="L1588" i="13" s="1"/>
  <c r="I1589" i="13" s="1"/>
  <c r="K1611" i="14"/>
  <c r="L1611" i="14" s="1"/>
  <c r="I1612" i="14" s="1"/>
  <c r="J1775" i="13" a="1"/>
  <c r="J1775" i="13" s="1"/>
  <c r="N1776" i="13"/>
  <c r="M1778" i="13"/>
  <c r="J1774" i="14" a="1"/>
  <c r="J1774" i="14" s="1"/>
  <c r="N1775" i="14"/>
  <c r="M1779" i="14"/>
  <c r="K1589" i="13" l="1"/>
  <c r="L1589" i="13" s="1"/>
  <c r="I1590" i="13" s="1"/>
  <c r="K1612" i="14"/>
  <c r="L1612" i="14" s="1"/>
  <c r="I1613" i="14" s="1"/>
  <c r="N1776" i="14"/>
  <c r="J1775" i="14" a="1"/>
  <c r="J1775" i="14" s="1"/>
  <c r="M1780" i="14"/>
  <c r="M1779" i="13"/>
  <c r="J1776" i="13" a="1"/>
  <c r="J1776" i="13" s="1"/>
  <c r="N1777" i="13"/>
  <c r="K1590" i="13" l="1"/>
  <c r="L1590" i="13" s="1"/>
  <c r="I1591" i="13" s="1"/>
  <c r="K1613" i="14"/>
  <c r="L1613" i="14" s="1"/>
  <c r="I1614" i="14" s="1"/>
  <c r="N1778" i="13"/>
  <c r="J1777" i="13" a="1"/>
  <c r="J1777" i="13" s="1"/>
  <c r="M1781" i="14"/>
  <c r="M1780" i="13"/>
  <c r="J1776" i="14" a="1"/>
  <c r="J1776" i="14" s="1"/>
  <c r="N1777" i="14"/>
  <c r="K1591" i="13" l="1"/>
  <c r="L1591" i="13" s="1"/>
  <c r="I1592" i="13" s="1"/>
  <c r="J1777" i="14" a="1"/>
  <c r="J1777" i="14" s="1"/>
  <c r="N1778" i="14"/>
  <c r="K1614" i="14"/>
  <c r="L1614" i="14" s="1"/>
  <c r="I1615" i="14" s="1"/>
  <c r="M1782" i="14"/>
  <c r="M1781" i="13"/>
  <c r="J1778" i="13" a="1"/>
  <c r="J1778" i="13" s="1"/>
  <c r="N1779" i="13"/>
  <c r="K1592" i="13" l="1"/>
  <c r="L1592" i="13" s="1"/>
  <c r="I1593" i="13" s="1"/>
  <c r="J1779" i="13" a="1"/>
  <c r="J1779" i="13" s="1"/>
  <c r="N1780" i="13"/>
  <c r="J1778" i="14" a="1"/>
  <c r="J1778" i="14" s="1"/>
  <c r="N1779" i="14"/>
  <c r="M1783" i="14"/>
  <c r="M1782" i="13"/>
  <c r="K1615" i="14"/>
  <c r="L1615" i="14" s="1"/>
  <c r="I1616" i="14" s="1"/>
  <c r="K1593" i="13" l="1"/>
  <c r="L1593" i="13" s="1"/>
  <c r="I1594" i="13" s="1"/>
  <c r="J1780" i="13" a="1"/>
  <c r="J1780" i="13" s="1"/>
  <c r="N1781" i="13"/>
  <c r="M1784" i="14"/>
  <c r="N1780" i="14"/>
  <c r="J1779" i="14" a="1"/>
  <c r="J1779" i="14" s="1"/>
  <c r="K1616" i="14"/>
  <c r="L1616" i="14" s="1"/>
  <c r="I1617" i="14" s="1"/>
  <c r="M1783" i="13"/>
  <c r="K1594" i="13" l="1"/>
  <c r="L1594" i="13" s="1"/>
  <c r="I1595" i="13" s="1"/>
  <c r="K1617" i="14"/>
  <c r="L1617" i="14" s="1"/>
  <c r="I1618" i="14" s="1"/>
  <c r="N1782" i="13"/>
  <c r="J1781" i="13" a="1"/>
  <c r="J1781" i="13" s="1"/>
  <c r="M1784" i="13"/>
  <c r="J1780" i="14" a="1"/>
  <c r="J1780" i="14" s="1"/>
  <c r="N1781" i="14"/>
  <c r="M1785" i="14"/>
  <c r="K1595" i="13" l="1"/>
  <c r="L1595" i="13" s="1"/>
  <c r="I1596" i="13" s="1"/>
  <c r="K1618" i="14"/>
  <c r="L1618" i="14" s="1"/>
  <c r="I1619" i="14" s="1"/>
  <c r="J1781" i="14" a="1"/>
  <c r="J1781" i="14" s="1"/>
  <c r="N1782" i="14"/>
  <c r="M1785" i="13"/>
  <c r="M1786" i="14"/>
  <c r="J1782" i="13" a="1"/>
  <c r="J1782" i="13" s="1"/>
  <c r="N1783" i="13"/>
  <c r="K1596" i="13" l="1"/>
  <c r="L1596" i="13" s="1"/>
  <c r="I1597" i="13" s="1"/>
  <c r="K1619" i="14"/>
  <c r="L1619" i="14" s="1"/>
  <c r="I1620" i="14" s="1"/>
  <c r="J1783" i="13" a="1"/>
  <c r="J1783" i="13" s="1"/>
  <c r="N1784" i="13"/>
  <c r="M1786" i="13"/>
  <c r="J1782" i="14" a="1"/>
  <c r="J1782" i="14" s="1"/>
  <c r="N1783" i="14"/>
  <c r="M1787" i="14"/>
  <c r="K1597" i="13" l="1"/>
  <c r="L1597" i="13" s="1"/>
  <c r="I1598" i="13" s="1"/>
  <c r="N1784" i="14"/>
  <c r="J1783" i="14" a="1"/>
  <c r="J1783" i="14" s="1"/>
  <c r="M1788" i="14"/>
  <c r="M1787" i="13"/>
  <c r="J1784" i="13" a="1"/>
  <c r="J1784" i="13" s="1"/>
  <c r="N1785" i="13"/>
  <c r="K1620" i="14"/>
  <c r="L1620" i="14" s="1"/>
  <c r="I1621" i="14" s="1"/>
  <c r="K1598" i="13" l="1"/>
  <c r="L1598" i="13" s="1"/>
  <c r="I1599" i="13" s="1"/>
  <c r="K1621" i="14"/>
  <c r="L1621" i="14" s="1"/>
  <c r="I1622" i="14" s="1"/>
  <c r="N1786" i="13"/>
  <c r="J1785" i="13" a="1"/>
  <c r="J1785" i="13" s="1"/>
  <c r="M1788" i="13"/>
  <c r="M1789" i="14"/>
  <c r="J1784" i="14" a="1"/>
  <c r="J1784" i="14" s="1"/>
  <c r="N1785" i="14"/>
  <c r="K1599" i="13" l="1"/>
  <c r="L1599" i="13" s="1"/>
  <c r="I1600" i="13" s="1"/>
  <c r="K1622" i="14"/>
  <c r="L1622" i="14" s="1"/>
  <c r="I1623" i="14" s="1"/>
  <c r="J1785" i="14" a="1"/>
  <c r="J1785" i="14" s="1"/>
  <c r="N1786" i="14"/>
  <c r="M1789" i="13"/>
  <c r="M1790" i="14"/>
  <c r="J1786" i="13" a="1"/>
  <c r="J1786" i="13" s="1"/>
  <c r="N1787" i="13"/>
  <c r="K1600" i="13" l="1"/>
  <c r="L1600" i="13" s="1"/>
  <c r="I1601" i="13" s="1"/>
  <c r="K1623" i="14"/>
  <c r="L1623" i="14" s="1"/>
  <c r="I1624" i="14" s="1"/>
  <c r="J1787" i="13" a="1"/>
  <c r="J1787" i="13" s="1"/>
  <c r="N1788" i="13"/>
  <c r="M1790" i="13"/>
  <c r="J1786" i="14" a="1"/>
  <c r="J1786" i="14" s="1"/>
  <c r="N1787" i="14"/>
  <c r="M1791" i="14"/>
  <c r="K1601" i="13" l="1"/>
  <c r="L1601" i="13" s="1"/>
  <c r="I1602" i="13" s="1"/>
  <c r="K1624" i="14"/>
  <c r="L1624" i="14" s="1"/>
  <c r="I1625" i="14" s="1"/>
  <c r="M1792" i="14"/>
  <c r="M1791" i="13"/>
  <c r="J1788" i="13" a="1"/>
  <c r="J1788" i="13" s="1"/>
  <c r="N1789" i="13"/>
  <c r="N1788" i="14"/>
  <c r="J1787" i="14" a="1"/>
  <c r="J1787" i="14" s="1"/>
  <c r="K1602" i="13" l="1"/>
  <c r="L1602" i="13" s="1"/>
  <c r="I1603" i="13" s="1"/>
  <c r="K1625" i="14"/>
  <c r="L1625" i="14" s="1"/>
  <c r="I1626" i="14" s="1"/>
  <c r="J1788" i="14" a="1"/>
  <c r="J1788" i="14" s="1"/>
  <c r="N1789" i="14"/>
  <c r="M1792" i="13"/>
  <c r="N1790" i="13"/>
  <c r="J1789" i="13" a="1"/>
  <c r="J1789" i="13" s="1"/>
  <c r="M1793" i="14"/>
  <c r="K1603" i="13" l="1"/>
  <c r="L1603" i="13" s="1"/>
  <c r="I1604" i="13" s="1"/>
  <c r="K1626" i="14"/>
  <c r="L1626" i="14" s="1"/>
  <c r="I1627" i="14" s="1"/>
  <c r="M1793" i="13"/>
  <c r="J1790" i="13" a="1"/>
  <c r="J1790" i="13" s="1"/>
  <c r="N1791" i="13"/>
  <c r="M1794" i="14"/>
  <c r="J1789" i="14" a="1"/>
  <c r="J1789" i="14" s="1"/>
  <c r="N1790" i="14"/>
  <c r="K1604" i="13" l="1"/>
  <c r="L1604" i="13" s="1"/>
  <c r="I1605" i="13" s="1"/>
  <c r="K1627" i="14"/>
  <c r="L1627" i="14" s="1"/>
  <c r="I1628" i="14" s="1"/>
  <c r="J1790" i="14" a="1"/>
  <c r="J1790" i="14" s="1"/>
  <c r="N1791" i="14"/>
  <c r="J1791" i="13" a="1"/>
  <c r="J1791" i="13" s="1"/>
  <c r="N1792" i="13"/>
  <c r="M1795" i="14"/>
  <c r="M1794" i="13"/>
  <c r="K1605" i="13" l="1"/>
  <c r="L1605" i="13" s="1"/>
  <c r="I1606" i="13" s="1"/>
  <c r="K1628" i="14"/>
  <c r="L1628" i="14" s="1"/>
  <c r="I1629" i="14" s="1"/>
  <c r="N1792" i="14"/>
  <c r="J1791" i="14" a="1"/>
  <c r="J1791" i="14" s="1"/>
  <c r="M1796" i="14"/>
  <c r="J1792" i="13" a="1"/>
  <c r="J1792" i="13" s="1"/>
  <c r="N1793" i="13"/>
  <c r="M1795" i="13"/>
  <c r="K1606" i="13" l="1"/>
  <c r="L1606" i="13" s="1"/>
  <c r="I1607" i="13" s="1"/>
  <c r="K1629" i="14"/>
  <c r="L1629" i="14" s="1"/>
  <c r="I1630" i="14" s="1"/>
  <c r="N1794" i="13"/>
  <c r="J1793" i="13" a="1"/>
  <c r="J1793" i="13" s="1"/>
  <c r="M1796" i="13"/>
  <c r="M1797" i="14"/>
  <c r="J1792" i="14" a="1"/>
  <c r="J1792" i="14" s="1"/>
  <c r="N1793" i="14"/>
  <c r="K1607" i="13" l="1"/>
  <c r="L1607" i="13" s="1"/>
  <c r="I1608" i="13" s="1"/>
  <c r="K1630" i="14"/>
  <c r="L1630" i="14" s="1"/>
  <c r="I1631" i="14" s="1"/>
  <c r="J1793" i="14" a="1"/>
  <c r="J1793" i="14" s="1"/>
  <c r="N1794" i="14"/>
  <c r="M1797" i="13"/>
  <c r="M1798" i="14"/>
  <c r="J1794" i="13" a="1"/>
  <c r="J1794" i="13" s="1"/>
  <c r="N1795" i="13"/>
  <c r="K1608" i="13" l="1"/>
  <c r="L1608" i="13" s="1"/>
  <c r="I1609" i="13" s="1"/>
  <c r="K1631" i="14"/>
  <c r="L1631" i="14" s="1"/>
  <c r="I1632" i="14" s="1"/>
  <c r="M1799" i="14"/>
  <c r="J1795" i="13" a="1"/>
  <c r="J1795" i="13" s="1"/>
  <c r="N1796" i="13"/>
  <c r="M1798" i="13"/>
  <c r="J1794" i="14" a="1"/>
  <c r="J1794" i="14" s="1"/>
  <c r="N1795" i="14"/>
  <c r="K1609" i="13" l="1"/>
  <c r="L1609" i="13" s="1"/>
  <c r="I1610" i="13" s="1"/>
  <c r="K1632" i="14"/>
  <c r="L1632" i="14" s="1"/>
  <c r="I1633" i="14" s="1"/>
  <c r="M1799" i="13"/>
  <c r="N1796" i="14"/>
  <c r="J1795" i="14" a="1"/>
  <c r="J1795" i="14" s="1"/>
  <c r="M1800" i="14"/>
  <c r="J1796" i="13" a="1"/>
  <c r="J1796" i="13" s="1"/>
  <c r="N1797" i="13"/>
  <c r="K1610" i="13" l="1"/>
  <c r="L1610" i="13" s="1"/>
  <c r="I1611" i="13" s="1"/>
  <c r="K1633" i="14"/>
  <c r="L1633" i="14" s="1"/>
  <c r="I1634" i="14" s="1"/>
  <c r="N1798" i="13"/>
  <c r="J1797" i="13" a="1"/>
  <c r="J1797" i="13" s="1"/>
  <c r="M1800" i="13"/>
  <c r="M1801" i="14"/>
  <c r="J1796" i="14" a="1"/>
  <c r="J1796" i="14" s="1"/>
  <c r="N1797" i="14"/>
  <c r="K1611" i="13" l="1"/>
  <c r="L1611" i="13" s="1"/>
  <c r="I1612" i="13" s="1"/>
  <c r="K1634" i="14"/>
  <c r="L1634" i="14" s="1"/>
  <c r="I1635" i="14" s="1"/>
  <c r="J1797" i="14" a="1"/>
  <c r="J1797" i="14" s="1"/>
  <c r="N1798" i="14"/>
  <c r="M1801" i="13"/>
  <c r="M1802" i="14"/>
  <c r="J1798" i="13" a="1"/>
  <c r="J1798" i="13" s="1"/>
  <c r="N1799" i="13"/>
  <c r="K1612" i="13" l="1"/>
  <c r="L1612" i="13" s="1"/>
  <c r="I1613" i="13" s="1"/>
  <c r="K1635" i="14"/>
  <c r="L1635" i="14" s="1"/>
  <c r="I1636" i="14" s="1"/>
  <c r="J1799" i="13" a="1"/>
  <c r="J1799" i="13" s="1"/>
  <c r="N1800" i="13"/>
  <c r="M1802" i="13"/>
  <c r="J1798" i="14" a="1"/>
  <c r="J1798" i="14" s="1"/>
  <c r="N1799" i="14"/>
  <c r="M1803" i="14"/>
  <c r="K1613" i="13" l="1"/>
  <c r="L1613" i="13" s="1"/>
  <c r="I1614" i="13" s="1"/>
  <c r="M1803" i="13"/>
  <c r="N1800" i="14"/>
  <c r="J1799" i="14" a="1"/>
  <c r="J1799" i="14" s="1"/>
  <c r="M1804" i="14"/>
  <c r="K1636" i="14"/>
  <c r="L1636" i="14" s="1"/>
  <c r="I1637" i="14" s="1"/>
  <c r="J1800" i="13" a="1"/>
  <c r="J1800" i="13" s="1"/>
  <c r="N1801" i="13"/>
  <c r="K1614" i="13" l="1"/>
  <c r="L1614" i="13" s="1"/>
  <c r="I1615" i="13" s="1"/>
  <c r="K1637" i="14"/>
  <c r="L1637" i="14" s="1"/>
  <c r="I1638" i="14" s="1"/>
  <c r="N1802" i="13"/>
  <c r="J1801" i="13" a="1"/>
  <c r="J1801" i="13" s="1"/>
  <c r="M1805" i="14"/>
  <c r="M1804" i="13"/>
  <c r="J1800" i="14" a="1"/>
  <c r="J1800" i="14" s="1"/>
  <c r="N1801" i="14"/>
  <c r="K1615" i="13" l="1"/>
  <c r="L1615" i="13" s="1"/>
  <c r="I1616" i="13" s="1"/>
  <c r="K1638" i="14"/>
  <c r="L1638" i="14" s="1"/>
  <c r="I1639" i="14" s="1"/>
  <c r="J1801" i="14" a="1"/>
  <c r="J1801" i="14" s="1"/>
  <c r="N1802" i="14"/>
  <c r="M1806" i="14"/>
  <c r="M1805" i="13"/>
  <c r="J1802" i="13" a="1"/>
  <c r="J1802" i="13" s="1"/>
  <c r="N1803" i="13"/>
  <c r="K1616" i="13" l="1"/>
  <c r="L1616" i="13" s="1"/>
  <c r="I1617" i="13" s="1"/>
  <c r="K1639" i="14"/>
  <c r="L1639" i="14" s="1"/>
  <c r="I1640" i="14" s="1"/>
  <c r="J1803" i="13" a="1"/>
  <c r="J1803" i="13" s="1"/>
  <c r="N1804" i="13"/>
  <c r="M1807" i="14"/>
  <c r="J1802" i="14" a="1"/>
  <c r="J1802" i="14" s="1"/>
  <c r="N1803" i="14"/>
  <c r="M1806" i="13"/>
  <c r="K1617" i="13" l="1"/>
  <c r="L1617" i="13" s="1"/>
  <c r="I1618" i="13" s="1"/>
  <c r="K1640" i="14"/>
  <c r="L1640" i="14" s="1"/>
  <c r="I1641" i="14" s="1"/>
  <c r="N1804" i="14"/>
  <c r="J1803" i="14" a="1"/>
  <c r="J1803" i="14" s="1"/>
  <c r="M1807" i="13"/>
  <c r="M1808" i="14"/>
  <c r="J1804" i="13" a="1"/>
  <c r="J1804" i="13" s="1"/>
  <c r="N1805" i="13"/>
  <c r="K1618" i="13" l="1"/>
  <c r="L1618" i="13" s="1"/>
  <c r="I1619" i="13" s="1"/>
  <c r="K1641" i="14"/>
  <c r="L1641" i="14" s="1"/>
  <c r="I1642" i="14" s="1"/>
  <c r="M1808" i="13"/>
  <c r="N1806" i="13"/>
  <c r="J1805" i="13" a="1"/>
  <c r="J1805" i="13" s="1"/>
  <c r="M1809" i="14"/>
  <c r="J1804" i="14" a="1"/>
  <c r="J1804" i="14" s="1"/>
  <c r="N1805" i="14"/>
  <c r="K1619" i="13" l="1"/>
  <c r="L1619" i="13" s="1"/>
  <c r="I1620" i="13" s="1"/>
  <c r="K1642" i="14"/>
  <c r="L1642" i="14" s="1"/>
  <c r="I1643" i="14" s="1"/>
  <c r="J1806" i="13" a="1"/>
  <c r="J1806" i="13" s="1"/>
  <c r="N1807" i="13"/>
  <c r="M1809" i="13"/>
  <c r="J1805" i="14" a="1"/>
  <c r="J1805" i="14" s="1"/>
  <c r="N1806" i="14"/>
  <c r="M1810" i="14"/>
  <c r="K1620" i="13" l="1"/>
  <c r="L1620" i="13" s="1"/>
  <c r="I1621" i="13" s="1"/>
  <c r="K1643" i="14"/>
  <c r="L1643" i="14" s="1"/>
  <c r="I1644" i="14" s="1"/>
  <c r="M1811" i="14"/>
  <c r="M1810" i="13"/>
  <c r="J1806" i="14" a="1"/>
  <c r="J1806" i="14" s="1"/>
  <c r="N1807" i="14"/>
  <c r="J1807" i="13" a="1"/>
  <c r="J1807" i="13" s="1"/>
  <c r="N1808" i="13"/>
  <c r="K1621" i="13" l="1"/>
  <c r="L1621" i="13" s="1"/>
  <c r="I1622" i="13" s="1"/>
  <c r="K1644" i="14"/>
  <c r="L1644" i="14" s="1"/>
  <c r="I1645" i="14" s="1"/>
  <c r="J1808" i="13" a="1"/>
  <c r="J1808" i="13" s="1"/>
  <c r="N1809" i="13"/>
  <c r="M1811" i="13"/>
  <c r="N1808" i="14"/>
  <c r="J1807" i="14" a="1"/>
  <c r="J1807" i="14" s="1"/>
  <c r="M1812" i="14"/>
  <c r="K1622" i="13" l="1"/>
  <c r="L1622" i="13" s="1"/>
  <c r="I1623" i="13" s="1"/>
  <c r="K1645" i="14"/>
  <c r="L1645" i="14" s="1"/>
  <c r="I1646" i="14" s="1"/>
  <c r="J1808" i="14" a="1"/>
  <c r="J1808" i="14" s="1"/>
  <c r="N1809" i="14"/>
  <c r="M1813" i="14"/>
  <c r="M1812" i="13"/>
  <c r="N1810" i="13"/>
  <c r="J1809" i="13" a="1"/>
  <c r="J1809" i="13" s="1"/>
  <c r="K1623" i="13" l="1"/>
  <c r="L1623" i="13" s="1"/>
  <c r="I1624" i="13" s="1"/>
  <c r="K1646" i="14"/>
  <c r="L1646" i="14" s="1"/>
  <c r="I1647" i="14" s="1"/>
  <c r="J1810" i="13" a="1"/>
  <c r="J1810" i="13" s="1"/>
  <c r="N1811" i="13"/>
  <c r="M1814" i="14"/>
  <c r="M1813" i="13"/>
  <c r="J1809" i="14" a="1"/>
  <c r="J1809" i="14" s="1"/>
  <c r="N1810" i="14"/>
  <c r="K1624" i="13" l="1"/>
  <c r="L1624" i="13" s="1"/>
  <c r="I1625" i="13" s="1"/>
  <c r="K1647" i="14"/>
  <c r="L1647" i="14" s="1"/>
  <c r="I1648" i="14" s="1"/>
  <c r="J1810" i="14" a="1"/>
  <c r="J1810" i="14" s="1"/>
  <c r="N1811" i="14"/>
  <c r="M1815" i="14"/>
  <c r="J1811" i="13" a="1"/>
  <c r="J1811" i="13" s="1"/>
  <c r="N1812" i="13"/>
  <c r="M1814" i="13"/>
  <c r="K1625" i="13" l="1"/>
  <c r="L1625" i="13" s="1"/>
  <c r="I1626" i="13" s="1"/>
  <c r="K1648" i="14"/>
  <c r="L1648" i="14" s="1"/>
  <c r="I1649" i="14" s="1"/>
  <c r="J1812" i="13" a="1"/>
  <c r="J1812" i="13" s="1"/>
  <c r="N1813" i="13"/>
  <c r="M1815" i="13"/>
  <c r="M1816" i="14"/>
  <c r="N1812" i="14"/>
  <c r="J1811" i="14" a="1"/>
  <c r="J1811" i="14" s="1"/>
  <c r="K1626" i="13" l="1"/>
  <c r="L1626" i="13" s="1"/>
  <c r="I1627" i="13" s="1"/>
  <c r="K1649" i="14"/>
  <c r="L1649" i="14" s="1"/>
  <c r="I1650" i="14" s="1"/>
  <c r="J1812" i="14" a="1"/>
  <c r="J1812" i="14" s="1"/>
  <c r="N1813" i="14"/>
  <c r="M1816" i="13"/>
  <c r="N1814" i="13"/>
  <c r="J1813" i="13" a="1"/>
  <c r="J1813" i="13" s="1"/>
  <c r="M1817" i="14"/>
  <c r="K1627" i="13" l="1"/>
  <c r="L1627" i="13" s="1"/>
  <c r="I1628" i="13" s="1"/>
  <c r="K1650" i="14"/>
  <c r="L1650" i="14" s="1"/>
  <c r="I1651" i="14" s="1"/>
  <c r="M1817" i="13"/>
  <c r="M1818" i="14"/>
  <c r="J1813" i="14" a="1"/>
  <c r="J1813" i="14" s="1"/>
  <c r="N1814" i="14"/>
  <c r="J1814" i="13" a="1"/>
  <c r="J1814" i="13" s="1"/>
  <c r="N1815" i="13"/>
  <c r="K1628" i="13" l="1"/>
  <c r="L1628" i="13" s="1"/>
  <c r="I1629" i="13" s="1"/>
  <c r="K1651" i="14"/>
  <c r="L1651" i="14" s="1"/>
  <c r="I1652" i="14" s="1"/>
  <c r="J1815" i="13" a="1"/>
  <c r="J1815" i="13" s="1"/>
  <c r="N1816" i="13"/>
  <c r="M1819" i="14"/>
  <c r="J1814" i="14" a="1"/>
  <c r="J1814" i="14" s="1"/>
  <c r="N1815" i="14"/>
  <c r="M1818" i="13"/>
  <c r="K1629" i="13" l="1"/>
  <c r="L1629" i="13" s="1"/>
  <c r="I1630" i="13" s="1"/>
  <c r="K1652" i="14"/>
  <c r="L1652" i="14" s="1"/>
  <c r="I1653" i="14" s="1"/>
  <c r="J1816" i="13" a="1"/>
  <c r="J1816" i="13" s="1"/>
  <c r="N1817" i="13"/>
  <c r="N1816" i="14"/>
  <c r="J1815" i="14" a="1"/>
  <c r="J1815" i="14" s="1"/>
  <c r="M1819" i="13"/>
  <c r="M1820" i="14"/>
  <c r="K1630" i="13" l="1"/>
  <c r="L1630" i="13" s="1"/>
  <c r="I1631" i="13" s="1"/>
  <c r="K1653" i="14"/>
  <c r="L1653" i="14" s="1"/>
  <c r="I1654" i="14" s="1"/>
  <c r="M1821" i="14"/>
  <c r="J1816" i="14" a="1"/>
  <c r="J1816" i="14" s="1"/>
  <c r="N1817" i="14"/>
  <c r="N1818" i="13"/>
  <c r="J1817" i="13" a="1"/>
  <c r="J1817" i="13" s="1"/>
  <c r="M1820" i="13"/>
  <c r="K1631" i="13" l="1"/>
  <c r="L1631" i="13" s="1"/>
  <c r="I1632" i="13" s="1"/>
  <c r="K1654" i="14"/>
  <c r="L1654" i="14" s="1"/>
  <c r="I1655" i="14" s="1"/>
  <c r="M1821" i="13"/>
  <c r="J1817" i="14" a="1"/>
  <c r="J1817" i="14" s="1"/>
  <c r="N1818" i="14"/>
  <c r="J1818" i="13" a="1"/>
  <c r="J1818" i="13" s="1"/>
  <c r="N1819" i="13"/>
  <c r="M1822" i="14"/>
  <c r="K1632" i="13" l="1"/>
  <c r="L1632" i="13" s="1"/>
  <c r="I1633" i="13" s="1"/>
  <c r="K1655" i="14"/>
  <c r="L1655" i="14" s="1"/>
  <c r="I1656" i="14" s="1"/>
  <c r="J1819" i="13" a="1"/>
  <c r="J1819" i="13" s="1"/>
  <c r="N1820" i="13"/>
  <c r="M1823" i="14"/>
  <c r="M1822" i="13"/>
  <c r="J1818" i="14" a="1"/>
  <c r="J1818" i="14" s="1"/>
  <c r="N1819" i="14"/>
  <c r="K1633" i="13" l="1"/>
  <c r="L1633" i="13" s="1"/>
  <c r="I1634" i="13" s="1"/>
  <c r="K1656" i="14"/>
  <c r="L1656" i="14" s="1"/>
  <c r="I1657" i="14" s="1"/>
  <c r="N1820" i="14"/>
  <c r="J1819" i="14" a="1"/>
  <c r="J1819" i="14" s="1"/>
  <c r="M1824" i="14"/>
  <c r="J1820" i="13" a="1"/>
  <c r="J1820" i="13" s="1"/>
  <c r="N1821" i="13"/>
  <c r="M1823" i="13"/>
  <c r="K1634" i="13" l="1"/>
  <c r="L1634" i="13" s="1"/>
  <c r="I1635" i="13" s="1"/>
  <c r="K1657" i="14"/>
  <c r="L1657" i="14" s="1"/>
  <c r="I1658" i="14" s="1"/>
  <c r="M1824" i="13"/>
  <c r="M1825" i="14"/>
  <c r="N1822" i="13"/>
  <c r="J1821" i="13" a="1"/>
  <c r="J1821" i="13" s="1"/>
  <c r="J1820" i="14" a="1"/>
  <c r="J1820" i="14" s="1"/>
  <c r="N1821" i="14"/>
  <c r="K1635" i="13" l="1"/>
  <c r="L1635" i="13" s="1"/>
  <c r="I1636" i="13" s="1"/>
  <c r="K1658" i="14"/>
  <c r="L1658" i="14" s="1"/>
  <c r="I1659" i="14" s="1"/>
  <c r="J1821" i="14" a="1"/>
  <c r="J1821" i="14" s="1"/>
  <c r="N1822" i="14"/>
  <c r="M1826" i="14"/>
  <c r="M1825" i="13"/>
  <c r="J1822" i="13" a="1"/>
  <c r="J1822" i="13" s="1"/>
  <c r="N1823" i="13"/>
  <c r="K1636" i="13" l="1"/>
  <c r="L1636" i="13" s="1"/>
  <c r="I1637" i="13" s="1"/>
  <c r="K1659" i="14"/>
  <c r="L1659" i="14" s="1"/>
  <c r="I1660" i="14" s="1"/>
  <c r="J1823" i="13" a="1"/>
  <c r="J1823" i="13" s="1"/>
  <c r="N1824" i="13"/>
  <c r="M1827" i="14"/>
  <c r="J1822" i="14" a="1"/>
  <c r="J1822" i="14" s="1"/>
  <c r="N1823" i="14"/>
  <c r="M1826" i="13"/>
  <c r="K1637" i="13" l="1"/>
  <c r="L1637" i="13" s="1"/>
  <c r="I1638" i="13" s="1"/>
  <c r="K1660" i="14"/>
  <c r="L1660" i="14" s="1"/>
  <c r="I1661" i="14" s="1"/>
  <c r="M1827" i="13"/>
  <c r="M1828" i="14"/>
  <c r="N1824" i="14"/>
  <c r="J1823" i="14" a="1"/>
  <c r="J1823" i="14" s="1"/>
  <c r="J1824" i="13" a="1"/>
  <c r="J1824" i="13" s="1"/>
  <c r="N1825" i="13"/>
  <c r="K1638" i="13" l="1"/>
  <c r="L1638" i="13" s="1"/>
  <c r="I1639" i="13" s="1"/>
  <c r="K1661" i="14"/>
  <c r="L1661" i="14" s="1"/>
  <c r="I1662" i="14" s="1"/>
  <c r="M1829" i="14"/>
  <c r="N1826" i="13"/>
  <c r="J1825" i="13" a="1"/>
  <c r="J1825" i="13" s="1"/>
  <c r="J1824" i="14" a="1"/>
  <c r="J1824" i="14" s="1"/>
  <c r="N1825" i="14"/>
  <c r="M1828" i="13"/>
  <c r="K1639" i="13" l="1"/>
  <c r="L1639" i="13" s="1"/>
  <c r="I1640" i="13" s="1"/>
  <c r="K1662" i="14"/>
  <c r="L1662" i="14" s="1"/>
  <c r="I1663" i="14" s="1"/>
  <c r="J1826" i="13" a="1"/>
  <c r="J1826" i="13" s="1"/>
  <c r="N1827" i="13"/>
  <c r="M1829" i="13"/>
  <c r="J1825" i="14" a="1"/>
  <c r="J1825" i="14" s="1"/>
  <c r="N1826" i="14"/>
  <c r="M1830" i="14"/>
  <c r="K1640" i="13" l="1"/>
  <c r="L1640" i="13" s="1"/>
  <c r="I1641" i="13" s="1"/>
  <c r="K1663" i="14"/>
  <c r="L1663" i="14" s="1"/>
  <c r="I1664" i="14" s="1"/>
  <c r="J1826" i="14" a="1"/>
  <c r="J1826" i="14" s="1"/>
  <c r="N1827" i="14"/>
  <c r="M1831" i="14"/>
  <c r="M1830" i="13"/>
  <c r="J1827" i="13" a="1"/>
  <c r="J1827" i="13" s="1"/>
  <c r="N1828" i="13"/>
  <c r="K1641" i="13" l="1"/>
  <c r="L1641" i="13" s="1"/>
  <c r="I1642" i="13" s="1"/>
  <c r="K1664" i="14"/>
  <c r="L1664" i="14" s="1"/>
  <c r="I1665" i="14" s="1"/>
  <c r="M1832" i="14"/>
  <c r="N1828" i="14"/>
  <c r="J1827" i="14" a="1"/>
  <c r="J1827" i="14" s="1"/>
  <c r="J1828" i="13" a="1"/>
  <c r="J1828" i="13" s="1"/>
  <c r="N1829" i="13"/>
  <c r="M1831" i="13"/>
  <c r="K1642" i="13" l="1"/>
  <c r="L1642" i="13" s="1"/>
  <c r="I1643" i="13" s="1"/>
  <c r="K1665" i="14"/>
  <c r="L1665" i="14" s="1"/>
  <c r="I1666" i="14" s="1"/>
  <c r="J1828" i="14" a="1"/>
  <c r="J1828" i="14" s="1"/>
  <c r="N1829" i="14"/>
  <c r="N1830" i="13"/>
  <c r="J1829" i="13" a="1"/>
  <c r="J1829" i="13" s="1"/>
  <c r="M1832" i="13"/>
  <c r="M1833" i="14"/>
  <c r="K1643" i="13" l="1"/>
  <c r="L1643" i="13" s="1"/>
  <c r="I1644" i="13" s="1"/>
  <c r="K1666" i="14"/>
  <c r="L1666" i="14" s="1"/>
  <c r="I1667" i="14" s="1"/>
  <c r="M1834" i="14"/>
  <c r="J1830" i="13" a="1"/>
  <c r="J1830" i="13" s="1"/>
  <c r="N1831" i="13"/>
  <c r="J1829" i="14" a="1"/>
  <c r="J1829" i="14" s="1"/>
  <c r="N1830" i="14"/>
  <c r="M1833" i="13"/>
  <c r="K1644" i="13" l="1"/>
  <c r="L1644" i="13" s="1"/>
  <c r="I1645" i="13" s="1"/>
  <c r="K1667" i="14"/>
  <c r="L1667" i="14" s="1"/>
  <c r="I1668" i="14" s="1"/>
  <c r="J1831" i="13" a="1"/>
  <c r="J1831" i="13" s="1"/>
  <c r="N1832" i="13"/>
  <c r="J1830" i="14" a="1"/>
  <c r="J1830" i="14" s="1"/>
  <c r="N1831" i="14"/>
  <c r="M1835" i="14"/>
  <c r="M1834" i="13"/>
  <c r="K1645" i="13" l="1"/>
  <c r="L1645" i="13" s="1"/>
  <c r="I1646" i="13" s="1"/>
  <c r="K1668" i="14"/>
  <c r="L1668" i="14" s="1"/>
  <c r="I1669" i="14" s="1"/>
  <c r="N1832" i="14"/>
  <c r="J1831" i="14" a="1"/>
  <c r="J1831" i="14" s="1"/>
  <c r="M1835" i="13"/>
  <c r="J1832" i="13" a="1"/>
  <c r="J1832" i="13" s="1"/>
  <c r="N1833" i="13"/>
  <c r="M1836" i="14"/>
  <c r="K1646" i="13" l="1"/>
  <c r="L1646" i="13" s="1"/>
  <c r="I1647" i="13" s="1"/>
  <c r="K1669" i="14"/>
  <c r="L1669" i="14" s="1"/>
  <c r="I1670" i="14" s="1"/>
  <c r="N1834" i="13"/>
  <c r="J1833" i="13" a="1"/>
  <c r="J1833" i="13" s="1"/>
  <c r="M1837" i="14"/>
  <c r="M1836" i="13"/>
  <c r="J1832" i="14" a="1"/>
  <c r="J1832" i="14" s="1"/>
  <c r="N1833" i="14"/>
  <c r="K1647" i="13" l="1"/>
  <c r="L1647" i="13" s="1"/>
  <c r="I1648" i="13" s="1"/>
  <c r="K1670" i="14"/>
  <c r="L1670" i="14" s="1"/>
  <c r="I1671" i="14" s="1"/>
  <c r="M1838" i="14"/>
  <c r="J1833" i="14" a="1"/>
  <c r="J1833" i="14" s="1"/>
  <c r="N1834" i="14"/>
  <c r="M1837" i="13"/>
  <c r="J1834" i="13" a="1"/>
  <c r="J1834" i="13" s="1"/>
  <c r="N1835" i="13"/>
  <c r="K1648" i="13" l="1"/>
  <c r="L1648" i="13" s="1"/>
  <c r="I1649" i="13" s="1"/>
  <c r="K1671" i="14"/>
  <c r="L1671" i="14" s="1"/>
  <c r="I1672" i="14" s="1"/>
  <c r="J1834" i="14" a="1"/>
  <c r="J1834" i="14" s="1"/>
  <c r="N1835" i="14"/>
  <c r="J1835" i="13" a="1"/>
  <c r="J1835" i="13" s="1"/>
  <c r="N1836" i="13"/>
  <c r="M1839" i="14"/>
  <c r="M1838" i="13"/>
  <c r="K1649" i="13" l="1"/>
  <c r="L1649" i="13" s="1"/>
  <c r="I1650" i="13" s="1"/>
  <c r="K1672" i="14"/>
  <c r="L1672" i="14" s="1"/>
  <c r="I1673" i="14" s="1"/>
  <c r="M1839" i="13"/>
  <c r="N1836" i="14"/>
  <c r="J1835" i="14" a="1"/>
  <c r="J1835" i="14" s="1"/>
  <c r="J1836" i="13" a="1"/>
  <c r="J1836" i="13" s="1"/>
  <c r="N1837" i="13"/>
  <c r="M1840" i="14"/>
  <c r="K1650" i="13" l="1"/>
  <c r="L1650" i="13" s="1"/>
  <c r="I1651" i="13" s="1"/>
  <c r="K1673" i="14"/>
  <c r="L1673" i="14" s="1"/>
  <c r="I1674" i="14" s="1"/>
  <c r="M1841" i="14"/>
  <c r="J1836" i="14" a="1"/>
  <c r="J1836" i="14" s="1"/>
  <c r="N1837" i="14"/>
  <c r="N1838" i="13"/>
  <c r="J1837" i="13" a="1"/>
  <c r="J1837" i="13" s="1"/>
  <c r="M1840" i="13"/>
  <c r="K1651" i="13" l="1"/>
  <c r="L1651" i="13" s="1"/>
  <c r="I1652" i="13" s="1"/>
  <c r="K1674" i="14"/>
  <c r="L1674" i="14" s="1"/>
  <c r="I1675" i="14" s="1"/>
  <c r="J1837" i="14" a="1"/>
  <c r="J1837" i="14" s="1"/>
  <c r="N1838" i="14"/>
  <c r="M1841" i="13"/>
  <c r="J1838" i="13" a="1"/>
  <c r="J1838" i="13" s="1"/>
  <c r="N1839" i="13"/>
  <c r="M1842" i="14"/>
  <c r="K1652" i="13" l="1"/>
  <c r="L1652" i="13" s="1"/>
  <c r="I1653" i="13" s="1"/>
  <c r="K1675" i="14"/>
  <c r="L1675" i="14" s="1"/>
  <c r="I1676" i="14" s="1"/>
  <c r="M1843" i="14"/>
  <c r="M1842" i="13"/>
  <c r="J1839" i="13" a="1"/>
  <c r="J1839" i="13" s="1"/>
  <c r="N1840" i="13"/>
  <c r="J1838" i="14" a="1"/>
  <c r="J1838" i="14" s="1"/>
  <c r="N1839" i="14"/>
  <c r="K1653" i="13" l="1"/>
  <c r="L1653" i="13" s="1"/>
  <c r="I1654" i="13" s="1"/>
  <c r="K1676" i="14"/>
  <c r="L1676" i="14" s="1"/>
  <c r="I1677" i="14" s="1"/>
  <c r="M1843" i="13"/>
  <c r="J1840" i="13" a="1"/>
  <c r="J1840" i="13" s="1"/>
  <c r="N1841" i="13"/>
  <c r="N1840" i="14"/>
  <c r="J1839" i="14" a="1"/>
  <c r="J1839" i="14" s="1"/>
  <c r="M1844" i="14"/>
  <c r="K1654" i="13" l="1"/>
  <c r="L1654" i="13" s="1"/>
  <c r="I1655" i="13" s="1"/>
  <c r="K1677" i="14"/>
  <c r="L1677" i="14" s="1"/>
  <c r="I1678" i="14" s="1"/>
  <c r="N1842" i="13"/>
  <c r="J1841" i="13" a="1"/>
  <c r="J1841" i="13" s="1"/>
  <c r="M1845" i="14"/>
  <c r="J1840" i="14" a="1"/>
  <c r="J1840" i="14" s="1"/>
  <c r="N1841" i="14"/>
  <c r="M1844" i="13"/>
  <c r="K1655" i="13" l="1"/>
  <c r="L1655" i="13" s="1"/>
  <c r="I1656" i="13" s="1"/>
  <c r="K1678" i="14"/>
  <c r="L1678" i="14" s="1"/>
  <c r="I1679" i="14" s="1"/>
  <c r="J1841" i="14" a="1"/>
  <c r="J1841" i="14" s="1"/>
  <c r="N1842" i="14"/>
  <c r="M1845" i="13"/>
  <c r="M1846" i="14"/>
  <c r="J1842" i="13" a="1"/>
  <c r="J1842" i="13" s="1"/>
  <c r="N1843" i="13"/>
  <c r="K1656" i="13" l="1"/>
  <c r="L1656" i="13" s="1"/>
  <c r="I1657" i="13" s="1"/>
  <c r="K1679" i="14"/>
  <c r="L1679" i="14" s="1"/>
  <c r="I1680" i="14" s="1"/>
  <c r="J1843" i="13" a="1"/>
  <c r="J1843" i="13" s="1"/>
  <c r="N1844" i="13"/>
  <c r="M1846" i="13"/>
  <c r="M1847" i="14"/>
  <c r="J1842" i="14" a="1"/>
  <c r="J1842" i="14" s="1"/>
  <c r="N1843" i="14"/>
  <c r="K1657" i="13" l="1"/>
  <c r="L1657" i="13" s="1"/>
  <c r="I1658" i="13" s="1"/>
  <c r="K1680" i="14"/>
  <c r="L1680" i="14" s="1"/>
  <c r="I1681" i="14" s="1"/>
  <c r="M1847" i="13"/>
  <c r="N1844" i="14"/>
  <c r="J1843" i="14" a="1"/>
  <c r="J1843" i="14" s="1"/>
  <c r="J1844" i="13" a="1"/>
  <c r="J1844" i="13" s="1"/>
  <c r="N1845" i="13"/>
  <c r="M1848" i="14"/>
  <c r="K1658" i="13" l="1"/>
  <c r="L1658" i="13" s="1"/>
  <c r="I1659" i="13" s="1"/>
  <c r="K1681" i="14"/>
  <c r="L1681" i="14" s="1"/>
  <c r="I1682" i="14" s="1"/>
  <c r="M1849" i="14"/>
  <c r="J1844" i="14" a="1"/>
  <c r="J1844" i="14" s="1"/>
  <c r="N1845" i="14"/>
  <c r="N1846" i="13"/>
  <c r="J1845" i="13" a="1"/>
  <c r="J1845" i="13" s="1"/>
  <c r="M1848" i="13"/>
  <c r="K1659" i="13" l="1"/>
  <c r="L1659" i="13" s="1"/>
  <c r="I1660" i="13" s="1"/>
  <c r="K1682" i="14"/>
  <c r="L1682" i="14" s="1"/>
  <c r="I1683" i="14" s="1"/>
  <c r="J1845" i="14" a="1"/>
  <c r="J1845" i="14" s="1"/>
  <c r="N1846" i="14"/>
  <c r="M1849" i="13"/>
  <c r="J1846" i="13" a="1"/>
  <c r="J1846" i="13" s="1"/>
  <c r="N1847" i="13"/>
  <c r="M1850" i="14"/>
  <c r="K1660" i="13" l="1"/>
  <c r="L1660" i="13" s="1"/>
  <c r="I1661" i="13" s="1"/>
  <c r="K1683" i="14"/>
  <c r="L1683" i="14" s="1"/>
  <c r="I1684" i="14" s="1"/>
  <c r="M1851" i="14"/>
  <c r="M1850" i="13"/>
  <c r="J1847" i="13" a="1"/>
  <c r="J1847" i="13" s="1"/>
  <c r="N1848" i="13"/>
  <c r="J1846" i="14" a="1"/>
  <c r="J1846" i="14" s="1"/>
  <c r="N1847" i="14"/>
  <c r="K1661" i="13" l="1"/>
  <c r="L1661" i="13" s="1"/>
  <c r="I1662" i="13" s="1"/>
  <c r="M1852" i="14"/>
  <c r="K1684" i="14"/>
  <c r="L1684" i="14" s="1"/>
  <c r="I1685" i="14" s="1"/>
  <c r="M1851" i="13"/>
  <c r="N1848" i="14"/>
  <c r="J1847" i="14" a="1"/>
  <c r="J1847" i="14" s="1"/>
  <c r="J1848" i="13" a="1"/>
  <c r="J1848" i="13" s="1"/>
  <c r="N1849" i="13"/>
  <c r="K1662" i="13" l="1"/>
  <c r="L1662" i="13" s="1"/>
  <c r="I1663" i="13" s="1"/>
  <c r="K1685" i="14"/>
  <c r="L1685" i="14" s="1"/>
  <c r="I1686" i="14" s="1"/>
  <c r="M1852" i="13"/>
  <c r="M1853" i="14"/>
  <c r="N1850" i="13"/>
  <c r="J1849" i="13" a="1"/>
  <c r="J1849" i="13" s="1"/>
  <c r="J1848" i="14" a="1"/>
  <c r="J1848" i="14" s="1"/>
  <c r="N1849" i="14"/>
  <c r="K1663" i="13" l="1"/>
  <c r="L1663" i="13" s="1"/>
  <c r="I1664" i="13" s="1"/>
  <c r="K1686" i="14"/>
  <c r="L1686" i="14" s="1"/>
  <c r="I1687" i="14" s="1"/>
  <c r="M1854" i="14"/>
  <c r="M1853" i="13"/>
  <c r="J1849" i="14" a="1"/>
  <c r="J1849" i="14" s="1"/>
  <c r="N1850" i="14"/>
  <c r="J1850" i="13" a="1"/>
  <c r="J1850" i="13" s="1"/>
  <c r="N1851" i="13"/>
  <c r="K1664" i="13" l="1"/>
  <c r="L1664" i="13" s="1"/>
  <c r="I1665" i="13" s="1"/>
  <c r="K1687" i="14"/>
  <c r="L1687" i="14" s="1"/>
  <c r="I1688" i="14" s="1"/>
  <c r="J1851" i="13" a="1"/>
  <c r="J1851" i="13" s="1"/>
  <c r="N1852" i="13"/>
  <c r="M1854" i="13"/>
  <c r="J1850" i="14" a="1"/>
  <c r="J1850" i="14" s="1"/>
  <c r="N1851" i="14"/>
  <c r="M1855" i="14"/>
  <c r="K1665" i="13" l="1"/>
  <c r="L1665" i="13" s="1"/>
  <c r="I1666" i="13" s="1"/>
  <c r="K1688" i="14"/>
  <c r="L1688" i="14" s="1"/>
  <c r="I1689" i="14" s="1"/>
  <c r="N1852" i="14"/>
  <c r="J1851" i="14" a="1"/>
  <c r="J1851" i="14" s="1"/>
  <c r="J1852" i="13" a="1"/>
  <c r="J1852" i="13" s="1"/>
  <c r="N1853" i="13"/>
  <c r="M1856" i="14"/>
  <c r="M1855" i="13"/>
  <c r="K1666" i="13" l="1"/>
  <c r="L1666" i="13" s="1"/>
  <c r="I1667" i="13" s="1"/>
  <c r="K1689" i="14"/>
  <c r="L1689" i="14" s="1"/>
  <c r="I1690" i="14" s="1"/>
  <c r="N1854" i="13"/>
  <c r="J1853" i="13" a="1"/>
  <c r="J1853" i="13" s="1"/>
  <c r="M1856" i="13"/>
  <c r="M1857" i="14"/>
  <c r="J1852" i="14" a="1"/>
  <c r="J1852" i="14" s="1"/>
  <c r="N1853" i="14"/>
  <c r="K1667" i="13" l="1"/>
  <c r="L1667" i="13" s="1"/>
  <c r="I1668" i="13" s="1"/>
  <c r="K1690" i="14"/>
  <c r="L1690" i="14" s="1"/>
  <c r="I1691" i="14" s="1"/>
  <c r="J1853" i="14" a="1"/>
  <c r="J1853" i="14" s="1"/>
  <c r="N1854" i="14"/>
  <c r="M1858" i="14"/>
  <c r="M1857" i="13"/>
  <c r="J1854" i="13" a="1"/>
  <c r="J1854" i="13" s="1"/>
  <c r="N1855" i="13"/>
  <c r="K1668" i="13" l="1"/>
  <c r="L1668" i="13" s="1"/>
  <c r="I1669" i="13" s="1"/>
  <c r="K1691" i="14"/>
  <c r="L1691" i="14" s="1"/>
  <c r="I1692" i="14" s="1"/>
  <c r="J1855" i="13" a="1"/>
  <c r="J1855" i="13" s="1"/>
  <c r="N1856" i="13"/>
  <c r="M1859" i="14"/>
  <c r="J1854" i="14" a="1"/>
  <c r="J1854" i="14" s="1"/>
  <c r="N1855" i="14"/>
  <c r="M1858" i="13"/>
  <c r="K1669" i="13" l="1"/>
  <c r="L1669" i="13" s="1"/>
  <c r="I1670" i="13" s="1"/>
  <c r="K1692" i="14"/>
  <c r="L1692" i="14" s="1"/>
  <c r="I1693" i="14" s="1"/>
  <c r="M1859" i="13"/>
  <c r="M1860" i="14"/>
  <c r="J1856" i="13" a="1"/>
  <c r="J1856" i="13" s="1"/>
  <c r="N1857" i="13"/>
  <c r="N1856" i="14"/>
  <c r="J1855" i="14" a="1"/>
  <c r="J1855" i="14" s="1"/>
  <c r="K1670" i="13" l="1"/>
  <c r="L1670" i="13" s="1"/>
  <c r="I1671" i="13" s="1"/>
  <c r="K1693" i="14"/>
  <c r="L1693" i="14" s="1"/>
  <c r="I1694" i="14" s="1"/>
  <c r="J1856" i="14" a="1"/>
  <c r="J1856" i="14" s="1"/>
  <c r="N1857" i="14"/>
  <c r="M1861" i="14"/>
  <c r="N1858" i="13"/>
  <c r="J1857" i="13" a="1"/>
  <c r="J1857" i="13" s="1"/>
  <c r="M1860" i="13"/>
  <c r="K1671" i="13" l="1"/>
  <c r="L1671" i="13" s="1"/>
  <c r="I1672" i="13" s="1"/>
  <c r="K1694" i="14"/>
  <c r="L1694" i="14" s="1"/>
  <c r="I1695" i="14" s="1"/>
  <c r="J1858" i="13" a="1"/>
  <c r="J1858" i="13" s="1"/>
  <c r="N1859" i="13"/>
  <c r="M1861" i="13"/>
  <c r="M1862" i="14"/>
  <c r="J1857" i="14" a="1"/>
  <c r="J1857" i="14" s="1"/>
  <c r="N1858" i="14"/>
  <c r="K1672" i="13" l="1"/>
  <c r="L1672" i="13" s="1"/>
  <c r="I1673" i="13" s="1"/>
  <c r="K1695" i="14"/>
  <c r="L1695" i="14" s="1"/>
  <c r="I1696" i="14" s="1"/>
  <c r="M1862" i="13"/>
  <c r="J1858" i="14" a="1"/>
  <c r="J1858" i="14" s="1"/>
  <c r="N1859" i="14"/>
  <c r="M1863" i="14"/>
  <c r="J1859" i="13" a="1"/>
  <c r="J1859" i="13" s="1"/>
  <c r="N1860" i="13"/>
  <c r="K1673" i="13" l="1"/>
  <c r="L1673" i="13" s="1"/>
  <c r="I1674" i="13" s="1"/>
  <c r="K1696" i="14"/>
  <c r="L1696" i="14" s="1"/>
  <c r="I1697" i="14" s="1"/>
  <c r="J1860" i="13" a="1"/>
  <c r="J1860" i="13" s="1"/>
  <c r="N1861" i="13"/>
  <c r="N1860" i="14"/>
  <c r="J1859" i="14" a="1"/>
  <c r="J1859" i="14" s="1"/>
  <c r="M1864" i="14"/>
  <c r="M1863" i="13"/>
  <c r="K1674" i="13" l="1"/>
  <c r="L1674" i="13" s="1"/>
  <c r="I1675" i="13" s="1"/>
  <c r="K1697" i="14"/>
  <c r="L1697" i="14" s="1"/>
  <c r="I1698" i="14" s="1"/>
  <c r="M1864" i="13"/>
  <c r="J1860" i="14" a="1"/>
  <c r="J1860" i="14" s="1"/>
  <c r="N1861" i="14"/>
  <c r="N1862" i="13"/>
  <c r="J1861" i="13" a="1"/>
  <c r="J1861" i="13" s="1"/>
  <c r="M1865" i="14"/>
  <c r="K1675" i="13" l="1"/>
  <c r="L1675" i="13" s="1"/>
  <c r="I1676" i="13" s="1"/>
  <c r="K1698" i="14"/>
  <c r="L1698" i="14" s="1"/>
  <c r="I1699" i="14" s="1"/>
  <c r="J1861" i="14" a="1"/>
  <c r="J1861" i="14" s="1"/>
  <c r="N1862" i="14"/>
  <c r="M1866" i="14"/>
  <c r="M1865" i="13"/>
  <c r="J1862" i="13" a="1"/>
  <c r="J1862" i="13" s="1"/>
  <c r="N1863" i="13"/>
  <c r="K1676" i="13" l="1"/>
  <c r="L1676" i="13" s="1"/>
  <c r="I1677" i="13" s="1"/>
  <c r="M1866" i="13"/>
  <c r="J1862" i="14" a="1"/>
  <c r="J1862" i="14" s="1"/>
  <c r="N1863" i="14"/>
  <c r="J1863" i="13" a="1"/>
  <c r="J1863" i="13" s="1"/>
  <c r="N1864" i="13"/>
  <c r="M1867" i="14"/>
  <c r="K1699" i="14"/>
  <c r="L1699" i="14" s="1"/>
  <c r="I1700" i="14" s="1"/>
  <c r="K1677" i="13" l="1"/>
  <c r="L1677" i="13" s="1"/>
  <c r="I1678" i="13" s="1"/>
  <c r="K1700" i="14"/>
  <c r="L1700" i="14" s="1"/>
  <c r="I1701" i="14" s="1"/>
  <c r="J1864" i="13" a="1"/>
  <c r="J1864" i="13" s="1"/>
  <c r="N1865" i="13"/>
  <c r="M1867" i="13"/>
  <c r="N1864" i="14"/>
  <c r="J1863" i="14" a="1"/>
  <c r="J1863" i="14" s="1"/>
  <c r="M1868" i="14"/>
  <c r="K1678" i="13" l="1"/>
  <c r="L1678" i="13" s="1"/>
  <c r="I1679" i="13" s="1"/>
  <c r="K1701" i="14"/>
  <c r="L1701" i="14" s="1"/>
  <c r="I1702" i="14" s="1"/>
  <c r="J1864" i="14" a="1"/>
  <c r="J1864" i="14" s="1"/>
  <c r="N1865" i="14"/>
  <c r="M1869" i="14"/>
  <c r="M1868" i="13"/>
  <c r="N1866" i="13"/>
  <c r="J1865" i="13" a="1"/>
  <c r="J1865" i="13" s="1"/>
  <c r="K1679" i="13" l="1"/>
  <c r="L1679" i="13" s="1"/>
  <c r="I1680" i="13" s="1"/>
  <c r="K1702" i="14"/>
  <c r="L1702" i="14" s="1"/>
  <c r="I1703" i="14" s="1"/>
  <c r="J1866" i="13" a="1"/>
  <c r="J1866" i="13" s="1"/>
  <c r="N1867" i="13"/>
  <c r="M1870" i="14"/>
  <c r="M1869" i="13"/>
  <c r="J1865" i="14" a="1"/>
  <c r="J1865" i="14" s="1"/>
  <c r="N1866" i="14"/>
  <c r="K1680" i="13" l="1"/>
  <c r="L1680" i="13" s="1"/>
  <c r="I1681" i="13" s="1"/>
  <c r="K1703" i="14"/>
  <c r="L1703" i="14" s="1"/>
  <c r="I1704" i="14" s="1"/>
  <c r="J1866" i="14" a="1"/>
  <c r="J1866" i="14" s="1"/>
  <c r="N1867" i="14"/>
  <c r="M1871" i="14"/>
  <c r="J1867" i="13" a="1"/>
  <c r="J1867" i="13" s="1"/>
  <c r="N1868" i="13"/>
  <c r="M1870" i="13"/>
  <c r="K1681" i="13" l="1"/>
  <c r="L1681" i="13" s="1"/>
  <c r="I1682" i="13" s="1"/>
  <c r="K1704" i="14"/>
  <c r="L1704" i="14" s="1"/>
  <c r="I1705" i="14" s="1"/>
  <c r="M1871" i="13"/>
  <c r="M1872" i="14"/>
  <c r="J1868" i="13" a="1"/>
  <c r="J1868" i="13" s="1"/>
  <c r="N1869" i="13"/>
  <c r="N1868" i="14"/>
  <c r="J1867" i="14" a="1"/>
  <c r="J1867" i="14" s="1"/>
  <c r="K1682" i="13" l="1"/>
  <c r="L1682" i="13" s="1"/>
  <c r="I1683" i="13" s="1"/>
  <c r="K1705" i="14"/>
  <c r="L1705" i="14" s="1"/>
  <c r="I1706" i="14" s="1"/>
  <c r="J1868" i="14" a="1"/>
  <c r="J1868" i="14" s="1"/>
  <c r="N1869" i="14"/>
  <c r="M1873" i="14"/>
  <c r="N1870" i="13"/>
  <c r="J1869" i="13" a="1"/>
  <c r="J1869" i="13" s="1"/>
  <c r="M1872" i="13"/>
  <c r="K1683" i="13" l="1"/>
  <c r="L1683" i="13" s="1"/>
  <c r="I1684" i="13" s="1"/>
  <c r="K1706" i="14"/>
  <c r="L1706" i="14" s="1"/>
  <c r="I1707" i="14" s="1"/>
  <c r="M1873" i="13"/>
  <c r="M1874" i="14"/>
  <c r="J1869" i="14" a="1"/>
  <c r="J1869" i="14" s="1"/>
  <c r="N1870" i="14"/>
  <c r="J1870" i="13" a="1"/>
  <c r="J1870" i="13" s="1"/>
  <c r="N1871" i="13"/>
  <c r="K1684" i="13" l="1"/>
  <c r="L1684" i="13" s="1"/>
  <c r="I1685" i="13" s="1"/>
  <c r="K1707" i="14"/>
  <c r="L1707" i="14" s="1"/>
  <c r="I1708" i="14" s="1"/>
  <c r="J1871" i="13" a="1"/>
  <c r="J1871" i="13" s="1"/>
  <c r="N1872" i="13"/>
  <c r="M1875" i="14"/>
  <c r="J1870" i="14" a="1"/>
  <c r="J1870" i="14" s="1"/>
  <c r="N1871" i="14"/>
  <c r="M1874" i="13"/>
  <c r="K1685" i="13" l="1"/>
  <c r="L1685" i="13" s="1"/>
  <c r="I1686" i="13" s="1"/>
  <c r="K1708" i="14"/>
  <c r="L1708" i="14" s="1"/>
  <c r="I1709" i="14" s="1"/>
  <c r="M1875" i="13"/>
  <c r="M1876" i="14"/>
  <c r="J1872" i="13" a="1"/>
  <c r="J1872" i="13" s="1"/>
  <c r="N1873" i="13"/>
  <c r="N1872" i="14"/>
  <c r="J1871" i="14" a="1"/>
  <c r="J1871" i="14" s="1"/>
  <c r="K1686" i="13" l="1"/>
  <c r="L1686" i="13" s="1"/>
  <c r="I1687" i="13" s="1"/>
  <c r="K1709" i="14"/>
  <c r="L1709" i="14" s="1"/>
  <c r="I1710" i="14" s="1"/>
  <c r="J1872" i="14" a="1"/>
  <c r="J1872" i="14" s="1"/>
  <c r="N1873" i="14"/>
  <c r="M1877" i="14"/>
  <c r="N1874" i="13"/>
  <c r="J1873" i="13" a="1"/>
  <c r="J1873" i="13" s="1"/>
  <c r="M1876" i="13"/>
  <c r="K1687" i="13" l="1"/>
  <c r="L1687" i="13" s="1"/>
  <c r="I1688" i="13" s="1"/>
  <c r="K1710" i="14"/>
  <c r="L1710" i="14" s="1"/>
  <c r="I1711" i="14" s="1"/>
  <c r="J1874" i="13" a="1"/>
  <c r="J1874" i="13" s="1"/>
  <c r="N1875" i="13"/>
  <c r="M1877" i="13"/>
  <c r="M1878" i="14"/>
  <c r="J1873" i="14" a="1"/>
  <c r="J1873" i="14" s="1"/>
  <c r="N1874" i="14"/>
  <c r="K1688" i="13" l="1"/>
  <c r="L1688" i="13" s="1"/>
  <c r="I1689" i="13" s="1"/>
  <c r="M1878" i="13"/>
  <c r="J1874" i="14" a="1"/>
  <c r="J1874" i="14" s="1"/>
  <c r="N1875" i="14"/>
  <c r="M1879" i="14"/>
  <c r="J1875" i="13" a="1"/>
  <c r="J1875" i="13" s="1"/>
  <c r="N1876" i="13"/>
  <c r="K1711" i="14"/>
  <c r="L1711" i="14" s="1"/>
  <c r="I1712" i="14" s="1"/>
  <c r="K1689" i="13" l="1"/>
  <c r="L1689" i="13" s="1"/>
  <c r="I1690" i="13" s="1"/>
  <c r="M1880" i="14"/>
  <c r="K1712" i="14"/>
  <c r="L1712" i="14" s="1"/>
  <c r="I1713" i="14" s="1"/>
  <c r="M1879" i="13"/>
  <c r="N1876" i="14"/>
  <c r="J1875" i="14" a="1"/>
  <c r="J1875" i="14" s="1"/>
  <c r="J1876" i="13" a="1"/>
  <c r="J1876" i="13" s="1"/>
  <c r="N1877" i="13"/>
  <c r="K1690" i="13" l="1"/>
  <c r="L1690" i="13" s="1"/>
  <c r="I1691" i="13" s="1"/>
  <c r="K1713" i="14"/>
  <c r="L1713" i="14" s="1"/>
  <c r="I1714" i="14" s="1"/>
  <c r="N1878" i="13"/>
  <c r="J1877" i="13" a="1"/>
  <c r="J1877" i="13" s="1"/>
  <c r="M1880" i="13"/>
  <c r="M1881" i="14"/>
  <c r="J1876" i="14" a="1"/>
  <c r="J1876" i="14" s="1"/>
  <c r="N1877" i="14"/>
  <c r="K1691" i="13" l="1"/>
  <c r="L1691" i="13" s="1"/>
  <c r="I1692" i="13" s="1"/>
  <c r="M1882" i="14"/>
  <c r="J1877" i="14" a="1"/>
  <c r="J1877" i="14" s="1"/>
  <c r="N1878" i="14"/>
  <c r="M1881" i="13"/>
  <c r="J1878" i="13" a="1"/>
  <c r="J1878" i="13" s="1"/>
  <c r="N1879" i="13"/>
  <c r="K1714" i="14"/>
  <c r="L1714" i="14" s="1"/>
  <c r="I1715" i="14" s="1"/>
  <c r="K1692" i="13" l="1"/>
  <c r="L1692" i="13" s="1"/>
  <c r="I1693" i="13" s="1"/>
  <c r="K1715" i="14"/>
  <c r="L1715" i="14" s="1"/>
  <c r="I1716" i="14" s="1"/>
  <c r="J1878" i="14" a="1"/>
  <c r="J1878" i="14" s="1"/>
  <c r="N1879" i="14"/>
  <c r="J1879" i="13" a="1"/>
  <c r="J1879" i="13" s="1"/>
  <c r="N1880" i="13"/>
  <c r="M1883" i="14"/>
  <c r="M1882" i="13"/>
  <c r="K1693" i="13" l="1"/>
  <c r="L1693" i="13" s="1"/>
  <c r="I1694" i="13" s="1"/>
  <c r="K1716" i="14"/>
  <c r="L1716" i="14" s="1"/>
  <c r="I1717" i="14" s="1"/>
  <c r="M1884" i="14"/>
  <c r="J1880" i="13" a="1"/>
  <c r="J1880" i="13" s="1"/>
  <c r="N1881" i="13"/>
  <c r="N1880" i="14"/>
  <c r="J1879" i="14" a="1"/>
  <c r="J1879" i="14" s="1"/>
  <c r="M1883" i="13"/>
  <c r="K1694" i="13" l="1"/>
  <c r="L1694" i="13" s="1"/>
  <c r="I1695" i="13" s="1"/>
  <c r="K1717" i="14"/>
  <c r="L1717" i="14" s="1"/>
  <c r="I1718" i="14" s="1"/>
  <c r="N1882" i="13"/>
  <c r="J1881" i="13" a="1"/>
  <c r="J1881" i="13" s="1"/>
  <c r="M1884" i="13"/>
  <c r="J1880" i="14" a="1"/>
  <c r="J1880" i="14" s="1"/>
  <c r="N1881" i="14"/>
  <c r="M1885" i="14"/>
  <c r="K1695" i="13" l="1"/>
  <c r="L1695" i="13" s="1"/>
  <c r="I1696" i="13" s="1"/>
  <c r="K1718" i="14"/>
  <c r="L1718" i="14" s="1"/>
  <c r="I1719" i="14" s="1"/>
  <c r="J1881" i="14" a="1"/>
  <c r="J1881" i="14" s="1"/>
  <c r="N1882" i="14"/>
  <c r="M1886" i="14"/>
  <c r="J1882" i="13" a="1"/>
  <c r="J1882" i="13" s="1"/>
  <c r="N1883" i="13"/>
  <c r="M1885" i="13"/>
  <c r="K1696" i="13" l="1"/>
  <c r="L1696" i="13" s="1"/>
  <c r="I1697" i="13" s="1"/>
  <c r="K1719" i="14"/>
  <c r="L1719" i="14" s="1"/>
  <c r="I1720" i="14" s="1"/>
  <c r="J1882" i="14" a="1"/>
  <c r="J1882" i="14" s="1"/>
  <c r="N1883" i="14"/>
  <c r="M1887" i="14"/>
  <c r="M1886" i="13"/>
  <c r="J1883" i="13" a="1"/>
  <c r="J1883" i="13" s="1"/>
  <c r="N1884" i="13"/>
  <c r="K1697" i="13" l="1"/>
  <c r="L1697" i="13" s="1"/>
  <c r="I1698" i="13" s="1"/>
  <c r="K1720" i="14"/>
  <c r="L1720" i="14" s="1"/>
  <c r="I1721" i="14" s="1"/>
  <c r="M1888" i="14"/>
  <c r="J1884" i="13" a="1"/>
  <c r="J1884" i="13" s="1"/>
  <c r="N1885" i="13"/>
  <c r="N1884" i="14"/>
  <c r="J1883" i="14" a="1"/>
  <c r="J1883" i="14" s="1"/>
  <c r="M1887" i="13"/>
  <c r="K1698" i="13" l="1"/>
  <c r="L1698" i="13" s="1"/>
  <c r="I1699" i="13" s="1"/>
  <c r="N1886" i="13"/>
  <c r="J1885" i="13" a="1"/>
  <c r="J1885" i="13" s="1"/>
  <c r="K1721" i="14"/>
  <c r="L1721" i="14" s="1"/>
  <c r="I1722" i="14" s="1"/>
  <c r="M1888" i="13"/>
  <c r="J1884" i="14" a="1"/>
  <c r="J1884" i="14" s="1"/>
  <c r="N1885" i="14"/>
  <c r="M1889" i="14"/>
  <c r="K1699" i="13" l="1"/>
  <c r="L1699" i="13" s="1"/>
  <c r="I1700" i="13" s="1"/>
  <c r="K1722" i="14"/>
  <c r="L1722" i="14" s="1"/>
  <c r="I1723" i="14" s="1"/>
  <c r="J1885" i="14" a="1"/>
  <c r="J1885" i="14" s="1"/>
  <c r="N1886" i="14"/>
  <c r="M1889" i="13"/>
  <c r="J1886" i="13" a="1"/>
  <c r="J1886" i="13" s="1"/>
  <c r="N1887" i="13"/>
  <c r="M1890" i="14"/>
  <c r="K1700" i="13" l="1"/>
  <c r="L1700" i="13" s="1"/>
  <c r="I1701" i="13" s="1"/>
  <c r="K1723" i="14"/>
  <c r="L1723" i="14" s="1"/>
  <c r="I1724" i="14" s="1"/>
  <c r="M1891" i="14"/>
  <c r="M1890" i="13"/>
  <c r="J1886" i="14" a="1"/>
  <c r="J1886" i="14" s="1"/>
  <c r="N1887" i="14"/>
  <c r="J1887" i="13" a="1"/>
  <c r="J1887" i="13" s="1"/>
  <c r="N1888" i="13"/>
  <c r="K1701" i="13" l="1"/>
  <c r="L1701" i="13" s="1"/>
  <c r="I1702" i="13" s="1"/>
  <c r="J1888" i="13" a="1"/>
  <c r="J1888" i="13" s="1"/>
  <c r="N1889" i="13"/>
  <c r="M1891" i="13"/>
  <c r="K1724" i="14"/>
  <c r="L1724" i="14" s="1"/>
  <c r="I1725" i="14" s="1"/>
  <c r="N1888" i="14"/>
  <c r="J1887" i="14" a="1"/>
  <c r="J1887" i="14" s="1"/>
  <c r="M1892" i="14"/>
  <c r="K1702" i="13" l="1"/>
  <c r="L1702" i="13" s="1"/>
  <c r="I1703" i="13" s="1"/>
  <c r="M1893" i="14"/>
  <c r="N1890" i="13"/>
  <c r="J1889" i="13" a="1"/>
  <c r="J1889" i="13" s="1"/>
  <c r="K1725" i="14"/>
  <c r="L1725" i="14" s="1"/>
  <c r="I1726" i="14" s="1"/>
  <c r="J1888" i="14" a="1"/>
  <c r="J1888" i="14" s="1"/>
  <c r="N1889" i="14"/>
  <c r="M1892" i="13"/>
  <c r="K1703" i="13" l="1"/>
  <c r="L1703" i="13" s="1"/>
  <c r="I1704" i="13" s="1"/>
  <c r="J1889" i="14" a="1"/>
  <c r="J1889" i="14" s="1"/>
  <c r="N1890" i="14"/>
  <c r="M1893" i="13"/>
  <c r="K1726" i="14"/>
  <c r="L1726" i="14" s="1"/>
  <c r="I1727" i="14" s="1"/>
  <c r="M1894" i="14"/>
  <c r="J1890" i="13" a="1"/>
  <c r="J1890" i="13" s="1"/>
  <c r="N1891" i="13"/>
  <c r="K1704" i="13" l="1"/>
  <c r="L1704" i="13" s="1"/>
  <c r="I1705" i="13" s="1"/>
  <c r="K1727" i="14"/>
  <c r="L1727" i="14" s="1"/>
  <c r="I1728" i="14" s="1"/>
  <c r="J1890" i="14" a="1"/>
  <c r="J1890" i="14" s="1"/>
  <c r="N1891" i="14"/>
  <c r="J1891" i="13" a="1"/>
  <c r="J1891" i="13" s="1"/>
  <c r="N1892" i="13"/>
  <c r="M1895" i="14"/>
  <c r="M1894" i="13"/>
  <c r="K1705" i="13" l="1"/>
  <c r="L1705" i="13" s="1"/>
  <c r="I1706" i="13" s="1"/>
  <c r="K1728" i="14"/>
  <c r="L1728" i="14" s="1"/>
  <c r="I1729" i="14" s="1"/>
  <c r="N1892" i="14"/>
  <c r="J1891" i="14" a="1"/>
  <c r="J1891" i="14" s="1"/>
  <c r="M1896" i="14"/>
  <c r="J1892" i="13" a="1"/>
  <c r="J1892" i="13" s="1"/>
  <c r="N1893" i="13"/>
  <c r="M1895" i="13"/>
  <c r="K1706" i="13" l="1"/>
  <c r="L1706" i="13" s="1"/>
  <c r="I1707" i="13" s="1"/>
  <c r="K1729" i="14"/>
  <c r="L1729" i="14" s="1"/>
  <c r="I1730" i="14" s="1"/>
  <c r="N1894" i="13"/>
  <c r="J1893" i="13" a="1"/>
  <c r="J1893" i="13" s="1"/>
  <c r="J1892" i="14" a="1"/>
  <c r="J1892" i="14" s="1"/>
  <c r="N1893" i="14"/>
  <c r="M1896" i="13"/>
  <c r="M1897" i="14"/>
  <c r="K1707" i="13" l="1"/>
  <c r="L1707" i="13" s="1"/>
  <c r="I1708" i="13" s="1"/>
  <c r="J1893" i="14" a="1"/>
  <c r="J1893" i="14" s="1"/>
  <c r="N1894" i="14"/>
  <c r="M1898" i="14"/>
  <c r="K1730" i="14"/>
  <c r="L1730" i="14" s="1"/>
  <c r="I1731" i="14" s="1"/>
  <c r="M1897" i="13"/>
  <c r="J1894" i="13" a="1"/>
  <c r="J1894" i="13" s="1"/>
  <c r="N1895" i="13"/>
  <c r="K1708" i="13" l="1"/>
  <c r="L1708" i="13" s="1"/>
  <c r="I1709" i="13" s="1"/>
  <c r="K1731" i="14"/>
  <c r="L1731" i="14" s="1"/>
  <c r="I1732" i="14" s="1"/>
  <c r="J1895" i="13" a="1"/>
  <c r="J1895" i="13" s="1"/>
  <c r="N1896" i="13"/>
  <c r="J1894" i="14" a="1"/>
  <c r="J1894" i="14" s="1"/>
  <c r="N1895" i="14"/>
  <c r="M1899" i="14"/>
  <c r="M1898" i="13"/>
  <c r="K1709" i="13" l="1"/>
  <c r="L1709" i="13" s="1"/>
  <c r="I1710" i="13" s="1"/>
  <c r="K1732" i="14"/>
  <c r="L1732" i="14" s="1"/>
  <c r="I1733" i="14" s="1"/>
  <c r="N1896" i="14"/>
  <c r="J1895" i="14" a="1"/>
  <c r="J1895" i="14" s="1"/>
  <c r="M1899" i="13"/>
  <c r="J1896" i="13" a="1"/>
  <c r="J1896" i="13" s="1"/>
  <c r="N1897" i="13"/>
  <c r="M1900" i="14"/>
  <c r="K1710" i="13" l="1"/>
  <c r="L1710" i="13" s="1"/>
  <c r="I1711" i="13" s="1"/>
  <c r="K1733" i="14"/>
  <c r="L1733" i="14" s="1"/>
  <c r="I1734" i="14" s="1"/>
  <c r="M1901" i="14"/>
  <c r="M1900" i="13"/>
  <c r="J1896" i="14" a="1"/>
  <c r="J1896" i="14" s="1"/>
  <c r="N1897" i="14"/>
  <c r="N1898" i="13"/>
  <c r="J1897" i="13" a="1"/>
  <c r="J1897" i="13" s="1"/>
  <c r="K1711" i="13" l="1"/>
  <c r="L1711" i="13" s="1"/>
  <c r="I1712" i="13" s="1"/>
  <c r="K1734" i="14"/>
  <c r="L1734" i="14" s="1"/>
  <c r="I1735" i="14" s="1"/>
  <c r="M1901" i="13"/>
  <c r="J1898" i="13" a="1"/>
  <c r="J1898" i="13" s="1"/>
  <c r="N1899" i="13"/>
  <c r="J1897" i="14" a="1"/>
  <c r="J1897" i="14" s="1"/>
  <c r="N1898" i="14"/>
  <c r="M1902" i="14"/>
  <c r="K1712" i="13" l="1"/>
  <c r="L1712" i="13" s="1"/>
  <c r="I1713" i="13" s="1"/>
  <c r="K1735" i="14"/>
  <c r="L1735" i="14" s="1"/>
  <c r="I1736" i="14" s="1"/>
  <c r="J1899" i="13" a="1"/>
  <c r="J1899" i="13" s="1"/>
  <c r="N1900" i="13"/>
  <c r="J1898" i="14" a="1"/>
  <c r="J1898" i="14" s="1"/>
  <c r="N1899" i="14"/>
  <c r="M1902" i="13"/>
  <c r="M1903" i="14"/>
  <c r="K1713" i="13" l="1"/>
  <c r="L1713" i="13" s="1"/>
  <c r="I1714" i="13" s="1"/>
  <c r="J1900" i="13" a="1"/>
  <c r="J1900" i="13" s="1"/>
  <c r="N1901" i="13"/>
  <c r="M1903" i="13"/>
  <c r="N1900" i="14"/>
  <c r="J1899" i="14" a="1"/>
  <c r="J1899" i="14" s="1"/>
  <c r="M1904" i="14"/>
  <c r="K1736" i="14"/>
  <c r="L1736" i="14" s="1"/>
  <c r="I1737" i="14" s="1"/>
  <c r="K1714" i="13" l="1"/>
  <c r="L1714" i="13" s="1"/>
  <c r="I1715" i="13" s="1"/>
  <c r="K1737" i="14"/>
  <c r="L1737" i="14" s="1"/>
  <c r="I1738" i="14" s="1"/>
  <c r="N1902" i="13"/>
  <c r="J1901" i="13" a="1"/>
  <c r="J1901" i="13" s="1"/>
  <c r="J1900" i="14" a="1"/>
  <c r="J1900" i="14" s="1"/>
  <c r="N1901" i="14"/>
  <c r="M1905" i="14"/>
  <c r="M1904" i="13"/>
  <c r="K1715" i="13" l="1"/>
  <c r="L1715" i="13" s="1"/>
  <c r="I1716" i="13" s="1"/>
  <c r="K1738" i="14"/>
  <c r="L1738" i="14" s="1"/>
  <c r="I1739" i="14" s="1"/>
  <c r="M1906" i="14"/>
  <c r="M1905" i="13"/>
  <c r="J1901" i="14" a="1"/>
  <c r="J1901" i="14" s="1"/>
  <c r="N1902" i="14"/>
  <c r="J1902" i="13" a="1"/>
  <c r="J1902" i="13" s="1"/>
  <c r="N1903" i="13"/>
  <c r="K1716" i="13" l="1"/>
  <c r="L1716" i="13" s="1"/>
  <c r="I1717" i="13" s="1"/>
  <c r="K1739" i="14"/>
  <c r="L1739" i="14" s="1"/>
  <c r="I1740" i="14" s="1"/>
  <c r="J1902" i="14" a="1"/>
  <c r="J1902" i="14" s="1"/>
  <c r="N1903" i="14"/>
  <c r="M1907" i="14"/>
  <c r="J1903" i="13" a="1"/>
  <c r="J1903" i="13" s="1"/>
  <c r="N1904" i="13"/>
  <c r="M1906" i="13"/>
  <c r="K1717" i="13" l="1"/>
  <c r="L1717" i="13" s="1"/>
  <c r="I1718" i="13" s="1"/>
  <c r="N1904" i="14"/>
  <c r="J1903" i="14" a="1"/>
  <c r="J1903" i="14" s="1"/>
  <c r="K1740" i="14"/>
  <c r="L1740" i="14" s="1"/>
  <c r="I1741" i="14" s="1"/>
  <c r="J1904" i="13" a="1"/>
  <c r="J1904" i="13" s="1"/>
  <c r="N1905" i="13"/>
  <c r="M1907" i="13"/>
  <c r="M1908" i="14"/>
  <c r="K1718" i="13" l="1"/>
  <c r="L1718" i="13" s="1"/>
  <c r="I1719" i="13" s="1"/>
  <c r="K1741" i="14"/>
  <c r="L1741" i="14" s="1"/>
  <c r="I1742" i="14" s="1"/>
  <c r="J1904" i="14" a="1"/>
  <c r="J1904" i="14" s="1"/>
  <c r="N1905" i="14"/>
  <c r="N1906" i="13"/>
  <c r="J1905" i="13" a="1"/>
  <c r="J1905" i="13" s="1"/>
  <c r="M1909" i="14"/>
  <c r="M1908" i="13"/>
  <c r="K1719" i="13" l="1"/>
  <c r="L1719" i="13" s="1"/>
  <c r="I1720" i="13" s="1"/>
  <c r="K1742" i="14"/>
  <c r="L1742" i="14" s="1"/>
  <c r="I1743" i="14" s="1"/>
  <c r="M1909" i="13"/>
  <c r="J1905" i="14" a="1"/>
  <c r="J1905" i="14" s="1"/>
  <c r="N1906" i="14"/>
  <c r="J1906" i="13" a="1"/>
  <c r="J1906" i="13" s="1"/>
  <c r="N1907" i="13"/>
  <c r="M1910" i="14"/>
  <c r="K1720" i="13" l="1"/>
  <c r="L1720" i="13" s="1"/>
  <c r="I1721" i="13" s="1"/>
  <c r="K1743" i="14"/>
  <c r="L1743" i="14" s="1"/>
  <c r="I1744" i="14" s="1"/>
  <c r="J1906" i="14" a="1"/>
  <c r="J1906" i="14" s="1"/>
  <c r="N1907" i="14"/>
  <c r="J1907" i="13" a="1"/>
  <c r="J1907" i="13" s="1"/>
  <c r="N1908" i="13"/>
  <c r="M1911" i="14"/>
  <c r="M1910" i="13"/>
  <c r="K1721" i="13" l="1"/>
  <c r="L1721" i="13" s="1"/>
  <c r="I1722" i="13" s="1"/>
  <c r="K1744" i="14"/>
  <c r="L1744" i="14" s="1"/>
  <c r="I1745" i="14" s="1"/>
  <c r="M1911" i="13"/>
  <c r="M1912" i="14"/>
  <c r="J1908" i="13" a="1"/>
  <c r="J1908" i="13" s="1"/>
  <c r="N1909" i="13"/>
  <c r="N1908" i="14"/>
  <c r="J1907" i="14" a="1"/>
  <c r="J1907" i="14" s="1"/>
  <c r="K1722" i="13" l="1"/>
  <c r="L1722" i="13" s="1"/>
  <c r="I1723" i="13" s="1"/>
  <c r="K1745" i="14"/>
  <c r="L1745" i="14" s="1"/>
  <c r="I1746" i="14" s="1"/>
  <c r="N1910" i="13"/>
  <c r="J1909" i="13" a="1"/>
  <c r="J1909" i="13" s="1"/>
  <c r="M1912" i="13"/>
  <c r="J1908" i="14" a="1"/>
  <c r="J1908" i="14" s="1"/>
  <c r="N1909" i="14"/>
  <c r="M1913" i="14"/>
  <c r="K1723" i="13" l="1"/>
  <c r="L1723" i="13" s="1"/>
  <c r="I1724" i="13" s="1"/>
  <c r="M1913" i="13"/>
  <c r="J1909" i="14" a="1"/>
  <c r="J1909" i="14" s="1"/>
  <c r="N1910" i="14"/>
  <c r="M1914" i="14"/>
  <c r="K1746" i="14"/>
  <c r="L1746" i="14" s="1"/>
  <c r="I1747" i="14" s="1"/>
  <c r="J1910" i="13" a="1"/>
  <c r="J1910" i="13" s="1"/>
  <c r="N1911" i="13"/>
  <c r="K1724" i="13" l="1"/>
  <c r="L1724" i="13" s="1"/>
  <c r="I1725" i="13" s="1"/>
  <c r="K1747" i="14"/>
  <c r="L1747" i="14" s="1"/>
  <c r="I1748" i="14" s="1"/>
  <c r="J1911" i="13" a="1"/>
  <c r="J1911" i="13" s="1"/>
  <c r="N1912" i="13"/>
  <c r="M1915" i="14"/>
  <c r="M1914" i="13"/>
  <c r="J1910" i="14" a="1"/>
  <c r="J1910" i="14" s="1"/>
  <c r="N1911" i="14"/>
  <c r="K1725" i="13" l="1"/>
  <c r="L1725" i="13" s="1"/>
  <c r="I1726" i="13" s="1"/>
  <c r="K1748" i="14"/>
  <c r="L1748" i="14" s="1"/>
  <c r="I1749" i="14" s="1"/>
  <c r="M1915" i="13"/>
  <c r="N1912" i="14"/>
  <c r="J1911" i="14" a="1"/>
  <c r="J1911" i="14" s="1"/>
  <c r="M1916" i="14"/>
  <c r="J1912" i="13" a="1"/>
  <c r="J1912" i="13" s="1"/>
  <c r="N1913" i="13"/>
  <c r="K1726" i="13" l="1"/>
  <c r="L1726" i="13" s="1"/>
  <c r="I1727" i="13" s="1"/>
  <c r="K1749" i="14"/>
  <c r="L1749" i="14" s="1"/>
  <c r="I1750" i="14" s="1"/>
  <c r="N1914" i="13"/>
  <c r="J1913" i="13" a="1"/>
  <c r="J1913" i="13" s="1"/>
  <c r="M1916" i="13"/>
  <c r="M1917" i="14"/>
  <c r="J1912" i="14" a="1"/>
  <c r="J1912" i="14" s="1"/>
  <c r="N1913" i="14"/>
  <c r="K1727" i="13" l="1"/>
  <c r="L1727" i="13" s="1"/>
  <c r="I1728" i="13" s="1"/>
  <c r="K1750" i="14"/>
  <c r="L1750" i="14" s="1"/>
  <c r="I1751" i="14" s="1"/>
  <c r="J1914" i="13" a="1"/>
  <c r="J1914" i="13" s="1"/>
  <c r="N1915" i="13"/>
  <c r="J1913" i="14" a="1"/>
  <c r="J1913" i="14" s="1"/>
  <c r="N1914" i="14"/>
  <c r="M1917" i="13"/>
  <c r="M1918" i="14"/>
  <c r="K1728" i="13" l="1"/>
  <c r="L1728" i="13" s="1"/>
  <c r="I1729" i="13" s="1"/>
  <c r="M1918" i="13"/>
  <c r="M1919" i="14"/>
  <c r="J1914" i="14" a="1"/>
  <c r="J1914" i="14" s="1"/>
  <c r="N1915" i="14"/>
  <c r="K1751" i="14"/>
  <c r="L1751" i="14" s="1"/>
  <c r="I1752" i="14" s="1"/>
  <c r="J1915" i="13" a="1"/>
  <c r="J1915" i="13" s="1"/>
  <c r="N1916" i="13"/>
  <c r="K1729" i="13" l="1"/>
  <c r="L1729" i="13" s="1"/>
  <c r="I1730" i="13" s="1"/>
  <c r="K1752" i="14"/>
  <c r="L1752" i="14" s="1"/>
  <c r="I1753" i="14" s="1"/>
  <c r="J1916" i="13" a="1"/>
  <c r="J1916" i="13" s="1"/>
  <c r="N1917" i="13"/>
  <c r="M1920" i="14"/>
  <c r="N1916" i="14"/>
  <c r="J1915" i="14" a="1"/>
  <c r="J1915" i="14" s="1"/>
  <c r="M1919" i="13"/>
  <c r="K1730" i="13" l="1"/>
  <c r="L1730" i="13" s="1"/>
  <c r="I1731" i="13" s="1"/>
  <c r="K1753" i="14"/>
  <c r="L1753" i="14" s="1"/>
  <c r="I1754" i="14" s="1"/>
  <c r="N1918" i="13"/>
  <c r="J1917" i="13" a="1"/>
  <c r="J1917" i="13" s="1"/>
  <c r="J1916" i="14" a="1"/>
  <c r="J1916" i="14" s="1"/>
  <c r="N1917" i="14"/>
  <c r="M1920" i="13"/>
  <c r="M1921" i="14"/>
  <c r="K1731" i="13" l="1"/>
  <c r="L1731" i="13" s="1"/>
  <c r="I1732" i="13" s="1"/>
  <c r="K1754" i="14"/>
  <c r="L1754" i="14" s="1"/>
  <c r="I1755" i="14" s="1"/>
  <c r="M1922" i="14"/>
  <c r="M1921" i="13"/>
  <c r="J1917" i="14" a="1"/>
  <c r="J1917" i="14" s="1"/>
  <c r="N1918" i="14"/>
  <c r="J1918" i="13" a="1"/>
  <c r="J1918" i="13" s="1"/>
  <c r="N1919" i="13"/>
  <c r="K1732" i="13" l="1"/>
  <c r="L1732" i="13" s="1"/>
  <c r="I1733" i="13" s="1"/>
  <c r="K1755" i="14"/>
  <c r="L1755" i="14" s="1"/>
  <c r="I1756" i="14" s="1"/>
  <c r="J1919" i="13" a="1"/>
  <c r="J1919" i="13" s="1"/>
  <c r="N1920" i="13"/>
  <c r="M1922" i="13"/>
  <c r="J1918" i="14" a="1"/>
  <c r="J1918" i="14" s="1"/>
  <c r="N1919" i="14"/>
  <c r="M1923" i="14"/>
  <c r="K1733" i="13" l="1"/>
  <c r="L1733" i="13" s="1"/>
  <c r="I1734" i="13" s="1"/>
  <c r="K1756" i="14"/>
  <c r="L1756" i="14" s="1"/>
  <c r="I1757" i="14" s="1"/>
  <c r="J1920" i="13" a="1"/>
  <c r="J1920" i="13" s="1"/>
  <c r="N1921" i="13"/>
  <c r="N1920" i="14"/>
  <c r="J1919" i="14" a="1"/>
  <c r="J1919" i="14" s="1"/>
  <c r="M1924" i="14"/>
  <c r="M1923" i="13"/>
  <c r="K1734" i="13" l="1"/>
  <c r="L1734" i="13" s="1"/>
  <c r="I1735" i="13" s="1"/>
  <c r="K1757" i="14"/>
  <c r="L1757" i="14" s="1"/>
  <c r="I1758" i="14" s="1"/>
  <c r="M1924" i="13"/>
  <c r="N1922" i="13"/>
  <c r="J1921" i="13" a="1"/>
  <c r="J1921" i="13" s="1"/>
  <c r="J1920" i="14" a="1"/>
  <c r="J1920" i="14" s="1"/>
  <c r="N1921" i="14"/>
  <c r="M1925" i="14"/>
  <c r="K1735" i="13" l="1"/>
  <c r="L1735" i="13" s="1"/>
  <c r="I1736" i="13" s="1"/>
  <c r="K1758" i="14"/>
  <c r="L1758" i="14" s="1"/>
  <c r="I1759" i="14" s="1"/>
  <c r="M1926" i="14"/>
  <c r="M1925" i="13"/>
  <c r="J1921" i="14" a="1"/>
  <c r="J1921" i="14" s="1"/>
  <c r="N1922" i="14"/>
  <c r="J1922" i="13" a="1"/>
  <c r="J1922" i="13" s="1"/>
  <c r="N1923" i="13"/>
  <c r="K1736" i="13" l="1"/>
  <c r="L1736" i="13" s="1"/>
  <c r="I1737" i="13" s="1"/>
  <c r="K1759" i="14"/>
  <c r="L1759" i="14" s="1"/>
  <c r="I1760" i="14" s="1"/>
  <c r="J1923" i="13" a="1"/>
  <c r="J1923" i="13" s="1"/>
  <c r="N1924" i="13"/>
  <c r="M1926" i="13"/>
  <c r="J1922" i="14" a="1"/>
  <c r="J1922" i="14" s="1"/>
  <c r="N1923" i="14"/>
  <c r="M1927" i="14"/>
  <c r="K1737" i="13" l="1"/>
  <c r="L1737" i="13" s="1"/>
  <c r="I1738" i="13" s="1"/>
  <c r="K1760" i="14"/>
  <c r="L1760" i="14" s="1"/>
  <c r="I1761" i="14" s="1"/>
  <c r="J1924" i="13" a="1"/>
  <c r="J1924" i="13" s="1"/>
  <c r="N1925" i="13"/>
  <c r="M1928" i="14"/>
  <c r="M1927" i="13"/>
  <c r="N1924" i="14"/>
  <c r="J1923" i="14" a="1"/>
  <c r="J1923" i="14" s="1"/>
  <c r="K1738" i="13" l="1"/>
  <c r="L1738" i="13" s="1"/>
  <c r="I1739" i="13" s="1"/>
  <c r="K1761" i="14"/>
  <c r="L1761" i="14" s="1"/>
  <c r="I1762" i="14" s="1"/>
  <c r="M1929" i="14"/>
  <c r="N1926" i="13"/>
  <c r="J1925" i="13" a="1"/>
  <c r="J1925" i="13" s="1"/>
  <c r="J1924" i="14" a="1"/>
  <c r="J1924" i="14" s="1"/>
  <c r="N1925" i="14"/>
  <c r="M1928" i="13"/>
  <c r="K1739" i="13" l="1"/>
  <c r="L1739" i="13" s="1"/>
  <c r="I1740" i="13" s="1"/>
  <c r="K1762" i="14"/>
  <c r="L1762" i="14" s="1"/>
  <c r="I1763" i="14" s="1"/>
  <c r="M1929" i="13"/>
  <c r="J1926" i="13" a="1"/>
  <c r="J1926" i="13" s="1"/>
  <c r="N1927" i="13"/>
  <c r="J1925" i="14" a="1"/>
  <c r="J1925" i="14" s="1"/>
  <c r="N1926" i="14"/>
  <c r="M1930" i="14"/>
  <c r="K1740" i="13" l="1"/>
  <c r="L1740" i="13" s="1"/>
  <c r="I1741" i="13" s="1"/>
  <c r="M1931" i="14"/>
  <c r="J1927" i="13" a="1"/>
  <c r="J1927" i="13" s="1"/>
  <c r="N1928" i="13"/>
  <c r="J1926" i="14" a="1"/>
  <c r="J1926" i="14" s="1"/>
  <c r="N1927" i="14"/>
  <c r="M1930" i="13"/>
  <c r="K1763" i="14"/>
  <c r="L1763" i="14" s="1"/>
  <c r="I1764" i="14" s="1"/>
  <c r="K1741" i="13" l="1"/>
  <c r="L1741" i="13" s="1"/>
  <c r="I1742" i="13" s="1"/>
  <c r="K1764" i="14"/>
  <c r="L1764" i="14" s="1"/>
  <c r="I1765" i="14" s="1"/>
  <c r="N1928" i="14"/>
  <c r="J1927" i="14" a="1"/>
  <c r="J1927" i="14" s="1"/>
  <c r="M1932" i="14"/>
  <c r="J1928" i="13" a="1"/>
  <c r="J1928" i="13" s="1"/>
  <c r="N1929" i="13"/>
  <c r="M1931" i="13"/>
  <c r="K1742" i="13" l="1"/>
  <c r="L1742" i="13" s="1"/>
  <c r="I1743" i="13" s="1"/>
  <c r="J1928" i="14" a="1"/>
  <c r="J1928" i="14" s="1"/>
  <c r="N1929" i="14"/>
  <c r="N1930" i="13"/>
  <c r="J1929" i="13" a="1"/>
  <c r="J1929" i="13" s="1"/>
  <c r="M1932" i="13"/>
  <c r="M1933" i="14"/>
  <c r="K1765" i="14"/>
  <c r="L1765" i="14" s="1"/>
  <c r="I1766" i="14" s="1"/>
  <c r="K1743" i="13" l="1"/>
  <c r="L1743" i="13" s="1"/>
  <c r="I1744" i="13" s="1"/>
  <c r="K1766" i="14"/>
  <c r="L1766" i="14" s="1"/>
  <c r="I1767" i="14" s="1"/>
  <c r="J1929" i="14" a="1"/>
  <c r="J1929" i="14" s="1"/>
  <c r="N1930" i="14"/>
  <c r="M1933" i="13"/>
  <c r="M1934" i="14"/>
  <c r="J1930" i="13" a="1"/>
  <c r="J1930" i="13" s="1"/>
  <c r="N1931" i="13"/>
  <c r="K1744" i="13" l="1"/>
  <c r="L1744" i="13" s="1"/>
  <c r="I1745" i="13" s="1"/>
  <c r="K1767" i="14"/>
  <c r="L1767" i="14" s="1"/>
  <c r="I1768" i="14" s="1"/>
  <c r="J1931" i="13" a="1"/>
  <c r="J1931" i="13" s="1"/>
  <c r="N1932" i="13"/>
  <c r="M1934" i="13"/>
  <c r="M1935" i="14"/>
  <c r="J1930" i="14" a="1"/>
  <c r="J1930" i="14" s="1"/>
  <c r="N1931" i="14"/>
  <c r="K1745" i="13" l="1"/>
  <c r="L1745" i="13" s="1"/>
  <c r="I1746" i="13" s="1"/>
  <c r="K1768" i="14"/>
  <c r="L1768" i="14" s="1"/>
  <c r="I1769" i="14" s="1"/>
  <c r="M1935" i="13"/>
  <c r="N1932" i="14"/>
  <c r="J1931" i="14" a="1"/>
  <c r="J1931" i="14" s="1"/>
  <c r="J1932" i="13" a="1"/>
  <c r="J1932" i="13" s="1"/>
  <c r="N1933" i="13"/>
  <c r="M1936" i="14"/>
  <c r="K1746" i="13" l="1"/>
  <c r="L1746" i="13" s="1"/>
  <c r="I1747" i="13" s="1"/>
  <c r="K1769" i="14"/>
  <c r="L1769" i="14" s="1"/>
  <c r="I1770" i="14" s="1"/>
  <c r="J1932" i="14" a="1"/>
  <c r="J1932" i="14" s="1"/>
  <c r="N1933" i="14"/>
  <c r="M1937" i="14"/>
  <c r="N1934" i="13"/>
  <c r="J1933" i="13" a="1"/>
  <c r="J1933" i="13" s="1"/>
  <c r="M1936" i="13"/>
  <c r="K1747" i="13" l="1"/>
  <c r="L1747" i="13" s="1"/>
  <c r="I1748" i="13" s="1"/>
  <c r="K1770" i="14"/>
  <c r="L1770" i="14" s="1"/>
  <c r="I1771" i="14" s="1"/>
  <c r="J1934" i="13" a="1"/>
  <c r="J1934" i="13" s="1"/>
  <c r="N1935" i="13"/>
  <c r="M1937" i="13"/>
  <c r="M1938" i="14"/>
  <c r="J1933" i="14" a="1"/>
  <c r="J1933" i="14" s="1"/>
  <c r="N1934" i="14"/>
  <c r="K1748" i="13" l="1"/>
  <c r="L1748" i="13" s="1"/>
  <c r="I1749" i="13" s="1"/>
  <c r="K1771" i="14"/>
  <c r="L1771" i="14" s="1"/>
  <c r="I1772" i="14" s="1"/>
  <c r="M1938" i="13"/>
  <c r="J1935" i="13" a="1"/>
  <c r="J1935" i="13" s="1"/>
  <c r="N1936" i="13"/>
  <c r="J1934" i="14" a="1"/>
  <c r="J1934" i="14" s="1"/>
  <c r="N1935" i="14"/>
  <c r="M1939" i="14"/>
  <c r="K1749" i="13" l="1"/>
  <c r="L1749" i="13" s="1"/>
  <c r="I1750" i="13" s="1"/>
  <c r="K1772" i="14"/>
  <c r="L1772" i="14" s="1"/>
  <c r="I1773" i="14" s="1"/>
  <c r="M1940" i="14"/>
  <c r="N1936" i="14"/>
  <c r="J1935" i="14" a="1"/>
  <c r="J1935" i="14" s="1"/>
  <c r="J1936" i="13" a="1"/>
  <c r="J1936" i="13" s="1"/>
  <c r="N1937" i="13"/>
  <c r="M1939" i="13"/>
  <c r="K1750" i="13" l="1"/>
  <c r="L1750" i="13" s="1"/>
  <c r="I1751" i="13" s="1"/>
  <c r="K1773" i="14"/>
  <c r="L1773" i="14" s="1"/>
  <c r="I1774" i="14" s="1"/>
  <c r="M1940" i="13"/>
  <c r="J1936" i="14" a="1"/>
  <c r="J1936" i="14" s="1"/>
  <c r="N1937" i="14"/>
  <c r="N1938" i="13"/>
  <c r="J1937" i="13" a="1"/>
  <c r="J1937" i="13" s="1"/>
  <c r="M1941" i="14"/>
  <c r="K1751" i="13" l="1"/>
  <c r="L1751" i="13" s="1"/>
  <c r="I1752" i="13" s="1"/>
  <c r="K1774" i="14"/>
  <c r="L1774" i="14" s="1"/>
  <c r="I1775" i="14" s="1"/>
  <c r="J1937" i="14" a="1"/>
  <c r="J1937" i="14" s="1"/>
  <c r="N1938" i="14"/>
  <c r="M1942" i="14"/>
  <c r="M1941" i="13"/>
  <c r="J1938" i="13" a="1"/>
  <c r="J1938" i="13" s="1"/>
  <c r="N1939" i="13"/>
  <c r="K1752" i="13" l="1"/>
  <c r="L1752" i="13" s="1"/>
  <c r="I1753" i="13" s="1"/>
  <c r="K1775" i="14"/>
  <c r="L1775" i="14" s="1"/>
  <c r="I1776" i="14" s="1"/>
  <c r="J1939" i="13" a="1"/>
  <c r="J1939" i="13" s="1"/>
  <c r="N1940" i="13"/>
  <c r="M1943" i="14"/>
  <c r="J1938" i="14" a="1"/>
  <c r="J1938" i="14" s="1"/>
  <c r="N1939" i="14"/>
  <c r="M1942" i="13"/>
  <c r="K1753" i="13" l="1"/>
  <c r="L1753" i="13" s="1"/>
  <c r="I1754" i="13" s="1"/>
  <c r="K1776" i="14"/>
  <c r="L1776" i="14" s="1"/>
  <c r="I1777" i="14" s="1"/>
  <c r="N1940" i="14"/>
  <c r="J1939" i="14" a="1"/>
  <c r="J1939" i="14" s="1"/>
  <c r="M1943" i="13"/>
  <c r="M1944" i="14"/>
  <c r="J1940" i="13" a="1"/>
  <c r="J1940" i="13" s="1"/>
  <c r="N1941" i="13"/>
  <c r="K1754" i="13" l="1"/>
  <c r="L1754" i="13" s="1"/>
  <c r="I1755" i="13" s="1"/>
  <c r="K1777" i="14"/>
  <c r="L1777" i="14" s="1"/>
  <c r="I1778" i="14" s="1"/>
  <c r="N1942" i="13"/>
  <c r="J1941" i="13" a="1"/>
  <c r="J1941" i="13" s="1"/>
  <c r="M1944" i="13"/>
  <c r="M1945" i="14"/>
  <c r="J1940" i="14" a="1"/>
  <c r="J1940" i="14" s="1"/>
  <c r="N1941" i="14"/>
  <c r="K1755" i="13" l="1"/>
  <c r="L1755" i="13" s="1"/>
  <c r="I1756" i="13" s="1"/>
  <c r="K1778" i="14"/>
  <c r="L1778" i="14" s="1"/>
  <c r="I1779" i="14" s="1"/>
  <c r="M1946" i="14"/>
  <c r="J1942" i="13" a="1"/>
  <c r="J1942" i="13" s="1"/>
  <c r="N1943" i="13"/>
  <c r="J1941" i="14" a="1"/>
  <c r="J1941" i="14" s="1"/>
  <c r="N1942" i="14"/>
  <c r="M1945" i="13"/>
  <c r="K1756" i="13" l="1"/>
  <c r="L1756" i="13" s="1"/>
  <c r="I1757" i="13" s="1"/>
  <c r="K1779" i="14"/>
  <c r="L1779" i="14" s="1"/>
  <c r="I1780" i="14" s="1"/>
  <c r="J1943" i="13" a="1"/>
  <c r="J1943" i="13" s="1"/>
  <c r="N1944" i="13"/>
  <c r="M1946" i="13"/>
  <c r="J1942" i="14" a="1"/>
  <c r="J1942" i="14" s="1"/>
  <c r="N1943" i="14"/>
  <c r="M1947" i="14"/>
  <c r="K1757" i="13" l="1"/>
  <c r="L1757" i="13" s="1"/>
  <c r="I1758" i="13" s="1"/>
  <c r="K1780" i="14"/>
  <c r="L1780" i="14" s="1"/>
  <c r="I1781" i="14" s="1"/>
  <c r="N1944" i="14"/>
  <c r="J1943" i="14" a="1"/>
  <c r="J1943" i="14" s="1"/>
  <c r="M1948" i="14"/>
  <c r="M1947" i="13"/>
  <c r="J1944" i="13" a="1"/>
  <c r="J1944" i="13" s="1"/>
  <c r="N1945" i="13"/>
  <c r="K1758" i="13" l="1"/>
  <c r="L1758" i="13" s="1"/>
  <c r="I1759" i="13" s="1"/>
  <c r="K1781" i="14"/>
  <c r="L1781" i="14" s="1"/>
  <c r="I1782" i="14" s="1"/>
  <c r="M1949" i="14"/>
  <c r="N1946" i="13"/>
  <c r="J1945" i="13" a="1"/>
  <c r="J1945" i="13" s="1"/>
  <c r="M1948" i="13"/>
  <c r="J1944" i="14" a="1"/>
  <c r="J1944" i="14" s="1"/>
  <c r="N1945" i="14"/>
  <c r="K1759" i="13" l="1"/>
  <c r="L1759" i="13" s="1"/>
  <c r="I1760" i="13" s="1"/>
  <c r="K1782" i="14"/>
  <c r="L1782" i="14" s="1"/>
  <c r="I1783" i="14" s="1"/>
  <c r="J1946" i="13" a="1"/>
  <c r="J1946" i="13" s="1"/>
  <c r="N1947" i="13"/>
  <c r="J1945" i="14" a="1"/>
  <c r="J1945" i="14" s="1"/>
  <c r="N1946" i="14"/>
  <c r="M1949" i="13"/>
  <c r="M1950" i="14"/>
  <c r="K1760" i="13" l="1"/>
  <c r="L1760" i="13" s="1"/>
  <c r="I1761" i="13" s="1"/>
  <c r="K1783" i="14"/>
  <c r="L1783" i="14" s="1"/>
  <c r="I1784" i="14" s="1"/>
  <c r="J1946" i="14" a="1"/>
  <c r="J1946" i="14" s="1"/>
  <c r="N1947" i="14"/>
  <c r="J1947" i="13" a="1"/>
  <c r="J1947" i="13" s="1"/>
  <c r="N1948" i="13"/>
  <c r="M1951" i="14"/>
  <c r="M1950" i="13"/>
  <c r="K1761" i="13" l="1"/>
  <c r="L1761" i="13" s="1"/>
  <c r="I1762" i="13" s="1"/>
  <c r="K1784" i="14"/>
  <c r="L1784" i="14" s="1"/>
  <c r="I1785" i="14" s="1"/>
  <c r="J1948" i="13" a="1"/>
  <c r="J1948" i="13" s="1"/>
  <c r="N1949" i="13"/>
  <c r="N1948" i="14"/>
  <c r="J1947" i="14" a="1"/>
  <c r="J1947" i="14" s="1"/>
  <c r="M1951" i="13"/>
  <c r="M1952" i="14"/>
  <c r="K1762" i="13" l="1"/>
  <c r="L1762" i="13" s="1"/>
  <c r="I1763" i="13" s="1"/>
  <c r="K1785" i="14"/>
  <c r="L1785" i="14" s="1"/>
  <c r="I1786" i="14" s="1"/>
  <c r="J1948" i="14" a="1"/>
  <c r="J1948" i="14" s="1"/>
  <c r="N1949" i="14"/>
  <c r="N1950" i="13"/>
  <c r="J1949" i="13" a="1"/>
  <c r="J1949" i="13" s="1"/>
  <c r="M1953" i="14"/>
  <c r="M1952" i="13"/>
  <c r="K1763" i="13" l="1"/>
  <c r="L1763" i="13" s="1"/>
  <c r="I1764" i="13" s="1"/>
  <c r="K1786" i="14"/>
  <c r="L1786" i="14" s="1"/>
  <c r="I1787" i="14" s="1"/>
  <c r="J1950" i="13" a="1"/>
  <c r="J1950" i="13" s="1"/>
  <c r="N1951" i="13"/>
  <c r="M1953" i="13"/>
  <c r="J1949" i="14" a="1"/>
  <c r="J1949" i="14" s="1"/>
  <c r="N1950" i="14"/>
  <c r="M1954" i="14"/>
  <c r="K1764" i="13" l="1"/>
  <c r="L1764" i="13" s="1"/>
  <c r="I1765" i="13" s="1"/>
  <c r="K1787" i="14"/>
  <c r="L1787" i="14" s="1"/>
  <c r="I1788" i="14" s="1"/>
  <c r="J1950" i="14" a="1"/>
  <c r="J1950" i="14" s="1"/>
  <c r="N1951" i="14"/>
  <c r="M1955" i="14"/>
  <c r="M1954" i="13"/>
  <c r="J1951" i="13" a="1"/>
  <c r="J1951" i="13" s="1"/>
  <c r="N1952" i="13"/>
  <c r="K1765" i="13" l="1"/>
  <c r="L1765" i="13" s="1"/>
  <c r="I1766" i="13" s="1"/>
  <c r="K1788" i="14"/>
  <c r="L1788" i="14" s="1"/>
  <c r="I1789" i="14" s="1"/>
  <c r="J1952" i="13" a="1"/>
  <c r="J1952" i="13" s="1"/>
  <c r="N1953" i="13"/>
  <c r="M1956" i="14"/>
  <c r="N1952" i="14"/>
  <c r="J1951" i="14" a="1"/>
  <c r="J1951" i="14" s="1"/>
  <c r="M1955" i="13"/>
  <c r="K1766" i="13" l="1"/>
  <c r="L1766" i="13" s="1"/>
  <c r="I1767" i="13" s="1"/>
  <c r="K1789" i="14"/>
  <c r="L1789" i="14" s="1"/>
  <c r="I1790" i="14" s="1"/>
  <c r="N1954" i="13"/>
  <c r="J1953" i="13" a="1"/>
  <c r="J1953" i="13" s="1"/>
  <c r="J1952" i="14" a="1"/>
  <c r="J1952" i="14" s="1"/>
  <c r="N1953" i="14"/>
  <c r="M1956" i="13"/>
  <c r="M1957" i="14"/>
  <c r="K1767" i="13" l="1"/>
  <c r="L1767" i="13" s="1"/>
  <c r="I1768" i="13" s="1"/>
  <c r="K1790" i="14"/>
  <c r="L1790" i="14" s="1"/>
  <c r="I1791" i="14" s="1"/>
  <c r="J1953" i="14" a="1"/>
  <c r="J1953" i="14" s="1"/>
  <c r="N1954" i="14"/>
  <c r="M1958" i="14"/>
  <c r="M1957" i="13"/>
  <c r="J1954" i="13" a="1"/>
  <c r="J1954" i="13" s="1"/>
  <c r="N1955" i="13"/>
  <c r="K1768" i="13" l="1"/>
  <c r="L1768" i="13" s="1"/>
  <c r="I1769" i="13" s="1"/>
  <c r="K1791" i="14"/>
  <c r="L1791" i="14" s="1"/>
  <c r="I1792" i="14" s="1"/>
  <c r="J1954" i="14" a="1"/>
  <c r="J1954" i="14" s="1"/>
  <c r="N1955" i="14"/>
  <c r="J1955" i="13" a="1"/>
  <c r="J1955" i="13" s="1"/>
  <c r="N1956" i="13"/>
  <c r="M1959" i="14"/>
  <c r="M1958" i="13"/>
  <c r="K1769" i="13" l="1"/>
  <c r="L1769" i="13" s="1"/>
  <c r="I1770" i="13" s="1"/>
  <c r="K1792" i="14"/>
  <c r="L1792" i="14" s="1"/>
  <c r="I1793" i="14" s="1"/>
  <c r="M1959" i="13"/>
  <c r="J1956" i="13" a="1"/>
  <c r="J1956" i="13" s="1"/>
  <c r="N1957" i="13"/>
  <c r="N1956" i="14"/>
  <c r="J1955" i="14" a="1"/>
  <c r="J1955" i="14" s="1"/>
  <c r="M1960" i="14"/>
  <c r="K1770" i="13" l="1"/>
  <c r="L1770" i="13" s="1"/>
  <c r="I1771" i="13" s="1"/>
  <c r="K1793" i="14"/>
  <c r="L1793" i="14" s="1"/>
  <c r="I1794" i="14" s="1"/>
  <c r="N1958" i="13"/>
  <c r="J1957" i="13" a="1"/>
  <c r="J1957" i="13" s="1"/>
  <c r="M1961" i="14"/>
  <c r="J1956" i="14" a="1"/>
  <c r="J1956" i="14" s="1"/>
  <c r="N1957" i="14"/>
  <c r="M1960" i="13"/>
  <c r="K1771" i="13" l="1"/>
  <c r="L1771" i="13" s="1"/>
  <c r="I1772" i="13" s="1"/>
  <c r="K1794" i="14"/>
  <c r="L1794" i="14" s="1"/>
  <c r="I1795" i="14" s="1"/>
  <c r="M1961" i="13"/>
  <c r="M1962" i="14"/>
  <c r="J1957" i="14" a="1"/>
  <c r="J1957" i="14" s="1"/>
  <c r="N1958" i="14"/>
  <c r="J1958" i="13" a="1"/>
  <c r="J1958" i="13" s="1"/>
  <c r="N1959" i="13"/>
  <c r="K1772" i="13" l="1"/>
  <c r="L1772" i="13" s="1"/>
  <c r="I1773" i="13" s="1"/>
  <c r="K1795" i="14"/>
  <c r="L1795" i="14" s="1"/>
  <c r="I1796" i="14" s="1"/>
  <c r="J1959" i="13" a="1"/>
  <c r="J1959" i="13" s="1"/>
  <c r="N1960" i="13"/>
  <c r="M1963" i="14"/>
  <c r="J1958" i="14" a="1"/>
  <c r="J1958" i="14" s="1"/>
  <c r="N1959" i="14"/>
  <c r="M1962" i="13"/>
  <c r="K1773" i="13" l="1"/>
  <c r="L1773" i="13" s="1"/>
  <c r="I1774" i="13" s="1"/>
  <c r="N1960" i="14"/>
  <c r="J1959" i="14" a="1"/>
  <c r="J1959" i="14" s="1"/>
  <c r="M1963" i="13"/>
  <c r="M1964" i="14"/>
  <c r="K1796" i="14"/>
  <c r="L1796" i="14" s="1"/>
  <c r="I1797" i="14" s="1"/>
  <c r="J1960" i="13" a="1"/>
  <c r="J1960" i="13" s="1"/>
  <c r="N1961" i="13"/>
  <c r="K1774" i="13" l="1"/>
  <c r="L1774" i="13" s="1"/>
  <c r="I1775" i="13" s="1"/>
  <c r="K1797" i="14"/>
  <c r="L1797" i="14" s="1"/>
  <c r="I1798" i="14" s="1"/>
  <c r="M1965" i="14"/>
  <c r="J1960" i="14" a="1"/>
  <c r="J1960" i="14" s="1"/>
  <c r="N1961" i="14"/>
  <c r="N1962" i="13"/>
  <c r="J1961" i="13" a="1"/>
  <c r="J1961" i="13" s="1"/>
  <c r="M1964" i="13"/>
  <c r="K1775" i="13" l="1"/>
  <c r="L1775" i="13" s="1"/>
  <c r="I1776" i="13" s="1"/>
  <c r="K1798" i="14"/>
  <c r="L1798" i="14" s="1"/>
  <c r="I1799" i="14" s="1"/>
  <c r="J1961" i="14" a="1"/>
  <c r="J1961" i="14" s="1"/>
  <c r="N1962" i="14"/>
  <c r="M1965" i="13"/>
  <c r="J1962" i="13" a="1"/>
  <c r="J1962" i="13" s="1"/>
  <c r="N1963" i="13"/>
  <c r="M1966" i="14"/>
  <c r="K1776" i="13" l="1"/>
  <c r="L1776" i="13" s="1"/>
  <c r="I1777" i="13" s="1"/>
  <c r="K1799" i="14"/>
  <c r="L1799" i="14" s="1"/>
  <c r="I1800" i="14" s="1"/>
  <c r="M1967" i="14"/>
  <c r="M1966" i="13"/>
  <c r="J1962" i="14" a="1"/>
  <c r="J1962" i="14" s="1"/>
  <c r="N1963" i="14"/>
  <c r="J1963" i="13" a="1"/>
  <c r="J1963" i="13" s="1"/>
  <c r="N1964" i="13"/>
  <c r="K1777" i="13" l="1"/>
  <c r="L1777" i="13" s="1"/>
  <c r="I1778" i="13" s="1"/>
  <c r="M1967" i="13"/>
  <c r="J1964" i="13" a="1"/>
  <c r="J1964" i="13" s="1"/>
  <c r="N1965" i="13"/>
  <c r="N1964" i="14"/>
  <c r="J1963" i="14" a="1"/>
  <c r="J1963" i="14" s="1"/>
  <c r="M1968" i="14"/>
  <c r="K1800" i="14"/>
  <c r="L1800" i="14" s="1"/>
  <c r="I1801" i="14" s="1"/>
  <c r="K1778" i="13" l="1"/>
  <c r="L1778" i="13" s="1"/>
  <c r="I1779" i="13" s="1"/>
  <c r="K1801" i="14"/>
  <c r="L1801" i="14" s="1"/>
  <c r="I1802" i="14" s="1"/>
  <c r="J1964" i="14" a="1"/>
  <c r="J1964" i="14" s="1"/>
  <c r="N1965" i="14"/>
  <c r="M1968" i="13"/>
  <c r="N1966" i="13"/>
  <c r="J1965" i="13" a="1"/>
  <c r="J1965" i="13" s="1"/>
  <c r="M1969" i="14"/>
  <c r="K1779" i="13" l="1"/>
  <c r="L1779" i="13" s="1"/>
  <c r="I1780" i="13" s="1"/>
  <c r="K1802" i="14"/>
  <c r="L1802" i="14" s="1"/>
  <c r="I1803" i="14" s="1"/>
  <c r="J1965" i="14" a="1"/>
  <c r="J1965" i="14" s="1"/>
  <c r="N1966" i="14"/>
  <c r="J1966" i="13" a="1"/>
  <c r="J1966" i="13" s="1"/>
  <c r="N1967" i="13"/>
  <c r="M1969" i="13"/>
  <c r="M1970" i="14"/>
  <c r="K1780" i="13" l="1"/>
  <c r="L1780" i="13" s="1"/>
  <c r="I1781" i="13" s="1"/>
  <c r="K1803" i="14"/>
  <c r="L1803" i="14" s="1"/>
  <c r="I1804" i="14" s="1"/>
  <c r="M1970" i="13"/>
  <c r="M1971" i="14"/>
  <c r="J1967" i="13" a="1"/>
  <c r="J1967" i="13" s="1"/>
  <c r="N1968" i="13"/>
  <c r="J1966" i="14" a="1"/>
  <c r="J1966" i="14" s="1"/>
  <c r="N1967" i="14"/>
  <c r="K1781" i="13" l="1"/>
  <c r="L1781" i="13" s="1"/>
  <c r="I1782" i="13" s="1"/>
  <c r="K1804" i="14"/>
  <c r="L1804" i="14" s="1"/>
  <c r="I1805" i="14" s="1"/>
  <c r="N1968" i="14"/>
  <c r="J1967" i="14" a="1"/>
  <c r="J1967" i="14" s="1"/>
  <c r="M1972" i="14"/>
  <c r="J1968" i="13" a="1"/>
  <c r="J1968" i="13" s="1"/>
  <c r="N1969" i="13"/>
  <c r="M1971" i="13"/>
  <c r="K1782" i="13" l="1"/>
  <c r="L1782" i="13" s="1"/>
  <c r="I1783" i="13" s="1"/>
  <c r="M1972" i="13"/>
  <c r="M1973" i="14"/>
  <c r="K1805" i="14"/>
  <c r="L1805" i="14" s="1"/>
  <c r="I1806" i="14" s="1"/>
  <c r="N1970" i="13"/>
  <c r="J1969" i="13" a="1"/>
  <c r="J1969" i="13" s="1"/>
  <c r="J1968" i="14" a="1"/>
  <c r="J1968" i="14" s="1"/>
  <c r="N1969" i="14"/>
  <c r="K1783" i="13" l="1"/>
  <c r="L1783" i="13" s="1"/>
  <c r="I1784" i="13" s="1"/>
  <c r="K1806" i="14"/>
  <c r="L1806" i="14" s="1"/>
  <c r="I1807" i="14" s="1"/>
  <c r="M1973" i="13"/>
  <c r="J1969" i="14" a="1"/>
  <c r="J1969" i="14" s="1"/>
  <c r="N1970" i="14"/>
  <c r="J1970" i="13" a="1"/>
  <c r="J1970" i="13" s="1"/>
  <c r="N1971" i="13"/>
  <c r="M1974" i="14"/>
  <c r="K1784" i="13" l="1"/>
  <c r="L1784" i="13" s="1"/>
  <c r="I1785" i="13" s="1"/>
  <c r="K1807" i="14"/>
  <c r="L1807" i="14" s="1"/>
  <c r="I1808" i="14" s="1"/>
  <c r="J1970" i="14" a="1"/>
  <c r="J1970" i="14" s="1"/>
  <c r="N1971" i="14"/>
  <c r="M1975" i="14"/>
  <c r="J1971" i="13" a="1"/>
  <c r="J1971" i="13" s="1"/>
  <c r="N1972" i="13"/>
  <c r="M1974" i="13"/>
  <c r="K1785" i="13" l="1"/>
  <c r="L1785" i="13" s="1"/>
  <c r="I1786" i="13" s="1"/>
  <c r="K1808" i="14"/>
  <c r="L1808" i="14" s="1"/>
  <c r="I1809" i="14" s="1"/>
  <c r="N1972" i="14"/>
  <c r="J1971" i="14" a="1"/>
  <c r="J1971" i="14" s="1"/>
  <c r="M1975" i="13"/>
  <c r="J1972" i="13" a="1"/>
  <c r="J1972" i="13" s="1"/>
  <c r="N1973" i="13"/>
  <c r="M1976" i="14"/>
  <c r="K1786" i="13" l="1"/>
  <c r="L1786" i="13" s="1"/>
  <c r="I1787" i="13" s="1"/>
  <c r="K1809" i="14"/>
  <c r="L1809" i="14" s="1"/>
  <c r="I1810" i="14" s="1"/>
  <c r="N1974" i="13"/>
  <c r="J1973" i="13" a="1"/>
  <c r="J1973" i="13" s="1"/>
  <c r="M1977" i="14"/>
  <c r="M1976" i="13"/>
  <c r="J1972" i="14" a="1"/>
  <c r="J1972" i="14" s="1"/>
  <c r="N1973" i="14"/>
  <c r="K1787" i="13" l="1"/>
  <c r="L1787" i="13" s="1"/>
  <c r="I1788" i="13" s="1"/>
  <c r="K1810" i="14"/>
  <c r="L1810" i="14" s="1"/>
  <c r="I1811" i="14" s="1"/>
  <c r="J1973" i="14" a="1"/>
  <c r="J1973" i="14" s="1"/>
  <c r="N1974" i="14"/>
  <c r="M1978" i="14"/>
  <c r="M1977" i="13"/>
  <c r="J1974" i="13" a="1"/>
  <c r="J1974" i="13" s="1"/>
  <c r="N1975" i="13"/>
  <c r="K1788" i="13" l="1"/>
  <c r="L1788" i="13" s="1"/>
  <c r="I1789" i="13" s="1"/>
  <c r="J1975" i="13" a="1"/>
  <c r="J1975" i="13" s="1"/>
  <c r="N1976" i="13"/>
  <c r="M1979" i="14"/>
  <c r="K1811" i="14"/>
  <c r="L1811" i="14" s="1"/>
  <c r="I1812" i="14" s="1"/>
  <c r="J1974" i="14" a="1"/>
  <c r="J1974" i="14" s="1"/>
  <c r="N1975" i="14"/>
  <c r="M1978" i="13"/>
  <c r="K1789" i="13" l="1"/>
  <c r="L1789" i="13" s="1"/>
  <c r="I1790" i="13" s="1"/>
  <c r="K1812" i="14"/>
  <c r="L1812" i="14" s="1"/>
  <c r="I1813" i="14" s="1"/>
  <c r="J1976" i="13" a="1"/>
  <c r="J1976" i="13" s="1"/>
  <c r="N1977" i="13"/>
  <c r="M1979" i="13"/>
  <c r="N1976" i="14"/>
  <c r="J1975" i="14" a="1"/>
  <c r="J1975" i="14" s="1"/>
  <c r="M1980" i="14"/>
  <c r="K1790" i="13" l="1"/>
  <c r="L1790" i="13" s="1"/>
  <c r="I1791" i="13" s="1"/>
  <c r="J1976" i="14" a="1"/>
  <c r="J1976" i="14" s="1"/>
  <c r="N1977" i="14"/>
  <c r="M1981" i="14"/>
  <c r="M1980" i="13"/>
  <c r="K1813" i="14"/>
  <c r="L1813" i="14" s="1"/>
  <c r="I1814" i="14" s="1"/>
  <c r="N1978" i="13"/>
  <c r="J1977" i="13" a="1"/>
  <c r="J1977" i="13" s="1"/>
  <c r="K1791" i="13" l="1"/>
  <c r="L1791" i="13" s="1"/>
  <c r="I1792" i="13" s="1"/>
  <c r="K1814" i="14"/>
  <c r="L1814" i="14" s="1"/>
  <c r="I1815" i="14" s="1"/>
  <c r="J1977" i="14" a="1"/>
  <c r="J1977" i="14" s="1"/>
  <c r="N1978" i="14"/>
  <c r="M1981" i="13"/>
  <c r="J1978" i="13" a="1"/>
  <c r="J1978" i="13" s="1"/>
  <c r="N1979" i="13"/>
  <c r="M1982" i="14"/>
  <c r="K1792" i="13" l="1"/>
  <c r="L1792" i="13" s="1"/>
  <c r="I1793" i="13" s="1"/>
  <c r="K1815" i="14"/>
  <c r="L1815" i="14" s="1"/>
  <c r="I1816" i="14" s="1"/>
  <c r="J1979" i="13" a="1"/>
  <c r="J1979" i="13" s="1"/>
  <c r="N1980" i="13"/>
  <c r="J1978" i="14" a="1"/>
  <c r="J1978" i="14" s="1"/>
  <c r="N1979" i="14"/>
  <c r="M1983" i="14"/>
  <c r="M1982" i="13"/>
  <c r="K1793" i="13" l="1"/>
  <c r="L1793" i="13" s="1"/>
  <c r="I1794" i="13" s="1"/>
  <c r="K1816" i="14"/>
  <c r="L1816" i="14" s="1"/>
  <c r="I1817" i="14" s="1"/>
  <c r="N1980" i="14"/>
  <c r="J1979" i="14" a="1"/>
  <c r="J1979" i="14" s="1"/>
  <c r="M1983" i="13"/>
  <c r="J1980" i="13" a="1"/>
  <c r="J1980" i="13" s="1"/>
  <c r="N1981" i="13"/>
  <c r="M1984" i="14"/>
  <c r="K1794" i="13" l="1"/>
  <c r="L1794" i="13" s="1"/>
  <c r="I1795" i="13" s="1"/>
  <c r="M1984" i="13"/>
  <c r="K1817" i="14"/>
  <c r="L1817" i="14" s="1"/>
  <c r="I1818" i="14" s="1"/>
  <c r="M1985" i="14"/>
  <c r="N1982" i="13"/>
  <c r="J1981" i="13" a="1"/>
  <c r="J1981" i="13" s="1"/>
  <c r="J1980" i="14" a="1"/>
  <c r="J1980" i="14" s="1"/>
  <c r="N1981" i="14"/>
  <c r="K1795" i="13" l="1"/>
  <c r="L1795" i="13" s="1"/>
  <c r="I1796" i="13" s="1"/>
  <c r="K1818" i="14"/>
  <c r="L1818" i="14" s="1"/>
  <c r="I1819" i="14" s="1"/>
  <c r="J1981" i="14" a="1"/>
  <c r="J1981" i="14" s="1"/>
  <c r="N1982" i="14"/>
  <c r="M1985" i="13"/>
  <c r="M1986" i="14"/>
  <c r="J1982" i="13" a="1"/>
  <c r="J1982" i="13" s="1"/>
  <c r="N1983" i="13"/>
  <c r="K1796" i="13" l="1"/>
  <c r="L1796" i="13" s="1"/>
  <c r="I1797" i="13" s="1"/>
  <c r="K1819" i="14"/>
  <c r="L1819" i="14" s="1"/>
  <c r="I1820" i="14" s="1"/>
  <c r="J1982" i="14" a="1"/>
  <c r="J1982" i="14" s="1"/>
  <c r="N1983" i="14"/>
  <c r="J1983" i="13" a="1"/>
  <c r="J1983" i="13" s="1"/>
  <c r="N1984" i="13"/>
  <c r="M1986" i="13"/>
  <c r="M1987" i="14"/>
  <c r="K1797" i="13" l="1"/>
  <c r="L1797" i="13" s="1"/>
  <c r="I1798" i="13" s="1"/>
  <c r="K1820" i="14"/>
  <c r="L1820" i="14" s="1"/>
  <c r="I1821" i="14" s="1"/>
  <c r="J1984" i="13" a="1"/>
  <c r="J1984" i="13" s="1"/>
  <c r="N1985" i="13"/>
  <c r="M1988" i="14"/>
  <c r="N1984" i="14"/>
  <c r="J1983" i="14" a="1"/>
  <c r="J1983" i="14" s="1"/>
  <c r="M1987" i="13"/>
  <c r="K1798" i="13" l="1"/>
  <c r="L1798" i="13" s="1"/>
  <c r="I1799" i="13" s="1"/>
  <c r="K1821" i="14"/>
  <c r="L1821" i="14" s="1"/>
  <c r="I1822" i="14" s="1"/>
  <c r="M1988" i="13"/>
  <c r="M1989" i="14"/>
  <c r="N1986" i="13"/>
  <c r="J1985" i="13" a="1"/>
  <c r="J1985" i="13" s="1"/>
  <c r="J1984" i="14" a="1"/>
  <c r="J1984" i="14" s="1"/>
  <c r="N1985" i="14"/>
  <c r="K1799" i="13" l="1"/>
  <c r="L1799" i="13" s="1"/>
  <c r="I1800" i="13" s="1"/>
  <c r="K1822" i="14"/>
  <c r="L1822" i="14" s="1"/>
  <c r="I1823" i="14" s="1"/>
  <c r="M1990" i="14"/>
  <c r="J1985" i="14" a="1"/>
  <c r="J1985" i="14" s="1"/>
  <c r="N1986" i="14"/>
  <c r="M1989" i="13"/>
  <c r="J1986" i="13" a="1"/>
  <c r="J1986" i="13" s="1"/>
  <c r="N1987" i="13"/>
  <c r="K1800" i="13" l="1"/>
  <c r="L1800" i="13" s="1"/>
  <c r="I1801" i="13" s="1"/>
  <c r="K1823" i="14"/>
  <c r="L1823" i="14" s="1"/>
  <c r="I1824" i="14" s="1"/>
  <c r="J1986" i="14" a="1"/>
  <c r="J1986" i="14" s="1"/>
  <c r="N1987" i="14"/>
  <c r="J1987" i="13" a="1"/>
  <c r="J1987" i="13" s="1"/>
  <c r="N1988" i="13"/>
  <c r="M1991" i="14"/>
  <c r="M1990" i="13"/>
  <c r="K1801" i="13" l="1"/>
  <c r="L1801" i="13" s="1"/>
  <c r="I1802" i="13" s="1"/>
  <c r="K1824" i="14"/>
  <c r="L1824" i="14" s="1"/>
  <c r="I1825" i="14" s="1"/>
  <c r="N1988" i="14"/>
  <c r="J1987" i="14" a="1"/>
  <c r="J1987" i="14" s="1"/>
  <c r="M1992" i="14"/>
  <c r="J1988" i="13" a="1"/>
  <c r="J1988" i="13" s="1"/>
  <c r="N1989" i="13"/>
  <c r="M1991" i="13"/>
  <c r="K1802" i="13" l="1"/>
  <c r="L1802" i="13" s="1"/>
  <c r="I1803" i="13" s="1"/>
  <c r="K1825" i="14"/>
  <c r="L1825" i="14" s="1"/>
  <c r="I1826" i="14" s="1"/>
  <c r="N1990" i="13"/>
  <c r="J1989" i="13" a="1"/>
  <c r="J1989" i="13" s="1"/>
  <c r="J1988" i="14" a="1"/>
  <c r="J1988" i="14" s="1"/>
  <c r="N1989" i="14"/>
  <c r="M1992" i="13"/>
  <c r="M1993" i="14"/>
  <c r="K1803" i="13" l="1"/>
  <c r="L1803" i="13" s="1"/>
  <c r="I1804" i="13" s="1"/>
  <c r="K1826" i="14"/>
  <c r="L1826" i="14" s="1"/>
  <c r="I1827" i="14" s="1"/>
  <c r="M1993" i="13"/>
  <c r="J1989" i="14" a="1"/>
  <c r="J1989" i="14" s="1"/>
  <c r="N1990" i="14"/>
  <c r="M1994" i="14"/>
  <c r="J1990" i="13" a="1"/>
  <c r="J1990" i="13" s="1"/>
  <c r="N1991" i="13"/>
  <c r="K1804" i="13" l="1"/>
  <c r="L1804" i="13" s="1"/>
  <c r="I1805" i="13" s="1"/>
  <c r="K1827" i="14"/>
  <c r="L1827" i="14" s="1"/>
  <c r="I1828" i="14" s="1"/>
  <c r="J1991" i="13" a="1"/>
  <c r="J1991" i="13" s="1"/>
  <c r="N1992" i="13"/>
  <c r="J1990" i="14" a="1"/>
  <c r="J1990" i="14" s="1"/>
  <c r="N1991" i="14"/>
  <c r="M1995" i="14"/>
  <c r="M1994" i="13"/>
  <c r="K1805" i="13" l="1"/>
  <c r="L1805" i="13" s="1"/>
  <c r="I1806" i="13" s="1"/>
  <c r="K1828" i="14"/>
  <c r="L1828" i="14" s="1"/>
  <c r="I1829" i="14" s="1"/>
  <c r="N1992" i="14"/>
  <c r="J1991" i="14" a="1"/>
  <c r="J1991" i="14" s="1"/>
  <c r="M1996" i="14"/>
  <c r="M1995" i="13"/>
  <c r="J1992" i="13" a="1"/>
  <c r="J1992" i="13" s="1"/>
  <c r="N1993" i="13"/>
  <c r="K1806" i="13" l="1"/>
  <c r="L1806" i="13" s="1"/>
  <c r="I1807" i="13" s="1"/>
  <c r="M1996" i="13"/>
  <c r="N1994" i="13"/>
  <c r="J1993" i="13" a="1"/>
  <c r="J1993" i="13" s="1"/>
  <c r="M1997" i="14"/>
  <c r="J1992" i="14" a="1"/>
  <c r="J1992" i="14" s="1"/>
  <c r="N1993" i="14"/>
  <c r="K1829" i="14"/>
  <c r="L1829" i="14" s="1"/>
  <c r="I1830" i="14" s="1"/>
  <c r="K1807" i="13" l="1"/>
  <c r="L1807" i="13" s="1"/>
  <c r="I1808" i="13" s="1"/>
  <c r="K1830" i="14"/>
  <c r="L1830" i="14" s="1"/>
  <c r="I1831" i="14" s="1"/>
  <c r="J1993" i="14" a="1"/>
  <c r="J1993" i="14" s="1"/>
  <c r="N1994" i="14"/>
  <c r="M1997" i="13"/>
  <c r="M1998" i="14"/>
  <c r="J1994" i="13" a="1"/>
  <c r="J1994" i="13" s="1"/>
  <c r="N1995" i="13"/>
  <c r="K1808" i="13" l="1"/>
  <c r="L1808" i="13" s="1"/>
  <c r="I1809" i="13" s="1"/>
  <c r="K1831" i="14"/>
  <c r="L1831" i="14" s="1"/>
  <c r="I1832" i="14" s="1"/>
  <c r="J1995" i="13" a="1"/>
  <c r="J1995" i="13" s="1"/>
  <c r="N1996" i="13"/>
  <c r="M1998" i="13"/>
  <c r="M1999" i="14"/>
  <c r="J1994" i="14" a="1"/>
  <c r="J1994" i="14" s="1"/>
  <c r="N1995" i="14"/>
  <c r="K1809" i="13" l="1"/>
  <c r="L1809" i="13" s="1"/>
  <c r="I1810" i="13" s="1"/>
  <c r="N1996" i="14"/>
  <c r="J1995" i="14" a="1"/>
  <c r="J1995" i="14" s="1"/>
  <c r="M1999" i="13"/>
  <c r="K1832" i="14"/>
  <c r="L1832" i="14" s="1"/>
  <c r="I1833" i="14" s="1"/>
  <c r="J1996" i="13" a="1"/>
  <c r="J1996" i="13" s="1"/>
  <c r="N1997" i="13"/>
  <c r="M2000" i="14"/>
  <c r="K1810" i="13" l="1"/>
  <c r="L1810" i="13" s="1"/>
  <c r="I1811" i="13" s="1"/>
  <c r="K1833" i="14"/>
  <c r="L1833" i="14" s="1"/>
  <c r="I1834" i="14" s="1"/>
  <c r="N1998" i="13"/>
  <c r="J1997" i="13" a="1"/>
  <c r="J1997" i="13" s="1"/>
  <c r="M2001" i="14"/>
  <c r="J1996" i="14" a="1"/>
  <c r="J1996" i="14" s="1"/>
  <c r="N1997" i="14"/>
  <c r="M2000" i="13"/>
  <c r="K1811" i="13" l="1"/>
  <c r="L1811" i="13" s="1"/>
  <c r="I1812" i="13" s="1"/>
  <c r="K1834" i="14"/>
  <c r="L1834" i="14" s="1"/>
  <c r="I1835" i="14" s="1"/>
  <c r="J1997" i="14" a="1"/>
  <c r="J1997" i="14" s="1"/>
  <c r="N1998" i="14"/>
  <c r="M2001" i="13"/>
  <c r="M2002" i="14"/>
  <c r="J1998" i="13" a="1"/>
  <c r="J1998" i="13" s="1"/>
  <c r="N1999" i="13"/>
  <c r="K1812" i="13" l="1"/>
  <c r="L1812" i="13" s="1"/>
  <c r="I1813" i="13" s="1"/>
  <c r="K1835" i="14"/>
  <c r="L1835" i="14" s="1"/>
  <c r="I1836" i="14" s="1"/>
  <c r="J1999" i="13" a="1"/>
  <c r="J1999" i="13" s="1"/>
  <c r="N2000" i="13"/>
  <c r="J1998" i="14" a="1"/>
  <c r="J1998" i="14" s="1"/>
  <c r="N1999" i="14"/>
  <c r="M2002" i="13"/>
  <c r="M2003" i="14"/>
  <c r="K1813" i="13" l="1"/>
  <c r="L1813" i="13" s="1"/>
  <c r="I1814" i="13" s="1"/>
  <c r="K1836" i="14"/>
  <c r="L1836" i="14" s="1"/>
  <c r="I1837" i="14" s="1"/>
  <c r="N2000" i="14"/>
  <c r="J1999" i="14" a="1"/>
  <c r="J1999" i="14" s="1"/>
  <c r="M2003" i="13"/>
  <c r="M2004" i="14"/>
  <c r="J2000" i="13" a="1"/>
  <c r="J2000" i="13" s="1"/>
  <c r="N2001" i="13"/>
  <c r="K1814" i="13" l="1"/>
  <c r="L1814" i="13" s="1"/>
  <c r="I1815" i="13" s="1"/>
  <c r="K1837" i="14"/>
  <c r="L1837" i="14" s="1"/>
  <c r="I1838" i="14" s="1"/>
  <c r="N2002" i="13"/>
  <c r="J2001" i="13" a="1"/>
  <c r="J2001" i="13" s="1"/>
  <c r="M2004" i="13"/>
  <c r="M2005" i="14"/>
  <c r="J2000" i="14" a="1"/>
  <c r="J2000" i="14" s="1"/>
  <c r="N2001" i="14"/>
  <c r="K1815" i="13" l="1"/>
  <c r="L1815" i="13" s="1"/>
  <c r="I1816" i="13" s="1"/>
  <c r="K1838" i="14"/>
  <c r="L1838" i="14" s="1"/>
  <c r="I1839" i="14" s="1"/>
  <c r="M2006" i="14"/>
  <c r="J2002" i="13" a="1"/>
  <c r="J2002" i="13" s="1"/>
  <c r="N2003" i="13"/>
  <c r="M2005" i="13"/>
  <c r="J2001" i="14" a="1"/>
  <c r="J2001" i="14" s="1"/>
  <c r="N2002" i="14"/>
  <c r="K1816" i="13" l="1"/>
  <c r="L1816" i="13" s="1"/>
  <c r="I1817" i="13" s="1"/>
  <c r="K1839" i="14"/>
  <c r="L1839" i="14" s="1"/>
  <c r="I1840" i="14" s="1"/>
  <c r="J2002" i="14" a="1"/>
  <c r="J2002" i="14" s="1"/>
  <c r="N2003" i="14"/>
  <c r="J2003" i="13" a="1"/>
  <c r="J2003" i="13" s="1"/>
  <c r="N2004" i="13"/>
  <c r="M2007" i="14"/>
  <c r="M2006" i="13"/>
  <c r="K1817" i="13" l="1"/>
  <c r="L1817" i="13" s="1"/>
  <c r="I1818" i="13" s="1"/>
  <c r="K1840" i="14"/>
  <c r="L1840" i="14" s="1"/>
  <c r="I1841" i="14" s="1"/>
  <c r="J2004" i="13" a="1"/>
  <c r="J2004" i="13" s="1"/>
  <c r="N2005" i="13"/>
  <c r="M2008" i="14"/>
  <c r="M2007" i="13"/>
  <c r="N2004" i="14"/>
  <c r="J2003" i="14" a="1"/>
  <c r="J2003" i="14" s="1"/>
  <c r="K1818" i="13" l="1"/>
  <c r="L1818" i="13" s="1"/>
  <c r="I1819" i="13" s="1"/>
  <c r="K1841" i="14"/>
  <c r="L1841" i="14" s="1"/>
  <c r="I1842" i="14" s="1"/>
  <c r="N2006" i="13"/>
  <c r="J2005" i="13" a="1"/>
  <c r="J2005" i="13" s="1"/>
  <c r="M2008" i="13"/>
  <c r="J2004" i="14" a="1"/>
  <c r="J2004" i="14" s="1"/>
  <c r="N2005" i="14"/>
  <c r="M2009" i="14"/>
  <c r="K1819" i="13" l="1"/>
  <c r="L1819" i="13" s="1"/>
  <c r="I1820" i="13" s="1"/>
  <c r="K1842" i="14"/>
  <c r="L1842" i="14" s="1"/>
  <c r="I1843" i="14" s="1"/>
  <c r="M2009" i="13"/>
  <c r="M2010" i="14"/>
  <c r="J2005" i="14" a="1"/>
  <c r="J2005" i="14" s="1"/>
  <c r="N2006" i="14"/>
  <c r="J2006" i="13" a="1"/>
  <c r="J2006" i="13" s="1"/>
  <c r="N2007" i="13"/>
  <c r="K1820" i="13" l="1"/>
  <c r="L1820" i="13" s="1"/>
  <c r="I1821" i="13" s="1"/>
  <c r="K1843" i="14"/>
  <c r="L1843" i="14" s="1"/>
  <c r="I1844" i="14" s="1"/>
  <c r="M2011" i="14"/>
  <c r="J2007" i="13" a="1"/>
  <c r="J2007" i="13" s="1"/>
  <c r="N2008" i="13"/>
  <c r="J2006" i="14" a="1"/>
  <c r="J2006" i="14" s="1"/>
  <c r="N2007" i="14"/>
  <c r="M2010" i="13"/>
  <c r="K1821" i="13" l="1"/>
  <c r="L1821" i="13" s="1"/>
  <c r="I1822" i="13" s="1"/>
  <c r="K1844" i="14"/>
  <c r="L1844" i="14" s="1"/>
  <c r="I1845" i="14" s="1"/>
  <c r="J2008" i="13" a="1"/>
  <c r="J2008" i="13" s="1"/>
  <c r="N2009" i="13"/>
  <c r="N2008" i="14"/>
  <c r="J2007" i="14" a="1"/>
  <c r="J2007" i="14" s="1"/>
  <c r="M2011" i="13"/>
  <c r="M2012" i="14"/>
  <c r="K1822" i="13" l="1"/>
  <c r="L1822" i="13" s="1"/>
  <c r="I1823" i="13" s="1"/>
  <c r="K1845" i="14"/>
  <c r="L1845" i="14" s="1"/>
  <c r="I1846" i="14" s="1"/>
  <c r="M2012" i="13"/>
  <c r="M2013" i="14"/>
  <c r="J2008" i="14" a="1"/>
  <c r="J2008" i="14" s="1"/>
  <c r="N2009" i="14"/>
  <c r="N2010" i="13"/>
  <c r="J2009" i="13" a="1"/>
  <c r="J2009" i="13" s="1"/>
  <c r="K1823" i="13" l="1"/>
  <c r="L1823" i="13" s="1"/>
  <c r="I1824" i="13" s="1"/>
  <c r="K1846" i="14"/>
  <c r="L1846" i="14" s="1"/>
  <c r="I1847" i="14" s="1"/>
  <c r="J2010" i="13" a="1"/>
  <c r="J2010" i="13" s="1"/>
  <c r="N2011" i="13"/>
  <c r="M2014" i="14"/>
  <c r="J2009" i="14" a="1"/>
  <c r="J2009" i="14" s="1"/>
  <c r="N2010" i="14"/>
  <c r="M2013" i="13"/>
  <c r="K1824" i="13" l="1"/>
  <c r="L1824" i="13" s="1"/>
  <c r="I1825" i="13" s="1"/>
  <c r="K1847" i="14"/>
  <c r="L1847" i="14" s="1"/>
  <c r="I1848" i="14" s="1"/>
  <c r="J2010" i="14" a="1"/>
  <c r="J2010" i="14" s="1"/>
  <c r="N2011" i="14"/>
  <c r="M2015" i="14"/>
  <c r="M2014" i="13"/>
  <c r="J2011" i="13" a="1"/>
  <c r="J2011" i="13" s="1"/>
  <c r="N2012" i="13"/>
  <c r="K1825" i="13" l="1"/>
  <c r="L1825" i="13" s="1"/>
  <c r="I1826" i="13" s="1"/>
  <c r="K1848" i="14"/>
  <c r="L1848" i="14" s="1"/>
  <c r="I1849" i="14" s="1"/>
  <c r="J2012" i="13" a="1"/>
  <c r="J2012" i="13" s="1"/>
  <c r="N2013" i="13"/>
  <c r="M2016" i="14"/>
  <c r="N2012" i="14"/>
  <c r="J2011" i="14" a="1"/>
  <c r="J2011" i="14" s="1"/>
  <c r="M2015" i="13"/>
  <c r="K1826" i="13" l="1"/>
  <c r="L1826" i="13" s="1"/>
  <c r="I1827" i="13" s="1"/>
  <c r="K1849" i="14"/>
  <c r="L1849" i="14" s="1"/>
  <c r="I1850" i="14" s="1"/>
  <c r="M2016" i="13"/>
  <c r="M2017" i="14"/>
  <c r="N2014" i="13"/>
  <c r="J2013" i="13" a="1"/>
  <c r="J2013" i="13" s="1"/>
  <c r="J2012" i="14" a="1"/>
  <c r="J2012" i="14" s="1"/>
  <c r="N2013" i="14"/>
  <c r="K1827" i="13" l="1"/>
  <c r="L1827" i="13" s="1"/>
  <c r="I1828" i="13" s="1"/>
  <c r="K1850" i="14"/>
  <c r="L1850" i="14" s="1"/>
  <c r="I1851" i="14" s="1"/>
  <c r="M2018" i="14"/>
  <c r="M2017" i="13"/>
  <c r="J2013" i="14" a="1"/>
  <c r="J2013" i="14" s="1"/>
  <c r="N2014" i="14"/>
  <c r="J2014" i="13" a="1"/>
  <c r="J2014" i="13" s="1"/>
  <c r="N2015" i="13"/>
  <c r="K1828" i="13" l="1"/>
  <c r="L1828" i="13" s="1"/>
  <c r="I1829" i="13" s="1"/>
  <c r="K1851" i="14"/>
  <c r="L1851" i="14" s="1"/>
  <c r="I1852" i="14" s="1"/>
  <c r="J2015" i="13" a="1"/>
  <c r="J2015" i="13" s="1"/>
  <c r="N2016" i="13"/>
  <c r="M2018" i="13"/>
  <c r="J2014" i="14" a="1"/>
  <c r="J2014" i="14" s="1"/>
  <c r="N2015" i="14"/>
  <c r="M2019" i="14"/>
  <c r="K1829" i="13" l="1"/>
  <c r="L1829" i="13" s="1"/>
  <c r="I1830" i="13" s="1"/>
  <c r="K1852" i="14"/>
  <c r="L1852" i="14" s="1"/>
  <c r="I1853" i="14" s="1"/>
  <c r="N2016" i="14"/>
  <c r="J2015" i="14" a="1"/>
  <c r="J2015" i="14" s="1"/>
  <c r="M2020" i="14"/>
  <c r="M2019" i="13"/>
  <c r="J2016" i="13" a="1"/>
  <c r="J2016" i="13" s="1"/>
  <c r="N2017" i="13"/>
  <c r="K1830" i="13" l="1"/>
  <c r="L1830" i="13" s="1"/>
  <c r="I1831" i="13" s="1"/>
  <c r="K1853" i="14"/>
  <c r="L1853" i="14" s="1"/>
  <c r="I1854" i="14" s="1"/>
  <c r="M2021" i="14"/>
  <c r="N2018" i="13"/>
  <c r="J2017" i="13" a="1"/>
  <c r="J2017" i="13" s="1"/>
  <c r="M2020" i="13"/>
  <c r="J2016" i="14" a="1"/>
  <c r="J2016" i="14" s="1"/>
  <c r="N2017" i="14"/>
  <c r="K1831" i="13" l="1"/>
  <c r="L1831" i="13" s="1"/>
  <c r="I1832" i="13" s="1"/>
  <c r="K1854" i="14"/>
  <c r="L1854" i="14" s="1"/>
  <c r="I1855" i="14" s="1"/>
  <c r="J2017" i="14" a="1"/>
  <c r="J2017" i="14" s="1"/>
  <c r="N2018" i="14"/>
  <c r="J2018" i="13" a="1"/>
  <c r="J2018" i="13" s="1"/>
  <c r="N2019" i="13"/>
  <c r="M2021" i="13"/>
  <c r="M2022" i="14"/>
  <c r="K1832" i="13" l="1"/>
  <c r="L1832" i="13" s="1"/>
  <c r="I1833" i="13" s="1"/>
  <c r="K1855" i="14"/>
  <c r="L1855" i="14" s="1"/>
  <c r="I1856" i="14" s="1"/>
  <c r="M2023" i="14"/>
  <c r="J2019" i="13" a="1"/>
  <c r="J2019" i="13" s="1"/>
  <c r="N2020" i="13"/>
  <c r="M2022" i="13"/>
  <c r="J2018" i="14" a="1"/>
  <c r="J2018" i="14" s="1"/>
  <c r="N2019" i="14"/>
  <c r="K1833" i="13" l="1"/>
  <c r="L1833" i="13" s="1"/>
  <c r="I1834" i="13" s="1"/>
  <c r="K1856" i="14"/>
  <c r="L1856" i="14" s="1"/>
  <c r="I1857" i="14" s="1"/>
  <c r="J2020" i="13" a="1"/>
  <c r="J2020" i="13" s="1"/>
  <c r="N2021" i="13"/>
  <c r="N2020" i="14"/>
  <c r="J2019" i="14" a="1"/>
  <c r="J2019" i="14" s="1"/>
  <c r="M2023" i="13"/>
  <c r="M2024" i="14"/>
  <c r="K1834" i="13" l="1"/>
  <c r="L1834" i="13" s="1"/>
  <c r="I1835" i="13" s="1"/>
  <c r="K1857" i="14"/>
  <c r="L1857" i="14" s="1"/>
  <c r="I1858" i="14" s="1"/>
  <c r="J2020" i="14" a="1"/>
  <c r="J2020" i="14" s="1"/>
  <c r="N2021" i="14"/>
  <c r="N2022" i="13"/>
  <c r="J2021" i="13" a="1"/>
  <c r="J2021" i="13" s="1"/>
  <c r="M2025" i="14"/>
  <c r="M2024" i="13"/>
  <c r="K1835" i="13" l="1"/>
  <c r="L1835" i="13" s="1"/>
  <c r="I1836" i="13" s="1"/>
  <c r="K1858" i="14"/>
  <c r="L1858" i="14" s="1"/>
  <c r="I1859" i="14" s="1"/>
  <c r="M2025" i="13"/>
  <c r="J2022" i="13" a="1"/>
  <c r="J2022" i="13" s="1"/>
  <c r="N2023" i="13"/>
  <c r="J2021" i="14" a="1"/>
  <c r="J2021" i="14" s="1"/>
  <c r="N2022" i="14"/>
  <c r="M2026" i="14"/>
  <c r="K1836" i="13" l="1"/>
  <c r="L1836" i="13" s="1"/>
  <c r="I1837" i="13" s="1"/>
  <c r="K1859" i="14"/>
  <c r="L1859" i="14" s="1"/>
  <c r="I1860" i="14" s="1"/>
  <c r="J2023" i="13" a="1"/>
  <c r="J2023" i="13" s="1"/>
  <c r="N2024" i="13"/>
  <c r="J2022" i="14" a="1"/>
  <c r="J2022" i="14" s="1"/>
  <c r="N2023" i="14"/>
  <c r="M2027" i="14"/>
  <c r="M2026" i="13"/>
  <c r="K1837" i="13" l="1"/>
  <c r="L1837" i="13" s="1"/>
  <c r="I1838" i="13" s="1"/>
  <c r="K1860" i="14"/>
  <c r="L1860" i="14" s="1"/>
  <c r="I1861" i="14" s="1"/>
  <c r="M2028" i="14"/>
  <c r="N2024" i="14"/>
  <c r="J2023" i="14" a="1"/>
  <c r="J2023" i="14" s="1"/>
  <c r="M2027" i="13"/>
  <c r="J2024" i="13" a="1"/>
  <c r="J2024" i="13" s="1"/>
  <c r="N2025" i="13"/>
  <c r="K1838" i="13" l="1"/>
  <c r="L1838" i="13" s="1"/>
  <c r="I1839" i="13" s="1"/>
  <c r="K1861" i="14"/>
  <c r="L1861" i="14" s="1"/>
  <c r="I1862" i="14" s="1"/>
  <c r="N2026" i="13"/>
  <c r="J2025" i="13" a="1"/>
  <c r="J2025" i="13" s="1"/>
  <c r="J2024" i="14" a="1"/>
  <c r="J2024" i="14" s="1"/>
  <c r="N2025" i="14"/>
  <c r="M2028" i="13"/>
  <c r="M2029" i="14"/>
  <c r="K1839" i="13" l="1"/>
  <c r="L1839" i="13" s="1"/>
  <c r="I1840" i="13" s="1"/>
  <c r="K1862" i="14"/>
  <c r="L1862" i="14" s="1"/>
  <c r="I1863" i="14" s="1"/>
  <c r="J2025" i="14" a="1"/>
  <c r="J2025" i="14" s="1"/>
  <c r="N2026" i="14"/>
  <c r="M2030" i="14"/>
  <c r="M2029" i="13"/>
  <c r="J2026" i="13" a="1"/>
  <c r="J2026" i="13" s="1"/>
  <c r="N2027" i="13"/>
  <c r="K1840" i="13" l="1"/>
  <c r="L1840" i="13" s="1"/>
  <c r="I1841" i="13" s="1"/>
  <c r="K1863" i="14"/>
  <c r="L1863" i="14" s="1"/>
  <c r="I1864" i="14" s="1"/>
  <c r="J2027" i="13" a="1"/>
  <c r="J2027" i="13" s="1"/>
  <c r="N2028" i="13"/>
  <c r="M2031" i="14"/>
  <c r="J2026" i="14" a="1"/>
  <c r="J2026" i="14" s="1"/>
  <c r="N2027" i="14"/>
  <c r="M2030" i="13"/>
  <c r="K1841" i="13" l="1"/>
  <c r="L1841" i="13" s="1"/>
  <c r="I1842" i="13" s="1"/>
  <c r="K1864" i="14"/>
  <c r="L1864" i="14" s="1"/>
  <c r="I1865" i="14" s="1"/>
  <c r="N2028" i="14"/>
  <c r="J2027" i="14" a="1"/>
  <c r="J2027" i="14" s="1"/>
  <c r="J2028" i="13" a="1"/>
  <c r="J2028" i="13" s="1"/>
  <c r="N2029" i="13"/>
  <c r="M2031" i="13"/>
  <c r="M2032" i="14"/>
  <c r="K1842" i="13" l="1"/>
  <c r="L1842" i="13" s="1"/>
  <c r="I1843" i="13" s="1"/>
  <c r="M2032" i="13"/>
  <c r="N2030" i="13"/>
  <c r="J2029" i="13" a="1"/>
  <c r="J2029" i="13" s="1"/>
  <c r="K1865" i="14"/>
  <c r="L1865" i="14" s="1"/>
  <c r="I1866" i="14" s="1"/>
  <c r="M2033" i="14"/>
  <c r="J2028" i="14" a="1"/>
  <c r="J2028" i="14" s="1"/>
  <c r="N2029" i="14"/>
  <c r="K1843" i="13" l="1"/>
  <c r="L1843" i="13" s="1"/>
  <c r="I1844" i="13" s="1"/>
  <c r="K1866" i="14"/>
  <c r="L1866" i="14" s="1"/>
  <c r="I1867" i="14" s="1"/>
  <c r="M2033" i="13"/>
  <c r="M2034" i="14"/>
  <c r="J2029" i="14" a="1"/>
  <c r="J2029" i="14" s="1"/>
  <c r="N2030" i="14"/>
  <c r="J2030" i="13" a="1"/>
  <c r="J2030" i="13" s="1"/>
  <c r="N2031" i="13"/>
  <c r="K1844" i="13" l="1"/>
  <c r="L1844" i="13" s="1"/>
  <c r="I1845" i="13" s="1"/>
  <c r="J2031" i="13" a="1"/>
  <c r="J2031" i="13" s="1"/>
  <c r="N2032" i="13"/>
  <c r="M2035" i="14"/>
  <c r="J2030" i="14" a="1"/>
  <c r="J2030" i="14" s="1"/>
  <c r="N2031" i="14"/>
  <c r="M2034" i="13"/>
  <c r="K1867" i="14"/>
  <c r="L1867" i="14" s="1"/>
  <c r="I1868" i="14" s="1"/>
  <c r="K1845" i="13" l="1"/>
  <c r="L1845" i="13" s="1"/>
  <c r="I1846" i="13" s="1"/>
  <c r="K1868" i="14"/>
  <c r="L1868" i="14" s="1"/>
  <c r="I1869" i="14" s="1"/>
  <c r="J2032" i="13" a="1"/>
  <c r="J2032" i="13" s="1"/>
  <c r="N2033" i="13"/>
  <c r="N2032" i="14"/>
  <c r="J2031" i="14" a="1"/>
  <c r="J2031" i="14" s="1"/>
  <c r="M2035" i="13"/>
  <c r="M2036" i="14"/>
  <c r="K1846" i="13" l="1"/>
  <c r="L1846" i="13" s="1"/>
  <c r="I1847" i="13" s="1"/>
  <c r="K1869" i="14"/>
  <c r="L1869" i="14" s="1"/>
  <c r="I1870" i="14" s="1"/>
  <c r="N2034" i="13"/>
  <c r="J2033" i="13" a="1"/>
  <c r="J2033" i="13" s="1"/>
  <c r="M2036" i="13"/>
  <c r="M2037" i="14"/>
  <c r="J2032" i="14" a="1"/>
  <c r="J2032" i="14" s="1"/>
  <c r="N2033" i="14"/>
  <c r="K1847" i="13" l="1"/>
  <c r="L1847" i="13" s="1"/>
  <c r="I1848" i="13" s="1"/>
  <c r="K1870" i="14"/>
  <c r="L1870" i="14" s="1"/>
  <c r="I1871" i="14" s="1"/>
  <c r="J2033" i="14" a="1"/>
  <c r="J2033" i="14" s="1"/>
  <c r="N2034" i="14"/>
  <c r="M2037" i="13"/>
  <c r="M2038" i="14"/>
  <c r="J2034" i="13" a="1"/>
  <c r="J2034" i="13" s="1"/>
  <c r="N2035" i="13"/>
  <c r="K1848" i="13" l="1"/>
  <c r="L1848" i="13" s="1"/>
  <c r="I1849" i="13" s="1"/>
  <c r="K1871" i="14"/>
  <c r="L1871" i="14" s="1"/>
  <c r="I1872" i="14" s="1"/>
  <c r="J2035" i="13" a="1"/>
  <c r="J2035" i="13" s="1"/>
  <c r="N2036" i="13"/>
  <c r="M2038" i="13"/>
  <c r="J2034" i="14" a="1"/>
  <c r="J2034" i="14" s="1"/>
  <c r="N2035" i="14"/>
  <c r="M2039" i="14"/>
  <c r="K1849" i="13" l="1"/>
  <c r="L1849" i="13" s="1"/>
  <c r="I1850" i="13" s="1"/>
  <c r="K1872" i="14"/>
  <c r="L1872" i="14" s="1"/>
  <c r="I1873" i="14" s="1"/>
  <c r="J2036" i="13" a="1"/>
  <c r="J2036" i="13" s="1"/>
  <c r="N2037" i="13"/>
  <c r="N2036" i="14"/>
  <c r="J2035" i="14" a="1"/>
  <c r="J2035" i="14" s="1"/>
  <c r="M2040" i="14"/>
  <c r="M2039" i="13"/>
  <c r="K1850" i="13" l="1"/>
  <c r="L1850" i="13" s="1"/>
  <c r="I1851" i="13" s="1"/>
  <c r="K1873" i="14"/>
  <c r="L1873" i="14" s="1"/>
  <c r="I1874" i="14" s="1"/>
  <c r="N2038" i="13"/>
  <c r="J2037" i="13" a="1"/>
  <c r="J2037" i="13" s="1"/>
  <c r="M2041" i="14"/>
  <c r="M2040" i="13"/>
  <c r="J2036" i="14" a="1"/>
  <c r="J2036" i="14" s="1"/>
  <c r="N2037" i="14"/>
  <c r="K1851" i="13" l="1"/>
  <c r="L1851" i="13" s="1"/>
  <c r="I1852" i="13" s="1"/>
  <c r="K1874" i="14"/>
  <c r="L1874" i="14" s="1"/>
  <c r="I1875" i="14" s="1"/>
  <c r="J2037" i="14" a="1"/>
  <c r="J2037" i="14" s="1"/>
  <c r="N2038" i="14"/>
  <c r="M2042" i="14"/>
  <c r="M2041" i="13"/>
  <c r="J2038" i="13" a="1"/>
  <c r="J2038" i="13" s="1"/>
  <c r="N2039" i="13"/>
  <c r="K1852" i="13" l="1"/>
  <c r="L1852" i="13" s="1"/>
  <c r="I1853" i="13" s="1"/>
  <c r="K1875" i="14"/>
  <c r="L1875" i="14" s="1"/>
  <c r="I1876" i="14" s="1"/>
  <c r="J2039" i="13" a="1"/>
  <c r="J2039" i="13" s="1"/>
  <c r="N2040" i="13"/>
  <c r="M2043" i="14"/>
  <c r="J2038" i="14" a="1"/>
  <c r="J2038" i="14" s="1"/>
  <c r="N2039" i="14"/>
  <c r="M2042" i="13"/>
  <c r="K1853" i="13" l="1"/>
  <c r="L1853" i="13" s="1"/>
  <c r="I1854" i="13" s="1"/>
  <c r="K1876" i="14"/>
  <c r="L1876" i="14" s="1"/>
  <c r="I1877" i="14" s="1"/>
  <c r="N2040" i="14"/>
  <c r="J2039" i="14" a="1"/>
  <c r="J2039" i="14" s="1"/>
  <c r="J2040" i="13" a="1"/>
  <c r="J2040" i="13" s="1"/>
  <c r="N2041" i="13"/>
  <c r="M2043" i="13"/>
  <c r="M2044" i="14"/>
  <c r="K1854" i="13" l="1"/>
  <c r="L1854" i="13" s="1"/>
  <c r="I1855" i="13" s="1"/>
  <c r="K1877" i="14"/>
  <c r="L1877" i="14" s="1"/>
  <c r="I1878" i="14" s="1"/>
  <c r="N2042" i="13"/>
  <c r="J2041" i="13" a="1"/>
  <c r="J2041" i="13" s="1"/>
  <c r="M2045" i="14"/>
  <c r="M2044" i="13"/>
  <c r="J2040" i="14" a="1"/>
  <c r="J2040" i="14" s="1"/>
  <c r="N2041" i="14"/>
  <c r="K1855" i="13" l="1"/>
  <c r="L1855" i="13" s="1"/>
  <c r="I1856" i="13" s="1"/>
  <c r="K1878" i="14"/>
  <c r="L1878" i="14" s="1"/>
  <c r="I1879" i="14" s="1"/>
  <c r="J2041" i="14" a="1"/>
  <c r="J2041" i="14" s="1"/>
  <c r="N2042" i="14"/>
  <c r="M2046" i="14"/>
  <c r="M2045" i="13"/>
  <c r="J2042" i="13" a="1"/>
  <c r="J2042" i="13" s="1"/>
  <c r="N2043" i="13"/>
  <c r="K1856" i="13" l="1"/>
  <c r="L1856" i="13" s="1"/>
  <c r="I1857" i="13" s="1"/>
  <c r="K1879" i="14"/>
  <c r="L1879" i="14" s="1"/>
  <c r="I1880" i="14" s="1"/>
  <c r="M2046" i="13"/>
  <c r="J2043" i="13" a="1"/>
  <c r="J2043" i="13" s="1"/>
  <c r="N2044" i="13"/>
  <c r="M2047" i="14"/>
  <c r="J2042" i="14" a="1"/>
  <c r="J2042" i="14" s="1"/>
  <c r="N2043" i="14"/>
  <c r="K1857" i="13" l="1"/>
  <c r="L1857" i="13" s="1"/>
  <c r="I1858" i="13" s="1"/>
  <c r="K1880" i="14"/>
  <c r="L1880" i="14" s="1"/>
  <c r="I1881" i="14" s="1"/>
  <c r="N2044" i="14"/>
  <c r="J2043" i="14" a="1"/>
  <c r="J2043" i="14" s="1"/>
  <c r="J2044" i="13" a="1"/>
  <c r="J2044" i="13" s="1"/>
  <c r="N2045" i="13"/>
  <c r="M2048" i="14"/>
  <c r="M2047" i="13"/>
  <c r="K1858" i="13" l="1"/>
  <c r="L1858" i="13" s="1"/>
  <c r="I1859" i="13" s="1"/>
  <c r="K1881" i="14"/>
  <c r="L1881" i="14" s="1"/>
  <c r="I1882" i="14" s="1"/>
  <c r="N2046" i="13"/>
  <c r="J2045" i="13" a="1"/>
  <c r="J2045" i="13" s="1"/>
  <c r="M2049" i="14"/>
  <c r="M2048" i="13"/>
  <c r="J2044" i="14" a="1"/>
  <c r="J2044" i="14" s="1"/>
  <c r="N2045" i="14"/>
  <c r="K1859" i="13" l="1"/>
  <c r="L1859" i="13" s="1"/>
  <c r="I1860" i="13" s="1"/>
  <c r="K1882" i="14"/>
  <c r="L1882" i="14" s="1"/>
  <c r="I1883" i="14" s="1"/>
  <c r="J2045" i="14" a="1"/>
  <c r="J2045" i="14" s="1"/>
  <c r="N2046" i="14"/>
  <c r="M2049" i="13"/>
  <c r="J2046" i="13" a="1"/>
  <c r="J2046" i="13" s="1"/>
  <c r="N2047" i="13"/>
  <c r="M2050" i="14"/>
  <c r="K1860" i="13" l="1"/>
  <c r="L1860" i="13" s="1"/>
  <c r="I1861" i="13" s="1"/>
  <c r="K1883" i="14"/>
  <c r="L1883" i="14" s="1"/>
  <c r="I1884" i="14" s="1"/>
  <c r="M2051" i="14"/>
  <c r="M2050" i="13"/>
  <c r="J2047" i="13" a="1"/>
  <c r="J2047" i="13" s="1"/>
  <c r="N2048" i="13"/>
  <c r="J2046" i="14" a="1"/>
  <c r="J2046" i="14" s="1"/>
  <c r="N2047" i="14"/>
  <c r="K1861" i="13" l="1"/>
  <c r="L1861" i="13" s="1"/>
  <c r="I1862" i="13" s="1"/>
  <c r="K1884" i="14"/>
  <c r="L1884" i="14" s="1"/>
  <c r="I1885" i="14" s="1"/>
  <c r="N2048" i="14"/>
  <c r="J2047" i="14" a="1"/>
  <c r="J2047" i="14" s="1"/>
  <c r="M2051" i="13"/>
  <c r="J2048" i="13" a="1"/>
  <c r="J2048" i="13" s="1"/>
  <c r="N2049" i="13"/>
  <c r="M2052" i="14"/>
  <c r="K1862" i="13" l="1"/>
  <c r="L1862" i="13" s="1"/>
  <c r="I1863" i="13" s="1"/>
  <c r="K1885" i="14"/>
  <c r="L1885" i="14" s="1"/>
  <c r="I1886" i="14" s="1"/>
  <c r="N2050" i="13"/>
  <c r="J2049" i="13" a="1"/>
  <c r="J2049" i="13" s="1"/>
  <c r="M2053" i="14"/>
  <c r="M2052" i="13"/>
  <c r="J2048" i="14" a="1"/>
  <c r="J2048" i="14" s="1"/>
  <c r="N2049" i="14"/>
  <c r="K1863" i="13" l="1"/>
  <c r="L1863" i="13" s="1"/>
  <c r="I1864" i="13" s="1"/>
  <c r="K1886" i="14"/>
  <c r="L1886" i="14" s="1"/>
  <c r="I1887" i="14" s="1"/>
  <c r="J2049" i="14" a="1"/>
  <c r="J2049" i="14" s="1"/>
  <c r="N2050" i="14"/>
  <c r="M2054" i="14"/>
  <c r="M2053" i="13"/>
  <c r="J2050" i="13" a="1"/>
  <c r="J2050" i="13" s="1"/>
  <c r="N2051" i="13"/>
  <c r="K1864" i="13" l="1"/>
  <c r="L1864" i="13" s="1"/>
  <c r="I1865" i="13" s="1"/>
  <c r="K1887" i="14"/>
  <c r="L1887" i="14" s="1"/>
  <c r="I1888" i="14" s="1"/>
  <c r="M2054" i="13"/>
  <c r="M2055" i="14"/>
  <c r="J2051" i="13" a="1"/>
  <c r="J2051" i="13" s="1"/>
  <c r="N2052" i="13"/>
  <c r="J2050" i="14" a="1"/>
  <c r="J2050" i="14" s="1"/>
  <c r="N2051" i="14"/>
  <c r="K1865" i="13" l="1"/>
  <c r="L1865" i="13" s="1"/>
  <c r="I1866" i="13" s="1"/>
  <c r="N2052" i="14"/>
  <c r="J2051" i="14" a="1"/>
  <c r="J2051" i="14" s="1"/>
  <c r="M2056" i="14"/>
  <c r="J2052" i="13" a="1"/>
  <c r="J2052" i="13" s="1"/>
  <c r="N2053" i="13"/>
  <c r="M2055" i="13"/>
  <c r="K1888" i="14"/>
  <c r="L1888" i="14" s="1"/>
  <c r="I1889" i="14" s="1"/>
  <c r="K1866" i="13" l="1"/>
  <c r="L1866" i="13" s="1"/>
  <c r="I1867" i="13" s="1"/>
  <c r="K1889" i="14"/>
  <c r="L1889" i="14" s="1"/>
  <c r="I1890" i="14" s="1"/>
  <c r="N2054" i="13"/>
  <c r="J2053" i="13" a="1"/>
  <c r="J2053" i="13" s="1"/>
  <c r="J2052" i="14" a="1"/>
  <c r="J2052" i="14" s="1"/>
  <c r="N2053" i="14"/>
  <c r="M2056" i="13"/>
  <c r="M2057" i="14"/>
  <c r="K1867" i="13" l="1"/>
  <c r="L1867" i="13" s="1"/>
  <c r="I1868" i="13" s="1"/>
  <c r="K1890" i="14"/>
  <c r="L1890" i="14" s="1"/>
  <c r="I1891" i="14" s="1"/>
  <c r="J2053" i="14" a="1"/>
  <c r="J2053" i="14" s="1"/>
  <c r="N2054" i="14"/>
  <c r="M2058" i="14"/>
  <c r="M2057" i="13"/>
  <c r="J2054" i="13" a="1"/>
  <c r="J2054" i="13" s="1"/>
  <c r="N2055" i="13"/>
  <c r="K1868" i="13" l="1"/>
  <c r="L1868" i="13" s="1"/>
  <c r="I1869" i="13" s="1"/>
  <c r="K1891" i="14"/>
  <c r="L1891" i="14" s="1"/>
  <c r="I1892" i="14" s="1"/>
  <c r="J2054" i="14" a="1"/>
  <c r="J2054" i="14" s="1"/>
  <c r="N2055" i="14"/>
  <c r="M2058" i="13"/>
  <c r="J2055" i="13" a="1"/>
  <c r="J2055" i="13" s="1"/>
  <c r="N2056" i="13"/>
  <c r="M2059" i="14"/>
  <c r="K1869" i="13" l="1"/>
  <c r="L1869" i="13" s="1"/>
  <c r="I1870" i="13" s="1"/>
  <c r="K1892" i="14"/>
  <c r="L1892" i="14" s="1"/>
  <c r="I1893" i="14" s="1"/>
  <c r="M2060" i="14"/>
  <c r="M2059" i="13"/>
  <c r="J2056" i="13" a="1"/>
  <c r="J2056" i="13" s="1"/>
  <c r="N2057" i="13"/>
  <c r="N2056" i="14"/>
  <c r="J2055" i="14" a="1"/>
  <c r="J2055" i="14" s="1"/>
  <c r="K1870" i="13" l="1"/>
  <c r="L1870" i="13" s="1"/>
  <c r="I1871" i="13" s="1"/>
  <c r="N2058" i="13"/>
  <c r="J2057" i="13" a="1"/>
  <c r="J2057" i="13" s="1"/>
  <c r="M2061" i="14"/>
  <c r="J2056" i="14" a="1"/>
  <c r="J2056" i="14" s="1"/>
  <c r="N2057" i="14"/>
  <c r="M2060" i="13"/>
  <c r="K1893" i="14"/>
  <c r="L1893" i="14" s="1"/>
  <c r="I1894" i="14" s="1"/>
  <c r="K1871" i="13" l="1"/>
  <c r="L1871" i="13" s="1"/>
  <c r="I1872" i="13" s="1"/>
  <c r="K1894" i="14"/>
  <c r="L1894" i="14" s="1"/>
  <c r="I1895" i="14" s="1"/>
  <c r="J2058" i="13" a="1"/>
  <c r="J2058" i="13" s="1"/>
  <c r="N2059" i="13"/>
  <c r="J2057" i="14" a="1"/>
  <c r="J2057" i="14" s="1"/>
  <c r="N2058" i="14"/>
  <c r="M2061" i="13"/>
  <c r="M2062" i="14"/>
  <c r="K1872" i="13" l="1"/>
  <c r="L1872" i="13" s="1"/>
  <c r="I1873" i="13" s="1"/>
  <c r="K1895" i="14"/>
  <c r="L1895" i="14" s="1"/>
  <c r="I1896" i="14" s="1"/>
  <c r="J2058" i="14" a="1"/>
  <c r="J2058" i="14" s="1"/>
  <c r="N2059" i="14"/>
  <c r="M2062" i="13"/>
  <c r="M2063" i="14"/>
  <c r="J2059" i="13" a="1"/>
  <c r="J2059" i="13" s="1"/>
  <c r="N2060" i="13"/>
  <c r="K1873" i="13" l="1"/>
  <c r="L1873" i="13" s="1"/>
  <c r="I1874" i="13" s="1"/>
  <c r="N2060" i="14"/>
  <c r="J2059" i="14" a="1"/>
  <c r="J2059" i="14" s="1"/>
  <c r="M2064" i="14"/>
  <c r="J2060" i="13" a="1"/>
  <c r="J2060" i="13" s="1"/>
  <c r="N2061" i="13"/>
  <c r="M2063" i="13"/>
  <c r="K1896" i="14"/>
  <c r="L1896" i="14" s="1"/>
  <c r="I1897" i="14" s="1"/>
  <c r="K1874" i="13" l="1"/>
  <c r="L1874" i="13" s="1"/>
  <c r="I1875" i="13" s="1"/>
  <c r="K1897" i="14"/>
  <c r="L1897" i="14" s="1"/>
  <c r="I1898" i="14" s="1"/>
  <c r="N2062" i="13"/>
  <c r="J2061" i="13" a="1"/>
  <c r="J2061" i="13" s="1"/>
  <c r="J2060" i="14" a="1"/>
  <c r="J2060" i="14" s="1"/>
  <c r="N2061" i="14"/>
  <c r="M2064" i="13"/>
  <c r="M2065" i="14"/>
  <c r="K1875" i="13" l="1"/>
  <c r="L1875" i="13" s="1"/>
  <c r="I1876" i="13" s="1"/>
  <c r="K1898" i="14"/>
  <c r="L1898" i="14" s="1"/>
  <c r="I1899" i="14" s="1"/>
  <c r="J2061" i="14" a="1"/>
  <c r="J2061" i="14" s="1"/>
  <c r="N2062" i="14"/>
  <c r="M2066" i="14"/>
  <c r="M2065" i="13"/>
  <c r="J2062" i="13" a="1"/>
  <c r="J2062" i="13" s="1"/>
  <c r="N2063" i="13"/>
  <c r="K1876" i="13" l="1"/>
  <c r="L1876" i="13" s="1"/>
  <c r="I1877" i="13" s="1"/>
  <c r="J2062" i="14" a="1"/>
  <c r="J2062" i="14" s="1"/>
  <c r="N2063" i="14"/>
  <c r="M2066" i="13"/>
  <c r="J2063" i="13" a="1"/>
  <c r="J2063" i="13" s="1"/>
  <c r="N2064" i="13"/>
  <c r="M2067" i="14"/>
  <c r="K1899" i="14"/>
  <c r="L1899" i="14" s="1"/>
  <c r="I1900" i="14" s="1"/>
  <c r="K1877" i="13" l="1"/>
  <c r="L1877" i="13" s="1"/>
  <c r="I1878" i="13" s="1"/>
  <c r="K1900" i="14"/>
  <c r="L1900" i="14" s="1"/>
  <c r="I1901" i="14" s="1"/>
  <c r="J2064" i="13" a="1"/>
  <c r="J2064" i="13" s="1"/>
  <c r="N2065" i="13"/>
  <c r="N2064" i="14"/>
  <c r="J2063" i="14" a="1"/>
  <c r="J2063" i="14" s="1"/>
  <c r="M2068" i="14"/>
  <c r="M2067" i="13"/>
  <c r="K1878" i="13" l="1"/>
  <c r="L1878" i="13" s="1"/>
  <c r="I1879" i="13" s="1"/>
  <c r="K1901" i="14"/>
  <c r="L1901" i="14" s="1"/>
  <c r="I1902" i="14" s="1"/>
  <c r="N2066" i="13"/>
  <c r="J2065" i="13" a="1"/>
  <c r="J2065" i="13" s="1"/>
  <c r="M2069" i="14"/>
  <c r="M2068" i="13"/>
  <c r="J2064" i="14" a="1"/>
  <c r="J2064" i="14" s="1"/>
  <c r="N2065" i="14"/>
  <c r="K1879" i="13" l="1"/>
  <c r="L1879" i="13" s="1"/>
  <c r="I1880" i="13" s="1"/>
  <c r="K1902" i="14"/>
  <c r="L1902" i="14" s="1"/>
  <c r="I1903" i="14" s="1"/>
  <c r="J2065" i="14" a="1"/>
  <c r="J2065" i="14" s="1"/>
  <c r="N2066" i="14"/>
  <c r="M2070" i="14"/>
  <c r="M2069" i="13"/>
  <c r="J2066" i="13" a="1"/>
  <c r="J2066" i="13" s="1"/>
  <c r="N2067" i="13"/>
  <c r="K1880" i="13" l="1"/>
  <c r="L1880" i="13" s="1"/>
  <c r="I1881" i="13" s="1"/>
  <c r="K1903" i="14"/>
  <c r="L1903" i="14" s="1"/>
  <c r="I1904" i="14" s="1"/>
  <c r="J2066" i="14" a="1"/>
  <c r="J2066" i="14" s="1"/>
  <c r="N2067" i="14"/>
  <c r="M2070" i="13"/>
  <c r="M2071" i="14"/>
  <c r="J2067" i="13" a="1"/>
  <c r="J2067" i="13" s="1"/>
  <c r="N2068" i="13"/>
  <c r="K1881" i="13" l="1"/>
  <c r="L1881" i="13" s="1"/>
  <c r="I1882" i="13" s="1"/>
  <c r="K1904" i="14"/>
  <c r="L1904" i="14" s="1"/>
  <c r="I1905" i="14" s="1"/>
  <c r="M2072" i="14"/>
  <c r="M2071" i="13"/>
  <c r="J2068" i="13" a="1"/>
  <c r="J2068" i="13" s="1"/>
  <c r="N2069" i="13"/>
  <c r="N2068" i="14"/>
  <c r="J2067" i="14" a="1"/>
  <c r="J2067" i="14" s="1"/>
  <c r="K1882" i="13" l="1"/>
  <c r="L1882" i="13" s="1"/>
  <c r="I1883" i="13" s="1"/>
  <c r="K1905" i="14"/>
  <c r="L1905" i="14" s="1"/>
  <c r="I1906" i="14" s="1"/>
  <c r="M2072" i="13"/>
  <c r="N2070" i="13"/>
  <c r="J2069" i="13" a="1"/>
  <c r="J2069" i="13" s="1"/>
  <c r="J2068" i="14" a="1"/>
  <c r="J2068" i="14" s="1"/>
  <c r="N2069" i="14"/>
  <c r="M2073" i="14"/>
  <c r="K1883" i="13" l="1"/>
  <c r="L1883" i="13" s="1"/>
  <c r="I1884" i="13" s="1"/>
  <c r="M2074" i="14"/>
  <c r="J2070" i="13" a="1"/>
  <c r="J2070" i="13" s="1"/>
  <c r="N2071" i="13"/>
  <c r="J2069" i="14" a="1"/>
  <c r="J2069" i="14" s="1"/>
  <c r="N2070" i="14"/>
  <c r="M2073" i="13"/>
  <c r="K1906" i="14"/>
  <c r="L1906" i="14" s="1"/>
  <c r="I1907" i="14" s="1"/>
  <c r="K1884" i="13" l="1"/>
  <c r="L1884" i="13" s="1"/>
  <c r="I1885" i="13" s="1"/>
  <c r="K1907" i="14"/>
  <c r="L1907" i="14" s="1"/>
  <c r="I1908" i="14" s="1"/>
  <c r="J2070" i="14" a="1"/>
  <c r="J2070" i="14" s="1"/>
  <c r="N2071" i="14"/>
  <c r="M2075" i="14"/>
  <c r="J2071" i="13" a="1"/>
  <c r="J2071" i="13" s="1"/>
  <c r="N2072" i="13"/>
  <c r="M2074" i="13"/>
  <c r="K1885" i="13" l="1"/>
  <c r="L1885" i="13" s="1"/>
  <c r="I1886" i="13" s="1"/>
  <c r="K1908" i="14"/>
  <c r="L1908" i="14" s="1"/>
  <c r="I1909" i="14" s="1"/>
  <c r="J2072" i="13" a="1"/>
  <c r="J2072" i="13" s="1"/>
  <c r="N2073" i="13"/>
  <c r="M2075" i="13"/>
  <c r="M2076" i="14"/>
  <c r="N2072" i="14"/>
  <c r="J2071" i="14" a="1"/>
  <c r="J2071" i="14" s="1"/>
  <c r="K1886" i="13" l="1"/>
  <c r="L1886" i="13" s="1"/>
  <c r="I1887" i="13" s="1"/>
  <c r="K1909" i="14"/>
  <c r="L1909" i="14" s="1"/>
  <c r="I1910" i="14" s="1"/>
  <c r="J2072" i="14" a="1"/>
  <c r="J2072" i="14" s="1"/>
  <c r="N2073" i="14"/>
  <c r="M2076" i="13"/>
  <c r="M2077" i="14"/>
  <c r="N2074" i="13"/>
  <c r="J2073" i="13" a="1"/>
  <c r="J2073" i="13" s="1"/>
  <c r="K1887" i="13" l="1"/>
  <c r="L1887" i="13" s="1"/>
  <c r="I1888" i="13" s="1"/>
  <c r="J2073" i="14" a="1"/>
  <c r="J2073" i="14" s="1"/>
  <c r="N2074" i="14"/>
  <c r="M2078" i="14"/>
  <c r="M2077" i="13"/>
  <c r="J2074" i="13" a="1"/>
  <c r="J2074" i="13" s="1"/>
  <c r="N2075" i="13"/>
  <c r="K1910" i="14"/>
  <c r="L1910" i="14" s="1"/>
  <c r="I1911" i="14" s="1"/>
  <c r="K1888" i="13" l="1"/>
  <c r="L1888" i="13" s="1"/>
  <c r="I1889" i="13" s="1"/>
  <c r="K1911" i="14"/>
  <c r="L1911" i="14" s="1"/>
  <c r="I1912" i="14" s="1"/>
  <c r="J2074" i="14" a="1"/>
  <c r="J2074" i="14" s="1"/>
  <c r="N2075" i="14"/>
  <c r="M2078" i="13"/>
  <c r="J2075" i="13" a="1"/>
  <c r="J2075" i="13" s="1"/>
  <c r="N2076" i="13"/>
  <c r="M2079" i="14"/>
  <c r="K1889" i="13" l="1"/>
  <c r="L1889" i="13" s="1"/>
  <c r="I1890" i="13" s="1"/>
  <c r="K1912" i="14"/>
  <c r="L1912" i="14" s="1"/>
  <c r="I1913" i="14" s="1"/>
  <c r="J2076" i="13" a="1"/>
  <c r="J2076" i="13" s="1"/>
  <c r="N2077" i="13"/>
  <c r="M2080" i="14"/>
  <c r="M2079" i="13"/>
  <c r="N2076" i="14"/>
  <c r="J2075" i="14" a="1"/>
  <c r="J2075" i="14" s="1"/>
  <c r="K1890" i="13" l="1"/>
  <c r="L1890" i="13" s="1"/>
  <c r="I1891" i="13" s="1"/>
  <c r="K1913" i="14"/>
  <c r="L1913" i="14" s="1"/>
  <c r="I1914" i="14" s="1"/>
  <c r="N2078" i="13"/>
  <c r="J2077" i="13" a="1"/>
  <c r="J2077" i="13" s="1"/>
  <c r="J2076" i="14" a="1"/>
  <c r="J2076" i="14" s="1"/>
  <c r="N2077" i="14"/>
  <c r="M2080" i="13"/>
  <c r="M2081" i="14"/>
  <c r="K1891" i="13" l="1"/>
  <c r="L1891" i="13" s="1"/>
  <c r="I1892" i="13" s="1"/>
  <c r="J2077" i="14" a="1"/>
  <c r="J2077" i="14" s="1"/>
  <c r="N2078" i="14"/>
  <c r="K1914" i="14"/>
  <c r="L1914" i="14" s="1"/>
  <c r="I1915" i="14" s="1"/>
  <c r="M2082" i="14"/>
  <c r="M2081" i="13"/>
  <c r="J2078" i="13" a="1"/>
  <c r="J2078" i="13" s="1"/>
  <c r="N2079" i="13"/>
  <c r="K1892" i="13" l="1"/>
  <c r="L1892" i="13" s="1"/>
  <c r="I1893" i="13" s="1"/>
  <c r="K1915" i="14"/>
  <c r="L1915" i="14" s="1"/>
  <c r="I1916" i="14" s="1"/>
  <c r="J2079" i="13" a="1"/>
  <c r="J2079" i="13" s="1"/>
  <c r="N2080" i="13"/>
  <c r="M2083" i="14"/>
  <c r="J2078" i="14" a="1"/>
  <c r="J2078" i="14" s="1"/>
  <c r="N2079" i="14"/>
  <c r="M2082" i="13"/>
  <c r="K1893" i="13" l="1"/>
  <c r="L1893" i="13" s="1"/>
  <c r="I1894" i="13" s="1"/>
  <c r="K1916" i="14"/>
  <c r="L1916" i="14" s="1"/>
  <c r="I1917" i="14" s="1"/>
  <c r="J2080" i="13" a="1"/>
  <c r="J2080" i="13" s="1"/>
  <c r="N2081" i="13"/>
  <c r="N2080" i="14"/>
  <c r="J2079" i="14" a="1"/>
  <c r="J2079" i="14" s="1"/>
  <c r="M2083" i="13"/>
  <c r="M2084" i="14"/>
  <c r="K1894" i="13" l="1"/>
  <c r="L1894" i="13" s="1"/>
  <c r="I1895" i="13" s="1"/>
  <c r="K1917" i="14"/>
  <c r="L1917" i="14" s="1"/>
  <c r="I1918" i="14" s="1"/>
  <c r="N2082" i="13"/>
  <c r="J2081" i="13" a="1"/>
  <c r="J2081" i="13" s="1"/>
  <c r="M2085" i="14"/>
  <c r="J2080" i="14" a="1"/>
  <c r="J2080" i="14" s="1"/>
  <c r="N2081" i="14"/>
  <c r="M2084" i="13"/>
  <c r="K1895" i="13" l="1"/>
  <c r="L1895" i="13" s="1"/>
  <c r="I1896" i="13" s="1"/>
  <c r="K1918" i="14"/>
  <c r="L1918" i="14" s="1"/>
  <c r="I1919" i="14" s="1"/>
  <c r="J2081" i="14" a="1"/>
  <c r="J2081" i="14" s="1"/>
  <c r="N2082" i="14"/>
  <c r="M2085" i="13"/>
  <c r="M2086" i="14"/>
  <c r="J2082" i="13" a="1"/>
  <c r="J2082" i="13" s="1"/>
  <c r="N2083" i="13"/>
  <c r="K1896" i="13" l="1"/>
  <c r="L1896" i="13" s="1"/>
  <c r="I1897" i="13" s="1"/>
  <c r="K1919" i="14"/>
  <c r="L1919" i="14" s="1"/>
  <c r="I1920" i="14" s="1"/>
  <c r="J2083" i="13" a="1"/>
  <c r="J2083" i="13" s="1"/>
  <c r="N2084" i="13"/>
  <c r="M2086" i="13"/>
  <c r="M2087" i="14"/>
  <c r="J2082" i="14" a="1"/>
  <c r="J2082" i="14" s="1"/>
  <c r="N2083" i="14"/>
  <c r="K1897" i="13" l="1"/>
  <c r="L1897" i="13" s="1"/>
  <c r="I1898" i="13" s="1"/>
  <c r="K1920" i="14"/>
  <c r="L1920" i="14" s="1"/>
  <c r="I1921" i="14" s="1"/>
  <c r="J2084" i="13" a="1"/>
  <c r="J2084" i="13" s="1"/>
  <c r="N2085" i="13"/>
  <c r="N2084" i="14"/>
  <c r="J2083" i="14" a="1"/>
  <c r="J2083" i="14" s="1"/>
  <c r="M2088" i="14"/>
  <c r="M2087" i="13"/>
  <c r="K1898" i="13" l="1"/>
  <c r="L1898" i="13" s="1"/>
  <c r="I1899" i="13" s="1"/>
  <c r="J2084" i="14" a="1"/>
  <c r="J2084" i="14" s="1"/>
  <c r="N2085" i="14"/>
  <c r="K1921" i="14"/>
  <c r="L1921" i="14" s="1"/>
  <c r="I1922" i="14" s="1"/>
  <c r="N2086" i="13"/>
  <c r="J2085" i="13" a="1"/>
  <c r="J2085" i="13" s="1"/>
  <c r="M2088" i="13"/>
  <c r="M2089" i="14"/>
  <c r="K1899" i="13" l="1"/>
  <c r="L1899" i="13" s="1"/>
  <c r="I1900" i="13" s="1"/>
  <c r="K1922" i="14"/>
  <c r="L1922" i="14" s="1"/>
  <c r="I1923" i="14" s="1"/>
  <c r="J2085" i="14" a="1"/>
  <c r="J2085" i="14" s="1"/>
  <c r="N2086" i="14"/>
  <c r="J2086" i="13" a="1"/>
  <c r="J2086" i="13" s="1"/>
  <c r="N2087" i="13"/>
  <c r="M2089" i="13"/>
  <c r="M2090" i="14"/>
  <c r="K1900" i="13" l="1"/>
  <c r="L1900" i="13" s="1"/>
  <c r="I1901" i="13" s="1"/>
  <c r="K1923" i="14"/>
  <c r="L1923" i="14" s="1"/>
  <c r="I1924" i="14" s="1"/>
  <c r="M2091" i="14"/>
  <c r="J2087" i="13" a="1"/>
  <c r="J2087" i="13" s="1"/>
  <c r="N2088" i="13"/>
  <c r="M2090" i="13"/>
  <c r="J2086" i="14" a="1"/>
  <c r="J2086" i="14" s="1"/>
  <c r="N2087" i="14"/>
  <c r="K1901" i="13" l="1"/>
  <c r="L1901" i="13" s="1"/>
  <c r="I1902" i="13" s="1"/>
  <c r="N2088" i="14"/>
  <c r="J2087" i="14" a="1"/>
  <c r="J2087" i="14" s="1"/>
  <c r="J2088" i="13" a="1"/>
  <c r="J2088" i="13" s="1"/>
  <c r="N2089" i="13"/>
  <c r="K1924" i="14"/>
  <c r="L1924" i="14" s="1"/>
  <c r="I1925" i="14" s="1"/>
  <c r="M2091" i="13"/>
  <c r="M2092" i="14"/>
  <c r="K1902" i="13" l="1"/>
  <c r="L1902" i="13" s="1"/>
  <c r="I1903" i="13" s="1"/>
  <c r="K1925" i="14"/>
  <c r="L1925" i="14" s="1"/>
  <c r="I1926" i="14" s="1"/>
  <c r="J2088" i="14" a="1"/>
  <c r="J2088" i="14" s="1"/>
  <c r="N2089" i="14"/>
  <c r="M2093" i="14"/>
  <c r="N2090" i="13"/>
  <c r="J2089" i="13" a="1"/>
  <c r="J2089" i="13" s="1"/>
  <c r="M2092" i="13"/>
  <c r="K1903" i="13" l="1"/>
  <c r="L1903" i="13" s="1"/>
  <c r="I1904" i="13" s="1"/>
  <c r="K1926" i="14"/>
  <c r="L1926" i="14" s="1"/>
  <c r="I1927" i="14" s="1"/>
  <c r="J2090" i="13" a="1"/>
  <c r="J2090" i="13" s="1"/>
  <c r="N2091" i="13"/>
  <c r="M2093" i="13"/>
  <c r="M2094" i="14"/>
  <c r="J2089" i="14" a="1"/>
  <c r="J2089" i="14" s="1"/>
  <c r="N2090" i="14"/>
  <c r="K1904" i="13" l="1"/>
  <c r="L1904" i="13" s="1"/>
  <c r="I1905" i="13" s="1"/>
  <c r="K1927" i="14"/>
  <c r="L1927" i="14" s="1"/>
  <c r="I1928" i="14" s="1"/>
  <c r="J2090" i="14" a="1"/>
  <c r="J2090" i="14" s="1"/>
  <c r="N2091" i="14"/>
  <c r="M2094" i="13"/>
  <c r="M2095" i="14"/>
  <c r="J2091" i="13" a="1"/>
  <c r="J2091" i="13" s="1"/>
  <c r="N2092" i="13"/>
  <c r="K1905" i="13" l="1"/>
  <c r="L1905" i="13" s="1"/>
  <c r="I1906" i="13" s="1"/>
  <c r="K1928" i="14"/>
  <c r="L1928" i="14" s="1"/>
  <c r="I1929" i="14" s="1"/>
  <c r="M2096" i="14"/>
  <c r="M2095" i="13"/>
  <c r="J2092" i="13" a="1"/>
  <c r="J2092" i="13" s="1"/>
  <c r="N2093" i="13"/>
  <c r="N2092" i="14"/>
  <c r="J2091" i="14" a="1"/>
  <c r="J2091" i="14" s="1"/>
  <c r="K1906" i="13" l="1"/>
  <c r="L1906" i="13" s="1"/>
  <c r="I1907" i="13" s="1"/>
  <c r="K1929" i="14"/>
  <c r="L1929" i="14" s="1"/>
  <c r="I1930" i="14" s="1"/>
  <c r="J2092" i="14" a="1"/>
  <c r="J2092" i="14" s="1"/>
  <c r="N2093" i="14"/>
  <c r="M2096" i="13"/>
  <c r="N2094" i="13"/>
  <c r="J2093" i="13" a="1"/>
  <c r="J2093" i="13" s="1"/>
  <c r="M2097" i="14"/>
  <c r="K1907" i="13" l="1"/>
  <c r="L1907" i="13" s="1"/>
  <c r="I1908" i="13" s="1"/>
  <c r="K1930" i="14"/>
  <c r="L1930" i="14" s="1"/>
  <c r="I1931" i="14" s="1"/>
  <c r="J2094" i="13" a="1"/>
  <c r="J2094" i="13" s="1"/>
  <c r="N2095" i="13"/>
  <c r="M2097" i="13"/>
  <c r="M2098" i="14"/>
  <c r="J2093" i="14" a="1"/>
  <c r="J2093" i="14" s="1"/>
  <c r="N2094" i="14"/>
  <c r="K1908" i="13" l="1"/>
  <c r="L1908" i="13" s="1"/>
  <c r="I1909" i="13" s="1"/>
  <c r="K1931" i="14"/>
  <c r="L1931" i="14" s="1"/>
  <c r="I1932" i="14" s="1"/>
  <c r="J2094" i="14" a="1"/>
  <c r="J2094" i="14" s="1"/>
  <c r="N2095" i="14"/>
  <c r="M2098" i="13"/>
  <c r="J2095" i="13" a="1"/>
  <c r="J2095" i="13" s="1"/>
  <c r="N2096" i="13"/>
  <c r="M2099" i="14"/>
  <c r="K1909" i="13" l="1"/>
  <c r="L1909" i="13" s="1"/>
  <c r="I1910" i="13" s="1"/>
  <c r="M2100" i="14"/>
  <c r="M2099" i="13"/>
  <c r="K1932" i="14"/>
  <c r="L1932" i="14" s="1"/>
  <c r="I1933" i="14" s="1"/>
  <c r="N2096" i="14"/>
  <c r="J2095" i="14" a="1"/>
  <c r="J2095" i="14" s="1"/>
  <c r="J2096" i="13" a="1"/>
  <c r="J2096" i="13" s="1"/>
  <c r="N2097" i="13"/>
  <c r="K1910" i="13" l="1"/>
  <c r="L1910" i="13" s="1"/>
  <c r="I1911" i="13" s="1"/>
  <c r="N2098" i="13"/>
  <c r="J2097" i="13" a="1"/>
  <c r="J2097" i="13" s="1"/>
  <c r="K1933" i="14"/>
  <c r="L1933" i="14" s="1"/>
  <c r="I1934" i="14" s="1"/>
  <c r="M2101" i="14"/>
  <c r="J2096" i="14" a="1"/>
  <c r="J2096" i="14" s="1"/>
  <c r="N2097" i="14"/>
  <c r="M2100" i="13"/>
  <c r="K1911" i="13" l="1"/>
  <c r="L1911" i="13" s="1"/>
  <c r="I1912" i="13" s="1"/>
  <c r="K1934" i="14"/>
  <c r="L1934" i="14" s="1"/>
  <c r="I1935" i="14" s="1"/>
  <c r="J2097" i="14" a="1"/>
  <c r="J2097" i="14" s="1"/>
  <c r="N2098" i="14"/>
  <c r="M2101" i="13"/>
  <c r="M2102" i="14"/>
  <c r="J2098" i="13" a="1"/>
  <c r="J2098" i="13" s="1"/>
  <c r="N2099" i="13"/>
  <c r="K1912" i="13" l="1"/>
  <c r="L1912" i="13" s="1"/>
  <c r="I1913" i="13" s="1"/>
  <c r="K1935" i="14"/>
  <c r="L1935" i="14" s="1"/>
  <c r="I1936" i="14" s="1"/>
  <c r="J2099" i="13" a="1"/>
  <c r="J2099" i="13" s="1"/>
  <c r="N2100" i="13"/>
  <c r="J2098" i="14" a="1"/>
  <c r="J2098" i="14" s="1"/>
  <c r="N2099" i="14"/>
  <c r="M2102" i="13"/>
  <c r="M2103" i="14"/>
  <c r="K1913" i="13" l="1"/>
  <c r="L1913" i="13" s="1"/>
  <c r="I1914" i="13" s="1"/>
  <c r="K1936" i="14"/>
  <c r="L1936" i="14" s="1"/>
  <c r="I1937" i="14" s="1"/>
  <c r="J2100" i="13" a="1"/>
  <c r="J2100" i="13" s="1"/>
  <c r="N2101" i="13"/>
  <c r="N2100" i="14"/>
  <c r="J2099" i="14" a="1"/>
  <c r="J2099" i="14" s="1"/>
  <c r="M2103" i="13"/>
  <c r="M2104" i="14"/>
  <c r="K1914" i="13" l="1"/>
  <c r="L1914" i="13" s="1"/>
  <c r="I1915" i="13" s="1"/>
  <c r="K1937" i="14"/>
  <c r="L1937" i="14" s="1"/>
  <c r="I1938" i="14" s="1"/>
  <c r="J2100" i="14" a="1"/>
  <c r="J2100" i="14" s="1"/>
  <c r="N2101" i="14"/>
  <c r="M2105" i="14"/>
  <c r="N2102" i="13"/>
  <c r="J2101" i="13" a="1"/>
  <c r="J2101" i="13" s="1"/>
  <c r="M2104" i="13"/>
  <c r="K1915" i="13" l="1"/>
  <c r="L1915" i="13" s="1"/>
  <c r="I1916" i="13" s="1"/>
  <c r="K1938" i="14"/>
  <c r="L1938" i="14" s="1"/>
  <c r="I1939" i="14" s="1"/>
  <c r="J2101" i="14" a="1"/>
  <c r="J2101" i="14" s="1"/>
  <c r="N2102" i="14"/>
  <c r="J2102" i="13" a="1"/>
  <c r="J2102" i="13" s="1"/>
  <c r="N2103" i="13"/>
  <c r="M2105" i="13"/>
  <c r="M2106" i="14"/>
  <c r="K1916" i="13" l="1"/>
  <c r="L1916" i="13" s="1"/>
  <c r="I1917" i="13" s="1"/>
  <c r="K1939" i="14"/>
  <c r="L1939" i="14" s="1"/>
  <c r="I1940" i="14" s="1"/>
  <c r="J2102" i="14" a="1"/>
  <c r="J2102" i="14" s="1"/>
  <c r="N2103" i="14"/>
  <c r="M2106" i="13"/>
  <c r="M2107" i="14"/>
  <c r="J2103" i="13" a="1"/>
  <c r="J2103" i="13" s="1"/>
  <c r="N2104" i="13"/>
  <c r="K1917" i="13" l="1"/>
  <c r="L1917" i="13" s="1"/>
  <c r="I1918" i="13" s="1"/>
  <c r="N2104" i="14"/>
  <c r="J2103" i="14" a="1"/>
  <c r="J2103" i="14" s="1"/>
  <c r="M2108" i="14"/>
  <c r="J2104" i="13" a="1"/>
  <c r="J2104" i="13" s="1"/>
  <c r="N2105" i="13"/>
  <c r="M2107" i="13"/>
  <c r="K1940" i="14"/>
  <c r="L1940" i="14" s="1"/>
  <c r="I1941" i="14" s="1"/>
  <c r="K1918" i="13" l="1"/>
  <c r="L1918" i="13" s="1"/>
  <c r="I1919" i="13" s="1"/>
  <c r="K1941" i="14"/>
  <c r="L1941" i="14" s="1"/>
  <c r="I1942" i="14" s="1"/>
  <c r="N2106" i="13"/>
  <c r="J2105" i="13" a="1"/>
  <c r="J2105" i="13" s="1"/>
  <c r="J2104" i="14" a="1"/>
  <c r="J2104" i="14" s="1"/>
  <c r="N2105" i="14"/>
  <c r="M2108" i="13"/>
  <c r="M2109" i="14"/>
  <c r="K1919" i="13" l="1"/>
  <c r="L1919" i="13" s="1"/>
  <c r="I1920" i="13" s="1"/>
  <c r="K1942" i="14"/>
  <c r="L1942" i="14" s="1"/>
  <c r="I1943" i="14" s="1"/>
  <c r="J2105" i="14" a="1"/>
  <c r="J2105" i="14" s="1"/>
  <c r="N2106" i="14"/>
  <c r="M2110" i="14"/>
  <c r="M2109" i="13"/>
  <c r="J2106" i="13" a="1"/>
  <c r="J2106" i="13" s="1"/>
  <c r="N2107" i="13"/>
  <c r="K1920" i="13" l="1"/>
  <c r="L1920" i="13" s="1"/>
  <c r="I1921" i="13" s="1"/>
  <c r="M2110" i="13"/>
  <c r="J2107" i="13" a="1"/>
  <c r="J2107" i="13" s="1"/>
  <c r="N2108" i="13"/>
  <c r="M2111" i="14"/>
  <c r="K1943" i="14"/>
  <c r="L1943" i="14" s="1"/>
  <c r="I1944" i="14" s="1"/>
  <c r="J2106" i="14" a="1"/>
  <c r="J2106" i="14" s="1"/>
  <c r="N2107" i="14"/>
  <c r="K1921" i="13" l="1"/>
  <c r="L1921" i="13" s="1"/>
  <c r="I1922" i="13" s="1"/>
  <c r="K1944" i="14"/>
  <c r="L1944" i="14" s="1"/>
  <c r="I1945" i="14" s="1"/>
  <c r="N2108" i="14"/>
  <c r="J2107" i="14" a="1"/>
  <c r="J2107" i="14" s="1"/>
  <c r="M2112" i="14"/>
  <c r="M2111" i="13"/>
  <c r="J2108" i="13" a="1"/>
  <c r="J2108" i="13" s="1"/>
  <c r="N2109" i="13"/>
  <c r="K1922" i="13" l="1"/>
  <c r="L1922" i="13" s="1"/>
  <c r="I1923" i="13" s="1"/>
  <c r="K1945" i="14"/>
  <c r="L1945" i="14" s="1"/>
  <c r="I1946" i="14" s="1"/>
  <c r="N2110" i="13"/>
  <c r="J2109" i="13" a="1"/>
  <c r="J2109" i="13" s="1"/>
  <c r="M2113" i="14"/>
  <c r="M2112" i="13"/>
  <c r="J2108" i="14" a="1"/>
  <c r="J2108" i="14" s="1"/>
  <c r="N2109" i="14"/>
  <c r="K1923" i="13" l="1"/>
  <c r="L1923" i="13" s="1"/>
  <c r="I1924" i="13" s="1"/>
  <c r="K1946" i="14"/>
  <c r="L1946" i="14" s="1"/>
  <c r="I1947" i="14" s="1"/>
  <c r="J2109" i="14" a="1"/>
  <c r="J2109" i="14" s="1"/>
  <c r="N2110" i="14"/>
  <c r="M2114" i="14"/>
  <c r="M2113" i="13"/>
  <c r="J2110" i="13" a="1"/>
  <c r="J2110" i="13" s="1"/>
  <c r="N2111" i="13"/>
  <c r="K1924" i="13" l="1"/>
  <c r="L1924" i="13" s="1"/>
  <c r="I1925" i="13" s="1"/>
  <c r="K1947" i="14"/>
  <c r="L1947" i="14" s="1"/>
  <c r="I1948" i="14" s="1"/>
  <c r="J2111" i="13" a="1"/>
  <c r="J2111" i="13" s="1"/>
  <c r="N2112" i="13"/>
  <c r="M2115" i="14"/>
  <c r="J2110" i="14" a="1"/>
  <c r="J2110" i="14" s="1"/>
  <c r="N2111" i="14"/>
  <c r="M2114" i="13"/>
  <c r="K1925" i="13" l="1"/>
  <c r="L1925" i="13" s="1"/>
  <c r="I1926" i="13" s="1"/>
  <c r="M2115" i="13"/>
  <c r="M2116" i="14"/>
  <c r="K1948" i="14"/>
  <c r="L1948" i="14" s="1"/>
  <c r="I1949" i="14" s="1"/>
  <c r="J2112" i="13" a="1"/>
  <c r="J2112" i="13" s="1"/>
  <c r="N2113" i="13"/>
  <c r="N2112" i="14"/>
  <c r="J2111" i="14" a="1"/>
  <c r="J2111" i="14" s="1"/>
  <c r="K1926" i="13" l="1"/>
  <c r="L1926" i="13" s="1"/>
  <c r="I1927" i="13" s="1"/>
  <c r="K1949" i="14"/>
  <c r="L1949" i="14" s="1"/>
  <c r="I1950" i="14" s="1"/>
  <c r="M2116" i="13"/>
  <c r="J2112" i="14" a="1"/>
  <c r="J2112" i="14" s="1"/>
  <c r="N2113" i="14"/>
  <c r="N2114" i="13"/>
  <c r="J2113" i="13" a="1"/>
  <c r="J2113" i="13" s="1"/>
  <c r="M2117" i="14"/>
  <c r="K1927" i="13" l="1"/>
  <c r="L1927" i="13" s="1"/>
  <c r="I1928" i="13" s="1"/>
  <c r="K1950" i="14"/>
  <c r="L1950" i="14" s="1"/>
  <c r="I1951" i="14" s="1"/>
  <c r="J2113" i="14" a="1"/>
  <c r="J2113" i="14" s="1"/>
  <c r="N2114" i="14"/>
  <c r="M2118" i="14"/>
  <c r="M2117" i="13"/>
  <c r="J2114" i="13" a="1"/>
  <c r="J2114" i="13" s="1"/>
  <c r="N2115" i="13"/>
  <c r="K1928" i="13" l="1"/>
  <c r="L1928" i="13" s="1"/>
  <c r="I1929" i="13" s="1"/>
  <c r="K1951" i="14"/>
  <c r="L1951" i="14" s="1"/>
  <c r="I1952" i="14" s="1"/>
  <c r="J2114" i="14" a="1"/>
  <c r="J2114" i="14" s="1"/>
  <c r="N2115" i="14"/>
  <c r="J2115" i="13" a="1"/>
  <c r="J2115" i="13" s="1"/>
  <c r="N2116" i="13"/>
  <c r="M2118" i="13"/>
  <c r="M2119" i="14"/>
  <c r="K1929" i="13" l="1"/>
  <c r="L1929" i="13" s="1"/>
  <c r="I1930" i="13" s="1"/>
  <c r="K1952" i="14"/>
  <c r="L1952" i="14" s="1"/>
  <c r="I1953" i="14" s="1"/>
  <c r="J2116" i="13" a="1"/>
  <c r="J2116" i="13" s="1"/>
  <c r="N2117" i="13"/>
  <c r="N2116" i="14"/>
  <c r="J2115" i="14" a="1"/>
  <c r="J2115" i="14" s="1"/>
  <c r="M2120" i="14"/>
  <c r="M2119" i="13"/>
  <c r="K1930" i="13" l="1"/>
  <c r="L1930" i="13" s="1"/>
  <c r="I1931" i="13" s="1"/>
  <c r="K1953" i="14"/>
  <c r="L1953" i="14" s="1"/>
  <c r="I1954" i="14" s="1"/>
  <c r="J2116" i="14" a="1"/>
  <c r="J2116" i="14" s="1"/>
  <c r="N2117" i="14"/>
  <c r="M2121" i="14"/>
  <c r="M2120" i="13"/>
  <c r="N2118" i="13"/>
  <c r="J2117" i="13" a="1"/>
  <c r="J2117" i="13" s="1"/>
  <c r="K1931" i="13" l="1"/>
  <c r="L1931" i="13" s="1"/>
  <c r="I1932" i="13" s="1"/>
  <c r="K1954" i="14"/>
  <c r="L1954" i="14" s="1"/>
  <c r="I1955" i="14" s="1"/>
  <c r="J2117" i="14" a="1"/>
  <c r="J2117" i="14" s="1"/>
  <c r="N2118" i="14"/>
  <c r="M2122" i="14"/>
  <c r="J2118" i="13" a="1"/>
  <c r="J2118" i="13" s="1"/>
  <c r="N2119" i="13"/>
  <c r="M2121" i="13"/>
  <c r="K1932" i="13" l="1"/>
  <c r="L1932" i="13" s="1"/>
  <c r="I1933" i="13" s="1"/>
  <c r="M2123" i="14"/>
  <c r="M2122" i="13"/>
  <c r="K1955" i="14"/>
  <c r="L1955" i="14" s="1"/>
  <c r="I1956" i="14" s="1"/>
  <c r="J2118" i="14" a="1"/>
  <c r="J2118" i="14" s="1"/>
  <c r="N2119" i="14"/>
  <c r="J2119" i="13" a="1"/>
  <c r="J2119" i="13" s="1"/>
  <c r="N2120" i="13"/>
  <c r="K1933" i="13" l="1"/>
  <c r="L1933" i="13" s="1"/>
  <c r="I1934" i="13" s="1"/>
  <c r="J2120" i="13" a="1"/>
  <c r="J2120" i="13" s="1"/>
  <c r="N2121" i="13"/>
  <c r="M2124" i="14"/>
  <c r="K1956" i="14"/>
  <c r="L1956" i="14" s="1"/>
  <c r="I1957" i="14" s="1"/>
  <c r="N2120" i="14"/>
  <c r="J2119" i="14" a="1"/>
  <c r="J2119" i="14" s="1"/>
  <c r="M2123" i="13"/>
  <c r="K1934" i="13" l="1"/>
  <c r="L1934" i="13" s="1"/>
  <c r="I1935" i="13" s="1"/>
  <c r="K1957" i="14"/>
  <c r="L1957" i="14" s="1"/>
  <c r="I1958" i="14" s="1"/>
  <c r="N2122" i="13"/>
  <c r="J2121" i="13" a="1"/>
  <c r="J2121" i="13" s="1"/>
  <c r="M2124" i="13"/>
  <c r="J2120" i="14" a="1"/>
  <c r="J2120" i="14" s="1"/>
  <c r="N2121" i="14"/>
  <c r="M2125" i="14"/>
  <c r="K1935" i="13" l="1"/>
  <c r="L1935" i="13" s="1"/>
  <c r="I1936" i="13" s="1"/>
  <c r="M2125" i="13"/>
  <c r="J2122" i="13" a="1"/>
  <c r="J2122" i="13" s="1"/>
  <c r="N2123" i="13"/>
  <c r="M2126" i="14"/>
  <c r="J2121" i="14" a="1"/>
  <c r="J2121" i="14" s="1"/>
  <c r="N2122" i="14"/>
  <c r="K1958" i="14"/>
  <c r="L1958" i="14" s="1"/>
  <c r="I1959" i="14" s="1"/>
  <c r="K1936" i="13" l="1"/>
  <c r="L1936" i="13" s="1"/>
  <c r="I1937" i="13" s="1"/>
  <c r="K1959" i="14"/>
  <c r="L1959" i="14" s="1"/>
  <c r="I1960" i="14" s="1"/>
  <c r="J2123" i="13" a="1"/>
  <c r="J2123" i="13" s="1"/>
  <c r="N2124" i="13"/>
  <c r="M2127" i="14"/>
  <c r="M2126" i="13"/>
  <c r="J2122" i="14" a="1"/>
  <c r="J2122" i="14" s="1"/>
  <c r="N2123" i="14"/>
  <c r="K1937" i="13" l="1"/>
  <c r="L1937" i="13" s="1"/>
  <c r="I1938" i="13" s="1"/>
  <c r="K1960" i="14"/>
  <c r="L1960" i="14" s="1"/>
  <c r="I1961" i="14" s="1"/>
  <c r="N2124" i="14"/>
  <c r="J2123" i="14" a="1"/>
  <c r="J2123" i="14" s="1"/>
  <c r="M2128" i="14"/>
  <c r="M2127" i="13"/>
  <c r="J2124" i="13" a="1"/>
  <c r="J2124" i="13" s="1"/>
  <c r="N2125" i="13"/>
  <c r="K1938" i="13" l="1"/>
  <c r="L1938" i="13" s="1"/>
  <c r="I1939" i="13" s="1"/>
  <c r="K1961" i="14"/>
  <c r="L1961" i="14" s="1"/>
  <c r="I1962" i="14" s="1"/>
  <c r="N2126" i="13"/>
  <c r="J2125" i="13" a="1"/>
  <c r="J2125" i="13" s="1"/>
  <c r="M2129" i="14"/>
  <c r="M2128" i="13"/>
  <c r="J2124" i="14" a="1"/>
  <c r="J2124" i="14" s="1"/>
  <c r="N2125" i="14"/>
  <c r="K1939" i="13" l="1"/>
  <c r="L1939" i="13" s="1"/>
  <c r="I1940" i="13" s="1"/>
  <c r="K1962" i="14"/>
  <c r="L1962" i="14" s="1"/>
  <c r="I1963" i="14" s="1"/>
  <c r="J2125" i="14" a="1"/>
  <c r="J2125" i="14" s="1"/>
  <c r="N2126" i="14"/>
  <c r="M2130" i="14"/>
  <c r="M2129" i="13"/>
  <c r="J2126" i="13" a="1"/>
  <c r="J2126" i="13" s="1"/>
  <c r="N2127" i="13"/>
  <c r="K1940" i="13" l="1"/>
  <c r="L1940" i="13" s="1"/>
  <c r="I1941" i="13" s="1"/>
  <c r="J2127" i="13" a="1"/>
  <c r="J2127" i="13" s="1"/>
  <c r="N2128" i="13"/>
  <c r="M2131" i="14"/>
  <c r="K1963" i="14"/>
  <c r="L1963" i="14" s="1"/>
  <c r="I1964" i="14" s="1"/>
  <c r="J2126" i="14" a="1"/>
  <c r="J2126" i="14" s="1"/>
  <c r="N2127" i="14"/>
  <c r="M2130" i="13"/>
  <c r="K1941" i="13" l="1"/>
  <c r="L1941" i="13" s="1"/>
  <c r="I1942" i="13" s="1"/>
  <c r="M2131" i="13"/>
  <c r="J2128" i="13" a="1"/>
  <c r="J2128" i="13" s="1"/>
  <c r="N2129" i="13"/>
  <c r="N2128" i="14"/>
  <c r="J2127" i="14" a="1"/>
  <c r="J2127" i="14" s="1"/>
  <c r="K1964" i="14"/>
  <c r="L1964" i="14" s="1"/>
  <c r="I1965" i="14" s="1"/>
  <c r="M2132" i="14"/>
  <c r="K1942" i="13" l="1"/>
  <c r="L1942" i="13" s="1"/>
  <c r="I1943" i="13" s="1"/>
  <c r="M2133" i="14"/>
  <c r="J2128" i="14" a="1"/>
  <c r="J2128" i="14" s="1"/>
  <c r="N2129" i="14"/>
  <c r="M2132" i="13"/>
  <c r="N2130" i="13"/>
  <c r="J2129" i="13" a="1"/>
  <c r="J2129" i="13" s="1"/>
  <c r="K1965" i="14"/>
  <c r="L1965" i="14" s="1"/>
  <c r="I1966" i="14" s="1"/>
  <c r="K1943" i="13" l="1"/>
  <c r="L1943" i="13" s="1"/>
  <c r="I1944" i="13" s="1"/>
  <c r="J2130" i="13" a="1"/>
  <c r="J2130" i="13" s="1"/>
  <c r="N2131" i="13"/>
  <c r="M2133" i="13"/>
  <c r="K1966" i="14"/>
  <c r="L1966" i="14" s="1"/>
  <c r="I1967" i="14" s="1"/>
  <c r="M2134" i="14"/>
  <c r="J2129" i="14" a="1"/>
  <c r="J2129" i="14" s="1"/>
  <c r="N2130" i="14"/>
  <c r="K1944" i="13" l="1"/>
  <c r="L1944" i="13" s="1"/>
  <c r="I1945" i="13" s="1"/>
  <c r="K1967" i="14"/>
  <c r="L1967" i="14" s="1"/>
  <c r="I1968" i="14" s="1"/>
  <c r="J2131" i="13" a="1"/>
  <c r="J2131" i="13" s="1"/>
  <c r="N2132" i="13"/>
  <c r="J2130" i="14" a="1"/>
  <c r="J2130" i="14" s="1"/>
  <c r="N2131" i="14"/>
  <c r="M2135" i="14"/>
  <c r="M2134" i="13"/>
  <c r="K1945" i="13" l="1"/>
  <c r="L1945" i="13" s="1"/>
  <c r="I1946" i="13" s="1"/>
  <c r="K1968" i="14"/>
  <c r="L1968" i="14" s="1"/>
  <c r="I1969" i="14" s="1"/>
  <c r="J2132" i="13" a="1"/>
  <c r="J2132" i="13" s="1"/>
  <c r="N2133" i="13"/>
  <c r="M2136" i="14"/>
  <c r="N2132" i="14"/>
  <c r="J2131" i="14" a="1"/>
  <c r="J2131" i="14" s="1"/>
  <c r="M2135" i="13"/>
  <c r="K1946" i="13" l="1"/>
  <c r="L1946" i="13" s="1"/>
  <c r="I1947" i="13" s="1"/>
  <c r="K1969" i="14"/>
  <c r="L1969" i="14" s="1"/>
  <c r="I1970" i="14" s="1"/>
  <c r="N2134" i="13"/>
  <c r="J2133" i="13" a="1"/>
  <c r="J2133" i="13" s="1"/>
  <c r="J2132" i="14" a="1"/>
  <c r="J2132" i="14" s="1"/>
  <c r="N2133" i="14"/>
  <c r="M2136" i="13"/>
  <c r="M2137" i="14"/>
  <c r="K1947" i="13" l="1"/>
  <c r="L1947" i="13" s="1"/>
  <c r="I1948" i="13" s="1"/>
  <c r="K1970" i="14"/>
  <c r="L1970" i="14" s="1"/>
  <c r="I1971" i="14" s="1"/>
  <c r="J2133" i="14" a="1"/>
  <c r="J2133" i="14" s="1"/>
  <c r="N2134" i="14"/>
  <c r="M2138" i="14"/>
  <c r="M2137" i="13"/>
  <c r="J2134" i="13" a="1"/>
  <c r="J2134" i="13" s="1"/>
  <c r="N2135" i="13"/>
  <c r="K1948" i="13" l="1"/>
  <c r="L1948" i="13" s="1"/>
  <c r="I1949" i="13" s="1"/>
  <c r="K1971" i="14"/>
  <c r="L1971" i="14" s="1"/>
  <c r="I1972" i="14" s="1"/>
  <c r="J2135" i="13" a="1"/>
  <c r="J2135" i="13" s="1"/>
  <c r="N2136" i="13"/>
  <c r="M2139" i="14"/>
  <c r="J2134" i="14" a="1"/>
  <c r="J2134" i="14" s="1"/>
  <c r="N2135" i="14"/>
  <c r="M2138" i="13"/>
  <c r="K1949" i="13" l="1"/>
  <c r="L1949" i="13" s="1"/>
  <c r="I1950" i="13" s="1"/>
  <c r="K1972" i="14"/>
  <c r="L1972" i="14" s="1"/>
  <c r="I1973" i="14" s="1"/>
  <c r="M2139" i="13"/>
  <c r="M2140" i="14"/>
  <c r="J2136" i="13" a="1"/>
  <c r="J2136" i="13" s="1"/>
  <c r="N2137" i="13"/>
  <c r="N2136" i="14"/>
  <c r="J2135" i="14" a="1"/>
  <c r="J2135" i="14" s="1"/>
  <c r="K1950" i="13" l="1"/>
  <c r="L1950" i="13" s="1"/>
  <c r="I1951" i="13" s="1"/>
  <c r="K1973" i="14"/>
  <c r="L1973" i="14" s="1"/>
  <c r="I1974" i="14" s="1"/>
  <c r="M2141" i="14"/>
  <c r="J2136" i="14" a="1"/>
  <c r="J2136" i="14" s="1"/>
  <c r="N2137" i="14"/>
  <c r="N2138" i="13"/>
  <c r="J2137" i="13" a="1"/>
  <c r="J2137" i="13" s="1"/>
  <c r="M2140" i="13"/>
  <c r="K1951" i="13" l="1"/>
  <c r="L1951" i="13" s="1"/>
  <c r="I1952" i="13" s="1"/>
  <c r="M2141" i="13"/>
  <c r="J2137" i="14" a="1"/>
  <c r="J2137" i="14" s="1"/>
  <c r="N2138" i="14"/>
  <c r="K1974" i="14"/>
  <c r="L1974" i="14" s="1"/>
  <c r="I1975" i="14" s="1"/>
  <c r="J2138" i="13" a="1"/>
  <c r="J2138" i="13" s="1"/>
  <c r="N2139" i="13"/>
  <c r="M2142" i="14"/>
  <c r="K1952" i="13" l="1"/>
  <c r="L1952" i="13" s="1"/>
  <c r="I1953" i="13" s="1"/>
  <c r="K1975" i="14"/>
  <c r="L1975" i="14" s="1"/>
  <c r="I1976" i="14" s="1"/>
  <c r="M2143" i="14"/>
  <c r="M2142" i="13"/>
  <c r="J2139" i="13" a="1"/>
  <c r="J2139" i="13" s="1"/>
  <c r="N2140" i="13"/>
  <c r="J2138" i="14" a="1"/>
  <c r="J2138" i="14" s="1"/>
  <c r="N2139" i="14"/>
  <c r="K1953" i="13" l="1"/>
  <c r="L1953" i="13" s="1"/>
  <c r="I1954" i="13" s="1"/>
  <c r="K1976" i="14"/>
  <c r="L1976" i="14" s="1"/>
  <c r="I1977" i="14" s="1"/>
  <c r="N2140" i="14"/>
  <c r="J2139" i="14" a="1"/>
  <c r="J2139" i="14" s="1"/>
  <c r="J2140" i="13" a="1"/>
  <c r="J2140" i="13" s="1"/>
  <c r="N2141" i="13"/>
  <c r="M2143" i="13"/>
  <c r="M2144" i="14"/>
  <c r="K1954" i="13" l="1"/>
  <c r="L1954" i="13" s="1"/>
  <c r="I1955" i="13" s="1"/>
  <c r="K1977" i="14"/>
  <c r="L1977" i="14" s="1"/>
  <c r="I1978" i="14" s="1"/>
  <c r="J2140" i="14" a="1"/>
  <c r="J2140" i="14" s="1"/>
  <c r="N2141" i="14"/>
  <c r="N2142" i="13"/>
  <c r="J2141" i="13" a="1"/>
  <c r="J2141" i="13" s="1"/>
  <c r="M2145" i="14"/>
  <c r="M2144" i="13"/>
  <c r="K1955" i="13" l="1"/>
  <c r="L1955" i="13" s="1"/>
  <c r="I1956" i="13" s="1"/>
  <c r="M2145" i="13"/>
  <c r="J2142" i="13" a="1"/>
  <c r="J2142" i="13" s="1"/>
  <c r="N2143" i="13"/>
  <c r="K1978" i="14"/>
  <c r="L1978" i="14" s="1"/>
  <c r="I1979" i="14" s="1"/>
  <c r="J2141" i="14" a="1"/>
  <c r="J2141" i="14" s="1"/>
  <c r="N2142" i="14"/>
  <c r="M2146" i="14"/>
  <c r="K1956" i="13" l="1"/>
  <c r="L1956" i="13" s="1"/>
  <c r="I1957" i="13" s="1"/>
  <c r="M2147" i="14"/>
  <c r="K1979" i="14"/>
  <c r="L1979" i="14" s="1"/>
  <c r="I1980" i="14" s="1"/>
  <c r="M2146" i="13"/>
  <c r="J2142" i="14" a="1"/>
  <c r="J2142" i="14" s="1"/>
  <c r="N2143" i="14"/>
  <c r="J2143" i="13" a="1"/>
  <c r="J2143" i="13" s="1"/>
  <c r="N2144" i="13"/>
  <c r="K1957" i="13" l="1"/>
  <c r="L1957" i="13" s="1"/>
  <c r="I1958" i="13" s="1"/>
  <c r="K1980" i="14"/>
  <c r="L1980" i="14" s="1"/>
  <c r="I1981" i="14" s="1"/>
  <c r="J2144" i="13" a="1"/>
  <c r="J2144" i="13" s="1"/>
  <c r="N2145" i="13"/>
  <c r="M2147" i="13"/>
  <c r="M2148" i="14"/>
  <c r="N2144" i="14"/>
  <c r="J2143" i="14" a="1"/>
  <c r="J2143" i="14" s="1"/>
  <c r="K1958" i="13" l="1"/>
  <c r="L1958" i="13" s="1"/>
  <c r="I1959" i="13" s="1"/>
  <c r="K1981" i="14"/>
  <c r="L1981" i="14" s="1"/>
  <c r="I1982" i="14" s="1"/>
  <c r="N2146" i="13"/>
  <c r="J2145" i="13" a="1"/>
  <c r="J2145" i="13" s="1"/>
  <c r="J2144" i="14" a="1"/>
  <c r="J2144" i="14" s="1"/>
  <c r="N2145" i="14"/>
  <c r="M2148" i="13"/>
  <c r="M2149" i="14"/>
  <c r="K1959" i="13" l="1"/>
  <c r="L1959" i="13" s="1"/>
  <c r="I1960" i="13" s="1"/>
  <c r="K1982" i="14"/>
  <c r="L1982" i="14" s="1"/>
  <c r="I1983" i="14" s="1"/>
  <c r="M2150" i="14"/>
  <c r="J2145" i="14" a="1"/>
  <c r="J2145" i="14" s="1"/>
  <c r="N2146" i="14"/>
  <c r="M2149" i="13"/>
  <c r="J2146" i="13" a="1"/>
  <c r="J2146" i="13" s="1"/>
  <c r="N2147" i="13"/>
  <c r="K1960" i="13" l="1"/>
  <c r="L1960" i="13" s="1"/>
  <c r="I1961" i="13" s="1"/>
  <c r="K1983" i="14"/>
  <c r="L1983" i="14" s="1"/>
  <c r="I1984" i="14" s="1"/>
  <c r="J2146" i="14" a="1"/>
  <c r="J2146" i="14" s="1"/>
  <c r="N2147" i="14"/>
  <c r="J2147" i="13" a="1"/>
  <c r="J2147" i="13" s="1"/>
  <c r="N2148" i="13"/>
  <c r="M2151" i="14"/>
  <c r="M2150" i="13"/>
  <c r="K1961" i="13" l="1"/>
  <c r="L1961" i="13" s="1"/>
  <c r="I1962" i="13" s="1"/>
  <c r="K1984" i="14"/>
  <c r="L1984" i="14" s="1"/>
  <c r="I1985" i="14" s="1"/>
  <c r="J2148" i="13" a="1"/>
  <c r="J2148" i="13" s="1"/>
  <c r="N2149" i="13"/>
  <c r="N2148" i="14"/>
  <c r="J2147" i="14" a="1"/>
  <c r="J2147" i="14" s="1"/>
  <c r="M2151" i="13"/>
  <c r="M2152" i="14"/>
  <c r="K1962" i="13" l="1"/>
  <c r="L1962" i="13" s="1"/>
  <c r="I1963" i="13" s="1"/>
  <c r="J2148" i="14" a="1"/>
  <c r="J2148" i="14" s="1"/>
  <c r="N2149" i="14"/>
  <c r="K1985" i="14"/>
  <c r="L1985" i="14" s="1"/>
  <c r="I1986" i="14" s="1"/>
  <c r="M2152" i="13"/>
  <c r="M2153" i="14"/>
  <c r="N2150" i="13"/>
  <c r="J2149" i="13" a="1"/>
  <c r="J2149" i="13" s="1"/>
  <c r="K1963" i="13" l="1"/>
  <c r="L1963" i="13" s="1"/>
  <c r="I1964" i="13" s="1"/>
  <c r="K1986" i="14"/>
  <c r="L1986" i="14" s="1"/>
  <c r="I1987" i="14" s="1"/>
  <c r="M2153" i="13"/>
  <c r="J2149" i="14" a="1"/>
  <c r="J2149" i="14" s="1"/>
  <c r="N2150" i="14"/>
  <c r="J2150" i="13" a="1"/>
  <c r="J2150" i="13" s="1"/>
  <c r="N2151" i="13"/>
  <c r="M2154" i="14"/>
  <c r="K1964" i="13" l="1"/>
  <c r="L1964" i="13" s="1"/>
  <c r="I1965" i="13" s="1"/>
  <c r="K1987" i="14"/>
  <c r="L1987" i="14" s="1"/>
  <c r="I1988" i="14" s="1"/>
  <c r="J2151" i="13" a="1"/>
  <c r="J2151" i="13" s="1"/>
  <c r="N2152" i="13"/>
  <c r="M2155" i="14"/>
  <c r="J2150" i="14" a="1"/>
  <c r="J2150" i="14" s="1"/>
  <c r="N2151" i="14"/>
  <c r="M2154" i="13"/>
  <c r="K1965" i="13" l="1"/>
  <c r="L1965" i="13" s="1"/>
  <c r="I1966" i="13" s="1"/>
  <c r="K1988" i="14"/>
  <c r="L1988" i="14" s="1"/>
  <c r="I1989" i="14" s="1"/>
  <c r="J2152" i="13" a="1"/>
  <c r="J2152" i="13" s="1"/>
  <c r="N2153" i="13"/>
  <c r="N2152" i="14"/>
  <c r="J2151" i="14" a="1"/>
  <c r="J2151" i="14" s="1"/>
  <c r="M2155" i="13"/>
  <c r="M2156" i="14"/>
  <c r="K1966" i="13" l="1"/>
  <c r="L1966" i="13" s="1"/>
  <c r="I1967" i="13" s="1"/>
  <c r="J2152" i="14" a="1"/>
  <c r="J2152" i="14" s="1"/>
  <c r="N2153" i="14"/>
  <c r="K1989" i="14"/>
  <c r="L1989" i="14" s="1"/>
  <c r="I1990" i="14" s="1"/>
  <c r="M2157" i="14"/>
  <c r="N2154" i="13"/>
  <c r="J2153" i="13" a="1"/>
  <c r="J2153" i="13" s="1"/>
  <c r="M2156" i="13"/>
  <c r="K1967" i="13" l="1"/>
  <c r="L1967" i="13" s="1"/>
  <c r="I1968" i="13" s="1"/>
  <c r="K1990" i="14"/>
  <c r="L1990" i="14" s="1"/>
  <c r="I1991" i="14" s="1"/>
  <c r="M2157" i="13"/>
  <c r="J2153" i="14" a="1"/>
  <c r="J2153" i="14" s="1"/>
  <c r="N2154" i="14"/>
  <c r="M2158" i="14"/>
  <c r="J2154" i="13" a="1"/>
  <c r="J2154" i="13" s="1"/>
  <c r="N2155" i="13"/>
  <c r="K1968" i="13" l="1"/>
  <c r="L1968" i="13" s="1"/>
  <c r="I1969" i="13" s="1"/>
  <c r="K1991" i="14"/>
  <c r="L1991" i="14" s="1"/>
  <c r="I1992" i="14" s="1"/>
  <c r="J2154" i="14" a="1"/>
  <c r="J2154" i="14" s="1"/>
  <c r="N2155" i="14"/>
  <c r="J2155" i="13" a="1"/>
  <c r="J2155" i="13" s="1"/>
  <c r="N2156" i="13"/>
  <c r="M2159" i="14"/>
  <c r="M2158" i="13"/>
  <c r="K1969" i="13" l="1"/>
  <c r="L1969" i="13" s="1"/>
  <c r="I1970" i="13" s="1"/>
  <c r="K1992" i="14"/>
  <c r="L1992" i="14" s="1"/>
  <c r="I1993" i="14" s="1"/>
  <c r="J2156" i="13" a="1"/>
  <c r="J2156" i="13" s="1"/>
  <c r="N2157" i="13"/>
  <c r="M2159" i="13"/>
  <c r="N2156" i="14"/>
  <c r="J2155" i="14" a="1"/>
  <c r="J2155" i="14" s="1"/>
  <c r="M2160" i="14"/>
  <c r="K1970" i="13" l="1"/>
  <c r="L1970" i="13" s="1"/>
  <c r="I1971" i="13" s="1"/>
  <c r="K1993" i="14"/>
  <c r="L1993" i="14" s="1"/>
  <c r="I1994" i="14" s="1"/>
  <c r="N2158" i="13"/>
  <c r="J2157" i="13" a="1"/>
  <c r="J2157" i="13" s="1"/>
  <c r="J2156" i="14" a="1"/>
  <c r="J2156" i="14" s="1"/>
  <c r="N2157" i="14"/>
  <c r="M2161" i="14"/>
  <c r="M2160" i="13"/>
  <c r="K1971" i="13" l="1"/>
  <c r="L1971" i="13" s="1"/>
  <c r="I1972" i="13" s="1"/>
  <c r="K1994" i="14"/>
  <c r="L1994" i="14" s="1"/>
  <c r="I1995" i="14" s="1"/>
  <c r="M2161" i="13"/>
  <c r="J2157" i="14" a="1"/>
  <c r="J2157" i="14" s="1"/>
  <c r="N2158" i="14"/>
  <c r="M2162" i="14"/>
  <c r="J2158" i="13" a="1"/>
  <c r="J2158" i="13" s="1"/>
  <c r="N2159" i="13"/>
  <c r="K1972" i="13" l="1"/>
  <c r="L1972" i="13" s="1"/>
  <c r="I1973" i="13" s="1"/>
  <c r="K1995" i="14"/>
  <c r="L1995" i="14" s="1"/>
  <c r="I1996" i="14" s="1"/>
  <c r="J2159" i="13" a="1"/>
  <c r="J2159" i="13" s="1"/>
  <c r="N2160" i="13"/>
  <c r="M2162" i="13"/>
  <c r="M2163" i="14"/>
  <c r="J2158" i="14" a="1"/>
  <c r="J2158" i="14" s="1"/>
  <c r="N2159" i="14"/>
  <c r="K1973" i="13" l="1"/>
  <c r="L1973" i="13" s="1"/>
  <c r="I1974" i="13" s="1"/>
  <c r="K1996" i="14"/>
  <c r="L1996" i="14" s="1"/>
  <c r="I1997" i="14" s="1"/>
  <c r="N2160" i="14"/>
  <c r="J2159" i="14" a="1"/>
  <c r="J2159" i="14" s="1"/>
  <c r="J2160" i="13" a="1"/>
  <c r="J2160" i="13" s="1"/>
  <c r="N2161" i="13"/>
  <c r="M2163" i="13"/>
  <c r="M2164" i="14"/>
  <c r="K1974" i="13" l="1"/>
  <c r="L1974" i="13" s="1"/>
  <c r="I1975" i="13" s="1"/>
  <c r="N2162" i="13"/>
  <c r="J2161" i="13" a="1"/>
  <c r="J2161" i="13" s="1"/>
  <c r="M2165" i="14"/>
  <c r="K1997" i="14"/>
  <c r="L1997" i="14" s="1"/>
  <c r="I1998" i="14" s="1"/>
  <c r="M2164" i="13"/>
  <c r="J2160" i="14" a="1"/>
  <c r="J2160" i="14" s="1"/>
  <c r="N2161" i="14"/>
  <c r="K1975" i="13" l="1"/>
  <c r="L1975" i="13" s="1"/>
  <c r="I1976" i="13" s="1"/>
  <c r="K1998" i="14"/>
  <c r="L1998" i="14" s="1"/>
  <c r="I1999" i="14" s="1"/>
  <c r="J2161" i="14" a="1"/>
  <c r="J2161" i="14" s="1"/>
  <c r="N2162" i="14"/>
  <c r="J2162" i="13" a="1"/>
  <c r="J2162" i="13" s="1"/>
  <c r="N2163" i="13"/>
  <c r="M2165" i="13"/>
  <c r="M2166" i="14"/>
  <c r="K1976" i="13" l="1"/>
  <c r="L1976" i="13" s="1"/>
  <c r="I1977" i="13" s="1"/>
  <c r="K1999" i="14"/>
  <c r="L1999" i="14" s="1"/>
  <c r="I2000" i="14" s="1"/>
  <c r="M2167" i="14"/>
  <c r="J2163" i="13" a="1"/>
  <c r="J2163" i="13" s="1"/>
  <c r="N2164" i="13"/>
  <c r="J2162" i="14" a="1"/>
  <c r="J2162" i="14" s="1"/>
  <c r="N2163" i="14"/>
  <c r="M2166" i="13"/>
  <c r="K1977" i="13" l="1"/>
  <c r="L1977" i="13" s="1"/>
  <c r="I1978" i="13" s="1"/>
  <c r="K2000" i="14"/>
  <c r="L2000" i="14" s="1"/>
  <c r="I2001" i="14" s="1"/>
  <c r="N2164" i="14"/>
  <c r="J2163" i="14" a="1"/>
  <c r="J2163" i="14" s="1"/>
  <c r="M2167" i="13"/>
  <c r="M2168" i="14"/>
  <c r="J2164" i="13" a="1"/>
  <c r="J2164" i="13" s="1"/>
  <c r="N2165" i="13"/>
  <c r="K1978" i="13" l="1"/>
  <c r="L1978" i="13" s="1"/>
  <c r="I1979" i="13" s="1"/>
  <c r="K2001" i="14"/>
  <c r="L2001" i="14" s="1"/>
  <c r="I2002" i="14" s="1"/>
  <c r="N2166" i="13"/>
  <c r="J2165" i="13" a="1"/>
  <c r="J2165" i="13" s="1"/>
  <c r="M2168" i="13"/>
  <c r="M2169" i="14"/>
  <c r="J2164" i="14" a="1"/>
  <c r="J2164" i="14" s="1"/>
  <c r="N2165" i="14"/>
  <c r="K1979" i="13" l="1"/>
  <c r="L1979" i="13" s="1"/>
  <c r="I1980" i="13" s="1"/>
  <c r="K2002" i="14"/>
  <c r="L2002" i="14" s="1"/>
  <c r="I2003" i="14" s="1"/>
  <c r="M2170" i="14"/>
  <c r="J2165" i="14" a="1"/>
  <c r="J2165" i="14" s="1"/>
  <c r="N2166" i="14"/>
  <c r="M2169" i="13"/>
  <c r="J2166" i="13" a="1"/>
  <c r="J2166" i="13" s="1"/>
  <c r="N2167" i="13"/>
  <c r="K1980" i="13" l="1"/>
  <c r="L1980" i="13" s="1"/>
  <c r="I1981" i="13" s="1"/>
  <c r="K2003" i="14"/>
  <c r="L2003" i="14" s="1"/>
  <c r="I2004" i="14" s="1"/>
  <c r="J2167" i="13" a="1"/>
  <c r="J2167" i="13" s="1"/>
  <c r="N2168" i="13"/>
  <c r="J2166" i="14" a="1"/>
  <c r="J2166" i="14" s="1"/>
  <c r="N2167" i="14"/>
  <c r="M2171" i="14"/>
  <c r="M2170" i="13"/>
  <c r="K1981" i="13" l="1"/>
  <c r="L1981" i="13" s="1"/>
  <c r="I1982" i="13" s="1"/>
  <c r="K2004" i="14"/>
  <c r="L2004" i="14" s="1"/>
  <c r="I2005" i="14" s="1"/>
  <c r="N2168" i="14"/>
  <c r="J2167" i="14" a="1"/>
  <c r="J2167" i="14" s="1"/>
  <c r="J2168" i="13" a="1"/>
  <c r="J2168" i="13" s="1"/>
  <c r="N2169" i="13"/>
  <c r="M2171" i="13"/>
  <c r="M2172" i="14"/>
  <c r="K1982" i="13" l="1"/>
  <c r="L1982" i="13" s="1"/>
  <c r="I1983" i="13" s="1"/>
  <c r="K2005" i="14"/>
  <c r="L2005" i="14" s="1"/>
  <c r="I2006" i="14" s="1"/>
  <c r="J2168" i="14" a="1"/>
  <c r="J2168" i="14" s="1"/>
  <c r="N2169" i="14"/>
  <c r="N2170" i="13"/>
  <c r="J2169" i="13" a="1"/>
  <c r="J2169" i="13" s="1"/>
  <c r="M2173" i="14"/>
  <c r="M2172" i="13"/>
  <c r="K1983" i="13" l="1"/>
  <c r="L1983" i="13" s="1"/>
  <c r="I1984" i="13" s="1"/>
  <c r="K2006" i="14"/>
  <c r="L2006" i="14" s="1"/>
  <c r="I2007" i="14" s="1"/>
  <c r="M2173" i="13"/>
  <c r="J2170" i="13" a="1"/>
  <c r="J2170" i="13" s="1"/>
  <c r="N2171" i="13"/>
  <c r="J2169" i="14" a="1"/>
  <c r="J2169" i="14" s="1"/>
  <c r="N2170" i="14"/>
  <c r="M2174" i="14"/>
  <c r="K1984" i="13" l="1"/>
  <c r="L1984" i="13" s="1"/>
  <c r="I1985" i="13" s="1"/>
  <c r="K2007" i="14"/>
  <c r="L2007" i="14" s="1"/>
  <c r="I2008" i="14" s="1"/>
  <c r="M2175" i="14"/>
  <c r="J2171" i="13" a="1"/>
  <c r="J2171" i="13" s="1"/>
  <c r="N2172" i="13"/>
  <c r="J2170" i="14" a="1"/>
  <c r="J2170" i="14" s="1"/>
  <c r="N2171" i="14"/>
  <c r="M2174" i="13"/>
  <c r="K1985" i="13" l="1"/>
  <c r="L1985" i="13" s="1"/>
  <c r="I1986" i="13" s="1"/>
  <c r="K2008" i="14"/>
  <c r="L2008" i="14" s="1"/>
  <c r="I2009" i="14" s="1"/>
  <c r="N2172" i="14"/>
  <c r="J2171" i="14" a="1"/>
  <c r="J2171" i="14" s="1"/>
  <c r="J2172" i="13" a="1"/>
  <c r="J2172" i="13" s="1"/>
  <c r="N2173" i="13"/>
  <c r="M2175" i="13"/>
  <c r="M2176" i="14"/>
  <c r="K1986" i="13" l="1"/>
  <c r="L1986" i="13" s="1"/>
  <c r="I1987" i="13" s="1"/>
  <c r="K2009" i="14"/>
  <c r="L2009" i="14" s="1"/>
  <c r="I2010" i="14" s="1"/>
  <c r="N2174" i="13"/>
  <c r="J2173" i="13" a="1"/>
  <c r="J2173" i="13" s="1"/>
  <c r="M2176" i="13"/>
  <c r="M2177" i="14"/>
  <c r="J2172" i="14" a="1"/>
  <c r="J2172" i="14" s="1"/>
  <c r="N2173" i="14"/>
  <c r="K1987" i="13" l="1"/>
  <c r="L1987" i="13" s="1"/>
  <c r="I1988" i="13" s="1"/>
  <c r="K2010" i="14"/>
  <c r="L2010" i="14" s="1"/>
  <c r="I2011" i="14" s="1"/>
  <c r="J2173" i="14" a="1"/>
  <c r="J2173" i="14" s="1"/>
  <c r="N2174" i="14"/>
  <c r="M2177" i="13"/>
  <c r="M2178" i="14"/>
  <c r="J2174" i="13" a="1"/>
  <c r="J2174" i="13" s="1"/>
  <c r="N2175" i="13"/>
  <c r="K1988" i="13" l="1"/>
  <c r="L1988" i="13" s="1"/>
  <c r="I1989" i="13" s="1"/>
  <c r="K2011" i="14"/>
  <c r="L2011" i="14" s="1"/>
  <c r="I2012" i="14" s="1"/>
  <c r="J2174" i="14" a="1"/>
  <c r="J2174" i="14" s="1"/>
  <c r="N2175" i="14"/>
  <c r="J2175" i="13" a="1"/>
  <c r="J2175" i="13" s="1"/>
  <c r="N2176" i="13"/>
  <c r="M2179" i="14"/>
  <c r="M2178" i="13"/>
  <c r="K1989" i="13" l="1"/>
  <c r="L1989" i="13" s="1"/>
  <c r="I1990" i="13" s="1"/>
  <c r="K2012" i="14"/>
  <c r="L2012" i="14" s="1"/>
  <c r="I2013" i="14" s="1"/>
  <c r="M2179" i="13"/>
  <c r="M2180" i="14"/>
  <c r="J2176" i="13" a="1"/>
  <c r="J2176" i="13" s="1"/>
  <c r="N2177" i="13"/>
  <c r="N2176" i="14"/>
  <c r="J2175" i="14" a="1"/>
  <c r="J2175" i="14" s="1"/>
  <c r="K1990" i="13" l="1"/>
  <c r="L1990" i="13" s="1"/>
  <c r="I1991" i="13" s="1"/>
  <c r="K2013" i="14"/>
  <c r="L2013" i="14" s="1"/>
  <c r="I2014" i="14" s="1"/>
  <c r="N2178" i="13"/>
  <c r="J2177" i="13" a="1"/>
  <c r="J2177" i="13" s="1"/>
  <c r="J2176" i="14" a="1"/>
  <c r="J2176" i="14" s="1"/>
  <c r="N2177" i="14"/>
  <c r="M2181" i="14"/>
  <c r="M2180" i="13"/>
  <c r="K1991" i="13" l="1"/>
  <c r="L1991" i="13" s="1"/>
  <c r="I1992" i="13" s="1"/>
  <c r="M2181" i="13"/>
  <c r="J2177" i="14" a="1"/>
  <c r="J2177" i="14" s="1"/>
  <c r="N2178" i="14"/>
  <c r="K2014" i="14"/>
  <c r="L2014" i="14" s="1"/>
  <c r="I2015" i="14" s="1"/>
  <c r="M2182" i="14"/>
  <c r="J2178" i="13" a="1"/>
  <c r="J2178" i="13" s="1"/>
  <c r="N2179" i="13"/>
  <c r="K1992" i="13" l="1"/>
  <c r="L1992" i="13" s="1"/>
  <c r="I1993" i="13" s="1"/>
  <c r="J2179" i="13" a="1"/>
  <c r="J2179" i="13" s="1"/>
  <c r="N2180" i="13"/>
  <c r="M2182" i="13"/>
  <c r="J2178" i="14" a="1"/>
  <c r="J2178" i="14" s="1"/>
  <c r="N2179" i="14"/>
  <c r="K2015" i="14"/>
  <c r="L2015" i="14" s="1"/>
  <c r="I2016" i="14" s="1"/>
  <c r="M2183" i="14"/>
  <c r="K1993" i="13" l="1"/>
  <c r="L1993" i="13" s="1"/>
  <c r="I1994" i="13" s="1"/>
  <c r="K2016" i="14"/>
  <c r="L2016" i="14" s="1"/>
  <c r="I2017" i="14" s="1"/>
  <c r="N2180" i="14"/>
  <c r="J2179" i="14" a="1"/>
  <c r="J2179" i="14" s="1"/>
  <c r="J2180" i="13" a="1"/>
  <c r="J2180" i="13" s="1"/>
  <c r="N2181" i="13"/>
  <c r="M2184" i="14"/>
  <c r="M2183" i="13"/>
  <c r="K1994" i="13" l="1"/>
  <c r="L1994" i="13" s="1"/>
  <c r="I1995" i="13" s="1"/>
  <c r="N2182" i="13"/>
  <c r="J2181" i="13" a="1"/>
  <c r="J2181" i="13" s="1"/>
  <c r="M2184" i="13"/>
  <c r="M2185" i="14"/>
  <c r="J2180" i="14" a="1"/>
  <c r="J2180" i="14" s="1"/>
  <c r="N2181" i="14"/>
  <c r="K2017" i="14"/>
  <c r="L2017" i="14" s="1"/>
  <c r="I2018" i="14" s="1"/>
  <c r="K1995" i="13" l="1"/>
  <c r="L1995" i="13" s="1"/>
  <c r="I1996" i="13" s="1"/>
  <c r="K2018" i="14"/>
  <c r="L2018" i="14" s="1"/>
  <c r="I2019" i="14" s="1"/>
  <c r="M2186" i="14"/>
  <c r="J2182" i="13" a="1"/>
  <c r="J2182" i="13" s="1"/>
  <c r="N2183" i="13"/>
  <c r="J2181" i="14" a="1"/>
  <c r="J2181" i="14" s="1"/>
  <c r="N2182" i="14"/>
  <c r="M2185" i="13"/>
  <c r="K1996" i="13" l="1"/>
  <c r="L1996" i="13" s="1"/>
  <c r="I1997" i="13" s="1"/>
  <c r="M2186" i="13"/>
  <c r="J2183" i="13" a="1"/>
  <c r="J2183" i="13" s="1"/>
  <c r="N2184" i="13"/>
  <c r="K2019" i="14"/>
  <c r="L2019" i="14" s="1"/>
  <c r="I2020" i="14" s="1"/>
  <c r="J2182" i="14" a="1"/>
  <c r="J2182" i="14" s="1"/>
  <c r="N2183" i="14"/>
  <c r="M2187" i="14"/>
  <c r="K1997" i="13" l="1"/>
  <c r="L1997" i="13" s="1"/>
  <c r="I1998" i="13" s="1"/>
  <c r="N2184" i="14"/>
  <c r="J2183" i="14" a="1"/>
  <c r="J2183" i="14" s="1"/>
  <c r="K2020" i="14"/>
  <c r="L2020" i="14" s="1"/>
  <c r="I2021" i="14" s="1"/>
  <c r="M2187" i="13"/>
  <c r="M2188" i="14"/>
  <c r="J2184" i="13" a="1"/>
  <c r="J2184" i="13" s="1"/>
  <c r="N2185" i="13"/>
  <c r="K1998" i="13" l="1"/>
  <c r="L1998" i="13" s="1"/>
  <c r="I1999" i="13" s="1"/>
  <c r="K2021" i="14"/>
  <c r="L2021" i="14" s="1"/>
  <c r="I2022" i="14" s="1"/>
  <c r="N2186" i="13"/>
  <c r="J2185" i="13" a="1"/>
  <c r="J2185" i="13" s="1"/>
  <c r="J2184" i="14" a="1"/>
  <c r="J2184" i="14" s="1"/>
  <c r="N2185" i="14"/>
  <c r="M2188" i="13"/>
  <c r="M2189" i="14"/>
  <c r="K1999" i="13" l="1"/>
  <c r="L1999" i="13" s="1"/>
  <c r="I2000" i="13" s="1"/>
  <c r="K2022" i="14"/>
  <c r="L2022" i="14" s="1"/>
  <c r="I2023" i="14" s="1"/>
  <c r="J2185" i="14" a="1"/>
  <c r="J2185" i="14" s="1"/>
  <c r="N2186" i="14"/>
  <c r="M2190" i="14"/>
  <c r="M2189" i="13"/>
  <c r="J2186" i="13" a="1"/>
  <c r="J2186" i="13" s="1"/>
  <c r="N2187" i="13"/>
  <c r="K2000" i="13" l="1"/>
  <c r="L2000" i="13" s="1"/>
  <c r="I2001" i="13" s="1"/>
  <c r="K2023" i="14"/>
  <c r="L2023" i="14" s="1"/>
  <c r="I2024" i="14" s="1"/>
  <c r="J2187" i="13" a="1"/>
  <c r="J2187" i="13" s="1"/>
  <c r="N2188" i="13"/>
  <c r="J2186" i="14" a="1"/>
  <c r="J2186" i="14" s="1"/>
  <c r="N2187" i="14"/>
  <c r="M2191" i="14"/>
  <c r="M2190" i="13"/>
  <c r="K2001" i="13" l="1"/>
  <c r="L2001" i="13" s="1"/>
  <c r="I2002" i="13" s="1"/>
  <c r="K2024" i="14"/>
  <c r="L2024" i="14" s="1"/>
  <c r="I2025" i="14" s="1"/>
  <c r="N2188" i="14"/>
  <c r="J2187" i="14" a="1"/>
  <c r="J2187" i="14" s="1"/>
  <c r="J2188" i="13" a="1"/>
  <c r="J2188" i="13" s="1"/>
  <c r="N2189" i="13"/>
  <c r="M2191" i="13"/>
  <c r="M2192" i="14"/>
  <c r="K2002" i="13" l="1"/>
  <c r="L2002" i="13" s="1"/>
  <c r="I2003" i="13" s="1"/>
  <c r="K2025" i="14"/>
  <c r="L2025" i="14" s="1"/>
  <c r="I2026" i="14" s="1"/>
  <c r="N2190" i="13"/>
  <c r="J2189" i="13" a="1"/>
  <c r="J2189" i="13" s="1"/>
  <c r="M2193" i="14"/>
  <c r="M2192" i="13"/>
  <c r="J2188" i="14" a="1"/>
  <c r="J2188" i="14" s="1"/>
  <c r="N2189" i="14"/>
  <c r="K2003" i="13" l="1"/>
  <c r="L2003" i="13" s="1"/>
  <c r="I2004" i="13" s="1"/>
  <c r="K2026" i="14"/>
  <c r="L2026" i="14" s="1"/>
  <c r="I2027" i="14" s="1"/>
  <c r="M2193" i="13"/>
  <c r="J2189" i="14" a="1"/>
  <c r="J2189" i="14" s="1"/>
  <c r="N2190" i="14"/>
  <c r="M2194" i="14"/>
  <c r="J2190" i="13" a="1"/>
  <c r="J2190" i="13" s="1"/>
  <c r="N2191" i="13"/>
  <c r="K2004" i="13" l="1"/>
  <c r="L2004" i="13" s="1"/>
  <c r="I2005" i="13" s="1"/>
  <c r="K2027" i="14"/>
  <c r="L2027" i="14" s="1"/>
  <c r="I2028" i="14" s="1"/>
  <c r="J2191" i="13" a="1"/>
  <c r="J2191" i="13" s="1"/>
  <c r="N2192" i="13"/>
  <c r="J2190" i="14" a="1"/>
  <c r="J2190" i="14" s="1"/>
  <c r="N2191" i="14"/>
  <c r="M2195" i="14"/>
  <c r="M2194" i="13"/>
  <c r="K2005" i="13" l="1"/>
  <c r="L2005" i="13" s="1"/>
  <c r="I2006" i="13" s="1"/>
  <c r="K2028" i="14"/>
  <c r="L2028" i="14" s="1"/>
  <c r="I2029" i="14" s="1"/>
  <c r="N2192" i="14"/>
  <c r="J2191" i="14" a="1"/>
  <c r="J2191" i="14" s="1"/>
  <c r="M2196" i="14"/>
  <c r="M2195" i="13"/>
  <c r="J2192" i="13" a="1"/>
  <c r="J2192" i="13" s="1"/>
  <c r="N2193" i="13"/>
  <c r="K2006" i="13" l="1"/>
  <c r="L2006" i="13" s="1"/>
  <c r="I2007" i="13" s="1"/>
  <c r="K2029" i="14"/>
  <c r="L2029" i="14" s="1"/>
  <c r="I2030" i="14" s="1"/>
  <c r="N2194" i="13"/>
  <c r="J2193" i="13" a="1"/>
  <c r="J2193" i="13" s="1"/>
  <c r="M2197" i="14"/>
  <c r="M2196" i="13"/>
  <c r="J2192" i="14" a="1"/>
  <c r="J2192" i="14" s="1"/>
  <c r="N2193" i="14"/>
  <c r="K2007" i="13" l="1"/>
  <c r="L2007" i="13" s="1"/>
  <c r="I2008" i="13" s="1"/>
  <c r="K2030" i="14"/>
  <c r="L2030" i="14" s="1"/>
  <c r="I2031" i="14" s="1"/>
  <c r="M2198" i="14"/>
  <c r="J2193" i="14" a="1"/>
  <c r="J2193" i="14" s="1"/>
  <c r="N2194" i="14"/>
  <c r="M2197" i="13"/>
  <c r="J2194" i="13" a="1"/>
  <c r="J2194" i="13" s="1"/>
  <c r="N2195" i="13"/>
  <c r="K2008" i="13" l="1"/>
  <c r="L2008" i="13" s="1"/>
  <c r="I2009" i="13" s="1"/>
  <c r="J2195" i="13" a="1"/>
  <c r="J2195" i="13" s="1"/>
  <c r="N2196" i="13"/>
  <c r="M2199" i="14"/>
  <c r="J2194" i="14" a="1"/>
  <c r="J2194" i="14" s="1"/>
  <c r="N2195" i="14"/>
  <c r="M2198" i="13"/>
  <c r="K2031" i="14"/>
  <c r="L2031" i="14" s="1"/>
  <c r="I2032" i="14" s="1"/>
  <c r="K2009" i="13" l="1"/>
  <c r="L2009" i="13" s="1"/>
  <c r="I2010" i="13" s="1"/>
  <c r="K2032" i="14"/>
  <c r="L2032" i="14" s="1"/>
  <c r="I2033" i="14" s="1"/>
  <c r="N2196" i="14"/>
  <c r="J2195" i="14" a="1"/>
  <c r="J2195" i="14" s="1"/>
  <c r="J2196" i="13" a="1"/>
  <c r="J2196" i="13" s="1"/>
  <c r="N2197" i="13"/>
  <c r="M2199" i="13"/>
  <c r="M2200" i="14"/>
  <c r="K2010" i="13" l="1"/>
  <c r="L2010" i="13" s="1"/>
  <c r="I2011" i="13" s="1"/>
  <c r="K2033" i="14"/>
  <c r="L2033" i="14" s="1"/>
  <c r="I2034" i="14" s="1"/>
  <c r="M2200" i="13"/>
  <c r="N2198" i="13"/>
  <c r="J2197" i="13" a="1"/>
  <c r="J2197" i="13" s="1"/>
  <c r="M2201" i="14"/>
  <c r="J2196" i="14" a="1"/>
  <c r="J2196" i="14" s="1"/>
  <c r="N2197" i="14"/>
  <c r="K2011" i="13" l="1"/>
  <c r="L2011" i="13" s="1"/>
  <c r="I2012" i="13" s="1"/>
  <c r="K2034" i="14"/>
  <c r="L2034" i="14" s="1"/>
  <c r="I2035" i="14" s="1"/>
  <c r="J2197" i="14" a="1"/>
  <c r="J2197" i="14" s="1"/>
  <c r="N2198" i="14"/>
  <c r="M2201" i="13"/>
  <c r="M2202" i="14"/>
  <c r="J2198" i="13" a="1"/>
  <c r="J2198" i="13" s="1"/>
  <c r="N2199" i="13"/>
  <c r="K2012" i="13" l="1"/>
  <c r="L2012" i="13" s="1"/>
  <c r="I2013" i="13" s="1"/>
  <c r="K2035" i="14"/>
  <c r="L2035" i="14" s="1"/>
  <c r="I2036" i="14" s="1"/>
  <c r="M2203" i="14"/>
  <c r="J2199" i="13" a="1"/>
  <c r="J2199" i="13" s="1"/>
  <c r="N2200" i="13"/>
  <c r="J2198" i="14" a="1"/>
  <c r="J2198" i="14" s="1"/>
  <c r="N2199" i="14"/>
  <c r="M2202" i="13"/>
  <c r="K2013" i="13" l="1"/>
  <c r="L2013" i="13" s="1"/>
  <c r="I2014" i="13" s="1"/>
  <c r="K2036" i="14"/>
  <c r="L2036" i="14" s="1"/>
  <c r="I2037" i="14" s="1"/>
  <c r="M2203" i="13"/>
  <c r="M2204" i="14"/>
  <c r="J2200" i="13" a="1"/>
  <c r="J2200" i="13" s="1"/>
  <c r="N2201" i="13"/>
  <c r="N2200" i="14"/>
  <c r="J2199" i="14" a="1"/>
  <c r="J2199" i="14" s="1"/>
  <c r="K2014" i="13" l="1"/>
  <c r="L2014" i="13" s="1"/>
  <c r="I2015" i="13" s="1"/>
  <c r="K2037" i="14"/>
  <c r="L2037" i="14" s="1"/>
  <c r="I2038" i="14" s="1"/>
  <c r="J2200" i="14" a="1"/>
  <c r="J2200" i="14" s="1"/>
  <c r="N2201" i="14"/>
  <c r="M2205" i="14"/>
  <c r="M2204" i="13"/>
  <c r="N2202" i="13"/>
  <c r="J2201" i="13" a="1"/>
  <c r="J2201" i="13" s="1"/>
  <c r="K2015" i="13" l="1"/>
  <c r="L2015" i="13" s="1"/>
  <c r="I2016" i="13" s="1"/>
  <c r="K2038" i="14"/>
  <c r="L2038" i="14" s="1"/>
  <c r="I2039" i="14" s="1"/>
  <c r="J2202" i="13" a="1"/>
  <c r="J2202" i="13" s="1"/>
  <c r="N2203" i="13"/>
  <c r="M2206" i="14"/>
  <c r="M2205" i="13"/>
  <c r="J2201" i="14" a="1"/>
  <c r="J2201" i="14" s="1"/>
  <c r="N2202" i="14"/>
  <c r="K2016" i="13" l="1"/>
  <c r="L2016" i="13" s="1"/>
  <c r="I2017" i="13" s="1"/>
  <c r="K2039" i="14"/>
  <c r="L2039" i="14" s="1"/>
  <c r="I2040" i="14" s="1"/>
  <c r="J2203" i="13" a="1"/>
  <c r="J2203" i="13" s="1"/>
  <c r="N2204" i="13"/>
  <c r="J2202" i="14" a="1"/>
  <c r="J2202" i="14" s="1"/>
  <c r="N2203" i="14"/>
  <c r="M2207" i="14"/>
  <c r="M2206" i="13"/>
  <c r="K2017" i="13" l="1"/>
  <c r="L2017" i="13" s="1"/>
  <c r="I2018" i="13" s="1"/>
  <c r="N2204" i="14"/>
  <c r="J2203" i="14" a="1"/>
  <c r="J2203" i="14" s="1"/>
  <c r="K2040" i="14"/>
  <c r="L2040" i="14" s="1"/>
  <c r="I2041" i="14" s="1"/>
  <c r="M2207" i="13"/>
  <c r="J2204" i="13" a="1"/>
  <c r="J2204" i="13" s="1"/>
  <c r="N2205" i="13"/>
  <c r="M2208" i="14"/>
  <c r="K2018" i="13" l="1"/>
  <c r="L2018" i="13" s="1"/>
  <c r="I2019" i="13" s="1"/>
  <c r="M2209" i="14"/>
  <c r="J2204" i="14" a="1"/>
  <c r="J2204" i="14" s="1"/>
  <c r="N2205" i="14"/>
  <c r="N2206" i="13"/>
  <c r="J2205" i="13" a="1"/>
  <c r="J2205" i="13" s="1"/>
  <c r="M2208" i="13"/>
  <c r="K2041" i="14"/>
  <c r="L2041" i="14" s="1"/>
  <c r="I2042" i="14" s="1"/>
  <c r="K2019" i="13" l="1"/>
  <c r="L2019" i="13" s="1"/>
  <c r="I2020" i="13" s="1"/>
  <c r="K2042" i="14"/>
  <c r="L2042" i="14" s="1"/>
  <c r="I2043" i="14" s="1"/>
  <c r="J2206" i="13" a="1"/>
  <c r="J2206" i="13" s="1"/>
  <c r="N2207" i="13"/>
  <c r="M2210" i="14"/>
  <c r="J2205" i="14" a="1"/>
  <c r="J2205" i="14" s="1"/>
  <c r="N2206" i="14"/>
  <c r="M2209" i="13"/>
  <c r="K2020" i="13" l="1"/>
  <c r="L2020" i="13" s="1"/>
  <c r="I2021" i="13" s="1"/>
  <c r="M2211" i="14"/>
  <c r="K2043" i="14"/>
  <c r="L2043" i="14" s="1"/>
  <c r="I2044" i="14" s="1"/>
  <c r="M2210" i="13"/>
  <c r="J2206" i="14" a="1"/>
  <c r="J2206" i="14" s="1"/>
  <c r="N2207" i="14"/>
  <c r="J2207" i="13" a="1"/>
  <c r="J2207" i="13" s="1"/>
  <c r="N2208" i="13"/>
  <c r="K2021" i="13" l="1"/>
  <c r="L2021" i="13" s="1"/>
  <c r="I2022" i="13" s="1"/>
  <c r="K2044" i="14"/>
  <c r="L2044" i="14" s="1"/>
  <c r="I2045" i="14" s="1"/>
  <c r="N2208" i="14"/>
  <c r="J2207" i="14" a="1"/>
  <c r="J2207" i="14" s="1"/>
  <c r="J2208" i="13" a="1"/>
  <c r="J2208" i="13" s="1"/>
  <c r="N2209" i="13"/>
  <c r="M2211" i="13"/>
  <c r="M2212" i="14"/>
  <c r="K2022" i="13" l="1"/>
  <c r="L2022" i="13" s="1"/>
  <c r="I2023" i="13" s="1"/>
  <c r="N2210" i="13"/>
  <c r="J2209" i="13" a="1"/>
  <c r="J2209" i="13" s="1"/>
  <c r="M2212" i="13"/>
  <c r="M2213" i="14"/>
  <c r="J2208" i="14" a="1"/>
  <c r="J2208" i="14" s="1"/>
  <c r="N2209" i="14"/>
  <c r="K2045" i="14"/>
  <c r="L2045" i="14" s="1"/>
  <c r="I2046" i="14" s="1"/>
  <c r="K2023" i="13" l="1"/>
  <c r="L2023" i="13" s="1"/>
  <c r="I2024" i="13" s="1"/>
  <c r="J2209" i="14" a="1"/>
  <c r="J2209" i="14" s="1"/>
  <c r="N2210" i="14"/>
  <c r="M2213" i="13"/>
  <c r="K2046" i="14"/>
  <c r="L2046" i="14" s="1"/>
  <c r="I2047" i="14" s="1"/>
  <c r="M2214" i="14"/>
  <c r="J2210" i="13" a="1"/>
  <c r="J2210" i="13" s="1"/>
  <c r="N2211" i="13"/>
  <c r="K2024" i="13" l="1"/>
  <c r="L2024" i="13" s="1"/>
  <c r="I2025" i="13" s="1"/>
  <c r="K2047" i="14"/>
  <c r="L2047" i="14" s="1"/>
  <c r="I2048" i="14" s="1"/>
  <c r="M2215" i="14"/>
  <c r="J2211" i="13" a="1"/>
  <c r="J2211" i="13" s="1"/>
  <c r="N2212" i="13"/>
  <c r="M2214" i="13"/>
  <c r="J2210" i="14" a="1"/>
  <c r="J2210" i="14" s="1"/>
  <c r="N2211" i="14"/>
  <c r="K2025" i="13" l="1"/>
  <c r="L2025" i="13" s="1"/>
  <c r="I2026" i="13" s="1"/>
  <c r="K2048" i="14"/>
  <c r="L2048" i="14" s="1"/>
  <c r="I2049" i="14" s="1"/>
  <c r="M2215" i="13"/>
  <c r="M2216" i="14"/>
  <c r="N2212" i="14"/>
  <c r="J2211" i="14" a="1"/>
  <c r="J2211" i="14" s="1"/>
  <c r="J2212" i="13" a="1"/>
  <c r="J2212" i="13" s="1"/>
  <c r="N2213" i="13"/>
  <c r="K2026" i="13" l="1"/>
  <c r="L2026" i="13" s="1"/>
  <c r="I2027" i="13" s="1"/>
  <c r="N2214" i="13"/>
  <c r="J2213" i="13" a="1"/>
  <c r="J2213" i="13" s="1"/>
  <c r="M2217" i="14"/>
  <c r="J2212" i="14" a="1"/>
  <c r="J2212" i="14" s="1"/>
  <c r="N2213" i="14"/>
  <c r="M2216" i="13"/>
  <c r="K2049" i="14"/>
  <c r="L2049" i="14" s="1"/>
  <c r="I2050" i="14" s="1"/>
  <c r="K2027" i="13" l="1"/>
  <c r="L2027" i="13" s="1"/>
  <c r="I2028" i="13" s="1"/>
  <c r="K2050" i="14"/>
  <c r="L2050" i="14" s="1"/>
  <c r="I2051" i="14" s="1"/>
  <c r="J2214" i="13" a="1"/>
  <c r="J2214" i="13" s="1"/>
  <c r="N2215" i="13"/>
  <c r="J2213" i="14" a="1"/>
  <c r="J2213" i="14" s="1"/>
  <c r="N2214" i="14"/>
  <c r="M2217" i="13"/>
  <c r="M2218" i="14"/>
  <c r="K2028" i="13" l="1"/>
  <c r="L2028" i="13" s="1"/>
  <c r="I2029" i="13" s="1"/>
  <c r="K2051" i="14"/>
  <c r="L2051" i="14" s="1"/>
  <c r="I2052" i="14" s="1"/>
  <c r="M2218" i="13"/>
  <c r="M2219" i="14"/>
  <c r="J2214" i="14" a="1"/>
  <c r="J2214" i="14" s="1"/>
  <c r="N2215" i="14"/>
  <c r="J2215" i="13" a="1"/>
  <c r="J2215" i="13" s="1"/>
  <c r="N2216" i="13"/>
  <c r="K2029" i="13" l="1"/>
  <c r="L2029" i="13" s="1"/>
  <c r="I2030" i="13" s="1"/>
  <c r="M2220" i="14"/>
  <c r="J2216" i="13" a="1"/>
  <c r="J2216" i="13" s="1"/>
  <c r="N2217" i="13"/>
  <c r="K2052" i="14"/>
  <c r="L2052" i="14" s="1"/>
  <c r="I2053" i="14" s="1"/>
  <c r="N2216" i="14"/>
  <c r="J2215" i="14" a="1"/>
  <c r="J2215" i="14" s="1"/>
  <c r="M2219" i="13"/>
  <c r="K2030" i="13" l="1"/>
  <c r="L2030" i="13" s="1"/>
  <c r="I2031" i="13" s="1"/>
  <c r="K2053" i="14"/>
  <c r="L2053" i="14" s="1"/>
  <c r="I2054" i="14" s="1"/>
  <c r="M2220" i="13"/>
  <c r="M2221" i="14"/>
  <c r="N2218" i="13"/>
  <c r="J2217" i="13" a="1"/>
  <c r="J2217" i="13" s="1"/>
  <c r="J2216" i="14" a="1"/>
  <c r="J2216" i="14" s="1"/>
  <c r="N2217" i="14"/>
  <c r="K2031" i="13" l="1"/>
  <c r="L2031" i="13" s="1"/>
  <c r="I2032" i="13" s="1"/>
  <c r="K2054" i="14"/>
  <c r="L2054" i="14" s="1"/>
  <c r="I2055" i="14" s="1"/>
  <c r="J2217" i="14" a="1"/>
  <c r="J2217" i="14" s="1"/>
  <c r="N2218" i="14"/>
  <c r="M2222" i="14"/>
  <c r="M2221" i="13"/>
  <c r="J2218" i="13" a="1"/>
  <c r="J2218" i="13" s="1"/>
  <c r="N2219" i="13"/>
  <c r="K2032" i="13" l="1"/>
  <c r="L2032" i="13" s="1"/>
  <c r="I2033" i="13" s="1"/>
  <c r="K2055" i="14"/>
  <c r="L2055" i="14" s="1"/>
  <c r="I2056" i="14" s="1"/>
  <c r="J2219" i="13" a="1"/>
  <c r="J2219" i="13" s="1"/>
  <c r="N2220" i="13"/>
  <c r="M2223" i="14"/>
  <c r="J2218" i="14" a="1"/>
  <c r="J2218" i="14" s="1"/>
  <c r="N2219" i="14"/>
  <c r="M2222" i="13"/>
  <c r="K2033" i="13" l="1"/>
  <c r="L2033" i="13" s="1"/>
  <c r="I2034" i="13" s="1"/>
  <c r="K2056" i="14"/>
  <c r="L2056" i="14" s="1"/>
  <c r="I2057" i="14" s="1"/>
  <c r="M2223" i="13"/>
  <c r="M2224" i="14"/>
  <c r="N2220" i="14"/>
  <c r="J2219" i="14" a="1"/>
  <c r="J2219" i="14" s="1"/>
  <c r="J2220" i="13" a="1"/>
  <c r="J2220" i="13" s="1"/>
  <c r="N2221" i="13"/>
  <c r="K2034" i="13" l="1"/>
  <c r="L2034" i="13" s="1"/>
  <c r="I2035" i="13" s="1"/>
  <c r="K2057" i="14"/>
  <c r="L2057" i="14" s="1"/>
  <c r="I2058" i="14" s="1"/>
  <c r="N2222" i="13"/>
  <c r="J2221" i="13" a="1"/>
  <c r="J2221" i="13" s="1"/>
  <c r="M2225" i="14"/>
  <c r="J2220" i="14" a="1"/>
  <c r="J2220" i="14" s="1"/>
  <c r="N2221" i="14"/>
  <c r="M2224" i="13"/>
  <c r="K2035" i="13" l="1"/>
  <c r="L2035" i="13" s="1"/>
  <c r="I2036" i="13" s="1"/>
  <c r="J2221" i="14" a="1"/>
  <c r="J2221" i="14" s="1"/>
  <c r="N2222" i="14"/>
  <c r="M2225" i="13"/>
  <c r="M2226" i="14"/>
  <c r="K2058" i="14"/>
  <c r="L2058" i="14" s="1"/>
  <c r="I2059" i="14" s="1"/>
  <c r="J2222" i="13" a="1"/>
  <c r="J2222" i="13" s="1"/>
  <c r="N2223" i="13"/>
  <c r="K2036" i="13" l="1"/>
  <c r="L2036" i="13" s="1"/>
  <c r="I2037" i="13" s="1"/>
  <c r="K2059" i="14"/>
  <c r="L2059" i="14" s="1"/>
  <c r="I2060" i="14" s="1"/>
  <c r="J2223" i="13" a="1"/>
  <c r="J2223" i="13" s="1"/>
  <c r="N2224" i="13"/>
  <c r="M2227" i="14"/>
  <c r="J2222" i="14" a="1"/>
  <c r="J2222" i="14" s="1"/>
  <c r="N2223" i="14"/>
  <c r="M2226" i="13"/>
  <c r="K2037" i="13" l="1"/>
  <c r="L2037" i="13" s="1"/>
  <c r="I2038" i="13" s="1"/>
  <c r="K2060" i="14"/>
  <c r="L2060" i="14" s="1"/>
  <c r="I2061" i="14" s="1"/>
  <c r="N2224" i="14"/>
  <c r="J2223" i="14" a="1"/>
  <c r="J2223" i="14" s="1"/>
  <c r="J2224" i="13" a="1"/>
  <c r="J2224" i="13" s="1"/>
  <c r="N2225" i="13"/>
  <c r="M2227" i="13"/>
  <c r="M2228" i="14"/>
  <c r="K2038" i="13" l="1"/>
  <c r="L2038" i="13" s="1"/>
  <c r="I2039" i="13" s="1"/>
  <c r="K2061" i="14"/>
  <c r="L2061" i="14" s="1"/>
  <c r="I2062" i="14" s="1"/>
  <c r="M2229" i="14"/>
  <c r="N2226" i="13"/>
  <c r="J2225" i="13" a="1"/>
  <c r="J2225" i="13" s="1"/>
  <c r="M2228" i="13"/>
  <c r="J2224" i="14" a="1"/>
  <c r="J2224" i="14" s="1"/>
  <c r="N2225" i="14"/>
  <c r="K2039" i="13" l="1"/>
  <c r="L2039" i="13" s="1"/>
  <c r="I2040" i="13" s="1"/>
  <c r="K2062" i="14"/>
  <c r="L2062" i="14" s="1"/>
  <c r="I2063" i="14" s="1"/>
  <c r="J2225" i="14" a="1"/>
  <c r="J2225" i="14" s="1"/>
  <c r="N2226" i="14"/>
  <c r="M2230" i="14"/>
  <c r="M2229" i="13"/>
  <c r="J2226" i="13" a="1"/>
  <c r="J2226" i="13" s="1"/>
  <c r="N2227" i="13"/>
  <c r="K2040" i="13" l="1"/>
  <c r="L2040" i="13" s="1"/>
  <c r="I2041" i="13" s="1"/>
  <c r="K2063" i="14"/>
  <c r="L2063" i="14" s="1"/>
  <c r="I2064" i="14" s="1"/>
  <c r="M2231" i="14"/>
  <c r="J2227" i="13" a="1"/>
  <c r="J2227" i="13" s="1"/>
  <c r="N2228" i="13"/>
  <c r="J2226" i="14" a="1"/>
  <c r="J2226" i="14" s="1"/>
  <c r="N2227" i="14"/>
  <c r="M2230" i="13"/>
  <c r="K2041" i="13" l="1"/>
  <c r="L2041" i="13" s="1"/>
  <c r="I2042" i="13" s="1"/>
  <c r="K2064" i="14"/>
  <c r="L2064" i="14" s="1"/>
  <c r="I2065" i="14" s="1"/>
  <c r="M2231" i="13"/>
  <c r="N2228" i="14"/>
  <c r="J2227" i="14" a="1"/>
  <c r="J2227" i="14" s="1"/>
  <c r="J2228" i="13" a="1"/>
  <c r="J2228" i="13" s="1"/>
  <c r="N2229" i="13"/>
  <c r="M2232" i="14"/>
  <c r="K2042" i="13" l="1"/>
  <c r="L2042" i="13" s="1"/>
  <c r="I2043" i="13" s="1"/>
  <c r="K2065" i="14"/>
  <c r="L2065" i="14" s="1"/>
  <c r="I2066" i="14" s="1"/>
  <c r="M2233" i="14"/>
  <c r="J2228" i="14" a="1"/>
  <c r="J2228" i="14" s="1"/>
  <c r="N2229" i="14"/>
  <c r="N2230" i="13"/>
  <c r="J2229" i="13" a="1"/>
  <c r="J2229" i="13" s="1"/>
  <c r="M2232" i="13"/>
  <c r="K2043" i="13" l="1"/>
  <c r="L2043" i="13" s="1"/>
  <c r="I2044" i="13" s="1"/>
  <c r="M2233" i="13"/>
  <c r="J2229" i="14" a="1"/>
  <c r="J2229" i="14" s="1"/>
  <c r="N2230" i="14"/>
  <c r="K2066" i="14"/>
  <c r="L2066" i="14" s="1"/>
  <c r="I2067" i="14" s="1"/>
  <c r="J2230" i="13" a="1"/>
  <c r="J2230" i="13" s="1"/>
  <c r="N2231" i="13"/>
  <c r="M2234" i="14"/>
  <c r="K2044" i="13" l="1"/>
  <c r="L2044" i="13" s="1"/>
  <c r="I2045" i="13" s="1"/>
  <c r="M2235" i="14"/>
  <c r="K2067" i="14"/>
  <c r="L2067" i="14" s="1"/>
  <c r="I2068" i="14" s="1"/>
  <c r="M2234" i="13"/>
  <c r="J2230" i="14" a="1"/>
  <c r="J2230" i="14" s="1"/>
  <c r="N2231" i="14"/>
  <c r="J2231" i="13" a="1"/>
  <c r="J2231" i="13" s="1"/>
  <c r="N2232" i="13"/>
  <c r="K2045" i="13" l="1"/>
  <c r="L2045" i="13" s="1"/>
  <c r="I2046" i="13" s="1"/>
  <c r="K2068" i="14"/>
  <c r="L2068" i="14" s="1"/>
  <c r="I2069" i="14" s="1"/>
  <c r="J2232" i="13" a="1"/>
  <c r="J2232" i="13" s="1"/>
  <c r="N2233" i="13"/>
  <c r="M2236" i="14"/>
  <c r="M2235" i="13"/>
  <c r="N2232" i="14"/>
  <c r="J2231" i="14" a="1"/>
  <c r="J2231" i="14" s="1"/>
  <c r="K2046" i="13" l="1"/>
  <c r="L2046" i="13" s="1"/>
  <c r="I2047" i="13" s="1"/>
  <c r="K2069" i="14"/>
  <c r="L2069" i="14" s="1"/>
  <c r="I2070" i="14" s="1"/>
  <c r="N2233" i="14"/>
  <c r="J2232" i="14" a="1"/>
  <c r="J2232" i="14" s="1"/>
  <c r="M2237" i="14"/>
  <c r="N2234" i="13"/>
  <c r="J2233" i="13" a="1"/>
  <c r="J2233" i="13" s="1"/>
  <c r="M2236" i="13"/>
  <c r="K2047" i="13" l="1"/>
  <c r="L2047" i="13" s="1"/>
  <c r="I2048" i="13" s="1"/>
  <c r="K2070" i="14"/>
  <c r="L2070" i="14" s="1"/>
  <c r="I2071" i="14" s="1"/>
  <c r="M2237" i="13"/>
  <c r="N2234" i="14"/>
  <c r="J2233" i="14" a="1"/>
  <c r="J2233" i="14" s="1"/>
  <c r="M2238" i="14"/>
  <c r="J2234" i="13" a="1"/>
  <c r="J2234" i="13" s="1"/>
  <c r="N2235" i="13"/>
  <c r="K2048" i="13" l="1"/>
  <c r="L2048" i="13" s="1"/>
  <c r="I2049" i="13" s="1"/>
  <c r="K2071" i="14"/>
  <c r="L2071" i="14" s="1"/>
  <c r="I2072" i="14" s="1"/>
  <c r="J2235" i="13" a="1"/>
  <c r="J2235" i="13" s="1"/>
  <c r="N2236" i="13"/>
  <c r="J2234" i="14" a="1"/>
  <c r="J2234" i="14" s="1"/>
  <c r="N2235" i="14"/>
  <c r="M2239" i="14"/>
  <c r="M2238" i="13"/>
  <c r="K2049" i="13" l="1"/>
  <c r="L2049" i="13" s="1"/>
  <c r="I2050" i="13" s="1"/>
  <c r="K2072" i="14"/>
  <c r="L2072" i="14" s="1"/>
  <c r="I2073" i="14" s="1"/>
  <c r="N2236" i="14"/>
  <c r="J2235" i="14" a="1"/>
  <c r="J2235" i="14" s="1"/>
  <c r="M2239" i="13"/>
  <c r="M2240" i="14"/>
  <c r="J2236" i="13" a="1"/>
  <c r="J2236" i="13" s="1"/>
  <c r="N2237" i="13"/>
  <c r="K2050" i="13" l="1"/>
  <c r="L2050" i="13" s="1"/>
  <c r="I2051" i="13" s="1"/>
  <c r="K2073" i="14"/>
  <c r="L2073" i="14" s="1"/>
  <c r="I2074" i="14" s="1"/>
  <c r="M2241" i="14"/>
  <c r="N2238" i="13"/>
  <c r="J2237" i="13" a="1"/>
  <c r="J2237" i="13" s="1"/>
  <c r="M2240" i="13"/>
  <c r="N2237" i="14"/>
  <c r="J2236" i="14" a="1"/>
  <c r="J2236" i="14" s="1"/>
  <c r="K2051" i="13" l="1"/>
  <c r="L2051" i="13" s="1"/>
  <c r="I2052" i="13" s="1"/>
  <c r="K2074" i="14"/>
  <c r="L2074" i="14" s="1"/>
  <c r="I2075" i="14" s="1"/>
  <c r="J2237" i="14" a="1"/>
  <c r="J2237" i="14" s="1"/>
  <c r="N2238" i="14"/>
  <c r="J2238" i="13" a="1"/>
  <c r="J2238" i="13" s="1"/>
  <c r="N2239" i="13"/>
  <c r="M2241" i="13"/>
  <c r="M2242" i="14"/>
  <c r="K2052" i="13" l="1"/>
  <c r="L2052" i="13" s="1"/>
  <c r="I2053" i="13" s="1"/>
  <c r="J2239" i="13" a="1"/>
  <c r="J2239" i="13" s="1"/>
  <c r="N2240" i="13"/>
  <c r="K2075" i="14"/>
  <c r="L2075" i="14" s="1"/>
  <c r="I2076" i="14" s="1"/>
  <c r="M2242" i="13"/>
  <c r="M2243" i="14"/>
  <c r="N2239" i="14"/>
  <c r="J2238" i="14" a="1"/>
  <c r="J2238" i="14" s="1"/>
  <c r="K2053" i="13" l="1"/>
  <c r="L2053" i="13" s="1"/>
  <c r="I2054" i="13" s="1"/>
  <c r="K2076" i="14"/>
  <c r="L2076" i="14" s="1"/>
  <c r="I2077" i="14" s="1"/>
  <c r="J2240" i="13" a="1"/>
  <c r="J2240" i="13" s="1"/>
  <c r="N2241" i="13"/>
  <c r="N2240" i="14"/>
  <c r="J2239" i="14" a="1"/>
  <c r="J2239" i="14" s="1"/>
  <c r="M2243" i="13"/>
  <c r="M2244" i="14"/>
  <c r="K2054" i="13" l="1"/>
  <c r="L2054" i="13" s="1"/>
  <c r="I2055" i="13" s="1"/>
  <c r="K2077" i="14"/>
  <c r="L2077" i="14" s="1"/>
  <c r="I2078" i="14" s="1"/>
  <c r="M2244" i="13"/>
  <c r="M2245" i="14"/>
  <c r="N2241" i="14"/>
  <c r="J2240" i="14" a="1"/>
  <c r="J2240" i="14" s="1"/>
  <c r="N2242" i="13"/>
  <c r="J2241" i="13" a="1"/>
  <c r="J2241" i="13" s="1"/>
  <c r="K2055" i="13" l="1"/>
  <c r="L2055" i="13" s="1"/>
  <c r="I2056" i="13" s="1"/>
  <c r="M2246" i="14"/>
  <c r="K2078" i="14"/>
  <c r="L2078" i="14" s="1"/>
  <c r="I2079" i="14" s="1"/>
  <c r="M2245" i="13"/>
  <c r="J2242" i="13" a="1"/>
  <c r="J2242" i="13" s="1"/>
  <c r="N2243" i="13"/>
  <c r="J2241" i="14" a="1"/>
  <c r="J2241" i="14" s="1"/>
  <c r="N2242" i="14"/>
  <c r="K2056" i="13" l="1"/>
  <c r="L2056" i="13" s="1"/>
  <c r="I2057" i="13" s="1"/>
  <c r="K2079" i="14"/>
  <c r="L2079" i="14" s="1"/>
  <c r="I2080" i="14" s="1"/>
  <c r="J2243" i="13" a="1"/>
  <c r="J2243" i="13" s="1"/>
  <c r="N2244" i="13"/>
  <c r="N2243" i="14"/>
  <c r="J2242" i="14" a="1"/>
  <c r="J2242" i="14" s="1"/>
  <c r="M2247" i="14"/>
  <c r="M2246" i="13"/>
  <c r="K2057" i="13" l="1"/>
  <c r="L2057" i="13" s="1"/>
  <c r="I2058" i="13" s="1"/>
  <c r="K2080" i="14"/>
  <c r="L2080" i="14" s="1"/>
  <c r="I2081" i="14" s="1"/>
  <c r="M2247" i="13"/>
  <c r="M2248" i="14"/>
  <c r="N2244" i="14"/>
  <c r="J2243" i="14" a="1"/>
  <c r="J2243" i="14" s="1"/>
  <c r="J2244" i="13" a="1"/>
  <c r="J2244" i="13" s="1"/>
  <c r="N2245" i="13"/>
  <c r="K2058" i="13" l="1"/>
  <c r="L2058" i="13" s="1"/>
  <c r="I2059" i="13" s="1"/>
  <c r="K2081" i="14"/>
  <c r="L2081" i="14" s="1"/>
  <c r="I2082" i="14" s="1"/>
  <c r="N2246" i="13"/>
  <c r="J2245" i="13" a="1"/>
  <c r="J2245" i="13" s="1"/>
  <c r="M2249" i="14"/>
  <c r="N2245" i="14"/>
  <c r="J2244" i="14" a="1"/>
  <c r="J2244" i="14" s="1"/>
  <c r="M2248" i="13"/>
  <c r="K2059" i="13" l="1"/>
  <c r="L2059" i="13" s="1"/>
  <c r="I2060" i="13" s="1"/>
  <c r="K2082" i="14"/>
  <c r="L2082" i="14" s="1"/>
  <c r="I2083" i="14" s="1"/>
  <c r="M2249" i="13"/>
  <c r="J2245" i="14" a="1"/>
  <c r="J2245" i="14" s="1"/>
  <c r="N2246" i="14"/>
  <c r="M2250" i="14"/>
  <c r="J2246" i="13" a="1"/>
  <c r="J2246" i="13" s="1"/>
  <c r="N2247" i="13"/>
  <c r="K2060" i="13" l="1"/>
  <c r="L2060" i="13" s="1"/>
  <c r="I2061" i="13" s="1"/>
  <c r="K2083" i="14"/>
  <c r="L2083" i="14" s="1"/>
  <c r="I2084" i="14" s="1"/>
  <c r="N2247" i="14"/>
  <c r="J2246" i="14" a="1"/>
  <c r="J2246" i="14" s="1"/>
  <c r="J2247" i="13" a="1"/>
  <c r="J2247" i="13" s="1"/>
  <c r="N2248" i="13"/>
  <c r="M2251" i="14"/>
  <c r="M2250" i="13"/>
  <c r="K2061" i="13" l="1"/>
  <c r="L2061" i="13" s="1"/>
  <c r="I2062" i="13" s="1"/>
  <c r="M2251" i="13"/>
  <c r="J2248" i="13" a="1"/>
  <c r="J2248" i="13" s="1"/>
  <c r="N2249" i="13"/>
  <c r="K2084" i="14"/>
  <c r="L2084" i="14" s="1"/>
  <c r="I2085" i="14" s="1"/>
  <c r="M2252" i="14"/>
  <c r="J2247" i="14" a="1"/>
  <c r="J2247" i="14" s="1"/>
  <c r="N2248" i="14"/>
  <c r="K2062" i="13" l="1"/>
  <c r="L2062" i="13" s="1"/>
  <c r="I2063" i="13" s="1"/>
  <c r="K2085" i="14"/>
  <c r="L2085" i="14" s="1"/>
  <c r="I2086" i="14" s="1"/>
  <c r="N2249" i="14"/>
  <c r="J2248" i="14" a="1"/>
  <c r="J2248" i="14" s="1"/>
  <c r="M2252" i="13"/>
  <c r="N2250" i="13"/>
  <c r="J2249" i="13" a="1"/>
  <c r="J2249" i="13" s="1"/>
  <c r="M2253" i="14"/>
  <c r="K2063" i="13" l="1"/>
  <c r="L2063" i="13" s="1"/>
  <c r="I2064" i="13" s="1"/>
  <c r="J2250" i="13" a="1"/>
  <c r="J2250" i="13" s="1"/>
  <c r="N2251" i="13"/>
  <c r="M2254" i="14"/>
  <c r="M2253" i="13"/>
  <c r="J2249" i="14" a="1"/>
  <c r="J2249" i="14" s="1"/>
  <c r="N2250" i="14"/>
  <c r="K2086" i="14"/>
  <c r="L2086" i="14" s="1"/>
  <c r="I2087" i="14" s="1"/>
  <c r="K2064" i="13" l="1"/>
  <c r="L2064" i="13" s="1"/>
  <c r="I2065" i="13" s="1"/>
  <c r="K2087" i="14"/>
  <c r="L2087" i="14" s="1"/>
  <c r="I2088" i="14" s="1"/>
  <c r="J2250" i="14" a="1"/>
  <c r="J2250" i="14" s="1"/>
  <c r="N2251" i="14"/>
  <c r="M2255" i="14"/>
  <c r="J2251" i="13" a="1"/>
  <c r="J2251" i="13" s="1"/>
  <c r="N2252" i="13"/>
  <c r="M2254" i="13"/>
  <c r="K2065" i="13" l="1"/>
  <c r="L2065" i="13" s="1"/>
  <c r="I2066" i="13" s="1"/>
  <c r="K2088" i="14"/>
  <c r="L2088" i="14" s="1"/>
  <c r="I2089" i="14" s="1"/>
  <c r="M2256" i="14"/>
  <c r="M2255" i="13"/>
  <c r="J2252" i="13" a="1"/>
  <c r="J2252" i="13" s="1"/>
  <c r="N2253" i="13"/>
  <c r="N2252" i="14"/>
  <c r="J2251" i="14" a="1"/>
  <c r="J2251" i="14" s="1"/>
  <c r="K2066" i="13" l="1"/>
  <c r="L2066" i="13" s="1"/>
  <c r="I2067" i="13" s="1"/>
  <c r="K2089" i="14"/>
  <c r="L2089" i="14" s="1"/>
  <c r="I2090" i="14" s="1"/>
  <c r="N2254" i="13"/>
  <c r="J2253" i="13" a="1"/>
  <c r="J2253" i="13" s="1"/>
  <c r="N2253" i="14"/>
  <c r="J2252" i="14" a="1"/>
  <c r="J2252" i="14" s="1"/>
  <c r="M2257" i="14"/>
  <c r="M2256" i="13"/>
  <c r="K2067" i="13" l="1"/>
  <c r="L2067" i="13" s="1"/>
  <c r="I2068" i="13" s="1"/>
  <c r="K2090" i="14"/>
  <c r="L2090" i="14" s="1"/>
  <c r="I2091" i="14" s="1"/>
  <c r="J2254" i="13" a="1"/>
  <c r="J2254" i="13" s="1"/>
  <c r="N2255" i="13"/>
  <c r="M2257" i="13"/>
  <c r="M2258" i="14"/>
  <c r="J2253" i="14" a="1"/>
  <c r="J2253" i="14" s="1"/>
  <c r="N2254" i="14"/>
  <c r="K2068" i="13" l="1"/>
  <c r="L2068" i="13" s="1"/>
  <c r="I2069" i="13" s="1"/>
  <c r="K2091" i="14"/>
  <c r="L2091" i="14" s="1"/>
  <c r="I2092" i="14" s="1"/>
  <c r="N2255" i="14"/>
  <c r="J2254" i="14" a="1"/>
  <c r="J2254" i="14" s="1"/>
  <c r="M2259" i="14"/>
  <c r="M2258" i="13"/>
  <c r="J2255" i="13" a="1"/>
  <c r="J2255" i="13" s="1"/>
  <c r="N2256" i="13"/>
  <c r="K2069" i="13" l="1"/>
  <c r="L2069" i="13" s="1"/>
  <c r="I2070" i="13" s="1"/>
  <c r="K2092" i="14"/>
  <c r="L2092" i="14" s="1"/>
  <c r="I2093" i="14" s="1"/>
  <c r="J2256" i="13" a="1"/>
  <c r="J2256" i="13" s="1"/>
  <c r="N2257" i="13"/>
  <c r="M2260" i="14"/>
  <c r="M2259" i="13"/>
  <c r="N2256" i="14"/>
  <c r="J2255" i="14" a="1"/>
  <c r="J2255" i="14" s="1"/>
  <c r="K2070" i="13" l="1"/>
  <c r="L2070" i="13" s="1"/>
  <c r="I2071" i="13" s="1"/>
  <c r="K2093" i="14"/>
  <c r="L2093" i="14" s="1"/>
  <c r="I2094" i="14" s="1"/>
  <c r="N2258" i="13"/>
  <c r="J2257" i="13" a="1"/>
  <c r="J2257" i="13" s="1"/>
  <c r="N2257" i="14"/>
  <c r="J2256" i="14" a="1"/>
  <c r="J2256" i="14" s="1"/>
  <c r="M2260" i="13"/>
  <c r="M2261" i="14"/>
  <c r="K2071" i="13" l="1"/>
  <c r="L2071" i="13" s="1"/>
  <c r="I2072" i="13" s="1"/>
  <c r="J2257" i="14" a="1"/>
  <c r="J2257" i="14" s="1"/>
  <c r="N2258" i="14"/>
  <c r="K2094" i="14"/>
  <c r="L2094" i="14" s="1"/>
  <c r="I2095" i="14" s="1"/>
  <c r="M2262" i="14"/>
  <c r="M2261" i="13"/>
  <c r="J2258" i="13" a="1"/>
  <c r="J2258" i="13" s="1"/>
  <c r="N2259" i="13"/>
  <c r="K2072" i="13" l="1"/>
  <c r="L2072" i="13" s="1"/>
  <c r="I2073" i="13" s="1"/>
  <c r="K2095" i="14"/>
  <c r="L2095" i="14" s="1"/>
  <c r="I2096" i="14" s="1"/>
  <c r="J2259" i="13" a="1"/>
  <c r="J2259" i="13" s="1"/>
  <c r="N2260" i="13"/>
  <c r="M2263" i="14"/>
  <c r="N2259" i="14"/>
  <c r="J2258" i="14" a="1"/>
  <c r="J2258" i="14" s="1"/>
  <c r="M2262" i="13"/>
  <c r="K2073" i="13" l="1"/>
  <c r="L2073" i="13" s="1"/>
  <c r="I2074" i="13" s="1"/>
  <c r="K2096" i="14"/>
  <c r="L2096" i="14" s="1"/>
  <c r="I2097" i="14" s="1"/>
  <c r="N2260" i="14"/>
  <c r="J2259" i="14" a="1"/>
  <c r="J2259" i="14" s="1"/>
  <c r="M2263" i="13"/>
  <c r="M2264" i="14"/>
  <c r="J2260" i="13" a="1"/>
  <c r="J2260" i="13" s="1"/>
  <c r="N2261" i="13"/>
  <c r="K2074" i="13" l="1"/>
  <c r="L2074" i="13" s="1"/>
  <c r="I2075" i="13" s="1"/>
  <c r="K2097" i="14"/>
  <c r="L2097" i="14" s="1"/>
  <c r="I2098" i="14" s="1"/>
  <c r="M2264" i="13"/>
  <c r="N2262" i="13"/>
  <c r="J2261" i="13" a="1"/>
  <c r="J2261" i="13" s="1"/>
  <c r="N2261" i="14"/>
  <c r="J2260" i="14" a="1"/>
  <c r="J2260" i="14" s="1"/>
  <c r="M2265" i="14"/>
  <c r="K2075" i="13" l="1"/>
  <c r="L2075" i="13" s="1"/>
  <c r="I2076" i="13" s="1"/>
  <c r="K2098" i="14"/>
  <c r="L2098" i="14" s="1"/>
  <c r="I2099" i="14" s="1"/>
  <c r="M2266" i="14"/>
  <c r="J2262" i="13" a="1"/>
  <c r="J2262" i="13" s="1"/>
  <c r="N2263" i="13"/>
  <c r="M2265" i="13"/>
  <c r="J2261" i="14" a="1"/>
  <c r="J2261" i="14" s="1"/>
  <c r="N2262" i="14"/>
  <c r="K2076" i="13" l="1"/>
  <c r="L2076" i="13" s="1"/>
  <c r="I2077" i="13" s="1"/>
  <c r="K2099" i="14"/>
  <c r="L2099" i="14" s="1"/>
  <c r="I2100" i="14" s="1"/>
  <c r="J2263" i="13" a="1"/>
  <c r="J2263" i="13" s="1"/>
  <c r="N2264" i="13"/>
  <c r="N2263" i="14"/>
  <c r="J2262" i="14" a="1"/>
  <c r="J2262" i="14" s="1"/>
  <c r="M2267" i="14"/>
  <c r="M2266" i="13"/>
  <c r="K2077" i="13" l="1"/>
  <c r="L2077" i="13" s="1"/>
  <c r="I2078" i="13" s="1"/>
  <c r="K2100" i="14"/>
  <c r="L2100" i="14" s="1"/>
  <c r="I2101" i="14" s="1"/>
  <c r="N2264" i="14"/>
  <c r="J2263" i="14" a="1"/>
  <c r="J2263" i="14" s="1"/>
  <c r="J2264" i="13" a="1"/>
  <c r="J2264" i="13" s="1"/>
  <c r="N2265" i="13"/>
  <c r="M2267" i="13"/>
  <c r="M2268" i="14"/>
  <c r="K2078" i="13" l="1"/>
  <c r="L2078" i="13" s="1"/>
  <c r="I2079" i="13" s="1"/>
  <c r="K2101" i="14"/>
  <c r="L2101" i="14" s="1"/>
  <c r="I2102" i="14" s="1"/>
  <c r="N2266" i="13"/>
  <c r="J2265" i="13" a="1"/>
  <c r="J2265" i="13" s="1"/>
  <c r="M2269" i="14"/>
  <c r="M2268" i="13"/>
  <c r="J2264" i="14" a="1"/>
  <c r="J2264" i="14" s="1"/>
  <c r="N2265" i="14"/>
  <c r="K2079" i="13" l="1"/>
  <c r="L2079" i="13" s="1"/>
  <c r="I2080" i="13" s="1"/>
  <c r="K2102" i="14"/>
  <c r="L2102" i="14" s="1"/>
  <c r="I2103" i="14" s="1"/>
  <c r="J2265" i="14" a="1"/>
  <c r="J2265" i="14" s="1"/>
  <c r="N2266" i="14"/>
  <c r="M2270" i="14"/>
  <c r="M2269" i="13"/>
  <c r="J2266" i="13" a="1"/>
  <c r="J2266" i="13" s="1"/>
  <c r="N2267" i="13"/>
  <c r="K2080" i="13" l="1"/>
  <c r="L2080" i="13" s="1"/>
  <c r="I2081" i="13" s="1"/>
  <c r="K2103" i="14"/>
  <c r="L2103" i="14" s="1"/>
  <c r="I2104" i="14" s="1"/>
  <c r="N2267" i="14"/>
  <c r="J2266" i="14" a="1"/>
  <c r="J2266" i="14" s="1"/>
  <c r="J2267" i="13" a="1"/>
  <c r="J2267" i="13" s="1"/>
  <c r="N2268" i="13"/>
  <c r="M2271" i="14"/>
  <c r="M2270" i="13"/>
  <c r="K2081" i="13" l="1"/>
  <c r="L2081" i="13" s="1"/>
  <c r="I2082" i="13" s="1"/>
  <c r="M2271" i="13"/>
  <c r="J2268" i="13" a="1"/>
  <c r="J2268" i="13" s="1"/>
  <c r="N2269" i="13"/>
  <c r="K2104" i="14"/>
  <c r="L2104" i="14" s="1"/>
  <c r="I2105" i="14" s="1"/>
  <c r="M2272" i="14"/>
  <c r="N2268" i="14"/>
  <c r="J2267" i="14" a="1"/>
  <c r="J2267" i="14" s="1"/>
  <c r="K2082" i="13" l="1"/>
  <c r="L2082" i="13" s="1"/>
  <c r="I2083" i="13" s="1"/>
  <c r="K2105" i="14"/>
  <c r="L2105" i="14" s="1"/>
  <c r="I2106" i="14" s="1"/>
  <c r="N2270" i="13"/>
  <c r="J2269" i="13" a="1"/>
  <c r="J2269" i="13" s="1"/>
  <c r="M2273" i="14"/>
  <c r="J2268" i="14" a="1"/>
  <c r="J2268" i="14" s="1"/>
  <c r="N2269" i="14"/>
  <c r="M2272" i="13"/>
  <c r="K2083" i="13" l="1"/>
  <c r="L2083" i="13" s="1"/>
  <c r="I2084" i="13" s="1"/>
  <c r="K2106" i="14"/>
  <c r="L2106" i="14" s="1"/>
  <c r="I2107" i="14" s="1"/>
  <c r="M2273" i="13"/>
  <c r="M2274" i="14"/>
  <c r="J2269" i="14" a="1"/>
  <c r="J2269" i="14" s="1"/>
  <c r="N2270" i="14"/>
  <c r="J2270" i="13" a="1"/>
  <c r="J2270" i="13" s="1"/>
  <c r="N2271" i="13"/>
  <c r="K2084" i="13" l="1"/>
  <c r="L2084" i="13" s="1"/>
  <c r="I2085" i="13" s="1"/>
  <c r="J2271" i="13" a="1"/>
  <c r="J2271" i="13" s="1"/>
  <c r="N2272" i="13"/>
  <c r="M2275" i="14"/>
  <c r="K2107" i="14"/>
  <c r="L2107" i="14" s="1"/>
  <c r="I2108" i="14" s="1"/>
  <c r="N2271" i="14"/>
  <c r="J2270" i="14" a="1"/>
  <c r="J2270" i="14" s="1"/>
  <c r="M2274" i="13"/>
  <c r="K2085" i="13" l="1"/>
  <c r="L2085" i="13" s="1"/>
  <c r="I2086" i="13" s="1"/>
  <c r="M2275" i="13"/>
  <c r="K2108" i="14"/>
  <c r="L2108" i="14" s="1"/>
  <c r="I2109" i="14" s="1"/>
  <c r="J2272" i="13" a="1"/>
  <c r="J2272" i="13" s="1"/>
  <c r="N2273" i="13"/>
  <c r="N2272" i="14"/>
  <c r="J2271" i="14" a="1"/>
  <c r="J2271" i="14" s="1"/>
  <c r="M2276" i="14"/>
  <c r="K2086" i="13" l="1"/>
  <c r="L2086" i="13" s="1"/>
  <c r="I2087" i="13" s="1"/>
  <c r="K2109" i="14"/>
  <c r="L2109" i="14" s="1"/>
  <c r="I2110" i="14" s="1"/>
  <c r="N2274" i="13"/>
  <c r="J2273" i="13" a="1"/>
  <c r="J2273" i="13" s="1"/>
  <c r="M2276" i="13"/>
  <c r="M2277" i="14"/>
  <c r="J2272" i="14" a="1"/>
  <c r="J2272" i="14" s="1"/>
  <c r="N2273" i="14"/>
  <c r="K2087" i="13" l="1"/>
  <c r="L2087" i="13" s="1"/>
  <c r="I2088" i="13" s="1"/>
  <c r="J2273" i="14" a="1"/>
  <c r="J2273" i="14" s="1"/>
  <c r="N2274" i="14"/>
  <c r="M2277" i="13"/>
  <c r="M2278" i="14"/>
  <c r="J2274" i="13" a="1"/>
  <c r="J2274" i="13" s="1"/>
  <c r="N2275" i="13"/>
  <c r="K2110" i="14"/>
  <c r="L2110" i="14" s="1"/>
  <c r="I2111" i="14" s="1"/>
  <c r="K2088" i="13" l="1"/>
  <c r="L2088" i="13" s="1"/>
  <c r="I2089" i="13" s="1"/>
  <c r="K2111" i="14"/>
  <c r="L2111" i="14" s="1"/>
  <c r="I2112" i="14" s="1"/>
  <c r="M2279" i="14"/>
  <c r="N2275" i="14"/>
  <c r="J2274" i="14" a="1"/>
  <c r="J2274" i="14" s="1"/>
  <c r="J2275" i="13" a="1"/>
  <c r="J2275" i="13" s="1"/>
  <c r="N2276" i="13"/>
  <c r="M2278" i="13"/>
  <c r="K2089" i="13" l="1"/>
  <c r="L2089" i="13" s="1"/>
  <c r="I2090" i="13" s="1"/>
  <c r="K2112" i="14"/>
  <c r="L2112" i="14" s="1"/>
  <c r="I2113" i="14" s="1"/>
  <c r="M2279" i="13"/>
  <c r="N2276" i="14"/>
  <c r="J2275" i="14" a="1"/>
  <c r="J2275" i="14" s="1"/>
  <c r="J2276" i="13" a="1"/>
  <c r="J2276" i="13" s="1"/>
  <c r="N2277" i="13"/>
  <c r="M2280" i="14"/>
  <c r="K2090" i="13" l="1"/>
  <c r="L2090" i="13" s="1"/>
  <c r="I2091" i="13" s="1"/>
  <c r="K2113" i="14"/>
  <c r="L2113" i="14" s="1"/>
  <c r="I2114" i="14" s="1"/>
  <c r="N2278" i="13"/>
  <c r="J2277" i="13" a="1"/>
  <c r="J2277" i="13" s="1"/>
  <c r="M2281" i="14"/>
  <c r="J2276" i="14" a="1"/>
  <c r="J2276" i="14" s="1"/>
  <c r="N2277" i="14"/>
  <c r="M2280" i="13"/>
  <c r="K2091" i="13" l="1"/>
  <c r="L2091" i="13" s="1"/>
  <c r="I2092" i="13" s="1"/>
  <c r="K2114" i="14"/>
  <c r="L2114" i="14" s="1"/>
  <c r="I2115" i="14" s="1"/>
  <c r="M2281" i="13"/>
  <c r="M2282" i="14"/>
  <c r="J2277" i="14" a="1"/>
  <c r="J2277" i="14" s="1"/>
  <c r="N2278" i="14"/>
  <c r="J2278" i="13" a="1"/>
  <c r="J2278" i="13" s="1"/>
  <c r="N2279" i="13"/>
  <c r="K2092" i="13" l="1"/>
  <c r="L2092" i="13" s="1"/>
  <c r="I2093" i="13" s="1"/>
  <c r="K2115" i="14"/>
  <c r="L2115" i="14" s="1"/>
  <c r="I2116" i="14" s="1"/>
  <c r="N2279" i="14"/>
  <c r="J2278" i="14" a="1"/>
  <c r="J2278" i="14" s="1"/>
  <c r="J2279" i="13" a="1"/>
  <c r="J2279" i="13" s="1"/>
  <c r="N2280" i="13"/>
  <c r="M2283" i="14"/>
  <c r="M2282" i="13"/>
  <c r="K2093" i="13" l="1"/>
  <c r="L2093" i="13" s="1"/>
  <c r="I2094" i="13" s="1"/>
  <c r="K2116" i="14"/>
  <c r="L2116" i="14" s="1"/>
  <c r="I2117" i="14" s="1"/>
  <c r="J2280" i="13" a="1"/>
  <c r="J2280" i="13" s="1"/>
  <c r="N2281" i="13"/>
  <c r="M2283" i="13"/>
  <c r="M2284" i="14"/>
  <c r="N2280" i="14"/>
  <c r="J2279" i="14" a="1"/>
  <c r="J2279" i="14" s="1"/>
  <c r="K2094" i="13" l="1"/>
  <c r="L2094" i="13" s="1"/>
  <c r="I2095" i="13" s="1"/>
  <c r="K2117" i="14"/>
  <c r="L2117" i="14" s="1"/>
  <c r="I2118" i="14" s="1"/>
  <c r="N2282" i="13"/>
  <c r="J2281" i="13" a="1"/>
  <c r="J2281" i="13" s="1"/>
  <c r="J2280" i="14" a="1"/>
  <c r="J2280" i="14" s="1"/>
  <c r="N2281" i="14"/>
  <c r="M2285" i="14"/>
  <c r="M2284" i="13"/>
  <c r="K2095" i="13" l="1"/>
  <c r="L2095" i="13" s="1"/>
  <c r="I2096" i="13" s="1"/>
  <c r="M2285" i="13"/>
  <c r="J2281" i="14" a="1"/>
  <c r="J2281" i="14" s="1"/>
  <c r="N2282" i="14"/>
  <c r="K2118" i="14"/>
  <c r="L2118" i="14" s="1"/>
  <c r="I2119" i="14" s="1"/>
  <c r="M2286" i="14"/>
  <c r="J2282" i="13" a="1"/>
  <c r="J2282" i="13" s="1"/>
  <c r="N2283" i="13"/>
  <c r="K2096" i="13" l="1"/>
  <c r="L2096" i="13" s="1"/>
  <c r="I2097" i="13" s="1"/>
  <c r="J2283" i="13" a="1"/>
  <c r="J2283" i="13" s="1"/>
  <c r="N2284" i="13"/>
  <c r="M2286" i="13"/>
  <c r="K2119" i="14"/>
  <c r="L2119" i="14" s="1"/>
  <c r="I2120" i="14" s="1"/>
  <c r="M2287" i="14"/>
  <c r="J2282" i="14" a="1"/>
  <c r="J2282" i="14" s="1"/>
  <c r="N2283" i="14"/>
  <c r="K2097" i="13" l="1"/>
  <c r="L2097" i="13" s="1"/>
  <c r="I2098" i="13" s="1"/>
  <c r="K2120" i="14"/>
  <c r="L2120" i="14" s="1"/>
  <c r="I2121" i="14" s="1"/>
  <c r="J2284" i="13" a="1"/>
  <c r="J2284" i="13" s="1"/>
  <c r="N2285" i="13"/>
  <c r="N2284" i="14"/>
  <c r="J2283" i="14" a="1"/>
  <c r="J2283" i="14" s="1"/>
  <c r="M2288" i="14"/>
  <c r="M2287" i="13"/>
  <c r="K2098" i="13" l="1"/>
  <c r="L2098" i="13" s="1"/>
  <c r="I2099" i="13" s="1"/>
  <c r="K2121" i="14"/>
  <c r="L2121" i="14" s="1"/>
  <c r="I2122" i="14" s="1"/>
  <c r="M2288" i="13"/>
  <c r="J2284" i="14" a="1"/>
  <c r="J2284" i="14" s="1"/>
  <c r="N2285" i="14"/>
  <c r="N2286" i="13"/>
  <c r="J2285" i="13" a="1"/>
  <c r="J2285" i="13" s="1"/>
  <c r="M2289" i="14"/>
  <c r="K2099" i="13" l="1"/>
  <c r="L2099" i="13" s="1"/>
  <c r="I2100" i="13" s="1"/>
  <c r="K2122" i="14"/>
  <c r="L2122" i="14" s="1"/>
  <c r="I2123" i="14" s="1"/>
  <c r="J2285" i="14" a="1"/>
  <c r="J2285" i="14" s="1"/>
  <c r="N2286" i="14"/>
  <c r="M2290" i="14"/>
  <c r="M2289" i="13"/>
  <c r="J2286" i="13" a="1"/>
  <c r="J2286" i="13" s="1"/>
  <c r="N2287" i="13"/>
  <c r="K2100" i="13" l="1"/>
  <c r="L2100" i="13" s="1"/>
  <c r="I2101" i="13" s="1"/>
  <c r="K2123" i="14"/>
  <c r="L2123" i="14" s="1"/>
  <c r="I2124" i="14" s="1"/>
  <c r="M2290" i="13"/>
  <c r="J2287" i="13" a="1"/>
  <c r="J2287" i="13" s="1"/>
  <c r="N2288" i="13"/>
  <c r="M2291" i="14"/>
  <c r="N2287" i="14"/>
  <c r="J2286" i="14" a="1"/>
  <c r="J2286" i="14" s="1"/>
  <c r="K2101" i="13" l="1"/>
  <c r="L2101" i="13" s="1"/>
  <c r="I2102" i="13" s="1"/>
  <c r="K2124" i="14"/>
  <c r="L2124" i="14" s="1"/>
  <c r="I2125" i="14" s="1"/>
  <c r="J2288" i="13" a="1"/>
  <c r="J2288" i="13" s="1"/>
  <c r="N2289" i="13"/>
  <c r="N2288" i="14"/>
  <c r="J2287" i="14" a="1"/>
  <c r="J2287" i="14" s="1"/>
  <c r="M2292" i="14"/>
  <c r="M2291" i="13"/>
  <c r="K2102" i="13" l="1"/>
  <c r="L2102" i="13" s="1"/>
  <c r="I2103" i="13" s="1"/>
  <c r="J2288" i="14" a="1"/>
  <c r="J2288" i="14" s="1"/>
  <c r="N2289" i="14"/>
  <c r="K2125" i="14"/>
  <c r="L2125" i="14" s="1"/>
  <c r="I2126" i="14" s="1"/>
  <c r="N2290" i="13"/>
  <c r="J2289" i="13" a="1"/>
  <c r="J2289" i="13" s="1"/>
  <c r="M2292" i="13"/>
  <c r="M2293" i="14"/>
  <c r="K2103" i="13" l="1"/>
  <c r="L2103" i="13" s="1"/>
  <c r="I2104" i="13" s="1"/>
  <c r="K2126" i="14"/>
  <c r="L2126" i="14" s="1"/>
  <c r="I2127" i="14" s="1"/>
  <c r="J2289" i="14" a="1"/>
  <c r="J2289" i="14" s="1"/>
  <c r="N2290" i="14"/>
  <c r="M2294" i="14"/>
  <c r="J2290" i="13" a="1"/>
  <c r="J2290" i="13" s="1"/>
  <c r="N2291" i="13"/>
  <c r="M2293" i="13"/>
  <c r="K2104" i="13" l="1"/>
  <c r="L2104" i="13" s="1"/>
  <c r="I2105" i="13" s="1"/>
  <c r="K2127" i="14"/>
  <c r="L2127" i="14" s="1"/>
  <c r="I2128" i="14" s="1"/>
  <c r="J2291" i="13" a="1"/>
  <c r="J2291" i="13" s="1"/>
  <c r="N2292" i="13"/>
  <c r="M2295" i="14"/>
  <c r="M2294" i="13"/>
  <c r="J2290" i="14" a="1"/>
  <c r="J2290" i="14" s="1"/>
  <c r="N2291" i="14"/>
  <c r="K2105" i="13" l="1"/>
  <c r="L2105" i="13" s="1"/>
  <c r="I2106" i="13" s="1"/>
  <c r="K2128" i="14"/>
  <c r="L2128" i="14" s="1"/>
  <c r="I2129" i="14" s="1"/>
  <c r="J2292" i="13" a="1"/>
  <c r="J2292" i="13" s="1"/>
  <c r="N2293" i="13"/>
  <c r="N2292" i="14"/>
  <c r="J2291" i="14" a="1"/>
  <c r="J2291" i="14" s="1"/>
  <c r="M2295" i="13"/>
  <c r="M2296" i="14"/>
  <c r="K2106" i="13" l="1"/>
  <c r="L2106" i="13" s="1"/>
  <c r="I2107" i="13" s="1"/>
  <c r="M2297" i="14"/>
  <c r="K2129" i="14"/>
  <c r="L2129" i="14" s="1"/>
  <c r="I2130" i="14" s="1"/>
  <c r="J2292" i="14" a="1"/>
  <c r="J2292" i="14" s="1"/>
  <c r="N2293" i="14"/>
  <c r="N2294" i="13"/>
  <c r="J2293" i="13" a="1"/>
  <c r="J2293" i="13" s="1"/>
  <c r="M2296" i="13"/>
  <c r="K2107" i="13" l="1"/>
  <c r="L2107" i="13" s="1"/>
  <c r="I2108" i="13" s="1"/>
  <c r="K2130" i="14"/>
  <c r="L2130" i="14" s="1"/>
  <c r="I2131" i="14" s="1"/>
  <c r="J2293" i="14" a="1"/>
  <c r="J2293" i="14" s="1"/>
  <c r="N2294" i="14"/>
  <c r="M2297" i="13"/>
  <c r="M2298" i="14"/>
  <c r="J2294" i="13" a="1"/>
  <c r="J2294" i="13" s="1"/>
  <c r="N2295" i="13"/>
  <c r="K2108" i="13" l="1"/>
  <c r="L2108" i="13" s="1"/>
  <c r="I2109" i="13" s="1"/>
  <c r="M2299" i="14"/>
  <c r="J2295" i="13" a="1"/>
  <c r="J2295" i="13" s="1"/>
  <c r="N2296" i="13"/>
  <c r="M2298" i="13"/>
  <c r="N2295" i="14"/>
  <c r="J2294" i="14" a="1"/>
  <c r="J2294" i="14" s="1"/>
  <c r="K2131" i="14"/>
  <c r="L2131" i="14" s="1"/>
  <c r="I2132" i="14" s="1"/>
  <c r="K2109" i="13" l="1"/>
  <c r="L2109" i="13" s="1"/>
  <c r="I2110" i="13" s="1"/>
  <c r="K2132" i="14"/>
  <c r="L2132" i="14" s="1"/>
  <c r="I2133" i="14" s="1"/>
  <c r="J2296" i="13" a="1"/>
  <c r="J2296" i="13" s="1"/>
  <c r="N2297" i="13"/>
  <c r="N2296" i="14"/>
  <c r="J2295" i="14" a="1"/>
  <c r="J2295" i="14" s="1"/>
  <c r="M2299" i="13"/>
  <c r="M2300" i="14"/>
  <c r="K2110" i="13" l="1"/>
  <c r="L2110" i="13" s="1"/>
  <c r="I2111" i="13" s="1"/>
  <c r="K2133" i="14"/>
  <c r="L2133" i="14" s="1"/>
  <c r="I2134" i="14" s="1"/>
  <c r="M2300" i="13"/>
  <c r="N2298" i="13"/>
  <c r="J2297" i="13" a="1"/>
  <c r="J2297" i="13" s="1"/>
  <c r="M2301" i="14"/>
  <c r="J2296" i="14" a="1"/>
  <c r="J2296" i="14" s="1"/>
  <c r="N2297" i="14"/>
  <c r="K2111" i="13" l="1"/>
  <c r="L2111" i="13" s="1"/>
  <c r="I2112" i="13" s="1"/>
  <c r="J2297" i="14" a="1"/>
  <c r="J2297" i="14" s="1"/>
  <c r="N2298" i="14"/>
  <c r="K2134" i="14"/>
  <c r="L2134" i="14" s="1"/>
  <c r="I2135" i="14" s="1"/>
  <c r="J2298" i="13" a="1"/>
  <c r="J2298" i="13" s="1"/>
  <c r="N2299" i="13"/>
  <c r="M2301" i="13"/>
  <c r="M2302" i="14"/>
  <c r="K2112" i="13" l="1"/>
  <c r="L2112" i="13" s="1"/>
  <c r="I2113" i="13" s="1"/>
  <c r="K2135" i="14"/>
  <c r="L2135" i="14" s="1"/>
  <c r="I2136" i="14" s="1"/>
  <c r="M2302" i="13"/>
  <c r="M2303" i="14"/>
  <c r="J2299" i="13" a="1"/>
  <c r="J2299" i="13" s="1"/>
  <c r="N2300" i="13"/>
  <c r="J2298" i="14" a="1"/>
  <c r="J2298" i="14" s="1"/>
  <c r="N2299" i="14"/>
  <c r="K2113" i="13" l="1"/>
  <c r="L2113" i="13" s="1"/>
  <c r="I2114" i="13" s="1"/>
  <c r="K2136" i="14"/>
  <c r="L2136" i="14" s="1"/>
  <c r="I2137" i="14" s="1"/>
  <c r="N2300" i="14"/>
  <c r="J2299" i="14" a="1"/>
  <c r="J2299" i="14" s="1"/>
  <c r="M2304" i="14"/>
  <c r="M2303" i="13"/>
  <c r="J2300" i="13" a="1"/>
  <c r="J2300" i="13" s="1"/>
  <c r="N2301" i="13"/>
  <c r="K2114" i="13" l="1"/>
  <c r="L2114" i="13" s="1"/>
  <c r="I2115" i="13" s="1"/>
  <c r="N2302" i="13"/>
  <c r="J2301" i="13" a="1"/>
  <c r="J2301" i="13" s="1"/>
  <c r="K2137" i="14"/>
  <c r="L2137" i="14" s="1"/>
  <c r="I2138" i="14" s="1"/>
  <c r="M2305" i="14"/>
  <c r="M2304" i="13"/>
  <c r="J2300" i="14" a="1"/>
  <c r="J2300" i="14" s="1"/>
  <c r="N2301" i="14"/>
  <c r="K2115" i="13" l="1"/>
  <c r="L2115" i="13" s="1"/>
  <c r="I2116" i="13" s="1"/>
  <c r="J2301" i="14" a="1"/>
  <c r="J2301" i="14" s="1"/>
  <c r="N2302" i="14"/>
  <c r="M2306" i="14"/>
  <c r="J2302" i="13" a="1"/>
  <c r="J2302" i="13" s="1"/>
  <c r="N2303" i="13"/>
  <c r="M2305" i="13"/>
  <c r="K2138" i="14"/>
  <c r="L2138" i="14" s="1"/>
  <c r="I2139" i="14" s="1"/>
  <c r="K2116" i="13" l="1"/>
  <c r="L2116" i="13" s="1"/>
  <c r="I2117" i="13" s="1"/>
  <c r="K2139" i="14"/>
  <c r="L2139" i="14" s="1"/>
  <c r="I2140" i="14" s="1"/>
  <c r="J2303" i="13" a="1"/>
  <c r="J2303" i="13" s="1"/>
  <c r="N2304" i="13"/>
  <c r="N2303" i="14"/>
  <c r="J2302" i="14" a="1"/>
  <c r="J2302" i="14" s="1"/>
  <c r="M2307" i="14"/>
  <c r="M2306" i="13"/>
  <c r="K2117" i="13" l="1"/>
  <c r="L2117" i="13" s="1"/>
  <c r="I2118" i="13" s="1"/>
  <c r="K2140" i="14"/>
  <c r="L2140" i="14" s="1"/>
  <c r="I2141" i="14" s="1"/>
  <c r="M2307" i="13"/>
  <c r="N2304" i="14"/>
  <c r="J2303" i="14" a="1"/>
  <c r="J2303" i="14" s="1"/>
  <c r="J2304" i="13" a="1"/>
  <c r="J2304" i="13" s="1"/>
  <c r="N2305" i="13"/>
  <c r="M2308" i="14"/>
  <c r="K2118" i="13" l="1"/>
  <c r="L2118" i="13" s="1"/>
  <c r="I2119" i="13" s="1"/>
  <c r="K2141" i="14"/>
  <c r="L2141" i="14" s="1"/>
  <c r="I2142" i="14" s="1"/>
  <c r="M2309" i="14"/>
  <c r="M2308" i="13"/>
  <c r="N2306" i="13"/>
  <c r="J2305" i="13" a="1"/>
  <c r="J2305" i="13" s="1"/>
  <c r="J2304" i="14" a="1"/>
  <c r="J2304" i="14" s="1"/>
  <c r="N2305" i="14"/>
  <c r="K2119" i="13" l="1"/>
  <c r="L2119" i="13" s="1"/>
  <c r="I2120" i="13" s="1"/>
  <c r="K2142" i="14"/>
  <c r="L2142" i="14" s="1"/>
  <c r="I2143" i="14" s="1"/>
  <c r="J2305" i="14" a="1"/>
  <c r="J2305" i="14" s="1"/>
  <c r="N2306" i="14"/>
  <c r="M2309" i="13"/>
  <c r="M2310" i="14"/>
  <c r="J2306" i="13" a="1"/>
  <c r="J2306" i="13" s="1"/>
  <c r="N2307" i="13"/>
  <c r="K2120" i="13" l="1"/>
  <c r="L2120" i="13" s="1"/>
  <c r="I2121" i="13" s="1"/>
  <c r="K2143" i="14"/>
  <c r="L2143" i="14" s="1"/>
  <c r="I2144" i="14" s="1"/>
  <c r="J2307" i="13" a="1"/>
  <c r="J2307" i="13" s="1"/>
  <c r="N2308" i="13"/>
  <c r="J2306" i="14" a="1"/>
  <c r="J2306" i="14" s="1"/>
  <c r="N2307" i="14"/>
  <c r="M2310" i="13"/>
  <c r="M2311" i="14"/>
  <c r="K2121" i="13" l="1"/>
  <c r="L2121" i="13" s="1"/>
  <c r="I2122" i="13" s="1"/>
  <c r="K2144" i="14"/>
  <c r="L2144" i="14" s="1"/>
  <c r="I2145" i="14" s="1"/>
  <c r="M2312" i="14"/>
  <c r="N2308" i="14"/>
  <c r="J2307" i="14" a="1"/>
  <c r="J2307" i="14" s="1"/>
  <c r="J2308" i="13" a="1"/>
  <c r="J2308" i="13" s="1"/>
  <c r="N2309" i="13"/>
  <c r="M2311" i="13"/>
  <c r="K2122" i="13" l="1"/>
  <c r="L2122" i="13" s="1"/>
  <c r="I2123" i="13" s="1"/>
  <c r="K2145" i="14"/>
  <c r="L2145" i="14" s="1"/>
  <c r="I2146" i="14" s="1"/>
  <c r="M2312" i="13"/>
  <c r="J2308" i="14" a="1"/>
  <c r="J2308" i="14" s="1"/>
  <c r="N2309" i="14"/>
  <c r="N2310" i="13"/>
  <c r="J2309" i="13" a="1"/>
  <c r="J2309" i="13" s="1"/>
  <c r="M2313" i="14"/>
  <c r="K2123" i="13" l="1"/>
  <c r="L2123" i="13" s="1"/>
  <c r="I2124" i="13" s="1"/>
  <c r="K2146" i="14"/>
  <c r="L2146" i="14" s="1"/>
  <c r="I2147" i="14" s="1"/>
  <c r="J2309" i="14" a="1"/>
  <c r="J2309" i="14" s="1"/>
  <c r="N2310" i="14"/>
  <c r="M2314" i="14"/>
  <c r="M2313" i="13"/>
  <c r="J2310" i="13" a="1"/>
  <c r="J2310" i="13" s="1"/>
  <c r="N2311" i="13"/>
  <c r="K2124" i="13" l="1"/>
  <c r="L2124" i="13" s="1"/>
  <c r="I2125" i="13" s="1"/>
  <c r="K2147" i="14"/>
  <c r="L2147" i="14" s="1"/>
  <c r="I2148" i="14" s="1"/>
  <c r="J2311" i="13" a="1"/>
  <c r="J2311" i="13" s="1"/>
  <c r="N2312" i="13"/>
  <c r="M2315" i="14"/>
  <c r="N2311" i="14"/>
  <c r="J2310" i="14" a="1"/>
  <c r="J2310" i="14" s="1"/>
  <c r="M2314" i="13"/>
  <c r="K2125" i="13" l="1"/>
  <c r="L2125" i="13" s="1"/>
  <c r="I2126" i="13" s="1"/>
  <c r="K2148" i="14"/>
  <c r="L2148" i="14" s="1"/>
  <c r="I2149" i="14" s="1"/>
  <c r="N2312" i="14"/>
  <c r="J2311" i="14" a="1"/>
  <c r="J2311" i="14" s="1"/>
  <c r="M2315" i="13"/>
  <c r="M2316" i="14"/>
  <c r="J2312" i="13" a="1"/>
  <c r="J2312" i="13" s="1"/>
  <c r="N2313" i="13"/>
  <c r="K2126" i="13" l="1"/>
  <c r="L2126" i="13" s="1"/>
  <c r="I2127" i="13" s="1"/>
  <c r="K2149" i="14"/>
  <c r="L2149" i="14" s="1"/>
  <c r="I2150" i="14" s="1"/>
  <c r="M2316" i="13"/>
  <c r="N2314" i="13"/>
  <c r="J2313" i="13" a="1"/>
  <c r="J2313" i="13" s="1"/>
  <c r="M2317" i="14"/>
  <c r="J2312" i="14" a="1"/>
  <c r="J2312" i="14" s="1"/>
  <c r="N2313" i="14"/>
  <c r="K2127" i="13" l="1"/>
  <c r="L2127" i="13" s="1"/>
  <c r="I2128" i="13" s="1"/>
  <c r="K2150" i="14"/>
  <c r="L2150" i="14" s="1"/>
  <c r="I2151" i="14" s="1"/>
  <c r="J2313" i="14" a="1"/>
  <c r="J2313" i="14" s="1"/>
  <c r="N2314" i="14"/>
  <c r="M2317" i="13"/>
  <c r="J2314" i="13" a="1"/>
  <c r="J2314" i="13" s="1"/>
  <c r="N2315" i="13"/>
  <c r="M2318" i="14"/>
  <c r="K2128" i="13" l="1"/>
  <c r="L2128" i="13" s="1"/>
  <c r="I2129" i="13" s="1"/>
  <c r="M2319" i="14"/>
  <c r="J2314" i="14" a="1"/>
  <c r="J2314" i="14" s="1"/>
  <c r="N2315" i="14"/>
  <c r="M2318" i="13"/>
  <c r="K2151" i="14"/>
  <c r="L2151" i="14" s="1"/>
  <c r="I2152" i="14" s="1"/>
  <c r="J2315" i="13" a="1"/>
  <c r="J2315" i="13" s="1"/>
  <c r="N2316" i="13"/>
  <c r="K2129" i="13" l="1"/>
  <c r="L2129" i="13" s="1"/>
  <c r="I2130" i="13" s="1"/>
  <c r="K2152" i="14"/>
  <c r="L2152" i="14" s="1"/>
  <c r="I2153" i="14" s="1"/>
  <c r="J2316" i="13" a="1"/>
  <c r="J2316" i="13" s="1"/>
  <c r="N2317" i="13"/>
  <c r="M2319" i="13"/>
  <c r="M2320" i="14"/>
  <c r="N2316" i="14"/>
  <c r="J2315" i="14" a="1"/>
  <c r="J2315" i="14" s="1"/>
  <c r="K2130" i="13" l="1"/>
  <c r="L2130" i="13" s="1"/>
  <c r="I2131" i="13" s="1"/>
  <c r="M2321" i="14"/>
  <c r="M2320" i="13"/>
  <c r="J2316" i="14" a="1"/>
  <c r="J2316" i="14" s="1"/>
  <c r="N2317" i="14"/>
  <c r="N2318" i="13"/>
  <c r="J2317" i="13" a="1"/>
  <c r="J2317" i="13" s="1"/>
  <c r="K2153" i="14"/>
  <c r="L2153" i="14" s="1"/>
  <c r="I2154" i="14" s="1"/>
  <c r="K2131" i="13" l="1"/>
  <c r="L2131" i="13" s="1"/>
  <c r="I2132" i="13" s="1"/>
  <c r="K2154" i="14"/>
  <c r="L2154" i="14" s="1"/>
  <c r="I2155" i="14" s="1"/>
  <c r="J2317" i="14" a="1"/>
  <c r="J2317" i="14" s="1"/>
  <c r="N2318" i="14"/>
  <c r="M2321" i="13"/>
  <c r="J2318" i="13" a="1"/>
  <c r="J2318" i="13" s="1"/>
  <c r="N2319" i="13"/>
  <c r="M2322" i="14"/>
  <c r="K2132" i="13" l="1"/>
  <c r="L2132" i="13" s="1"/>
  <c r="I2133" i="13" s="1"/>
  <c r="K2155" i="14"/>
  <c r="L2155" i="14" s="1"/>
  <c r="I2156" i="14" s="1"/>
  <c r="M2323" i="14"/>
  <c r="M2322" i="13"/>
  <c r="J2319" i="13" a="1"/>
  <c r="J2319" i="13" s="1"/>
  <c r="N2320" i="13"/>
  <c r="N2319" i="14"/>
  <c r="J2318" i="14" a="1"/>
  <c r="J2318" i="14" s="1"/>
  <c r="K2133" i="13" l="1"/>
  <c r="L2133" i="13" s="1"/>
  <c r="I2134" i="13" s="1"/>
  <c r="K2156" i="14"/>
  <c r="L2156" i="14" s="1"/>
  <c r="I2157" i="14" s="1"/>
  <c r="J2320" i="13" a="1"/>
  <c r="J2320" i="13" s="1"/>
  <c r="N2321" i="13"/>
  <c r="N2320" i="14"/>
  <c r="J2319" i="14" a="1"/>
  <c r="J2319" i="14" s="1"/>
  <c r="M2324" i="14"/>
  <c r="M2323" i="13"/>
  <c r="K2134" i="13" l="1"/>
  <c r="L2134" i="13" s="1"/>
  <c r="I2135" i="13" s="1"/>
  <c r="K2157" i="14"/>
  <c r="L2157" i="14" s="1"/>
  <c r="I2158" i="14" s="1"/>
  <c r="N2322" i="13"/>
  <c r="J2321" i="13" a="1"/>
  <c r="J2321" i="13" s="1"/>
  <c r="M2325" i="14"/>
  <c r="M2324" i="13"/>
  <c r="J2320" i="14" a="1"/>
  <c r="J2320" i="14" s="1"/>
  <c r="N2321" i="14"/>
  <c r="K2135" i="13" l="1"/>
  <c r="L2135" i="13" s="1"/>
  <c r="I2136" i="13" s="1"/>
  <c r="K2158" i="14"/>
  <c r="L2158" i="14" s="1"/>
  <c r="I2159" i="14" s="1"/>
  <c r="J2321" i="14" a="1"/>
  <c r="J2321" i="14" s="1"/>
  <c r="N2322" i="14"/>
  <c r="M2325" i="13"/>
  <c r="M2326" i="14"/>
  <c r="J2322" i="13" a="1"/>
  <c r="J2322" i="13" s="1"/>
  <c r="N2323" i="13"/>
  <c r="K2136" i="13" l="1"/>
  <c r="L2136" i="13" s="1"/>
  <c r="I2137" i="13" s="1"/>
  <c r="K2159" i="14"/>
  <c r="L2159" i="14" s="1"/>
  <c r="I2160" i="14" s="1"/>
  <c r="J2322" i="14" a="1"/>
  <c r="J2322" i="14" s="1"/>
  <c r="N2323" i="14"/>
  <c r="J2323" i="13" a="1"/>
  <c r="J2323" i="13" s="1"/>
  <c r="N2324" i="13"/>
  <c r="M2327" i="14"/>
  <c r="M2326" i="13"/>
  <c r="K2137" i="13" l="1"/>
  <c r="L2137" i="13" s="1"/>
  <c r="I2138" i="13" s="1"/>
  <c r="K2160" i="14"/>
  <c r="L2160" i="14" s="1"/>
  <c r="I2161" i="14" s="1"/>
  <c r="J2324" i="13" a="1"/>
  <c r="J2324" i="13" s="1"/>
  <c r="N2325" i="13"/>
  <c r="M2327" i="13"/>
  <c r="N2324" i="14"/>
  <c r="J2323" i="14" a="1"/>
  <c r="J2323" i="14" s="1"/>
  <c r="M2328" i="14"/>
  <c r="K2138" i="13" l="1"/>
  <c r="L2138" i="13" s="1"/>
  <c r="I2139" i="13" s="1"/>
  <c r="K2161" i="14"/>
  <c r="L2161" i="14" s="1"/>
  <c r="I2162" i="14" s="1"/>
  <c r="N2326" i="13"/>
  <c r="J2325" i="13" a="1"/>
  <c r="J2325" i="13" s="1"/>
  <c r="J2324" i="14" a="1"/>
  <c r="J2324" i="14" s="1"/>
  <c r="N2325" i="14"/>
  <c r="M2329" i="14"/>
  <c r="M2328" i="13"/>
  <c r="K2139" i="13" l="1"/>
  <c r="L2139" i="13" s="1"/>
  <c r="I2140" i="13" s="1"/>
  <c r="M2329" i="13"/>
  <c r="J2325" i="14" a="1"/>
  <c r="J2325" i="14" s="1"/>
  <c r="N2326" i="14"/>
  <c r="K2162" i="14"/>
  <c r="L2162" i="14" s="1"/>
  <c r="I2163" i="14" s="1"/>
  <c r="M2330" i="14"/>
  <c r="J2326" i="13" a="1"/>
  <c r="J2326" i="13" s="1"/>
  <c r="N2327" i="13"/>
  <c r="K2140" i="13" l="1"/>
  <c r="L2140" i="13" s="1"/>
  <c r="I2141" i="13" s="1"/>
  <c r="M2331" i="14"/>
  <c r="J2327" i="13" a="1"/>
  <c r="J2327" i="13" s="1"/>
  <c r="N2328" i="13"/>
  <c r="K2163" i="14"/>
  <c r="L2163" i="14" s="1"/>
  <c r="I2164" i="14" s="1"/>
  <c r="M2330" i="13"/>
  <c r="N2327" i="14"/>
  <c r="J2326" i="14" a="1"/>
  <c r="J2326" i="14" s="1"/>
  <c r="K2141" i="13" l="1"/>
  <c r="L2141" i="13" s="1"/>
  <c r="I2142" i="13" s="1"/>
  <c r="K2164" i="14"/>
  <c r="L2164" i="14" s="1"/>
  <c r="I2165" i="14" s="1"/>
  <c r="M2332" i="14"/>
  <c r="N2328" i="14"/>
  <c r="J2327" i="14" a="1"/>
  <c r="J2327" i="14" s="1"/>
  <c r="J2328" i="13" a="1"/>
  <c r="J2328" i="13" s="1"/>
  <c r="N2329" i="13"/>
  <c r="M2331" i="13"/>
  <c r="K2142" i="13" l="1"/>
  <c r="L2142" i="13" s="1"/>
  <c r="I2143" i="13" s="1"/>
  <c r="J2328" i="14" a="1"/>
  <c r="J2328" i="14" s="1"/>
  <c r="N2329" i="14"/>
  <c r="K2165" i="14"/>
  <c r="L2165" i="14" s="1"/>
  <c r="I2166" i="14" s="1"/>
  <c r="N2330" i="13"/>
  <c r="J2329" i="13" a="1"/>
  <c r="J2329" i="13" s="1"/>
  <c r="M2332" i="13"/>
  <c r="M2333" i="14"/>
  <c r="K2143" i="13" l="1"/>
  <c r="L2143" i="13" s="1"/>
  <c r="I2144" i="13" s="1"/>
  <c r="K2166" i="14"/>
  <c r="L2166" i="14" s="1"/>
  <c r="I2167" i="14" s="1"/>
  <c r="J2329" i="14" a="1"/>
  <c r="J2329" i="14" s="1"/>
  <c r="N2330" i="14"/>
  <c r="M2334" i="14"/>
  <c r="J2330" i="13" a="1"/>
  <c r="J2330" i="13" s="1"/>
  <c r="N2331" i="13"/>
  <c r="M2333" i="13"/>
  <c r="K2144" i="13" l="1"/>
  <c r="L2144" i="13" s="1"/>
  <c r="I2145" i="13" s="1"/>
  <c r="K2167" i="14"/>
  <c r="L2167" i="14" s="1"/>
  <c r="I2168" i="14" s="1"/>
  <c r="M2335" i="14"/>
  <c r="J2330" i="14" a="1"/>
  <c r="J2330" i="14" s="1"/>
  <c r="N2331" i="14"/>
  <c r="M2334" i="13"/>
  <c r="J2331" i="13" a="1"/>
  <c r="J2331" i="13" s="1"/>
  <c r="N2332" i="13"/>
  <c r="K2145" i="13" l="1"/>
  <c r="L2145" i="13" s="1"/>
  <c r="I2146" i="13" s="1"/>
  <c r="K2168" i="14"/>
  <c r="L2168" i="14" s="1"/>
  <c r="I2169" i="14" s="1"/>
  <c r="J2332" i="13" a="1"/>
  <c r="J2332" i="13" s="1"/>
  <c r="N2333" i="13"/>
  <c r="M2335" i="13"/>
  <c r="M2336" i="14"/>
  <c r="N2332" i="14"/>
  <c r="J2331" i="14" a="1"/>
  <c r="J2331" i="14" s="1"/>
  <c r="K2146" i="13" l="1"/>
  <c r="L2146" i="13" s="1"/>
  <c r="I2147" i="13" s="1"/>
  <c r="K2169" i="14"/>
  <c r="L2169" i="14" s="1"/>
  <c r="I2170" i="14" s="1"/>
  <c r="N2334" i="13"/>
  <c r="J2333" i="13" a="1"/>
  <c r="J2333" i="13" s="1"/>
  <c r="M2337" i="14"/>
  <c r="J2332" i="14" a="1"/>
  <c r="J2332" i="14" s="1"/>
  <c r="N2333" i="14"/>
  <c r="M2336" i="13"/>
  <c r="K2147" i="13" l="1"/>
  <c r="L2147" i="13" s="1"/>
  <c r="I2148" i="13" s="1"/>
  <c r="K2170" i="14"/>
  <c r="L2170" i="14" s="1"/>
  <c r="I2171" i="14" s="1"/>
  <c r="J2333" i="14" a="1"/>
  <c r="J2333" i="14" s="1"/>
  <c r="N2334" i="14"/>
  <c r="M2337" i="13"/>
  <c r="M2338" i="14"/>
  <c r="J2334" i="13" a="1"/>
  <c r="J2334" i="13" s="1"/>
  <c r="N2335" i="13"/>
  <c r="K2148" i="13" l="1"/>
  <c r="L2148" i="13" s="1"/>
  <c r="I2149" i="13" s="1"/>
  <c r="K2171" i="14"/>
  <c r="L2171" i="14" s="1"/>
  <c r="I2172" i="14" s="1"/>
  <c r="J2335" i="13" a="1"/>
  <c r="J2335" i="13" s="1"/>
  <c r="N2336" i="13"/>
  <c r="M2338" i="13"/>
  <c r="N2335" i="14"/>
  <c r="J2334" i="14" a="1"/>
  <c r="J2334" i="14" s="1"/>
  <c r="M2339" i="14"/>
  <c r="K2149" i="13" l="1"/>
  <c r="L2149" i="13" s="1"/>
  <c r="I2150" i="13" s="1"/>
  <c r="K2172" i="14"/>
  <c r="L2172" i="14" s="1"/>
  <c r="I2173" i="14" s="1"/>
  <c r="J2336" i="13" a="1"/>
  <c r="J2336" i="13" s="1"/>
  <c r="N2337" i="13"/>
  <c r="M2340" i="14"/>
  <c r="M2339" i="13"/>
  <c r="N2336" i="14"/>
  <c r="J2335" i="14" a="1"/>
  <c r="J2335" i="14" s="1"/>
  <c r="K2150" i="13" l="1"/>
  <c r="L2150" i="13" s="1"/>
  <c r="I2151" i="13" s="1"/>
  <c r="K2173" i="14"/>
  <c r="L2173" i="14" s="1"/>
  <c r="I2174" i="14" s="1"/>
  <c r="J2336" i="14" a="1"/>
  <c r="J2336" i="14" s="1"/>
  <c r="N2337" i="14"/>
  <c r="M2341" i="14"/>
  <c r="N2338" i="13"/>
  <c r="J2337" i="13" a="1"/>
  <c r="J2337" i="13" s="1"/>
  <c r="M2340" i="13"/>
  <c r="K2151" i="13" l="1"/>
  <c r="L2151" i="13" s="1"/>
  <c r="I2152" i="13" s="1"/>
  <c r="K2174" i="14"/>
  <c r="L2174" i="14" s="1"/>
  <c r="I2175" i="14" s="1"/>
  <c r="J2338" i="13" a="1"/>
  <c r="J2338" i="13" s="1"/>
  <c r="N2339" i="13"/>
  <c r="M2341" i="13"/>
  <c r="M2342" i="14"/>
  <c r="J2337" i="14" a="1"/>
  <c r="J2337" i="14" s="1"/>
  <c r="N2338" i="14"/>
  <c r="K2152" i="13" l="1"/>
  <c r="L2152" i="13" s="1"/>
  <c r="I2153" i="13" s="1"/>
  <c r="K2175" i="14"/>
  <c r="L2175" i="14" s="1"/>
  <c r="I2176" i="14" s="1"/>
  <c r="M2343" i="14"/>
  <c r="J2338" i="14" a="1"/>
  <c r="J2338" i="14" s="1"/>
  <c r="N2339" i="14"/>
  <c r="M2342" i="13"/>
  <c r="J2339" i="13" a="1"/>
  <c r="J2339" i="13" s="1"/>
  <c r="N2340" i="13"/>
  <c r="K2153" i="13" l="1"/>
  <c r="L2153" i="13" s="1"/>
  <c r="I2154" i="13" s="1"/>
  <c r="K2176" i="14"/>
  <c r="L2176" i="14" s="1"/>
  <c r="I2177" i="14" s="1"/>
  <c r="N2340" i="14"/>
  <c r="J2339" i="14" a="1"/>
  <c r="J2339" i="14" s="1"/>
  <c r="J2340" i="13" a="1"/>
  <c r="J2340" i="13" s="1"/>
  <c r="N2341" i="13"/>
  <c r="M2343" i="13"/>
  <c r="M2344" i="14"/>
  <c r="K2154" i="13" l="1"/>
  <c r="L2154" i="13" s="1"/>
  <c r="I2155" i="13" s="1"/>
  <c r="K2177" i="14"/>
  <c r="L2177" i="14" s="1"/>
  <c r="I2178" i="14" s="1"/>
  <c r="N2342" i="13"/>
  <c r="J2341" i="13" a="1"/>
  <c r="J2341" i="13" s="1"/>
  <c r="M2345" i="14"/>
  <c r="M2344" i="13"/>
  <c r="J2340" i="14" a="1"/>
  <c r="J2340" i="14" s="1"/>
  <c r="N2341" i="14"/>
  <c r="K2155" i="13" l="1"/>
  <c r="L2155" i="13" s="1"/>
  <c r="I2156" i="13" s="1"/>
  <c r="K2178" i="14"/>
  <c r="L2178" i="14" s="1"/>
  <c r="I2179" i="14" s="1"/>
  <c r="J2341" i="14" a="1"/>
  <c r="J2341" i="14" s="1"/>
  <c r="N2342" i="14"/>
  <c r="M2346" i="14"/>
  <c r="M2345" i="13"/>
  <c r="J2342" i="13" a="1"/>
  <c r="J2342" i="13" s="1"/>
  <c r="N2343" i="13"/>
  <c r="K2156" i="13" l="1"/>
  <c r="L2156" i="13" s="1"/>
  <c r="I2157" i="13" s="1"/>
  <c r="K2179" i="14"/>
  <c r="L2179" i="14" s="1"/>
  <c r="I2180" i="14" s="1"/>
  <c r="J2343" i="13" a="1"/>
  <c r="J2343" i="13" s="1"/>
  <c r="N2344" i="13"/>
  <c r="M2347" i="14"/>
  <c r="N2343" i="14"/>
  <c r="J2342" i="14" a="1"/>
  <c r="J2342" i="14" s="1"/>
  <c r="M2346" i="13"/>
  <c r="K2157" i="13" l="1"/>
  <c r="L2157" i="13" s="1"/>
  <c r="I2158" i="13" s="1"/>
  <c r="K2180" i="14"/>
  <c r="L2180" i="14" s="1"/>
  <c r="I2181" i="14" s="1"/>
  <c r="N2344" i="14"/>
  <c r="J2343" i="14" a="1"/>
  <c r="J2343" i="14" s="1"/>
  <c r="M2347" i="13"/>
  <c r="M2348" i="14"/>
  <c r="J2344" i="13" a="1"/>
  <c r="J2344" i="13" s="1"/>
  <c r="N2345" i="13"/>
  <c r="K2158" i="13" l="1"/>
  <c r="L2158" i="13" s="1"/>
  <c r="I2159" i="13" s="1"/>
  <c r="K2181" i="14"/>
  <c r="L2181" i="14" s="1"/>
  <c r="I2182" i="14" s="1"/>
  <c r="N2346" i="13"/>
  <c r="J2345" i="13" a="1"/>
  <c r="J2345" i="13" s="1"/>
  <c r="M2348" i="13"/>
  <c r="M2349" i="14"/>
  <c r="J2344" i="14" a="1"/>
  <c r="J2344" i="14" s="1"/>
  <c r="N2345" i="14"/>
  <c r="K2159" i="13" l="1"/>
  <c r="L2159" i="13" s="1"/>
  <c r="I2160" i="13" s="1"/>
  <c r="K2160" i="13" s="1"/>
  <c r="L2160" i="13" s="1"/>
  <c r="I2161" i="13" s="1"/>
  <c r="K2182" i="14"/>
  <c r="L2182" i="14" s="1"/>
  <c r="I2183" i="14" s="1"/>
  <c r="J2345" i="14" a="1"/>
  <c r="J2345" i="14" s="1"/>
  <c r="N2346" i="14"/>
  <c r="M2349" i="13"/>
  <c r="M2350" i="14"/>
  <c r="J2346" i="13" a="1"/>
  <c r="J2346" i="13" s="1"/>
  <c r="N2347" i="13"/>
  <c r="J2347" i="13" l="1" a="1"/>
  <c r="J2347" i="13" s="1"/>
  <c r="N2348" i="13"/>
  <c r="M2350" i="13"/>
  <c r="K2183" i="14"/>
  <c r="L2183" i="14" s="1"/>
  <c r="I2184" i="14" s="1"/>
  <c r="M2351" i="14"/>
  <c r="J2346" i="14" a="1"/>
  <c r="J2346" i="14" s="1"/>
  <c r="N2347" i="14"/>
  <c r="K2161" i="13"/>
  <c r="L2161" i="13" s="1"/>
  <c r="I2162" i="13" s="1"/>
  <c r="K2162" i="13" l="1"/>
  <c r="L2162" i="13" s="1"/>
  <c r="I2163" i="13" s="1"/>
  <c r="K2184" i="14"/>
  <c r="L2184" i="14" s="1"/>
  <c r="I2185" i="14" s="1"/>
  <c r="M2352" i="14"/>
  <c r="M2351" i="13"/>
  <c r="N2348" i="14"/>
  <c r="J2347" i="14" a="1"/>
  <c r="J2347" i="14" s="1"/>
  <c r="J2348" i="13" a="1"/>
  <c r="J2348" i="13" s="1"/>
  <c r="N2349" i="13"/>
  <c r="K2185" i="14" l="1"/>
  <c r="L2185" i="14" s="1"/>
  <c r="I2186" i="14" s="1"/>
  <c r="K2163" i="13"/>
  <c r="L2163" i="13" s="1"/>
  <c r="I2164" i="13" s="1"/>
  <c r="N2350" i="13"/>
  <c r="J2349" i="13" a="1"/>
  <c r="J2349" i="13" s="1"/>
  <c r="M2352" i="13"/>
  <c r="J2348" i="14" a="1"/>
  <c r="J2348" i="14" s="1"/>
  <c r="N2349" i="14"/>
  <c r="M2353" i="14"/>
  <c r="K2164" i="13" l="1"/>
  <c r="L2164" i="13" s="1"/>
  <c r="I2165" i="13" s="1"/>
  <c r="K2186" i="14"/>
  <c r="L2186" i="14" s="1"/>
  <c r="I2187" i="14" s="1"/>
  <c r="J2349" i="14" a="1"/>
  <c r="J2349" i="14" s="1"/>
  <c r="N2350" i="14"/>
  <c r="M2353" i="13"/>
  <c r="M2354" i="14"/>
  <c r="J2350" i="13" a="1"/>
  <c r="J2350" i="13" s="1"/>
  <c r="N2351" i="13"/>
  <c r="K2187" i="14" l="1"/>
  <c r="L2187" i="14" s="1"/>
  <c r="I2188" i="14" s="1"/>
  <c r="K2165" i="13"/>
  <c r="L2165" i="13" s="1"/>
  <c r="I2166" i="13" s="1"/>
  <c r="J2351" i="13" a="1"/>
  <c r="J2351" i="13" s="1"/>
  <c r="N2352" i="13"/>
  <c r="M2354" i="13"/>
  <c r="N2351" i="14"/>
  <c r="J2350" i="14" a="1"/>
  <c r="J2350" i="14" s="1"/>
  <c r="M2355" i="14"/>
  <c r="K2166" i="13" l="1"/>
  <c r="L2166" i="13" s="1"/>
  <c r="I2167" i="13" s="1"/>
  <c r="N2352" i="14"/>
  <c r="J2351" i="14" a="1"/>
  <c r="J2351" i="14" s="1"/>
  <c r="K2188" i="14"/>
  <c r="L2188" i="14" s="1"/>
  <c r="I2189" i="14" s="1"/>
  <c r="M2356" i="14"/>
  <c r="M2355" i="13"/>
  <c r="J2352" i="13" a="1"/>
  <c r="J2352" i="13" s="1"/>
  <c r="N2353" i="13"/>
  <c r="K2167" i="13" l="1"/>
  <c r="L2167" i="13" s="1"/>
  <c r="I2168" i="13" s="1"/>
  <c r="K2189" i="14"/>
  <c r="L2189" i="14" s="1"/>
  <c r="I2190" i="14" s="1"/>
  <c r="M2357" i="14"/>
  <c r="J2352" i="14" a="1"/>
  <c r="J2352" i="14" s="1"/>
  <c r="N2353" i="14"/>
  <c r="N2354" i="13"/>
  <c r="J2353" i="13" a="1"/>
  <c r="J2353" i="13" s="1"/>
  <c r="M2356" i="13"/>
  <c r="K2190" i="14" l="1"/>
  <c r="L2190" i="14" s="1"/>
  <c r="I2191" i="14" s="1"/>
  <c r="K2168" i="13"/>
  <c r="L2168" i="13" s="1"/>
  <c r="I2169" i="13" s="1"/>
  <c r="M2357" i="13"/>
  <c r="J2353" i="14" a="1"/>
  <c r="J2353" i="14" s="1"/>
  <c r="N2354" i="14"/>
  <c r="J2354" i="13" a="1"/>
  <c r="J2354" i="13" s="1"/>
  <c r="N2355" i="13"/>
  <c r="M2358" i="14"/>
  <c r="K2191" i="14" l="1"/>
  <c r="L2191" i="14" s="1"/>
  <c r="I2192" i="14" s="1"/>
  <c r="J2355" i="13" a="1"/>
  <c r="J2355" i="13" s="1"/>
  <c r="N2356" i="13"/>
  <c r="M2359" i="14"/>
  <c r="J2354" i="14" a="1"/>
  <c r="J2354" i="14" s="1"/>
  <c r="N2355" i="14"/>
  <c r="K2169" i="13"/>
  <c r="L2169" i="13" s="1"/>
  <c r="I2170" i="13" s="1"/>
  <c r="M2358" i="13"/>
  <c r="K2170" i="13" l="1"/>
  <c r="L2170" i="13" s="1"/>
  <c r="I2171" i="13" s="1"/>
  <c r="K2192" i="14"/>
  <c r="L2192" i="14" s="1"/>
  <c r="I2193" i="14" s="1"/>
  <c r="N2356" i="14"/>
  <c r="J2355" i="14" a="1"/>
  <c r="J2355" i="14" s="1"/>
  <c r="J2356" i="13" a="1"/>
  <c r="J2356" i="13" s="1"/>
  <c r="N2357" i="13"/>
  <c r="M2359" i="13"/>
  <c r="M2360" i="14"/>
  <c r="K2193" i="14" l="1"/>
  <c r="L2193" i="14" s="1"/>
  <c r="I2194" i="14" s="1"/>
  <c r="K2171" i="13"/>
  <c r="L2171" i="13" s="1"/>
  <c r="I2172" i="13" s="1"/>
  <c r="N2358" i="13"/>
  <c r="J2357" i="13" a="1"/>
  <c r="J2357" i="13" s="1"/>
  <c r="M2361" i="14"/>
  <c r="M2360" i="13"/>
  <c r="J2356" i="14" a="1"/>
  <c r="J2356" i="14" s="1"/>
  <c r="N2357" i="14"/>
  <c r="K2172" i="13" l="1"/>
  <c r="L2172" i="13" s="1"/>
  <c r="I2173" i="13" s="1"/>
  <c r="K2194" i="14"/>
  <c r="L2194" i="14" s="1"/>
  <c r="I2195" i="14" s="1"/>
  <c r="J2357" i="14" a="1"/>
  <c r="J2357" i="14" s="1"/>
  <c r="N2358" i="14"/>
  <c r="M2361" i="13"/>
  <c r="M2362" i="14"/>
  <c r="J2358" i="13" a="1"/>
  <c r="J2358" i="13" s="1"/>
  <c r="N2359" i="13"/>
  <c r="K2195" i="14" l="1"/>
  <c r="L2195" i="14" s="1"/>
  <c r="I2196" i="14" s="1"/>
  <c r="K2173" i="13"/>
  <c r="L2173" i="13" s="1"/>
  <c r="I2174" i="13" s="1"/>
  <c r="M2363" i="14"/>
  <c r="N2359" i="14"/>
  <c r="J2358" i="14" a="1"/>
  <c r="J2358" i="14" s="1"/>
  <c r="J2359" i="13" a="1"/>
  <c r="J2359" i="13" s="1"/>
  <c r="N2360" i="13"/>
  <c r="M2362" i="13"/>
  <c r="K2174" i="13" l="1"/>
  <c r="L2174" i="13" s="1"/>
  <c r="I2175" i="13" s="1"/>
  <c r="K2196" i="14"/>
  <c r="L2196" i="14" s="1"/>
  <c r="I2197" i="14" s="1"/>
  <c r="M2363" i="13"/>
  <c r="N2360" i="14"/>
  <c r="J2359" i="14" a="1"/>
  <c r="J2359" i="14" s="1"/>
  <c r="J2360" i="13" a="1"/>
  <c r="J2360" i="13" s="1"/>
  <c r="N2361" i="13"/>
  <c r="M2364" i="14"/>
  <c r="K2175" i="13" l="1"/>
  <c r="L2175" i="13" s="1"/>
  <c r="I2176" i="13" s="1"/>
  <c r="M2365" i="14"/>
  <c r="K2197" i="14"/>
  <c r="L2197" i="14" s="1"/>
  <c r="I2198" i="14" s="1"/>
  <c r="J2360" i="14" a="1"/>
  <c r="J2360" i="14" s="1"/>
  <c r="N2361" i="14"/>
  <c r="N2362" i="13"/>
  <c r="J2361" i="13" a="1"/>
  <c r="J2361" i="13" s="1"/>
  <c r="M2364" i="13"/>
  <c r="K2198" i="14" l="1"/>
  <c r="L2198" i="14" s="1"/>
  <c r="I2199" i="14" s="1"/>
  <c r="K2176" i="13"/>
  <c r="L2176" i="13" s="1"/>
  <c r="I2177" i="13" s="1"/>
  <c r="M2365" i="13"/>
  <c r="J2361" i="14" a="1"/>
  <c r="J2361" i="14" s="1"/>
  <c r="N2362" i="14"/>
  <c r="M2366" i="14"/>
  <c r="J2362" i="13" a="1"/>
  <c r="J2362" i="13" s="1"/>
  <c r="N2363" i="13"/>
  <c r="K2199" i="14" l="1"/>
  <c r="L2199" i="14" s="1"/>
  <c r="I2200" i="14" s="1"/>
  <c r="J2363" i="13" a="1"/>
  <c r="J2363" i="13" s="1"/>
  <c r="N2364" i="13"/>
  <c r="J2362" i="14" a="1"/>
  <c r="J2362" i="14" s="1"/>
  <c r="N2363" i="14"/>
  <c r="K2177" i="13"/>
  <c r="L2177" i="13" s="1"/>
  <c r="I2178" i="13" s="1"/>
  <c r="M2367" i="14"/>
  <c r="M2366" i="13"/>
  <c r="K2178" i="13" l="1"/>
  <c r="L2178" i="13" s="1"/>
  <c r="I2179" i="13" s="1"/>
  <c r="K2200" i="14"/>
  <c r="L2200" i="14" s="1"/>
  <c r="I2201" i="14" s="1"/>
  <c r="N2364" i="14"/>
  <c r="J2363" i="14" a="1"/>
  <c r="J2363" i="14" s="1"/>
  <c r="J2364" i="13" a="1"/>
  <c r="J2364" i="13" s="1"/>
  <c r="N2365" i="13"/>
  <c r="M2368" i="14"/>
  <c r="M2367" i="13"/>
  <c r="K2201" i="14" l="1"/>
  <c r="L2201" i="14" s="1"/>
  <c r="I2202" i="14" s="1"/>
  <c r="N2366" i="13"/>
  <c r="J2365" i="13" a="1"/>
  <c r="J2365" i="13" s="1"/>
  <c r="M2369" i="14"/>
  <c r="M2368" i="13"/>
  <c r="J2364" i="14" a="1"/>
  <c r="J2364" i="14" s="1"/>
  <c r="N2365" i="14"/>
  <c r="K2179" i="13"/>
  <c r="L2179" i="13" s="1"/>
  <c r="I2180" i="13" s="1"/>
  <c r="K2180" i="13" l="1"/>
  <c r="L2180" i="13" s="1"/>
  <c r="I2181" i="13" s="1"/>
  <c r="K2202" i="14"/>
  <c r="L2202" i="14" s="1"/>
  <c r="I2203" i="14" s="1"/>
  <c r="M2369" i="13"/>
  <c r="J2366" i="13" a="1"/>
  <c r="J2366" i="13" s="1"/>
  <c r="N2367" i="13"/>
  <c r="J2365" i="14" a="1"/>
  <c r="J2365" i="14" s="1"/>
  <c r="N2366" i="14"/>
  <c r="M2370" i="14"/>
  <c r="K2181" i="13" l="1"/>
  <c r="L2181" i="13" s="1"/>
  <c r="I2182" i="13" s="1"/>
  <c r="M2371" i="14"/>
  <c r="J2367" i="13" a="1"/>
  <c r="J2367" i="13" s="1"/>
  <c r="N2368" i="13"/>
  <c r="K2203" i="14"/>
  <c r="L2203" i="14" s="1"/>
  <c r="I2204" i="14" s="1"/>
  <c r="N2367" i="14"/>
  <c r="J2366" i="14" a="1"/>
  <c r="J2366" i="14" s="1"/>
  <c r="M2370" i="13"/>
  <c r="K2182" i="13" l="1"/>
  <c r="L2182" i="13" s="1"/>
  <c r="I2183" i="13" s="1"/>
  <c r="M2371" i="13"/>
  <c r="K2204" i="14"/>
  <c r="L2204" i="14" s="1"/>
  <c r="I2205" i="14" s="1"/>
  <c r="M2372" i="14"/>
  <c r="J2368" i="13" a="1"/>
  <c r="J2368" i="13" s="1"/>
  <c r="N2369" i="13"/>
  <c r="N2368" i="14"/>
  <c r="J2367" i="14" a="1"/>
  <c r="J2367" i="14" s="1"/>
  <c r="K2205" i="14" l="1"/>
  <c r="L2205" i="14" s="1"/>
  <c r="I2206" i="14" s="1"/>
  <c r="K2183" i="13"/>
  <c r="L2183" i="13" s="1"/>
  <c r="I2184" i="13" s="1"/>
  <c r="J2368" i="14" a="1"/>
  <c r="J2368" i="14" s="1"/>
  <c r="N2369" i="14"/>
  <c r="M2373" i="14"/>
  <c r="M2372" i="13"/>
  <c r="N2370" i="13"/>
  <c r="J2369" i="13" a="1"/>
  <c r="J2369" i="13" s="1"/>
  <c r="K2206" i="14" l="1"/>
  <c r="L2206" i="14" s="1"/>
  <c r="I2207" i="14" s="1"/>
  <c r="K2184" i="13"/>
  <c r="L2184" i="13" s="1"/>
  <c r="I2185" i="13" s="1"/>
  <c r="J2370" i="13" a="1"/>
  <c r="J2370" i="13" s="1"/>
  <c r="N2371" i="13"/>
  <c r="M2374" i="14"/>
  <c r="M2373" i="13"/>
  <c r="J2369" i="14" a="1"/>
  <c r="J2369" i="14" s="1"/>
  <c r="N2370" i="14"/>
  <c r="K2185" i="13" l="1"/>
  <c r="L2185" i="13" s="1"/>
  <c r="I2186" i="13" s="1"/>
  <c r="K2207" i="14"/>
  <c r="L2207" i="14" s="1"/>
  <c r="I2208" i="14" s="1"/>
  <c r="J2371" i="13" a="1"/>
  <c r="J2371" i="13" s="1"/>
  <c r="N2372" i="13"/>
  <c r="M2374" i="13"/>
  <c r="J2370" i="14" a="1"/>
  <c r="J2370" i="14" s="1"/>
  <c r="N2371" i="14"/>
  <c r="M2375" i="14"/>
  <c r="K2208" i="14" l="1"/>
  <c r="L2208" i="14" s="1"/>
  <c r="I2209" i="14" s="1"/>
  <c r="K2186" i="13"/>
  <c r="L2186" i="13" s="1"/>
  <c r="I2187" i="13" s="1"/>
  <c r="N2372" i="14"/>
  <c r="J2371" i="14" a="1"/>
  <c r="J2371" i="14" s="1"/>
  <c r="M2376" i="14"/>
  <c r="M2375" i="13"/>
  <c r="J2372" i="13" a="1"/>
  <c r="J2372" i="13" s="1"/>
  <c r="N2373" i="13"/>
  <c r="K2187" i="13" l="1"/>
  <c r="L2187" i="13" s="1"/>
  <c r="I2188" i="13" s="1"/>
  <c r="K2209" i="14"/>
  <c r="L2209" i="14" s="1"/>
  <c r="I2210" i="14" s="1"/>
  <c r="N2374" i="13"/>
  <c r="J2373" i="13" a="1"/>
  <c r="J2373" i="13" s="1"/>
  <c r="M2377" i="14"/>
  <c r="M2376" i="13"/>
  <c r="J2372" i="14" a="1"/>
  <c r="J2372" i="14" s="1"/>
  <c r="N2373" i="14"/>
  <c r="K2210" i="14" l="1"/>
  <c r="L2210" i="14" s="1"/>
  <c r="I2211" i="14" s="1"/>
  <c r="K2188" i="13"/>
  <c r="L2188" i="13" s="1"/>
  <c r="I2189" i="13" s="1"/>
  <c r="J2373" i="14" a="1"/>
  <c r="J2373" i="14" s="1"/>
  <c r="N2374" i="14"/>
  <c r="M2378" i="14"/>
  <c r="M2377" i="13"/>
  <c r="J2374" i="13" a="1"/>
  <c r="J2374" i="13" s="1"/>
  <c r="N2375" i="13"/>
  <c r="J2375" i="13" l="1" a="1"/>
  <c r="J2375" i="13" s="1"/>
  <c r="N2376" i="13"/>
  <c r="M2379" i="14"/>
  <c r="M2378" i="13"/>
  <c r="K2189" i="13"/>
  <c r="L2189" i="13" s="1"/>
  <c r="I2190" i="13" s="1"/>
  <c r="N2375" i="14"/>
  <c r="J2374" i="14" a="1"/>
  <c r="J2374" i="14" s="1"/>
  <c r="K2211" i="14"/>
  <c r="L2211" i="14" s="1"/>
  <c r="I2212" i="14" s="1"/>
  <c r="K2212" i="14" l="1"/>
  <c r="L2212" i="14" s="1"/>
  <c r="I2213" i="14" s="1"/>
  <c r="K2190" i="13"/>
  <c r="L2190" i="13" s="1"/>
  <c r="I2191" i="13" s="1"/>
  <c r="N2376" i="14"/>
  <c r="J2375" i="14" a="1"/>
  <c r="J2375" i="14" s="1"/>
  <c r="M2379" i="13"/>
  <c r="M2380" i="14"/>
  <c r="J2376" i="13" a="1"/>
  <c r="J2376" i="13" s="1"/>
  <c r="N2377" i="13"/>
  <c r="K2191" i="13" l="1"/>
  <c r="L2191" i="13" s="1"/>
  <c r="I2192" i="13" s="1"/>
  <c r="K2213" i="14"/>
  <c r="L2213" i="14" s="1"/>
  <c r="I2214" i="14" s="1"/>
  <c r="N2378" i="13"/>
  <c r="J2377" i="13" a="1"/>
  <c r="J2377" i="13" s="1"/>
  <c r="M2380" i="13"/>
  <c r="M2381" i="14"/>
  <c r="J2376" i="14" a="1"/>
  <c r="J2376" i="14" s="1"/>
  <c r="N2377" i="14"/>
  <c r="K2214" i="14" l="1"/>
  <c r="L2214" i="14" s="1"/>
  <c r="I2215" i="14" s="1"/>
  <c r="K2192" i="13"/>
  <c r="L2192" i="13" s="1"/>
  <c r="I2193" i="13" s="1"/>
  <c r="J2377" i="14" a="1"/>
  <c r="J2377" i="14" s="1"/>
  <c r="N2378" i="14"/>
  <c r="M2381" i="13"/>
  <c r="M2382" i="14"/>
  <c r="J2378" i="13" a="1"/>
  <c r="J2378" i="13" s="1"/>
  <c r="N2379" i="13"/>
  <c r="K2215" i="14" l="1"/>
  <c r="L2215" i="14" s="1"/>
  <c r="I2216" i="14" s="1"/>
  <c r="J2379" i="13" a="1"/>
  <c r="J2379" i="13" s="1"/>
  <c r="N2380" i="13"/>
  <c r="K2193" i="13"/>
  <c r="L2193" i="13" s="1"/>
  <c r="I2194" i="13" s="1"/>
  <c r="M2382" i="13"/>
  <c r="M2383" i="14"/>
  <c r="J2378" i="14" a="1"/>
  <c r="J2378" i="14" s="1"/>
  <c r="N2379" i="14"/>
  <c r="K2194" i="13" l="1"/>
  <c r="L2194" i="13" s="1"/>
  <c r="I2195" i="13" s="1"/>
  <c r="K2216" i="14"/>
  <c r="L2216" i="14" s="1"/>
  <c r="I2217" i="14" s="1"/>
  <c r="N2380" i="14"/>
  <c r="J2379" i="14" a="1"/>
  <c r="J2379" i="14" s="1"/>
  <c r="J2380" i="13" a="1"/>
  <c r="J2380" i="13" s="1"/>
  <c r="N2381" i="13"/>
  <c r="M2383" i="13"/>
  <c r="M2384" i="14"/>
  <c r="K2195" i="13" l="1"/>
  <c r="L2195" i="13" s="1"/>
  <c r="I2196" i="13" s="1"/>
  <c r="K2217" i="14"/>
  <c r="L2217" i="14" s="1"/>
  <c r="I2218" i="14" s="1"/>
  <c r="N2382" i="13"/>
  <c r="J2381" i="13" a="1"/>
  <c r="J2381" i="13" s="1"/>
  <c r="M2384" i="13"/>
  <c r="M2385" i="14"/>
  <c r="J2380" i="14" a="1"/>
  <c r="J2380" i="14" s="1"/>
  <c r="N2381" i="14"/>
  <c r="K2218" i="14" l="1"/>
  <c r="L2218" i="14" s="1"/>
  <c r="I2219" i="14" s="1"/>
  <c r="K2196" i="13"/>
  <c r="L2196" i="13" s="1"/>
  <c r="I2197" i="13" s="1"/>
  <c r="J2381" i="14" a="1"/>
  <c r="J2381" i="14" s="1"/>
  <c r="N2382" i="14"/>
  <c r="M2385" i="13"/>
  <c r="M2386" i="14"/>
  <c r="J2382" i="13" a="1"/>
  <c r="J2382" i="13" s="1"/>
  <c r="N2383" i="13"/>
  <c r="K2197" i="13" l="1"/>
  <c r="L2197" i="13" s="1"/>
  <c r="I2198" i="13" s="1"/>
  <c r="K2219" i="14"/>
  <c r="L2219" i="14" s="1"/>
  <c r="I2220" i="14" s="1"/>
  <c r="J2383" i="13" a="1"/>
  <c r="J2383" i="13" s="1"/>
  <c r="N2384" i="13"/>
  <c r="M2386" i="13"/>
  <c r="N2383" i="14"/>
  <c r="J2382" i="14" a="1"/>
  <c r="J2382" i="14" s="1"/>
  <c r="M2387" i="14"/>
  <c r="K2198" i="13" l="1"/>
  <c r="L2198" i="13" s="1"/>
  <c r="I2199" i="13" s="1"/>
  <c r="M2388" i="14"/>
  <c r="M2387" i="13"/>
  <c r="K2220" i="14"/>
  <c r="L2220" i="14" s="1"/>
  <c r="I2221" i="14" s="1"/>
  <c r="J2384" i="13" a="1"/>
  <c r="J2384" i="13" s="1"/>
  <c r="N2385" i="13"/>
  <c r="N2384" i="14"/>
  <c r="J2383" i="14" a="1"/>
  <c r="J2383" i="14" s="1"/>
  <c r="K2221" i="14" l="1"/>
  <c r="L2221" i="14" s="1"/>
  <c r="I2222" i="14" s="1"/>
  <c r="K2199" i="13"/>
  <c r="L2199" i="13" s="1"/>
  <c r="I2200" i="13" s="1"/>
  <c r="J2384" i="14" a="1"/>
  <c r="J2384" i="14" s="1"/>
  <c r="N2385" i="14"/>
  <c r="M2389" i="14"/>
  <c r="N2386" i="13"/>
  <c r="J2385" i="13" a="1"/>
  <c r="J2385" i="13" s="1"/>
  <c r="M2388" i="13"/>
  <c r="K2200" i="13" l="1"/>
  <c r="L2200" i="13" s="1"/>
  <c r="I2201" i="13" s="1"/>
  <c r="K2222" i="14"/>
  <c r="L2222" i="14" s="1"/>
  <c r="I2223" i="14" s="1"/>
  <c r="J2386" i="13" a="1"/>
  <c r="J2386" i="13" s="1"/>
  <c r="N2387" i="13"/>
  <c r="M2389" i="13"/>
  <c r="J2385" i="14" a="1"/>
  <c r="J2385" i="14" s="1"/>
  <c r="N2386" i="14"/>
  <c r="M2390" i="14"/>
  <c r="K2223" i="14" l="1"/>
  <c r="L2223" i="14" s="1"/>
  <c r="I2224" i="14" s="1"/>
  <c r="K2201" i="13"/>
  <c r="L2201" i="13" s="1"/>
  <c r="I2202" i="13" s="1"/>
  <c r="M2391" i="14"/>
  <c r="J2386" i="14" a="1"/>
  <c r="J2386" i="14" s="1"/>
  <c r="N2387" i="14"/>
  <c r="M2390" i="13"/>
  <c r="J2387" i="13" a="1"/>
  <c r="J2387" i="13" s="1"/>
  <c r="N2388" i="13"/>
  <c r="K2224" i="14" l="1"/>
  <c r="L2224" i="14" s="1"/>
  <c r="I2225" i="14" s="1"/>
  <c r="J2388" i="13" a="1"/>
  <c r="J2388" i="13" s="1"/>
  <c r="N2389" i="13"/>
  <c r="N2388" i="14"/>
  <c r="J2387" i="14" a="1"/>
  <c r="J2387" i="14" s="1"/>
  <c r="K2202" i="13"/>
  <c r="L2202" i="13" s="1"/>
  <c r="I2203" i="13" s="1"/>
  <c r="M2391" i="13"/>
  <c r="M2392" i="14"/>
  <c r="K2225" i="14" l="1"/>
  <c r="L2225" i="14" s="1"/>
  <c r="I2226" i="14" s="1"/>
  <c r="K2203" i="13"/>
  <c r="L2203" i="13" s="1"/>
  <c r="I2204" i="13" s="1"/>
  <c r="N2390" i="13"/>
  <c r="J2389" i="13" a="1"/>
  <c r="J2389" i="13" s="1"/>
  <c r="M2393" i="14"/>
  <c r="M2392" i="13"/>
  <c r="J2388" i="14" a="1"/>
  <c r="J2388" i="14" s="1"/>
  <c r="N2389" i="14"/>
  <c r="K2204" i="13" l="1"/>
  <c r="L2204" i="13" s="1"/>
  <c r="I2205" i="13" s="1"/>
  <c r="K2226" i="14"/>
  <c r="L2226" i="14" s="1"/>
  <c r="I2227" i="14" s="1"/>
  <c r="J2389" i="14" a="1"/>
  <c r="J2389" i="14" s="1"/>
  <c r="N2390" i="14"/>
  <c r="M2394" i="14"/>
  <c r="M2393" i="13"/>
  <c r="J2390" i="13" a="1"/>
  <c r="J2390" i="13" s="1"/>
  <c r="N2391" i="13"/>
  <c r="K2227" i="14" l="1"/>
  <c r="L2227" i="14" s="1"/>
  <c r="I2228" i="14" s="1"/>
  <c r="K2205" i="13"/>
  <c r="L2205" i="13" s="1"/>
  <c r="I2206" i="13" s="1"/>
  <c r="J2391" i="13" a="1"/>
  <c r="J2391" i="13" s="1"/>
  <c r="N2392" i="13"/>
  <c r="M2395" i="14"/>
  <c r="N2391" i="14"/>
  <c r="J2390" i="14" a="1"/>
  <c r="J2390" i="14" s="1"/>
  <c r="M2394" i="13"/>
  <c r="K2228" i="14" l="1"/>
  <c r="L2228" i="14" s="1"/>
  <c r="I2229" i="14" s="1"/>
  <c r="N2392" i="14"/>
  <c r="J2391" i="14" a="1"/>
  <c r="J2391" i="14" s="1"/>
  <c r="M2395" i="13"/>
  <c r="M2396" i="14"/>
  <c r="K2206" i="13"/>
  <c r="L2206" i="13" s="1"/>
  <c r="I2207" i="13" s="1"/>
  <c r="J2392" i="13" a="1"/>
  <c r="J2392" i="13" s="1"/>
  <c r="N2393" i="13"/>
  <c r="K2207" i="13" l="1"/>
  <c r="L2207" i="13" s="1"/>
  <c r="I2208" i="13" s="1"/>
  <c r="K2229" i="14"/>
  <c r="L2229" i="14" s="1"/>
  <c r="I2230" i="14" s="1"/>
  <c r="N2394" i="13"/>
  <c r="J2393" i="13" a="1"/>
  <c r="J2393" i="13" s="1"/>
  <c r="J2392" i="14" a="1"/>
  <c r="J2392" i="14" s="1"/>
  <c r="N2393" i="14"/>
  <c r="M2397" i="14"/>
  <c r="M2396" i="13"/>
  <c r="K2208" i="13" l="1"/>
  <c r="L2208" i="13" s="1"/>
  <c r="I2209" i="13" s="1"/>
  <c r="M2397" i="13"/>
  <c r="J2393" i="14" a="1"/>
  <c r="J2393" i="14" s="1"/>
  <c r="N2394" i="14"/>
  <c r="K2230" i="14"/>
  <c r="L2230" i="14" s="1"/>
  <c r="I2231" i="14" s="1"/>
  <c r="M2398" i="14"/>
  <c r="J2394" i="13" a="1"/>
  <c r="J2394" i="13" s="1"/>
  <c r="N2395" i="13"/>
  <c r="K2209" i="13" l="1"/>
  <c r="L2209" i="13" s="1"/>
  <c r="I2210" i="13" s="1"/>
  <c r="J2395" i="13" a="1"/>
  <c r="J2395" i="13" s="1"/>
  <c r="N2396" i="13"/>
  <c r="M2398" i="13"/>
  <c r="J2394" i="14" a="1"/>
  <c r="J2394" i="14" s="1"/>
  <c r="N2395" i="14"/>
  <c r="K2231" i="14"/>
  <c r="L2231" i="14" s="1"/>
  <c r="I2232" i="14" s="1"/>
  <c r="M2399" i="14"/>
  <c r="K2210" i="13" l="1"/>
  <c r="L2210" i="13" s="1"/>
  <c r="I2211" i="13" s="1"/>
  <c r="K2232" i="14"/>
  <c r="L2232" i="14" s="1"/>
  <c r="I2233" i="14" s="1"/>
  <c r="J2396" i="13" a="1"/>
  <c r="J2396" i="13" s="1"/>
  <c r="N2397" i="13"/>
  <c r="N2396" i="14"/>
  <c r="J2395" i="14" a="1"/>
  <c r="J2395" i="14" s="1"/>
  <c r="M2400" i="14"/>
  <c r="M2399" i="13"/>
  <c r="K2211" i="13" l="1"/>
  <c r="L2211" i="13" s="1"/>
  <c r="I2212" i="13" s="1"/>
  <c r="K2233" i="14"/>
  <c r="L2233" i="14" s="1"/>
  <c r="I2234" i="14" s="1"/>
  <c r="N2398" i="13"/>
  <c r="J2397" i="13" a="1"/>
  <c r="J2397" i="13" s="1"/>
  <c r="M2401" i="14"/>
  <c r="M2400" i="13"/>
  <c r="J2396" i="14" a="1"/>
  <c r="J2396" i="14" s="1"/>
  <c r="N2397" i="14"/>
  <c r="K2212" i="13" l="1"/>
  <c r="L2212" i="13" s="1"/>
  <c r="I2213" i="13" s="1"/>
  <c r="J2397" i="14" a="1"/>
  <c r="J2397" i="14" s="1"/>
  <c r="N2398" i="14"/>
  <c r="K2234" i="14"/>
  <c r="L2234" i="14" s="1"/>
  <c r="I2235" i="14" s="1"/>
  <c r="M2402" i="14"/>
  <c r="M2401" i="13"/>
  <c r="J2398" i="13" a="1"/>
  <c r="J2398" i="13" s="1"/>
  <c r="N2399" i="13"/>
  <c r="K2235" i="14" l="1"/>
  <c r="L2235" i="14" s="1"/>
  <c r="I2236" i="14" s="1"/>
  <c r="K2213" i="13"/>
  <c r="L2213" i="13" s="1"/>
  <c r="I2214" i="13" s="1"/>
  <c r="J2399" i="13" a="1"/>
  <c r="J2399" i="13" s="1"/>
  <c r="N2400" i="13"/>
  <c r="M2403" i="14"/>
  <c r="J2398" i="14" a="1"/>
  <c r="J2398" i="14" s="1"/>
  <c r="N2399" i="14"/>
  <c r="M2402" i="13"/>
  <c r="K2236" i="14" l="1"/>
  <c r="L2236" i="14" s="1"/>
  <c r="I2237" i="14" s="1"/>
  <c r="J2400" i="13" a="1"/>
  <c r="J2400" i="13" s="1"/>
  <c r="N2401" i="13"/>
  <c r="K2214" i="13"/>
  <c r="L2214" i="13" s="1"/>
  <c r="I2215" i="13" s="1"/>
  <c r="N2400" i="14"/>
  <c r="J2399" i="14" a="1"/>
  <c r="J2399" i="14" s="1"/>
  <c r="M2403" i="13"/>
  <c r="M2404" i="14"/>
  <c r="K2237" i="14" l="1"/>
  <c r="L2237" i="14" s="1"/>
  <c r="I2238" i="14" s="1"/>
  <c r="K2215" i="13"/>
  <c r="L2215" i="13" s="1"/>
  <c r="I2216" i="13" s="1"/>
  <c r="N2402" i="13"/>
  <c r="J2401" i="13" a="1"/>
  <c r="J2401" i="13" s="1"/>
  <c r="M2405" i="14"/>
  <c r="J2400" i="14" a="1"/>
  <c r="J2400" i="14" s="1"/>
  <c r="N2401" i="14"/>
  <c r="M2404" i="13"/>
  <c r="K2216" i="13" l="1"/>
  <c r="L2216" i="13" s="1"/>
  <c r="I2217" i="13" s="1"/>
  <c r="K2238" i="14"/>
  <c r="L2238" i="14" s="1"/>
  <c r="I2239" i="14" s="1"/>
  <c r="J2401" i="14" a="1"/>
  <c r="J2401" i="14" s="1"/>
  <c r="N2402" i="14"/>
  <c r="M2405" i="13"/>
  <c r="M2406" i="14"/>
  <c r="J2402" i="13" a="1"/>
  <c r="J2402" i="13" s="1"/>
  <c r="N2403" i="13"/>
  <c r="K2217" i="13" l="1"/>
  <c r="L2217" i="13" s="1"/>
  <c r="I2218" i="13" s="1"/>
  <c r="M2407" i="14"/>
  <c r="J2403" i="13" a="1"/>
  <c r="J2403" i="13" s="1"/>
  <c r="N2404" i="13"/>
  <c r="M2406" i="13"/>
  <c r="K2239" i="14"/>
  <c r="L2239" i="14" s="1"/>
  <c r="I2240" i="14" s="1"/>
  <c r="J2402" i="14" a="1"/>
  <c r="J2402" i="14" s="1"/>
  <c r="N2403" i="14"/>
  <c r="K2240" i="14" l="1"/>
  <c r="L2240" i="14" s="1"/>
  <c r="I2241" i="14" s="1"/>
  <c r="K2218" i="13"/>
  <c r="L2218" i="13" s="1"/>
  <c r="I2219" i="13" s="1"/>
  <c r="N2404" i="14"/>
  <c r="J2403" i="14" a="1"/>
  <c r="J2403" i="14" s="1"/>
  <c r="M2407" i="13"/>
  <c r="M2408" i="14"/>
  <c r="J2404" i="13" a="1"/>
  <c r="J2404" i="13" s="1"/>
  <c r="N2405" i="13"/>
  <c r="K2219" i="13" l="1"/>
  <c r="L2219" i="13" s="1"/>
  <c r="I2220" i="13" s="1"/>
  <c r="K2241" i="14"/>
  <c r="L2241" i="14" s="1"/>
  <c r="I2242" i="14" s="1"/>
  <c r="N2406" i="13"/>
  <c r="J2405" i="13" a="1"/>
  <c r="J2405" i="13" s="1"/>
  <c r="M2408" i="13"/>
  <c r="M2409" i="14"/>
  <c r="J2404" i="14" a="1"/>
  <c r="J2404" i="14" s="1"/>
  <c r="N2405" i="14"/>
  <c r="K2242" i="14" l="1"/>
  <c r="L2242" i="14" s="1"/>
  <c r="I2243" i="14" s="1"/>
  <c r="K2220" i="13"/>
  <c r="L2220" i="13" s="1"/>
  <c r="I2221" i="13" s="1"/>
  <c r="J2405" i="14" a="1"/>
  <c r="J2405" i="14" s="1"/>
  <c r="N2406" i="14"/>
  <c r="M2409" i="13"/>
  <c r="M2410" i="14"/>
  <c r="J2406" i="13" a="1"/>
  <c r="J2406" i="13" s="1"/>
  <c r="N2407" i="13"/>
  <c r="K2221" i="13" l="1"/>
  <c r="L2221" i="13" s="1"/>
  <c r="I2222" i="13" s="1"/>
  <c r="K2243" i="14"/>
  <c r="L2243" i="14" s="1"/>
  <c r="I2244" i="14" s="1"/>
  <c r="J2407" i="13" a="1"/>
  <c r="J2407" i="13" s="1"/>
  <c r="N2408" i="13"/>
  <c r="M2410" i="13"/>
  <c r="N2407" i="14"/>
  <c r="J2406" i="14" a="1"/>
  <c r="J2406" i="14" s="1"/>
  <c r="M2411" i="14"/>
  <c r="K2244" i="14" l="1"/>
  <c r="L2244" i="14" s="1"/>
  <c r="I2245" i="14" s="1"/>
  <c r="K2222" i="13"/>
  <c r="L2222" i="13" s="1"/>
  <c r="I2223" i="13" s="1"/>
  <c r="N2408" i="14"/>
  <c r="J2407" i="14" a="1"/>
  <c r="J2407" i="14" s="1"/>
  <c r="M2412" i="14"/>
  <c r="M2411" i="13"/>
  <c r="J2408" i="13" a="1"/>
  <c r="J2408" i="13" s="1"/>
  <c r="N2409" i="13"/>
  <c r="K2223" i="13" l="1"/>
  <c r="L2223" i="13" s="1"/>
  <c r="I2224" i="13" s="1"/>
  <c r="K2245" i="14"/>
  <c r="L2245" i="14" s="1"/>
  <c r="I2246" i="14" s="1"/>
  <c r="N2410" i="13"/>
  <c r="J2409" i="13" a="1"/>
  <c r="J2409" i="13" s="1"/>
  <c r="M2413" i="14"/>
  <c r="M2412" i="13"/>
  <c r="J2408" i="14" a="1"/>
  <c r="J2408" i="14" s="1"/>
  <c r="N2409" i="14"/>
  <c r="K2246" i="14" l="1"/>
  <c r="L2246" i="14" s="1"/>
  <c r="I2247" i="14" s="1"/>
  <c r="K2224" i="13"/>
  <c r="L2224" i="13" s="1"/>
  <c r="I2225" i="13" s="1"/>
  <c r="J2409" i="14" a="1"/>
  <c r="J2409" i="14" s="1"/>
  <c r="N2410" i="14"/>
  <c r="M2414" i="14"/>
  <c r="M2413" i="13"/>
  <c r="J2410" i="13" a="1"/>
  <c r="J2410" i="13" s="1"/>
  <c r="N2411" i="13"/>
  <c r="K2225" i="13" l="1"/>
  <c r="L2225" i="13" s="1"/>
  <c r="I2226" i="13" s="1"/>
  <c r="K2247" i="14"/>
  <c r="L2247" i="14" s="1"/>
  <c r="I2248" i="14" s="1"/>
  <c r="J2411" i="13" a="1"/>
  <c r="J2411" i="13" s="1"/>
  <c r="N2412" i="13"/>
  <c r="M2415" i="14"/>
  <c r="M2414" i="13"/>
  <c r="J2410" i="14" a="1"/>
  <c r="J2410" i="14" s="1"/>
  <c r="N2411" i="14"/>
  <c r="K2226" i="13" l="1"/>
  <c r="L2226" i="13" s="1"/>
  <c r="I2227" i="13" s="1"/>
  <c r="N2412" i="14"/>
  <c r="J2411" i="14" a="1"/>
  <c r="J2411" i="14" s="1"/>
  <c r="K2248" i="14"/>
  <c r="L2248" i="14" s="1"/>
  <c r="I2249" i="14" s="1"/>
  <c r="J2412" i="13" a="1"/>
  <c r="J2412" i="13" s="1"/>
  <c r="N2413" i="13"/>
  <c r="M2416" i="14"/>
  <c r="M2415" i="13"/>
  <c r="K2249" i="14" l="1"/>
  <c r="L2249" i="14" s="1"/>
  <c r="I2250" i="14" s="1"/>
  <c r="K2227" i="13"/>
  <c r="L2227" i="13" s="1"/>
  <c r="I2228" i="13" s="1"/>
  <c r="N2414" i="13"/>
  <c r="J2413" i="13" a="1"/>
  <c r="J2413" i="13" s="1"/>
  <c r="J2412" i="14" a="1"/>
  <c r="J2412" i="14" s="1"/>
  <c r="N2413" i="14"/>
  <c r="M2416" i="13"/>
  <c r="M2417" i="14"/>
  <c r="K2228" i="13" l="1"/>
  <c r="L2228" i="13" s="1"/>
  <c r="I2229" i="13" s="1"/>
  <c r="K2250" i="14"/>
  <c r="L2250" i="14" s="1"/>
  <c r="I2251" i="14" s="1"/>
  <c r="J2413" i="14" a="1"/>
  <c r="J2413" i="14" s="1"/>
  <c r="N2414" i="14"/>
  <c r="M2418" i="14"/>
  <c r="M2417" i="13"/>
  <c r="J2414" i="13" a="1"/>
  <c r="J2414" i="13" s="1"/>
  <c r="N2415" i="13"/>
  <c r="K2251" i="14" l="1"/>
  <c r="L2251" i="14" s="1"/>
  <c r="I2252" i="14" s="1"/>
  <c r="K2229" i="13"/>
  <c r="L2229" i="13" s="1"/>
  <c r="I2230" i="13" s="1"/>
  <c r="J2415" i="13" a="1"/>
  <c r="J2415" i="13" s="1"/>
  <c r="N2416" i="13"/>
  <c r="M2419" i="14"/>
  <c r="N2415" i="14"/>
  <c r="J2414" i="14" a="1"/>
  <c r="J2414" i="14" s="1"/>
  <c r="M2418" i="13"/>
  <c r="K2230" i="13" l="1"/>
  <c r="L2230" i="13" s="1"/>
  <c r="I2231" i="13" s="1"/>
  <c r="K2252" i="14"/>
  <c r="L2252" i="14" s="1"/>
  <c r="I2253" i="14" s="1"/>
  <c r="M2419" i="13"/>
  <c r="M2420" i="14"/>
  <c r="J2416" i="13" a="1"/>
  <c r="J2416" i="13" s="1"/>
  <c r="N2417" i="13"/>
  <c r="N2416" i="14"/>
  <c r="J2415" i="14" a="1"/>
  <c r="J2415" i="14" s="1"/>
  <c r="K2253" i="14" l="1"/>
  <c r="L2253" i="14" s="1"/>
  <c r="I2254" i="14" s="1"/>
  <c r="K2231" i="13"/>
  <c r="L2231" i="13" s="1"/>
  <c r="I2232" i="13" s="1"/>
  <c r="J2416" i="14" a="1"/>
  <c r="J2416" i="14" s="1"/>
  <c r="N2417" i="14"/>
  <c r="M2421" i="14"/>
  <c r="N2418" i="13"/>
  <c r="J2417" i="13" a="1"/>
  <c r="J2417" i="13" s="1"/>
  <c r="M2420" i="13"/>
  <c r="K2232" i="13" l="1"/>
  <c r="L2232" i="13" s="1"/>
  <c r="I2233" i="13" s="1"/>
  <c r="K2254" i="14"/>
  <c r="L2254" i="14" s="1"/>
  <c r="I2255" i="14" s="1"/>
  <c r="M2421" i="13"/>
  <c r="M2422" i="14"/>
  <c r="J2417" i="14" a="1"/>
  <c r="J2417" i="14" s="1"/>
  <c r="N2418" i="14"/>
  <c r="J2418" i="13" a="1"/>
  <c r="J2418" i="13" s="1"/>
  <c r="N2419" i="13"/>
  <c r="K2255" i="14" l="1"/>
  <c r="L2255" i="14" s="1"/>
  <c r="I2256" i="14" s="1"/>
  <c r="K2233" i="13"/>
  <c r="L2233" i="13" s="1"/>
  <c r="I2234" i="13" s="1"/>
  <c r="J2418" i="14" a="1"/>
  <c r="J2418" i="14" s="1"/>
  <c r="N2419" i="14"/>
  <c r="J2419" i="13" a="1"/>
  <c r="J2419" i="13" s="1"/>
  <c r="N2420" i="13"/>
  <c r="M2423" i="14"/>
  <c r="M2422" i="13"/>
  <c r="K2256" i="14" l="1"/>
  <c r="L2256" i="14" s="1"/>
  <c r="I2257" i="14" s="1"/>
  <c r="J2420" i="13" a="1"/>
  <c r="J2420" i="13" s="1"/>
  <c r="N2421" i="13"/>
  <c r="K2234" i="13"/>
  <c r="L2234" i="13" s="1"/>
  <c r="I2235" i="13" s="1"/>
  <c r="M2423" i="13"/>
  <c r="N2420" i="14"/>
  <c r="J2419" i="14" a="1"/>
  <c r="J2419" i="14" s="1"/>
  <c r="M2424" i="14"/>
  <c r="K2235" i="13" l="1"/>
  <c r="L2235" i="13" s="1"/>
  <c r="I2236" i="13" s="1"/>
  <c r="K2257" i="14"/>
  <c r="L2257" i="14" s="1"/>
  <c r="I2258" i="14" s="1"/>
  <c r="M2425" i="14"/>
  <c r="M2424" i="13"/>
  <c r="N2422" i="13"/>
  <c r="J2421" i="13" a="1"/>
  <c r="J2421" i="13" s="1"/>
  <c r="J2420" i="14" a="1"/>
  <c r="J2420" i="14" s="1"/>
  <c r="N2421" i="14"/>
  <c r="K2236" i="13" l="1"/>
  <c r="L2236" i="13" s="1"/>
  <c r="I2237" i="13" s="1"/>
  <c r="J2421" i="14" a="1"/>
  <c r="J2421" i="14" s="1"/>
  <c r="N2422" i="14"/>
  <c r="M2425" i="13"/>
  <c r="K2258" i="14"/>
  <c r="L2258" i="14" s="1"/>
  <c r="I2259" i="14" s="1"/>
  <c r="J2422" i="13" a="1"/>
  <c r="J2422" i="13" s="1"/>
  <c r="N2423" i="13"/>
  <c r="M2426" i="14"/>
  <c r="K2237" i="13" l="1"/>
  <c r="L2237" i="13" s="1"/>
  <c r="I2238" i="13" s="1"/>
  <c r="M2427" i="14"/>
  <c r="N2423" i="14"/>
  <c r="J2422" i="14" a="1"/>
  <c r="J2422" i="14" s="1"/>
  <c r="K2259" i="14"/>
  <c r="L2259" i="14" s="1"/>
  <c r="I2260" i="14" s="1"/>
  <c r="J2423" i="13" a="1"/>
  <c r="J2423" i="13" s="1"/>
  <c r="N2424" i="13"/>
  <c r="M2426" i="13"/>
  <c r="K2260" i="14" l="1"/>
  <c r="L2260" i="14" s="1"/>
  <c r="I2261" i="14" s="1"/>
  <c r="K2238" i="13"/>
  <c r="L2238" i="13" s="1"/>
  <c r="I2239" i="13" s="1"/>
  <c r="M2427" i="13"/>
  <c r="M2428" i="14"/>
  <c r="J2424" i="13" a="1"/>
  <c r="J2424" i="13" s="1"/>
  <c r="N2425" i="13"/>
  <c r="N2424" i="14"/>
  <c r="J2423" i="14" a="1"/>
  <c r="J2423" i="14" s="1"/>
  <c r="K2239" i="13" l="1"/>
  <c r="L2239" i="13" s="1"/>
  <c r="I2240" i="13" s="1"/>
  <c r="K2261" i="14"/>
  <c r="L2261" i="14" s="1"/>
  <c r="I2262" i="14" s="1"/>
  <c r="J2424" i="14" a="1"/>
  <c r="J2424" i="14" s="1"/>
  <c r="N2425" i="14"/>
  <c r="M2429" i="14"/>
  <c r="N2426" i="13"/>
  <c r="J2425" i="13" a="1"/>
  <c r="J2425" i="13" s="1"/>
  <c r="M2428" i="13"/>
  <c r="K2262" i="14" l="1"/>
  <c r="L2262" i="14" s="1"/>
  <c r="I2263" i="14" s="1"/>
  <c r="K2240" i="13"/>
  <c r="L2240" i="13" s="1"/>
  <c r="I2241" i="13" s="1"/>
  <c r="J2426" i="13" a="1"/>
  <c r="J2426" i="13" s="1"/>
  <c r="N2427" i="13"/>
  <c r="M2429" i="13"/>
  <c r="J2425" i="14" a="1"/>
  <c r="J2425" i="14" s="1"/>
  <c r="N2426" i="14"/>
  <c r="M2430" i="14"/>
  <c r="K2263" i="14" l="1"/>
  <c r="L2263" i="14" s="1"/>
  <c r="I2264" i="14" s="1"/>
  <c r="M2431" i="14"/>
  <c r="M2430" i="13"/>
  <c r="K2241" i="13"/>
  <c r="L2241" i="13" s="1"/>
  <c r="I2242" i="13" s="1"/>
  <c r="J2426" i="14" a="1"/>
  <c r="J2426" i="14" s="1"/>
  <c r="N2427" i="14"/>
  <c r="J2427" i="13" a="1"/>
  <c r="J2427" i="13" s="1"/>
  <c r="N2428" i="13"/>
  <c r="K2264" i="14" l="1"/>
  <c r="L2264" i="14" s="1"/>
  <c r="I2265" i="14" s="1"/>
  <c r="J2428" i="13" a="1"/>
  <c r="J2428" i="13" s="1"/>
  <c r="N2429" i="13"/>
  <c r="K2242" i="13"/>
  <c r="L2242" i="13" s="1"/>
  <c r="I2243" i="13" s="1"/>
  <c r="M2432" i="14"/>
  <c r="N2428" i="14"/>
  <c r="J2427" i="14" a="1"/>
  <c r="J2427" i="14" s="1"/>
  <c r="M2431" i="13"/>
  <c r="K2243" i="13" l="1"/>
  <c r="L2243" i="13" s="1"/>
  <c r="I2244" i="13" s="1"/>
  <c r="K2265" i="14"/>
  <c r="L2265" i="14" s="1"/>
  <c r="I2266" i="14" s="1"/>
  <c r="N2430" i="13"/>
  <c r="J2429" i="13" a="1"/>
  <c r="J2429" i="13" s="1"/>
  <c r="M2432" i="13"/>
  <c r="M2433" i="14"/>
  <c r="J2428" i="14" a="1"/>
  <c r="J2428" i="14" s="1"/>
  <c r="N2429" i="14"/>
  <c r="K2244" i="13" l="1"/>
  <c r="L2244" i="13" s="1"/>
  <c r="I2245" i="13" s="1"/>
  <c r="J2429" i="14" a="1"/>
  <c r="J2429" i="14" s="1"/>
  <c r="N2430" i="14"/>
  <c r="M2433" i="13"/>
  <c r="K2266" i="14"/>
  <c r="L2266" i="14" s="1"/>
  <c r="I2267" i="14" s="1"/>
  <c r="M2434" i="14"/>
  <c r="J2430" i="13" a="1"/>
  <c r="J2430" i="13" s="1"/>
  <c r="N2431" i="13"/>
  <c r="K2267" i="14" l="1"/>
  <c r="L2267" i="14" s="1"/>
  <c r="I2268" i="14" s="1"/>
  <c r="K2245" i="13"/>
  <c r="L2245" i="13" s="1"/>
  <c r="I2246" i="13" s="1"/>
  <c r="N2431" i="14"/>
  <c r="J2430" i="14" a="1"/>
  <c r="J2430" i="14" s="1"/>
  <c r="J2431" i="13" a="1"/>
  <c r="J2431" i="13" s="1"/>
  <c r="N2432" i="13"/>
  <c r="M2435" i="14"/>
  <c r="M2434" i="13"/>
  <c r="K2246" i="13" l="1"/>
  <c r="L2246" i="13" s="1"/>
  <c r="I2247" i="13" s="1"/>
  <c r="K2268" i="14"/>
  <c r="L2268" i="14" s="1"/>
  <c r="I2269" i="14" s="1"/>
  <c r="M2435" i="13"/>
  <c r="J2432" i="13" a="1"/>
  <c r="J2432" i="13" s="1"/>
  <c r="N2433" i="13"/>
  <c r="M2436" i="14"/>
  <c r="N2432" i="14"/>
  <c r="J2431" i="14" a="1"/>
  <c r="J2431" i="14" s="1"/>
  <c r="K2247" i="13" l="1"/>
  <c r="L2247" i="13" s="1"/>
  <c r="I2248" i="13" s="1"/>
  <c r="N2434" i="13"/>
  <c r="J2433" i="13" a="1"/>
  <c r="J2433" i="13" s="1"/>
  <c r="K2269" i="14"/>
  <c r="L2269" i="14" s="1"/>
  <c r="I2270" i="14" s="1"/>
  <c r="J2432" i="14" a="1"/>
  <c r="J2432" i="14" s="1"/>
  <c r="N2433" i="14"/>
  <c r="M2437" i="14"/>
  <c r="M2436" i="13"/>
  <c r="K2270" i="14" l="1"/>
  <c r="L2270" i="14" s="1"/>
  <c r="I2271" i="14" s="1"/>
  <c r="K2248" i="13"/>
  <c r="L2248" i="13" s="1"/>
  <c r="I2249" i="13" s="1"/>
  <c r="J2433" i="14" a="1"/>
  <c r="J2433" i="14" s="1"/>
  <c r="N2434" i="14"/>
  <c r="M2437" i="13"/>
  <c r="J2434" i="13" a="1"/>
  <c r="J2434" i="13" s="1"/>
  <c r="N2435" i="13"/>
  <c r="M2438" i="14"/>
  <c r="K2271" i="14" l="1"/>
  <c r="L2271" i="14" s="1"/>
  <c r="I2272" i="14" s="1"/>
  <c r="K2249" i="13"/>
  <c r="L2249" i="13" s="1"/>
  <c r="I2250" i="13" s="1"/>
  <c r="J2434" i="14" a="1"/>
  <c r="J2434" i="14" s="1"/>
  <c r="N2435" i="14"/>
  <c r="M2439" i="14"/>
  <c r="M2438" i="13"/>
  <c r="J2435" i="13" a="1"/>
  <c r="J2435" i="13" s="1"/>
  <c r="N2436" i="13"/>
  <c r="K2250" i="13" l="1"/>
  <c r="L2250" i="13" s="1"/>
  <c r="I2251" i="13" s="1"/>
  <c r="K2272" i="14"/>
  <c r="L2272" i="14" s="1"/>
  <c r="I2273" i="14" s="1"/>
  <c r="J2436" i="13" a="1"/>
  <c r="J2436" i="13" s="1"/>
  <c r="N2437" i="13"/>
  <c r="M2440" i="14"/>
  <c r="N2436" i="14"/>
  <c r="J2435" i="14" a="1"/>
  <c r="J2435" i="14" s="1"/>
  <c r="M2439" i="13"/>
  <c r="K2251" i="13" l="1"/>
  <c r="L2251" i="13" s="1"/>
  <c r="I2252" i="13" s="1"/>
  <c r="J2436" i="14" a="1"/>
  <c r="J2436" i="14" s="1"/>
  <c r="N2437" i="14"/>
  <c r="M2440" i="13"/>
  <c r="M2441" i="14"/>
  <c r="K2273" i="14"/>
  <c r="L2273" i="14" s="1"/>
  <c r="I2274" i="14" s="1"/>
  <c r="N2438" i="13"/>
  <c r="J2437" i="13" a="1"/>
  <c r="J2437" i="13" s="1"/>
  <c r="K2274" i="14" l="1"/>
  <c r="L2274" i="14" s="1"/>
  <c r="I2275" i="14" s="1"/>
  <c r="K2252" i="13"/>
  <c r="L2252" i="13" s="1"/>
  <c r="I2253" i="13" s="1"/>
  <c r="J2437" i="14" a="1"/>
  <c r="J2437" i="14" s="1"/>
  <c r="N2438" i="14"/>
  <c r="M2442" i="14"/>
  <c r="J2438" i="13" a="1"/>
  <c r="J2438" i="13" s="1"/>
  <c r="N2439" i="13"/>
  <c r="M2441" i="13"/>
  <c r="M2443" i="14" l="1"/>
  <c r="K2253" i="13"/>
  <c r="L2253" i="13" s="1"/>
  <c r="I2254" i="13" s="1"/>
  <c r="M2442" i="13"/>
  <c r="J2439" i="13" a="1"/>
  <c r="J2439" i="13" s="1"/>
  <c r="N2440" i="13"/>
  <c r="N2439" i="14"/>
  <c r="J2438" i="14" a="1"/>
  <c r="J2438" i="14" s="1"/>
  <c r="K2275" i="14"/>
  <c r="L2275" i="14" s="1"/>
  <c r="I2276" i="14" s="1"/>
  <c r="K2254" i="13" l="1"/>
  <c r="L2254" i="13" s="1"/>
  <c r="I2255" i="13" s="1"/>
  <c r="K2276" i="14"/>
  <c r="L2276" i="14" s="1"/>
  <c r="I2277" i="14" s="1"/>
  <c r="J2440" i="13" a="1"/>
  <c r="J2440" i="13" s="1"/>
  <c r="N2441" i="13"/>
  <c r="N2440" i="14"/>
  <c r="J2439" i="14" a="1"/>
  <c r="J2439" i="14" s="1"/>
  <c r="M2443" i="13"/>
  <c r="M2444" i="14"/>
  <c r="K2255" i="13" l="1"/>
  <c r="L2255" i="13" s="1"/>
  <c r="I2256" i="13" s="1"/>
  <c r="K2277" i="14"/>
  <c r="L2277" i="14" s="1"/>
  <c r="I2278" i="14" s="1"/>
  <c r="M2444" i="13"/>
  <c r="M2445" i="14"/>
  <c r="J2440" i="14" a="1"/>
  <c r="J2440" i="14" s="1"/>
  <c r="N2441" i="14"/>
  <c r="N2442" i="13"/>
  <c r="J2441" i="13" a="1"/>
  <c r="J2441" i="13" s="1"/>
  <c r="K2278" i="14" l="1"/>
  <c r="L2278" i="14" s="1"/>
  <c r="I2279" i="14" s="1"/>
  <c r="K2256" i="13"/>
  <c r="L2256" i="13" s="1"/>
  <c r="I2257" i="13" s="1"/>
  <c r="J2442" i="13" a="1"/>
  <c r="J2442" i="13" s="1"/>
  <c r="N2443" i="13"/>
  <c r="M2446" i="14"/>
  <c r="J2441" i="14" a="1"/>
  <c r="J2441" i="14" s="1"/>
  <c r="N2442" i="14"/>
  <c r="M2445" i="13"/>
  <c r="K2257" i="13" l="1"/>
  <c r="L2257" i="13" s="1"/>
  <c r="I2258" i="13" s="1"/>
  <c r="K2279" i="14"/>
  <c r="L2279" i="14" s="1"/>
  <c r="I2280" i="14" s="1"/>
  <c r="J2443" i="13" a="1"/>
  <c r="J2443" i="13" s="1"/>
  <c r="N2444" i="13"/>
  <c r="M2447" i="14"/>
  <c r="M2446" i="13"/>
  <c r="J2442" i="14" a="1"/>
  <c r="J2442" i="14" s="1"/>
  <c r="N2443" i="14"/>
  <c r="K2258" i="13" l="1"/>
  <c r="L2258" i="13" s="1"/>
  <c r="I2259" i="13" s="1"/>
  <c r="N2444" i="14"/>
  <c r="J2443" i="14" a="1"/>
  <c r="J2443" i="14" s="1"/>
  <c r="K2280" i="14"/>
  <c r="L2280" i="14" s="1"/>
  <c r="I2281" i="14" s="1"/>
  <c r="J2444" i="13" a="1"/>
  <c r="J2444" i="13" s="1"/>
  <c r="N2445" i="13"/>
  <c r="M2448" i="14"/>
  <c r="M2447" i="13"/>
  <c r="K2281" i="14" l="1"/>
  <c r="L2281" i="14" s="1"/>
  <c r="I2282" i="14" s="1"/>
  <c r="K2259" i="13"/>
  <c r="L2259" i="13" s="1"/>
  <c r="I2260" i="13" s="1"/>
  <c r="J2444" i="14" a="1"/>
  <c r="J2444" i="14" s="1"/>
  <c r="N2445" i="14"/>
  <c r="N2446" i="13"/>
  <c r="J2445" i="13" a="1"/>
  <c r="J2445" i="13" s="1"/>
  <c r="M2448" i="13"/>
  <c r="M2449" i="14"/>
  <c r="K2282" i="14" l="1"/>
  <c r="L2282" i="14" s="1"/>
  <c r="I2283" i="14" s="1"/>
  <c r="M2450" i="14"/>
  <c r="K2260" i="13"/>
  <c r="L2260" i="13" s="1"/>
  <c r="I2261" i="13" s="1"/>
  <c r="J2446" i="13" a="1"/>
  <c r="J2446" i="13" s="1"/>
  <c r="N2447" i="13"/>
  <c r="M2449" i="13"/>
  <c r="J2445" i="14" a="1"/>
  <c r="J2445" i="14" s="1"/>
  <c r="N2446" i="14"/>
  <c r="K2261" i="13" l="1"/>
  <c r="L2261" i="13" s="1"/>
  <c r="I2262" i="13" s="1"/>
  <c r="K2283" i="14"/>
  <c r="L2283" i="14" s="1"/>
  <c r="I2284" i="14" s="1"/>
  <c r="N2447" i="14"/>
  <c r="J2446" i="14" a="1"/>
  <c r="J2446" i="14" s="1"/>
  <c r="J2447" i="13" a="1"/>
  <c r="J2447" i="13" s="1"/>
  <c r="N2448" i="13"/>
  <c r="M2451" i="14"/>
  <c r="M2450" i="13"/>
  <c r="K2262" i="13" l="1"/>
  <c r="L2262" i="13" s="1"/>
  <c r="I2263" i="13" s="1"/>
  <c r="J2448" i="13" a="1"/>
  <c r="J2448" i="13" s="1"/>
  <c r="N2449" i="13"/>
  <c r="M2451" i="13"/>
  <c r="K2284" i="14"/>
  <c r="L2284" i="14" s="1"/>
  <c r="I2285" i="14" s="1"/>
  <c r="M2452" i="14"/>
  <c r="N2448" i="14"/>
  <c r="J2447" i="14" a="1"/>
  <c r="J2447" i="14" s="1"/>
  <c r="K2285" i="14" l="1"/>
  <c r="L2285" i="14" s="1"/>
  <c r="I2286" i="14" s="1"/>
  <c r="K2263" i="13"/>
  <c r="L2263" i="13" s="1"/>
  <c r="I2264" i="13" s="1"/>
  <c r="N2450" i="13"/>
  <c r="J2449" i="13" a="1"/>
  <c r="J2449" i="13" s="1"/>
  <c r="J2448" i="14" a="1"/>
  <c r="J2448" i="14" s="1"/>
  <c r="N2449" i="14"/>
  <c r="M2453" i="14"/>
  <c r="M2452" i="13"/>
  <c r="K2286" i="14" l="1"/>
  <c r="L2286" i="14" s="1"/>
  <c r="I2287" i="14" s="1"/>
  <c r="K2264" i="13"/>
  <c r="L2264" i="13" s="1"/>
  <c r="I2265" i="13" s="1"/>
  <c r="J2449" i="14" a="1"/>
  <c r="J2449" i="14" s="1"/>
  <c r="N2450" i="14"/>
  <c r="M2453" i="13"/>
  <c r="M2454" i="14"/>
  <c r="J2450" i="13" a="1"/>
  <c r="J2450" i="13" s="1"/>
  <c r="N2451" i="13"/>
  <c r="K2265" i="13" l="1"/>
  <c r="L2265" i="13" s="1"/>
  <c r="I2266" i="13" s="1"/>
  <c r="K2287" i="14"/>
  <c r="L2287" i="14" s="1"/>
  <c r="I2288" i="14" s="1"/>
  <c r="M2455" i="14"/>
  <c r="J2451" i="13" a="1"/>
  <c r="J2451" i="13" s="1"/>
  <c r="N2452" i="13"/>
  <c r="M2454" i="13"/>
  <c r="J2450" i="14" a="1"/>
  <c r="J2450" i="14" s="1"/>
  <c r="N2451" i="14"/>
  <c r="K2288" i="14" l="1"/>
  <c r="L2288" i="14" s="1"/>
  <c r="I2289" i="14" s="1"/>
  <c r="K2266" i="13"/>
  <c r="L2266" i="13" s="1"/>
  <c r="I2267" i="13" s="1"/>
  <c r="N2452" i="14"/>
  <c r="J2451" i="14" a="1"/>
  <c r="J2451" i="14" s="1"/>
  <c r="J2452" i="13" a="1"/>
  <c r="J2452" i="13" s="1"/>
  <c r="N2453" i="13"/>
  <c r="M2455" i="13"/>
  <c r="M2456" i="14"/>
  <c r="K2289" i="14" l="1"/>
  <c r="L2289" i="14" s="1"/>
  <c r="I2290" i="14" s="1"/>
  <c r="N2454" i="13"/>
  <c r="J2453" i="13" a="1"/>
  <c r="J2453" i="13" s="1"/>
  <c r="M2457" i="14"/>
  <c r="K2267" i="13"/>
  <c r="L2267" i="13" s="1"/>
  <c r="I2268" i="13" s="1"/>
  <c r="M2456" i="13"/>
  <c r="J2452" i="14" a="1"/>
  <c r="J2452" i="14" s="1"/>
  <c r="N2453" i="14"/>
  <c r="K2268" i="13" l="1"/>
  <c r="L2268" i="13" s="1"/>
  <c r="I2269" i="13" s="1"/>
  <c r="K2290" i="14"/>
  <c r="L2290" i="14" s="1"/>
  <c r="I2291" i="14" s="1"/>
  <c r="J2454" i="13" a="1"/>
  <c r="J2454" i="13" s="1"/>
  <c r="N2455" i="13"/>
  <c r="J2453" i="14" a="1"/>
  <c r="J2453" i="14" s="1"/>
  <c r="N2454" i="14"/>
  <c r="M2457" i="13"/>
  <c r="M2458" i="14"/>
  <c r="K2269" i="13" l="1"/>
  <c r="L2269" i="13" s="1"/>
  <c r="I2270" i="13" s="1"/>
  <c r="M2459" i="14"/>
  <c r="N2455" i="14"/>
  <c r="J2454" i="14" a="1"/>
  <c r="J2454" i="14" s="1"/>
  <c r="K2291" i="14"/>
  <c r="L2291" i="14" s="1"/>
  <c r="I2292" i="14" s="1"/>
  <c r="J2455" i="13" a="1"/>
  <c r="J2455" i="13" s="1"/>
  <c r="N2456" i="13"/>
  <c r="M2458" i="13"/>
  <c r="K2292" i="14" l="1"/>
  <c r="L2292" i="14" s="1"/>
  <c r="I2293" i="14" s="1"/>
  <c r="K2270" i="13"/>
  <c r="L2270" i="13" s="1"/>
  <c r="I2271" i="13" s="1"/>
  <c r="M2459" i="13"/>
  <c r="M2460" i="14"/>
  <c r="J2456" i="13" a="1"/>
  <c r="J2456" i="13" s="1"/>
  <c r="N2457" i="13"/>
  <c r="N2456" i="14"/>
  <c r="J2455" i="14" a="1"/>
  <c r="J2455" i="14" s="1"/>
  <c r="K2293" i="14" l="1"/>
  <c r="L2293" i="14" s="1"/>
  <c r="I2294" i="14" s="1"/>
  <c r="J2456" i="14" a="1"/>
  <c r="J2456" i="14" s="1"/>
  <c r="N2457" i="14"/>
  <c r="M2461" i="14"/>
  <c r="K2271" i="13"/>
  <c r="L2271" i="13" s="1"/>
  <c r="I2272" i="13" s="1"/>
  <c r="N2458" i="13"/>
  <c r="J2457" i="13" a="1"/>
  <c r="J2457" i="13" s="1"/>
  <c r="M2460" i="13"/>
  <c r="K2272" i="13" l="1"/>
  <c r="L2272" i="13" s="1"/>
  <c r="I2273" i="13" s="1"/>
  <c r="K2294" i="14"/>
  <c r="L2294" i="14" s="1"/>
  <c r="I2295" i="14" s="1"/>
  <c r="M2461" i="13"/>
  <c r="J2457" i="14" a="1"/>
  <c r="J2457" i="14" s="1"/>
  <c r="N2458" i="14"/>
  <c r="J2458" i="13" a="1"/>
  <c r="J2458" i="13" s="1"/>
  <c r="N2459" i="13"/>
  <c r="M2462" i="14"/>
  <c r="K2273" i="13" l="1"/>
  <c r="L2273" i="13" s="1"/>
  <c r="I2274" i="13" s="1"/>
  <c r="J2458" i="14" a="1"/>
  <c r="J2458" i="14" s="1"/>
  <c r="N2459" i="14"/>
  <c r="M2463" i="14"/>
  <c r="K2295" i="14"/>
  <c r="L2295" i="14" s="1"/>
  <c r="I2296" i="14" s="1"/>
  <c r="J2459" i="13" a="1"/>
  <c r="J2459" i="13" s="1"/>
  <c r="N2460" i="13"/>
  <c r="M2462" i="13"/>
  <c r="K2296" i="14" l="1"/>
  <c r="L2296" i="14" s="1"/>
  <c r="I2297" i="14" s="1"/>
  <c r="K2274" i="13"/>
  <c r="L2274" i="13" s="1"/>
  <c r="I2275" i="13" s="1"/>
  <c r="N2460" i="14"/>
  <c r="J2459" i="14" a="1"/>
  <c r="J2459" i="14" s="1"/>
  <c r="M2463" i="13"/>
  <c r="J2460" i="13" a="1"/>
  <c r="J2460" i="13" s="1"/>
  <c r="N2461" i="13"/>
  <c r="M2464" i="14"/>
  <c r="K2297" i="14" l="1"/>
  <c r="L2297" i="14" s="1"/>
  <c r="I2298" i="14" s="1"/>
  <c r="M2464" i="13"/>
  <c r="M2465" i="14"/>
  <c r="K2275" i="13"/>
  <c r="L2275" i="13" s="1"/>
  <c r="I2276" i="13" s="1"/>
  <c r="N2462" i="13"/>
  <c r="J2461" i="13" a="1"/>
  <c r="J2461" i="13" s="1"/>
  <c r="J2460" i="14" a="1"/>
  <c r="J2460" i="14" s="1"/>
  <c r="N2461" i="14"/>
  <c r="K2276" i="13" l="1"/>
  <c r="L2276" i="13" s="1"/>
  <c r="I2277" i="13" s="1"/>
  <c r="K2298" i="14"/>
  <c r="L2298" i="14" s="1"/>
  <c r="I2299" i="14" s="1"/>
  <c r="J2461" i="14" a="1"/>
  <c r="J2461" i="14" s="1"/>
  <c r="N2462" i="14"/>
  <c r="M2465" i="13"/>
  <c r="J2462" i="13" a="1"/>
  <c r="J2462" i="13" s="1"/>
  <c r="N2463" i="13"/>
  <c r="M2466" i="14"/>
  <c r="K2299" i="14" l="1"/>
  <c r="L2299" i="14" s="1"/>
  <c r="I2300" i="14" s="1"/>
  <c r="K2277" i="13"/>
  <c r="L2277" i="13" s="1"/>
  <c r="I2278" i="13" s="1"/>
  <c r="N2463" i="14"/>
  <c r="J2462" i="14" a="1"/>
  <c r="J2462" i="14" s="1"/>
  <c r="M2467" i="14"/>
  <c r="M2466" i="13"/>
  <c r="J2463" i="13" a="1"/>
  <c r="J2463" i="13" s="1"/>
  <c r="N2464" i="13"/>
  <c r="K2278" i="13" l="1"/>
  <c r="L2278" i="13" s="1"/>
  <c r="I2279" i="13" s="1"/>
  <c r="K2300" i="14"/>
  <c r="L2300" i="14" s="1"/>
  <c r="I2301" i="14" s="1"/>
  <c r="M2467" i="13"/>
  <c r="J2464" i="13" a="1"/>
  <c r="J2464" i="13" s="1"/>
  <c r="N2465" i="13"/>
  <c r="M2468" i="14"/>
  <c r="N2464" i="14"/>
  <c r="J2463" i="14" a="1"/>
  <c r="J2463" i="14" s="1"/>
  <c r="K2301" i="14" l="1"/>
  <c r="L2301" i="14" s="1"/>
  <c r="I2302" i="14" s="1"/>
  <c r="K2279" i="13"/>
  <c r="L2279" i="13" s="1"/>
  <c r="I2280" i="13" s="1"/>
  <c r="N2466" i="13"/>
  <c r="J2465" i="13" a="1"/>
  <c r="J2465" i="13" s="1"/>
  <c r="J2464" i="14" a="1"/>
  <c r="J2464" i="14" s="1"/>
  <c r="N2465" i="14"/>
  <c r="M2469" i="14"/>
  <c r="M2468" i="13"/>
  <c r="K2302" i="14" l="1"/>
  <c r="L2302" i="14" s="1"/>
  <c r="I2303" i="14" s="1"/>
  <c r="K2280" i="13"/>
  <c r="L2280" i="13" s="1"/>
  <c r="I2281" i="13" s="1"/>
  <c r="M2469" i="13"/>
  <c r="J2465" i="14" a="1"/>
  <c r="J2465" i="14" s="1"/>
  <c r="N2466" i="14"/>
  <c r="M2470" i="14"/>
  <c r="J2466" i="13" a="1"/>
  <c r="J2466" i="13" s="1"/>
  <c r="N2467" i="13"/>
  <c r="K2303" i="14" l="1"/>
  <c r="L2303" i="14" s="1"/>
  <c r="I2304" i="14" s="1"/>
  <c r="J2466" i="14" a="1"/>
  <c r="J2466" i="14" s="1"/>
  <c r="N2467" i="14"/>
  <c r="J2467" i="13" a="1"/>
  <c r="J2467" i="13" s="1"/>
  <c r="N2468" i="13"/>
  <c r="K2281" i="13"/>
  <c r="L2281" i="13" s="1"/>
  <c r="I2282" i="13" s="1"/>
  <c r="M2471" i="14"/>
  <c r="M2470" i="13"/>
  <c r="K2304" i="14" l="1"/>
  <c r="L2304" i="14" s="1"/>
  <c r="I2305" i="14" s="1"/>
  <c r="M2472" i="14"/>
  <c r="N2468" i="14"/>
  <c r="J2467" i="14" a="1"/>
  <c r="J2467" i="14" s="1"/>
  <c r="M2471" i="13"/>
  <c r="K2282" i="13"/>
  <c r="L2282" i="13" s="1"/>
  <c r="I2283" i="13" s="1"/>
  <c r="J2468" i="13" a="1"/>
  <c r="J2468" i="13" s="1"/>
  <c r="N2469" i="13"/>
  <c r="K2283" i="13" l="1"/>
  <c r="L2283" i="13" s="1"/>
  <c r="I2284" i="13" s="1"/>
  <c r="K2305" i="14"/>
  <c r="L2305" i="14" s="1"/>
  <c r="I2306" i="14" s="1"/>
  <c r="N2470" i="13"/>
  <c r="J2469" i="13" a="1"/>
  <c r="J2469" i="13" s="1"/>
  <c r="M2472" i="13"/>
  <c r="M2473" i="14"/>
  <c r="J2468" i="14" a="1"/>
  <c r="J2468" i="14" s="1"/>
  <c r="N2469" i="14"/>
  <c r="K2284" i="13" l="1"/>
  <c r="L2284" i="13" s="1"/>
  <c r="I2285" i="13" s="1"/>
  <c r="J2469" i="14" a="1"/>
  <c r="J2469" i="14" s="1"/>
  <c r="N2470" i="14"/>
  <c r="M2473" i="13"/>
  <c r="K2306" i="14"/>
  <c r="L2306" i="14" s="1"/>
  <c r="I2307" i="14" s="1"/>
  <c r="M2474" i="14"/>
  <c r="J2470" i="13" a="1"/>
  <c r="J2470" i="13" s="1"/>
  <c r="N2471" i="13"/>
  <c r="K2307" i="14" l="1"/>
  <c r="L2307" i="14" s="1"/>
  <c r="I2308" i="14" s="1"/>
  <c r="K2285" i="13"/>
  <c r="L2285" i="13" s="1"/>
  <c r="I2286" i="13" s="1"/>
  <c r="N2471" i="14"/>
  <c r="J2470" i="14" a="1"/>
  <c r="J2470" i="14" s="1"/>
  <c r="J2471" i="13" a="1"/>
  <c r="J2471" i="13" s="1"/>
  <c r="N2472" i="13"/>
  <c r="M2475" i="14"/>
  <c r="M2474" i="13"/>
  <c r="K2308" i="14" l="1"/>
  <c r="L2308" i="14" s="1"/>
  <c r="I2309" i="14" s="1"/>
  <c r="M2476" i="14"/>
  <c r="J2472" i="13" a="1"/>
  <c r="J2472" i="13" s="1"/>
  <c r="N2473" i="13"/>
  <c r="K2286" i="13"/>
  <c r="L2286" i="13" s="1"/>
  <c r="I2287" i="13" s="1"/>
  <c r="M2475" i="13"/>
  <c r="N2472" i="14"/>
  <c r="J2471" i="14" a="1"/>
  <c r="J2471" i="14" s="1"/>
  <c r="K2309" i="14" l="1"/>
  <c r="L2309" i="14" s="1"/>
  <c r="I2310" i="14" s="1"/>
  <c r="K2287" i="13"/>
  <c r="L2287" i="13" s="1"/>
  <c r="I2288" i="13" s="1"/>
  <c r="M2476" i="13"/>
  <c r="M2477" i="14"/>
  <c r="J2472" i="14" a="1"/>
  <c r="J2472" i="14" s="1"/>
  <c r="N2473" i="14"/>
  <c r="N2474" i="13"/>
  <c r="J2473" i="13" a="1"/>
  <c r="J2473" i="13" s="1"/>
  <c r="K2310" i="14" l="1"/>
  <c r="L2310" i="14" s="1"/>
  <c r="I2311" i="14" s="1"/>
  <c r="K2288" i="13"/>
  <c r="L2288" i="13" s="1"/>
  <c r="I2289" i="13" s="1"/>
  <c r="J2474" i="13" a="1"/>
  <c r="J2474" i="13" s="1"/>
  <c r="N2475" i="13"/>
  <c r="M2478" i="14"/>
  <c r="J2473" i="14" a="1"/>
  <c r="J2473" i="14" s="1"/>
  <c r="N2474" i="14"/>
  <c r="M2477" i="13"/>
  <c r="K2289" i="13" l="1"/>
  <c r="L2289" i="13" s="1"/>
  <c r="I2290" i="13" s="1"/>
  <c r="K2311" i="14"/>
  <c r="L2311" i="14" s="1"/>
  <c r="I2312" i="14" s="1"/>
  <c r="J2475" i="13" a="1"/>
  <c r="J2475" i="13" s="1"/>
  <c r="N2476" i="13"/>
  <c r="M2479" i="14"/>
  <c r="M2478" i="13"/>
  <c r="J2474" i="14" a="1"/>
  <c r="J2474" i="14" s="1"/>
  <c r="N2475" i="14"/>
  <c r="K2312" i="14" l="1"/>
  <c r="L2312" i="14" s="1"/>
  <c r="I2313" i="14" s="1"/>
  <c r="K2290" i="13"/>
  <c r="L2290" i="13" s="1"/>
  <c r="I2291" i="13" s="1"/>
  <c r="N2476" i="14"/>
  <c r="J2475" i="14" a="1"/>
  <c r="J2475" i="14" s="1"/>
  <c r="M2480" i="14"/>
  <c r="J2476" i="13" a="1"/>
  <c r="J2476" i="13" s="1"/>
  <c r="N2477" i="13"/>
  <c r="M2479" i="13"/>
  <c r="K2313" i="14" l="1"/>
  <c r="L2313" i="14" s="1"/>
  <c r="I2314" i="14" s="1"/>
  <c r="M2480" i="13"/>
  <c r="K2291" i="13"/>
  <c r="L2291" i="13" s="1"/>
  <c r="I2292" i="13" s="1"/>
  <c r="N2478" i="13"/>
  <c r="J2477" i="13" a="1"/>
  <c r="J2477" i="13" s="1"/>
  <c r="M2481" i="14"/>
  <c r="J2476" i="14" a="1"/>
  <c r="J2476" i="14" s="1"/>
  <c r="N2477" i="14"/>
  <c r="K2292" i="13" l="1"/>
  <c r="L2292" i="13" s="1"/>
  <c r="I2293" i="13" s="1"/>
  <c r="K2314" i="14"/>
  <c r="L2314" i="14" s="1"/>
  <c r="I2315" i="14" s="1"/>
  <c r="J2477" i="14" a="1"/>
  <c r="J2477" i="14" s="1"/>
  <c r="N2478" i="14"/>
  <c r="M2481" i="13"/>
  <c r="J2478" i="13" a="1"/>
  <c r="J2478" i="13" s="1"/>
  <c r="N2479" i="13"/>
  <c r="M2482" i="14"/>
  <c r="K2293" i="13" l="1"/>
  <c r="L2293" i="13" s="1"/>
  <c r="I2294" i="13" s="1"/>
  <c r="M2483" i="14"/>
  <c r="M2482" i="13"/>
  <c r="K2315" i="14"/>
  <c r="L2315" i="14" s="1"/>
  <c r="I2316" i="14" s="1"/>
  <c r="J2479" i="13" a="1"/>
  <c r="J2479" i="13" s="1"/>
  <c r="N2480" i="13"/>
  <c r="N2479" i="14"/>
  <c r="J2478" i="14" a="1"/>
  <c r="J2478" i="14" s="1"/>
  <c r="K2294" i="13" l="1"/>
  <c r="L2294" i="13" s="1"/>
  <c r="I2295" i="13" s="1"/>
  <c r="N2480" i="14"/>
  <c r="J2479" i="14" a="1"/>
  <c r="J2479" i="14" s="1"/>
  <c r="K2316" i="14"/>
  <c r="L2316" i="14" s="1"/>
  <c r="I2317" i="14" s="1"/>
  <c r="M2484" i="14"/>
  <c r="J2480" i="13" a="1"/>
  <c r="J2480" i="13" s="1"/>
  <c r="N2481" i="13"/>
  <c r="M2483" i="13"/>
  <c r="K2317" i="14" l="1"/>
  <c r="L2317" i="14" s="1"/>
  <c r="I2318" i="14" s="1"/>
  <c r="K2295" i="13"/>
  <c r="L2295" i="13" s="1"/>
  <c r="I2296" i="13" s="1"/>
  <c r="M2484" i="13"/>
  <c r="M2485" i="14"/>
  <c r="J2480" i="14" a="1"/>
  <c r="J2480" i="14" s="1"/>
  <c r="N2481" i="14"/>
  <c r="N2482" i="13"/>
  <c r="J2481" i="13" a="1"/>
  <c r="J2481" i="13" s="1"/>
  <c r="K2296" i="13" l="1"/>
  <c r="L2296" i="13" s="1"/>
  <c r="I2297" i="13" s="1"/>
  <c r="J2482" i="13" a="1"/>
  <c r="J2482" i="13" s="1"/>
  <c r="N2483" i="13"/>
  <c r="M2486" i="14"/>
  <c r="J2481" i="14" a="1"/>
  <c r="J2481" i="14" s="1"/>
  <c r="N2482" i="14"/>
  <c r="M2485" i="13"/>
  <c r="K2318" i="14"/>
  <c r="L2318" i="14" s="1"/>
  <c r="I2319" i="14" s="1"/>
  <c r="K2319" i="14" l="1"/>
  <c r="L2319" i="14" s="1"/>
  <c r="I2320" i="14" s="1"/>
  <c r="K2297" i="13"/>
  <c r="L2297" i="13" s="1"/>
  <c r="I2298" i="13" s="1"/>
  <c r="J2483" i="13" a="1"/>
  <c r="J2483" i="13" s="1"/>
  <c r="N2484" i="13"/>
  <c r="J2482" i="14" a="1"/>
  <c r="J2482" i="14" s="1"/>
  <c r="N2483" i="14"/>
  <c r="M2487" i="14"/>
  <c r="M2486" i="13"/>
  <c r="K2298" i="13" l="1"/>
  <c r="L2298" i="13" s="1"/>
  <c r="I2299" i="13" s="1"/>
  <c r="K2320" i="14"/>
  <c r="L2320" i="14" s="1"/>
  <c r="I2321" i="14" s="1"/>
  <c r="N2484" i="14"/>
  <c r="J2483" i="14" a="1"/>
  <c r="J2483" i="14" s="1"/>
  <c r="J2484" i="13" a="1"/>
  <c r="J2484" i="13" s="1"/>
  <c r="N2485" i="13"/>
  <c r="M2487" i="13"/>
  <c r="M2488" i="14"/>
  <c r="K2321" i="14" l="1"/>
  <c r="L2321" i="14" s="1"/>
  <c r="I2322" i="14" s="1"/>
  <c r="K2299" i="13"/>
  <c r="L2299" i="13" s="1"/>
  <c r="I2300" i="13" s="1"/>
  <c r="N2486" i="13"/>
  <c r="J2485" i="13" a="1"/>
  <c r="J2485" i="13" s="1"/>
  <c r="M2489" i="14"/>
  <c r="M2488" i="13"/>
  <c r="J2484" i="14" a="1"/>
  <c r="J2484" i="14" s="1"/>
  <c r="N2485" i="14"/>
  <c r="K2300" i="13" l="1"/>
  <c r="L2300" i="13" s="1"/>
  <c r="I2301" i="13" s="1"/>
  <c r="K2322" i="14"/>
  <c r="L2322" i="14" s="1"/>
  <c r="I2323" i="14" s="1"/>
  <c r="J2485" i="14" a="1"/>
  <c r="J2485" i="14" s="1"/>
  <c r="N2486" i="14"/>
  <c r="M2490" i="14"/>
  <c r="M2489" i="13"/>
  <c r="J2486" i="13" a="1"/>
  <c r="J2486" i="13" s="1"/>
  <c r="N2487" i="13"/>
  <c r="K2323" i="14" l="1"/>
  <c r="L2323" i="14" s="1"/>
  <c r="I2324" i="14" s="1"/>
  <c r="K2301" i="13"/>
  <c r="L2301" i="13" s="1"/>
  <c r="I2302" i="13" s="1"/>
  <c r="J2487" i="13" a="1"/>
  <c r="J2487" i="13" s="1"/>
  <c r="N2488" i="13"/>
  <c r="M2491" i="14"/>
  <c r="N2487" i="14"/>
  <c r="J2486" i="14" a="1"/>
  <c r="J2486" i="14" s="1"/>
  <c r="M2490" i="13"/>
  <c r="K2302" i="13" l="1"/>
  <c r="L2302" i="13" s="1"/>
  <c r="I2303" i="13" s="1"/>
  <c r="K2324" i="14"/>
  <c r="L2324" i="14" s="1"/>
  <c r="I2325" i="14" s="1"/>
  <c r="N2488" i="14"/>
  <c r="J2487" i="14" a="1"/>
  <c r="J2487" i="14" s="1"/>
  <c r="J2488" i="13" a="1"/>
  <c r="J2488" i="13" s="1"/>
  <c r="N2489" i="13"/>
  <c r="M2491" i="13"/>
  <c r="M2492" i="14"/>
  <c r="K2303" i="13" l="1"/>
  <c r="L2303" i="13" s="1"/>
  <c r="I2304" i="13" s="1"/>
  <c r="N2490" i="13"/>
  <c r="J2489" i="13" a="1"/>
  <c r="J2489" i="13" s="1"/>
  <c r="K2325" i="14"/>
  <c r="L2325" i="14" s="1"/>
  <c r="I2326" i="14" s="1"/>
  <c r="M2493" i="14"/>
  <c r="M2492" i="13"/>
  <c r="J2488" i="14" a="1"/>
  <c r="J2488" i="14" s="1"/>
  <c r="N2489" i="14"/>
  <c r="K2326" i="14" l="1"/>
  <c r="L2326" i="14" s="1"/>
  <c r="I2327" i="14" s="1"/>
  <c r="K2304" i="13"/>
  <c r="L2304" i="13" s="1"/>
  <c r="I2305" i="13" s="1"/>
  <c r="J2489" i="14" a="1"/>
  <c r="J2489" i="14" s="1"/>
  <c r="N2490" i="14"/>
  <c r="J2490" i="13" a="1"/>
  <c r="J2490" i="13" s="1"/>
  <c r="N2491" i="13"/>
  <c r="M2494" i="14"/>
  <c r="M2493" i="13"/>
  <c r="K2327" i="14" l="1"/>
  <c r="L2327" i="14" s="1"/>
  <c r="I2328" i="14" s="1"/>
  <c r="J2491" i="13" a="1"/>
  <c r="J2491" i="13" s="1"/>
  <c r="N2492" i="13"/>
  <c r="K2305" i="13"/>
  <c r="L2305" i="13" s="1"/>
  <c r="I2306" i="13" s="1"/>
  <c r="J2490" i="14" a="1"/>
  <c r="J2490" i="14" s="1"/>
  <c r="N2491" i="14"/>
  <c r="M2494" i="13"/>
  <c r="M2495" i="14"/>
  <c r="K2306" i="13" l="1"/>
  <c r="L2306" i="13" s="1"/>
  <c r="I2307" i="13" s="1"/>
  <c r="K2328" i="14"/>
  <c r="L2328" i="14" s="1"/>
  <c r="I2329" i="14" s="1"/>
  <c r="N2492" i="14"/>
  <c r="J2491" i="14" a="1"/>
  <c r="J2491" i="14" s="1"/>
  <c r="J2492" i="13" a="1"/>
  <c r="J2492" i="13" s="1"/>
  <c r="N2493" i="13"/>
  <c r="M2496" i="14"/>
  <c r="M2495" i="13"/>
  <c r="K2307" i="13" l="1"/>
  <c r="L2307" i="13" s="1"/>
  <c r="I2308" i="13" s="1"/>
  <c r="N2494" i="13"/>
  <c r="J2493" i="13" a="1"/>
  <c r="J2493" i="13" s="1"/>
  <c r="K2329" i="14"/>
  <c r="L2329" i="14" s="1"/>
  <c r="I2330" i="14" s="1"/>
  <c r="M2496" i="13"/>
  <c r="M2497" i="14"/>
  <c r="J2492" i="14" a="1"/>
  <c r="J2492" i="14" s="1"/>
  <c r="N2493" i="14"/>
  <c r="K2330" i="14" l="1"/>
  <c r="L2330" i="14" s="1"/>
  <c r="I2331" i="14" s="1"/>
  <c r="K2308" i="13"/>
  <c r="L2308" i="13" s="1"/>
  <c r="I2309" i="13" s="1"/>
  <c r="M2497" i="13"/>
  <c r="J2494" i="13" a="1"/>
  <c r="J2494" i="13" s="1"/>
  <c r="N2495" i="13"/>
  <c r="J2493" i="14" a="1"/>
  <c r="J2493" i="14" s="1"/>
  <c r="N2494" i="14"/>
  <c r="M2498" i="14"/>
  <c r="K2309" i="13" l="1"/>
  <c r="L2309" i="13" s="1"/>
  <c r="I2310" i="13" s="1"/>
  <c r="K2331" i="14"/>
  <c r="L2331" i="14" s="1"/>
  <c r="I2332" i="14" s="1"/>
  <c r="N2495" i="14"/>
  <c r="J2494" i="14" a="1"/>
  <c r="J2494" i="14" s="1"/>
  <c r="M2499" i="14"/>
  <c r="J2495" i="13" a="1"/>
  <c r="J2495" i="13" s="1"/>
  <c r="N2496" i="13"/>
  <c r="M2498" i="13"/>
  <c r="K2332" i="14" l="1"/>
  <c r="L2332" i="14" s="1"/>
  <c r="I2333" i="14" s="1"/>
  <c r="K2310" i="13"/>
  <c r="L2310" i="13" s="1"/>
  <c r="I2311" i="13" s="1"/>
  <c r="M2499" i="13"/>
  <c r="M2500" i="14"/>
  <c r="J2496" i="13" a="1"/>
  <c r="J2496" i="13" s="1"/>
  <c r="N2497" i="13"/>
  <c r="N2496" i="14"/>
  <c r="J2495" i="14" a="1"/>
  <c r="J2495" i="14" s="1"/>
  <c r="K2311" i="13" l="1"/>
  <c r="L2311" i="13" s="1"/>
  <c r="I2312" i="13" s="1"/>
  <c r="K2333" i="14"/>
  <c r="L2333" i="14" s="1"/>
  <c r="I2334" i="14" s="1"/>
  <c r="N2498" i="13"/>
  <c r="J2497" i="13" a="1"/>
  <c r="J2497" i="13" s="1"/>
  <c r="J2496" i="14" a="1"/>
  <c r="J2496" i="14" s="1"/>
  <c r="N2497" i="14"/>
  <c r="M2501" i="14"/>
  <c r="M2500" i="13"/>
  <c r="K2334" i="14" l="1"/>
  <c r="L2334" i="14" s="1"/>
  <c r="I2335" i="14" s="1"/>
  <c r="K2312" i="13"/>
  <c r="L2312" i="13" s="1"/>
  <c r="I2313" i="13" s="1"/>
  <c r="M2501" i="13"/>
  <c r="J2497" i="14" a="1"/>
  <c r="J2497" i="14" s="1"/>
  <c r="N2498" i="14"/>
  <c r="M2502" i="14"/>
  <c r="J2498" i="13" a="1"/>
  <c r="J2498" i="13" s="1"/>
  <c r="N2499" i="13"/>
  <c r="K2313" i="13" l="1"/>
  <c r="L2313" i="13" s="1"/>
  <c r="I2314" i="13" s="1"/>
  <c r="K2335" i="14"/>
  <c r="L2335" i="14" s="1"/>
  <c r="I2336" i="14" s="1"/>
  <c r="J2499" i="13" a="1"/>
  <c r="J2499" i="13" s="1"/>
  <c r="N2500" i="13"/>
  <c r="J2498" i="14" a="1"/>
  <c r="J2498" i="14" s="1"/>
  <c r="N2499" i="14"/>
  <c r="M2503" i="14"/>
  <c r="M2502" i="13"/>
  <c r="K2314" i="13" l="1"/>
  <c r="L2314" i="13" s="1"/>
  <c r="I2315" i="13" s="1"/>
  <c r="M2503" i="13"/>
  <c r="N2500" i="14"/>
  <c r="J2499" i="14" a="1"/>
  <c r="J2499" i="14" s="1"/>
  <c r="K2336" i="14"/>
  <c r="L2336" i="14" s="1"/>
  <c r="I2337" i="14" s="1"/>
  <c r="J2500" i="13" a="1"/>
  <c r="J2500" i="13" s="1"/>
  <c r="N2501" i="13"/>
  <c r="M2504" i="14"/>
  <c r="K2315" i="13" l="1"/>
  <c r="L2315" i="13" s="1"/>
  <c r="I2316" i="13" s="1"/>
  <c r="M2505" i="14"/>
  <c r="K2337" i="14"/>
  <c r="L2337" i="14" s="1"/>
  <c r="I2338" i="14" s="1"/>
  <c r="M2504" i="13"/>
  <c r="N2502" i="13"/>
  <c r="J2501" i="13" a="1"/>
  <c r="J2501" i="13" s="1"/>
  <c r="J2500" i="14" a="1"/>
  <c r="J2500" i="14" s="1"/>
  <c r="N2501" i="14"/>
  <c r="K2338" i="14" l="1"/>
  <c r="L2338" i="14" s="1"/>
  <c r="I2339" i="14" s="1"/>
  <c r="K2316" i="13"/>
  <c r="L2316" i="13" s="1"/>
  <c r="I2317" i="13" s="1"/>
  <c r="J2501" i="14" a="1"/>
  <c r="J2501" i="14" s="1"/>
  <c r="N2502" i="14"/>
  <c r="M2505" i="13"/>
  <c r="M2506" i="14"/>
  <c r="J2502" i="13" a="1"/>
  <c r="J2502" i="13" s="1"/>
  <c r="N2503" i="13"/>
  <c r="K2339" i="14" l="1"/>
  <c r="L2339" i="14" s="1"/>
  <c r="I2340" i="14" s="1"/>
  <c r="J2503" i="13" a="1"/>
  <c r="J2503" i="13" s="1"/>
  <c r="N2504" i="13"/>
  <c r="M2506" i="13"/>
  <c r="K2317" i="13"/>
  <c r="L2317" i="13" s="1"/>
  <c r="I2318" i="13" s="1"/>
  <c r="M2507" i="14"/>
  <c r="N2503" i="14"/>
  <c r="J2502" i="14" a="1"/>
  <c r="J2502" i="14" s="1"/>
  <c r="K2318" i="13" l="1"/>
  <c r="L2318" i="13" s="1"/>
  <c r="I2319" i="13" s="1"/>
  <c r="K2340" i="14"/>
  <c r="L2340" i="14" s="1"/>
  <c r="I2341" i="14" s="1"/>
  <c r="J2504" i="13" a="1"/>
  <c r="J2504" i="13" s="1"/>
  <c r="N2505" i="13"/>
  <c r="N2504" i="14"/>
  <c r="J2503" i="14" a="1"/>
  <c r="J2503" i="14" s="1"/>
  <c r="M2508" i="14"/>
  <c r="M2507" i="13"/>
  <c r="K2319" i="13" l="1"/>
  <c r="L2319" i="13" s="1"/>
  <c r="I2320" i="13" s="1"/>
  <c r="J2504" i="14" a="1"/>
  <c r="J2504" i="14" s="1"/>
  <c r="N2505" i="14"/>
  <c r="K2341" i="14"/>
  <c r="L2341" i="14" s="1"/>
  <c r="I2342" i="14" s="1"/>
  <c r="N2506" i="13"/>
  <c r="J2505" i="13" a="1"/>
  <c r="J2505" i="13" s="1"/>
  <c r="M2508" i="13"/>
  <c r="M2509" i="14"/>
  <c r="K2342" i="14" l="1"/>
  <c r="L2342" i="14" s="1"/>
  <c r="I2343" i="14" s="1"/>
  <c r="K2320" i="13"/>
  <c r="L2320" i="13" s="1"/>
  <c r="I2321" i="13" s="1"/>
  <c r="J2505" i="14" a="1"/>
  <c r="J2505" i="14" s="1"/>
  <c r="N2506" i="14"/>
  <c r="M2510" i="14"/>
  <c r="M2509" i="13"/>
  <c r="J2506" i="13" a="1"/>
  <c r="J2506" i="13" s="1"/>
  <c r="N2507" i="13"/>
  <c r="K2343" i="14" l="1"/>
  <c r="L2343" i="14" s="1"/>
  <c r="I2344" i="14" s="1"/>
  <c r="J2507" i="13" a="1"/>
  <c r="J2507" i="13" s="1"/>
  <c r="N2508" i="13"/>
  <c r="M2511" i="14"/>
  <c r="M2510" i="13"/>
  <c r="K2321" i="13"/>
  <c r="L2321" i="13" s="1"/>
  <c r="I2322" i="13" s="1"/>
  <c r="J2506" i="14" a="1"/>
  <c r="J2506" i="14" s="1"/>
  <c r="N2507" i="14"/>
  <c r="K2322" i="13" l="1"/>
  <c r="L2322" i="13" s="1"/>
  <c r="I2323" i="13" s="1"/>
  <c r="K2344" i="14"/>
  <c r="L2344" i="14" s="1"/>
  <c r="I2345" i="14" s="1"/>
  <c r="M2511" i="13"/>
  <c r="N2508" i="14"/>
  <c r="J2507" i="14" a="1"/>
  <c r="J2507" i="14" s="1"/>
  <c r="J2508" i="13" a="1"/>
  <c r="J2508" i="13" s="1"/>
  <c r="N2509" i="13"/>
  <c r="M2512" i="14"/>
  <c r="K2345" i="14" l="1"/>
  <c r="L2345" i="14" s="1"/>
  <c r="I2346" i="14" s="1"/>
  <c r="K2323" i="13"/>
  <c r="L2323" i="13" s="1"/>
  <c r="I2324" i="13" s="1"/>
  <c r="M2513" i="14"/>
  <c r="J2508" i="14" a="1"/>
  <c r="J2508" i="14" s="1"/>
  <c r="N2509" i="14"/>
  <c r="N2510" i="13"/>
  <c r="J2509" i="13" a="1"/>
  <c r="J2509" i="13" s="1"/>
  <c r="M2512" i="13"/>
  <c r="K2324" i="13" l="1"/>
  <c r="L2324" i="13" s="1"/>
  <c r="I2325" i="13" s="1"/>
  <c r="K2346" i="14"/>
  <c r="L2346" i="14" s="1"/>
  <c r="I2347" i="14" s="1"/>
  <c r="J2509" i="14" a="1"/>
  <c r="J2509" i="14" s="1"/>
  <c r="N2510" i="14"/>
  <c r="M2513" i="13"/>
  <c r="J2510" i="13" a="1"/>
  <c r="J2510" i="13" s="1"/>
  <c r="N2511" i="13"/>
  <c r="M2514" i="14"/>
  <c r="K2325" i="13" l="1"/>
  <c r="L2325" i="13" s="1"/>
  <c r="I2326" i="13" s="1"/>
  <c r="M2515" i="14"/>
  <c r="M2514" i="13"/>
  <c r="K2347" i="14"/>
  <c r="L2347" i="14" s="1"/>
  <c r="I2348" i="14" s="1"/>
  <c r="N2511" i="14"/>
  <c r="J2510" i="14" a="1"/>
  <c r="J2510" i="14" s="1"/>
  <c r="J2511" i="13" a="1"/>
  <c r="J2511" i="13" s="1"/>
  <c r="N2512" i="13"/>
  <c r="K2326" i="13" l="1"/>
  <c r="L2326" i="13" s="1"/>
  <c r="I2327" i="13" s="1"/>
  <c r="K2348" i="14"/>
  <c r="L2348" i="14" s="1"/>
  <c r="I2349" i="14" s="1"/>
  <c r="J2512" i="13" a="1"/>
  <c r="J2512" i="13" s="1"/>
  <c r="N2513" i="13"/>
  <c r="M2516" i="14"/>
  <c r="N2512" i="14"/>
  <c r="J2511" i="14" a="1"/>
  <c r="J2511" i="14" s="1"/>
  <c r="M2515" i="13"/>
  <c r="K2327" i="13" l="1"/>
  <c r="L2327" i="13" s="1"/>
  <c r="I2328" i="13" s="1"/>
  <c r="M2516" i="13"/>
  <c r="M2517" i="14"/>
  <c r="N2514" i="13"/>
  <c r="J2513" i="13" a="1"/>
  <c r="J2513" i="13" s="1"/>
  <c r="K2349" i="14"/>
  <c r="L2349" i="14" s="1"/>
  <c r="I2350" i="14" s="1"/>
  <c r="J2512" i="14" a="1"/>
  <c r="J2512" i="14" s="1"/>
  <c r="N2513" i="14"/>
  <c r="K2328" i="13" l="1"/>
  <c r="L2328" i="13" s="1"/>
  <c r="I2329" i="13" s="1"/>
  <c r="K2350" i="14"/>
  <c r="L2350" i="14" s="1"/>
  <c r="I2351" i="14" s="1"/>
  <c r="M2517" i="13"/>
  <c r="J2514" i="13" a="1"/>
  <c r="J2514" i="13" s="1"/>
  <c r="N2515" i="13"/>
  <c r="J2513" i="14" a="1"/>
  <c r="J2513" i="14" s="1"/>
  <c r="N2514" i="14"/>
  <c r="M2518" i="14"/>
  <c r="K2351" i="14" l="1"/>
  <c r="L2351" i="14" s="1"/>
  <c r="I2352" i="14" s="1"/>
  <c r="K2329" i="13"/>
  <c r="L2329" i="13" s="1"/>
  <c r="I2330" i="13" s="1"/>
  <c r="M2519" i="14"/>
  <c r="J2515" i="13" a="1"/>
  <c r="J2515" i="13" s="1"/>
  <c r="N2516" i="13"/>
  <c r="J2514" i="14" a="1"/>
  <c r="J2514" i="14" s="1"/>
  <c r="N2515" i="14"/>
  <c r="M2518" i="13"/>
  <c r="K2330" i="13" l="1"/>
  <c r="L2330" i="13" s="1"/>
  <c r="I2331" i="13" s="1"/>
  <c r="K2352" i="14"/>
  <c r="L2352" i="14" s="1"/>
  <c r="I2353" i="14" s="1"/>
  <c r="J2516" i="13" a="1"/>
  <c r="J2516" i="13" s="1"/>
  <c r="N2517" i="13"/>
  <c r="N2516" i="14"/>
  <c r="J2515" i="14" a="1"/>
  <c r="J2515" i="14" s="1"/>
  <c r="M2519" i="13"/>
  <c r="M2520" i="14"/>
  <c r="K2353" i="14" l="1"/>
  <c r="L2353" i="14" s="1"/>
  <c r="I2354" i="14" s="1"/>
  <c r="K2331" i="13"/>
  <c r="L2331" i="13" s="1"/>
  <c r="I2332" i="13" s="1"/>
  <c r="M2521" i="14"/>
  <c r="J2516" i="14" a="1"/>
  <c r="J2516" i="14" s="1"/>
  <c r="N2517" i="14"/>
  <c r="N2518" i="13"/>
  <c r="J2517" i="13" a="1"/>
  <c r="J2517" i="13" s="1"/>
  <c r="M2520" i="13"/>
  <c r="K2354" i="14" l="1"/>
  <c r="L2354" i="14" s="1"/>
  <c r="I2355" i="14" s="1"/>
  <c r="J2517" i="14" a="1"/>
  <c r="J2517" i="14" s="1"/>
  <c r="N2518" i="14"/>
  <c r="K2332" i="13"/>
  <c r="L2332" i="13" s="1"/>
  <c r="I2333" i="13" s="1"/>
  <c r="M2522" i="14"/>
  <c r="M2521" i="13"/>
  <c r="J2518" i="13" a="1"/>
  <c r="J2518" i="13" s="1"/>
  <c r="N2519" i="13"/>
  <c r="K2333" i="13" l="1"/>
  <c r="L2333" i="13" s="1"/>
  <c r="I2334" i="13" s="1"/>
  <c r="K2355" i="14"/>
  <c r="L2355" i="14" s="1"/>
  <c r="I2356" i="14" s="1"/>
  <c r="J2519" i="13" a="1"/>
  <c r="J2519" i="13" s="1"/>
  <c r="N2520" i="13"/>
  <c r="M2523" i="14"/>
  <c r="N2519" i="14"/>
  <c r="J2518" i="14" a="1"/>
  <c r="J2518" i="14" s="1"/>
  <c r="M2522" i="13"/>
  <c r="K2334" i="13" l="1"/>
  <c r="L2334" i="13" s="1"/>
  <c r="I2335" i="13" s="1"/>
  <c r="K2356" i="14"/>
  <c r="L2356" i="14" s="1"/>
  <c r="I2357" i="14" s="1"/>
  <c r="J2520" i="13" a="1"/>
  <c r="J2520" i="13" s="1"/>
  <c r="N2521" i="13"/>
  <c r="N2520" i="14"/>
  <c r="J2519" i="14" a="1"/>
  <c r="J2519" i="14" s="1"/>
  <c r="M2523" i="13"/>
  <c r="M2524" i="14"/>
  <c r="K2357" i="14" l="1"/>
  <c r="L2357" i="14" s="1"/>
  <c r="I2358" i="14" s="1"/>
  <c r="K2335" i="13"/>
  <c r="L2335" i="13" s="1"/>
  <c r="I2336" i="13" s="1"/>
  <c r="M2525" i="14"/>
  <c r="J2520" i="14" a="1"/>
  <c r="J2520" i="14" s="1"/>
  <c r="N2521" i="14"/>
  <c r="N2522" i="13"/>
  <c r="J2521" i="13" a="1"/>
  <c r="J2521" i="13" s="1"/>
  <c r="M2524" i="13"/>
  <c r="K2336" i="13" l="1"/>
  <c r="L2336" i="13" s="1"/>
  <c r="I2337" i="13" s="1"/>
  <c r="K2358" i="14"/>
  <c r="L2358" i="14" s="1"/>
  <c r="I2359" i="14" s="1"/>
  <c r="J2521" i="14" a="1"/>
  <c r="J2521" i="14" s="1"/>
  <c r="N2522" i="14"/>
  <c r="M2525" i="13"/>
  <c r="J2522" i="13" a="1"/>
  <c r="J2522" i="13" s="1"/>
  <c r="N2523" i="13"/>
  <c r="M2526" i="14"/>
  <c r="M2527" i="14" l="1"/>
  <c r="M2526" i="13"/>
  <c r="K2359" i="14"/>
  <c r="L2359" i="14" s="1"/>
  <c r="I2360" i="14" s="1"/>
  <c r="J2523" i="13" a="1"/>
  <c r="J2523" i="13" s="1"/>
  <c r="N2524" i="13"/>
  <c r="J2522" i="14" a="1"/>
  <c r="J2522" i="14" s="1"/>
  <c r="N2523" i="14"/>
  <c r="K2337" i="13"/>
  <c r="L2337" i="13" s="1"/>
  <c r="I2338" i="13" s="1"/>
  <c r="K2360" i="14" l="1"/>
  <c r="L2360" i="14" s="1"/>
  <c r="I2361" i="14" s="1"/>
  <c r="J2524" i="13" a="1"/>
  <c r="J2524" i="13" s="1"/>
  <c r="N2525" i="13"/>
  <c r="M2527" i="13"/>
  <c r="K2338" i="13"/>
  <c r="L2338" i="13" s="1"/>
  <c r="I2339" i="13" s="1"/>
  <c r="N2524" i="14"/>
  <c r="J2523" i="14" a="1"/>
  <c r="J2523" i="14" s="1"/>
  <c r="M2528" i="14"/>
  <c r="K2339" i="13" l="1"/>
  <c r="L2339" i="13" s="1"/>
  <c r="I2340" i="13" s="1"/>
  <c r="K2361" i="14"/>
  <c r="L2361" i="14" s="1"/>
  <c r="I2362" i="14" s="1"/>
  <c r="N2526" i="13"/>
  <c r="J2525" i="13" a="1"/>
  <c r="J2525" i="13" s="1"/>
  <c r="M2529" i="14"/>
  <c r="J2524" i="14" a="1"/>
  <c r="J2524" i="14" s="1"/>
  <c r="N2525" i="14"/>
  <c r="M2528" i="13"/>
  <c r="K2362" i="14" l="1"/>
  <c r="L2362" i="14" s="1"/>
  <c r="I2363" i="14" s="1"/>
  <c r="K2340" i="13"/>
  <c r="L2340" i="13" s="1"/>
  <c r="I2341" i="13" s="1"/>
  <c r="J2525" i="14" a="1"/>
  <c r="J2525" i="14" s="1"/>
  <c r="N2526" i="14"/>
  <c r="J2526" i="13" a="1"/>
  <c r="J2526" i="13" s="1"/>
  <c r="N2527" i="13"/>
  <c r="M2529" i="13"/>
  <c r="M2530" i="14"/>
  <c r="K2341" i="13" l="1"/>
  <c r="L2341" i="13" s="1"/>
  <c r="I2342" i="13" s="1"/>
  <c r="K2363" i="14"/>
  <c r="L2363" i="14" s="1"/>
  <c r="I2364" i="14" s="1"/>
  <c r="J2527" i="13" a="1"/>
  <c r="J2527" i="13" s="1"/>
  <c r="N2528" i="13"/>
  <c r="M2530" i="13"/>
  <c r="M2531" i="14"/>
  <c r="J2526" i="14" a="1"/>
  <c r="J2526" i="14" s="1"/>
  <c r="N2527" i="14"/>
  <c r="K2364" i="14" l="1"/>
  <c r="L2364" i="14" s="1"/>
  <c r="I2365" i="14" s="1"/>
  <c r="K2342" i="13"/>
  <c r="L2342" i="13" s="1"/>
  <c r="I2343" i="13" s="1"/>
  <c r="M2532" i="14"/>
  <c r="N2528" i="14"/>
  <c r="J2527" i="14" a="1"/>
  <c r="J2527" i="14" s="1"/>
  <c r="M2531" i="13"/>
  <c r="J2528" i="13" a="1"/>
  <c r="J2528" i="13" s="1"/>
  <c r="N2529" i="13"/>
  <c r="K2365" i="14" l="1"/>
  <c r="L2365" i="14" s="1"/>
  <c r="I2366" i="14" s="1"/>
  <c r="K2343" i="13"/>
  <c r="L2343" i="13" s="1"/>
  <c r="I2344" i="13" s="1"/>
  <c r="J2528" i="14" a="1"/>
  <c r="J2528" i="14" s="1"/>
  <c r="N2529" i="14"/>
  <c r="N2530" i="13"/>
  <c r="J2529" i="13" a="1"/>
  <c r="J2529" i="13" s="1"/>
  <c r="M2532" i="13"/>
  <c r="M2533" i="14"/>
  <c r="K2344" i="13" l="1"/>
  <c r="L2344" i="13" s="1"/>
  <c r="I2345" i="13" s="1"/>
  <c r="K2366" i="14"/>
  <c r="L2366" i="14" s="1"/>
  <c r="I2367" i="14" s="1"/>
  <c r="M2533" i="13"/>
  <c r="J2529" i="14" a="1"/>
  <c r="J2529" i="14" s="1"/>
  <c r="N2530" i="14"/>
  <c r="M2534" i="14"/>
  <c r="J2530" i="13" a="1"/>
  <c r="J2530" i="13" s="1"/>
  <c r="N2531" i="13"/>
  <c r="K2367" i="14" l="1"/>
  <c r="L2367" i="14" s="1"/>
  <c r="I2368" i="14" s="1"/>
  <c r="K2345" i="13"/>
  <c r="L2345" i="13" s="1"/>
  <c r="I2346" i="13" s="1"/>
  <c r="J2530" i="14" a="1"/>
  <c r="J2530" i="14" s="1"/>
  <c r="N2531" i="14"/>
  <c r="J2531" i="13" a="1"/>
  <c r="J2531" i="13" s="1"/>
  <c r="N2532" i="13"/>
  <c r="M2535" i="14"/>
  <c r="M2534" i="13"/>
  <c r="K2368" i="14" l="1"/>
  <c r="L2368" i="14" s="1"/>
  <c r="I2369" i="14" s="1"/>
  <c r="M2536" i="14"/>
  <c r="J2532" i="13" a="1"/>
  <c r="J2532" i="13" s="1"/>
  <c r="N2533" i="13"/>
  <c r="K2346" i="13"/>
  <c r="L2346" i="13" s="1"/>
  <c r="I2347" i="13" s="1"/>
  <c r="M2535" i="13"/>
  <c r="N2532" i="14"/>
  <c r="J2531" i="14" a="1"/>
  <c r="J2531" i="14" s="1"/>
  <c r="K2347" i="13" l="1"/>
  <c r="L2347" i="13" s="1"/>
  <c r="I2348" i="13" s="1"/>
  <c r="K2369" i="14"/>
  <c r="L2369" i="14" s="1"/>
  <c r="I2370" i="14" s="1"/>
  <c r="M2536" i="13"/>
  <c r="J2532" i="14" a="1"/>
  <c r="J2532" i="14" s="1"/>
  <c r="N2533" i="14"/>
  <c r="M2537" i="14"/>
  <c r="N2534" i="13"/>
  <c r="J2533" i="13" a="1"/>
  <c r="J2533" i="13" s="1"/>
  <c r="K2348" i="13" l="1"/>
  <c r="L2348" i="13" s="1"/>
  <c r="I2349" i="13" s="1"/>
  <c r="J2533" i="14" a="1"/>
  <c r="J2533" i="14" s="1"/>
  <c r="N2534" i="14"/>
  <c r="K2370" i="14"/>
  <c r="L2370" i="14" s="1"/>
  <c r="I2371" i="14" s="1"/>
  <c r="J2534" i="13" a="1"/>
  <c r="J2534" i="13" s="1"/>
  <c r="N2535" i="13"/>
  <c r="M2537" i="13"/>
  <c r="M2538" i="14"/>
  <c r="K2371" i="14" l="1"/>
  <c r="L2371" i="14" s="1"/>
  <c r="I2372" i="14" s="1"/>
  <c r="K2349" i="13"/>
  <c r="L2349" i="13" s="1"/>
  <c r="I2350" i="13" s="1"/>
  <c r="M2539" i="14"/>
  <c r="J2535" i="13" a="1"/>
  <c r="J2535" i="13" s="1"/>
  <c r="N2536" i="13"/>
  <c r="N2535" i="14"/>
  <c r="J2534" i="14" a="1"/>
  <c r="J2534" i="14" s="1"/>
  <c r="M2538" i="13"/>
  <c r="K2372" i="14" l="1"/>
  <c r="L2372" i="14" s="1"/>
  <c r="I2373" i="14" s="1"/>
  <c r="J2536" i="13" a="1"/>
  <c r="J2536" i="13" s="1"/>
  <c r="N2537" i="13"/>
  <c r="M2539" i="13"/>
  <c r="K2350" i="13"/>
  <c r="L2350" i="13" s="1"/>
  <c r="I2351" i="13" s="1"/>
  <c r="N2536" i="14"/>
  <c r="J2535" i="14" a="1"/>
  <c r="J2535" i="14" s="1"/>
  <c r="M2540" i="14"/>
  <c r="K2373" i="14" l="1"/>
  <c r="L2373" i="14" s="1"/>
  <c r="I2374" i="14" s="1"/>
  <c r="M2541" i="14"/>
  <c r="K2351" i="13"/>
  <c r="L2351" i="13" s="1"/>
  <c r="I2352" i="13" s="1"/>
  <c r="N2538" i="13"/>
  <c r="J2537" i="13" a="1"/>
  <c r="J2537" i="13" s="1"/>
  <c r="J2536" i="14" a="1"/>
  <c r="J2536" i="14" s="1"/>
  <c r="N2537" i="14"/>
  <c r="M2540" i="13"/>
  <c r="K2352" i="13" l="1"/>
  <c r="L2352" i="13" s="1"/>
  <c r="I2353" i="13" s="1"/>
  <c r="K2374" i="14"/>
  <c r="L2374" i="14" s="1"/>
  <c r="I2375" i="14" s="1"/>
  <c r="J2537" i="14" a="1"/>
  <c r="J2537" i="14" s="1"/>
  <c r="N2538" i="14"/>
  <c r="M2541" i="13"/>
  <c r="J2538" i="13" a="1"/>
  <c r="J2538" i="13" s="1"/>
  <c r="N2539" i="13"/>
  <c r="M2542" i="14"/>
  <c r="K2353" i="13" l="1"/>
  <c r="L2353" i="13" s="1"/>
  <c r="I2354" i="13" s="1"/>
  <c r="M2543" i="14"/>
  <c r="M2542" i="13"/>
  <c r="K2375" i="14"/>
  <c r="L2375" i="14" s="1"/>
  <c r="I2376" i="14" s="1"/>
  <c r="J2539" i="13" a="1"/>
  <c r="J2539" i="13" s="1"/>
  <c r="N2540" i="13"/>
  <c r="J2538" i="14" a="1"/>
  <c r="J2538" i="14" s="1"/>
  <c r="N2539" i="14"/>
  <c r="K2354" i="13" l="1"/>
  <c r="L2354" i="13" s="1"/>
  <c r="I2355" i="13" s="1"/>
  <c r="N2540" i="14"/>
  <c r="J2539" i="14" a="1"/>
  <c r="J2539" i="14" s="1"/>
  <c r="K2376" i="14"/>
  <c r="L2376" i="14" s="1"/>
  <c r="I2377" i="14" s="1"/>
  <c r="M2544" i="14"/>
  <c r="J2540" i="13" a="1"/>
  <c r="J2540" i="13" s="1"/>
  <c r="N2541" i="13"/>
  <c r="M2543" i="13"/>
  <c r="K2377" i="14" l="1"/>
  <c r="L2377" i="14" s="1"/>
  <c r="I2378" i="14" s="1"/>
  <c r="K2355" i="13"/>
  <c r="L2355" i="13" s="1"/>
  <c r="I2356" i="13" s="1"/>
  <c r="M2544" i="13"/>
  <c r="M2545" i="14"/>
  <c r="J2540" i="14" a="1"/>
  <c r="J2540" i="14" s="1"/>
  <c r="N2541" i="14"/>
  <c r="N2542" i="13"/>
  <c r="J2541" i="13" a="1"/>
  <c r="J2541" i="13" s="1"/>
  <c r="K2378" i="14" l="1"/>
  <c r="L2378" i="14" s="1"/>
  <c r="I2379" i="14" s="1"/>
  <c r="M2546" i="14"/>
  <c r="J2542" i="13" a="1"/>
  <c r="J2542" i="13" s="1"/>
  <c r="N2543" i="13"/>
  <c r="K2356" i="13"/>
  <c r="L2356" i="13" s="1"/>
  <c r="I2357" i="13" s="1"/>
  <c r="J2541" i="14" a="1"/>
  <c r="J2541" i="14" s="1"/>
  <c r="N2542" i="14"/>
  <c r="M2545" i="13"/>
  <c r="K2357" i="13" l="1"/>
  <c r="L2357" i="13" s="1"/>
  <c r="I2358" i="13" s="1"/>
  <c r="K2379" i="14"/>
  <c r="L2379" i="14" s="1"/>
  <c r="I2380" i="14" s="1"/>
  <c r="N2543" i="14"/>
  <c r="J2542" i="14" a="1"/>
  <c r="J2542" i="14" s="1"/>
  <c r="M2547" i="14"/>
  <c r="J2543" i="13" a="1"/>
  <c r="J2543" i="13" s="1"/>
  <c r="N2544" i="13"/>
  <c r="M2546" i="13"/>
  <c r="K2380" i="14" l="1"/>
  <c r="L2380" i="14" s="1"/>
  <c r="I2381" i="14" s="1"/>
  <c r="K2358" i="13"/>
  <c r="L2358" i="13" s="1"/>
  <c r="I2359" i="13" s="1"/>
  <c r="M2547" i="13"/>
  <c r="M2548" i="14"/>
  <c r="J2544" i="13" a="1"/>
  <c r="J2544" i="13" s="1"/>
  <c r="N2545" i="13"/>
  <c r="N2544" i="14"/>
  <c r="J2543" i="14" a="1"/>
  <c r="J2543" i="14" s="1"/>
  <c r="K2359" i="13" l="1"/>
  <c r="L2359" i="13" s="1"/>
  <c r="I2360" i="13" s="1"/>
  <c r="K2381" i="14"/>
  <c r="L2381" i="14" s="1"/>
  <c r="I2382" i="14" s="1"/>
  <c r="J2544" i="14" a="1"/>
  <c r="J2544" i="14" s="1"/>
  <c r="N2545" i="14"/>
  <c r="M2549" i="14"/>
  <c r="N2546" i="13"/>
  <c r="J2545" i="13" a="1"/>
  <c r="J2545" i="13" s="1"/>
  <c r="M2548" i="13"/>
  <c r="K2360" i="13" l="1"/>
  <c r="L2360" i="13" s="1"/>
  <c r="I2361" i="13" s="1"/>
  <c r="M2550" i="14"/>
  <c r="J2546" i="13" a="1"/>
  <c r="J2546" i="13" s="1"/>
  <c r="N2547" i="13"/>
  <c r="M2549" i="13"/>
  <c r="K2382" i="14"/>
  <c r="L2382" i="14" s="1"/>
  <c r="I2383" i="14" s="1"/>
  <c r="J2545" i="14" a="1"/>
  <c r="J2545" i="14" s="1"/>
  <c r="N2546" i="14"/>
  <c r="K2383" i="14" l="1"/>
  <c r="L2383" i="14" s="1"/>
  <c r="I2384" i="14" s="1"/>
  <c r="K2361" i="13"/>
  <c r="L2361" i="13" s="1"/>
  <c r="I2362" i="13" s="1"/>
  <c r="J2546" i="14" a="1"/>
  <c r="J2546" i="14" s="1"/>
  <c r="N2547" i="14"/>
  <c r="M2551" i="14"/>
  <c r="M2550" i="13"/>
  <c r="J2547" i="13" a="1"/>
  <c r="J2547" i="13" s="1"/>
  <c r="N2548" i="13"/>
  <c r="K2384" i="14" l="1"/>
  <c r="L2384" i="14" s="1"/>
  <c r="I2385" i="14" s="1"/>
  <c r="J2548" i="13" a="1"/>
  <c r="J2548" i="13" s="1"/>
  <c r="N2549" i="13"/>
  <c r="K2362" i="13"/>
  <c r="L2362" i="13" s="1"/>
  <c r="I2363" i="13" s="1"/>
  <c r="N2548" i="14"/>
  <c r="J2547" i="14" a="1"/>
  <c r="J2547" i="14" s="1"/>
  <c r="M2552" i="14"/>
  <c r="M2551" i="13"/>
  <c r="K2363" i="13" l="1"/>
  <c r="L2363" i="13" s="1"/>
  <c r="I2364" i="13" s="1"/>
  <c r="K2385" i="14"/>
  <c r="L2385" i="14" s="1"/>
  <c r="I2386" i="14" s="1"/>
  <c r="N2550" i="13"/>
  <c r="J2549" i="13" a="1"/>
  <c r="J2549" i="13" s="1"/>
  <c r="M2552" i="13"/>
  <c r="J2548" i="14" a="1"/>
  <c r="J2548" i="14" s="1"/>
  <c r="N2549" i="14"/>
  <c r="M2553" i="14"/>
  <c r="K2364" i="13" l="1"/>
  <c r="L2364" i="13" s="1"/>
  <c r="I2365" i="13" s="1"/>
  <c r="J2549" i="14" a="1"/>
  <c r="J2549" i="14" s="1"/>
  <c r="N2550" i="14"/>
  <c r="M2553" i="13"/>
  <c r="M2554" i="14"/>
  <c r="K2386" i="14"/>
  <c r="L2386" i="14" s="1"/>
  <c r="I2387" i="14" s="1"/>
  <c r="J2550" i="13" a="1"/>
  <c r="J2550" i="13" s="1"/>
  <c r="N2551" i="13"/>
  <c r="K2365" i="13" l="1"/>
  <c r="L2365" i="13" s="1"/>
  <c r="I2366" i="13" s="1"/>
  <c r="K2387" i="14"/>
  <c r="L2387" i="14" s="1"/>
  <c r="I2388" i="14" s="1"/>
  <c r="J2551" i="13" a="1"/>
  <c r="J2551" i="13" s="1"/>
  <c r="N2552" i="13"/>
  <c r="M2555" i="14"/>
  <c r="N2551" i="14"/>
  <c r="J2550" i="14" a="1"/>
  <c r="J2550" i="14" s="1"/>
  <c r="M2554" i="13"/>
  <c r="K2388" i="14" l="1"/>
  <c r="L2388" i="14" s="1"/>
  <c r="I2389" i="14" s="1"/>
  <c r="K2366" i="13"/>
  <c r="L2366" i="13" s="1"/>
  <c r="I2367" i="13" s="1"/>
  <c r="J2552" i="13" a="1"/>
  <c r="J2552" i="13" s="1"/>
  <c r="N2553" i="13"/>
  <c r="M2555" i="13"/>
  <c r="M2556" i="14"/>
  <c r="N2552" i="14"/>
  <c r="J2551" i="14" a="1"/>
  <c r="J2551" i="14" s="1"/>
  <c r="K2389" i="14" l="1"/>
  <c r="L2389" i="14" s="1"/>
  <c r="I2390" i="14" s="1"/>
  <c r="J2552" i="14" a="1"/>
  <c r="J2552" i="14" s="1"/>
  <c r="N2553" i="14"/>
  <c r="M2556" i="13"/>
  <c r="K2367" i="13"/>
  <c r="L2367" i="13" s="1"/>
  <c r="I2368" i="13" s="1"/>
  <c r="N2554" i="13"/>
  <c r="J2553" i="13" a="1"/>
  <c r="J2553" i="13" s="1"/>
  <c r="M2557" i="14"/>
  <c r="K2390" i="14" l="1"/>
  <c r="L2390" i="14" s="1"/>
  <c r="I2391" i="14" s="1"/>
  <c r="M2558" i="14"/>
  <c r="J2553" i="14" a="1"/>
  <c r="J2553" i="14" s="1"/>
  <c r="N2554" i="14"/>
  <c r="K2368" i="13"/>
  <c r="L2368" i="13" s="1"/>
  <c r="I2369" i="13" s="1"/>
  <c r="M2557" i="13"/>
  <c r="J2554" i="13" a="1"/>
  <c r="J2554" i="13" s="1"/>
  <c r="N2555" i="13"/>
  <c r="K2391" i="14" l="1"/>
  <c r="L2391" i="14" s="1"/>
  <c r="I2392" i="14" s="1"/>
  <c r="M2558" i="13"/>
  <c r="J2555" i="13" a="1"/>
  <c r="J2555" i="13" s="1"/>
  <c r="N2556" i="13"/>
  <c r="M2559" i="14"/>
  <c r="K2369" i="13"/>
  <c r="L2369" i="13" s="1"/>
  <c r="I2370" i="13" s="1"/>
  <c r="J2554" i="14" a="1"/>
  <c r="J2554" i="14" s="1"/>
  <c r="N2555" i="14"/>
  <c r="K2392" i="14" l="1"/>
  <c r="L2392" i="14" s="1"/>
  <c r="I2393" i="14" s="1"/>
  <c r="K2370" i="13"/>
  <c r="L2370" i="13" s="1"/>
  <c r="I2371" i="13" s="1"/>
  <c r="N2556" i="14"/>
  <c r="J2555" i="14" a="1"/>
  <c r="J2555" i="14" s="1"/>
  <c r="M2560" i="14"/>
  <c r="M2559" i="13"/>
  <c r="J2556" i="13" a="1"/>
  <c r="J2556" i="13" s="1"/>
  <c r="N2557" i="13"/>
  <c r="K2393" i="14" l="1"/>
  <c r="L2393" i="14" s="1"/>
  <c r="I2394" i="14" s="1"/>
  <c r="N2558" i="13"/>
  <c r="J2557" i="13" a="1"/>
  <c r="J2557" i="13" s="1"/>
  <c r="K2371" i="13"/>
  <c r="L2371" i="13" s="1"/>
  <c r="I2372" i="13" s="1"/>
  <c r="M2561" i="14"/>
  <c r="M2560" i="13"/>
  <c r="J2556" i="14" a="1"/>
  <c r="J2556" i="14" s="1"/>
  <c r="N2557" i="14"/>
  <c r="K2372" i="13" l="1"/>
  <c r="L2372" i="13" s="1"/>
  <c r="I2373" i="13" s="1"/>
  <c r="K2394" i="14"/>
  <c r="L2394" i="14" s="1"/>
  <c r="I2395" i="14" s="1"/>
  <c r="J2558" i="13" a="1"/>
  <c r="J2558" i="13" s="1"/>
  <c r="N2559" i="13"/>
  <c r="J2557" i="14" a="1"/>
  <c r="J2557" i="14" s="1"/>
  <c r="N2558" i="14"/>
  <c r="M2562" i="14"/>
  <c r="M2561" i="13"/>
  <c r="K2395" i="14" l="1"/>
  <c r="L2395" i="14" s="1"/>
  <c r="I2396" i="14" s="1"/>
  <c r="K2373" i="13"/>
  <c r="L2373" i="13" s="1"/>
  <c r="I2374" i="13" s="1"/>
  <c r="J2559" i="13" a="1"/>
  <c r="J2559" i="13" s="1"/>
  <c r="N2560" i="13"/>
  <c r="N2559" i="14"/>
  <c r="J2558" i="14" a="1"/>
  <c r="J2558" i="14" s="1"/>
  <c r="M2562" i="13"/>
  <c r="M2563" i="14"/>
  <c r="K2374" i="13" l="1"/>
  <c r="L2374" i="13" s="1"/>
  <c r="I2375" i="13" s="1"/>
  <c r="M2564" i="14"/>
  <c r="N2560" i="14"/>
  <c r="J2559" i="14" a="1"/>
  <c r="J2559" i="14" s="1"/>
  <c r="M2563" i="13"/>
  <c r="J2560" i="13" a="1"/>
  <c r="J2560" i="13" s="1"/>
  <c r="N2561" i="13"/>
  <c r="K2396" i="14"/>
  <c r="L2396" i="14" s="1"/>
  <c r="I2397" i="14" s="1"/>
  <c r="K2397" i="14" l="1"/>
  <c r="L2397" i="14" s="1"/>
  <c r="I2398" i="14" s="1"/>
  <c r="K2375" i="13"/>
  <c r="L2375" i="13" s="1"/>
  <c r="I2376" i="13" s="1"/>
  <c r="M2564" i="13"/>
  <c r="M2565" i="14"/>
  <c r="N2562" i="13"/>
  <c r="J2561" i="13" a="1"/>
  <c r="J2561" i="13" s="1"/>
  <c r="J2560" i="14" a="1"/>
  <c r="J2560" i="14" s="1"/>
  <c r="N2561" i="14"/>
  <c r="K2398" i="14" l="1"/>
  <c r="L2398" i="14" s="1"/>
  <c r="I2399" i="14" s="1"/>
  <c r="J2561" i="14" a="1"/>
  <c r="J2561" i="14" s="1"/>
  <c r="N2562" i="14"/>
  <c r="M2566" i="14"/>
  <c r="K2376" i="13"/>
  <c r="L2376" i="13" s="1"/>
  <c r="I2377" i="13" s="1"/>
  <c r="M2565" i="13"/>
  <c r="J2562" i="13" a="1"/>
  <c r="J2562" i="13" s="1"/>
  <c r="N2563" i="13"/>
  <c r="K2377" i="13" l="1"/>
  <c r="L2377" i="13" s="1"/>
  <c r="I2378" i="13" s="1"/>
  <c r="K2399" i="14"/>
  <c r="L2399" i="14" s="1"/>
  <c r="I2400" i="14" s="1"/>
  <c r="J2562" i="14" a="1"/>
  <c r="J2562" i="14" s="1"/>
  <c r="N2563" i="14"/>
  <c r="J2563" i="13" a="1"/>
  <c r="J2563" i="13" s="1"/>
  <c r="N2564" i="13"/>
  <c r="M2567" i="14"/>
  <c r="M2566" i="13"/>
  <c r="K2378" i="13" l="1"/>
  <c r="L2378" i="13" s="1"/>
  <c r="I2379" i="13" s="1"/>
  <c r="M2567" i="13"/>
  <c r="J2564" i="13" a="1"/>
  <c r="J2564" i="13" s="1"/>
  <c r="N2565" i="13"/>
  <c r="K2400" i="14"/>
  <c r="L2400" i="14" s="1"/>
  <c r="I2401" i="14" s="1"/>
  <c r="N2564" i="14"/>
  <c r="J2563" i="14" a="1"/>
  <c r="J2563" i="14" s="1"/>
  <c r="M2568" i="14"/>
  <c r="K2379" i="13" l="1"/>
  <c r="L2379" i="13" s="1"/>
  <c r="I2380" i="13" s="1"/>
  <c r="J2564" i="14" a="1"/>
  <c r="J2564" i="14" s="1"/>
  <c r="N2565" i="14"/>
  <c r="M2569" i="14"/>
  <c r="K2401" i="14"/>
  <c r="L2401" i="14" s="1"/>
  <c r="I2402" i="14" s="1"/>
  <c r="M2568" i="13"/>
  <c r="N2566" i="13"/>
  <c r="J2565" i="13" a="1"/>
  <c r="J2565" i="13" s="1"/>
  <c r="K2402" i="14" l="1"/>
  <c r="L2402" i="14" s="1"/>
  <c r="I2403" i="14" s="1"/>
  <c r="K2380" i="13"/>
  <c r="L2380" i="13" s="1"/>
  <c r="I2381" i="13" s="1"/>
  <c r="J2565" i="14" a="1"/>
  <c r="J2565" i="14" s="1"/>
  <c r="N2566" i="14"/>
  <c r="J2566" i="13" a="1"/>
  <c r="J2566" i="13" s="1"/>
  <c r="N2567" i="13"/>
  <c r="M2569" i="13"/>
  <c r="M2570" i="14"/>
  <c r="K2381" i="13" l="1"/>
  <c r="L2381" i="13" s="1"/>
  <c r="I2382" i="13" s="1"/>
  <c r="K2403" i="14"/>
  <c r="L2403" i="14" s="1"/>
  <c r="I2404" i="14" s="1"/>
  <c r="M2570" i="13"/>
  <c r="M2571" i="14"/>
  <c r="J2567" i="13" a="1"/>
  <c r="J2567" i="13" s="1"/>
  <c r="N2568" i="13"/>
  <c r="N2567" i="14"/>
  <c r="J2566" i="14" a="1"/>
  <c r="J2566" i="14" s="1"/>
  <c r="K2404" i="14" l="1"/>
  <c r="L2404" i="14" s="1"/>
  <c r="I2405" i="14" s="1"/>
  <c r="K2382" i="13"/>
  <c r="L2382" i="13" s="1"/>
  <c r="I2383" i="13" s="1"/>
  <c r="N2568" i="14"/>
  <c r="J2567" i="14" a="1"/>
  <c r="J2567" i="14" s="1"/>
  <c r="M2572" i="14"/>
  <c r="J2568" i="13" a="1"/>
  <c r="J2568" i="13" s="1"/>
  <c r="N2569" i="13"/>
  <c r="M2571" i="13"/>
  <c r="K2405" i="14" l="1"/>
  <c r="L2405" i="14" s="1"/>
  <c r="I2406" i="14" s="1"/>
  <c r="M2572" i="13"/>
  <c r="M2573" i="14"/>
  <c r="K2383" i="13"/>
  <c r="L2383" i="13" s="1"/>
  <c r="I2384" i="13" s="1"/>
  <c r="N2570" i="13"/>
  <c r="J2569" i="13" a="1"/>
  <c r="J2569" i="13" s="1"/>
  <c r="J2568" i="14" a="1"/>
  <c r="J2568" i="14" s="1"/>
  <c r="N2569" i="14"/>
  <c r="K2406" i="14" l="1"/>
  <c r="L2406" i="14" s="1"/>
  <c r="I2407" i="14" s="1"/>
  <c r="J2569" i="14" a="1"/>
  <c r="J2569" i="14" s="1"/>
  <c r="N2570" i="14"/>
  <c r="M2573" i="13"/>
  <c r="K2384" i="13"/>
  <c r="L2384" i="13" s="1"/>
  <c r="I2385" i="13" s="1"/>
  <c r="J2570" i="13" a="1"/>
  <c r="J2570" i="13" s="1"/>
  <c r="N2571" i="13"/>
  <c r="M2574" i="14"/>
  <c r="K2407" i="14" l="1"/>
  <c r="L2407" i="14" s="1"/>
  <c r="I2408" i="14" s="1"/>
  <c r="J2571" i="13" a="1"/>
  <c r="J2571" i="13" s="1"/>
  <c r="N2572" i="13"/>
  <c r="M2575" i="14"/>
  <c r="J2570" i="14" a="1"/>
  <c r="J2570" i="14" s="1"/>
  <c r="N2571" i="14"/>
  <c r="K2385" i="13"/>
  <c r="L2385" i="13" s="1"/>
  <c r="I2386" i="13" s="1"/>
  <c r="M2574" i="13"/>
  <c r="K2386" i="13" l="1"/>
  <c r="L2386" i="13" s="1"/>
  <c r="I2387" i="13" s="1"/>
  <c r="M2576" i="14"/>
  <c r="K2408" i="14"/>
  <c r="L2408" i="14" s="1"/>
  <c r="I2409" i="14" s="1"/>
  <c r="N2572" i="14"/>
  <c r="J2571" i="14" a="1"/>
  <c r="J2571" i="14" s="1"/>
  <c r="J2572" i="13" a="1"/>
  <c r="J2572" i="13" s="1"/>
  <c r="N2573" i="13"/>
  <c r="M2575" i="13"/>
  <c r="K2409" i="14" l="1"/>
  <c r="L2409" i="14" s="1"/>
  <c r="I2410" i="14" s="1"/>
  <c r="K2387" i="13"/>
  <c r="L2387" i="13" s="1"/>
  <c r="I2388" i="13" s="1"/>
  <c r="M2576" i="13"/>
  <c r="J2572" i="14" a="1"/>
  <c r="J2572" i="14" s="1"/>
  <c r="N2573" i="14"/>
  <c r="M2577" i="14"/>
  <c r="N2574" i="13"/>
  <c r="J2573" i="13" a="1"/>
  <c r="J2573" i="13" s="1"/>
  <c r="K2388" i="13" l="1"/>
  <c r="L2388" i="13" s="1"/>
  <c r="I2389" i="13" s="1"/>
  <c r="K2410" i="14"/>
  <c r="L2410" i="14" s="1"/>
  <c r="I2411" i="14" s="1"/>
  <c r="J2573" i="14" a="1"/>
  <c r="J2573" i="14" s="1"/>
  <c r="N2574" i="14"/>
  <c r="J2574" i="13" a="1"/>
  <c r="J2574" i="13" s="1"/>
  <c r="N2575" i="13"/>
  <c r="M2577" i="13"/>
  <c r="M2578" i="14"/>
  <c r="K2411" i="14" l="1"/>
  <c r="L2411" i="14" s="1"/>
  <c r="I2412" i="14" s="1"/>
  <c r="J2575" i="13" a="1"/>
  <c r="J2575" i="13" s="1"/>
  <c r="N2576" i="13"/>
  <c r="M2578" i="13"/>
  <c r="M2579" i="14"/>
  <c r="N2575" i="14"/>
  <c r="J2574" i="14" a="1"/>
  <c r="J2574" i="14" s="1"/>
  <c r="K2389" i="13"/>
  <c r="L2389" i="13" s="1"/>
  <c r="I2390" i="13" s="1"/>
  <c r="K2390" i="13" l="1"/>
  <c r="L2390" i="13" s="1"/>
  <c r="I2391" i="13" s="1"/>
  <c r="K2412" i="14"/>
  <c r="L2412" i="14" s="1"/>
  <c r="I2413" i="14" s="1"/>
  <c r="J2576" i="13" a="1"/>
  <c r="J2576" i="13" s="1"/>
  <c r="N2577" i="13"/>
  <c r="M2580" i="14"/>
  <c r="N2576" i="14"/>
  <c r="J2575" i="14" a="1"/>
  <c r="J2575" i="14" s="1"/>
  <c r="M2579" i="13"/>
  <c r="K2391" i="13" l="1"/>
  <c r="L2391" i="13" s="1"/>
  <c r="I2392" i="13" s="1"/>
  <c r="J2576" i="14" a="1"/>
  <c r="J2576" i="14" s="1"/>
  <c r="N2577" i="14"/>
  <c r="M2580" i="13"/>
  <c r="M2581" i="14"/>
  <c r="K2413" i="14"/>
  <c r="L2413" i="14" s="1"/>
  <c r="I2414" i="14" s="1"/>
  <c r="N2578" i="13"/>
  <c r="J2577" i="13" a="1"/>
  <c r="J2577" i="13" s="1"/>
  <c r="K2414" i="14" l="1"/>
  <c r="L2414" i="14" s="1"/>
  <c r="I2415" i="14" s="1"/>
  <c r="K2392" i="13"/>
  <c r="L2392" i="13" s="1"/>
  <c r="I2393" i="13" s="1"/>
  <c r="J2577" i="14" a="1"/>
  <c r="J2577" i="14" s="1"/>
  <c r="N2578" i="14"/>
  <c r="N2579" i="13"/>
  <c r="J2578" i="13" a="1"/>
  <c r="J2578" i="13" s="1"/>
  <c r="M2582" i="14"/>
  <c r="M2581" i="13"/>
  <c r="K2415" i="14" l="1"/>
  <c r="L2415" i="14" s="1"/>
  <c r="I2416" i="14" s="1"/>
  <c r="J2579" i="13" a="1"/>
  <c r="J2579" i="13" s="1"/>
  <c r="N2580" i="13"/>
  <c r="K2393" i="13"/>
  <c r="L2393" i="13" s="1"/>
  <c r="I2394" i="13" s="1"/>
  <c r="M2582" i="13"/>
  <c r="M2583" i="14"/>
  <c r="J2578" i="14" a="1"/>
  <c r="J2578" i="14" s="1"/>
  <c r="N2579" i="14"/>
  <c r="K2394" i="13" l="1"/>
  <c r="L2394" i="13" s="1"/>
  <c r="I2395" i="13" s="1"/>
  <c r="K2416" i="14"/>
  <c r="L2416" i="14" s="1"/>
  <c r="I2417" i="14" s="1"/>
  <c r="N2581" i="13"/>
  <c r="J2580" i="13" a="1"/>
  <c r="J2580" i="13" s="1"/>
  <c r="N2580" i="14"/>
  <c r="J2579" i="14" a="1"/>
  <c r="J2579" i="14" s="1"/>
  <c r="M2583" i="13"/>
  <c r="M2584" i="14"/>
  <c r="K2395" i="13" l="1"/>
  <c r="L2395" i="13" s="1"/>
  <c r="I2396" i="13" s="1"/>
  <c r="J2580" i="14" a="1"/>
  <c r="J2580" i="14" s="1"/>
  <c r="N2581" i="14"/>
  <c r="K2417" i="14"/>
  <c r="L2417" i="14" s="1"/>
  <c r="I2418" i="14" s="1"/>
  <c r="M2585" i="14"/>
  <c r="M2584" i="13"/>
  <c r="N2582" i="13"/>
  <c r="J2581" i="13" a="1"/>
  <c r="J2581" i="13" s="1"/>
  <c r="K2418" i="14" l="1"/>
  <c r="L2418" i="14" s="1"/>
  <c r="I2419" i="14" s="1"/>
  <c r="K2396" i="13"/>
  <c r="L2396" i="13" s="1"/>
  <c r="I2397" i="13" s="1"/>
  <c r="M2586" i="14"/>
  <c r="J2581" i="14" a="1"/>
  <c r="J2581" i="14" s="1"/>
  <c r="N2582" i="14"/>
  <c r="N2583" i="13"/>
  <c r="J2582" i="13" a="1"/>
  <c r="J2582" i="13" s="1"/>
  <c r="M2585" i="13"/>
  <c r="K2397" i="13" l="1"/>
  <c r="L2397" i="13" s="1"/>
  <c r="I2398" i="13" s="1"/>
  <c r="N2583" i="14"/>
  <c r="J2582" i="14" a="1"/>
  <c r="J2582" i="14" s="1"/>
  <c r="M2586" i="13"/>
  <c r="M2587" i="14"/>
  <c r="J2583" i="13" a="1"/>
  <c r="J2583" i="13" s="1"/>
  <c r="N2584" i="13"/>
  <c r="K2419" i="14"/>
  <c r="L2419" i="14" s="1"/>
  <c r="I2420" i="14" s="1"/>
  <c r="K2420" i="14" l="1"/>
  <c r="L2420" i="14" s="1"/>
  <c r="I2421" i="14" s="1"/>
  <c r="K2398" i="13"/>
  <c r="L2398" i="13" s="1"/>
  <c r="I2399" i="13" s="1"/>
  <c r="N2584" i="14"/>
  <c r="J2583" i="14" a="1"/>
  <c r="J2583" i="14" s="1"/>
  <c r="M2588" i="14"/>
  <c r="N2585" i="13"/>
  <c r="J2584" i="13" a="1"/>
  <c r="J2584" i="13" s="1"/>
  <c r="M2587" i="13"/>
  <c r="K2421" i="14" l="1"/>
  <c r="L2421" i="14" s="1"/>
  <c r="I2422" i="14" s="1"/>
  <c r="K2399" i="13"/>
  <c r="L2399" i="13" s="1"/>
  <c r="I2400" i="13" s="1"/>
  <c r="M2588" i="13"/>
  <c r="M2589" i="14"/>
  <c r="N2586" i="13"/>
  <c r="J2585" i="13" a="1"/>
  <c r="J2585" i="13" s="1"/>
  <c r="J2584" i="14" a="1"/>
  <c r="J2584" i="14" s="1"/>
  <c r="N2585" i="14"/>
  <c r="K2422" i="14" l="1"/>
  <c r="L2422" i="14" s="1"/>
  <c r="I2423" i="14" s="1"/>
  <c r="J2585" i="14" a="1"/>
  <c r="J2585" i="14" s="1"/>
  <c r="N2586" i="14"/>
  <c r="M2590" i="14"/>
  <c r="K2400" i="13"/>
  <c r="L2400" i="13" s="1"/>
  <c r="I2401" i="13" s="1"/>
  <c r="N2587" i="13"/>
  <c r="J2586" i="13" a="1"/>
  <c r="J2586" i="13" s="1"/>
  <c r="M2589" i="13"/>
  <c r="K2423" i="14" l="1"/>
  <c r="L2423" i="14" s="1"/>
  <c r="I2424" i="14" s="1"/>
  <c r="K2401" i="13"/>
  <c r="L2401" i="13" s="1"/>
  <c r="I2402" i="13" s="1"/>
  <c r="M2591" i="14"/>
  <c r="M2590" i="13"/>
  <c r="J2586" i="14" a="1"/>
  <c r="J2586" i="14" s="1"/>
  <c r="N2587" i="14"/>
  <c r="J2587" i="13" a="1"/>
  <c r="J2587" i="13" s="1"/>
  <c r="N2588" i="13"/>
  <c r="K2424" i="14" l="1"/>
  <c r="L2424" i="14" s="1"/>
  <c r="I2425" i="14" s="1"/>
  <c r="K2402" i="13"/>
  <c r="L2402" i="13" s="1"/>
  <c r="I2403" i="13" s="1"/>
  <c r="N2589" i="13"/>
  <c r="J2588" i="13" a="1"/>
  <c r="J2588" i="13" s="1"/>
  <c r="M2591" i="13"/>
  <c r="N2588" i="14"/>
  <c r="J2587" i="14" a="1"/>
  <c r="J2587" i="14" s="1"/>
  <c r="M2592" i="14"/>
  <c r="K2403" i="13" l="1"/>
  <c r="L2403" i="13" s="1"/>
  <c r="I2404" i="13" s="1"/>
  <c r="J2588" i="14" a="1"/>
  <c r="J2588" i="14" s="1"/>
  <c r="N2589" i="14"/>
  <c r="M2593" i="14"/>
  <c r="M2592" i="13"/>
  <c r="N2590" i="13"/>
  <c r="J2589" i="13" a="1"/>
  <c r="J2589" i="13" s="1"/>
  <c r="K2425" i="14"/>
  <c r="L2425" i="14" s="1"/>
  <c r="I2426" i="14" s="1"/>
  <c r="K2404" i="13" l="1"/>
  <c r="L2404" i="13" s="1"/>
  <c r="I2405" i="13" s="1"/>
  <c r="M2593" i="13"/>
  <c r="J2589" i="14" a="1"/>
  <c r="J2589" i="14" s="1"/>
  <c r="N2590" i="14"/>
  <c r="K2426" i="14"/>
  <c r="L2426" i="14" s="1"/>
  <c r="I2427" i="14" s="1"/>
  <c r="N2591" i="13"/>
  <c r="J2590" i="13" a="1"/>
  <c r="J2590" i="13" s="1"/>
  <c r="M2594" i="14"/>
  <c r="K2405" i="13" l="1"/>
  <c r="L2405" i="13" s="1"/>
  <c r="I2406" i="13" s="1"/>
  <c r="J2591" i="13" a="1"/>
  <c r="J2591" i="13" s="1"/>
  <c r="N2592" i="13"/>
  <c r="M2595" i="14"/>
  <c r="M2594" i="13"/>
  <c r="K2427" i="14"/>
  <c r="L2427" i="14" s="1"/>
  <c r="I2428" i="14" s="1"/>
  <c r="N2591" i="14"/>
  <c r="J2590" i="14" a="1"/>
  <c r="J2590" i="14" s="1"/>
  <c r="K2428" i="14" l="1"/>
  <c r="L2428" i="14" s="1"/>
  <c r="I2429" i="14" s="1"/>
  <c r="K2406" i="13"/>
  <c r="L2406" i="13" s="1"/>
  <c r="I2407" i="13" s="1"/>
  <c r="N2593" i="13"/>
  <c r="J2592" i="13" a="1"/>
  <c r="J2592" i="13" s="1"/>
  <c r="N2592" i="14"/>
  <c r="J2591" i="14" a="1"/>
  <c r="J2591" i="14" s="1"/>
  <c r="M2595" i="13"/>
  <c r="M2596" i="14"/>
  <c r="K2407" i="13" l="1"/>
  <c r="L2407" i="13" s="1"/>
  <c r="I2408" i="13" s="1"/>
  <c r="K2429" i="14"/>
  <c r="L2429" i="14" s="1"/>
  <c r="I2430" i="14" s="1"/>
  <c r="J2592" i="14" a="1"/>
  <c r="J2592" i="14" s="1"/>
  <c r="N2593" i="14"/>
  <c r="M2597" i="14"/>
  <c r="M2596" i="13"/>
  <c r="N2594" i="13"/>
  <c r="J2593" i="13" a="1"/>
  <c r="J2593" i="13" s="1"/>
  <c r="K2408" i="13" l="1"/>
  <c r="L2408" i="13" s="1"/>
  <c r="I2409" i="13" s="1"/>
  <c r="K2430" i="14"/>
  <c r="L2430" i="14" s="1"/>
  <c r="I2431" i="14" s="1"/>
  <c r="M2597" i="13"/>
  <c r="N2595" i="13"/>
  <c r="J2594" i="13" a="1"/>
  <c r="J2594" i="13" s="1"/>
  <c r="M2598" i="14"/>
  <c r="J2593" i="14" a="1"/>
  <c r="J2593" i="14" s="1"/>
  <c r="N2594" i="14"/>
  <c r="K2431" i="14" l="1"/>
  <c r="L2431" i="14" s="1"/>
  <c r="I2432" i="14" s="1"/>
  <c r="K2409" i="13"/>
  <c r="L2409" i="13" s="1"/>
  <c r="I2410" i="13" s="1"/>
  <c r="J2595" i="13" a="1"/>
  <c r="J2595" i="13" s="1"/>
  <c r="N2596" i="13"/>
  <c r="J2594" i="14" a="1"/>
  <c r="J2594" i="14" s="1"/>
  <c r="N2595" i="14"/>
  <c r="M2599" i="14"/>
  <c r="M2598" i="13"/>
  <c r="K2410" i="13" l="1"/>
  <c r="L2410" i="13" s="1"/>
  <c r="I2411" i="13" s="1"/>
  <c r="K2432" i="14"/>
  <c r="L2432" i="14" s="1"/>
  <c r="I2433" i="14" s="1"/>
  <c r="M2599" i="13"/>
  <c r="M2600" i="14"/>
  <c r="N2596" i="14"/>
  <c r="J2595" i="14" a="1"/>
  <c r="J2595" i="14" s="1"/>
  <c r="N2597" i="13"/>
  <c r="J2596" i="13" a="1"/>
  <c r="J2596" i="13" s="1"/>
  <c r="K2433" i="14" l="1"/>
  <c r="L2433" i="14" s="1"/>
  <c r="I2434" i="14" s="1"/>
  <c r="N2598" i="13"/>
  <c r="J2597" i="13" a="1"/>
  <c r="J2597" i="13" s="1"/>
  <c r="M2601" i="14"/>
  <c r="M2600" i="13"/>
  <c r="J2596" i="14" a="1"/>
  <c r="J2596" i="14" s="1"/>
  <c r="N2597" i="14"/>
  <c r="K2411" i="13"/>
  <c r="L2411" i="13" s="1"/>
  <c r="I2412" i="13" s="1"/>
  <c r="K2412" i="13" l="1"/>
  <c r="L2412" i="13" s="1"/>
  <c r="I2413" i="13" s="1"/>
  <c r="K2434" i="14"/>
  <c r="L2434" i="14" s="1"/>
  <c r="I2435" i="14" s="1"/>
  <c r="M2601" i="13"/>
  <c r="N2599" i="13"/>
  <c r="J2598" i="13" a="1"/>
  <c r="J2598" i="13" s="1"/>
  <c r="J2597" i="14" a="1"/>
  <c r="J2597" i="14" s="1"/>
  <c r="N2598" i="14"/>
  <c r="M2602" i="14"/>
  <c r="K2435" i="14" l="1"/>
  <c r="L2435" i="14" s="1"/>
  <c r="I2436" i="14" s="1"/>
  <c r="K2413" i="13"/>
  <c r="L2413" i="13" s="1"/>
  <c r="I2414" i="13" s="1"/>
  <c r="M2603" i="14"/>
  <c r="J2599" i="13" a="1"/>
  <c r="J2599" i="13" s="1"/>
  <c r="N2600" i="13"/>
  <c r="N2599" i="14"/>
  <c r="J2598" i="14" a="1"/>
  <c r="J2598" i="14" s="1"/>
  <c r="M2602" i="13"/>
  <c r="K2436" i="14" l="1"/>
  <c r="L2436" i="14" s="1"/>
  <c r="I2437" i="14" s="1"/>
  <c r="K2414" i="13"/>
  <c r="L2414" i="13" s="1"/>
  <c r="I2415" i="13" s="1"/>
  <c r="N2601" i="13"/>
  <c r="J2600" i="13" a="1"/>
  <c r="J2600" i="13" s="1"/>
  <c r="M2603" i="13"/>
  <c r="N2600" i="14"/>
  <c r="J2599" i="14" a="1"/>
  <c r="J2599" i="14" s="1"/>
  <c r="M2604" i="14"/>
  <c r="K2415" i="13" l="1"/>
  <c r="L2415" i="13" s="1"/>
  <c r="I2416" i="13" s="1"/>
  <c r="K2437" i="14"/>
  <c r="L2437" i="14" s="1"/>
  <c r="I2438" i="14" s="1"/>
  <c r="J2600" i="14" a="1"/>
  <c r="J2600" i="14" s="1"/>
  <c r="N2601" i="14"/>
  <c r="M2604" i="13"/>
  <c r="M2605" i="14"/>
  <c r="N2602" i="13"/>
  <c r="J2601" i="13" a="1"/>
  <c r="J2601" i="13" s="1"/>
  <c r="K2438" i="14" l="1"/>
  <c r="L2438" i="14" s="1"/>
  <c r="I2439" i="14" s="1"/>
  <c r="K2416" i="13"/>
  <c r="L2416" i="13" s="1"/>
  <c r="I2417" i="13" s="1"/>
  <c r="M2606" i="14"/>
  <c r="N2603" i="13"/>
  <c r="J2602" i="13" a="1"/>
  <c r="J2602" i="13" s="1"/>
  <c r="M2605" i="13"/>
  <c r="J2601" i="14" a="1"/>
  <c r="J2601" i="14" s="1"/>
  <c r="N2602" i="14"/>
  <c r="K2417" i="13" l="1"/>
  <c r="L2417" i="13" s="1"/>
  <c r="I2418" i="13" s="1"/>
  <c r="K2439" i="14"/>
  <c r="L2439" i="14" s="1"/>
  <c r="I2440" i="14" s="1"/>
  <c r="J2603" i="13" a="1"/>
  <c r="J2603" i="13" s="1"/>
  <c r="N2604" i="13"/>
  <c r="J2602" i="14" a="1"/>
  <c r="J2602" i="14" s="1"/>
  <c r="N2603" i="14"/>
  <c r="M2606" i="13"/>
  <c r="M2607" i="14"/>
  <c r="K2418" i="13" l="1"/>
  <c r="L2418" i="13" s="1"/>
  <c r="I2419" i="13" s="1"/>
  <c r="N2604" i="14"/>
  <c r="J2603" i="14" a="1"/>
  <c r="J2603" i="14" s="1"/>
  <c r="M2608" i="14"/>
  <c r="K2440" i="14"/>
  <c r="L2440" i="14" s="1"/>
  <c r="I2441" i="14" s="1"/>
  <c r="N2605" i="13"/>
  <c r="J2604" i="13" a="1"/>
  <c r="J2604" i="13" s="1"/>
  <c r="M2607" i="13"/>
  <c r="K2441" i="14" l="1"/>
  <c r="L2441" i="14" s="1"/>
  <c r="I2442" i="14" s="1"/>
  <c r="M2608" i="13"/>
  <c r="N2606" i="13"/>
  <c r="J2605" i="13" a="1"/>
  <c r="J2605" i="13" s="1"/>
  <c r="J2604" i="14" a="1"/>
  <c r="J2604" i="14" s="1"/>
  <c r="N2605" i="14"/>
  <c r="M2609" i="14"/>
  <c r="K2419" i="13"/>
  <c r="L2419" i="13" s="1"/>
  <c r="I2420" i="13" s="1"/>
  <c r="K2420" i="13" l="1"/>
  <c r="L2420" i="13" s="1"/>
  <c r="I2421" i="13" s="1"/>
  <c r="K2442" i="14"/>
  <c r="L2442" i="14" s="1"/>
  <c r="I2443" i="14" s="1"/>
  <c r="M2610" i="14"/>
  <c r="J2605" i="14" a="1"/>
  <c r="J2605" i="14" s="1"/>
  <c r="N2606" i="14"/>
  <c r="M2609" i="13"/>
  <c r="N2607" i="13"/>
  <c r="J2606" i="13" a="1"/>
  <c r="J2606" i="13" s="1"/>
  <c r="K2421" i="13" l="1"/>
  <c r="L2421" i="13" s="1"/>
  <c r="I2422" i="13" s="1"/>
  <c r="K2443" i="14"/>
  <c r="L2443" i="14" s="1"/>
  <c r="I2444" i="14" s="1"/>
  <c r="N2607" i="14"/>
  <c r="J2606" i="14" a="1"/>
  <c r="J2606" i="14" s="1"/>
  <c r="J2607" i="13" a="1"/>
  <c r="J2607" i="13" s="1"/>
  <c r="N2608" i="13"/>
  <c r="M2610" i="13"/>
  <c r="M2611" i="14"/>
  <c r="K2444" i="14" l="1"/>
  <c r="L2444" i="14" s="1"/>
  <c r="I2445" i="14" s="1"/>
  <c r="K2422" i="13"/>
  <c r="L2422" i="13" s="1"/>
  <c r="I2423" i="13" s="1"/>
  <c r="N2609" i="13"/>
  <c r="J2608" i="13" a="1"/>
  <c r="J2608" i="13" s="1"/>
  <c r="M2612" i="14"/>
  <c r="M2611" i="13"/>
  <c r="N2608" i="14"/>
  <c r="J2607" i="14" a="1"/>
  <c r="J2607" i="14" s="1"/>
  <c r="K2423" i="13" l="1"/>
  <c r="L2423" i="13" s="1"/>
  <c r="I2424" i="13" s="1"/>
  <c r="K2445" i="14"/>
  <c r="L2445" i="14" s="1"/>
  <c r="I2446" i="14" s="1"/>
  <c r="J2608" i="14" a="1"/>
  <c r="J2608" i="14" s="1"/>
  <c r="N2609" i="14"/>
  <c r="M2613" i="14"/>
  <c r="M2612" i="13"/>
  <c r="N2610" i="13"/>
  <c r="J2609" i="13" a="1"/>
  <c r="J2609" i="13" s="1"/>
  <c r="K2424" i="13" l="1"/>
  <c r="L2424" i="13" s="1"/>
  <c r="I2425" i="13" s="1"/>
  <c r="N2611" i="13"/>
  <c r="J2610" i="13" a="1"/>
  <c r="J2610" i="13" s="1"/>
  <c r="M2614" i="14"/>
  <c r="K2446" i="14"/>
  <c r="L2446" i="14" s="1"/>
  <c r="I2447" i="14" s="1"/>
  <c r="M2613" i="13"/>
  <c r="J2609" i="14" a="1"/>
  <c r="J2609" i="14" s="1"/>
  <c r="N2610" i="14"/>
  <c r="K2447" i="14" l="1"/>
  <c r="L2447" i="14" s="1"/>
  <c r="I2448" i="14" s="1"/>
  <c r="K2425" i="13"/>
  <c r="L2425" i="13" s="1"/>
  <c r="I2426" i="13" s="1"/>
  <c r="J2610" i="14" a="1"/>
  <c r="J2610" i="14" s="1"/>
  <c r="N2611" i="14"/>
  <c r="J2611" i="13" a="1"/>
  <c r="J2611" i="13" s="1"/>
  <c r="N2612" i="13"/>
  <c r="M2614" i="13"/>
  <c r="M2615" i="14"/>
  <c r="K2448" i="14" l="1"/>
  <c r="L2448" i="14" s="1"/>
  <c r="I2449" i="14" s="1"/>
  <c r="N2613" i="13"/>
  <c r="J2612" i="13" a="1"/>
  <c r="J2612" i="13" s="1"/>
  <c r="K2426" i="13"/>
  <c r="L2426" i="13" s="1"/>
  <c r="I2427" i="13" s="1"/>
  <c r="M2616" i="14"/>
  <c r="N2612" i="14"/>
  <c r="J2611" i="14" a="1"/>
  <c r="J2611" i="14" s="1"/>
  <c r="M2615" i="13"/>
  <c r="K2427" i="13" l="1"/>
  <c r="L2427" i="13" s="1"/>
  <c r="I2428" i="13" s="1"/>
  <c r="K2449" i="14"/>
  <c r="L2449" i="14" s="1"/>
  <c r="I2450" i="14" s="1"/>
  <c r="N2614" i="13"/>
  <c r="J2613" i="13" a="1"/>
  <c r="J2613" i="13" s="1"/>
  <c r="M2616" i="13"/>
  <c r="M2617" i="14"/>
  <c r="J2612" i="14" a="1"/>
  <c r="J2612" i="14" s="1"/>
  <c r="N2613" i="14"/>
  <c r="K2450" i="14" l="1"/>
  <c r="L2450" i="14" s="1"/>
  <c r="I2451" i="14" s="1"/>
  <c r="K2428" i="13"/>
  <c r="L2428" i="13" s="1"/>
  <c r="I2429" i="13" s="1"/>
  <c r="M2617" i="13"/>
  <c r="M2618" i="14"/>
  <c r="J2613" i="14" a="1"/>
  <c r="J2613" i="14" s="1"/>
  <c r="N2614" i="14"/>
  <c r="N2615" i="13"/>
  <c r="J2614" i="13" a="1"/>
  <c r="J2614" i="13" s="1"/>
  <c r="K2429" i="13" l="1"/>
  <c r="L2429" i="13" s="1"/>
  <c r="I2430" i="13" s="1"/>
  <c r="M2619" i="14"/>
  <c r="J2615" i="13" a="1"/>
  <c r="J2615" i="13" s="1"/>
  <c r="N2616" i="13"/>
  <c r="N2615" i="14"/>
  <c r="J2614" i="14" a="1"/>
  <c r="J2614" i="14" s="1"/>
  <c r="M2618" i="13"/>
  <c r="K2451" i="14"/>
  <c r="L2451" i="14" s="1"/>
  <c r="I2452" i="14" s="1"/>
  <c r="K2452" i="14" l="1"/>
  <c r="L2452" i="14" s="1"/>
  <c r="I2453" i="14" s="1"/>
  <c r="K2430" i="13"/>
  <c r="L2430" i="13" s="1"/>
  <c r="I2431" i="13" s="1"/>
  <c r="N2616" i="14"/>
  <c r="J2615" i="14" a="1"/>
  <c r="J2615" i="14" s="1"/>
  <c r="M2620" i="14"/>
  <c r="N2617" i="13"/>
  <c r="J2616" i="13" a="1"/>
  <c r="J2616" i="13" s="1"/>
  <c r="M2619" i="13"/>
  <c r="K2453" i="14" l="1"/>
  <c r="L2453" i="14" s="1"/>
  <c r="I2454" i="14" s="1"/>
  <c r="K2431" i="13"/>
  <c r="L2431" i="13" s="1"/>
  <c r="I2432" i="13" s="1"/>
  <c r="J2617" i="13" a="1"/>
  <c r="J2617" i="13" s="1"/>
  <c r="N2618" i="13"/>
  <c r="M2620" i="13"/>
  <c r="J2616" i="14" a="1"/>
  <c r="J2616" i="14" s="1"/>
  <c r="N2617" i="14"/>
  <c r="M2621" i="14"/>
  <c r="K2454" i="14" l="1"/>
  <c r="L2454" i="14" s="1"/>
  <c r="I2455" i="14" s="1"/>
  <c r="K2432" i="13"/>
  <c r="L2432" i="13" s="1"/>
  <c r="I2433" i="13" s="1"/>
  <c r="M2621" i="13"/>
  <c r="M2622" i="14"/>
  <c r="J2617" i="14" a="1"/>
  <c r="J2617" i="14" s="1"/>
  <c r="N2618" i="14"/>
  <c r="N2619" i="13"/>
  <c r="J2618" i="13" a="1"/>
  <c r="J2618" i="13" s="1"/>
  <c r="K2433" i="13" l="1"/>
  <c r="L2433" i="13" s="1"/>
  <c r="I2434" i="13" s="1"/>
  <c r="K2455" i="14"/>
  <c r="L2455" i="14" s="1"/>
  <c r="I2456" i="14" s="1"/>
  <c r="M2623" i="14"/>
  <c r="J2619" i="13" a="1"/>
  <c r="J2619" i="13" s="1"/>
  <c r="N2620" i="13"/>
  <c r="J2618" i="14" a="1"/>
  <c r="J2618" i="14" s="1"/>
  <c r="N2619" i="14"/>
  <c r="M2622" i="13"/>
  <c r="K2434" i="13" l="1"/>
  <c r="L2434" i="13" s="1"/>
  <c r="I2435" i="13" s="1"/>
  <c r="N2621" i="13"/>
  <c r="J2620" i="13" a="1"/>
  <c r="J2620" i="13" s="1"/>
  <c r="M2623" i="13"/>
  <c r="K2456" i="14"/>
  <c r="L2456" i="14" s="1"/>
  <c r="I2457" i="14" s="1"/>
  <c r="N2620" i="14"/>
  <c r="J2619" i="14" a="1"/>
  <c r="J2619" i="14" s="1"/>
  <c r="M2624" i="14"/>
  <c r="K2457" i="14" l="1"/>
  <c r="L2457" i="14" s="1"/>
  <c r="I2458" i="14" s="1"/>
  <c r="K2435" i="13"/>
  <c r="L2435" i="13" s="1"/>
  <c r="I2436" i="13" s="1"/>
  <c r="J2621" i="13" a="1"/>
  <c r="J2621" i="13" s="1"/>
  <c r="N2622" i="13"/>
  <c r="M2624" i="13"/>
  <c r="M2625" i="14"/>
  <c r="J2620" i="14" a="1"/>
  <c r="J2620" i="14" s="1"/>
  <c r="N2621" i="14"/>
  <c r="K2436" i="13" l="1"/>
  <c r="L2436" i="13" s="1"/>
  <c r="I2437" i="13" s="1"/>
  <c r="K2458" i="14"/>
  <c r="L2458" i="14" s="1"/>
  <c r="I2459" i="14" s="1"/>
  <c r="J2621" i="14" a="1"/>
  <c r="J2621" i="14" s="1"/>
  <c r="N2622" i="14"/>
  <c r="M2626" i="14"/>
  <c r="M2625" i="13"/>
  <c r="N2623" i="13"/>
  <c r="J2622" i="13" a="1"/>
  <c r="J2622" i="13" s="1"/>
  <c r="K2459" i="14" l="1"/>
  <c r="L2459" i="14" s="1"/>
  <c r="I2460" i="14" s="1"/>
  <c r="K2437" i="13"/>
  <c r="L2437" i="13" s="1"/>
  <c r="I2438" i="13" s="1"/>
  <c r="M2626" i="13"/>
  <c r="M2627" i="14"/>
  <c r="J2623" i="13" a="1"/>
  <c r="J2623" i="13" s="1"/>
  <c r="N2624" i="13"/>
  <c r="N2623" i="14"/>
  <c r="J2622" i="14" a="1"/>
  <c r="J2622" i="14" s="1"/>
  <c r="K2438" i="13" l="1"/>
  <c r="L2438" i="13" s="1"/>
  <c r="I2439" i="13" s="1"/>
  <c r="K2460" i="14"/>
  <c r="L2460" i="14" s="1"/>
  <c r="I2461" i="14" s="1"/>
  <c r="N2625" i="13"/>
  <c r="J2624" i="13" a="1"/>
  <c r="J2624" i="13" s="1"/>
  <c r="N2624" i="14"/>
  <c r="J2623" i="14" a="1"/>
  <c r="J2623" i="14" s="1"/>
  <c r="M2628" i="14"/>
  <c r="M2627" i="13"/>
  <c r="K2461" i="14" l="1"/>
  <c r="L2461" i="14" s="1"/>
  <c r="I2462" i="14" s="1"/>
  <c r="K2439" i="13"/>
  <c r="L2439" i="13" s="1"/>
  <c r="I2440" i="13" s="1"/>
  <c r="M2628" i="13"/>
  <c r="J2624" i="14" a="1"/>
  <c r="J2624" i="14" s="1"/>
  <c r="N2625" i="14"/>
  <c r="M2629" i="14"/>
  <c r="J2625" i="13" a="1"/>
  <c r="J2625" i="13" s="1"/>
  <c r="N2626" i="13"/>
  <c r="K2462" i="14" l="1"/>
  <c r="L2462" i="14" s="1"/>
  <c r="I2463" i="14" s="1"/>
  <c r="K2440" i="13"/>
  <c r="L2440" i="13" s="1"/>
  <c r="I2441" i="13" s="1"/>
  <c r="J2625" i="14" a="1"/>
  <c r="J2625" i="14" s="1"/>
  <c r="N2626" i="14"/>
  <c r="N2627" i="13"/>
  <c r="J2626" i="13" a="1"/>
  <c r="J2626" i="13" s="1"/>
  <c r="M2630" i="14"/>
  <c r="M2629" i="13"/>
  <c r="K2463" i="14" l="1"/>
  <c r="L2463" i="14" s="1"/>
  <c r="I2464" i="14" s="1"/>
  <c r="M2630" i="13"/>
  <c r="J2627" i="13" a="1"/>
  <c r="J2627" i="13" s="1"/>
  <c r="N2628" i="13"/>
  <c r="K2441" i="13"/>
  <c r="L2441" i="13" s="1"/>
  <c r="I2442" i="13" s="1"/>
  <c r="J2626" i="14" a="1"/>
  <c r="J2626" i="14" s="1"/>
  <c r="N2627" i="14"/>
  <c r="M2631" i="14"/>
  <c r="K2442" i="13" l="1"/>
  <c r="L2442" i="13" s="1"/>
  <c r="I2443" i="13" s="1"/>
  <c r="K2464" i="14"/>
  <c r="L2464" i="14" s="1"/>
  <c r="I2465" i="14" s="1"/>
  <c r="N2628" i="14"/>
  <c r="J2627" i="14" a="1"/>
  <c r="J2627" i="14" s="1"/>
  <c r="N2629" i="13"/>
  <c r="J2628" i="13" a="1"/>
  <c r="J2628" i="13" s="1"/>
  <c r="M2632" i="14"/>
  <c r="M2631" i="13"/>
  <c r="K2465" i="14" l="1"/>
  <c r="L2465" i="14" s="1"/>
  <c r="I2466" i="14" s="1"/>
  <c r="K2443" i="13"/>
  <c r="L2443" i="13" s="1"/>
  <c r="I2444" i="13" s="1"/>
  <c r="M2632" i="13"/>
  <c r="J2629" i="13" a="1"/>
  <c r="J2629" i="13" s="1"/>
  <c r="N2630" i="13"/>
  <c r="M2633" i="14"/>
  <c r="J2628" i="14" a="1"/>
  <c r="J2628" i="14" s="1"/>
  <c r="N2629" i="14"/>
  <c r="K2444" i="13" l="1"/>
  <c r="L2444" i="13" s="1"/>
  <c r="I2445" i="13" s="1"/>
  <c r="K2466" i="14"/>
  <c r="L2466" i="14" s="1"/>
  <c r="I2467" i="14" s="1"/>
  <c r="J2629" i="14" a="1"/>
  <c r="J2629" i="14" s="1"/>
  <c r="N2630" i="14"/>
  <c r="N2631" i="13"/>
  <c r="J2630" i="13" a="1"/>
  <c r="J2630" i="13" s="1"/>
  <c r="M2634" i="14"/>
  <c r="M2633" i="13"/>
  <c r="K2467" i="14" l="1"/>
  <c r="L2467" i="14" s="1"/>
  <c r="I2468" i="14" s="1"/>
  <c r="K2445" i="13"/>
  <c r="L2445" i="13" s="1"/>
  <c r="I2446" i="13" s="1"/>
  <c r="M2635" i="14"/>
  <c r="M2634" i="13"/>
  <c r="J2631" i="13" a="1"/>
  <c r="J2631" i="13" s="1"/>
  <c r="N2632" i="13"/>
  <c r="N2631" i="14"/>
  <c r="J2630" i="14" a="1"/>
  <c r="J2630" i="14" s="1"/>
  <c r="K2446" i="13" l="1"/>
  <c r="L2446" i="13" s="1"/>
  <c r="I2447" i="13" s="1"/>
  <c r="K2468" i="14"/>
  <c r="L2468" i="14" s="1"/>
  <c r="I2469" i="14" s="1"/>
  <c r="N2633" i="13"/>
  <c r="J2632" i="13" a="1"/>
  <c r="J2632" i="13" s="1"/>
  <c r="N2632" i="14"/>
  <c r="J2631" i="14" a="1"/>
  <c r="J2631" i="14" s="1"/>
  <c r="M2635" i="13"/>
  <c r="M2636" i="14"/>
  <c r="K2469" i="14" l="1"/>
  <c r="L2469" i="14" s="1"/>
  <c r="I2470" i="14" s="1"/>
  <c r="K2447" i="13"/>
  <c r="L2447" i="13" s="1"/>
  <c r="I2448" i="13" s="1"/>
  <c r="M2636" i="13"/>
  <c r="M2637" i="14"/>
  <c r="J2632" i="14" a="1"/>
  <c r="J2632" i="14" s="1"/>
  <c r="N2633" i="14"/>
  <c r="J2633" i="13" a="1"/>
  <c r="J2633" i="13" s="1"/>
  <c r="N2634" i="13"/>
  <c r="K2448" i="13" l="1"/>
  <c r="L2448" i="13" s="1"/>
  <c r="I2449" i="13" s="1"/>
  <c r="K2470" i="14"/>
  <c r="L2470" i="14" s="1"/>
  <c r="I2471" i="14" s="1"/>
  <c r="N2635" i="13"/>
  <c r="J2634" i="13" a="1"/>
  <c r="J2634" i="13" s="1"/>
  <c r="M2638" i="14"/>
  <c r="J2633" i="14" a="1"/>
  <c r="J2633" i="14" s="1"/>
  <c r="N2634" i="14"/>
  <c r="M2637" i="13"/>
  <c r="K2471" i="14" l="1"/>
  <c r="L2471" i="14" s="1"/>
  <c r="I2472" i="14" s="1"/>
  <c r="K2449" i="13"/>
  <c r="L2449" i="13" s="1"/>
  <c r="I2450" i="13" s="1"/>
  <c r="M2638" i="13"/>
  <c r="M2639" i="14"/>
  <c r="J2634" i="14" a="1"/>
  <c r="J2634" i="14" s="1"/>
  <c r="N2635" i="14"/>
  <c r="J2635" i="13" a="1"/>
  <c r="J2635" i="13" s="1"/>
  <c r="N2636" i="13"/>
  <c r="K2472" i="14" l="1"/>
  <c r="L2472" i="14" s="1"/>
  <c r="I2473" i="14" s="1"/>
  <c r="K2450" i="13"/>
  <c r="L2450" i="13" s="1"/>
  <c r="I2451" i="13" s="1"/>
  <c r="M2640" i="14"/>
  <c r="N2636" i="14"/>
  <c r="J2635" i="14" a="1"/>
  <c r="J2635" i="14" s="1"/>
  <c r="N2637" i="13"/>
  <c r="J2636" i="13" a="1"/>
  <c r="J2636" i="13" s="1"/>
  <c r="M2639" i="13"/>
  <c r="K2451" i="13" l="1"/>
  <c r="L2451" i="13" s="1"/>
  <c r="I2452" i="13" s="1"/>
  <c r="K2473" i="14"/>
  <c r="L2473" i="14" s="1"/>
  <c r="I2474" i="14" s="1"/>
  <c r="M2640" i="13"/>
  <c r="J2636" i="14" a="1"/>
  <c r="J2636" i="14" s="1"/>
  <c r="N2637" i="14"/>
  <c r="J2637" i="13" a="1"/>
  <c r="J2637" i="13" s="1"/>
  <c r="N2638" i="13"/>
  <c r="M2641" i="14"/>
  <c r="K2474" i="14" l="1"/>
  <c r="L2474" i="14" s="1"/>
  <c r="I2475" i="14" s="1"/>
  <c r="J2637" i="14" a="1"/>
  <c r="J2637" i="14" s="1"/>
  <c r="N2638" i="14"/>
  <c r="M2641" i="13"/>
  <c r="M2642" i="14"/>
  <c r="N2639" i="13"/>
  <c r="J2638" i="13" a="1"/>
  <c r="J2638" i="13" s="1"/>
  <c r="K2452" i="13"/>
  <c r="L2452" i="13" s="1"/>
  <c r="I2453" i="13" s="1"/>
  <c r="K2453" i="13" l="1"/>
  <c r="L2453" i="13" s="1"/>
  <c r="I2454" i="13" s="1"/>
  <c r="K2475" i="14"/>
  <c r="L2475" i="14" s="1"/>
  <c r="I2476" i="14" s="1"/>
  <c r="M2643" i="14"/>
  <c r="N2639" i="14"/>
  <c r="J2638" i="14" a="1"/>
  <c r="J2638" i="14" s="1"/>
  <c r="M2642" i="13"/>
  <c r="J2639" i="13" a="1"/>
  <c r="J2639" i="13" s="1"/>
  <c r="N2640" i="13"/>
  <c r="K2476" i="14" l="1"/>
  <c r="L2476" i="14" s="1"/>
  <c r="I2477" i="14" s="1"/>
  <c r="K2454" i="13"/>
  <c r="L2454" i="13" s="1"/>
  <c r="I2455" i="13" s="1"/>
  <c r="N2641" i="13"/>
  <c r="J2640" i="13" a="1"/>
  <c r="J2640" i="13" s="1"/>
  <c r="N2640" i="14"/>
  <c r="J2639" i="14" a="1"/>
  <c r="J2639" i="14" s="1"/>
  <c r="M2643" i="13"/>
  <c r="M2644" i="14"/>
  <c r="K2477" i="14" l="1"/>
  <c r="L2477" i="14" s="1"/>
  <c r="I2478" i="14" s="1"/>
  <c r="K2455" i="13"/>
  <c r="L2455" i="13" s="1"/>
  <c r="I2456" i="13" s="1"/>
  <c r="M2644" i="13"/>
  <c r="M2645" i="14"/>
  <c r="J2640" i="14" a="1"/>
  <c r="J2640" i="14" s="1"/>
  <c r="N2641" i="14"/>
  <c r="J2641" i="13" a="1"/>
  <c r="J2641" i="13" s="1"/>
  <c r="N2642" i="13"/>
  <c r="K2478" i="14" l="1"/>
  <c r="L2478" i="14" s="1"/>
  <c r="I2479" i="14" s="1"/>
  <c r="K2456" i="13"/>
  <c r="L2456" i="13" s="1"/>
  <c r="I2457" i="13" s="1"/>
  <c r="N2643" i="13"/>
  <c r="J2642" i="13" a="1"/>
  <c r="J2642" i="13" s="1"/>
  <c r="M2646" i="14"/>
  <c r="J2641" i="14" a="1"/>
  <c r="J2641" i="14" s="1"/>
  <c r="N2642" i="14"/>
  <c r="M2645" i="13"/>
  <c r="K2457" i="13" l="1"/>
  <c r="L2457" i="13" s="1"/>
  <c r="I2458" i="13" s="1"/>
  <c r="J2642" i="14" a="1"/>
  <c r="J2642" i="14" s="1"/>
  <c r="N2643" i="14"/>
  <c r="J2643" i="13" a="1"/>
  <c r="J2643" i="13" s="1"/>
  <c r="N2644" i="13"/>
  <c r="M2646" i="13"/>
  <c r="M2647" i="14"/>
  <c r="K2479" i="14"/>
  <c r="L2479" i="14" s="1"/>
  <c r="I2480" i="14" s="1"/>
  <c r="K2458" i="13" l="1"/>
  <c r="L2458" i="13" s="1"/>
  <c r="I2459" i="13" s="1"/>
  <c r="K2480" i="14"/>
  <c r="L2480" i="14" s="1"/>
  <c r="I2481" i="14" s="1"/>
  <c r="N2644" i="14"/>
  <c r="J2643" i="14" a="1"/>
  <c r="J2643" i="14" s="1"/>
  <c r="M2647" i="13"/>
  <c r="N2645" i="13"/>
  <c r="J2644" i="13" a="1"/>
  <c r="J2644" i="13" s="1"/>
  <c r="M2648" i="14"/>
  <c r="K2481" i="14" l="1"/>
  <c r="L2481" i="14" s="1"/>
  <c r="I2482" i="14" s="1"/>
  <c r="K2459" i="13"/>
  <c r="L2459" i="13" s="1"/>
  <c r="I2460" i="13" s="1"/>
  <c r="M2648" i="13"/>
  <c r="M2649" i="14"/>
  <c r="J2645" i="13" a="1"/>
  <c r="J2645" i="13" s="1"/>
  <c r="N2646" i="13"/>
  <c r="J2644" i="14" a="1"/>
  <c r="J2644" i="14" s="1"/>
  <c r="N2645" i="14"/>
  <c r="K2460" i="13" l="1"/>
  <c r="L2460" i="13" s="1"/>
  <c r="I2461" i="13" s="1"/>
  <c r="K2482" i="14"/>
  <c r="L2482" i="14" s="1"/>
  <c r="I2483" i="14" s="1"/>
  <c r="N2647" i="13"/>
  <c r="J2646" i="13" a="1"/>
  <c r="J2646" i="13" s="1"/>
  <c r="M2650" i="14"/>
  <c r="J2645" i="14" a="1"/>
  <c r="J2645" i="14" s="1"/>
  <c r="N2646" i="14"/>
  <c r="M2649" i="13"/>
  <c r="K2483" i="14" l="1"/>
  <c r="L2483" i="14" s="1"/>
  <c r="I2484" i="14" s="1"/>
  <c r="K2461" i="13"/>
  <c r="L2461" i="13" s="1"/>
  <c r="I2462" i="13" s="1"/>
  <c r="N2647" i="14"/>
  <c r="J2646" i="14" a="1"/>
  <c r="J2646" i="14" s="1"/>
  <c r="M2650" i="13"/>
  <c r="M2651" i="14"/>
  <c r="J2647" i="13" a="1"/>
  <c r="J2647" i="13" s="1"/>
  <c r="N2648" i="13"/>
  <c r="K2462" i="13" l="1"/>
  <c r="L2462" i="13" s="1"/>
  <c r="I2463" i="13" s="1"/>
  <c r="N2648" i="14"/>
  <c r="J2647" i="14" a="1"/>
  <c r="J2647" i="14" s="1"/>
  <c r="N2649" i="13"/>
  <c r="J2648" i="13" a="1"/>
  <c r="J2648" i="13" s="1"/>
  <c r="M2651" i="13"/>
  <c r="M2652" i="14"/>
  <c r="K2484" i="14"/>
  <c r="L2484" i="14" s="1"/>
  <c r="I2485" i="14" s="1"/>
  <c r="K2463" i="13" l="1"/>
  <c r="L2463" i="13" s="1"/>
  <c r="I2464" i="13" s="1"/>
  <c r="K2485" i="14"/>
  <c r="L2485" i="14" s="1"/>
  <c r="I2486" i="14" s="1"/>
  <c r="J2648" i="14" a="1"/>
  <c r="J2648" i="14" s="1"/>
  <c r="N2649" i="14"/>
  <c r="M2652" i="13"/>
  <c r="M2653" i="14"/>
  <c r="J2649" i="13" a="1"/>
  <c r="J2649" i="13" s="1"/>
  <c r="N2650" i="13"/>
  <c r="K2486" i="14" l="1"/>
  <c r="L2486" i="14" s="1"/>
  <c r="I2487" i="14" s="1"/>
  <c r="M2654" i="14"/>
  <c r="M2653" i="13"/>
  <c r="N2651" i="13"/>
  <c r="J2650" i="13" a="1"/>
  <c r="J2650" i="13" s="1"/>
  <c r="J2649" i="14" a="1"/>
  <c r="J2649" i="14" s="1"/>
  <c r="N2650" i="14"/>
  <c r="K2464" i="13"/>
  <c r="L2464" i="13" s="1"/>
  <c r="I2465" i="13" s="1"/>
  <c r="K2465" i="13" l="1"/>
  <c r="L2465" i="13" s="1"/>
  <c r="I2466" i="13" s="1"/>
  <c r="K2487" i="14"/>
  <c r="L2487" i="14" s="1"/>
  <c r="I2488" i="14" s="1"/>
  <c r="M2655" i="14"/>
  <c r="J2651" i="13" a="1"/>
  <c r="J2651" i="13" s="1"/>
  <c r="N2652" i="13"/>
  <c r="J2650" i="14" a="1"/>
  <c r="J2650" i="14" s="1"/>
  <c r="N2651" i="14"/>
  <c r="M2654" i="13"/>
  <c r="K2488" i="14" l="1"/>
  <c r="L2488" i="14" s="1"/>
  <c r="I2489" i="14" s="1"/>
  <c r="N2653" i="13"/>
  <c r="J2652" i="13" a="1"/>
  <c r="J2652" i="13" s="1"/>
  <c r="M2656" i="14"/>
  <c r="M2655" i="13"/>
  <c r="N2652" i="14"/>
  <c r="J2651" i="14" a="1"/>
  <c r="J2651" i="14" s="1"/>
  <c r="K2466" i="13"/>
  <c r="L2466" i="13" s="1"/>
  <c r="I2467" i="13" s="1"/>
  <c r="K2467" i="13" l="1"/>
  <c r="L2467" i="13" s="1"/>
  <c r="I2468" i="13" s="1"/>
  <c r="M2656" i="13"/>
  <c r="J2653" i="13" a="1"/>
  <c r="J2653" i="13" s="1"/>
  <c r="N2654" i="13"/>
  <c r="J2652" i="14" a="1"/>
  <c r="J2652" i="14" s="1"/>
  <c r="N2653" i="14"/>
  <c r="M2657" i="14"/>
  <c r="K2489" i="14"/>
  <c r="L2489" i="14" s="1"/>
  <c r="I2490" i="14" s="1"/>
  <c r="K2468" i="13" l="1"/>
  <c r="L2468" i="13" s="1"/>
  <c r="I2469" i="13" s="1"/>
  <c r="K2490" i="14"/>
  <c r="L2490" i="14" s="1"/>
  <c r="I2491" i="14" s="1"/>
  <c r="J2653" i="14" a="1"/>
  <c r="J2653" i="14" s="1"/>
  <c r="N2654" i="14"/>
  <c r="M2657" i="13"/>
  <c r="M2658" i="14"/>
  <c r="N2655" i="13"/>
  <c r="J2654" i="13" a="1"/>
  <c r="J2654" i="13" s="1"/>
  <c r="K2491" i="14" l="1"/>
  <c r="L2491" i="14" s="1"/>
  <c r="I2492" i="14" s="1"/>
  <c r="K2469" i="13"/>
  <c r="L2469" i="13" s="1"/>
  <c r="I2470" i="13" s="1"/>
  <c r="M2658" i="13"/>
  <c r="J2655" i="13" a="1"/>
  <c r="J2655" i="13" s="1"/>
  <c r="N2656" i="13"/>
  <c r="M2659" i="14"/>
  <c r="N2655" i="14"/>
  <c r="J2654" i="14" a="1"/>
  <c r="J2654" i="14" s="1"/>
  <c r="K2470" i="13" l="1"/>
  <c r="L2470" i="13" s="1"/>
  <c r="I2471" i="13" s="1"/>
  <c r="K2492" i="14"/>
  <c r="L2492" i="14" s="1"/>
  <c r="I2493" i="14" s="1"/>
  <c r="N2657" i="13"/>
  <c r="J2656" i="13" a="1"/>
  <c r="J2656" i="13" s="1"/>
  <c r="N2656" i="14"/>
  <c r="J2655" i="14" a="1"/>
  <c r="J2655" i="14" s="1"/>
  <c r="M2660" i="14"/>
  <c r="M2659" i="13"/>
  <c r="K2493" i="14" l="1"/>
  <c r="L2493" i="14" s="1"/>
  <c r="I2494" i="14" s="1"/>
  <c r="M2661" i="14"/>
  <c r="M2660" i="13"/>
  <c r="J2656" i="14" a="1"/>
  <c r="J2656" i="14" s="1"/>
  <c r="N2657" i="14"/>
  <c r="J2657" i="13" a="1"/>
  <c r="J2657" i="13" s="1"/>
  <c r="N2658" i="13"/>
  <c r="K2471" i="13"/>
  <c r="L2471" i="13" s="1"/>
  <c r="I2472" i="13" s="1"/>
  <c r="K2472" i="13" l="1"/>
  <c r="L2472" i="13" s="1"/>
  <c r="I2473" i="13" s="1"/>
  <c r="K2494" i="14"/>
  <c r="L2494" i="14" s="1"/>
  <c r="I2495" i="14" s="1"/>
  <c r="J2657" i="14" a="1"/>
  <c r="J2657" i="14" s="1"/>
  <c r="N2658" i="14"/>
  <c r="M2662" i="14"/>
  <c r="N2659" i="13"/>
  <c r="J2658" i="13" a="1"/>
  <c r="J2658" i="13" s="1"/>
  <c r="M2661" i="13"/>
  <c r="K2495" i="14" l="1"/>
  <c r="L2495" i="14" s="1"/>
  <c r="I2496" i="14" s="1"/>
  <c r="M2662" i="13"/>
  <c r="M2663" i="14"/>
  <c r="J2659" i="13" a="1"/>
  <c r="J2659" i="13" s="1"/>
  <c r="N2660" i="13"/>
  <c r="J2658" i="14" a="1"/>
  <c r="J2658" i="14" s="1"/>
  <c r="N2659" i="14"/>
  <c r="K2473" i="13"/>
  <c r="L2473" i="13" s="1"/>
  <c r="I2474" i="13" s="1"/>
  <c r="K2474" i="13" l="1"/>
  <c r="L2474" i="13" s="1"/>
  <c r="I2475" i="13" s="1"/>
  <c r="K2496" i="14"/>
  <c r="L2496" i="14" s="1"/>
  <c r="I2497" i="14" s="1"/>
  <c r="N2661" i="13"/>
  <c r="J2660" i="13" a="1"/>
  <c r="J2660" i="13" s="1"/>
  <c r="M2663" i="13"/>
  <c r="N2660" i="14"/>
  <c r="J2659" i="14" a="1"/>
  <c r="J2659" i="14" s="1"/>
  <c r="M2664" i="14"/>
  <c r="K2497" i="14" l="1"/>
  <c r="L2497" i="14" s="1"/>
  <c r="I2498" i="14" s="1"/>
  <c r="J2660" i="14" a="1"/>
  <c r="J2660" i="14" s="1"/>
  <c r="N2661" i="14"/>
  <c r="J2661" i="13" a="1"/>
  <c r="J2661" i="13" s="1"/>
  <c r="N2662" i="13"/>
  <c r="M2664" i="13"/>
  <c r="M2665" i="14"/>
  <c r="K2475" i="13"/>
  <c r="L2475" i="13" s="1"/>
  <c r="I2476" i="13" s="1"/>
  <c r="K2498" i="14" l="1"/>
  <c r="L2498" i="14" s="1"/>
  <c r="I2499" i="14" s="1"/>
  <c r="K2476" i="13"/>
  <c r="L2476" i="13" s="1"/>
  <c r="I2477" i="13" s="1"/>
  <c r="J2661" i="14" a="1"/>
  <c r="J2661" i="14" s="1"/>
  <c r="N2662" i="14"/>
  <c r="M2665" i="13"/>
  <c r="M2666" i="14"/>
  <c r="N2663" i="13"/>
  <c r="J2662" i="13" a="1"/>
  <c r="J2662" i="13" s="1"/>
  <c r="K2477" i="13" l="1"/>
  <c r="L2477" i="13" s="1"/>
  <c r="I2478" i="13" s="1"/>
  <c r="K2499" i="14"/>
  <c r="L2499" i="14" s="1"/>
  <c r="I2500" i="14" s="1"/>
  <c r="J2663" i="13" a="1"/>
  <c r="J2663" i="13" s="1"/>
  <c r="N2664" i="13"/>
  <c r="M2666" i="13"/>
  <c r="M2667" i="14"/>
  <c r="N2663" i="14"/>
  <c r="J2662" i="14" a="1"/>
  <c r="J2662" i="14" s="1"/>
  <c r="K2500" i="14" l="1"/>
  <c r="L2500" i="14" s="1"/>
  <c r="I2501" i="14" s="1"/>
  <c r="M2668" i="14"/>
  <c r="N2664" i="14"/>
  <c r="J2663" i="14" a="1"/>
  <c r="J2663" i="14" s="1"/>
  <c r="M2667" i="13"/>
  <c r="N2665" i="13"/>
  <c r="J2664" i="13" a="1"/>
  <c r="J2664" i="13" s="1"/>
  <c r="K2478" i="13"/>
  <c r="L2478" i="13" s="1"/>
  <c r="I2479" i="13" s="1"/>
  <c r="K2479" i="13" l="1"/>
  <c r="L2479" i="13" s="1"/>
  <c r="I2480" i="13" s="1"/>
  <c r="K2501" i="14"/>
  <c r="L2501" i="14" s="1"/>
  <c r="I2502" i="14" s="1"/>
  <c r="J2665" i="13" a="1"/>
  <c r="J2665" i="13" s="1"/>
  <c r="N2666" i="13"/>
  <c r="M2668" i="13"/>
  <c r="M2669" i="14"/>
  <c r="J2664" i="14" a="1"/>
  <c r="J2664" i="14" s="1"/>
  <c r="N2665" i="14"/>
  <c r="K2502" i="14" l="1"/>
  <c r="L2502" i="14" s="1"/>
  <c r="I2503" i="14" s="1"/>
  <c r="K2480" i="13"/>
  <c r="L2480" i="13" s="1"/>
  <c r="I2481" i="13" s="1"/>
  <c r="J2665" i="14" a="1"/>
  <c r="J2665" i="14" s="1"/>
  <c r="N2666" i="14"/>
  <c r="M2669" i="13"/>
  <c r="N2667" i="13"/>
  <c r="J2666" i="13" a="1"/>
  <c r="J2666" i="13" s="1"/>
  <c r="M2670" i="14"/>
  <c r="K2481" i="13" l="1"/>
  <c r="L2481" i="13" s="1"/>
  <c r="I2482" i="13" s="1"/>
  <c r="K2503" i="14"/>
  <c r="L2503" i="14" s="1"/>
  <c r="I2504" i="14" s="1"/>
  <c r="M2670" i="13"/>
  <c r="M2671" i="14"/>
  <c r="J2666" i="14" a="1"/>
  <c r="J2666" i="14" s="1"/>
  <c r="N2667" i="14"/>
  <c r="J2667" i="13" a="1"/>
  <c r="J2667" i="13" s="1"/>
  <c r="N2668" i="13"/>
  <c r="K2504" i="14" l="1"/>
  <c r="L2504" i="14" s="1"/>
  <c r="I2505" i="14" s="1"/>
  <c r="K2482" i="13"/>
  <c r="L2482" i="13" s="1"/>
  <c r="I2483" i="13" s="1"/>
  <c r="N2669" i="13"/>
  <c r="J2668" i="13" a="1"/>
  <c r="J2668" i="13" s="1"/>
  <c r="M2672" i="14"/>
  <c r="N2668" i="14"/>
  <c r="J2667" i="14" a="1"/>
  <c r="J2667" i="14" s="1"/>
  <c r="M2671" i="13"/>
  <c r="K2483" i="13" l="1"/>
  <c r="L2483" i="13" s="1"/>
  <c r="I2484" i="13" s="1"/>
  <c r="J2669" i="13" a="1"/>
  <c r="J2669" i="13" s="1"/>
  <c r="N2670" i="13"/>
  <c r="M2672" i="13"/>
  <c r="M2673" i="14"/>
  <c r="J2668" i="14" a="1"/>
  <c r="J2668" i="14" s="1"/>
  <c r="N2669" i="14"/>
  <c r="K2505" i="14"/>
  <c r="L2505" i="14" s="1"/>
  <c r="I2506" i="14" s="1"/>
  <c r="K2506" i="14" l="1"/>
  <c r="L2506" i="14" s="1"/>
  <c r="I2507" i="14" s="1"/>
  <c r="K2484" i="13"/>
  <c r="L2484" i="13" s="1"/>
  <c r="I2485" i="13" s="1"/>
  <c r="N2671" i="13"/>
  <c r="J2670" i="13" a="1"/>
  <c r="J2670" i="13" s="1"/>
  <c r="M2674" i="14"/>
  <c r="J2669" i="14" a="1"/>
  <c r="J2669" i="14" s="1"/>
  <c r="N2670" i="14"/>
  <c r="M2673" i="13"/>
  <c r="K2485" i="13" l="1"/>
  <c r="L2485" i="13" s="1"/>
  <c r="I2486" i="13" s="1"/>
  <c r="K2507" i="14"/>
  <c r="L2507" i="14" s="1"/>
  <c r="I2508" i="14" s="1"/>
  <c r="M2674" i="13"/>
  <c r="M2675" i="14"/>
  <c r="N2671" i="14"/>
  <c r="J2670" i="14" a="1"/>
  <c r="J2670" i="14" s="1"/>
  <c r="J2671" i="13" a="1"/>
  <c r="J2671" i="13" s="1"/>
  <c r="N2672" i="13"/>
  <c r="K2508" i="14" l="1"/>
  <c r="L2508" i="14" s="1"/>
  <c r="I2509" i="14" s="1"/>
  <c r="K2486" i="13"/>
  <c r="L2486" i="13" s="1"/>
  <c r="I2487" i="13" s="1"/>
  <c r="N2673" i="13"/>
  <c r="J2672" i="13" a="1"/>
  <c r="J2672" i="13" s="1"/>
  <c r="M2676" i="14"/>
  <c r="N2672" i="14"/>
  <c r="J2671" i="14" a="1"/>
  <c r="J2671" i="14" s="1"/>
  <c r="M2675" i="13"/>
  <c r="K2509" i="14" l="1"/>
  <c r="L2509" i="14" s="1"/>
  <c r="I2510" i="14" s="1"/>
  <c r="K2487" i="13"/>
  <c r="L2487" i="13" s="1"/>
  <c r="I2488" i="13" s="1"/>
  <c r="J2672" i="14" a="1"/>
  <c r="J2672" i="14" s="1"/>
  <c r="N2673" i="14"/>
  <c r="M2676" i="13"/>
  <c r="M2677" i="14"/>
  <c r="J2673" i="13" a="1"/>
  <c r="J2673" i="13" s="1"/>
  <c r="N2674" i="13"/>
  <c r="K2510" i="14" l="1"/>
  <c r="L2510" i="14" s="1"/>
  <c r="I2511" i="14" s="1"/>
  <c r="K2488" i="13"/>
  <c r="L2488" i="13" s="1"/>
  <c r="I2489" i="13" s="1"/>
  <c r="M2677" i="13"/>
  <c r="N2675" i="13"/>
  <c r="J2674" i="13" a="1"/>
  <c r="J2674" i="13" s="1"/>
  <c r="J2673" i="14" a="1"/>
  <c r="J2673" i="14" s="1"/>
  <c r="N2674" i="14"/>
  <c r="M2678" i="14"/>
  <c r="K2489" i="13" l="1"/>
  <c r="L2489" i="13" s="1"/>
  <c r="I2490" i="13" s="1"/>
  <c r="K2511" i="14"/>
  <c r="L2511" i="14" s="1"/>
  <c r="I2512" i="14" s="1"/>
  <c r="M2679" i="14"/>
  <c r="J2675" i="13" a="1"/>
  <c r="J2675" i="13" s="1"/>
  <c r="N2676" i="13"/>
  <c r="J2674" i="14" a="1"/>
  <c r="J2674" i="14" s="1"/>
  <c r="N2675" i="14"/>
  <c r="M2678" i="13"/>
  <c r="K2512" i="14" l="1"/>
  <c r="L2512" i="14" s="1"/>
  <c r="I2513" i="14" s="1"/>
  <c r="K2490" i="13"/>
  <c r="L2490" i="13" s="1"/>
  <c r="I2491" i="13" s="1"/>
  <c r="N2677" i="13"/>
  <c r="J2676" i="13" a="1"/>
  <c r="J2676" i="13" s="1"/>
  <c r="N2676" i="14"/>
  <c r="J2675" i="14" a="1"/>
  <c r="J2675" i="14" s="1"/>
  <c r="M2679" i="13"/>
  <c r="M2680" i="14"/>
  <c r="K2491" i="13" l="1"/>
  <c r="L2491" i="13" s="1"/>
  <c r="I2492" i="13" s="1"/>
  <c r="M2681" i="14"/>
  <c r="J2676" i="14" a="1"/>
  <c r="J2676" i="14" s="1"/>
  <c r="N2677" i="14"/>
  <c r="M2680" i="13"/>
  <c r="J2677" i="13" a="1"/>
  <c r="J2677" i="13" s="1"/>
  <c r="N2678" i="13"/>
  <c r="K2513" i="14"/>
  <c r="L2513" i="14" s="1"/>
  <c r="I2514" i="14" s="1"/>
  <c r="K2492" i="13" l="1"/>
  <c r="L2492" i="13" s="1"/>
  <c r="I2493" i="13" s="1"/>
  <c r="K2514" i="14"/>
  <c r="L2514" i="14" s="1"/>
  <c r="I2515" i="14" s="1"/>
  <c r="M2682" i="14"/>
  <c r="N2679" i="13"/>
  <c r="J2678" i="13" a="1"/>
  <c r="J2678" i="13" s="1"/>
  <c r="M2681" i="13"/>
  <c r="J2677" i="14" a="1"/>
  <c r="J2677" i="14" s="1"/>
  <c r="N2678" i="14"/>
  <c r="K2515" i="14" l="1"/>
  <c r="L2515" i="14" s="1"/>
  <c r="I2516" i="14" s="1"/>
  <c r="K2493" i="13"/>
  <c r="L2493" i="13" s="1"/>
  <c r="I2494" i="13" s="1"/>
  <c r="J2679" i="13" a="1"/>
  <c r="J2679" i="13" s="1"/>
  <c r="N2680" i="13"/>
  <c r="N2679" i="14"/>
  <c r="J2678" i="14" a="1"/>
  <c r="J2678" i="14" s="1"/>
  <c r="M2682" i="13"/>
  <c r="M2683" i="14"/>
  <c r="K2494" i="13" l="1"/>
  <c r="L2494" i="13" s="1"/>
  <c r="I2495" i="13" s="1"/>
  <c r="M2683" i="13"/>
  <c r="N2680" i="14"/>
  <c r="J2679" i="14" a="1"/>
  <c r="J2679" i="14" s="1"/>
  <c r="M2684" i="14"/>
  <c r="N2681" i="13"/>
  <c r="J2680" i="13" a="1"/>
  <c r="J2680" i="13" s="1"/>
  <c r="K2516" i="14"/>
  <c r="L2516" i="14" s="1"/>
  <c r="I2517" i="14" s="1"/>
  <c r="K2517" i="14" l="1"/>
  <c r="L2517" i="14" s="1"/>
  <c r="I2518" i="14" s="1"/>
  <c r="M2684" i="13"/>
  <c r="J2680" i="14" a="1"/>
  <c r="J2680" i="14" s="1"/>
  <c r="N2681" i="14"/>
  <c r="M2685" i="14"/>
  <c r="J2681" i="13" a="1"/>
  <c r="J2681" i="13" s="1"/>
  <c r="N2682" i="13"/>
  <c r="K2495" i="13"/>
  <c r="L2495" i="13" s="1"/>
  <c r="I2496" i="13" s="1"/>
  <c r="K2518" i="14" l="1"/>
  <c r="L2518" i="14" s="1"/>
  <c r="I2519" i="14" s="1"/>
  <c r="K2496" i="13"/>
  <c r="L2496" i="13" s="1"/>
  <c r="I2497" i="13" s="1"/>
  <c r="J2681" i="14" a="1"/>
  <c r="J2681" i="14" s="1"/>
  <c r="N2682" i="14"/>
  <c r="M2686" i="14"/>
  <c r="M2685" i="13"/>
  <c r="N2683" i="13"/>
  <c r="J2682" i="13" a="1"/>
  <c r="J2682" i="13" s="1"/>
  <c r="K2497" i="13" l="1"/>
  <c r="L2497" i="13" s="1"/>
  <c r="I2498" i="13" s="1"/>
  <c r="K2519" i="14"/>
  <c r="L2519" i="14" s="1"/>
  <c r="I2520" i="14" s="1"/>
  <c r="M2687" i="14"/>
  <c r="J2683" i="13" a="1"/>
  <c r="J2683" i="13" s="1"/>
  <c r="N2684" i="13"/>
  <c r="M2686" i="13"/>
  <c r="J2682" i="14" a="1"/>
  <c r="J2682" i="14" s="1"/>
  <c r="N2683" i="14"/>
  <c r="K2520" i="14" l="1"/>
  <c r="L2520" i="14" s="1"/>
  <c r="I2521" i="14" s="1"/>
  <c r="N2684" i="14"/>
  <c r="J2683" i="14" a="1"/>
  <c r="J2683" i="14" s="1"/>
  <c r="N2685" i="13"/>
  <c r="J2684" i="13" a="1"/>
  <c r="J2684" i="13" s="1"/>
  <c r="M2687" i="13"/>
  <c r="M2688" i="14"/>
  <c r="K2498" i="13"/>
  <c r="L2498" i="13" s="1"/>
  <c r="I2499" i="13" s="1"/>
  <c r="K2521" i="14" l="1"/>
  <c r="L2521" i="14" s="1"/>
  <c r="I2522" i="14" s="1"/>
  <c r="M2688" i="13"/>
  <c r="K2499" i="13"/>
  <c r="L2499" i="13" s="1"/>
  <c r="I2500" i="13" s="1"/>
  <c r="J2684" i="14" a="1"/>
  <c r="J2684" i="14" s="1"/>
  <c r="N2685" i="14"/>
  <c r="M2689" i="14"/>
  <c r="J2685" i="13" a="1"/>
  <c r="J2685" i="13" s="1"/>
  <c r="N2686" i="13"/>
  <c r="K2522" i="14" l="1"/>
  <c r="L2522" i="14" s="1"/>
  <c r="I2523" i="14" s="1"/>
  <c r="K2500" i="13"/>
  <c r="L2500" i="13" s="1"/>
  <c r="I2501" i="13" s="1"/>
  <c r="J2685" i="14" a="1"/>
  <c r="J2685" i="14" s="1"/>
  <c r="N2686" i="14"/>
  <c r="N2687" i="13"/>
  <c r="J2686" i="13" a="1"/>
  <c r="J2686" i="13" s="1"/>
  <c r="M2689" i="13"/>
  <c r="M2690" i="14"/>
  <c r="K2501" i="13" l="1"/>
  <c r="L2501" i="13" s="1"/>
  <c r="I2502" i="13" s="1"/>
  <c r="K2523" i="14"/>
  <c r="L2523" i="14" s="1"/>
  <c r="I2524" i="14" s="1"/>
  <c r="J2687" i="13" a="1"/>
  <c r="J2687" i="13" s="1"/>
  <c r="N2688" i="13"/>
  <c r="M2691" i="14"/>
  <c r="M2690" i="13"/>
  <c r="N2687" i="14"/>
  <c r="J2686" i="14" a="1"/>
  <c r="J2686" i="14" s="1"/>
  <c r="K2524" i="14" l="1"/>
  <c r="L2524" i="14" s="1"/>
  <c r="I2525" i="14" s="1"/>
  <c r="K2502" i="13"/>
  <c r="L2502" i="13" s="1"/>
  <c r="I2503" i="13" s="1"/>
  <c r="M2691" i="13"/>
  <c r="N2688" i="14"/>
  <c r="J2687" i="14" a="1"/>
  <c r="J2687" i="14" s="1"/>
  <c r="M2692" i="14"/>
  <c r="N2689" i="13"/>
  <c r="J2688" i="13" a="1"/>
  <c r="J2688" i="13" s="1"/>
  <c r="K2503" i="13" l="1"/>
  <c r="L2503" i="13" s="1"/>
  <c r="I2504" i="13" s="1"/>
  <c r="J2688" i="14" a="1"/>
  <c r="J2688" i="14" s="1"/>
  <c r="N2689" i="14"/>
  <c r="M2693" i="14"/>
  <c r="J2689" i="13" a="1"/>
  <c r="J2689" i="13" s="1"/>
  <c r="N2690" i="13"/>
  <c r="M2692" i="13"/>
  <c r="K2525" i="14"/>
  <c r="L2525" i="14" s="1"/>
  <c r="I2526" i="14" s="1"/>
  <c r="K2526" i="14" l="1"/>
  <c r="L2526" i="14" s="1"/>
  <c r="I2527" i="14" s="1"/>
  <c r="K2504" i="13"/>
  <c r="L2504" i="13" s="1"/>
  <c r="I2505" i="13" s="1"/>
  <c r="J2689" i="14" a="1"/>
  <c r="J2689" i="14" s="1"/>
  <c r="N2690" i="14"/>
  <c r="N2691" i="13"/>
  <c r="J2690" i="13" a="1"/>
  <c r="J2690" i="13" s="1"/>
  <c r="M2693" i="13"/>
  <c r="M2694" i="14"/>
  <c r="K2527" i="14" l="1"/>
  <c r="L2527" i="14" s="1"/>
  <c r="I2528" i="14" s="1"/>
  <c r="K2505" i="13"/>
  <c r="L2505" i="13" s="1"/>
  <c r="I2506" i="13" s="1"/>
  <c r="J2691" i="13" a="1"/>
  <c r="J2691" i="13" s="1"/>
  <c r="N2692" i="13"/>
  <c r="J2690" i="14" a="1"/>
  <c r="J2690" i="14" s="1"/>
  <c r="N2691" i="14"/>
  <c r="M2695" i="14"/>
  <c r="M2694" i="13"/>
  <c r="K2506" i="13" l="1"/>
  <c r="L2506" i="13" s="1"/>
  <c r="I2507" i="13" s="1"/>
  <c r="M2696" i="14"/>
  <c r="N2692" i="14"/>
  <c r="J2691" i="14" a="1"/>
  <c r="J2691" i="14" s="1"/>
  <c r="M2695" i="13"/>
  <c r="N2693" i="13"/>
  <c r="J2692" i="13" a="1"/>
  <c r="J2692" i="13" s="1"/>
  <c r="K2528" i="14"/>
  <c r="L2528" i="14" s="1"/>
  <c r="I2529" i="14" s="1"/>
  <c r="K2507" i="13" l="1"/>
  <c r="L2507" i="13" s="1"/>
  <c r="I2508" i="13" s="1"/>
  <c r="K2529" i="14"/>
  <c r="L2529" i="14" s="1"/>
  <c r="I2530" i="14" s="1"/>
  <c r="M2696" i="13"/>
  <c r="M2697" i="14"/>
  <c r="J2693" i="13" a="1"/>
  <c r="J2693" i="13" s="1"/>
  <c r="N2694" i="13"/>
  <c r="J2692" i="14" a="1"/>
  <c r="J2692" i="14" s="1"/>
  <c r="N2693" i="14"/>
  <c r="K2508" i="13" l="1"/>
  <c r="L2508" i="13" s="1"/>
  <c r="I2509" i="13" s="1"/>
  <c r="K2530" i="14"/>
  <c r="L2530" i="14" s="1"/>
  <c r="I2531" i="14" s="1"/>
  <c r="N2695" i="13"/>
  <c r="J2694" i="13" a="1"/>
  <c r="J2694" i="13" s="1"/>
  <c r="J2693" i="14" a="1"/>
  <c r="J2693" i="14" s="1"/>
  <c r="N2694" i="14"/>
  <c r="M2698" i="14"/>
  <c r="M2697" i="13"/>
  <c r="K2531" i="14" l="1"/>
  <c r="L2531" i="14" s="1"/>
  <c r="I2532" i="14" s="1"/>
  <c r="K2509" i="13"/>
  <c r="L2509" i="13" s="1"/>
  <c r="I2510" i="13" s="1"/>
  <c r="N2695" i="14"/>
  <c r="J2694" i="14" a="1"/>
  <c r="J2694" i="14" s="1"/>
  <c r="M2698" i="13"/>
  <c r="M2699" i="14"/>
  <c r="J2695" i="13" a="1"/>
  <c r="J2695" i="13" s="1"/>
  <c r="N2696" i="13"/>
  <c r="K2532" i="14" l="1"/>
  <c r="L2532" i="14" s="1"/>
  <c r="I2533" i="14" s="1"/>
  <c r="K2510" i="13"/>
  <c r="L2510" i="13" s="1"/>
  <c r="I2511" i="13" s="1"/>
  <c r="N2697" i="13"/>
  <c r="J2696" i="13" a="1"/>
  <c r="J2696" i="13" s="1"/>
  <c r="M2699" i="13"/>
  <c r="M2700" i="14"/>
  <c r="N2696" i="14"/>
  <c r="J2695" i="14" a="1"/>
  <c r="J2695" i="14" s="1"/>
  <c r="K2511" i="13" l="1"/>
  <c r="L2511" i="13" s="1"/>
  <c r="I2512" i="13" s="1"/>
  <c r="K2533" i="14"/>
  <c r="L2533" i="14" s="1"/>
  <c r="I2534" i="14" s="1"/>
  <c r="M2700" i="13"/>
  <c r="J2696" i="14" a="1"/>
  <c r="J2696" i="14" s="1"/>
  <c r="N2697" i="14"/>
  <c r="M2701" i="14"/>
  <c r="J2697" i="13" a="1"/>
  <c r="J2697" i="13" s="1"/>
  <c r="N2698" i="13"/>
  <c r="K2512" i="13" l="1"/>
  <c r="L2512" i="13" s="1"/>
  <c r="I2513" i="13" s="1"/>
  <c r="K2534" i="14"/>
  <c r="L2534" i="14" s="1"/>
  <c r="I2535" i="14" s="1"/>
  <c r="J2697" i="14" a="1"/>
  <c r="J2697" i="14" s="1"/>
  <c r="N2698" i="14"/>
  <c r="N2699" i="13"/>
  <c r="J2698" i="13" a="1"/>
  <c r="J2698" i="13" s="1"/>
  <c r="M2702" i="14"/>
  <c r="M2701" i="13"/>
  <c r="K2535" i="14" l="1"/>
  <c r="L2535" i="14" s="1"/>
  <c r="I2536" i="14" s="1"/>
  <c r="J2699" i="13" a="1"/>
  <c r="J2699" i="13" s="1"/>
  <c r="N2700" i="13"/>
  <c r="M2702" i="13"/>
  <c r="M2703" i="14"/>
  <c r="J2698" i="14" a="1"/>
  <c r="J2698" i="14" s="1"/>
  <c r="N2699" i="14"/>
  <c r="K2513" i="13"/>
  <c r="L2513" i="13" s="1"/>
  <c r="I2514" i="13" s="1"/>
  <c r="K2536" i="14" l="1"/>
  <c r="L2536" i="14" s="1"/>
  <c r="I2537" i="14" s="1"/>
  <c r="K2514" i="13"/>
  <c r="L2514" i="13" s="1"/>
  <c r="I2515" i="13" s="1"/>
  <c r="N2701" i="13"/>
  <c r="J2700" i="13" a="1"/>
  <c r="J2700" i="13" s="1"/>
  <c r="M2704" i="14"/>
  <c r="N2700" i="14"/>
  <c r="J2699" i="14" a="1"/>
  <c r="J2699" i="14" s="1"/>
  <c r="M2703" i="13"/>
  <c r="K2515" i="13" l="1"/>
  <c r="L2515" i="13" s="1"/>
  <c r="I2516" i="13" s="1"/>
  <c r="K2537" i="14"/>
  <c r="L2537" i="14" s="1"/>
  <c r="I2538" i="14" s="1"/>
  <c r="J2701" i="13" a="1"/>
  <c r="J2701" i="13" s="1"/>
  <c r="N2702" i="13"/>
  <c r="M2704" i="13"/>
  <c r="M2705" i="14"/>
  <c r="J2700" i="14" a="1"/>
  <c r="J2700" i="14" s="1"/>
  <c r="N2701" i="14"/>
  <c r="K2538" i="14" l="1"/>
  <c r="L2538" i="14" s="1"/>
  <c r="I2539" i="14" s="1"/>
  <c r="K2516" i="13"/>
  <c r="L2516" i="13" s="1"/>
  <c r="I2517" i="13" s="1"/>
  <c r="M2705" i="13"/>
  <c r="J2701" i="14" a="1"/>
  <c r="J2701" i="14" s="1"/>
  <c r="N2702" i="14"/>
  <c r="N2703" i="13"/>
  <c r="J2702" i="13" a="1"/>
  <c r="J2702" i="13" s="1"/>
  <c r="M2706" i="14"/>
  <c r="K2539" i="14" l="1"/>
  <c r="L2539" i="14" s="1"/>
  <c r="I2540" i="14" s="1"/>
  <c r="K2517" i="13"/>
  <c r="L2517" i="13" s="1"/>
  <c r="I2518" i="13" s="1"/>
  <c r="M2707" i="14"/>
  <c r="N2703" i="14"/>
  <c r="J2702" i="14" a="1"/>
  <c r="J2702" i="14" s="1"/>
  <c r="M2706" i="13"/>
  <c r="J2703" i="13" a="1"/>
  <c r="J2703" i="13" s="1"/>
  <c r="N2704" i="13"/>
  <c r="K2518" i="13" l="1"/>
  <c r="L2518" i="13" s="1"/>
  <c r="I2519" i="13" s="1"/>
  <c r="K2540" i="14"/>
  <c r="L2540" i="14" s="1"/>
  <c r="I2541" i="14" s="1"/>
  <c r="N2704" i="14"/>
  <c r="J2703" i="14" a="1"/>
  <c r="J2703" i="14" s="1"/>
  <c r="N2705" i="13"/>
  <c r="J2704" i="13" a="1"/>
  <c r="J2704" i="13" s="1"/>
  <c r="M2707" i="13"/>
  <c r="M2708" i="14"/>
  <c r="K2541" i="14" l="1"/>
  <c r="L2541" i="14" s="1"/>
  <c r="I2542" i="14" s="1"/>
  <c r="K2519" i="13"/>
  <c r="L2519" i="13" s="1"/>
  <c r="I2520" i="13" s="1"/>
  <c r="M2709" i="14"/>
  <c r="J2705" i="13" a="1"/>
  <c r="J2705" i="13" s="1"/>
  <c r="N2706" i="13"/>
  <c r="M2708" i="13"/>
  <c r="J2704" i="14" a="1"/>
  <c r="J2704" i="14" s="1"/>
  <c r="N2705" i="14"/>
  <c r="K2520" i="13" l="1"/>
  <c r="L2520" i="13" s="1"/>
  <c r="I2521" i="13" s="1"/>
  <c r="J2705" i="14" a="1"/>
  <c r="J2705" i="14" s="1"/>
  <c r="N2706" i="14"/>
  <c r="N2707" i="13"/>
  <c r="J2706" i="13" a="1"/>
  <c r="J2706" i="13" s="1"/>
  <c r="M2709" i="13"/>
  <c r="M2710" i="14"/>
  <c r="K2542" i="14"/>
  <c r="L2542" i="14" s="1"/>
  <c r="I2543" i="14" s="1"/>
  <c r="K2543" i="14" l="1"/>
  <c r="L2543" i="14" s="1"/>
  <c r="I2544" i="14" s="1"/>
  <c r="K2521" i="13"/>
  <c r="L2521" i="13" s="1"/>
  <c r="I2522" i="13" s="1"/>
  <c r="M2710" i="13"/>
  <c r="J2706" i="14" a="1"/>
  <c r="J2706" i="14" s="1"/>
  <c r="N2707" i="14"/>
  <c r="M2711" i="14"/>
  <c r="J2707" i="13" a="1"/>
  <c r="J2707" i="13" s="1"/>
  <c r="N2708" i="13"/>
  <c r="K2544" i="14" l="1"/>
  <c r="L2544" i="14" s="1"/>
  <c r="I2545" i="14" s="1"/>
  <c r="N2709" i="13"/>
  <c r="J2708" i="13" a="1"/>
  <c r="J2708" i="13" s="1"/>
  <c r="N2708" i="14"/>
  <c r="J2707" i="14" a="1"/>
  <c r="J2707" i="14" s="1"/>
  <c r="K2522" i="13"/>
  <c r="L2522" i="13" s="1"/>
  <c r="I2523" i="13" s="1"/>
  <c r="M2712" i="14"/>
  <c r="M2711" i="13"/>
  <c r="K2545" i="14" l="1"/>
  <c r="L2545" i="14" s="1"/>
  <c r="I2546" i="14" s="1"/>
  <c r="M2712" i="13"/>
  <c r="K2523" i="13"/>
  <c r="L2523" i="13" s="1"/>
  <c r="I2524" i="13" s="1"/>
  <c r="J2709" i="13" a="1"/>
  <c r="J2709" i="13" s="1"/>
  <c r="N2710" i="13"/>
  <c r="M2713" i="14"/>
  <c r="J2708" i="14" a="1"/>
  <c r="J2708" i="14" s="1"/>
  <c r="N2709" i="14"/>
  <c r="K2524" i="13" l="1"/>
  <c r="L2524" i="13" s="1"/>
  <c r="I2525" i="13" s="1"/>
  <c r="K2546" i="14"/>
  <c r="L2546" i="14" s="1"/>
  <c r="I2547" i="14" s="1"/>
  <c r="N2711" i="13"/>
  <c r="J2710" i="13" a="1"/>
  <c r="J2710" i="13" s="1"/>
  <c r="M2713" i="13"/>
  <c r="M2714" i="14"/>
  <c r="J2709" i="14" a="1"/>
  <c r="J2709" i="14" s="1"/>
  <c r="N2710" i="14"/>
  <c r="K2525" i="13" l="1"/>
  <c r="L2525" i="13" s="1"/>
  <c r="I2526" i="13" s="1"/>
  <c r="N2711" i="14"/>
  <c r="J2710" i="14" a="1"/>
  <c r="J2710" i="14" s="1"/>
  <c r="M2714" i="13"/>
  <c r="K2547" i="14"/>
  <c r="L2547" i="14" s="1"/>
  <c r="I2548" i="14" s="1"/>
  <c r="M2715" i="14"/>
  <c r="J2711" i="13" a="1"/>
  <c r="J2711" i="13" s="1"/>
  <c r="N2712" i="13"/>
  <c r="K2526" i="13" l="1"/>
  <c r="L2526" i="13" s="1"/>
  <c r="I2527" i="13" s="1"/>
  <c r="K2548" i="14"/>
  <c r="L2548" i="14" s="1"/>
  <c r="I2549" i="14" s="1"/>
  <c r="N2713" i="13"/>
  <c r="J2712" i="13" a="1"/>
  <c r="J2712" i="13" s="1"/>
  <c r="N2712" i="14"/>
  <c r="J2711" i="14" a="1"/>
  <c r="J2711" i="14" s="1"/>
  <c r="M2716" i="14"/>
  <c r="M2715" i="13"/>
  <c r="K2549" i="14" l="1"/>
  <c r="L2549" i="14" s="1"/>
  <c r="I2550" i="14" s="1"/>
  <c r="K2527" i="13"/>
  <c r="L2527" i="13" s="1"/>
  <c r="I2528" i="13" s="1"/>
  <c r="J2712" i="14" a="1"/>
  <c r="J2712" i="14" s="1"/>
  <c r="N2713" i="14"/>
  <c r="M2716" i="13"/>
  <c r="M2717" i="14"/>
  <c r="J2713" i="13" a="1"/>
  <c r="J2713" i="13" s="1"/>
  <c r="N2714" i="13"/>
  <c r="K2550" i="14" l="1"/>
  <c r="L2550" i="14" s="1"/>
  <c r="I2551" i="14" s="1"/>
  <c r="N2715" i="13"/>
  <c r="J2714" i="13" a="1"/>
  <c r="J2714" i="13" s="1"/>
  <c r="M2717" i="13"/>
  <c r="K2528" i="13"/>
  <c r="L2528" i="13" s="1"/>
  <c r="I2529" i="13" s="1"/>
  <c r="J2713" i="14" a="1"/>
  <c r="J2713" i="14" s="1"/>
  <c r="N2714" i="14"/>
  <c r="M2718" i="14"/>
  <c r="K2529" i="13" l="1"/>
  <c r="L2529" i="13" s="1"/>
  <c r="I2530" i="13" s="1"/>
  <c r="K2551" i="14"/>
  <c r="L2551" i="14" s="1"/>
  <c r="I2552" i="14" s="1"/>
  <c r="J2715" i="13" a="1"/>
  <c r="J2715" i="13" s="1"/>
  <c r="N2716" i="13"/>
  <c r="M2719" i="14"/>
  <c r="J2714" i="14" a="1"/>
  <c r="J2714" i="14" s="1"/>
  <c r="N2715" i="14"/>
  <c r="M2718" i="13"/>
  <c r="K2530" i="13" l="1"/>
  <c r="L2530" i="13" s="1"/>
  <c r="I2531" i="13" s="1"/>
  <c r="K2552" i="14"/>
  <c r="L2552" i="14" s="1"/>
  <c r="I2553" i="14" s="1"/>
  <c r="M2719" i="13"/>
  <c r="M2720" i="14"/>
  <c r="N2717" i="13"/>
  <c r="J2716" i="13" a="1"/>
  <c r="J2716" i="13" s="1"/>
  <c r="N2716" i="14"/>
  <c r="J2715" i="14" a="1"/>
  <c r="J2715" i="14" s="1"/>
  <c r="K2531" i="13" l="1"/>
  <c r="L2531" i="13" s="1"/>
  <c r="I2532" i="13" s="1"/>
  <c r="K2553" i="14"/>
  <c r="L2553" i="14" s="1"/>
  <c r="I2554" i="14" s="1"/>
  <c r="J2716" i="14" a="1"/>
  <c r="J2716" i="14" s="1"/>
  <c r="N2717" i="14"/>
  <c r="M2721" i="14"/>
  <c r="M2720" i="13"/>
  <c r="J2717" i="13" a="1"/>
  <c r="J2717" i="13" s="1"/>
  <c r="N2718" i="13"/>
  <c r="K2554" i="14" l="1"/>
  <c r="L2554" i="14" s="1"/>
  <c r="I2555" i="14" s="1"/>
  <c r="K2532" i="13"/>
  <c r="L2532" i="13" s="1"/>
  <c r="I2533" i="13" s="1"/>
  <c r="M2721" i="13"/>
  <c r="N2719" i="13"/>
  <c r="J2718" i="13" a="1"/>
  <c r="J2718" i="13" s="1"/>
  <c r="M2722" i="14"/>
  <c r="J2717" i="14" a="1"/>
  <c r="J2717" i="14" s="1"/>
  <c r="N2718" i="14"/>
  <c r="K2533" i="13" l="1"/>
  <c r="L2533" i="13" s="1"/>
  <c r="I2534" i="13" s="1"/>
  <c r="K2555" i="14"/>
  <c r="L2555" i="14" s="1"/>
  <c r="I2556" i="14" s="1"/>
  <c r="J2719" i="13" a="1"/>
  <c r="J2719" i="13" s="1"/>
  <c r="N2720" i="13"/>
  <c r="N2719" i="14"/>
  <c r="J2718" i="14" a="1"/>
  <c r="J2718" i="14" s="1"/>
  <c r="M2723" i="14"/>
  <c r="M2722" i="13"/>
  <c r="K2556" i="14" l="1"/>
  <c r="L2556" i="14" s="1"/>
  <c r="I2557" i="14" s="1"/>
  <c r="K2534" i="13"/>
  <c r="L2534" i="13" s="1"/>
  <c r="I2535" i="13" s="1"/>
  <c r="M2723" i="13"/>
  <c r="N2720" i="14"/>
  <c r="J2719" i="14" a="1"/>
  <c r="J2719" i="14" s="1"/>
  <c r="N2721" i="13"/>
  <c r="J2720" i="13" a="1"/>
  <c r="J2720" i="13" s="1"/>
  <c r="M2724" i="14"/>
  <c r="K2557" i="14" l="1"/>
  <c r="L2557" i="14" s="1"/>
  <c r="I2558" i="14" s="1"/>
  <c r="J2720" i="14" a="1"/>
  <c r="J2720" i="14" s="1"/>
  <c r="N2721" i="14"/>
  <c r="K2535" i="13"/>
  <c r="L2535" i="13" s="1"/>
  <c r="I2536" i="13" s="1"/>
  <c r="M2724" i="13"/>
  <c r="M2725" i="14"/>
  <c r="J2721" i="13" a="1"/>
  <c r="J2721" i="13" s="1"/>
  <c r="N2722" i="13"/>
  <c r="K2536" i="13" l="1"/>
  <c r="L2536" i="13" s="1"/>
  <c r="I2537" i="13" s="1"/>
  <c r="K2558" i="14"/>
  <c r="L2558" i="14" s="1"/>
  <c r="I2559" i="14" s="1"/>
  <c r="J2721" i="14" a="1"/>
  <c r="J2721" i="14" s="1"/>
  <c r="N2722" i="14"/>
  <c r="N2723" i="13"/>
  <c r="J2722" i="13" a="1"/>
  <c r="J2722" i="13" s="1"/>
  <c r="M2725" i="13"/>
  <c r="M2726" i="14"/>
  <c r="K2559" i="14" l="1"/>
  <c r="L2559" i="14" s="1"/>
  <c r="I2560" i="14" s="1"/>
  <c r="K2537" i="13"/>
  <c r="L2537" i="13" s="1"/>
  <c r="I2538" i="13" s="1"/>
  <c r="J2723" i="13" a="1"/>
  <c r="J2723" i="13" s="1"/>
  <c r="N2724" i="13"/>
  <c r="M2727" i="14"/>
  <c r="M2726" i="13"/>
  <c r="J2722" i="14" a="1"/>
  <c r="J2722" i="14" s="1"/>
  <c r="N2723" i="14"/>
  <c r="K2538" i="13" l="1"/>
  <c r="L2538" i="13" s="1"/>
  <c r="I2539" i="13" s="1"/>
  <c r="K2560" i="14"/>
  <c r="L2560" i="14" s="1"/>
  <c r="I2561" i="14" s="1"/>
  <c r="N2724" i="14"/>
  <c r="J2723" i="14" a="1"/>
  <c r="J2723" i="14" s="1"/>
  <c r="M2727" i="13"/>
  <c r="M2728" i="14"/>
  <c r="N2725" i="13"/>
  <c r="J2724" i="13" a="1"/>
  <c r="J2724" i="13" s="1"/>
  <c r="K2561" i="14" l="1"/>
  <c r="L2561" i="14" s="1"/>
  <c r="I2562" i="14" s="1"/>
  <c r="K2539" i="13"/>
  <c r="L2539" i="13" s="1"/>
  <c r="I2540" i="13" s="1"/>
  <c r="M2728" i="13"/>
  <c r="J2725" i="13" a="1"/>
  <c r="J2725" i="13" s="1"/>
  <c r="N2726" i="13"/>
  <c r="M2729" i="14"/>
  <c r="J2724" i="14" a="1"/>
  <c r="J2724" i="14" s="1"/>
  <c r="N2725" i="14"/>
  <c r="K2562" i="14" l="1"/>
  <c r="L2562" i="14" s="1"/>
  <c r="I2563" i="14" s="1"/>
  <c r="K2540" i="13"/>
  <c r="L2540" i="13" s="1"/>
  <c r="I2541" i="13" s="1"/>
  <c r="J2725" i="14" a="1"/>
  <c r="J2725" i="14" s="1"/>
  <c r="N2726" i="14"/>
  <c r="M2730" i="14"/>
  <c r="N2727" i="13"/>
  <c r="J2726" i="13" a="1"/>
  <c r="J2726" i="13" s="1"/>
  <c r="M2729" i="13"/>
  <c r="K2563" i="14" l="1"/>
  <c r="L2563" i="14" s="1"/>
  <c r="I2564" i="14" s="1"/>
  <c r="J2727" i="13" a="1"/>
  <c r="J2727" i="13" s="1"/>
  <c r="N2728" i="13"/>
  <c r="M2730" i="13"/>
  <c r="M2731" i="14"/>
  <c r="K2541" i="13"/>
  <c r="L2541" i="13" s="1"/>
  <c r="I2542" i="13" s="1"/>
  <c r="N2727" i="14"/>
  <c r="J2726" i="14" a="1"/>
  <c r="J2726" i="14" s="1"/>
  <c r="K2564" i="14" l="1"/>
  <c r="L2564" i="14" s="1"/>
  <c r="I2565" i="14" s="1"/>
  <c r="K2542" i="13"/>
  <c r="L2542" i="13" s="1"/>
  <c r="I2543" i="13" s="1"/>
  <c r="N2729" i="13"/>
  <c r="J2728" i="13" a="1"/>
  <c r="J2728" i="13" s="1"/>
  <c r="N2728" i="14"/>
  <c r="J2727" i="14" a="1"/>
  <c r="J2727" i="14" s="1"/>
  <c r="M2732" i="14"/>
  <c r="M2731" i="13"/>
  <c r="K2565" i="14" l="1"/>
  <c r="L2565" i="14" s="1"/>
  <c r="I2566" i="14" s="1"/>
  <c r="K2543" i="13"/>
  <c r="L2543" i="13" s="1"/>
  <c r="I2544" i="13" s="1"/>
  <c r="J2729" i="13" a="1"/>
  <c r="J2729" i="13" s="1"/>
  <c r="N2730" i="13"/>
  <c r="M2732" i="13"/>
  <c r="J2728" i="14" a="1"/>
  <c r="J2728" i="14" s="1"/>
  <c r="N2729" i="14"/>
  <c r="M2733" i="14"/>
  <c r="K2544" i="13" l="1"/>
  <c r="L2544" i="13" s="1"/>
  <c r="I2545" i="13" s="1"/>
  <c r="K2566" i="14"/>
  <c r="L2566" i="14" s="1"/>
  <c r="I2567" i="14" s="1"/>
  <c r="J2729" i="14" a="1"/>
  <c r="J2729" i="14" s="1"/>
  <c r="N2730" i="14"/>
  <c r="M2734" i="14"/>
  <c r="M2733" i="13"/>
  <c r="N2731" i="13"/>
  <c r="J2730" i="13" a="1"/>
  <c r="J2730" i="13" s="1"/>
  <c r="K2567" i="14" l="1"/>
  <c r="L2567" i="14" s="1"/>
  <c r="I2568" i="14" s="1"/>
  <c r="K2545" i="13"/>
  <c r="L2545" i="13" s="1"/>
  <c r="I2546" i="13" s="1"/>
  <c r="M2735" i="14"/>
  <c r="J2731" i="13" a="1"/>
  <c r="J2731" i="13" s="1"/>
  <c r="N2732" i="13"/>
  <c r="J2730" i="14" a="1"/>
  <c r="J2730" i="14" s="1"/>
  <c r="N2731" i="14"/>
  <c r="M2734" i="13"/>
  <c r="K2546" i="13" l="1"/>
  <c r="L2546" i="13" s="1"/>
  <c r="I2547" i="13" s="1"/>
  <c r="K2568" i="14"/>
  <c r="L2568" i="14" s="1"/>
  <c r="I2569" i="14" s="1"/>
  <c r="N2733" i="13"/>
  <c r="J2732" i="13" a="1"/>
  <c r="J2732" i="13" s="1"/>
  <c r="N2732" i="14"/>
  <c r="J2731" i="14" a="1"/>
  <c r="J2731" i="14" s="1"/>
  <c r="M2735" i="13"/>
  <c r="M2736" i="14"/>
  <c r="K2569" i="14" l="1"/>
  <c r="L2569" i="14" s="1"/>
  <c r="I2570" i="14" s="1"/>
  <c r="K2547" i="13"/>
  <c r="L2547" i="13" s="1"/>
  <c r="I2548" i="13" s="1"/>
  <c r="J2732" i="14" a="1"/>
  <c r="J2732" i="14" s="1"/>
  <c r="N2733" i="14"/>
  <c r="M2737" i="14"/>
  <c r="M2736" i="13"/>
  <c r="J2733" i="13" a="1"/>
  <c r="J2733" i="13" s="1"/>
  <c r="N2734" i="13"/>
  <c r="K2548" i="13" l="1"/>
  <c r="L2548" i="13" s="1"/>
  <c r="I2549" i="13" s="1"/>
  <c r="K2570" i="14"/>
  <c r="L2570" i="14" s="1"/>
  <c r="I2571" i="14" s="1"/>
  <c r="M2737" i="13"/>
  <c r="M2738" i="14"/>
  <c r="N2735" i="13"/>
  <c r="J2734" i="13" a="1"/>
  <c r="J2734" i="13" s="1"/>
  <c r="J2733" i="14" a="1"/>
  <c r="J2733" i="14" s="1"/>
  <c r="N2734" i="14"/>
  <c r="K2571" i="14" l="1"/>
  <c r="L2571" i="14" s="1"/>
  <c r="I2572" i="14" s="1"/>
  <c r="K2549" i="13"/>
  <c r="L2549" i="13" s="1"/>
  <c r="I2550" i="13" s="1"/>
  <c r="N2735" i="14"/>
  <c r="J2734" i="14" a="1"/>
  <c r="J2734" i="14" s="1"/>
  <c r="M2739" i="14"/>
  <c r="M2738" i="13"/>
  <c r="J2735" i="13" a="1"/>
  <c r="J2735" i="13" s="1"/>
  <c r="N2736" i="13"/>
  <c r="K2572" i="14" l="1"/>
  <c r="L2572" i="14" s="1"/>
  <c r="I2573" i="14" s="1"/>
  <c r="K2550" i="13"/>
  <c r="L2550" i="13" s="1"/>
  <c r="I2551" i="13" s="1"/>
  <c r="N2737" i="13"/>
  <c r="J2736" i="13" a="1"/>
  <c r="J2736" i="13" s="1"/>
  <c r="M2740" i="14"/>
  <c r="M2739" i="13"/>
  <c r="N2736" i="14"/>
  <c r="J2735" i="14" a="1"/>
  <c r="J2735" i="14" s="1"/>
  <c r="K2551" i="13" l="1"/>
  <c r="L2551" i="13" s="1"/>
  <c r="I2552" i="13" s="1"/>
  <c r="K2573" i="14"/>
  <c r="L2573" i="14" s="1"/>
  <c r="I2574" i="14" s="1"/>
  <c r="J2736" i="14" a="1"/>
  <c r="J2736" i="14" s="1"/>
  <c r="N2737" i="14"/>
  <c r="M2741" i="14"/>
  <c r="M2740" i="13"/>
  <c r="J2737" i="13" a="1"/>
  <c r="J2737" i="13" s="1"/>
  <c r="N2738" i="13"/>
  <c r="K2574" i="14" l="1"/>
  <c r="L2574" i="14" s="1"/>
  <c r="I2575" i="14" s="1"/>
  <c r="K2552" i="13"/>
  <c r="L2552" i="13" s="1"/>
  <c r="I2553" i="13" s="1"/>
  <c r="M2742" i="14"/>
  <c r="N2739" i="13"/>
  <c r="J2738" i="13" a="1"/>
  <c r="J2738" i="13" s="1"/>
  <c r="J2737" i="14" a="1"/>
  <c r="J2737" i="14" s="1"/>
  <c r="N2738" i="14"/>
  <c r="M2741" i="13"/>
  <c r="K2553" i="13" l="1"/>
  <c r="L2553" i="13" s="1"/>
  <c r="I2554" i="13" s="1"/>
  <c r="M2742" i="13"/>
  <c r="J2739" i="13" a="1"/>
  <c r="J2739" i="13" s="1"/>
  <c r="N2740" i="13"/>
  <c r="J2738" i="14" a="1"/>
  <c r="J2738" i="14" s="1"/>
  <c r="N2739" i="14"/>
  <c r="M2743" i="14"/>
  <c r="K2575" i="14"/>
  <c r="L2575" i="14" s="1"/>
  <c r="I2576" i="14" s="1"/>
  <c r="K2554" i="13" l="1"/>
  <c r="L2554" i="13" s="1"/>
  <c r="I2555" i="13" s="1"/>
  <c r="K2576" i="14"/>
  <c r="L2576" i="14" s="1"/>
  <c r="I2577" i="14" s="1"/>
  <c r="N2740" i="14"/>
  <c r="J2739" i="14" a="1"/>
  <c r="J2739" i="14" s="1"/>
  <c r="M2743" i="13"/>
  <c r="N2741" i="13"/>
  <c r="J2740" i="13" a="1"/>
  <c r="J2740" i="13" s="1"/>
  <c r="M2744" i="14"/>
  <c r="K2577" i="14" l="1"/>
  <c r="L2577" i="14" s="1"/>
  <c r="I2578" i="14" s="1"/>
  <c r="M2744" i="13"/>
  <c r="M2745" i="14"/>
  <c r="J2741" i="13" a="1"/>
  <c r="J2741" i="13" s="1"/>
  <c r="N2742" i="13"/>
  <c r="J2740" i="14" a="1"/>
  <c r="J2740" i="14" s="1"/>
  <c r="N2741" i="14"/>
  <c r="K2555" i="13"/>
  <c r="L2555" i="13" s="1"/>
  <c r="I2556" i="13" s="1"/>
  <c r="K2556" i="13" l="1"/>
  <c r="L2556" i="13" s="1"/>
  <c r="I2557" i="13" s="1"/>
  <c r="K2578" i="14"/>
  <c r="L2578" i="14" s="1"/>
  <c r="I2579" i="14" s="1"/>
  <c r="N2743" i="13"/>
  <c r="J2742" i="13" a="1"/>
  <c r="J2742" i="13" s="1"/>
  <c r="M2745" i="13"/>
  <c r="J2741" i="14" a="1"/>
  <c r="J2741" i="14" s="1"/>
  <c r="N2742" i="14"/>
  <c r="M2746" i="14"/>
  <c r="K2579" i="14" l="1"/>
  <c r="L2579" i="14" s="1"/>
  <c r="I2580" i="14" s="1"/>
  <c r="M2747" i="14"/>
  <c r="M2746" i="13"/>
  <c r="N2743" i="14"/>
  <c r="J2742" i="14" a="1"/>
  <c r="J2742" i="14" s="1"/>
  <c r="J2743" i="13" a="1"/>
  <c r="J2743" i="13" s="1"/>
  <c r="N2744" i="13"/>
  <c r="K2557" i="13"/>
  <c r="L2557" i="13" s="1"/>
  <c r="I2558" i="13" s="1"/>
  <c r="K2580" i="14" l="1"/>
  <c r="L2580" i="14" s="1"/>
  <c r="I2581" i="14" s="1"/>
  <c r="K2558" i="13"/>
  <c r="L2558" i="13" s="1"/>
  <c r="I2559" i="13" s="1"/>
  <c r="N2744" i="14"/>
  <c r="J2743" i="14" a="1"/>
  <c r="J2743" i="14" s="1"/>
  <c r="M2748" i="14"/>
  <c r="N2745" i="13"/>
  <c r="J2744" i="13" a="1"/>
  <c r="J2744" i="13" s="1"/>
  <c r="M2747" i="13"/>
  <c r="K2559" i="13" l="1"/>
  <c r="L2559" i="13" s="1"/>
  <c r="I2560" i="13" s="1"/>
  <c r="K2581" i="14"/>
  <c r="L2581" i="14" s="1"/>
  <c r="I2582" i="14" s="1"/>
  <c r="J2745" i="13" a="1"/>
  <c r="J2745" i="13" s="1"/>
  <c r="N2746" i="13"/>
  <c r="J2744" i="14" a="1"/>
  <c r="J2744" i="14" s="1"/>
  <c r="N2745" i="14"/>
  <c r="M2748" i="13"/>
  <c r="M2749" i="14"/>
  <c r="K2560" i="13" l="1"/>
  <c r="L2560" i="13" s="1"/>
  <c r="I2561" i="13" s="1"/>
  <c r="K2582" i="14"/>
  <c r="L2582" i="14" s="1"/>
  <c r="I2583" i="14" s="1"/>
  <c r="J2745" i="14" a="1"/>
  <c r="J2745" i="14" s="1"/>
  <c r="N2746" i="14"/>
  <c r="M2750" i="14"/>
  <c r="N2747" i="13"/>
  <c r="J2746" i="13" a="1"/>
  <c r="J2746" i="13" s="1"/>
  <c r="M2749" i="13"/>
  <c r="K2561" i="13" l="1"/>
  <c r="L2561" i="13" s="1"/>
  <c r="I2562" i="13" s="1"/>
  <c r="K2583" i="14"/>
  <c r="L2583" i="14" s="1"/>
  <c r="I2584" i="14" s="1"/>
  <c r="M2750" i="13"/>
  <c r="M2751" i="14"/>
  <c r="J2746" i="14" a="1"/>
  <c r="J2746" i="14" s="1"/>
  <c r="N2747" i="14"/>
  <c r="J2747" i="13" a="1"/>
  <c r="J2747" i="13" s="1"/>
  <c r="N2748" i="13"/>
  <c r="K2562" i="13" l="1"/>
  <c r="L2562" i="13" s="1"/>
  <c r="I2563" i="13" s="1"/>
  <c r="K2584" i="14"/>
  <c r="L2584" i="14" s="1"/>
  <c r="I2585" i="14" s="1"/>
  <c r="M2752" i="14"/>
  <c r="N2749" i="13"/>
  <c r="J2748" i="13" a="1"/>
  <c r="J2748" i="13" s="1"/>
  <c r="N2748" i="14"/>
  <c r="J2747" i="14" a="1"/>
  <c r="J2747" i="14" s="1"/>
  <c r="M2751" i="13"/>
  <c r="K2563" i="13" l="1"/>
  <c r="L2563" i="13" s="1"/>
  <c r="I2564" i="13" s="1"/>
  <c r="K2585" i="14"/>
  <c r="L2585" i="14" s="1"/>
  <c r="I2586" i="14" s="1"/>
  <c r="M2752" i="13"/>
  <c r="J2749" i="13" a="1"/>
  <c r="J2749" i="13" s="1"/>
  <c r="N2750" i="13"/>
  <c r="J2748" i="14" a="1"/>
  <c r="J2748" i="14" s="1"/>
  <c r="N2749" i="14"/>
  <c r="M2753" i="14"/>
  <c r="K2586" i="14" l="1"/>
  <c r="L2586" i="14" s="1"/>
  <c r="I2587" i="14" s="1"/>
  <c r="M2754" i="14"/>
  <c r="N2751" i="13"/>
  <c r="J2750" i="13" a="1"/>
  <c r="J2750" i="13" s="1"/>
  <c r="J2749" i="14" a="1"/>
  <c r="J2749" i="14" s="1"/>
  <c r="N2750" i="14"/>
  <c r="M2753" i="13"/>
  <c r="K2564" i="13"/>
  <c r="L2564" i="13" s="1"/>
  <c r="I2565" i="13" s="1"/>
  <c r="K2587" i="14" l="1"/>
  <c r="L2587" i="14" s="1"/>
  <c r="I2588" i="14" s="1"/>
  <c r="K2565" i="13"/>
  <c r="L2565" i="13" s="1"/>
  <c r="I2566" i="13" s="1"/>
  <c r="M2755" i="14"/>
  <c r="N2751" i="14"/>
  <c r="J2750" i="14" a="1"/>
  <c r="J2750" i="14" s="1"/>
  <c r="M2754" i="13"/>
  <c r="J2751" i="13" a="1"/>
  <c r="J2751" i="13" s="1"/>
  <c r="N2752" i="13"/>
  <c r="K2588" i="14" l="1"/>
  <c r="L2588" i="14" s="1"/>
  <c r="I2589" i="14" s="1"/>
  <c r="K2566" i="13"/>
  <c r="L2566" i="13" s="1"/>
  <c r="I2567" i="13" s="1"/>
  <c r="N2752" i="14"/>
  <c r="J2751" i="14" a="1"/>
  <c r="J2751" i="14" s="1"/>
  <c r="N2753" i="13"/>
  <c r="J2752" i="13" a="1"/>
  <c r="J2752" i="13" s="1"/>
  <c r="M2755" i="13"/>
  <c r="M2756" i="14"/>
  <c r="K2589" i="14" l="1"/>
  <c r="L2589" i="14" s="1"/>
  <c r="I2590" i="14" s="1"/>
  <c r="K2567" i="13"/>
  <c r="L2567" i="13" s="1"/>
  <c r="I2568" i="13" s="1"/>
  <c r="M2757" i="14"/>
  <c r="J2753" i="13" a="1"/>
  <c r="J2753" i="13" s="1"/>
  <c r="N2754" i="13"/>
  <c r="M2756" i="13"/>
  <c r="J2752" i="14" a="1"/>
  <c r="J2752" i="14" s="1"/>
  <c r="N2753" i="14"/>
  <c r="K2590" i="14" l="1"/>
  <c r="L2590" i="14" s="1"/>
  <c r="I2591" i="14" s="1"/>
  <c r="K2568" i="13"/>
  <c r="L2568" i="13" s="1"/>
  <c r="I2569" i="13" s="1"/>
  <c r="J2753" i="14" a="1"/>
  <c r="J2753" i="14" s="1"/>
  <c r="N2754" i="14"/>
  <c r="N2755" i="13"/>
  <c r="J2754" i="13" a="1"/>
  <c r="J2754" i="13" s="1"/>
  <c r="M2757" i="13"/>
  <c r="M2758" i="14"/>
  <c r="K2569" i="13" l="1"/>
  <c r="L2569" i="13" s="1"/>
  <c r="I2570" i="13" s="1"/>
  <c r="K2591" i="14"/>
  <c r="L2591" i="14" s="1"/>
  <c r="I2592" i="14" s="1"/>
  <c r="M2759" i="14"/>
  <c r="J2755" i="13" a="1"/>
  <c r="J2755" i="13" s="1"/>
  <c r="N2756" i="13"/>
  <c r="M2758" i="13"/>
  <c r="J2754" i="14" a="1"/>
  <c r="J2754" i="14" s="1"/>
  <c r="N2755" i="14"/>
  <c r="K2592" i="14" l="1"/>
  <c r="L2592" i="14" s="1"/>
  <c r="I2593" i="14" s="1"/>
  <c r="K2570" i="13"/>
  <c r="L2570" i="13" s="1"/>
  <c r="I2571" i="13" s="1"/>
  <c r="N2756" i="14"/>
  <c r="J2755" i="14" a="1"/>
  <c r="J2755" i="14" s="1"/>
  <c r="N2757" i="13"/>
  <c r="J2756" i="13" a="1"/>
  <c r="J2756" i="13" s="1"/>
  <c r="M2759" i="13"/>
  <c r="M2760" i="14"/>
  <c r="K2571" i="13" l="1"/>
  <c r="L2571" i="13" s="1"/>
  <c r="I2572" i="13" s="1"/>
  <c r="K2593" i="14"/>
  <c r="L2593" i="14" s="1"/>
  <c r="I2594" i="14" s="1"/>
  <c r="M2761" i="14"/>
  <c r="J2757" i="13" a="1"/>
  <c r="J2757" i="13" s="1"/>
  <c r="N2758" i="13"/>
  <c r="M2760" i="13"/>
  <c r="J2756" i="14" a="1"/>
  <c r="J2756" i="14" s="1"/>
  <c r="N2757" i="14"/>
  <c r="K2572" i="13" l="1"/>
  <c r="L2572" i="13" s="1"/>
  <c r="I2573" i="13" s="1"/>
  <c r="K2594" i="14"/>
  <c r="L2594" i="14" s="1"/>
  <c r="I2595" i="14" s="1"/>
  <c r="N2759" i="13"/>
  <c r="J2758" i="13" a="1"/>
  <c r="J2758" i="13" s="1"/>
  <c r="J2757" i="14" a="1"/>
  <c r="J2757" i="14" s="1"/>
  <c r="N2758" i="14"/>
  <c r="M2762" i="14"/>
  <c r="M2761" i="13"/>
  <c r="K2573" i="13" l="1"/>
  <c r="L2573" i="13" s="1"/>
  <c r="I2574" i="13" s="1"/>
  <c r="K2595" i="14"/>
  <c r="L2595" i="14" s="1"/>
  <c r="I2596" i="14" s="1"/>
  <c r="M2763" i="14"/>
  <c r="M2762" i="13"/>
  <c r="N2759" i="14"/>
  <c r="J2758" i="14" a="1"/>
  <c r="J2758" i="14" s="1"/>
  <c r="J2759" i="13" a="1"/>
  <c r="J2759" i="13" s="1"/>
  <c r="N2760" i="13"/>
  <c r="K2574" i="13" l="1"/>
  <c r="L2574" i="13" s="1"/>
  <c r="I2575" i="13" s="1"/>
  <c r="N2761" i="13"/>
  <c r="J2760" i="13" a="1"/>
  <c r="J2760" i="13" s="1"/>
  <c r="M2763" i="13"/>
  <c r="K2596" i="14"/>
  <c r="L2596" i="14" s="1"/>
  <c r="I2597" i="14" s="1"/>
  <c r="N2760" i="14"/>
  <c r="J2759" i="14" a="1"/>
  <c r="J2759" i="14" s="1"/>
  <c r="M2764" i="14"/>
  <c r="K2575" i="13" l="1"/>
  <c r="L2575" i="13" s="1"/>
  <c r="I2576" i="13" s="1"/>
  <c r="K2597" i="14"/>
  <c r="L2597" i="14" s="1"/>
  <c r="I2598" i="14" s="1"/>
  <c r="J2761" i="13" a="1"/>
  <c r="J2761" i="13" s="1"/>
  <c r="N2762" i="13"/>
  <c r="M2764" i="13"/>
  <c r="M2765" i="14"/>
  <c r="J2760" i="14" a="1"/>
  <c r="J2760" i="14" s="1"/>
  <c r="N2761" i="14"/>
  <c r="K2576" i="13" l="1"/>
  <c r="L2576" i="13" s="1"/>
  <c r="I2577" i="13" s="1"/>
  <c r="M2766" i="14"/>
  <c r="J2761" i="14" a="1"/>
  <c r="J2761" i="14" s="1"/>
  <c r="N2762" i="14"/>
  <c r="M2765" i="13"/>
  <c r="K2598" i="14"/>
  <c r="L2598" i="14" s="1"/>
  <c r="I2599" i="14" s="1"/>
  <c r="N2763" i="13"/>
  <c r="J2762" i="13" a="1"/>
  <c r="J2762" i="13" s="1"/>
  <c r="K2599" i="14" l="1"/>
  <c r="L2599" i="14" s="1"/>
  <c r="I2600" i="14" s="1"/>
  <c r="K2577" i="13"/>
  <c r="L2577" i="13" s="1"/>
  <c r="I2578" i="13" s="1"/>
  <c r="M2766" i="13"/>
  <c r="M2767" i="14"/>
  <c r="J2763" i="13" a="1"/>
  <c r="J2763" i="13" s="1"/>
  <c r="N2764" i="13"/>
  <c r="N2763" i="14"/>
  <c r="J2762" i="14" a="1"/>
  <c r="J2762" i="14" s="1"/>
  <c r="K2578" i="13" l="1"/>
  <c r="L2578" i="13" s="1"/>
  <c r="I2579" i="13" s="1"/>
  <c r="K2600" i="14"/>
  <c r="L2600" i="14" s="1"/>
  <c r="I2601" i="14" s="1"/>
  <c r="N2764" i="14"/>
  <c r="J2763" i="14" a="1"/>
  <c r="J2763" i="14" s="1"/>
  <c r="M2768" i="14"/>
  <c r="N2765" i="13"/>
  <c r="J2764" i="13" a="1"/>
  <c r="J2764" i="13" s="1"/>
  <c r="M2767" i="13"/>
  <c r="K2601" i="14" l="1"/>
  <c r="L2601" i="14" s="1"/>
  <c r="I2602" i="14" s="1"/>
  <c r="K2579" i="13"/>
  <c r="L2579" i="13" s="1"/>
  <c r="I2580" i="13" s="1"/>
  <c r="M2768" i="13"/>
  <c r="M2769" i="14"/>
  <c r="J2765" i="13" a="1"/>
  <c r="J2765" i="13" s="1"/>
  <c r="N2766" i="13"/>
  <c r="J2764" i="14" a="1"/>
  <c r="J2764" i="14" s="1"/>
  <c r="N2765" i="14"/>
  <c r="K2580" i="13" l="1"/>
  <c r="L2580" i="13" s="1"/>
  <c r="I2581" i="13" s="1"/>
  <c r="K2602" i="14"/>
  <c r="L2602" i="14" s="1"/>
  <c r="I2603" i="14" s="1"/>
  <c r="J2765" i="14" a="1"/>
  <c r="J2765" i="14" s="1"/>
  <c r="N2766" i="14"/>
  <c r="N2767" i="13"/>
  <c r="J2766" i="13" a="1"/>
  <c r="J2766" i="13" s="1"/>
  <c r="M2770" i="14"/>
  <c r="M2769" i="13"/>
  <c r="K2603" i="14" l="1"/>
  <c r="L2603" i="14" s="1"/>
  <c r="I2604" i="14" s="1"/>
  <c r="K2581" i="13"/>
  <c r="L2581" i="13" s="1"/>
  <c r="I2582" i="13" s="1"/>
  <c r="M2771" i="14"/>
  <c r="M2770" i="13"/>
  <c r="J2767" i="13" a="1"/>
  <c r="J2767" i="13" s="1"/>
  <c r="N2768" i="13"/>
  <c r="N2767" i="14"/>
  <c r="J2766" i="14" a="1"/>
  <c r="J2766" i="14" s="1"/>
  <c r="K2604" i="14" l="1"/>
  <c r="L2604" i="14" s="1"/>
  <c r="I2605" i="14" s="1"/>
  <c r="K2582" i="13"/>
  <c r="L2582" i="13" s="1"/>
  <c r="I2583" i="13" s="1"/>
  <c r="N2769" i="13"/>
  <c r="J2768" i="13" a="1"/>
  <c r="J2768" i="13" s="1"/>
  <c r="N2768" i="14"/>
  <c r="J2767" i="14" a="1"/>
  <c r="J2767" i="14" s="1"/>
  <c r="M2771" i="13"/>
  <c r="M2772" i="14"/>
  <c r="K2583" i="13" l="1"/>
  <c r="L2583" i="13" s="1"/>
  <c r="I2584" i="13" s="1"/>
  <c r="K2605" i="14"/>
  <c r="L2605" i="14" s="1"/>
  <c r="I2606" i="14" s="1"/>
  <c r="J2768" i="14" a="1"/>
  <c r="J2768" i="14" s="1"/>
  <c r="N2769" i="14"/>
  <c r="M2773" i="14"/>
  <c r="M2772" i="13"/>
  <c r="J2769" i="13" a="1"/>
  <c r="J2769" i="13" s="1"/>
  <c r="N2770" i="13"/>
  <c r="K2606" i="14" l="1"/>
  <c r="L2606" i="14" s="1"/>
  <c r="I2607" i="14" s="1"/>
  <c r="K2584" i="13"/>
  <c r="L2584" i="13" s="1"/>
  <c r="I2585" i="13" s="1"/>
  <c r="N2771" i="13"/>
  <c r="J2770" i="13" a="1"/>
  <c r="J2770" i="13" s="1"/>
  <c r="M2774" i="14"/>
  <c r="J2769" i="14" a="1"/>
  <c r="J2769" i="14" s="1"/>
  <c r="N2770" i="14"/>
  <c r="M2773" i="13"/>
  <c r="K2607" i="14" l="1"/>
  <c r="L2607" i="14" s="1"/>
  <c r="I2608" i="14" s="1"/>
  <c r="K2585" i="13"/>
  <c r="L2585" i="13" s="1"/>
  <c r="I2586" i="13" s="1"/>
  <c r="N2771" i="14"/>
  <c r="J2770" i="14" a="1"/>
  <c r="J2770" i="14" s="1"/>
  <c r="J2771" i="13" a="1"/>
  <c r="J2771" i="13" s="1"/>
  <c r="N2772" i="13"/>
  <c r="M2774" i="13"/>
  <c r="M2775" i="14"/>
  <c r="K2586" i="13" l="1"/>
  <c r="L2586" i="13" s="1"/>
  <c r="I2587" i="13" s="1"/>
  <c r="N2773" i="13"/>
  <c r="J2772" i="13" a="1"/>
  <c r="J2772" i="13" s="1"/>
  <c r="M2775" i="13"/>
  <c r="M2776" i="14"/>
  <c r="N2772" i="14"/>
  <c r="J2771" i="14" a="1"/>
  <c r="J2771" i="14" s="1"/>
  <c r="K2608" i="14"/>
  <c r="L2608" i="14" s="1"/>
  <c r="I2609" i="14" s="1"/>
  <c r="K2609" i="14" l="1"/>
  <c r="L2609" i="14" s="1"/>
  <c r="I2610" i="14" s="1"/>
  <c r="K2587" i="13"/>
  <c r="L2587" i="13" s="1"/>
  <c r="I2588" i="13" s="1"/>
  <c r="J2773" i="13" a="1"/>
  <c r="J2773" i="13" s="1"/>
  <c r="N2774" i="13"/>
  <c r="M2776" i="13"/>
  <c r="M2777" i="14"/>
  <c r="J2772" i="14" a="1"/>
  <c r="J2772" i="14" s="1"/>
  <c r="N2773" i="14"/>
  <c r="K2610" i="14" l="1"/>
  <c r="L2610" i="14" s="1"/>
  <c r="I2611" i="14" s="1"/>
  <c r="J2773" i="14" a="1"/>
  <c r="J2773" i="14" s="1"/>
  <c r="N2774" i="14"/>
  <c r="M2777" i="13"/>
  <c r="K2588" i="13"/>
  <c r="L2588" i="13" s="1"/>
  <c r="I2589" i="13" s="1"/>
  <c r="M2778" i="14"/>
  <c r="N2775" i="13"/>
  <c r="J2774" i="13" a="1"/>
  <c r="J2774" i="13" s="1"/>
  <c r="K2589" i="13" l="1"/>
  <c r="L2589" i="13" s="1"/>
  <c r="I2590" i="13" s="1"/>
  <c r="K2611" i="14"/>
  <c r="L2611" i="14" s="1"/>
  <c r="I2612" i="14" s="1"/>
  <c r="N2775" i="14"/>
  <c r="J2774" i="14" a="1"/>
  <c r="J2774" i="14" s="1"/>
  <c r="J2775" i="13" a="1"/>
  <c r="J2775" i="13" s="1"/>
  <c r="N2776" i="13"/>
  <c r="M2779" i="14"/>
  <c r="M2778" i="13"/>
  <c r="K2612" i="14" l="1"/>
  <c r="L2612" i="14" s="1"/>
  <c r="I2613" i="14" s="1"/>
  <c r="K2590" i="13"/>
  <c r="L2590" i="13" s="1"/>
  <c r="I2591" i="13" s="1"/>
  <c r="N2777" i="13"/>
  <c r="J2776" i="13" a="1"/>
  <c r="J2776" i="13" s="1"/>
  <c r="M2779" i="13"/>
  <c r="M2780" i="14"/>
  <c r="N2776" i="14"/>
  <c r="J2775" i="14" a="1"/>
  <c r="J2775" i="14" s="1"/>
  <c r="K2591" i="13" l="1"/>
  <c r="L2591" i="13" s="1"/>
  <c r="I2592" i="13" s="1"/>
  <c r="K2613" i="14"/>
  <c r="L2613" i="14" s="1"/>
  <c r="I2614" i="14" s="1"/>
  <c r="M2780" i="13"/>
  <c r="J2776" i="14" a="1"/>
  <c r="J2776" i="14" s="1"/>
  <c r="N2777" i="14"/>
  <c r="M2781" i="14"/>
  <c r="J2777" i="13" a="1"/>
  <c r="J2777" i="13" s="1"/>
  <c r="N2778" i="13"/>
  <c r="K2592" i="13" l="1"/>
  <c r="L2592" i="13" s="1"/>
  <c r="I2593" i="13" s="1"/>
  <c r="J2777" i="14" a="1"/>
  <c r="J2777" i="14" s="1"/>
  <c r="N2778" i="14"/>
  <c r="N2779" i="13"/>
  <c r="J2778" i="13" a="1"/>
  <c r="J2778" i="13" s="1"/>
  <c r="K2614" i="14"/>
  <c r="L2614" i="14" s="1"/>
  <c r="I2615" i="14" s="1"/>
  <c r="M2782" i="14"/>
  <c r="M2781" i="13"/>
  <c r="K2615" i="14" l="1"/>
  <c r="L2615" i="14" s="1"/>
  <c r="I2616" i="14" s="1"/>
  <c r="K2593" i="13"/>
  <c r="L2593" i="13" s="1"/>
  <c r="I2594" i="13" s="1"/>
  <c r="N2779" i="14"/>
  <c r="J2778" i="14" a="1"/>
  <c r="J2778" i="14" s="1"/>
  <c r="M2782" i="13"/>
  <c r="M2783" i="14"/>
  <c r="J2779" i="13" a="1"/>
  <c r="J2779" i="13" s="1"/>
  <c r="N2780" i="13"/>
  <c r="K2616" i="14" l="1"/>
  <c r="L2616" i="14" s="1"/>
  <c r="I2617" i="14" s="1"/>
  <c r="K2594" i="13"/>
  <c r="L2594" i="13" s="1"/>
  <c r="I2595" i="13" s="1"/>
  <c r="N2781" i="13"/>
  <c r="J2780" i="13" a="1"/>
  <c r="J2780" i="13" s="1"/>
  <c r="M2783" i="13"/>
  <c r="M2784" i="14"/>
  <c r="N2780" i="14"/>
  <c r="J2779" i="14" a="1"/>
  <c r="J2779" i="14" s="1"/>
  <c r="J2780" i="14" l="1" a="1"/>
  <c r="J2780" i="14" s="1"/>
  <c r="N2781" i="14"/>
  <c r="M2785" i="14"/>
  <c r="M2784" i="13"/>
  <c r="K2595" i="13"/>
  <c r="L2595" i="13" s="1"/>
  <c r="I2596" i="13" s="1"/>
  <c r="J2781" i="13" a="1"/>
  <c r="J2781" i="13" s="1"/>
  <c r="N2782" i="13"/>
  <c r="K2617" i="14"/>
  <c r="L2617" i="14" s="1"/>
  <c r="I2618" i="14" s="1"/>
  <c r="K2618" i="14" l="1"/>
  <c r="L2618" i="14" s="1"/>
  <c r="I2619" i="14" s="1"/>
  <c r="K2596" i="13"/>
  <c r="L2596" i="13" s="1"/>
  <c r="I2597" i="13" s="1"/>
  <c r="M2785" i="13"/>
  <c r="M2786" i="14"/>
  <c r="N2783" i="13"/>
  <c r="J2782" i="13" a="1"/>
  <c r="J2782" i="13" s="1"/>
  <c r="J2781" i="14" a="1"/>
  <c r="J2781" i="14" s="1"/>
  <c r="N2782" i="14"/>
  <c r="K2597" i="13" l="1"/>
  <c r="L2597" i="13" s="1"/>
  <c r="I2598" i="13" s="1"/>
  <c r="K2619" i="14"/>
  <c r="L2619" i="14" s="1"/>
  <c r="I2620" i="14" s="1"/>
  <c r="N2783" i="14"/>
  <c r="J2782" i="14" a="1"/>
  <c r="J2782" i="14" s="1"/>
  <c r="M2787" i="14"/>
  <c r="M2786" i="13"/>
  <c r="J2783" i="13" a="1"/>
  <c r="J2783" i="13" s="1"/>
  <c r="N2784" i="13"/>
  <c r="K2620" i="14" l="1"/>
  <c r="L2620" i="14" s="1"/>
  <c r="I2621" i="14" s="1"/>
  <c r="K2598" i="13"/>
  <c r="L2598" i="13" s="1"/>
  <c r="I2599" i="13" s="1"/>
  <c r="N2785" i="13"/>
  <c r="J2784" i="13" a="1"/>
  <c r="J2784" i="13" s="1"/>
  <c r="M2788" i="14"/>
  <c r="M2787" i="13"/>
  <c r="N2784" i="14"/>
  <c r="J2783" i="14" a="1"/>
  <c r="J2783" i="14" s="1"/>
  <c r="K2599" i="13" l="1"/>
  <c r="L2599" i="13" s="1"/>
  <c r="I2600" i="13" s="1"/>
  <c r="K2621" i="14"/>
  <c r="L2621" i="14" s="1"/>
  <c r="I2622" i="14" s="1"/>
  <c r="J2784" i="14" a="1"/>
  <c r="J2784" i="14" s="1"/>
  <c r="N2785" i="14"/>
  <c r="M2789" i="14"/>
  <c r="M2788" i="13"/>
  <c r="J2785" i="13" a="1"/>
  <c r="J2785" i="13" s="1"/>
  <c r="N2786" i="13"/>
  <c r="K2600" i="13" l="1"/>
  <c r="L2600" i="13" s="1"/>
  <c r="I2601" i="13" s="1"/>
  <c r="N2787" i="13"/>
  <c r="J2786" i="13" a="1"/>
  <c r="J2786" i="13" s="1"/>
  <c r="J2785" i="14" a="1"/>
  <c r="J2785" i="14" s="1"/>
  <c r="N2786" i="14"/>
  <c r="M2790" i="14"/>
  <c r="K2622" i="14"/>
  <c r="L2622" i="14" s="1"/>
  <c r="I2623" i="14" s="1"/>
  <c r="M2789" i="13"/>
  <c r="K2601" i="13" l="1"/>
  <c r="L2601" i="13" s="1"/>
  <c r="I2602" i="13" s="1"/>
  <c r="K2623" i="14"/>
  <c r="L2623" i="14" s="1"/>
  <c r="I2624" i="14" s="1"/>
  <c r="M2790" i="13"/>
  <c r="M2791" i="14"/>
  <c r="J2787" i="13" a="1"/>
  <c r="J2787" i="13" s="1"/>
  <c r="N2788" i="13"/>
  <c r="N2787" i="14"/>
  <c r="J2786" i="14" a="1"/>
  <c r="J2786" i="14" s="1"/>
  <c r="K2624" i="14" l="1"/>
  <c r="L2624" i="14" s="1"/>
  <c r="I2625" i="14" s="1"/>
  <c r="K2602" i="13"/>
  <c r="L2602" i="13" s="1"/>
  <c r="I2603" i="13" s="1"/>
  <c r="N2788" i="14"/>
  <c r="J2787" i="14" a="1"/>
  <c r="J2787" i="14" s="1"/>
  <c r="M2792" i="14"/>
  <c r="N2789" i="13"/>
  <c r="J2788" i="13" a="1"/>
  <c r="J2788" i="13" s="1"/>
  <c r="M2791" i="13"/>
  <c r="K2603" i="13" l="1"/>
  <c r="L2603" i="13" s="1"/>
  <c r="I2604" i="13" s="1"/>
  <c r="K2625" i="14"/>
  <c r="L2625" i="14" s="1"/>
  <c r="I2626" i="14" s="1"/>
  <c r="J2789" i="13" a="1"/>
  <c r="J2789" i="13" s="1"/>
  <c r="N2790" i="13"/>
  <c r="M2792" i="13"/>
  <c r="M2793" i="14"/>
  <c r="J2788" i="14" a="1"/>
  <c r="J2788" i="14" s="1"/>
  <c r="N2789" i="14"/>
  <c r="K2604" i="13" l="1"/>
  <c r="L2604" i="13" s="1"/>
  <c r="I2605" i="13" s="1"/>
  <c r="J2789" i="14" a="1"/>
  <c r="J2789" i="14" s="1"/>
  <c r="N2790" i="14"/>
  <c r="M2793" i="13"/>
  <c r="K2626" i="14"/>
  <c r="L2626" i="14" s="1"/>
  <c r="I2627" i="14" s="1"/>
  <c r="M2794" i="14"/>
  <c r="N2791" i="13"/>
  <c r="J2790" i="13" a="1"/>
  <c r="J2790" i="13" s="1"/>
  <c r="K2627" i="14" l="1"/>
  <c r="L2627" i="14" s="1"/>
  <c r="I2628" i="14" s="1"/>
  <c r="K2605" i="13"/>
  <c r="L2605" i="13" s="1"/>
  <c r="I2606" i="13" s="1"/>
  <c r="N2791" i="14"/>
  <c r="J2790" i="14" a="1"/>
  <c r="J2790" i="14" s="1"/>
  <c r="J2791" i="13" a="1"/>
  <c r="J2791" i="13" s="1"/>
  <c r="N2792" i="13"/>
  <c r="M2795" i="14"/>
  <c r="M2794" i="13"/>
  <c r="K2628" i="14" l="1"/>
  <c r="L2628" i="14" s="1"/>
  <c r="I2629" i="14" s="1"/>
  <c r="N2793" i="13"/>
  <c r="J2792" i="13" a="1"/>
  <c r="J2792" i="13" s="1"/>
  <c r="K2606" i="13"/>
  <c r="L2606" i="13" s="1"/>
  <c r="I2607" i="13" s="1"/>
  <c r="M2795" i="13"/>
  <c r="M2796" i="14"/>
  <c r="N2792" i="14"/>
  <c r="J2791" i="14" a="1"/>
  <c r="J2791" i="14" s="1"/>
  <c r="K2607" i="13" l="1"/>
  <c r="L2607" i="13" s="1"/>
  <c r="I2608" i="13" s="1"/>
  <c r="K2629" i="14"/>
  <c r="L2629" i="14" s="1"/>
  <c r="I2630" i="14" s="1"/>
  <c r="M2796" i="13"/>
  <c r="J2793" i="13" a="1"/>
  <c r="J2793" i="13" s="1"/>
  <c r="N2794" i="13"/>
  <c r="J2792" i="14" a="1"/>
  <c r="J2792" i="14" s="1"/>
  <c r="N2793" i="14"/>
  <c r="M2797" i="14"/>
  <c r="K2630" i="14" l="1"/>
  <c r="L2630" i="14" s="1"/>
  <c r="I2631" i="14" s="1"/>
  <c r="K2608" i="13"/>
  <c r="L2608" i="13" s="1"/>
  <c r="I2609" i="13" s="1"/>
  <c r="N2795" i="13"/>
  <c r="J2794" i="13" a="1"/>
  <c r="J2794" i="13" s="1"/>
  <c r="J2793" i="14" a="1"/>
  <c r="J2793" i="14" s="1"/>
  <c r="N2794" i="14"/>
  <c r="M2798" i="14"/>
  <c r="M2797" i="13"/>
  <c r="K2631" i="14" l="1"/>
  <c r="L2631" i="14" s="1"/>
  <c r="I2632" i="14" s="1"/>
  <c r="M2798" i="13"/>
  <c r="N2795" i="14"/>
  <c r="J2794" i="14" a="1"/>
  <c r="J2794" i="14" s="1"/>
  <c r="K2609" i="13"/>
  <c r="L2609" i="13" s="1"/>
  <c r="I2610" i="13" s="1"/>
  <c r="M2799" i="14"/>
  <c r="J2795" i="13" a="1"/>
  <c r="J2795" i="13" s="1"/>
  <c r="N2796" i="13"/>
  <c r="K2610" i="13" l="1"/>
  <c r="L2610" i="13" s="1"/>
  <c r="I2611" i="13" s="1"/>
  <c r="K2632" i="14"/>
  <c r="L2632" i="14" s="1"/>
  <c r="I2633" i="14" s="1"/>
  <c r="N2797" i="13"/>
  <c r="J2796" i="13" a="1"/>
  <c r="J2796" i="13" s="1"/>
  <c r="M2799" i="13"/>
  <c r="M2800" i="14"/>
  <c r="N2796" i="14"/>
  <c r="J2795" i="14" a="1"/>
  <c r="J2795" i="14" s="1"/>
  <c r="K2611" i="13" l="1"/>
  <c r="L2611" i="13" s="1"/>
  <c r="I2612" i="13" s="1"/>
  <c r="M2800" i="13"/>
  <c r="J2796" i="14" a="1"/>
  <c r="J2796" i="14" s="1"/>
  <c r="N2797" i="14"/>
  <c r="K2633" i="14"/>
  <c r="L2633" i="14" s="1"/>
  <c r="I2634" i="14" s="1"/>
  <c r="M2801" i="14"/>
  <c r="J2797" i="13" a="1"/>
  <c r="J2797" i="13" s="1"/>
  <c r="N2798" i="13"/>
  <c r="K2634" i="14" l="1"/>
  <c r="L2634" i="14" s="1"/>
  <c r="I2635" i="14" s="1"/>
  <c r="K2612" i="13"/>
  <c r="L2612" i="13" s="1"/>
  <c r="I2613" i="13" s="1"/>
  <c r="N2799" i="13"/>
  <c r="J2798" i="13" a="1"/>
  <c r="J2798" i="13" s="1"/>
  <c r="M2801" i="13"/>
  <c r="M2802" i="14"/>
  <c r="J2797" i="14" a="1"/>
  <c r="J2797" i="14" s="1"/>
  <c r="N2798" i="14"/>
  <c r="K2613" i="13" l="1"/>
  <c r="L2613" i="13" s="1"/>
  <c r="I2614" i="13" s="1"/>
  <c r="K2635" i="14"/>
  <c r="L2635" i="14" s="1"/>
  <c r="I2636" i="14" s="1"/>
  <c r="N2799" i="14"/>
  <c r="J2798" i="14" a="1"/>
  <c r="J2798" i="14" s="1"/>
  <c r="M2802" i="13"/>
  <c r="M2803" i="14"/>
  <c r="J2799" i="13" a="1"/>
  <c r="J2799" i="13" s="1"/>
  <c r="N2800" i="13"/>
  <c r="K2614" i="13" l="1"/>
  <c r="L2614" i="13" s="1"/>
  <c r="I2615" i="13" s="1"/>
  <c r="N2801" i="13"/>
  <c r="J2800" i="13" a="1"/>
  <c r="J2800" i="13" s="1"/>
  <c r="K2636" i="14"/>
  <c r="L2636" i="14" s="1"/>
  <c r="I2637" i="14" s="1"/>
  <c r="M2803" i="13"/>
  <c r="M2804" i="14"/>
  <c r="N2800" i="14"/>
  <c r="J2799" i="14" a="1"/>
  <c r="J2799" i="14" s="1"/>
  <c r="K2615" i="13" l="1"/>
  <c r="L2615" i="13" s="1"/>
  <c r="I2616" i="13" s="1"/>
  <c r="K2637" i="14"/>
  <c r="L2637" i="14" s="1"/>
  <c r="I2638" i="14" s="1"/>
  <c r="J2801" i="13" a="1"/>
  <c r="J2801" i="13" s="1"/>
  <c r="N2802" i="13"/>
  <c r="M2804" i="13"/>
  <c r="J2800" i="14" a="1"/>
  <c r="J2800" i="14" s="1"/>
  <c r="N2801" i="14"/>
  <c r="M2805" i="14"/>
  <c r="K2616" i="13" l="1"/>
  <c r="L2616" i="13" s="1"/>
  <c r="I2617" i="13" s="1"/>
  <c r="K2638" i="14"/>
  <c r="L2638" i="14" s="1"/>
  <c r="I2639" i="14" s="1"/>
  <c r="J2801" i="14" a="1"/>
  <c r="J2801" i="14" s="1"/>
  <c r="N2802" i="14"/>
  <c r="M2806" i="14"/>
  <c r="M2805" i="13"/>
  <c r="N2803" i="13"/>
  <c r="J2802" i="13" a="1"/>
  <c r="J2802" i="13" s="1"/>
  <c r="K2639" i="14" l="1"/>
  <c r="L2639" i="14" s="1"/>
  <c r="I2640" i="14" s="1"/>
  <c r="K2617" i="13"/>
  <c r="L2617" i="13" s="1"/>
  <c r="I2618" i="13" s="1"/>
  <c r="M2807" i="14"/>
  <c r="J2803" i="13" a="1"/>
  <c r="J2803" i="13" s="1"/>
  <c r="N2804" i="13"/>
  <c r="N2803" i="14"/>
  <c r="J2802" i="14" a="1"/>
  <c r="J2802" i="14" s="1"/>
  <c r="M2806" i="13"/>
  <c r="K2618" i="13" l="1"/>
  <c r="L2618" i="13" s="1"/>
  <c r="I2619" i="13" s="1"/>
  <c r="K2640" i="14"/>
  <c r="L2640" i="14" s="1"/>
  <c r="I2641" i="14" s="1"/>
  <c r="N2805" i="13"/>
  <c r="J2804" i="13" a="1"/>
  <c r="J2804" i="13" s="1"/>
  <c r="M2807" i="13"/>
  <c r="N2804" i="14"/>
  <c r="J2803" i="14" a="1"/>
  <c r="J2803" i="14" s="1"/>
  <c r="M2808" i="14"/>
  <c r="K2619" i="13" l="1"/>
  <c r="L2619" i="13" s="1"/>
  <c r="I2620" i="13" s="1"/>
  <c r="M2809" i="14"/>
  <c r="M2808" i="13"/>
  <c r="K2641" i="14"/>
  <c r="L2641" i="14" s="1"/>
  <c r="I2642" i="14" s="1"/>
  <c r="J2804" i="14" a="1"/>
  <c r="J2804" i="14" s="1"/>
  <c r="N2805" i="14"/>
  <c r="J2805" i="13" a="1"/>
  <c r="J2805" i="13" s="1"/>
  <c r="N2806" i="13"/>
  <c r="K2620" i="13" l="1"/>
  <c r="L2620" i="13" s="1"/>
  <c r="I2621" i="13" s="1"/>
  <c r="N2807" i="13"/>
  <c r="J2806" i="13" a="1"/>
  <c r="J2806" i="13" s="1"/>
  <c r="M2810" i="14"/>
  <c r="K2642" i="14"/>
  <c r="L2642" i="14" s="1"/>
  <c r="I2643" i="14" s="1"/>
  <c r="J2805" i="14" a="1"/>
  <c r="J2805" i="14" s="1"/>
  <c r="N2806" i="14"/>
  <c r="M2809" i="13"/>
  <c r="K2621" i="13" l="1"/>
  <c r="L2621" i="13" s="1"/>
  <c r="I2622" i="13" s="1"/>
  <c r="K2643" i="14"/>
  <c r="L2643" i="14" s="1"/>
  <c r="I2644" i="14" s="1"/>
  <c r="J2807" i="13" a="1"/>
  <c r="J2807" i="13" s="1"/>
  <c r="N2808" i="13"/>
  <c r="M2810" i="13"/>
  <c r="N2807" i="14"/>
  <c r="J2806" i="14" a="1"/>
  <c r="J2806" i="14" s="1"/>
  <c r="M2811" i="14"/>
  <c r="K2644" i="14" l="1"/>
  <c r="L2644" i="14" s="1"/>
  <c r="I2645" i="14" s="1"/>
  <c r="N2808" i="14"/>
  <c r="J2807" i="14" a="1"/>
  <c r="J2807" i="14" s="1"/>
  <c r="M2812" i="14"/>
  <c r="M2811" i="13"/>
  <c r="N2809" i="13"/>
  <c r="J2808" i="13" a="1"/>
  <c r="J2808" i="13" s="1"/>
  <c r="K2622" i="13"/>
  <c r="L2622" i="13" s="1"/>
  <c r="I2623" i="13" s="1"/>
  <c r="K2623" i="13" l="1"/>
  <c r="L2623" i="13" s="1"/>
  <c r="I2624" i="13" s="1"/>
  <c r="K2645" i="14"/>
  <c r="L2645" i="14" s="1"/>
  <c r="I2646" i="14" s="1"/>
  <c r="M2812" i="13"/>
  <c r="J2808" i="14" a="1"/>
  <c r="J2808" i="14" s="1"/>
  <c r="N2809" i="14"/>
  <c r="J2809" i="13" a="1"/>
  <c r="J2809" i="13" s="1"/>
  <c r="N2810" i="13"/>
  <c r="M2813" i="14"/>
  <c r="K2646" i="14" l="1"/>
  <c r="L2646" i="14" s="1"/>
  <c r="I2647" i="14" s="1"/>
  <c r="K2624" i="13"/>
  <c r="L2624" i="13" s="1"/>
  <c r="I2625" i="13" s="1"/>
  <c r="J2809" i="14" a="1"/>
  <c r="J2809" i="14" s="1"/>
  <c r="N2810" i="14"/>
  <c r="M2814" i="14"/>
  <c r="N2811" i="13"/>
  <c r="J2810" i="13" a="1"/>
  <c r="J2810" i="13" s="1"/>
  <c r="M2813" i="13"/>
  <c r="K2647" i="14" l="1"/>
  <c r="L2647" i="14" s="1"/>
  <c r="I2648" i="14" s="1"/>
  <c r="M2814" i="13"/>
  <c r="M2815" i="14"/>
  <c r="K2625" i="13"/>
  <c r="L2625" i="13" s="1"/>
  <c r="I2626" i="13" s="1"/>
  <c r="N2811" i="14"/>
  <c r="J2810" i="14" a="1"/>
  <c r="J2810" i="14" s="1"/>
  <c r="J2811" i="13" a="1"/>
  <c r="J2811" i="13" s="1"/>
  <c r="N2812" i="13"/>
  <c r="K2648" i="14" l="1"/>
  <c r="L2648" i="14" s="1"/>
  <c r="I2649" i="14" s="1"/>
  <c r="N2813" i="13"/>
  <c r="J2812" i="13" a="1"/>
  <c r="J2812" i="13" s="1"/>
  <c r="K2626" i="13"/>
  <c r="L2626" i="13" s="1"/>
  <c r="I2627" i="13" s="1"/>
  <c r="M2815" i="13"/>
  <c r="N2812" i="14"/>
  <c r="J2811" i="14" a="1"/>
  <c r="J2811" i="14" s="1"/>
  <c r="M2816" i="14"/>
  <c r="K2627" i="13" l="1"/>
  <c r="L2627" i="13" s="1"/>
  <c r="I2628" i="13" s="1"/>
  <c r="K2649" i="14"/>
  <c r="L2649" i="14" s="1"/>
  <c r="I2650" i="14" s="1"/>
  <c r="M2817" i="14"/>
  <c r="J2813" i="13" a="1"/>
  <c r="J2813" i="13" s="1"/>
  <c r="N2814" i="13"/>
  <c r="M2816" i="13"/>
  <c r="J2812" i="14" a="1"/>
  <c r="J2812" i="14" s="1"/>
  <c r="N2813" i="14"/>
  <c r="K2650" i="14" l="1"/>
  <c r="L2650" i="14" s="1"/>
  <c r="I2651" i="14" s="1"/>
  <c r="K2628" i="13"/>
  <c r="L2628" i="13" s="1"/>
  <c r="I2629" i="13" s="1"/>
  <c r="N2815" i="13"/>
  <c r="J2814" i="13" a="1"/>
  <c r="J2814" i="13" s="1"/>
  <c r="J2813" i="14" a="1"/>
  <c r="J2813" i="14" s="1"/>
  <c r="N2814" i="14"/>
  <c r="M2818" i="14"/>
  <c r="M2817" i="13"/>
  <c r="K2629" i="13" l="1"/>
  <c r="L2629" i="13" s="1"/>
  <c r="I2630" i="13" s="1"/>
  <c r="K2651" i="14"/>
  <c r="L2651" i="14" s="1"/>
  <c r="I2652" i="14" s="1"/>
  <c r="N2815" i="14"/>
  <c r="J2814" i="14" a="1"/>
  <c r="J2814" i="14" s="1"/>
  <c r="M2818" i="13"/>
  <c r="M2819" i="14"/>
  <c r="J2815" i="13" a="1"/>
  <c r="J2815" i="13" s="1"/>
  <c r="N2816" i="13"/>
  <c r="K2630" i="13" l="1"/>
  <c r="L2630" i="13" s="1"/>
  <c r="I2631" i="13" s="1"/>
  <c r="N2817" i="13"/>
  <c r="J2816" i="13" a="1"/>
  <c r="J2816" i="13" s="1"/>
  <c r="M2819" i="13"/>
  <c r="K2652" i="14"/>
  <c r="L2652" i="14" s="1"/>
  <c r="I2653" i="14" s="1"/>
  <c r="M2820" i="14"/>
  <c r="N2816" i="14"/>
  <c r="J2815" i="14" a="1"/>
  <c r="J2815" i="14" s="1"/>
  <c r="K2631" i="13" l="1"/>
  <c r="L2631" i="13" s="1"/>
  <c r="I2632" i="13" s="1"/>
  <c r="K2653" i="14"/>
  <c r="L2653" i="14" s="1"/>
  <c r="I2654" i="14" s="1"/>
  <c r="J2817" i="13" a="1"/>
  <c r="J2817" i="13" s="1"/>
  <c r="N2818" i="13"/>
  <c r="J2816" i="14" a="1"/>
  <c r="J2816" i="14" s="1"/>
  <c r="N2817" i="14"/>
  <c r="M2820" i="13"/>
  <c r="M2821" i="14"/>
  <c r="K2654" i="14" l="1"/>
  <c r="L2654" i="14" s="1"/>
  <c r="I2655" i="14" s="1"/>
  <c r="K2632" i="13"/>
  <c r="L2632" i="13" s="1"/>
  <c r="I2633" i="13" s="1"/>
  <c r="J2817" i="14" a="1"/>
  <c r="J2817" i="14" s="1"/>
  <c r="N2818" i="14"/>
  <c r="N2819" i="13"/>
  <c r="J2818" i="13" a="1"/>
  <c r="J2818" i="13" s="1"/>
  <c r="M2822" i="14"/>
  <c r="M2821" i="13"/>
  <c r="K2633" i="13" l="1"/>
  <c r="L2633" i="13" s="1"/>
  <c r="I2634" i="13" s="1"/>
  <c r="K2655" i="14"/>
  <c r="L2655" i="14" s="1"/>
  <c r="I2656" i="14" s="1"/>
  <c r="M2823" i="14"/>
  <c r="M2822" i="13"/>
  <c r="J2819" i="13" a="1"/>
  <c r="J2819" i="13" s="1"/>
  <c r="N2820" i="13"/>
  <c r="N2819" i="14"/>
  <c r="J2818" i="14" a="1"/>
  <c r="J2818" i="14" s="1"/>
  <c r="K2656" i="14" l="1"/>
  <c r="L2656" i="14" s="1"/>
  <c r="I2657" i="14" s="1"/>
  <c r="K2634" i="13"/>
  <c r="L2634" i="13" s="1"/>
  <c r="I2635" i="13" s="1"/>
  <c r="M2823" i="13"/>
  <c r="N2820" i="14"/>
  <c r="J2819" i="14" a="1"/>
  <c r="J2819" i="14" s="1"/>
  <c r="N2821" i="13"/>
  <c r="J2820" i="13" a="1"/>
  <c r="J2820" i="13" s="1"/>
  <c r="M2824" i="14"/>
  <c r="K2635" i="13" l="1"/>
  <c r="L2635" i="13" s="1"/>
  <c r="I2636" i="13" s="1"/>
  <c r="K2657" i="14"/>
  <c r="L2657" i="14" s="1"/>
  <c r="I2658" i="14" s="1"/>
  <c r="J2820" i="14" a="1"/>
  <c r="J2820" i="14" s="1"/>
  <c r="N2821" i="14"/>
  <c r="M2825" i="14"/>
  <c r="J2821" i="13" a="1"/>
  <c r="J2821" i="13" s="1"/>
  <c r="N2822" i="13"/>
  <c r="M2824" i="13"/>
  <c r="K2658" i="14" l="1"/>
  <c r="L2658" i="14" s="1"/>
  <c r="I2659" i="14" s="1"/>
  <c r="K2636" i="13"/>
  <c r="L2636" i="13" s="1"/>
  <c r="I2637" i="13" s="1"/>
  <c r="N2823" i="13"/>
  <c r="J2822" i="13" a="1"/>
  <c r="J2822" i="13" s="1"/>
  <c r="M2826" i="14"/>
  <c r="M2825" i="13"/>
  <c r="J2821" i="14" a="1"/>
  <c r="J2821" i="14" s="1"/>
  <c r="N2822" i="14"/>
  <c r="K2637" i="13" l="1"/>
  <c r="L2637" i="13" s="1"/>
  <c r="I2638" i="13" s="1"/>
  <c r="K2659" i="14"/>
  <c r="L2659" i="14" s="1"/>
  <c r="I2660" i="14" s="1"/>
  <c r="N2823" i="14"/>
  <c r="J2822" i="14" a="1"/>
  <c r="J2822" i="14" s="1"/>
  <c r="M2827" i="14"/>
  <c r="M2826" i="13"/>
  <c r="J2823" i="13" a="1"/>
  <c r="J2823" i="13" s="1"/>
  <c r="N2824" i="13"/>
  <c r="K2638" i="13" l="1"/>
  <c r="L2638" i="13" s="1"/>
  <c r="I2639" i="13" s="1"/>
  <c r="J2824" i="13" a="1"/>
  <c r="J2824" i="13" s="1"/>
  <c r="N2825" i="13"/>
  <c r="K2660" i="14"/>
  <c r="L2660" i="14" s="1"/>
  <c r="I2661" i="14" s="1"/>
  <c r="M2828" i="14"/>
  <c r="M2827" i="13"/>
  <c r="N2824" i="14"/>
  <c r="J2823" i="14" a="1"/>
  <c r="J2823" i="14" s="1"/>
  <c r="K2661" i="14" l="1"/>
  <c r="L2661" i="14" s="1"/>
  <c r="I2662" i="14" s="1"/>
  <c r="K2639" i="13"/>
  <c r="L2639" i="13" s="1"/>
  <c r="I2640" i="13" s="1"/>
  <c r="J2825" i="13" a="1"/>
  <c r="J2825" i="13" s="1"/>
  <c r="N2826" i="13"/>
  <c r="J2824" i="14" a="1"/>
  <c r="J2824" i="14" s="1"/>
  <c r="N2825" i="14"/>
  <c r="M2829" i="14"/>
  <c r="M2828" i="13"/>
  <c r="K2662" i="14" l="1"/>
  <c r="L2662" i="14" s="1"/>
  <c r="I2663" i="14" s="1"/>
  <c r="K2640" i="13"/>
  <c r="L2640" i="13" s="1"/>
  <c r="I2641" i="13" s="1"/>
  <c r="J2825" i="14" a="1"/>
  <c r="J2825" i="14" s="1"/>
  <c r="N2826" i="14"/>
  <c r="N2827" i="13"/>
  <c r="J2826" i="13" a="1"/>
  <c r="J2826" i="13" s="1"/>
  <c r="M2829" i="13"/>
  <c r="M2830" i="14"/>
  <c r="K2663" i="14" l="1"/>
  <c r="L2663" i="14" s="1"/>
  <c r="I2664" i="14" s="1"/>
  <c r="K2641" i="13"/>
  <c r="L2641" i="13" s="1"/>
  <c r="I2642" i="13" s="1"/>
  <c r="J2827" i="13" a="1"/>
  <c r="J2827" i="13" s="1"/>
  <c r="N2828" i="13"/>
  <c r="M2831" i="14"/>
  <c r="M2830" i="13"/>
  <c r="N2827" i="14"/>
  <c r="J2826" i="14" a="1"/>
  <c r="J2826" i="14" s="1"/>
  <c r="K2642" i="13" l="1"/>
  <c r="L2642" i="13" s="1"/>
  <c r="I2643" i="13" s="1"/>
  <c r="K2664" i="14"/>
  <c r="L2664" i="14" s="1"/>
  <c r="I2665" i="14" s="1"/>
  <c r="N2828" i="14"/>
  <c r="J2827" i="14" a="1"/>
  <c r="J2827" i="14" s="1"/>
  <c r="M2832" i="14"/>
  <c r="J2828" i="13" a="1"/>
  <c r="J2828" i="13" s="1"/>
  <c r="N2829" i="13"/>
  <c r="M2831" i="13"/>
  <c r="K2643" i="13" l="1"/>
  <c r="L2643" i="13" s="1"/>
  <c r="I2644" i="13" s="1"/>
  <c r="J2829" i="13" a="1"/>
  <c r="J2829" i="13" s="1"/>
  <c r="N2830" i="13"/>
  <c r="M2832" i="13"/>
  <c r="M2833" i="14"/>
  <c r="K2665" i="14"/>
  <c r="L2665" i="14" s="1"/>
  <c r="I2666" i="14" s="1"/>
  <c r="J2828" i="14" a="1"/>
  <c r="J2828" i="14" s="1"/>
  <c r="N2829" i="14"/>
  <c r="K2666" i="14" l="1"/>
  <c r="L2666" i="14" s="1"/>
  <c r="I2667" i="14" s="1"/>
  <c r="K2644" i="13"/>
  <c r="L2644" i="13" s="1"/>
  <c r="I2645" i="13" s="1"/>
  <c r="J2829" i="14" a="1"/>
  <c r="J2829" i="14" s="1"/>
  <c r="N2830" i="14"/>
  <c r="M2834" i="14"/>
  <c r="N2831" i="13"/>
  <c r="J2830" i="13" a="1"/>
  <c r="J2830" i="13" s="1"/>
  <c r="M2833" i="13"/>
  <c r="K2667" i="14" l="1"/>
  <c r="L2667" i="14" s="1"/>
  <c r="I2668" i="14" s="1"/>
  <c r="K2645" i="13"/>
  <c r="L2645" i="13" s="1"/>
  <c r="I2646" i="13" s="1"/>
  <c r="M2834" i="13"/>
  <c r="M2835" i="14"/>
  <c r="N2831" i="14"/>
  <c r="J2830" i="14" a="1"/>
  <c r="J2830" i="14" s="1"/>
  <c r="J2831" i="13" a="1"/>
  <c r="J2831" i="13" s="1"/>
  <c r="N2832" i="13"/>
  <c r="K2668" i="14" l="1"/>
  <c r="L2668" i="14" s="1"/>
  <c r="I2669" i="14" s="1"/>
  <c r="J2832" i="13" a="1"/>
  <c r="J2832" i="13" s="1"/>
  <c r="N2833" i="13"/>
  <c r="K2646" i="13"/>
  <c r="L2646" i="13" s="1"/>
  <c r="I2647" i="13" s="1"/>
  <c r="M2836" i="14"/>
  <c r="N2832" i="14"/>
  <c r="J2831" i="14" a="1"/>
  <c r="J2831" i="14" s="1"/>
  <c r="M2835" i="13"/>
  <c r="K2647" i="13" l="1"/>
  <c r="L2647" i="13" s="1"/>
  <c r="I2648" i="13" s="1"/>
  <c r="K2669" i="14"/>
  <c r="L2669" i="14" s="1"/>
  <c r="I2670" i="14" s="1"/>
  <c r="J2833" i="13" a="1"/>
  <c r="J2833" i="13" s="1"/>
  <c r="N2834" i="13"/>
  <c r="M2836" i="13"/>
  <c r="M2837" i="14"/>
  <c r="J2832" i="14" a="1"/>
  <c r="J2832" i="14" s="1"/>
  <c r="N2833" i="14"/>
  <c r="K2648" i="13" l="1"/>
  <c r="L2648" i="13" s="1"/>
  <c r="I2649" i="13" s="1"/>
  <c r="J2833" i="14" a="1"/>
  <c r="J2833" i="14" s="1"/>
  <c r="N2834" i="14"/>
  <c r="K2670" i="14"/>
  <c r="L2670" i="14" s="1"/>
  <c r="I2671" i="14" s="1"/>
  <c r="N2835" i="13"/>
  <c r="J2834" i="13" a="1"/>
  <c r="J2834" i="13" s="1"/>
  <c r="M2837" i="13"/>
  <c r="M2838" i="14"/>
  <c r="N2835" i="14" l="1"/>
  <c r="J2834" i="14" a="1"/>
  <c r="J2834" i="14" s="1"/>
  <c r="M2839" i="14"/>
  <c r="M2838" i="13"/>
  <c r="J2835" i="13" a="1"/>
  <c r="J2835" i="13" s="1"/>
  <c r="N2836" i="13"/>
  <c r="K2671" i="14"/>
  <c r="L2671" i="14" s="1"/>
  <c r="I2672" i="14" s="1"/>
  <c r="K2649" i="13"/>
  <c r="L2649" i="13" s="1"/>
  <c r="I2650" i="13" s="1"/>
  <c r="K2672" i="14" l="1"/>
  <c r="L2672" i="14" s="1"/>
  <c r="I2673" i="14" s="1"/>
  <c r="J2836" i="13" a="1"/>
  <c r="J2836" i="13" s="1"/>
  <c r="N2837" i="13"/>
  <c r="M2840" i="14"/>
  <c r="K2650" i="13"/>
  <c r="L2650" i="13" s="1"/>
  <c r="I2651" i="13" s="1"/>
  <c r="M2839" i="13"/>
  <c r="N2836" i="14"/>
  <c r="J2835" i="14" a="1"/>
  <c r="J2835" i="14" s="1"/>
  <c r="K2651" i="13" l="1"/>
  <c r="L2651" i="13" s="1"/>
  <c r="I2652" i="13" s="1"/>
  <c r="K2673" i="14"/>
  <c r="L2673" i="14" s="1"/>
  <c r="I2674" i="14" s="1"/>
  <c r="J2837" i="13" a="1"/>
  <c r="J2837" i="13" s="1"/>
  <c r="N2838" i="13"/>
  <c r="J2836" i="14" a="1"/>
  <c r="J2836" i="14" s="1"/>
  <c r="N2837" i="14"/>
  <c r="M2840" i="13"/>
  <c r="M2841" i="14"/>
  <c r="K2674" i="14" l="1"/>
  <c r="L2674" i="14" s="1"/>
  <c r="I2675" i="14" s="1"/>
  <c r="K2652" i="13"/>
  <c r="L2652" i="13" s="1"/>
  <c r="I2653" i="13" s="1"/>
  <c r="M2842" i="14"/>
  <c r="J2837" i="14" a="1"/>
  <c r="J2837" i="14" s="1"/>
  <c r="N2838" i="14"/>
  <c r="N2839" i="13"/>
  <c r="J2838" i="13" a="1"/>
  <c r="J2838" i="13" s="1"/>
  <c r="M2841" i="13"/>
  <c r="K2675" i="14" l="1"/>
  <c r="L2675" i="14" s="1"/>
  <c r="I2676" i="14" s="1"/>
  <c r="M2842" i="13"/>
  <c r="N2839" i="14"/>
  <c r="J2838" i="14" a="1"/>
  <c r="J2838" i="14" s="1"/>
  <c r="K2653" i="13"/>
  <c r="L2653" i="13" s="1"/>
  <c r="I2654" i="13" s="1"/>
  <c r="M2843" i="14"/>
  <c r="J2839" i="13" a="1"/>
  <c r="J2839" i="13" s="1"/>
  <c r="N2840" i="13"/>
  <c r="K2676" i="14" l="1"/>
  <c r="L2676" i="14" s="1"/>
  <c r="I2677" i="14" s="1"/>
  <c r="K2654" i="13"/>
  <c r="L2654" i="13" s="1"/>
  <c r="I2655" i="13" s="1"/>
  <c r="J2840" i="13" a="1"/>
  <c r="J2840" i="13" s="1"/>
  <c r="N2841" i="13"/>
  <c r="M2843" i="13"/>
  <c r="M2844" i="14"/>
  <c r="N2840" i="14"/>
  <c r="J2839" i="14" a="1"/>
  <c r="J2839" i="14" s="1"/>
  <c r="K2655" i="13" l="1"/>
  <c r="L2655" i="13" s="1"/>
  <c r="I2656" i="13" s="1"/>
  <c r="K2677" i="14"/>
  <c r="L2677" i="14" s="1"/>
  <c r="I2678" i="14" s="1"/>
  <c r="M2845" i="14"/>
  <c r="J2840" i="14" a="1"/>
  <c r="J2840" i="14" s="1"/>
  <c r="N2841" i="14"/>
  <c r="M2844" i="13"/>
  <c r="J2841" i="13" a="1"/>
  <c r="J2841" i="13" s="1"/>
  <c r="N2842" i="13"/>
  <c r="K2678" i="14" l="1"/>
  <c r="L2678" i="14" s="1"/>
  <c r="I2679" i="14" s="1"/>
  <c r="K2656" i="13"/>
  <c r="L2656" i="13" s="1"/>
  <c r="I2657" i="13" s="1"/>
  <c r="J2841" i="14" a="1"/>
  <c r="J2841" i="14" s="1"/>
  <c r="N2842" i="14"/>
  <c r="N2843" i="13"/>
  <c r="J2842" i="13" a="1"/>
  <c r="J2842" i="13" s="1"/>
  <c r="M2845" i="13"/>
  <c r="M2846" i="14"/>
  <c r="K2657" i="13" l="1"/>
  <c r="L2657" i="13" s="1"/>
  <c r="I2658" i="13" s="1"/>
  <c r="K2679" i="14"/>
  <c r="L2679" i="14" s="1"/>
  <c r="I2680" i="14" s="1"/>
  <c r="M2846" i="13"/>
  <c r="M2847" i="14"/>
  <c r="J2843" i="13" a="1"/>
  <c r="J2843" i="13" s="1"/>
  <c r="N2844" i="13"/>
  <c r="N2843" i="14"/>
  <c r="J2842" i="14" a="1"/>
  <c r="J2842" i="14" s="1"/>
  <c r="K2658" i="13" l="1"/>
  <c r="L2658" i="13" s="1"/>
  <c r="I2659" i="13" s="1"/>
  <c r="N2844" i="14"/>
  <c r="J2843" i="14" a="1"/>
  <c r="J2843" i="14" s="1"/>
  <c r="M2848" i="14"/>
  <c r="K2680" i="14"/>
  <c r="L2680" i="14" s="1"/>
  <c r="I2681" i="14" s="1"/>
  <c r="J2844" i="13" a="1"/>
  <c r="J2844" i="13" s="1"/>
  <c r="N2845" i="13"/>
  <c r="M2847" i="13"/>
  <c r="K2659" i="13" l="1"/>
  <c r="L2659" i="13" s="1"/>
  <c r="I2660" i="13" s="1"/>
  <c r="M2848" i="13"/>
  <c r="J2844" i="14" a="1"/>
  <c r="J2844" i="14" s="1"/>
  <c r="N2845" i="14"/>
  <c r="J2845" i="13" a="1"/>
  <c r="J2845" i="13" s="1"/>
  <c r="N2846" i="13"/>
  <c r="K2681" i="14"/>
  <c r="L2681" i="14" s="1"/>
  <c r="I2682" i="14" s="1"/>
  <c r="M2849" i="14"/>
  <c r="K2682" i="14" l="1"/>
  <c r="L2682" i="14" s="1"/>
  <c r="I2683" i="14" s="1"/>
  <c r="K2660" i="13"/>
  <c r="L2660" i="13" s="1"/>
  <c r="I2661" i="13" s="1"/>
  <c r="M2850" i="14"/>
  <c r="N2847" i="13"/>
  <c r="J2846" i="13" a="1"/>
  <c r="J2846" i="13" s="1"/>
  <c r="M2849" i="13"/>
  <c r="J2845" i="14" a="1"/>
  <c r="J2845" i="14" s="1"/>
  <c r="N2846" i="14"/>
  <c r="K2661" i="13" l="1"/>
  <c r="L2661" i="13" s="1"/>
  <c r="I2662" i="13" s="1"/>
  <c r="K2683" i="14"/>
  <c r="L2683" i="14" s="1"/>
  <c r="I2684" i="14" s="1"/>
  <c r="J2847" i="13" a="1"/>
  <c r="J2847" i="13" s="1"/>
  <c r="N2848" i="13"/>
  <c r="N2847" i="14"/>
  <c r="J2846" i="14" a="1"/>
  <c r="J2846" i="14" s="1"/>
  <c r="M2850" i="13"/>
  <c r="M2851" i="14"/>
  <c r="K2684" i="14" l="1"/>
  <c r="L2684" i="14" s="1"/>
  <c r="I2685" i="14" s="1"/>
  <c r="K2662" i="13"/>
  <c r="L2662" i="13" s="1"/>
  <c r="I2663" i="13" s="1"/>
  <c r="N2848" i="14"/>
  <c r="J2847" i="14" a="1"/>
  <c r="J2847" i="14" s="1"/>
  <c r="J2848" i="13" a="1"/>
  <c r="J2848" i="13" s="1"/>
  <c r="N2849" i="13"/>
  <c r="M2852" i="14"/>
  <c r="M2851" i="13"/>
  <c r="K2663" i="13" l="1"/>
  <c r="L2663" i="13" s="1"/>
  <c r="I2664" i="13" s="1"/>
  <c r="K2685" i="14"/>
  <c r="L2685" i="14" s="1"/>
  <c r="I2686" i="14" s="1"/>
  <c r="J2849" i="13" a="1"/>
  <c r="J2849" i="13" s="1"/>
  <c r="N2850" i="13"/>
  <c r="M2852" i="13"/>
  <c r="M2853" i="14"/>
  <c r="J2848" i="14" a="1"/>
  <c r="J2848" i="14" s="1"/>
  <c r="N2849" i="14"/>
  <c r="K2664" i="13" l="1"/>
  <c r="L2664" i="13" s="1"/>
  <c r="I2665" i="13" s="1"/>
  <c r="J2849" i="14" a="1"/>
  <c r="J2849" i="14" s="1"/>
  <c r="N2850" i="14"/>
  <c r="M2854" i="14"/>
  <c r="K2686" i="14"/>
  <c r="L2686" i="14" s="1"/>
  <c r="I2687" i="14" s="1"/>
  <c r="M2853" i="13"/>
  <c r="N2851" i="13"/>
  <c r="J2850" i="13" a="1"/>
  <c r="J2850" i="13" s="1"/>
  <c r="K2687" i="14" l="1"/>
  <c r="L2687" i="14" s="1"/>
  <c r="I2688" i="14" s="1"/>
  <c r="K2665" i="13"/>
  <c r="L2665" i="13" s="1"/>
  <c r="I2666" i="13" s="1"/>
  <c r="N2851" i="14"/>
  <c r="J2850" i="14" a="1"/>
  <c r="J2850" i="14" s="1"/>
  <c r="J2851" i="13" a="1"/>
  <c r="J2851" i="13" s="1"/>
  <c r="N2852" i="13"/>
  <c r="M2854" i="13"/>
  <c r="M2855" i="14"/>
  <c r="K2666" i="13" l="1"/>
  <c r="L2666" i="13" s="1"/>
  <c r="I2667" i="13" s="1"/>
  <c r="K2688" i="14"/>
  <c r="L2688" i="14" s="1"/>
  <c r="I2689" i="14" s="1"/>
  <c r="J2852" i="13" a="1"/>
  <c r="J2852" i="13" s="1"/>
  <c r="N2853" i="13"/>
  <c r="M2856" i="14"/>
  <c r="M2855" i="13"/>
  <c r="N2852" i="14"/>
  <c r="J2851" i="14" a="1"/>
  <c r="J2851" i="14" s="1"/>
  <c r="K2689" i="14" l="1"/>
  <c r="L2689" i="14" s="1"/>
  <c r="I2690" i="14" s="1"/>
  <c r="K2667" i="13"/>
  <c r="L2667" i="13" s="1"/>
  <c r="I2668" i="13" s="1"/>
  <c r="J2852" i="14" a="1"/>
  <c r="J2852" i="14" s="1"/>
  <c r="N2853" i="14"/>
  <c r="M2857" i="14"/>
  <c r="J2853" i="13" a="1"/>
  <c r="J2853" i="13" s="1"/>
  <c r="N2854" i="13"/>
  <c r="M2856" i="13"/>
  <c r="K2690" i="14" l="1"/>
  <c r="L2690" i="14" s="1"/>
  <c r="I2691" i="14" s="1"/>
  <c r="M2857" i="13"/>
  <c r="M2858" i="14"/>
  <c r="K2668" i="13"/>
  <c r="L2668" i="13" s="1"/>
  <c r="I2669" i="13" s="1"/>
  <c r="J2853" i="14" a="1"/>
  <c r="J2853" i="14" s="1"/>
  <c r="N2854" i="14"/>
  <c r="N2855" i="13"/>
  <c r="J2854" i="13" a="1"/>
  <c r="J2854" i="13" s="1"/>
  <c r="K2669" i="13" l="1"/>
  <c r="L2669" i="13" s="1"/>
  <c r="I2670" i="13" s="1"/>
  <c r="K2691" i="14"/>
  <c r="L2691" i="14" s="1"/>
  <c r="I2692" i="14" s="1"/>
  <c r="M2858" i="13"/>
  <c r="N2855" i="14"/>
  <c r="J2854" i="14" a="1"/>
  <c r="J2854" i="14" s="1"/>
  <c r="M2859" i="14"/>
  <c r="J2855" i="13" a="1"/>
  <c r="J2855" i="13" s="1"/>
  <c r="N2856" i="13"/>
  <c r="K2692" i="14" l="1"/>
  <c r="L2692" i="14" s="1"/>
  <c r="I2693" i="14" s="1"/>
  <c r="K2670" i="13"/>
  <c r="L2670" i="13" s="1"/>
  <c r="I2671" i="13" s="1"/>
  <c r="J2856" i="13" a="1"/>
  <c r="J2856" i="13" s="1"/>
  <c r="N2857" i="13"/>
  <c r="N2856" i="14"/>
  <c r="J2855" i="14" a="1"/>
  <c r="J2855" i="14" s="1"/>
  <c r="M2860" i="14"/>
  <c r="M2859" i="13"/>
  <c r="K2671" i="13" l="1"/>
  <c r="L2671" i="13" s="1"/>
  <c r="I2672" i="13" s="1"/>
  <c r="K2693" i="14"/>
  <c r="L2693" i="14" s="1"/>
  <c r="I2694" i="14" s="1"/>
  <c r="M2861" i="14"/>
  <c r="M2860" i="13"/>
  <c r="J2856" i="14" a="1"/>
  <c r="J2856" i="14" s="1"/>
  <c r="N2857" i="14"/>
  <c r="J2857" i="13" a="1"/>
  <c r="J2857" i="13" s="1"/>
  <c r="N2858" i="13"/>
  <c r="K2672" i="13" l="1"/>
  <c r="L2672" i="13" s="1"/>
  <c r="I2673" i="13" s="1"/>
  <c r="N2859" i="13"/>
  <c r="J2858" i="13" a="1"/>
  <c r="J2858" i="13" s="1"/>
  <c r="M2861" i="13"/>
  <c r="K2694" i="14"/>
  <c r="L2694" i="14" s="1"/>
  <c r="I2695" i="14" s="1"/>
  <c r="J2857" i="14" a="1"/>
  <c r="J2857" i="14" s="1"/>
  <c r="N2858" i="14"/>
  <c r="M2862" i="14"/>
  <c r="K2695" i="14" l="1"/>
  <c r="L2695" i="14" s="1"/>
  <c r="I2696" i="14" s="1"/>
  <c r="K2673" i="13"/>
  <c r="L2673" i="13" s="1"/>
  <c r="I2674" i="13" s="1"/>
  <c r="M2863" i="14"/>
  <c r="J2859" i="13" a="1"/>
  <c r="J2859" i="13" s="1"/>
  <c r="N2860" i="13"/>
  <c r="N2859" i="14"/>
  <c r="J2858" i="14" a="1"/>
  <c r="J2858" i="14" s="1"/>
  <c r="M2862" i="13"/>
  <c r="K2674" i="13" l="1"/>
  <c r="L2674" i="13" s="1"/>
  <c r="I2675" i="13" s="1"/>
  <c r="K2696" i="14"/>
  <c r="L2696" i="14" s="1"/>
  <c r="I2697" i="14" s="1"/>
  <c r="J2860" i="13" a="1"/>
  <c r="J2860" i="13" s="1"/>
  <c r="N2861" i="13"/>
  <c r="M2863" i="13"/>
  <c r="N2860" i="14"/>
  <c r="J2859" i="14" a="1"/>
  <c r="J2859" i="14" s="1"/>
  <c r="M2864" i="14"/>
  <c r="K2697" i="14" l="1"/>
  <c r="L2697" i="14" s="1"/>
  <c r="I2698" i="14" s="1"/>
  <c r="K2675" i="13"/>
  <c r="L2675" i="13" s="1"/>
  <c r="I2676" i="13" s="1"/>
  <c r="M2865" i="14"/>
  <c r="M2864" i="13"/>
  <c r="J2861" i="13" a="1"/>
  <c r="J2861" i="13" s="1"/>
  <c r="N2862" i="13"/>
  <c r="J2860" i="14" a="1"/>
  <c r="J2860" i="14" s="1"/>
  <c r="N2861" i="14"/>
  <c r="K2698" i="14" l="1"/>
  <c r="L2698" i="14" s="1"/>
  <c r="I2699" i="14" s="1"/>
  <c r="M2865" i="13"/>
  <c r="J2861" i="14" a="1"/>
  <c r="J2861" i="14" s="1"/>
  <c r="N2862" i="14"/>
  <c r="K2676" i="13"/>
  <c r="L2676" i="13" s="1"/>
  <c r="I2677" i="13" s="1"/>
  <c r="N2863" i="13"/>
  <c r="J2862" i="13" a="1"/>
  <c r="J2862" i="13" s="1"/>
  <c r="M2866" i="14"/>
  <c r="K2699" i="14" l="1"/>
  <c r="L2699" i="14" s="1"/>
  <c r="I2700" i="14" s="1"/>
  <c r="K2677" i="13"/>
  <c r="L2677" i="13" s="1"/>
  <c r="I2678" i="13" s="1"/>
  <c r="N2863" i="14"/>
  <c r="J2862" i="14" a="1"/>
  <c r="J2862" i="14" s="1"/>
  <c r="M2866" i="13"/>
  <c r="J2863" i="13" a="1"/>
  <c r="J2863" i="13" s="1"/>
  <c r="N2864" i="13"/>
  <c r="M2867" i="14"/>
  <c r="K2678" i="13" l="1"/>
  <c r="L2678" i="13" s="1"/>
  <c r="I2679" i="13" s="1"/>
  <c r="K2700" i="14"/>
  <c r="L2700" i="14" s="1"/>
  <c r="I2701" i="14" s="1"/>
  <c r="J2864" i="13" a="1"/>
  <c r="J2864" i="13" s="1"/>
  <c r="N2865" i="13"/>
  <c r="M2868" i="14"/>
  <c r="M2867" i="13"/>
  <c r="N2864" i="14"/>
  <c r="J2863" i="14" a="1"/>
  <c r="J2863" i="14" s="1"/>
  <c r="K2679" i="13" l="1"/>
  <c r="L2679" i="13" s="1"/>
  <c r="I2680" i="13" s="1"/>
  <c r="J2864" i="14" a="1"/>
  <c r="J2864" i="14" s="1"/>
  <c r="N2865" i="14"/>
  <c r="K2701" i="14"/>
  <c r="L2701" i="14" s="1"/>
  <c r="I2702" i="14" s="1"/>
  <c r="J2865" i="13" a="1"/>
  <c r="J2865" i="13" s="1"/>
  <c r="N2866" i="13"/>
  <c r="M2869" i="14"/>
  <c r="M2868" i="13"/>
  <c r="K2702" i="14" l="1"/>
  <c r="L2702" i="14" s="1"/>
  <c r="I2703" i="14" s="1"/>
  <c r="K2680" i="13"/>
  <c r="L2680" i="13" s="1"/>
  <c r="I2681" i="13" s="1"/>
  <c r="N2867" i="13"/>
  <c r="J2866" i="13" a="1"/>
  <c r="J2866" i="13" s="1"/>
  <c r="J2865" i="14" a="1"/>
  <c r="J2865" i="14" s="1"/>
  <c r="N2866" i="14"/>
  <c r="M2869" i="13"/>
  <c r="M2870" i="14"/>
  <c r="K2703" i="14" l="1"/>
  <c r="L2703" i="14" s="1"/>
  <c r="I2704" i="14" s="1"/>
  <c r="N2867" i="14"/>
  <c r="J2866" i="14" a="1"/>
  <c r="J2866" i="14" s="1"/>
  <c r="K2681" i="13"/>
  <c r="L2681" i="13" s="1"/>
  <c r="I2682" i="13" s="1"/>
  <c r="M2870" i="13"/>
  <c r="M2871" i="14"/>
  <c r="J2867" i="13" a="1"/>
  <c r="J2867" i="13" s="1"/>
  <c r="N2868" i="13"/>
  <c r="K2682" i="13" l="1"/>
  <c r="L2682" i="13" s="1"/>
  <c r="I2683" i="13" s="1"/>
  <c r="K2704" i="14"/>
  <c r="L2704" i="14" s="1"/>
  <c r="I2705" i="14" s="1"/>
  <c r="J2868" i="13" a="1"/>
  <c r="J2868" i="13" s="1"/>
  <c r="N2869" i="13"/>
  <c r="N2868" i="14"/>
  <c r="J2867" i="14" a="1"/>
  <c r="J2867" i="14" s="1"/>
  <c r="M2871" i="13"/>
  <c r="M2872" i="14"/>
  <c r="K2705" i="14" l="1"/>
  <c r="L2705" i="14" s="1"/>
  <c r="I2706" i="14" s="1"/>
  <c r="K2683" i="13"/>
  <c r="L2683" i="13" s="1"/>
  <c r="I2684" i="13" s="1"/>
  <c r="J2868" i="14" a="1"/>
  <c r="J2868" i="14" s="1"/>
  <c r="N2869" i="14"/>
  <c r="J2869" i="13" a="1"/>
  <c r="J2869" i="13" s="1"/>
  <c r="N2870" i="13"/>
  <c r="M2873" i="14"/>
  <c r="M2872" i="13"/>
  <c r="K2684" i="13" l="1"/>
  <c r="L2684" i="13" s="1"/>
  <c r="I2685" i="13" s="1"/>
  <c r="K2706" i="14"/>
  <c r="L2706" i="14" s="1"/>
  <c r="I2707" i="14" s="1"/>
  <c r="N2871" i="13"/>
  <c r="J2870" i="13" a="1"/>
  <c r="J2870" i="13" s="1"/>
  <c r="J2869" i="14" a="1"/>
  <c r="J2869" i="14" s="1"/>
  <c r="N2870" i="14"/>
  <c r="M2873" i="13"/>
  <c r="M2874" i="14"/>
  <c r="K2707" i="14" l="1"/>
  <c r="L2707" i="14" s="1"/>
  <c r="I2708" i="14" s="1"/>
  <c r="K2685" i="13"/>
  <c r="L2685" i="13" s="1"/>
  <c r="I2686" i="13" s="1"/>
  <c r="N2871" i="14"/>
  <c r="J2870" i="14" a="1"/>
  <c r="J2870" i="14" s="1"/>
  <c r="M2875" i="14"/>
  <c r="M2874" i="13"/>
  <c r="J2871" i="13" a="1"/>
  <c r="J2871" i="13" s="1"/>
  <c r="N2872" i="13"/>
  <c r="K2708" i="14" l="1"/>
  <c r="L2708" i="14" s="1"/>
  <c r="I2709" i="14" s="1"/>
  <c r="J2872" i="13" a="1"/>
  <c r="J2872" i="13" s="1"/>
  <c r="N2873" i="13"/>
  <c r="M2876" i="14"/>
  <c r="K2686" i="13"/>
  <c r="L2686" i="13" s="1"/>
  <c r="I2687" i="13" s="1"/>
  <c r="M2875" i="13"/>
  <c r="N2872" i="14"/>
  <c r="J2871" i="14" a="1"/>
  <c r="J2871" i="14" s="1"/>
  <c r="K2687" i="13" l="1"/>
  <c r="L2687" i="13" s="1"/>
  <c r="I2688" i="13" s="1"/>
  <c r="K2709" i="14"/>
  <c r="L2709" i="14" s="1"/>
  <c r="I2710" i="14" s="1"/>
  <c r="J2873" i="13" a="1"/>
  <c r="J2873" i="13" s="1"/>
  <c r="N2874" i="13"/>
  <c r="J2872" i="14" a="1"/>
  <c r="J2872" i="14" s="1"/>
  <c r="N2873" i="14"/>
  <c r="M2876" i="13"/>
  <c r="M2877" i="14"/>
  <c r="K2710" i="14" l="1"/>
  <c r="L2710" i="14" s="1"/>
  <c r="I2711" i="14" s="1"/>
  <c r="K2688" i="13"/>
  <c r="L2688" i="13" s="1"/>
  <c r="I2689" i="13" s="1"/>
  <c r="J2873" i="14" a="1"/>
  <c r="J2873" i="14" s="1"/>
  <c r="N2874" i="14"/>
  <c r="N2875" i="13"/>
  <c r="J2874" i="13" a="1"/>
  <c r="J2874" i="13" s="1"/>
  <c r="M2878" i="14"/>
  <c r="M2877" i="13"/>
  <c r="K2711" i="14" l="1"/>
  <c r="L2711" i="14" s="1"/>
  <c r="I2712" i="14" s="1"/>
  <c r="K2689" i="13"/>
  <c r="L2689" i="13" s="1"/>
  <c r="I2690" i="13" s="1"/>
  <c r="M2879" i="14"/>
  <c r="M2878" i="13"/>
  <c r="J2875" i="13" a="1"/>
  <c r="J2875" i="13" s="1"/>
  <c r="N2876" i="13"/>
  <c r="N2875" i="14"/>
  <c r="J2874" i="14" a="1"/>
  <c r="J2874" i="14" s="1"/>
  <c r="K2712" i="14" l="1"/>
  <c r="L2712" i="14" s="1"/>
  <c r="I2713" i="14" s="1"/>
  <c r="N2876" i="14"/>
  <c r="J2875" i="14" a="1"/>
  <c r="J2875" i="14" s="1"/>
  <c r="M2879" i="13"/>
  <c r="K2690" i="13"/>
  <c r="L2690" i="13" s="1"/>
  <c r="I2691" i="13" s="1"/>
  <c r="J2876" i="13" a="1"/>
  <c r="J2876" i="13" s="1"/>
  <c r="N2877" i="13"/>
  <c r="M2880" i="14"/>
  <c r="K2691" i="13" l="1"/>
  <c r="L2691" i="13" s="1"/>
  <c r="I2692" i="13" s="1"/>
  <c r="K2713" i="14"/>
  <c r="L2713" i="14" s="1"/>
  <c r="I2714" i="14" s="1"/>
  <c r="J2876" i="14" a="1"/>
  <c r="J2876" i="14" s="1"/>
  <c r="N2877" i="14"/>
  <c r="J2877" i="13" a="1"/>
  <c r="J2877" i="13" s="1"/>
  <c r="N2878" i="13"/>
  <c r="M2881" i="14"/>
  <c r="M2880" i="13"/>
  <c r="K2692" i="13" l="1"/>
  <c r="L2692" i="13" s="1"/>
  <c r="I2693" i="13" s="1"/>
  <c r="M2881" i="13"/>
  <c r="M2882" i="14"/>
  <c r="N2879" i="13"/>
  <c r="J2878" i="13" a="1"/>
  <c r="J2878" i="13" s="1"/>
  <c r="K2714" i="14"/>
  <c r="L2714" i="14" s="1"/>
  <c r="I2715" i="14" s="1"/>
  <c r="J2877" i="14" a="1"/>
  <c r="J2877" i="14" s="1"/>
  <c r="N2878" i="14"/>
  <c r="K2715" i="14" l="1"/>
  <c r="L2715" i="14" s="1"/>
  <c r="I2716" i="14" s="1"/>
  <c r="K2693" i="13"/>
  <c r="L2693" i="13" s="1"/>
  <c r="I2694" i="13" s="1"/>
  <c r="M2882" i="13"/>
  <c r="N2879" i="14"/>
  <c r="J2878" i="14" a="1"/>
  <c r="J2878" i="14" s="1"/>
  <c r="M2883" i="14"/>
  <c r="J2879" i="13" a="1"/>
  <c r="J2879" i="13" s="1"/>
  <c r="N2880" i="13"/>
  <c r="K2694" i="13" l="1"/>
  <c r="L2694" i="13" s="1"/>
  <c r="I2695" i="13" s="1"/>
  <c r="K2716" i="14"/>
  <c r="L2716" i="14" s="1"/>
  <c r="I2717" i="14" s="1"/>
  <c r="N2880" i="14"/>
  <c r="J2879" i="14" a="1"/>
  <c r="J2879" i="14" s="1"/>
  <c r="J2880" i="13" a="1"/>
  <c r="J2880" i="13" s="1"/>
  <c r="N2881" i="13"/>
  <c r="M2884" i="14"/>
  <c r="M2883" i="13"/>
  <c r="K2695" i="13" l="1"/>
  <c r="L2695" i="13" s="1"/>
  <c r="I2696" i="13" s="1"/>
  <c r="M2884" i="13"/>
  <c r="J2881" i="13" a="1"/>
  <c r="J2881" i="13" s="1"/>
  <c r="N2882" i="13"/>
  <c r="K2717" i="14"/>
  <c r="L2717" i="14" s="1"/>
  <c r="I2718" i="14" s="1"/>
  <c r="M2885" i="14"/>
  <c r="J2880" i="14" a="1"/>
  <c r="J2880" i="14" s="1"/>
  <c r="N2881" i="14"/>
  <c r="K2696" i="13" l="1"/>
  <c r="L2696" i="13" s="1"/>
  <c r="I2697" i="13" s="1"/>
  <c r="J2881" i="14" a="1"/>
  <c r="J2881" i="14" s="1"/>
  <c r="N2882" i="14"/>
  <c r="K2718" i="14"/>
  <c r="L2718" i="14" s="1"/>
  <c r="I2719" i="14" s="1"/>
  <c r="M2885" i="13"/>
  <c r="N2883" i="13"/>
  <c r="J2882" i="13" a="1"/>
  <c r="J2882" i="13" s="1"/>
  <c r="M2886" i="14"/>
  <c r="K2719" i="14" l="1"/>
  <c r="L2719" i="14" s="1"/>
  <c r="I2720" i="14" s="1"/>
  <c r="K2697" i="13"/>
  <c r="L2697" i="13" s="1"/>
  <c r="I2698" i="13" s="1"/>
  <c r="M2887" i="14"/>
  <c r="M2886" i="13"/>
  <c r="N2883" i="14"/>
  <c r="J2882" i="14" a="1"/>
  <c r="J2882" i="14" s="1"/>
  <c r="J2883" i="13" a="1"/>
  <c r="J2883" i="13" s="1"/>
  <c r="N2884" i="13"/>
  <c r="K2720" i="14" l="1"/>
  <c r="L2720" i="14" s="1"/>
  <c r="I2721" i="14" s="1"/>
  <c r="J2884" i="13" a="1"/>
  <c r="J2884" i="13" s="1"/>
  <c r="N2885" i="13"/>
  <c r="M2887" i="13"/>
  <c r="K2698" i="13"/>
  <c r="L2698" i="13" s="1"/>
  <c r="I2699" i="13" s="1"/>
  <c r="N2884" i="14"/>
  <c r="J2883" i="14" a="1"/>
  <c r="J2883" i="14" s="1"/>
  <c r="M2888" i="14"/>
  <c r="K2699" i="13" l="1"/>
  <c r="L2699" i="13" s="1"/>
  <c r="I2700" i="13" s="1"/>
  <c r="K2721" i="14"/>
  <c r="L2721" i="14" s="1"/>
  <c r="I2722" i="14" s="1"/>
  <c r="J2885" i="13" a="1"/>
  <c r="J2885" i="13" s="1"/>
  <c r="N2886" i="13"/>
  <c r="M2889" i="14"/>
  <c r="J2884" i="14" a="1"/>
  <c r="J2884" i="14" s="1"/>
  <c r="N2885" i="14"/>
  <c r="M2888" i="13"/>
  <c r="K2722" i="14" l="1"/>
  <c r="L2722" i="14" s="1"/>
  <c r="I2723" i="14" s="1"/>
  <c r="K2700" i="13"/>
  <c r="L2700" i="13" s="1"/>
  <c r="I2701" i="13" s="1"/>
  <c r="J2885" i="14" a="1"/>
  <c r="J2885" i="14" s="1"/>
  <c r="N2886" i="14"/>
  <c r="M2890" i="14"/>
  <c r="M2889" i="13"/>
  <c r="N2887" i="13"/>
  <c r="J2886" i="13" a="1"/>
  <c r="J2886" i="13" s="1"/>
  <c r="K2701" i="13" l="1"/>
  <c r="L2701" i="13" s="1"/>
  <c r="I2702" i="13" s="1"/>
  <c r="M2890" i="13"/>
  <c r="M2891" i="14"/>
  <c r="J2887" i="13" a="1"/>
  <c r="J2887" i="13" s="1"/>
  <c r="N2888" i="13"/>
  <c r="N2887" i="14"/>
  <c r="J2886" i="14" a="1"/>
  <c r="J2886" i="14" s="1"/>
  <c r="K2723" i="14"/>
  <c r="L2723" i="14" s="1"/>
  <c r="I2724" i="14" s="1"/>
  <c r="K2724" i="14" l="1"/>
  <c r="L2724" i="14" s="1"/>
  <c r="I2725" i="14" s="1"/>
  <c r="K2702" i="13"/>
  <c r="L2702" i="13" s="1"/>
  <c r="I2703" i="13" s="1"/>
  <c r="J2888" i="13" a="1"/>
  <c r="J2888" i="13" s="1"/>
  <c r="N2889" i="13"/>
  <c r="M2891" i="13"/>
  <c r="N2888" i="14"/>
  <c r="J2887" i="14" a="1"/>
  <c r="J2887" i="14" s="1"/>
  <c r="M2892" i="14"/>
  <c r="K2703" i="13" l="1"/>
  <c r="L2703" i="13" s="1"/>
  <c r="I2704" i="13" s="1"/>
  <c r="K2725" i="14"/>
  <c r="L2725" i="14" s="1"/>
  <c r="I2726" i="14" s="1"/>
  <c r="J2888" i="14" a="1"/>
  <c r="J2888" i="14" s="1"/>
  <c r="N2889" i="14"/>
  <c r="M2893" i="14"/>
  <c r="M2892" i="13"/>
  <c r="J2889" i="13" a="1"/>
  <c r="J2889" i="13" s="1"/>
  <c r="N2890" i="13"/>
  <c r="K2726" i="14" l="1"/>
  <c r="L2726" i="14" s="1"/>
  <c r="I2727" i="14" s="1"/>
  <c r="K2704" i="13"/>
  <c r="L2704" i="13" s="1"/>
  <c r="I2705" i="13" s="1"/>
  <c r="N2891" i="13"/>
  <c r="J2890" i="13" a="1"/>
  <c r="J2890" i="13" s="1"/>
  <c r="M2894" i="14"/>
  <c r="J2889" i="14" a="1"/>
  <c r="J2889" i="14" s="1"/>
  <c r="N2890" i="14"/>
  <c r="M2893" i="13"/>
  <c r="K2705" i="13" l="1"/>
  <c r="L2705" i="13" s="1"/>
  <c r="I2706" i="13" s="1"/>
  <c r="K2727" i="14"/>
  <c r="L2727" i="14" s="1"/>
  <c r="I2728" i="14" s="1"/>
  <c r="M2894" i="13"/>
  <c r="M2895" i="14"/>
  <c r="N2891" i="14"/>
  <c r="J2890" i="14" a="1"/>
  <c r="J2890" i="14" s="1"/>
  <c r="J2891" i="13" a="1"/>
  <c r="J2891" i="13" s="1"/>
  <c r="N2892" i="13"/>
  <c r="K2728" i="14" l="1"/>
  <c r="L2728" i="14" s="1"/>
  <c r="I2729" i="14" s="1"/>
  <c r="K2706" i="13"/>
  <c r="L2706" i="13" s="1"/>
  <c r="I2707" i="13" s="1"/>
  <c r="J2892" i="13" a="1"/>
  <c r="J2892" i="13" s="1"/>
  <c r="N2893" i="13"/>
  <c r="M2896" i="14"/>
  <c r="N2892" i="14"/>
  <c r="J2891" i="14" a="1"/>
  <c r="J2891" i="14" s="1"/>
  <c r="M2895" i="13"/>
  <c r="K2707" i="13" l="1"/>
  <c r="L2707" i="13" s="1"/>
  <c r="I2708" i="13" s="1"/>
  <c r="K2729" i="14"/>
  <c r="L2729" i="14" s="1"/>
  <c r="I2730" i="14" s="1"/>
  <c r="J2892" i="14" a="1"/>
  <c r="J2892" i="14" s="1"/>
  <c r="N2893" i="14"/>
  <c r="M2896" i="13"/>
  <c r="M2897" i="14"/>
  <c r="J2893" i="13" a="1"/>
  <c r="J2893" i="13" s="1"/>
  <c r="N2894" i="13"/>
  <c r="K2730" i="14" l="1"/>
  <c r="L2730" i="14" s="1"/>
  <c r="I2731" i="14" s="1"/>
  <c r="K2708" i="13"/>
  <c r="L2708" i="13" s="1"/>
  <c r="I2709" i="13" s="1"/>
  <c r="N2895" i="13"/>
  <c r="J2894" i="13" a="1"/>
  <c r="J2894" i="13" s="1"/>
  <c r="M2897" i="13"/>
  <c r="J2893" i="14" a="1"/>
  <c r="J2893" i="14" s="1"/>
  <c r="N2894" i="14"/>
  <c r="M2898" i="14"/>
  <c r="K2709" i="13" l="1"/>
  <c r="L2709" i="13" s="1"/>
  <c r="I2710" i="13" s="1"/>
  <c r="K2731" i="14"/>
  <c r="L2731" i="14" s="1"/>
  <c r="I2732" i="14" s="1"/>
  <c r="M2899" i="14"/>
  <c r="M2898" i="13"/>
  <c r="N2895" i="14"/>
  <c r="J2894" i="14" a="1"/>
  <c r="J2894" i="14" s="1"/>
  <c r="J2895" i="13" a="1"/>
  <c r="J2895" i="13" s="1"/>
  <c r="N2896" i="13"/>
  <c r="K2710" i="13" l="1"/>
  <c r="L2710" i="13" s="1"/>
  <c r="I2711" i="13" s="1"/>
  <c r="J2896" i="13" a="1"/>
  <c r="J2896" i="13" s="1"/>
  <c r="N2897" i="13"/>
  <c r="M2899" i="13"/>
  <c r="K2732" i="14"/>
  <c r="L2732" i="14" s="1"/>
  <c r="I2733" i="14" s="1"/>
  <c r="N2896" i="14"/>
  <c r="J2895" i="14" a="1"/>
  <c r="J2895" i="14" s="1"/>
  <c r="M2900" i="14"/>
  <c r="K2733" i="14" l="1"/>
  <c r="L2733" i="14" s="1"/>
  <c r="I2734" i="14" s="1"/>
  <c r="K2711" i="13"/>
  <c r="L2711" i="13" s="1"/>
  <c r="I2712" i="13" s="1"/>
  <c r="J2897" i="13" a="1"/>
  <c r="J2897" i="13" s="1"/>
  <c r="N2898" i="13"/>
  <c r="M2901" i="14"/>
  <c r="J2896" i="14" a="1"/>
  <c r="J2896" i="14" s="1"/>
  <c r="N2897" i="14"/>
  <c r="M2900" i="13"/>
  <c r="K2712" i="13" l="1"/>
  <c r="L2712" i="13" s="1"/>
  <c r="I2713" i="13" s="1"/>
  <c r="M2901" i="13"/>
  <c r="M2902" i="14"/>
  <c r="J2897" i="14" a="1"/>
  <c r="J2897" i="14" s="1"/>
  <c r="N2898" i="14"/>
  <c r="N2899" i="13"/>
  <c r="J2898" i="13" a="1"/>
  <c r="J2898" i="13" s="1"/>
  <c r="K2734" i="14"/>
  <c r="L2734" i="14" s="1"/>
  <c r="I2735" i="14" s="1"/>
  <c r="K2735" i="14" l="1"/>
  <c r="L2735" i="14" s="1"/>
  <c r="I2736" i="14" s="1"/>
  <c r="K2713" i="13"/>
  <c r="L2713" i="13" s="1"/>
  <c r="I2714" i="13" s="1"/>
  <c r="N2899" i="14"/>
  <c r="J2898" i="14" a="1"/>
  <c r="J2898" i="14" s="1"/>
  <c r="M2902" i="13"/>
  <c r="M2903" i="14"/>
  <c r="J2899" i="13" a="1"/>
  <c r="J2899" i="13" s="1"/>
  <c r="N2900" i="13"/>
  <c r="K2736" i="14" l="1"/>
  <c r="L2736" i="14" s="1"/>
  <c r="I2737" i="14" s="1"/>
  <c r="J2900" i="13" a="1"/>
  <c r="J2900" i="13" s="1"/>
  <c r="N2901" i="13"/>
  <c r="M2903" i="13"/>
  <c r="K2714" i="13"/>
  <c r="L2714" i="13" s="1"/>
  <c r="I2715" i="13" s="1"/>
  <c r="M2904" i="14"/>
  <c r="N2900" i="14"/>
  <c r="J2899" i="14" a="1"/>
  <c r="J2899" i="14" s="1"/>
  <c r="K2737" i="14" l="1"/>
  <c r="L2737" i="14" s="1"/>
  <c r="I2738" i="14" s="1"/>
  <c r="K2715" i="13"/>
  <c r="L2715" i="13" s="1"/>
  <c r="I2716" i="13" s="1"/>
  <c r="J2901" i="13" a="1"/>
  <c r="J2901" i="13" s="1"/>
  <c r="N2902" i="13"/>
  <c r="J2900" i="14" a="1"/>
  <c r="J2900" i="14" s="1"/>
  <c r="N2901" i="14"/>
  <c r="M2905" i="14"/>
  <c r="M2904" i="13"/>
  <c r="K2716" i="13" l="1"/>
  <c r="L2716" i="13" s="1"/>
  <c r="I2717" i="13" s="1"/>
  <c r="K2738" i="14"/>
  <c r="L2738" i="14" s="1"/>
  <c r="I2739" i="14" s="1"/>
  <c r="J2901" i="14" a="1"/>
  <c r="J2901" i="14" s="1"/>
  <c r="N2902" i="14"/>
  <c r="N2903" i="13"/>
  <c r="J2902" i="13" a="1"/>
  <c r="J2902" i="13" s="1"/>
  <c r="M2905" i="13"/>
  <c r="M2906" i="14"/>
  <c r="K2739" i="14" l="1"/>
  <c r="L2739" i="14" s="1"/>
  <c r="I2740" i="14" s="1"/>
  <c r="K2717" i="13"/>
  <c r="L2717" i="13" s="1"/>
  <c r="I2718" i="13" s="1"/>
  <c r="J2903" i="13" a="1"/>
  <c r="J2903" i="13" s="1"/>
  <c r="N2904" i="13"/>
  <c r="M2907" i="14"/>
  <c r="M2906" i="13"/>
  <c r="N2903" i="14"/>
  <c r="J2902" i="14" a="1"/>
  <c r="J2902" i="14" s="1"/>
  <c r="K2740" i="14" l="1"/>
  <c r="L2740" i="14" s="1"/>
  <c r="I2741" i="14" s="1"/>
  <c r="K2718" i="13"/>
  <c r="L2718" i="13" s="1"/>
  <c r="I2719" i="13" s="1"/>
  <c r="M2907" i="13"/>
  <c r="N2904" i="14"/>
  <c r="J2903" i="14" a="1"/>
  <c r="J2903" i="14" s="1"/>
  <c r="M2908" i="14"/>
  <c r="J2904" i="13" a="1"/>
  <c r="J2904" i="13" s="1"/>
  <c r="N2905" i="13"/>
  <c r="K2719" i="13" l="1"/>
  <c r="L2719" i="13" s="1"/>
  <c r="I2720" i="13" s="1"/>
  <c r="K2741" i="14"/>
  <c r="L2741" i="14" s="1"/>
  <c r="I2742" i="14" s="1"/>
  <c r="J2905" i="13" a="1"/>
  <c r="J2905" i="13" s="1"/>
  <c r="N2906" i="13"/>
  <c r="J2904" i="14" a="1"/>
  <c r="J2904" i="14" s="1"/>
  <c r="N2905" i="14"/>
  <c r="M2909" i="14"/>
  <c r="M2908" i="13"/>
  <c r="K2720" i="13" l="1"/>
  <c r="L2720" i="13" s="1"/>
  <c r="I2721" i="13" s="1"/>
  <c r="J2905" i="14" a="1"/>
  <c r="J2905" i="14" s="1"/>
  <c r="N2906" i="14"/>
  <c r="K2742" i="14"/>
  <c r="L2742" i="14" s="1"/>
  <c r="I2743" i="14" s="1"/>
  <c r="N2907" i="13"/>
  <c r="J2906" i="13" a="1"/>
  <c r="J2906" i="13" s="1"/>
  <c r="M2909" i="13"/>
  <c r="M2910" i="14"/>
  <c r="K2743" i="14" l="1"/>
  <c r="L2743" i="14" s="1"/>
  <c r="I2744" i="14" s="1"/>
  <c r="K2721" i="13"/>
  <c r="L2721" i="13" s="1"/>
  <c r="I2722" i="13" s="1"/>
  <c r="N2907" i="14"/>
  <c r="J2906" i="14" a="1"/>
  <c r="J2906" i="14" s="1"/>
  <c r="M2911" i="14"/>
  <c r="J2907" i="13" a="1"/>
  <c r="J2907" i="13" s="1"/>
  <c r="N2908" i="13"/>
  <c r="M2910" i="13"/>
  <c r="K2722" i="13" l="1"/>
  <c r="L2722" i="13" s="1"/>
  <c r="I2723" i="13" s="1"/>
  <c r="K2744" i="14"/>
  <c r="L2744" i="14" s="1"/>
  <c r="I2745" i="14" s="1"/>
  <c r="J2908" i="13" a="1"/>
  <c r="J2908" i="13" s="1"/>
  <c r="N2909" i="13"/>
  <c r="M2911" i="13"/>
  <c r="M2912" i="14"/>
  <c r="N2908" i="14"/>
  <c r="J2907" i="14" a="1"/>
  <c r="J2907" i="14" s="1"/>
  <c r="K2723" i="13" l="1"/>
  <c r="L2723" i="13" s="1"/>
  <c r="I2724" i="13" s="1"/>
  <c r="J2908" i="14" a="1"/>
  <c r="J2908" i="14" s="1"/>
  <c r="N2909" i="14"/>
  <c r="M2912" i="13"/>
  <c r="K2745" i="14"/>
  <c r="L2745" i="14" s="1"/>
  <c r="I2746" i="14" s="1"/>
  <c r="M2913" i="14"/>
  <c r="J2909" i="13" a="1"/>
  <c r="J2909" i="13" s="1"/>
  <c r="N2910" i="13"/>
  <c r="K2746" i="14" l="1"/>
  <c r="L2746" i="14" s="1"/>
  <c r="I2747" i="14" s="1"/>
  <c r="K2724" i="13"/>
  <c r="L2724" i="13" s="1"/>
  <c r="I2725" i="13" s="1"/>
  <c r="J2909" i="14" a="1"/>
  <c r="J2909" i="14" s="1"/>
  <c r="N2910" i="14"/>
  <c r="N2911" i="13"/>
  <c r="J2910" i="13" a="1"/>
  <c r="J2910" i="13" s="1"/>
  <c r="M2914" i="14"/>
  <c r="M2913" i="13"/>
  <c r="K2725" i="13" l="1"/>
  <c r="L2725" i="13" s="1"/>
  <c r="I2726" i="13" s="1"/>
  <c r="K2747" i="14"/>
  <c r="L2747" i="14" s="1"/>
  <c r="I2748" i="14" s="1"/>
  <c r="M2915" i="14"/>
  <c r="M2914" i="13"/>
  <c r="J2911" i="13" a="1"/>
  <c r="J2911" i="13" s="1"/>
  <c r="N2912" i="13"/>
  <c r="N2911" i="14"/>
  <c r="J2910" i="14" a="1"/>
  <c r="J2910" i="14" s="1"/>
  <c r="K2748" i="14" l="1"/>
  <c r="L2748" i="14" s="1"/>
  <c r="I2749" i="14" s="1"/>
  <c r="M2916" i="14"/>
  <c r="N2912" i="14"/>
  <c r="J2911" i="14" a="1"/>
  <c r="J2911" i="14" s="1"/>
  <c r="M2915" i="13"/>
  <c r="J2912" i="13" a="1"/>
  <c r="J2912" i="13" s="1"/>
  <c r="N2913" i="13"/>
  <c r="K2726" i="13"/>
  <c r="L2726" i="13" s="1"/>
  <c r="I2727" i="13" s="1"/>
  <c r="K2727" i="13" l="1"/>
  <c r="L2727" i="13" s="1"/>
  <c r="I2728" i="13" s="1"/>
  <c r="K2749" i="14"/>
  <c r="L2749" i="14" s="1"/>
  <c r="I2750" i="14" s="1"/>
  <c r="J2913" i="13" a="1"/>
  <c r="J2913" i="13" s="1"/>
  <c r="N2914" i="13"/>
  <c r="M2916" i="13"/>
  <c r="M2917" i="14"/>
  <c r="J2912" i="14" a="1"/>
  <c r="J2912" i="14" s="1"/>
  <c r="N2913" i="14"/>
  <c r="K2750" i="14" l="1"/>
  <c r="L2750" i="14" s="1"/>
  <c r="I2751" i="14" s="1"/>
  <c r="K2728" i="13"/>
  <c r="L2728" i="13" s="1"/>
  <c r="I2729" i="13" s="1"/>
  <c r="M2917" i="13"/>
  <c r="N2915" i="13"/>
  <c r="J2914" i="13" a="1"/>
  <c r="J2914" i="13" s="1"/>
  <c r="J2913" i="14" a="1"/>
  <c r="J2913" i="14" s="1"/>
  <c r="N2914" i="14"/>
  <c r="M2918" i="14"/>
  <c r="K2751" i="14" l="1"/>
  <c r="L2751" i="14" s="1"/>
  <c r="I2752" i="14" s="1"/>
  <c r="K2729" i="13"/>
  <c r="L2729" i="13" s="1"/>
  <c r="I2730" i="13" s="1"/>
  <c r="J2915" i="13" a="1"/>
  <c r="J2915" i="13" s="1"/>
  <c r="N2916" i="13"/>
  <c r="N2915" i="14"/>
  <c r="J2914" i="14" a="1"/>
  <c r="J2914" i="14" s="1"/>
  <c r="M2918" i="13"/>
  <c r="M2919" i="14"/>
  <c r="K2752" i="14" l="1"/>
  <c r="L2752" i="14" s="1"/>
  <c r="I2753" i="14" s="1"/>
  <c r="K2730" i="13"/>
  <c r="L2730" i="13" s="1"/>
  <c r="I2731" i="13" s="1"/>
  <c r="J2916" i="13" a="1"/>
  <c r="J2916" i="13" s="1"/>
  <c r="N2917" i="13"/>
  <c r="M2919" i="13"/>
  <c r="M2920" i="14"/>
  <c r="N2916" i="14"/>
  <c r="J2915" i="14" a="1"/>
  <c r="J2915" i="14" s="1"/>
  <c r="K2753" i="14" l="1"/>
  <c r="L2753" i="14" s="1"/>
  <c r="I2754" i="14" s="1"/>
  <c r="J2916" i="14" a="1"/>
  <c r="J2916" i="14" s="1"/>
  <c r="N2917" i="14"/>
  <c r="M2920" i="13"/>
  <c r="K2731" i="13"/>
  <c r="L2731" i="13" s="1"/>
  <c r="I2732" i="13" s="1"/>
  <c r="J2917" i="13" a="1"/>
  <c r="J2917" i="13" s="1"/>
  <c r="N2918" i="13"/>
  <c r="M2921" i="14"/>
  <c r="K2732" i="13" l="1"/>
  <c r="L2732" i="13" s="1"/>
  <c r="I2733" i="13" s="1"/>
  <c r="K2754" i="14"/>
  <c r="L2754" i="14" s="1"/>
  <c r="I2755" i="14" s="1"/>
  <c r="J2917" i="14" a="1"/>
  <c r="J2917" i="14" s="1"/>
  <c r="N2918" i="14"/>
  <c r="N2919" i="13"/>
  <c r="J2918" i="13" a="1"/>
  <c r="J2918" i="13" s="1"/>
  <c r="M2922" i="14"/>
  <c r="M2921" i="13"/>
  <c r="K2733" i="13" l="1"/>
  <c r="L2733" i="13" s="1"/>
  <c r="I2734" i="13" s="1"/>
  <c r="K2755" i="14"/>
  <c r="L2755" i="14" s="1"/>
  <c r="I2756" i="14" s="1"/>
  <c r="M2922" i="13"/>
  <c r="N2919" i="14"/>
  <c r="J2918" i="14" a="1"/>
  <c r="J2918" i="14" s="1"/>
  <c r="J2919" i="13" a="1"/>
  <c r="J2919" i="13" s="1"/>
  <c r="N2920" i="13"/>
  <c r="M2923" i="14"/>
  <c r="K2734" i="13" l="1"/>
  <c r="L2734" i="13" s="1"/>
  <c r="I2735" i="13" s="1"/>
  <c r="M2924" i="14"/>
  <c r="N2920" i="14"/>
  <c r="J2919" i="14" a="1"/>
  <c r="J2919" i="14" s="1"/>
  <c r="K2756" i="14"/>
  <c r="L2756" i="14" s="1"/>
  <c r="I2757" i="14" s="1"/>
  <c r="J2920" i="13" a="1"/>
  <c r="J2920" i="13" s="1"/>
  <c r="N2921" i="13"/>
  <c r="M2923" i="13"/>
  <c r="K2735" i="13" l="1"/>
  <c r="L2735" i="13" s="1"/>
  <c r="I2736" i="13" s="1"/>
  <c r="M2924" i="13"/>
  <c r="K2757" i="14"/>
  <c r="L2757" i="14" s="1"/>
  <c r="I2758" i="14" s="1"/>
  <c r="M2925" i="14"/>
  <c r="J2921" i="13" a="1"/>
  <c r="J2921" i="13" s="1"/>
  <c r="N2922" i="13"/>
  <c r="J2920" i="14" a="1"/>
  <c r="J2920" i="14" s="1"/>
  <c r="N2921" i="14"/>
  <c r="K2736" i="13" l="1"/>
  <c r="L2736" i="13" s="1"/>
  <c r="I2737" i="13" s="1"/>
  <c r="K2758" i="14"/>
  <c r="L2758" i="14" s="1"/>
  <c r="I2759" i="14" s="1"/>
  <c r="N2923" i="13"/>
  <c r="J2922" i="13" a="1"/>
  <c r="J2922" i="13" s="1"/>
  <c r="J2921" i="14" a="1"/>
  <c r="J2921" i="14" s="1"/>
  <c r="N2922" i="14"/>
  <c r="M2926" i="14"/>
  <c r="M2925" i="13"/>
  <c r="K2759" i="14" l="1"/>
  <c r="L2759" i="14" s="1"/>
  <c r="I2760" i="14" s="1"/>
  <c r="K2737" i="13"/>
  <c r="L2737" i="13" s="1"/>
  <c r="I2738" i="13" s="1"/>
  <c r="N2923" i="14"/>
  <c r="J2922" i="14" a="1"/>
  <c r="J2922" i="14" s="1"/>
  <c r="M2926" i="13"/>
  <c r="M2927" i="14"/>
  <c r="J2923" i="13" a="1"/>
  <c r="J2923" i="13" s="1"/>
  <c r="N2924" i="13"/>
  <c r="K2760" i="14" l="1"/>
  <c r="L2760" i="14" s="1"/>
  <c r="I2761" i="14" s="1"/>
  <c r="J2924" i="13" a="1"/>
  <c r="J2924" i="13" s="1"/>
  <c r="N2925" i="13"/>
  <c r="K2738" i="13"/>
  <c r="L2738" i="13" s="1"/>
  <c r="I2739" i="13" s="1"/>
  <c r="M2927" i="13"/>
  <c r="M2928" i="14"/>
  <c r="N2924" i="14"/>
  <c r="J2923" i="14" a="1"/>
  <c r="J2923" i="14" s="1"/>
  <c r="K2761" i="14" l="1"/>
  <c r="L2761" i="14" s="1"/>
  <c r="I2762" i="14" s="1"/>
  <c r="J2925" i="13" a="1"/>
  <c r="J2925" i="13" s="1"/>
  <c r="N2926" i="13"/>
  <c r="J2924" i="14" a="1"/>
  <c r="J2924" i="14" s="1"/>
  <c r="N2925" i="14"/>
  <c r="M2928" i="13"/>
  <c r="M2929" i="14"/>
  <c r="K2739" i="13"/>
  <c r="L2739" i="13" s="1"/>
  <c r="I2740" i="13" s="1"/>
  <c r="K2740" i="13" l="1"/>
  <c r="L2740" i="13" s="1"/>
  <c r="I2741" i="13" s="1"/>
  <c r="K2762" i="14"/>
  <c r="L2762" i="14" s="1"/>
  <c r="I2763" i="14" s="1"/>
  <c r="N2927" i="13"/>
  <c r="J2926" i="13" a="1"/>
  <c r="J2926" i="13" s="1"/>
  <c r="M2929" i="13"/>
  <c r="M2930" i="14"/>
  <c r="J2925" i="14" a="1"/>
  <c r="J2925" i="14" s="1"/>
  <c r="N2926" i="14"/>
  <c r="K2763" i="14" l="1"/>
  <c r="L2763" i="14" s="1"/>
  <c r="I2764" i="14" s="1"/>
  <c r="K2741" i="13"/>
  <c r="L2741" i="13" s="1"/>
  <c r="I2742" i="13" s="1"/>
  <c r="N2927" i="14"/>
  <c r="J2926" i="14" a="1"/>
  <c r="J2926" i="14" s="1"/>
  <c r="M2931" i="14"/>
  <c r="M2930" i="13"/>
  <c r="J2927" i="13" a="1"/>
  <c r="J2927" i="13" s="1"/>
  <c r="N2928" i="13"/>
  <c r="K2742" i="13" l="1"/>
  <c r="L2742" i="13" s="1"/>
  <c r="I2743" i="13" s="1"/>
  <c r="K2764" i="14"/>
  <c r="L2764" i="14" s="1"/>
  <c r="I2765" i="14" s="1"/>
  <c r="J2928" i="13" a="1"/>
  <c r="J2928" i="13" s="1"/>
  <c r="N2929" i="13"/>
  <c r="M2932" i="14"/>
  <c r="M2931" i="13"/>
  <c r="N2928" i="14"/>
  <c r="J2927" i="14" a="1"/>
  <c r="J2927" i="14" s="1"/>
  <c r="K2743" i="13" l="1"/>
  <c r="L2743" i="13" s="1"/>
  <c r="I2744" i="13" s="1"/>
  <c r="K2765" i="14"/>
  <c r="L2765" i="14" s="1"/>
  <c r="I2766" i="14" s="1"/>
  <c r="J2928" i="14" a="1"/>
  <c r="J2928" i="14" s="1"/>
  <c r="N2929" i="14"/>
  <c r="M2933" i="14"/>
  <c r="J2929" i="13" a="1"/>
  <c r="J2929" i="13" s="1"/>
  <c r="N2930" i="13"/>
  <c r="M2932" i="13"/>
  <c r="K2766" i="14" l="1"/>
  <c r="L2766" i="14" s="1"/>
  <c r="I2767" i="14" s="1"/>
  <c r="M2933" i="13"/>
  <c r="M2934" i="14"/>
  <c r="N2931" i="13"/>
  <c r="J2930" i="13" a="1"/>
  <c r="J2930" i="13" s="1"/>
  <c r="J2929" i="14" a="1"/>
  <c r="J2929" i="14" s="1"/>
  <c r="N2930" i="14"/>
  <c r="K2744" i="13"/>
  <c r="L2744" i="13" s="1"/>
  <c r="I2745" i="13" s="1"/>
  <c r="K2767" i="14" l="1"/>
  <c r="L2767" i="14" s="1"/>
  <c r="I2768" i="14" s="1"/>
  <c r="K2745" i="13"/>
  <c r="L2745" i="13" s="1"/>
  <c r="I2746" i="13" s="1"/>
  <c r="M2934" i="13"/>
  <c r="J2931" i="13" a="1"/>
  <c r="J2931" i="13" s="1"/>
  <c r="N2932" i="13"/>
  <c r="N2931" i="14"/>
  <c r="J2930" i="14" a="1"/>
  <c r="J2930" i="14" s="1"/>
  <c r="M2935" i="14"/>
  <c r="K2746" i="13" l="1"/>
  <c r="L2746" i="13" s="1"/>
  <c r="I2747" i="13" s="1"/>
  <c r="K2768" i="14"/>
  <c r="L2768" i="14" s="1"/>
  <c r="I2769" i="14" s="1"/>
  <c r="M2936" i="14"/>
  <c r="J2932" i="13" a="1"/>
  <c r="J2932" i="13" s="1"/>
  <c r="N2933" i="13"/>
  <c r="N2932" i="14"/>
  <c r="J2931" i="14" a="1"/>
  <c r="J2931" i="14" s="1"/>
  <c r="M2935" i="13"/>
  <c r="K2769" i="14" l="1"/>
  <c r="L2769" i="14" s="1"/>
  <c r="I2770" i="14" s="1"/>
  <c r="K2747" i="13"/>
  <c r="L2747" i="13" s="1"/>
  <c r="I2748" i="13" s="1"/>
  <c r="J2933" i="13" a="1"/>
  <c r="J2933" i="13" s="1"/>
  <c r="N2934" i="13"/>
  <c r="M2936" i="13"/>
  <c r="J2932" i="14" a="1"/>
  <c r="J2932" i="14" s="1"/>
  <c r="N2933" i="14"/>
  <c r="M2937" i="14"/>
  <c r="K2770" i="14" l="1"/>
  <c r="L2770" i="14" s="1"/>
  <c r="I2771" i="14" s="1"/>
  <c r="M2938" i="14"/>
  <c r="M2937" i="13"/>
  <c r="K2748" i="13"/>
  <c r="L2748" i="13" s="1"/>
  <c r="I2749" i="13" s="1"/>
  <c r="N2935" i="13"/>
  <c r="J2934" i="13" a="1"/>
  <c r="J2934" i="13" s="1"/>
  <c r="J2933" i="14" a="1"/>
  <c r="J2933" i="14" s="1"/>
  <c r="N2934" i="14"/>
  <c r="K2771" i="14" l="1"/>
  <c r="L2771" i="14" s="1"/>
  <c r="I2772" i="14" s="1"/>
  <c r="N2935" i="14"/>
  <c r="J2934" i="14" a="1"/>
  <c r="J2934" i="14" s="1"/>
  <c r="M2939" i="14"/>
  <c r="K2749" i="13"/>
  <c r="L2749" i="13" s="1"/>
  <c r="I2750" i="13" s="1"/>
  <c r="M2938" i="13"/>
  <c r="J2935" i="13" a="1"/>
  <c r="J2935" i="13" s="1"/>
  <c r="N2936" i="13"/>
  <c r="K2750" i="13" l="1"/>
  <c r="L2750" i="13" s="1"/>
  <c r="I2751" i="13" s="1"/>
  <c r="K2772" i="14"/>
  <c r="L2772" i="14" s="1"/>
  <c r="I2773" i="14" s="1"/>
  <c r="J2936" i="13" a="1"/>
  <c r="J2936" i="13" s="1"/>
  <c r="N2937" i="13"/>
  <c r="N2936" i="14"/>
  <c r="J2935" i="14" a="1"/>
  <c r="J2935" i="14" s="1"/>
  <c r="M2939" i="13"/>
  <c r="M2940" i="14"/>
  <c r="K2751" i="13" l="1"/>
  <c r="L2751" i="13" s="1"/>
  <c r="I2752" i="13" s="1"/>
  <c r="K2773" i="14"/>
  <c r="L2773" i="14" s="1"/>
  <c r="I2774" i="14" s="1"/>
  <c r="J2936" i="14" a="1"/>
  <c r="J2936" i="14" s="1"/>
  <c r="N2937" i="14"/>
  <c r="M2941" i="14"/>
  <c r="J2937" i="13" a="1"/>
  <c r="J2937" i="13" s="1"/>
  <c r="N2938" i="13"/>
  <c r="M2940" i="13"/>
  <c r="K2774" i="14" l="1"/>
  <c r="L2774" i="14" s="1"/>
  <c r="I2775" i="14" s="1"/>
  <c r="K2752" i="13"/>
  <c r="L2752" i="13" s="1"/>
  <c r="I2753" i="13" s="1"/>
  <c r="M2941" i="13"/>
  <c r="M2942" i="14"/>
  <c r="J2937" i="14" a="1"/>
  <c r="J2937" i="14" s="1"/>
  <c r="N2938" i="14"/>
  <c r="N2939" i="13"/>
  <c r="J2938" i="13" a="1"/>
  <c r="J2938" i="13" s="1"/>
  <c r="K2753" i="13" l="1"/>
  <c r="L2753" i="13" s="1"/>
  <c r="I2754" i="13" s="1"/>
  <c r="M2943" i="14"/>
  <c r="J2939" i="13" a="1"/>
  <c r="J2939" i="13" s="1"/>
  <c r="N2940" i="13"/>
  <c r="N2939" i="14"/>
  <c r="J2938" i="14" a="1"/>
  <c r="J2938" i="14" s="1"/>
  <c r="M2942" i="13"/>
  <c r="K2775" i="14"/>
  <c r="L2775" i="14" s="1"/>
  <c r="I2776" i="14" s="1"/>
  <c r="K2776" i="14" l="1"/>
  <c r="L2776" i="14" s="1"/>
  <c r="I2777" i="14" s="1"/>
  <c r="K2754" i="13"/>
  <c r="L2754" i="13" s="1"/>
  <c r="I2755" i="13" s="1"/>
  <c r="N2940" i="14"/>
  <c r="J2939" i="14" a="1"/>
  <c r="J2939" i="14" s="1"/>
  <c r="M2944" i="14"/>
  <c r="J2940" i="13" a="1"/>
  <c r="J2940" i="13" s="1"/>
  <c r="N2941" i="13"/>
  <c r="M2943" i="13"/>
  <c r="K2777" i="14" l="1"/>
  <c r="L2777" i="14" s="1"/>
  <c r="I2778" i="14" s="1"/>
  <c r="J2941" i="13" a="1"/>
  <c r="J2941" i="13" s="1"/>
  <c r="N2942" i="13"/>
  <c r="M2944" i="13"/>
  <c r="M2945" i="14"/>
  <c r="K2755" i="13"/>
  <c r="L2755" i="13" s="1"/>
  <c r="I2756" i="13" s="1"/>
  <c r="J2940" i="14" a="1"/>
  <c r="J2940" i="14" s="1"/>
  <c r="N2941" i="14"/>
  <c r="K2756" i="13" l="1"/>
  <c r="L2756" i="13" s="1"/>
  <c r="I2757" i="13" s="1"/>
  <c r="K2778" i="14"/>
  <c r="L2778" i="14" s="1"/>
  <c r="I2779" i="14" s="1"/>
  <c r="J2941" i="14" a="1"/>
  <c r="J2941" i="14" s="1"/>
  <c r="N2942" i="14"/>
  <c r="M2946" i="14"/>
  <c r="N2943" i="13"/>
  <c r="J2942" i="13" a="1"/>
  <c r="J2942" i="13" s="1"/>
  <c r="M2945" i="13"/>
  <c r="K2779" i="14" l="1"/>
  <c r="L2779" i="14" s="1"/>
  <c r="I2780" i="14" s="1"/>
  <c r="J2943" i="13" a="1"/>
  <c r="J2943" i="13" s="1"/>
  <c r="N2944" i="13"/>
  <c r="M2946" i="13"/>
  <c r="M2947" i="14"/>
  <c r="N2943" i="14"/>
  <c r="J2942" i="14" a="1"/>
  <c r="J2942" i="14" s="1"/>
  <c r="K2757" i="13"/>
  <c r="L2757" i="13" s="1"/>
  <c r="I2758" i="13" s="1"/>
  <c r="K2758" i="13" l="1"/>
  <c r="L2758" i="13" s="1"/>
  <c r="I2759" i="13" s="1"/>
  <c r="J2944" i="13" a="1"/>
  <c r="J2944" i="13" s="1"/>
  <c r="N2945" i="13"/>
  <c r="M2948" i="14"/>
  <c r="N2944" i="14"/>
  <c r="J2943" i="14" a="1"/>
  <c r="J2943" i="14" s="1"/>
  <c r="M2947" i="13"/>
  <c r="K2780" i="14"/>
  <c r="L2780" i="14" s="1"/>
  <c r="I2781" i="14" s="1"/>
  <c r="K2781" i="14" l="1"/>
  <c r="L2781" i="14" s="1"/>
  <c r="I2782" i="14" s="1"/>
  <c r="K2759" i="13"/>
  <c r="L2759" i="13" s="1"/>
  <c r="I2760" i="13" s="1"/>
  <c r="J2945" i="13" a="1"/>
  <c r="J2945" i="13" s="1"/>
  <c r="N2946" i="13"/>
  <c r="J2944" i="14" a="1"/>
  <c r="J2944" i="14" s="1"/>
  <c r="N2945" i="14"/>
  <c r="M2948" i="13"/>
  <c r="M2949" i="14"/>
  <c r="K2782" i="14" l="1"/>
  <c r="L2782" i="14" s="1"/>
  <c r="I2783" i="14" s="1"/>
  <c r="J2945" i="14" a="1"/>
  <c r="J2945" i="14" s="1"/>
  <c r="N2946" i="14"/>
  <c r="K2760" i="13"/>
  <c r="L2760" i="13" s="1"/>
  <c r="I2761" i="13" s="1"/>
  <c r="N2947" i="13"/>
  <c r="J2946" i="13" a="1"/>
  <c r="J2946" i="13" s="1"/>
  <c r="M2950" i="14"/>
  <c r="M2949" i="13"/>
  <c r="K2761" i="13" l="1"/>
  <c r="L2761" i="13" s="1"/>
  <c r="I2762" i="13" s="1"/>
  <c r="K2783" i="14"/>
  <c r="L2783" i="14" s="1"/>
  <c r="I2784" i="14" s="1"/>
  <c r="N2947" i="14"/>
  <c r="J2946" i="14" a="1"/>
  <c r="J2946" i="14" s="1"/>
  <c r="J2947" i="13" a="1"/>
  <c r="J2947" i="13" s="1"/>
  <c r="N2948" i="13"/>
  <c r="M2951" i="14"/>
  <c r="M2950" i="13"/>
  <c r="K2762" i="13" l="1"/>
  <c r="L2762" i="13" s="1"/>
  <c r="I2763" i="13" s="1"/>
  <c r="K2784" i="14"/>
  <c r="L2784" i="14" s="1"/>
  <c r="I2785" i="14" s="1"/>
  <c r="J2948" i="13" a="1"/>
  <c r="J2948" i="13" s="1"/>
  <c r="N2949" i="13"/>
  <c r="M2951" i="13"/>
  <c r="M2952" i="14"/>
  <c r="N2948" i="14"/>
  <c r="J2947" i="14" a="1"/>
  <c r="J2947" i="14" s="1"/>
  <c r="K2785" i="14" l="1"/>
  <c r="L2785" i="14" s="1"/>
  <c r="I2786" i="14" s="1"/>
  <c r="K2763" i="13"/>
  <c r="L2763" i="13" s="1"/>
  <c r="I2764" i="13" s="1"/>
  <c r="J2948" i="14" a="1"/>
  <c r="J2948" i="14" s="1"/>
  <c r="N2949" i="14"/>
  <c r="M2952" i="13"/>
  <c r="J2949" i="13" a="1"/>
  <c r="J2949" i="13" s="1"/>
  <c r="N2950" i="13"/>
  <c r="M2953" i="14"/>
  <c r="M2954" i="14" l="1"/>
  <c r="M2953" i="13"/>
  <c r="K2764" i="13"/>
  <c r="L2764" i="13" s="1"/>
  <c r="I2765" i="13" s="1"/>
  <c r="N2951" i="13"/>
  <c r="J2950" i="13" a="1"/>
  <c r="J2950" i="13" s="1"/>
  <c r="J2949" i="14" a="1"/>
  <c r="J2949" i="14" s="1"/>
  <c r="N2950" i="14"/>
  <c r="K2786" i="14"/>
  <c r="L2786" i="14" s="1"/>
  <c r="I2787" i="14" s="1"/>
  <c r="K2765" i="13" l="1"/>
  <c r="L2765" i="13" s="1"/>
  <c r="I2766" i="13" s="1"/>
  <c r="K2787" i="14"/>
  <c r="L2787" i="14" s="1"/>
  <c r="I2788" i="14" s="1"/>
  <c r="M2954" i="13"/>
  <c r="J2951" i="13" a="1"/>
  <c r="J2951" i="13" s="1"/>
  <c r="N2952" i="13"/>
  <c r="M2955" i="14"/>
  <c r="N2951" i="14"/>
  <c r="J2950" i="14" a="1"/>
  <c r="J2950" i="14" s="1"/>
  <c r="K2788" i="14" l="1"/>
  <c r="L2788" i="14" s="1"/>
  <c r="I2789" i="14" s="1"/>
  <c r="K2766" i="13"/>
  <c r="L2766" i="13" s="1"/>
  <c r="I2767" i="13" s="1"/>
  <c r="J2952" i="13" a="1"/>
  <c r="J2952" i="13" s="1"/>
  <c r="N2953" i="13"/>
  <c r="N2952" i="14"/>
  <c r="J2951" i="14" a="1"/>
  <c r="J2951" i="14" s="1"/>
  <c r="M2956" i="14"/>
  <c r="M2955" i="13"/>
  <c r="K2789" i="14" l="1"/>
  <c r="L2789" i="14" s="1"/>
  <c r="I2790" i="14" s="1"/>
  <c r="M2957" i="14"/>
  <c r="M2956" i="13"/>
  <c r="K2767" i="13"/>
  <c r="L2767" i="13" s="1"/>
  <c r="I2768" i="13" s="1"/>
  <c r="J2952" i="14" a="1"/>
  <c r="J2952" i="14" s="1"/>
  <c r="N2953" i="14"/>
  <c r="J2953" i="13" a="1"/>
  <c r="J2953" i="13" s="1"/>
  <c r="N2954" i="13"/>
  <c r="K2790" i="14" l="1"/>
  <c r="L2790" i="14" s="1"/>
  <c r="I2791" i="14" s="1"/>
  <c r="N2955" i="13"/>
  <c r="J2954" i="13" a="1"/>
  <c r="J2954" i="13" s="1"/>
  <c r="K2768" i="13"/>
  <c r="L2768" i="13" s="1"/>
  <c r="I2769" i="13" s="1"/>
  <c r="M2958" i="14"/>
  <c r="J2953" i="14" a="1"/>
  <c r="J2953" i="14" s="1"/>
  <c r="N2954" i="14"/>
  <c r="M2957" i="13"/>
  <c r="K2769" i="13" l="1"/>
  <c r="L2769" i="13" s="1"/>
  <c r="I2770" i="13" s="1"/>
  <c r="K2791" i="14"/>
  <c r="L2791" i="14" s="1"/>
  <c r="I2792" i="14" s="1"/>
  <c r="M2958" i="13"/>
  <c r="M2959" i="14"/>
  <c r="J2955" i="13" a="1"/>
  <c r="J2955" i="13" s="1"/>
  <c r="N2956" i="13"/>
  <c r="N2955" i="14"/>
  <c r="J2954" i="14" a="1"/>
  <c r="J2954" i="14" s="1"/>
  <c r="K2792" i="14" l="1"/>
  <c r="L2792" i="14" s="1"/>
  <c r="I2793" i="14" s="1"/>
  <c r="K2770" i="13"/>
  <c r="L2770" i="13" s="1"/>
  <c r="I2771" i="13" s="1"/>
  <c r="N2956" i="14"/>
  <c r="J2955" i="14" a="1"/>
  <c r="J2955" i="14" s="1"/>
  <c r="M2960" i="14"/>
  <c r="J2956" i="13" a="1"/>
  <c r="J2956" i="13" s="1"/>
  <c r="N2957" i="13"/>
  <c r="M2959" i="13"/>
  <c r="K2793" i="14" l="1"/>
  <c r="L2793" i="14" s="1"/>
  <c r="I2794" i="14" s="1"/>
  <c r="K2771" i="13"/>
  <c r="L2771" i="13" s="1"/>
  <c r="I2772" i="13" s="1"/>
  <c r="J2957" i="13" a="1"/>
  <c r="J2957" i="13" s="1"/>
  <c r="N2958" i="13"/>
  <c r="M2960" i="13"/>
  <c r="M2961" i="14"/>
  <c r="J2956" i="14" a="1"/>
  <c r="J2956" i="14" s="1"/>
  <c r="N2957" i="14"/>
  <c r="K2772" i="13" l="1"/>
  <c r="L2772" i="13" s="1"/>
  <c r="I2773" i="13" s="1"/>
  <c r="J2957" i="14" a="1"/>
  <c r="J2957" i="14" s="1"/>
  <c r="N2958" i="14"/>
  <c r="M2961" i="13"/>
  <c r="M2962" i="14"/>
  <c r="N2959" i="13"/>
  <c r="J2958" i="13" a="1"/>
  <c r="J2958" i="13" s="1"/>
  <c r="K2794" i="14"/>
  <c r="L2794" i="14" s="1"/>
  <c r="I2795" i="14" s="1"/>
  <c r="K2795" i="14" l="1"/>
  <c r="L2795" i="14" s="1"/>
  <c r="I2796" i="14" s="1"/>
  <c r="K2773" i="13"/>
  <c r="L2773" i="13" s="1"/>
  <c r="I2774" i="13" s="1"/>
  <c r="M2963" i="14"/>
  <c r="N2959" i="14"/>
  <c r="J2958" i="14" a="1"/>
  <c r="J2958" i="14" s="1"/>
  <c r="M2962" i="13"/>
  <c r="J2959" i="13" a="1"/>
  <c r="J2959" i="13" s="1"/>
  <c r="N2960" i="13"/>
  <c r="K2796" i="14" l="1"/>
  <c r="L2796" i="14" s="1"/>
  <c r="I2797" i="14" s="1"/>
  <c r="J2960" i="13" a="1"/>
  <c r="J2960" i="13" s="1"/>
  <c r="N2961" i="13"/>
  <c r="K2774" i="13"/>
  <c r="L2774" i="13" s="1"/>
  <c r="I2775" i="13" s="1"/>
  <c r="N2960" i="14"/>
  <c r="J2959" i="14" a="1"/>
  <c r="J2959" i="14" s="1"/>
  <c r="M2963" i="13"/>
  <c r="M2964" i="14"/>
  <c r="K2775" i="13" l="1"/>
  <c r="L2775" i="13" s="1"/>
  <c r="I2776" i="13" s="1"/>
  <c r="K2797" i="14"/>
  <c r="L2797" i="14" s="1"/>
  <c r="I2798" i="14" s="1"/>
  <c r="J2961" i="13" a="1"/>
  <c r="J2961" i="13" s="1"/>
  <c r="N2962" i="13"/>
  <c r="J2960" i="14" a="1"/>
  <c r="J2960" i="14" s="1"/>
  <c r="N2961" i="14"/>
  <c r="M2965" i="14"/>
  <c r="M2964" i="13"/>
  <c r="K2776" i="13" l="1"/>
  <c r="L2776" i="13" s="1"/>
  <c r="I2777" i="13" s="1"/>
  <c r="M2966" i="14"/>
  <c r="J2961" i="14" a="1"/>
  <c r="J2961" i="14" s="1"/>
  <c r="N2962" i="14"/>
  <c r="K2798" i="14"/>
  <c r="L2798" i="14" s="1"/>
  <c r="I2799" i="14" s="1"/>
  <c r="N2963" i="13"/>
  <c r="J2962" i="13" a="1"/>
  <c r="J2962" i="13" s="1"/>
  <c r="M2965" i="13"/>
  <c r="K2777" i="13" l="1"/>
  <c r="L2777" i="13" s="1"/>
  <c r="I2778" i="13" s="1"/>
  <c r="J2963" i="13" a="1"/>
  <c r="J2963" i="13" s="1"/>
  <c r="N2964" i="13"/>
  <c r="M2966" i="13"/>
  <c r="M2967" i="14"/>
  <c r="K2799" i="14"/>
  <c r="L2799" i="14" s="1"/>
  <c r="I2800" i="14" s="1"/>
  <c r="N2963" i="14"/>
  <c r="J2962" i="14" a="1"/>
  <c r="J2962" i="14" s="1"/>
  <c r="K2800" i="14" l="1"/>
  <c r="L2800" i="14" s="1"/>
  <c r="I2801" i="14" s="1"/>
  <c r="K2778" i="13"/>
  <c r="L2778" i="13" s="1"/>
  <c r="I2779" i="13" s="1"/>
  <c r="J2964" i="13" a="1"/>
  <c r="J2964" i="13" s="1"/>
  <c r="N2965" i="13"/>
  <c r="N2964" i="14"/>
  <c r="J2963" i="14" a="1"/>
  <c r="J2963" i="14" s="1"/>
  <c r="M2968" i="14"/>
  <c r="M2967" i="13"/>
  <c r="K2801" i="14" l="1"/>
  <c r="L2801" i="14" s="1"/>
  <c r="I2802" i="14" s="1"/>
  <c r="K2779" i="13"/>
  <c r="L2779" i="13" s="1"/>
  <c r="I2780" i="13" s="1"/>
  <c r="J2964" i="14" a="1"/>
  <c r="J2964" i="14" s="1"/>
  <c r="N2965" i="14"/>
  <c r="M2968" i="13"/>
  <c r="J2965" i="13" a="1"/>
  <c r="J2965" i="13" s="1"/>
  <c r="N2966" i="13"/>
  <c r="M2969" i="14"/>
  <c r="K2802" i="14" l="1"/>
  <c r="L2802" i="14" s="1"/>
  <c r="I2803" i="14" s="1"/>
  <c r="M2970" i="14"/>
  <c r="M2969" i="13"/>
  <c r="K2780" i="13"/>
  <c r="L2780" i="13" s="1"/>
  <c r="I2781" i="13" s="1"/>
  <c r="J2965" i="14" a="1"/>
  <c r="J2965" i="14" s="1"/>
  <c r="N2966" i="14"/>
  <c r="N2967" i="13"/>
  <c r="J2966" i="13" a="1"/>
  <c r="J2966" i="13" s="1"/>
  <c r="K2803" i="14" l="1"/>
  <c r="L2803" i="14" s="1"/>
  <c r="I2804" i="14" s="1"/>
  <c r="K2781" i="13"/>
  <c r="L2781" i="13" s="1"/>
  <c r="I2782" i="13" s="1"/>
  <c r="M2971" i="14"/>
  <c r="N2967" i="14"/>
  <c r="J2966" i="14" a="1"/>
  <c r="J2966" i="14" s="1"/>
  <c r="J2967" i="13" a="1"/>
  <c r="J2967" i="13" s="1"/>
  <c r="N2968" i="13"/>
  <c r="M2970" i="13"/>
  <c r="K2782" i="13" l="1"/>
  <c r="L2782" i="13" s="1"/>
  <c r="I2783" i="13" s="1"/>
  <c r="K2804" i="14"/>
  <c r="L2804" i="14" s="1"/>
  <c r="I2805" i="14" s="1"/>
  <c r="M2971" i="13"/>
  <c r="N2968" i="14"/>
  <c r="J2967" i="14" a="1"/>
  <c r="J2967" i="14" s="1"/>
  <c r="J2968" i="13" a="1"/>
  <c r="J2968" i="13" s="1"/>
  <c r="N2969" i="13"/>
  <c r="M2972" i="14"/>
  <c r="K2805" i="14" l="1"/>
  <c r="L2805" i="14" s="1"/>
  <c r="I2806" i="14" s="1"/>
  <c r="K2783" i="13"/>
  <c r="L2783" i="13" s="1"/>
  <c r="I2784" i="13" s="1"/>
  <c r="J2968" i="14" a="1"/>
  <c r="J2968" i="14" s="1"/>
  <c r="N2969" i="14"/>
  <c r="J2969" i="13" a="1"/>
  <c r="J2969" i="13" s="1"/>
  <c r="N2970" i="13"/>
  <c r="M2973" i="14"/>
  <c r="M2972" i="13"/>
  <c r="K2784" i="13" l="1"/>
  <c r="L2784" i="13" s="1"/>
  <c r="I2785" i="13" s="1"/>
  <c r="K2806" i="14"/>
  <c r="L2806" i="14" s="1"/>
  <c r="I2807" i="14" s="1"/>
  <c r="N2971" i="13"/>
  <c r="J2970" i="13" a="1"/>
  <c r="J2970" i="13" s="1"/>
  <c r="J2969" i="14" a="1"/>
  <c r="J2969" i="14" s="1"/>
  <c r="N2970" i="14"/>
  <c r="M2973" i="13"/>
  <c r="M2974" i="14"/>
  <c r="K2807" i="14" l="1"/>
  <c r="L2807" i="14" s="1"/>
  <c r="I2808" i="14" s="1"/>
  <c r="K2785" i="13"/>
  <c r="L2785" i="13" s="1"/>
  <c r="I2786" i="13" s="1"/>
  <c r="N2971" i="14"/>
  <c r="J2970" i="14" a="1"/>
  <c r="J2970" i="14" s="1"/>
  <c r="M2975" i="14"/>
  <c r="M2974" i="13"/>
  <c r="J2971" i="13" a="1"/>
  <c r="J2971" i="13" s="1"/>
  <c r="N2972" i="13"/>
  <c r="K2786" i="13" l="1"/>
  <c r="L2786" i="13" s="1"/>
  <c r="I2787" i="13" s="1"/>
  <c r="J2972" i="13" a="1"/>
  <c r="J2972" i="13" s="1"/>
  <c r="N2973" i="13"/>
  <c r="M2976" i="14"/>
  <c r="M2975" i="13"/>
  <c r="N2972" i="14"/>
  <c r="J2971" i="14" a="1"/>
  <c r="J2971" i="14" s="1"/>
  <c r="K2808" i="14"/>
  <c r="L2808" i="14" s="1"/>
  <c r="I2809" i="14" s="1"/>
  <c r="K2809" i="14" l="1"/>
  <c r="L2809" i="14" s="1"/>
  <c r="I2810" i="14" s="1"/>
  <c r="K2787" i="13"/>
  <c r="L2787" i="13" s="1"/>
  <c r="I2788" i="13" s="1"/>
  <c r="J2973" i="13" a="1"/>
  <c r="J2973" i="13" s="1"/>
  <c r="N2974" i="13"/>
  <c r="M2976" i="13"/>
  <c r="J2972" i="14" a="1"/>
  <c r="J2972" i="14" s="1"/>
  <c r="N2973" i="14"/>
  <c r="M2977" i="14"/>
  <c r="K2810" i="14" l="1"/>
  <c r="L2810" i="14" s="1"/>
  <c r="I2811" i="14" s="1"/>
  <c r="M2978" i="14"/>
  <c r="N2975" i="13"/>
  <c r="J2974" i="13" a="1"/>
  <c r="J2974" i="13" s="1"/>
  <c r="M2977" i="13"/>
  <c r="K2788" i="13"/>
  <c r="L2788" i="13" s="1"/>
  <c r="I2789" i="13" s="1"/>
  <c r="J2973" i="14" a="1"/>
  <c r="J2973" i="14" s="1"/>
  <c r="N2974" i="14"/>
  <c r="K2789" i="13" l="1"/>
  <c r="L2789" i="13" s="1"/>
  <c r="I2790" i="13" s="1"/>
  <c r="K2811" i="14"/>
  <c r="L2811" i="14" s="1"/>
  <c r="I2812" i="14" s="1"/>
  <c r="N2975" i="14"/>
  <c r="J2974" i="14" a="1"/>
  <c r="J2974" i="14" s="1"/>
  <c r="M2978" i="13"/>
  <c r="M2979" i="14"/>
  <c r="J2975" i="13" a="1"/>
  <c r="J2975" i="13" s="1"/>
  <c r="N2976" i="13"/>
  <c r="K2790" i="13" l="1"/>
  <c r="L2790" i="13" s="1"/>
  <c r="I2791" i="13" s="1"/>
  <c r="J2976" i="13" a="1"/>
  <c r="J2976" i="13" s="1"/>
  <c r="N2977" i="13"/>
  <c r="M2979" i="13"/>
  <c r="K2812" i="14"/>
  <c r="L2812" i="14" s="1"/>
  <c r="I2813" i="14" s="1"/>
  <c r="M2980" i="14"/>
  <c r="N2976" i="14"/>
  <c r="J2975" i="14" a="1"/>
  <c r="J2975" i="14" s="1"/>
  <c r="K2813" i="14" l="1"/>
  <c r="L2813" i="14" s="1"/>
  <c r="I2814" i="14" s="1"/>
  <c r="K2791" i="13"/>
  <c r="L2791" i="13" s="1"/>
  <c r="I2792" i="13" s="1"/>
  <c r="J2977" i="13" a="1"/>
  <c r="J2977" i="13" s="1"/>
  <c r="N2978" i="13"/>
  <c r="J2976" i="14" a="1"/>
  <c r="J2976" i="14" s="1"/>
  <c r="N2977" i="14"/>
  <c r="M2981" i="14"/>
  <c r="M2980" i="13"/>
  <c r="K2792" i="13" l="1"/>
  <c r="L2792" i="13" s="1"/>
  <c r="I2793" i="13" s="1"/>
  <c r="K2814" i="14"/>
  <c r="L2814" i="14" s="1"/>
  <c r="I2815" i="14" s="1"/>
  <c r="J2977" i="14" a="1"/>
  <c r="J2977" i="14" s="1"/>
  <c r="N2978" i="14"/>
  <c r="N2979" i="13"/>
  <c r="J2978" i="13" a="1"/>
  <c r="J2978" i="13" s="1"/>
  <c r="M2981" i="13"/>
  <c r="M2982" i="14"/>
  <c r="K2793" i="13" l="1"/>
  <c r="L2793" i="13" s="1"/>
  <c r="I2794" i="13" s="1"/>
  <c r="M2983" i="14"/>
  <c r="J2979" i="13" a="1"/>
  <c r="J2979" i="13" s="1"/>
  <c r="N2980" i="13"/>
  <c r="K2815" i="14"/>
  <c r="L2815" i="14" s="1"/>
  <c r="I2816" i="14" s="1"/>
  <c r="M2982" i="13"/>
  <c r="N2979" i="14"/>
  <c r="J2978" i="14" a="1"/>
  <c r="J2978" i="14" s="1"/>
  <c r="K2794" i="13" l="1"/>
  <c r="L2794" i="13" s="1"/>
  <c r="I2795" i="13" s="1"/>
  <c r="K2816" i="14"/>
  <c r="L2816" i="14" s="1"/>
  <c r="I2817" i="14" s="1"/>
  <c r="M2984" i="14"/>
  <c r="N2980" i="14"/>
  <c r="J2979" i="14" a="1"/>
  <c r="J2979" i="14" s="1"/>
  <c r="J2980" i="13" a="1"/>
  <c r="J2980" i="13" s="1"/>
  <c r="N2981" i="13"/>
  <c r="M2983" i="13"/>
  <c r="K2795" i="13" l="1"/>
  <c r="L2795" i="13" s="1"/>
  <c r="I2796" i="13" s="1"/>
  <c r="M2984" i="13"/>
  <c r="K2817" i="14"/>
  <c r="L2817" i="14" s="1"/>
  <c r="I2818" i="14" s="1"/>
  <c r="J2980" i="14" a="1"/>
  <c r="J2980" i="14" s="1"/>
  <c r="N2981" i="14"/>
  <c r="J2981" i="13" a="1"/>
  <c r="J2981" i="13" s="1"/>
  <c r="N2982" i="13"/>
  <c r="M2985" i="14"/>
  <c r="K2818" i="14" l="1"/>
  <c r="L2818" i="14" s="1"/>
  <c r="I2819" i="14" s="1"/>
  <c r="K2796" i="13"/>
  <c r="L2796" i="13" s="1"/>
  <c r="I2797" i="13" s="1"/>
  <c r="M2986" i="14"/>
  <c r="J2981" i="14" a="1"/>
  <c r="J2981" i="14" s="1"/>
  <c r="N2982" i="14"/>
  <c r="M2985" i="13"/>
  <c r="N2983" i="13"/>
  <c r="J2982" i="13" a="1"/>
  <c r="J2982" i="13" s="1"/>
  <c r="K2819" i="14" l="1"/>
  <c r="L2819" i="14" s="1"/>
  <c r="I2820" i="14" s="1"/>
  <c r="N2983" i="14"/>
  <c r="J2982" i="14" a="1"/>
  <c r="J2982" i="14" s="1"/>
  <c r="J2983" i="13" a="1"/>
  <c r="J2983" i="13" s="1"/>
  <c r="N2984" i="13"/>
  <c r="K2797" i="13"/>
  <c r="L2797" i="13" s="1"/>
  <c r="I2798" i="13" s="1"/>
  <c r="M2986" i="13"/>
  <c r="M2987" i="14"/>
  <c r="K2798" i="13" l="1"/>
  <c r="L2798" i="13" s="1"/>
  <c r="I2799" i="13" s="1"/>
  <c r="K2820" i="14"/>
  <c r="L2820" i="14" s="1"/>
  <c r="I2821" i="14" s="1"/>
  <c r="N2984" i="14"/>
  <c r="J2983" i="14" a="1"/>
  <c r="J2983" i="14" s="1"/>
  <c r="M2987" i="13"/>
  <c r="M2988" i="14"/>
  <c r="J2984" i="13" a="1"/>
  <c r="J2984" i="13" s="1"/>
  <c r="N2985" i="13"/>
  <c r="K2821" i="14" l="1"/>
  <c r="L2821" i="14" s="1"/>
  <c r="I2822" i="14" s="1"/>
  <c r="K2799" i="13"/>
  <c r="L2799" i="13" s="1"/>
  <c r="I2800" i="13" s="1"/>
  <c r="J2985" i="13" a="1"/>
  <c r="J2985" i="13" s="1"/>
  <c r="N2986" i="13"/>
  <c r="M2988" i="13"/>
  <c r="M2989" i="14"/>
  <c r="J2984" i="14" a="1"/>
  <c r="J2984" i="14" s="1"/>
  <c r="N2985" i="14"/>
  <c r="K2800" i="13" l="1"/>
  <c r="L2800" i="13" s="1"/>
  <c r="I2801" i="13" s="1"/>
  <c r="K2822" i="14"/>
  <c r="L2822" i="14" s="1"/>
  <c r="I2823" i="14" s="1"/>
  <c r="J2985" i="14" a="1"/>
  <c r="J2985" i="14" s="1"/>
  <c r="N2986" i="14"/>
  <c r="M2990" i="14"/>
  <c r="M2989" i="13"/>
  <c r="N2987" i="13"/>
  <c r="J2986" i="13" a="1"/>
  <c r="J2986" i="13" s="1"/>
  <c r="K2823" i="14" l="1"/>
  <c r="L2823" i="14" s="1"/>
  <c r="I2824" i="14" s="1"/>
  <c r="K2801" i="13"/>
  <c r="L2801" i="13" s="1"/>
  <c r="I2802" i="13" s="1"/>
  <c r="M2991" i="14"/>
  <c r="J2987" i="13" a="1"/>
  <c r="J2987" i="13" s="1"/>
  <c r="N2988" i="13"/>
  <c r="M2990" i="13"/>
  <c r="N2987" i="14"/>
  <c r="J2986" i="14" a="1"/>
  <c r="J2986" i="14" s="1"/>
  <c r="K2802" i="13" l="1"/>
  <c r="L2802" i="13" s="1"/>
  <c r="I2803" i="13" s="1"/>
  <c r="K2824" i="14"/>
  <c r="L2824" i="14" s="1"/>
  <c r="I2825" i="14" s="1"/>
  <c r="J2988" i="13" a="1"/>
  <c r="J2988" i="13" s="1"/>
  <c r="N2989" i="13"/>
  <c r="N2988" i="14"/>
  <c r="J2987" i="14" a="1"/>
  <c r="J2987" i="14" s="1"/>
  <c r="M2991" i="13"/>
  <c r="M2992" i="14"/>
  <c r="K2825" i="14" l="1"/>
  <c r="L2825" i="14" s="1"/>
  <c r="I2826" i="14" s="1"/>
  <c r="M2992" i="13"/>
  <c r="K2803" i="13"/>
  <c r="L2803" i="13" s="1"/>
  <c r="I2804" i="13" s="1"/>
  <c r="M2993" i="14"/>
  <c r="J2988" i="14" a="1"/>
  <c r="J2988" i="14" s="1"/>
  <c r="N2989" i="14"/>
  <c r="J2989" i="13" a="1"/>
  <c r="J2989" i="13" s="1"/>
  <c r="N2990" i="13"/>
  <c r="K2804" i="13" l="1"/>
  <c r="L2804" i="13" s="1"/>
  <c r="I2805" i="13" s="1"/>
  <c r="K2826" i="14"/>
  <c r="L2826" i="14" s="1"/>
  <c r="I2827" i="14" s="1"/>
  <c r="N2991" i="13"/>
  <c r="J2990" i="13" a="1"/>
  <c r="J2990" i="13" s="1"/>
  <c r="M2994" i="14"/>
  <c r="M2993" i="13"/>
  <c r="J2989" i="14" a="1"/>
  <c r="J2989" i="14" s="1"/>
  <c r="N2990" i="14"/>
  <c r="K2827" i="14" l="1"/>
  <c r="L2827" i="14" s="1"/>
  <c r="I2828" i="14" s="1"/>
  <c r="K2805" i="13"/>
  <c r="L2805" i="13" s="1"/>
  <c r="I2806" i="13" s="1"/>
  <c r="M2994" i="13"/>
  <c r="N2991" i="14"/>
  <c r="J2990" i="14" a="1"/>
  <c r="J2990" i="14" s="1"/>
  <c r="M2995" i="14"/>
  <c r="J2991" i="13" a="1"/>
  <c r="J2991" i="13" s="1"/>
  <c r="N2992" i="13"/>
  <c r="K2828" i="14" l="1"/>
  <c r="L2828" i="14" s="1"/>
  <c r="I2829" i="14" s="1"/>
  <c r="K2806" i="13"/>
  <c r="L2806" i="13" s="1"/>
  <c r="I2807" i="13" s="1"/>
  <c r="J2992" i="13" a="1"/>
  <c r="J2992" i="13" s="1"/>
  <c r="N2993" i="13"/>
  <c r="N2992" i="14"/>
  <c r="J2991" i="14" a="1"/>
  <c r="J2991" i="14" s="1"/>
  <c r="M2996" i="14"/>
  <c r="M2995" i="13"/>
  <c r="K2807" i="13" l="1"/>
  <c r="L2807" i="13" s="1"/>
  <c r="I2808" i="13" s="1"/>
  <c r="K2829" i="14"/>
  <c r="L2829" i="14" s="1"/>
  <c r="I2830" i="14" s="1"/>
  <c r="J2992" i="14" a="1"/>
  <c r="J2992" i="14" s="1"/>
  <c r="N2993" i="14"/>
  <c r="M2996" i="13"/>
  <c r="J2993" i="13" a="1"/>
  <c r="J2993" i="13" s="1"/>
  <c r="N2994" i="13"/>
  <c r="M2997" i="14"/>
  <c r="K2808" i="13" l="1"/>
  <c r="L2808" i="13" s="1"/>
  <c r="I2809" i="13" s="1"/>
  <c r="N2995" i="13"/>
  <c r="J2994" i="13" a="1"/>
  <c r="J2994" i="13" s="1"/>
  <c r="M2998" i="14"/>
  <c r="M2997" i="13"/>
  <c r="K2830" i="14"/>
  <c r="L2830" i="14" s="1"/>
  <c r="I2831" i="14" s="1"/>
  <c r="J2993" i="14" a="1"/>
  <c r="J2993" i="14" s="1"/>
  <c r="N2994" i="14"/>
  <c r="K2831" i="14" l="1"/>
  <c r="L2831" i="14" s="1"/>
  <c r="I2832" i="14" s="1"/>
  <c r="K2809" i="13"/>
  <c r="L2809" i="13" s="1"/>
  <c r="I2810" i="13" s="1"/>
  <c r="J2995" i="13" a="1"/>
  <c r="J2995" i="13" s="1"/>
  <c r="N2996" i="13"/>
  <c r="N2995" i="14"/>
  <c r="J2994" i="14" a="1"/>
  <c r="J2994" i="14" s="1"/>
  <c r="M2998" i="13"/>
  <c r="M2999" i="14"/>
  <c r="K2810" i="13" l="1"/>
  <c r="L2810" i="13" s="1"/>
  <c r="I2811" i="13" s="1"/>
  <c r="K2832" i="14"/>
  <c r="L2832" i="14" s="1"/>
  <c r="I2833" i="14" s="1"/>
  <c r="M2999" i="13"/>
  <c r="M3000" i="14"/>
  <c r="N2996" i="14"/>
  <c r="J2995" i="14" a="1"/>
  <c r="J2995" i="14" s="1"/>
  <c r="J2996" i="13" a="1"/>
  <c r="J2996" i="13" s="1"/>
  <c r="N2997" i="13"/>
  <c r="K2811" i="13" l="1"/>
  <c r="L2811" i="13" s="1"/>
  <c r="I2812" i="13" s="1"/>
  <c r="J2997" i="13" a="1"/>
  <c r="J2997" i="13" s="1"/>
  <c r="N2998" i="13"/>
  <c r="K2833" i="14"/>
  <c r="L2833" i="14" s="1"/>
  <c r="I2834" i="14" s="1"/>
  <c r="M3001" i="14"/>
  <c r="J2996" i="14" a="1"/>
  <c r="J2996" i="14" s="1"/>
  <c r="N2997" i="14"/>
  <c r="M3000" i="13"/>
  <c r="K2834" i="14" l="1"/>
  <c r="L2834" i="14" s="1"/>
  <c r="I2835" i="14" s="1"/>
  <c r="K2812" i="13"/>
  <c r="L2812" i="13" s="1"/>
  <c r="I2813" i="13" s="1"/>
  <c r="M3001" i="13"/>
  <c r="M3002" i="14"/>
  <c r="N2999" i="13"/>
  <c r="J2998" i="13" a="1"/>
  <c r="J2998" i="13" s="1"/>
  <c r="J2997" i="14" a="1"/>
  <c r="J2997" i="14" s="1"/>
  <c r="N2998" i="14"/>
  <c r="K2835" i="14" l="1"/>
  <c r="L2835" i="14" s="1"/>
  <c r="I2836" i="14" s="1"/>
  <c r="K2813" i="13"/>
  <c r="L2813" i="13" s="1"/>
  <c r="I2814" i="13" s="1"/>
  <c r="N2999" i="14"/>
  <c r="J2998" i="14" a="1"/>
  <c r="J2998" i="14" s="1"/>
  <c r="M3003" i="14"/>
  <c r="M3002" i="13"/>
  <c r="J2999" i="13" a="1"/>
  <c r="J2999" i="13" s="1"/>
  <c r="N3000" i="13"/>
  <c r="K2814" i="13" l="1"/>
  <c r="L2814" i="13" s="1"/>
  <c r="I2815" i="13" s="1"/>
  <c r="K2836" i="14"/>
  <c r="L2836" i="14" s="1"/>
  <c r="I2837" i="14" s="1"/>
  <c r="J3000" i="13" a="1"/>
  <c r="J3000" i="13" s="1"/>
  <c r="N3001" i="13"/>
  <c r="M3003" i="13"/>
  <c r="M3004" i="14"/>
  <c r="N3000" i="14"/>
  <c r="J2999" i="14" a="1"/>
  <c r="J2999" i="14" s="1"/>
  <c r="K2837" i="14" l="1"/>
  <c r="L2837" i="14" s="1"/>
  <c r="I2838" i="14" s="1"/>
  <c r="K2815" i="13"/>
  <c r="L2815" i="13" s="1"/>
  <c r="I2816" i="13" s="1"/>
  <c r="J3000" i="14" a="1"/>
  <c r="J3000" i="14" s="1"/>
  <c r="N3001" i="14"/>
  <c r="M3004" i="13"/>
  <c r="J3001" i="13" a="1"/>
  <c r="J3001" i="13" s="1"/>
  <c r="N3002" i="13"/>
  <c r="M3005" i="14"/>
  <c r="K2816" i="13" l="1"/>
  <c r="L2816" i="13" s="1"/>
  <c r="I2817" i="13" s="1"/>
  <c r="K2838" i="14"/>
  <c r="L2838" i="14" s="1"/>
  <c r="I2839" i="14" s="1"/>
  <c r="M3006" i="14"/>
  <c r="M3005" i="13"/>
  <c r="N3003" i="13"/>
  <c r="J3002" i="13" a="1"/>
  <c r="J3002" i="13" s="1"/>
  <c r="J3001" i="14" a="1"/>
  <c r="J3001" i="14" s="1"/>
  <c r="N3002" i="14"/>
  <c r="K2839" i="14" l="1"/>
  <c r="L2839" i="14" s="1"/>
  <c r="I2840" i="14" s="1"/>
  <c r="K2817" i="13"/>
  <c r="L2817" i="13" s="1"/>
  <c r="I2818" i="13" s="1"/>
  <c r="N3003" i="14"/>
  <c r="J3002" i="14" a="1"/>
  <c r="J3002" i="14" s="1"/>
  <c r="M3006" i="13"/>
  <c r="M3007" i="14"/>
  <c r="J3003" i="13" a="1"/>
  <c r="J3003" i="13" s="1"/>
  <c r="N3004" i="13"/>
  <c r="K2818" i="13" l="1"/>
  <c r="L2818" i="13" s="1"/>
  <c r="I2819" i="13" s="1"/>
  <c r="K2840" i="14"/>
  <c r="L2840" i="14" s="1"/>
  <c r="I2841" i="14" s="1"/>
  <c r="J3004" i="13" a="1"/>
  <c r="J3004" i="13" s="1"/>
  <c r="N3005" i="13"/>
  <c r="M3007" i="13"/>
  <c r="M3008" i="14"/>
  <c r="N3004" i="14"/>
  <c r="J3003" i="14" a="1"/>
  <c r="J3003" i="14" s="1"/>
  <c r="K2841" i="14" l="1"/>
  <c r="L2841" i="14" s="1"/>
  <c r="I2842" i="14" s="1"/>
  <c r="K2819" i="13"/>
  <c r="L2819" i="13" s="1"/>
  <c r="I2820" i="13" s="1"/>
  <c r="J3004" i="14" a="1"/>
  <c r="J3004" i="14" s="1"/>
  <c r="N3005" i="14"/>
  <c r="M3008" i="13"/>
  <c r="J3005" i="13" a="1"/>
  <c r="J3005" i="13" s="1"/>
  <c r="N3006" i="13"/>
  <c r="M3009" i="14"/>
  <c r="K2820" i="13" l="1"/>
  <c r="L2820" i="13" s="1"/>
  <c r="I2821" i="13" s="1"/>
  <c r="K2842" i="14"/>
  <c r="L2842" i="14" s="1"/>
  <c r="I2843" i="14" s="1"/>
  <c r="N3007" i="13"/>
  <c r="J3006" i="13" a="1"/>
  <c r="J3006" i="13" s="1"/>
  <c r="M3010" i="14"/>
  <c r="M3009" i="13"/>
  <c r="J3005" i="14" a="1"/>
  <c r="J3005" i="14" s="1"/>
  <c r="N3006" i="14"/>
  <c r="K2821" i="13" l="1"/>
  <c r="L2821" i="13" s="1"/>
  <c r="I2822" i="13" s="1"/>
  <c r="N3007" i="14"/>
  <c r="J3006" i="14" a="1"/>
  <c r="J3006" i="14" s="1"/>
  <c r="M3011" i="14"/>
  <c r="K2843" i="14"/>
  <c r="L2843" i="14" s="1"/>
  <c r="I2844" i="14" s="1"/>
  <c r="M3010" i="13"/>
  <c r="J3007" i="13" a="1"/>
  <c r="J3007" i="13" s="1"/>
  <c r="N3008" i="13"/>
  <c r="K2844" i="14" l="1"/>
  <c r="L2844" i="14" s="1"/>
  <c r="I2845" i="14" s="1"/>
  <c r="K2822" i="13"/>
  <c r="L2822" i="13" s="1"/>
  <c r="I2823" i="13" s="1"/>
  <c r="J3008" i="13" a="1"/>
  <c r="J3008" i="13" s="1"/>
  <c r="N3009" i="13"/>
  <c r="N3008" i="14"/>
  <c r="J3007" i="14" a="1"/>
  <c r="J3007" i="14" s="1"/>
  <c r="M3011" i="13"/>
  <c r="M3012" i="14"/>
  <c r="K2823" i="13" l="1"/>
  <c r="L2823" i="13" s="1"/>
  <c r="I2824" i="13" s="1"/>
  <c r="K2845" i="14"/>
  <c r="L2845" i="14" s="1"/>
  <c r="I2846" i="14" s="1"/>
  <c r="J3008" i="14" a="1"/>
  <c r="J3008" i="14" s="1"/>
  <c r="N3009" i="14"/>
  <c r="J3009" i="13" a="1"/>
  <c r="J3009" i="13" s="1"/>
  <c r="N3010" i="13"/>
  <c r="M3013" i="14"/>
  <c r="M3012" i="13"/>
  <c r="K2846" i="14" l="1"/>
  <c r="L2846" i="14" s="1"/>
  <c r="I2847" i="14" s="1"/>
  <c r="K2824" i="13"/>
  <c r="L2824" i="13" s="1"/>
  <c r="I2825" i="13" s="1"/>
  <c r="N3011" i="13"/>
  <c r="J3010" i="13" a="1"/>
  <c r="J3010" i="13" s="1"/>
  <c r="J3009" i="14" a="1"/>
  <c r="J3009" i="14" s="1"/>
  <c r="N3010" i="14"/>
  <c r="M3013" i="13"/>
  <c r="M3014" i="14"/>
  <c r="K2825" i="13" l="1"/>
  <c r="L2825" i="13" s="1"/>
  <c r="I2826" i="13" s="1"/>
  <c r="K2847" i="14"/>
  <c r="L2847" i="14" s="1"/>
  <c r="I2848" i="14" s="1"/>
  <c r="N3011" i="14"/>
  <c r="J3010" i="14" a="1"/>
  <c r="J3010" i="14" s="1"/>
  <c r="M3015" i="14"/>
  <c r="M3014" i="13"/>
  <c r="J3011" i="13" a="1"/>
  <c r="J3011" i="13" s="1"/>
  <c r="N3012" i="13"/>
  <c r="K2848" i="14" l="1"/>
  <c r="L2848" i="14" s="1"/>
  <c r="I2849" i="14" s="1"/>
  <c r="K2826" i="13"/>
  <c r="L2826" i="13" s="1"/>
  <c r="I2827" i="13" s="1"/>
  <c r="J3012" i="13" a="1"/>
  <c r="J3012" i="13" s="1"/>
  <c r="N3013" i="13"/>
  <c r="M3016" i="14"/>
  <c r="M3015" i="13"/>
  <c r="N3012" i="14"/>
  <c r="J3011" i="14" a="1"/>
  <c r="J3011" i="14" s="1"/>
  <c r="K2827" i="13" l="1"/>
  <c r="L2827" i="13" s="1"/>
  <c r="I2828" i="13" s="1"/>
  <c r="K2849" i="14"/>
  <c r="L2849" i="14" s="1"/>
  <c r="I2850" i="14" s="1"/>
  <c r="J3012" i="14" a="1"/>
  <c r="J3012" i="14" s="1"/>
  <c r="N3013" i="14"/>
  <c r="M3017" i="14"/>
  <c r="J3013" i="13" a="1"/>
  <c r="J3013" i="13" s="1"/>
  <c r="N3014" i="13"/>
  <c r="M3016" i="13"/>
  <c r="K2850" i="14" l="1"/>
  <c r="L2850" i="14" s="1"/>
  <c r="I2851" i="14" s="1"/>
  <c r="K2828" i="13"/>
  <c r="L2828" i="13" s="1"/>
  <c r="I2829" i="13" s="1"/>
  <c r="N3015" i="13"/>
  <c r="J3014" i="13" a="1"/>
  <c r="J3014" i="13" s="1"/>
  <c r="M3018" i="14"/>
  <c r="M3017" i="13"/>
  <c r="J3013" i="14" a="1"/>
  <c r="J3013" i="14" s="1"/>
  <c r="N3014" i="14"/>
  <c r="K2829" i="13" l="1"/>
  <c r="L2829" i="13" s="1"/>
  <c r="I2830" i="13" s="1"/>
  <c r="K2851" i="14"/>
  <c r="L2851" i="14" s="1"/>
  <c r="I2852" i="14" s="1"/>
  <c r="N3015" i="14"/>
  <c r="J3014" i="14" a="1"/>
  <c r="J3014" i="14" s="1"/>
  <c r="M3019" i="14"/>
  <c r="M3018" i="13"/>
  <c r="J3015" i="13" a="1"/>
  <c r="J3015" i="13" s="1"/>
  <c r="N3016" i="13"/>
  <c r="K2852" i="14" l="1"/>
  <c r="L2852" i="14" s="1"/>
  <c r="I2853" i="14" s="1"/>
  <c r="K2830" i="13"/>
  <c r="L2830" i="13" s="1"/>
  <c r="I2831" i="13" s="1"/>
  <c r="J3016" i="13" a="1"/>
  <c r="J3016" i="13" s="1"/>
  <c r="N3017" i="13"/>
  <c r="M3020" i="14"/>
  <c r="M3019" i="13"/>
  <c r="N3016" i="14"/>
  <c r="J3015" i="14" a="1"/>
  <c r="J3015" i="14" s="1"/>
  <c r="K2831" i="13" l="1"/>
  <c r="L2831" i="13" s="1"/>
  <c r="I2832" i="13" s="1"/>
  <c r="K2853" i="14"/>
  <c r="L2853" i="14" s="1"/>
  <c r="I2854" i="14" s="1"/>
  <c r="J3016" i="14" a="1"/>
  <c r="J3016" i="14" s="1"/>
  <c r="N3017" i="14"/>
  <c r="M3021" i="14"/>
  <c r="J3017" i="13" a="1"/>
  <c r="J3017" i="13" s="1"/>
  <c r="N3018" i="13"/>
  <c r="M3020" i="13"/>
  <c r="K2854" i="14" l="1"/>
  <c r="L2854" i="14" s="1"/>
  <c r="I2855" i="14" s="1"/>
  <c r="K2832" i="13"/>
  <c r="L2832" i="13" s="1"/>
  <c r="I2833" i="13" s="1"/>
  <c r="N3019" i="13"/>
  <c r="J3018" i="13" a="1"/>
  <c r="J3018" i="13" s="1"/>
  <c r="M3021" i="13"/>
  <c r="M3022" i="14"/>
  <c r="J3017" i="14" a="1"/>
  <c r="J3017" i="14" s="1"/>
  <c r="N3018" i="14"/>
  <c r="K2833" i="13" l="1"/>
  <c r="L2833" i="13" s="1"/>
  <c r="I2834" i="13" s="1"/>
  <c r="N3019" i="14"/>
  <c r="J3018" i="14" a="1"/>
  <c r="J3018" i="14" s="1"/>
  <c r="M3022" i="13"/>
  <c r="M3023" i="14"/>
  <c r="J3019" i="13" a="1"/>
  <c r="J3019" i="13" s="1"/>
  <c r="N3020" i="13"/>
  <c r="K2855" i="14"/>
  <c r="L2855" i="14" s="1"/>
  <c r="I2856" i="14" s="1"/>
  <c r="K2856" i="14" l="1"/>
  <c r="L2856" i="14" s="1"/>
  <c r="I2857" i="14" s="1"/>
  <c r="K2834" i="13"/>
  <c r="L2834" i="13" s="1"/>
  <c r="I2835" i="13" s="1"/>
  <c r="M3024" i="14"/>
  <c r="N3020" i="14"/>
  <c r="J3019" i="14" a="1"/>
  <c r="J3019" i="14" s="1"/>
  <c r="J3020" i="13" a="1"/>
  <c r="J3020" i="13" s="1"/>
  <c r="N3021" i="13"/>
  <c r="M3023" i="13"/>
  <c r="K2835" i="13" l="1"/>
  <c r="L2835" i="13" s="1"/>
  <c r="I2836" i="13" s="1"/>
  <c r="K2857" i="14"/>
  <c r="L2857" i="14" s="1"/>
  <c r="I2858" i="14" s="1"/>
  <c r="J3020" i="14" a="1"/>
  <c r="J3020" i="14" s="1"/>
  <c r="N3021" i="14"/>
  <c r="M3024" i="13"/>
  <c r="J3021" i="13" a="1"/>
  <c r="J3021" i="13" s="1"/>
  <c r="N3022" i="13"/>
  <c r="M3025" i="14"/>
  <c r="K2858" i="14" l="1"/>
  <c r="L2858" i="14" s="1"/>
  <c r="I2859" i="14" s="1"/>
  <c r="K2836" i="13"/>
  <c r="L2836" i="13" s="1"/>
  <c r="I2837" i="13" s="1"/>
  <c r="M3026" i="14"/>
  <c r="M3025" i="13"/>
  <c r="N3023" i="13"/>
  <c r="J3022" i="13" a="1"/>
  <c r="J3022" i="13" s="1"/>
  <c r="J3021" i="14" a="1"/>
  <c r="J3021" i="14" s="1"/>
  <c r="N3022" i="14"/>
  <c r="K2837" i="13" l="1"/>
  <c r="L2837" i="13" s="1"/>
  <c r="I2838" i="13" s="1"/>
  <c r="K2859" i="14"/>
  <c r="L2859" i="14" s="1"/>
  <c r="I2860" i="14" s="1"/>
  <c r="N3023" i="14"/>
  <c r="J3022" i="14" a="1"/>
  <c r="J3022" i="14" s="1"/>
  <c r="M3026" i="13"/>
  <c r="M3027" i="14"/>
  <c r="J3023" i="13" a="1"/>
  <c r="J3023" i="13" s="1"/>
  <c r="N3024" i="13"/>
  <c r="K2860" i="14" l="1"/>
  <c r="L2860" i="14" s="1"/>
  <c r="I2861" i="14" s="1"/>
  <c r="K2838" i="13"/>
  <c r="L2838" i="13" s="1"/>
  <c r="I2839" i="13" s="1"/>
  <c r="J3024" i="13" a="1"/>
  <c r="J3024" i="13" s="1"/>
  <c r="N3025" i="13"/>
  <c r="M3027" i="13"/>
  <c r="M3028" i="14"/>
  <c r="N3024" i="14"/>
  <c r="J3023" i="14" a="1"/>
  <c r="J3023" i="14" s="1"/>
  <c r="K2839" i="13" l="1"/>
  <c r="L2839" i="13" s="1"/>
  <c r="I2840" i="13" s="1"/>
  <c r="K2861" i="14"/>
  <c r="L2861" i="14" s="1"/>
  <c r="I2862" i="14" s="1"/>
  <c r="J3024" i="14" a="1"/>
  <c r="J3024" i="14" s="1"/>
  <c r="N3025" i="14"/>
  <c r="M3028" i="13"/>
  <c r="J3025" i="13" a="1"/>
  <c r="J3025" i="13" s="1"/>
  <c r="N3026" i="13"/>
  <c r="M3029" i="14"/>
  <c r="K2862" i="14" l="1"/>
  <c r="L2862" i="14" s="1"/>
  <c r="I2863" i="14" s="1"/>
  <c r="K2840" i="13"/>
  <c r="L2840" i="13" s="1"/>
  <c r="I2841" i="13" s="1"/>
  <c r="M3030" i="14"/>
  <c r="M3029" i="13"/>
  <c r="J3025" i="14" a="1"/>
  <c r="J3025" i="14" s="1"/>
  <c r="N3026" i="14"/>
  <c r="N3027" i="13"/>
  <c r="J3026" i="13" a="1"/>
  <c r="J3026" i="13" s="1"/>
  <c r="K2841" i="13" l="1"/>
  <c r="L2841" i="13" s="1"/>
  <c r="I2842" i="13" s="1"/>
  <c r="K2863" i="14"/>
  <c r="L2863" i="14" s="1"/>
  <c r="I2864" i="14" s="1"/>
  <c r="N3027" i="14"/>
  <c r="J3026" i="14" a="1"/>
  <c r="J3026" i="14" s="1"/>
  <c r="M3030" i="13"/>
  <c r="M3031" i="14"/>
  <c r="J3027" i="13" a="1"/>
  <c r="J3027" i="13" s="1"/>
  <c r="N3028" i="13"/>
  <c r="K2864" i="14" l="1"/>
  <c r="L2864" i="14" s="1"/>
  <c r="I2865" i="14" s="1"/>
  <c r="K2842" i="13"/>
  <c r="L2842" i="13" s="1"/>
  <c r="I2843" i="13" s="1"/>
  <c r="M3031" i="13"/>
  <c r="J3028" i="13" a="1"/>
  <c r="J3028" i="13" s="1"/>
  <c r="N3029" i="13"/>
  <c r="M3032" i="14"/>
  <c r="N3028" i="14"/>
  <c r="J3027" i="14" a="1"/>
  <c r="J3027" i="14" s="1"/>
  <c r="K2843" i="13" l="1"/>
  <c r="L2843" i="13" s="1"/>
  <c r="I2844" i="13" s="1"/>
  <c r="K2865" i="14"/>
  <c r="L2865" i="14" s="1"/>
  <c r="I2866" i="14" s="1"/>
  <c r="M3033" i="14"/>
  <c r="J3029" i="13" a="1"/>
  <c r="J3029" i="13" s="1"/>
  <c r="N3030" i="13"/>
  <c r="J3028" i="14" a="1"/>
  <c r="J3028" i="14" s="1"/>
  <c r="N3029" i="14"/>
  <c r="M3032" i="13"/>
  <c r="K2866" i="14" l="1"/>
  <c r="L2866" i="14" s="1"/>
  <c r="I2867" i="14" s="1"/>
  <c r="K2844" i="13"/>
  <c r="L2844" i="13" s="1"/>
  <c r="I2845" i="13" s="1"/>
  <c r="N3031" i="13"/>
  <c r="J3030" i="13" a="1"/>
  <c r="J3030" i="13" s="1"/>
  <c r="J3029" i="14" a="1"/>
  <c r="J3029" i="14" s="1"/>
  <c r="N3030" i="14"/>
  <c r="M3034" i="14"/>
  <c r="M3033" i="13"/>
  <c r="K2845" i="13" l="1"/>
  <c r="L2845" i="13" s="1"/>
  <c r="I2846" i="13" s="1"/>
  <c r="K2867" i="14"/>
  <c r="L2867" i="14" s="1"/>
  <c r="I2868" i="14" s="1"/>
  <c r="N3031" i="14"/>
  <c r="J3030" i="14" a="1"/>
  <c r="J3030" i="14" s="1"/>
  <c r="M3034" i="13"/>
  <c r="M3035" i="14"/>
  <c r="J3031" i="13" a="1"/>
  <c r="J3031" i="13" s="1"/>
  <c r="N3032" i="13"/>
  <c r="K2868" i="14" l="1"/>
  <c r="L2868" i="14" s="1"/>
  <c r="I2869" i="14" s="1"/>
  <c r="K2846" i="13"/>
  <c r="L2846" i="13" s="1"/>
  <c r="I2847" i="13" s="1"/>
  <c r="J3032" i="13" a="1"/>
  <c r="J3032" i="13" s="1"/>
  <c r="N3033" i="13"/>
  <c r="M3035" i="13"/>
  <c r="M3036" i="14"/>
  <c r="N3032" i="14"/>
  <c r="J3031" i="14" a="1"/>
  <c r="J3031" i="14" s="1"/>
  <c r="K2847" i="13" l="1"/>
  <c r="L2847" i="13" s="1"/>
  <c r="I2848" i="13" s="1"/>
  <c r="K2869" i="14"/>
  <c r="L2869" i="14" s="1"/>
  <c r="I2870" i="14" s="1"/>
  <c r="J3032" i="14" a="1"/>
  <c r="J3032" i="14" s="1"/>
  <c r="N3033" i="14"/>
  <c r="M3036" i="13"/>
  <c r="J3033" i="13" a="1"/>
  <c r="J3033" i="13" s="1"/>
  <c r="N3034" i="13"/>
  <c r="M3037" i="14"/>
  <c r="K2870" i="14" l="1"/>
  <c r="L2870" i="14" s="1"/>
  <c r="I2871" i="14" s="1"/>
  <c r="K2848" i="13"/>
  <c r="L2848" i="13" s="1"/>
  <c r="I2849" i="13" s="1"/>
  <c r="N3035" i="13"/>
  <c r="J3034" i="13" a="1"/>
  <c r="J3034" i="13" s="1"/>
  <c r="M3038" i="14"/>
  <c r="M3037" i="13"/>
  <c r="J3033" i="14" a="1"/>
  <c r="J3033" i="14" s="1"/>
  <c r="N3034" i="14"/>
  <c r="K2849" i="13" l="1"/>
  <c r="L2849" i="13" s="1"/>
  <c r="I2850" i="13" s="1"/>
  <c r="K2871" i="14"/>
  <c r="L2871" i="14" s="1"/>
  <c r="I2872" i="14" s="1"/>
  <c r="N3035" i="14"/>
  <c r="J3034" i="14" a="1"/>
  <c r="J3034" i="14" s="1"/>
  <c r="M3039" i="14"/>
  <c r="M3038" i="13"/>
  <c r="J3035" i="13" a="1"/>
  <c r="J3035" i="13" s="1"/>
  <c r="N3036" i="13"/>
  <c r="K2872" i="14" l="1"/>
  <c r="L2872" i="14" s="1"/>
  <c r="I2873" i="14" s="1"/>
  <c r="K2850" i="13"/>
  <c r="L2850" i="13" s="1"/>
  <c r="I2851" i="13" s="1"/>
  <c r="M3040" i="14"/>
  <c r="J3036" i="13" a="1"/>
  <c r="J3036" i="13" s="1"/>
  <c r="N3037" i="13"/>
  <c r="M3039" i="13"/>
  <c r="N3036" i="14"/>
  <c r="J3035" i="14" a="1"/>
  <c r="J3035" i="14" s="1"/>
  <c r="K2851" i="13" l="1"/>
  <c r="L2851" i="13" s="1"/>
  <c r="I2852" i="13" s="1"/>
  <c r="K2873" i="14"/>
  <c r="L2873" i="14" s="1"/>
  <c r="I2874" i="14" s="1"/>
  <c r="J3037" i="13" a="1"/>
  <c r="J3037" i="13" s="1"/>
  <c r="N3038" i="13"/>
  <c r="J3036" i="14" a="1"/>
  <c r="J3036" i="14" s="1"/>
  <c r="N3037" i="14"/>
  <c r="M3040" i="13"/>
  <c r="M3041" i="14"/>
  <c r="K2874" i="14" l="1"/>
  <c r="L2874" i="14" s="1"/>
  <c r="I2875" i="14" s="1"/>
  <c r="K2852" i="13"/>
  <c r="L2852" i="13" s="1"/>
  <c r="I2853" i="13" s="1"/>
  <c r="J3037" i="14" a="1"/>
  <c r="J3037" i="14" s="1"/>
  <c r="N3038" i="14"/>
  <c r="M3042" i="14"/>
  <c r="N3039" i="13"/>
  <c r="J3038" i="13" a="1"/>
  <c r="J3038" i="13" s="1"/>
  <c r="M3041" i="13"/>
  <c r="K2853" i="13" l="1"/>
  <c r="L2853" i="13" s="1"/>
  <c r="I2854" i="13" s="1"/>
  <c r="K2875" i="14"/>
  <c r="L2875" i="14" s="1"/>
  <c r="I2876" i="14" s="1"/>
  <c r="M3042" i="13"/>
  <c r="M3043" i="14"/>
  <c r="N3039" i="14"/>
  <c r="J3038" i="14" a="1"/>
  <c r="J3038" i="14" s="1"/>
  <c r="J3039" i="13" a="1"/>
  <c r="J3039" i="13" s="1"/>
  <c r="N3040" i="13"/>
  <c r="K2876" i="14" l="1"/>
  <c r="L2876" i="14" s="1"/>
  <c r="I2877" i="14" s="1"/>
  <c r="K2854" i="13"/>
  <c r="L2854" i="13" s="1"/>
  <c r="I2855" i="13" s="1"/>
  <c r="M3044" i="14"/>
  <c r="J3040" i="13" a="1"/>
  <c r="J3040" i="13" s="1"/>
  <c r="N3041" i="13"/>
  <c r="N3040" i="14"/>
  <c r="J3039" i="14" a="1"/>
  <c r="J3039" i="14" s="1"/>
  <c r="M3043" i="13"/>
  <c r="K2855" i="13" l="1"/>
  <c r="L2855" i="13" s="1"/>
  <c r="I2856" i="13" s="1"/>
  <c r="K2877" i="14"/>
  <c r="L2877" i="14" s="1"/>
  <c r="I2878" i="14" s="1"/>
  <c r="J3041" i="13" a="1"/>
  <c r="J3041" i="13" s="1"/>
  <c r="N3042" i="13"/>
  <c r="M3044" i="13"/>
  <c r="J3040" i="14" a="1"/>
  <c r="J3040" i="14" s="1"/>
  <c r="N3041" i="14"/>
  <c r="M3045" i="14"/>
  <c r="K2878" i="14" l="1"/>
  <c r="L2878" i="14" s="1"/>
  <c r="I2879" i="14" s="1"/>
  <c r="K2856" i="13"/>
  <c r="L2856" i="13" s="1"/>
  <c r="I2857" i="13" s="1"/>
  <c r="M3046" i="14"/>
  <c r="M3045" i="13"/>
  <c r="J3041" i="14" a="1"/>
  <c r="J3041" i="14" s="1"/>
  <c r="N3042" i="14"/>
  <c r="N3043" i="13"/>
  <c r="J3042" i="13" a="1"/>
  <c r="J3042" i="13" s="1"/>
  <c r="K2857" i="13" l="1"/>
  <c r="L2857" i="13" s="1"/>
  <c r="I2858" i="13" s="1"/>
  <c r="K2879" i="14"/>
  <c r="L2879" i="14" s="1"/>
  <c r="I2880" i="14" s="1"/>
  <c r="J3043" i="13" a="1"/>
  <c r="J3043" i="13" s="1"/>
  <c r="N3044" i="13"/>
  <c r="M3046" i="13"/>
  <c r="M3047" i="14"/>
  <c r="N3043" i="14"/>
  <c r="J3042" i="14" a="1"/>
  <c r="J3042" i="14" s="1"/>
  <c r="K2880" i="14" l="1"/>
  <c r="L2880" i="14" s="1"/>
  <c r="I2881" i="14" s="1"/>
  <c r="K2858" i="13"/>
  <c r="L2858" i="13" s="1"/>
  <c r="I2859" i="13" s="1"/>
  <c r="N3044" i="14"/>
  <c r="J3043" i="14" a="1"/>
  <c r="J3043" i="14" s="1"/>
  <c r="M3047" i="13"/>
  <c r="J3044" i="13" a="1"/>
  <c r="J3044" i="13" s="1"/>
  <c r="N3045" i="13"/>
  <c r="M3048" i="14"/>
  <c r="K2859" i="13" l="1"/>
  <c r="L2859" i="13" s="1"/>
  <c r="I2860" i="13" s="1"/>
  <c r="K2881" i="14"/>
  <c r="L2881" i="14" s="1"/>
  <c r="I2882" i="14" s="1"/>
  <c r="M3049" i="14"/>
  <c r="M3048" i="13"/>
  <c r="J3045" i="13" a="1"/>
  <c r="J3045" i="13" s="1"/>
  <c r="N3046" i="13"/>
  <c r="J3044" i="14" a="1"/>
  <c r="J3044" i="14" s="1"/>
  <c r="N3045" i="14"/>
  <c r="K2882" i="14" l="1"/>
  <c r="L2882" i="14" s="1"/>
  <c r="I2883" i="14" s="1"/>
  <c r="K2860" i="13"/>
  <c r="L2860" i="13" s="1"/>
  <c r="I2861" i="13" s="1"/>
  <c r="J3045" i="14" a="1"/>
  <c r="J3045" i="14" s="1"/>
  <c r="N3046" i="14"/>
  <c r="M3049" i="13"/>
  <c r="N3047" i="13"/>
  <c r="J3046" i="13" a="1"/>
  <c r="J3046" i="13" s="1"/>
  <c r="M3050" i="14"/>
  <c r="K2861" i="13" l="1"/>
  <c r="L2861" i="13" s="1"/>
  <c r="I2862" i="13" s="1"/>
  <c r="K2883" i="14"/>
  <c r="L2883" i="14" s="1"/>
  <c r="I2884" i="14" s="1"/>
  <c r="M3051" i="14"/>
  <c r="M3050" i="13"/>
  <c r="N3047" i="14"/>
  <c r="J3046" i="14" a="1"/>
  <c r="J3046" i="14" s="1"/>
  <c r="J3047" i="13" a="1"/>
  <c r="J3047" i="13" s="1"/>
  <c r="N3048" i="13"/>
  <c r="K2884" i="14" l="1"/>
  <c r="L2884" i="14" s="1"/>
  <c r="I2885" i="14" s="1"/>
  <c r="K2862" i="13"/>
  <c r="L2862" i="13" s="1"/>
  <c r="I2863" i="13" s="1"/>
  <c r="J3048" i="13" a="1"/>
  <c r="J3048" i="13" s="1"/>
  <c r="N3049" i="13"/>
  <c r="M3051" i="13"/>
  <c r="N3048" i="14"/>
  <c r="J3047" i="14" a="1"/>
  <c r="J3047" i="14" s="1"/>
  <c r="M3052" i="14"/>
  <c r="K2863" i="13" l="1"/>
  <c r="L2863" i="13" s="1"/>
  <c r="I2864" i="13" s="1"/>
  <c r="K2885" i="14"/>
  <c r="L2885" i="14" s="1"/>
  <c r="I2886" i="14" s="1"/>
  <c r="M3053" i="14"/>
  <c r="M3052" i="13"/>
  <c r="J3049" i="13" a="1"/>
  <c r="J3049" i="13" s="1"/>
  <c r="N3050" i="13"/>
  <c r="J3048" i="14" a="1"/>
  <c r="J3048" i="14" s="1"/>
  <c r="N3049" i="14"/>
  <c r="K2886" i="14" l="1"/>
  <c r="L2886" i="14" s="1"/>
  <c r="I2887" i="14" s="1"/>
  <c r="K2864" i="13"/>
  <c r="L2864" i="13" s="1"/>
  <c r="I2865" i="13" s="1"/>
  <c r="J3049" i="14" a="1"/>
  <c r="J3049" i="14" s="1"/>
  <c r="N3050" i="14"/>
  <c r="M3053" i="13"/>
  <c r="N3051" i="13"/>
  <c r="J3050" i="13" a="1"/>
  <c r="J3050" i="13" s="1"/>
  <c r="M3054" i="14"/>
  <c r="K2865" i="13" l="1"/>
  <c r="L2865" i="13" s="1"/>
  <c r="I2866" i="13" s="1"/>
  <c r="K2887" i="14"/>
  <c r="L2887" i="14" s="1"/>
  <c r="I2888" i="14" s="1"/>
  <c r="M3055" i="14"/>
  <c r="M3054" i="13"/>
  <c r="J3051" i="13" a="1"/>
  <c r="J3051" i="13" s="1"/>
  <c r="N3052" i="13"/>
  <c r="N3051" i="14"/>
  <c r="J3050" i="14" a="1"/>
  <c r="J3050" i="14" s="1"/>
  <c r="K2866" i="13" l="1"/>
  <c r="L2866" i="13" s="1"/>
  <c r="I2867" i="13" s="1"/>
  <c r="N3052" i="14"/>
  <c r="J3051" i="14" a="1"/>
  <c r="J3051" i="14" s="1"/>
  <c r="M3055" i="13"/>
  <c r="K2888" i="14"/>
  <c r="L2888" i="14" s="1"/>
  <c r="I2889" i="14" s="1"/>
  <c r="J3052" i="13" a="1"/>
  <c r="J3052" i="13" s="1"/>
  <c r="N3053" i="13"/>
  <c r="M3056" i="14"/>
  <c r="K2889" i="14" l="1"/>
  <c r="L2889" i="14" s="1"/>
  <c r="I2890" i="14" s="1"/>
  <c r="K2867" i="13"/>
  <c r="L2867" i="13" s="1"/>
  <c r="I2868" i="13" s="1"/>
  <c r="J3053" i="13" a="1"/>
  <c r="J3053" i="13" s="1"/>
  <c r="N3054" i="13"/>
  <c r="M3057" i="14"/>
  <c r="J3052" i="14" a="1"/>
  <c r="J3052" i="14" s="1"/>
  <c r="N3053" i="14"/>
  <c r="M3056" i="13"/>
  <c r="K2868" i="13" l="1"/>
  <c r="L2868" i="13" s="1"/>
  <c r="I2869" i="13" s="1"/>
  <c r="K2890" i="14"/>
  <c r="L2890" i="14" s="1"/>
  <c r="I2891" i="14" s="1"/>
  <c r="J3053" i="14" a="1"/>
  <c r="J3053" i="14" s="1"/>
  <c r="N3054" i="14"/>
  <c r="M3058" i="14"/>
  <c r="M3057" i="13"/>
  <c r="N3055" i="13"/>
  <c r="J3054" i="13" a="1"/>
  <c r="J3054" i="13" s="1"/>
  <c r="K2891" i="14" l="1"/>
  <c r="L2891" i="14" s="1"/>
  <c r="I2892" i="14" s="1"/>
  <c r="K2869" i="13"/>
  <c r="L2869" i="13" s="1"/>
  <c r="I2870" i="13" s="1"/>
  <c r="M3059" i="14"/>
  <c r="J3055" i="13" a="1"/>
  <c r="J3055" i="13" s="1"/>
  <c r="N3056" i="13"/>
  <c r="N3055" i="14"/>
  <c r="J3054" i="14" a="1"/>
  <c r="J3054" i="14" s="1"/>
  <c r="M3058" i="13"/>
  <c r="K2870" i="13" l="1"/>
  <c r="L2870" i="13" s="1"/>
  <c r="I2871" i="13" s="1"/>
  <c r="K2892" i="14"/>
  <c r="L2892" i="14" s="1"/>
  <c r="I2893" i="14" s="1"/>
  <c r="J3056" i="13" a="1"/>
  <c r="J3056" i="13" s="1"/>
  <c r="N3057" i="13"/>
  <c r="M3059" i="13"/>
  <c r="N3056" i="14"/>
  <c r="J3055" i="14" a="1"/>
  <c r="J3055" i="14" s="1"/>
  <c r="M3060" i="14"/>
  <c r="K2893" i="14" l="1"/>
  <c r="L2893" i="14" s="1"/>
  <c r="I2894" i="14" s="1"/>
  <c r="K2871" i="13"/>
  <c r="L2871" i="13" s="1"/>
  <c r="I2872" i="13" s="1"/>
  <c r="M3061" i="14"/>
  <c r="M3060" i="13"/>
  <c r="J3057" i="13" a="1"/>
  <c r="J3057" i="13" s="1"/>
  <c r="N3058" i="13"/>
  <c r="J3056" i="14" a="1"/>
  <c r="J3056" i="14" s="1"/>
  <c r="N3057" i="14"/>
  <c r="K2872" i="13" l="1"/>
  <c r="L2872" i="13" s="1"/>
  <c r="I2873" i="13" s="1"/>
  <c r="K2894" i="14"/>
  <c r="L2894" i="14" s="1"/>
  <c r="I2895" i="14" s="1"/>
  <c r="M3061" i="13"/>
  <c r="N3059" i="13"/>
  <c r="J3058" i="13" a="1"/>
  <c r="J3058" i="13" s="1"/>
  <c r="J3057" i="14" a="1"/>
  <c r="J3057" i="14" s="1"/>
  <c r="N3058" i="14"/>
  <c r="M3062" i="14"/>
  <c r="K2895" i="14" l="1"/>
  <c r="L2895" i="14" s="1"/>
  <c r="I2896" i="14" s="1"/>
  <c r="K2873" i="13"/>
  <c r="L2873" i="13" s="1"/>
  <c r="I2874" i="13" s="1"/>
  <c r="J3059" i="13" a="1"/>
  <c r="J3059" i="13" s="1"/>
  <c r="N3060" i="13"/>
  <c r="N3059" i="14"/>
  <c r="J3058" i="14" a="1"/>
  <c r="J3058" i="14" s="1"/>
  <c r="M3062" i="13"/>
  <c r="M3063" i="14"/>
  <c r="K2874" i="13" l="1"/>
  <c r="L2874" i="13" s="1"/>
  <c r="I2875" i="13" s="1"/>
  <c r="K2896" i="14"/>
  <c r="L2896" i="14" s="1"/>
  <c r="I2897" i="14" s="1"/>
  <c r="N3060" i="14"/>
  <c r="J3059" i="14" a="1"/>
  <c r="J3059" i="14" s="1"/>
  <c r="J3060" i="13" a="1"/>
  <c r="J3060" i="13" s="1"/>
  <c r="N3061" i="13"/>
  <c r="M3064" i="14"/>
  <c r="M3063" i="13"/>
  <c r="K2897" i="14" l="1"/>
  <c r="L2897" i="14" s="1"/>
  <c r="I2898" i="14" s="1"/>
  <c r="K2875" i="13"/>
  <c r="L2875" i="13" s="1"/>
  <c r="I2876" i="13" s="1"/>
  <c r="J3061" i="13" a="1"/>
  <c r="J3061" i="13" s="1"/>
  <c r="N3062" i="13"/>
  <c r="M3064" i="13"/>
  <c r="M3065" i="14"/>
  <c r="J3060" i="14" a="1"/>
  <c r="J3060" i="14" s="1"/>
  <c r="N3061" i="14"/>
  <c r="K2876" i="13" l="1"/>
  <c r="L2876" i="13" s="1"/>
  <c r="I2877" i="13" s="1"/>
  <c r="K2898" i="14"/>
  <c r="L2898" i="14" s="1"/>
  <c r="I2899" i="14" s="1"/>
  <c r="M3065" i="13"/>
  <c r="N3063" i="13"/>
  <c r="J3062" i="13" a="1"/>
  <c r="J3062" i="13" s="1"/>
  <c r="J3061" i="14" a="1"/>
  <c r="J3061" i="14" s="1"/>
  <c r="N3062" i="14"/>
  <c r="M3066" i="14"/>
  <c r="K2899" i="14" l="1"/>
  <c r="L2899" i="14" s="1"/>
  <c r="I2900" i="14" s="1"/>
  <c r="K2877" i="13"/>
  <c r="L2877" i="13" s="1"/>
  <c r="I2878" i="13" s="1"/>
  <c r="M3067" i="14"/>
  <c r="J3063" i="13" a="1"/>
  <c r="J3063" i="13" s="1"/>
  <c r="N3064" i="13"/>
  <c r="N3063" i="14"/>
  <c r="J3062" i="14" a="1"/>
  <c r="J3062" i="14" s="1"/>
  <c r="M3066" i="13"/>
  <c r="K2878" i="13" l="1"/>
  <c r="L2878" i="13" s="1"/>
  <c r="I2879" i="13" s="1"/>
  <c r="K2900" i="14"/>
  <c r="L2900" i="14" s="1"/>
  <c r="I2901" i="14" s="1"/>
  <c r="J3064" i="13" a="1"/>
  <c r="J3064" i="13" s="1"/>
  <c r="N3065" i="13"/>
  <c r="M3067" i="13"/>
  <c r="N3064" i="14"/>
  <c r="J3063" i="14" a="1"/>
  <c r="J3063" i="14" s="1"/>
  <c r="M3068" i="14"/>
  <c r="K2901" i="14" l="1"/>
  <c r="L2901" i="14" s="1"/>
  <c r="I2902" i="14" s="1"/>
  <c r="K2879" i="13"/>
  <c r="L2879" i="13" s="1"/>
  <c r="I2880" i="13" s="1"/>
  <c r="M3069" i="14"/>
  <c r="M3068" i="13"/>
  <c r="J3065" i="13" a="1"/>
  <c r="J3065" i="13" s="1"/>
  <c r="N3066" i="13"/>
  <c r="J3064" i="14" a="1"/>
  <c r="J3064" i="14" s="1"/>
  <c r="N3065" i="14"/>
  <c r="K2880" i="13" l="1"/>
  <c r="L2880" i="13" s="1"/>
  <c r="I2881" i="13" s="1"/>
  <c r="K2902" i="14"/>
  <c r="L2902" i="14" s="1"/>
  <c r="I2903" i="14" s="1"/>
  <c r="M3069" i="13"/>
  <c r="N3067" i="13"/>
  <c r="J3066" i="13" a="1"/>
  <c r="J3066" i="13" s="1"/>
  <c r="J3065" i="14" a="1"/>
  <c r="J3065" i="14" s="1"/>
  <c r="N3066" i="14"/>
  <c r="M3070" i="14"/>
  <c r="K2903" i="14" l="1"/>
  <c r="L2903" i="14" s="1"/>
  <c r="I2904" i="14" s="1"/>
  <c r="K2881" i="13"/>
  <c r="L2881" i="13" s="1"/>
  <c r="I2882" i="13" s="1"/>
  <c r="J3067" i="13" a="1"/>
  <c r="J3067" i="13" s="1"/>
  <c r="N3068" i="13"/>
  <c r="N3067" i="14"/>
  <c r="J3066" i="14" a="1"/>
  <c r="J3066" i="14" s="1"/>
  <c r="M3070" i="13"/>
  <c r="M3071" i="14"/>
  <c r="K2882" i="13" l="1"/>
  <c r="L2882" i="13" s="1"/>
  <c r="I2883" i="13" s="1"/>
  <c r="K2904" i="14"/>
  <c r="L2904" i="14" s="1"/>
  <c r="I2905" i="14" s="1"/>
  <c r="M3072" i="14"/>
  <c r="N3068" i="14"/>
  <c r="J3067" i="14" a="1"/>
  <c r="J3067" i="14" s="1"/>
  <c r="J3068" i="13" a="1"/>
  <c r="J3068" i="13" s="1"/>
  <c r="N3069" i="13"/>
  <c r="M3071" i="13"/>
  <c r="K2905" i="14" l="1"/>
  <c r="L2905" i="14" s="1"/>
  <c r="I2906" i="14" s="1"/>
  <c r="K2883" i="13"/>
  <c r="L2883" i="13" s="1"/>
  <c r="I2884" i="13" s="1"/>
  <c r="M3072" i="13"/>
  <c r="J3068" i="14" a="1"/>
  <c r="J3068" i="14" s="1"/>
  <c r="N3069" i="14"/>
  <c r="J3069" i="13" a="1"/>
  <c r="J3069" i="13" s="1"/>
  <c r="N3070" i="13"/>
  <c r="M3073" i="14"/>
  <c r="K2884" i="13" l="1"/>
  <c r="L2884" i="13" s="1"/>
  <c r="I2885" i="13" s="1"/>
  <c r="K2906" i="14"/>
  <c r="L2906" i="14" s="1"/>
  <c r="I2907" i="14" s="1"/>
  <c r="J3069" i="14" a="1"/>
  <c r="J3069" i="14" s="1"/>
  <c r="N3070" i="14"/>
  <c r="M3074" i="14"/>
  <c r="N3071" i="13"/>
  <c r="J3070" i="13" a="1"/>
  <c r="J3070" i="13" s="1"/>
  <c r="M3073" i="13"/>
  <c r="K2907" i="14" l="1"/>
  <c r="L2907" i="14" s="1"/>
  <c r="I2908" i="14" s="1"/>
  <c r="K2885" i="13"/>
  <c r="L2885" i="13" s="1"/>
  <c r="I2886" i="13" s="1"/>
  <c r="M3074" i="13"/>
  <c r="J3071" i="13" a="1"/>
  <c r="J3071" i="13" s="1"/>
  <c r="N3072" i="13"/>
  <c r="M3075" i="14"/>
  <c r="N3071" i="14"/>
  <c r="J3070" i="14" a="1"/>
  <c r="J3070" i="14" s="1"/>
  <c r="K2886" i="13" l="1"/>
  <c r="L2886" i="13" s="1"/>
  <c r="I2887" i="13" s="1"/>
  <c r="K2908" i="14"/>
  <c r="L2908" i="14" s="1"/>
  <c r="I2909" i="14" s="1"/>
  <c r="J3072" i="13" a="1"/>
  <c r="J3072" i="13" s="1"/>
  <c r="N3073" i="13"/>
  <c r="N3072" i="14"/>
  <c r="J3071" i="14" a="1"/>
  <c r="J3071" i="14" s="1"/>
  <c r="M3076" i="14"/>
  <c r="M3075" i="13"/>
  <c r="K2909" i="14" l="1"/>
  <c r="L2909" i="14" s="1"/>
  <c r="I2910" i="14" s="1"/>
  <c r="K2887" i="13"/>
  <c r="L2887" i="13" s="1"/>
  <c r="I2888" i="13" s="1"/>
  <c r="J3072" i="14" a="1"/>
  <c r="J3072" i="14" s="1"/>
  <c r="N3073" i="14"/>
  <c r="J3073" i="13" a="1"/>
  <c r="J3073" i="13" s="1"/>
  <c r="N3074" i="13"/>
  <c r="M3076" i="13"/>
  <c r="M3077" i="14"/>
  <c r="K2888" i="13" l="1"/>
  <c r="L2888" i="13" s="1"/>
  <c r="I2889" i="13" s="1"/>
  <c r="K2910" i="14"/>
  <c r="L2910" i="14" s="1"/>
  <c r="I2911" i="14" s="1"/>
  <c r="N3075" i="13"/>
  <c r="J3074" i="13" a="1"/>
  <c r="J3074" i="13" s="1"/>
  <c r="J3073" i="14" a="1"/>
  <c r="J3073" i="14" s="1"/>
  <c r="N3074" i="14"/>
  <c r="M3078" i="14"/>
  <c r="M3077" i="13"/>
  <c r="K2911" i="14" l="1"/>
  <c r="L2911" i="14" s="1"/>
  <c r="I2912" i="14" s="1"/>
  <c r="K2889" i="13"/>
  <c r="L2889" i="13" s="1"/>
  <c r="I2890" i="13" s="1"/>
  <c r="N3075" i="14"/>
  <c r="J3074" i="14" a="1"/>
  <c r="J3074" i="14" s="1"/>
  <c r="M3078" i="13"/>
  <c r="M3079" i="14"/>
  <c r="J3075" i="13" a="1"/>
  <c r="J3075" i="13" s="1"/>
  <c r="N3076" i="13"/>
  <c r="K2890" i="13" l="1"/>
  <c r="L2890" i="13" s="1"/>
  <c r="I2891" i="13" s="1"/>
  <c r="K2912" i="14"/>
  <c r="L2912" i="14" s="1"/>
  <c r="I2913" i="14" s="1"/>
  <c r="J3076" i="13" a="1"/>
  <c r="J3076" i="13" s="1"/>
  <c r="N3077" i="13"/>
  <c r="M3079" i="13"/>
  <c r="M3080" i="14"/>
  <c r="N3076" i="14"/>
  <c r="J3075" i="14" a="1"/>
  <c r="J3075" i="14" s="1"/>
  <c r="K2913" i="14" l="1"/>
  <c r="L2913" i="14" s="1"/>
  <c r="I2914" i="14" s="1"/>
  <c r="K2891" i="13"/>
  <c r="L2891" i="13" s="1"/>
  <c r="I2892" i="13" s="1"/>
  <c r="J3076" i="14" a="1"/>
  <c r="J3076" i="14" s="1"/>
  <c r="N3077" i="14"/>
  <c r="M3080" i="13"/>
  <c r="J3077" i="13" a="1"/>
  <c r="J3077" i="13" s="1"/>
  <c r="N3078" i="13"/>
  <c r="M3081" i="14"/>
  <c r="K2892" i="13" l="1"/>
  <c r="L2892" i="13" s="1"/>
  <c r="I2893" i="13" s="1"/>
  <c r="K2914" i="14"/>
  <c r="L2914" i="14" s="1"/>
  <c r="I2915" i="14" s="1"/>
  <c r="N3079" i="13"/>
  <c r="J3078" i="13" a="1"/>
  <c r="J3078" i="13" s="1"/>
  <c r="M3082" i="14"/>
  <c r="M3081" i="13"/>
  <c r="J3077" i="14" a="1"/>
  <c r="J3077" i="14" s="1"/>
  <c r="N3078" i="14"/>
  <c r="K2915" i="14" l="1"/>
  <c r="L2915" i="14" s="1"/>
  <c r="I2916" i="14" s="1"/>
  <c r="K2893" i="13"/>
  <c r="L2893" i="13" s="1"/>
  <c r="I2894" i="13" s="1"/>
  <c r="N3079" i="14"/>
  <c r="J3078" i="14" a="1"/>
  <c r="J3078" i="14" s="1"/>
  <c r="M3083" i="14"/>
  <c r="M3082" i="13"/>
  <c r="J3079" i="13" a="1"/>
  <c r="J3079" i="13" s="1"/>
  <c r="N3080" i="13"/>
  <c r="K2916" i="14" l="1"/>
  <c r="L2916" i="14" s="1"/>
  <c r="I2917" i="14" s="1"/>
  <c r="K2894" i="13"/>
  <c r="L2894" i="13" s="1"/>
  <c r="I2895" i="13" s="1"/>
  <c r="J3080" i="13" a="1"/>
  <c r="J3080" i="13" s="1"/>
  <c r="N3081" i="13"/>
  <c r="M3084" i="14"/>
  <c r="M3083" i="13"/>
  <c r="N3080" i="14"/>
  <c r="J3079" i="14" a="1"/>
  <c r="J3079" i="14" s="1"/>
  <c r="K2895" i="13" l="1"/>
  <c r="L2895" i="13" s="1"/>
  <c r="I2896" i="13" s="1"/>
  <c r="K2917" i="14"/>
  <c r="L2917" i="14" s="1"/>
  <c r="I2918" i="14" s="1"/>
  <c r="M3084" i="13"/>
  <c r="J3080" i="14" a="1"/>
  <c r="J3080" i="14" s="1"/>
  <c r="N3081" i="14"/>
  <c r="M3085" i="14"/>
  <c r="J3081" i="13" a="1"/>
  <c r="J3081" i="13" s="1"/>
  <c r="N3082" i="13"/>
  <c r="K2918" i="14" l="1"/>
  <c r="L2918" i="14" s="1"/>
  <c r="I2919" i="14" s="1"/>
  <c r="J3081" i="14" a="1"/>
  <c r="J3081" i="14" s="1"/>
  <c r="N3082" i="14"/>
  <c r="M3086" i="14"/>
  <c r="M3085" i="13"/>
  <c r="N3083" i="13"/>
  <c r="J3082" i="13" a="1"/>
  <c r="J3082" i="13" s="1"/>
  <c r="K2896" i="13"/>
  <c r="L2896" i="13" s="1"/>
  <c r="I2897" i="13" s="1"/>
  <c r="K2897" i="13" l="1"/>
  <c r="L2897" i="13" s="1"/>
  <c r="I2898" i="13" s="1"/>
  <c r="K2919" i="14"/>
  <c r="L2919" i="14" s="1"/>
  <c r="I2920" i="14" s="1"/>
  <c r="M3086" i="13"/>
  <c r="M3087" i="14"/>
  <c r="N3083" i="14"/>
  <c r="J3082" i="14" a="1"/>
  <c r="J3082" i="14" s="1"/>
  <c r="J3083" i="13" a="1"/>
  <c r="J3083" i="13" s="1"/>
  <c r="N3084" i="13"/>
  <c r="K2920" i="14" l="1"/>
  <c r="L2920" i="14" s="1"/>
  <c r="I2921" i="14" s="1"/>
  <c r="K2898" i="13"/>
  <c r="L2898" i="13" s="1"/>
  <c r="I2899" i="13" s="1"/>
  <c r="M3088" i="14"/>
  <c r="J3084" i="13" a="1"/>
  <c r="J3084" i="13" s="1"/>
  <c r="N3085" i="13"/>
  <c r="N3084" i="14"/>
  <c r="J3083" i="14" a="1"/>
  <c r="J3083" i="14" s="1"/>
  <c r="M3087" i="13"/>
  <c r="K2899" i="13" l="1"/>
  <c r="L2899" i="13" s="1"/>
  <c r="I2900" i="13" s="1"/>
  <c r="K2921" i="14"/>
  <c r="L2921" i="14" s="1"/>
  <c r="I2922" i="14" s="1"/>
  <c r="J3085" i="13" a="1"/>
  <c r="J3085" i="13" s="1"/>
  <c r="N3086" i="13"/>
  <c r="M3088" i="13"/>
  <c r="J3084" i="14" a="1"/>
  <c r="J3084" i="14" s="1"/>
  <c r="N3085" i="14"/>
  <c r="M3089" i="14"/>
  <c r="K2922" i="14" l="1"/>
  <c r="L2922" i="14" s="1"/>
  <c r="I2923" i="14" s="1"/>
  <c r="K2900" i="13"/>
  <c r="L2900" i="13" s="1"/>
  <c r="I2901" i="13" s="1"/>
  <c r="M3090" i="14"/>
  <c r="M3089" i="13"/>
  <c r="N3087" i="13"/>
  <c r="J3086" i="13" a="1"/>
  <c r="J3086" i="13" s="1"/>
  <c r="J3085" i="14" a="1"/>
  <c r="J3085" i="14" s="1"/>
  <c r="N3086" i="14"/>
  <c r="K2923" i="14" l="1"/>
  <c r="L2923" i="14" s="1"/>
  <c r="I2924" i="14" s="1"/>
  <c r="N3087" i="14"/>
  <c r="J3086" i="14" a="1"/>
  <c r="J3086" i="14" s="1"/>
  <c r="M3090" i="13"/>
  <c r="K2901" i="13"/>
  <c r="L2901" i="13" s="1"/>
  <c r="I2902" i="13" s="1"/>
  <c r="M3091" i="14"/>
  <c r="J3087" i="13" a="1"/>
  <c r="J3087" i="13" s="1"/>
  <c r="N3088" i="13"/>
  <c r="K2902" i="13" l="1"/>
  <c r="L2902" i="13" s="1"/>
  <c r="I2903" i="13" s="1"/>
  <c r="K2924" i="14"/>
  <c r="L2924" i="14" s="1"/>
  <c r="I2925" i="14" s="1"/>
  <c r="J3088" i="13" a="1"/>
  <c r="J3088" i="13" s="1"/>
  <c r="N3089" i="13"/>
  <c r="N3088" i="14"/>
  <c r="J3087" i="14" a="1"/>
  <c r="J3087" i="14" s="1"/>
  <c r="M3092" i="14"/>
  <c r="M3091" i="13"/>
  <c r="K2903" i="13" l="1"/>
  <c r="L2903" i="13" s="1"/>
  <c r="I2904" i="13" s="1"/>
  <c r="J3088" i="14" a="1"/>
  <c r="J3088" i="14" s="1"/>
  <c r="N3089" i="14"/>
  <c r="K2925" i="14"/>
  <c r="L2925" i="14" s="1"/>
  <c r="I2926" i="14" s="1"/>
  <c r="M3092" i="13"/>
  <c r="J3089" i="13" a="1"/>
  <c r="J3089" i="13" s="1"/>
  <c r="N3090" i="13"/>
  <c r="M3093" i="14"/>
  <c r="K2926" i="14" l="1"/>
  <c r="L2926" i="14" s="1"/>
  <c r="I2927" i="14" s="1"/>
  <c r="K2904" i="13"/>
  <c r="L2904" i="13" s="1"/>
  <c r="I2905" i="13" s="1"/>
  <c r="M3094" i="14"/>
  <c r="M3093" i="13"/>
  <c r="J3089" i="14" a="1"/>
  <c r="J3089" i="14" s="1"/>
  <c r="N3090" i="14"/>
  <c r="N3091" i="13"/>
  <c r="J3090" i="13" a="1"/>
  <c r="J3090" i="13" s="1"/>
  <c r="K2927" i="14" l="1"/>
  <c r="L2927" i="14" s="1"/>
  <c r="I2928" i="14" s="1"/>
  <c r="M3094" i="13"/>
  <c r="K2905" i="13"/>
  <c r="L2905" i="13" s="1"/>
  <c r="I2906" i="13" s="1"/>
  <c r="N3091" i="14"/>
  <c r="J3090" i="14" a="1"/>
  <c r="J3090" i="14" s="1"/>
  <c r="J3091" i="13" a="1"/>
  <c r="J3091" i="13" s="1"/>
  <c r="N3092" i="13"/>
  <c r="M3095" i="14"/>
  <c r="K2906" i="13" l="1"/>
  <c r="L2906" i="13" s="1"/>
  <c r="I2907" i="13" s="1"/>
  <c r="K2928" i="14"/>
  <c r="L2928" i="14" s="1"/>
  <c r="I2929" i="14" s="1"/>
  <c r="N3092" i="14"/>
  <c r="J3091" i="14" a="1"/>
  <c r="J3091" i="14" s="1"/>
  <c r="M3095" i="13"/>
  <c r="M3096" i="14"/>
  <c r="J3092" i="13" a="1"/>
  <c r="J3092" i="13" s="1"/>
  <c r="N3093" i="13"/>
  <c r="K2929" i="14" l="1"/>
  <c r="L2929" i="14" s="1"/>
  <c r="I2930" i="14" s="1"/>
  <c r="K2907" i="13"/>
  <c r="L2907" i="13" s="1"/>
  <c r="I2908" i="13" s="1"/>
  <c r="J3093" i="13" a="1"/>
  <c r="J3093" i="13" s="1"/>
  <c r="N3094" i="13"/>
  <c r="M3096" i="13"/>
  <c r="M3097" i="14"/>
  <c r="J3092" i="14" a="1"/>
  <c r="J3092" i="14" s="1"/>
  <c r="N3093" i="14"/>
  <c r="K2930" i="14" l="1"/>
  <c r="L2930" i="14" s="1"/>
  <c r="I2931" i="14" s="1"/>
  <c r="J3093" i="14" a="1"/>
  <c r="J3093" i="14" s="1"/>
  <c r="N3094" i="14"/>
  <c r="M3097" i="13"/>
  <c r="K2908" i="13"/>
  <c r="L2908" i="13" s="1"/>
  <c r="I2909" i="13" s="1"/>
  <c r="M3098" i="14"/>
  <c r="N3095" i="13"/>
  <c r="J3094" i="13" a="1"/>
  <c r="J3094" i="13" s="1"/>
  <c r="K2909" i="13" l="1"/>
  <c r="L2909" i="13" s="1"/>
  <c r="I2910" i="13" s="1"/>
  <c r="K2931" i="14"/>
  <c r="L2931" i="14" s="1"/>
  <c r="I2932" i="14" s="1"/>
  <c r="N3095" i="14"/>
  <c r="J3094" i="14" a="1"/>
  <c r="J3094" i="14" s="1"/>
  <c r="J3095" i="13" a="1"/>
  <c r="J3095" i="13" s="1"/>
  <c r="N3096" i="13"/>
  <c r="M3099" i="14"/>
  <c r="M3098" i="13"/>
  <c r="K2932" i="14" l="1"/>
  <c r="L2932" i="14" s="1"/>
  <c r="I2933" i="14" s="1"/>
  <c r="K2910" i="13"/>
  <c r="L2910" i="13" s="1"/>
  <c r="I2911" i="13" s="1"/>
  <c r="M3100" i="14"/>
  <c r="J3096" i="13" a="1"/>
  <c r="J3096" i="13" s="1"/>
  <c r="N3097" i="13"/>
  <c r="M3099" i="13"/>
  <c r="N3096" i="14"/>
  <c r="J3095" i="14" a="1"/>
  <c r="J3095" i="14" s="1"/>
  <c r="K2911" i="13" l="1"/>
  <c r="L2911" i="13" s="1"/>
  <c r="I2912" i="13" s="1"/>
  <c r="K2933" i="14"/>
  <c r="L2933" i="14" s="1"/>
  <c r="I2934" i="14" s="1"/>
  <c r="J3097" i="13" a="1"/>
  <c r="J3097" i="13" s="1"/>
  <c r="N3098" i="13"/>
  <c r="J3096" i="14" a="1"/>
  <c r="J3096" i="14" s="1"/>
  <c r="N3097" i="14"/>
  <c r="M3100" i="13"/>
  <c r="M3101" i="14"/>
  <c r="K2934" i="14" l="1"/>
  <c r="L2934" i="14" s="1"/>
  <c r="I2935" i="14" s="1"/>
  <c r="K2912" i="13"/>
  <c r="L2912" i="13" s="1"/>
  <c r="I2913" i="13" s="1"/>
  <c r="J3097" i="14" a="1"/>
  <c r="J3097" i="14" s="1"/>
  <c r="N3098" i="14"/>
  <c r="N3099" i="13"/>
  <c r="J3098" i="13" a="1"/>
  <c r="J3098" i="13" s="1"/>
  <c r="M3102" i="14"/>
  <c r="M3101" i="13"/>
  <c r="K2913" i="13" l="1"/>
  <c r="L2913" i="13" s="1"/>
  <c r="I2914" i="13" s="1"/>
  <c r="K2935" i="14"/>
  <c r="L2935" i="14" s="1"/>
  <c r="I2936" i="14" s="1"/>
  <c r="J3099" i="13" a="1"/>
  <c r="J3099" i="13" s="1"/>
  <c r="N3100" i="13"/>
  <c r="M3103" i="14"/>
  <c r="M3102" i="13"/>
  <c r="N3099" i="14"/>
  <c r="J3098" i="14" a="1"/>
  <c r="J3098" i="14" s="1"/>
  <c r="K2914" i="13" l="1"/>
  <c r="L2914" i="13" s="1"/>
  <c r="I2915" i="13" s="1"/>
  <c r="K2936" i="14"/>
  <c r="L2936" i="14" s="1"/>
  <c r="I2937" i="14" s="1"/>
  <c r="N3100" i="14"/>
  <c r="J3099" i="14" a="1"/>
  <c r="J3099" i="14" s="1"/>
  <c r="M3104" i="14"/>
  <c r="J3100" i="13" a="1"/>
  <c r="J3100" i="13" s="1"/>
  <c r="N3101" i="13"/>
  <c r="M3103" i="13"/>
  <c r="K2915" i="13" l="1"/>
  <c r="L2915" i="13" s="1"/>
  <c r="I2916" i="13" s="1"/>
  <c r="M3104" i="13"/>
  <c r="M3105" i="14"/>
  <c r="K2937" i="14"/>
  <c r="L2937" i="14" s="1"/>
  <c r="I2938" i="14" s="1"/>
  <c r="J3101" i="13" a="1"/>
  <c r="J3101" i="13" s="1"/>
  <c r="N3102" i="13"/>
  <c r="J3100" i="14" a="1"/>
  <c r="J3100" i="14" s="1"/>
  <c r="N3101" i="14"/>
  <c r="K2916" i="13" l="1"/>
  <c r="L2916" i="13" s="1"/>
  <c r="I2917" i="13" s="1"/>
  <c r="K2938" i="14"/>
  <c r="L2938" i="14" s="1"/>
  <c r="I2939" i="14" s="1"/>
  <c r="J3101" i="14" a="1"/>
  <c r="J3101" i="14" s="1"/>
  <c r="N3102" i="14"/>
  <c r="M3105" i="13"/>
  <c r="N3103" i="13"/>
  <c r="J3102" i="13" a="1"/>
  <c r="J3102" i="13" s="1"/>
  <c r="M3106" i="14"/>
  <c r="K2917" i="13" l="1"/>
  <c r="L2917" i="13" s="1"/>
  <c r="I2918" i="13" s="1"/>
  <c r="M3106" i="13"/>
  <c r="K2939" i="14"/>
  <c r="L2939" i="14" s="1"/>
  <c r="I2940" i="14" s="1"/>
  <c r="N3103" i="14"/>
  <c r="J3102" i="14" a="1"/>
  <c r="J3102" i="14" s="1"/>
  <c r="M3107" i="14"/>
  <c r="J3103" i="13" a="1"/>
  <c r="J3103" i="13" s="1"/>
  <c r="N3104" i="13"/>
  <c r="K2940" i="14" l="1"/>
  <c r="L2940" i="14" s="1"/>
  <c r="I2941" i="14" s="1"/>
  <c r="K2918" i="13"/>
  <c r="L2918" i="13" s="1"/>
  <c r="I2919" i="13" s="1"/>
  <c r="N3104" i="14"/>
  <c r="J3103" i="14" a="1"/>
  <c r="J3103" i="14" s="1"/>
  <c r="M3107" i="13"/>
  <c r="J3104" i="13" a="1"/>
  <c r="J3104" i="13" s="1"/>
  <c r="N3105" i="13"/>
  <c r="M3108" i="14"/>
  <c r="K2919" i="13" l="1"/>
  <c r="L2919" i="13" s="1"/>
  <c r="I2920" i="13" s="1"/>
  <c r="K2941" i="14"/>
  <c r="L2941" i="14" s="1"/>
  <c r="I2942" i="14" s="1"/>
  <c r="M3109" i="14"/>
  <c r="M3108" i="13"/>
  <c r="J3105" i="13" a="1"/>
  <c r="J3105" i="13" s="1"/>
  <c r="N3106" i="13"/>
  <c r="J3104" i="14" a="1"/>
  <c r="J3104" i="14" s="1"/>
  <c r="N3105" i="14"/>
  <c r="K2942" i="14" l="1"/>
  <c r="L2942" i="14" s="1"/>
  <c r="I2943" i="14" s="1"/>
  <c r="K2920" i="13"/>
  <c r="L2920" i="13" s="1"/>
  <c r="I2921" i="13" s="1"/>
  <c r="N3107" i="13"/>
  <c r="J3106" i="13" a="1"/>
  <c r="J3106" i="13" s="1"/>
  <c r="J3105" i="14" a="1"/>
  <c r="J3105" i="14" s="1"/>
  <c r="N3106" i="14"/>
  <c r="M3109" i="13"/>
  <c r="M3110" i="14"/>
  <c r="K2943" i="14" l="1"/>
  <c r="L2943" i="14" s="1"/>
  <c r="I2944" i="14" s="1"/>
  <c r="N3107" i="14"/>
  <c r="J3106" i="14" a="1"/>
  <c r="J3106" i="14" s="1"/>
  <c r="K2921" i="13"/>
  <c r="L2921" i="13" s="1"/>
  <c r="I2922" i="13" s="1"/>
  <c r="M3111" i="14"/>
  <c r="M3110" i="13"/>
  <c r="J3107" i="13" a="1"/>
  <c r="J3107" i="13" s="1"/>
  <c r="N3108" i="13"/>
  <c r="K2922" i="13" l="1"/>
  <c r="L2922" i="13" s="1"/>
  <c r="I2923" i="13" s="1"/>
  <c r="K2944" i="14"/>
  <c r="L2944" i="14" s="1"/>
  <c r="I2945" i="14" s="1"/>
  <c r="J3108" i="13" a="1"/>
  <c r="J3108" i="13" s="1"/>
  <c r="N3109" i="13"/>
  <c r="M3112" i="14"/>
  <c r="N3108" i="14"/>
  <c r="J3107" i="14" a="1"/>
  <c r="J3107" i="14" s="1"/>
  <c r="M3111" i="13"/>
  <c r="K2923" i="13" l="1"/>
  <c r="L2923" i="13" s="1"/>
  <c r="I2924" i="13" s="1"/>
  <c r="K2945" i="14"/>
  <c r="L2945" i="14" s="1"/>
  <c r="I2946" i="14" s="1"/>
  <c r="J3109" i="13" a="1"/>
  <c r="J3109" i="13" s="1"/>
  <c r="N3110" i="13"/>
  <c r="M3112" i="13"/>
  <c r="M3113" i="14"/>
  <c r="J3108" i="14" a="1"/>
  <c r="J3108" i="14" s="1"/>
  <c r="N3109" i="14"/>
  <c r="K2946" i="14" l="1"/>
  <c r="L2946" i="14" s="1"/>
  <c r="I2947" i="14" s="1"/>
  <c r="K2924" i="13"/>
  <c r="L2924" i="13" s="1"/>
  <c r="I2925" i="13" s="1"/>
  <c r="N3111" i="13"/>
  <c r="J3110" i="13" a="1"/>
  <c r="J3110" i="13" s="1"/>
  <c r="J3109" i="14" a="1"/>
  <c r="J3109" i="14" s="1"/>
  <c r="N3110" i="14"/>
  <c r="M3113" i="13"/>
  <c r="M3114" i="14"/>
  <c r="K2947" i="14" l="1"/>
  <c r="L2947" i="14" s="1"/>
  <c r="I2948" i="14" s="1"/>
  <c r="N3111" i="14"/>
  <c r="J3110" i="14" a="1"/>
  <c r="J3110" i="14" s="1"/>
  <c r="K2925" i="13"/>
  <c r="L2925" i="13" s="1"/>
  <c r="I2926" i="13" s="1"/>
  <c r="M3115" i="14"/>
  <c r="M3114" i="13"/>
  <c r="J3111" i="13" a="1"/>
  <c r="J3111" i="13" s="1"/>
  <c r="N3112" i="13"/>
  <c r="K2926" i="13" l="1"/>
  <c r="L2926" i="13" s="1"/>
  <c r="I2927" i="13" s="1"/>
  <c r="K2948" i="14"/>
  <c r="L2948" i="14" s="1"/>
  <c r="I2949" i="14" s="1"/>
  <c r="N3112" i="14"/>
  <c r="J3111" i="14" a="1"/>
  <c r="J3111" i="14" s="1"/>
  <c r="J3112" i="13" a="1"/>
  <c r="J3112" i="13" s="1"/>
  <c r="N3113" i="13"/>
  <c r="M3116" i="14"/>
  <c r="M3115" i="13"/>
  <c r="K2949" i="14" l="1"/>
  <c r="L2949" i="14" s="1"/>
  <c r="I2950" i="14" s="1"/>
  <c r="K2927" i="13"/>
  <c r="L2927" i="13" s="1"/>
  <c r="I2928" i="13" s="1"/>
  <c r="J3113" i="13" a="1"/>
  <c r="J3113" i="13" s="1"/>
  <c r="N3114" i="13"/>
  <c r="M3116" i="13"/>
  <c r="M3117" i="14"/>
  <c r="J3112" i="14" a="1"/>
  <c r="J3112" i="14" s="1"/>
  <c r="N3113" i="14"/>
  <c r="K2928" i="13" l="1"/>
  <c r="L2928" i="13" s="1"/>
  <c r="I2929" i="13" s="1"/>
  <c r="K2950" i="14"/>
  <c r="L2950" i="14" s="1"/>
  <c r="I2951" i="14" s="1"/>
  <c r="J3113" i="14" a="1"/>
  <c r="J3113" i="14" s="1"/>
  <c r="N3114" i="14"/>
  <c r="M3117" i="13"/>
  <c r="N3115" i="13"/>
  <c r="J3114" i="13" a="1"/>
  <c r="J3114" i="13" s="1"/>
  <c r="M3118" i="14"/>
  <c r="K2951" i="14" l="1"/>
  <c r="L2951" i="14" s="1"/>
  <c r="I2952" i="14" s="1"/>
  <c r="K2929" i="13"/>
  <c r="L2929" i="13" s="1"/>
  <c r="I2930" i="13" s="1"/>
  <c r="M3119" i="14"/>
  <c r="M3118" i="13"/>
  <c r="N3115" i="14"/>
  <c r="J3114" i="14" a="1"/>
  <c r="J3114" i="14" s="1"/>
  <c r="J3115" i="13" a="1"/>
  <c r="J3115" i="13" s="1"/>
  <c r="N3116" i="13"/>
  <c r="K2930" i="13" l="1"/>
  <c r="L2930" i="13" s="1"/>
  <c r="I2931" i="13" s="1"/>
  <c r="K2952" i="14"/>
  <c r="L2952" i="14" s="1"/>
  <c r="I2953" i="14" s="1"/>
  <c r="J3116" i="13" a="1"/>
  <c r="J3116" i="13" s="1"/>
  <c r="N3117" i="13"/>
  <c r="M3119" i="13"/>
  <c r="N3116" i="14"/>
  <c r="J3115" i="14" a="1"/>
  <c r="J3115" i="14" s="1"/>
  <c r="M3120" i="14"/>
  <c r="K2953" i="14" l="1"/>
  <c r="L2953" i="14" s="1"/>
  <c r="I2954" i="14" s="1"/>
  <c r="K2931" i="13"/>
  <c r="L2931" i="13" s="1"/>
  <c r="I2932" i="13" s="1"/>
  <c r="M3121" i="14"/>
  <c r="M3120" i="13"/>
  <c r="J3117" i="13" a="1"/>
  <c r="J3117" i="13" s="1"/>
  <c r="N3118" i="13"/>
  <c r="J3116" i="14" a="1"/>
  <c r="J3116" i="14" s="1"/>
  <c r="N3117" i="14"/>
  <c r="K2932" i="13" l="1"/>
  <c r="L2932" i="13" s="1"/>
  <c r="I2933" i="13" s="1"/>
  <c r="M3121" i="13"/>
  <c r="J3117" i="14" a="1"/>
  <c r="J3117" i="14" s="1"/>
  <c r="N3118" i="14"/>
  <c r="N3119" i="13"/>
  <c r="J3118" i="13" a="1"/>
  <c r="J3118" i="13" s="1"/>
  <c r="M3122" i="14"/>
  <c r="K2954" i="14"/>
  <c r="L2954" i="14" s="1"/>
  <c r="I2955" i="14" s="1"/>
  <c r="K2955" i="14" l="1"/>
  <c r="L2955" i="14" s="1"/>
  <c r="I2956" i="14" s="1"/>
  <c r="K2933" i="13"/>
  <c r="L2933" i="13" s="1"/>
  <c r="I2934" i="13" s="1"/>
  <c r="M3122" i="13"/>
  <c r="J3119" i="13" a="1"/>
  <c r="J3119" i="13" s="1"/>
  <c r="N3120" i="13"/>
  <c r="N3119" i="14"/>
  <c r="J3118" i="14" a="1"/>
  <c r="J3118" i="14" s="1"/>
  <c r="M3123" i="14"/>
  <c r="K2956" i="14" l="1"/>
  <c r="L2956" i="14" s="1"/>
  <c r="I2957" i="14" s="1"/>
  <c r="J3120" i="13" a="1"/>
  <c r="J3120" i="13" s="1"/>
  <c r="N3121" i="13"/>
  <c r="M3124" i="14"/>
  <c r="K2934" i="13"/>
  <c r="L2934" i="13" s="1"/>
  <c r="I2935" i="13" s="1"/>
  <c r="N3120" i="14"/>
  <c r="J3119" i="14" a="1"/>
  <c r="J3119" i="14" s="1"/>
  <c r="M3123" i="13"/>
  <c r="K2935" i="13" l="1"/>
  <c r="L2935" i="13" s="1"/>
  <c r="I2936" i="13" s="1"/>
  <c r="K2957" i="14"/>
  <c r="L2957" i="14" s="1"/>
  <c r="I2958" i="14" s="1"/>
  <c r="J3121" i="13" a="1"/>
  <c r="J3121" i="13" s="1"/>
  <c r="N3122" i="13"/>
  <c r="M3124" i="13"/>
  <c r="J3120" i="14" a="1"/>
  <c r="J3120" i="14" s="1"/>
  <c r="N3121" i="14"/>
  <c r="M3125" i="14"/>
  <c r="K2958" i="14" l="1"/>
  <c r="L2958" i="14" s="1"/>
  <c r="I2959" i="14" s="1"/>
  <c r="K2936" i="13"/>
  <c r="L2936" i="13" s="1"/>
  <c r="I2937" i="13" s="1"/>
  <c r="M3126" i="14"/>
  <c r="M3125" i="13"/>
  <c r="N3123" i="13"/>
  <c r="J3122" i="13" a="1"/>
  <c r="J3122" i="13" s="1"/>
  <c r="J3121" i="14" a="1"/>
  <c r="J3121" i="14" s="1"/>
  <c r="N3122" i="14"/>
  <c r="K2937" i="13" l="1"/>
  <c r="L2937" i="13" s="1"/>
  <c r="I2938" i="13" s="1"/>
  <c r="K2959" i="14"/>
  <c r="L2959" i="14" s="1"/>
  <c r="I2960" i="14" s="1"/>
  <c r="M3126" i="13"/>
  <c r="M3127" i="14"/>
  <c r="N3123" i="14"/>
  <c r="J3122" i="14" a="1"/>
  <c r="J3122" i="14" s="1"/>
  <c r="J3123" i="13" a="1"/>
  <c r="J3123" i="13" s="1"/>
  <c r="N3124" i="13"/>
  <c r="K2960" i="14" l="1"/>
  <c r="L2960" i="14" s="1"/>
  <c r="I2961" i="14" s="1"/>
  <c r="K2938" i="13"/>
  <c r="L2938" i="13" s="1"/>
  <c r="I2939" i="13" s="1"/>
  <c r="M3128" i="14"/>
  <c r="J3124" i="13" a="1"/>
  <c r="J3124" i="13" s="1"/>
  <c r="N3125" i="13"/>
  <c r="N3124" i="14"/>
  <c r="J3123" i="14" a="1"/>
  <c r="J3123" i="14" s="1"/>
  <c r="M3127" i="13"/>
  <c r="K2939" i="13" l="1"/>
  <c r="L2939" i="13" s="1"/>
  <c r="I2940" i="13" s="1"/>
  <c r="K2961" i="14"/>
  <c r="L2961" i="14" s="1"/>
  <c r="I2962" i="14" s="1"/>
  <c r="J3125" i="13" a="1"/>
  <c r="J3125" i="13" s="1"/>
  <c r="N3126" i="13"/>
  <c r="M3128" i="13"/>
  <c r="J3124" i="14" a="1"/>
  <c r="J3124" i="14" s="1"/>
  <c r="N3125" i="14"/>
  <c r="M3129" i="14"/>
  <c r="K2962" i="14" l="1"/>
  <c r="L2962" i="14" s="1"/>
  <c r="I2963" i="14" s="1"/>
  <c r="K2940" i="13"/>
  <c r="L2940" i="13" s="1"/>
  <c r="I2941" i="13" s="1"/>
  <c r="J3125" i="14" a="1"/>
  <c r="J3125" i="14" s="1"/>
  <c r="N3126" i="14"/>
  <c r="M3130" i="14"/>
  <c r="M3129" i="13"/>
  <c r="N3127" i="13"/>
  <c r="J3126" i="13" a="1"/>
  <c r="J3126" i="13" s="1"/>
  <c r="K2941" i="13" l="1"/>
  <c r="L2941" i="13" s="1"/>
  <c r="I2942" i="13" s="1"/>
  <c r="K2963" i="14"/>
  <c r="L2963" i="14" s="1"/>
  <c r="I2964" i="14" s="1"/>
  <c r="M3131" i="14"/>
  <c r="J3127" i="13" a="1"/>
  <c r="J3127" i="13" s="1"/>
  <c r="N3128" i="13"/>
  <c r="M3130" i="13"/>
  <c r="N3127" i="14"/>
  <c r="J3126" i="14" a="1"/>
  <c r="J3126" i="14" s="1"/>
  <c r="K2964" i="14" l="1"/>
  <c r="L2964" i="14" s="1"/>
  <c r="I2965" i="14" s="1"/>
  <c r="K2942" i="13"/>
  <c r="L2942" i="13" s="1"/>
  <c r="I2943" i="13" s="1"/>
  <c r="J3128" i="13" a="1"/>
  <c r="J3128" i="13" s="1"/>
  <c r="N3129" i="13"/>
  <c r="N3128" i="14"/>
  <c r="J3127" i="14" a="1"/>
  <c r="J3127" i="14" s="1"/>
  <c r="M3131" i="13"/>
  <c r="M3132" i="14"/>
  <c r="K2943" i="13" l="1"/>
  <c r="L2943" i="13" s="1"/>
  <c r="I2944" i="13" s="1"/>
  <c r="K2965" i="14"/>
  <c r="L2965" i="14" s="1"/>
  <c r="I2966" i="14" s="1"/>
  <c r="J3128" i="14" a="1"/>
  <c r="J3128" i="14" s="1"/>
  <c r="N3129" i="14"/>
  <c r="J3129" i="13" a="1"/>
  <c r="J3129" i="13" s="1"/>
  <c r="N3130" i="13"/>
  <c r="M3133" i="14"/>
  <c r="M3132" i="13"/>
  <c r="K2966" i="14" l="1"/>
  <c r="L2966" i="14" s="1"/>
  <c r="I2967" i="14" s="1"/>
  <c r="K2944" i="13"/>
  <c r="L2944" i="13" s="1"/>
  <c r="I2945" i="13" s="1"/>
  <c r="M3133" i="13"/>
  <c r="N3131" i="13"/>
  <c r="J3130" i="13" a="1"/>
  <c r="J3130" i="13" s="1"/>
  <c r="J3129" i="14" a="1"/>
  <c r="J3129" i="14" s="1"/>
  <c r="N3130" i="14"/>
  <c r="M3134" i="14"/>
  <c r="K2945" i="13" l="1"/>
  <c r="L2945" i="13" s="1"/>
  <c r="I2946" i="13" s="1"/>
  <c r="K2967" i="14"/>
  <c r="L2967" i="14" s="1"/>
  <c r="I2968" i="14" s="1"/>
  <c r="J3131" i="13" a="1"/>
  <c r="J3131" i="13" s="1"/>
  <c r="N3132" i="13"/>
  <c r="N3131" i="14"/>
  <c r="J3130" i="14" a="1"/>
  <c r="J3130" i="14" s="1"/>
  <c r="M3134" i="13"/>
  <c r="M3135" i="14"/>
  <c r="K2968" i="14" l="1"/>
  <c r="L2968" i="14" s="1"/>
  <c r="I2969" i="14" s="1"/>
  <c r="K2946" i="13"/>
  <c r="L2946" i="13" s="1"/>
  <c r="I2947" i="13" s="1"/>
  <c r="N3132" i="14"/>
  <c r="J3131" i="14" a="1"/>
  <c r="J3131" i="14" s="1"/>
  <c r="J3132" i="13" a="1"/>
  <c r="J3132" i="13" s="1"/>
  <c r="N3133" i="13"/>
  <c r="M3136" i="14"/>
  <c r="M3135" i="13"/>
  <c r="K2947" i="13" l="1"/>
  <c r="L2947" i="13" s="1"/>
  <c r="I2948" i="13" s="1"/>
  <c r="K2969" i="14"/>
  <c r="L2969" i="14" s="1"/>
  <c r="I2970" i="14" s="1"/>
  <c r="J3133" i="13" a="1"/>
  <c r="J3133" i="13" s="1"/>
  <c r="N3134" i="13"/>
  <c r="M3136" i="13"/>
  <c r="M3137" i="14"/>
  <c r="J3132" i="14" a="1"/>
  <c r="J3132" i="14" s="1"/>
  <c r="N3133" i="14"/>
  <c r="K2970" i="14" l="1"/>
  <c r="L2970" i="14" s="1"/>
  <c r="I2971" i="14" s="1"/>
  <c r="K2948" i="13"/>
  <c r="L2948" i="13" s="1"/>
  <c r="I2949" i="13" s="1"/>
  <c r="J3133" i="14" a="1"/>
  <c r="J3133" i="14" s="1"/>
  <c r="N3134" i="14"/>
  <c r="M3137" i="13"/>
  <c r="M3138" i="14"/>
  <c r="N3135" i="13"/>
  <c r="J3134" i="13" a="1"/>
  <c r="J3134" i="13" s="1"/>
  <c r="K2949" i="13" l="1"/>
  <c r="L2949" i="13" s="1"/>
  <c r="I2950" i="13" s="1"/>
  <c r="K2971" i="14"/>
  <c r="L2971" i="14" s="1"/>
  <c r="I2972" i="14" s="1"/>
  <c r="M3138" i="13"/>
  <c r="M3139" i="14"/>
  <c r="J3135" i="13" a="1"/>
  <c r="J3135" i="13" s="1"/>
  <c r="N3136" i="13"/>
  <c r="N3135" i="14"/>
  <c r="J3134" i="14" a="1"/>
  <c r="J3134" i="14" s="1"/>
  <c r="K2972" i="14" l="1"/>
  <c r="L2972" i="14" s="1"/>
  <c r="I2973" i="14" s="1"/>
  <c r="K2950" i="13"/>
  <c r="L2950" i="13" s="1"/>
  <c r="I2951" i="13" s="1"/>
  <c r="N3136" i="14"/>
  <c r="J3135" i="14" a="1"/>
  <c r="J3135" i="14" s="1"/>
  <c r="M3140" i="14"/>
  <c r="J3136" i="13" a="1"/>
  <c r="J3136" i="13" s="1"/>
  <c r="N3137" i="13"/>
  <c r="M3139" i="13"/>
  <c r="K2951" i="13" l="1"/>
  <c r="L2951" i="13" s="1"/>
  <c r="I2952" i="13" s="1"/>
  <c r="K2973" i="14"/>
  <c r="L2973" i="14" s="1"/>
  <c r="I2974" i="14" s="1"/>
  <c r="J3137" i="13" a="1"/>
  <c r="J3137" i="13" s="1"/>
  <c r="N3138" i="13"/>
  <c r="M3140" i="13"/>
  <c r="M3141" i="14"/>
  <c r="J3136" i="14" a="1"/>
  <c r="J3136" i="14" s="1"/>
  <c r="N3137" i="14"/>
  <c r="K2974" i="14" l="1"/>
  <c r="L2974" i="14" s="1"/>
  <c r="I2975" i="14" s="1"/>
  <c r="K2952" i="13"/>
  <c r="L2952" i="13" s="1"/>
  <c r="I2953" i="13" s="1"/>
  <c r="M3141" i="13"/>
  <c r="N3139" i="13"/>
  <c r="J3138" i="13" a="1"/>
  <c r="J3138" i="13" s="1"/>
  <c r="J3137" i="14" a="1"/>
  <c r="J3137" i="14" s="1"/>
  <c r="N3138" i="14"/>
  <c r="M3142" i="14"/>
  <c r="K2953" i="13" l="1"/>
  <c r="L2953" i="13" s="1"/>
  <c r="I2954" i="13" s="1"/>
  <c r="K2975" i="14"/>
  <c r="L2975" i="14" s="1"/>
  <c r="I2976" i="14" s="1"/>
  <c r="J3139" i="13" a="1"/>
  <c r="J3139" i="13" s="1"/>
  <c r="N3140" i="13"/>
  <c r="N3139" i="14"/>
  <c r="J3138" i="14" a="1"/>
  <c r="J3138" i="14" s="1"/>
  <c r="M3142" i="13"/>
  <c r="M3143" i="14"/>
  <c r="K2976" i="14" l="1"/>
  <c r="L2976" i="14" s="1"/>
  <c r="I2977" i="14" s="1"/>
  <c r="K2954" i="13"/>
  <c r="L2954" i="13" s="1"/>
  <c r="I2955" i="13" s="1"/>
  <c r="N3140" i="14"/>
  <c r="J3139" i="14" a="1"/>
  <c r="J3139" i="14" s="1"/>
  <c r="J3140" i="13" a="1"/>
  <c r="J3140" i="13" s="1"/>
  <c r="N3141" i="13"/>
  <c r="M3144" i="14"/>
  <c r="M3143" i="13"/>
  <c r="K2955" i="13" l="1"/>
  <c r="L2955" i="13" s="1"/>
  <c r="I2956" i="13" s="1"/>
  <c r="K2977" i="14"/>
  <c r="L2977" i="14" s="1"/>
  <c r="I2978" i="14" s="1"/>
  <c r="J3141" i="13" a="1"/>
  <c r="J3141" i="13" s="1"/>
  <c r="N3142" i="13"/>
  <c r="M3144" i="13"/>
  <c r="M3145" i="14"/>
  <c r="J3140" i="14" a="1"/>
  <c r="J3140" i="14" s="1"/>
  <c r="N3141" i="14"/>
  <c r="K2956" i="13" l="1"/>
  <c r="L2956" i="13" s="1"/>
  <c r="I2957" i="13" s="1"/>
  <c r="J3141" i="14" a="1"/>
  <c r="J3141" i="14" s="1"/>
  <c r="N3142" i="14"/>
  <c r="K2978" i="14"/>
  <c r="L2978" i="14" s="1"/>
  <c r="I2979" i="14" s="1"/>
  <c r="M3145" i="13"/>
  <c r="N3143" i="13"/>
  <c r="J3142" i="13" a="1"/>
  <c r="J3142" i="13" s="1"/>
  <c r="M3146" i="14"/>
  <c r="K2979" i="14" l="1"/>
  <c r="L2979" i="14" s="1"/>
  <c r="I2980" i="14" s="1"/>
  <c r="K2957" i="13"/>
  <c r="L2957" i="13" s="1"/>
  <c r="I2958" i="13" s="1"/>
  <c r="M3147" i="14"/>
  <c r="M3146" i="13"/>
  <c r="N3143" i="14"/>
  <c r="J3142" i="14" a="1"/>
  <c r="J3142" i="14" s="1"/>
  <c r="J3143" i="13" a="1"/>
  <c r="J3143" i="13" s="1"/>
  <c r="N3144" i="13"/>
  <c r="K2958" i="13" l="1"/>
  <c r="L2958" i="13" s="1"/>
  <c r="I2959" i="13" s="1"/>
  <c r="K2980" i="14"/>
  <c r="L2980" i="14" s="1"/>
  <c r="I2981" i="14" s="1"/>
  <c r="M3147" i="13"/>
  <c r="J3144" i="13" a="1"/>
  <c r="J3144" i="13" s="1"/>
  <c r="N3145" i="13"/>
  <c r="N3144" i="14"/>
  <c r="J3143" i="14" a="1"/>
  <c r="J3143" i="14" s="1"/>
  <c r="M3148" i="14"/>
  <c r="K2959" i="13" l="1"/>
  <c r="L2959" i="13" s="1"/>
  <c r="I2960" i="13" s="1"/>
  <c r="J3145" i="13" a="1"/>
  <c r="J3145" i="13" s="1"/>
  <c r="N3146" i="13"/>
  <c r="M3149" i="14"/>
  <c r="K2981" i="14"/>
  <c r="L2981" i="14" s="1"/>
  <c r="I2982" i="14" s="1"/>
  <c r="J3144" i="14" a="1"/>
  <c r="J3144" i="14" s="1"/>
  <c r="N3145" i="14"/>
  <c r="M3148" i="13"/>
  <c r="K2982" i="14" l="1"/>
  <c r="L2982" i="14" s="1"/>
  <c r="I2983" i="14" s="1"/>
  <c r="K2960" i="13"/>
  <c r="L2960" i="13" s="1"/>
  <c r="I2961" i="13" s="1"/>
  <c r="N3147" i="13"/>
  <c r="J3146" i="13" a="1"/>
  <c r="J3146" i="13" s="1"/>
  <c r="M3149" i="13"/>
  <c r="J3145" i="14" a="1"/>
  <c r="J3145" i="14" s="1"/>
  <c r="N3146" i="14"/>
  <c r="M3150" i="14"/>
  <c r="K2961" i="13" l="1"/>
  <c r="L2961" i="13" s="1"/>
  <c r="I2962" i="13" s="1"/>
  <c r="K2983" i="14"/>
  <c r="L2983" i="14" s="1"/>
  <c r="I2984" i="14" s="1"/>
  <c r="N3147" i="14"/>
  <c r="J3146" i="14" a="1"/>
  <c r="J3146" i="14" s="1"/>
  <c r="M3150" i="13"/>
  <c r="M3151" i="14"/>
  <c r="J3147" i="13" a="1"/>
  <c r="J3147" i="13" s="1"/>
  <c r="N3148" i="13"/>
  <c r="K2984" i="14" l="1"/>
  <c r="L2984" i="14" s="1"/>
  <c r="I2985" i="14" s="1"/>
  <c r="K2962" i="13"/>
  <c r="L2962" i="13" s="1"/>
  <c r="I2963" i="13" s="1"/>
  <c r="J3148" i="13" a="1"/>
  <c r="J3148" i="13" s="1"/>
  <c r="N3149" i="13"/>
  <c r="M3151" i="13"/>
  <c r="M3152" i="14"/>
  <c r="N3148" i="14"/>
  <c r="J3147" i="14" a="1"/>
  <c r="J3147" i="14" s="1"/>
  <c r="K2963" i="13" l="1"/>
  <c r="L2963" i="13" s="1"/>
  <c r="I2964" i="13" s="1"/>
  <c r="K2985" i="14"/>
  <c r="L2985" i="14" s="1"/>
  <c r="I2986" i="14" s="1"/>
  <c r="J3148" i="14" a="1"/>
  <c r="J3148" i="14" s="1"/>
  <c r="N3149" i="14"/>
  <c r="M3152" i="13"/>
  <c r="J3149" i="13" a="1"/>
  <c r="J3149" i="13" s="1"/>
  <c r="N3150" i="13"/>
  <c r="M3153" i="14"/>
  <c r="K2986" i="14" l="1"/>
  <c r="L2986" i="14" s="1"/>
  <c r="I2987" i="14" s="1"/>
  <c r="K2964" i="13"/>
  <c r="L2964" i="13" s="1"/>
  <c r="I2965" i="13" s="1"/>
  <c r="M3154" i="14"/>
  <c r="M3153" i="13"/>
  <c r="N3151" i="13"/>
  <c r="J3150" i="13" a="1"/>
  <c r="J3150" i="13" s="1"/>
  <c r="J3149" i="14" a="1"/>
  <c r="J3149" i="14" s="1"/>
  <c r="N3150" i="14"/>
  <c r="K2965" i="13" l="1"/>
  <c r="L2965" i="13" s="1"/>
  <c r="I2966" i="13" s="1"/>
  <c r="K2987" i="14"/>
  <c r="L2987" i="14" s="1"/>
  <c r="I2988" i="14" s="1"/>
  <c r="N3151" i="14"/>
  <c r="J3150" i="14" a="1"/>
  <c r="J3150" i="14" s="1"/>
  <c r="M3154" i="13"/>
  <c r="M3155" i="14"/>
  <c r="J3151" i="13" a="1"/>
  <c r="J3151" i="13" s="1"/>
  <c r="N3152" i="13"/>
  <c r="K2988" i="14" l="1"/>
  <c r="L2988" i="14" s="1"/>
  <c r="I2989" i="14" s="1"/>
  <c r="K2966" i="13"/>
  <c r="L2966" i="13" s="1"/>
  <c r="I2967" i="13" s="1"/>
  <c r="J3152" i="13" a="1"/>
  <c r="J3152" i="13" s="1"/>
  <c r="N3153" i="13"/>
  <c r="M3155" i="13"/>
  <c r="M3156" i="14"/>
  <c r="N3152" i="14"/>
  <c r="J3151" i="14" a="1"/>
  <c r="J3151" i="14" s="1"/>
  <c r="K2967" i="13" l="1"/>
  <c r="L2967" i="13" s="1"/>
  <c r="I2968" i="13" s="1"/>
  <c r="K2989" i="14"/>
  <c r="L2989" i="14" s="1"/>
  <c r="I2990" i="14" s="1"/>
  <c r="J3153" i="13" a="1"/>
  <c r="J3153" i="13" s="1"/>
  <c r="N3154" i="13"/>
  <c r="J3152" i="14" a="1"/>
  <c r="J3152" i="14" s="1"/>
  <c r="N3153" i="14"/>
  <c r="M3156" i="13"/>
  <c r="M3157" i="14"/>
  <c r="K2990" i="14" l="1"/>
  <c r="L2990" i="14" s="1"/>
  <c r="I2991" i="14" s="1"/>
  <c r="K2968" i="13"/>
  <c r="L2968" i="13" s="1"/>
  <c r="I2969" i="13" s="1"/>
  <c r="M3158" i="14"/>
  <c r="J3153" i="14" a="1"/>
  <c r="J3153" i="14" s="1"/>
  <c r="N3154" i="14"/>
  <c r="N3155" i="13"/>
  <c r="J3154" i="13" a="1"/>
  <c r="J3154" i="13" s="1"/>
  <c r="M3157" i="13"/>
  <c r="K2969" i="13" l="1"/>
  <c r="L2969" i="13" s="1"/>
  <c r="I2970" i="13" s="1"/>
  <c r="K2991" i="14"/>
  <c r="L2991" i="14" s="1"/>
  <c r="I2992" i="14" s="1"/>
  <c r="M3158" i="13"/>
  <c r="M3159" i="14"/>
  <c r="N3155" i="14"/>
  <c r="J3154" i="14" a="1"/>
  <c r="J3154" i="14" s="1"/>
  <c r="J3155" i="13" a="1"/>
  <c r="J3155" i="13" s="1"/>
  <c r="N3156" i="13"/>
  <c r="K2992" i="14" l="1"/>
  <c r="L2992" i="14" s="1"/>
  <c r="I2993" i="14" s="1"/>
  <c r="K2970" i="13"/>
  <c r="L2970" i="13" s="1"/>
  <c r="I2971" i="13" s="1"/>
  <c r="J3156" i="13" a="1"/>
  <c r="J3156" i="13" s="1"/>
  <c r="N3157" i="13"/>
  <c r="M3160" i="14"/>
  <c r="N3156" i="14"/>
  <c r="J3155" i="14" a="1"/>
  <c r="J3155" i="14" s="1"/>
  <c r="M3159" i="13"/>
  <c r="K2971" i="13" l="1"/>
  <c r="L2971" i="13" s="1"/>
  <c r="I2972" i="13" s="1"/>
  <c r="K2993" i="14"/>
  <c r="L2993" i="14" s="1"/>
  <c r="I2994" i="14" s="1"/>
  <c r="M3160" i="13"/>
  <c r="M3161" i="14"/>
  <c r="J3157" i="13" a="1"/>
  <c r="J3157" i="13" s="1"/>
  <c r="N3158" i="13"/>
  <c r="J3156" i="14" a="1"/>
  <c r="J3156" i="14" s="1"/>
  <c r="N3157" i="14"/>
  <c r="K2994" i="14" l="1"/>
  <c r="L2994" i="14" s="1"/>
  <c r="I2995" i="14" s="1"/>
  <c r="K2972" i="13"/>
  <c r="L2972" i="13" s="1"/>
  <c r="I2973" i="13" s="1"/>
  <c r="J3157" i="14" a="1"/>
  <c r="J3157" i="14" s="1"/>
  <c r="N3158" i="14"/>
  <c r="M3162" i="14"/>
  <c r="N3159" i="13"/>
  <c r="J3158" i="13" a="1"/>
  <c r="J3158" i="13" s="1"/>
  <c r="M3161" i="13"/>
  <c r="K2973" i="13" l="1"/>
  <c r="L2973" i="13" s="1"/>
  <c r="I2974" i="13" s="1"/>
  <c r="K2995" i="14"/>
  <c r="L2995" i="14" s="1"/>
  <c r="I2996" i="14" s="1"/>
  <c r="M3162" i="13"/>
  <c r="M3163" i="14"/>
  <c r="N3159" i="14"/>
  <c r="J3158" i="14" a="1"/>
  <c r="J3158" i="14" s="1"/>
  <c r="J3159" i="13" a="1"/>
  <c r="J3159" i="13" s="1"/>
  <c r="N3160" i="13"/>
  <c r="K2996" i="14" l="1"/>
  <c r="L2996" i="14" s="1"/>
  <c r="I2997" i="14" s="1"/>
  <c r="K2974" i="13"/>
  <c r="L2974" i="13" s="1"/>
  <c r="I2975" i="13" s="1"/>
  <c r="J3160" i="13" a="1"/>
  <c r="J3160" i="13" s="1"/>
  <c r="N3161" i="13"/>
  <c r="M3164" i="14"/>
  <c r="N3160" i="14"/>
  <c r="J3159" i="14" a="1"/>
  <c r="J3159" i="14" s="1"/>
  <c r="M3163" i="13"/>
  <c r="K2997" i="14" l="1"/>
  <c r="L2997" i="14" s="1"/>
  <c r="I2998" i="14" s="1"/>
  <c r="J3160" i="14" a="1"/>
  <c r="J3160" i="14" s="1"/>
  <c r="N3161" i="14"/>
  <c r="M3164" i="13"/>
  <c r="M3165" i="14"/>
  <c r="K2975" i="13"/>
  <c r="L2975" i="13" s="1"/>
  <c r="I2976" i="13" s="1"/>
  <c r="J3161" i="13" a="1"/>
  <c r="J3161" i="13" s="1"/>
  <c r="N3162" i="13"/>
  <c r="K2976" i="13" l="1"/>
  <c r="L2976" i="13" s="1"/>
  <c r="I2977" i="13" s="1"/>
  <c r="K2998" i="14"/>
  <c r="L2998" i="14" s="1"/>
  <c r="I2999" i="14" s="1"/>
  <c r="N3163" i="13"/>
  <c r="J3162" i="13" a="1"/>
  <c r="J3162" i="13" s="1"/>
  <c r="J3161" i="14" a="1"/>
  <c r="J3161" i="14" s="1"/>
  <c r="N3162" i="14"/>
  <c r="M3166" i="14"/>
  <c r="M3165" i="13"/>
  <c r="K2999" i="14" l="1"/>
  <c r="L2999" i="14" s="1"/>
  <c r="I3000" i="14" s="1"/>
  <c r="K2977" i="13"/>
  <c r="L2977" i="13" s="1"/>
  <c r="I2978" i="13" s="1"/>
  <c r="N3163" i="14"/>
  <c r="J3162" i="14" a="1"/>
  <c r="J3162" i="14" s="1"/>
  <c r="M3166" i="13"/>
  <c r="M3167" i="14"/>
  <c r="J3163" i="13" a="1"/>
  <c r="J3163" i="13" s="1"/>
  <c r="N3164" i="13"/>
  <c r="K2978" i="13" l="1"/>
  <c r="L2978" i="13" s="1"/>
  <c r="I2979" i="13" s="1"/>
  <c r="K3000" i="14"/>
  <c r="L3000" i="14" s="1"/>
  <c r="I3001" i="14" s="1"/>
  <c r="J3164" i="13" a="1"/>
  <c r="J3164" i="13" s="1"/>
  <c r="N3165" i="13"/>
  <c r="M3167" i="13"/>
  <c r="M3168" i="14"/>
  <c r="N3164" i="14"/>
  <c r="J3163" i="14" a="1"/>
  <c r="J3163" i="14" s="1"/>
  <c r="K3001" i="14" l="1"/>
  <c r="L3001" i="14" s="1"/>
  <c r="I3002" i="14" s="1"/>
  <c r="K2979" i="13"/>
  <c r="L2979" i="13" s="1"/>
  <c r="I2980" i="13" s="1"/>
  <c r="J3164" i="14" a="1"/>
  <c r="J3164" i="14" s="1"/>
  <c r="N3165" i="14"/>
  <c r="M3168" i="13"/>
  <c r="J3165" i="13" a="1"/>
  <c r="J3165" i="13" s="1"/>
  <c r="N3166" i="13"/>
  <c r="M3169" i="14"/>
  <c r="K2980" i="13" l="1"/>
  <c r="L2980" i="13" s="1"/>
  <c r="I2981" i="13" s="1"/>
  <c r="K3002" i="14"/>
  <c r="L3002" i="14" s="1"/>
  <c r="I3003" i="14" s="1"/>
  <c r="M3170" i="14"/>
  <c r="M3169" i="13"/>
  <c r="N3167" i="13"/>
  <c r="J3166" i="13" a="1"/>
  <c r="J3166" i="13" s="1"/>
  <c r="J3165" i="14" a="1"/>
  <c r="J3165" i="14" s="1"/>
  <c r="N3166" i="14"/>
  <c r="K3003" i="14" l="1"/>
  <c r="L3003" i="14" s="1"/>
  <c r="I3004" i="14" s="1"/>
  <c r="K2981" i="13"/>
  <c r="L2981" i="13" s="1"/>
  <c r="I2982" i="13" s="1"/>
  <c r="M3170" i="13"/>
  <c r="M3171" i="14"/>
  <c r="N3167" i="14"/>
  <c r="J3166" i="14" a="1"/>
  <c r="J3166" i="14" s="1"/>
  <c r="J3167" i="13" a="1"/>
  <c r="J3167" i="13" s="1"/>
  <c r="N3168" i="13"/>
  <c r="K2982" i="13" l="1"/>
  <c r="L2982" i="13" s="1"/>
  <c r="I2983" i="13" s="1"/>
  <c r="K3004" i="14"/>
  <c r="L3004" i="14" s="1"/>
  <c r="I3005" i="14" s="1"/>
  <c r="J3168" i="13" a="1"/>
  <c r="J3168" i="13" s="1"/>
  <c r="N3169" i="13"/>
  <c r="M3172" i="14"/>
  <c r="N3168" i="14"/>
  <c r="J3167" i="14" a="1"/>
  <c r="J3167" i="14" s="1"/>
  <c r="M3171" i="13"/>
  <c r="K3005" i="14" l="1"/>
  <c r="L3005" i="14" s="1"/>
  <c r="I3006" i="14" s="1"/>
  <c r="K2983" i="13"/>
  <c r="L2983" i="13" s="1"/>
  <c r="I2984" i="13" s="1"/>
  <c r="J3168" i="14" a="1"/>
  <c r="J3168" i="14" s="1"/>
  <c r="N3169" i="14"/>
  <c r="M3172" i="13"/>
  <c r="M3173" i="14"/>
  <c r="J3169" i="13" a="1"/>
  <c r="J3169" i="13" s="1"/>
  <c r="N3170" i="13"/>
  <c r="K2984" i="13" l="1"/>
  <c r="L2984" i="13" s="1"/>
  <c r="I2985" i="13" s="1"/>
  <c r="K3006" i="14"/>
  <c r="L3006" i="14" s="1"/>
  <c r="I3007" i="14" s="1"/>
  <c r="M3173" i="13"/>
  <c r="J3169" i="14" a="1"/>
  <c r="J3169" i="14" s="1"/>
  <c r="N3170" i="14"/>
  <c r="N3171" i="13"/>
  <c r="J3170" i="13" a="1"/>
  <c r="J3170" i="13" s="1"/>
  <c r="M3174" i="14"/>
  <c r="K3007" i="14" l="1"/>
  <c r="L3007" i="14" s="1"/>
  <c r="I3008" i="14" s="1"/>
  <c r="K2985" i="13"/>
  <c r="L2985" i="13" s="1"/>
  <c r="I2986" i="13" s="1"/>
  <c r="N3171" i="14"/>
  <c r="J3170" i="14" a="1"/>
  <c r="J3170" i="14" s="1"/>
  <c r="M3175" i="14"/>
  <c r="M3174" i="13"/>
  <c r="J3171" i="13" a="1"/>
  <c r="J3171" i="13" s="1"/>
  <c r="N3172" i="13"/>
  <c r="K2986" i="13" l="1"/>
  <c r="L2986" i="13" s="1"/>
  <c r="I2987" i="13" s="1"/>
  <c r="K3008" i="14"/>
  <c r="L3008" i="14" s="1"/>
  <c r="I3009" i="14" s="1"/>
  <c r="M3176" i="14"/>
  <c r="J3172" i="13" a="1"/>
  <c r="J3172" i="13" s="1"/>
  <c r="N3173" i="13"/>
  <c r="M3175" i="13"/>
  <c r="N3172" i="14"/>
  <c r="J3171" i="14" a="1"/>
  <c r="J3171" i="14" s="1"/>
  <c r="K3009" i="14" l="1"/>
  <c r="L3009" i="14" s="1"/>
  <c r="I3010" i="14" s="1"/>
  <c r="K2987" i="13"/>
  <c r="L2987" i="13" s="1"/>
  <c r="I2988" i="13" s="1"/>
  <c r="J3173" i="13" a="1"/>
  <c r="J3173" i="13" s="1"/>
  <c r="N3174" i="13"/>
  <c r="J3172" i="14" a="1"/>
  <c r="J3172" i="14" s="1"/>
  <c r="N3173" i="14"/>
  <c r="M3176" i="13"/>
  <c r="M3177" i="14"/>
  <c r="K2988" i="13" l="1"/>
  <c r="L2988" i="13" s="1"/>
  <c r="I2989" i="13" s="1"/>
  <c r="K3010" i="14"/>
  <c r="L3010" i="14" s="1"/>
  <c r="I3011" i="14" s="1"/>
  <c r="J3173" i="14" a="1"/>
  <c r="J3173" i="14" s="1"/>
  <c r="N3174" i="14"/>
  <c r="N3175" i="13"/>
  <c r="J3174" i="13" a="1"/>
  <c r="J3174" i="13" s="1"/>
  <c r="M3178" i="14"/>
  <c r="M3177" i="13"/>
  <c r="K3011" i="14" l="1"/>
  <c r="L3011" i="14" s="1"/>
  <c r="I3012" i="14" s="1"/>
  <c r="K2989" i="13"/>
  <c r="L2989" i="13" s="1"/>
  <c r="I2990" i="13" s="1"/>
  <c r="J3175" i="13" a="1"/>
  <c r="J3175" i="13" s="1"/>
  <c r="N3176" i="13"/>
  <c r="M3178" i="13"/>
  <c r="N3175" i="14"/>
  <c r="J3174" i="14" a="1"/>
  <c r="J3174" i="14" s="1"/>
  <c r="M3179" i="14"/>
  <c r="K2990" i="13" l="1"/>
  <c r="L2990" i="13" s="1"/>
  <c r="I2991" i="13" s="1"/>
  <c r="K3012" i="14"/>
  <c r="L3012" i="14" s="1"/>
  <c r="I3013" i="14" s="1"/>
  <c r="M3180" i="14"/>
  <c r="N3176" i="14"/>
  <c r="J3175" i="14" a="1"/>
  <c r="J3175" i="14" s="1"/>
  <c r="M3179" i="13"/>
  <c r="J3176" i="13" a="1"/>
  <c r="J3176" i="13" s="1"/>
  <c r="N3177" i="13"/>
  <c r="K3013" i="14" l="1"/>
  <c r="L3013" i="14" s="1"/>
  <c r="I3014" i="14" s="1"/>
  <c r="K2991" i="13"/>
  <c r="L2991" i="13" s="1"/>
  <c r="I2992" i="13" s="1"/>
  <c r="N3177" i="14"/>
  <c r="J3176" i="14" a="1"/>
  <c r="J3176" i="14" s="1"/>
  <c r="J3177" i="13" a="1"/>
  <c r="J3177" i="13" s="1"/>
  <c r="N3178" i="13"/>
  <c r="M3181" i="14"/>
  <c r="M3180" i="13"/>
  <c r="K2992" i="13" l="1"/>
  <c r="L2992" i="13" s="1"/>
  <c r="I2993" i="13" s="1"/>
  <c r="K3014" i="14"/>
  <c r="L3014" i="14" s="1"/>
  <c r="I3015" i="14" s="1"/>
  <c r="N3179" i="13"/>
  <c r="J3178" i="13" a="1"/>
  <c r="J3178" i="13" s="1"/>
  <c r="M3181" i="13"/>
  <c r="M3182" i="14"/>
  <c r="N3178" i="14"/>
  <c r="J3177" i="14" a="1"/>
  <c r="J3177" i="14" s="1"/>
  <c r="K3015" i="14" l="1"/>
  <c r="L3015" i="14" s="1"/>
  <c r="I3016" i="14" s="1"/>
  <c r="K2993" i="13"/>
  <c r="L2993" i="13" s="1"/>
  <c r="I2994" i="13" s="1"/>
  <c r="M3182" i="13"/>
  <c r="J3178" i="14" a="1"/>
  <c r="J3178" i="14" s="1"/>
  <c r="N3179" i="14"/>
  <c r="M3183" i="14"/>
  <c r="J3179" i="13" a="1"/>
  <c r="J3179" i="13" s="1"/>
  <c r="N3180" i="13"/>
  <c r="K2994" i="13" l="1"/>
  <c r="L2994" i="13" s="1"/>
  <c r="I2995" i="13" s="1"/>
  <c r="K3016" i="14"/>
  <c r="L3016" i="14" s="1"/>
  <c r="I3017" i="14" s="1"/>
  <c r="J3180" i="13" a="1"/>
  <c r="J3180" i="13" s="1"/>
  <c r="N3181" i="13"/>
  <c r="N3180" i="14"/>
  <c r="J3179" i="14" a="1"/>
  <c r="J3179" i="14" s="1"/>
  <c r="M3184" i="14"/>
  <c r="M3183" i="13"/>
  <c r="K3017" i="14" l="1"/>
  <c r="L3017" i="14" s="1"/>
  <c r="I3018" i="14" s="1"/>
  <c r="K2995" i="13"/>
  <c r="L2995" i="13" s="1"/>
  <c r="I2996" i="13" s="1"/>
  <c r="M3184" i="13"/>
  <c r="N3181" i="14"/>
  <c r="J3180" i="14" a="1"/>
  <c r="J3180" i="14" s="1"/>
  <c r="J3181" i="13" a="1"/>
  <c r="J3181" i="13" s="1"/>
  <c r="N3182" i="13"/>
  <c r="M3185" i="14"/>
  <c r="K2996" i="13" l="1"/>
  <c r="L2996" i="13" s="1"/>
  <c r="I2997" i="13" s="1"/>
  <c r="K3018" i="14"/>
  <c r="L3018" i="14" s="1"/>
  <c r="I3019" i="14" s="1"/>
  <c r="N3182" i="14"/>
  <c r="J3181" i="14" a="1"/>
  <c r="J3181" i="14" s="1"/>
  <c r="N3183" i="13"/>
  <c r="J3182" i="13" a="1"/>
  <c r="J3182" i="13" s="1"/>
  <c r="M3186" i="14"/>
  <c r="M3185" i="13"/>
  <c r="K3019" i="14" l="1"/>
  <c r="L3019" i="14" s="1"/>
  <c r="I3020" i="14" s="1"/>
  <c r="K2997" i="13"/>
  <c r="L2997" i="13" s="1"/>
  <c r="I2998" i="13" s="1"/>
  <c r="J3183" i="13" a="1"/>
  <c r="J3183" i="13" s="1"/>
  <c r="N3184" i="13"/>
  <c r="M3186" i="13"/>
  <c r="M3187" i="14"/>
  <c r="J3182" i="14" a="1"/>
  <c r="J3182" i="14" s="1"/>
  <c r="N3183" i="14"/>
  <c r="K2998" i="13" l="1"/>
  <c r="L2998" i="13" s="1"/>
  <c r="I2999" i="13" s="1"/>
  <c r="K3020" i="14"/>
  <c r="L3020" i="14" s="1"/>
  <c r="I3021" i="14" s="1"/>
  <c r="N3184" i="14"/>
  <c r="J3183" i="14" a="1"/>
  <c r="J3183" i="14" s="1"/>
  <c r="M3187" i="13"/>
  <c r="J3184" i="13" a="1"/>
  <c r="J3184" i="13" s="1"/>
  <c r="N3185" i="13"/>
  <c r="M3188" i="14"/>
  <c r="K3021" i="14" l="1"/>
  <c r="L3021" i="14" s="1"/>
  <c r="I3022" i="14" s="1"/>
  <c r="K2999" i="13"/>
  <c r="L2999" i="13" s="1"/>
  <c r="I3000" i="13" s="1"/>
  <c r="M3189" i="14"/>
  <c r="J3185" i="13" a="1"/>
  <c r="J3185" i="13" s="1"/>
  <c r="N3186" i="13"/>
  <c r="M3188" i="13"/>
  <c r="N3185" i="14"/>
  <c r="J3184" i="14" a="1"/>
  <c r="J3184" i="14" s="1"/>
  <c r="K3000" i="13" l="1"/>
  <c r="L3000" i="13" s="1"/>
  <c r="I3001" i="13" s="1"/>
  <c r="K3022" i="14"/>
  <c r="L3022" i="14" s="1"/>
  <c r="I3023" i="14" s="1"/>
  <c r="N3187" i="13"/>
  <c r="J3186" i="13" a="1"/>
  <c r="J3186" i="13" s="1"/>
  <c r="N3186" i="14"/>
  <c r="J3185" i="14" a="1"/>
  <c r="J3185" i="14" s="1"/>
  <c r="M3189" i="13"/>
  <c r="M3190" i="14"/>
  <c r="K3023" i="14" l="1"/>
  <c r="L3023" i="14" s="1"/>
  <c r="I3024" i="14" s="1"/>
  <c r="K3001" i="13"/>
  <c r="L3001" i="13" s="1"/>
  <c r="I3002" i="13" s="1"/>
  <c r="M3191" i="14"/>
  <c r="J3186" i="14" a="1"/>
  <c r="J3186" i="14" s="1"/>
  <c r="N3187" i="14"/>
  <c r="M3190" i="13"/>
  <c r="J3187" i="13" a="1"/>
  <c r="J3187" i="13" s="1"/>
  <c r="N3188" i="13"/>
  <c r="K3002" i="13" l="1"/>
  <c r="L3002" i="13" s="1"/>
  <c r="I3003" i="13" s="1"/>
  <c r="K3024" i="14"/>
  <c r="L3024" i="14" s="1"/>
  <c r="I3025" i="14" s="1"/>
  <c r="N3188" i="14"/>
  <c r="J3187" i="14" a="1"/>
  <c r="J3187" i="14" s="1"/>
  <c r="J3188" i="13" a="1"/>
  <c r="J3188" i="13" s="1"/>
  <c r="N3189" i="13"/>
  <c r="M3191" i="13"/>
  <c r="M3192" i="14"/>
  <c r="K3025" i="14" l="1"/>
  <c r="L3025" i="14" s="1"/>
  <c r="I3026" i="14" s="1"/>
  <c r="K3003" i="13"/>
  <c r="L3003" i="13" s="1"/>
  <c r="I3004" i="13" s="1"/>
  <c r="J3189" i="13" a="1"/>
  <c r="J3189" i="13" s="1"/>
  <c r="N3190" i="13"/>
  <c r="M3193" i="14"/>
  <c r="M3192" i="13"/>
  <c r="N3189" i="14"/>
  <c r="J3188" i="14" a="1"/>
  <c r="J3188" i="14" s="1"/>
  <c r="K3004" i="13" l="1"/>
  <c r="L3004" i="13" s="1"/>
  <c r="I3005" i="13" s="1"/>
  <c r="K3026" i="14"/>
  <c r="L3026" i="14" s="1"/>
  <c r="I3027" i="14" s="1"/>
  <c r="N3190" i="14"/>
  <c r="J3189" i="14" a="1"/>
  <c r="J3189" i="14" s="1"/>
  <c r="M3194" i="14"/>
  <c r="N3191" i="13"/>
  <c r="J3190" i="13" a="1"/>
  <c r="J3190" i="13" s="1"/>
  <c r="M3193" i="13"/>
  <c r="K3027" i="14" l="1"/>
  <c r="L3027" i="14" s="1"/>
  <c r="I3028" i="14" s="1"/>
  <c r="K3005" i="13"/>
  <c r="L3005" i="13" s="1"/>
  <c r="I3006" i="13" s="1"/>
  <c r="M3194" i="13"/>
  <c r="J3191" i="13" a="1"/>
  <c r="J3191" i="13" s="1"/>
  <c r="N3192" i="13"/>
  <c r="M3195" i="14"/>
  <c r="J3190" i="14" a="1"/>
  <c r="J3190" i="14" s="1"/>
  <c r="N3191" i="14"/>
  <c r="K3006" i="13" l="1"/>
  <c r="L3006" i="13" s="1"/>
  <c r="I3007" i="13" s="1"/>
  <c r="K3028" i="14"/>
  <c r="L3028" i="14" s="1"/>
  <c r="I3029" i="14" s="1"/>
  <c r="J3192" i="13" a="1"/>
  <c r="J3192" i="13" s="1"/>
  <c r="N3193" i="13"/>
  <c r="N3192" i="14"/>
  <c r="J3191" i="14" a="1"/>
  <c r="J3191" i="14" s="1"/>
  <c r="M3196" i="14"/>
  <c r="M3195" i="13"/>
  <c r="K3029" i="14" l="1"/>
  <c r="L3029" i="14" s="1"/>
  <c r="I3030" i="14" s="1"/>
  <c r="K3007" i="13"/>
  <c r="L3007" i="13" s="1"/>
  <c r="I3008" i="13" s="1"/>
  <c r="N3193" i="14"/>
  <c r="J3192" i="14" a="1"/>
  <c r="J3192" i="14" s="1"/>
  <c r="M3196" i="13"/>
  <c r="J3193" i="13" a="1"/>
  <c r="J3193" i="13" s="1"/>
  <c r="N3194" i="13"/>
  <c r="M3197" i="14"/>
  <c r="K3008" i="13" l="1"/>
  <c r="L3008" i="13" s="1"/>
  <c r="I3009" i="13" s="1"/>
  <c r="K3030" i="14"/>
  <c r="L3030" i="14" s="1"/>
  <c r="I3031" i="14" s="1"/>
  <c r="N3195" i="13"/>
  <c r="J3194" i="13" a="1"/>
  <c r="J3194" i="13" s="1"/>
  <c r="M3198" i="14"/>
  <c r="M3197" i="13"/>
  <c r="N3194" i="14"/>
  <c r="J3193" i="14" a="1"/>
  <c r="J3193" i="14" s="1"/>
  <c r="K3009" i="13" l="1"/>
  <c r="L3009" i="13" s="1"/>
  <c r="I3010" i="13" s="1"/>
  <c r="M3199" i="14"/>
  <c r="K3031" i="14"/>
  <c r="L3031" i="14" s="1"/>
  <c r="I3032" i="14" s="1"/>
  <c r="J3194" i="14" a="1"/>
  <c r="J3194" i="14" s="1"/>
  <c r="N3195" i="14"/>
  <c r="M3198" i="13"/>
  <c r="J3195" i="13" a="1"/>
  <c r="J3195" i="13" s="1"/>
  <c r="N3196" i="13"/>
  <c r="K3032" i="14" l="1"/>
  <c r="L3032" i="14" s="1"/>
  <c r="I3033" i="14" s="1"/>
  <c r="K3010" i="13"/>
  <c r="L3010" i="13" s="1"/>
  <c r="I3011" i="13" s="1"/>
  <c r="J3196" i="13" a="1"/>
  <c r="J3196" i="13" s="1"/>
  <c r="N3197" i="13"/>
  <c r="N3196" i="14"/>
  <c r="J3195" i="14" a="1"/>
  <c r="J3195" i="14" s="1"/>
  <c r="M3200" i="14"/>
  <c r="M3199" i="13"/>
  <c r="K3011" i="13" l="1"/>
  <c r="L3011" i="13" s="1"/>
  <c r="I3012" i="13" s="1"/>
  <c r="K3033" i="14"/>
  <c r="L3033" i="14" s="1"/>
  <c r="I3034" i="14" s="1"/>
  <c r="N3197" i="14"/>
  <c r="J3196" i="14" a="1"/>
  <c r="J3196" i="14" s="1"/>
  <c r="M3201" i="14"/>
  <c r="J3197" i="13" a="1"/>
  <c r="J3197" i="13" s="1"/>
  <c r="N3198" i="13"/>
  <c r="M3200" i="13"/>
  <c r="K3034" i="14" l="1"/>
  <c r="L3034" i="14" s="1"/>
  <c r="I3035" i="14" s="1"/>
  <c r="K3012" i="13"/>
  <c r="L3012" i="13" s="1"/>
  <c r="I3013" i="13" s="1"/>
  <c r="M3201" i="13"/>
  <c r="M3202" i="14"/>
  <c r="N3199" i="13"/>
  <c r="J3198" i="13" a="1"/>
  <c r="J3198" i="13" s="1"/>
  <c r="N3198" i="14"/>
  <c r="J3197" i="14" a="1"/>
  <c r="J3197" i="14" s="1"/>
  <c r="K3013" i="13" l="1"/>
  <c r="L3013" i="13" s="1"/>
  <c r="I3014" i="13" s="1"/>
  <c r="K3035" i="14"/>
  <c r="L3035" i="14" s="1"/>
  <c r="I3036" i="14" s="1"/>
  <c r="M3203" i="14"/>
  <c r="J3198" i="14" a="1"/>
  <c r="J3198" i="14" s="1"/>
  <c r="N3199" i="14"/>
  <c r="M3202" i="13"/>
  <c r="J3199" i="13" a="1"/>
  <c r="J3199" i="13" s="1"/>
  <c r="N3200" i="13"/>
  <c r="K3036" i="14" l="1"/>
  <c r="L3036" i="14" s="1"/>
  <c r="I3037" i="14" s="1"/>
  <c r="K3014" i="13"/>
  <c r="L3014" i="13" s="1"/>
  <c r="I3015" i="13" s="1"/>
  <c r="N3200" i="14"/>
  <c r="J3199" i="14" a="1"/>
  <c r="J3199" i="14" s="1"/>
  <c r="J3200" i="13" a="1"/>
  <c r="J3200" i="13" s="1"/>
  <c r="N3201" i="13"/>
  <c r="M3203" i="13"/>
  <c r="M3204" i="14"/>
  <c r="K3015" i="13" l="1"/>
  <c r="L3015" i="13" s="1"/>
  <c r="I3016" i="13" s="1"/>
  <c r="K3037" i="14"/>
  <c r="L3037" i="14" s="1"/>
  <c r="I3038" i="14" s="1"/>
  <c r="J3201" i="13" a="1"/>
  <c r="J3201" i="13" s="1"/>
  <c r="N3202" i="13"/>
  <c r="M3205" i="14"/>
  <c r="M3204" i="13"/>
  <c r="N3201" i="14"/>
  <c r="J3200" i="14" a="1"/>
  <c r="J3200" i="14" s="1"/>
  <c r="K3038" i="14" l="1"/>
  <c r="L3038" i="14" s="1"/>
  <c r="I3039" i="14" s="1"/>
  <c r="K3016" i="13"/>
  <c r="L3016" i="13" s="1"/>
  <c r="I3017" i="13" s="1"/>
  <c r="N3202" i="14"/>
  <c r="J3201" i="14" a="1"/>
  <c r="J3201" i="14" s="1"/>
  <c r="M3206" i="14"/>
  <c r="N3203" i="13"/>
  <c r="J3202" i="13" a="1"/>
  <c r="J3202" i="13" s="1"/>
  <c r="M3205" i="13"/>
  <c r="K3017" i="13" l="1"/>
  <c r="L3017" i="13" s="1"/>
  <c r="I3018" i="13" s="1"/>
  <c r="K3039" i="14"/>
  <c r="L3039" i="14" s="1"/>
  <c r="I3040" i="14" s="1"/>
  <c r="M3206" i="13"/>
  <c r="M3207" i="14"/>
  <c r="J3203" i="13" a="1"/>
  <c r="J3203" i="13" s="1"/>
  <c r="N3204" i="13"/>
  <c r="J3202" i="14" a="1"/>
  <c r="J3202" i="14" s="1"/>
  <c r="N3203" i="14"/>
  <c r="K3040" i="14" l="1"/>
  <c r="L3040" i="14" s="1"/>
  <c r="I3041" i="14" s="1"/>
  <c r="K3018" i="13"/>
  <c r="L3018" i="13" s="1"/>
  <c r="I3019" i="13" s="1"/>
  <c r="J3204" i="13" a="1"/>
  <c r="J3204" i="13" s="1"/>
  <c r="N3205" i="13"/>
  <c r="N3204" i="14"/>
  <c r="J3203" i="14" a="1"/>
  <c r="J3203" i="14" s="1"/>
  <c r="M3208" i="14"/>
  <c r="M3207" i="13"/>
  <c r="K3019" i="13" l="1"/>
  <c r="L3019" i="13" s="1"/>
  <c r="I3020" i="13" s="1"/>
  <c r="K3041" i="14"/>
  <c r="L3041" i="14" s="1"/>
  <c r="I3042" i="14" s="1"/>
  <c r="N3205" i="14"/>
  <c r="J3204" i="14" a="1"/>
  <c r="J3204" i="14" s="1"/>
  <c r="J3205" i="13" a="1"/>
  <c r="J3205" i="13" s="1"/>
  <c r="N3206" i="13"/>
  <c r="M3208" i="13"/>
  <c r="M3209" i="14"/>
  <c r="K3042" i="14" l="1"/>
  <c r="L3042" i="14" s="1"/>
  <c r="I3043" i="14" s="1"/>
  <c r="K3020" i="13"/>
  <c r="L3020" i="13" s="1"/>
  <c r="I3021" i="13" s="1"/>
  <c r="N3207" i="13"/>
  <c r="J3206" i="13" a="1"/>
  <c r="J3206" i="13" s="1"/>
  <c r="M3210" i="14"/>
  <c r="M3209" i="13"/>
  <c r="N3206" i="14"/>
  <c r="J3205" i="14" a="1"/>
  <c r="J3205" i="14" s="1"/>
  <c r="K3021" i="13" l="1"/>
  <c r="L3021" i="13" s="1"/>
  <c r="I3022" i="13" s="1"/>
  <c r="K3043" i="14"/>
  <c r="L3043" i="14" s="1"/>
  <c r="I3044" i="14" s="1"/>
  <c r="M3211" i="14"/>
  <c r="J3206" i="14" a="1"/>
  <c r="J3206" i="14" s="1"/>
  <c r="N3207" i="14"/>
  <c r="M3210" i="13"/>
  <c r="J3207" i="13" a="1"/>
  <c r="J3207" i="13" s="1"/>
  <c r="N3208" i="13"/>
  <c r="K3044" i="14" l="1"/>
  <c r="L3044" i="14" s="1"/>
  <c r="I3045" i="14" s="1"/>
  <c r="K3022" i="13"/>
  <c r="L3022" i="13" s="1"/>
  <c r="I3023" i="13" s="1"/>
  <c r="J3208" i="13" a="1"/>
  <c r="J3208" i="13" s="1"/>
  <c r="N3209" i="13"/>
  <c r="N3208" i="14"/>
  <c r="J3207" i="14" a="1"/>
  <c r="J3207" i="14" s="1"/>
  <c r="M3212" i="14"/>
  <c r="M3211" i="13"/>
  <c r="K3023" i="13" l="1"/>
  <c r="L3023" i="13" s="1"/>
  <c r="I3024" i="13" s="1"/>
  <c r="K3045" i="14"/>
  <c r="L3045" i="14" s="1"/>
  <c r="I3046" i="14" s="1"/>
  <c r="N3209" i="14"/>
  <c r="J3208" i="14" a="1"/>
  <c r="J3208" i="14" s="1"/>
  <c r="M3213" i="14"/>
  <c r="J3209" i="13" a="1"/>
  <c r="J3209" i="13" s="1"/>
  <c r="N3210" i="13"/>
  <c r="M3212" i="13"/>
  <c r="K3046" i="14" l="1"/>
  <c r="L3046" i="14" s="1"/>
  <c r="I3047" i="14" s="1"/>
  <c r="K3024" i="13"/>
  <c r="L3024" i="13" s="1"/>
  <c r="I3025" i="13" s="1"/>
  <c r="N3211" i="13"/>
  <c r="J3210" i="13" a="1"/>
  <c r="J3210" i="13" s="1"/>
  <c r="M3213" i="13"/>
  <c r="M3214" i="14"/>
  <c r="N3210" i="14"/>
  <c r="J3209" i="14" a="1"/>
  <c r="J3209" i="14" s="1"/>
  <c r="K3025" i="13" l="1"/>
  <c r="L3025" i="13" s="1"/>
  <c r="I3026" i="13" s="1"/>
  <c r="K3047" i="14"/>
  <c r="L3047" i="14" s="1"/>
  <c r="I3048" i="14" s="1"/>
  <c r="M3214" i="13"/>
  <c r="J3210" i="14" a="1"/>
  <c r="J3210" i="14" s="1"/>
  <c r="N3211" i="14"/>
  <c r="M3215" i="14"/>
  <c r="J3211" i="13" a="1"/>
  <c r="J3211" i="13" s="1"/>
  <c r="N3212" i="13"/>
  <c r="K3048" i="14" l="1"/>
  <c r="L3048" i="14" s="1"/>
  <c r="I3049" i="14" s="1"/>
  <c r="K3026" i="13"/>
  <c r="L3026" i="13" s="1"/>
  <c r="I3027" i="13" s="1"/>
  <c r="J3212" i="13" a="1"/>
  <c r="J3212" i="13" s="1"/>
  <c r="N3213" i="13"/>
  <c r="N3212" i="14"/>
  <c r="J3211" i="14" a="1"/>
  <c r="J3211" i="14" s="1"/>
  <c r="M3216" i="14"/>
  <c r="M3215" i="13"/>
  <c r="K3027" i="13" l="1"/>
  <c r="L3027" i="13" s="1"/>
  <c r="I3028" i="13" s="1"/>
  <c r="K3049" i="14"/>
  <c r="L3049" i="14" s="1"/>
  <c r="I3050" i="14" s="1"/>
  <c r="N3213" i="14"/>
  <c r="J3212" i="14" a="1"/>
  <c r="J3212" i="14" s="1"/>
  <c r="J3213" i="13" a="1"/>
  <c r="J3213" i="13" s="1"/>
  <c r="N3214" i="13"/>
  <c r="M3216" i="13"/>
  <c r="M3217" i="14"/>
  <c r="K3050" i="14" l="1"/>
  <c r="L3050" i="14" s="1"/>
  <c r="I3051" i="14" s="1"/>
  <c r="K3028" i="13"/>
  <c r="L3028" i="13" s="1"/>
  <c r="I3029" i="13" s="1"/>
  <c r="N3215" i="13"/>
  <c r="J3214" i="13" a="1"/>
  <c r="J3214" i="13" s="1"/>
  <c r="M3218" i="14"/>
  <c r="M3217" i="13"/>
  <c r="N3214" i="14"/>
  <c r="J3213" i="14" a="1"/>
  <c r="J3213" i="14" s="1"/>
  <c r="K3029" i="13" l="1"/>
  <c r="L3029" i="13" s="1"/>
  <c r="I3030" i="13" s="1"/>
  <c r="K3051" i="14"/>
  <c r="L3051" i="14" s="1"/>
  <c r="I3052" i="14" s="1"/>
  <c r="M3219" i="14"/>
  <c r="J3214" i="14" a="1"/>
  <c r="J3214" i="14" s="1"/>
  <c r="N3215" i="14"/>
  <c r="M3218" i="13"/>
  <c r="J3215" i="13" a="1"/>
  <c r="J3215" i="13" s="1"/>
  <c r="N3216" i="13"/>
  <c r="K3052" i="14" l="1"/>
  <c r="L3052" i="14" s="1"/>
  <c r="I3053" i="14" s="1"/>
  <c r="K3030" i="13"/>
  <c r="L3030" i="13" s="1"/>
  <c r="I3031" i="13" s="1"/>
  <c r="J3216" i="13" a="1"/>
  <c r="J3216" i="13" s="1"/>
  <c r="N3217" i="13"/>
  <c r="N3216" i="14"/>
  <c r="J3215" i="14" a="1"/>
  <c r="J3215" i="14" s="1"/>
  <c r="M3219" i="13"/>
  <c r="M3220" i="14"/>
  <c r="K3031" i="13" l="1"/>
  <c r="L3031" i="13" s="1"/>
  <c r="I3032" i="13" s="1"/>
  <c r="K3053" i="14"/>
  <c r="L3053" i="14" s="1"/>
  <c r="I3054" i="14" s="1"/>
  <c r="J3216" i="14" a="1"/>
  <c r="J3216" i="14" s="1"/>
  <c r="N3217" i="14"/>
  <c r="J3217" i="13" a="1"/>
  <c r="J3217" i="13" s="1"/>
  <c r="N3218" i="13"/>
  <c r="M3221" i="14"/>
  <c r="M3220" i="13"/>
  <c r="K3054" i="14" l="1"/>
  <c r="L3054" i="14" s="1"/>
  <c r="I3055" i="14" s="1"/>
  <c r="K3032" i="13"/>
  <c r="L3032" i="13" s="1"/>
  <c r="I3033" i="13" s="1"/>
  <c r="N3219" i="13"/>
  <c r="J3218" i="13" a="1"/>
  <c r="J3218" i="13" s="1"/>
  <c r="N3218" i="14"/>
  <c r="J3217" i="14" a="1"/>
  <c r="J3217" i="14" s="1"/>
  <c r="M3221" i="13"/>
  <c r="M3222" i="14"/>
  <c r="K3033" i="13" l="1"/>
  <c r="L3033" i="13" s="1"/>
  <c r="I3034" i="13" s="1"/>
  <c r="K3055" i="14"/>
  <c r="L3055" i="14" s="1"/>
  <c r="I3056" i="14" s="1"/>
  <c r="M3223" i="14"/>
  <c r="J3218" i="14" a="1"/>
  <c r="J3218" i="14" s="1"/>
  <c r="N3219" i="14"/>
  <c r="M3222" i="13"/>
  <c r="J3219" i="13" a="1"/>
  <c r="J3219" i="13" s="1"/>
  <c r="N3220" i="13"/>
  <c r="K3056" i="14" l="1"/>
  <c r="L3056" i="14" s="1"/>
  <c r="I3057" i="14" s="1"/>
  <c r="K3034" i="13"/>
  <c r="L3034" i="13" s="1"/>
  <c r="I3035" i="13" s="1"/>
  <c r="J3220" i="13" a="1"/>
  <c r="J3220" i="13" s="1"/>
  <c r="N3221" i="13"/>
  <c r="N3220" i="14"/>
  <c r="J3219" i="14" a="1"/>
  <c r="J3219" i="14" s="1"/>
  <c r="M3223" i="13"/>
  <c r="M3224" i="14"/>
  <c r="K3035" i="13" l="1"/>
  <c r="L3035" i="13" s="1"/>
  <c r="I3036" i="13" s="1"/>
  <c r="K3057" i="14"/>
  <c r="L3057" i="14" s="1"/>
  <c r="I3058" i="14" s="1"/>
  <c r="N3221" i="14"/>
  <c r="J3220" i="14" a="1"/>
  <c r="J3220" i="14" s="1"/>
  <c r="M3225" i="14"/>
  <c r="J3221" i="13" a="1"/>
  <c r="J3221" i="13" s="1"/>
  <c r="N3222" i="13"/>
  <c r="M3224" i="13"/>
  <c r="K3058" i="14" l="1"/>
  <c r="L3058" i="14" s="1"/>
  <c r="I3059" i="14" s="1"/>
  <c r="K3036" i="13"/>
  <c r="L3036" i="13" s="1"/>
  <c r="I3037" i="13" s="1"/>
  <c r="N3223" i="13"/>
  <c r="J3222" i="13" a="1"/>
  <c r="J3222" i="13" s="1"/>
  <c r="M3225" i="13"/>
  <c r="M3226" i="14"/>
  <c r="N3222" i="14"/>
  <c r="J3221" i="14" a="1"/>
  <c r="J3221" i="14" s="1"/>
  <c r="K3037" i="13" l="1"/>
  <c r="L3037" i="13" s="1"/>
  <c r="I3038" i="13" s="1"/>
  <c r="K3059" i="14"/>
  <c r="L3059" i="14" s="1"/>
  <c r="I3060" i="14" s="1"/>
  <c r="M3226" i="13"/>
  <c r="J3222" i="14" a="1"/>
  <c r="J3222" i="14" s="1"/>
  <c r="N3223" i="14"/>
  <c r="M3227" i="14"/>
  <c r="J3223" i="13" a="1"/>
  <c r="J3223" i="13" s="1"/>
  <c r="N3224" i="13"/>
  <c r="K3060" i="14" l="1"/>
  <c r="L3060" i="14" s="1"/>
  <c r="I3061" i="14" s="1"/>
  <c r="K3038" i="13"/>
  <c r="L3038" i="13" s="1"/>
  <c r="I3039" i="13" s="1"/>
  <c r="J3224" i="13" a="1"/>
  <c r="J3224" i="13" s="1"/>
  <c r="N3225" i="13"/>
  <c r="N3224" i="14"/>
  <c r="J3223" i="14" a="1"/>
  <c r="J3223" i="14" s="1"/>
  <c r="M3228" i="14"/>
  <c r="M3227" i="13"/>
  <c r="K3039" i="13" l="1"/>
  <c r="L3039" i="13" s="1"/>
  <c r="I3040" i="13" s="1"/>
  <c r="K3061" i="14"/>
  <c r="L3061" i="14" s="1"/>
  <c r="I3062" i="14" s="1"/>
  <c r="N3225" i="14"/>
  <c r="J3224" i="14" a="1"/>
  <c r="J3224" i="14" s="1"/>
  <c r="M3229" i="14"/>
  <c r="J3225" i="13" a="1"/>
  <c r="J3225" i="13" s="1"/>
  <c r="N3226" i="13"/>
  <c r="M3228" i="13"/>
  <c r="K3062" i="14" l="1"/>
  <c r="L3062" i="14" s="1"/>
  <c r="I3063" i="14" s="1"/>
  <c r="K3040" i="13"/>
  <c r="L3040" i="13" s="1"/>
  <c r="I3041" i="13" s="1"/>
  <c r="N3227" i="13"/>
  <c r="J3226" i="13" a="1"/>
  <c r="J3226" i="13" s="1"/>
  <c r="M3229" i="13"/>
  <c r="M3230" i="14"/>
  <c r="N3226" i="14"/>
  <c r="J3225" i="14" a="1"/>
  <c r="J3225" i="14" s="1"/>
  <c r="K3041" i="13" l="1"/>
  <c r="L3041" i="13" s="1"/>
  <c r="I3042" i="13" s="1"/>
  <c r="K3063" i="14"/>
  <c r="L3063" i="14" s="1"/>
  <c r="I3064" i="14" s="1"/>
  <c r="J3226" i="14" a="1"/>
  <c r="J3226" i="14" s="1"/>
  <c r="N3227" i="14"/>
  <c r="M3231" i="14"/>
  <c r="M3230" i="13"/>
  <c r="J3227" i="13" a="1"/>
  <c r="J3227" i="13" s="1"/>
  <c r="N3228" i="13"/>
  <c r="K3064" i="14" l="1"/>
  <c r="L3064" i="14" s="1"/>
  <c r="I3065" i="14" s="1"/>
  <c r="K3042" i="13"/>
  <c r="L3042" i="13" s="1"/>
  <c r="I3043" i="13" s="1"/>
  <c r="J3228" i="13" a="1"/>
  <c r="J3228" i="13" s="1"/>
  <c r="N3229" i="13"/>
  <c r="M3232" i="14"/>
  <c r="N3228" i="14"/>
  <c r="J3227" i="14" a="1"/>
  <c r="J3227" i="14" s="1"/>
  <c r="M3231" i="13"/>
  <c r="K3065" i="14" l="1"/>
  <c r="L3065" i="14" s="1"/>
  <c r="I3066" i="14" s="1"/>
  <c r="K3043" i="13"/>
  <c r="L3043" i="13" s="1"/>
  <c r="I3044" i="13" s="1"/>
  <c r="M3233" i="14"/>
  <c r="M3232" i="13"/>
  <c r="J3229" i="13" a="1"/>
  <c r="J3229" i="13" s="1"/>
  <c r="N3230" i="13"/>
  <c r="N3229" i="14"/>
  <c r="J3228" i="14" a="1"/>
  <c r="J3228" i="14" s="1"/>
  <c r="K3044" i="13" l="1"/>
  <c r="L3044" i="13" s="1"/>
  <c r="I3045" i="13" s="1"/>
  <c r="K3066" i="14"/>
  <c r="L3066" i="14" s="1"/>
  <c r="I3067" i="14" s="1"/>
  <c r="N3230" i="14"/>
  <c r="J3229" i="14" a="1"/>
  <c r="J3229" i="14" s="1"/>
  <c r="M3233" i="13"/>
  <c r="N3231" i="13"/>
  <c r="J3230" i="13" a="1"/>
  <c r="J3230" i="13" s="1"/>
  <c r="M3234" i="14"/>
  <c r="K3067" i="14" l="1"/>
  <c r="L3067" i="14" s="1"/>
  <c r="I3068" i="14" s="1"/>
  <c r="K3045" i="13"/>
  <c r="L3045" i="13" s="1"/>
  <c r="I3046" i="13" s="1"/>
  <c r="M3235" i="14"/>
  <c r="M3234" i="13"/>
  <c r="J3231" i="13" a="1"/>
  <c r="J3231" i="13" s="1"/>
  <c r="N3232" i="13"/>
  <c r="J3230" i="14" a="1"/>
  <c r="J3230" i="14" s="1"/>
  <c r="N3231" i="14"/>
  <c r="K3046" i="13" l="1"/>
  <c r="L3046" i="13" s="1"/>
  <c r="I3047" i="13" s="1"/>
  <c r="K3068" i="14"/>
  <c r="L3068" i="14" s="1"/>
  <c r="I3069" i="14" s="1"/>
  <c r="N3232" i="14"/>
  <c r="J3231" i="14" a="1"/>
  <c r="J3231" i="14" s="1"/>
  <c r="M3235" i="13"/>
  <c r="J3232" i="13" a="1"/>
  <c r="J3232" i="13" s="1"/>
  <c r="N3233" i="13"/>
  <c r="M3236" i="14"/>
  <c r="K3069" i="14" l="1"/>
  <c r="L3069" i="14" s="1"/>
  <c r="I3070" i="14" s="1"/>
  <c r="K3047" i="13"/>
  <c r="L3047" i="13" s="1"/>
  <c r="I3048" i="13" s="1"/>
  <c r="J3233" i="13" a="1"/>
  <c r="J3233" i="13" s="1"/>
  <c r="N3234" i="13"/>
  <c r="M3237" i="14"/>
  <c r="M3236" i="13"/>
  <c r="N3233" i="14"/>
  <c r="J3232" i="14" a="1"/>
  <c r="J3232" i="14" s="1"/>
  <c r="K3048" i="13" l="1"/>
  <c r="L3048" i="13" s="1"/>
  <c r="I3049" i="13" s="1"/>
  <c r="K3070" i="14"/>
  <c r="L3070" i="14" s="1"/>
  <c r="I3071" i="14" s="1"/>
  <c r="N3234" i="14"/>
  <c r="J3233" i="14" a="1"/>
  <c r="J3233" i="14" s="1"/>
  <c r="M3238" i="14"/>
  <c r="N3235" i="13"/>
  <c r="J3234" i="13" a="1"/>
  <c r="J3234" i="13" s="1"/>
  <c r="M3237" i="13"/>
  <c r="K3071" i="14" l="1"/>
  <c r="L3071" i="14" s="1"/>
  <c r="I3072" i="14" s="1"/>
  <c r="K3049" i="13"/>
  <c r="L3049" i="13" s="1"/>
  <c r="I3050" i="13" s="1"/>
  <c r="J3235" i="13" a="1"/>
  <c r="J3235" i="13" s="1"/>
  <c r="N3236" i="13"/>
  <c r="M3238" i="13"/>
  <c r="M3239" i="14"/>
  <c r="J3234" i="14" a="1"/>
  <c r="J3234" i="14" s="1"/>
  <c r="N3235" i="14"/>
  <c r="K3050" i="13" l="1"/>
  <c r="L3050" i="13" s="1"/>
  <c r="I3051" i="13" s="1"/>
  <c r="K3072" i="14"/>
  <c r="L3072" i="14" s="1"/>
  <c r="I3073" i="14" s="1"/>
  <c r="N3236" i="14"/>
  <c r="J3235" i="14" a="1"/>
  <c r="J3235" i="14" s="1"/>
  <c r="M3239" i="13"/>
  <c r="J3236" i="13" a="1"/>
  <c r="J3236" i="13" s="1"/>
  <c r="N3237" i="13"/>
  <c r="M3240" i="14"/>
  <c r="K3073" i="14" l="1"/>
  <c r="L3073" i="14" s="1"/>
  <c r="I3074" i="14" s="1"/>
  <c r="K3051" i="13"/>
  <c r="L3051" i="13" s="1"/>
  <c r="I3052" i="13" s="1"/>
  <c r="M3241" i="14"/>
  <c r="M3240" i="13"/>
  <c r="J3237" i="13" a="1"/>
  <c r="J3237" i="13" s="1"/>
  <c r="N3238" i="13"/>
  <c r="N3237" i="14"/>
  <c r="J3236" i="14" a="1"/>
  <c r="J3236" i="14" s="1"/>
  <c r="K3052" i="13" l="1"/>
  <c r="L3052" i="13" s="1"/>
  <c r="I3053" i="13" s="1"/>
  <c r="K3074" i="14"/>
  <c r="L3074" i="14" s="1"/>
  <c r="I3075" i="14" s="1"/>
  <c r="N3238" i="14"/>
  <c r="J3237" i="14" a="1"/>
  <c r="J3237" i="14" s="1"/>
  <c r="M3241" i="13"/>
  <c r="N3239" i="13"/>
  <c r="J3238" i="13" a="1"/>
  <c r="J3238" i="13" s="1"/>
  <c r="M3242" i="14"/>
  <c r="K3075" i="14" l="1"/>
  <c r="L3075" i="14" s="1"/>
  <c r="I3076" i="14" s="1"/>
  <c r="K3053" i="13"/>
  <c r="L3053" i="13" s="1"/>
  <c r="I3054" i="13" s="1"/>
  <c r="M3243" i="14"/>
  <c r="J3239" i="13" a="1"/>
  <c r="J3239" i="13" s="1"/>
  <c r="N3240" i="13"/>
  <c r="M3242" i="13"/>
  <c r="J3238" i="14" a="1"/>
  <c r="J3238" i="14" s="1"/>
  <c r="N3239" i="14"/>
  <c r="K3054" i="13" l="1"/>
  <c r="L3054" i="13" s="1"/>
  <c r="I3055" i="13" s="1"/>
  <c r="K3076" i="14"/>
  <c r="L3076" i="14" s="1"/>
  <c r="I3077" i="14" s="1"/>
  <c r="N3240" i="14"/>
  <c r="J3239" i="14" a="1"/>
  <c r="J3239" i="14" s="1"/>
  <c r="J3240" i="13" a="1"/>
  <c r="J3240" i="13" s="1"/>
  <c r="N3241" i="13"/>
  <c r="M3244" i="14"/>
  <c r="M3243" i="13"/>
  <c r="K3055" i="13" l="1"/>
  <c r="L3055" i="13" s="1"/>
  <c r="I3056" i="13" s="1"/>
  <c r="J3241" i="13" a="1"/>
  <c r="J3241" i="13" s="1"/>
  <c r="N3242" i="13"/>
  <c r="K3077" i="14"/>
  <c r="L3077" i="14" s="1"/>
  <c r="I3078" i="14" s="1"/>
  <c r="M3244" i="13"/>
  <c r="M3245" i="14"/>
  <c r="N3241" i="14"/>
  <c r="J3240" i="14" a="1"/>
  <c r="J3240" i="14" s="1"/>
  <c r="K3078" i="14" l="1"/>
  <c r="L3078" i="14" s="1"/>
  <c r="I3079" i="14" s="1"/>
  <c r="K3056" i="13"/>
  <c r="L3056" i="13" s="1"/>
  <c r="I3057" i="13" s="1"/>
  <c r="N3243" i="13"/>
  <c r="J3242" i="13" a="1"/>
  <c r="J3242" i="13" s="1"/>
  <c r="M3245" i="13"/>
  <c r="N3242" i="14"/>
  <c r="J3241" i="14" a="1"/>
  <c r="J3241" i="14" s="1"/>
  <c r="M3246" i="14"/>
  <c r="K3057" i="13" l="1"/>
  <c r="L3057" i="13" s="1"/>
  <c r="I3058" i="13" s="1"/>
  <c r="K3079" i="14"/>
  <c r="L3079" i="14" s="1"/>
  <c r="I3080" i="14" s="1"/>
  <c r="M3246" i="13"/>
  <c r="M3247" i="14"/>
  <c r="J3242" i="14" a="1"/>
  <c r="J3242" i="14" s="1"/>
  <c r="N3243" i="14"/>
  <c r="J3243" i="13" a="1"/>
  <c r="J3243" i="13" s="1"/>
  <c r="N3244" i="13"/>
  <c r="K3080" i="14" l="1"/>
  <c r="L3080" i="14" s="1"/>
  <c r="I3081" i="14" s="1"/>
  <c r="K3058" i="13"/>
  <c r="L3058" i="13" s="1"/>
  <c r="I3059" i="13" s="1"/>
  <c r="J3244" i="13" a="1"/>
  <c r="J3244" i="13" s="1"/>
  <c r="N3245" i="13"/>
  <c r="M3248" i="14"/>
  <c r="N3244" i="14"/>
  <c r="J3243" i="14" a="1"/>
  <c r="J3243" i="14" s="1"/>
  <c r="M3247" i="13"/>
  <c r="K3059" i="13" l="1"/>
  <c r="L3059" i="13" s="1"/>
  <c r="I3060" i="13" s="1"/>
  <c r="K3081" i="14"/>
  <c r="L3081" i="14" s="1"/>
  <c r="I3082" i="14" s="1"/>
  <c r="M3249" i="14"/>
  <c r="M3248" i="13"/>
  <c r="J3245" i="13" a="1"/>
  <c r="J3245" i="13" s="1"/>
  <c r="N3246" i="13"/>
  <c r="N3245" i="14"/>
  <c r="J3244" i="14" a="1"/>
  <c r="J3244" i="14" s="1"/>
  <c r="K3060" i="13" l="1"/>
  <c r="L3060" i="13" s="1"/>
  <c r="I3061" i="13" s="1"/>
  <c r="K3082" i="14"/>
  <c r="L3082" i="14" s="1"/>
  <c r="I3083" i="14" s="1"/>
  <c r="N3246" i="14"/>
  <c r="J3245" i="14" a="1"/>
  <c r="J3245" i="14" s="1"/>
  <c r="N3247" i="13"/>
  <c r="J3246" i="13" a="1"/>
  <c r="J3246" i="13" s="1"/>
  <c r="M3249" i="13"/>
  <c r="M3250" i="14"/>
  <c r="K3083" i="14" l="1"/>
  <c r="L3083" i="14" s="1"/>
  <c r="I3084" i="14" s="1"/>
  <c r="K3061" i="13"/>
  <c r="L3061" i="13" s="1"/>
  <c r="I3062" i="13" s="1"/>
  <c r="J3247" i="13" a="1"/>
  <c r="J3247" i="13" s="1"/>
  <c r="N3248" i="13"/>
  <c r="M3251" i="14"/>
  <c r="M3250" i="13"/>
  <c r="J3246" i="14" a="1"/>
  <c r="J3246" i="14" s="1"/>
  <c r="N3247" i="14"/>
  <c r="K3062" i="13" l="1"/>
  <c r="L3062" i="13" s="1"/>
  <c r="I3063" i="13" s="1"/>
  <c r="K3084" i="14"/>
  <c r="L3084" i="14" s="1"/>
  <c r="I3085" i="14" s="1"/>
  <c r="N3248" i="14"/>
  <c r="J3247" i="14" a="1"/>
  <c r="J3247" i="14" s="1"/>
  <c r="M3252" i="14"/>
  <c r="J3248" i="13" a="1"/>
  <c r="J3248" i="13" s="1"/>
  <c r="N3249" i="13"/>
  <c r="M3251" i="13"/>
  <c r="K3063" i="13" l="1"/>
  <c r="L3063" i="13" s="1"/>
  <c r="I3064" i="13" s="1"/>
  <c r="K3085" i="14"/>
  <c r="L3085" i="14" s="1"/>
  <c r="I3086" i="14" s="1"/>
  <c r="J3249" i="13" a="1"/>
  <c r="J3249" i="13" s="1"/>
  <c r="N3250" i="13"/>
  <c r="M3253" i="14"/>
  <c r="M3252" i="13"/>
  <c r="N3249" i="14"/>
  <c r="J3248" i="14" a="1"/>
  <c r="J3248" i="14" s="1"/>
  <c r="K3064" i="13" l="1"/>
  <c r="L3064" i="13" s="1"/>
  <c r="I3065" i="13" s="1"/>
  <c r="K3086" i="14"/>
  <c r="L3086" i="14" s="1"/>
  <c r="I3087" i="14" s="1"/>
  <c r="N3250" i="14"/>
  <c r="J3249" i="14" a="1"/>
  <c r="J3249" i="14" s="1"/>
  <c r="M3254" i="14"/>
  <c r="N3251" i="13"/>
  <c r="J3250" i="13" a="1"/>
  <c r="J3250" i="13" s="1"/>
  <c r="M3253" i="13"/>
  <c r="K3087" i="14" l="1"/>
  <c r="L3087" i="14" s="1"/>
  <c r="I3088" i="14" s="1"/>
  <c r="K3065" i="13"/>
  <c r="L3065" i="13" s="1"/>
  <c r="I3066" i="13" s="1"/>
  <c r="M3254" i="13"/>
  <c r="M3255" i="14"/>
  <c r="J3251" i="13" a="1"/>
  <c r="J3251" i="13" s="1"/>
  <c r="N3252" i="13"/>
  <c r="J3250" i="14" a="1"/>
  <c r="J3250" i="14" s="1"/>
  <c r="N3251" i="14"/>
  <c r="K3066" i="13" l="1"/>
  <c r="L3066" i="13" s="1"/>
  <c r="I3067" i="13" s="1"/>
  <c r="K3088" i="14"/>
  <c r="L3088" i="14" s="1"/>
  <c r="I3089" i="14" s="1"/>
  <c r="N3252" i="14"/>
  <c r="J3251" i="14" a="1"/>
  <c r="J3251" i="14" s="1"/>
  <c r="M3256" i="14"/>
  <c r="J3252" i="13" a="1"/>
  <c r="J3252" i="13" s="1"/>
  <c r="N3253" i="13"/>
  <c r="M3255" i="13"/>
  <c r="K3089" i="14" l="1"/>
  <c r="L3089" i="14" s="1"/>
  <c r="I3090" i="14" s="1"/>
  <c r="K3067" i="13"/>
  <c r="L3067" i="13" s="1"/>
  <c r="I3068" i="13" s="1"/>
  <c r="J3253" i="13" a="1"/>
  <c r="J3253" i="13" s="1"/>
  <c r="N3254" i="13"/>
  <c r="M3257" i="14"/>
  <c r="M3256" i="13"/>
  <c r="N3253" i="14"/>
  <c r="J3252" i="14" a="1"/>
  <c r="J3252" i="14" s="1"/>
  <c r="K3068" i="13" l="1"/>
  <c r="L3068" i="13" s="1"/>
  <c r="I3069" i="13" s="1"/>
  <c r="K3090" i="14"/>
  <c r="L3090" i="14" s="1"/>
  <c r="I3091" i="14" s="1"/>
  <c r="N3254" i="14"/>
  <c r="J3253" i="14" a="1"/>
  <c r="J3253" i="14" s="1"/>
  <c r="M3258" i="14"/>
  <c r="N3255" i="13"/>
  <c r="J3254" i="13" a="1"/>
  <c r="J3254" i="13" s="1"/>
  <c r="M3257" i="13"/>
  <c r="K3091" i="14" l="1"/>
  <c r="L3091" i="14" s="1"/>
  <c r="I3092" i="14" s="1"/>
  <c r="K3069" i="13"/>
  <c r="L3069" i="13" s="1"/>
  <c r="I3070" i="13" s="1"/>
  <c r="J3255" i="13" a="1"/>
  <c r="J3255" i="13" s="1"/>
  <c r="N3256" i="13"/>
  <c r="M3258" i="13"/>
  <c r="M3259" i="14"/>
  <c r="J3254" i="14" a="1"/>
  <c r="J3254" i="14" s="1"/>
  <c r="N3255" i="14"/>
  <c r="K3070" i="13" l="1"/>
  <c r="L3070" i="13" s="1"/>
  <c r="I3071" i="13" s="1"/>
  <c r="K3092" i="14"/>
  <c r="L3092" i="14" s="1"/>
  <c r="I3093" i="14" s="1"/>
  <c r="N3256" i="14"/>
  <c r="J3255" i="14" a="1"/>
  <c r="J3255" i="14" s="1"/>
  <c r="M3260" i="14"/>
  <c r="M3259" i="13"/>
  <c r="J3256" i="13" a="1"/>
  <c r="J3256" i="13" s="1"/>
  <c r="N3257" i="13"/>
  <c r="K3093" i="14" l="1"/>
  <c r="L3093" i="14" s="1"/>
  <c r="I3094" i="14" s="1"/>
  <c r="K3071" i="13"/>
  <c r="L3071" i="13" s="1"/>
  <c r="I3072" i="13" s="1"/>
  <c r="J3257" i="13" a="1"/>
  <c r="J3257" i="13" s="1"/>
  <c r="N3258" i="13"/>
  <c r="M3261" i="14"/>
  <c r="M3260" i="13"/>
  <c r="N3257" i="14"/>
  <c r="J3256" i="14" a="1"/>
  <c r="J3256" i="14" s="1"/>
  <c r="K3072" i="13" l="1"/>
  <c r="L3072" i="13" s="1"/>
  <c r="I3073" i="13" s="1"/>
  <c r="K3094" i="14"/>
  <c r="L3094" i="14" s="1"/>
  <c r="I3095" i="14" s="1"/>
  <c r="N3258" i="14"/>
  <c r="J3257" i="14" a="1"/>
  <c r="J3257" i="14" s="1"/>
  <c r="M3262" i="14"/>
  <c r="N3259" i="13"/>
  <c r="J3258" i="13" a="1"/>
  <c r="J3258" i="13" s="1"/>
  <c r="M3261" i="13"/>
  <c r="K3095" i="14" l="1"/>
  <c r="L3095" i="14" s="1"/>
  <c r="I3096" i="14" s="1"/>
  <c r="K3073" i="13"/>
  <c r="L3073" i="13" s="1"/>
  <c r="I3074" i="13" s="1"/>
  <c r="M3262" i="13"/>
  <c r="M3263" i="14"/>
  <c r="J3259" i="13" a="1"/>
  <c r="J3259" i="13" s="1"/>
  <c r="N3260" i="13"/>
  <c r="J3258" i="14" a="1"/>
  <c r="J3258" i="14" s="1"/>
  <c r="N3259" i="14"/>
  <c r="K3074" i="13" l="1"/>
  <c r="L3074" i="13" s="1"/>
  <c r="I3075" i="13" s="1"/>
  <c r="K3096" i="14"/>
  <c r="L3096" i="14" s="1"/>
  <c r="I3097" i="14" s="1"/>
  <c r="N3260" i="14"/>
  <c r="J3259" i="14" a="1"/>
  <c r="J3259" i="14" s="1"/>
  <c r="M3264" i="14"/>
  <c r="J3260" i="13" a="1"/>
  <c r="J3260" i="13" s="1"/>
  <c r="N3261" i="13"/>
  <c r="M3263" i="13"/>
  <c r="K3097" i="14" l="1"/>
  <c r="L3097" i="14" s="1"/>
  <c r="I3098" i="14" s="1"/>
  <c r="K3075" i="13"/>
  <c r="L3075" i="13" s="1"/>
  <c r="I3076" i="13" s="1"/>
  <c r="M3265" i="14"/>
  <c r="M3264" i="13"/>
  <c r="J3261" i="13" a="1"/>
  <c r="J3261" i="13" s="1"/>
  <c r="N3262" i="13"/>
  <c r="N3261" i="14"/>
  <c r="J3260" i="14" a="1"/>
  <c r="J3260" i="14" s="1"/>
  <c r="K3076" i="13" l="1"/>
  <c r="L3076" i="13" s="1"/>
  <c r="I3077" i="13" s="1"/>
  <c r="K3098" i="14"/>
  <c r="L3098" i="14" s="1"/>
  <c r="I3099" i="14" s="1"/>
  <c r="N3262" i="14"/>
  <c r="J3261" i="14" a="1"/>
  <c r="J3261" i="14" s="1"/>
  <c r="M3265" i="13"/>
  <c r="N3263" i="13"/>
  <c r="J3262" i="13" a="1"/>
  <c r="J3262" i="13" s="1"/>
  <c r="M3266" i="14"/>
  <c r="K3099" i="14" l="1"/>
  <c r="L3099" i="14" s="1"/>
  <c r="I3100" i="14" s="1"/>
  <c r="K3077" i="13"/>
  <c r="L3077" i="13" s="1"/>
  <c r="I3078" i="13" s="1"/>
  <c r="M3266" i="13"/>
  <c r="M3267" i="14"/>
  <c r="J3263" i="13" a="1"/>
  <c r="J3263" i="13" s="1"/>
  <c r="N3264" i="13"/>
  <c r="J3262" i="14" a="1"/>
  <c r="J3262" i="14" s="1"/>
  <c r="N3263" i="14"/>
  <c r="K3078" i="13" l="1"/>
  <c r="L3078" i="13" s="1"/>
  <c r="I3079" i="13" s="1"/>
  <c r="K3100" i="14"/>
  <c r="L3100" i="14" s="1"/>
  <c r="I3101" i="14" s="1"/>
  <c r="N3264" i="14"/>
  <c r="J3263" i="14" a="1"/>
  <c r="J3263" i="14" s="1"/>
  <c r="M3268" i="14"/>
  <c r="J3264" i="13" a="1"/>
  <c r="J3264" i="13" s="1"/>
  <c r="N3265" i="13"/>
  <c r="M3267" i="13"/>
  <c r="K3079" i="13" l="1"/>
  <c r="L3079" i="13" s="1"/>
  <c r="I3080" i="13" s="1"/>
  <c r="M3268" i="13"/>
  <c r="M3269" i="14"/>
  <c r="K3101" i="14"/>
  <c r="L3101" i="14" s="1"/>
  <c r="I3102" i="14" s="1"/>
  <c r="J3265" i="13" a="1"/>
  <c r="J3265" i="13" s="1"/>
  <c r="N3266" i="13"/>
  <c r="N3265" i="14"/>
  <c r="J3264" i="14" a="1"/>
  <c r="J3264" i="14" s="1"/>
  <c r="K3102" i="14" l="1"/>
  <c r="L3102" i="14" s="1"/>
  <c r="I3103" i="14" s="1"/>
  <c r="K3080" i="13"/>
  <c r="L3080" i="13" s="1"/>
  <c r="I3081" i="13" s="1"/>
  <c r="M3269" i="13"/>
  <c r="N3267" i="13"/>
  <c r="J3266" i="13" a="1"/>
  <c r="J3266" i="13" s="1"/>
  <c r="N3266" i="14"/>
  <c r="J3265" i="14" a="1"/>
  <c r="J3265" i="14" s="1"/>
  <c r="M3270" i="14"/>
  <c r="K3081" i="13" l="1"/>
  <c r="L3081" i="13" s="1"/>
  <c r="I3082" i="13" s="1"/>
  <c r="K3103" i="14"/>
  <c r="L3103" i="14" s="1"/>
  <c r="I3104" i="14" s="1"/>
  <c r="J3267" i="13" a="1"/>
  <c r="J3267" i="13" s="1"/>
  <c r="N3268" i="13"/>
  <c r="M3270" i="13"/>
  <c r="M3271" i="14"/>
  <c r="J3266" i="14" a="1"/>
  <c r="J3266" i="14" s="1"/>
  <c r="N3267" i="14"/>
  <c r="K3104" i="14" l="1"/>
  <c r="L3104" i="14" s="1"/>
  <c r="I3105" i="14" s="1"/>
  <c r="K3082" i="13"/>
  <c r="L3082" i="13" s="1"/>
  <c r="I3083" i="13" s="1"/>
  <c r="N3268" i="14"/>
  <c r="J3267" i="14" a="1"/>
  <c r="J3267" i="14" s="1"/>
  <c r="M3271" i="13"/>
  <c r="M3272" i="14"/>
  <c r="J3268" i="13" a="1"/>
  <c r="J3268" i="13" s="1"/>
  <c r="N3269" i="13"/>
  <c r="K3083" i="13" l="1"/>
  <c r="L3083" i="13" s="1"/>
  <c r="I3084" i="13" s="1"/>
  <c r="K3105" i="14"/>
  <c r="L3105" i="14" s="1"/>
  <c r="I3106" i="14" s="1"/>
  <c r="J3269" i="13" a="1"/>
  <c r="J3269" i="13" s="1"/>
  <c r="N3270" i="13"/>
  <c r="M3272" i="13"/>
  <c r="M3273" i="14"/>
  <c r="N3269" i="14"/>
  <c r="J3268" i="14" a="1"/>
  <c r="J3268" i="14" s="1"/>
  <c r="K3106" i="14" l="1"/>
  <c r="L3106" i="14" s="1"/>
  <c r="I3107" i="14" s="1"/>
  <c r="K3084" i="13"/>
  <c r="L3084" i="13" s="1"/>
  <c r="I3085" i="13" s="1"/>
  <c r="N3270" i="14"/>
  <c r="J3269" i="14" a="1"/>
  <c r="J3269" i="14" s="1"/>
  <c r="M3273" i="13"/>
  <c r="N3271" i="13"/>
  <c r="J3270" i="13" a="1"/>
  <c r="J3270" i="13" s="1"/>
  <c r="M3274" i="14"/>
  <c r="K3085" i="13" l="1"/>
  <c r="L3085" i="13" s="1"/>
  <c r="I3086" i="13" s="1"/>
  <c r="K3107" i="14"/>
  <c r="L3107" i="14" s="1"/>
  <c r="I3108" i="14" s="1"/>
  <c r="M3275" i="14"/>
  <c r="M3274" i="13"/>
  <c r="J3271" i="13" a="1"/>
  <c r="J3271" i="13" s="1"/>
  <c r="N3272" i="13"/>
  <c r="J3270" i="14" a="1"/>
  <c r="J3270" i="14" s="1"/>
  <c r="N3271" i="14"/>
  <c r="K3108" i="14" l="1"/>
  <c r="L3108" i="14" s="1"/>
  <c r="I3109" i="14" s="1"/>
  <c r="K3086" i="13"/>
  <c r="L3086" i="13" s="1"/>
  <c r="I3087" i="13" s="1"/>
  <c r="N3272" i="14"/>
  <c r="J3271" i="14" a="1"/>
  <c r="J3271" i="14" s="1"/>
  <c r="M3275" i="13"/>
  <c r="J3272" i="13" a="1"/>
  <c r="J3272" i="13" s="1"/>
  <c r="N3273" i="13"/>
  <c r="M3276" i="14"/>
  <c r="K3087" i="13" l="1"/>
  <c r="L3087" i="13" s="1"/>
  <c r="I3088" i="13" s="1"/>
  <c r="K3109" i="14"/>
  <c r="L3109" i="14" s="1"/>
  <c r="I3110" i="14" s="1"/>
  <c r="M3277" i="14"/>
  <c r="J3273" i="13" a="1"/>
  <c r="J3273" i="13" s="1"/>
  <c r="N3274" i="13"/>
  <c r="M3276" i="13"/>
  <c r="N3273" i="14"/>
  <c r="J3272" i="14" a="1"/>
  <c r="J3272" i="14" s="1"/>
  <c r="K3110" i="14" l="1"/>
  <c r="L3110" i="14" s="1"/>
  <c r="I3111" i="14" s="1"/>
  <c r="K3088" i="13"/>
  <c r="L3088" i="13" s="1"/>
  <c r="I3089" i="13" s="1"/>
  <c r="N3275" i="13"/>
  <c r="J3274" i="13" a="1"/>
  <c r="J3274" i="13" s="1"/>
  <c r="N3274" i="14"/>
  <c r="J3273" i="14" a="1"/>
  <c r="J3273" i="14" s="1"/>
  <c r="M3277" i="13"/>
  <c r="M3278" i="14"/>
  <c r="K3089" i="13" l="1"/>
  <c r="L3089" i="13" s="1"/>
  <c r="I3090" i="13" s="1"/>
  <c r="K3111" i="14"/>
  <c r="L3111" i="14" s="1"/>
  <c r="I3112" i="14" s="1"/>
  <c r="J3274" i="14" a="1"/>
  <c r="J3274" i="14" s="1"/>
  <c r="N3275" i="14"/>
  <c r="M3279" i="14"/>
  <c r="M3278" i="13"/>
  <c r="J3275" i="13" a="1"/>
  <c r="J3275" i="13" s="1"/>
  <c r="N3276" i="13"/>
  <c r="K3112" i="14" l="1"/>
  <c r="L3112" i="14" s="1"/>
  <c r="I3113" i="14" s="1"/>
  <c r="K3090" i="13"/>
  <c r="L3090" i="13" s="1"/>
  <c r="I3091" i="13" s="1"/>
  <c r="J3276" i="13" a="1"/>
  <c r="J3276" i="13" s="1"/>
  <c r="N3277" i="13"/>
  <c r="M3280" i="14"/>
  <c r="N3276" i="14"/>
  <c r="J3275" i="14" a="1"/>
  <c r="J3275" i="14" s="1"/>
  <c r="M3279" i="13"/>
  <c r="K3091" i="13" l="1"/>
  <c r="L3091" i="13" s="1"/>
  <c r="I3092" i="13" s="1"/>
  <c r="K3113" i="14"/>
  <c r="L3113" i="14" s="1"/>
  <c r="I3114" i="14" s="1"/>
  <c r="M3281" i="14"/>
  <c r="N3277" i="14"/>
  <c r="J3276" i="14" a="1"/>
  <c r="J3276" i="14" s="1"/>
  <c r="M3280" i="13"/>
  <c r="J3277" i="13" a="1"/>
  <c r="J3277" i="13" s="1"/>
  <c r="N3278" i="13"/>
  <c r="K3114" i="14" l="1"/>
  <c r="L3114" i="14" s="1"/>
  <c r="I3115" i="14" s="1"/>
  <c r="K3092" i="13"/>
  <c r="L3092" i="13" s="1"/>
  <c r="I3093" i="13" s="1"/>
  <c r="N3279" i="13"/>
  <c r="J3278" i="13" a="1"/>
  <c r="J3278" i="13" s="1"/>
  <c r="N3278" i="14"/>
  <c r="J3277" i="14" a="1"/>
  <c r="J3277" i="14" s="1"/>
  <c r="M3281" i="13"/>
  <c r="M3282" i="14"/>
  <c r="K3093" i="13" l="1"/>
  <c r="L3093" i="13" s="1"/>
  <c r="I3094" i="13" s="1"/>
  <c r="K3115" i="14"/>
  <c r="L3115" i="14" s="1"/>
  <c r="I3116" i="14" s="1"/>
  <c r="M3283" i="14"/>
  <c r="J3278" i="14" a="1"/>
  <c r="J3278" i="14" s="1"/>
  <c r="N3279" i="14"/>
  <c r="M3282" i="13"/>
  <c r="J3279" i="13" a="1"/>
  <c r="J3279" i="13" s="1"/>
  <c r="N3280" i="13"/>
  <c r="K3116" i="14" l="1"/>
  <c r="L3116" i="14" s="1"/>
  <c r="I3117" i="14" s="1"/>
  <c r="K3094" i="13"/>
  <c r="L3094" i="13" s="1"/>
  <c r="I3095" i="13" s="1"/>
  <c r="N3280" i="14"/>
  <c r="J3279" i="14" a="1"/>
  <c r="J3279" i="14" s="1"/>
  <c r="J3280" i="13" a="1"/>
  <c r="J3280" i="13" s="1"/>
  <c r="N3281" i="13"/>
  <c r="M3283" i="13"/>
  <c r="M3284" i="14"/>
  <c r="K3095" i="13" l="1"/>
  <c r="L3095" i="13" s="1"/>
  <c r="I3096" i="13" s="1"/>
  <c r="K3117" i="14"/>
  <c r="L3117" i="14" s="1"/>
  <c r="I3118" i="14" s="1"/>
  <c r="M3285" i="14"/>
  <c r="J3281" i="13" a="1"/>
  <c r="J3281" i="13" s="1"/>
  <c r="N3282" i="13"/>
  <c r="M3284" i="13"/>
  <c r="J3280" i="14" a="1"/>
  <c r="J3280" i="14" s="1"/>
  <c r="N3281" i="14"/>
  <c r="K3118" i="14" l="1"/>
  <c r="L3118" i="14" s="1"/>
  <c r="I3119" i="14" s="1"/>
  <c r="K3096" i="13"/>
  <c r="L3096" i="13" s="1"/>
  <c r="I3097" i="13" s="1"/>
  <c r="N3283" i="13"/>
  <c r="J3282" i="13" a="1"/>
  <c r="J3282" i="13" s="1"/>
  <c r="N3282" i="14"/>
  <c r="J3281" i="14" a="1"/>
  <c r="J3281" i="14" s="1"/>
  <c r="M3285" i="13"/>
  <c r="M3286" i="14"/>
  <c r="K3097" i="13" l="1"/>
  <c r="L3097" i="13" s="1"/>
  <c r="I3098" i="13" s="1"/>
  <c r="K3119" i="14"/>
  <c r="L3119" i="14" s="1"/>
  <c r="I3120" i="14" s="1"/>
  <c r="J3282" i="14" a="1"/>
  <c r="J3282" i="14" s="1"/>
  <c r="N3283" i="14"/>
  <c r="M3287" i="14"/>
  <c r="M3286" i="13"/>
  <c r="J3283" i="13" a="1"/>
  <c r="J3283" i="13" s="1"/>
  <c r="N3284" i="13"/>
  <c r="K3120" i="14" l="1"/>
  <c r="L3120" i="14" s="1"/>
  <c r="I3121" i="14" s="1"/>
  <c r="K3098" i="13"/>
  <c r="L3098" i="13" s="1"/>
  <c r="I3099" i="13" s="1"/>
  <c r="J3284" i="13" a="1"/>
  <c r="J3284" i="13" s="1"/>
  <c r="N3285" i="13"/>
  <c r="M3288" i="14"/>
  <c r="N3284" i="14"/>
  <c r="J3283" i="14" a="1"/>
  <c r="J3283" i="14" s="1"/>
  <c r="M3287" i="13"/>
  <c r="K3121" i="14" l="1"/>
  <c r="L3121" i="14" s="1"/>
  <c r="I3122" i="14" s="1"/>
  <c r="M3289" i="14"/>
  <c r="M3288" i="13"/>
  <c r="K3099" i="13"/>
  <c r="L3099" i="13" s="1"/>
  <c r="I3100" i="13" s="1"/>
  <c r="J3285" i="13" a="1"/>
  <c r="J3285" i="13" s="1"/>
  <c r="N3286" i="13"/>
  <c r="N3285" i="14"/>
  <c r="J3284" i="14" a="1"/>
  <c r="J3284" i="14" s="1"/>
  <c r="K3122" i="14" l="1"/>
  <c r="L3122" i="14" s="1"/>
  <c r="I3123" i="14" s="1"/>
  <c r="N3286" i="14"/>
  <c r="J3285" i="14" a="1"/>
  <c r="J3285" i="14" s="1"/>
  <c r="M3290" i="14"/>
  <c r="N3287" i="13"/>
  <c r="J3286" i="13" a="1"/>
  <c r="J3286" i="13" s="1"/>
  <c r="K3100" i="13"/>
  <c r="L3100" i="13" s="1"/>
  <c r="I3101" i="13" s="1"/>
  <c r="M3289" i="13"/>
  <c r="K3101" i="13" l="1"/>
  <c r="L3101" i="13" s="1"/>
  <c r="I3102" i="13" s="1"/>
  <c r="K3123" i="14"/>
  <c r="L3123" i="14" s="1"/>
  <c r="I3124" i="14" s="1"/>
  <c r="J3287" i="13" a="1"/>
  <c r="J3287" i="13" s="1"/>
  <c r="N3288" i="13"/>
  <c r="J3286" i="14" a="1"/>
  <c r="J3286" i="14" s="1"/>
  <c r="N3287" i="14"/>
  <c r="M3290" i="13"/>
  <c r="M3291" i="14"/>
  <c r="K3124" i="14" l="1"/>
  <c r="L3124" i="14" s="1"/>
  <c r="I3125" i="14" s="1"/>
  <c r="K3102" i="13"/>
  <c r="L3102" i="13" s="1"/>
  <c r="I3103" i="13" s="1"/>
  <c r="N3288" i="14"/>
  <c r="J3287" i="14" a="1"/>
  <c r="J3287" i="14" s="1"/>
  <c r="M3292" i="14"/>
  <c r="J3288" i="13" a="1"/>
  <c r="J3288" i="13" s="1"/>
  <c r="N3289" i="13"/>
  <c r="M3291" i="13"/>
  <c r="K3103" i="13" l="1"/>
  <c r="L3103" i="13" s="1"/>
  <c r="I3104" i="13" s="1"/>
  <c r="K3125" i="14"/>
  <c r="L3125" i="14" s="1"/>
  <c r="I3126" i="14" s="1"/>
  <c r="J3289" i="13" a="1"/>
  <c r="J3289" i="13" s="1"/>
  <c r="N3290" i="13"/>
  <c r="M3293" i="14"/>
  <c r="M3292" i="13"/>
  <c r="N3289" i="14"/>
  <c r="J3288" i="14" a="1"/>
  <c r="J3288" i="14" s="1"/>
  <c r="K3126" i="14" l="1"/>
  <c r="L3126" i="14" s="1"/>
  <c r="I3127" i="14" s="1"/>
  <c r="K3104" i="13"/>
  <c r="L3104" i="13" s="1"/>
  <c r="I3105" i="13" s="1"/>
  <c r="N3290" i="14"/>
  <c r="J3289" i="14" a="1"/>
  <c r="J3289" i="14" s="1"/>
  <c r="M3294" i="14"/>
  <c r="N3291" i="13"/>
  <c r="J3290" i="13" a="1"/>
  <c r="J3290" i="13" s="1"/>
  <c r="M3293" i="13"/>
  <c r="K3105" i="13" l="1"/>
  <c r="L3105" i="13" s="1"/>
  <c r="I3106" i="13" s="1"/>
  <c r="K3127" i="14"/>
  <c r="L3127" i="14" s="1"/>
  <c r="I3128" i="14" s="1"/>
  <c r="M3294" i="13"/>
  <c r="M3295" i="14"/>
  <c r="J3291" i="13" a="1"/>
  <c r="J3291" i="13" s="1"/>
  <c r="N3292" i="13"/>
  <c r="J3290" i="14" a="1"/>
  <c r="J3290" i="14" s="1"/>
  <c r="N3291" i="14"/>
  <c r="K3128" i="14" l="1"/>
  <c r="L3128" i="14" s="1"/>
  <c r="I3129" i="14" s="1"/>
  <c r="K3106" i="13"/>
  <c r="L3106" i="13" s="1"/>
  <c r="I3107" i="13" s="1"/>
  <c r="N3292" i="14"/>
  <c r="J3291" i="14" a="1"/>
  <c r="J3291" i="14" s="1"/>
  <c r="M3296" i="14"/>
  <c r="J3292" i="13" a="1"/>
  <c r="J3292" i="13" s="1"/>
  <c r="N3293" i="13"/>
  <c r="M3295" i="13"/>
  <c r="K3107" i="13" l="1"/>
  <c r="L3107" i="13" s="1"/>
  <c r="I3108" i="13" s="1"/>
  <c r="M3297" i="14"/>
  <c r="N3293" i="14"/>
  <c r="J3292" i="14" a="1"/>
  <c r="J3292" i="14" s="1"/>
  <c r="M3296" i="13"/>
  <c r="J3293" i="13" a="1"/>
  <c r="J3293" i="13" s="1"/>
  <c r="N3294" i="13"/>
  <c r="K3129" i="14"/>
  <c r="L3129" i="14" s="1"/>
  <c r="I3130" i="14" s="1"/>
  <c r="K3130" i="14" l="1"/>
  <c r="L3130" i="14" s="1"/>
  <c r="I3131" i="14" s="1"/>
  <c r="K3108" i="13"/>
  <c r="L3108" i="13" s="1"/>
  <c r="I3109" i="13" s="1"/>
  <c r="N3295" i="13"/>
  <c r="J3294" i="13" a="1"/>
  <c r="J3294" i="13" s="1"/>
  <c r="M3297" i="13"/>
  <c r="M3298" i="14"/>
  <c r="N3294" i="14"/>
  <c r="J3293" i="14" a="1"/>
  <c r="J3293" i="14" s="1"/>
  <c r="K3109" i="13" l="1"/>
  <c r="L3109" i="13" s="1"/>
  <c r="I3110" i="13" s="1"/>
  <c r="K3131" i="14"/>
  <c r="L3131" i="14" s="1"/>
  <c r="I3132" i="14" s="1"/>
  <c r="M3298" i="13"/>
  <c r="J3294" i="14" a="1"/>
  <c r="J3294" i="14" s="1"/>
  <c r="N3295" i="14"/>
  <c r="M3299" i="14"/>
  <c r="J3295" i="13" a="1"/>
  <c r="J3295" i="13" s="1"/>
  <c r="N3296" i="13"/>
  <c r="K3132" i="14" l="1"/>
  <c r="L3132" i="14" s="1"/>
  <c r="I3133" i="14" s="1"/>
  <c r="K3110" i="13"/>
  <c r="L3110" i="13" s="1"/>
  <c r="I3111" i="13" s="1"/>
  <c r="J3296" i="13" a="1"/>
  <c r="J3296" i="13" s="1"/>
  <c r="N3297" i="13"/>
  <c r="N3296" i="14"/>
  <c r="J3295" i="14" a="1"/>
  <c r="J3295" i="14" s="1"/>
  <c r="M3300" i="14"/>
  <c r="M3299" i="13"/>
  <c r="K3111" i="13" l="1"/>
  <c r="L3111" i="13" s="1"/>
  <c r="I3112" i="13" s="1"/>
  <c r="K3133" i="14"/>
  <c r="L3133" i="14" s="1"/>
  <c r="I3134" i="14" s="1"/>
  <c r="N3297" i="14"/>
  <c r="J3296" i="14" a="1"/>
  <c r="J3296" i="14" s="1"/>
  <c r="J3297" i="13" a="1"/>
  <c r="J3297" i="13" s="1"/>
  <c r="N3298" i="13"/>
  <c r="M3300" i="13"/>
  <c r="M3301" i="14"/>
  <c r="K3134" i="14" l="1"/>
  <c r="L3134" i="14" s="1"/>
  <c r="I3135" i="14" s="1"/>
  <c r="K3112" i="13"/>
  <c r="L3112" i="13" s="1"/>
  <c r="I3113" i="13" s="1"/>
  <c r="N3299" i="13"/>
  <c r="J3298" i="13" a="1"/>
  <c r="J3298" i="13" s="1"/>
  <c r="M3302" i="14"/>
  <c r="M3301" i="13"/>
  <c r="N3298" i="14"/>
  <c r="J3297" i="14" a="1"/>
  <c r="J3297" i="14" s="1"/>
  <c r="K3113" i="13" l="1"/>
  <c r="L3113" i="13" s="1"/>
  <c r="I3114" i="13" s="1"/>
  <c r="K3135" i="14"/>
  <c r="L3135" i="14" s="1"/>
  <c r="I3136" i="14" s="1"/>
  <c r="J3298" i="14" a="1"/>
  <c r="J3298" i="14" s="1"/>
  <c r="N3299" i="14"/>
  <c r="M3303" i="14"/>
  <c r="M3302" i="13"/>
  <c r="J3299" i="13" a="1"/>
  <c r="J3299" i="13" s="1"/>
  <c r="N3300" i="13"/>
  <c r="K3136" i="14" l="1"/>
  <c r="L3136" i="14" s="1"/>
  <c r="I3137" i="14" s="1"/>
  <c r="K3114" i="13"/>
  <c r="L3114" i="13" s="1"/>
  <c r="I3115" i="13" s="1"/>
  <c r="J3300" i="13" a="1"/>
  <c r="J3300" i="13" s="1"/>
  <c r="N3301" i="13"/>
  <c r="M3304" i="14"/>
  <c r="N3300" i="14"/>
  <c r="J3299" i="14" a="1"/>
  <c r="J3299" i="14" s="1"/>
  <c r="M3303" i="13"/>
  <c r="K3115" i="13" l="1"/>
  <c r="L3115" i="13" s="1"/>
  <c r="I3116" i="13" s="1"/>
  <c r="K3137" i="14"/>
  <c r="L3137" i="14" s="1"/>
  <c r="I3138" i="14" s="1"/>
  <c r="M3305" i="14"/>
  <c r="N3301" i="14"/>
  <c r="J3300" i="14" a="1"/>
  <c r="J3300" i="14" s="1"/>
  <c r="M3304" i="13"/>
  <c r="J3301" i="13" a="1"/>
  <c r="J3301" i="13" s="1"/>
  <c r="N3302" i="13"/>
  <c r="K3138" i="14" l="1"/>
  <c r="L3138" i="14" s="1"/>
  <c r="I3139" i="14" s="1"/>
  <c r="K3116" i="13"/>
  <c r="L3116" i="13" s="1"/>
  <c r="I3117" i="13" s="1"/>
  <c r="N3303" i="13"/>
  <c r="J3302" i="13" a="1"/>
  <c r="J3302" i="13" s="1"/>
  <c r="N3302" i="14"/>
  <c r="J3301" i="14" a="1"/>
  <c r="J3301" i="14" s="1"/>
  <c r="M3305" i="13"/>
  <c r="M3306" i="14"/>
  <c r="K3139" i="14" l="1"/>
  <c r="L3139" i="14" s="1"/>
  <c r="I3140" i="14" s="1"/>
  <c r="J3302" i="14" a="1"/>
  <c r="J3302" i="14" s="1"/>
  <c r="N3303" i="14"/>
  <c r="K3117" i="13"/>
  <c r="L3117" i="13" s="1"/>
  <c r="I3118" i="13" s="1"/>
  <c r="M3307" i="14"/>
  <c r="M3306" i="13"/>
  <c r="J3303" i="13" a="1"/>
  <c r="J3303" i="13" s="1"/>
  <c r="N3304" i="13"/>
  <c r="K3118" i="13" l="1"/>
  <c r="L3118" i="13" s="1"/>
  <c r="I3119" i="13" s="1"/>
  <c r="K3140" i="14"/>
  <c r="L3140" i="14" s="1"/>
  <c r="I3141" i="14" s="1"/>
  <c r="M3308" i="14"/>
  <c r="N3304" i="14"/>
  <c r="J3303" i="14" a="1"/>
  <c r="J3303" i="14" s="1"/>
  <c r="J3304" i="13" a="1"/>
  <c r="J3304" i="13" s="1"/>
  <c r="N3305" i="13"/>
  <c r="M3307" i="13"/>
  <c r="K3141" i="14" l="1"/>
  <c r="L3141" i="14" s="1"/>
  <c r="I3142" i="14" s="1"/>
  <c r="K3119" i="13"/>
  <c r="L3119" i="13" s="1"/>
  <c r="I3120" i="13" s="1"/>
  <c r="N3305" i="14"/>
  <c r="J3304" i="14" a="1"/>
  <c r="J3304" i="14" s="1"/>
  <c r="M3308" i="13"/>
  <c r="J3305" i="13" a="1"/>
  <c r="J3305" i="13" s="1"/>
  <c r="N3306" i="13"/>
  <c r="M3309" i="14"/>
  <c r="K3120" i="13" l="1"/>
  <c r="L3120" i="13" s="1"/>
  <c r="I3121" i="13" s="1"/>
  <c r="K3142" i="14"/>
  <c r="L3142" i="14" s="1"/>
  <c r="I3143" i="14" s="1"/>
  <c r="N3307" i="13"/>
  <c r="J3306" i="13" a="1"/>
  <c r="J3306" i="13" s="1"/>
  <c r="M3310" i="14"/>
  <c r="M3309" i="13"/>
  <c r="N3306" i="14"/>
  <c r="J3305" i="14" a="1"/>
  <c r="J3305" i="14" s="1"/>
  <c r="K3143" i="14" l="1"/>
  <c r="L3143" i="14" s="1"/>
  <c r="I3144" i="14" s="1"/>
  <c r="K3121" i="13"/>
  <c r="L3121" i="13" s="1"/>
  <c r="I3122" i="13" s="1"/>
  <c r="J3306" i="14" a="1"/>
  <c r="J3306" i="14" s="1"/>
  <c r="N3307" i="14"/>
  <c r="M3311" i="14"/>
  <c r="M3310" i="13"/>
  <c r="J3307" i="13" a="1"/>
  <c r="J3307" i="13" s="1"/>
  <c r="N3308" i="13"/>
  <c r="K3122" i="13" l="1"/>
  <c r="L3122" i="13" s="1"/>
  <c r="I3123" i="13" s="1"/>
  <c r="K3144" i="14"/>
  <c r="L3144" i="14" s="1"/>
  <c r="I3145" i="14" s="1"/>
  <c r="M3312" i="14"/>
  <c r="N3308" i="14"/>
  <c r="J3307" i="14" a="1"/>
  <c r="J3307" i="14" s="1"/>
  <c r="J3308" i="13" a="1"/>
  <c r="J3308" i="13" s="1"/>
  <c r="N3309" i="13"/>
  <c r="M3311" i="13"/>
  <c r="K3145" i="14" l="1"/>
  <c r="L3145" i="14" s="1"/>
  <c r="I3146" i="14" s="1"/>
  <c r="K3123" i="13"/>
  <c r="L3123" i="13" s="1"/>
  <c r="I3124" i="13" s="1"/>
  <c r="M3312" i="13"/>
  <c r="N3309" i="14"/>
  <c r="J3308" i="14" a="1"/>
  <c r="J3308" i="14" s="1"/>
  <c r="J3309" i="13" a="1"/>
  <c r="J3309" i="13" s="1"/>
  <c r="N3310" i="13"/>
  <c r="M3313" i="14"/>
  <c r="K3124" i="13" l="1"/>
  <c r="L3124" i="13" s="1"/>
  <c r="I3125" i="13" s="1"/>
  <c r="K3146" i="14"/>
  <c r="L3146" i="14" s="1"/>
  <c r="I3147" i="14" s="1"/>
  <c r="N3310" i="14"/>
  <c r="J3309" i="14" a="1"/>
  <c r="J3309" i="14" s="1"/>
  <c r="N3311" i="13"/>
  <c r="J3310" i="13" a="1"/>
  <c r="J3310" i="13" s="1"/>
  <c r="M3314" i="14"/>
  <c r="M3313" i="13"/>
  <c r="K3147" i="14" l="1"/>
  <c r="L3147" i="14" s="1"/>
  <c r="I3148" i="14" s="1"/>
  <c r="J3310" i="14" a="1"/>
  <c r="J3310" i="14" s="1"/>
  <c r="N3311" i="14"/>
  <c r="M3314" i="13"/>
  <c r="K3125" i="13"/>
  <c r="L3125" i="13" s="1"/>
  <c r="I3126" i="13" s="1"/>
  <c r="J3311" i="13" a="1"/>
  <c r="J3311" i="13" s="1"/>
  <c r="N3312" i="13"/>
  <c r="M3315" i="14"/>
  <c r="K3126" i="13" l="1"/>
  <c r="L3126" i="13" s="1"/>
  <c r="I3127" i="13" s="1"/>
  <c r="K3148" i="14"/>
  <c r="L3148" i="14" s="1"/>
  <c r="I3149" i="14" s="1"/>
  <c r="N3312" i="14"/>
  <c r="J3311" i="14" a="1"/>
  <c r="J3311" i="14" s="1"/>
  <c r="M3316" i="14"/>
  <c r="J3312" i="13" a="1"/>
  <c r="J3312" i="13" s="1"/>
  <c r="N3313" i="13"/>
  <c r="M3315" i="13"/>
  <c r="K3149" i="14" l="1"/>
  <c r="L3149" i="14" s="1"/>
  <c r="I3150" i="14" s="1"/>
  <c r="K3127" i="13"/>
  <c r="L3127" i="13" s="1"/>
  <c r="I3128" i="13" s="1"/>
  <c r="M3317" i="14"/>
  <c r="J3313" i="13" a="1"/>
  <c r="J3313" i="13" s="1"/>
  <c r="N3314" i="13"/>
  <c r="M3316" i="13"/>
  <c r="N3313" i="14"/>
  <c r="J3312" i="14" a="1"/>
  <c r="J3312" i="14" s="1"/>
  <c r="K3128" i="13" l="1"/>
  <c r="L3128" i="13" s="1"/>
  <c r="I3129" i="13" s="1"/>
  <c r="K3150" i="14"/>
  <c r="L3150" i="14" s="1"/>
  <c r="I3151" i="14" s="1"/>
  <c r="N3315" i="13"/>
  <c r="J3314" i="13" a="1"/>
  <c r="J3314" i="13" s="1"/>
  <c r="N3314" i="14"/>
  <c r="J3313" i="14" a="1"/>
  <c r="J3313" i="14" s="1"/>
  <c r="M3317" i="13"/>
  <c r="M3318" i="14"/>
  <c r="K3151" i="14" l="1"/>
  <c r="L3151" i="14" s="1"/>
  <c r="I3152" i="14" s="1"/>
  <c r="K3129" i="13"/>
  <c r="L3129" i="13" s="1"/>
  <c r="I3130" i="13" s="1"/>
  <c r="J3314" i="14" a="1"/>
  <c r="J3314" i="14" s="1"/>
  <c r="N3315" i="14"/>
  <c r="M3319" i="14"/>
  <c r="M3318" i="13"/>
  <c r="J3315" i="13" a="1"/>
  <c r="J3315" i="13" s="1"/>
  <c r="N3316" i="13"/>
  <c r="K3130" i="13" l="1"/>
  <c r="L3130" i="13" s="1"/>
  <c r="I3131" i="13" s="1"/>
  <c r="K3152" i="14"/>
  <c r="L3152" i="14" s="1"/>
  <c r="I3153" i="14" s="1"/>
  <c r="J3316" i="13" a="1"/>
  <c r="J3316" i="13" s="1"/>
  <c r="N3317" i="13"/>
  <c r="M3320" i="14"/>
  <c r="N3316" i="14"/>
  <c r="J3315" i="14" a="1"/>
  <c r="J3315" i="14" s="1"/>
  <c r="M3319" i="13"/>
  <c r="K3153" i="14" l="1"/>
  <c r="L3153" i="14" s="1"/>
  <c r="I3154" i="14" s="1"/>
  <c r="K3131" i="13"/>
  <c r="L3131" i="13" s="1"/>
  <c r="I3132" i="13" s="1"/>
  <c r="M3321" i="14"/>
  <c r="N3317" i="14"/>
  <c r="J3316" i="14" a="1"/>
  <c r="J3316" i="14" s="1"/>
  <c r="M3320" i="13"/>
  <c r="J3317" i="13" a="1"/>
  <c r="J3317" i="13" s="1"/>
  <c r="N3318" i="13"/>
  <c r="K3132" i="13" l="1"/>
  <c r="L3132" i="13" s="1"/>
  <c r="I3133" i="13" s="1"/>
  <c r="K3154" i="14"/>
  <c r="L3154" i="14" s="1"/>
  <c r="I3155" i="14" s="1"/>
  <c r="N3319" i="13"/>
  <c r="J3318" i="13" a="1"/>
  <c r="J3318" i="13" s="1"/>
  <c r="N3318" i="14"/>
  <c r="J3317" i="14" a="1"/>
  <c r="J3317" i="14" s="1"/>
  <c r="M3321" i="13"/>
  <c r="M3322" i="14"/>
  <c r="K3155" i="14" l="1"/>
  <c r="L3155" i="14" s="1"/>
  <c r="I3156" i="14" s="1"/>
  <c r="K3133" i="13"/>
  <c r="L3133" i="13" s="1"/>
  <c r="I3134" i="13" s="1"/>
  <c r="J3318" i="14" a="1"/>
  <c r="J3318" i="14" s="1"/>
  <c r="N3319" i="14"/>
  <c r="M3323" i="14"/>
  <c r="M3322" i="13"/>
  <c r="J3319" i="13" a="1"/>
  <c r="J3319" i="13" s="1"/>
  <c r="N3320" i="13"/>
  <c r="K3134" i="13" l="1"/>
  <c r="L3134" i="13" s="1"/>
  <c r="I3135" i="13" s="1"/>
  <c r="K3156" i="14"/>
  <c r="L3156" i="14" s="1"/>
  <c r="I3157" i="14" s="1"/>
  <c r="J3320" i="13" a="1"/>
  <c r="J3320" i="13" s="1"/>
  <c r="N3321" i="13"/>
  <c r="M3324" i="14"/>
  <c r="M3323" i="13"/>
  <c r="N3320" i="14"/>
  <c r="J3319" i="14" a="1"/>
  <c r="J3319" i="14" s="1"/>
  <c r="K3157" i="14" l="1"/>
  <c r="L3157" i="14" s="1"/>
  <c r="I3158" i="14" s="1"/>
  <c r="K3135" i="13"/>
  <c r="L3135" i="13" s="1"/>
  <c r="I3136" i="13" s="1"/>
  <c r="M3325" i="14"/>
  <c r="N3321" i="14"/>
  <c r="J3320" i="14" a="1"/>
  <c r="J3320" i="14" s="1"/>
  <c r="J3321" i="13" a="1"/>
  <c r="J3321" i="13" s="1"/>
  <c r="N3322" i="13"/>
  <c r="M3324" i="13"/>
  <c r="K3136" i="13" l="1"/>
  <c r="L3136" i="13" s="1"/>
  <c r="I3137" i="13" s="1"/>
  <c r="K3158" i="14"/>
  <c r="L3158" i="14" s="1"/>
  <c r="I3159" i="14" s="1"/>
  <c r="N3322" i="14"/>
  <c r="J3321" i="14" a="1"/>
  <c r="J3321" i="14" s="1"/>
  <c r="M3325" i="13"/>
  <c r="N3323" i="13"/>
  <c r="J3322" i="13" a="1"/>
  <c r="J3322" i="13" s="1"/>
  <c r="M3326" i="14"/>
  <c r="K3159" i="14" l="1"/>
  <c r="L3159" i="14" s="1"/>
  <c r="I3160" i="14" s="1"/>
  <c r="K3137" i="13"/>
  <c r="L3137" i="13" s="1"/>
  <c r="I3138" i="13" s="1"/>
  <c r="M3326" i="13"/>
  <c r="M3327" i="14"/>
  <c r="J3323" i="13" a="1"/>
  <c r="J3323" i="13" s="1"/>
  <c r="N3324" i="13"/>
  <c r="J3322" i="14" a="1"/>
  <c r="J3322" i="14" s="1"/>
  <c r="N3323" i="14"/>
  <c r="K3138" i="13" l="1"/>
  <c r="L3138" i="13" s="1"/>
  <c r="I3139" i="13" s="1"/>
  <c r="K3160" i="14"/>
  <c r="L3160" i="14" s="1"/>
  <c r="I3161" i="14" s="1"/>
  <c r="N3324" i="14"/>
  <c r="J3323" i="14" a="1"/>
  <c r="J3323" i="14" s="1"/>
  <c r="M3328" i="14"/>
  <c r="J3324" i="13" a="1"/>
  <c r="J3324" i="13" s="1"/>
  <c r="N3325" i="13"/>
  <c r="M3327" i="13"/>
  <c r="K3161" i="14" l="1"/>
  <c r="L3161" i="14" s="1"/>
  <c r="I3162" i="14" s="1"/>
  <c r="K3139" i="13"/>
  <c r="L3139" i="13" s="1"/>
  <c r="I3140" i="13" s="1"/>
  <c r="J3325" i="13" a="1"/>
  <c r="J3325" i="13" s="1"/>
  <c r="N3326" i="13"/>
  <c r="M3329" i="14"/>
  <c r="M3328" i="13"/>
  <c r="N3325" i="14"/>
  <c r="J3324" i="14" a="1"/>
  <c r="J3324" i="14" s="1"/>
  <c r="K3140" i="13" l="1"/>
  <c r="L3140" i="13" s="1"/>
  <c r="I3141" i="13" s="1"/>
  <c r="K3162" i="14"/>
  <c r="L3162" i="14" s="1"/>
  <c r="I3163" i="14" s="1"/>
  <c r="N3326" i="14"/>
  <c r="J3325" i="14" a="1"/>
  <c r="J3325" i="14" s="1"/>
  <c r="M3330" i="14"/>
  <c r="N3327" i="13"/>
  <c r="J3326" i="13" a="1"/>
  <c r="J3326" i="13" s="1"/>
  <c r="M3329" i="13"/>
  <c r="K3163" i="14" l="1"/>
  <c r="L3163" i="14" s="1"/>
  <c r="I3164" i="14" s="1"/>
  <c r="K3141" i="13"/>
  <c r="L3141" i="13" s="1"/>
  <c r="I3142" i="13" s="1"/>
  <c r="M3330" i="13"/>
  <c r="M3331" i="14"/>
  <c r="J3327" i="13" a="1"/>
  <c r="J3327" i="13" s="1"/>
  <c r="N3328" i="13"/>
  <c r="J3326" i="14" a="1"/>
  <c r="J3326" i="14" s="1"/>
  <c r="N3327" i="14"/>
  <c r="K3142" i="13" l="1"/>
  <c r="L3142" i="13" s="1"/>
  <c r="I3143" i="13" s="1"/>
  <c r="K3164" i="14"/>
  <c r="L3164" i="14" s="1"/>
  <c r="I3165" i="14" s="1"/>
  <c r="N3328" i="14"/>
  <c r="J3327" i="14" a="1"/>
  <c r="J3327" i="14" s="1"/>
  <c r="M3332" i="14"/>
  <c r="J3328" i="13" a="1"/>
  <c r="J3328" i="13" s="1"/>
  <c r="N3329" i="13"/>
  <c r="M3331" i="13"/>
  <c r="K3165" i="14" l="1"/>
  <c r="L3165" i="14" s="1"/>
  <c r="I3166" i="14" s="1"/>
  <c r="K3143" i="13"/>
  <c r="L3143" i="13" s="1"/>
  <c r="I3144" i="13" s="1"/>
  <c r="J3329" i="13" a="1"/>
  <c r="J3329" i="13" s="1"/>
  <c r="N3330" i="13"/>
  <c r="M3333" i="14"/>
  <c r="M3332" i="13"/>
  <c r="N3329" i="14"/>
  <c r="J3328" i="14" a="1"/>
  <c r="J3328" i="14" s="1"/>
  <c r="K3144" i="13" l="1"/>
  <c r="L3144" i="13" s="1"/>
  <c r="I3145" i="13" s="1"/>
  <c r="K3166" i="14"/>
  <c r="L3166" i="14" s="1"/>
  <c r="I3167" i="14" s="1"/>
  <c r="N3330" i="14"/>
  <c r="J3329" i="14" a="1"/>
  <c r="J3329" i="14" s="1"/>
  <c r="M3334" i="14"/>
  <c r="N3331" i="13"/>
  <c r="J3330" i="13" a="1"/>
  <c r="J3330" i="13" s="1"/>
  <c r="M3333" i="13"/>
  <c r="K3167" i="14" l="1"/>
  <c r="L3167" i="14" s="1"/>
  <c r="I3168" i="14" s="1"/>
  <c r="K3145" i="13"/>
  <c r="L3145" i="13" s="1"/>
  <c r="I3146" i="13" s="1"/>
  <c r="M3334" i="13"/>
  <c r="J3331" i="13" a="1"/>
  <c r="J3331" i="13" s="1"/>
  <c r="N3332" i="13"/>
  <c r="M3335" i="14"/>
  <c r="J3330" i="14" a="1"/>
  <c r="J3330" i="14" s="1"/>
  <c r="N3331" i="14"/>
  <c r="K3146" i="13" l="1"/>
  <c r="L3146" i="13" s="1"/>
  <c r="I3147" i="13" s="1"/>
  <c r="K3168" i="14"/>
  <c r="L3168" i="14" s="1"/>
  <c r="I3169" i="14" s="1"/>
  <c r="J3332" i="13" a="1"/>
  <c r="J3332" i="13" s="1"/>
  <c r="N3333" i="13"/>
  <c r="N3332" i="14"/>
  <c r="J3331" i="14" a="1"/>
  <c r="J3331" i="14" s="1"/>
  <c r="M3336" i="14"/>
  <c r="M3335" i="13"/>
  <c r="K3169" i="14" l="1"/>
  <c r="L3169" i="14" s="1"/>
  <c r="I3170" i="14" s="1"/>
  <c r="K3147" i="13"/>
  <c r="L3147" i="13" s="1"/>
  <c r="I3148" i="13" s="1"/>
  <c r="N3333" i="14"/>
  <c r="J3332" i="14" a="1"/>
  <c r="J3332" i="14" s="1"/>
  <c r="M3337" i="14"/>
  <c r="J3333" i="13" a="1"/>
  <c r="J3333" i="13" s="1"/>
  <c r="N3334" i="13"/>
  <c r="M3336" i="13"/>
  <c r="K3148" i="13" l="1"/>
  <c r="L3148" i="13" s="1"/>
  <c r="I3149" i="13" s="1"/>
  <c r="K3170" i="14"/>
  <c r="L3170" i="14" s="1"/>
  <c r="I3171" i="14" s="1"/>
  <c r="N3335" i="13"/>
  <c r="J3334" i="13" a="1"/>
  <c r="J3334" i="13" s="1"/>
  <c r="M3337" i="13"/>
  <c r="M3338" i="14"/>
  <c r="N3334" i="14"/>
  <c r="J3333" i="14" a="1"/>
  <c r="J3333" i="14" s="1"/>
  <c r="K3171" i="14" l="1"/>
  <c r="L3171" i="14" s="1"/>
  <c r="I3172" i="14" s="1"/>
  <c r="K3149" i="13"/>
  <c r="L3149" i="13" s="1"/>
  <c r="I3150" i="13" s="1"/>
  <c r="M3338" i="13"/>
  <c r="J3334" i="14" a="1"/>
  <c r="J3334" i="14" s="1"/>
  <c r="N3335" i="14"/>
  <c r="M3339" i="14"/>
  <c r="J3335" i="13" a="1"/>
  <c r="J3335" i="13" s="1"/>
  <c r="N3336" i="13"/>
  <c r="K3150" i="13" l="1"/>
  <c r="L3150" i="13" s="1"/>
  <c r="I3151" i="13" s="1"/>
  <c r="K3172" i="14"/>
  <c r="L3172" i="14" s="1"/>
  <c r="I3173" i="14" s="1"/>
  <c r="J3336" i="13" a="1"/>
  <c r="J3336" i="13" s="1"/>
  <c r="N3337" i="13"/>
  <c r="N3336" i="14"/>
  <c r="J3335" i="14" a="1"/>
  <c r="J3335" i="14" s="1"/>
  <c r="M3340" i="14"/>
  <c r="M3339" i="13"/>
  <c r="K3173" i="14" l="1"/>
  <c r="L3173" i="14" s="1"/>
  <c r="I3174" i="14" s="1"/>
  <c r="K3151" i="13"/>
  <c r="L3151" i="13" s="1"/>
  <c r="I3152" i="13" s="1"/>
  <c r="N3337" i="14"/>
  <c r="J3336" i="14" a="1"/>
  <c r="J3336" i="14" s="1"/>
  <c r="J3337" i="13" a="1"/>
  <c r="J3337" i="13" s="1"/>
  <c r="N3338" i="13"/>
  <c r="M3340" i="13"/>
  <c r="M3341" i="14"/>
  <c r="K3152" i="13" l="1"/>
  <c r="L3152" i="13" s="1"/>
  <c r="I3153" i="13" s="1"/>
  <c r="K3174" i="14"/>
  <c r="L3174" i="14" s="1"/>
  <c r="I3175" i="14" s="1"/>
  <c r="N3339" i="13"/>
  <c r="J3338" i="13" a="1"/>
  <c r="J3338" i="13" s="1"/>
  <c r="M3342" i="14"/>
  <c r="M3341" i="13"/>
  <c r="N3338" i="14"/>
  <c r="J3337" i="14" a="1"/>
  <c r="J3337" i="14" s="1"/>
  <c r="K3175" i="14" l="1"/>
  <c r="L3175" i="14" s="1"/>
  <c r="I3176" i="14" s="1"/>
  <c r="K3153" i="13"/>
  <c r="L3153" i="13" s="1"/>
  <c r="I3154" i="13" s="1"/>
  <c r="J3338" i="14" a="1"/>
  <c r="J3338" i="14" s="1"/>
  <c r="N3339" i="14"/>
  <c r="M3343" i="14"/>
  <c r="M3342" i="13"/>
  <c r="J3339" i="13" a="1"/>
  <c r="J3339" i="13" s="1"/>
  <c r="N3340" i="13"/>
  <c r="K3154" i="13" l="1"/>
  <c r="L3154" i="13" s="1"/>
  <c r="I3155" i="13" s="1"/>
  <c r="K3176" i="14"/>
  <c r="L3176" i="14" s="1"/>
  <c r="I3177" i="14" s="1"/>
  <c r="J3340" i="13" a="1"/>
  <c r="J3340" i="13" s="1"/>
  <c r="N3341" i="13"/>
  <c r="N3340" i="14"/>
  <c r="J3339" i="14" a="1"/>
  <c r="J3339" i="14" s="1"/>
  <c r="M3344" i="14"/>
  <c r="M3343" i="13"/>
  <c r="K3177" i="14" l="1"/>
  <c r="L3177" i="14" s="1"/>
  <c r="I3178" i="14" s="1"/>
  <c r="K3155" i="13"/>
  <c r="L3155" i="13" s="1"/>
  <c r="I3156" i="13" s="1"/>
  <c r="M3344" i="13"/>
  <c r="N3341" i="14"/>
  <c r="J3340" i="14" a="1"/>
  <c r="J3340" i="14" s="1"/>
  <c r="M3345" i="14"/>
  <c r="J3341" i="13" a="1"/>
  <c r="J3341" i="13" s="1"/>
  <c r="N3342" i="13"/>
  <c r="K3156" i="13" l="1"/>
  <c r="L3156" i="13" s="1"/>
  <c r="I3157" i="13" s="1"/>
  <c r="K3178" i="14"/>
  <c r="L3178" i="14" s="1"/>
  <c r="I3179" i="14" s="1"/>
  <c r="N3343" i="13"/>
  <c r="J3342" i="13" a="1"/>
  <c r="J3342" i="13" s="1"/>
  <c r="N3342" i="14"/>
  <c r="J3341" i="14" a="1"/>
  <c r="J3341" i="14" s="1"/>
  <c r="M3346" i="14"/>
  <c r="M3345" i="13"/>
  <c r="K3179" i="14" l="1"/>
  <c r="L3179" i="14" s="1"/>
  <c r="I3180" i="14" s="1"/>
  <c r="K3157" i="13"/>
  <c r="L3157" i="13" s="1"/>
  <c r="I3158" i="13" s="1"/>
  <c r="J3342" i="14" a="1"/>
  <c r="J3342" i="14" s="1"/>
  <c r="N3343" i="14"/>
  <c r="M3346" i="13"/>
  <c r="M3347" i="14"/>
  <c r="J3343" i="13" a="1"/>
  <c r="J3343" i="13" s="1"/>
  <c r="N3344" i="13"/>
  <c r="K3158" i="13" l="1"/>
  <c r="L3158" i="13" s="1"/>
  <c r="I3159" i="13" s="1"/>
  <c r="K3180" i="14"/>
  <c r="L3180" i="14" s="1"/>
  <c r="I3181" i="14" s="1"/>
  <c r="M3347" i="13"/>
  <c r="N3344" i="14"/>
  <c r="J3343" i="14" a="1"/>
  <c r="J3343" i="14" s="1"/>
  <c r="J3344" i="13" a="1"/>
  <c r="J3344" i="13" s="1"/>
  <c r="N3345" i="13"/>
  <c r="M3348" i="14"/>
  <c r="K3181" i="14" l="1"/>
  <c r="L3181" i="14" s="1"/>
  <c r="I3182" i="14" s="1"/>
  <c r="K3159" i="13"/>
  <c r="L3159" i="13" s="1"/>
  <c r="I3160" i="13" s="1"/>
  <c r="N3345" i="14"/>
  <c r="J3344" i="14" a="1"/>
  <c r="J3344" i="14" s="1"/>
  <c r="J3345" i="13" a="1"/>
  <c r="J3345" i="13" s="1"/>
  <c r="N3346" i="13"/>
  <c r="M3349" i="14"/>
  <c r="M3348" i="13"/>
  <c r="K3160" i="13" l="1"/>
  <c r="L3160" i="13" s="1"/>
  <c r="I3161" i="13" s="1"/>
  <c r="K3182" i="14"/>
  <c r="L3182" i="14" s="1"/>
  <c r="I3183" i="14" s="1"/>
  <c r="N3347" i="13"/>
  <c r="J3346" i="13" a="1"/>
  <c r="J3346" i="13" s="1"/>
  <c r="M3349" i="13"/>
  <c r="M3350" i="14"/>
  <c r="N3346" i="14"/>
  <c r="J3345" i="14" a="1"/>
  <c r="J3345" i="14" s="1"/>
  <c r="K3183" i="14" l="1"/>
  <c r="L3183" i="14" s="1"/>
  <c r="I3184" i="14" s="1"/>
  <c r="K3161" i="13"/>
  <c r="L3161" i="13" s="1"/>
  <c r="I3162" i="13" s="1"/>
  <c r="M3350" i="13"/>
  <c r="J3346" i="14" a="1"/>
  <c r="J3346" i="14" s="1"/>
  <c r="N3347" i="14"/>
  <c r="M3351" i="14"/>
  <c r="J3347" i="13" a="1"/>
  <c r="J3347" i="13" s="1"/>
  <c r="N3348" i="13"/>
  <c r="K3162" i="13" l="1"/>
  <c r="L3162" i="13" s="1"/>
  <c r="I3163" i="13" s="1"/>
  <c r="K3184" i="14"/>
  <c r="L3184" i="14" s="1"/>
  <c r="I3185" i="14" s="1"/>
  <c r="J3347" i="14" a="1"/>
  <c r="J3347" i="14" s="1"/>
  <c r="N3348" i="14"/>
  <c r="J3348" i="13" a="1"/>
  <c r="J3348" i="13" s="1"/>
  <c r="N3349" i="13"/>
  <c r="M3352" i="14"/>
  <c r="M3351" i="13"/>
  <c r="K3185" i="14" l="1"/>
  <c r="L3185" i="14" s="1"/>
  <c r="I3186" i="14" s="1"/>
  <c r="K3163" i="13"/>
  <c r="L3163" i="13" s="1"/>
  <c r="I3164" i="13" s="1"/>
  <c r="J3349" i="13" a="1"/>
  <c r="J3349" i="13" s="1"/>
  <c r="N3350" i="13"/>
  <c r="N3349" i="14"/>
  <c r="J3348" i="14" a="1"/>
  <c r="J3348" i="14" s="1"/>
  <c r="M3352" i="13"/>
  <c r="M3353" i="14"/>
  <c r="K3164" i="13" l="1"/>
  <c r="L3164" i="13" s="1"/>
  <c r="I3165" i="13" s="1"/>
  <c r="K3186" i="14"/>
  <c r="L3186" i="14" s="1"/>
  <c r="I3187" i="14" s="1"/>
  <c r="N3350" i="14"/>
  <c r="J3349" i="14" a="1"/>
  <c r="J3349" i="14" s="1"/>
  <c r="N3351" i="13"/>
  <c r="J3350" i="13" a="1"/>
  <c r="J3350" i="13" s="1"/>
  <c r="M3354" i="14"/>
  <c r="M3353" i="13"/>
  <c r="K3187" i="14" l="1"/>
  <c r="L3187" i="14" s="1"/>
  <c r="I3188" i="14" s="1"/>
  <c r="K3165" i="13"/>
  <c r="L3165" i="13" s="1"/>
  <c r="I3166" i="13" s="1"/>
  <c r="M3354" i="13"/>
  <c r="J3351" i="13" a="1"/>
  <c r="J3351" i="13" s="1"/>
  <c r="N3352" i="13"/>
  <c r="M3355" i="14"/>
  <c r="J3350" i="14" a="1"/>
  <c r="J3350" i="14" s="1"/>
  <c r="N3351" i="14"/>
  <c r="K3166" i="13" l="1"/>
  <c r="L3166" i="13" s="1"/>
  <c r="I3167" i="13" s="1"/>
  <c r="K3188" i="14"/>
  <c r="L3188" i="14" s="1"/>
  <c r="I3189" i="14" s="1"/>
  <c r="J3352" i="13" a="1"/>
  <c r="J3352" i="13" s="1"/>
  <c r="N3353" i="13"/>
  <c r="N3352" i="14"/>
  <c r="J3351" i="14" a="1"/>
  <c r="J3351" i="14" s="1"/>
  <c r="M3356" i="14"/>
  <c r="M3355" i="13"/>
  <c r="K3189" i="14" l="1"/>
  <c r="L3189" i="14" s="1"/>
  <c r="I3190" i="14" s="1"/>
  <c r="K3167" i="13"/>
  <c r="L3167" i="13" s="1"/>
  <c r="I3168" i="13" s="1"/>
  <c r="N3353" i="14"/>
  <c r="J3352" i="14" a="1"/>
  <c r="J3352" i="14" s="1"/>
  <c r="M3357" i="14"/>
  <c r="J3353" i="13" a="1"/>
  <c r="J3353" i="13" s="1"/>
  <c r="N3354" i="13"/>
  <c r="M3356" i="13"/>
  <c r="K3168" i="13" l="1"/>
  <c r="L3168" i="13" s="1"/>
  <c r="I3169" i="13" s="1"/>
  <c r="K3190" i="14"/>
  <c r="L3190" i="14" s="1"/>
  <c r="I3191" i="14" s="1"/>
  <c r="N3355" i="13"/>
  <c r="J3354" i="13" a="1"/>
  <c r="J3354" i="13" s="1"/>
  <c r="M3357" i="13"/>
  <c r="M3358" i="14"/>
  <c r="N3354" i="14"/>
  <c r="J3353" i="14" a="1"/>
  <c r="J3353" i="14" s="1"/>
  <c r="K3191" i="14" l="1"/>
  <c r="L3191" i="14" s="1"/>
  <c r="I3192" i="14" s="1"/>
  <c r="K3169" i="13"/>
  <c r="L3169" i="13" s="1"/>
  <c r="I3170" i="13" s="1"/>
  <c r="J3354" i="14" a="1"/>
  <c r="J3354" i="14" s="1"/>
  <c r="N3355" i="14"/>
  <c r="M3358" i="13"/>
  <c r="M3359" i="14"/>
  <c r="J3355" i="13" a="1"/>
  <c r="J3355" i="13" s="1"/>
  <c r="N3356" i="13"/>
  <c r="K3170" i="13" l="1"/>
  <c r="L3170" i="13" s="1"/>
  <c r="I3171" i="13" s="1"/>
  <c r="K3192" i="14"/>
  <c r="L3192" i="14" s="1"/>
  <c r="I3193" i="14" s="1"/>
  <c r="M3359" i="13"/>
  <c r="N3356" i="14"/>
  <c r="J3355" i="14" a="1"/>
  <c r="J3355" i="14" s="1"/>
  <c r="J3356" i="13" a="1"/>
  <c r="J3356" i="13" s="1"/>
  <c r="N3357" i="13"/>
  <c r="M3360" i="14"/>
  <c r="K3193" i="14" l="1"/>
  <c r="L3193" i="14" s="1"/>
  <c r="I3194" i="14" s="1"/>
  <c r="K3171" i="13"/>
  <c r="L3171" i="13" s="1"/>
  <c r="I3172" i="13" s="1"/>
  <c r="N3357" i="14"/>
  <c r="J3356" i="14" a="1"/>
  <c r="J3356" i="14" s="1"/>
  <c r="M3361" i="14"/>
  <c r="J3357" i="13" a="1"/>
  <c r="J3357" i="13" s="1"/>
  <c r="N3358" i="13"/>
  <c r="M3360" i="13"/>
  <c r="K3172" i="13" l="1"/>
  <c r="L3172" i="13" s="1"/>
  <c r="I3173" i="13" s="1"/>
  <c r="K3194" i="14"/>
  <c r="L3194" i="14" s="1"/>
  <c r="I3195" i="14" s="1"/>
  <c r="M3361" i="13"/>
  <c r="M3362" i="14"/>
  <c r="N3359" i="13"/>
  <c r="J3358" i="13" a="1"/>
  <c r="J3358" i="13" s="1"/>
  <c r="N3358" i="14"/>
  <c r="J3357" i="14" a="1"/>
  <c r="J3357" i="14" s="1"/>
  <c r="K3195" i="14" l="1"/>
  <c r="L3195" i="14" s="1"/>
  <c r="I3196" i="14" s="1"/>
  <c r="K3173" i="13"/>
  <c r="L3173" i="13" s="1"/>
  <c r="I3174" i="13" s="1"/>
  <c r="J3358" i="14" a="1"/>
  <c r="J3358" i="14" s="1"/>
  <c r="N3359" i="14"/>
  <c r="M3362" i="13"/>
  <c r="M3363" i="14"/>
  <c r="J3359" i="13" a="1"/>
  <c r="J3359" i="13" s="1"/>
  <c r="N3360" i="13"/>
  <c r="K3174" i="13" l="1"/>
  <c r="L3174" i="13" s="1"/>
  <c r="I3175" i="13" s="1"/>
  <c r="K3196" i="14"/>
  <c r="L3196" i="14" s="1"/>
  <c r="I3197" i="14" s="1"/>
  <c r="J3360" i="13" a="1"/>
  <c r="J3360" i="13" s="1"/>
  <c r="N3361" i="13"/>
  <c r="M3363" i="13"/>
  <c r="N3360" i="14"/>
  <c r="J3359" i="14" a="1"/>
  <c r="J3359" i="14" s="1"/>
  <c r="M3364" i="14"/>
  <c r="K3197" i="14" l="1"/>
  <c r="L3197" i="14" s="1"/>
  <c r="I3198" i="14" s="1"/>
  <c r="K3175" i="13"/>
  <c r="L3175" i="13" s="1"/>
  <c r="I3176" i="13" s="1"/>
  <c r="M3365" i="14"/>
  <c r="N3361" i="14"/>
  <c r="J3360" i="14" a="1"/>
  <c r="J3360" i="14" s="1"/>
  <c r="M3364" i="13"/>
  <c r="J3361" i="13" a="1"/>
  <c r="J3361" i="13" s="1"/>
  <c r="N3362" i="13"/>
  <c r="K3176" i="13" l="1"/>
  <c r="L3176" i="13" s="1"/>
  <c r="I3177" i="13" s="1"/>
  <c r="K3198" i="14"/>
  <c r="L3198" i="14" s="1"/>
  <c r="I3199" i="14" s="1"/>
  <c r="N3363" i="13"/>
  <c r="J3362" i="13" a="1"/>
  <c r="J3362" i="13" s="1"/>
  <c r="N3362" i="14"/>
  <c r="J3361" i="14" a="1"/>
  <c r="J3361" i="14" s="1"/>
  <c r="M3365" i="13"/>
  <c r="M3366" i="14"/>
  <c r="K3199" i="14" l="1"/>
  <c r="L3199" i="14" s="1"/>
  <c r="I3200" i="14" s="1"/>
  <c r="K3177" i="13"/>
  <c r="L3177" i="13" s="1"/>
  <c r="I3178" i="13" s="1"/>
  <c r="J3362" i="14" a="1"/>
  <c r="J3362" i="14" s="1"/>
  <c r="N3363" i="14"/>
  <c r="M3367" i="14"/>
  <c r="M3366" i="13"/>
  <c r="J3363" i="13" a="1"/>
  <c r="J3363" i="13" s="1"/>
  <c r="N3364" i="13"/>
  <c r="K3178" i="13" l="1"/>
  <c r="L3178" i="13" s="1"/>
  <c r="I3179" i="13" s="1"/>
  <c r="K3200" i="14"/>
  <c r="L3200" i="14" s="1"/>
  <c r="I3201" i="14" s="1"/>
  <c r="J3364" i="13" a="1"/>
  <c r="J3364" i="13" s="1"/>
  <c r="N3365" i="13"/>
  <c r="M3368" i="14"/>
  <c r="N3364" i="14"/>
  <c r="J3363" i="14" a="1"/>
  <c r="J3363" i="14" s="1"/>
  <c r="M3367" i="13"/>
  <c r="K3201" i="14" l="1"/>
  <c r="L3201" i="14" s="1"/>
  <c r="I3202" i="14" s="1"/>
  <c r="K3179" i="13"/>
  <c r="L3179" i="13" s="1"/>
  <c r="I3180" i="13" s="1"/>
  <c r="M3369" i="14"/>
  <c r="M3368" i="13"/>
  <c r="J3365" i="13" a="1"/>
  <c r="J3365" i="13" s="1"/>
  <c r="N3366" i="13"/>
  <c r="N3365" i="14"/>
  <c r="J3364" i="14" a="1"/>
  <c r="J3364" i="14" s="1"/>
  <c r="K3180" i="13" l="1"/>
  <c r="L3180" i="13" s="1"/>
  <c r="I3181" i="13" s="1"/>
  <c r="K3202" i="14"/>
  <c r="L3202" i="14" s="1"/>
  <c r="I3203" i="14" s="1"/>
  <c r="N3366" i="14"/>
  <c r="J3365" i="14" a="1"/>
  <c r="J3365" i="14" s="1"/>
  <c r="M3369" i="13"/>
  <c r="N3367" i="13"/>
  <c r="J3366" i="13" a="1"/>
  <c r="J3366" i="13" s="1"/>
  <c r="M3370" i="14"/>
  <c r="K3203" i="14" l="1"/>
  <c r="L3203" i="14" s="1"/>
  <c r="I3204" i="14" s="1"/>
  <c r="K3181" i="13"/>
  <c r="L3181" i="13" s="1"/>
  <c r="I3182" i="13" s="1"/>
  <c r="M3370" i="13"/>
  <c r="M3371" i="14"/>
  <c r="J3367" i="13" a="1"/>
  <c r="J3367" i="13" s="1"/>
  <c r="N3368" i="13"/>
  <c r="J3366" i="14" a="1"/>
  <c r="J3366" i="14" s="1"/>
  <c r="N3367" i="14"/>
  <c r="K3182" i="13" l="1"/>
  <c r="L3182" i="13" s="1"/>
  <c r="I3183" i="13" s="1"/>
  <c r="K3204" i="14"/>
  <c r="L3204" i="14" s="1"/>
  <c r="I3205" i="14" s="1"/>
  <c r="N3368" i="14"/>
  <c r="J3367" i="14" a="1"/>
  <c r="J3367" i="14" s="1"/>
  <c r="J3368" i="13" a="1"/>
  <c r="J3368" i="13" s="1"/>
  <c r="N3369" i="13"/>
  <c r="M3372" i="14"/>
  <c r="M3371" i="13"/>
  <c r="K3205" i="14" l="1"/>
  <c r="L3205" i="14" s="1"/>
  <c r="I3206" i="14" s="1"/>
  <c r="K3183" i="13"/>
  <c r="L3183" i="13" s="1"/>
  <c r="I3184" i="13" s="1"/>
  <c r="J3369" i="13" a="1"/>
  <c r="J3369" i="13" s="1"/>
  <c r="N3370" i="13"/>
  <c r="M3372" i="13"/>
  <c r="M3373" i="14"/>
  <c r="N3369" i="14"/>
  <c r="J3368" i="14" a="1"/>
  <c r="J3368" i="14" s="1"/>
  <c r="K3184" i="13" l="1"/>
  <c r="L3184" i="13" s="1"/>
  <c r="I3185" i="13" s="1"/>
  <c r="K3206" i="14"/>
  <c r="L3206" i="14" s="1"/>
  <c r="I3207" i="14" s="1"/>
  <c r="N3370" i="14"/>
  <c r="J3369" i="14" a="1"/>
  <c r="J3369" i="14" s="1"/>
  <c r="M3373" i="13"/>
  <c r="N3371" i="13"/>
  <c r="J3370" i="13" a="1"/>
  <c r="J3370" i="13" s="1"/>
  <c r="M3374" i="14"/>
  <c r="K3207" i="14" l="1"/>
  <c r="L3207" i="14" s="1"/>
  <c r="I3208" i="14" s="1"/>
  <c r="K3185" i="13"/>
  <c r="L3185" i="13" s="1"/>
  <c r="I3186" i="13" s="1"/>
  <c r="M3375" i="14"/>
  <c r="M3374" i="13"/>
  <c r="J3371" i="13" a="1"/>
  <c r="J3371" i="13" s="1"/>
  <c r="N3372" i="13"/>
  <c r="J3370" i="14" a="1"/>
  <c r="J3370" i="14" s="1"/>
  <c r="N3371" i="14"/>
  <c r="K3186" i="13" l="1"/>
  <c r="L3186" i="13" s="1"/>
  <c r="I3187" i="13" s="1"/>
  <c r="K3208" i="14"/>
  <c r="L3208" i="14" s="1"/>
  <c r="I3209" i="14" s="1"/>
  <c r="N3372" i="14"/>
  <c r="J3371" i="14" a="1"/>
  <c r="J3371" i="14" s="1"/>
  <c r="M3375" i="13"/>
  <c r="J3372" i="13" a="1"/>
  <c r="J3372" i="13" s="1"/>
  <c r="N3373" i="13"/>
  <c r="M3376" i="14"/>
  <c r="K3209" i="14" l="1"/>
  <c r="L3209" i="14" s="1"/>
  <c r="I3210" i="14" s="1"/>
  <c r="K3187" i="13"/>
  <c r="L3187" i="13" s="1"/>
  <c r="I3188" i="13" s="1"/>
  <c r="J3373" i="13" a="1"/>
  <c r="J3373" i="13" s="1"/>
  <c r="N3374" i="13"/>
  <c r="M3377" i="14"/>
  <c r="M3376" i="13"/>
  <c r="N3373" i="14"/>
  <c r="J3372" i="14" a="1"/>
  <c r="J3372" i="14" s="1"/>
  <c r="K3188" i="13" l="1"/>
  <c r="L3188" i="13" s="1"/>
  <c r="I3189" i="13" s="1"/>
  <c r="K3210" i="14"/>
  <c r="L3210" i="14" s="1"/>
  <c r="I3211" i="14" s="1"/>
  <c r="N3374" i="14"/>
  <c r="J3373" i="14" a="1"/>
  <c r="J3373" i="14" s="1"/>
  <c r="M3378" i="14"/>
  <c r="N3375" i="13"/>
  <c r="J3374" i="13" a="1"/>
  <c r="J3374" i="13" s="1"/>
  <c r="M3377" i="13"/>
  <c r="K3189" i="13" l="1"/>
  <c r="L3189" i="13" s="1"/>
  <c r="I3190" i="13" s="1"/>
  <c r="J3375" i="13" a="1"/>
  <c r="J3375" i="13" s="1"/>
  <c r="N3376" i="13"/>
  <c r="M3378" i="13"/>
  <c r="M3379" i="14"/>
  <c r="K3211" i="14"/>
  <c r="L3211" i="14" s="1"/>
  <c r="I3212" i="14" s="1"/>
  <c r="J3374" i="14" a="1"/>
  <c r="J3374" i="14" s="1"/>
  <c r="N3375" i="14"/>
  <c r="K3212" i="14" l="1"/>
  <c r="L3212" i="14" s="1"/>
  <c r="I3213" i="14" s="1"/>
  <c r="K3190" i="13"/>
  <c r="L3190" i="13" s="1"/>
  <c r="I3191" i="13" s="1"/>
  <c r="J3376" i="13" a="1"/>
  <c r="J3376" i="13" s="1"/>
  <c r="N3377" i="13"/>
  <c r="N3376" i="14"/>
  <c r="J3375" i="14" a="1"/>
  <c r="J3375" i="14" s="1"/>
  <c r="M3380" i="14"/>
  <c r="M3379" i="13"/>
  <c r="K3191" i="13" l="1"/>
  <c r="L3191" i="13" s="1"/>
  <c r="I3192" i="13" s="1"/>
  <c r="K3213" i="14"/>
  <c r="L3213" i="14" s="1"/>
  <c r="I3214" i="14" s="1"/>
  <c r="M3380" i="13"/>
  <c r="N3377" i="14"/>
  <c r="J3376" i="14" a="1"/>
  <c r="J3376" i="14" s="1"/>
  <c r="M3381" i="14"/>
  <c r="J3377" i="13" a="1"/>
  <c r="J3377" i="13" s="1"/>
  <c r="N3378" i="13"/>
  <c r="K3214" i="14" l="1"/>
  <c r="L3214" i="14" s="1"/>
  <c r="I3215" i="14" s="1"/>
  <c r="K3192" i="13"/>
  <c r="L3192" i="13" s="1"/>
  <c r="I3193" i="13" s="1"/>
  <c r="N3378" i="14"/>
  <c r="J3377" i="14" a="1"/>
  <c r="J3377" i="14" s="1"/>
  <c r="N3379" i="13"/>
  <c r="J3378" i="13" a="1"/>
  <c r="J3378" i="13" s="1"/>
  <c r="M3382" i="14"/>
  <c r="M3381" i="13"/>
  <c r="K3193" i="13" l="1"/>
  <c r="L3193" i="13" s="1"/>
  <c r="I3194" i="13" s="1"/>
  <c r="K3215" i="14"/>
  <c r="L3215" i="14" s="1"/>
  <c r="I3216" i="14" s="1"/>
  <c r="J3379" i="13" a="1"/>
  <c r="J3379" i="13" s="1"/>
  <c r="N3380" i="13"/>
  <c r="M3382" i="13"/>
  <c r="M3383" i="14"/>
  <c r="J3378" i="14" a="1"/>
  <c r="J3378" i="14" s="1"/>
  <c r="N3379" i="14"/>
  <c r="K3216" i="14" l="1"/>
  <c r="L3216" i="14" s="1"/>
  <c r="I3217" i="14" s="1"/>
  <c r="K3194" i="13"/>
  <c r="L3194" i="13" s="1"/>
  <c r="I3195" i="13" s="1"/>
  <c r="N3380" i="14"/>
  <c r="J3379" i="14" a="1"/>
  <c r="J3379" i="14" s="1"/>
  <c r="M3383" i="13"/>
  <c r="J3380" i="13" a="1"/>
  <c r="J3380" i="13" s="1"/>
  <c r="N3381" i="13"/>
  <c r="M3384" i="14"/>
  <c r="K3195" i="13" l="1"/>
  <c r="L3195" i="13" s="1"/>
  <c r="I3196" i="13" s="1"/>
  <c r="K3217" i="14"/>
  <c r="L3217" i="14" s="1"/>
  <c r="I3218" i="14" s="1"/>
  <c r="M3385" i="14"/>
  <c r="J3381" i="13" a="1"/>
  <c r="J3381" i="13" s="1"/>
  <c r="N3382" i="13"/>
  <c r="M3384" i="13"/>
  <c r="N3381" i="14"/>
  <c r="J3380" i="14" a="1"/>
  <c r="J3380" i="14" s="1"/>
  <c r="K3218" i="14" l="1"/>
  <c r="L3218" i="14" s="1"/>
  <c r="I3219" i="14" s="1"/>
  <c r="N3383" i="13"/>
  <c r="J3382" i="13" a="1"/>
  <c r="J3382" i="13" s="1"/>
  <c r="M3386" i="14"/>
  <c r="N3382" i="14"/>
  <c r="J3381" i="14" a="1"/>
  <c r="J3381" i="14" s="1"/>
  <c r="M3385" i="13"/>
  <c r="K3196" i="13"/>
  <c r="L3196" i="13" s="1"/>
  <c r="I3197" i="13" s="1"/>
  <c r="K3197" i="13" l="1"/>
  <c r="L3197" i="13" s="1"/>
  <c r="I3198" i="13" s="1"/>
  <c r="K3219" i="14"/>
  <c r="L3219" i="14" s="1"/>
  <c r="I3220" i="14" s="1"/>
  <c r="J3383" i="13" a="1"/>
  <c r="J3383" i="13" s="1"/>
  <c r="N3384" i="13"/>
  <c r="M3386" i="13"/>
  <c r="J3382" i="14" a="1"/>
  <c r="J3382" i="14" s="1"/>
  <c r="N3383" i="14"/>
  <c r="M3387" i="14"/>
  <c r="K3220" i="14" l="1"/>
  <c r="L3220" i="14" s="1"/>
  <c r="I3221" i="14" s="1"/>
  <c r="K3198" i="13"/>
  <c r="L3198" i="13" s="1"/>
  <c r="I3199" i="13" s="1"/>
  <c r="N3384" i="14"/>
  <c r="J3383" i="14" a="1"/>
  <c r="J3383" i="14" s="1"/>
  <c r="M3388" i="14"/>
  <c r="M3387" i="13"/>
  <c r="J3384" i="13" a="1"/>
  <c r="J3384" i="13" s="1"/>
  <c r="N3385" i="13"/>
  <c r="K3199" i="13" l="1"/>
  <c r="L3199" i="13" s="1"/>
  <c r="I3200" i="13" s="1"/>
  <c r="K3221" i="14"/>
  <c r="L3221" i="14" s="1"/>
  <c r="I3222" i="14" s="1"/>
  <c r="M3389" i="14"/>
  <c r="J3385" i="13" a="1"/>
  <c r="J3385" i="13" s="1"/>
  <c r="N3386" i="13"/>
  <c r="M3388" i="13"/>
  <c r="N3385" i="14"/>
  <c r="J3384" i="14" a="1"/>
  <c r="J3384" i="14" s="1"/>
  <c r="K3222" i="14" l="1"/>
  <c r="L3222" i="14" s="1"/>
  <c r="I3223" i="14" s="1"/>
  <c r="K3200" i="13"/>
  <c r="L3200" i="13" s="1"/>
  <c r="I3201" i="13" s="1"/>
  <c r="N3387" i="13"/>
  <c r="J3386" i="13" a="1"/>
  <c r="J3386" i="13" s="1"/>
  <c r="N3386" i="14"/>
  <c r="J3385" i="14" a="1"/>
  <c r="J3385" i="14" s="1"/>
  <c r="M3389" i="13"/>
  <c r="M3390" i="14"/>
  <c r="K3201" i="13" l="1"/>
  <c r="L3201" i="13" s="1"/>
  <c r="I3202" i="13" s="1"/>
  <c r="K3223" i="14"/>
  <c r="L3223" i="14" s="1"/>
  <c r="I3224" i="14" s="1"/>
  <c r="J3386" i="14" a="1"/>
  <c r="J3386" i="14" s="1"/>
  <c r="N3387" i="14"/>
  <c r="M3391" i="14"/>
  <c r="M3390" i="13"/>
  <c r="J3387" i="13" a="1"/>
  <c r="J3387" i="13" s="1"/>
  <c r="N3388" i="13"/>
  <c r="K3224" i="14" l="1"/>
  <c r="L3224" i="14" s="1"/>
  <c r="I3225" i="14" s="1"/>
  <c r="K3202" i="13"/>
  <c r="L3202" i="13" s="1"/>
  <c r="I3203" i="13" s="1"/>
  <c r="J3388" i="13" a="1"/>
  <c r="J3388" i="13" s="1"/>
  <c r="N3389" i="13"/>
  <c r="M3392" i="14"/>
  <c r="N3388" i="14"/>
  <c r="J3387" i="14" a="1"/>
  <c r="J3387" i="14" s="1"/>
  <c r="M3391" i="13"/>
  <c r="K3203" i="13" l="1"/>
  <c r="L3203" i="13" s="1"/>
  <c r="I3204" i="13" s="1"/>
  <c r="K3225" i="14"/>
  <c r="L3225" i="14" s="1"/>
  <c r="I3226" i="14" s="1"/>
  <c r="J3389" i="13" a="1"/>
  <c r="J3389" i="13" s="1"/>
  <c r="N3390" i="13"/>
  <c r="M3393" i="14"/>
  <c r="M3392" i="13"/>
  <c r="N3389" i="14"/>
  <c r="J3388" i="14" a="1"/>
  <c r="J3388" i="14" s="1"/>
  <c r="K3204" i="13" l="1"/>
  <c r="L3204" i="13" s="1"/>
  <c r="I3205" i="13" s="1"/>
  <c r="N3390" i="14"/>
  <c r="J3389" i="14" a="1"/>
  <c r="J3389" i="14" s="1"/>
  <c r="N3391" i="13"/>
  <c r="J3390" i="13" a="1"/>
  <c r="J3390" i="13" s="1"/>
  <c r="M3394" i="14"/>
  <c r="K3226" i="14"/>
  <c r="L3226" i="14" s="1"/>
  <c r="I3227" i="14" s="1"/>
  <c r="M3393" i="13"/>
  <c r="K3227" i="14" l="1"/>
  <c r="L3227" i="14" s="1"/>
  <c r="I3228" i="14" s="1"/>
  <c r="K3205" i="13"/>
  <c r="L3205" i="13" s="1"/>
  <c r="I3206" i="13" s="1"/>
  <c r="J3390" i="14" a="1"/>
  <c r="J3390" i="14" s="1"/>
  <c r="N3391" i="14"/>
  <c r="M3395" i="14"/>
  <c r="M3394" i="13"/>
  <c r="J3391" i="13" a="1"/>
  <c r="J3391" i="13" s="1"/>
  <c r="N3392" i="13"/>
  <c r="K3206" i="13" l="1"/>
  <c r="L3206" i="13" s="1"/>
  <c r="I3207" i="13" s="1"/>
  <c r="K3228" i="14"/>
  <c r="L3228" i="14" s="1"/>
  <c r="I3229" i="14" s="1"/>
  <c r="M3396" i="14"/>
  <c r="N3392" i="14"/>
  <c r="J3391" i="14" a="1"/>
  <c r="J3391" i="14" s="1"/>
  <c r="J3392" i="13" a="1"/>
  <c r="J3392" i="13" s="1"/>
  <c r="N3393" i="13"/>
  <c r="M3395" i="13"/>
  <c r="K3229" i="14" l="1"/>
  <c r="L3229" i="14" s="1"/>
  <c r="I3230" i="14" s="1"/>
  <c r="K3207" i="13"/>
  <c r="L3207" i="13" s="1"/>
  <c r="I3208" i="13" s="1"/>
  <c r="N3393" i="14"/>
  <c r="J3392" i="14" a="1"/>
  <c r="J3392" i="14" s="1"/>
  <c r="J3393" i="13" a="1"/>
  <c r="J3393" i="13" s="1"/>
  <c r="N3394" i="13"/>
  <c r="M3397" i="14"/>
  <c r="M3396" i="13"/>
  <c r="K3208" i="13" l="1"/>
  <c r="L3208" i="13" s="1"/>
  <c r="I3209" i="13" s="1"/>
  <c r="K3230" i="14"/>
  <c r="L3230" i="14" s="1"/>
  <c r="I3231" i="14" s="1"/>
  <c r="N3395" i="13"/>
  <c r="J3394" i="13" a="1"/>
  <c r="J3394" i="13" s="1"/>
  <c r="M3397" i="13"/>
  <c r="M3398" i="14"/>
  <c r="N3394" i="14"/>
  <c r="J3393" i="14" a="1"/>
  <c r="J3393" i="14" s="1"/>
  <c r="K3231" i="14" l="1"/>
  <c r="L3231" i="14" s="1"/>
  <c r="I3232" i="14" s="1"/>
  <c r="K3209" i="13"/>
  <c r="L3209" i="13" s="1"/>
  <c r="I3210" i="13" s="1"/>
  <c r="M3398" i="13"/>
  <c r="J3394" i="14" a="1"/>
  <c r="J3394" i="14" s="1"/>
  <c r="N3395" i="14"/>
  <c r="M3399" i="14"/>
  <c r="J3395" i="13" a="1"/>
  <c r="J3395" i="13" s="1"/>
  <c r="N3396" i="13"/>
  <c r="K3210" i="13" l="1"/>
  <c r="L3210" i="13" s="1"/>
  <c r="I3211" i="13" s="1"/>
  <c r="K3232" i="14"/>
  <c r="L3232" i="14" s="1"/>
  <c r="I3233" i="14" s="1"/>
  <c r="J3396" i="13" a="1"/>
  <c r="J3396" i="13" s="1"/>
  <c r="N3397" i="13"/>
  <c r="N3396" i="14"/>
  <c r="J3395" i="14" a="1"/>
  <c r="J3395" i="14" s="1"/>
  <c r="M3400" i="14"/>
  <c r="M3399" i="13"/>
  <c r="K3233" i="14" l="1"/>
  <c r="L3233" i="14" s="1"/>
  <c r="I3234" i="14" s="1"/>
  <c r="K3211" i="13"/>
  <c r="L3211" i="13" s="1"/>
  <c r="I3212" i="13" s="1"/>
  <c r="N3397" i="14"/>
  <c r="J3396" i="14" a="1"/>
  <c r="J3396" i="14" s="1"/>
  <c r="M3400" i="13"/>
  <c r="M3401" i="14"/>
  <c r="J3397" i="13" a="1"/>
  <c r="J3397" i="13" s="1"/>
  <c r="N3398" i="13"/>
  <c r="K3212" i="13" l="1"/>
  <c r="L3212" i="13" s="1"/>
  <c r="I3213" i="13" s="1"/>
  <c r="K3234" i="14"/>
  <c r="L3234" i="14" s="1"/>
  <c r="I3235" i="14" s="1"/>
  <c r="N3399" i="13"/>
  <c r="J3398" i="13" a="1"/>
  <c r="J3398" i="13" s="1"/>
  <c r="M3401" i="13"/>
  <c r="M3402" i="14"/>
  <c r="N3398" i="14"/>
  <c r="J3397" i="14" a="1"/>
  <c r="J3397" i="14" s="1"/>
  <c r="K3235" i="14" l="1"/>
  <c r="L3235" i="14" s="1"/>
  <c r="I3236" i="14" s="1"/>
  <c r="K3213" i="13"/>
  <c r="L3213" i="13" s="1"/>
  <c r="I3214" i="13" s="1"/>
  <c r="M3402" i="13"/>
  <c r="J3398" i="14" a="1"/>
  <c r="J3398" i="14" s="1"/>
  <c r="N3399" i="14"/>
  <c r="M3403" i="14"/>
  <c r="J3399" i="13" a="1"/>
  <c r="J3399" i="13" s="1"/>
  <c r="N3400" i="13"/>
  <c r="K3214" i="13" l="1"/>
  <c r="L3214" i="13" s="1"/>
  <c r="I3215" i="13" s="1"/>
  <c r="K3236" i="14"/>
  <c r="L3236" i="14" s="1"/>
  <c r="I3237" i="14" s="1"/>
  <c r="J3400" i="13" a="1"/>
  <c r="J3400" i="13" s="1"/>
  <c r="N3401" i="13"/>
  <c r="N3400" i="14"/>
  <c r="J3399" i="14" a="1"/>
  <c r="J3399" i="14" s="1"/>
  <c r="M3404" i="14"/>
  <c r="M3403" i="13"/>
  <c r="K3237" i="14" l="1"/>
  <c r="L3237" i="14" s="1"/>
  <c r="I3238" i="14" s="1"/>
  <c r="K3215" i="13"/>
  <c r="L3215" i="13" s="1"/>
  <c r="I3216" i="13" s="1"/>
  <c r="N3401" i="14"/>
  <c r="J3400" i="14" a="1"/>
  <c r="J3400" i="14" s="1"/>
  <c r="J3401" i="13" a="1"/>
  <c r="J3401" i="13" s="1"/>
  <c r="N3402" i="13"/>
  <c r="M3404" i="13"/>
  <c r="M3405" i="14"/>
  <c r="K3216" i="13" l="1"/>
  <c r="L3216" i="13" s="1"/>
  <c r="I3217" i="13" s="1"/>
  <c r="K3238" i="14"/>
  <c r="L3238" i="14" s="1"/>
  <c r="I3239" i="14" s="1"/>
  <c r="N3403" i="13"/>
  <c r="J3402" i="13" a="1"/>
  <c r="J3402" i="13" s="1"/>
  <c r="M3406" i="14"/>
  <c r="M3405" i="13"/>
  <c r="N3402" i="14"/>
  <c r="J3401" i="14" a="1"/>
  <c r="J3401" i="14" s="1"/>
  <c r="K3239" i="14" l="1"/>
  <c r="L3239" i="14" s="1"/>
  <c r="I3240" i="14" s="1"/>
  <c r="K3217" i="13"/>
  <c r="L3217" i="13" s="1"/>
  <c r="I3218" i="13" s="1"/>
  <c r="M3407" i="14"/>
  <c r="J3402" i="14" a="1"/>
  <c r="J3402" i="14" s="1"/>
  <c r="N3403" i="14"/>
  <c r="M3406" i="13"/>
  <c r="J3403" i="13" a="1"/>
  <c r="J3403" i="13" s="1"/>
  <c r="N3404" i="13"/>
  <c r="K3218" i="13" l="1"/>
  <c r="L3218" i="13" s="1"/>
  <c r="I3219" i="13" s="1"/>
  <c r="K3240" i="14"/>
  <c r="L3240" i="14" s="1"/>
  <c r="I3241" i="14" s="1"/>
  <c r="N3404" i="14"/>
  <c r="J3403" i="14" a="1"/>
  <c r="J3403" i="14" s="1"/>
  <c r="J3404" i="13" a="1"/>
  <c r="J3404" i="13" s="1"/>
  <c r="N3405" i="13"/>
  <c r="M3408" i="14"/>
  <c r="M3407" i="13"/>
  <c r="K3241" i="14" l="1"/>
  <c r="L3241" i="14" s="1"/>
  <c r="I3242" i="14" s="1"/>
  <c r="K3219" i="13"/>
  <c r="L3219" i="13" s="1"/>
  <c r="I3220" i="13" s="1"/>
  <c r="J3405" i="13" a="1"/>
  <c r="J3405" i="13" s="1"/>
  <c r="N3406" i="13"/>
  <c r="M3408" i="13"/>
  <c r="M3409" i="14"/>
  <c r="N3405" i="14"/>
  <c r="J3404" i="14" a="1"/>
  <c r="J3404" i="14" s="1"/>
  <c r="K3220" i="13" l="1"/>
  <c r="L3220" i="13" s="1"/>
  <c r="I3221" i="13" s="1"/>
  <c r="K3242" i="14"/>
  <c r="L3242" i="14" s="1"/>
  <c r="I3243" i="14" s="1"/>
  <c r="N3406" i="14"/>
  <c r="J3405" i="14" a="1"/>
  <c r="J3405" i="14" s="1"/>
  <c r="M3409" i="13"/>
  <c r="N3407" i="13"/>
  <c r="J3406" i="13" a="1"/>
  <c r="J3406" i="13" s="1"/>
  <c r="M3410" i="14"/>
  <c r="K3243" i="14" l="1"/>
  <c r="L3243" i="14" s="1"/>
  <c r="I3244" i="14" s="1"/>
  <c r="K3221" i="13"/>
  <c r="L3221" i="13" s="1"/>
  <c r="I3222" i="13" s="1"/>
  <c r="J3407" i="13" a="1"/>
  <c r="J3407" i="13" s="1"/>
  <c r="N3408" i="13"/>
  <c r="M3411" i="14"/>
  <c r="M3410" i="13"/>
  <c r="J3406" i="14" a="1"/>
  <c r="J3406" i="14" s="1"/>
  <c r="N3407" i="14"/>
  <c r="K3222" i="13" l="1"/>
  <c r="L3222" i="13" s="1"/>
  <c r="I3223" i="13" s="1"/>
  <c r="K3244" i="14"/>
  <c r="L3244" i="14" s="1"/>
  <c r="I3245" i="14" s="1"/>
  <c r="N3408" i="14"/>
  <c r="J3407" i="14" a="1"/>
  <c r="J3407" i="14" s="1"/>
  <c r="M3412" i="14"/>
  <c r="J3408" i="13" a="1"/>
  <c r="J3408" i="13" s="1"/>
  <c r="N3409" i="13"/>
  <c r="M3411" i="13"/>
  <c r="K3245" i="14" l="1"/>
  <c r="L3245" i="14" s="1"/>
  <c r="I3246" i="14" s="1"/>
  <c r="K3223" i="13"/>
  <c r="L3223" i="13" s="1"/>
  <c r="I3224" i="13" s="1"/>
  <c r="J3409" i="13" a="1"/>
  <c r="J3409" i="13" s="1"/>
  <c r="N3410" i="13"/>
  <c r="M3413" i="14"/>
  <c r="M3412" i="13"/>
  <c r="J3408" i="14" a="1"/>
  <c r="J3408" i="14" s="1"/>
  <c r="N3409" i="14"/>
  <c r="K3224" i="13" l="1"/>
  <c r="L3224" i="13" s="1"/>
  <c r="I3225" i="13" s="1"/>
  <c r="K3246" i="14"/>
  <c r="L3246" i="14" s="1"/>
  <c r="I3247" i="14" s="1"/>
  <c r="M3414" i="14"/>
  <c r="N3411" i="13"/>
  <c r="J3410" i="13" a="1"/>
  <c r="J3410" i="13" s="1"/>
  <c r="N3410" i="14"/>
  <c r="J3409" i="14" a="1"/>
  <c r="J3409" i="14" s="1"/>
  <c r="M3413" i="13"/>
  <c r="K3247" i="14" l="1"/>
  <c r="L3247" i="14" s="1"/>
  <c r="I3248" i="14" s="1"/>
  <c r="K3225" i="13"/>
  <c r="L3225" i="13" s="1"/>
  <c r="I3226" i="13" s="1"/>
  <c r="M3414" i="13"/>
  <c r="J3411" i="13" a="1"/>
  <c r="J3411" i="13" s="1"/>
  <c r="N3412" i="13"/>
  <c r="J3410" i="14" a="1"/>
  <c r="J3410" i="14" s="1"/>
  <c r="N3411" i="14"/>
  <c r="M3415" i="14"/>
  <c r="K3226" i="13" l="1"/>
  <c r="L3226" i="13" s="1"/>
  <c r="I3227" i="13" s="1"/>
  <c r="K3248" i="14"/>
  <c r="L3248" i="14" s="1"/>
  <c r="I3249" i="14" s="1"/>
  <c r="J3412" i="13" a="1"/>
  <c r="J3412" i="13" s="1"/>
  <c r="N3413" i="13"/>
  <c r="N3412" i="14"/>
  <c r="J3411" i="14" a="1"/>
  <c r="J3411" i="14" s="1"/>
  <c r="M3416" i="14"/>
  <c r="M3415" i="13"/>
  <c r="K3249" i="14" l="1"/>
  <c r="L3249" i="14" s="1"/>
  <c r="I3250" i="14" s="1"/>
  <c r="K3227" i="13"/>
  <c r="L3227" i="13" s="1"/>
  <c r="I3228" i="13" s="1"/>
  <c r="N3413" i="14"/>
  <c r="J3412" i="14" a="1"/>
  <c r="J3412" i="14" s="1"/>
  <c r="J3413" i="13" a="1"/>
  <c r="J3413" i="13" s="1"/>
  <c r="N3414" i="13"/>
  <c r="M3416" i="13"/>
  <c r="M3417" i="14"/>
  <c r="K3228" i="13" l="1"/>
  <c r="L3228" i="13" s="1"/>
  <c r="I3229" i="13" s="1"/>
  <c r="K3250" i="14"/>
  <c r="L3250" i="14" s="1"/>
  <c r="I3251" i="14" s="1"/>
  <c r="N3415" i="13"/>
  <c r="J3414" i="13" a="1"/>
  <c r="J3414" i="13" s="1"/>
  <c r="M3418" i="14"/>
  <c r="M3417" i="13"/>
  <c r="N3414" i="14"/>
  <c r="J3413" i="14" a="1"/>
  <c r="J3413" i="14" s="1"/>
  <c r="K3251" i="14" l="1"/>
  <c r="L3251" i="14" s="1"/>
  <c r="I3252" i="14" s="1"/>
  <c r="K3229" i="13"/>
  <c r="L3229" i="13" s="1"/>
  <c r="I3230" i="13" s="1"/>
  <c r="M3419" i="14"/>
  <c r="J3414" i="14" a="1"/>
  <c r="J3414" i="14" s="1"/>
  <c r="N3415" i="14"/>
  <c r="M3418" i="13"/>
  <c r="J3415" i="13" a="1"/>
  <c r="J3415" i="13" s="1"/>
  <c r="N3416" i="13"/>
  <c r="K3230" i="13" l="1"/>
  <c r="L3230" i="13" s="1"/>
  <c r="I3231" i="13" s="1"/>
  <c r="K3252" i="14"/>
  <c r="L3252" i="14" s="1"/>
  <c r="I3253" i="14" s="1"/>
  <c r="J3416" i="13" a="1"/>
  <c r="J3416" i="13" s="1"/>
  <c r="N3417" i="13"/>
  <c r="N3416" i="14"/>
  <c r="J3415" i="14" a="1"/>
  <c r="J3415" i="14" s="1"/>
  <c r="M3420" i="14"/>
  <c r="M3419" i="13"/>
  <c r="K3253" i="14" l="1"/>
  <c r="L3253" i="14" s="1"/>
  <c r="I3254" i="14" s="1"/>
  <c r="K3231" i="13"/>
  <c r="L3231" i="13" s="1"/>
  <c r="I3232" i="13" s="1"/>
  <c r="N3417" i="14"/>
  <c r="J3416" i="14" a="1"/>
  <c r="J3416" i="14" s="1"/>
  <c r="J3417" i="13" a="1"/>
  <c r="J3417" i="13" s="1"/>
  <c r="N3418" i="13"/>
  <c r="M3420" i="13"/>
  <c r="M3421" i="14"/>
  <c r="K3232" i="13" l="1"/>
  <c r="L3232" i="13" s="1"/>
  <c r="I3233" i="13" s="1"/>
  <c r="K3254" i="14"/>
  <c r="L3254" i="14" s="1"/>
  <c r="I3255" i="14" s="1"/>
  <c r="N3419" i="13"/>
  <c r="J3418" i="13" a="1"/>
  <c r="J3418" i="13" s="1"/>
  <c r="M3422" i="14"/>
  <c r="M3421" i="13"/>
  <c r="N3418" i="14"/>
  <c r="J3417" i="14" a="1"/>
  <c r="J3417" i="14" s="1"/>
  <c r="K3255" i="14" l="1"/>
  <c r="L3255" i="14" s="1"/>
  <c r="I3256" i="14" s="1"/>
  <c r="K3233" i="13"/>
  <c r="L3233" i="13" s="1"/>
  <c r="I3234" i="13" s="1"/>
  <c r="J3418" i="14" a="1"/>
  <c r="J3418" i="14" s="1"/>
  <c r="N3419" i="14"/>
  <c r="M3423" i="14"/>
  <c r="M3422" i="13"/>
  <c r="J3419" i="13" a="1"/>
  <c r="J3419" i="13" s="1"/>
  <c r="N3420" i="13"/>
  <c r="K3234" i="13" l="1"/>
  <c r="L3234" i="13" s="1"/>
  <c r="I3235" i="13" s="1"/>
  <c r="K3256" i="14"/>
  <c r="L3256" i="14" s="1"/>
  <c r="I3257" i="14" s="1"/>
  <c r="J3420" i="13" a="1"/>
  <c r="J3420" i="13" s="1"/>
  <c r="N3421" i="13"/>
  <c r="M3424" i="14"/>
  <c r="N3420" i="14"/>
  <c r="J3419" i="14" a="1"/>
  <c r="J3419" i="14" s="1"/>
  <c r="M3423" i="13"/>
  <c r="K3257" i="14" l="1"/>
  <c r="L3257" i="14" s="1"/>
  <c r="I3258" i="14" s="1"/>
  <c r="K3235" i="13"/>
  <c r="L3235" i="13" s="1"/>
  <c r="I3236" i="13" s="1"/>
  <c r="N3421" i="14"/>
  <c r="J3420" i="14" a="1"/>
  <c r="J3420" i="14" s="1"/>
  <c r="M3425" i="14"/>
  <c r="M3424" i="13"/>
  <c r="J3421" i="13" a="1"/>
  <c r="J3421" i="13" s="1"/>
  <c r="N3422" i="13"/>
  <c r="K3236" i="13" l="1"/>
  <c r="L3236" i="13" s="1"/>
  <c r="I3237" i="13" s="1"/>
  <c r="K3258" i="14"/>
  <c r="L3258" i="14" s="1"/>
  <c r="I3259" i="14" s="1"/>
  <c r="M3426" i="14"/>
  <c r="N3423" i="13"/>
  <c r="J3422" i="13" a="1"/>
  <c r="J3422" i="13" s="1"/>
  <c r="M3425" i="13"/>
  <c r="N3422" i="14"/>
  <c r="J3421" i="14" a="1"/>
  <c r="J3421" i="14" s="1"/>
  <c r="K3259" i="14" l="1"/>
  <c r="L3259" i="14" s="1"/>
  <c r="I3260" i="14" s="1"/>
  <c r="K3237" i="13"/>
  <c r="L3237" i="13" s="1"/>
  <c r="I3238" i="13" s="1"/>
  <c r="J3423" i="13" a="1"/>
  <c r="J3423" i="13" s="1"/>
  <c r="N3424" i="13"/>
  <c r="M3427" i="14"/>
  <c r="J3422" i="14" a="1"/>
  <c r="J3422" i="14" s="1"/>
  <c r="N3423" i="14"/>
  <c r="M3426" i="13"/>
  <c r="K3238" i="13" l="1"/>
  <c r="L3238" i="13" s="1"/>
  <c r="I3239" i="13" s="1"/>
  <c r="K3260" i="14"/>
  <c r="L3260" i="14" s="1"/>
  <c r="I3261" i="14" s="1"/>
  <c r="N3424" i="14"/>
  <c r="J3423" i="14" a="1"/>
  <c r="J3423" i="14" s="1"/>
  <c r="M3427" i="13"/>
  <c r="M3428" i="14"/>
  <c r="J3424" i="13" a="1"/>
  <c r="J3424" i="13" s="1"/>
  <c r="N3425" i="13"/>
  <c r="K3261" i="14" l="1"/>
  <c r="L3261" i="14" s="1"/>
  <c r="I3262" i="14" s="1"/>
  <c r="K3239" i="13"/>
  <c r="L3239" i="13" s="1"/>
  <c r="I3240" i="13" s="1"/>
  <c r="J3425" i="13" a="1"/>
  <c r="J3425" i="13" s="1"/>
  <c r="N3426" i="13"/>
  <c r="M3428" i="13"/>
  <c r="M3429" i="14"/>
  <c r="N3425" i="14"/>
  <c r="J3424" i="14" a="1"/>
  <c r="J3424" i="14" s="1"/>
  <c r="K3240" i="13" l="1"/>
  <c r="L3240" i="13" s="1"/>
  <c r="I3241" i="13" s="1"/>
  <c r="K3262" i="14"/>
  <c r="L3262" i="14" s="1"/>
  <c r="I3263" i="14" s="1"/>
  <c r="N3426" i="14"/>
  <c r="J3425" i="14" a="1"/>
  <c r="J3425" i="14" s="1"/>
  <c r="M3429" i="13"/>
  <c r="N3427" i="13"/>
  <c r="J3426" i="13" a="1"/>
  <c r="J3426" i="13" s="1"/>
  <c r="M3430" i="14"/>
  <c r="K3263" i="14" l="1"/>
  <c r="L3263" i="14" s="1"/>
  <c r="I3264" i="14" s="1"/>
  <c r="K3241" i="13"/>
  <c r="L3241" i="13" s="1"/>
  <c r="I3242" i="13" s="1"/>
  <c r="M3430" i="13"/>
  <c r="M3431" i="14"/>
  <c r="J3427" i="13" a="1"/>
  <c r="J3427" i="13" s="1"/>
  <c r="N3428" i="13"/>
  <c r="J3426" i="14" a="1"/>
  <c r="J3426" i="14" s="1"/>
  <c r="N3427" i="14"/>
  <c r="K3242" i="13" l="1"/>
  <c r="L3242" i="13" s="1"/>
  <c r="I3243" i="13" s="1"/>
  <c r="K3264" i="14"/>
  <c r="L3264" i="14" s="1"/>
  <c r="I3265" i="14" s="1"/>
  <c r="M3432" i="14"/>
  <c r="N3428" i="14"/>
  <c r="J3427" i="14" a="1"/>
  <c r="J3427" i="14" s="1"/>
  <c r="J3428" i="13" a="1"/>
  <c r="J3428" i="13" s="1"/>
  <c r="N3429" i="13"/>
  <c r="M3431" i="13"/>
  <c r="K3265" i="14" l="1"/>
  <c r="L3265" i="14" s="1"/>
  <c r="I3266" i="14" s="1"/>
  <c r="K3243" i="13"/>
  <c r="L3243" i="13" s="1"/>
  <c r="I3244" i="13" s="1"/>
  <c r="N3429" i="14"/>
  <c r="J3428" i="14" a="1"/>
  <c r="J3428" i="14" s="1"/>
  <c r="J3429" i="13" a="1"/>
  <c r="J3429" i="13" s="1"/>
  <c r="N3430" i="13"/>
  <c r="M3433" i="14"/>
  <c r="M3432" i="13"/>
  <c r="K3244" i="13" l="1"/>
  <c r="L3244" i="13" s="1"/>
  <c r="I3245" i="13" s="1"/>
  <c r="K3266" i="14"/>
  <c r="L3266" i="14" s="1"/>
  <c r="I3267" i="14" s="1"/>
  <c r="N3431" i="13"/>
  <c r="J3430" i="13" a="1"/>
  <c r="J3430" i="13" s="1"/>
  <c r="M3433" i="13"/>
  <c r="M3434" i="14"/>
  <c r="N3430" i="14"/>
  <c r="J3429" i="14" a="1"/>
  <c r="J3429" i="14" s="1"/>
  <c r="K3267" i="14" l="1"/>
  <c r="L3267" i="14" s="1"/>
  <c r="I3268" i="14" s="1"/>
  <c r="K3245" i="13"/>
  <c r="L3245" i="13" s="1"/>
  <c r="I3246" i="13" s="1"/>
  <c r="M3434" i="13"/>
  <c r="J3430" i="14" a="1"/>
  <c r="J3430" i="14" s="1"/>
  <c r="N3431" i="14"/>
  <c r="M3435" i="14"/>
  <c r="J3431" i="13" a="1"/>
  <c r="J3431" i="13" s="1"/>
  <c r="N3432" i="13"/>
  <c r="K3246" i="13" l="1"/>
  <c r="L3246" i="13" s="1"/>
  <c r="I3247" i="13" s="1"/>
  <c r="K3268" i="14"/>
  <c r="L3268" i="14" s="1"/>
  <c r="I3269" i="14" s="1"/>
  <c r="N3432" i="14"/>
  <c r="J3431" i="14" a="1"/>
  <c r="J3431" i="14" s="1"/>
  <c r="J3432" i="13" a="1"/>
  <c r="J3432" i="13" s="1"/>
  <c r="N3433" i="13"/>
  <c r="M3436" i="14"/>
  <c r="M3435" i="13"/>
  <c r="K3269" i="14" l="1"/>
  <c r="L3269" i="14" s="1"/>
  <c r="I3270" i="14" s="1"/>
  <c r="K3247" i="13"/>
  <c r="L3247" i="13" s="1"/>
  <c r="I3248" i="13" s="1"/>
  <c r="J3433" i="13" a="1"/>
  <c r="J3433" i="13" s="1"/>
  <c r="N3434" i="13"/>
  <c r="M3436" i="13"/>
  <c r="M3437" i="14"/>
  <c r="N3433" i="14"/>
  <c r="J3432" i="14" a="1"/>
  <c r="J3432" i="14" s="1"/>
  <c r="K3248" i="13" l="1"/>
  <c r="L3248" i="13" s="1"/>
  <c r="I3249" i="13" s="1"/>
  <c r="K3270" i="14"/>
  <c r="L3270" i="14" s="1"/>
  <c r="I3271" i="14" s="1"/>
  <c r="N3434" i="14"/>
  <c r="J3433" i="14" a="1"/>
  <c r="J3433" i="14" s="1"/>
  <c r="M3437" i="13"/>
  <c r="N3435" i="13"/>
  <c r="J3434" i="13" a="1"/>
  <c r="J3434" i="13" s="1"/>
  <c r="M3438" i="14"/>
  <c r="K3271" i="14" l="1"/>
  <c r="L3271" i="14" s="1"/>
  <c r="I3272" i="14" s="1"/>
  <c r="K3249" i="13"/>
  <c r="L3249" i="13" s="1"/>
  <c r="I3250" i="13" s="1"/>
  <c r="M3438" i="13"/>
  <c r="M3439" i="14"/>
  <c r="J3435" i="13" a="1"/>
  <c r="J3435" i="13" s="1"/>
  <c r="N3436" i="13"/>
  <c r="J3434" i="14" a="1"/>
  <c r="J3434" i="14" s="1"/>
  <c r="N3435" i="14"/>
  <c r="K3250" i="13" l="1"/>
  <c r="L3250" i="13" s="1"/>
  <c r="I3251" i="13" s="1"/>
  <c r="K3272" i="14"/>
  <c r="L3272" i="14" s="1"/>
  <c r="I3273" i="14" s="1"/>
  <c r="N3436" i="14"/>
  <c r="J3435" i="14" a="1"/>
  <c r="J3435" i="14" s="1"/>
  <c r="M3440" i="14"/>
  <c r="J3436" i="13" a="1"/>
  <c r="J3436" i="13" s="1"/>
  <c r="N3437" i="13"/>
  <c r="M3439" i="13"/>
  <c r="K3273" i="14" l="1"/>
  <c r="L3273" i="14" s="1"/>
  <c r="I3274" i="14" s="1"/>
  <c r="K3251" i="13"/>
  <c r="L3251" i="13" s="1"/>
  <c r="I3252" i="13" s="1"/>
  <c r="J3437" i="13" a="1"/>
  <c r="J3437" i="13" s="1"/>
  <c r="N3438" i="13"/>
  <c r="M3441" i="14"/>
  <c r="M3440" i="13"/>
  <c r="N3437" i="14"/>
  <c r="J3436" i="14" a="1"/>
  <c r="J3436" i="14" s="1"/>
  <c r="K3252" i="13" l="1"/>
  <c r="L3252" i="13" s="1"/>
  <c r="I3253" i="13" s="1"/>
  <c r="K3274" i="14"/>
  <c r="L3274" i="14" s="1"/>
  <c r="I3275" i="14" s="1"/>
  <c r="N3438" i="14"/>
  <c r="J3437" i="14" a="1"/>
  <c r="J3437" i="14" s="1"/>
  <c r="M3442" i="14"/>
  <c r="N3439" i="13"/>
  <c r="J3438" i="13" a="1"/>
  <c r="J3438" i="13" s="1"/>
  <c r="M3441" i="13"/>
  <c r="K3275" i="14" l="1"/>
  <c r="L3275" i="14" s="1"/>
  <c r="I3276" i="14" s="1"/>
  <c r="K3253" i="13"/>
  <c r="L3253" i="13" s="1"/>
  <c r="I3254" i="13" s="1"/>
  <c r="M3442" i="13"/>
  <c r="M3443" i="14"/>
  <c r="J3439" i="13" a="1"/>
  <c r="J3439" i="13" s="1"/>
  <c r="N3440" i="13"/>
  <c r="J3438" i="14" a="1"/>
  <c r="J3438" i="14" s="1"/>
  <c r="N3439" i="14"/>
  <c r="K3254" i="13" l="1"/>
  <c r="L3254" i="13" s="1"/>
  <c r="I3255" i="13" s="1"/>
  <c r="K3276" i="14"/>
  <c r="L3276" i="14" s="1"/>
  <c r="I3277" i="14" s="1"/>
  <c r="M3444" i="14"/>
  <c r="J3440" i="13" a="1"/>
  <c r="J3440" i="13" s="1"/>
  <c r="N3441" i="13"/>
  <c r="J3439" i="14" a="1"/>
  <c r="J3439" i="14" s="1"/>
  <c r="N3440" i="14"/>
  <c r="M3443" i="13"/>
  <c r="K3277" i="14" l="1"/>
  <c r="L3277" i="14" s="1"/>
  <c r="I3278" i="14" s="1"/>
  <c r="K3255" i="13"/>
  <c r="L3255" i="13" s="1"/>
  <c r="I3256" i="13" s="1"/>
  <c r="J3441" i="13" a="1"/>
  <c r="J3441" i="13" s="1"/>
  <c r="N3442" i="13"/>
  <c r="J3440" i="14" a="1"/>
  <c r="J3440" i="14" s="1"/>
  <c r="N3441" i="14"/>
  <c r="M3445" i="14"/>
  <c r="M3444" i="13"/>
  <c r="K3256" i="13" l="1"/>
  <c r="L3256" i="13" s="1"/>
  <c r="I3257" i="13" s="1"/>
  <c r="K3278" i="14"/>
  <c r="L3278" i="14" s="1"/>
  <c r="I3279" i="14" s="1"/>
  <c r="N3442" i="14"/>
  <c r="J3441" i="14" a="1"/>
  <c r="J3441" i="14" s="1"/>
  <c r="N3443" i="13"/>
  <c r="J3442" i="13" a="1"/>
  <c r="J3442" i="13" s="1"/>
  <c r="M3445" i="13"/>
  <c r="M3446" i="14"/>
  <c r="K3279" i="14" l="1"/>
  <c r="L3279" i="14" s="1"/>
  <c r="I3280" i="14" s="1"/>
  <c r="K3257" i="13"/>
  <c r="L3257" i="13" s="1"/>
  <c r="I3258" i="13" s="1"/>
  <c r="J3443" i="13" a="1"/>
  <c r="J3443" i="13" s="1"/>
  <c r="N3444" i="13"/>
  <c r="M3447" i="14"/>
  <c r="M3446" i="13"/>
  <c r="J3442" i="14" a="1"/>
  <c r="J3442" i="14" s="1"/>
  <c r="N3443" i="14"/>
  <c r="K3258" i="13" l="1"/>
  <c r="L3258" i="13" s="1"/>
  <c r="I3259" i="13" s="1"/>
  <c r="K3280" i="14"/>
  <c r="L3280" i="14" s="1"/>
  <c r="I3281" i="14" s="1"/>
  <c r="J3443" i="14" a="1"/>
  <c r="J3443" i="14" s="1"/>
  <c r="N3444" i="14"/>
  <c r="M3448" i="14"/>
  <c r="J3444" i="13" a="1"/>
  <c r="J3444" i="13" s="1"/>
  <c r="N3445" i="13"/>
  <c r="M3447" i="13"/>
  <c r="K3281" i="14" l="1"/>
  <c r="L3281" i="14" s="1"/>
  <c r="I3282" i="14" s="1"/>
  <c r="K3259" i="13"/>
  <c r="L3259" i="13" s="1"/>
  <c r="I3260" i="13" s="1"/>
  <c r="J3445" i="13" a="1"/>
  <c r="J3445" i="13" s="1"/>
  <c r="N3446" i="13"/>
  <c r="M3449" i="14"/>
  <c r="M3448" i="13"/>
  <c r="N3445" i="14"/>
  <c r="J3444" i="14" a="1"/>
  <c r="J3444" i="14" s="1"/>
  <c r="K3260" i="13" l="1"/>
  <c r="L3260" i="13" s="1"/>
  <c r="I3261" i="13" s="1"/>
  <c r="K3282" i="14"/>
  <c r="L3282" i="14" s="1"/>
  <c r="I3283" i="14" s="1"/>
  <c r="N3446" i="14"/>
  <c r="J3445" i="14" a="1"/>
  <c r="J3445" i="14" s="1"/>
  <c r="M3450" i="14"/>
  <c r="N3447" i="13"/>
  <c r="J3446" i="13" a="1"/>
  <c r="J3446" i="13" s="1"/>
  <c r="M3449" i="13"/>
  <c r="K3283" i="14" l="1"/>
  <c r="L3283" i="14" s="1"/>
  <c r="I3284" i="14" s="1"/>
  <c r="K3261" i="13"/>
  <c r="L3261" i="13" s="1"/>
  <c r="I3262" i="13" s="1"/>
  <c r="M3450" i="13"/>
  <c r="J3447" i="13" a="1"/>
  <c r="J3447" i="13" s="1"/>
  <c r="N3448" i="13"/>
  <c r="M3451" i="14"/>
  <c r="J3446" i="14" a="1"/>
  <c r="J3446" i="14" s="1"/>
  <c r="N3447" i="14"/>
  <c r="K3262" i="13" l="1"/>
  <c r="L3262" i="13" s="1"/>
  <c r="I3263" i="13" s="1"/>
  <c r="K3284" i="14"/>
  <c r="L3284" i="14" s="1"/>
  <c r="I3285" i="14" s="1"/>
  <c r="J3447" i="14" a="1"/>
  <c r="J3447" i="14" s="1"/>
  <c r="N3448" i="14"/>
  <c r="J3448" i="13" a="1"/>
  <c r="J3448" i="13" s="1"/>
  <c r="N3449" i="13"/>
  <c r="M3452" i="14"/>
  <c r="M3451" i="13"/>
  <c r="K3285" i="14" l="1"/>
  <c r="L3285" i="14" s="1"/>
  <c r="I3286" i="14" s="1"/>
  <c r="K3263" i="13"/>
  <c r="L3263" i="13" s="1"/>
  <c r="I3264" i="13" s="1"/>
  <c r="J3449" i="13" a="1"/>
  <c r="J3449" i="13" s="1"/>
  <c r="N3450" i="13"/>
  <c r="J3448" i="14" a="1"/>
  <c r="J3448" i="14" s="1"/>
  <c r="N3449" i="14"/>
  <c r="M3452" i="13"/>
  <c r="M3453" i="14"/>
  <c r="K3264" i="13" l="1"/>
  <c r="L3264" i="13" s="1"/>
  <c r="I3265" i="13" s="1"/>
  <c r="K3286" i="14"/>
  <c r="L3286" i="14" s="1"/>
  <c r="I3287" i="14" s="1"/>
  <c r="N3450" i="14"/>
  <c r="J3449" i="14" a="1"/>
  <c r="J3449" i="14" s="1"/>
  <c r="N3451" i="13"/>
  <c r="J3450" i="13" a="1"/>
  <c r="J3450" i="13" s="1"/>
  <c r="M3454" i="14"/>
  <c r="M3453" i="13"/>
  <c r="K3287" i="14" l="1"/>
  <c r="L3287" i="14" s="1"/>
  <c r="I3288" i="14" s="1"/>
  <c r="K3265" i="13"/>
  <c r="L3265" i="13" s="1"/>
  <c r="I3266" i="13" s="1"/>
  <c r="J3451" i="13" a="1"/>
  <c r="J3451" i="13" s="1"/>
  <c r="N3452" i="13"/>
  <c r="M3454" i="13"/>
  <c r="M3455" i="14"/>
  <c r="J3450" i="14" a="1"/>
  <c r="J3450" i="14" s="1"/>
  <c r="N3451" i="14"/>
  <c r="K3266" i="13" l="1"/>
  <c r="L3266" i="13" s="1"/>
  <c r="I3267" i="13" s="1"/>
  <c r="K3288" i="14"/>
  <c r="L3288" i="14" s="1"/>
  <c r="I3289" i="14" s="1"/>
  <c r="J3451" i="14" a="1"/>
  <c r="J3451" i="14" s="1"/>
  <c r="N3452" i="14"/>
  <c r="M3455" i="13"/>
  <c r="J3452" i="13" a="1"/>
  <c r="J3452" i="13" s="1"/>
  <c r="N3453" i="13"/>
  <c r="M3456" i="14"/>
  <c r="K3267" i="13" l="1"/>
  <c r="L3267" i="13" s="1"/>
  <c r="I3268" i="13" s="1"/>
  <c r="M3457" i="14"/>
  <c r="M3456" i="13"/>
  <c r="K3289" i="14"/>
  <c r="L3289" i="14" s="1"/>
  <c r="I3290" i="14" s="1"/>
  <c r="J3453" i="13" a="1"/>
  <c r="J3453" i="13" s="1"/>
  <c r="N3454" i="13"/>
  <c r="N3453" i="14"/>
  <c r="J3452" i="14" a="1"/>
  <c r="J3452" i="14" s="1"/>
  <c r="K3290" i="14" l="1"/>
  <c r="L3290" i="14" s="1"/>
  <c r="I3291" i="14" s="1"/>
  <c r="K3268" i="13"/>
  <c r="L3268" i="13" s="1"/>
  <c r="I3269" i="13" s="1"/>
  <c r="N3454" i="14"/>
  <c r="J3453" i="14" a="1"/>
  <c r="J3453" i="14" s="1"/>
  <c r="M3458" i="14"/>
  <c r="N3455" i="13"/>
  <c r="J3454" i="13" a="1"/>
  <c r="J3454" i="13" s="1"/>
  <c r="M3457" i="13"/>
  <c r="K3269" i="13" l="1"/>
  <c r="L3269" i="13" s="1"/>
  <c r="I3270" i="13" s="1"/>
  <c r="K3291" i="14"/>
  <c r="L3291" i="14" s="1"/>
  <c r="I3292" i="14" s="1"/>
  <c r="J3455" i="13" a="1"/>
  <c r="J3455" i="13" s="1"/>
  <c r="N3456" i="13"/>
  <c r="M3458" i="13"/>
  <c r="M3459" i="14"/>
  <c r="J3454" i="14" a="1"/>
  <c r="J3454" i="14" s="1"/>
  <c r="N3455" i="14"/>
  <c r="K3270" i="13" l="1"/>
  <c r="L3270" i="13" s="1"/>
  <c r="I3271" i="13" s="1"/>
  <c r="K3292" i="14"/>
  <c r="L3292" i="14" s="1"/>
  <c r="I3293" i="14" s="1"/>
  <c r="M3460" i="14"/>
  <c r="M3459" i="13"/>
  <c r="J3455" i="14" a="1"/>
  <c r="J3455" i="14" s="1"/>
  <c r="N3456" i="14"/>
  <c r="J3456" i="13" a="1"/>
  <c r="J3456" i="13" s="1"/>
  <c r="N3457" i="13"/>
  <c r="K3271" i="13" l="1"/>
  <c r="L3271" i="13" s="1"/>
  <c r="I3272" i="13" s="1"/>
  <c r="K3293" i="14"/>
  <c r="L3293" i="14" s="1"/>
  <c r="I3294" i="14" s="1"/>
  <c r="J3457" i="13" a="1"/>
  <c r="J3457" i="13" s="1"/>
  <c r="N3458" i="13"/>
  <c r="M3460" i="13"/>
  <c r="J3456" i="14" a="1"/>
  <c r="J3456" i="14" s="1"/>
  <c r="N3457" i="14"/>
  <c r="M3461" i="14"/>
  <c r="K3272" i="13" l="1"/>
  <c r="L3272" i="13" s="1"/>
  <c r="I3273" i="13" s="1"/>
  <c r="K3294" i="14"/>
  <c r="L3294" i="14" s="1"/>
  <c r="I3295" i="14" s="1"/>
  <c r="N3458" i="14"/>
  <c r="J3457" i="14" a="1"/>
  <c r="J3457" i="14" s="1"/>
  <c r="N3459" i="13"/>
  <c r="J3458" i="13" a="1"/>
  <c r="J3458" i="13" s="1"/>
  <c r="M3462" i="14"/>
  <c r="M3461" i="13"/>
  <c r="J3459" i="13" l="1" a="1"/>
  <c r="J3459" i="13" s="1"/>
  <c r="N3460" i="13"/>
  <c r="K3295" i="14"/>
  <c r="L3295" i="14" s="1"/>
  <c r="I3296" i="14" s="1"/>
  <c r="M3462" i="13"/>
  <c r="M3463" i="14"/>
  <c r="J3458" i="14" a="1"/>
  <c r="J3458" i="14" s="1"/>
  <c r="N3459" i="14"/>
  <c r="K3273" i="13"/>
  <c r="L3273" i="13" s="1"/>
  <c r="I3274" i="13" s="1"/>
  <c r="K3274" i="13" l="1"/>
  <c r="L3274" i="13" s="1"/>
  <c r="I3275" i="13" s="1"/>
  <c r="K3296" i="14"/>
  <c r="L3296" i="14" s="1"/>
  <c r="I3297" i="14" s="1"/>
  <c r="M3464" i="14"/>
  <c r="J3459" i="14" a="1"/>
  <c r="J3459" i="14" s="1"/>
  <c r="N3460" i="14"/>
  <c r="J3460" i="13" a="1"/>
  <c r="J3460" i="13" s="1"/>
  <c r="N3461" i="13"/>
  <c r="M3463" i="13"/>
  <c r="K3297" i="14" l="1"/>
  <c r="L3297" i="14" s="1"/>
  <c r="I3298" i="14" s="1"/>
  <c r="K3275" i="13"/>
  <c r="L3275" i="13" s="1"/>
  <c r="I3276" i="13" s="1"/>
  <c r="N3461" i="14"/>
  <c r="J3460" i="14" a="1"/>
  <c r="J3460" i="14" s="1"/>
  <c r="M3464" i="13"/>
  <c r="J3461" i="13" a="1"/>
  <c r="J3461" i="13" s="1"/>
  <c r="N3462" i="13"/>
  <c r="M3465" i="14"/>
  <c r="K3276" i="13" l="1"/>
  <c r="L3276" i="13" s="1"/>
  <c r="I3277" i="13" s="1"/>
  <c r="K3298" i="14"/>
  <c r="L3298" i="14" s="1"/>
  <c r="I3299" i="14" s="1"/>
  <c r="N3463" i="13"/>
  <c r="J3462" i="13" a="1"/>
  <c r="J3462" i="13" s="1"/>
  <c r="M3466" i="14"/>
  <c r="M3465" i="13"/>
  <c r="N3462" i="14"/>
  <c r="J3461" i="14" a="1"/>
  <c r="J3461" i="14" s="1"/>
  <c r="K3299" i="14" l="1"/>
  <c r="L3299" i="14" s="1"/>
  <c r="I3300" i="14" s="1"/>
  <c r="K3277" i="13"/>
  <c r="L3277" i="13" s="1"/>
  <c r="I3278" i="13" s="1"/>
  <c r="J3462" i="14" a="1"/>
  <c r="J3462" i="14" s="1"/>
  <c r="N3463" i="14"/>
  <c r="M3467" i="14"/>
  <c r="M3466" i="13"/>
  <c r="J3463" i="13" a="1"/>
  <c r="J3463" i="13" s="1"/>
  <c r="N3464" i="13"/>
  <c r="J3464" i="13" l="1" a="1"/>
  <c r="J3464" i="13" s="1"/>
  <c r="N3465" i="13"/>
  <c r="M3467" i="13"/>
  <c r="M3468" i="14"/>
  <c r="K3278" i="13"/>
  <c r="L3278" i="13" s="1"/>
  <c r="I3279" i="13" s="1"/>
  <c r="K3300" i="14"/>
  <c r="L3300" i="14" s="1"/>
  <c r="I3301" i="14" s="1"/>
  <c r="J3463" i="14" a="1"/>
  <c r="J3463" i="14" s="1"/>
  <c r="N3464" i="14"/>
  <c r="K3301" i="14" l="1"/>
  <c r="L3301" i="14" s="1"/>
  <c r="I3302" i="14" s="1"/>
  <c r="K3279" i="13"/>
  <c r="L3279" i="13" s="1"/>
  <c r="I3280" i="13" s="1"/>
  <c r="M3468" i="13"/>
  <c r="J3464" i="14" a="1"/>
  <c r="J3464" i="14" s="1"/>
  <c r="N3465" i="14"/>
  <c r="M3469" i="14"/>
  <c r="J3465" i="13" a="1"/>
  <c r="J3465" i="13" s="1"/>
  <c r="N3466" i="13"/>
  <c r="K3280" i="13" l="1"/>
  <c r="L3280" i="13" s="1"/>
  <c r="I3281" i="13" s="1"/>
  <c r="K3302" i="14"/>
  <c r="L3302" i="14" s="1"/>
  <c r="I3303" i="14" s="1"/>
  <c r="N3467" i="13"/>
  <c r="J3466" i="13" a="1"/>
  <c r="J3466" i="13" s="1"/>
  <c r="N3466" i="14"/>
  <c r="J3465" i="14" a="1"/>
  <c r="J3465" i="14" s="1"/>
  <c r="M3470" i="14"/>
  <c r="M3469" i="13"/>
  <c r="K3303" i="14" l="1"/>
  <c r="L3303" i="14" s="1"/>
  <c r="I3304" i="14" s="1"/>
  <c r="K3281" i="13"/>
  <c r="L3281" i="13" s="1"/>
  <c r="I3282" i="13" s="1"/>
  <c r="J3466" i="14" a="1"/>
  <c r="J3466" i="14" s="1"/>
  <c r="N3467" i="14"/>
  <c r="M3470" i="13"/>
  <c r="M3471" i="14"/>
  <c r="J3467" i="13" a="1"/>
  <c r="J3467" i="13" s="1"/>
  <c r="N3468" i="13"/>
  <c r="K3282" i="13" l="1"/>
  <c r="L3282" i="13" s="1"/>
  <c r="I3283" i="13" s="1"/>
  <c r="K3304" i="14"/>
  <c r="L3304" i="14" s="1"/>
  <c r="I3305" i="14" s="1"/>
  <c r="M3471" i="13"/>
  <c r="J3468" i="13" a="1"/>
  <c r="J3468" i="13" s="1"/>
  <c r="N3469" i="13"/>
  <c r="J3467" i="14" a="1"/>
  <c r="J3467" i="14" s="1"/>
  <c r="N3468" i="14"/>
  <c r="M3472" i="14"/>
  <c r="K3305" i="14" l="1"/>
  <c r="L3305" i="14" s="1"/>
  <c r="I3306" i="14" s="1"/>
  <c r="K3283" i="13"/>
  <c r="L3283" i="13" s="1"/>
  <c r="I3284" i="13" s="1"/>
  <c r="M3473" i="14"/>
  <c r="N3469" i="14"/>
  <c r="J3468" i="14" a="1"/>
  <c r="J3468" i="14" s="1"/>
  <c r="J3469" i="13" a="1"/>
  <c r="J3469" i="13" s="1"/>
  <c r="N3470" i="13"/>
  <c r="M3472" i="13"/>
  <c r="K3284" i="13" l="1"/>
  <c r="L3284" i="13" s="1"/>
  <c r="I3285" i="13" s="1"/>
  <c r="K3306" i="14"/>
  <c r="L3306" i="14" s="1"/>
  <c r="I3307" i="14" s="1"/>
  <c r="M3473" i="13"/>
  <c r="N3470" i="14"/>
  <c r="J3469" i="14" a="1"/>
  <c r="J3469" i="14" s="1"/>
  <c r="N3471" i="13"/>
  <c r="J3470" i="13" a="1"/>
  <c r="J3470" i="13" s="1"/>
  <c r="M3474" i="14"/>
  <c r="K3307" i="14" l="1"/>
  <c r="L3307" i="14" s="1"/>
  <c r="I3308" i="14" s="1"/>
  <c r="K3285" i="13"/>
  <c r="L3285" i="13" s="1"/>
  <c r="I3286" i="13" s="1"/>
  <c r="M3475" i="14"/>
  <c r="J3470" i="14" a="1"/>
  <c r="J3470" i="14" s="1"/>
  <c r="N3471" i="14"/>
  <c r="M3474" i="13"/>
  <c r="J3471" i="13" a="1"/>
  <c r="J3471" i="13" s="1"/>
  <c r="N3472" i="13"/>
  <c r="K3286" i="13" l="1"/>
  <c r="L3286" i="13" s="1"/>
  <c r="I3287" i="13" s="1"/>
  <c r="K3308" i="14"/>
  <c r="L3308" i="14" s="1"/>
  <c r="I3309" i="14" s="1"/>
  <c r="J3471" i="14" a="1"/>
  <c r="J3471" i="14" s="1"/>
  <c r="N3472" i="14"/>
  <c r="J3472" i="13" a="1"/>
  <c r="J3472" i="13" s="1"/>
  <c r="N3473" i="13"/>
  <c r="M3475" i="13"/>
  <c r="M3476" i="14"/>
  <c r="K3309" i="14" l="1"/>
  <c r="L3309" i="14" s="1"/>
  <c r="I3310" i="14" s="1"/>
  <c r="K3287" i="13"/>
  <c r="L3287" i="13" s="1"/>
  <c r="I3288" i="13" s="1"/>
  <c r="J3473" i="13" a="1"/>
  <c r="J3473" i="13" s="1"/>
  <c r="N3474" i="13"/>
  <c r="J3472" i="14" a="1"/>
  <c r="J3472" i="14" s="1"/>
  <c r="N3473" i="14"/>
  <c r="M3477" i="14"/>
  <c r="M3476" i="13"/>
  <c r="K3288" i="13" l="1"/>
  <c r="L3288" i="13" s="1"/>
  <c r="I3289" i="13" s="1"/>
  <c r="K3310" i="14"/>
  <c r="L3310" i="14" s="1"/>
  <c r="I3311" i="14" s="1"/>
  <c r="N3475" i="13"/>
  <c r="J3474" i="13" a="1"/>
  <c r="J3474" i="13" s="1"/>
  <c r="N3474" i="14"/>
  <c r="J3473" i="14" a="1"/>
  <c r="J3473" i="14" s="1"/>
  <c r="M3477" i="13"/>
  <c r="M3478" i="14"/>
  <c r="K3311" i="14" l="1"/>
  <c r="L3311" i="14" s="1"/>
  <c r="I3312" i="14" s="1"/>
  <c r="K3289" i="13"/>
  <c r="L3289" i="13" s="1"/>
  <c r="I3290" i="13" s="1"/>
  <c r="J3474" i="14" a="1"/>
  <c r="J3474" i="14" s="1"/>
  <c r="N3475" i="14"/>
  <c r="M3479" i="14"/>
  <c r="M3478" i="13"/>
  <c r="J3475" i="13" a="1"/>
  <c r="J3475" i="13" s="1"/>
  <c r="N3476" i="13"/>
  <c r="K3290" i="13" l="1"/>
  <c r="L3290" i="13" s="1"/>
  <c r="I3291" i="13" s="1"/>
  <c r="K3312" i="14"/>
  <c r="L3312" i="14" s="1"/>
  <c r="I3313" i="14" s="1"/>
  <c r="J3476" i="13" a="1"/>
  <c r="J3476" i="13" s="1"/>
  <c r="N3477" i="13"/>
  <c r="M3480" i="14"/>
  <c r="J3475" i="14" a="1"/>
  <c r="J3475" i="14" s="1"/>
  <c r="N3476" i="14"/>
  <c r="M3479" i="13"/>
  <c r="K3313" i="14" l="1"/>
  <c r="L3313" i="14" s="1"/>
  <c r="I3314" i="14" s="1"/>
  <c r="K3291" i="13"/>
  <c r="L3291" i="13" s="1"/>
  <c r="I3292" i="13" s="1"/>
  <c r="M3481" i="14"/>
  <c r="M3480" i="13"/>
  <c r="J3477" i="13" a="1"/>
  <c r="J3477" i="13" s="1"/>
  <c r="N3478" i="13"/>
  <c r="N3477" i="14"/>
  <c r="J3476" i="14" a="1"/>
  <c r="J3476" i="14" s="1"/>
  <c r="K3292" i="13" l="1"/>
  <c r="L3292" i="13" s="1"/>
  <c r="I3293" i="13" s="1"/>
  <c r="K3314" i="14"/>
  <c r="L3314" i="14" s="1"/>
  <c r="I3315" i="14" s="1"/>
  <c r="N3478" i="14"/>
  <c r="J3477" i="14" a="1"/>
  <c r="J3477" i="14" s="1"/>
  <c r="M3481" i="13"/>
  <c r="N3479" i="13"/>
  <c r="J3478" i="13" a="1"/>
  <c r="J3478" i="13" s="1"/>
  <c r="M3482" i="14"/>
  <c r="K3315" i="14" l="1"/>
  <c r="L3315" i="14" s="1"/>
  <c r="I3316" i="14" s="1"/>
  <c r="J3479" i="13" a="1"/>
  <c r="J3479" i="13" s="1"/>
  <c r="N3480" i="13"/>
  <c r="M3482" i="13"/>
  <c r="M3483" i="14"/>
  <c r="J3478" i="14" a="1"/>
  <c r="J3478" i="14" s="1"/>
  <c r="N3479" i="14"/>
  <c r="K3293" i="13"/>
  <c r="L3293" i="13" s="1"/>
  <c r="I3294" i="13" s="1"/>
  <c r="K3294" i="13" l="1"/>
  <c r="L3294" i="13" s="1"/>
  <c r="I3295" i="13" s="1"/>
  <c r="M3484" i="14"/>
  <c r="J3480" i="13" a="1"/>
  <c r="J3480" i="13" s="1"/>
  <c r="N3481" i="13"/>
  <c r="J3479" i="14" a="1"/>
  <c r="J3479" i="14" s="1"/>
  <c r="N3480" i="14"/>
  <c r="M3483" i="13"/>
  <c r="K3316" i="14"/>
  <c r="L3316" i="14" s="1"/>
  <c r="I3317" i="14" s="1"/>
  <c r="K3317" i="14" l="1"/>
  <c r="L3317" i="14" s="1"/>
  <c r="I3318" i="14" s="1"/>
  <c r="K3295" i="13"/>
  <c r="L3295" i="13" s="1"/>
  <c r="I3296" i="13" s="1"/>
  <c r="J3480" i="14" a="1"/>
  <c r="J3480" i="14" s="1"/>
  <c r="N3481" i="14"/>
  <c r="M3485" i="14"/>
  <c r="J3481" i="13" a="1"/>
  <c r="J3481" i="13" s="1"/>
  <c r="N3482" i="13"/>
  <c r="M3484" i="13"/>
  <c r="K3296" i="13" l="1"/>
  <c r="L3296" i="13" s="1"/>
  <c r="I3297" i="13" s="1"/>
  <c r="K3318" i="14"/>
  <c r="L3318" i="14" s="1"/>
  <c r="I3319" i="14" s="1"/>
  <c r="N3483" i="13"/>
  <c r="J3482" i="13" a="1"/>
  <c r="J3482" i="13" s="1"/>
  <c r="M3485" i="13"/>
  <c r="M3486" i="14"/>
  <c r="N3482" i="14"/>
  <c r="J3481" i="14" a="1"/>
  <c r="J3481" i="14" s="1"/>
  <c r="K3319" i="14" l="1"/>
  <c r="L3319" i="14" s="1"/>
  <c r="I3320" i="14" s="1"/>
  <c r="K3297" i="13"/>
  <c r="L3297" i="13" s="1"/>
  <c r="I3298" i="13" s="1"/>
  <c r="M3486" i="13"/>
  <c r="J3482" i="14" a="1"/>
  <c r="J3482" i="14" s="1"/>
  <c r="N3483" i="14"/>
  <c r="M3487" i="14"/>
  <c r="J3483" i="13" a="1"/>
  <c r="J3483" i="13" s="1"/>
  <c r="N3484" i="13"/>
  <c r="K3320" i="14" l="1"/>
  <c r="L3320" i="14" s="1"/>
  <c r="I3321" i="14" s="1"/>
  <c r="K3298" i="13"/>
  <c r="L3298" i="13" s="1"/>
  <c r="I3299" i="13" s="1"/>
  <c r="J3484" i="13" a="1"/>
  <c r="J3484" i="13" s="1"/>
  <c r="N3485" i="13"/>
  <c r="J3483" i="14" a="1"/>
  <c r="J3483" i="14" s="1"/>
  <c r="N3484" i="14"/>
  <c r="M3488" i="14"/>
  <c r="M3487" i="13"/>
  <c r="K3299" i="13" l="1"/>
  <c r="L3299" i="13" s="1"/>
  <c r="I3300" i="13" s="1"/>
  <c r="K3321" i="14"/>
  <c r="L3321" i="14" s="1"/>
  <c r="I3322" i="14" s="1"/>
  <c r="N3485" i="14"/>
  <c r="J3484" i="14" a="1"/>
  <c r="J3484" i="14" s="1"/>
  <c r="M3488" i="13"/>
  <c r="M3489" i="14"/>
  <c r="J3485" i="13" a="1"/>
  <c r="J3485" i="13" s="1"/>
  <c r="N3486" i="13"/>
  <c r="K3322" i="14" l="1"/>
  <c r="L3322" i="14" s="1"/>
  <c r="I3323" i="14" s="1"/>
  <c r="K3300" i="13"/>
  <c r="L3300" i="13" s="1"/>
  <c r="I3301" i="13" s="1"/>
  <c r="M3489" i="13"/>
  <c r="N3487" i="13"/>
  <c r="J3486" i="13" a="1"/>
  <c r="J3486" i="13" s="1"/>
  <c r="M3490" i="14"/>
  <c r="N3486" i="14"/>
  <c r="J3485" i="14" a="1"/>
  <c r="J3485" i="14" s="1"/>
  <c r="K3301" i="13" l="1"/>
  <c r="L3301" i="13" s="1"/>
  <c r="I3302" i="13" s="1"/>
  <c r="K3323" i="14"/>
  <c r="L3323" i="14" s="1"/>
  <c r="I3324" i="14" s="1"/>
  <c r="J3487" i="13" a="1"/>
  <c r="J3487" i="13" s="1"/>
  <c r="N3488" i="13"/>
  <c r="J3486" i="14" a="1"/>
  <c r="J3486" i="14" s="1"/>
  <c r="N3487" i="14"/>
  <c r="M3490" i="13"/>
  <c r="M3491" i="14"/>
  <c r="K3324" i="14" l="1"/>
  <c r="L3324" i="14" s="1"/>
  <c r="I3325" i="14" s="1"/>
  <c r="K3302" i="13"/>
  <c r="L3302" i="13" s="1"/>
  <c r="I3303" i="13" s="1"/>
  <c r="J3487" i="14" a="1"/>
  <c r="J3487" i="14" s="1"/>
  <c r="N3488" i="14"/>
  <c r="J3488" i="13" a="1"/>
  <c r="J3488" i="13" s="1"/>
  <c r="N3489" i="13"/>
  <c r="M3492" i="14"/>
  <c r="M3491" i="13"/>
  <c r="K3303" i="13" l="1"/>
  <c r="L3303" i="13" s="1"/>
  <c r="I3304" i="13" s="1"/>
  <c r="K3325" i="14"/>
  <c r="L3325" i="14" s="1"/>
  <c r="I3326" i="14" s="1"/>
  <c r="J3488" i="14" a="1"/>
  <c r="J3488" i="14" s="1"/>
  <c r="N3489" i="14"/>
  <c r="J3489" i="13" a="1"/>
  <c r="J3489" i="13" s="1"/>
  <c r="N3490" i="13"/>
  <c r="M3492" i="13"/>
  <c r="M3493" i="14"/>
  <c r="K3326" i="14" l="1"/>
  <c r="L3326" i="14" s="1"/>
  <c r="I3327" i="14" s="1"/>
  <c r="K3304" i="13"/>
  <c r="L3304" i="13" s="1"/>
  <c r="I3305" i="13" s="1"/>
  <c r="N3491" i="13"/>
  <c r="J3490" i="13" a="1"/>
  <c r="J3490" i="13" s="1"/>
  <c r="N3490" i="14"/>
  <c r="J3489" i="14" a="1"/>
  <c r="J3489" i="14" s="1"/>
  <c r="M3494" i="14"/>
  <c r="M3493" i="13"/>
  <c r="K3305" i="13" l="1"/>
  <c r="L3305" i="13" s="1"/>
  <c r="I3306" i="13" s="1"/>
  <c r="K3327" i="14"/>
  <c r="L3327" i="14" s="1"/>
  <c r="I3328" i="14" s="1"/>
  <c r="M3494" i="13"/>
  <c r="J3490" i="14" a="1"/>
  <c r="J3490" i="14" s="1"/>
  <c r="N3491" i="14"/>
  <c r="M3495" i="14"/>
  <c r="J3491" i="13" a="1"/>
  <c r="J3491" i="13" s="1"/>
  <c r="N3492" i="13"/>
  <c r="K3328" i="14" l="1"/>
  <c r="L3328" i="14" s="1"/>
  <c r="I3329" i="14" s="1"/>
  <c r="K3306" i="13"/>
  <c r="L3306" i="13" s="1"/>
  <c r="I3307" i="13" s="1"/>
  <c r="J3491" i="14" a="1"/>
  <c r="J3491" i="14" s="1"/>
  <c r="N3492" i="14"/>
  <c r="J3492" i="13" a="1"/>
  <c r="J3492" i="13" s="1"/>
  <c r="N3493" i="13"/>
  <c r="M3496" i="14"/>
  <c r="M3495" i="13"/>
  <c r="K3329" i="14" l="1"/>
  <c r="L3329" i="14" s="1"/>
  <c r="I3330" i="14" s="1"/>
  <c r="J3493" i="13" a="1"/>
  <c r="J3493" i="13" s="1"/>
  <c r="N3494" i="13"/>
  <c r="K3307" i="13"/>
  <c r="L3307" i="13" s="1"/>
  <c r="I3308" i="13" s="1"/>
  <c r="M3496" i="13"/>
  <c r="N3493" i="14"/>
  <c r="J3492" i="14" a="1"/>
  <c r="J3492" i="14" s="1"/>
  <c r="M3497" i="14"/>
  <c r="K3308" i="13" l="1"/>
  <c r="L3308" i="13" s="1"/>
  <c r="I3309" i="13" s="1"/>
  <c r="K3330" i="14"/>
  <c r="L3330" i="14" s="1"/>
  <c r="I3331" i="14" s="1"/>
  <c r="N3495" i="13"/>
  <c r="J3494" i="13" a="1"/>
  <c r="J3494" i="13" s="1"/>
  <c r="M3498" i="14"/>
  <c r="M3497" i="13"/>
  <c r="N3494" i="14"/>
  <c r="J3493" i="14" a="1"/>
  <c r="J3493" i="14" s="1"/>
  <c r="K3331" i="14" l="1"/>
  <c r="L3331" i="14" s="1"/>
  <c r="I3332" i="14" s="1"/>
  <c r="K3309" i="13"/>
  <c r="L3309" i="13" s="1"/>
  <c r="I3310" i="13" s="1"/>
  <c r="J3494" i="14" a="1"/>
  <c r="J3494" i="14" s="1"/>
  <c r="N3495" i="14"/>
  <c r="M3499" i="14"/>
  <c r="M3498" i="13"/>
  <c r="J3495" i="13" a="1"/>
  <c r="J3495" i="13" s="1"/>
  <c r="N3496" i="13"/>
  <c r="K3310" i="13" l="1"/>
  <c r="L3310" i="13" s="1"/>
  <c r="I3311" i="13" s="1"/>
  <c r="K3332" i="14"/>
  <c r="L3332" i="14" s="1"/>
  <c r="I3333" i="14" s="1"/>
  <c r="J3496" i="13" a="1"/>
  <c r="J3496" i="13" s="1"/>
  <c r="N3497" i="13"/>
  <c r="M3500" i="14"/>
  <c r="J3495" i="14" a="1"/>
  <c r="J3495" i="14" s="1"/>
  <c r="N3496" i="14"/>
  <c r="M3499" i="13"/>
  <c r="K3333" i="14" l="1"/>
  <c r="L3333" i="14" s="1"/>
  <c r="I3334" i="14" s="1"/>
  <c r="K3311" i="13"/>
  <c r="L3311" i="13" s="1"/>
  <c r="I3312" i="13" s="1"/>
  <c r="M3501" i="14"/>
  <c r="J3496" i="14" a="1"/>
  <c r="J3496" i="14" s="1"/>
  <c r="N3497" i="14"/>
  <c r="M3500" i="13"/>
  <c r="J3497" i="13" a="1"/>
  <c r="J3497" i="13" s="1"/>
  <c r="N3498" i="13"/>
  <c r="K3312" i="13" l="1"/>
  <c r="L3312" i="13" s="1"/>
  <c r="I3313" i="13" s="1"/>
  <c r="K3334" i="14"/>
  <c r="L3334" i="14" s="1"/>
  <c r="I3335" i="14" s="1"/>
  <c r="N3498" i="14"/>
  <c r="J3497" i="14" a="1"/>
  <c r="J3497" i="14" s="1"/>
  <c r="N3499" i="13"/>
  <c r="J3498" i="13" a="1"/>
  <c r="J3498" i="13" s="1"/>
  <c r="M3501" i="13"/>
  <c r="M3502" i="14"/>
  <c r="K3335" i="14" l="1"/>
  <c r="L3335" i="14" s="1"/>
  <c r="I3336" i="14" s="1"/>
  <c r="K3313" i="13"/>
  <c r="L3313" i="13" s="1"/>
  <c r="I3314" i="13" s="1"/>
  <c r="J3499" i="13" a="1"/>
  <c r="J3499" i="13" s="1"/>
  <c r="N3500" i="13"/>
  <c r="M3503" i="14"/>
  <c r="M3502" i="13"/>
  <c r="J3498" i="14" a="1"/>
  <c r="J3498" i="14" s="1"/>
  <c r="N3499" i="14"/>
  <c r="K3314" i="13" l="1"/>
  <c r="L3314" i="13" s="1"/>
  <c r="I3315" i="13" s="1"/>
  <c r="K3336" i="14"/>
  <c r="L3336" i="14" s="1"/>
  <c r="I3337" i="14" s="1"/>
  <c r="J3499" i="14" a="1"/>
  <c r="J3499" i="14" s="1"/>
  <c r="N3500" i="14"/>
  <c r="M3504" i="14"/>
  <c r="J3500" i="13" a="1"/>
  <c r="J3500" i="13" s="1"/>
  <c r="N3501" i="13"/>
  <c r="M3503" i="13"/>
  <c r="K3337" i="14" l="1"/>
  <c r="L3337" i="14" s="1"/>
  <c r="I3338" i="14" s="1"/>
  <c r="K3315" i="13"/>
  <c r="L3315" i="13" s="1"/>
  <c r="I3316" i="13" s="1"/>
  <c r="J3501" i="13" a="1"/>
  <c r="J3501" i="13" s="1"/>
  <c r="N3502" i="13"/>
  <c r="M3505" i="14"/>
  <c r="M3504" i="13"/>
  <c r="N3501" i="14"/>
  <c r="J3500" i="14" a="1"/>
  <c r="J3500" i="14" s="1"/>
  <c r="K3316" i="13" l="1"/>
  <c r="L3316" i="13" s="1"/>
  <c r="I3317" i="13" s="1"/>
  <c r="K3338" i="14"/>
  <c r="L3338" i="14" s="1"/>
  <c r="I3339" i="14" s="1"/>
  <c r="N3502" i="14"/>
  <c r="J3501" i="14" a="1"/>
  <c r="J3501" i="14" s="1"/>
  <c r="M3506" i="14"/>
  <c r="N3503" i="13"/>
  <c r="J3502" i="13" a="1"/>
  <c r="J3502" i="13" s="1"/>
  <c r="M3505" i="13"/>
  <c r="K3339" i="14" l="1"/>
  <c r="L3339" i="14" s="1"/>
  <c r="I3340" i="14" s="1"/>
  <c r="K3317" i="13"/>
  <c r="L3317" i="13" s="1"/>
  <c r="I3318" i="13" s="1"/>
  <c r="M3506" i="13"/>
  <c r="M3507" i="14"/>
  <c r="J3503" i="13" a="1"/>
  <c r="J3503" i="13" s="1"/>
  <c r="N3504" i="13"/>
  <c r="J3502" i="14" a="1"/>
  <c r="J3502" i="14" s="1"/>
  <c r="N3503" i="14"/>
  <c r="K3318" i="13" l="1"/>
  <c r="L3318" i="13" s="1"/>
  <c r="I3319" i="13" s="1"/>
  <c r="K3340" i="14"/>
  <c r="L3340" i="14" s="1"/>
  <c r="I3341" i="14" s="1"/>
  <c r="M3508" i="14"/>
  <c r="J3503" i="14" a="1"/>
  <c r="J3503" i="14" s="1"/>
  <c r="N3504" i="14"/>
  <c r="J3504" i="13" a="1"/>
  <c r="J3504" i="13" s="1"/>
  <c r="N3505" i="13"/>
  <c r="M3507" i="13"/>
  <c r="K3341" i="14" l="1"/>
  <c r="L3341" i="14" s="1"/>
  <c r="I3342" i="14" s="1"/>
  <c r="K3319" i="13"/>
  <c r="L3319" i="13" s="1"/>
  <c r="I3320" i="13" s="1"/>
  <c r="J3505" i="13" a="1"/>
  <c r="J3505" i="13" s="1"/>
  <c r="N3506" i="13"/>
  <c r="M3509" i="14"/>
  <c r="J3504" i="14" a="1"/>
  <c r="J3504" i="14" s="1"/>
  <c r="N3505" i="14"/>
  <c r="M3508" i="13"/>
  <c r="K3320" i="13" l="1"/>
  <c r="L3320" i="13" s="1"/>
  <c r="I3321" i="13" s="1"/>
  <c r="K3342" i="14"/>
  <c r="L3342" i="14" s="1"/>
  <c r="I3343" i="14" s="1"/>
  <c r="N3506" i="14"/>
  <c r="J3505" i="14" a="1"/>
  <c r="J3505" i="14" s="1"/>
  <c r="M3509" i="13"/>
  <c r="M3510" i="14"/>
  <c r="N3507" i="13"/>
  <c r="J3506" i="13" a="1"/>
  <c r="J3506" i="13" s="1"/>
  <c r="K3343" i="14" l="1"/>
  <c r="L3343" i="14" s="1"/>
  <c r="I3344" i="14" s="1"/>
  <c r="K3321" i="13"/>
  <c r="L3321" i="13" s="1"/>
  <c r="I3322" i="13" s="1"/>
  <c r="M3510" i="13"/>
  <c r="J3507" i="13" a="1"/>
  <c r="J3507" i="13" s="1"/>
  <c r="N3508" i="13"/>
  <c r="M3511" i="14"/>
  <c r="J3506" i="14" a="1"/>
  <c r="J3506" i="14" s="1"/>
  <c r="N3507" i="14"/>
  <c r="K3322" i="13" l="1"/>
  <c r="L3322" i="13" s="1"/>
  <c r="I3323" i="13" s="1"/>
  <c r="K3344" i="14"/>
  <c r="L3344" i="14" s="1"/>
  <c r="I3345" i="14" s="1"/>
  <c r="J3507" i="14" a="1"/>
  <c r="J3507" i="14" s="1"/>
  <c r="N3508" i="14"/>
  <c r="J3508" i="13" a="1"/>
  <c r="J3508" i="13" s="1"/>
  <c r="N3509" i="13"/>
  <c r="M3512" i="14"/>
  <c r="M3511" i="13"/>
  <c r="K3345" i="14" l="1"/>
  <c r="L3345" i="14" s="1"/>
  <c r="I3346" i="14" s="1"/>
  <c r="K3323" i="13"/>
  <c r="L3323" i="13" s="1"/>
  <c r="I3324" i="13" s="1"/>
  <c r="J3509" i="13" a="1"/>
  <c r="J3509" i="13" s="1"/>
  <c r="N3510" i="13"/>
  <c r="N3509" i="14"/>
  <c r="J3508" i="14" a="1"/>
  <c r="J3508" i="14" s="1"/>
  <c r="M3512" i="13"/>
  <c r="M3513" i="14"/>
  <c r="K3324" i="13" l="1"/>
  <c r="L3324" i="13" s="1"/>
  <c r="I3325" i="13" s="1"/>
  <c r="K3346" i="14"/>
  <c r="L3346" i="14" s="1"/>
  <c r="I3347" i="14" s="1"/>
  <c r="N3510" i="14"/>
  <c r="J3509" i="14" a="1"/>
  <c r="J3509" i="14" s="1"/>
  <c r="N3511" i="13"/>
  <c r="J3510" i="13" a="1"/>
  <c r="J3510" i="13" s="1"/>
  <c r="M3514" i="14"/>
  <c r="M3513" i="13"/>
  <c r="K3347" i="14" l="1"/>
  <c r="L3347" i="14" s="1"/>
  <c r="I3348" i="14" s="1"/>
  <c r="K3325" i="13"/>
  <c r="L3325" i="13" s="1"/>
  <c r="I3326" i="13" s="1"/>
  <c r="J3511" i="13" a="1"/>
  <c r="J3511" i="13" s="1"/>
  <c r="N3512" i="13"/>
  <c r="M3514" i="13"/>
  <c r="M3515" i="14"/>
  <c r="J3510" i="14" a="1"/>
  <c r="J3510" i="14" s="1"/>
  <c r="N3511" i="14"/>
  <c r="K3326" i="13" l="1"/>
  <c r="L3326" i="13" s="1"/>
  <c r="I3327" i="13" s="1"/>
  <c r="K3348" i="14"/>
  <c r="L3348" i="14" s="1"/>
  <c r="I3349" i="14" s="1"/>
  <c r="J3511" i="14" a="1"/>
  <c r="J3511" i="14" s="1"/>
  <c r="N3512" i="14"/>
  <c r="M3515" i="13"/>
  <c r="J3512" i="13" a="1"/>
  <c r="J3512" i="13" s="1"/>
  <c r="N3513" i="13"/>
  <c r="M3516" i="14"/>
  <c r="K3349" i="14" l="1"/>
  <c r="L3349" i="14" s="1"/>
  <c r="I3350" i="14" s="1"/>
  <c r="K3327" i="13"/>
  <c r="L3327" i="13" s="1"/>
  <c r="I3328" i="13" s="1"/>
  <c r="M3517" i="14"/>
  <c r="M3516" i="13"/>
  <c r="J3512" i="14" a="1"/>
  <c r="J3512" i="14" s="1"/>
  <c r="N3513" i="14"/>
  <c r="J3513" i="13" a="1"/>
  <c r="J3513" i="13" s="1"/>
  <c r="N3514" i="13"/>
  <c r="K3328" i="13" l="1"/>
  <c r="L3328" i="13" s="1"/>
  <c r="I3329" i="13" s="1"/>
  <c r="K3350" i="14"/>
  <c r="L3350" i="14" s="1"/>
  <c r="I3351" i="14" s="1"/>
  <c r="N3515" i="13"/>
  <c r="J3514" i="13" a="1"/>
  <c r="J3514" i="13" s="1"/>
  <c r="M3517" i="13"/>
  <c r="N3514" i="14"/>
  <c r="J3513" i="14" a="1"/>
  <c r="J3513" i="14" s="1"/>
  <c r="M3518" i="14"/>
  <c r="K3351" i="14" l="1"/>
  <c r="L3351" i="14" s="1"/>
  <c r="I3352" i="14" s="1"/>
  <c r="K3329" i="13"/>
  <c r="L3329" i="13" s="1"/>
  <c r="I3330" i="13" s="1"/>
  <c r="M3518" i="13"/>
  <c r="M3519" i="14"/>
  <c r="J3514" i="14" a="1"/>
  <c r="J3514" i="14" s="1"/>
  <c r="N3515" i="14"/>
  <c r="J3515" i="13" a="1"/>
  <c r="J3515" i="13" s="1"/>
  <c r="N3516" i="13"/>
  <c r="K3330" i="13" l="1"/>
  <c r="L3330" i="13" s="1"/>
  <c r="I3331" i="13" s="1"/>
  <c r="K3352" i="14"/>
  <c r="L3352" i="14" s="1"/>
  <c r="I3353" i="14" s="1"/>
  <c r="J3516" i="13" a="1"/>
  <c r="J3516" i="13" s="1"/>
  <c r="N3517" i="13"/>
  <c r="M3520" i="14"/>
  <c r="J3515" i="14" a="1"/>
  <c r="J3515" i="14" s="1"/>
  <c r="N3516" i="14"/>
  <c r="M3519" i="13"/>
  <c r="K3353" i="14" l="1"/>
  <c r="L3353" i="14" s="1"/>
  <c r="I3354" i="14" s="1"/>
  <c r="K3331" i="13"/>
  <c r="L3331" i="13" s="1"/>
  <c r="I3332" i="13" s="1"/>
  <c r="N3517" i="14"/>
  <c r="J3516" i="14" a="1"/>
  <c r="J3516" i="14" s="1"/>
  <c r="M3521" i="14"/>
  <c r="M3520" i="13"/>
  <c r="J3517" i="13" a="1"/>
  <c r="J3517" i="13" s="1"/>
  <c r="N3518" i="13"/>
  <c r="K3332" i="13" l="1"/>
  <c r="L3332" i="13" s="1"/>
  <c r="I3333" i="13" s="1"/>
  <c r="M3521" i="13"/>
  <c r="K3354" i="14"/>
  <c r="L3354" i="14" s="1"/>
  <c r="I3355" i="14" s="1"/>
  <c r="N3519" i="13"/>
  <c r="J3518" i="13" a="1"/>
  <c r="J3518" i="13" s="1"/>
  <c r="N3518" i="14"/>
  <c r="J3517" i="14" a="1"/>
  <c r="J3517" i="14" s="1"/>
  <c r="M3522" i="14"/>
  <c r="K3355" i="14" l="1"/>
  <c r="L3355" i="14" s="1"/>
  <c r="I3356" i="14" s="1"/>
  <c r="K3333" i="13"/>
  <c r="L3333" i="13" s="1"/>
  <c r="I3334" i="13" s="1"/>
  <c r="M3522" i="13"/>
  <c r="J3519" i="13" a="1"/>
  <c r="J3519" i="13" s="1"/>
  <c r="N3520" i="13"/>
  <c r="M3523" i="14"/>
  <c r="J3518" i="14" a="1"/>
  <c r="J3518" i="14" s="1"/>
  <c r="N3519" i="14"/>
  <c r="K3334" i="13" l="1"/>
  <c r="L3334" i="13" s="1"/>
  <c r="I3335" i="13" s="1"/>
  <c r="K3356" i="14"/>
  <c r="L3356" i="14" s="1"/>
  <c r="I3357" i="14" s="1"/>
  <c r="J3520" i="13" a="1"/>
  <c r="J3520" i="13" s="1"/>
  <c r="N3521" i="13"/>
  <c r="J3519" i="14" a="1"/>
  <c r="J3519" i="14" s="1"/>
  <c r="N3520" i="14"/>
  <c r="M3524" i="14"/>
  <c r="M3523" i="13"/>
  <c r="K3357" i="14" l="1"/>
  <c r="L3357" i="14" s="1"/>
  <c r="I3358" i="14" s="1"/>
  <c r="K3335" i="13"/>
  <c r="L3335" i="13" s="1"/>
  <c r="I3336" i="13" s="1"/>
  <c r="J3521" i="13" a="1"/>
  <c r="J3521" i="13" s="1"/>
  <c r="N3522" i="13"/>
  <c r="J3520" i="14" a="1"/>
  <c r="J3520" i="14" s="1"/>
  <c r="N3521" i="14"/>
  <c r="M3524" i="13"/>
  <c r="M3525" i="14"/>
  <c r="K3336" i="13" l="1"/>
  <c r="L3336" i="13" s="1"/>
  <c r="I3337" i="13" s="1"/>
  <c r="K3358" i="14"/>
  <c r="L3358" i="14" s="1"/>
  <c r="I3359" i="14" s="1"/>
  <c r="N3522" i="14"/>
  <c r="J3521" i="14" a="1"/>
  <c r="J3521" i="14" s="1"/>
  <c r="N3523" i="13"/>
  <c r="J3522" i="13" a="1"/>
  <c r="J3522" i="13" s="1"/>
  <c r="M3526" i="14"/>
  <c r="M3525" i="13"/>
  <c r="K3359" i="14" l="1"/>
  <c r="L3359" i="14" s="1"/>
  <c r="I3360" i="14" s="1"/>
  <c r="K3337" i="13"/>
  <c r="L3337" i="13" s="1"/>
  <c r="I3338" i="13" s="1"/>
  <c r="J3523" i="13" a="1"/>
  <c r="J3523" i="13" s="1"/>
  <c r="N3524" i="13"/>
  <c r="M3526" i="13"/>
  <c r="M3527" i="14"/>
  <c r="J3522" i="14" a="1"/>
  <c r="J3522" i="14" s="1"/>
  <c r="N3523" i="14"/>
  <c r="K3338" i="13" l="1"/>
  <c r="L3338" i="13" s="1"/>
  <c r="I3339" i="13" s="1"/>
  <c r="K3360" i="14"/>
  <c r="L3360" i="14" s="1"/>
  <c r="I3361" i="14" s="1"/>
  <c r="J3523" i="14" a="1"/>
  <c r="J3523" i="14" s="1"/>
  <c r="N3524" i="14"/>
  <c r="M3527" i="13"/>
  <c r="M3528" i="14"/>
  <c r="J3524" i="13" a="1"/>
  <c r="J3524" i="13" s="1"/>
  <c r="N3525" i="13"/>
  <c r="K3361" i="14" l="1"/>
  <c r="L3361" i="14" s="1"/>
  <c r="I3362" i="14" s="1"/>
  <c r="K3339" i="13"/>
  <c r="L3339" i="13" s="1"/>
  <c r="I3340" i="13" s="1"/>
  <c r="J3525" i="13" a="1"/>
  <c r="J3525" i="13" s="1"/>
  <c r="N3526" i="13"/>
  <c r="M3528" i="13"/>
  <c r="M3529" i="14"/>
  <c r="N3525" i="14"/>
  <c r="J3524" i="14" a="1"/>
  <c r="J3524" i="14" s="1"/>
  <c r="K3340" i="13" l="1"/>
  <c r="L3340" i="13" s="1"/>
  <c r="I3341" i="13" s="1"/>
  <c r="K3362" i="14"/>
  <c r="L3362" i="14" s="1"/>
  <c r="I3363" i="14" s="1"/>
  <c r="N3526" i="14"/>
  <c r="J3525" i="14" a="1"/>
  <c r="J3525" i="14" s="1"/>
  <c r="M3529" i="13"/>
  <c r="N3527" i="13"/>
  <c r="J3526" i="13" a="1"/>
  <c r="J3526" i="13" s="1"/>
  <c r="M3530" i="14"/>
  <c r="K3363" i="14" l="1"/>
  <c r="L3363" i="14" s="1"/>
  <c r="I3364" i="14" s="1"/>
  <c r="K3341" i="13"/>
  <c r="L3341" i="13" s="1"/>
  <c r="I3342" i="13" s="1"/>
  <c r="M3530" i="13"/>
  <c r="J3527" i="13" a="1"/>
  <c r="J3527" i="13" s="1"/>
  <c r="N3528" i="13"/>
  <c r="M3531" i="14"/>
  <c r="J3526" i="14" a="1"/>
  <c r="J3526" i="14" s="1"/>
  <c r="N3527" i="14"/>
  <c r="K3342" i="13" l="1"/>
  <c r="L3342" i="13" s="1"/>
  <c r="I3343" i="13" s="1"/>
  <c r="K3364" i="14"/>
  <c r="L3364" i="14" s="1"/>
  <c r="I3365" i="14" s="1"/>
  <c r="J3527" i="14" a="1"/>
  <c r="J3527" i="14" s="1"/>
  <c r="N3528" i="14"/>
  <c r="J3528" i="13" a="1"/>
  <c r="J3528" i="13" s="1"/>
  <c r="N3529" i="13"/>
  <c r="M3532" i="14"/>
  <c r="M3531" i="13"/>
  <c r="K3365" i="14" l="1"/>
  <c r="L3365" i="14" s="1"/>
  <c r="I3366" i="14" s="1"/>
  <c r="K3343" i="13"/>
  <c r="L3343" i="13" s="1"/>
  <c r="I3344" i="13" s="1"/>
  <c r="J3529" i="13" a="1"/>
  <c r="J3529" i="13" s="1"/>
  <c r="N3530" i="13"/>
  <c r="J3528" i="14" a="1"/>
  <c r="J3528" i="14" s="1"/>
  <c r="N3529" i="14"/>
  <c r="M3532" i="13"/>
  <c r="M3533" i="14"/>
  <c r="K3344" i="13" l="1"/>
  <c r="L3344" i="13" s="1"/>
  <c r="I3345" i="13" s="1"/>
  <c r="K3366" i="14"/>
  <c r="L3366" i="14" s="1"/>
  <c r="I3367" i="14" s="1"/>
  <c r="N3530" i="14"/>
  <c r="J3529" i="14" a="1"/>
  <c r="J3529" i="14" s="1"/>
  <c r="N3531" i="13"/>
  <c r="J3530" i="13" a="1"/>
  <c r="J3530" i="13" s="1"/>
  <c r="M3534" i="14"/>
  <c r="M3533" i="13"/>
  <c r="K3367" i="14" l="1"/>
  <c r="L3367" i="14" s="1"/>
  <c r="I3368" i="14" s="1"/>
  <c r="K3345" i="13"/>
  <c r="L3345" i="13" s="1"/>
  <c r="I3346" i="13" s="1"/>
  <c r="M3534" i="13"/>
  <c r="J3531" i="13" a="1"/>
  <c r="J3531" i="13" s="1"/>
  <c r="N3532" i="13"/>
  <c r="M3535" i="14"/>
  <c r="J3530" i="14" a="1"/>
  <c r="J3530" i="14" s="1"/>
  <c r="N3531" i="14"/>
  <c r="K3346" i="13" l="1"/>
  <c r="L3346" i="13" s="1"/>
  <c r="I3347" i="13" s="1"/>
  <c r="K3368" i="14"/>
  <c r="L3368" i="14" s="1"/>
  <c r="I3369" i="14" s="1"/>
  <c r="J3532" i="13" a="1"/>
  <c r="J3532" i="13" s="1"/>
  <c r="N3533" i="13"/>
  <c r="J3531" i="14" a="1"/>
  <c r="J3531" i="14" s="1"/>
  <c r="N3532" i="14"/>
  <c r="M3536" i="14"/>
  <c r="M3535" i="13"/>
  <c r="K3369" i="14" l="1"/>
  <c r="L3369" i="14" s="1"/>
  <c r="I3370" i="14" s="1"/>
  <c r="K3347" i="13"/>
  <c r="L3347" i="13" s="1"/>
  <c r="I3348" i="13" s="1"/>
  <c r="N3533" i="14"/>
  <c r="J3532" i="14" a="1"/>
  <c r="J3532" i="14" s="1"/>
  <c r="M3537" i="14"/>
  <c r="J3533" i="13" a="1"/>
  <c r="J3533" i="13" s="1"/>
  <c r="N3534" i="13"/>
  <c r="M3536" i="13"/>
  <c r="K3348" i="13" l="1"/>
  <c r="L3348" i="13" s="1"/>
  <c r="I3349" i="13" s="1"/>
  <c r="K3370" i="14"/>
  <c r="L3370" i="14" s="1"/>
  <c r="I3371" i="14" s="1"/>
  <c r="N3535" i="13"/>
  <c r="J3534" i="13" a="1"/>
  <c r="J3534" i="13" s="1"/>
  <c r="M3537" i="13"/>
  <c r="M3538" i="14"/>
  <c r="N3534" i="14"/>
  <c r="J3533" i="14" a="1"/>
  <c r="J3533" i="14" s="1"/>
  <c r="K3371" i="14" l="1"/>
  <c r="L3371" i="14" s="1"/>
  <c r="I3372" i="14" s="1"/>
  <c r="K3349" i="13"/>
  <c r="L3349" i="13" s="1"/>
  <c r="I3350" i="13" s="1"/>
  <c r="M3538" i="13"/>
  <c r="J3534" i="14" a="1"/>
  <c r="J3534" i="14" s="1"/>
  <c r="N3535" i="14"/>
  <c r="M3539" i="14"/>
  <c r="J3535" i="13" a="1"/>
  <c r="J3535" i="13" s="1"/>
  <c r="N3536" i="13"/>
  <c r="K3350" i="13" l="1"/>
  <c r="L3350" i="13" s="1"/>
  <c r="I3351" i="13" s="1"/>
  <c r="K3372" i="14"/>
  <c r="L3372" i="14" s="1"/>
  <c r="I3373" i="14" s="1"/>
  <c r="J3536" i="13" a="1"/>
  <c r="J3536" i="13" s="1"/>
  <c r="N3537" i="13"/>
  <c r="J3535" i="14" a="1"/>
  <c r="J3535" i="14" s="1"/>
  <c r="N3536" i="14"/>
  <c r="M3540" i="14"/>
  <c r="M3539" i="13"/>
  <c r="K3373" i="14" l="1"/>
  <c r="L3373" i="14" s="1"/>
  <c r="I3374" i="14" s="1"/>
  <c r="K3351" i="13"/>
  <c r="L3351" i="13" s="1"/>
  <c r="I3352" i="13" s="1"/>
  <c r="J3536" i="14" a="1"/>
  <c r="J3536" i="14" s="1"/>
  <c r="N3537" i="14"/>
  <c r="M3540" i="13"/>
  <c r="M3541" i="14"/>
  <c r="J3537" i="13" a="1"/>
  <c r="J3537" i="13" s="1"/>
  <c r="N3538" i="13"/>
  <c r="K3352" i="13" l="1"/>
  <c r="L3352" i="13" s="1"/>
  <c r="I3353" i="13" s="1"/>
  <c r="K3374" i="14"/>
  <c r="L3374" i="14" s="1"/>
  <c r="I3375" i="14" s="1"/>
  <c r="N3539" i="13"/>
  <c r="J3538" i="13" a="1"/>
  <c r="J3538" i="13" s="1"/>
  <c r="M3541" i="13"/>
  <c r="N3538" i="14"/>
  <c r="J3537" i="14" a="1"/>
  <c r="J3537" i="14" s="1"/>
  <c r="M3542" i="14"/>
  <c r="K3375" i="14" l="1"/>
  <c r="L3375" i="14" s="1"/>
  <c r="I3376" i="14" s="1"/>
  <c r="K3353" i="13"/>
  <c r="L3353" i="13" s="1"/>
  <c r="I3354" i="13" s="1"/>
  <c r="M3542" i="13"/>
  <c r="J3538" i="14" a="1"/>
  <c r="J3538" i="14" s="1"/>
  <c r="N3539" i="14"/>
  <c r="M3543" i="14"/>
  <c r="J3539" i="13" a="1"/>
  <c r="J3539" i="13" s="1"/>
  <c r="N3540" i="13"/>
  <c r="K3354" i="13" l="1"/>
  <c r="L3354" i="13" s="1"/>
  <c r="I3355" i="13" s="1"/>
  <c r="K3376" i="14"/>
  <c r="L3376" i="14" s="1"/>
  <c r="I3377" i="14" s="1"/>
  <c r="J3540" i="13" a="1"/>
  <c r="J3540" i="13" s="1"/>
  <c r="N3541" i="13"/>
  <c r="J3539" i="14" a="1"/>
  <c r="J3539" i="14" s="1"/>
  <c r="N3540" i="14"/>
  <c r="M3544" i="14"/>
  <c r="M3543" i="13"/>
  <c r="K3377" i="14" l="1"/>
  <c r="L3377" i="14" s="1"/>
  <c r="I3378" i="14" s="1"/>
  <c r="K3355" i="13"/>
  <c r="L3355" i="13" s="1"/>
  <c r="I3356" i="13" s="1"/>
  <c r="N3541" i="14"/>
  <c r="J3540" i="14" a="1"/>
  <c r="J3540" i="14" s="1"/>
  <c r="J3541" i="13" a="1"/>
  <c r="J3541" i="13" s="1"/>
  <c r="N3542" i="13"/>
  <c r="M3544" i="13"/>
  <c r="M3545" i="14"/>
  <c r="K3356" i="13" l="1"/>
  <c r="L3356" i="13" s="1"/>
  <c r="I3357" i="13" s="1"/>
  <c r="K3378" i="14"/>
  <c r="L3378" i="14" s="1"/>
  <c r="I3379" i="14" s="1"/>
  <c r="N3543" i="13"/>
  <c r="J3542" i="13" a="1"/>
  <c r="J3542" i="13" s="1"/>
  <c r="M3546" i="14"/>
  <c r="M3545" i="13"/>
  <c r="N3542" i="14"/>
  <c r="J3541" i="14" a="1"/>
  <c r="J3541" i="14" s="1"/>
  <c r="K3379" i="14" l="1"/>
  <c r="L3379" i="14" s="1"/>
  <c r="I3380" i="14" s="1"/>
  <c r="K3357" i="13"/>
  <c r="L3357" i="13" s="1"/>
  <c r="I3358" i="13" s="1"/>
  <c r="J3542" i="14" a="1"/>
  <c r="J3542" i="14" s="1"/>
  <c r="N3543" i="14"/>
  <c r="M3547" i="14"/>
  <c r="M3546" i="13"/>
  <c r="J3543" i="13" a="1"/>
  <c r="J3543" i="13" s="1"/>
  <c r="N3544" i="13"/>
  <c r="K3358" i="13" l="1"/>
  <c r="L3358" i="13" s="1"/>
  <c r="I3359" i="13" s="1"/>
  <c r="K3380" i="14"/>
  <c r="L3380" i="14" s="1"/>
  <c r="I3381" i="14" s="1"/>
  <c r="J3544" i="13" a="1"/>
  <c r="J3544" i="13" s="1"/>
  <c r="N3545" i="13"/>
  <c r="M3548" i="14"/>
  <c r="J3543" i="14" a="1"/>
  <c r="J3543" i="14" s="1"/>
  <c r="N3544" i="14"/>
  <c r="M3547" i="13"/>
  <c r="K3381" i="14" l="1"/>
  <c r="L3381" i="14" s="1"/>
  <c r="I3382" i="14" s="1"/>
  <c r="K3359" i="13"/>
  <c r="L3359" i="13" s="1"/>
  <c r="I3360" i="13" s="1"/>
  <c r="M3549" i="14"/>
  <c r="J3544" i="14" a="1"/>
  <c r="J3544" i="14" s="1"/>
  <c r="N3545" i="14"/>
  <c r="M3548" i="13"/>
  <c r="J3545" i="13" a="1"/>
  <c r="J3545" i="13" s="1"/>
  <c r="N3546" i="13"/>
  <c r="K3360" i="13" l="1"/>
  <c r="L3360" i="13" s="1"/>
  <c r="I3361" i="13" s="1"/>
  <c r="K3382" i="14"/>
  <c r="L3382" i="14" s="1"/>
  <c r="I3383" i="14" s="1"/>
  <c r="N3546" i="14"/>
  <c r="J3545" i="14" a="1"/>
  <c r="J3545" i="14" s="1"/>
  <c r="N3547" i="13"/>
  <c r="J3546" i="13" a="1"/>
  <c r="J3546" i="13" s="1"/>
  <c r="M3549" i="13"/>
  <c r="M3550" i="14"/>
  <c r="K3383" i="14" l="1"/>
  <c r="L3383" i="14" s="1"/>
  <c r="I3384" i="14" s="1"/>
  <c r="J3547" i="13" a="1"/>
  <c r="J3547" i="13" s="1"/>
  <c r="N3548" i="13"/>
  <c r="M3551" i="14"/>
  <c r="M3550" i="13"/>
  <c r="J3546" i="14" a="1"/>
  <c r="J3546" i="14" s="1"/>
  <c r="N3547" i="14"/>
  <c r="K3361" i="13"/>
  <c r="L3361" i="13" s="1"/>
  <c r="I3362" i="13" s="1"/>
  <c r="K3362" i="13" l="1"/>
  <c r="L3362" i="13" s="1"/>
  <c r="I3363" i="13" s="1"/>
  <c r="K3384" i="14"/>
  <c r="L3384" i="14" s="1"/>
  <c r="I3385" i="14" s="1"/>
  <c r="J3548" i="13" a="1"/>
  <c r="J3548" i="13" s="1"/>
  <c r="N3549" i="13"/>
  <c r="M3551" i="13"/>
  <c r="M3552" i="14"/>
  <c r="J3547" i="14" a="1"/>
  <c r="J3547" i="14" s="1"/>
  <c r="N3548" i="14"/>
  <c r="K3385" i="14" l="1"/>
  <c r="L3385" i="14" s="1"/>
  <c r="I3386" i="14" s="1"/>
  <c r="K3363" i="13"/>
  <c r="L3363" i="13" s="1"/>
  <c r="I3364" i="13" s="1"/>
  <c r="N3549" i="14"/>
  <c r="J3548" i="14" a="1"/>
  <c r="J3548" i="14" s="1"/>
  <c r="M3552" i="13"/>
  <c r="J3549" i="13" a="1"/>
  <c r="J3549" i="13" s="1"/>
  <c r="N3550" i="13"/>
  <c r="M3553" i="14"/>
  <c r="K3364" i="13" l="1"/>
  <c r="L3364" i="13" s="1"/>
  <c r="I3365" i="13" s="1"/>
  <c r="K3386" i="14"/>
  <c r="L3386" i="14" s="1"/>
  <c r="I3387" i="14" s="1"/>
  <c r="N3551" i="13"/>
  <c r="J3550" i="13" a="1"/>
  <c r="J3550" i="13" s="1"/>
  <c r="M3554" i="14"/>
  <c r="M3553" i="13"/>
  <c r="N3550" i="14"/>
  <c r="J3549" i="14" a="1"/>
  <c r="J3549" i="14" s="1"/>
  <c r="K3387" i="14" l="1"/>
  <c r="L3387" i="14" s="1"/>
  <c r="I3388" i="14" s="1"/>
  <c r="K3365" i="13"/>
  <c r="L3365" i="13" s="1"/>
  <c r="I3366" i="13" s="1"/>
  <c r="J3550" i="14" a="1"/>
  <c r="J3550" i="14" s="1"/>
  <c r="N3551" i="14"/>
  <c r="M3555" i="14"/>
  <c r="M3554" i="13"/>
  <c r="J3551" i="13" a="1"/>
  <c r="J3551" i="13" s="1"/>
  <c r="N3552" i="13"/>
  <c r="K3366" i="13" l="1"/>
  <c r="L3366" i="13" s="1"/>
  <c r="I3367" i="13" s="1"/>
  <c r="K3388" i="14"/>
  <c r="L3388" i="14" s="1"/>
  <c r="I3389" i="14" s="1"/>
  <c r="J3552" i="13" a="1"/>
  <c r="J3552" i="13" s="1"/>
  <c r="N3553" i="13"/>
  <c r="M3556" i="14"/>
  <c r="J3551" i="14" a="1"/>
  <c r="J3551" i="14" s="1"/>
  <c r="N3552" i="14"/>
  <c r="M3555" i="13"/>
  <c r="K3389" i="14" l="1"/>
  <c r="L3389" i="14" s="1"/>
  <c r="I3390" i="14" s="1"/>
  <c r="K3367" i="13"/>
  <c r="L3367" i="13" s="1"/>
  <c r="I3368" i="13" s="1"/>
  <c r="J3552" i="14" a="1"/>
  <c r="J3552" i="14" s="1"/>
  <c r="N3553" i="14"/>
  <c r="M3557" i="14"/>
  <c r="M3556" i="13"/>
  <c r="J3553" i="13" a="1"/>
  <c r="J3553" i="13" s="1"/>
  <c r="N3554" i="13"/>
  <c r="K3368" i="13" l="1"/>
  <c r="L3368" i="13" s="1"/>
  <c r="I3369" i="13" s="1"/>
  <c r="K3390" i="14"/>
  <c r="L3390" i="14" s="1"/>
  <c r="I3391" i="14" s="1"/>
  <c r="N3555" i="13"/>
  <c r="J3554" i="13" a="1"/>
  <c r="J3554" i="13" s="1"/>
  <c r="M3558" i="14"/>
  <c r="N3554" i="14"/>
  <c r="J3553" i="14" a="1"/>
  <c r="J3553" i="14" s="1"/>
  <c r="M3557" i="13"/>
  <c r="K3391" i="14" l="1"/>
  <c r="L3391" i="14" s="1"/>
  <c r="I3392" i="14" s="1"/>
  <c r="K3369" i="13"/>
  <c r="L3369" i="13" s="1"/>
  <c r="I3370" i="13" s="1"/>
  <c r="M3558" i="13"/>
  <c r="M3559" i="14"/>
  <c r="J3554" i="14" a="1"/>
  <c r="J3554" i="14" s="1"/>
  <c r="N3555" i="14"/>
  <c r="J3555" i="13" a="1"/>
  <c r="J3555" i="13" s="1"/>
  <c r="N3556" i="13"/>
  <c r="K3370" i="13" l="1"/>
  <c r="L3370" i="13" s="1"/>
  <c r="I3371" i="13" s="1"/>
  <c r="K3392" i="14"/>
  <c r="L3392" i="14" s="1"/>
  <c r="I3393" i="14" s="1"/>
  <c r="J3556" i="13" a="1"/>
  <c r="J3556" i="13" s="1"/>
  <c r="N3557" i="13"/>
  <c r="M3560" i="14"/>
  <c r="J3555" i="14" a="1"/>
  <c r="J3555" i="14" s="1"/>
  <c r="N3556" i="14"/>
  <c r="M3559" i="13"/>
  <c r="K3393" i="14" l="1"/>
  <c r="L3393" i="14" s="1"/>
  <c r="I3394" i="14" s="1"/>
  <c r="K3371" i="13"/>
  <c r="L3371" i="13" s="1"/>
  <c r="I3372" i="13" s="1"/>
  <c r="M3561" i="14"/>
  <c r="N3557" i="14"/>
  <c r="J3556" i="14" a="1"/>
  <c r="J3556" i="14" s="1"/>
  <c r="M3560" i="13"/>
  <c r="J3557" i="13" a="1"/>
  <c r="J3557" i="13" s="1"/>
  <c r="N3558" i="13"/>
  <c r="K3372" i="13" l="1"/>
  <c r="L3372" i="13" s="1"/>
  <c r="I3373" i="13" s="1"/>
  <c r="K3394" i="14"/>
  <c r="L3394" i="14" s="1"/>
  <c r="I3395" i="14" s="1"/>
  <c r="N3559" i="13"/>
  <c r="J3558" i="13" a="1"/>
  <c r="J3558" i="13" s="1"/>
  <c r="N3558" i="14"/>
  <c r="J3557" i="14" a="1"/>
  <c r="J3557" i="14" s="1"/>
  <c r="M3561" i="13"/>
  <c r="M3562" i="14"/>
  <c r="K3395" i="14" l="1"/>
  <c r="L3395" i="14" s="1"/>
  <c r="I3396" i="14" s="1"/>
  <c r="K3373" i="13"/>
  <c r="L3373" i="13" s="1"/>
  <c r="I3374" i="13" s="1"/>
  <c r="J3558" i="14" a="1"/>
  <c r="J3558" i="14" s="1"/>
  <c r="N3559" i="14"/>
  <c r="M3563" i="14"/>
  <c r="M3562" i="13"/>
  <c r="J3559" i="13" a="1"/>
  <c r="J3559" i="13" s="1"/>
  <c r="N3560" i="13"/>
  <c r="K3374" i="13" l="1"/>
  <c r="L3374" i="13" s="1"/>
  <c r="I3375" i="13" s="1"/>
  <c r="K3396" i="14"/>
  <c r="L3396" i="14" s="1"/>
  <c r="I3397" i="14" s="1"/>
  <c r="M3564" i="14"/>
  <c r="J3559" i="14" a="1"/>
  <c r="J3559" i="14" s="1"/>
  <c r="N3560" i="14"/>
  <c r="J3560" i="13" a="1"/>
  <c r="J3560" i="13" s="1"/>
  <c r="N3561" i="13"/>
  <c r="M3563" i="13"/>
  <c r="K3397" i="14" l="1"/>
  <c r="L3397" i="14" s="1"/>
  <c r="I3398" i="14" s="1"/>
  <c r="J3560" i="14" a="1"/>
  <c r="J3560" i="14" s="1"/>
  <c r="N3561" i="14"/>
  <c r="K3375" i="13"/>
  <c r="L3375" i="13" s="1"/>
  <c r="I3376" i="13" s="1"/>
  <c r="M3564" i="13"/>
  <c r="J3561" i="13" a="1"/>
  <c r="J3561" i="13" s="1"/>
  <c r="N3562" i="13"/>
  <c r="M3565" i="14"/>
  <c r="K3376" i="13" l="1"/>
  <c r="L3376" i="13" s="1"/>
  <c r="I3377" i="13" s="1"/>
  <c r="K3398" i="14"/>
  <c r="L3398" i="14" s="1"/>
  <c r="I3399" i="14" s="1"/>
  <c r="N3562" i="14"/>
  <c r="J3561" i="14" a="1"/>
  <c r="J3561" i="14" s="1"/>
  <c r="M3566" i="14"/>
  <c r="M3565" i="13"/>
  <c r="N3563" i="13"/>
  <c r="J3562" i="13" a="1"/>
  <c r="J3562" i="13" s="1"/>
  <c r="K3399" i="14" l="1"/>
  <c r="L3399" i="14" s="1"/>
  <c r="I3400" i="14" s="1"/>
  <c r="K3377" i="13"/>
  <c r="L3377" i="13" s="1"/>
  <c r="I3378" i="13" s="1"/>
  <c r="J3563" i="13" a="1"/>
  <c r="J3563" i="13" s="1"/>
  <c r="N3564" i="13"/>
  <c r="M3567" i="14"/>
  <c r="M3566" i="13"/>
  <c r="J3562" i="14" a="1"/>
  <c r="J3562" i="14" s="1"/>
  <c r="N3563" i="14"/>
  <c r="K3378" i="13" l="1"/>
  <c r="L3378" i="13" s="1"/>
  <c r="I3379" i="13" s="1"/>
  <c r="K3400" i="14"/>
  <c r="L3400" i="14" s="1"/>
  <c r="I3401" i="14" s="1"/>
  <c r="J3563" i="14" a="1"/>
  <c r="J3563" i="14" s="1"/>
  <c r="N3564" i="14"/>
  <c r="M3568" i="14"/>
  <c r="J3564" i="13" a="1"/>
  <c r="J3564" i="13" s="1"/>
  <c r="N3565" i="13"/>
  <c r="M3567" i="13"/>
  <c r="K3401" i="14" l="1"/>
  <c r="L3401" i="14" s="1"/>
  <c r="I3402" i="14" s="1"/>
  <c r="K3379" i="13"/>
  <c r="L3379" i="13" s="1"/>
  <c r="I3380" i="13" s="1"/>
  <c r="J3565" i="13" a="1"/>
  <c r="J3565" i="13" s="1"/>
  <c r="N3566" i="13"/>
  <c r="M3569" i="14"/>
  <c r="M3568" i="13"/>
  <c r="N3565" i="14"/>
  <c r="J3564" i="14" a="1"/>
  <c r="J3564" i="14" s="1"/>
  <c r="K3380" i="13" l="1"/>
  <c r="L3380" i="13" s="1"/>
  <c r="I3381" i="13" s="1"/>
  <c r="K3402" i="14"/>
  <c r="L3402" i="14" s="1"/>
  <c r="I3403" i="14" s="1"/>
  <c r="N3566" i="14"/>
  <c r="J3565" i="14" a="1"/>
  <c r="J3565" i="14" s="1"/>
  <c r="M3570" i="14"/>
  <c r="N3567" i="13"/>
  <c r="J3566" i="13" a="1"/>
  <c r="J3566" i="13" s="1"/>
  <c r="M3569" i="13"/>
  <c r="K3403" i="14" l="1"/>
  <c r="L3403" i="14" s="1"/>
  <c r="I3404" i="14" s="1"/>
  <c r="K3381" i="13"/>
  <c r="L3381" i="13" s="1"/>
  <c r="I3382" i="13" s="1"/>
  <c r="M3570" i="13"/>
  <c r="M3571" i="14"/>
  <c r="J3567" i="13" a="1"/>
  <c r="J3567" i="13" s="1"/>
  <c r="N3568" i="13"/>
  <c r="J3566" i="14" a="1"/>
  <c r="J3566" i="14" s="1"/>
  <c r="N3567" i="14"/>
  <c r="K3382" i="13" l="1"/>
  <c r="L3382" i="13" s="1"/>
  <c r="I3383" i="13" s="1"/>
  <c r="K3404" i="14"/>
  <c r="L3404" i="14" s="1"/>
  <c r="I3405" i="14" s="1"/>
  <c r="J3567" i="14" a="1"/>
  <c r="J3567" i="14" s="1"/>
  <c r="N3568" i="14"/>
  <c r="M3572" i="14"/>
  <c r="J3568" i="13" a="1"/>
  <c r="J3568" i="13" s="1"/>
  <c r="N3569" i="13"/>
  <c r="M3571" i="13"/>
  <c r="K3405" i="14" l="1"/>
  <c r="L3405" i="14" s="1"/>
  <c r="I3406" i="14" s="1"/>
  <c r="K3383" i="13"/>
  <c r="L3383" i="13" s="1"/>
  <c r="I3384" i="13" s="1"/>
  <c r="M3573" i="14"/>
  <c r="J3569" i="13" a="1"/>
  <c r="J3569" i="13" s="1"/>
  <c r="N3570" i="13"/>
  <c r="M3572" i="13"/>
  <c r="J3568" i="14" a="1"/>
  <c r="J3568" i="14" s="1"/>
  <c r="N3569" i="14"/>
  <c r="K3384" i="13" l="1"/>
  <c r="L3384" i="13" s="1"/>
  <c r="I3385" i="13" s="1"/>
  <c r="K3406" i="14"/>
  <c r="L3406" i="14" s="1"/>
  <c r="I3407" i="14" s="1"/>
  <c r="N3570" i="14"/>
  <c r="J3569" i="14" a="1"/>
  <c r="J3569" i="14" s="1"/>
  <c r="N3571" i="13"/>
  <c r="J3570" i="13" a="1"/>
  <c r="J3570" i="13" s="1"/>
  <c r="M3573" i="13"/>
  <c r="M3574" i="14"/>
  <c r="K3407" i="14" l="1"/>
  <c r="L3407" i="14" s="1"/>
  <c r="I3408" i="14" s="1"/>
  <c r="K3385" i="13"/>
  <c r="L3385" i="13" s="1"/>
  <c r="I3386" i="13" s="1"/>
  <c r="J3571" i="13" a="1"/>
  <c r="J3571" i="13" s="1"/>
  <c r="N3572" i="13"/>
  <c r="M3575" i="14"/>
  <c r="M3574" i="13"/>
  <c r="J3570" i="14" a="1"/>
  <c r="J3570" i="14" s="1"/>
  <c r="N3571" i="14"/>
  <c r="K3386" i="13" l="1"/>
  <c r="L3386" i="13" s="1"/>
  <c r="I3387" i="13" s="1"/>
  <c r="K3408" i="14"/>
  <c r="L3408" i="14" s="1"/>
  <c r="I3409" i="14" s="1"/>
  <c r="J3571" i="14" a="1"/>
  <c r="J3571" i="14" s="1"/>
  <c r="N3572" i="14"/>
  <c r="M3576" i="14"/>
  <c r="J3572" i="13" a="1"/>
  <c r="J3572" i="13" s="1"/>
  <c r="N3573" i="13"/>
  <c r="M3575" i="13"/>
  <c r="K3409" i="14" l="1"/>
  <c r="L3409" i="14" s="1"/>
  <c r="I3410" i="14" s="1"/>
  <c r="K3387" i="13"/>
  <c r="L3387" i="13" s="1"/>
  <c r="I3388" i="13" s="1"/>
  <c r="M3577" i="14"/>
  <c r="J3573" i="13" a="1"/>
  <c r="J3573" i="13" s="1"/>
  <c r="N3574" i="13"/>
  <c r="M3576" i="13"/>
  <c r="N3573" i="14"/>
  <c r="J3572" i="14" a="1"/>
  <c r="J3572" i="14" s="1"/>
  <c r="K3388" i="13" l="1"/>
  <c r="L3388" i="13" s="1"/>
  <c r="I3389" i="13" s="1"/>
  <c r="K3410" i="14"/>
  <c r="L3410" i="14" s="1"/>
  <c r="I3411" i="14" s="1"/>
  <c r="N3575" i="13"/>
  <c r="J3574" i="13" a="1"/>
  <c r="J3574" i="13" s="1"/>
  <c r="N3574" i="14"/>
  <c r="J3573" i="14" a="1"/>
  <c r="J3573" i="14" s="1"/>
  <c r="M3577" i="13"/>
  <c r="M3578" i="14"/>
  <c r="K3411" i="14" l="1"/>
  <c r="L3411" i="14" s="1"/>
  <c r="I3412" i="14" s="1"/>
  <c r="K3389" i="13"/>
  <c r="L3389" i="13" s="1"/>
  <c r="I3390" i="13" s="1"/>
  <c r="J3574" i="14" a="1"/>
  <c r="J3574" i="14" s="1"/>
  <c r="N3575" i="14"/>
  <c r="M3579" i="14"/>
  <c r="M3578" i="13"/>
  <c r="J3575" i="13" a="1"/>
  <c r="J3575" i="13" s="1"/>
  <c r="N3576" i="13"/>
  <c r="K3390" i="13" l="1"/>
  <c r="L3390" i="13" s="1"/>
  <c r="I3391" i="13" s="1"/>
  <c r="K3412" i="14"/>
  <c r="L3412" i="14" s="1"/>
  <c r="I3413" i="14" s="1"/>
  <c r="J3576" i="13" a="1"/>
  <c r="J3576" i="13" s="1"/>
  <c r="N3577" i="13"/>
  <c r="M3580" i="14"/>
  <c r="J3575" i="14" a="1"/>
  <c r="J3575" i="14" s="1"/>
  <c r="N3576" i="14"/>
  <c r="M3579" i="13"/>
  <c r="K3413" i="14" l="1"/>
  <c r="L3413" i="14" s="1"/>
  <c r="I3414" i="14" s="1"/>
  <c r="K3391" i="13"/>
  <c r="L3391" i="13" s="1"/>
  <c r="I3392" i="13" s="1"/>
  <c r="M3581" i="14"/>
  <c r="M3580" i="13"/>
  <c r="J3576" i="14" a="1"/>
  <c r="J3576" i="14" s="1"/>
  <c r="N3577" i="14"/>
  <c r="J3577" i="13" a="1"/>
  <c r="J3577" i="13" s="1"/>
  <c r="N3578" i="13"/>
  <c r="K3392" i="13" l="1"/>
  <c r="L3392" i="13" s="1"/>
  <c r="I3393" i="13" s="1"/>
  <c r="K3414" i="14"/>
  <c r="L3414" i="14" s="1"/>
  <c r="I3415" i="14" s="1"/>
  <c r="N3579" i="13"/>
  <c r="J3578" i="13" a="1"/>
  <c r="J3578" i="13" s="1"/>
  <c r="M3581" i="13"/>
  <c r="N3578" i="14"/>
  <c r="J3577" i="14" a="1"/>
  <c r="J3577" i="14" s="1"/>
  <c r="M3582" i="14"/>
  <c r="K3415" i="14" l="1"/>
  <c r="L3415" i="14" s="1"/>
  <c r="I3416" i="14" s="1"/>
  <c r="K3393" i="13"/>
  <c r="L3393" i="13" s="1"/>
  <c r="I3394" i="13" s="1"/>
  <c r="M3582" i="13"/>
  <c r="M3583" i="14"/>
  <c r="J3578" i="14" a="1"/>
  <c r="J3578" i="14" s="1"/>
  <c r="N3579" i="14"/>
  <c r="J3579" i="13" a="1"/>
  <c r="J3579" i="13" s="1"/>
  <c r="N3580" i="13"/>
  <c r="K3394" i="13" l="1"/>
  <c r="L3394" i="13" s="1"/>
  <c r="I3395" i="13" s="1"/>
  <c r="K3416" i="14"/>
  <c r="L3416" i="14" s="1"/>
  <c r="I3417" i="14" s="1"/>
  <c r="J3580" i="13" a="1"/>
  <c r="J3580" i="13" s="1"/>
  <c r="N3581" i="13"/>
  <c r="M3584" i="14"/>
  <c r="J3579" i="14" a="1"/>
  <c r="J3579" i="14" s="1"/>
  <c r="N3580" i="14"/>
  <c r="M3583" i="13"/>
  <c r="K3417" i="14" l="1"/>
  <c r="L3417" i="14" s="1"/>
  <c r="I3418" i="14" s="1"/>
  <c r="K3395" i="13"/>
  <c r="L3395" i="13" s="1"/>
  <c r="I3396" i="13" s="1"/>
  <c r="N3581" i="14"/>
  <c r="J3580" i="14" a="1"/>
  <c r="J3580" i="14" s="1"/>
  <c r="M3585" i="14"/>
  <c r="M3584" i="13"/>
  <c r="J3581" i="13" a="1"/>
  <c r="J3581" i="13" s="1"/>
  <c r="N3582" i="13"/>
  <c r="K3396" i="13" l="1"/>
  <c r="L3396" i="13" s="1"/>
  <c r="I3397" i="13" s="1"/>
  <c r="K3418" i="14"/>
  <c r="L3418" i="14" s="1"/>
  <c r="I3419" i="14" s="1"/>
  <c r="M3586" i="14"/>
  <c r="N3583" i="13"/>
  <c r="J3582" i="13" a="1"/>
  <c r="J3582" i="13" s="1"/>
  <c r="M3585" i="13"/>
  <c r="N3582" i="14"/>
  <c r="J3581" i="14" a="1"/>
  <c r="J3581" i="14" s="1"/>
  <c r="K3419" i="14" l="1"/>
  <c r="L3419" i="14" s="1"/>
  <c r="I3420" i="14" s="1"/>
  <c r="K3397" i="13"/>
  <c r="L3397" i="13" s="1"/>
  <c r="I3398" i="13" s="1"/>
  <c r="J3582" i="14" a="1"/>
  <c r="J3582" i="14" s="1"/>
  <c r="N3583" i="14"/>
  <c r="J3583" i="13" a="1"/>
  <c r="J3583" i="13" s="1"/>
  <c r="N3584" i="13"/>
  <c r="M3586" i="13"/>
  <c r="M3587" i="14"/>
  <c r="K3398" i="13" l="1"/>
  <c r="L3398" i="13" s="1"/>
  <c r="I3399" i="13" s="1"/>
  <c r="J3584" i="13" a="1"/>
  <c r="J3584" i="13" s="1"/>
  <c r="N3585" i="13"/>
  <c r="M3587" i="13"/>
  <c r="M3588" i="14"/>
  <c r="J3583" i="14" a="1"/>
  <c r="J3583" i="14" s="1"/>
  <c r="N3584" i="14"/>
  <c r="K3420" i="14"/>
  <c r="L3420" i="14" s="1"/>
  <c r="I3421" i="14" s="1"/>
  <c r="K3399" i="13" l="1"/>
  <c r="L3399" i="13" s="1"/>
  <c r="I3400" i="13" s="1"/>
  <c r="M3589" i="14"/>
  <c r="J3585" i="13" a="1"/>
  <c r="J3585" i="13" s="1"/>
  <c r="N3586" i="13"/>
  <c r="K3421" i="14"/>
  <c r="L3421" i="14" s="1"/>
  <c r="I3422" i="14" s="1"/>
  <c r="J3584" i="14" a="1"/>
  <c r="J3584" i="14" s="1"/>
  <c r="N3585" i="14"/>
  <c r="M3588" i="13"/>
  <c r="K3422" i="14" l="1"/>
  <c r="L3422" i="14" s="1"/>
  <c r="I3423" i="14" s="1"/>
  <c r="K3400" i="13"/>
  <c r="L3400" i="13" s="1"/>
  <c r="I3401" i="13" s="1"/>
  <c r="N3586" i="14"/>
  <c r="J3585" i="14" a="1"/>
  <c r="J3585" i="14" s="1"/>
  <c r="M3589" i="13"/>
  <c r="M3590" i="14"/>
  <c r="N3587" i="13"/>
  <c r="J3586" i="13" a="1"/>
  <c r="J3586" i="13" s="1"/>
  <c r="K3423" i="14" l="1"/>
  <c r="L3423" i="14" s="1"/>
  <c r="I3424" i="14" s="1"/>
  <c r="M3590" i="13"/>
  <c r="K3401" i="13"/>
  <c r="L3401" i="13" s="1"/>
  <c r="I3402" i="13" s="1"/>
  <c r="J3587" i="13" a="1"/>
  <c r="J3587" i="13" s="1"/>
  <c r="N3588" i="13"/>
  <c r="M3591" i="14"/>
  <c r="J3586" i="14" a="1"/>
  <c r="J3586" i="14" s="1"/>
  <c r="N3587" i="14"/>
  <c r="K3402" i="13" l="1"/>
  <c r="L3402" i="13" s="1"/>
  <c r="I3403" i="13" s="1"/>
  <c r="K3424" i="14"/>
  <c r="L3424" i="14" s="1"/>
  <c r="I3425" i="14" s="1"/>
  <c r="J3587" i="14" a="1"/>
  <c r="J3587" i="14" s="1"/>
  <c r="N3588" i="14"/>
  <c r="J3588" i="13" a="1"/>
  <c r="J3588" i="13" s="1"/>
  <c r="N3589" i="13"/>
  <c r="M3591" i="13"/>
  <c r="M3592" i="14"/>
  <c r="K3403" i="13" l="1"/>
  <c r="L3403" i="13" s="1"/>
  <c r="I3404" i="13" s="1"/>
  <c r="M3592" i="13"/>
  <c r="M3593" i="14"/>
  <c r="J3589" i="13" a="1"/>
  <c r="J3589" i="13" s="1"/>
  <c r="N3590" i="13"/>
  <c r="K3425" i="14"/>
  <c r="L3425" i="14" s="1"/>
  <c r="I3426" i="14" s="1"/>
  <c r="N3589" i="14"/>
  <c r="J3588" i="14" a="1"/>
  <c r="J3588" i="14" s="1"/>
  <c r="K3426" i="14" l="1"/>
  <c r="L3426" i="14" s="1"/>
  <c r="I3427" i="14" s="1"/>
  <c r="K3404" i="13"/>
  <c r="L3404" i="13" s="1"/>
  <c r="I3405" i="13" s="1"/>
  <c r="N3591" i="13"/>
  <c r="J3590" i="13" a="1"/>
  <c r="J3590" i="13" s="1"/>
  <c r="M3593" i="13"/>
  <c r="N3590" i="14"/>
  <c r="J3589" i="14" a="1"/>
  <c r="J3589" i="14" s="1"/>
  <c r="M3594" i="14"/>
  <c r="K3405" i="13" l="1"/>
  <c r="L3405" i="13" s="1"/>
  <c r="I3406" i="13" s="1"/>
  <c r="K3427" i="14"/>
  <c r="L3427" i="14" s="1"/>
  <c r="I3428" i="14" s="1"/>
  <c r="M3594" i="13"/>
  <c r="J3590" i="14" a="1"/>
  <c r="J3590" i="14" s="1"/>
  <c r="N3591" i="14"/>
  <c r="M3595" i="14"/>
  <c r="J3591" i="13" a="1"/>
  <c r="J3591" i="13" s="1"/>
  <c r="N3592" i="13"/>
  <c r="K3428" i="14" l="1"/>
  <c r="L3428" i="14" s="1"/>
  <c r="I3429" i="14" s="1"/>
  <c r="K3406" i="13"/>
  <c r="L3406" i="13" s="1"/>
  <c r="I3407" i="13" s="1"/>
  <c r="J3591" i="14" a="1"/>
  <c r="J3591" i="14" s="1"/>
  <c r="N3592" i="14"/>
  <c r="J3592" i="13" a="1"/>
  <c r="J3592" i="13" s="1"/>
  <c r="N3593" i="13"/>
  <c r="M3596" i="14"/>
  <c r="M3595" i="13"/>
  <c r="K3407" i="13" l="1"/>
  <c r="L3407" i="13" s="1"/>
  <c r="I3408" i="13" s="1"/>
  <c r="K3429" i="14"/>
  <c r="L3429" i="14" s="1"/>
  <c r="I3430" i="14" s="1"/>
  <c r="J3593" i="13" a="1"/>
  <c r="J3593" i="13" s="1"/>
  <c r="N3594" i="13"/>
  <c r="J3592" i="14" a="1"/>
  <c r="J3592" i="14" s="1"/>
  <c r="N3593" i="14"/>
  <c r="M3596" i="13"/>
  <c r="M3597" i="14"/>
  <c r="K3430" i="14" l="1"/>
  <c r="L3430" i="14" s="1"/>
  <c r="I3431" i="14" s="1"/>
  <c r="K3408" i="13"/>
  <c r="L3408" i="13" s="1"/>
  <c r="I3409" i="13" s="1"/>
  <c r="M3598" i="14"/>
  <c r="N3594" i="14"/>
  <c r="J3593" i="14" a="1"/>
  <c r="J3593" i="14" s="1"/>
  <c r="N3595" i="13"/>
  <c r="J3594" i="13" a="1"/>
  <c r="J3594" i="13" s="1"/>
  <c r="M3597" i="13"/>
  <c r="K3409" i="13" l="1"/>
  <c r="L3409" i="13" s="1"/>
  <c r="I3410" i="13" s="1"/>
  <c r="K3431" i="14"/>
  <c r="L3431" i="14" s="1"/>
  <c r="I3432" i="14" s="1"/>
  <c r="J3594" i="14" a="1"/>
  <c r="J3594" i="14" s="1"/>
  <c r="N3595" i="14"/>
  <c r="M3598" i="13"/>
  <c r="J3595" i="13" a="1"/>
  <c r="J3595" i="13" s="1"/>
  <c r="N3596" i="13"/>
  <c r="M3599" i="14"/>
  <c r="K3432" i="14" l="1"/>
  <c r="L3432" i="14" s="1"/>
  <c r="I3433" i="14" s="1"/>
  <c r="K3410" i="13"/>
  <c r="L3410" i="13" s="1"/>
  <c r="I3411" i="13" s="1"/>
  <c r="M3600" i="14"/>
  <c r="M3599" i="13"/>
  <c r="J3595" i="14" a="1"/>
  <c r="J3595" i="14" s="1"/>
  <c r="N3596" i="14"/>
  <c r="J3596" i="13" a="1"/>
  <c r="J3596" i="13" s="1"/>
  <c r="N3597" i="13"/>
  <c r="K3411" i="13" l="1"/>
  <c r="L3411" i="13" s="1"/>
  <c r="I3412" i="13" s="1"/>
  <c r="K3433" i="14"/>
  <c r="L3433" i="14" s="1"/>
  <c r="I3434" i="14" s="1"/>
  <c r="J3597" i="13" a="1"/>
  <c r="J3597" i="13" s="1"/>
  <c r="N3598" i="13"/>
  <c r="N3597" i="14"/>
  <c r="J3596" i="14" a="1"/>
  <c r="J3596" i="14" s="1"/>
  <c r="M3601" i="14"/>
  <c r="M3600" i="13"/>
  <c r="K3434" i="14" l="1"/>
  <c r="L3434" i="14" s="1"/>
  <c r="I3435" i="14" s="1"/>
  <c r="K3412" i="13"/>
  <c r="L3412" i="13" s="1"/>
  <c r="I3413" i="13" s="1"/>
  <c r="M3602" i="14"/>
  <c r="M3601" i="13"/>
  <c r="N3598" i="14"/>
  <c r="J3597" i="14" a="1"/>
  <c r="J3597" i="14" s="1"/>
  <c r="N3599" i="13"/>
  <c r="J3598" i="13" a="1"/>
  <c r="J3598" i="13" s="1"/>
  <c r="K3413" i="13" l="1"/>
  <c r="L3413" i="13" s="1"/>
  <c r="I3414" i="13" s="1"/>
  <c r="K3435" i="14"/>
  <c r="L3435" i="14" s="1"/>
  <c r="I3436" i="14" s="1"/>
  <c r="M3602" i="13"/>
  <c r="J3599" i="13" a="1"/>
  <c r="J3599" i="13" s="1"/>
  <c r="N3600" i="13"/>
  <c r="J3598" i="14" a="1"/>
  <c r="J3598" i="14" s="1"/>
  <c r="N3599" i="14"/>
  <c r="M3603" i="14"/>
  <c r="K3414" i="13" l="1"/>
  <c r="L3414" i="13" s="1"/>
  <c r="I3415" i="13" s="1"/>
  <c r="J3600" i="13" a="1"/>
  <c r="J3600" i="13" s="1"/>
  <c r="N3601" i="13"/>
  <c r="K3436" i="14"/>
  <c r="L3436" i="14" s="1"/>
  <c r="I3437" i="14" s="1"/>
  <c r="M3604" i="14"/>
  <c r="J3599" i="14" a="1"/>
  <c r="J3599" i="14" s="1"/>
  <c r="N3600" i="14"/>
  <c r="M3603" i="13"/>
  <c r="K3437" i="14" l="1"/>
  <c r="L3437" i="14" s="1"/>
  <c r="I3438" i="14" s="1"/>
  <c r="K3415" i="13"/>
  <c r="L3415" i="13" s="1"/>
  <c r="I3416" i="13" s="1"/>
  <c r="J3600" i="14" a="1"/>
  <c r="J3600" i="14" s="1"/>
  <c r="N3601" i="14"/>
  <c r="M3605" i="14"/>
  <c r="J3601" i="13" a="1"/>
  <c r="J3601" i="13" s="1"/>
  <c r="N3602" i="13"/>
  <c r="M3604" i="13"/>
  <c r="K3438" i="14" l="1"/>
  <c r="L3438" i="14" s="1"/>
  <c r="I3439" i="14" s="1"/>
  <c r="K3416" i="13"/>
  <c r="L3416" i="13" s="1"/>
  <c r="I3417" i="13" s="1"/>
  <c r="M3605" i="13"/>
  <c r="M3606" i="14"/>
  <c r="N3603" i="13"/>
  <c r="J3602" i="13" a="1"/>
  <c r="J3602" i="13" s="1"/>
  <c r="N3602" i="14"/>
  <c r="J3601" i="14" a="1"/>
  <c r="J3601" i="14" s="1"/>
  <c r="K3417" i="13" l="1"/>
  <c r="L3417" i="13" s="1"/>
  <c r="I3418" i="13" s="1"/>
  <c r="K3439" i="14"/>
  <c r="L3439" i="14" s="1"/>
  <c r="I3440" i="14" s="1"/>
  <c r="J3602" i="14" a="1"/>
  <c r="J3602" i="14" s="1"/>
  <c r="N3603" i="14"/>
  <c r="M3607" i="14"/>
  <c r="M3606" i="13"/>
  <c r="J3603" i="13" a="1"/>
  <c r="J3603" i="13" s="1"/>
  <c r="N3604" i="13"/>
  <c r="K3440" i="14" l="1"/>
  <c r="L3440" i="14" s="1"/>
  <c r="I3441" i="14" s="1"/>
  <c r="J3604" i="13" a="1"/>
  <c r="J3604" i="13" s="1"/>
  <c r="N3605" i="13"/>
  <c r="M3608" i="14"/>
  <c r="M3607" i="13"/>
  <c r="J3603" i="14" a="1"/>
  <c r="J3603" i="14" s="1"/>
  <c r="N3604" i="14"/>
  <c r="K3418" i="13"/>
  <c r="L3418" i="13" s="1"/>
  <c r="I3419" i="13" s="1"/>
  <c r="K3441" i="14" l="1"/>
  <c r="L3441" i="14" s="1"/>
  <c r="I3442" i="14" s="1"/>
  <c r="K3419" i="13"/>
  <c r="L3419" i="13" s="1"/>
  <c r="I3420" i="13" s="1"/>
  <c r="J3605" i="13" a="1"/>
  <c r="J3605" i="13" s="1"/>
  <c r="N3606" i="13"/>
  <c r="N3605" i="14"/>
  <c r="J3604" i="14" a="1"/>
  <c r="J3604" i="14" s="1"/>
  <c r="M3608" i="13"/>
  <c r="M3609" i="14"/>
  <c r="K3420" i="13" l="1"/>
  <c r="L3420" i="13" s="1"/>
  <c r="I3421" i="13" s="1"/>
  <c r="K3442" i="14"/>
  <c r="L3442" i="14" s="1"/>
  <c r="I3443" i="14" s="1"/>
  <c r="M3609" i="13"/>
  <c r="M3610" i="14"/>
  <c r="N3606" i="14"/>
  <c r="J3605" i="14" a="1"/>
  <c r="J3605" i="14" s="1"/>
  <c r="N3607" i="13"/>
  <c r="J3606" i="13" a="1"/>
  <c r="J3606" i="13" s="1"/>
  <c r="K3421" i="13" l="1"/>
  <c r="L3421" i="13" s="1"/>
  <c r="I3422" i="13" s="1"/>
  <c r="K3443" i="14"/>
  <c r="L3443" i="14" s="1"/>
  <c r="I3444" i="14" s="1"/>
  <c r="J3607" i="13" a="1"/>
  <c r="J3607" i="13" s="1"/>
  <c r="N3608" i="13"/>
  <c r="M3611" i="14"/>
  <c r="M3610" i="13"/>
  <c r="J3606" i="14" a="1"/>
  <c r="J3606" i="14" s="1"/>
  <c r="N3607" i="14"/>
  <c r="K3444" i="14" l="1"/>
  <c r="L3444" i="14" s="1"/>
  <c r="I3445" i="14" s="1"/>
  <c r="K3422" i="13"/>
  <c r="L3422" i="13" s="1"/>
  <c r="I3423" i="13" s="1"/>
  <c r="J3607" i="14" a="1"/>
  <c r="J3607" i="14" s="1"/>
  <c r="N3608" i="14"/>
  <c r="M3612" i="14"/>
  <c r="J3608" i="13" a="1"/>
  <c r="J3608" i="13" s="1"/>
  <c r="N3609" i="13"/>
  <c r="M3611" i="13"/>
  <c r="K3445" i="14" l="1"/>
  <c r="L3445" i="14" s="1"/>
  <c r="I3446" i="14" s="1"/>
  <c r="M3612" i="13"/>
  <c r="M3613" i="14"/>
  <c r="K3423" i="13"/>
  <c r="L3423" i="13" s="1"/>
  <c r="I3424" i="13" s="1"/>
  <c r="J3609" i="13" a="1"/>
  <c r="J3609" i="13" s="1"/>
  <c r="N3610" i="13"/>
  <c r="J3608" i="14" a="1"/>
  <c r="J3608" i="14" s="1"/>
  <c r="N3609" i="14"/>
  <c r="K3424" i="13" l="1"/>
  <c r="L3424" i="13" s="1"/>
  <c r="I3425" i="13" s="1"/>
  <c r="K3446" i="14"/>
  <c r="L3446" i="14" s="1"/>
  <c r="I3447" i="14" s="1"/>
  <c r="N3610" i="14"/>
  <c r="J3609" i="14" a="1"/>
  <c r="J3609" i="14" s="1"/>
  <c r="M3613" i="13"/>
  <c r="N3611" i="13"/>
  <c r="J3610" i="13" a="1"/>
  <c r="J3610" i="13" s="1"/>
  <c r="M3614" i="14"/>
  <c r="K3425" i="13" l="1"/>
  <c r="L3425" i="13" s="1"/>
  <c r="I3426" i="13" s="1"/>
  <c r="M3614" i="13"/>
  <c r="K3447" i="14"/>
  <c r="L3447" i="14" s="1"/>
  <c r="I3448" i="14" s="1"/>
  <c r="M3615" i="14"/>
  <c r="J3611" i="13" a="1"/>
  <c r="J3611" i="13" s="1"/>
  <c r="N3612" i="13"/>
  <c r="J3610" i="14" a="1"/>
  <c r="J3610" i="14" s="1"/>
  <c r="N3611" i="14"/>
  <c r="K3426" i="13" l="1"/>
  <c r="L3426" i="13" s="1"/>
  <c r="I3427" i="13" s="1"/>
  <c r="J3611" i="14" a="1"/>
  <c r="J3611" i="14" s="1"/>
  <c r="N3612" i="14"/>
  <c r="M3616" i="14"/>
  <c r="M3615" i="13"/>
  <c r="J3612" i="13" a="1"/>
  <c r="J3612" i="13" s="1"/>
  <c r="N3613" i="13"/>
  <c r="K3448" i="14"/>
  <c r="L3448" i="14" s="1"/>
  <c r="I3449" i="14" s="1"/>
  <c r="K3449" i="14" l="1"/>
  <c r="L3449" i="14" s="1"/>
  <c r="I3450" i="14" s="1"/>
  <c r="K3427" i="13"/>
  <c r="L3427" i="13" s="1"/>
  <c r="I3428" i="13" s="1"/>
  <c r="N3613" i="14"/>
  <c r="J3612" i="14" a="1"/>
  <c r="J3612" i="14" s="1"/>
  <c r="M3616" i="13"/>
  <c r="J3613" i="13" a="1"/>
  <c r="J3613" i="13" s="1"/>
  <c r="N3614" i="13"/>
  <c r="M3617" i="14"/>
  <c r="K3428" i="13" l="1"/>
  <c r="L3428" i="13" s="1"/>
  <c r="I3429" i="13" s="1"/>
  <c r="K3450" i="14"/>
  <c r="L3450" i="14" s="1"/>
  <c r="I3451" i="14" s="1"/>
  <c r="M3618" i="14"/>
  <c r="M3617" i="13"/>
  <c r="N3615" i="13"/>
  <c r="J3614" i="13" a="1"/>
  <c r="J3614" i="13" s="1"/>
  <c r="N3614" i="14"/>
  <c r="J3613" i="14" a="1"/>
  <c r="J3613" i="14" s="1"/>
  <c r="M3618" i="13" l="1"/>
  <c r="K3451" i="14"/>
  <c r="L3451" i="14" s="1"/>
  <c r="I3452" i="14" s="1"/>
  <c r="J3614" i="14" a="1"/>
  <c r="J3614" i="14" s="1"/>
  <c r="N3615" i="14"/>
  <c r="J3615" i="13" a="1"/>
  <c r="J3615" i="13" s="1"/>
  <c r="N3616" i="13"/>
  <c r="M3619" i="14"/>
  <c r="K3429" i="13"/>
  <c r="L3429" i="13" s="1"/>
  <c r="I3430" i="13" s="1"/>
  <c r="K3430" i="13" l="1"/>
  <c r="L3430" i="13" s="1"/>
  <c r="I3431" i="13" s="1"/>
  <c r="K3452" i="14"/>
  <c r="L3452" i="14" s="1"/>
  <c r="I3453" i="14" s="1"/>
  <c r="M3620" i="14"/>
  <c r="J3616" i="13" a="1"/>
  <c r="J3616" i="13" s="1"/>
  <c r="N3617" i="13"/>
  <c r="J3615" i="14" a="1"/>
  <c r="J3615" i="14" s="1"/>
  <c r="N3616" i="14"/>
  <c r="M3619" i="13"/>
  <c r="K3453" i="14" l="1"/>
  <c r="L3453" i="14" s="1"/>
  <c r="I3454" i="14" s="1"/>
  <c r="K3431" i="13"/>
  <c r="L3431" i="13" s="1"/>
  <c r="I3432" i="13" s="1"/>
  <c r="M3620" i="13"/>
  <c r="J3617" i="13" a="1"/>
  <c r="J3617" i="13" s="1"/>
  <c r="N3618" i="13"/>
  <c r="J3616" i="14" a="1"/>
  <c r="J3616" i="14" s="1"/>
  <c r="N3617" i="14"/>
  <c r="M3621" i="14"/>
  <c r="K3432" i="13" l="1"/>
  <c r="L3432" i="13" s="1"/>
  <c r="I3433" i="13" s="1"/>
  <c r="K3454" i="14"/>
  <c r="L3454" i="14" s="1"/>
  <c r="I3455" i="14" s="1"/>
  <c r="N3619" i="13"/>
  <c r="J3618" i="13" a="1"/>
  <c r="J3618" i="13" s="1"/>
  <c r="M3622" i="14"/>
  <c r="N3618" i="14"/>
  <c r="J3617" i="14" a="1"/>
  <c r="J3617" i="14" s="1"/>
  <c r="M3621" i="13"/>
  <c r="K3455" i="14" l="1"/>
  <c r="L3455" i="14" s="1"/>
  <c r="I3456" i="14" s="1"/>
  <c r="K3433" i="13"/>
  <c r="L3433" i="13" s="1"/>
  <c r="I3434" i="13" s="1"/>
  <c r="M3622" i="13"/>
  <c r="M3623" i="14"/>
  <c r="J3618" i="14" a="1"/>
  <c r="J3618" i="14" s="1"/>
  <c r="N3619" i="14"/>
  <c r="J3619" i="13" a="1"/>
  <c r="J3619" i="13" s="1"/>
  <c r="N3620" i="13"/>
  <c r="K3434" i="13" l="1"/>
  <c r="L3434" i="13" s="1"/>
  <c r="I3435" i="13" s="1"/>
  <c r="K3456" i="14"/>
  <c r="L3456" i="14" s="1"/>
  <c r="I3457" i="14" s="1"/>
  <c r="J3620" i="13" a="1"/>
  <c r="J3620" i="13" s="1"/>
  <c r="N3621" i="13"/>
  <c r="M3624" i="14"/>
  <c r="J3619" i="14" a="1"/>
  <c r="J3619" i="14" s="1"/>
  <c r="N3620" i="14"/>
  <c r="M3623" i="13"/>
  <c r="K3435" i="13" l="1"/>
  <c r="L3435" i="13" s="1"/>
  <c r="I3436" i="13" s="1"/>
  <c r="M3625" i="14"/>
  <c r="J3621" i="13" a="1"/>
  <c r="J3621" i="13" s="1"/>
  <c r="N3622" i="13"/>
  <c r="M3624" i="13"/>
  <c r="K3457" i="14"/>
  <c r="L3457" i="14" s="1"/>
  <c r="I3458" i="14" s="1"/>
  <c r="N3621" i="14"/>
  <c r="J3620" i="14" a="1"/>
  <c r="J3620" i="14" s="1"/>
  <c r="K3436" i="13" l="1"/>
  <c r="L3436" i="13" s="1"/>
  <c r="I3437" i="13" s="1"/>
  <c r="K3458" i="14"/>
  <c r="L3458" i="14" s="1"/>
  <c r="I3459" i="14" s="1"/>
  <c r="N3622" i="14"/>
  <c r="J3621" i="14" a="1"/>
  <c r="J3621" i="14" s="1"/>
  <c r="M3625" i="13"/>
  <c r="M3626" i="14"/>
  <c r="N3623" i="13"/>
  <c r="J3622" i="13" a="1"/>
  <c r="J3622" i="13" s="1"/>
  <c r="K3459" i="14" l="1"/>
  <c r="L3459" i="14" s="1"/>
  <c r="I3460" i="14" s="1"/>
  <c r="K3437" i="13"/>
  <c r="L3437" i="13" s="1"/>
  <c r="I3438" i="13" s="1"/>
  <c r="M3626" i="13"/>
  <c r="J3623" i="13" a="1"/>
  <c r="J3623" i="13" s="1"/>
  <c r="N3624" i="13"/>
  <c r="M3627" i="14"/>
  <c r="J3622" i="14" a="1"/>
  <c r="J3622" i="14" s="1"/>
  <c r="N3623" i="14"/>
  <c r="K3460" i="14" l="1"/>
  <c r="L3460" i="14" s="1"/>
  <c r="I3461" i="14" s="1"/>
  <c r="J3623" i="14" a="1"/>
  <c r="J3623" i="14" s="1"/>
  <c r="N3624" i="14"/>
  <c r="J3624" i="13" a="1"/>
  <c r="J3624" i="13" s="1"/>
  <c r="N3625" i="13"/>
  <c r="K3438" i="13"/>
  <c r="L3438" i="13" s="1"/>
  <c r="I3439" i="13" s="1"/>
  <c r="M3628" i="14"/>
  <c r="M3627" i="13"/>
  <c r="K3461" i="14" l="1"/>
  <c r="L3461" i="14" s="1"/>
  <c r="I3462" i="14" s="1"/>
  <c r="J3624" i="14" a="1"/>
  <c r="J3624" i="14" s="1"/>
  <c r="N3625" i="14"/>
  <c r="M3628" i="13"/>
  <c r="K3439" i="13"/>
  <c r="L3439" i="13" s="1"/>
  <c r="I3440" i="13" s="1"/>
  <c r="M3629" i="14"/>
  <c r="J3625" i="13" a="1"/>
  <c r="J3625" i="13" s="1"/>
  <c r="N3626" i="13"/>
  <c r="K3440" i="13" l="1"/>
  <c r="L3440" i="13" s="1"/>
  <c r="I3441" i="13" s="1"/>
  <c r="K3462" i="14"/>
  <c r="L3462" i="14" s="1"/>
  <c r="I3463" i="14" s="1"/>
  <c r="N3626" i="14"/>
  <c r="J3625" i="14" a="1"/>
  <c r="J3625" i="14" s="1"/>
  <c r="N3627" i="13"/>
  <c r="J3626" i="13" a="1"/>
  <c r="J3626" i="13" s="1"/>
  <c r="M3630" i="14"/>
  <c r="M3629" i="13"/>
  <c r="K3463" i="14" l="1"/>
  <c r="L3463" i="14" s="1"/>
  <c r="I3464" i="14" s="1"/>
  <c r="K3441" i="13"/>
  <c r="L3441" i="13" s="1"/>
  <c r="I3442" i="13" s="1"/>
  <c r="J3627" i="13" a="1"/>
  <c r="J3627" i="13" s="1"/>
  <c r="N3628" i="13"/>
  <c r="M3630" i="13"/>
  <c r="M3631" i="14"/>
  <c r="J3626" i="14" a="1"/>
  <c r="J3626" i="14" s="1"/>
  <c r="N3627" i="14"/>
  <c r="K3464" i="14" l="1"/>
  <c r="L3464" i="14" s="1"/>
  <c r="I3465" i="14" s="1"/>
  <c r="K3442" i="13"/>
  <c r="L3442" i="13" s="1"/>
  <c r="I3443" i="13" s="1"/>
  <c r="J3627" i="14" a="1"/>
  <c r="J3627" i="14" s="1"/>
  <c r="N3628" i="14"/>
  <c r="M3631" i="13"/>
  <c r="M3632" i="14"/>
  <c r="J3628" i="13" a="1"/>
  <c r="J3628" i="13" s="1"/>
  <c r="N3629" i="13"/>
  <c r="K3465" i="14" l="1"/>
  <c r="L3465" i="14" s="1"/>
  <c r="I3466" i="14" s="1"/>
  <c r="M3633" i="14"/>
  <c r="J3629" i="13" a="1"/>
  <c r="J3629" i="13" s="1"/>
  <c r="N3630" i="13"/>
  <c r="M3632" i="13"/>
  <c r="K3443" i="13"/>
  <c r="L3443" i="13" s="1"/>
  <c r="I3444" i="13" s="1"/>
  <c r="N3629" i="14"/>
  <c r="J3628" i="14" a="1"/>
  <c r="J3628" i="14" s="1"/>
  <c r="K3444" i="13" l="1"/>
  <c r="L3444" i="13" s="1"/>
  <c r="I3445" i="13" s="1"/>
  <c r="K3466" i="14"/>
  <c r="L3466" i="14" s="1"/>
  <c r="I3467" i="14" s="1"/>
  <c r="N3630" i="14"/>
  <c r="J3629" i="14" a="1"/>
  <c r="J3629" i="14" s="1"/>
  <c r="M3633" i="13"/>
  <c r="M3634" i="14"/>
  <c r="N3631" i="13"/>
  <c r="J3630" i="13" a="1"/>
  <c r="J3630" i="13" s="1"/>
  <c r="K3467" i="14" l="1"/>
  <c r="L3467" i="14" s="1"/>
  <c r="I3468" i="14" s="1"/>
  <c r="K3445" i="13"/>
  <c r="L3445" i="13" s="1"/>
  <c r="I3446" i="13" s="1"/>
  <c r="M3634" i="13"/>
  <c r="J3631" i="13" a="1"/>
  <c r="J3631" i="13" s="1"/>
  <c r="N3632" i="13"/>
  <c r="M3635" i="14"/>
  <c r="J3630" i="14" a="1"/>
  <c r="J3630" i="14" s="1"/>
  <c r="N3631" i="14"/>
  <c r="K3446" i="13" l="1"/>
  <c r="L3446" i="13" s="1"/>
  <c r="I3447" i="13" s="1"/>
  <c r="K3468" i="14"/>
  <c r="L3468" i="14" s="1"/>
  <c r="I3469" i="14" s="1"/>
  <c r="J3631" i="14" a="1"/>
  <c r="J3631" i="14" s="1"/>
  <c r="N3632" i="14"/>
  <c r="J3632" i="13" a="1"/>
  <c r="J3632" i="13" s="1"/>
  <c r="N3633" i="13"/>
  <c r="M3636" i="14"/>
  <c r="M3635" i="13"/>
  <c r="K3469" i="14" l="1"/>
  <c r="L3469" i="14" s="1"/>
  <c r="I3470" i="14" s="1"/>
  <c r="K3447" i="13"/>
  <c r="L3447" i="13" s="1"/>
  <c r="I3448" i="13" s="1"/>
  <c r="J3633" i="13" a="1"/>
  <c r="J3633" i="13" s="1"/>
  <c r="N3634" i="13"/>
  <c r="M3637" i="14"/>
  <c r="J3632" i="14" a="1"/>
  <c r="J3632" i="14" s="1"/>
  <c r="N3633" i="14"/>
  <c r="M3636" i="13"/>
  <c r="K3448" i="13" l="1"/>
  <c r="L3448" i="13" s="1"/>
  <c r="I3449" i="13" s="1"/>
  <c r="K3470" i="14"/>
  <c r="L3470" i="14" s="1"/>
  <c r="I3471" i="14" s="1"/>
  <c r="N3634" i="14"/>
  <c r="J3633" i="14" a="1"/>
  <c r="J3633" i="14" s="1"/>
  <c r="M3637" i="13"/>
  <c r="M3638" i="14"/>
  <c r="N3635" i="13"/>
  <c r="J3634" i="13" a="1"/>
  <c r="J3634" i="13" s="1"/>
  <c r="K3471" i="14" l="1"/>
  <c r="L3471" i="14" s="1"/>
  <c r="I3472" i="14" s="1"/>
  <c r="K3449" i="13"/>
  <c r="L3449" i="13" s="1"/>
  <c r="I3450" i="13" s="1"/>
  <c r="M3638" i="13"/>
  <c r="J3635" i="13" a="1"/>
  <c r="J3635" i="13" s="1"/>
  <c r="N3636" i="13"/>
  <c r="M3639" i="14"/>
  <c r="J3634" i="14" a="1"/>
  <c r="J3634" i="14" s="1"/>
  <c r="N3635" i="14"/>
  <c r="K3450" i="13" l="1"/>
  <c r="L3450" i="13" s="1"/>
  <c r="I3451" i="13" s="1"/>
  <c r="K3472" i="14"/>
  <c r="L3472" i="14" s="1"/>
  <c r="I3473" i="14" s="1"/>
  <c r="J3635" i="14" a="1"/>
  <c r="J3635" i="14" s="1"/>
  <c r="N3636" i="14"/>
  <c r="J3636" i="13" a="1"/>
  <c r="J3636" i="13" s="1"/>
  <c r="N3637" i="13"/>
  <c r="M3640" i="14"/>
  <c r="M3639" i="13"/>
  <c r="K3473" i="14" l="1"/>
  <c r="L3473" i="14" s="1"/>
  <c r="I3474" i="14" s="1"/>
  <c r="K3451" i="13"/>
  <c r="L3451" i="13" s="1"/>
  <c r="I3452" i="13" s="1"/>
  <c r="J3637" i="13" a="1"/>
  <c r="J3637" i="13" s="1"/>
  <c r="N3638" i="13"/>
  <c r="M3640" i="13"/>
  <c r="M3641" i="14"/>
  <c r="N3637" i="14"/>
  <c r="J3636" i="14" a="1"/>
  <c r="J3636" i="14" s="1"/>
  <c r="K3452" i="13" l="1"/>
  <c r="L3452" i="13" s="1"/>
  <c r="I3453" i="13" s="1"/>
  <c r="K3474" i="14"/>
  <c r="L3474" i="14" s="1"/>
  <c r="I3475" i="14" s="1"/>
  <c r="N3638" i="14"/>
  <c r="J3637" i="14" a="1"/>
  <c r="J3637" i="14" s="1"/>
  <c r="M3641" i="13"/>
  <c r="N3639" i="13"/>
  <c r="J3638" i="13" a="1"/>
  <c r="J3638" i="13" s="1"/>
  <c r="M3642" i="14"/>
  <c r="K3475" i="14" l="1"/>
  <c r="L3475" i="14" s="1"/>
  <c r="I3476" i="14" s="1"/>
  <c r="K3453" i="13"/>
  <c r="L3453" i="13" s="1"/>
  <c r="I3454" i="13" s="1"/>
  <c r="M3642" i="13"/>
  <c r="M3643" i="14"/>
  <c r="J3639" i="13" a="1"/>
  <c r="J3639" i="13" s="1"/>
  <c r="N3640" i="13"/>
  <c r="J3638" i="14" a="1"/>
  <c r="J3638" i="14" s="1"/>
  <c r="N3639" i="14"/>
  <c r="K3454" i="13" l="1"/>
  <c r="L3454" i="13" s="1"/>
  <c r="I3455" i="13" s="1"/>
  <c r="K3476" i="14"/>
  <c r="L3476" i="14" s="1"/>
  <c r="I3477" i="14" s="1"/>
  <c r="J3639" i="14" a="1"/>
  <c r="J3639" i="14" s="1"/>
  <c r="N3640" i="14"/>
  <c r="M3644" i="14"/>
  <c r="J3640" i="13" a="1"/>
  <c r="J3640" i="13" s="1"/>
  <c r="N3641" i="13"/>
  <c r="M3643" i="13"/>
  <c r="K3477" i="14" l="1"/>
  <c r="L3477" i="14" s="1"/>
  <c r="I3478" i="14" s="1"/>
  <c r="K3455" i="13"/>
  <c r="L3455" i="13" s="1"/>
  <c r="I3456" i="13" s="1"/>
  <c r="J3641" i="13" a="1"/>
  <c r="J3641" i="13" s="1"/>
  <c r="N3642" i="13"/>
  <c r="M3645" i="14"/>
  <c r="M3644" i="13"/>
  <c r="J3640" i="14" a="1"/>
  <c r="J3640" i="14" s="1"/>
  <c r="N3641" i="14"/>
  <c r="K3456" i="13" l="1"/>
  <c r="L3456" i="13" s="1"/>
  <c r="I3457" i="13" s="1"/>
  <c r="K3478" i="14"/>
  <c r="L3478" i="14" s="1"/>
  <c r="I3479" i="14" s="1"/>
  <c r="N3642" i="14"/>
  <c r="J3641" i="14" a="1"/>
  <c r="J3641" i="14" s="1"/>
  <c r="M3646" i="14"/>
  <c r="N3643" i="13"/>
  <c r="J3642" i="13" a="1"/>
  <c r="J3642" i="13" s="1"/>
  <c r="M3645" i="13"/>
  <c r="K3479" i="14" l="1"/>
  <c r="L3479" i="14" s="1"/>
  <c r="I3480" i="14" s="1"/>
  <c r="K3457" i="13"/>
  <c r="L3457" i="13" s="1"/>
  <c r="I3458" i="13" s="1"/>
  <c r="M3646" i="13"/>
  <c r="M3647" i="14"/>
  <c r="J3643" i="13" a="1"/>
  <c r="J3643" i="13" s="1"/>
  <c r="N3644" i="13"/>
  <c r="J3642" i="14" a="1"/>
  <c r="J3642" i="14" s="1"/>
  <c r="N3643" i="14"/>
  <c r="K3458" i="13" l="1"/>
  <c r="L3458" i="13" s="1"/>
  <c r="I3459" i="13" s="1"/>
  <c r="K3480" i="14"/>
  <c r="L3480" i="14" s="1"/>
  <c r="I3481" i="14" s="1"/>
  <c r="M3648" i="14"/>
  <c r="J3643" i="14" a="1"/>
  <c r="J3643" i="14" s="1"/>
  <c r="N3644" i="14"/>
  <c r="J3644" i="13" a="1"/>
  <c r="J3644" i="13" s="1"/>
  <c r="N3645" i="13"/>
  <c r="M3647" i="13"/>
  <c r="K3481" i="14" l="1"/>
  <c r="L3481" i="14" s="1"/>
  <c r="I3482" i="14" s="1"/>
  <c r="K3459" i="13"/>
  <c r="L3459" i="13" s="1"/>
  <c r="I3460" i="13" s="1"/>
  <c r="N3645" i="14"/>
  <c r="J3644" i="14" a="1"/>
  <c r="J3644" i="14" s="1"/>
  <c r="J3645" i="13" a="1"/>
  <c r="J3645" i="13" s="1"/>
  <c r="N3646" i="13"/>
  <c r="M3649" i="14"/>
  <c r="M3648" i="13"/>
  <c r="K3460" i="13" l="1"/>
  <c r="L3460" i="13" s="1"/>
  <c r="I3461" i="13" s="1"/>
  <c r="K3482" i="14"/>
  <c r="L3482" i="14" s="1"/>
  <c r="I3483" i="14" s="1"/>
  <c r="N3647" i="13"/>
  <c r="J3646" i="13" a="1"/>
  <c r="J3646" i="13" s="1"/>
  <c r="M3649" i="13"/>
  <c r="M3650" i="14"/>
  <c r="N3646" i="14"/>
  <c r="J3645" i="14" a="1"/>
  <c r="J3645" i="14" s="1"/>
  <c r="K3483" i="14" l="1"/>
  <c r="L3483" i="14" s="1"/>
  <c r="I3484" i="14" s="1"/>
  <c r="K3461" i="13"/>
  <c r="L3461" i="13" s="1"/>
  <c r="I3462" i="13" s="1"/>
  <c r="M3650" i="13"/>
  <c r="J3646" i="14" a="1"/>
  <c r="J3646" i="14" s="1"/>
  <c r="N3647" i="14"/>
  <c r="M3651" i="14"/>
  <c r="J3647" i="13" a="1"/>
  <c r="J3647" i="13" s="1"/>
  <c r="N3648" i="13"/>
  <c r="K3484" i="14" l="1"/>
  <c r="L3484" i="14" s="1"/>
  <c r="I3485" i="14" s="1"/>
  <c r="J3647" i="14" a="1"/>
  <c r="J3647" i="14" s="1"/>
  <c r="N3648" i="14"/>
  <c r="J3648" i="13" a="1"/>
  <c r="J3648" i="13" s="1"/>
  <c r="N3649" i="13"/>
  <c r="K3462" i="13"/>
  <c r="L3462" i="13" s="1"/>
  <c r="I3463" i="13" s="1"/>
  <c r="M3652" i="14"/>
  <c r="M3651" i="13"/>
  <c r="K3463" i="13" l="1"/>
  <c r="L3463" i="13" s="1"/>
  <c r="I3464" i="13" s="1"/>
  <c r="K3485" i="14"/>
  <c r="L3485" i="14" s="1"/>
  <c r="I3486" i="14" s="1"/>
  <c r="J3648" i="14" a="1"/>
  <c r="J3648" i="14" s="1"/>
  <c r="N3649" i="14"/>
  <c r="M3652" i="13"/>
  <c r="J3649" i="13" a="1"/>
  <c r="J3649" i="13" s="1"/>
  <c r="N3650" i="13"/>
  <c r="M3653" i="14"/>
  <c r="K3486" i="14" l="1"/>
  <c r="L3486" i="14" s="1"/>
  <c r="I3487" i="14" s="1"/>
  <c r="K3464" i="13"/>
  <c r="L3464" i="13" s="1"/>
  <c r="I3465" i="13" s="1"/>
  <c r="M3654" i="14"/>
  <c r="M3653" i="13"/>
  <c r="N3651" i="13"/>
  <c r="J3650" i="13" a="1"/>
  <c r="J3650" i="13" s="1"/>
  <c r="N3650" i="14"/>
  <c r="J3649" i="14" a="1"/>
  <c r="J3649" i="14" s="1"/>
  <c r="K3487" i="14" l="1"/>
  <c r="L3487" i="14" s="1"/>
  <c r="I3488" i="14" s="1"/>
  <c r="M3654" i="13"/>
  <c r="K3465" i="13"/>
  <c r="L3465" i="13" s="1"/>
  <c r="I3466" i="13" s="1"/>
  <c r="J3650" i="14" a="1"/>
  <c r="J3650" i="14" s="1"/>
  <c r="N3651" i="14"/>
  <c r="J3651" i="13" a="1"/>
  <c r="J3651" i="13" s="1"/>
  <c r="N3652" i="13"/>
  <c r="M3655" i="14"/>
  <c r="K3466" i="13" l="1"/>
  <c r="L3466" i="13" s="1"/>
  <c r="I3467" i="13" s="1"/>
  <c r="K3488" i="14"/>
  <c r="L3488" i="14" s="1"/>
  <c r="I3489" i="14" s="1"/>
  <c r="J3651" i="14" a="1"/>
  <c r="J3651" i="14" s="1"/>
  <c r="N3652" i="14"/>
  <c r="M3655" i="13"/>
  <c r="J3652" i="13" a="1"/>
  <c r="J3652" i="13" s="1"/>
  <c r="N3653" i="13"/>
  <c r="M3656" i="14"/>
  <c r="K3489" i="14" l="1"/>
  <c r="L3489" i="14" s="1"/>
  <c r="I3490" i="14" s="1"/>
  <c r="K3467" i="13"/>
  <c r="L3467" i="13" s="1"/>
  <c r="I3468" i="13" s="1"/>
  <c r="M3657" i="14"/>
  <c r="M3656" i="13"/>
  <c r="J3653" i="13" a="1"/>
  <c r="J3653" i="13" s="1"/>
  <c r="N3654" i="13"/>
  <c r="N3653" i="14"/>
  <c r="J3652" i="14" a="1"/>
  <c r="J3652" i="14" s="1"/>
  <c r="K3468" i="13" l="1"/>
  <c r="L3468" i="13" s="1"/>
  <c r="I3469" i="13" s="1"/>
  <c r="K3490" i="14"/>
  <c r="L3490" i="14" s="1"/>
  <c r="I3491" i="14" s="1"/>
  <c r="N3654" i="14"/>
  <c r="J3653" i="14" a="1"/>
  <c r="J3653" i="14" s="1"/>
  <c r="M3657" i="13"/>
  <c r="N3655" i="13"/>
  <c r="J3654" i="13" a="1"/>
  <c r="J3654" i="13" s="1"/>
  <c r="M3658" i="14"/>
  <c r="K3491" i="14" l="1"/>
  <c r="L3491" i="14" s="1"/>
  <c r="I3492" i="14" s="1"/>
  <c r="K3469" i="13"/>
  <c r="L3469" i="13" s="1"/>
  <c r="I3470" i="13" s="1"/>
  <c r="J3655" i="13" a="1"/>
  <c r="J3655" i="13" s="1"/>
  <c r="N3656" i="13"/>
  <c r="M3658" i="13"/>
  <c r="M3659" i="14"/>
  <c r="J3654" i="14" a="1"/>
  <c r="J3654" i="14" s="1"/>
  <c r="N3655" i="14"/>
  <c r="K3492" i="14" l="1"/>
  <c r="L3492" i="14" s="1"/>
  <c r="I3493" i="14" s="1"/>
  <c r="J3656" i="13" a="1"/>
  <c r="J3656" i="13" s="1"/>
  <c r="N3657" i="13"/>
  <c r="M3660" i="14"/>
  <c r="J3655" i="14" a="1"/>
  <c r="J3655" i="14" s="1"/>
  <c r="N3656" i="14"/>
  <c r="M3659" i="13"/>
  <c r="K3470" i="13"/>
  <c r="L3470" i="13" s="1"/>
  <c r="I3471" i="13" s="1"/>
  <c r="K3471" i="13" l="1"/>
  <c r="L3471" i="13" s="1"/>
  <c r="I3472" i="13" s="1"/>
  <c r="K3493" i="14"/>
  <c r="L3493" i="14" s="1"/>
  <c r="I3494" i="14" s="1"/>
  <c r="J3657" i="13" a="1"/>
  <c r="J3657" i="13" s="1"/>
  <c r="N3658" i="13"/>
  <c r="J3656" i="14" a="1"/>
  <c r="J3656" i="14" s="1"/>
  <c r="N3657" i="14"/>
  <c r="M3661" i="14"/>
  <c r="M3660" i="13"/>
  <c r="K3494" i="14" l="1"/>
  <c r="L3494" i="14" s="1"/>
  <c r="I3495" i="14" s="1"/>
  <c r="K3472" i="13"/>
  <c r="L3472" i="13" s="1"/>
  <c r="I3473" i="13" s="1"/>
  <c r="N3658" i="14"/>
  <c r="J3657" i="14" a="1"/>
  <c r="J3657" i="14" s="1"/>
  <c r="N3659" i="13"/>
  <c r="J3658" i="13" a="1"/>
  <c r="J3658" i="13" s="1"/>
  <c r="M3661" i="13"/>
  <c r="M3662" i="14"/>
  <c r="K3473" i="13" l="1"/>
  <c r="L3473" i="13" s="1"/>
  <c r="I3474" i="13" s="1"/>
  <c r="K3495" i="14"/>
  <c r="L3495" i="14" s="1"/>
  <c r="I3496" i="14" s="1"/>
  <c r="J3659" i="13" a="1"/>
  <c r="J3659" i="13" s="1"/>
  <c r="N3660" i="13"/>
  <c r="M3663" i="14"/>
  <c r="M3662" i="13"/>
  <c r="J3658" i="14" a="1"/>
  <c r="J3658" i="14" s="1"/>
  <c r="N3659" i="14"/>
  <c r="K3496" i="14" l="1"/>
  <c r="L3496" i="14" s="1"/>
  <c r="I3497" i="14" s="1"/>
  <c r="K3474" i="13"/>
  <c r="L3474" i="13" s="1"/>
  <c r="I3475" i="13" s="1"/>
  <c r="M3664" i="14"/>
  <c r="J3660" i="13" a="1"/>
  <c r="J3660" i="13" s="1"/>
  <c r="N3661" i="13"/>
  <c r="J3659" i="14" a="1"/>
  <c r="J3659" i="14" s="1"/>
  <c r="N3660" i="14"/>
  <c r="M3663" i="13"/>
  <c r="K3475" i="13" l="1"/>
  <c r="L3475" i="13" s="1"/>
  <c r="I3476" i="13" s="1"/>
  <c r="J3661" i="13" a="1"/>
  <c r="J3661" i="13" s="1"/>
  <c r="N3662" i="13"/>
  <c r="M3664" i="13"/>
  <c r="N3661" i="14"/>
  <c r="J3660" i="14" a="1"/>
  <c r="J3660" i="14" s="1"/>
  <c r="M3665" i="14"/>
  <c r="K3497" i="14"/>
  <c r="L3497" i="14" s="1"/>
  <c r="I3498" i="14" s="1"/>
  <c r="K3498" i="14" l="1"/>
  <c r="L3498" i="14" s="1"/>
  <c r="I3499" i="14" s="1"/>
  <c r="K3476" i="13"/>
  <c r="L3476" i="13" s="1"/>
  <c r="I3477" i="13" s="1"/>
  <c r="N3663" i="13"/>
  <c r="J3662" i="13" a="1"/>
  <c r="J3662" i="13" s="1"/>
  <c r="N3662" i="14"/>
  <c r="J3661" i="14" a="1"/>
  <c r="J3661" i="14" s="1"/>
  <c r="M3666" i="14"/>
  <c r="M3665" i="13"/>
  <c r="K3477" i="13" l="1"/>
  <c r="L3477" i="13" s="1"/>
  <c r="I3478" i="13" s="1"/>
  <c r="J3663" i="13" a="1"/>
  <c r="J3663" i="13" s="1"/>
  <c r="N3664" i="13"/>
  <c r="M3666" i="13"/>
  <c r="J3662" i="14" a="1"/>
  <c r="J3662" i="14" s="1"/>
  <c r="N3663" i="14"/>
  <c r="M3667" i="14"/>
  <c r="K3499" i="14"/>
  <c r="L3499" i="14" s="1"/>
  <c r="I3500" i="14" s="1"/>
  <c r="K3500" i="14" l="1"/>
  <c r="L3500" i="14" s="1"/>
  <c r="I3501" i="14" s="1"/>
  <c r="K3478" i="13"/>
  <c r="L3478" i="13" s="1"/>
  <c r="I3479" i="13" s="1"/>
  <c r="J3664" i="13" a="1"/>
  <c r="J3664" i="13" s="1"/>
  <c r="N3665" i="13"/>
  <c r="J3663" i="14" a="1"/>
  <c r="J3663" i="14" s="1"/>
  <c r="N3664" i="14"/>
  <c r="M3668" i="14"/>
  <c r="M3667" i="13"/>
  <c r="K3479" i="13" l="1"/>
  <c r="L3479" i="13" s="1"/>
  <c r="I3480" i="13" s="1"/>
  <c r="K3501" i="14"/>
  <c r="L3501" i="14" s="1"/>
  <c r="I3502" i="14" s="1"/>
  <c r="J3664" i="14" a="1"/>
  <c r="J3664" i="14" s="1"/>
  <c r="N3665" i="14"/>
  <c r="J3665" i="13" a="1"/>
  <c r="J3665" i="13" s="1"/>
  <c r="N3666" i="13"/>
  <c r="M3668" i="13"/>
  <c r="M3669" i="14"/>
  <c r="K3502" i="14" l="1"/>
  <c r="L3502" i="14" s="1"/>
  <c r="I3503" i="14" s="1"/>
  <c r="K3480" i="13"/>
  <c r="L3480" i="13" s="1"/>
  <c r="I3481" i="13" s="1"/>
  <c r="N3667" i="13"/>
  <c r="J3666" i="13" a="1"/>
  <c r="J3666" i="13" s="1"/>
  <c r="N3666" i="14"/>
  <c r="J3665" i="14" a="1"/>
  <c r="J3665" i="14" s="1"/>
  <c r="M3670" i="14"/>
  <c r="M3669" i="13"/>
  <c r="K3481" i="13" l="1"/>
  <c r="L3481" i="13" s="1"/>
  <c r="I3482" i="13" s="1"/>
  <c r="K3503" i="14"/>
  <c r="L3503" i="14" s="1"/>
  <c r="I3504" i="14" s="1"/>
  <c r="J3666" i="14" a="1"/>
  <c r="J3666" i="14" s="1"/>
  <c r="N3667" i="14"/>
  <c r="M3670" i="13"/>
  <c r="M3671" i="14"/>
  <c r="J3667" i="13" a="1"/>
  <c r="J3667" i="13" s="1"/>
  <c r="N3668" i="13"/>
  <c r="K3504" i="14" l="1"/>
  <c r="L3504" i="14" s="1"/>
  <c r="I3505" i="14" s="1"/>
  <c r="K3482" i="13"/>
  <c r="L3482" i="13" s="1"/>
  <c r="I3483" i="13" s="1"/>
  <c r="J3668" i="13" a="1"/>
  <c r="J3668" i="13" s="1"/>
  <c r="N3669" i="13"/>
  <c r="M3671" i="13"/>
  <c r="M3672" i="14"/>
  <c r="J3667" i="14" a="1"/>
  <c r="J3667" i="14" s="1"/>
  <c r="N3668" i="14"/>
  <c r="K3483" i="13" l="1"/>
  <c r="L3483" i="13" s="1"/>
  <c r="I3484" i="13" s="1"/>
  <c r="K3505" i="14"/>
  <c r="L3505" i="14" s="1"/>
  <c r="I3506" i="14" s="1"/>
  <c r="N3669" i="14"/>
  <c r="J3668" i="14" a="1"/>
  <c r="J3668" i="14" s="1"/>
  <c r="M3672" i="13"/>
  <c r="M3673" i="14"/>
  <c r="J3669" i="13" a="1"/>
  <c r="J3669" i="13" s="1"/>
  <c r="N3670" i="13"/>
  <c r="K3506" i="14" l="1"/>
  <c r="L3506" i="14" s="1"/>
  <c r="I3507" i="14" s="1"/>
  <c r="K3484" i="13"/>
  <c r="L3484" i="13" s="1"/>
  <c r="I3485" i="13" s="1"/>
  <c r="N3671" i="13"/>
  <c r="J3670" i="13" a="1"/>
  <c r="J3670" i="13" s="1"/>
  <c r="M3673" i="13"/>
  <c r="M3674" i="14"/>
  <c r="N3670" i="14"/>
  <c r="J3669" i="14" a="1"/>
  <c r="J3669" i="14" s="1"/>
  <c r="K3485" i="13" l="1"/>
  <c r="L3485" i="13" s="1"/>
  <c r="I3486" i="13" s="1"/>
  <c r="K3507" i="14"/>
  <c r="L3507" i="14" s="1"/>
  <c r="I3508" i="14" s="1"/>
  <c r="M3674" i="13"/>
  <c r="J3670" i="14" a="1"/>
  <c r="J3670" i="14" s="1"/>
  <c r="N3671" i="14"/>
  <c r="M3675" i="14"/>
  <c r="J3671" i="13" a="1"/>
  <c r="J3671" i="13" s="1"/>
  <c r="N3672" i="13"/>
  <c r="K3508" i="14" l="1"/>
  <c r="L3508" i="14" s="1"/>
  <c r="I3509" i="14" s="1"/>
  <c r="K3486" i="13"/>
  <c r="L3486" i="13" s="1"/>
  <c r="I3487" i="13" s="1"/>
  <c r="J3672" i="13" a="1"/>
  <c r="J3672" i="13" s="1"/>
  <c r="N3673" i="13"/>
  <c r="J3671" i="14" a="1"/>
  <c r="J3671" i="14" s="1"/>
  <c r="N3672" i="14"/>
  <c r="M3676" i="14"/>
  <c r="M3675" i="13"/>
  <c r="K3487" i="13" l="1"/>
  <c r="L3487" i="13" s="1"/>
  <c r="I3488" i="13" s="1"/>
  <c r="K3509" i="14"/>
  <c r="L3509" i="14" s="1"/>
  <c r="I3510" i="14" s="1"/>
  <c r="J3672" i="14" a="1"/>
  <c r="J3672" i="14" s="1"/>
  <c r="N3673" i="14"/>
  <c r="M3676" i="13"/>
  <c r="M3677" i="14"/>
  <c r="J3673" i="13" a="1"/>
  <c r="J3673" i="13" s="1"/>
  <c r="N3674" i="13"/>
  <c r="K3510" i="14" l="1"/>
  <c r="L3510" i="14" s="1"/>
  <c r="I3511" i="14" s="1"/>
  <c r="K3488" i="13"/>
  <c r="L3488" i="13" s="1"/>
  <c r="I3489" i="13" s="1"/>
  <c r="N3675" i="13"/>
  <c r="J3674" i="13" a="1"/>
  <c r="J3674" i="13" s="1"/>
  <c r="M3677" i="13"/>
  <c r="N3674" i="14"/>
  <c r="J3673" i="14" a="1"/>
  <c r="J3673" i="14" s="1"/>
  <c r="M3678" i="14"/>
  <c r="K3489" i="13" l="1"/>
  <c r="L3489" i="13" s="1"/>
  <c r="I3490" i="13" s="1"/>
  <c r="K3511" i="14"/>
  <c r="L3511" i="14" s="1"/>
  <c r="I3512" i="14" s="1"/>
  <c r="M3678" i="13"/>
  <c r="M3679" i="14"/>
  <c r="J3674" i="14" a="1"/>
  <c r="J3674" i="14" s="1"/>
  <c r="N3675" i="14"/>
  <c r="J3675" i="13" a="1"/>
  <c r="J3675" i="13" s="1"/>
  <c r="N3676" i="13"/>
  <c r="K3512" i="14" l="1"/>
  <c r="L3512" i="14" s="1"/>
  <c r="I3513" i="14" s="1"/>
  <c r="K3490" i="13"/>
  <c r="L3490" i="13" s="1"/>
  <c r="I3491" i="13" s="1"/>
  <c r="J3676" i="13" a="1"/>
  <c r="J3676" i="13" s="1"/>
  <c r="N3677" i="13"/>
  <c r="M3680" i="14"/>
  <c r="J3675" i="14" a="1"/>
  <c r="J3675" i="14" s="1"/>
  <c r="N3676" i="14"/>
  <c r="M3679" i="13"/>
  <c r="K3491" i="13" l="1"/>
  <c r="L3491" i="13" s="1"/>
  <c r="I3492" i="13" s="1"/>
  <c r="K3513" i="14"/>
  <c r="L3513" i="14" s="1"/>
  <c r="I3514" i="14" s="1"/>
  <c r="M3681" i="14"/>
  <c r="M3680" i="13"/>
  <c r="N3677" i="14"/>
  <c r="J3676" i="14" a="1"/>
  <c r="J3676" i="14" s="1"/>
  <c r="J3677" i="13" a="1"/>
  <c r="J3677" i="13" s="1"/>
  <c r="N3678" i="13"/>
  <c r="K3514" i="14" l="1"/>
  <c r="L3514" i="14" s="1"/>
  <c r="I3515" i="14" s="1"/>
  <c r="K3492" i="13"/>
  <c r="L3492" i="13" s="1"/>
  <c r="I3493" i="13" s="1"/>
  <c r="M3681" i="13"/>
  <c r="N3679" i="13"/>
  <c r="J3678" i="13" a="1"/>
  <c r="J3678" i="13" s="1"/>
  <c r="N3678" i="14"/>
  <c r="J3677" i="14" a="1"/>
  <c r="J3677" i="14" s="1"/>
  <c r="M3682" i="14"/>
  <c r="K3493" i="13" l="1"/>
  <c r="L3493" i="13" s="1"/>
  <c r="I3494" i="13" s="1"/>
  <c r="K3515" i="14"/>
  <c r="L3515" i="14" s="1"/>
  <c r="I3516" i="14" s="1"/>
  <c r="J3679" i="13" a="1"/>
  <c r="J3679" i="13" s="1"/>
  <c r="N3680" i="13"/>
  <c r="M3682" i="13"/>
  <c r="M3683" i="14"/>
  <c r="J3678" i="14" a="1"/>
  <c r="J3678" i="14" s="1"/>
  <c r="N3679" i="14"/>
  <c r="K3516" i="14" l="1"/>
  <c r="L3516" i="14" s="1"/>
  <c r="I3517" i="14" s="1"/>
  <c r="K3494" i="13"/>
  <c r="L3494" i="13" s="1"/>
  <c r="I3495" i="13" s="1"/>
  <c r="M3683" i="13"/>
  <c r="J3680" i="13" a="1"/>
  <c r="J3680" i="13" s="1"/>
  <c r="N3681" i="13"/>
  <c r="J3679" i="14" a="1"/>
  <c r="J3679" i="14" s="1"/>
  <c r="N3680" i="14"/>
  <c r="M3684" i="14"/>
  <c r="K3495" i="13" l="1"/>
  <c r="L3495" i="13" s="1"/>
  <c r="I3496" i="13" s="1"/>
  <c r="K3517" i="14"/>
  <c r="L3517" i="14" s="1"/>
  <c r="I3518" i="14" s="1"/>
  <c r="J3681" i="13" a="1"/>
  <c r="J3681" i="13" s="1"/>
  <c r="N3682" i="13"/>
  <c r="J3680" i="14" a="1"/>
  <c r="J3680" i="14" s="1"/>
  <c r="N3681" i="14"/>
  <c r="M3685" i="14"/>
  <c r="M3684" i="13"/>
  <c r="K3518" i="14" l="1"/>
  <c r="L3518" i="14" s="1"/>
  <c r="I3519" i="14" s="1"/>
  <c r="K3496" i="13"/>
  <c r="L3496" i="13" s="1"/>
  <c r="I3497" i="13" s="1"/>
  <c r="N3682" i="14"/>
  <c r="J3681" i="14" a="1"/>
  <c r="J3681" i="14" s="1"/>
  <c r="N3683" i="13"/>
  <c r="J3682" i="13" a="1"/>
  <c r="J3682" i="13" s="1"/>
  <c r="M3685" i="13"/>
  <c r="M3686" i="14"/>
  <c r="K3497" i="13" l="1"/>
  <c r="L3497" i="13" s="1"/>
  <c r="I3498" i="13" s="1"/>
  <c r="K3519" i="14"/>
  <c r="L3519" i="14" s="1"/>
  <c r="I3520" i="14" s="1"/>
  <c r="J3683" i="13" a="1"/>
  <c r="J3683" i="13" s="1"/>
  <c r="N3684" i="13"/>
  <c r="M3687" i="14"/>
  <c r="M3686" i="13"/>
  <c r="J3682" i="14" a="1"/>
  <c r="J3682" i="14" s="1"/>
  <c r="N3683" i="14"/>
  <c r="K3520" i="14" l="1"/>
  <c r="L3520" i="14" s="1"/>
  <c r="I3521" i="14" s="1"/>
  <c r="K3498" i="13"/>
  <c r="L3498" i="13" s="1"/>
  <c r="I3499" i="13" s="1"/>
  <c r="J3683" i="14" a="1"/>
  <c r="J3683" i="14" s="1"/>
  <c r="N3684" i="14"/>
  <c r="J3684" i="13" a="1"/>
  <c r="J3684" i="13" s="1"/>
  <c r="N3685" i="13"/>
  <c r="M3688" i="14"/>
  <c r="M3687" i="13"/>
  <c r="K3499" i="13" l="1"/>
  <c r="L3499" i="13" s="1"/>
  <c r="I3500" i="13" s="1"/>
  <c r="K3521" i="14"/>
  <c r="L3521" i="14" s="1"/>
  <c r="I3522" i="14" s="1"/>
  <c r="J3685" i="13" a="1"/>
  <c r="J3685" i="13" s="1"/>
  <c r="N3686" i="13"/>
  <c r="N3685" i="14"/>
  <c r="J3684" i="14" a="1"/>
  <c r="J3684" i="14" s="1"/>
  <c r="M3688" i="13"/>
  <c r="M3689" i="14"/>
  <c r="K3522" i="14" l="1"/>
  <c r="L3522" i="14" s="1"/>
  <c r="I3523" i="14" s="1"/>
  <c r="K3500" i="13"/>
  <c r="L3500" i="13" s="1"/>
  <c r="I3501" i="13" s="1"/>
  <c r="J3685" i="14" a="1"/>
  <c r="J3685" i="14" s="1"/>
  <c r="N3686" i="14"/>
  <c r="M3690" i="14"/>
  <c r="N3687" i="13"/>
  <c r="J3686" i="13" a="1"/>
  <c r="J3686" i="13" s="1"/>
  <c r="M3689" i="13"/>
  <c r="K3501" i="13" l="1"/>
  <c r="L3501" i="13" s="1"/>
  <c r="I3502" i="13" s="1"/>
  <c r="K3523" i="14"/>
  <c r="L3523" i="14" s="1"/>
  <c r="I3524" i="14" s="1"/>
  <c r="M3690" i="13"/>
  <c r="M3691" i="14"/>
  <c r="N3687" i="14"/>
  <c r="J3686" i="14" a="1"/>
  <c r="J3686" i="14" s="1"/>
  <c r="J3687" i="13" a="1"/>
  <c r="J3687" i="13" s="1"/>
  <c r="N3688" i="13"/>
  <c r="K3524" i="14" l="1"/>
  <c r="L3524" i="14" s="1"/>
  <c r="I3525" i="14" s="1"/>
  <c r="K3502" i="13"/>
  <c r="L3502" i="13" s="1"/>
  <c r="I3503" i="13" s="1"/>
  <c r="J3688" i="13" a="1"/>
  <c r="J3688" i="13" s="1"/>
  <c r="N3689" i="13"/>
  <c r="M3692" i="14"/>
  <c r="N3688" i="14"/>
  <c r="J3687" i="14" a="1"/>
  <c r="J3687" i="14" s="1"/>
  <c r="M3691" i="13"/>
  <c r="K3503" i="13" l="1"/>
  <c r="L3503" i="13" s="1"/>
  <c r="I3504" i="13" s="1"/>
  <c r="K3525" i="14"/>
  <c r="L3525" i="14" s="1"/>
  <c r="I3526" i="14" s="1"/>
  <c r="N3689" i="14"/>
  <c r="J3688" i="14" a="1"/>
  <c r="J3688" i="14" s="1"/>
  <c r="M3692" i="13"/>
  <c r="M3693" i="14"/>
  <c r="J3689" i="13" a="1"/>
  <c r="J3689" i="13" s="1"/>
  <c r="N3690" i="13"/>
  <c r="K3526" i="14" l="1"/>
  <c r="L3526" i="14" s="1"/>
  <c r="I3527" i="14" s="1"/>
  <c r="K3504" i="13"/>
  <c r="L3504" i="13" s="1"/>
  <c r="I3505" i="13" s="1"/>
  <c r="M3693" i="13"/>
  <c r="N3691" i="13"/>
  <c r="J3690" i="13" a="1"/>
  <c r="J3690" i="13" s="1"/>
  <c r="M3694" i="14"/>
  <c r="J3689" i="14" a="1"/>
  <c r="J3689" i="14" s="1"/>
  <c r="N3690" i="14"/>
  <c r="K3505" i="13" l="1"/>
  <c r="L3505" i="13" s="1"/>
  <c r="I3506" i="13" s="1"/>
  <c r="K3527" i="14"/>
  <c r="L3527" i="14" s="1"/>
  <c r="I3528" i="14" s="1"/>
  <c r="N3691" i="14"/>
  <c r="J3690" i="14" a="1"/>
  <c r="J3690" i="14" s="1"/>
  <c r="J3691" i="13" a="1"/>
  <c r="J3691" i="13" s="1"/>
  <c r="N3692" i="13"/>
  <c r="M3695" i="14"/>
  <c r="M3694" i="13"/>
  <c r="K3506" i="13" l="1"/>
  <c r="L3506" i="13" s="1"/>
  <c r="I3507" i="13" s="1"/>
  <c r="K3528" i="14"/>
  <c r="L3528" i="14" s="1"/>
  <c r="I3529" i="14" s="1"/>
  <c r="J3692" i="13" a="1"/>
  <c r="J3692" i="13" s="1"/>
  <c r="N3693" i="13"/>
  <c r="M3695" i="13"/>
  <c r="M3696" i="14"/>
  <c r="J3691" i="14" a="1"/>
  <c r="J3691" i="14" s="1"/>
  <c r="N3692" i="14"/>
  <c r="K3529" i="14" l="1"/>
  <c r="L3529" i="14" s="1"/>
  <c r="I3530" i="14" s="1"/>
  <c r="K3507" i="13"/>
  <c r="L3507" i="13" s="1"/>
  <c r="I3508" i="13" s="1"/>
  <c r="N3693" i="14"/>
  <c r="J3692" i="14" a="1"/>
  <c r="J3692" i="14" s="1"/>
  <c r="M3696" i="13"/>
  <c r="J3693" i="13" a="1"/>
  <c r="J3693" i="13" s="1"/>
  <c r="N3694" i="13"/>
  <c r="M3697" i="14"/>
  <c r="K3508" i="13" l="1"/>
  <c r="L3508" i="13" s="1"/>
  <c r="I3509" i="13" s="1"/>
  <c r="K3530" i="14"/>
  <c r="L3530" i="14" s="1"/>
  <c r="I3531" i="14" s="1"/>
  <c r="M3698" i="14"/>
  <c r="N3695" i="13"/>
  <c r="J3694" i="13" a="1"/>
  <c r="J3694" i="13" s="1"/>
  <c r="M3697" i="13"/>
  <c r="J3693" i="14" a="1"/>
  <c r="J3693" i="14" s="1"/>
  <c r="N3694" i="14"/>
  <c r="K3531" i="14" l="1"/>
  <c r="L3531" i="14" s="1"/>
  <c r="I3532" i="14" s="1"/>
  <c r="K3509" i="13"/>
  <c r="L3509" i="13" s="1"/>
  <c r="I3510" i="13" s="1"/>
  <c r="J3694" i="14" a="1"/>
  <c r="J3694" i="14" s="1"/>
  <c r="N3695" i="14"/>
  <c r="J3695" i="13" a="1"/>
  <c r="J3695" i="13" s="1"/>
  <c r="N3696" i="13"/>
  <c r="M3698" i="13"/>
  <c r="M3699" i="14"/>
  <c r="K3510" i="13" l="1"/>
  <c r="L3510" i="13" s="1"/>
  <c r="I3511" i="13" s="1"/>
  <c r="K3532" i="14"/>
  <c r="L3532" i="14" s="1"/>
  <c r="I3533" i="14" s="1"/>
  <c r="M3700" i="14"/>
  <c r="J3696" i="13" a="1"/>
  <c r="J3696" i="13" s="1"/>
  <c r="N3697" i="13"/>
  <c r="N3696" i="14"/>
  <c r="J3695" i="14" a="1"/>
  <c r="J3695" i="14" s="1"/>
  <c r="M3699" i="13"/>
  <c r="K3533" i="14" l="1"/>
  <c r="L3533" i="14" s="1"/>
  <c r="I3534" i="14" s="1"/>
  <c r="K3511" i="13"/>
  <c r="L3511" i="13" s="1"/>
  <c r="I3512" i="13" s="1"/>
  <c r="J3697" i="13" a="1"/>
  <c r="J3697" i="13" s="1"/>
  <c r="N3698" i="13"/>
  <c r="M3700" i="13"/>
  <c r="N3697" i="14"/>
  <c r="J3696" i="14" a="1"/>
  <c r="J3696" i="14" s="1"/>
  <c r="M3701" i="14"/>
  <c r="K3512" i="13" l="1"/>
  <c r="L3512" i="13" s="1"/>
  <c r="I3513" i="13" s="1"/>
  <c r="K3534" i="14"/>
  <c r="L3534" i="14" s="1"/>
  <c r="I3535" i="14" s="1"/>
  <c r="J3697" i="14" a="1"/>
  <c r="J3697" i="14" s="1"/>
  <c r="N3698" i="14"/>
  <c r="M3702" i="14"/>
  <c r="M3701" i="13"/>
  <c r="N3699" i="13"/>
  <c r="J3698" i="13" a="1"/>
  <c r="J3698" i="13" s="1"/>
  <c r="K3535" i="14" l="1"/>
  <c r="L3535" i="14" s="1"/>
  <c r="I3536" i="14" s="1"/>
  <c r="K3513" i="13"/>
  <c r="L3513" i="13" s="1"/>
  <c r="I3514" i="13" s="1"/>
  <c r="M3703" i="14"/>
  <c r="J3699" i="13" a="1"/>
  <c r="J3699" i="13" s="1"/>
  <c r="N3700" i="13"/>
  <c r="M3702" i="13"/>
  <c r="N3699" i="14"/>
  <c r="J3698" i="14" a="1"/>
  <c r="J3698" i="14" s="1"/>
  <c r="K3514" i="13" l="1"/>
  <c r="L3514" i="13" s="1"/>
  <c r="I3515" i="13" s="1"/>
  <c r="K3536" i="14"/>
  <c r="L3536" i="14" s="1"/>
  <c r="I3537" i="14" s="1"/>
  <c r="J3700" i="13" a="1"/>
  <c r="J3700" i="13" s="1"/>
  <c r="N3701" i="13"/>
  <c r="N3700" i="14"/>
  <c r="J3699" i="14" a="1"/>
  <c r="J3699" i="14" s="1"/>
  <c r="M3704" i="14"/>
  <c r="M3703" i="13"/>
  <c r="K3537" i="14" l="1"/>
  <c r="L3537" i="14" s="1"/>
  <c r="I3538" i="14" s="1"/>
  <c r="K3515" i="13"/>
  <c r="L3515" i="13" s="1"/>
  <c r="I3516" i="13" s="1"/>
  <c r="N3701" i="14"/>
  <c r="J3700" i="14" a="1"/>
  <c r="J3700" i="14" s="1"/>
  <c r="J3701" i="13" a="1"/>
  <c r="J3701" i="13" s="1"/>
  <c r="N3702" i="13"/>
  <c r="M3704" i="13"/>
  <c r="M3705" i="14"/>
  <c r="K3538" i="14" l="1"/>
  <c r="L3538" i="14" s="1"/>
  <c r="I3539" i="14" s="1"/>
  <c r="M3706" i="14"/>
  <c r="N3703" i="13"/>
  <c r="J3702" i="13" a="1"/>
  <c r="J3702" i="13" s="1"/>
  <c r="K3516" i="13"/>
  <c r="L3516" i="13" s="1"/>
  <c r="I3517" i="13" s="1"/>
  <c r="M3705" i="13"/>
  <c r="J3701" i="14" a="1"/>
  <c r="J3701" i="14" s="1"/>
  <c r="N3702" i="14"/>
  <c r="K3539" i="14" l="1"/>
  <c r="L3539" i="14" s="1"/>
  <c r="I3540" i="14" s="1"/>
  <c r="N3703" i="14"/>
  <c r="J3702" i="14" a="1"/>
  <c r="J3702" i="14" s="1"/>
  <c r="M3707" i="14"/>
  <c r="K3517" i="13"/>
  <c r="L3517" i="13" s="1"/>
  <c r="I3518" i="13" s="1"/>
  <c r="M3706" i="13"/>
  <c r="J3703" i="13" a="1"/>
  <c r="J3703" i="13" s="1"/>
  <c r="N3704" i="13"/>
  <c r="K3518" i="13" l="1"/>
  <c r="L3518" i="13" s="1"/>
  <c r="I3519" i="13" s="1"/>
  <c r="K3540" i="14"/>
  <c r="L3540" i="14" s="1"/>
  <c r="I3541" i="14" s="1"/>
  <c r="J3704" i="13" a="1"/>
  <c r="J3704" i="13" s="1"/>
  <c r="N3705" i="13"/>
  <c r="N3704" i="14"/>
  <c r="J3703" i="14" a="1"/>
  <c r="J3703" i="14" s="1"/>
  <c r="M3708" i="14"/>
  <c r="M3707" i="13"/>
  <c r="K3541" i="14" l="1"/>
  <c r="L3541" i="14" s="1"/>
  <c r="I3542" i="14" s="1"/>
  <c r="K3519" i="13"/>
  <c r="L3519" i="13" s="1"/>
  <c r="I3520" i="13" s="1"/>
  <c r="N3705" i="14"/>
  <c r="J3704" i="14" a="1"/>
  <c r="J3704" i="14" s="1"/>
  <c r="J3705" i="13" a="1"/>
  <c r="J3705" i="13" s="1"/>
  <c r="N3706" i="13"/>
  <c r="M3708" i="13"/>
  <c r="M3709" i="14"/>
  <c r="K3542" i="14" l="1"/>
  <c r="L3542" i="14" s="1"/>
  <c r="I3543" i="14" s="1"/>
  <c r="N3707" i="13"/>
  <c r="J3706" i="13" a="1"/>
  <c r="J3706" i="13" s="1"/>
  <c r="K3520" i="13"/>
  <c r="L3520" i="13" s="1"/>
  <c r="I3521" i="13" s="1"/>
  <c r="M3710" i="14"/>
  <c r="M3709" i="13"/>
  <c r="J3705" i="14" a="1"/>
  <c r="J3705" i="14" s="1"/>
  <c r="N3706" i="14"/>
  <c r="K3521" i="13" l="1"/>
  <c r="L3521" i="13" s="1"/>
  <c r="I3522" i="13" s="1"/>
  <c r="K3543" i="14"/>
  <c r="L3543" i="14" s="1"/>
  <c r="I3544" i="14" s="1"/>
  <c r="M3711" i="14"/>
  <c r="J3707" i="13" a="1"/>
  <c r="J3707" i="13" s="1"/>
  <c r="N3708" i="13"/>
  <c r="M3710" i="13"/>
  <c r="N3707" i="14"/>
  <c r="J3706" i="14" a="1"/>
  <c r="J3706" i="14" s="1"/>
  <c r="K3544" i="14" l="1"/>
  <c r="L3544" i="14" s="1"/>
  <c r="I3545" i="14" s="1"/>
  <c r="K3522" i="13"/>
  <c r="L3522" i="13" s="1"/>
  <c r="I3523" i="13" s="1"/>
  <c r="N3708" i="14"/>
  <c r="J3707" i="14" a="1"/>
  <c r="J3707" i="14" s="1"/>
  <c r="J3708" i="13" a="1"/>
  <c r="J3708" i="13" s="1"/>
  <c r="N3709" i="13"/>
  <c r="M3712" i="14"/>
  <c r="M3711" i="13"/>
  <c r="K3523" i="13" l="1"/>
  <c r="L3523" i="13" s="1"/>
  <c r="I3524" i="13" s="1"/>
  <c r="K3545" i="14"/>
  <c r="L3545" i="14" s="1"/>
  <c r="I3546" i="14" s="1"/>
  <c r="J3709" i="13" a="1"/>
  <c r="J3709" i="13" s="1"/>
  <c r="N3710" i="13"/>
  <c r="M3712" i="13"/>
  <c r="M3713" i="14"/>
  <c r="N3709" i="14"/>
  <c r="J3708" i="14" a="1"/>
  <c r="J3708" i="14" s="1"/>
  <c r="K3546" i="14" l="1"/>
  <c r="L3546" i="14" s="1"/>
  <c r="I3547" i="14" s="1"/>
  <c r="K3524" i="13"/>
  <c r="L3524" i="13" s="1"/>
  <c r="I3525" i="13" s="1"/>
  <c r="J3709" i="14" a="1"/>
  <c r="J3709" i="14" s="1"/>
  <c r="N3710" i="14"/>
  <c r="M3713" i="13"/>
  <c r="N3711" i="13"/>
  <c r="J3710" i="13" a="1"/>
  <c r="J3710" i="13" s="1"/>
  <c r="M3714" i="14"/>
  <c r="K3547" i="14" l="1"/>
  <c r="L3547" i="14" s="1"/>
  <c r="I3548" i="14" s="1"/>
  <c r="M3714" i="13"/>
  <c r="K3525" i="13"/>
  <c r="L3525" i="13" s="1"/>
  <c r="I3526" i="13" s="1"/>
  <c r="N3711" i="14"/>
  <c r="J3710" i="14" a="1"/>
  <c r="J3710" i="14" s="1"/>
  <c r="M3715" i="14"/>
  <c r="J3711" i="13" a="1"/>
  <c r="J3711" i="13" s="1"/>
  <c r="N3712" i="13"/>
  <c r="K3526" i="13" l="1"/>
  <c r="L3526" i="13" s="1"/>
  <c r="I3527" i="13" s="1"/>
  <c r="K3548" i="14"/>
  <c r="L3548" i="14" s="1"/>
  <c r="I3549" i="14" s="1"/>
  <c r="J3711" i="14" a="1"/>
  <c r="J3711" i="14" s="1"/>
  <c r="N3712" i="14"/>
  <c r="M3715" i="13"/>
  <c r="J3712" i="13" a="1"/>
  <c r="J3712" i="13" s="1"/>
  <c r="N3713" i="13"/>
  <c r="M3716" i="14"/>
  <c r="K3549" i="14" l="1"/>
  <c r="L3549" i="14" s="1"/>
  <c r="I3550" i="14" s="1"/>
  <c r="K3527" i="13"/>
  <c r="L3527" i="13" s="1"/>
  <c r="I3528" i="13" s="1"/>
  <c r="M3717" i="14"/>
  <c r="M3716" i="13"/>
  <c r="J3713" i="13" a="1"/>
  <c r="J3713" i="13" s="1"/>
  <c r="N3714" i="13"/>
  <c r="N3713" i="14"/>
  <c r="J3712" i="14" a="1"/>
  <c r="J3712" i="14" s="1"/>
  <c r="K3528" i="13" l="1"/>
  <c r="L3528" i="13" s="1"/>
  <c r="I3529" i="13" s="1"/>
  <c r="K3550" i="14"/>
  <c r="L3550" i="14" s="1"/>
  <c r="I3551" i="14" s="1"/>
  <c r="J3713" i="14" a="1"/>
  <c r="J3713" i="14" s="1"/>
  <c r="N3714" i="14"/>
  <c r="M3717" i="13"/>
  <c r="N3715" i="13"/>
  <c r="J3714" i="13" a="1"/>
  <c r="J3714" i="13" s="1"/>
  <c r="M3718" i="14"/>
  <c r="K3551" i="14" l="1"/>
  <c r="L3551" i="14" s="1"/>
  <c r="I3552" i="14" s="1"/>
  <c r="K3529" i="13"/>
  <c r="L3529" i="13" s="1"/>
  <c r="I3530" i="13" s="1"/>
  <c r="M3718" i="13"/>
  <c r="J3715" i="13" a="1"/>
  <c r="J3715" i="13" s="1"/>
  <c r="N3716" i="13"/>
  <c r="M3719" i="14"/>
  <c r="J3714" i="14" a="1"/>
  <c r="J3714" i="14" s="1"/>
  <c r="N3715" i="14"/>
  <c r="K3552" i="14" l="1"/>
  <c r="L3552" i="14" s="1"/>
  <c r="I3553" i="14" s="1"/>
  <c r="N3716" i="14"/>
  <c r="J3715" i="14" a="1"/>
  <c r="J3715" i="14" s="1"/>
  <c r="J3716" i="13" a="1"/>
  <c r="J3716" i="13" s="1"/>
  <c r="N3717" i="13"/>
  <c r="M3720" i="14"/>
  <c r="K3530" i="13"/>
  <c r="L3530" i="13" s="1"/>
  <c r="I3531" i="13" s="1"/>
  <c r="M3719" i="13"/>
  <c r="K3531" i="13" l="1"/>
  <c r="L3531" i="13" s="1"/>
  <c r="I3532" i="13" s="1"/>
  <c r="K3553" i="14"/>
  <c r="L3553" i="14" s="1"/>
  <c r="I3554" i="14" s="1"/>
  <c r="N3717" i="14"/>
  <c r="J3716" i="14" a="1"/>
  <c r="J3716" i="14" s="1"/>
  <c r="J3717" i="13" a="1"/>
  <c r="J3717" i="13" s="1"/>
  <c r="N3718" i="13"/>
  <c r="M3720" i="13"/>
  <c r="M3721" i="14"/>
  <c r="K3554" i="14" l="1"/>
  <c r="L3554" i="14" s="1"/>
  <c r="I3555" i="14" s="1"/>
  <c r="K3532" i="13"/>
  <c r="L3532" i="13" s="1"/>
  <c r="I3533" i="13" s="1"/>
  <c r="N3719" i="13"/>
  <c r="J3718" i="13" a="1"/>
  <c r="J3718" i="13" s="1"/>
  <c r="M3722" i="14"/>
  <c r="M3721" i="13"/>
  <c r="J3717" i="14" a="1"/>
  <c r="J3717" i="14" s="1"/>
  <c r="N3718" i="14"/>
  <c r="K3533" i="13" l="1"/>
  <c r="L3533" i="13" s="1"/>
  <c r="I3534" i="13" s="1"/>
  <c r="K3555" i="14"/>
  <c r="L3555" i="14" s="1"/>
  <c r="I3556" i="14" s="1"/>
  <c r="N3719" i="14"/>
  <c r="J3718" i="14" a="1"/>
  <c r="J3718" i="14" s="1"/>
  <c r="M3723" i="14"/>
  <c r="M3722" i="13"/>
  <c r="J3719" i="13" a="1"/>
  <c r="J3719" i="13" s="1"/>
  <c r="N3720" i="13"/>
  <c r="K3556" i="14" l="1"/>
  <c r="L3556" i="14" s="1"/>
  <c r="I3557" i="14" s="1"/>
  <c r="K3534" i="13"/>
  <c r="L3534" i="13" s="1"/>
  <c r="I3535" i="13" s="1"/>
  <c r="J3720" i="13" a="1"/>
  <c r="J3720" i="13" s="1"/>
  <c r="N3721" i="13"/>
  <c r="M3724" i="14"/>
  <c r="M3723" i="13"/>
  <c r="N3720" i="14"/>
  <c r="J3719" i="14" a="1"/>
  <c r="J3719" i="14" s="1"/>
  <c r="K3535" i="13" l="1"/>
  <c r="L3535" i="13" s="1"/>
  <c r="I3536" i="13" s="1"/>
  <c r="K3557" i="14"/>
  <c r="L3557" i="14" s="1"/>
  <c r="I3558" i="14" s="1"/>
  <c r="N3721" i="14"/>
  <c r="J3720" i="14" a="1"/>
  <c r="J3720" i="14" s="1"/>
  <c r="M3725" i="14"/>
  <c r="J3721" i="13" a="1"/>
  <c r="J3721" i="13" s="1"/>
  <c r="N3722" i="13"/>
  <c r="M3724" i="13"/>
  <c r="K3558" i="14" l="1"/>
  <c r="L3558" i="14" s="1"/>
  <c r="I3559" i="14" s="1"/>
  <c r="K3536" i="13"/>
  <c r="L3536" i="13" s="1"/>
  <c r="I3537" i="13" s="1"/>
  <c r="N3723" i="13"/>
  <c r="J3722" i="13" a="1"/>
  <c r="J3722" i="13" s="1"/>
  <c r="M3726" i="14"/>
  <c r="M3725" i="13"/>
  <c r="J3721" i="14" a="1"/>
  <c r="J3721" i="14" s="1"/>
  <c r="N3722" i="14"/>
  <c r="K3537" i="13" l="1"/>
  <c r="L3537" i="13" s="1"/>
  <c r="I3538" i="13" s="1"/>
  <c r="K3559" i="14"/>
  <c r="L3559" i="14" s="1"/>
  <c r="I3560" i="14" s="1"/>
  <c r="N3723" i="14"/>
  <c r="J3722" i="14" a="1"/>
  <c r="J3722" i="14" s="1"/>
  <c r="M3727" i="14"/>
  <c r="M3726" i="13"/>
  <c r="J3723" i="13" a="1"/>
  <c r="J3723" i="13" s="1"/>
  <c r="N3724" i="13"/>
  <c r="K3560" i="14" l="1"/>
  <c r="L3560" i="14" s="1"/>
  <c r="I3561" i="14" s="1"/>
  <c r="K3538" i="13"/>
  <c r="L3538" i="13" s="1"/>
  <c r="I3539" i="13" s="1"/>
  <c r="J3724" i="13" a="1"/>
  <c r="J3724" i="13" s="1"/>
  <c r="N3725" i="13"/>
  <c r="M3728" i="14"/>
  <c r="M3727" i="13"/>
  <c r="N3724" i="14"/>
  <c r="J3723" i="14" a="1"/>
  <c r="J3723" i="14" s="1"/>
  <c r="K3539" i="13" l="1"/>
  <c r="L3539" i="13" s="1"/>
  <c r="I3540" i="13" s="1"/>
  <c r="K3561" i="14"/>
  <c r="L3561" i="14" s="1"/>
  <c r="I3562" i="14" s="1"/>
  <c r="N3725" i="14"/>
  <c r="J3724" i="14" a="1"/>
  <c r="J3724" i="14" s="1"/>
  <c r="M3729" i="14"/>
  <c r="J3725" i="13" a="1"/>
  <c r="J3725" i="13" s="1"/>
  <c r="N3726" i="13"/>
  <c r="M3728" i="13"/>
  <c r="K3562" i="14" l="1"/>
  <c r="L3562" i="14" s="1"/>
  <c r="I3563" i="14" s="1"/>
  <c r="K3540" i="13"/>
  <c r="L3540" i="13" s="1"/>
  <c r="I3541" i="13" s="1"/>
  <c r="M3730" i="14"/>
  <c r="N3727" i="13"/>
  <c r="J3726" i="13" a="1"/>
  <c r="J3726" i="13" s="1"/>
  <c r="M3729" i="13"/>
  <c r="J3725" i="14" a="1"/>
  <c r="J3725" i="14" s="1"/>
  <c r="N3726" i="14"/>
  <c r="K3541" i="13" l="1"/>
  <c r="L3541" i="13" s="1"/>
  <c r="I3542" i="13" s="1"/>
  <c r="K3563" i="14"/>
  <c r="L3563" i="14" s="1"/>
  <c r="I3564" i="14" s="1"/>
  <c r="J3727" i="13" a="1"/>
  <c r="J3727" i="13" s="1"/>
  <c r="N3728" i="13"/>
  <c r="N3727" i="14"/>
  <c r="J3726" i="14" a="1"/>
  <c r="J3726" i="14" s="1"/>
  <c r="M3730" i="13"/>
  <c r="M3731" i="14"/>
  <c r="K3564" i="14" l="1"/>
  <c r="L3564" i="14" s="1"/>
  <c r="I3565" i="14" s="1"/>
  <c r="K3542" i="13"/>
  <c r="L3542" i="13" s="1"/>
  <c r="I3543" i="13" s="1"/>
  <c r="N3728" i="14"/>
  <c r="J3727" i="14" a="1"/>
  <c r="J3727" i="14" s="1"/>
  <c r="M3732" i="14"/>
  <c r="J3728" i="13" a="1"/>
  <c r="J3728" i="13" s="1"/>
  <c r="N3729" i="13"/>
  <c r="M3731" i="13"/>
  <c r="K3565" i="14" l="1"/>
  <c r="L3565" i="14" s="1"/>
  <c r="I3566" i="14" s="1"/>
  <c r="M3732" i="13"/>
  <c r="M3733" i="14"/>
  <c r="K3543" i="13"/>
  <c r="L3543" i="13" s="1"/>
  <c r="I3544" i="13" s="1"/>
  <c r="J3729" i="13" a="1"/>
  <c r="J3729" i="13" s="1"/>
  <c r="N3730" i="13"/>
  <c r="N3729" i="14"/>
  <c r="J3728" i="14" a="1"/>
  <c r="J3728" i="14" s="1"/>
  <c r="K3544" i="13" l="1"/>
  <c r="L3544" i="13" s="1"/>
  <c r="I3545" i="13" s="1"/>
  <c r="K3566" i="14"/>
  <c r="L3566" i="14" s="1"/>
  <c r="I3567" i="14" s="1"/>
  <c r="J3729" i="14" a="1"/>
  <c r="J3729" i="14" s="1"/>
  <c r="N3730" i="14"/>
  <c r="M3733" i="13"/>
  <c r="N3731" i="13"/>
  <c r="J3730" i="13" a="1"/>
  <c r="J3730" i="13" s="1"/>
  <c r="M3734" i="14"/>
  <c r="K3567" i="14" l="1"/>
  <c r="L3567" i="14" s="1"/>
  <c r="I3568" i="14" s="1"/>
  <c r="K3545" i="13"/>
  <c r="L3545" i="13" s="1"/>
  <c r="I3546" i="13" s="1"/>
  <c r="J3731" i="13" a="1"/>
  <c r="J3731" i="13" s="1"/>
  <c r="N3732" i="13"/>
  <c r="M3735" i="14"/>
  <c r="M3734" i="13"/>
  <c r="N3731" i="14"/>
  <c r="J3730" i="14" a="1"/>
  <c r="J3730" i="14" s="1"/>
  <c r="K3546" i="13" l="1"/>
  <c r="L3546" i="13" s="1"/>
  <c r="I3547" i="13" s="1"/>
  <c r="K3568" i="14"/>
  <c r="L3568" i="14" s="1"/>
  <c r="I3569" i="14" s="1"/>
  <c r="M3736" i="14"/>
  <c r="N3732" i="14"/>
  <c r="J3731" i="14" a="1"/>
  <c r="J3731" i="14" s="1"/>
  <c r="J3732" i="13" a="1"/>
  <c r="J3732" i="13" s="1"/>
  <c r="N3733" i="13"/>
  <c r="M3735" i="13"/>
  <c r="K3569" i="14" l="1"/>
  <c r="L3569" i="14" s="1"/>
  <c r="I3570" i="14" s="1"/>
  <c r="K3547" i="13"/>
  <c r="L3547" i="13" s="1"/>
  <c r="I3548" i="13" s="1"/>
  <c r="M3736" i="13"/>
  <c r="N3733" i="14"/>
  <c r="J3732" i="14" a="1"/>
  <c r="J3732" i="14" s="1"/>
  <c r="J3733" i="13" a="1"/>
  <c r="J3733" i="13" s="1"/>
  <c r="N3734" i="13"/>
  <c r="M3737" i="14"/>
  <c r="K3548" i="13" l="1"/>
  <c r="L3548" i="13" s="1"/>
  <c r="I3549" i="13" s="1"/>
  <c r="K3570" i="14"/>
  <c r="L3570" i="14" s="1"/>
  <c r="I3571" i="14" s="1"/>
  <c r="M3738" i="14"/>
  <c r="J3733" i="14" a="1"/>
  <c r="J3733" i="14" s="1"/>
  <c r="N3734" i="14"/>
  <c r="N3735" i="13"/>
  <c r="J3734" i="13" a="1"/>
  <c r="J3734" i="13" s="1"/>
  <c r="M3737" i="13"/>
  <c r="K3571" i="14" l="1"/>
  <c r="L3571" i="14" s="1"/>
  <c r="I3572" i="14" s="1"/>
  <c r="K3549" i="13"/>
  <c r="L3549" i="13" s="1"/>
  <c r="I3550" i="13" s="1"/>
  <c r="N3735" i="14"/>
  <c r="J3734" i="14" a="1"/>
  <c r="J3734" i="14" s="1"/>
  <c r="M3738" i="13"/>
  <c r="M3739" i="14"/>
  <c r="N3736" i="13"/>
  <c r="J3735" i="13" a="1"/>
  <c r="J3735" i="13" s="1"/>
  <c r="K3550" i="13" l="1"/>
  <c r="L3550" i="13" s="1"/>
  <c r="I3551" i="13" s="1"/>
  <c r="K3572" i="14"/>
  <c r="L3572" i="14" s="1"/>
  <c r="I3573" i="14" s="1"/>
  <c r="M3739" i="13"/>
  <c r="M3740" i="14"/>
  <c r="J3736" i="13" a="1"/>
  <c r="J3736" i="13" s="1"/>
  <c r="N3737" i="13"/>
  <c r="N3736" i="14"/>
  <c r="J3735" i="14" a="1"/>
  <c r="J3735" i="14" s="1"/>
  <c r="K3573" i="14" l="1"/>
  <c r="L3573" i="14" s="1"/>
  <c r="I3574" i="14" s="1"/>
  <c r="K3551" i="13"/>
  <c r="L3551" i="13" s="1"/>
  <c r="I3552" i="13" s="1"/>
  <c r="N3737" i="14"/>
  <c r="J3736" i="14" a="1"/>
  <c r="J3736" i="14" s="1"/>
  <c r="M3741" i="14"/>
  <c r="N3738" i="13"/>
  <c r="J3737" i="13" a="1"/>
  <c r="J3737" i="13" s="1"/>
  <c r="M3740" i="13"/>
  <c r="K3552" i="13" l="1"/>
  <c r="L3552" i="13" s="1"/>
  <c r="I3553" i="13" s="1"/>
  <c r="J3737" i="14" a="1"/>
  <c r="J3737" i="14" s="1"/>
  <c r="N3738" i="14"/>
  <c r="N3739" i="13"/>
  <c r="J3738" i="13" a="1"/>
  <c r="J3738" i="13" s="1"/>
  <c r="M3742" i="14"/>
  <c r="M3741" i="13"/>
  <c r="K3574" i="14"/>
  <c r="L3574" i="14" s="1"/>
  <c r="I3575" i="14" s="1"/>
  <c r="K3575" i="14" l="1"/>
  <c r="L3575" i="14" s="1"/>
  <c r="I3576" i="14" s="1"/>
  <c r="K3553" i="13"/>
  <c r="L3553" i="13" s="1"/>
  <c r="I3554" i="13" s="1"/>
  <c r="M3743" i="14"/>
  <c r="N3739" i="14"/>
  <c r="J3738" i="14" a="1"/>
  <c r="J3738" i="14" s="1"/>
  <c r="M3742" i="13"/>
  <c r="N3740" i="13"/>
  <c r="J3739" i="13" a="1"/>
  <c r="J3739" i="13" s="1"/>
  <c r="K3554" i="13" l="1"/>
  <c r="L3554" i="13" s="1"/>
  <c r="I3555" i="13" s="1"/>
  <c r="K3576" i="14"/>
  <c r="L3576" i="14" s="1"/>
  <c r="I3577" i="14" s="1"/>
  <c r="N3740" i="14"/>
  <c r="J3739" i="14" a="1"/>
  <c r="J3739" i="14" s="1"/>
  <c r="M3743" i="13"/>
  <c r="J3740" i="13" a="1"/>
  <c r="J3740" i="13" s="1"/>
  <c r="N3741" i="13"/>
  <c r="M3744" i="14"/>
  <c r="K3577" i="14" l="1"/>
  <c r="L3577" i="14" s="1"/>
  <c r="I3578" i="14" s="1"/>
  <c r="K3555" i="13"/>
  <c r="L3555" i="13" s="1"/>
  <c r="I3556" i="13" s="1"/>
  <c r="N3742" i="13"/>
  <c r="J3741" i="13" a="1"/>
  <c r="J3741" i="13" s="1"/>
  <c r="M3745" i="14"/>
  <c r="M3744" i="13"/>
  <c r="N3741" i="14"/>
  <c r="J3740" i="14" a="1"/>
  <c r="J3740" i="14" s="1"/>
  <c r="K3556" i="13" l="1"/>
  <c r="L3556" i="13" s="1"/>
  <c r="I3557" i="13" s="1"/>
  <c r="K3578" i="14"/>
  <c r="L3578" i="14" s="1"/>
  <c r="I3579" i="14" s="1"/>
  <c r="M3746" i="14"/>
  <c r="J3741" i="14" a="1"/>
  <c r="J3741" i="14" s="1"/>
  <c r="N3742" i="14"/>
  <c r="M3745" i="13"/>
  <c r="N3743" i="13"/>
  <c r="J3742" i="13" a="1"/>
  <c r="J3742" i="13" s="1"/>
  <c r="K3579" i="14" l="1"/>
  <c r="L3579" i="14" s="1"/>
  <c r="I3580" i="14" s="1"/>
  <c r="K3557" i="13"/>
  <c r="L3557" i="13" s="1"/>
  <c r="I3558" i="13" s="1"/>
  <c r="N3743" i="14"/>
  <c r="J3742" i="14" a="1"/>
  <c r="J3742" i="14" s="1"/>
  <c r="N3744" i="13"/>
  <c r="J3743" i="13" a="1"/>
  <c r="J3743" i="13" s="1"/>
  <c r="M3746" i="13"/>
  <c r="M3747" i="14"/>
  <c r="K3558" i="13" l="1"/>
  <c r="L3558" i="13" s="1"/>
  <c r="I3559" i="13" s="1"/>
  <c r="K3580" i="14"/>
  <c r="L3580" i="14" s="1"/>
  <c r="I3581" i="14" s="1"/>
  <c r="M3747" i="13"/>
  <c r="M3748" i="14"/>
  <c r="J3744" i="13" a="1"/>
  <c r="J3744" i="13" s="1"/>
  <c r="N3745" i="13"/>
  <c r="N3744" i="14"/>
  <c r="J3743" i="14" a="1"/>
  <c r="J3743" i="14" s="1"/>
  <c r="K3581" i="14" l="1"/>
  <c r="L3581" i="14" s="1"/>
  <c r="I3582" i="14" s="1"/>
  <c r="K3559" i="13"/>
  <c r="L3559" i="13" s="1"/>
  <c r="I3560" i="13" s="1"/>
  <c r="N3745" i="14"/>
  <c r="J3744" i="14" a="1"/>
  <c r="J3744" i="14" s="1"/>
  <c r="M3749" i="14"/>
  <c r="N3746" i="13"/>
  <c r="J3745" i="13" a="1"/>
  <c r="J3745" i="13" s="1"/>
  <c r="M3748" i="13"/>
  <c r="K3560" i="13" l="1"/>
  <c r="L3560" i="13" s="1"/>
  <c r="I3561" i="13" s="1"/>
  <c r="K3582" i="14"/>
  <c r="L3582" i="14" s="1"/>
  <c r="I3583" i="14" s="1"/>
  <c r="N3747" i="13"/>
  <c r="J3746" i="13" a="1"/>
  <c r="J3746" i="13" s="1"/>
  <c r="M3749" i="13"/>
  <c r="M3750" i="14"/>
  <c r="J3745" i="14" a="1"/>
  <c r="J3745" i="14" s="1"/>
  <c r="N3746" i="14"/>
  <c r="K3583" i="14" l="1"/>
  <c r="L3583" i="14" s="1"/>
  <c r="I3584" i="14" s="1"/>
  <c r="K3561" i="13"/>
  <c r="L3561" i="13" s="1"/>
  <c r="I3562" i="13" s="1"/>
  <c r="M3750" i="13"/>
  <c r="N3747" i="14"/>
  <c r="J3746" i="14" a="1"/>
  <c r="J3746" i="14" s="1"/>
  <c r="M3751" i="14"/>
  <c r="N3748" i="13"/>
  <c r="J3747" i="13" a="1"/>
  <c r="J3747" i="13" s="1"/>
  <c r="K3562" i="13" l="1"/>
  <c r="L3562" i="13" s="1"/>
  <c r="I3563" i="13" s="1"/>
  <c r="K3584" i="14"/>
  <c r="L3584" i="14" s="1"/>
  <c r="I3585" i="14" s="1"/>
  <c r="N3748" i="14"/>
  <c r="J3747" i="14" a="1"/>
  <c r="J3747" i="14" s="1"/>
  <c r="M3752" i="14"/>
  <c r="M3751" i="13"/>
  <c r="J3748" i="13" a="1"/>
  <c r="J3748" i="13" s="1"/>
  <c r="N3749" i="13"/>
  <c r="K3585" i="14" l="1"/>
  <c r="L3585" i="14" s="1"/>
  <c r="I3586" i="14" s="1"/>
  <c r="K3563" i="13"/>
  <c r="L3563" i="13" s="1"/>
  <c r="I3564" i="13" s="1"/>
  <c r="N3750" i="13"/>
  <c r="J3749" i="13" a="1"/>
  <c r="J3749" i="13" s="1"/>
  <c r="M3753" i="14"/>
  <c r="M3752" i="13"/>
  <c r="N3749" i="14"/>
  <c r="J3748" i="14" a="1"/>
  <c r="J3748" i="14" s="1"/>
  <c r="K3564" i="13" l="1"/>
  <c r="L3564" i="13" s="1"/>
  <c r="I3565" i="13" s="1"/>
  <c r="K3586" i="14"/>
  <c r="L3586" i="14" s="1"/>
  <c r="I3587" i="14" s="1"/>
  <c r="J3749" i="14" a="1"/>
  <c r="J3749" i="14" s="1"/>
  <c r="N3750" i="14"/>
  <c r="M3754" i="14"/>
  <c r="M3753" i="13"/>
  <c r="N3751" i="13"/>
  <c r="J3750" i="13" a="1"/>
  <c r="J3750" i="13" s="1"/>
  <c r="K3587" i="14" l="1"/>
  <c r="L3587" i="14" s="1"/>
  <c r="I3588" i="14" s="1"/>
  <c r="K3565" i="13"/>
  <c r="L3565" i="13" s="1"/>
  <c r="I3566" i="13" s="1"/>
  <c r="M3755" i="14"/>
  <c r="M3754" i="13"/>
  <c r="N3752" i="13"/>
  <c r="J3751" i="13" a="1"/>
  <c r="J3751" i="13" s="1"/>
  <c r="N3751" i="14"/>
  <c r="J3750" i="14" a="1"/>
  <c r="J3750" i="14" s="1"/>
  <c r="K3566" i="13" l="1"/>
  <c r="L3566" i="13" s="1"/>
  <c r="I3567" i="13" s="1"/>
  <c r="K3588" i="14"/>
  <c r="L3588" i="14" s="1"/>
  <c r="I3589" i="14" s="1"/>
  <c r="M3755" i="13"/>
  <c r="N3752" i="14"/>
  <c r="J3751" i="14" a="1"/>
  <c r="J3751" i="14" s="1"/>
  <c r="M3756" i="14"/>
  <c r="J3752" i="13" a="1"/>
  <c r="J3752" i="13" s="1"/>
  <c r="N3753" i="13"/>
  <c r="K3589" i="14" l="1"/>
  <c r="L3589" i="14" s="1"/>
  <c r="I3590" i="14" s="1"/>
  <c r="K3567" i="13"/>
  <c r="L3567" i="13" s="1"/>
  <c r="I3568" i="13" s="1"/>
  <c r="N3753" i="14"/>
  <c r="J3752" i="14" a="1"/>
  <c r="J3752" i="14" s="1"/>
  <c r="N3754" i="13"/>
  <c r="J3753" i="13" a="1"/>
  <c r="J3753" i="13" s="1"/>
  <c r="M3757" i="14"/>
  <c r="M3756" i="13"/>
  <c r="K3590" i="14" l="1"/>
  <c r="L3590" i="14" s="1"/>
  <c r="I3591" i="14" s="1"/>
  <c r="M3757" i="13"/>
  <c r="N3755" i="13"/>
  <c r="J3754" i="13" a="1"/>
  <c r="J3754" i="13" s="1"/>
  <c r="K3568" i="13"/>
  <c r="L3568" i="13" s="1"/>
  <c r="I3569" i="13" s="1"/>
  <c r="M3758" i="14"/>
  <c r="J3753" i="14" a="1"/>
  <c r="J3753" i="14" s="1"/>
  <c r="N3754" i="14"/>
  <c r="K3569" i="13" l="1"/>
  <c r="L3569" i="13" s="1"/>
  <c r="I3570" i="13" s="1"/>
  <c r="N3755" i="14"/>
  <c r="J3754" i="14" a="1"/>
  <c r="J3754" i="14" s="1"/>
  <c r="M3758" i="13"/>
  <c r="M3759" i="14"/>
  <c r="N3756" i="13"/>
  <c r="J3755" i="13" a="1"/>
  <c r="J3755" i="13" s="1"/>
  <c r="K3591" i="14"/>
  <c r="L3591" i="14" s="1"/>
  <c r="I3592" i="14" s="1"/>
  <c r="K3570" i="13" l="1"/>
  <c r="L3570" i="13" s="1"/>
  <c r="I3571" i="13" s="1"/>
  <c r="K3592" i="14"/>
  <c r="L3592" i="14" s="1"/>
  <c r="I3593" i="14" s="1"/>
  <c r="J3755" i="14" a="1"/>
  <c r="J3755" i="14" s="1"/>
  <c r="N3756" i="14"/>
  <c r="M3759" i="13"/>
  <c r="M3760" i="14"/>
  <c r="J3756" i="13" a="1"/>
  <c r="J3756" i="13" s="1"/>
  <c r="N3757" i="13"/>
  <c r="K3593" i="14" l="1"/>
  <c r="L3593" i="14" s="1"/>
  <c r="I3594" i="14" s="1"/>
  <c r="K3571" i="13"/>
  <c r="L3571" i="13" s="1"/>
  <c r="I3572" i="13" s="1"/>
  <c r="M3760" i="13"/>
  <c r="N3757" i="14"/>
  <c r="J3756" i="14" a="1"/>
  <c r="J3756" i="14" s="1"/>
  <c r="N3758" i="13"/>
  <c r="J3757" i="13" a="1"/>
  <c r="J3757" i="13" s="1"/>
  <c r="M3761" i="14"/>
  <c r="K3572" i="13" l="1"/>
  <c r="L3572" i="13" s="1"/>
  <c r="I3573" i="13" s="1"/>
  <c r="K3594" i="14"/>
  <c r="L3594" i="14" s="1"/>
  <c r="I3595" i="14" s="1"/>
  <c r="J3757" i="14" a="1"/>
  <c r="J3757" i="14" s="1"/>
  <c r="N3758" i="14"/>
  <c r="M3761" i="13"/>
  <c r="M3762" i="14"/>
  <c r="N3759" i="13"/>
  <c r="J3758" i="13" a="1"/>
  <c r="J3758" i="13" s="1"/>
  <c r="K3595" i="14" l="1"/>
  <c r="L3595" i="14" s="1"/>
  <c r="I3596" i="14" s="1"/>
  <c r="M3762" i="13"/>
  <c r="N3760" i="13"/>
  <c r="J3759" i="13" a="1"/>
  <c r="J3759" i="13" s="1"/>
  <c r="M3763" i="14"/>
  <c r="J3758" i="14" a="1"/>
  <c r="J3758" i="14" s="1"/>
  <c r="N3759" i="14"/>
  <c r="K3573" i="13"/>
  <c r="L3573" i="13" s="1"/>
  <c r="I3574" i="13" s="1"/>
  <c r="K3574" i="13" l="1"/>
  <c r="L3574" i="13" s="1"/>
  <c r="I3575" i="13" s="1"/>
  <c r="K3596" i="14"/>
  <c r="L3596" i="14" s="1"/>
  <c r="I3597" i="14" s="1"/>
  <c r="N3760" i="14"/>
  <c r="J3759" i="14" a="1"/>
  <c r="J3759" i="14" s="1"/>
  <c r="M3764" i="14"/>
  <c r="M3763" i="13"/>
  <c r="J3760" i="13" a="1"/>
  <c r="J3760" i="13" s="1"/>
  <c r="N3761" i="13"/>
  <c r="K3597" i="14" l="1"/>
  <c r="L3597" i="14" s="1"/>
  <c r="I3598" i="14" s="1"/>
  <c r="K3575" i="13"/>
  <c r="L3575" i="13" s="1"/>
  <c r="I3576" i="13" s="1"/>
  <c r="M3765" i="14"/>
  <c r="N3762" i="13"/>
  <c r="J3761" i="13" a="1"/>
  <c r="J3761" i="13" s="1"/>
  <c r="M3764" i="13"/>
  <c r="N3761" i="14"/>
  <c r="J3760" i="14" a="1"/>
  <c r="J3760" i="14" s="1"/>
  <c r="K3576" i="13" l="1"/>
  <c r="L3576" i="13" s="1"/>
  <c r="I3577" i="13" s="1"/>
  <c r="K3598" i="14"/>
  <c r="L3598" i="14" s="1"/>
  <c r="I3599" i="14" s="1"/>
  <c r="N3763" i="13"/>
  <c r="J3762" i="13" a="1"/>
  <c r="J3762" i="13" s="1"/>
  <c r="J3761" i="14" a="1"/>
  <c r="J3761" i="14" s="1"/>
  <c r="N3762" i="14"/>
  <c r="M3765" i="13"/>
  <c r="M3766" i="14"/>
  <c r="K3599" i="14" l="1"/>
  <c r="L3599" i="14" s="1"/>
  <c r="I3600" i="14" s="1"/>
  <c r="M3766" i="13"/>
  <c r="M3767" i="14"/>
  <c r="N3763" i="14"/>
  <c r="J3762" i="14" a="1"/>
  <c r="J3762" i="14" s="1"/>
  <c r="N3764" i="13"/>
  <c r="J3763" i="13" a="1"/>
  <c r="J3763" i="13" s="1"/>
  <c r="K3577" i="13"/>
  <c r="L3577" i="13" s="1"/>
  <c r="I3578" i="13" s="1"/>
  <c r="K3600" i="14" l="1"/>
  <c r="L3600" i="14" s="1"/>
  <c r="I3601" i="14" s="1"/>
  <c r="M3767" i="13"/>
  <c r="N3764" i="14"/>
  <c r="J3763" i="14" a="1"/>
  <c r="J3763" i="14" s="1"/>
  <c r="K3578" i="13"/>
  <c r="L3578" i="13" s="1"/>
  <c r="I3579" i="13" s="1"/>
  <c r="M3768" i="14"/>
  <c r="J3764" i="13" a="1"/>
  <c r="J3764" i="13" s="1"/>
  <c r="N3765" i="13"/>
  <c r="K3579" i="13" l="1"/>
  <c r="L3579" i="13" s="1"/>
  <c r="I3580" i="13" s="1"/>
  <c r="K3601" i="14"/>
  <c r="L3601" i="14" s="1"/>
  <c r="I3602" i="14" s="1"/>
  <c r="N3766" i="13"/>
  <c r="J3765" i="13" a="1"/>
  <c r="J3765" i="13" s="1"/>
  <c r="M3768" i="13"/>
  <c r="M3769" i="14"/>
  <c r="N3765" i="14"/>
  <c r="J3764" i="14" a="1"/>
  <c r="J3764" i="14" s="1"/>
  <c r="K3602" i="14" l="1"/>
  <c r="L3602" i="14" s="1"/>
  <c r="I3603" i="14" s="1"/>
  <c r="K3580" i="13"/>
  <c r="L3580" i="13" s="1"/>
  <c r="I3581" i="13" s="1"/>
  <c r="M3769" i="13"/>
  <c r="J3765" i="14" a="1"/>
  <c r="J3765" i="14" s="1"/>
  <c r="N3766" i="14"/>
  <c r="M3770" i="14"/>
  <c r="N3767" i="13"/>
  <c r="J3766" i="13" a="1"/>
  <c r="J3766" i="13" s="1"/>
  <c r="K3581" i="13" l="1"/>
  <c r="L3581" i="13" s="1"/>
  <c r="I3582" i="13" s="1"/>
  <c r="K3603" i="14"/>
  <c r="L3603" i="14" s="1"/>
  <c r="I3604" i="14" s="1"/>
  <c r="N3767" i="14"/>
  <c r="J3766" i="14" a="1"/>
  <c r="J3766" i="14" s="1"/>
  <c r="N3768" i="13"/>
  <c r="J3767" i="13" a="1"/>
  <c r="J3767" i="13" s="1"/>
  <c r="M3771" i="14"/>
  <c r="M3770" i="13"/>
  <c r="K3604" i="14" l="1"/>
  <c r="L3604" i="14" s="1"/>
  <c r="I3605" i="14" s="1"/>
  <c r="K3582" i="13"/>
  <c r="L3582" i="13" s="1"/>
  <c r="I3583" i="13" s="1"/>
  <c r="J3768" i="13" a="1"/>
  <c r="J3768" i="13" s="1"/>
  <c r="N3769" i="13"/>
  <c r="M3771" i="13"/>
  <c r="M3772" i="14"/>
  <c r="N3768" i="14"/>
  <c r="J3767" i="14" a="1"/>
  <c r="J3767" i="14" s="1"/>
  <c r="K3583" i="13" l="1"/>
  <c r="L3583" i="13" s="1"/>
  <c r="I3584" i="13" s="1"/>
  <c r="K3605" i="14"/>
  <c r="L3605" i="14" s="1"/>
  <c r="I3606" i="14" s="1"/>
  <c r="M3773" i="14"/>
  <c r="N3769" i="14"/>
  <c r="J3768" i="14" a="1"/>
  <c r="J3768" i="14" s="1"/>
  <c r="M3772" i="13"/>
  <c r="N3770" i="13"/>
  <c r="J3769" i="13" a="1"/>
  <c r="J3769" i="13" s="1"/>
  <c r="K3606" i="14" l="1"/>
  <c r="L3606" i="14" s="1"/>
  <c r="I3607" i="14" s="1"/>
  <c r="K3584" i="13"/>
  <c r="L3584" i="13" s="1"/>
  <c r="I3585" i="13" s="1"/>
  <c r="J3769" i="14" a="1"/>
  <c r="J3769" i="14" s="1"/>
  <c r="N3770" i="14"/>
  <c r="M3774" i="14"/>
  <c r="N3771" i="13"/>
  <c r="J3770" i="13" a="1"/>
  <c r="J3770" i="13" s="1"/>
  <c r="M3773" i="13"/>
  <c r="K3585" i="13" l="1"/>
  <c r="L3585" i="13" s="1"/>
  <c r="I3586" i="13" s="1"/>
  <c r="K3607" i="14"/>
  <c r="L3607" i="14" s="1"/>
  <c r="I3608" i="14" s="1"/>
  <c r="N3772" i="13"/>
  <c r="J3771" i="13" a="1"/>
  <c r="J3771" i="13" s="1"/>
  <c r="M3774" i="13"/>
  <c r="M3775" i="14"/>
  <c r="N3771" i="14"/>
  <c r="J3770" i="14" a="1"/>
  <c r="J3770" i="14" s="1"/>
  <c r="K3586" i="13" l="1"/>
  <c r="L3586" i="13" s="1"/>
  <c r="I3587" i="13" s="1"/>
  <c r="M3775" i="13"/>
  <c r="N3772" i="14"/>
  <c r="J3771" i="14" a="1"/>
  <c r="J3771" i="14" s="1"/>
  <c r="K3608" i="14"/>
  <c r="L3608" i="14" s="1"/>
  <c r="I3609" i="14" s="1"/>
  <c r="M3776" i="14"/>
  <c r="J3772" i="13" a="1"/>
  <c r="J3772" i="13" s="1"/>
  <c r="N3773" i="13"/>
  <c r="K3609" i="14" l="1"/>
  <c r="L3609" i="14" s="1"/>
  <c r="I3610" i="14" s="1"/>
  <c r="K3587" i="13"/>
  <c r="L3587" i="13" s="1"/>
  <c r="I3588" i="13" s="1"/>
  <c r="M3776" i="13"/>
  <c r="N3774" i="13"/>
  <c r="J3773" i="13" a="1"/>
  <c r="J3773" i="13" s="1"/>
  <c r="M3777" i="14"/>
  <c r="N3773" i="14"/>
  <c r="J3772" i="14" a="1"/>
  <c r="J3772" i="14" s="1"/>
  <c r="K3588" i="13" l="1"/>
  <c r="L3588" i="13" s="1"/>
  <c r="I3589" i="13" s="1"/>
  <c r="K3610" i="14"/>
  <c r="L3610" i="14" s="1"/>
  <c r="I3611" i="14" s="1"/>
  <c r="N3775" i="13"/>
  <c r="J3774" i="13" a="1"/>
  <c r="J3774" i="13" s="1"/>
  <c r="M3778" i="14"/>
  <c r="J3773" i="14" a="1"/>
  <c r="J3773" i="14" s="1"/>
  <c r="N3774" i="14"/>
  <c r="M3777" i="13"/>
  <c r="K3589" i="13" l="1"/>
  <c r="L3589" i="13" s="1"/>
  <c r="I3590" i="13" s="1"/>
  <c r="M3778" i="13"/>
  <c r="K3611" i="14"/>
  <c r="L3611" i="14" s="1"/>
  <c r="I3612" i="14" s="1"/>
  <c r="N3775" i="14"/>
  <c r="J3774" i="14" a="1"/>
  <c r="J3774" i="14" s="1"/>
  <c r="M3779" i="14"/>
  <c r="N3776" i="13"/>
  <c r="J3775" i="13" a="1"/>
  <c r="J3775" i="13" s="1"/>
  <c r="K3612" i="14" l="1"/>
  <c r="L3612" i="14" s="1"/>
  <c r="I3613" i="14" s="1"/>
  <c r="K3590" i="13"/>
  <c r="L3590" i="13" s="1"/>
  <c r="I3591" i="13" s="1"/>
  <c r="M3779" i="13"/>
  <c r="J3775" i="14" a="1"/>
  <c r="J3775" i="14" s="1"/>
  <c r="N3776" i="14"/>
  <c r="J3776" i="13" a="1"/>
  <c r="J3776" i="13" s="1"/>
  <c r="N3777" i="13"/>
  <c r="M3780" i="14"/>
  <c r="K3591" i="13" l="1"/>
  <c r="L3591" i="13" s="1"/>
  <c r="I3592" i="13" s="1"/>
  <c r="K3613" i="14"/>
  <c r="L3613" i="14" s="1"/>
  <c r="I3614" i="14" s="1"/>
  <c r="N3777" i="14"/>
  <c r="J3776" i="14" a="1"/>
  <c r="J3776" i="14" s="1"/>
  <c r="M3781" i="14"/>
  <c r="N3778" i="13"/>
  <c r="J3777" i="13" a="1"/>
  <c r="J3777" i="13" s="1"/>
  <c r="M3780" i="13"/>
  <c r="K3614" i="14" l="1"/>
  <c r="L3614" i="14" s="1"/>
  <c r="I3615" i="14" s="1"/>
  <c r="K3592" i="13"/>
  <c r="L3592" i="13" s="1"/>
  <c r="I3593" i="13" s="1"/>
  <c r="N3779" i="13"/>
  <c r="J3778" i="13" a="1"/>
  <c r="J3778" i="13" s="1"/>
  <c r="M3781" i="13"/>
  <c r="M3782" i="14"/>
  <c r="J3777" i="14" a="1"/>
  <c r="J3777" i="14" s="1"/>
  <c r="N3778" i="14"/>
  <c r="K3593" i="13" l="1"/>
  <c r="L3593" i="13" s="1"/>
  <c r="I3594" i="13" s="1"/>
  <c r="K3615" i="14"/>
  <c r="L3615" i="14" s="1"/>
  <c r="I3616" i="14" s="1"/>
  <c r="J3778" i="14" a="1"/>
  <c r="J3778" i="14" s="1"/>
  <c r="N3779" i="14"/>
  <c r="M3782" i="13"/>
  <c r="M3783" i="14"/>
  <c r="N3780" i="13"/>
  <c r="J3779" i="13" a="1"/>
  <c r="J3779" i="13" s="1"/>
  <c r="K3616" i="14" l="1"/>
  <c r="L3616" i="14" s="1"/>
  <c r="I3617" i="14" s="1"/>
  <c r="K3594" i="13"/>
  <c r="L3594" i="13" s="1"/>
  <c r="I3595" i="13" s="1"/>
  <c r="M3783" i="13"/>
  <c r="N3780" i="14"/>
  <c r="J3779" i="14" a="1"/>
  <c r="J3779" i="14" s="1"/>
  <c r="J3780" i="13" a="1"/>
  <c r="J3780" i="13" s="1"/>
  <c r="N3781" i="13"/>
  <c r="M3784" i="14"/>
  <c r="K3617" i="14" l="1"/>
  <c r="L3617" i="14" s="1"/>
  <c r="I3618" i="14" s="1"/>
  <c r="M3785" i="14"/>
  <c r="N3781" i="14"/>
  <c r="J3780" i="14" a="1"/>
  <c r="J3780" i="14" s="1"/>
  <c r="K3595" i="13"/>
  <c r="L3595" i="13" s="1"/>
  <c r="I3596" i="13" s="1"/>
  <c r="N3782" i="13"/>
  <c r="J3781" i="13" a="1"/>
  <c r="J3781" i="13" s="1"/>
  <c r="M3784" i="13"/>
  <c r="K3618" i="14" l="1"/>
  <c r="L3618" i="14" s="1"/>
  <c r="I3619" i="14" s="1"/>
  <c r="N3783" i="13"/>
  <c r="J3782" i="13" a="1"/>
  <c r="J3782" i="13" s="1"/>
  <c r="M3785" i="13"/>
  <c r="K3596" i="13"/>
  <c r="L3596" i="13" s="1"/>
  <c r="I3597" i="13" s="1"/>
  <c r="M3786" i="14"/>
  <c r="J3781" i="14" a="1"/>
  <c r="J3781" i="14" s="1"/>
  <c r="N3782" i="14"/>
  <c r="K3597" i="13" l="1"/>
  <c r="L3597" i="13" s="1"/>
  <c r="I3598" i="13" s="1"/>
  <c r="K3619" i="14"/>
  <c r="L3619" i="14" s="1"/>
  <c r="I3620" i="14" s="1"/>
  <c r="N3783" i="14"/>
  <c r="J3782" i="14" a="1"/>
  <c r="J3782" i="14" s="1"/>
  <c r="N3784" i="13"/>
  <c r="J3783" i="13" a="1"/>
  <c r="J3783" i="13" s="1"/>
  <c r="M3787" i="14"/>
  <c r="M3786" i="13"/>
  <c r="K3620" i="14" l="1"/>
  <c r="L3620" i="14" s="1"/>
  <c r="I3621" i="14" s="1"/>
  <c r="K3598" i="13"/>
  <c r="L3598" i="13" s="1"/>
  <c r="I3599" i="13" s="1"/>
  <c r="J3784" i="13" a="1"/>
  <c r="J3784" i="13" s="1"/>
  <c r="N3785" i="13"/>
  <c r="M3787" i="13"/>
  <c r="M3788" i="14"/>
  <c r="N3784" i="14"/>
  <c r="J3783" i="14" a="1"/>
  <c r="J3783" i="14" s="1"/>
  <c r="K3621" i="14" l="1"/>
  <c r="L3621" i="14" s="1"/>
  <c r="I3622" i="14" s="1"/>
  <c r="K3599" i="13"/>
  <c r="L3599" i="13" s="1"/>
  <c r="I3600" i="13" s="1"/>
  <c r="N3785" i="14"/>
  <c r="J3784" i="14" a="1"/>
  <c r="J3784" i="14" s="1"/>
  <c r="N3786" i="13"/>
  <c r="J3785" i="13" a="1"/>
  <c r="J3785" i="13" s="1"/>
  <c r="M3788" i="13"/>
  <c r="M3789" i="14"/>
  <c r="K3600" i="13" l="1"/>
  <c r="L3600" i="13" s="1"/>
  <c r="I3601" i="13" s="1"/>
  <c r="K3622" i="14"/>
  <c r="L3622" i="14" s="1"/>
  <c r="I3623" i="14" s="1"/>
  <c r="M3789" i="13"/>
  <c r="M3790" i="14"/>
  <c r="N3787" i="13"/>
  <c r="J3786" i="13" a="1"/>
  <c r="J3786" i="13" s="1"/>
  <c r="J3785" i="14" a="1"/>
  <c r="J3785" i="14" s="1"/>
  <c r="N3786" i="14"/>
  <c r="K3601" i="13" l="1"/>
  <c r="L3601" i="13" s="1"/>
  <c r="I3602" i="13" s="1"/>
  <c r="N3787" i="14"/>
  <c r="J3786" i="14" a="1"/>
  <c r="J3786" i="14" s="1"/>
  <c r="M3791" i="14"/>
  <c r="K3623" i="14"/>
  <c r="L3623" i="14" s="1"/>
  <c r="I3624" i="14" s="1"/>
  <c r="M3790" i="13"/>
  <c r="N3788" i="13"/>
  <c r="J3787" i="13" a="1"/>
  <c r="J3787" i="13" s="1"/>
  <c r="K3624" i="14" l="1"/>
  <c r="L3624" i="14" s="1"/>
  <c r="I3625" i="14" s="1"/>
  <c r="K3602" i="13"/>
  <c r="L3602" i="13" s="1"/>
  <c r="I3603" i="13" s="1"/>
  <c r="N3788" i="14"/>
  <c r="J3787" i="14" a="1"/>
  <c r="J3787" i="14" s="1"/>
  <c r="J3788" i="13" a="1"/>
  <c r="J3788" i="13" s="1"/>
  <c r="N3789" i="13"/>
  <c r="M3791" i="13"/>
  <c r="M3792" i="14"/>
  <c r="K3603" i="13" l="1"/>
  <c r="L3603" i="13" s="1"/>
  <c r="I3604" i="13" s="1"/>
  <c r="K3625" i="14"/>
  <c r="L3625" i="14" s="1"/>
  <c r="I3626" i="14" s="1"/>
  <c r="N3790" i="13"/>
  <c r="J3789" i="13" a="1"/>
  <c r="J3789" i="13" s="1"/>
  <c r="M3793" i="14"/>
  <c r="M3792" i="13"/>
  <c r="N3789" i="14"/>
  <c r="J3788" i="14" a="1"/>
  <c r="J3788" i="14" s="1"/>
  <c r="K3626" i="14" l="1"/>
  <c r="L3626" i="14" s="1"/>
  <c r="I3627" i="14" s="1"/>
  <c r="K3604" i="13"/>
  <c r="L3604" i="13" s="1"/>
  <c r="I3605" i="13" s="1"/>
  <c r="M3794" i="14"/>
  <c r="J3789" i="14" a="1"/>
  <c r="J3789" i="14" s="1"/>
  <c r="N3790" i="14"/>
  <c r="M3793" i="13"/>
  <c r="N3791" i="13"/>
  <c r="J3790" i="13" a="1"/>
  <c r="J3790" i="13" s="1"/>
  <c r="K3627" i="14" l="1"/>
  <c r="L3627" i="14" s="1"/>
  <c r="I3628" i="14" s="1"/>
  <c r="K3605" i="13"/>
  <c r="L3605" i="13" s="1"/>
  <c r="I3606" i="13" s="1"/>
  <c r="N3792" i="13"/>
  <c r="J3791" i="13" a="1"/>
  <c r="J3791" i="13" s="1"/>
  <c r="N3791" i="14"/>
  <c r="J3790" i="14" a="1"/>
  <c r="J3790" i="14" s="1"/>
  <c r="M3794" i="13"/>
  <c r="M3795" i="14"/>
  <c r="K3628" i="14" l="1"/>
  <c r="L3628" i="14" s="1"/>
  <c r="I3629" i="14" s="1"/>
  <c r="M3796" i="14"/>
  <c r="N3792" i="14"/>
  <c r="J3791" i="14" a="1"/>
  <c r="J3791" i="14" s="1"/>
  <c r="K3606" i="13"/>
  <c r="L3606" i="13" s="1"/>
  <c r="I3607" i="13" s="1"/>
  <c r="M3795" i="13"/>
  <c r="J3792" i="13" a="1"/>
  <c r="J3792" i="13" s="1"/>
  <c r="N3793" i="13"/>
  <c r="K3629" i="14" l="1"/>
  <c r="L3629" i="14" s="1"/>
  <c r="I3630" i="14" s="1"/>
  <c r="N3794" i="13"/>
  <c r="J3793" i="13" a="1"/>
  <c r="J3793" i="13" s="1"/>
  <c r="K3607" i="13"/>
  <c r="L3607" i="13" s="1"/>
  <c r="I3608" i="13" s="1"/>
  <c r="M3797" i="14"/>
  <c r="M3796" i="13"/>
  <c r="N3793" i="14"/>
  <c r="J3792" i="14" a="1"/>
  <c r="J3792" i="14" s="1"/>
  <c r="K3608" i="13" l="1"/>
  <c r="L3608" i="13" s="1"/>
  <c r="I3609" i="13" s="1"/>
  <c r="K3630" i="14"/>
  <c r="L3630" i="14" s="1"/>
  <c r="I3631" i="14" s="1"/>
  <c r="N3795" i="13"/>
  <c r="J3794" i="13" a="1"/>
  <c r="J3794" i="13" s="1"/>
  <c r="M3798" i="14"/>
  <c r="M3797" i="13"/>
  <c r="J3793" i="14" a="1"/>
  <c r="J3793" i="14" s="1"/>
  <c r="N3794" i="14"/>
  <c r="K3631" i="14" l="1"/>
  <c r="L3631" i="14" s="1"/>
  <c r="I3632" i="14" s="1"/>
  <c r="K3609" i="13"/>
  <c r="L3609" i="13" s="1"/>
  <c r="I3610" i="13" s="1"/>
  <c r="M3799" i="14"/>
  <c r="N3795" i="14"/>
  <c r="J3794" i="14" a="1"/>
  <c r="J3794" i="14" s="1"/>
  <c r="M3798" i="13"/>
  <c r="N3796" i="13"/>
  <c r="J3795" i="13" a="1"/>
  <c r="J3795" i="13" s="1"/>
  <c r="K3610" i="13" l="1"/>
  <c r="L3610" i="13" s="1"/>
  <c r="I3611" i="13" s="1"/>
  <c r="K3632" i="14"/>
  <c r="L3632" i="14" s="1"/>
  <c r="I3633" i="14" s="1"/>
  <c r="N3796" i="14"/>
  <c r="J3795" i="14" a="1"/>
  <c r="J3795" i="14" s="1"/>
  <c r="M3799" i="13"/>
  <c r="J3796" i="13" a="1"/>
  <c r="J3796" i="13" s="1"/>
  <c r="N3797" i="13"/>
  <c r="M3800" i="14"/>
  <c r="K3611" i="13" l="1"/>
  <c r="L3611" i="13" s="1"/>
  <c r="I3612" i="13" s="1"/>
  <c r="M3801" i="14"/>
  <c r="M3800" i="13"/>
  <c r="K3633" i="14"/>
  <c r="L3633" i="14" s="1"/>
  <c r="I3634" i="14" s="1"/>
  <c r="N3798" i="13"/>
  <c r="J3797" i="13" a="1"/>
  <c r="J3797" i="13" s="1"/>
  <c r="N3797" i="14"/>
  <c r="J3796" i="14" a="1"/>
  <c r="J3796" i="14" s="1"/>
  <c r="K3612" i="13" l="1"/>
  <c r="L3612" i="13" s="1"/>
  <c r="I3613" i="13" s="1"/>
  <c r="J3797" i="14" a="1"/>
  <c r="J3797" i="14" s="1"/>
  <c r="N3798" i="14"/>
  <c r="M3802" i="14"/>
  <c r="K3634" i="14"/>
  <c r="L3634" i="14" s="1"/>
  <c r="I3635" i="14" s="1"/>
  <c r="M3801" i="13"/>
  <c r="N3799" i="13"/>
  <c r="J3798" i="13" a="1"/>
  <c r="J3798" i="13" s="1"/>
  <c r="K3635" i="14" l="1"/>
  <c r="L3635" i="14" s="1"/>
  <c r="I3636" i="14" s="1"/>
  <c r="K3613" i="13"/>
  <c r="L3613" i="13" s="1"/>
  <c r="I3614" i="13" s="1"/>
  <c r="N3799" i="14"/>
  <c r="J3798" i="14" a="1"/>
  <c r="J3798" i="14" s="1"/>
  <c r="N3800" i="13"/>
  <c r="J3799" i="13" a="1"/>
  <c r="J3799" i="13" s="1"/>
  <c r="M3803" i="14"/>
  <c r="M3802" i="13"/>
  <c r="K3614" i="13" l="1"/>
  <c r="L3614" i="13" s="1"/>
  <c r="I3615" i="13" s="1"/>
  <c r="K3636" i="14"/>
  <c r="L3636" i="14" s="1"/>
  <c r="I3637" i="14" s="1"/>
  <c r="J3800" i="13" a="1"/>
  <c r="J3800" i="13" s="1"/>
  <c r="N3801" i="13"/>
  <c r="M3803" i="13"/>
  <c r="M3804" i="14"/>
  <c r="N3800" i="14"/>
  <c r="J3799" i="14" a="1"/>
  <c r="J3799" i="14" s="1"/>
  <c r="K3615" i="13" l="1"/>
  <c r="L3615" i="13" s="1"/>
  <c r="I3616" i="13" s="1"/>
  <c r="K3637" i="14"/>
  <c r="L3637" i="14" s="1"/>
  <c r="I3638" i="14" s="1"/>
  <c r="M3804" i="13"/>
  <c r="N3802" i="13"/>
  <c r="J3801" i="13" a="1"/>
  <c r="J3801" i="13" s="1"/>
  <c r="N3801" i="14"/>
  <c r="J3800" i="14" a="1"/>
  <c r="J3800" i="14" s="1"/>
  <c r="M3805" i="14"/>
  <c r="K3638" i="14" l="1"/>
  <c r="L3638" i="14" s="1"/>
  <c r="I3639" i="14" s="1"/>
  <c r="K3616" i="13"/>
  <c r="L3616" i="13" s="1"/>
  <c r="I3617" i="13" s="1"/>
  <c r="N3803" i="13"/>
  <c r="J3802" i="13" a="1"/>
  <c r="J3802" i="13" s="1"/>
  <c r="M3806" i="14"/>
  <c r="J3801" i="14" a="1"/>
  <c r="J3801" i="14" s="1"/>
  <c r="N3802" i="14"/>
  <c r="M3805" i="13"/>
  <c r="K3617" i="13" l="1"/>
  <c r="L3617" i="13" s="1"/>
  <c r="I3618" i="13" s="1"/>
  <c r="K3639" i="14"/>
  <c r="L3639" i="14" s="1"/>
  <c r="I3640" i="14" s="1"/>
  <c r="M3806" i="13"/>
  <c r="M3807" i="14"/>
  <c r="N3803" i="14"/>
  <c r="J3802" i="14" a="1"/>
  <c r="J3802" i="14" s="1"/>
  <c r="N3804" i="13"/>
  <c r="J3803" i="13" a="1"/>
  <c r="J3803" i="13" s="1"/>
  <c r="K3618" i="13" l="1"/>
  <c r="L3618" i="13" s="1"/>
  <c r="I3619" i="13" s="1"/>
  <c r="J3804" i="13" a="1"/>
  <c r="J3804" i="13" s="1"/>
  <c r="N3805" i="13"/>
  <c r="M3808" i="14"/>
  <c r="K3640" i="14"/>
  <c r="L3640" i="14" s="1"/>
  <c r="I3641" i="14" s="1"/>
  <c r="M3807" i="13"/>
  <c r="N3804" i="14"/>
  <c r="J3803" i="14" a="1"/>
  <c r="J3803" i="14" s="1"/>
  <c r="K3641" i="14" l="1"/>
  <c r="L3641" i="14" s="1"/>
  <c r="I3642" i="14" s="1"/>
  <c r="K3619" i="13"/>
  <c r="L3619" i="13" s="1"/>
  <c r="I3620" i="13" s="1"/>
  <c r="N3806" i="13"/>
  <c r="J3805" i="13" a="1"/>
  <c r="J3805" i="13" s="1"/>
  <c r="N3805" i="14"/>
  <c r="J3804" i="14" a="1"/>
  <c r="J3804" i="14" s="1"/>
  <c r="M3808" i="13"/>
  <c r="M3809" i="14"/>
  <c r="K3620" i="13" l="1"/>
  <c r="L3620" i="13" s="1"/>
  <c r="I3621" i="13" s="1"/>
  <c r="K3642" i="14"/>
  <c r="L3642" i="14" s="1"/>
  <c r="I3643" i="14" s="1"/>
  <c r="J3805" i="14" a="1"/>
  <c r="J3805" i="14" s="1"/>
  <c r="N3806" i="14"/>
  <c r="M3810" i="14"/>
  <c r="M3809" i="13"/>
  <c r="N3807" i="13"/>
  <c r="J3806" i="13" a="1"/>
  <c r="J3806" i="13" s="1"/>
  <c r="K3643" i="14" l="1"/>
  <c r="L3643" i="14" s="1"/>
  <c r="I3644" i="14" s="1"/>
  <c r="K3621" i="13"/>
  <c r="L3621" i="13" s="1"/>
  <c r="I3622" i="13" s="1"/>
  <c r="N3808" i="13"/>
  <c r="J3807" i="13" a="1"/>
  <c r="J3807" i="13" s="1"/>
  <c r="M3811" i="14"/>
  <c r="N3807" i="14"/>
  <c r="J3806" i="14" a="1"/>
  <c r="J3806" i="14" s="1"/>
  <c r="M3810" i="13"/>
  <c r="K3644" i="14" l="1"/>
  <c r="L3644" i="14" s="1"/>
  <c r="I3645" i="14" s="1"/>
  <c r="J3808" i="13" a="1"/>
  <c r="J3808" i="13" s="1"/>
  <c r="N3809" i="13"/>
  <c r="M3811" i="13"/>
  <c r="M3812" i="14"/>
  <c r="K3622" i="13"/>
  <c r="L3622" i="13" s="1"/>
  <c r="I3623" i="13" s="1"/>
  <c r="N3808" i="14"/>
  <c r="J3807" i="14" a="1"/>
  <c r="J3807" i="14" s="1"/>
  <c r="K3623" i="13" l="1"/>
  <c r="L3623" i="13" s="1"/>
  <c r="I3624" i="13" s="1"/>
  <c r="K3645" i="14"/>
  <c r="L3645" i="14" s="1"/>
  <c r="I3646" i="14" s="1"/>
  <c r="N3810" i="13"/>
  <c r="J3809" i="13" a="1"/>
  <c r="J3809" i="13" s="1"/>
  <c r="N3809" i="14"/>
  <c r="J3808" i="14" a="1"/>
  <c r="J3808" i="14" s="1"/>
  <c r="M3813" i="14"/>
  <c r="M3812" i="13"/>
  <c r="K3646" i="14" l="1"/>
  <c r="L3646" i="14" s="1"/>
  <c r="I3647" i="14" s="1"/>
  <c r="K3624" i="13"/>
  <c r="L3624" i="13" s="1"/>
  <c r="I3625" i="13" s="1"/>
  <c r="M3813" i="13"/>
  <c r="J3809" i="14" a="1"/>
  <c r="J3809" i="14" s="1"/>
  <c r="N3810" i="14"/>
  <c r="M3814" i="14"/>
  <c r="N3811" i="13"/>
  <c r="J3810" i="13" a="1"/>
  <c r="J3810" i="13" s="1"/>
  <c r="K3625" i="13" l="1"/>
  <c r="L3625" i="13" s="1"/>
  <c r="I3626" i="13" s="1"/>
  <c r="K3647" i="14"/>
  <c r="L3647" i="14" s="1"/>
  <c r="I3648" i="14" s="1"/>
  <c r="N3811" i="14"/>
  <c r="J3810" i="14" a="1"/>
  <c r="J3810" i="14" s="1"/>
  <c r="N3812" i="13"/>
  <c r="J3811" i="13" a="1"/>
  <c r="J3811" i="13" s="1"/>
  <c r="M3814" i="13"/>
  <c r="M3815" i="14"/>
  <c r="K3648" i="14" l="1"/>
  <c r="L3648" i="14" s="1"/>
  <c r="I3649" i="14" s="1"/>
  <c r="K3626" i="13"/>
  <c r="L3626" i="13" s="1"/>
  <c r="I3627" i="13" s="1"/>
  <c r="J3812" i="13" a="1"/>
  <c r="J3812" i="13" s="1"/>
  <c r="N3813" i="13"/>
  <c r="M3816" i="14"/>
  <c r="M3815" i="13"/>
  <c r="N3812" i="14"/>
  <c r="J3811" i="14" a="1"/>
  <c r="J3811" i="14" s="1"/>
  <c r="K3649" i="14" l="1"/>
  <c r="L3649" i="14" s="1"/>
  <c r="I3650" i="14" s="1"/>
  <c r="M3817" i="14"/>
  <c r="K3627" i="13"/>
  <c r="L3627" i="13" s="1"/>
  <c r="I3628" i="13" s="1"/>
  <c r="N3814" i="13"/>
  <c r="J3813" i="13" a="1"/>
  <c r="J3813" i="13" s="1"/>
  <c r="N3813" i="14"/>
  <c r="J3812" i="14" a="1"/>
  <c r="J3812" i="14" s="1"/>
  <c r="M3816" i="13"/>
  <c r="K3628" i="13" l="1"/>
  <c r="L3628" i="13" s="1"/>
  <c r="I3629" i="13" s="1"/>
  <c r="K3650" i="14"/>
  <c r="L3650" i="14" s="1"/>
  <c r="I3651" i="14" s="1"/>
  <c r="N3815" i="13"/>
  <c r="J3814" i="13" a="1"/>
  <c r="J3814" i="13" s="1"/>
  <c r="M3818" i="14"/>
  <c r="M3817" i="13"/>
  <c r="J3813" i="14" a="1"/>
  <c r="J3813" i="14" s="1"/>
  <c r="N3814" i="14"/>
  <c r="K3651" i="14" l="1"/>
  <c r="L3651" i="14" s="1"/>
  <c r="I3652" i="14" s="1"/>
  <c r="K3629" i="13"/>
  <c r="L3629" i="13" s="1"/>
  <c r="I3630" i="13" s="1"/>
  <c r="N3815" i="14"/>
  <c r="J3814" i="14" a="1"/>
  <c r="J3814" i="14" s="1"/>
  <c r="M3819" i="14"/>
  <c r="M3818" i="13"/>
  <c r="N3816" i="13"/>
  <c r="J3815" i="13" a="1"/>
  <c r="J3815" i="13" s="1"/>
  <c r="K3630" i="13" l="1"/>
  <c r="L3630" i="13" s="1"/>
  <c r="I3631" i="13" s="1"/>
  <c r="K3652" i="14"/>
  <c r="L3652" i="14" s="1"/>
  <c r="I3653" i="14" s="1"/>
  <c r="J3816" i="13" a="1"/>
  <c r="J3816" i="13" s="1"/>
  <c r="N3817" i="13"/>
  <c r="M3820" i="14"/>
  <c r="M3819" i="13"/>
  <c r="N3816" i="14"/>
  <c r="J3815" i="14" a="1"/>
  <c r="J3815" i="14" s="1"/>
  <c r="K3653" i="14" l="1"/>
  <c r="L3653" i="14" s="1"/>
  <c r="I3654" i="14" s="1"/>
  <c r="K3631" i="13"/>
  <c r="L3631" i="13" s="1"/>
  <c r="I3632" i="13" s="1"/>
  <c r="N3817" i="14"/>
  <c r="J3816" i="14" a="1"/>
  <c r="J3816" i="14" s="1"/>
  <c r="M3821" i="14"/>
  <c r="N3818" i="13"/>
  <c r="J3817" i="13" a="1"/>
  <c r="J3817" i="13" s="1"/>
  <c r="M3820" i="13"/>
  <c r="K3654" i="14" l="1"/>
  <c r="L3654" i="14" s="1"/>
  <c r="I3655" i="14" s="1"/>
  <c r="M3821" i="13"/>
  <c r="M3822" i="14"/>
  <c r="K3632" i="13"/>
  <c r="L3632" i="13" s="1"/>
  <c r="I3633" i="13" s="1"/>
  <c r="N3819" i="13"/>
  <c r="J3818" i="13" a="1"/>
  <c r="J3818" i="13" s="1"/>
  <c r="J3817" i="14" a="1"/>
  <c r="J3817" i="14" s="1"/>
  <c r="N3818" i="14"/>
  <c r="K3655" i="14" l="1"/>
  <c r="L3655" i="14" s="1"/>
  <c r="I3656" i="14" s="1"/>
  <c r="N3819" i="14"/>
  <c r="J3818" i="14" a="1"/>
  <c r="J3818" i="14" s="1"/>
  <c r="M3822" i="13"/>
  <c r="K3633" i="13"/>
  <c r="L3633" i="13" s="1"/>
  <c r="I3634" i="13" s="1"/>
  <c r="M3823" i="14"/>
  <c r="N3820" i="13"/>
  <c r="J3819" i="13" a="1"/>
  <c r="J3819" i="13" s="1"/>
  <c r="K3634" i="13" l="1"/>
  <c r="L3634" i="13" s="1"/>
  <c r="I3635" i="13" s="1"/>
  <c r="K3656" i="14"/>
  <c r="L3656" i="14" s="1"/>
  <c r="I3657" i="14" s="1"/>
  <c r="J3819" i="14" a="1"/>
  <c r="J3819" i="14" s="1"/>
  <c r="N3820" i="14"/>
  <c r="J3820" i="13" a="1"/>
  <c r="J3820" i="13" s="1"/>
  <c r="N3821" i="13"/>
  <c r="M3824" i="14"/>
  <c r="M3823" i="13"/>
  <c r="K3657" i="14" l="1"/>
  <c r="L3657" i="14" s="1"/>
  <c r="I3658" i="14" s="1"/>
  <c r="K3635" i="13"/>
  <c r="L3635" i="13" s="1"/>
  <c r="I3636" i="13" s="1"/>
  <c r="N3822" i="13"/>
  <c r="J3821" i="13" a="1"/>
  <c r="J3821" i="13" s="1"/>
  <c r="N3821" i="14"/>
  <c r="J3820" i="14" a="1"/>
  <c r="J3820" i="14" s="1"/>
  <c r="M3824" i="13"/>
  <c r="M3825" i="14"/>
  <c r="K3636" i="13" l="1"/>
  <c r="L3636" i="13" s="1"/>
  <c r="I3637" i="13" s="1"/>
  <c r="K3658" i="14"/>
  <c r="L3658" i="14" s="1"/>
  <c r="I3659" i="14" s="1"/>
  <c r="J3821" i="14" a="1"/>
  <c r="J3821" i="14" s="1"/>
  <c r="N3822" i="14"/>
  <c r="M3826" i="14"/>
  <c r="M3825" i="13"/>
  <c r="N3823" i="13"/>
  <c r="J3822" i="13" a="1"/>
  <c r="J3822" i="13" s="1"/>
  <c r="K3659" i="14" l="1"/>
  <c r="L3659" i="14" s="1"/>
  <c r="I3660" i="14" s="1"/>
  <c r="K3637" i="13"/>
  <c r="L3637" i="13" s="1"/>
  <c r="I3638" i="13" s="1"/>
  <c r="J3822" i="14" a="1"/>
  <c r="J3822" i="14" s="1"/>
  <c r="N3823" i="14"/>
  <c r="N3824" i="13"/>
  <c r="J3823" i="13" a="1"/>
  <c r="J3823" i="13" s="1"/>
  <c r="M3827" i="14"/>
  <c r="M3826" i="13"/>
  <c r="K3660" i="14" l="1"/>
  <c r="L3660" i="14" s="1"/>
  <c r="I3661" i="14" s="1"/>
  <c r="J3824" i="13" a="1"/>
  <c r="J3824" i="13" s="1"/>
  <c r="N3825" i="13"/>
  <c r="M3827" i="13"/>
  <c r="K3638" i="13"/>
  <c r="L3638" i="13" s="1"/>
  <c r="I3639" i="13" s="1"/>
  <c r="M3828" i="14"/>
  <c r="N3824" i="14"/>
  <c r="J3823" i="14" a="1"/>
  <c r="J3823" i="14" s="1"/>
  <c r="K3639" i="13" l="1"/>
  <c r="L3639" i="13" s="1"/>
  <c r="I3640" i="13" s="1"/>
  <c r="K3661" i="14"/>
  <c r="L3661" i="14" s="1"/>
  <c r="I3662" i="14" s="1"/>
  <c r="N3826" i="13"/>
  <c r="J3825" i="13" a="1"/>
  <c r="J3825" i="13" s="1"/>
  <c r="N3825" i="14"/>
  <c r="J3824" i="14" a="1"/>
  <c r="J3824" i="14" s="1"/>
  <c r="M3829" i="14"/>
  <c r="M3828" i="13"/>
  <c r="K3640" i="13" l="1"/>
  <c r="L3640" i="13" s="1"/>
  <c r="I3641" i="13" s="1"/>
  <c r="J3825" i="14" a="1"/>
  <c r="J3825" i="14" s="1"/>
  <c r="N3826" i="14"/>
  <c r="K3662" i="14"/>
  <c r="L3662" i="14" s="1"/>
  <c r="I3663" i="14" s="1"/>
  <c r="M3829" i="13"/>
  <c r="M3830" i="14"/>
  <c r="N3827" i="13"/>
  <c r="J3826" i="13" a="1"/>
  <c r="J3826" i="13" s="1"/>
  <c r="K3663" i="14" l="1"/>
  <c r="L3663" i="14" s="1"/>
  <c r="I3664" i="14" s="1"/>
  <c r="K3641" i="13"/>
  <c r="L3641" i="13" s="1"/>
  <c r="I3642" i="13" s="1"/>
  <c r="M3830" i="13"/>
  <c r="N3827" i="14"/>
  <c r="J3826" i="14" a="1"/>
  <c r="J3826" i="14" s="1"/>
  <c r="N3828" i="13"/>
  <c r="J3827" i="13" a="1"/>
  <c r="J3827" i="13" s="1"/>
  <c r="M3831" i="14"/>
  <c r="K3642" i="13" l="1"/>
  <c r="L3642" i="13" s="1"/>
  <c r="I3643" i="13" s="1"/>
  <c r="K3664" i="14"/>
  <c r="L3664" i="14" s="1"/>
  <c r="I3665" i="14" s="1"/>
  <c r="N3828" i="14"/>
  <c r="J3827" i="14" a="1"/>
  <c r="J3827" i="14" s="1"/>
  <c r="M3831" i="13"/>
  <c r="M3832" i="14"/>
  <c r="J3828" i="13" a="1"/>
  <c r="J3828" i="13" s="1"/>
  <c r="N3829" i="13"/>
  <c r="K3665" i="14" l="1"/>
  <c r="L3665" i="14" s="1"/>
  <c r="I3666" i="14" s="1"/>
  <c r="K3643" i="13"/>
  <c r="L3643" i="13" s="1"/>
  <c r="I3644" i="13" s="1"/>
  <c r="M3832" i="13"/>
  <c r="N3830" i="13"/>
  <c r="J3829" i="13" a="1"/>
  <c r="J3829" i="13" s="1"/>
  <c r="M3833" i="14"/>
  <c r="N3829" i="14"/>
  <c r="J3828" i="14" a="1"/>
  <c r="J3828" i="14" s="1"/>
  <c r="K3666" i="14" l="1"/>
  <c r="L3666" i="14" s="1"/>
  <c r="I3667" i="14" s="1"/>
  <c r="J3829" i="14" a="1"/>
  <c r="J3829" i="14" s="1"/>
  <c r="N3830" i="14"/>
  <c r="K3644" i="13"/>
  <c r="L3644" i="13" s="1"/>
  <c r="I3645" i="13" s="1"/>
  <c r="N3831" i="13"/>
  <c r="J3830" i="13" a="1"/>
  <c r="J3830" i="13" s="1"/>
  <c r="M3834" i="14"/>
  <c r="M3833" i="13"/>
  <c r="K3645" i="13" l="1"/>
  <c r="L3645" i="13" s="1"/>
  <c r="I3646" i="13" s="1"/>
  <c r="K3667" i="14"/>
  <c r="L3667" i="14" s="1"/>
  <c r="I3668" i="14" s="1"/>
  <c r="N3831" i="14"/>
  <c r="J3830" i="14" a="1"/>
  <c r="J3830" i="14" s="1"/>
  <c r="N3832" i="13"/>
  <c r="J3831" i="13" a="1"/>
  <c r="J3831" i="13" s="1"/>
  <c r="M3834" i="13"/>
  <c r="M3835" i="14"/>
  <c r="K3668" i="14" l="1"/>
  <c r="L3668" i="14" s="1"/>
  <c r="I3669" i="14" s="1"/>
  <c r="K3646" i="13"/>
  <c r="L3646" i="13" s="1"/>
  <c r="I3647" i="13" s="1"/>
  <c r="M3836" i="14"/>
  <c r="J3832" i="13" a="1"/>
  <c r="J3832" i="13" s="1"/>
  <c r="N3833" i="13"/>
  <c r="M3835" i="13"/>
  <c r="N3832" i="14"/>
  <c r="J3831" i="14" a="1"/>
  <c r="J3831" i="14" s="1"/>
  <c r="K3647" i="13" l="1"/>
  <c r="L3647" i="13" s="1"/>
  <c r="I3648" i="13" s="1"/>
  <c r="K3669" i="14"/>
  <c r="L3669" i="14" s="1"/>
  <c r="I3670" i="14" s="1"/>
  <c r="N3834" i="13"/>
  <c r="J3833" i="13" a="1"/>
  <c r="J3833" i="13" s="1"/>
  <c r="N3833" i="14"/>
  <c r="J3832" i="14" a="1"/>
  <c r="J3832" i="14" s="1"/>
  <c r="M3836" i="13"/>
  <c r="M3837" i="14"/>
  <c r="K3670" i="14" l="1"/>
  <c r="L3670" i="14" s="1"/>
  <c r="I3671" i="14" s="1"/>
  <c r="K3648" i="13"/>
  <c r="L3648" i="13" s="1"/>
  <c r="I3649" i="13" s="1"/>
  <c r="J3833" i="14" a="1"/>
  <c r="J3833" i="14" s="1"/>
  <c r="N3834" i="14"/>
  <c r="M3838" i="14"/>
  <c r="M3837" i="13"/>
  <c r="N3835" i="13"/>
  <c r="J3834" i="13" a="1"/>
  <c r="J3834" i="13" s="1"/>
  <c r="K3671" i="14" l="1"/>
  <c r="L3671" i="14" s="1"/>
  <c r="I3672" i="14" s="1"/>
  <c r="M3839" i="14"/>
  <c r="K3649" i="13"/>
  <c r="L3649" i="13" s="1"/>
  <c r="I3650" i="13" s="1"/>
  <c r="N3836" i="13"/>
  <c r="J3835" i="13" a="1"/>
  <c r="J3835" i="13" s="1"/>
  <c r="M3838" i="13"/>
  <c r="N3835" i="14"/>
  <c r="J3834" i="14" a="1"/>
  <c r="J3834" i="14" s="1"/>
  <c r="K3672" i="14" l="1"/>
  <c r="L3672" i="14" s="1"/>
  <c r="I3673" i="14" s="1"/>
  <c r="K3650" i="13"/>
  <c r="L3650" i="13" s="1"/>
  <c r="I3651" i="13" s="1"/>
  <c r="M3840" i="14"/>
  <c r="J3836" i="13" a="1"/>
  <c r="J3836" i="13" s="1"/>
  <c r="N3837" i="13"/>
  <c r="N3836" i="14"/>
  <c r="J3835" i="14" a="1"/>
  <c r="J3835" i="14" s="1"/>
  <c r="M3839" i="13"/>
  <c r="K3651" i="13" l="1"/>
  <c r="L3651" i="13" s="1"/>
  <c r="I3652" i="13" s="1"/>
  <c r="K3673" i="14"/>
  <c r="L3673" i="14" s="1"/>
  <c r="I3674" i="14" s="1"/>
  <c r="N3838" i="13"/>
  <c r="J3837" i="13" a="1"/>
  <c r="J3837" i="13" s="1"/>
  <c r="M3840" i="13"/>
  <c r="N3837" i="14"/>
  <c r="J3836" i="14" a="1"/>
  <c r="J3836" i="14" s="1"/>
  <c r="M3841" i="14"/>
  <c r="K3674" i="14" l="1"/>
  <c r="L3674" i="14" s="1"/>
  <c r="I3675" i="14" s="1"/>
  <c r="K3652" i="13"/>
  <c r="L3652" i="13" s="1"/>
  <c r="I3653" i="13" s="1"/>
  <c r="M3841" i="13"/>
  <c r="M3842" i="14"/>
  <c r="J3837" i="14" a="1"/>
  <c r="J3837" i="14" s="1"/>
  <c r="N3838" i="14"/>
  <c r="N3839" i="13"/>
  <c r="J3838" i="13" a="1"/>
  <c r="J3838" i="13" s="1"/>
  <c r="K3675" i="14" l="1"/>
  <c r="L3675" i="14" s="1"/>
  <c r="I3676" i="14" s="1"/>
  <c r="N3840" i="13"/>
  <c r="J3839" i="13" a="1"/>
  <c r="J3839" i="13" s="1"/>
  <c r="M3843" i="14"/>
  <c r="K3653" i="13"/>
  <c r="L3653" i="13" s="1"/>
  <c r="I3654" i="13" s="1"/>
  <c r="N3839" i="14"/>
  <c r="J3838" i="14" a="1"/>
  <c r="J3838" i="14" s="1"/>
  <c r="M3842" i="13"/>
  <c r="K3654" i="13" l="1"/>
  <c r="L3654" i="13" s="1"/>
  <c r="I3655" i="13" s="1"/>
  <c r="K3676" i="14"/>
  <c r="L3676" i="14" s="1"/>
  <c r="I3677" i="14" s="1"/>
  <c r="J3840" i="13" a="1"/>
  <c r="J3840" i="13" s="1"/>
  <c r="N3841" i="13"/>
  <c r="M3843" i="13"/>
  <c r="M3844" i="14"/>
  <c r="J3839" i="14" a="1"/>
  <c r="J3839" i="14" s="1"/>
  <c r="N3840" i="14"/>
  <c r="K3677" i="14" l="1"/>
  <c r="L3677" i="14" s="1"/>
  <c r="I3678" i="14" s="1"/>
  <c r="K3655" i="13"/>
  <c r="L3655" i="13" s="1"/>
  <c r="I3656" i="13" s="1"/>
  <c r="N3841" i="14"/>
  <c r="J3840" i="14" a="1"/>
  <c r="J3840" i="14" s="1"/>
  <c r="M3845" i="14"/>
  <c r="M3844" i="13"/>
  <c r="N3842" i="13"/>
  <c r="J3841" i="13" a="1"/>
  <c r="J3841" i="13" s="1"/>
  <c r="K3656" i="13" l="1"/>
  <c r="L3656" i="13" s="1"/>
  <c r="I3657" i="13" s="1"/>
  <c r="M3845" i="13"/>
  <c r="N3843" i="13"/>
  <c r="J3842" i="13" a="1"/>
  <c r="J3842" i="13" s="1"/>
  <c r="M3846" i="14"/>
  <c r="J3841" i="14" a="1"/>
  <c r="J3841" i="14" s="1"/>
  <c r="N3842" i="14"/>
  <c r="K3678" i="14"/>
  <c r="L3678" i="14" s="1"/>
  <c r="I3679" i="14" s="1"/>
  <c r="K3679" i="14" l="1"/>
  <c r="L3679" i="14" s="1"/>
  <c r="I3680" i="14" s="1"/>
  <c r="K3657" i="13"/>
  <c r="L3657" i="13" s="1"/>
  <c r="I3658" i="13" s="1"/>
  <c r="M3846" i="13"/>
  <c r="J3842" i="14" a="1"/>
  <c r="J3842" i="14" s="1"/>
  <c r="N3843" i="14"/>
  <c r="M3847" i="14"/>
  <c r="N3844" i="13"/>
  <c r="J3843" i="13" a="1"/>
  <c r="J3843" i="13" s="1"/>
  <c r="K3658" i="13" l="1"/>
  <c r="L3658" i="13" s="1"/>
  <c r="I3659" i="13" s="1"/>
  <c r="K3680" i="14"/>
  <c r="L3680" i="14" s="1"/>
  <c r="I3681" i="14" s="1"/>
  <c r="N3844" i="14"/>
  <c r="J3843" i="14" a="1"/>
  <c r="J3843" i="14" s="1"/>
  <c r="M3848" i="14"/>
  <c r="M3847" i="13"/>
  <c r="J3844" i="13" a="1"/>
  <c r="J3844" i="13" s="1"/>
  <c r="N3845" i="13"/>
  <c r="K3659" i="13" l="1"/>
  <c r="L3659" i="13" s="1"/>
  <c r="I3660" i="13" s="1"/>
  <c r="K3681" i="14"/>
  <c r="L3681" i="14" s="1"/>
  <c r="I3682" i="14" s="1"/>
  <c r="N3846" i="13"/>
  <c r="J3845" i="13" a="1"/>
  <c r="J3845" i="13" s="1"/>
  <c r="M3849" i="14"/>
  <c r="M3848" i="13"/>
  <c r="N3845" i="14"/>
  <c r="J3844" i="14" a="1"/>
  <c r="J3844" i="14" s="1"/>
  <c r="K3660" i="13" l="1"/>
  <c r="L3660" i="13" s="1"/>
  <c r="I3661" i="13" s="1"/>
  <c r="K3682" i="14"/>
  <c r="L3682" i="14" s="1"/>
  <c r="I3683" i="14" s="1"/>
  <c r="J3845" i="14" a="1"/>
  <c r="J3845" i="14" s="1"/>
  <c r="N3846" i="14"/>
  <c r="M3850" i="14"/>
  <c r="M3849" i="13"/>
  <c r="N3847" i="13"/>
  <c r="J3846" i="13" a="1"/>
  <c r="J3846" i="13" s="1"/>
  <c r="K3683" i="14" l="1"/>
  <c r="L3683" i="14" s="1"/>
  <c r="I3684" i="14" s="1"/>
  <c r="K3661" i="13"/>
  <c r="L3661" i="13" s="1"/>
  <c r="I3662" i="13" s="1"/>
  <c r="M3851" i="14"/>
  <c r="M3850" i="13"/>
  <c r="N3848" i="13"/>
  <c r="J3847" i="13" a="1"/>
  <c r="J3847" i="13" s="1"/>
  <c r="N3847" i="14"/>
  <c r="J3846" i="14" a="1"/>
  <c r="J3846" i="14" s="1"/>
  <c r="K3662" i="13" l="1"/>
  <c r="L3662" i="13" s="1"/>
  <c r="I3663" i="13" s="1"/>
  <c r="K3684" i="14"/>
  <c r="L3684" i="14" s="1"/>
  <c r="I3685" i="14" s="1"/>
  <c r="M3851" i="13"/>
  <c r="N3848" i="14"/>
  <c r="J3847" i="14" a="1"/>
  <c r="J3847" i="14" s="1"/>
  <c r="M3852" i="14"/>
  <c r="J3848" i="13" a="1"/>
  <c r="J3848" i="13" s="1"/>
  <c r="N3849" i="13"/>
  <c r="K3685" i="14" l="1"/>
  <c r="L3685" i="14" s="1"/>
  <c r="I3686" i="14" s="1"/>
  <c r="K3663" i="13"/>
  <c r="L3663" i="13" s="1"/>
  <c r="I3664" i="13" s="1"/>
  <c r="N3850" i="13"/>
  <c r="J3849" i="13" a="1"/>
  <c r="J3849" i="13" s="1"/>
  <c r="N3849" i="14"/>
  <c r="J3848" i="14" a="1"/>
  <c r="J3848" i="14" s="1"/>
  <c r="M3853" i="14"/>
  <c r="M3852" i="13"/>
  <c r="K3664" i="13" l="1"/>
  <c r="L3664" i="13" s="1"/>
  <c r="I3665" i="13" s="1"/>
  <c r="K3686" i="14"/>
  <c r="L3686" i="14" s="1"/>
  <c r="I3687" i="14" s="1"/>
  <c r="J3849" i="14" a="1"/>
  <c r="J3849" i="14" s="1"/>
  <c r="N3850" i="14"/>
  <c r="M3853" i="13"/>
  <c r="M3854" i="14"/>
  <c r="N3851" i="13"/>
  <c r="J3850" i="13" a="1"/>
  <c r="J3850" i="13" s="1"/>
  <c r="K3687" i="14" l="1"/>
  <c r="L3687" i="14" s="1"/>
  <c r="I3688" i="14" s="1"/>
  <c r="K3665" i="13"/>
  <c r="L3665" i="13" s="1"/>
  <c r="I3666" i="13" s="1"/>
  <c r="M3854" i="13"/>
  <c r="N3852" i="13"/>
  <c r="J3851" i="13" a="1"/>
  <c r="J3851" i="13" s="1"/>
  <c r="N3851" i="14"/>
  <c r="J3850" i="14" a="1"/>
  <c r="J3850" i="14" s="1"/>
  <c r="M3855" i="14"/>
  <c r="K3688" i="14" l="1"/>
  <c r="L3688" i="14" s="1"/>
  <c r="I3689" i="14" s="1"/>
  <c r="J3852" i="13" a="1"/>
  <c r="J3852" i="13" s="1"/>
  <c r="N3853" i="13"/>
  <c r="K3666" i="13"/>
  <c r="L3666" i="13" s="1"/>
  <c r="I3667" i="13" s="1"/>
  <c r="M3856" i="14"/>
  <c r="M3855" i="13"/>
  <c r="N3852" i="14"/>
  <c r="J3851" i="14" a="1"/>
  <c r="J3851" i="14" s="1"/>
  <c r="K3667" i="13" l="1"/>
  <c r="L3667" i="13" s="1"/>
  <c r="I3668" i="13" s="1"/>
  <c r="K3689" i="14"/>
  <c r="L3689" i="14" s="1"/>
  <c r="I3690" i="14" s="1"/>
  <c r="N3854" i="13"/>
  <c r="J3853" i="13" a="1"/>
  <c r="J3853" i="13" s="1"/>
  <c r="N3853" i="14"/>
  <c r="J3852" i="14" a="1"/>
  <c r="J3852" i="14" s="1"/>
  <c r="M3857" i="14"/>
  <c r="M3856" i="13"/>
  <c r="K3690" i="14" l="1"/>
  <c r="L3690" i="14" s="1"/>
  <c r="I3691" i="14" s="1"/>
  <c r="K3668" i="13"/>
  <c r="L3668" i="13" s="1"/>
  <c r="I3669" i="13" s="1"/>
  <c r="M3857" i="13"/>
  <c r="J3853" i="14" a="1"/>
  <c r="J3853" i="14" s="1"/>
  <c r="N3854" i="14"/>
  <c r="M3858" i="14"/>
  <c r="N3855" i="13"/>
  <c r="J3854" i="13" a="1"/>
  <c r="J3854" i="13" s="1"/>
  <c r="K3669" i="13" l="1"/>
  <c r="L3669" i="13" s="1"/>
  <c r="I3670" i="13" s="1"/>
  <c r="K3691" i="14"/>
  <c r="L3691" i="14" s="1"/>
  <c r="I3692" i="14" s="1"/>
  <c r="N3855" i="14"/>
  <c r="J3854" i="14" a="1"/>
  <c r="J3854" i="14" s="1"/>
  <c r="N3856" i="13"/>
  <c r="J3855" i="13" a="1"/>
  <c r="J3855" i="13" s="1"/>
  <c r="M3858" i="13"/>
  <c r="M3859" i="14"/>
  <c r="K3670" i="13" l="1"/>
  <c r="L3670" i="13" s="1"/>
  <c r="I3671" i="13" s="1"/>
  <c r="M3860" i="14"/>
  <c r="K3692" i="14"/>
  <c r="L3692" i="14" s="1"/>
  <c r="I3693" i="14" s="1"/>
  <c r="J3856" i="13" a="1"/>
  <c r="J3856" i="13" s="1"/>
  <c r="N3857" i="13"/>
  <c r="M3859" i="13"/>
  <c r="N3856" i="14"/>
  <c r="J3855" i="14" a="1"/>
  <c r="J3855" i="14" s="1"/>
  <c r="K3693" i="14" l="1"/>
  <c r="L3693" i="14" s="1"/>
  <c r="I3694" i="14" s="1"/>
  <c r="K3671" i="13"/>
  <c r="L3671" i="13" s="1"/>
  <c r="I3672" i="13" s="1"/>
  <c r="N3858" i="13"/>
  <c r="J3857" i="13" a="1"/>
  <c r="J3857" i="13" s="1"/>
  <c r="M3861" i="14"/>
  <c r="N3857" i="14"/>
  <c r="J3856" i="14" a="1"/>
  <c r="J3856" i="14" s="1"/>
  <c r="M3860" i="13"/>
  <c r="K3672" i="13" l="1"/>
  <c r="L3672" i="13" s="1"/>
  <c r="I3673" i="13" s="1"/>
  <c r="J3857" i="14" a="1"/>
  <c r="J3857" i="14" s="1"/>
  <c r="N3858" i="14"/>
  <c r="M3861" i="13"/>
  <c r="M3862" i="14"/>
  <c r="N3859" i="13"/>
  <c r="J3858" i="13" a="1"/>
  <c r="J3858" i="13" s="1"/>
  <c r="K3694" i="14"/>
  <c r="L3694" i="14" s="1"/>
  <c r="I3695" i="14" s="1"/>
  <c r="K3695" i="14" l="1"/>
  <c r="L3695" i="14" s="1"/>
  <c r="I3696" i="14" s="1"/>
  <c r="K3673" i="13"/>
  <c r="L3673" i="13" s="1"/>
  <c r="I3674" i="13" s="1"/>
  <c r="M3863" i="14"/>
  <c r="N3859" i="14"/>
  <c r="J3858" i="14" a="1"/>
  <c r="J3858" i="14" s="1"/>
  <c r="M3862" i="13"/>
  <c r="N3860" i="13"/>
  <c r="J3859" i="13" a="1"/>
  <c r="J3859" i="13" s="1"/>
  <c r="K3674" i="13" l="1"/>
  <c r="L3674" i="13" s="1"/>
  <c r="I3675" i="13" s="1"/>
  <c r="K3696" i="14"/>
  <c r="L3696" i="14" s="1"/>
  <c r="I3697" i="14" s="1"/>
  <c r="J3860" i="13" a="1"/>
  <c r="J3860" i="13" s="1"/>
  <c r="N3861" i="13"/>
  <c r="N3860" i="14"/>
  <c r="J3859" i="14" a="1"/>
  <c r="J3859" i="14" s="1"/>
  <c r="M3863" i="13"/>
  <c r="M3864" i="14"/>
  <c r="K3675" i="13" l="1"/>
  <c r="L3675" i="13" s="1"/>
  <c r="I3676" i="13" s="1"/>
  <c r="M3865" i="14"/>
  <c r="N3862" i="13"/>
  <c r="J3861" i="13" a="1"/>
  <c r="J3861" i="13" s="1"/>
  <c r="N3861" i="14"/>
  <c r="J3860" i="14" a="1"/>
  <c r="J3860" i="14" s="1"/>
  <c r="K3697" i="14"/>
  <c r="L3697" i="14" s="1"/>
  <c r="I3698" i="14" s="1"/>
  <c r="M3864" i="13"/>
  <c r="K3698" i="14" l="1"/>
  <c r="L3698" i="14" s="1"/>
  <c r="I3699" i="14" s="1"/>
  <c r="K3676" i="13"/>
  <c r="L3676" i="13" s="1"/>
  <c r="I3677" i="13" s="1"/>
  <c r="M3865" i="13"/>
  <c r="M3866" i="14"/>
  <c r="J3861" i="14" a="1"/>
  <c r="J3861" i="14" s="1"/>
  <c r="N3862" i="14"/>
  <c r="N3863" i="13"/>
  <c r="J3862" i="13" a="1"/>
  <c r="J3862" i="13" s="1"/>
  <c r="K3699" i="14" l="1"/>
  <c r="L3699" i="14" s="1"/>
  <c r="I3700" i="14" s="1"/>
  <c r="M3867" i="14"/>
  <c r="K3677" i="13"/>
  <c r="L3677" i="13" s="1"/>
  <c r="I3678" i="13" s="1"/>
  <c r="N3863" i="14"/>
  <c r="J3862" i="14" a="1"/>
  <c r="J3862" i="14" s="1"/>
  <c r="N3864" i="13"/>
  <c r="J3863" i="13" a="1"/>
  <c r="J3863" i="13" s="1"/>
  <c r="M3866" i="13"/>
  <c r="K3678" i="13" l="1"/>
  <c r="L3678" i="13" s="1"/>
  <c r="I3679" i="13" s="1"/>
  <c r="K3700" i="14"/>
  <c r="L3700" i="14" s="1"/>
  <c r="I3701" i="14" s="1"/>
  <c r="M3868" i="14"/>
  <c r="N3864" i="14"/>
  <c r="J3863" i="14" a="1"/>
  <c r="J3863" i="14" s="1"/>
  <c r="M3867" i="13"/>
  <c r="J3864" i="13" a="1"/>
  <c r="J3864" i="13" s="1"/>
  <c r="N3865" i="13"/>
  <c r="K3701" i="14" l="1"/>
  <c r="L3701" i="14" s="1"/>
  <c r="I3702" i="14" s="1"/>
  <c r="K3679" i="13"/>
  <c r="L3679" i="13" s="1"/>
  <c r="I3680" i="13" s="1"/>
  <c r="N3866" i="13"/>
  <c r="J3865" i="13" a="1"/>
  <c r="J3865" i="13" s="1"/>
  <c r="N3865" i="14"/>
  <c r="J3864" i="14" a="1"/>
  <c r="J3864" i="14" s="1"/>
  <c r="M3868" i="13"/>
  <c r="M3869" i="14"/>
  <c r="K3680" i="13" l="1"/>
  <c r="L3680" i="13" s="1"/>
  <c r="I3681" i="13" s="1"/>
  <c r="K3702" i="14"/>
  <c r="L3702" i="14" s="1"/>
  <c r="I3703" i="14" s="1"/>
  <c r="J3865" i="14" a="1"/>
  <c r="J3865" i="14" s="1"/>
  <c r="N3866" i="14"/>
  <c r="M3870" i="14"/>
  <c r="M3869" i="13"/>
  <c r="N3867" i="13"/>
  <c r="J3866" i="13" a="1"/>
  <c r="J3866" i="13" s="1"/>
  <c r="K3703" i="14" l="1"/>
  <c r="L3703" i="14" s="1"/>
  <c r="I3704" i="14" s="1"/>
  <c r="K3681" i="13"/>
  <c r="L3681" i="13" s="1"/>
  <c r="I3682" i="13" s="1"/>
  <c r="M3871" i="14"/>
  <c r="N3868" i="13"/>
  <c r="J3867" i="13" a="1"/>
  <c r="J3867" i="13" s="1"/>
  <c r="M3870" i="13"/>
  <c r="N3867" i="14"/>
  <c r="J3866" i="14" a="1"/>
  <c r="J3866" i="14" s="1"/>
  <c r="K3682" i="13" l="1"/>
  <c r="L3682" i="13" s="1"/>
  <c r="I3683" i="13" s="1"/>
  <c r="K3704" i="14"/>
  <c r="L3704" i="14" s="1"/>
  <c r="I3705" i="14" s="1"/>
  <c r="J3868" i="13" a="1"/>
  <c r="J3868" i="13" s="1"/>
  <c r="N3869" i="13"/>
  <c r="N3868" i="14"/>
  <c r="J3867" i="14" a="1"/>
  <c r="J3867" i="14" s="1"/>
  <c r="M3871" i="13"/>
  <c r="M3872" i="14"/>
  <c r="K3705" i="14" l="1"/>
  <c r="L3705" i="14" s="1"/>
  <c r="I3706" i="14" s="1"/>
  <c r="K3683" i="13"/>
  <c r="L3683" i="13" s="1"/>
  <c r="I3684" i="13" s="1"/>
  <c r="N3869" i="14"/>
  <c r="J3868" i="14" a="1"/>
  <c r="J3868" i="14" s="1"/>
  <c r="N3870" i="13"/>
  <c r="J3869" i="13" a="1"/>
  <c r="J3869" i="13" s="1"/>
  <c r="M3873" i="14"/>
  <c r="M3872" i="13"/>
  <c r="K3684" i="13" l="1"/>
  <c r="L3684" i="13" s="1"/>
  <c r="I3685" i="13" s="1"/>
  <c r="K3706" i="14"/>
  <c r="L3706" i="14" s="1"/>
  <c r="I3707" i="14" s="1"/>
  <c r="M3873" i="13"/>
  <c r="N3871" i="13"/>
  <c r="J3870" i="13" a="1"/>
  <c r="J3870" i="13" s="1"/>
  <c r="M3874" i="14"/>
  <c r="J3869" i="14" a="1"/>
  <c r="J3869" i="14" s="1"/>
  <c r="N3870" i="14"/>
  <c r="K3707" i="14" l="1"/>
  <c r="L3707" i="14" s="1"/>
  <c r="I3708" i="14" s="1"/>
  <c r="K3685" i="13"/>
  <c r="L3685" i="13" s="1"/>
  <c r="I3686" i="13" s="1"/>
  <c r="N3871" i="14"/>
  <c r="J3870" i="14" a="1"/>
  <c r="J3870" i="14" s="1"/>
  <c r="N3872" i="13"/>
  <c r="J3871" i="13" a="1"/>
  <c r="J3871" i="13" s="1"/>
  <c r="M3874" i="13"/>
  <c r="M3875" i="14"/>
  <c r="K3686" i="13" l="1"/>
  <c r="L3686" i="13" s="1"/>
  <c r="I3687" i="13" s="1"/>
  <c r="K3708" i="14"/>
  <c r="L3708" i="14" s="1"/>
  <c r="I3709" i="14" s="1"/>
  <c r="M3876" i="14"/>
  <c r="J3872" i="13" a="1"/>
  <c r="J3872" i="13" s="1"/>
  <c r="N3873" i="13"/>
  <c r="M3875" i="13"/>
  <c r="N3872" i="14"/>
  <c r="J3871" i="14" a="1"/>
  <c r="J3871" i="14" s="1"/>
  <c r="K3687" i="13" l="1"/>
  <c r="L3687" i="13" s="1"/>
  <c r="I3688" i="13" s="1"/>
  <c r="N3874" i="13"/>
  <c r="J3873" i="13" a="1"/>
  <c r="J3873" i="13" s="1"/>
  <c r="K3709" i="14"/>
  <c r="L3709" i="14" s="1"/>
  <c r="I3710" i="14" s="1"/>
  <c r="N3873" i="14"/>
  <c r="J3872" i="14" a="1"/>
  <c r="J3872" i="14" s="1"/>
  <c r="M3876" i="13"/>
  <c r="M3877" i="14"/>
  <c r="K3710" i="14" l="1"/>
  <c r="L3710" i="14" s="1"/>
  <c r="I3711" i="14" s="1"/>
  <c r="K3688" i="13"/>
  <c r="L3688" i="13" s="1"/>
  <c r="I3689" i="13" s="1"/>
  <c r="M3878" i="14"/>
  <c r="J3873" i="14" a="1"/>
  <c r="J3873" i="14" s="1"/>
  <c r="N3874" i="14"/>
  <c r="N3875" i="13"/>
  <c r="J3874" i="13" a="1"/>
  <c r="J3874" i="13" s="1"/>
  <c r="M3877" i="13"/>
  <c r="K3689" i="13" l="1"/>
  <c r="L3689" i="13" s="1"/>
  <c r="I3690" i="13" s="1"/>
  <c r="N3875" i="14"/>
  <c r="J3874" i="14" a="1"/>
  <c r="J3874" i="14" s="1"/>
  <c r="M3878" i="13"/>
  <c r="N3876" i="13"/>
  <c r="J3875" i="13" a="1"/>
  <c r="J3875" i="13" s="1"/>
  <c r="M3879" i="14"/>
  <c r="K3711" i="14"/>
  <c r="L3711" i="14" s="1"/>
  <c r="I3712" i="14" s="1"/>
  <c r="K3712" i="14" l="1"/>
  <c r="L3712" i="14" s="1"/>
  <c r="I3713" i="14" s="1"/>
  <c r="K3690" i="13"/>
  <c r="L3690" i="13" s="1"/>
  <c r="I3691" i="13" s="1"/>
  <c r="N3876" i="14"/>
  <c r="J3875" i="14" a="1"/>
  <c r="J3875" i="14" s="1"/>
  <c r="J3876" i="13" a="1"/>
  <c r="J3876" i="13" s="1"/>
  <c r="N3877" i="13"/>
  <c r="M3880" i="14"/>
  <c r="M3879" i="13"/>
  <c r="K3691" i="13" l="1"/>
  <c r="L3691" i="13" s="1"/>
  <c r="I3692" i="13" s="1"/>
  <c r="K3713" i="14"/>
  <c r="L3713" i="14" s="1"/>
  <c r="I3714" i="14" s="1"/>
  <c r="N3878" i="13"/>
  <c r="J3877" i="13" a="1"/>
  <c r="J3877" i="13" s="1"/>
  <c r="M3880" i="13"/>
  <c r="M3881" i="14"/>
  <c r="N3877" i="14"/>
  <c r="J3876" i="14" a="1"/>
  <c r="J3876" i="14" s="1"/>
  <c r="K3714" i="14" l="1"/>
  <c r="L3714" i="14" s="1"/>
  <c r="I3715" i="14" s="1"/>
  <c r="K3692" i="13"/>
  <c r="L3692" i="13" s="1"/>
  <c r="I3693" i="13" s="1"/>
  <c r="M3881" i="13"/>
  <c r="J3877" i="14" a="1"/>
  <c r="J3877" i="14" s="1"/>
  <c r="N3878" i="14"/>
  <c r="M3882" i="14"/>
  <c r="N3879" i="13"/>
  <c r="J3878" i="13" a="1"/>
  <c r="J3878" i="13" s="1"/>
  <c r="K3715" i="14" l="1"/>
  <c r="L3715" i="14" s="1"/>
  <c r="I3716" i="14" s="1"/>
  <c r="N3879" i="14"/>
  <c r="J3878" i="14" a="1"/>
  <c r="J3878" i="14" s="1"/>
  <c r="N3880" i="13"/>
  <c r="J3879" i="13" a="1"/>
  <c r="J3879" i="13" s="1"/>
  <c r="M3883" i="14"/>
  <c r="K3693" i="13"/>
  <c r="L3693" i="13" s="1"/>
  <c r="I3694" i="13" s="1"/>
  <c r="M3882" i="13"/>
  <c r="K3716" i="14" l="1"/>
  <c r="L3716" i="14" s="1"/>
  <c r="I3717" i="14" s="1"/>
  <c r="M3883" i="13"/>
  <c r="M3884" i="14"/>
  <c r="N3880" i="14"/>
  <c r="J3879" i="14" a="1"/>
  <c r="J3879" i="14" s="1"/>
  <c r="K3694" i="13"/>
  <c r="L3694" i="13" s="1"/>
  <c r="I3695" i="13" s="1"/>
  <c r="J3880" i="13" a="1"/>
  <c r="J3880" i="13" s="1"/>
  <c r="N3881" i="13"/>
  <c r="K3695" i="13" l="1"/>
  <c r="L3695" i="13" s="1"/>
  <c r="I3696" i="13" s="1"/>
  <c r="K3717" i="14"/>
  <c r="L3717" i="14" s="1"/>
  <c r="I3718" i="14" s="1"/>
  <c r="N3882" i="13"/>
  <c r="J3881" i="13" a="1"/>
  <c r="J3881" i="13" s="1"/>
  <c r="N3881" i="14"/>
  <c r="J3880" i="14" a="1"/>
  <c r="J3880" i="14" s="1"/>
  <c r="M3884" i="13"/>
  <c r="M3885" i="14"/>
  <c r="K3718" i="14" l="1"/>
  <c r="L3718" i="14" s="1"/>
  <c r="I3719" i="14" s="1"/>
  <c r="K3696" i="13"/>
  <c r="L3696" i="13" s="1"/>
  <c r="I3697" i="13" s="1"/>
  <c r="J3881" i="14" a="1"/>
  <c r="J3881" i="14" s="1"/>
  <c r="N3882" i="14"/>
  <c r="M3886" i="14"/>
  <c r="M3885" i="13"/>
  <c r="N3883" i="13"/>
  <c r="J3882" i="13" a="1"/>
  <c r="J3882" i="13" s="1"/>
  <c r="K3697" i="13" l="1"/>
  <c r="L3697" i="13" s="1"/>
  <c r="I3698" i="13" s="1"/>
  <c r="K3719" i="14"/>
  <c r="L3719" i="14" s="1"/>
  <c r="I3720" i="14" s="1"/>
  <c r="M3887" i="14"/>
  <c r="N3884" i="13"/>
  <c r="J3883" i="13" a="1"/>
  <c r="J3883" i="13" s="1"/>
  <c r="M3886" i="13"/>
  <c r="N3883" i="14"/>
  <c r="J3882" i="14" a="1"/>
  <c r="J3882" i="14" s="1"/>
  <c r="K3720" i="14" l="1"/>
  <c r="L3720" i="14" s="1"/>
  <c r="I3721" i="14" s="1"/>
  <c r="K3698" i="13"/>
  <c r="L3698" i="13" s="1"/>
  <c r="I3699" i="13" s="1"/>
  <c r="J3884" i="13" a="1"/>
  <c r="J3884" i="13" s="1"/>
  <c r="N3885" i="13"/>
  <c r="J3883" i="14" a="1"/>
  <c r="J3883" i="14" s="1"/>
  <c r="N3884" i="14"/>
  <c r="M3887" i="13"/>
  <c r="M3888" i="14"/>
  <c r="K3699" i="13" l="1"/>
  <c r="L3699" i="13" s="1"/>
  <c r="I3700" i="13" s="1"/>
  <c r="K3721" i="14"/>
  <c r="L3721" i="14" s="1"/>
  <c r="I3722" i="14" s="1"/>
  <c r="N3885" i="14"/>
  <c r="J3884" i="14" a="1"/>
  <c r="J3884" i="14" s="1"/>
  <c r="M3888" i="13"/>
  <c r="M3889" i="14"/>
  <c r="N3886" i="13"/>
  <c r="J3885" i="13" a="1"/>
  <c r="J3885" i="13" s="1"/>
  <c r="K3722" i="14" l="1"/>
  <c r="L3722" i="14" s="1"/>
  <c r="I3723" i="14" s="1"/>
  <c r="K3700" i="13"/>
  <c r="L3700" i="13" s="1"/>
  <c r="I3701" i="13" s="1"/>
  <c r="M3889" i="13"/>
  <c r="N3887" i="13"/>
  <c r="J3886" i="13" a="1"/>
  <c r="J3886" i="13" s="1"/>
  <c r="M3890" i="14"/>
  <c r="J3885" i="14" a="1"/>
  <c r="J3885" i="14" s="1"/>
  <c r="N3886" i="14"/>
  <c r="K3723" i="14" l="1"/>
  <c r="L3723" i="14" s="1"/>
  <c r="I3724" i="14" s="1"/>
  <c r="J3886" i="14" a="1"/>
  <c r="J3886" i="14" s="1"/>
  <c r="N3887" i="14"/>
  <c r="N3888" i="13"/>
  <c r="J3887" i="13" a="1"/>
  <c r="J3887" i="13" s="1"/>
  <c r="K3701" i="13"/>
  <c r="L3701" i="13" s="1"/>
  <c r="I3702" i="13" s="1"/>
  <c r="M3890" i="13"/>
  <c r="M3891" i="14"/>
  <c r="K3702" i="13" l="1"/>
  <c r="L3702" i="13" s="1"/>
  <c r="I3703" i="13" s="1"/>
  <c r="K3724" i="14"/>
  <c r="L3724" i="14" s="1"/>
  <c r="I3725" i="14" s="1"/>
  <c r="N3888" i="14"/>
  <c r="J3887" i="14" a="1"/>
  <c r="J3887" i="14" s="1"/>
  <c r="M3892" i="14"/>
  <c r="M3891" i="13"/>
  <c r="J3888" i="13" a="1"/>
  <c r="J3888" i="13" s="1"/>
  <c r="N3889" i="13"/>
  <c r="K3725" i="14" l="1"/>
  <c r="L3725" i="14" s="1"/>
  <c r="I3726" i="14" s="1"/>
  <c r="K3703" i="13"/>
  <c r="L3703" i="13" s="1"/>
  <c r="I3704" i="13" s="1"/>
  <c r="N3890" i="13"/>
  <c r="J3889" i="13" a="1"/>
  <c r="J3889" i="13" s="1"/>
  <c r="M3893" i="14"/>
  <c r="M3892" i="13"/>
  <c r="N3889" i="14"/>
  <c r="J3888" i="14" a="1"/>
  <c r="J3888" i="14" s="1"/>
  <c r="K3704" i="13" l="1"/>
  <c r="L3704" i="13" s="1"/>
  <c r="I3705" i="13" s="1"/>
  <c r="K3726" i="14"/>
  <c r="L3726" i="14" s="1"/>
  <c r="I3727" i="14" s="1"/>
  <c r="J3889" i="14" a="1"/>
  <c r="J3889" i="14" s="1"/>
  <c r="N3890" i="14"/>
  <c r="M3894" i="14"/>
  <c r="M3893" i="13"/>
  <c r="N3891" i="13"/>
  <c r="J3890" i="13" a="1"/>
  <c r="J3890" i="13" s="1"/>
  <c r="K3727" i="14" l="1"/>
  <c r="L3727" i="14" s="1"/>
  <c r="I3728" i="14" s="1"/>
  <c r="K3705" i="13"/>
  <c r="L3705" i="13" s="1"/>
  <c r="I3706" i="13" s="1"/>
  <c r="M3895" i="14"/>
  <c r="N3892" i="13"/>
  <c r="J3891" i="13" a="1"/>
  <c r="J3891" i="13" s="1"/>
  <c r="N3891" i="14"/>
  <c r="J3890" i="14" a="1"/>
  <c r="J3890" i="14" s="1"/>
  <c r="M3894" i="13"/>
  <c r="K3728" i="14" l="1"/>
  <c r="L3728" i="14" s="1"/>
  <c r="I3729" i="14" s="1"/>
  <c r="M3895" i="13"/>
  <c r="K3706" i="13"/>
  <c r="L3706" i="13" s="1"/>
  <c r="I3707" i="13" s="1"/>
  <c r="J3892" i="13" a="1"/>
  <c r="J3892" i="13" s="1"/>
  <c r="N3893" i="13"/>
  <c r="M3896" i="14"/>
  <c r="N3892" i="14"/>
  <c r="J3891" i="14" a="1"/>
  <c r="J3891" i="14" s="1"/>
  <c r="K3707" i="13" l="1"/>
  <c r="L3707" i="13" s="1"/>
  <c r="I3708" i="13" s="1"/>
  <c r="K3729" i="14"/>
  <c r="L3729" i="14" s="1"/>
  <c r="I3730" i="14" s="1"/>
  <c r="N3894" i="13"/>
  <c r="J3893" i="13" a="1"/>
  <c r="J3893" i="13" s="1"/>
  <c r="M3896" i="13"/>
  <c r="N3893" i="14"/>
  <c r="J3892" i="14" a="1"/>
  <c r="J3892" i="14" s="1"/>
  <c r="M3897" i="14"/>
  <c r="K3730" i="14" l="1"/>
  <c r="L3730" i="14" s="1"/>
  <c r="I3731" i="14" s="1"/>
  <c r="K3708" i="13"/>
  <c r="L3708" i="13" s="1"/>
  <c r="I3709" i="13" s="1"/>
  <c r="M3898" i="14"/>
  <c r="M3897" i="13"/>
  <c r="J3893" i="14" a="1"/>
  <c r="J3893" i="14" s="1"/>
  <c r="N3894" i="14"/>
  <c r="N3895" i="13"/>
  <c r="J3894" i="13" a="1"/>
  <c r="J3894" i="13" s="1"/>
  <c r="K3709" i="13" l="1"/>
  <c r="L3709" i="13" s="1"/>
  <c r="I3710" i="13" s="1"/>
  <c r="K3731" i="14"/>
  <c r="L3731" i="14" s="1"/>
  <c r="I3732" i="14" s="1"/>
  <c r="N3896" i="13"/>
  <c r="J3895" i="13" a="1"/>
  <c r="J3895" i="13" s="1"/>
  <c r="M3898" i="13"/>
  <c r="N3895" i="14"/>
  <c r="J3894" i="14" a="1"/>
  <c r="J3894" i="14" s="1"/>
  <c r="M3899" i="14"/>
  <c r="K3710" i="13" l="1"/>
  <c r="L3710" i="13" s="1"/>
  <c r="I3711" i="13" s="1"/>
  <c r="M3900" i="14"/>
  <c r="M3899" i="13"/>
  <c r="K3732" i="14"/>
  <c r="L3732" i="14" s="1"/>
  <c r="I3733" i="14" s="1"/>
  <c r="N3896" i="14"/>
  <c r="J3895" i="14" a="1"/>
  <c r="J3895" i="14" s="1"/>
  <c r="J3896" i="13" a="1"/>
  <c r="J3896" i="13" s="1"/>
  <c r="N3897" i="13"/>
  <c r="K3711" i="13" l="1"/>
  <c r="L3711" i="13" s="1"/>
  <c r="I3712" i="13" s="1"/>
  <c r="N3898" i="13"/>
  <c r="J3897" i="13" a="1"/>
  <c r="J3897" i="13" s="1"/>
  <c r="K3733" i="14"/>
  <c r="L3733" i="14" s="1"/>
  <c r="I3734" i="14" s="1"/>
  <c r="M3901" i="14"/>
  <c r="N3897" i="14"/>
  <c r="J3896" i="14" a="1"/>
  <c r="J3896" i="14" s="1"/>
  <c r="M3900" i="13"/>
  <c r="K3734" i="14" l="1"/>
  <c r="L3734" i="14" s="1"/>
  <c r="I3735" i="14" s="1"/>
  <c r="K3712" i="13"/>
  <c r="L3712" i="13" s="1"/>
  <c r="I3713" i="13" s="1"/>
  <c r="M3902" i="14"/>
  <c r="N3899" i="13"/>
  <c r="J3898" i="13" a="1"/>
  <c r="J3898" i="13" s="1"/>
  <c r="M3901" i="13"/>
  <c r="J3897" i="14" a="1"/>
  <c r="J3897" i="14" s="1"/>
  <c r="N3898" i="14"/>
  <c r="N3899" i="14" l="1"/>
  <c r="J3898" i="14" a="1"/>
  <c r="J3898" i="14" s="1"/>
  <c r="N3900" i="13"/>
  <c r="J3899" i="13" a="1"/>
  <c r="J3899" i="13" s="1"/>
  <c r="K3713" i="13"/>
  <c r="L3713" i="13" s="1"/>
  <c r="I3714" i="13" s="1"/>
  <c r="M3902" i="13"/>
  <c r="M3903" i="14"/>
  <c r="K3735" i="14"/>
  <c r="L3735" i="14" s="1"/>
  <c r="I3736" i="14" s="1"/>
  <c r="K3736" i="14" l="1"/>
  <c r="L3736" i="14" s="1"/>
  <c r="I3737" i="14" s="1"/>
  <c r="K3714" i="13"/>
  <c r="L3714" i="13" s="1"/>
  <c r="I3715" i="13" s="1"/>
  <c r="M3903" i="13"/>
  <c r="J3900" i="13" a="1"/>
  <c r="J3900" i="13" s="1"/>
  <c r="N3901" i="13"/>
  <c r="M3904" i="14"/>
  <c r="N3900" i="14"/>
  <c r="J3899" i="14" a="1"/>
  <c r="J3899" i="14" s="1"/>
  <c r="K3715" i="13" l="1"/>
  <c r="L3715" i="13" s="1"/>
  <c r="I3716" i="13" s="1"/>
  <c r="K3737" i="14"/>
  <c r="L3737" i="14" s="1"/>
  <c r="I3738" i="14" s="1"/>
  <c r="N3902" i="13"/>
  <c r="J3901" i="13" a="1"/>
  <c r="J3901" i="13" s="1"/>
  <c r="N3901" i="14"/>
  <c r="J3900" i="14" a="1"/>
  <c r="J3900" i="14" s="1"/>
  <c r="M3905" i="14"/>
  <c r="M3904" i="13"/>
  <c r="K3738" i="14" l="1"/>
  <c r="L3738" i="14" s="1"/>
  <c r="I3739" i="14" s="1"/>
  <c r="K3716" i="13"/>
  <c r="L3716" i="13" s="1"/>
  <c r="I3717" i="13" s="1"/>
  <c r="J3901" i="14" a="1"/>
  <c r="J3901" i="14" s="1"/>
  <c r="N3902" i="14"/>
  <c r="M3905" i="13"/>
  <c r="M3906" i="14"/>
  <c r="N3903" i="13"/>
  <c r="J3902" i="13" a="1"/>
  <c r="J3902" i="13" s="1"/>
  <c r="K3717" i="13" l="1"/>
  <c r="L3717" i="13" s="1"/>
  <c r="I3718" i="13" s="1"/>
  <c r="K3739" i="14"/>
  <c r="L3739" i="14" s="1"/>
  <c r="I3740" i="14" s="1"/>
  <c r="M3906" i="13"/>
  <c r="N3904" i="13"/>
  <c r="J3903" i="13" a="1"/>
  <c r="J3903" i="13" s="1"/>
  <c r="M3907" i="14"/>
  <c r="N3903" i="14"/>
  <c r="J3902" i="14" a="1"/>
  <c r="J3902" i="14" s="1"/>
  <c r="K3740" i="14" l="1"/>
  <c r="L3740" i="14" s="1"/>
  <c r="I3741" i="14" s="1"/>
  <c r="K3718" i="13"/>
  <c r="L3718" i="13" s="1"/>
  <c r="I3719" i="13" s="1"/>
  <c r="J3904" i="13" a="1"/>
  <c r="J3904" i="13" s="1"/>
  <c r="N3905" i="13"/>
  <c r="J3903" i="14" a="1"/>
  <c r="J3903" i="14" s="1"/>
  <c r="N3904" i="14"/>
  <c r="M3908" i="14"/>
  <c r="M3907" i="13"/>
  <c r="K3719" i="13" l="1"/>
  <c r="L3719" i="13" s="1"/>
  <c r="I3720" i="13" s="1"/>
  <c r="K3741" i="14"/>
  <c r="L3741" i="14" s="1"/>
  <c r="I3742" i="14" s="1"/>
  <c r="N3905" i="14"/>
  <c r="J3904" i="14" a="1"/>
  <c r="J3904" i="14" s="1"/>
  <c r="N3906" i="13"/>
  <c r="J3905" i="13" a="1"/>
  <c r="J3905" i="13" s="1"/>
  <c r="M3908" i="13"/>
  <c r="M3909" i="14"/>
  <c r="K3742" i="14" l="1"/>
  <c r="L3742" i="14" s="1"/>
  <c r="I3743" i="14" s="1"/>
  <c r="K3720" i="13"/>
  <c r="L3720" i="13" s="1"/>
  <c r="I3721" i="13" s="1"/>
  <c r="M3909" i="13"/>
  <c r="M3910" i="14"/>
  <c r="N3907" i="13"/>
  <c r="J3906" i="13" a="1"/>
  <c r="J3906" i="13" s="1"/>
  <c r="J3905" i="14" a="1"/>
  <c r="J3905" i="14" s="1"/>
  <c r="N3906" i="14"/>
  <c r="N3908" i="13" l="1"/>
  <c r="J3907" i="13" a="1"/>
  <c r="J3907" i="13" s="1"/>
  <c r="J3906" i="14" a="1"/>
  <c r="J3906" i="14" s="1"/>
  <c r="N3907" i="14"/>
  <c r="M3911" i="14"/>
  <c r="K3721" i="13"/>
  <c r="L3721" i="13" s="1"/>
  <c r="I3722" i="13" s="1"/>
  <c r="M3910" i="13"/>
  <c r="K3743" i="14"/>
  <c r="L3743" i="14" s="1"/>
  <c r="I3744" i="14" s="1"/>
  <c r="N3908" i="14" l="1"/>
  <c r="J3907" i="14" a="1"/>
  <c r="J3907" i="14" s="1"/>
  <c r="K3744" i="14"/>
  <c r="L3744" i="14" s="1"/>
  <c r="I3745" i="14" s="1"/>
  <c r="M3912" i="14"/>
  <c r="K3722" i="13"/>
  <c r="L3722" i="13" s="1"/>
  <c r="I3723" i="13" s="1"/>
  <c r="M3911" i="13"/>
  <c r="J3908" i="13" a="1"/>
  <c r="J3908" i="13" s="1"/>
  <c r="N3909" i="13"/>
  <c r="K3723" i="13" l="1"/>
  <c r="L3723" i="13" s="1"/>
  <c r="I3724" i="13" s="1"/>
  <c r="K3745" i="14"/>
  <c r="L3745" i="14" s="1"/>
  <c r="I3746" i="14" s="1"/>
  <c r="N3910" i="13"/>
  <c r="J3909" i="13" a="1"/>
  <c r="J3909" i="13" s="1"/>
  <c r="M3912" i="13"/>
  <c r="M3913" i="14"/>
  <c r="N3909" i="14"/>
  <c r="J3908" i="14" a="1"/>
  <c r="J3908" i="14" s="1"/>
  <c r="K3746" i="14" l="1"/>
  <c r="L3746" i="14" s="1"/>
  <c r="I3747" i="14" s="1"/>
  <c r="K3724" i="13"/>
  <c r="L3724" i="13" s="1"/>
  <c r="I3725" i="13" s="1"/>
  <c r="M3913" i="13"/>
  <c r="M3914" i="14"/>
  <c r="J3909" i="14" a="1"/>
  <c r="J3909" i="14" s="1"/>
  <c r="N3910" i="14"/>
  <c r="N3911" i="13"/>
  <c r="J3910" i="13" a="1"/>
  <c r="J3910" i="13" s="1"/>
  <c r="K3725" i="13" l="1"/>
  <c r="L3725" i="13" s="1"/>
  <c r="I3726" i="13" s="1"/>
  <c r="K3747" i="14"/>
  <c r="L3747" i="14" s="1"/>
  <c r="I3748" i="14" s="1"/>
  <c r="M3915" i="14"/>
  <c r="N3912" i="13"/>
  <c r="J3911" i="13" a="1"/>
  <c r="J3911" i="13" s="1"/>
  <c r="N3911" i="14"/>
  <c r="J3910" i="14" a="1"/>
  <c r="J3910" i="14" s="1"/>
  <c r="M3914" i="13"/>
  <c r="K3748" i="14" l="1"/>
  <c r="L3748" i="14" s="1"/>
  <c r="I3749" i="14" s="1"/>
  <c r="K3726" i="13"/>
  <c r="L3726" i="13" s="1"/>
  <c r="I3727" i="13" s="1"/>
  <c r="M3915" i="13"/>
  <c r="J3912" i="13" a="1"/>
  <c r="J3912" i="13" s="1"/>
  <c r="N3913" i="13"/>
  <c r="M3916" i="14"/>
  <c r="N3912" i="14"/>
  <c r="J3911" i="14" a="1"/>
  <c r="J3911" i="14" s="1"/>
  <c r="K3727" i="13" l="1"/>
  <c r="L3727" i="13" s="1"/>
  <c r="I3728" i="13" s="1"/>
  <c r="K3749" i="14"/>
  <c r="L3749" i="14" s="1"/>
  <c r="I3750" i="14" s="1"/>
  <c r="N3914" i="13"/>
  <c r="J3913" i="13" a="1"/>
  <c r="J3913" i="13" s="1"/>
  <c r="N3913" i="14"/>
  <c r="J3912" i="14" a="1"/>
  <c r="J3912" i="14" s="1"/>
  <c r="M3917" i="14"/>
  <c r="M3916" i="13"/>
  <c r="K3728" i="13" l="1"/>
  <c r="L3728" i="13" s="1"/>
  <c r="I3729" i="13" s="1"/>
  <c r="J3913" i="14" a="1"/>
  <c r="J3913" i="14" s="1"/>
  <c r="N3914" i="14"/>
  <c r="K3750" i="14"/>
  <c r="L3750" i="14" s="1"/>
  <c r="I3751" i="14" s="1"/>
  <c r="M3917" i="13"/>
  <c r="M3918" i="14"/>
  <c r="N3915" i="13"/>
  <c r="J3914" i="13" a="1"/>
  <c r="J3914" i="13" s="1"/>
  <c r="K3729" i="13" l="1"/>
  <c r="L3729" i="13" s="1"/>
  <c r="I3730" i="13" s="1"/>
  <c r="K3751" i="14"/>
  <c r="L3751" i="14" s="1"/>
  <c r="I3752" i="14" s="1"/>
  <c r="M3918" i="13"/>
  <c r="N3915" i="14"/>
  <c r="J3914" i="14" a="1"/>
  <c r="J3914" i="14" s="1"/>
  <c r="N3916" i="13"/>
  <c r="J3915" i="13" a="1"/>
  <c r="J3915" i="13" s="1"/>
  <c r="M3919" i="14"/>
  <c r="K3730" i="13" l="1"/>
  <c r="L3730" i="13" s="1"/>
  <c r="I3731" i="13" s="1"/>
  <c r="M3920" i="14"/>
  <c r="K3752" i="14"/>
  <c r="L3752" i="14" s="1"/>
  <c r="I3753" i="14" s="1"/>
  <c r="M3919" i="13"/>
  <c r="N3916" i="14"/>
  <c r="J3915" i="14" a="1"/>
  <c r="J3915" i="14" s="1"/>
  <c r="J3916" i="13" a="1"/>
  <c r="J3916" i="13" s="1"/>
  <c r="N3917" i="13"/>
  <c r="K3753" i="14" l="1"/>
  <c r="L3753" i="14" s="1"/>
  <c r="I3754" i="14" s="1"/>
  <c r="K3731" i="13"/>
  <c r="L3731" i="13" s="1"/>
  <c r="I3732" i="13" s="1"/>
  <c r="N3918" i="13"/>
  <c r="J3917" i="13" a="1"/>
  <c r="J3917" i="13" s="1"/>
  <c r="M3920" i="13"/>
  <c r="M3921" i="14"/>
  <c r="N3917" i="14"/>
  <c r="J3916" i="14" a="1"/>
  <c r="J3916" i="14" s="1"/>
  <c r="K3732" i="13" l="1"/>
  <c r="L3732" i="13" s="1"/>
  <c r="I3733" i="13" s="1"/>
  <c r="K3754" i="14"/>
  <c r="L3754" i="14" s="1"/>
  <c r="I3755" i="14" s="1"/>
  <c r="M3921" i="13"/>
  <c r="M3922" i="14"/>
  <c r="J3917" i="14" a="1"/>
  <c r="J3917" i="14" s="1"/>
  <c r="N3918" i="14"/>
  <c r="N3919" i="13"/>
  <c r="J3918" i="13" a="1"/>
  <c r="J3918" i="13" s="1"/>
  <c r="K3755" i="14" l="1"/>
  <c r="L3755" i="14" s="1"/>
  <c r="I3756" i="14" s="1"/>
  <c r="K3733" i="13"/>
  <c r="L3733" i="13" s="1"/>
  <c r="I3734" i="13" s="1"/>
  <c r="N3920" i="13"/>
  <c r="J3919" i="13" a="1"/>
  <c r="J3919" i="13" s="1"/>
  <c r="M3923" i="14"/>
  <c r="N3919" i="14"/>
  <c r="J3918" i="14" a="1"/>
  <c r="J3918" i="14" s="1"/>
  <c r="M3922" i="13"/>
  <c r="K3734" i="13" l="1"/>
  <c r="L3734" i="13" s="1"/>
  <c r="I3735" i="13" s="1"/>
  <c r="K3756" i="14"/>
  <c r="L3756" i="14" s="1"/>
  <c r="I3757" i="14" s="1"/>
  <c r="M3924" i="14"/>
  <c r="N3920" i="14"/>
  <c r="J3919" i="14" a="1"/>
  <c r="J3919" i="14" s="1"/>
  <c r="M3923" i="13"/>
  <c r="J3920" i="13" a="1"/>
  <c r="J3920" i="13" s="1"/>
  <c r="N3921" i="13"/>
  <c r="K3735" i="13" l="1"/>
  <c r="L3735" i="13" s="1"/>
  <c r="I3736" i="13" s="1"/>
  <c r="N3921" i="14"/>
  <c r="J3920" i="14" a="1"/>
  <c r="J3920" i="14" s="1"/>
  <c r="N3922" i="13"/>
  <c r="J3921" i="13" a="1"/>
  <c r="J3921" i="13" s="1"/>
  <c r="K3757" i="14"/>
  <c r="L3757" i="14" s="1"/>
  <c r="I3758" i="14" s="1"/>
  <c r="M3924" i="13"/>
  <c r="M3925" i="14"/>
  <c r="K3736" i="13" l="1"/>
  <c r="L3736" i="13" s="1"/>
  <c r="I3737" i="13" s="1"/>
  <c r="M3926" i="14"/>
  <c r="J3921" i="14" a="1"/>
  <c r="J3921" i="14" s="1"/>
  <c r="N3922" i="14"/>
  <c r="K3758" i="14"/>
  <c r="L3758" i="14" s="1"/>
  <c r="I3759" i="14" s="1"/>
  <c r="M3925" i="13"/>
  <c r="N3923" i="13"/>
  <c r="J3922" i="13" a="1"/>
  <c r="J3922" i="13" s="1"/>
  <c r="K3759" i="14" l="1"/>
  <c r="L3759" i="14" s="1"/>
  <c r="I3760" i="14" s="1"/>
  <c r="K3737" i="13"/>
  <c r="L3737" i="13" s="1"/>
  <c r="I3738" i="13" s="1"/>
  <c r="M3927" i="14"/>
  <c r="N3924" i="13"/>
  <c r="J3923" i="13" a="1"/>
  <c r="J3923" i="13" s="1"/>
  <c r="M3926" i="13"/>
  <c r="N3923" i="14"/>
  <c r="J3922" i="14" a="1"/>
  <c r="J3922" i="14" s="1"/>
  <c r="K3738" i="13" l="1"/>
  <c r="L3738" i="13" s="1"/>
  <c r="I3739" i="13" s="1"/>
  <c r="K3760" i="14"/>
  <c r="L3760" i="14" s="1"/>
  <c r="I3761" i="14" s="1"/>
  <c r="J3924" i="13" a="1"/>
  <c r="J3924" i="13" s="1"/>
  <c r="N3925" i="13"/>
  <c r="N3924" i="14"/>
  <c r="J3923" i="14" a="1"/>
  <c r="J3923" i="14" s="1"/>
  <c r="M3927" i="13"/>
  <c r="M3928" i="14"/>
  <c r="K3761" i="14" l="1"/>
  <c r="L3761" i="14" s="1"/>
  <c r="I3762" i="14" s="1"/>
  <c r="K3739" i="13"/>
  <c r="L3739" i="13" s="1"/>
  <c r="I3740" i="13" s="1"/>
  <c r="N3925" i="14"/>
  <c r="J3924" i="14" a="1"/>
  <c r="J3924" i="14" s="1"/>
  <c r="N3926" i="13"/>
  <c r="J3925" i="13" a="1"/>
  <c r="J3925" i="13" s="1"/>
  <c r="M3929" i="14"/>
  <c r="M3928" i="13"/>
  <c r="K3762" i="14" l="1"/>
  <c r="L3762" i="14" s="1"/>
  <c r="I3763" i="14" s="1"/>
  <c r="M3929" i="13"/>
  <c r="K3740" i="13"/>
  <c r="L3740" i="13" s="1"/>
  <c r="I3741" i="13" s="1"/>
  <c r="M3930" i="14"/>
  <c r="N3927" i="13"/>
  <c r="J3926" i="13" a="1"/>
  <c r="J3926" i="13" s="1"/>
  <c r="J3925" i="14" a="1"/>
  <c r="J3925" i="14" s="1"/>
  <c r="N3926" i="14"/>
  <c r="K3741" i="13" l="1"/>
  <c r="L3741" i="13" s="1"/>
  <c r="I3742" i="13" s="1"/>
  <c r="K3763" i="14"/>
  <c r="L3763" i="14" s="1"/>
  <c r="I3764" i="14" s="1"/>
  <c r="N3927" i="14"/>
  <c r="J3926" i="14" a="1"/>
  <c r="J3926" i="14" s="1"/>
  <c r="M3931" i="14"/>
  <c r="M3930" i="13"/>
  <c r="N3928" i="13"/>
  <c r="J3927" i="13" a="1"/>
  <c r="J3927" i="13" s="1"/>
  <c r="K3764" i="14" l="1"/>
  <c r="L3764" i="14" s="1"/>
  <c r="I3765" i="14" s="1"/>
  <c r="K3742" i="13"/>
  <c r="L3742" i="13" s="1"/>
  <c r="I3743" i="13" s="1"/>
  <c r="M3932" i="14"/>
  <c r="J3928" i="13" a="1"/>
  <c r="J3928" i="13" s="1"/>
  <c r="N3929" i="13"/>
  <c r="M3931" i="13"/>
  <c r="N3928" i="14"/>
  <c r="J3927" i="14" a="1"/>
  <c r="J3927" i="14" s="1"/>
  <c r="K3743" i="13" l="1"/>
  <c r="L3743" i="13" s="1"/>
  <c r="I3744" i="13" s="1"/>
  <c r="K3765" i="14"/>
  <c r="L3765" i="14" s="1"/>
  <c r="I3766" i="14" s="1"/>
  <c r="N3930" i="13"/>
  <c r="J3929" i="13" a="1"/>
  <c r="J3929" i="13" s="1"/>
  <c r="N3929" i="14"/>
  <c r="J3928" i="14" a="1"/>
  <c r="J3928" i="14" s="1"/>
  <c r="M3932" i="13"/>
  <c r="M3933" i="14"/>
  <c r="K3744" i="13" l="1"/>
  <c r="L3744" i="13" s="1"/>
  <c r="I3745" i="13" s="1"/>
  <c r="J3929" i="14" a="1"/>
  <c r="J3929" i="14" s="1"/>
  <c r="N3930" i="14"/>
  <c r="K3766" i="14"/>
  <c r="L3766" i="14" s="1"/>
  <c r="I3767" i="14" s="1"/>
  <c r="M3934" i="14"/>
  <c r="M3933" i="13"/>
  <c r="N3931" i="13"/>
  <c r="J3930" i="13" a="1"/>
  <c r="J3930" i="13" s="1"/>
  <c r="K3767" i="14" l="1"/>
  <c r="L3767" i="14" s="1"/>
  <c r="I3768" i="14" s="1"/>
  <c r="K3745" i="13"/>
  <c r="L3745" i="13" s="1"/>
  <c r="I3746" i="13" s="1"/>
  <c r="M3935" i="14"/>
  <c r="N3931" i="14"/>
  <c r="J3930" i="14" a="1"/>
  <c r="J3930" i="14" s="1"/>
  <c r="N3932" i="13"/>
  <c r="J3931" i="13" a="1"/>
  <c r="J3931" i="13" s="1"/>
  <c r="M3934" i="13"/>
  <c r="K3768" i="14" l="1"/>
  <c r="L3768" i="14" s="1"/>
  <c r="I3769" i="14" s="1"/>
  <c r="K3746" i="13"/>
  <c r="L3746" i="13" s="1"/>
  <c r="I3747" i="13" s="1"/>
  <c r="M3935" i="13"/>
  <c r="N3932" i="14"/>
  <c r="J3931" i="14" a="1"/>
  <c r="J3931" i="14" s="1"/>
  <c r="M3936" i="14"/>
  <c r="J3932" i="13" a="1"/>
  <c r="J3932" i="13" s="1"/>
  <c r="N3933" i="13"/>
  <c r="K3747" i="13" l="1"/>
  <c r="L3747" i="13" s="1"/>
  <c r="I3748" i="13" s="1"/>
  <c r="K3769" i="14"/>
  <c r="L3769" i="14" s="1"/>
  <c r="I3770" i="14" s="1"/>
  <c r="N3934" i="13"/>
  <c r="J3933" i="13" a="1"/>
  <c r="J3933" i="13" s="1"/>
  <c r="N3933" i="14"/>
  <c r="J3932" i="14" a="1"/>
  <c r="J3932" i="14" s="1"/>
  <c r="M3937" i="14"/>
  <c r="M3936" i="13"/>
  <c r="K3770" i="14" l="1"/>
  <c r="L3770" i="14" s="1"/>
  <c r="I3771" i="14" s="1"/>
  <c r="K3748" i="13"/>
  <c r="L3748" i="13" s="1"/>
  <c r="I3749" i="13" s="1"/>
  <c r="J3933" i="14" a="1"/>
  <c r="J3933" i="14" s="1"/>
  <c r="N3934" i="14"/>
  <c r="M3937" i="13"/>
  <c r="M3938" i="14"/>
  <c r="N3935" i="13"/>
  <c r="J3934" i="13" a="1"/>
  <c r="J3934" i="13" s="1"/>
  <c r="K3749" i="13" l="1"/>
  <c r="L3749" i="13" s="1"/>
  <c r="I3750" i="13" s="1"/>
  <c r="K3771" i="14"/>
  <c r="L3771" i="14" s="1"/>
  <c r="I3772" i="14" s="1"/>
  <c r="M3938" i="13"/>
  <c r="N3936" i="13"/>
  <c r="J3935" i="13" a="1"/>
  <c r="J3935" i="13" s="1"/>
  <c r="N3935" i="14"/>
  <c r="J3934" i="14" a="1"/>
  <c r="J3934" i="14" s="1"/>
  <c r="M3939" i="14"/>
  <c r="K3772" i="14" l="1"/>
  <c r="L3772" i="14" s="1"/>
  <c r="I3773" i="14" s="1"/>
  <c r="K3750" i="13"/>
  <c r="L3750" i="13" s="1"/>
  <c r="I3751" i="13" s="1"/>
  <c r="M3940" i="14"/>
  <c r="J3936" i="13" a="1"/>
  <c r="J3936" i="13" s="1"/>
  <c r="N3937" i="13"/>
  <c r="M3939" i="13"/>
  <c r="N3936" i="14"/>
  <c r="J3935" i="14" a="1"/>
  <c r="J3935" i="14" s="1"/>
  <c r="K3773" i="14" l="1"/>
  <c r="L3773" i="14" s="1"/>
  <c r="I3774" i="14" s="1"/>
  <c r="N3938" i="13"/>
  <c r="J3937" i="13" a="1"/>
  <c r="J3937" i="13" s="1"/>
  <c r="N3937" i="14"/>
  <c r="J3936" i="14" a="1"/>
  <c r="J3936" i="14" s="1"/>
  <c r="K3751" i="13"/>
  <c r="L3751" i="13" s="1"/>
  <c r="I3752" i="13" s="1"/>
  <c r="M3940" i="13"/>
  <c r="M3941" i="14"/>
  <c r="K3774" i="14" l="1"/>
  <c r="L3774" i="14" s="1"/>
  <c r="I3775" i="14" s="1"/>
  <c r="M3942" i="14"/>
  <c r="N3939" i="13"/>
  <c r="J3938" i="13" a="1"/>
  <c r="J3938" i="13" s="1"/>
  <c r="K3752" i="13"/>
  <c r="L3752" i="13" s="1"/>
  <c r="I3753" i="13" s="1"/>
  <c r="M3941" i="13"/>
  <c r="J3937" i="14" a="1"/>
  <c r="J3937" i="14" s="1"/>
  <c r="N3938" i="14"/>
  <c r="K3753" i="13" l="1"/>
  <c r="L3753" i="13" s="1"/>
  <c r="I3754" i="13" s="1"/>
  <c r="K3775" i="14"/>
  <c r="L3775" i="14" s="1"/>
  <c r="I3776" i="14" s="1"/>
  <c r="M3943" i="14"/>
  <c r="N3939" i="14"/>
  <c r="J3938" i="14" a="1"/>
  <c r="J3938" i="14" s="1"/>
  <c r="M3942" i="13"/>
  <c r="N3940" i="13"/>
  <c r="J3939" i="13" a="1"/>
  <c r="J3939" i="13" s="1"/>
  <c r="K3776" i="14" l="1"/>
  <c r="L3776" i="14" s="1"/>
  <c r="I3777" i="14" s="1"/>
  <c r="K3754" i="13"/>
  <c r="L3754" i="13" s="1"/>
  <c r="I3755" i="13" s="1"/>
  <c r="N3940" i="14"/>
  <c r="J3939" i="14" a="1"/>
  <c r="J3939" i="14" s="1"/>
  <c r="M3943" i="13"/>
  <c r="J3940" i="13" a="1"/>
  <c r="J3940" i="13" s="1"/>
  <c r="N3941" i="13"/>
  <c r="M3944" i="14"/>
  <c r="K3755" i="13" l="1"/>
  <c r="L3755" i="13" s="1"/>
  <c r="I3756" i="13" s="1"/>
  <c r="K3777" i="14"/>
  <c r="L3777" i="14" s="1"/>
  <c r="I3778" i="14" s="1"/>
  <c r="N3942" i="13"/>
  <c r="J3941" i="13" a="1"/>
  <c r="J3941" i="13" s="1"/>
  <c r="M3945" i="14"/>
  <c r="M3944" i="13"/>
  <c r="N3941" i="14"/>
  <c r="J3940" i="14" a="1"/>
  <c r="J3940" i="14" s="1"/>
  <c r="K3778" i="14" l="1"/>
  <c r="L3778" i="14" s="1"/>
  <c r="I3779" i="14" s="1"/>
  <c r="J3941" i="14" a="1"/>
  <c r="J3941" i="14" s="1"/>
  <c r="N3942" i="14"/>
  <c r="M3946" i="14"/>
  <c r="M3945" i="13"/>
  <c r="N3943" i="13"/>
  <c r="J3942" i="13" a="1"/>
  <c r="J3942" i="13" s="1"/>
  <c r="K3756" i="13"/>
  <c r="L3756" i="13" s="1"/>
  <c r="I3757" i="13" s="1"/>
  <c r="K3779" i="14" l="1"/>
  <c r="L3779" i="14" s="1"/>
  <c r="I3780" i="14" s="1"/>
  <c r="K3757" i="13"/>
  <c r="L3757" i="13" s="1"/>
  <c r="I3758" i="13" s="1"/>
  <c r="M3946" i="13"/>
  <c r="N3943" i="14"/>
  <c r="J3942" i="14" a="1"/>
  <c r="J3942" i="14" s="1"/>
  <c r="M3947" i="14"/>
  <c r="N3944" i="13"/>
  <c r="J3943" i="13" a="1"/>
  <c r="J3943" i="13" s="1"/>
  <c r="K3758" i="13" l="1"/>
  <c r="L3758" i="13" s="1"/>
  <c r="I3759" i="13" s="1"/>
  <c r="K3780" i="14"/>
  <c r="L3780" i="14" s="1"/>
  <c r="I3781" i="14" s="1"/>
  <c r="N3944" i="14"/>
  <c r="J3943" i="14" a="1"/>
  <c r="J3943" i="14" s="1"/>
  <c r="J3944" i="13" a="1"/>
  <c r="J3944" i="13" s="1"/>
  <c r="N3945" i="13"/>
  <c r="M3948" i="14"/>
  <c r="M3947" i="13"/>
  <c r="K3781" i="14" l="1"/>
  <c r="L3781" i="14" s="1"/>
  <c r="I3782" i="14" s="1"/>
  <c r="K3759" i="13"/>
  <c r="L3759" i="13" s="1"/>
  <c r="I3760" i="13" s="1"/>
  <c r="N3946" i="13"/>
  <c r="J3945" i="13" a="1"/>
  <c r="J3945" i="13" s="1"/>
  <c r="M3948" i="13"/>
  <c r="M3949" i="14"/>
  <c r="N3945" i="14"/>
  <c r="J3944" i="14" a="1"/>
  <c r="J3944" i="14" s="1"/>
  <c r="K3760" i="13" l="1"/>
  <c r="L3760" i="13" s="1"/>
  <c r="I3761" i="13" s="1"/>
  <c r="K3782" i="14"/>
  <c r="L3782" i="14" s="1"/>
  <c r="I3783" i="14" s="1"/>
  <c r="J3945" i="14" a="1"/>
  <c r="J3945" i="14" s="1"/>
  <c r="N3946" i="14"/>
  <c r="M3949" i="13"/>
  <c r="M3950" i="14"/>
  <c r="N3947" i="13"/>
  <c r="J3946" i="13" a="1"/>
  <c r="J3946" i="13" s="1"/>
  <c r="K3783" i="14" l="1"/>
  <c r="L3783" i="14" s="1"/>
  <c r="I3784" i="14" s="1"/>
  <c r="K3761" i="13"/>
  <c r="L3761" i="13" s="1"/>
  <c r="I3762" i="13" s="1"/>
  <c r="M3950" i="13"/>
  <c r="N3948" i="13"/>
  <c r="J3947" i="13" a="1"/>
  <c r="J3947" i="13" s="1"/>
  <c r="N3947" i="14"/>
  <c r="J3946" i="14" a="1"/>
  <c r="J3946" i="14" s="1"/>
  <c r="M3951" i="14"/>
  <c r="K3762" i="13" l="1"/>
  <c r="L3762" i="13" s="1"/>
  <c r="I3763" i="13" s="1"/>
  <c r="K3784" i="14"/>
  <c r="L3784" i="14" s="1"/>
  <c r="I3785" i="14" s="1"/>
  <c r="J3948" i="13" a="1"/>
  <c r="J3948" i="13" s="1"/>
  <c r="N3949" i="13"/>
  <c r="M3951" i="13"/>
  <c r="M3952" i="14"/>
  <c r="J3947" i="14" a="1"/>
  <c r="J3947" i="14" s="1"/>
  <c r="N3948" i="14"/>
  <c r="K3785" i="14" l="1"/>
  <c r="L3785" i="14" s="1"/>
  <c r="I3786" i="14" s="1"/>
  <c r="K3763" i="13"/>
  <c r="L3763" i="13" s="1"/>
  <c r="I3764" i="13" s="1"/>
  <c r="N3949" i="14"/>
  <c r="J3948" i="14" a="1"/>
  <c r="J3948" i="14" s="1"/>
  <c r="M3952" i="13"/>
  <c r="N3950" i="13"/>
  <c r="J3949" i="13" a="1"/>
  <c r="J3949" i="13" s="1"/>
  <c r="M3953" i="14"/>
  <c r="K3764" i="13" l="1"/>
  <c r="L3764" i="13" s="1"/>
  <c r="I3765" i="13" s="1"/>
  <c r="K3786" i="14"/>
  <c r="L3786" i="14" s="1"/>
  <c r="I3787" i="14" s="1"/>
  <c r="M3954" i="14"/>
  <c r="M3953" i="13"/>
  <c r="N3951" i="13"/>
  <c r="J3950" i="13" a="1"/>
  <c r="J3950" i="13" s="1"/>
  <c r="J3949" i="14" a="1"/>
  <c r="J3949" i="14" s="1"/>
  <c r="N3950" i="14"/>
  <c r="K3787" i="14" l="1"/>
  <c r="L3787" i="14" s="1"/>
  <c r="I3788" i="14" s="1"/>
  <c r="K3765" i="13"/>
  <c r="L3765" i="13" s="1"/>
  <c r="I3766" i="13" s="1"/>
  <c r="J3950" i="14" a="1"/>
  <c r="J3950" i="14" s="1"/>
  <c r="N3951" i="14"/>
  <c r="M3954" i="13"/>
  <c r="N3952" i="13"/>
  <c r="J3951" i="13" a="1"/>
  <c r="J3951" i="13" s="1"/>
  <c r="M3955" i="14"/>
  <c r="K3766" i="13" l="1"/>
  <c r="L3766" i="13" s="1"/>
  <c r="I3767" i="13" s="1"/>
  <c r="K3788" i="14"/>
  <c r="L3788" i="14" s="1"/>
  <c r="I3789" i="14" s="1"/>
  <c r="M3956" i="14"/>
  <c r="M3955" i="13"/>
  <c r="J3952" i="13" a="1"/>
  <c r="J3952" i="13" s="1"/>
  <c r="N3953" i="13"/>
  <c r="N3952" i="14"/>
  <c r="J3951" i="14" a="1"/>
  <c r="J3951" i="14" s="1"/>
  <c r="K3767" i="13" l="1"/>
  <c r="L3767" i="13" s="1"/>
  <c r="I3768" i="13" s="1"/>
  <c r="K3789" i="14"/>
  <c r="L3789" i="14" s="1"/>
  <c r="I3790" i="14" s="1"/>
  <c r="N3954" i="13"/>
  <c r="J3953" i="13" a="1"/>
  <c r="J3953" i="13" s="1"/>
  <c r="N3953" i="14"/>
  <c r="J3952" i="14" a="1"/>
  <c r="J3952" i="14" s="1"/>
  <c r="M3956" i="13"/>
  <c r="M3957" i="14"/>
  <c r="K3790" i="14" l="1"/>
  <c r="L3790" i="14" s="1"/>
  <c r="I3791" i="14" s="1"/>
  <c r="K3768" i="13"/>
  <c r="L3768" i="13" s="1"/>
  <c r="I3769" i="13" s="1"/>
  <c r="J3953" i="14" a="1"/>
  <c r="J3953" i="14" s="1"/>
  <c r="N3954" i="14"/>
  <c r="M3957" i="13"/>
  <c r="M3958" i="14"/>
  <c r="N3955" i="13"/>
  <c r="J3954" i="13" a="1"/>
  <c r="J3954" i="13" s="1"/>
  <c r="K3769" i="13" l="1"/>
  <c r="L3769" i="13" s="1"/>
  <c r="I3770" i="13" s="1"/>
  <c r="K3791" i="14"/>
  <c r="L3791" i="14" s="1"/>
  <c r="I3792" i="14" s="1"/>
  <c r="M3958" i="13"/>
  <c r="N3956" i="13"/>
  <c r="J3955" i="13" a="1"/>
  <c r="J3955" i="13" s="1"/>
  <c r="N3955" i="14"/>
  <c r="J3954" i="14" a="1"/>
  <c r="J3954" i="14" s="1"/>
  <c r="M3959" i="14"/>
  <c r="K3770" i="13" l="1"/>
  <c r="L3770" i="13" s="1"/>
  <c r="I3771" i="13" s="1"/>
  <c r="J3956" i="13" a="1"/>
  <c r="J3956" i="13" s="1"/>
  <c r="N3957" i="13"/>
  <c r="M3960" i="14"/>
  <c r="K3792" i="14"/>
  <c r="L3792" i="14" s="1"/>
  <c r="I3793" i="14" s="1"/>
  <c r="M3959" i="13"/>
  <c r="N3956" i="14"/>
  <c r="J3955" i="14" a="1"/>
  <c r="J3955" i="14" s="1"/>
  <c r="K3793" i="14" l="1"/>
  <c r="L3793" i="14" s="1"/>
  <c r="I3794" i="14" s="1"/>
  <c r="N3958" i="13"/>
  <c r="J3957" i="13" a="1"/>
  <c r="J3957" i="13" s="1"/>
  <c r="N3957" i="14"/>
  <c r="J3956" i="14" a="1"/>
  <c r="J3956" i="14" s="1"/>
  <c r="M3960" i="13"/>
  <c r="M3961" i="14"/>
  <c r="K3771" i="13"/>
  <c r="L3771" i="13" s="1"/>
  <c r="I3772" i="13" s="1"/>
  <c r="K3772" i="13" l="1"/>
  <c r="L3772" i="13" s="1"/>
  <c r="I3773" i="13" s="1"/>
  <c r="K3794" i="14"/>
  <c r="L3794" i="14" s="1"/>
  <c r="I3795" i="14" s="1"/>
  <c r="N3959" i="13"/>
  <c r="J3958" i="13" a="1"/>
  <c r="J3958" i="13" s="1"/>
  <c r="M3961" i="13"/>
  <c r="M3962" i="14"/>
  <c r="J3957" i="14" a="1"/>
  <c r="J3957" i="14" s="1"/>
  <c r="N3958" i="14"/>
  <c r="K3795" i="14" l="1"/>
  <c r="L3795" i="14" s="1"/>
  <c r="I3796" i="14" s="1"/>
  <c r="K3773" i="13"/>
  <c r="L3773" i="13" s="1"/>
  <c r="I3774" i="13" s="1"/>
  <c r="M3962" i="13"/>
  <c r="M3963" i="14"/>
  <c r="N3959" i="14"/>
  <c r="J3958" i="14" a="1"/>
  <c r="J3958" i="14" s="1"/>
  <c r="N3960" i="13"/>
  <c r="J3959" i="13" a="1"/>
  <c r="J3959" i="13" s="1"/>
  <c r="K3774" i="13" l="1"/>
  <c r="L3774" i="13" s="1"/>
  <c r="I3775" i="13" s="1"/>
  <c r="K3796" i="14"/>
  <c r="L3796" i="14" s="1"/>
  <c r="I3797" i="14" s="1"/>
  <c r="M3964" i="14"/>
  <c r="J3960" i="13" a="1"/>
  <c r="J3960" i="13" s="1"/>
  <c r="N3961" i="13"/>
  <c r="M3963" i="13"/>
  <c r="N3960" i="14"/>
  <c r="J3959" i="14" a="1"/>
  <c r="J3959" i="14" s="1"/>
  <c r="K3797" i="14" l="1"/>
  <c r="L3797" i="14" s="1"/>
  <c r="I3798" i="14" s="1"/>
  <c r="K3775" i="13"/>
  <c r="L3775" i="13" s="1"/>
  <c r="I3776" i="13" s="1"/>
  <c r="N3962" i="13"/>
  <c r="J3961" i="13" a="1"/>
  <c r="J3961" i="13" s="1"/>
  <c r="N3961" i="14"/>
  <c r="J3960" i="14" a="1"/>
  <c r="J3960" i="14" s="1"/>
  <c r="M3964" i="13"/>
  <c r="M3965" i="14"/>
  <c r="K3776" i="13" l="1"/>
  <c r="L3776" i="13" s="1"/>
  <c r="I3777" i="13" s="1"/>
  <c r="K3798" i="14"/>
  <c r="L3798" i="14" s="1"/>
  <c r="I3799" i="14" s="1"/>
  <c r="M3966" i="14"/>
  <c r="J3961" i="14" a="1"/>
  <c r="J3961" i="14" s="1"/>
  <c r="N3962" i="14"/>
  <c r="M3965" i="13"/>
  <c r="N3963" i="13"/>
  <c r="J3962" i="13" a="1"/>
  <c r="J3962" i="13" s="1"/>
  <c r="K3799" i="14" l="1"/>
  <c r="L3799" i="14" s="1"/>
  <c r="I3800" i="14" s="1"/>
  <c r="K3777" i="13"/>
  <c r="L3777" i="13" s="1"/>
  <c r="I3778" i="13" s="1"/>
  <c r="N3964" i="13"/>
  <c r="J3963" i="13" a="1"/>
  <c r="J3963" i="13" s="1"/>
  <c r="M3967" i="14"/>
  <c r="N3963" i="14"/>
  <c r="J3962" i="14" a="1"/>
  <c r="J3962" i="14" s="1"/>
  <c r="M3966" i="13"/>
  <c r="K3778" i="13" l="1"/>
  <c r="L3778" i="13" s="1"/>
  <c r="I3779" i="13" s="1"/>
  <c r="K3800" i="14"/>
  <c r="L3800" i="14" s="1"/>
  <c r="I3801" i="14" s="1"/>
  <c r="N3964" i="14"/>
  <c r="J3963" i="14" a="1"/>
  <c r="J3963" i="14" s="1"/>
  <c r="M3968" i="14"/>
  <c r="M3967" i="13"/>
  <c r="J3964" i="13" a="1"/>
  <c r="J3964" i="13" s="1"/>
  <c r="N3965" i="13"/>
  <c r="K3801" i="14" l="1"/>
  <c r="L3801" i="14" s="1"/>
  <c r="I3802" i="14" s="1"/>
  <c r="K3779" i="13"/>
  <c r="L3779" i="13" s="1"/>
  <c r="I3780" i="13" s="1"/>
  <c r="N3966" i="13"/>
  <c r="J3965" i="13" a="1"/>
  <c r="J3965" i="13" s="1"/>
  <c r="M3969" i="14"/>
  <c r="M3968" i="13"/>
  <c r="N3965" i="14"/>
  <c r="J3964" i="14" a="1"/>
  <c r="J3964" i="14" s="1"/>
  <c r="K3780" i="13" l="1"/>
  <c r="L3780" i="13" s="1"/>
  <c r="I3781" i="13" s="1"/>
  <c r="K3802" i="14"/>
  <c r="L3802" i="14" s="1"/>
  <c r="I3803" i="14" s="1"/>
  <c r="M3970" i="14"/>
  <c r="J3965" i="14" a="1"/>
  <c r="J3965" i="14" s="1"/>
  <c r="N3966" i="14"/>
  <c r="M3969" i="13"/>
  <c r="N3967" i="13"/>
  <c r="J3966" i="13" a="1"/>
  <c r="J3966" i="13" s="1"/>
  <c r="K3803" i="14" l="1"/>
  <c r="L3803" i="14" s="1"/>
  <c r="I3804" i="14" s="1"/>
  <c r="K3781" i="13"/>
  <c r="L3781" i="13" s="1"/>
  <c r="I3782" i="13" s="1"/>
  <c r="N3967" i="14"/>
  <c r="J3966" i="14" a="1"/>
  <c r="J3966" i="14" s="1"/>
  <c r="N3968" i="13"/>
  <c r="J3967" i="13" a="1"/>
  <c r="J3967" i="13" s="1"/>
  <c r="M3970" i="13"/>
  <c r="M3971" i="14"/>
  <c r="K3782" i="13" l="1"/>
  <c r="L3782" i="13" s="1"/>
  <c r="I3783" i="13" s="1"/>
  <c r="K3804" i="14"/>
  <c r="L3804" i="14" s="1"/>
  <c r="I3805" i="14" s="1"/>
  <c r="J3968" i="13" a="1"/>
  <c r="J3968" i="13" s="1"/>
  <c r="N3969" i="13"/>
  <c r="M3972" i="14"/>
  <c r="M3971" i="13"/>
  <c r="J3967" i="14" a="1"/>
  <c r="J3967" i="14" s="1"/>
  <c r="N3968" i="14"/>
  <c r="K3805" i="14" l="1"/>
  <c r="L3805" i="14" s="1"/>
  <c r="I3806" i="14" s="1"/>
  <c r="K3783" i="13"/>
  <c r="L3783" i="13" s="1"/>
  <c r="I3784" i="13" s="1"/>
  <c r="N3969" i="14"/>
  <c r="J3968" i="14" a="1"/>
  <c r="J3968" i="14" s="1"/>
  <c r="M3973" i="14"/>
  <c r="N3970" i="13"/>
  <c r="J3969" i="13" a="1"/>
  <c r="J3969" i="13" s="1"/>
  <c r="M3972" i="13"/>
  <c r="K3784" i="13" l="1"/>
  <c r="L3784" i="13" s="1"/>
  <c r="I3785" i="13" s="1"/>
  <c r="K3806" i="14"/>
  <c r="L3806" i="14" s="1"/>
  <c r="I3807" i="14" s="1"/>
  <c r="M3973" i="13"/>
  <c r="N3971" i="13"/>
  <c r="J3970" i="13" a="1"/>
  <c r="J3970" i="13" s="1"/>
  <c r="M3974" i="14"/>
  <c r="J3969" i="14" a="1"/>
  <c r="J3969" i="14" s="1"/>
  <c r="N3970" i="14"/>
  <c r="K3807" i="14" l="1"/>
  <c r="L3807" i="14" s="1"/>
  <c r="I3808" i="14" s="1"/>
  <c r="K3785" i="13"/>
  <c r="L3785" i="13" s="1"/>
  <c r="I3786" i="13" s="1"/>
  <c r="J3970" i="14" a="1"/>
  <c r="J3970" i="14" s="1"/>
  <c r="N3971" i="14"/>
  <c r="M3974" i="13"/>
  <c r="N3972" i="13"/>
  <c r="J3971" i="13" a="1"/>
  <c r="J3971" i="13" s="1"/>
  <c r="M3975" i="14"/>
  <c r="K3786" i="13" l="1"/>
  <c r="L3786" i="13" s="1"/>
  <c r="I3787" i="13" s="1"/>
  <c r="K3808" i="14"/>
  <c r="L3808" i="14" s="1"/>
  <c r="I3809" i="14" s="1"/>
  <c r="M3976" i="14"/>
  <c r="J3972" i="13" a="1"/>
  <c r="J3972" i="13" s="1"/>
  <c r="N3973" i="13"/>
  <c r="M3975" i="13"/>
  <c r="N3972" i="14"/>
  <c r="J3971" i="14" a="1"/>
  <c r="J3971" i="14" s="1"/>
  <c r="K3809" i="14" l="1"/>
  <c r="L3809" i="14" s="1"/>
  <c r="I3810" i="14" s="1"/>
  <c r="K3787" i="13"/>
  <c r="L3787" i="13" s="1"/>
  <c r="I3788" i="13" s="1"/>
  <c r="N3974" i="13"/>
  <c r="J3973" i="13" a="1"/>
  <c r="J3973" i="13" s="1"/>
  <c r="N3973" i="14"/>
  <c r="J3972" i="14" a="1"/>
  <c r="J3972" i="14" s="1"/>
  <c r="M3976" i="13"/>
  <c r="M3977" i="14"/>
  <c r="K3788" i="13" l="1"/>
  <c r="L3788" i="13" s="1"/>
  <c r="I3789" i="13" s="1"/>
  <c r="K3810" i="14"/>
  <c r="L3810" i="14" s="1"/>
  <c r="I3811" i="14" s="1"/>
  <c r="M3978" i="14"/>
  <c r="J3973" i="14" a="1"/>
  <c r="J3973" i="14" s="1"/>
  <c r="N3974" i="14"/>
  <c r="M3977" i="13"/>
  <c r="N3975" i="13"/>
  <c r="J3974" i="13" a="1"/>
  <c r="J3974" i="13" s="1"/>
  <c r="K3811" i="14" l="1"/>
  <c r="L3811" i="14" s="1"/>
  <c r="I3812" i="14" s="1"/>
  <c r="K3789" i="13"/>
  <c r="L3789" i="13" s="1"/>
  <c r="I3790" i="13" s="1"/>
  <c r="N3975" i="14"/>
  <c r="J3974" i="14" a="1"/>
  <c r="J3974" i="14" s="1"/>
  <c r="M3979" i="14"/>
  <c r="N3976" i="13"/>
  <c r="J3975" i="13" a="1"/>
  <c r="J3975" i="13" s="1"/>
  <c r="M3978" i="13"/>
  <c r="K3790" i="13" l="1"/>
  <c r="L3790" i="13" s="1"/>
  <c r="I3791" i="13" s="1"/>
  <c r="K3812" i="14"/>
  <c r="L3812" i="14" s="1"/>
  <c r="I3813" i="14" s="1"/>
  <c r="M3980" i="14"/>
  <c r="M3979" i="13"/>
  <c r="J3976" i="13" a="1"/>
  <c r="J3976" i="13" s="1"/>
  <c r="N3977" i="13"/>
  <c r="N3976" i="14"/>
  <c r="J3975" i="14" a="1"/>
  <c r="J3975" i="14" s="1"/>
  <c r="K3813" i="14" l="1"/>
  <c r="L3813" i="14" s="1"/>
  <c r="I3814" i="14" s="1"/>
  <c r="K3791" i="13"/>
  <c r="L3791" i="13" s="1"/>
  <c r="I3792" i="13" s="1"/>
  <c r="N3977" i="14"/>
  <c r="J3976" i="14" a="1"/>
  <c r="J3976" i="14" s="1"/>
  <c r="M3980" i="13"/>
  <c r="N3978" i="13"/>
  <c r="J3977" i="13" a="1"/>
  <c r="J3977" i="13" s="1"/>
  <c r="M3981" i="14"/>
  <c r="K3792" i="13" l="1"/>
  <c r="L3792" i="13" s="1"/>
  <c r="I3793" i="13" s="1"/>
  <c r="K3814" i="14"/>
  <c r="L3814" i="14" s="1"/>
  <c r="I3815" i="14" s="1"/>
  <c r="M3982" i="14"/>
  <c r="M3981" i="13"/>
  <c r="N3979" i="13"/>
  <c r="J3978" i="13" a="1"/>
  <c r="J3978" i="13" s="1"/>
  <c r="J3977" i="14" a="1"/>
  <c r="J3977" i="14" s="1"/>
  <c r="N3978" i="14"/>
  <c r="K3815" i="14" l="1"/>
  <c r="L3815" i="14" s="1"/>
  <c r="I3816" i="14" s="1"/>
  <c r="K3793" i="13"/>
  <c r="L3793" i="13" s="1"/>
  <c r="I3794" i="13" s="1"/>
  <c r="N3979" i="14"/>
  <c r="J3978" i="14" a="1"/>
  <c r="J3978" i="14" s="1"/>
  <c r="M3982" i="13"/>
  <c r="M3983" i="14"/>
  <c r="N3980" i="13"/>
  <c r="J3979" i="13" a="1"/>
  <c r="J3979" i="13" s="1"/>
  <c r="K3794" i="13" l="1"/>
  <c r="L3794" i="13" s="1"/>
  <c r="I3795" i="13" s="1"/>
  <c r="K3816" i="14"/>
  <c r="L3816" i="14" s="1"/>
  <c r="I3817" i="14" s="1"/>
  <c r="M3983" i="13"/>
  <c r="J3980" i="13" a="1"/>
  <c r="J3980" i="13" s="1"/>
  <c r="N3981" i="13"/>
  <c r="M3984" i="14"/>
  <c r="N3980" i="14"/>
  <c r="J3979" i="14" a="1"/>
  <c r="J3979" i="14" s="1"/>
  <c r="K3817" i="14" l="1"/>
  <c r="L3817" i="14" s="1"/>
  <c r="I3818" i="14" s="1"/>
  <c r="K3795" i="13"/>
  <c r="L3795" i="13" s="1"/>
  <c r="I3796" i="13" s="1"/>
  <c r="N3982" i="13"/>
  <c r="J3981" i="13" a="1"/>
  <c r="J3981" i="13" s="1"/>
  <c r="N3981" i="14"/>
  <c r="J3980" i="14" a="1"/>
  <c r="J3980" i="14" s="1"/>
  <c r="M3985" i="14"/>
  <c r="M3984" i="13"/>
  <c r="K3796" i="13" l="1"/>
  <c r="L3796" i="13" s="1"/>
  <c r="I3797" i="13" s="1"/>
  <c r="K3818" i="14"/>
  <c r="L3818" i="14" s="1"/>
  <c r="I3819" i="14" s="1"/>
  <c r="M3985" i="13"/>
  <c r="J3981" i="14" a="1"/>
  <c r="J3981" i="14" s="1"/>
  <c r="N3982" i="14"/>
  <c r="M3986" i="14"/>
  <c r="N3983" i="13"/>
  <c r="J3982" i="13" a="1"/>
  <c r="J3982" i="13" s="1"/>
  <c r="K3819" i="14" l="1"/>
  <c r="L3819" i="14" s="1"/>
  <c r="I3820" i="14" s="1"/>
  <c r="K3797" i="13"/>
  <c r="L3797" i="13" s="1"/>
  <c r="I3798" i="13" s="1"/>
  <c r="N3983" i="14"/>
  <c r="J3982" i="14" a="1"/>
  <c r="J3982" i="14" s="1"/>
  <c r="N3984" i="13"/>
  <c r="J3983" i="13" a="1"/>
  <c r="J3983" i="13" s="1"/>
  <c r="M3986" i="13"/>
  <c r="M3987" i="14"/>
  <c r="K3820" i="14" l="1"/>
  <c r="L3820" i="14" s="1"/>
  <c r="I3821" i="14" s="1"/>
  <c r="J3984" i="13" a="1"/>
  <c r="J3984" i="13" s="1"/>
  <c r="N3985" i="13"/>
  <c r="K3798" i="13"/>
  <c r="L3798" i="13" s="1"/>
  <c r="I3799" i="13" s="1"/>
  <c r="M3987" i="13"/>
  <c r="M3988" i="14"/>
  <c r="N3984" i="14"/>
  <c r="J3983" i="14" a="1"/>
  <c r="J3983" i="14" s="1"/>
  <c r="K3799" i="13" l="1"/>
  <c r="L3799" i="13" s="1"/>
  <c r="I3800" i="13" s="1"/>
  <c r="K3821" i="14"/>
  <c r="L3821" i="14" s="1"/>
  <c r="I3822" i="14" s="1"/>
  <c r="N3986" i="13"/>
  <c r="J3985" i="13" a="1"/>
  <c r="J3985" i="13" s="1"/>
  <c r="N3985" i="14"/>
  <c r="J3984" i="14" a="1"/>
  <c r="J3984" i="14" s="1"/>
  <c r="M3988" i="13"/>
  <c r="M3989" i="14"/>
  <c r="K3822" i="14" l="1"/>
  <c r="L3822" i="14" s="1"/>
  <c r="I3823" i="14" s="1"/>
  <c r="K3800" i="13"/>
  <c r="L3800" i="13" s="1"/>
  <c r="I3801" i="13" s="1"/>
  <c r="M3990" i="14"/>
  <c r="J3985" i="14" a="1"/>
  <c r="J3985" i="14" s="1"/>
  <c r="N3986" i="14"/>
  <c r="M3989" i="13"/>
  <c r="N3987" i="13"/>
  <c r="J3986" i="13" a="1"/>
  <c r="J3986" i="13" s="1"/>
  <c r="K3801" i="13" l="1"/>
  <c r="L3801" i="13" s="1"/>
  <c r="I3802" i="13" s="1"/>
  <c r="K3823" i="14"/>
  <c r="L3823" i="14" s="1"/>
  <c r="I3824" i="14" s="1"/>
  <c r="N3987" i="14"/>
  <c r="J3986" i="14" a="1"/>
  <c r="J3986" i="14" s="1"/>
  <c r="N3988" i="13"/>
  <c r="J3987" i="13" a="1"/>
  <c r="J3987" i="13" s="1"/>
  <c r="M3991" i="14"/>
  <c r="M3990" i="13"/>
  <c r="K3824" i="14" l="1"/>
  <c r="L3824" i="14" s="1"/>
  <c r="I3825" i="14" s="1"/>
  <c r="K3802" i="13"/>
  <c r="L3802" i="13" s="1"/>
  <c r="I3803" i="13" s="1"/>
  <c r="M3991" i="13"/>
  <c r="J3988" i="13" a="1"/>
  <c r="J3988" i="13" s="1"/>
  <c r="N3989" i="13"/>
  <c r="M3992" i="14"/>
  <c r="N3988" i="14"/>
  <c r="J3987" i="14" a="1"/>
  <c r="J3987" i="14" s="1"/>
  <c r="K3803" i="13" l="1"/>
  <c r="L3803" i="13" s="1"/>
  <c r="I3804" i="13" s="1"/>
  <c r="K3825" i="14"/>
  <c r="L3825" i="14" s="1"/>
  <c r="I3826" i="14" s="1"/>
  <c r="N3990" i="13"/>
  <c r="J3989" i="13" a="1"/>
  <c r="J3989" i="13" s="1"/>
  <c r="N3989" i="14"/>
  <c r="J3988" i="14" a="1"/>
  <c r="J3988" i="14" s="1"/>
  <c r="M3993" i="14"/>
  <c r="M3992" i="13"/>
  <c r="K3826" i="14" l="1"/>
  <c r="L3826" i="14" s="1"/>
  <c r="I3827" i="14" s="1"/>
  <c r="K3804" i="13"/>
  <c r="L3804" i="13" s="1"/>
  <c r="I3805" i="13" s="1"/>
  <c r="J3989" i="14" a="1"/>
  <c r="J3989" i="14" s="1"/>
  <c r="N3990" i="14"/>
  <c r="M3994" i="14"/>
  <c r="M3993" i="13"/>
  <c r="N3991" i="13"/>
  <c r="J3990" i="13" a="1"/>
  <c r="J3990" i="13" s="1"/>
  <c r="K3805" i="13" l="1"/>
  <c r="L3805" i="13" s="1"/>
  <c r="I3806" i="13" s="1"/>
  <c r="K3827" i="14"/>
  <c r="L3827" i="14" s="1"/>
  <c r="I3828" i="14" s="1"/>
  <c r="M3995" i="14"/>
  <c r="N3992" i="13"/>
  <c r="J3991" i="13" a="1"/>
  <c r="J3991" i="13" s="1"/>
  <c r="N3991" i="14"/>
  <c r="J3990" i="14" a="1"/>
  <c r="J3990" i="14" s="1"/>
  <c r="M3994" i="13"/>
  <c r="K3828" i="14" l="1"/>
  <c r="L3828" i="14" s="1"/>
  <c r="I3829" i="14" s="1"/>
  <c r="K3806" i="13"/>
  <c r="L3806" i="13" s="1"/>
  <c r="I3807" i="13" s="1"/>
  <c r="M3995" i="13"/>
  <c r="J3992" i="13" a="1"/>
  <c r="J3992" i="13" s="1"/>
  <c r="N3993" i="13"/>
  <c r="M3996" i="14"/>
  <c r="N3992" i="14"/>
  <c r="J3991" i="14" a="1"/>
  <c r="J3991" i="14" s="1"/>
  <c r="K3807" i="13" l="1"/>
  <c r="L3807" i="13" s="1"/>
  <c r="I3808" i="13" s="1"/>
  <c r="K3829" i="14"/>
  <c r="L3829" i="14" s="1"/>
  <c r="I3830" i="14" s="1"/>
  <c r="N3994" i="13"/>
  <c r="J3993" i="13" a="1"/>
  <c r="J3993" i="13" s="1"/>
  <c r="N3993" i="14"/>
  <c r="J3992" i="14" a="1"/>
  <c r="J3992" i="14" s="1"/>
  <c r="M3997" i="14"/>
  <c r="M3996" i="13"/>
  <c r="K3830" i="14" l="1"/>
  <c r="L3830" i="14" s="1"/>
  <c r="I3831" i="14" s="1"/>
  <c r="K3808" i="13"/>
  <c r="L3808" i="13" s="1"/>
  <c r="I3809" i="13" s="1"/>
  <c r="M3997" i="13"/>
  <c r="J3993" i="14" a="1"/>
  <c r="J3993" i="14" s="1"/>
  <c r="N3994" i="14"/>
  <c r="M3998" i="14"/>
  <c r="N3995" i="13"/>
  <c r="J3994" i="13" a="1"/>
  <c r="J3994" i="13" s="1"/>
  <c r="K3809" i="13" l="1"/>
  <c r="L3809" i="13" s="1"/>
  <c r="I3810" i="13" s="1"/>
  <c r="K3831" i="14"/>
  <c r="L3831" i="14" s="1"/>
  <c r="I3832" i="14" s="1"/>
  <c r="N3995" i="14"/>
  <c r="J3994" i="14" a="1"/>
  <c r="J3994" i="14" s="1"/>
  <c r="M3998" i="13"/>
  <c r="N3996" i="13"/>
  <c r="J3995" i="13" a="1"/>
  <c r="J3995" i="13" s="1"/>
  <c r="M3999" i="14"/>
  <c r="K3832" i="14" l="1"/>
  <c r="L3832" i="14" s="1"/>
  <c r="I3833" i="14" s="1"/>
  <c r="K3810" i="13"/>
  <c r="L3810" i="13" s="1"/>
  <c r="I3811" i="13" s="1"/>
  <c r="M4000" i="14"/>
  <c r="J3996" i="13" a="1"/>
  <c r="J3996" i="13" s="1"/>
  <c r="N3997" i="13"/>
  <c r="M3999" i="13"/>
  <c r="N3996" i="14"/>
  <c r="J3995" i="14" a="1"/>
  <c r="J3995" i="14" s="1"/>
  <c r="K3811" i="13" l="1"/>
  <c r="L3811" i="13" s="1"/>
  <c r="I3812" i="13" s="1"/>
  <c r="K3833" i="14"/>
  <c r="L3833" i="14" s="1"/>
  <c r="I3834" i="14" s="1"/>
  <c r="N3998" i="13"/>
  <c r="J3997" i="13" a="1"/>
  <c r="J3997" i="13" s="1"/>
  <c r="N3997" i="14"/>
  <c r="J3996" i="14" a="1"/>
  <c r="J3996" i="14" s="1"/>
  <c r="M4000" i="13"/>
  <c r="M4001" i="14"/>
  <c r="K3834" i="14" l="1"/>
  <c r="L3834" i="14" s="1"/>
  <c r="I3835" i="14" s="1"/>
  <c r="K3812" i="13"/>
  <c r="L3812" i="13" s="1"/>
  <c r="I3813" i="13" s="1"/>
  <c r="J3997" i="14" a="1"/>
  <c r="J3997" i="14" s="1"/>
  <c r="N3998" i="14"/>
  <c r="M4002" i="14"/>
  <c r="M4001" i="13"/>
  <c r="N3999" i="13"/>
  <c r="J3998" i="13" a="1"/>
  <c r="J3998" i="13" s="1"/>
  <c r="K3835" i="14" l="1"/>
  <c r="L3835" i="14" s="1"/>
  <c r="I3836" i="14" s="1"/>
  <c r="K3813" i="13"/>
  <c r="L3813" i="13" s="1"/>
  <c r="I3814" i="13" s="1"/>
  <c r="N4000" i="13"/>
  <c r="J3999" i="13" a="1"/>
  <c r="J3999" i="13" s="1"/>
  <c r="M4003" i="14"/>
  <c r="M4002" i="13"/>
  <c r="N3999" i="14"/>
  <c r="J3998" i="14" a="1"/>
  <c r="J3998" i="14" s="1"/>
  <c r="K3814" i="13" l="1"/>
  <c r="L3814" i="13" s="1"/>
  <c r="I3815" i="13" s="1"/>
  <c r="K3836" i="14"/>
  <c r="L3836" i="14" s="1"/>
  <c r="I3837" i="14" s="1"/>
  <c r="M4003" i="13"/>
  <c r="M4004" i="14"/>
  <c r="N4000" i="14"/>
  <c r="J3999" i="14" a="1"/>
  <c r="J3999" i="14" s="1"/>
  <c r="J4000" i="13" a="1"/>
  <c r="J4000" i="13" s="1"/>
  <c r="N4001" i="13"/>
  <c r="K3837" i="14" l="1"/>
  <c r="L3837" i="14" s="1"/>
  <c r="I3838" i="14" s="1"/>
  <c r="K3815" i="13"/>
  <c r="L3815" i="13" s="1"/>
  <c r="I3816" i="13" s="1"/>
  <c r="N4002" i="13"/>
  <c r="J4001" i="13" a="1"/>
  <c r="J4001" i="13" s="1"/>
  <c r="M4005" i="14"/>
  <c r="N4001" i="14"/>
  <c r="J4000" i="14" a="1"/>
  <c r="J4000" i="14" s="1"/>
  <c r="M4004" i="13"/>
  <c r="K3816" i="13" l="1"/>
  <c r="L3816" i="13" s="1"/>
  <c r="I3817" i="13" s="1"/>
  <c r="K3838" i="14"/>
  <c r="L3838" i="14" s="1"/>
  <c r="I3839" i="14" s="1"/>
  <c r="M4005" i="13"/>
  <c r="M4006" i="14"/>
  <c r="J4001" i="14" a="1"/>
  <c r="J4001" i="14" s="1"/>
  <c r="N4002" i="14"/>
  <c r="N4003" i="13"/>
  <c r="J4002" i="13" a="1"/>
  <c r="J4002" i="13" s="1"/>
  <c r="K3839" i="14" l="1"/>
  <c r="L3839" i="14" s="1"/>
  <c r="I3840" i="14" s="1"/>
  <c r="K3817" i="13"/>
  <c r="L3817" i="13" s="1"/>
  <c r="I3818" i="13" s="1"/>
  <c r="N4004" i="13"/>
  <c r="J4003" i="13" a="1"/>
  <c r="J4003" i="13" s="1"/>
  <c r="M4007" i="14"/>
  <c r="N4003" i="14"/>
  <c r="J4002" i="14" a="1"/>
  <c r="J4002" i="14" s="1"/>
  <c r="M4006" i="13"/>
  <c r="K3818" i="13" l="1"/>
  <c r="L3818" i="13" s="1"/>
  <c r="I3819" i="13" s="1"/>
  <c r="K3840" i="14"/>
  <c r="L3840" i="14" s="1"/>
  <c r="I3841" i="14" s="1"/>
  <c r="M4007" i="13"/>
  <c r="N4004" i="14"/>
  <c r="J4003" i="14" a="1"/>
  <c r="J4003" i="14" s="1"/>
  <c r="M4008" i="14"/>
  <c r="J4004" i="13" a="1"/>
  <c r="J4004" i="13" s="1"/>
  <c r="N4005" i="13"/>
  <c r="K3841" i="14" l="1"/>
  <c r="L3841" i="14" s="1"/>
  <c r="I3842" i="14" s="1"/>
  <c r="K3819" i="13"/>
  <c r="L3819" i="13" s="1"/>
  <c r="I3820" i="13" s="1"/>
  <c r="N4006" i="13"/>
  <c r="J4005" i="13" a="1"/>
  <c r="J4005" i="13" s="1"/>
  <c r="N4005" i="14"/>
  <c r="J4004" i="14" a="1"/>
  <c r="J4004" i="14" s="1"/>
  <c r="M4009" i="14"/>
  <c r="M4008" i="13"/>
  <c r="K3820" i="13" l="1"/>
  <c r="L3820" i="13" s="1"/>
  <c r="I3821" i="13" s="1"/>
  <c r="K3842" i="14"/>
  <c r="L3842" i="14" s="1"/>
  <c r="I3843" i="14" s="1"/>
  <c r="J4005" i="14" a="1"/>
  <c r="J4005" i="14" s="1"/>
  <c r="N4006" i="14"/>
  <c r="M4009" i="13"/>
  <c r="M4010" i="14"/>
  <c r="N4007" i="13"/>
  <c r="J4006" i="13" a="1"/>
  <c r="J4006" i="13" s="1"/>
  <c r="K3843" i="14" l="1"/>
  <c r="L3843" i="14" s="1"/>
  <c r="I3844" i="14" s="1"/>
  <c r="K3821" i="13"/>
  <c r="L3821" i="13" s="1"/>
  <c r="I3822" i="13" s="1"/>
  <c r="N4008" i="13"/>
  <c r="J4007" i="13" a="1"/>
  <c r="J4007" i="13" s="1"/>
  <c r="M4010" i="13"/>
  <c r="N4007" i="14"/>
  <c r="J4006" i="14" a="1"/>
  <c r="J4006" i="14" s="1"/>
  <c r="M4011" i="14"/>
  <c r="K3822" i="13" l="1"/>
  <c r="L3822" i="13" s="1"/>
  <c r="I3823" i="13" s="1"/>
  <c r="K3844" i="14"/>
  <c r="L3844" i="14" s="1"/>
  <c r="I3845" i="14" s="1"/>
  <c r="M4012" i="14"/>
  <c r="M4011" i="13"/>
  <c r="N4008" i="14"/>
  <c r="J4007" i="14" a="1"/>
  <c r="J4007" i="14" s="1"/>
  <c r="J4008" i="13" a="1"/>
  <c r="J4008" i="13" s="1"/>
  <c r="N4009" i="13"/>
  <c r="K3845" i="14" l="1"/>
  <c r="L3845" i="14" s="1"/>
  <c r="I3846" i="14" s="1"/>
  <c r="K3823" i="13"/>
  <c r="L3823" i="13" s="1"/>
  <c r="I3824" i="13" s="1"/>
  <c r="N4010" i="13"/>
  <c r="J4009" i="13" a="1"/>
  <c r="J4009" i="13" s="1"/>
  <c r="M4012" i="13"/>
  <c r="N4009" i="14"/>
  <c r="J4008" i="14" a="1"/>
  <c r="J4008" i="14" s="1"/>
  <c r="M4013" i="14"/>
  <c r="K3824" i="13" l="1"/>
  <c r="L3824" i="13" s="1"/>
  <c r="I3825" i="13" s="1"/>
  <c r="K3846" i="14"/>
  <c r="L3846" i="14" s="1"/>
  <c r="I3847" i="14" s="1"/>
  <c r="M4014" i="14"/>
  <c r="J4009" i="14" a="1"/>
  <c r="J4009" i="14" s="1"/>
  <c r="N4010" i="14"/>
  <c r="M4013" i="13"/>
  <c r="N4011" i="13"/>
  <c r="J4010" i="13" a="1"/>
  <c r="J4010" i="13" s="1"/>
  <c r="K3847" i="14" l="1"/>
  <c r="L3847" i="14" s="1"/>
  <c r="I3848" i="14" s="1"/>
  <c r="K3825" i="13"/>
  <c r="L3825" i="13" s="1"/>
  <c r="I3826" i="13" s="1"/>
  <c r="N4011" i="14"/>
  <c r="J4010" i="14" a="1"/>
  <c r="J4010" i="14" s="1"/>
  <c r="M4014" i="13"/>
  <c r="N4012" i="13"/>
  <c r="J4011" i="13" a="1"/>
  <c r="J4011" i="13" s="1"/>
  <c r="M4015" i="14"/>
  <c r="K3826" i="13" l="1"/>
  <c r="L3826" i="13" s="1"/>
  <c r="I3827" i="13" s="1"/>
  <c r="K3848" i="14"/>
  <c r="L3848" i="14" s="1"/>
  <c r="I3849" i="14" s="1"/>
  <c r="M4016" i="14"/>
  <c r="M4015" i="13"/>
  <c r="J4012" i="13" a="1"/>
  <c r="J4012" i="13" s="1"/>
  <c r="N4013" i="13"/>
  <c r="J4011" i="14" a="1"/>
  <c r="J4011" i="14" s="1"/>
  <c r="N4012" i="14"/>
  <c r="K3849" i="14" l="1"/>
  <c r="L3849" i="14" s="1"/>
  <c r="I3850" i="14" s="1"/>
  <c r="K3827" i="13"/>
  <c r="L3827" i="13" s="1"/>
  <c r="I3828" i="13" s="1"/>
  <c r="N4013" i="14"/>
  <c r="J4012" i="14" a="1"/>
  <c r="J4012" i="14" s="1"/>
  <c r="M4016" i="13"/>
  <c r="N4014" i="13"/>
  <c r="J4013" i="13" a="1"/>
  <c r="J4013" i="13" s="1"/>
  <c r="M4017" i="14"/>
  <c r="K3828" i="13" l="1"/>
  <c r="L3828" i="13" s="1"/>
  <c r="I3829" i="13" s="1"/>
  <c r="K3850" i="14"/>
  <c r="L3850" i="14" s="1"/>
  <c r="I3851" i="14" s="1"/>
  <c r="N4015" i="13"/>
  <c r="J4014" i="13" a="1"/>
  <c r="J4014" i="13" s="1"/>
  <c r="M4017" i="13"/>
  <c r="M4018" i="14"/>
  <c r="J4013" i="14" a="1"/>
  <c r="J4013" i="14" s="1"/>
  <c r="N4014" i="14"/>
  <c r="K3851" i="14" l="1"/>
  <c r="L3851" i="14" s="1"/>
  <c r="I3852" i="14" s="1"/>
  <c r="K3829" i="13"/>
  <c r="L3829" i="13" s="1"/>
  <c r="I3830" i="13" s="1"/>
  <c r="J4014" i="14" a="1"/>
  <c r="J4014" i="14" s="1"/>
  <c r="N4015" i="14"/>
  <c r="M4018" i="13"/>
  <c r="M4019" i="14"/>
  <c r="N4016" i="13"/>
  <c r="J4015" i="13" a="1"/>
  <c r="J4015" i="13" s="1"/>
  <c r="K3830" i="13" l="1"/>
  <c r="L3830" i="13" s="1"/>
  <c r="I3831" i="13" s="1"/>
  <c r="K3852" i="14"/>
  <c r="L3852" i="14" s="1"/>
  <c r="I3853" i="14" s="1"/>
  <c r="M4019" i="13"/>
  <c r="J4016" i="13" a="1"/>
  <c r="J4016" i="13" s="1"/>
  <c r="N4017" i="13"/>
  <c r="N4016" i="14"/>
  <c r="J4015" i="14" a="1"/>
  <c r="J4015" i="14" s="1"/>
  <c r="M4020" i="14"/>
  <c r="K3853" i="14" l="1"/>
  <c r="L3853" i="14" s="1"/>
  <c r="I3854" i="14" s="1"/>
  <c r="K3831" i="13"/>
  <c r="L3831" i="13" s="1"/>
  <c r="I3832" i="13" s="1"/>
  <c r="N4018" i="13"/>
  <c r="J4017" i="13" a="1"/>
  <c r="J4017" i="13" s="1"/>
  <c r="M4021" i="14"/>
  <c r="N4017" i="14"/>
  <c r="J4016" i="14" a="1"/>
  <c r="J4016" i="14" s="1"/>
  <c r="M4020" i="13"/>
  <c r="K3832" i="13" l="1"/>
  <c r="L3832" i="13" s="1"/>
  <c r="I3833" i="13" s="1"/>
  <c r="K3854" i="14"/>
  <c r="L3854" i="14" s="1"/>
  <c r="I3855" i="14" s="1"/>
  <c r="M4021" i="13"/>
  <c r="M4022" i="14"/>
  <c r="J4017" i="14" a="1"/>
  <c r="J4017" i="14" s="1"/>
  <c r="N4018" i="14"/>
  <c r="N4019" i="13"/>
  <c r="J4018" i="13" a="1"/>
  <c r="J4018" i="13" s="1"/>
  <c r="K3855" i="14" l="1"/>
  <c r="L3855" i="14" s="1"/>
  <c r="I3856" i="14" s="1"/>
  <c r="K3833" i="13"/>
  <c r="L3833" i="13" s="1"/>
  <c r="I3834" i="13" s="1"/>
  <c r="M4023" i="14"/>
  <c r="N4020" i="13"/>
  <c r="J4019" i="13" a="1"/>
  <c r="J4019" i="13" s="1"/>
  <c r="N4019" i="14"/>
  <c r="J4018" i="14" a="1"/>
  <c r="J4018" i="14" s="1"/>
  <c r="M4022" i="13"/>
  <c r="K3834" i="13" l="1"/>
  <c r="L3834" i="13" s="1"/>
  <c r="I3835" i="13" s="1"/>
  <c r="K3856" i="14"/>
  <c r="L3856" i="14" s="1"/>
  <c r="I3857" i="14" s="1"/>
  <c r="J4020" i="13" a="1"/>
  <c r="J4020" i="13" s="1"/>
  <c r="N4021" i="13"/>
  <c r="M4024" i="14"/>
  <c r="M4023" i="13"/>
  <c r="N4020" i="14"/>
  <c r="J4019" i="14" a="1"/>
  <c r="J4019" i="14" s="1"/>
  <c r="K3857" i="14" l="1"/>
  <c r="L3857" i="14" s="1"/>
  <c r="I3858" i="14" s="1"/>
  <c r="K3835" i="13"/>
  <c r="L3835" i="13" s="1"/>
  <c r="I3836" i="13" s="1"/>
  <c r="N4021" i="14"/>
  <c r="J4020" i="14" a="1"/>
  <c r="J4020" i="14" s="1"/>
  <c r="M4025" i="14"/>
  <c r="N4022" i="13"/>
  <c r="J4021" i="13" a="1"/>
  <c r="J4021" i="13" s="1"/>
  <c r="M4024" i="13"/>
  <c r="K3836" i="13" l="1"/>
  <c r="L3836" i="13" s="1"/>
  <c r="I3837" i="13" s="1"/>
  <c r="K3858" i="14"/>
  <c r="L3858" i="14" s="1"/>
  <c r="I3859" i="14" s="1"/>
  <c r="M4025" i="13"/>
  <c r="M4026" i="14"/>
  <c r="N4023" i="13"/>
  <c r="J4022" i="13" a="1"/>
  <c r="J4022" i="13" s="1"/>
  <c r="J4021" i="14" a="1"/>
  <c r="J4021" i="14" s="1"/>
  <c r="N4022" i="14"/>
  <c r="K3859" i="14" l="1"/>
  <c r="L3859" i="14" s="1"/>
  <c r="I3860" i="14" s="1"/>
  <c r="K3837" i="13"/>
  <c r="L3837" i="13" s="1"/>
  <c r="I3838" i="13" s="1"/>
  <c r="N4023" i="14"/>
  <c r="J4022" i="14" a="1"/>
  <c r="J4022" i="14" s="1"/>
  <c r="M4027" i="14"/>
  <c r="N4024" i="13"/>
  <c r="J4023" i="13" a="1"/>
  <c r="J4023" i="13" s="1"/>
  <c r="M4026" i="13"/>
  <c r="K3838" i="13" l="1"/>
  <c r="L3838" i="13" s="1"/>
  <c r="I3839" i="13" s="1"/>
  <c r="K3860" i="14"/>
  <c r="L3860" i="14" s="1"/>
  <c r="I3861" i="14" s="1"/>
  <c r="M4028" i="14"/>
  <c r="M4027" i="13"/>
  <c r="J4024" i="13" a="1"/>
  <c r="J4024" i="13" s="1"/>
  <c r="N4025" i="13"/>
  <c r="N4024" i="14"/>
  <c r="J4023" i="14" a="1"/>
  <c r="J4023" i="14" s="1"/>
  <c r="K3861" i="14" l="1"/>
  <c r="L3861" i="14" s="1"/>
  <c r="I3862" i="14" s="1"/>
  <c r="K3839" i="13"/>
  <c r="L3839" i="13" s="1"/>
  <c r="I3840" i="13" s="1"/>
  <c r="N4025" i="14"/>
  <c r="J4024" i="14" a="1"/>
  <c r="J4024" i="14" s="1"/>
  <c r="M4028" i="13"/>
  <c r="N4026" i="13"/>
  <c r="J4025" i="13" a="1"/>
  <c r="J4025" i="13" s="1"/>
  <c r="M4029" i="14"/>
  <c r="K3840" i="13" l="1"/>
  <c r="L3840" i="13" s="1"/>
  <c r="I3841" i="13" s="1"/>
  <c r="K3862" i="14"/>
  <c r="L3862" i="14" s="1"/>
  <c r="I3863" i="14" s="1"/>
  <c r="M4030" i="14"/>
  <c r="M4029" i="13"/>
  <c r="N4027" i="13"/>
  <c r="J4026" i="13" a="1"/>
  <c r="J4026" i="13" s="1"/>
  <c r="J4025" i="14" a="1"/>
  <c r="J4025" i="14" s="1"/>
  <c r="N4026" i="14"/>
  <c r="K3863" i="14" l="1"/>
  <c r="L3863" i="14" s="1"/>
  <c r="I3864" i="14" s="1"/>
  <c r="K3841" i="13"/>
  <c r="L3841" i="13" s="1"/>
  <c r="I3842" i="13" s="1"/>
  <c r="N4027" i="14"/>
  <c r="J4026" i="14" a="1"/>
  <c r="J4026" i="14" s="1"/>
  <c r="M4030" i="13"/>
  <c r="M4031" i="14"/>
  <c r="N4028" i="13"/>
  <c r="J4027" i="13" a="1"/>
  <c r="J4027" i="13" s="1"/>
  <c r="K3842" i="13" l="1"/>
  <c r="L3842" i="13" s="1"/>
  <c r="I3843" i="13" s="1"/>
  <c r="K3864" i="14"/>
  <c r="L3864" i="14" s="1"/>
  <c r="I3865" i="14" s="1"/>
  <c r="M4031" i="13"/>
  <c r="J4028" i="13" a="1"/>
  <c r="J4028" i="13" s="1"/>
  <c r="N4029" i="13"/>
  <c r="M4032" i="14"/>
  <c r="N4028" i="14"/>
  <c r="J4027" i="14" a="1"/>
  <c r="J4027" i="14" s="1"/>
  <c r="K3865" i="14" l="1"/>
  <c r="L3865" i="14" s="1"/>
  <c r="I3866" i="14" s="1"/>
  <c r="K3843" i="13"/>
  <c r="L3843" i="13" s="1"/>
  <c r="I3844" i="13" s="1"/>
  <c r="N4030" i="13"/>
  <c r="J4029" i="13" a="1"/>
  <c r="J4029" i="13" s="1"/>
  <c r="N4029" i="14"/>
  <c r="J4028" i="14" a="1"/>
  <c r="J4028" i="14" s="1"/>
  <c r="M4033" i="14"/>
  <c r="M4032" i="13"/>
  <c r="K3844" i="13" l="1"/>
  <c r="L3844" i="13" s="1"/>
  <c r="I3845" i="13" s="1"/>
  <c r="K3866" i="14"/>
  <c r="L3866" i="14" s="1"/>
  <c r="I3867" i="14" s="1"/>
  <c r="J4029" i="14" a="1"/>
  <c r="J4029" i="14" s="1"/>
  <c r="N4030" i="14"/>
  <c r="M4033" i="13"/>
  <c r="M4034" i="14"/>
  <c r="N4031" i="13"/>
  <c r="J4030" i="13" a="1"/>
  <c r="J4030" i="13" s="1"/>
  <c r="K3867" i="14" l="1"/>
  <c r="L3867" i="14" s="1"/>
  <c r="I3868" i="14" s="1"/>
  <c r="K3845" i="13"/>
  <c r="L3845" i="13" s="1"/>
  <c r="I3846" i="13" s="1"/>
  <c r="M4034" i="13"/>
  <c r="N4032" i="13"/>
  <c r="J4031" i="13" a="1"/>
  <c r="J4031" i="13" s="1"/>
  <c r="N4031" i="14"/>
  <c r="J4030" i="14" a="1"/>
  <c r="J4030" i="14" s="1"/>
  <c r="M4035" i="14"/>
  <c r="K3846" i="13" l="1"/>
  <c r="L3846" i="13" s="1"/>
  <c r="I3847" i="13" s="1"/>
  <c r="K3868" i="14"/>
  <c r="L3868" i="14" s="1"/>
  <c r="I3869" i="14" s="1"/>
  <c r="J4032" i="13" a="1"/>
  <c r="J4032" i="13" s="1"/>
  <c r="N4033" i="13"/>
  <c r="M4035" i="13"/>
  <c r="M4036" i="14"/>
  <c r="J4031" i="14" a="1"/>
  <c r="J4031" i="14" s="1"/>
  <c r="N4032" i="14"/>
  <c r="K3869" i="14" l="1"/>
  <c r="L3869" i="14" s="1"/>
  <c r="I3870" i="14" s="1"/>
  <c r="K3847" i="13"/>
  <c r="L3847" i="13" s="1"/>
  <c r="I3848" i="13" s="1"/>
  <c r="M4036" i="13"/>
  <c r="N4034" i="13"/>
  <c r="J4033" i="13" a="1"/>
  <c r="J4033" i="13" s="1"/>
  <c r="N4033" i="14"/>
  <c r="J4032" i="14" a="1"/>
  <c r="J4032" i="14" s="1"/>
  <c r="M4037" i="14"/>
  <c r="K3848" i="13" l="1"/>
  <c r="L3848" i="13" s="1"/>
  <c r="I3849" i="13" s="1"/>
  <c r="K3870" i="14"/>
  <c r="L3870" i="14" s="1"/>
  <c r="I3871" i="14" s="1"/>
  <c r="N4035" i="13"/>
  <c r="J4034" i="13" a="1"/>
  <c r="J4034" i="13" s="1"/>
  <c r="M4037" i="13"/>
  <c r="M4038" i="14"/>
  <c r="J4033" i="14" a="1"/>
  <c r="J4033" i="14" s="1"/>
  <c r="N4034" i="14"/>
  <c r="K3871" i="14" l="1"/>
  <c r="L3871" i="14" s="1"/>
  <c r="I3872" i="14" s="1"/>
  <c r="K3849" i="13"/>
  <c r="L3849" i="13" s="1"/>
  <c r="I3850" i="13" s="1"/>
  <c r="J4034" i="14" a="1"/>
  <c r="J4034" i="14" s="1"/>
  <c r="N4035" i="14"/>
  <c r="M4038" i="13"/>
  <c r="M4039" i="14"/>
  <c r="N4036" i="13"/>
  <c r="J4035" i="13" a="1"/>
  <c r="J4035" i="13" s="1"/>
  <c r="K3850" i="13" l="1"/>
  <c r="L3850" i="13" s="1"/>
  <c r="I3851" i="13" s="1"/>
  <c r="K3872" i="14"/>
  <c r="L3872" i="14" s="1"/>
  <c r="I3873" i="14" s="1"/>
  <c r="M4039" i="13"/>
  <c r="J4036" i="13" a="1"/>
  <c r="J4036" i="13" s="1"/>
  <c r="N4037" i="13"/>
  <c r="N4036" i="14"/>
  <c r="J4035" i="14" a="1"/>
  <c r="J4035" i="14" s="1"/>
  <c r="M4040" i="14"/>
  <c r="K3873" i="14" l="1"/>
  <c r="L3873" i="14" s="1"/>
  <c r="I3874" i="14" s="1"/>
  <c r="K3851" i="13"/>
  <c r="L3851" i="13" s="1"/>
  <c r="I3852" i="13" s="1"/>
  <c r="N4038" i="13"/>
  <c r="J4037" i="13" a="1"/>
  <c r="J4037" i="13" s="1"/>
  <c r="M4041" i="14"/>
  <c r="N4037" i="14"/>
  <c r="J4036" i="14" a="1"/>
  <c r="J4036" i="14" s="1"/>
  <c r="M4040" i="13"/>
  <c r="K3852" i="13" l="1"/>
  <c r="L3852" i="13" s="1"/>
  <c r="I3853" i="13" s="1"/>
  <c r="K3874" i="14"/>
  <c r="L3874" i="14" s="1"/>
  <c r="I3875" i="14" s="1"/>
  <c r="M4041" i="13"/>
  <c r="M4042" i="14"/>
  <c r="J4037" i="14" a="1"/>
  <c r="J4037" i="14" s="1"/>
  <c r="N4038" i="14"/>
  <c r="N4039" i="13"/>
  <c r="J4038" i="13" a="1"/>
  <c r="J4038" i="13" s="1"/>
  <c r="K3875" i="14" l="1"/>
  <c r="L3875" i="14" s="1"/>
  <c r="I3876" i="14" s="1"/>
  <c r="K3853" i="13"/>
  <c r="L3853" i="13" s="1"/>
  <c r="I3854" i="13" s="1"/>
  <c r="M4043" i="14"/>
  <c r="N4040" i="13"/>
  <c r="J4039" i="13" a="1"/>
  <c r="J4039" i="13" s="1"/>
  <c r="N4039" i="14"/>
  <c r="J4038" i="14" a="1"/>
  <c r="J4038" i="14" s="1"/>
  <c r="M4042" i="13"/>
  <c r="K3854" i="13" l="1"/>
  <c r="L3854" i="13" s="1"/>
  <c r="I3855" i="13" s="1"/>
  <c r="K3876" i="14"/>
  <c r="L3876" i="14" s="1"/>
  <c r="I3877" i="14" s="1"/>
  <c r="J4040" i="13" a="1"/>
  <c r="J4040" i="13" s="1"/>
  <c r="N4041" i="13"/>
  <c r="M4043" i="13"/>
  <c r="N4040" i="14"/>
  <c r="J4039" i="14" a="1"/>
  <c r="J4039" i="14" s="1"/>
  <c r="M4044" i="14"/>
  <c r="K3877" i="14" l="1"/>
  <c r="L3877" i="14" s="1"/>
  <c r="I3878" i="14" s="1"/>
  <c r="K3855" i="13"/>
  <c r="L3855" i="13" s="1"/>
  <c r="I3856" i="13" s="1"/>
  <c r="M4045" i="14"/>
  <c r="M4044" i="13"/>
  <c r="N4042" i="13"/>
  <c r="J4041" i="13" a="1"/>
  <c r="J4041" i="13" s="1"/>
  <c r="J4040" i="14" a="1"/>
  <c r="J4040" i="14" s="1"/>
  <c r="N4041" i="14"/>
  <c r="K3856" i="13" l="1"/>
  <c r="L3856" i="13" s="1"/>
  <c r="I3857" i="13" s="1"/>
  <c r="K3878" i="14"/>
  <c r="L3878" i="14" s="1"/>
  <c r="I3879" i="14" s="1"/>
  <c r="J4041" i="14" a="1"/>
  <c r="J4041" i="14" s="1"/>
  <c r="N4042" i="14"/>
  <c r="M4045" i="13"/>
  <c r="M4046" i="14"/>
  <c r="N4043" i="13"/>
  <c r="J4042" i="13" a="1"/>
  <c r="J4042" i="13" s="1"/>
  <c r="K3879" i="14" l="1"/>
  <c r="L3879" i="14" s="1"/>
  <c r="I3880" i="14" s="1"/>
  <c r="K3857" i="13"/>
  <c r="L3857" i="13" s="1"/>
  <c r="I3858" i="13" s="1"/>
  <c r="M4046" i="13"/>
  <c r="N4044" i="13"/>
  <c r="J4043" i="13" a="1"/>
  <c r="J4043" i="13" s="1"/>
  <c r="J4042" i="14" a="1"/>
  <c r="J4042" i="14" s="1"/>
  <c r="N4043" i="14"/>
  <c r="M4047" i="14"/>
  <c r="K3858" i="13" l="1"/>
  <c r="L3858" i="13" s="1"/>
  <c r="I3859" i="13" s="1"/>
  <c r="K3880" i="14"/>
  <c r="L3880" i="14" s="1"/>
  <c r="I3881" i="14" s="1"/>
  <c r="J4044" i="13" a="1"/>
  <c r="J4044" i="13" s="1"/>
  <c r="N4045" i="13"/>
  <c r="N4044" i="14"/>
  <c r="J4043" i="14" a="1"/>
  <c r="J4043" i="14" s="1"/>
  <c r="M4047" i="13"/>
  <c r="M4048" i="14"/>
  <c r="K3881" i="14" l="1"/>
  <c r="L3881" i="14" s="1"/>
  <c r="I3882" i="14" s="1"/>
  <c r="K3859" i="13"/>
  <c r="L3859" i="13" s="1"/>
  <c r="I3860" i="13" s="1"/>
  <c r="J4044" i="14" a="1"/>
  <c r="J4044" i="14" s="1"/>
  <c r="N4045" i="14"/>
  <c r="N4046" i="13"/>
  <c r="J4045" i="13" a="1"/>
  <c r="J4045" i="13" s="1"/>
  <c r="M4049" i="14"/>
  <c r="M4048" i="13"/>
  <c r="K3860" i="13" l="1"/>
  <c r="L3860" i="13" s="1"/>
  <c r="I3861" i="13" s="1"/>
  <c r="K3882" i="14"/>
  <c r="L3882" i="14" s="1"/>
  <c r="I3883" i="14" s="1"/>
  <c r="N4047" i="13"/>
  <c r="J4046" i="13" a="1"/>
  <c r="J4046" i="13" s="1"/>
  <c r="M4049" i="13"/>
  <c r="J4045" i="14" a="1"/>
  <c r="J4045" i="14" s="1"/>
  <c r="N4046" i="14"/>
  <c r="M4050" i="14"/>
  <c r="K3883" i="14" l="1"/>
  <c r="L3883" i="14" s="1"/>
  <c r="I3884" i="14" s="1"/>
  <c r="K3861" i="13"/>
  <c r="L3861" i="13" s="1"/>
  <c r="I3862" i="13" s="1"/>
  <c r="N4047" i="14"/>
  <c r="J4046" i="14" a="1"/>
  <c r="J4046" i="14" s="1"/>
  <c r="M4051" i="14"/>
  <c r="M4050" i="13"/>
  <c r="N4048" i="13"/>
  <c r="J4047" i="13" a="1"/>
  <c r="J4047" i="13" s="1"/>
  <c r="K3862" i="13" l="1"/>
  <c r="L3862" i="13" s="1"/>
  <c r="I3863" i="13" s="1"/>
  <c r="K3884" i="14"/>
  <c r="L3884" i="14" s="1"/>
  <c r="I3885" i="14" s="1"/>
  <c r="J4048" i="13" a="1"/>
  <c r="J4048" i="13" s="1"/>
  <c r="N4049" i="13"/>
  <c r="M4052" i="14"/>
  <c r="M4051" i="13"/>
  <c r="N4048" i="14"/>
  <c r="J4047" i="14" a="1"/>
  <c r="J4047" i="14" s="1"/>
  <c r="K3885" i="14" l="1"/>
  <c r="L3885" i="14" s="1"/>
  <c r="I3886" i="14" s="1"/>
  <c r="K3863" i="13"/>
  <c r="L3863" i="13" s="1"/>
  <c r="I3864" i="13" s="1"/>
  <c r="J4048" i="14" a="1"/>
  <c r="J4048" i="14" s="1"/>
  <c r="N4049" i="14"/>
  <c r="M4053" i="14"/>
  <c r="N4050" i="13"/>
  <c r="J4049" i="13" a="1"/>
  <c r="J4049" i="13" s="1"/>
  <c r="M4052" i="13"/>
  <c r="K3864" i="13" l="1"/>
  <c r="L3864" i="13" s="1"/>
  <c r="I3865" i="13" s="1"/>
  <c r="K3886" i="14"/>
  <c r="L3886" i="14" s="1"/>
  <c r="I3887" i="14" s="1"/>
  <c r="M4053" i="13"/>
  <c r="M4054" i="14"/>
  <c r="J4049" i="14" a="1"/>
  <c r="J4049" i="14" s="1"/>
  <c r="N4050" i="14"/>
  <c r="N4051" i="13"/>
  <c r="J4050" i="13" a="1"/>
  <c r="J4050" i="13" s="1"/>
  <c r="K3887" i="14" l="1"/>
  <c r="L3887" i="14" s="1"/>
  <c r="I3888" i="14" s="1"/>
  <c r="K3865" i="13"/>
  <c r="L3865" i="13" s="1"/>
  <c r="I3866" i="13" s="1"/>
  <c r="M4055" i="14"/>
  <c r="N4052" i="13"/>
  <c r="J4051" i="13" a="1"/>
  <c r="J4051" i="13" s="1"/>
  <c r="N4051" i="14"/>
  <c r="J4050" i="14" a="1"/>
  <c r="J4050" i="14" s="1"/>
  <c r="M4054" i="13"/>
  <c r="K3866" i="13" l="1"/>
  <c r="L3866" i="13" s="1"/>
  <c r="I3867" i="13" s="1"/>
  <c r="K3888" i="14"/>
  <c r="L3888" i="14" s="1"/>
  <c r="I3889" i="14" s="1"/>
  <c r="J4052" i="13" a="1"/>
  <c r="J4052" i="13" s="1"/>
  <c r="N4053" i="13"/>
  <c r="M4055" i="13"/>
  <c r="N4052" i="14"/>
  <c r="J4051" i="14" a="1"/>
  <c r="J4051" i="14" s="1"/>
  <c r="M4056" i="14"/>
  <c r="K3889" i="14" l="1"/>
  <c r="L3889" i="14" s="1"/>
  <c r="I3890" i="14" s="1"/>
  <c r="K3867" i="13"/>
  <c r="L3867" i="13" s="1"/>
  <c r="I3868" i="13" s="1"/>
  <c r="J4052" i="14" a="1"/>
  <c r="J4052" i="14" s="1"/>
  <c r="N4053" i="14"/>
  <c r="M4057" i="14"/>
  <c r="M4056" i="13"/>
  <c r="N4054" i="13"/>
  <c r="J4053" i="13" a="1"/>
  <c r="J4053" i="13" s="1"/>
  <c r="K3868" i="13" l="1"/>
  <c r="L3868" i="13" s="1"/>
  <c r="I3869" i="13" s="1"/>
  <c r="K3890" i="14"/>
  <c r="L3890" i="14" s="1"/>
  <c r="I3891" i="14" s="1"/>
  <c r="N4055" i="13"/>
  <c r="J4054" i="13" a="1"/>
  <c r="J4054" i="13" s="1"/>
  <c r="M4058" i="14"/>
  <c r="M4057" i="13"/>
  <c r="J4053" i="14" a="1"/>
  <c r="J4053" i="14" s="1"/>
  <c r="N4054" i="14"/>
  <c r="K3891" i="14" l="1"/>
  <c r="L3891" i="14" s="1"/>
  <c r="I3892" i="14" s="1"/>
  <c r="K3869" i="13"/>
  <c r="L3869" i="13" s="1"/>
  <c r="I3870" i="13" s="1"/>
  <c r="M4059" i="14"/>
  <c r="N4055" i="14"/>
  <c r="J4054" i="14" a="1"/>
  <c r="J4054" i="14" s="1"/>
  <c r="M4058" i="13"/>
  <c r="N4056" i="13"/>
  <c r="J4055" i="13" a="1"/>
  <c r="J4055" i="13" s="1"/>
  <c r="K3892" i="14" l="1"/>
  <c r="L3892" i="14" s="1"/>
  <c r="I3893" i="14" s="1"/>
  <c r="K3870" i="13"/>
  <c r="L3870" i="13" s="1"/>
  <c r="I3871" i="13" s="1"/>
  <c r="J4056" i="13" a="1"/>
  <c r="J4056" i="13" s="1"/>
  <c r="N4057" i="13"/>
  <c r="M4059" i="13"/>
  <c r="N4056" i="14"/>
  <c r="J4055" i="14" a="1"/>
  <c r="J4055" i="14" s="1"/>
  <c r="M4060" i="14"/>
  <c r="K3871" i="13" l="1"/>
  <c r="L3871" i="13" s="1"/>
  <c r="I3872" i="13" s="1"/>
  <c r="K3893" i="14"/>
  <c r="L3893" i="14" s="1"/>
  <c r="I3894" i="14" s="1"/>
  <c r="J4056" i="14" a="1"/>
  <c r="J4056" i="14" s="1"/>
  <c r="N4057" i="14"/>
  <c r="N4058" i="13"/>
  <c r="J4057" i="13" a="1"/>
  <c r="J4057" i="13" s="1"/>
  <c r="M4061" i="14"/>
  <c r="M4060" i="13"/>
  <c r="K3894" i="14" l="1"/>
  <c r="L3894" i="14" s="1"/>
  <c r="I3895" i="14" s="1"/>
  <c r="K3872" i="13"/>
  <c r="L3872" i="13" s="1"/>
  <c r="I3873" i="13" s="1"/>
  <c r="N4059" i="13"/>
  <c r="J4058" i="13" a="1"/>
  <c r="J4058" i="13" s="1"/>
  <c r="J4057" i="14" a="1"/>
  <c r="J4057" i="14" s="1"/>
  <c r="N4058" i="14"/>
  <c r="M4061" i="13"/>
  <c r="M4062" i="14"/>
  <c r="K3873" i="13" l="1"/>
  <c r="L3873" i="13" s="1"/>
  <c r="I3874" i="13" s="1"/>
  <c r="K3895" i="14"/>
  <c r="L3895" i="14" s="1"/>
  <c r="I3896" i="14" s="1"/>
  <c r="M4063" i="14"/>
  <c r="J4058" i="14" a="1"/>
  <c r="J4058" i="14" s="1"/>
  <c r="N4059" i="14"/>
  <c r="M4062" i="13"/>
  <c r="N4060" i="13"/>
  <c r="J4059" i="13" a="1"/>
  <c r="J4059" i="13" s="1"/>
  <c r="K3896" i="14" l="1"/>
  <c r="L3896" i="14" s="1"/>
  <c r="I3897" i="14" s="1"/>
  <c r="K3874" i="13"/>
  <c r="L3874" i="13" s="1"/>
  <c r="I3875" i="13" s="1"/>
  <c r="N4060" i="14"/>
  <c r="J4059" i="14" a="1"/>
  <c r="J4059" i="14" s="1"/>
  <c r="M4063" i="13"/>
  <c r="J4060" i="13" a="1"/>
  <c r="J4060" i="13" s="1"/>
  <c r="N4061" i="13"/>
  <c r="M4064" i="14"/>
  <c r="K3875" i="13" l="1"/>
  <c r="L3875" i="13" s="1"/>
  <c r="I3876" i="13" s="1"/>
  <c r="K3897" i="14"/>
  <c r="L3897" i="14" s="1"/>
  <c r="I3898" i="14" s="1"/>
  <c r="N4062" i="13"/>
  <c r="J4061" i="13" a="1"/>
  <c r="J4061" i="13" s="1"/>
  <c r="M4065" i="14"/>
  <c r="M4064" i="13"/>
  <c r="J4060" i="14" a="1"/>
  <c r="J4060" i="14" s="1"/>
  <c r="N4061" i="14"/>
  <c r="K3898" i="14" l="1"/>
  <c r="L3898" i="14" s="1"/>
  <c r="I3899" i="14" s="1"/>
  <c r="K3876" i="13"/>
  <c r="L3876" i="13" s="1"/>
  <c r="I3877" i="13" s="1"/>
  <c r="J4061" i="14" a="1"/>
  <c r="J4061" i="14" s="1"/>
  <c r="N4062" i="14"/>
  <c r="M4066" i="14"/>
  <c r="M4065" i="13"/>
  <c r="N4063" i="13"/>
  <c r="J4062" i="13" a="1"/>
  <c r="J4062" i="13" s="1"/>
  <c r="K3877" i="13" l="1"/>
  <c r="L3877" i="13" s="1"/>
  <c r="I3878" i="13" s="1"/>
  <c r="K3899" i="14"/>
  <c r="L3899" i="14" s="1"/>
  <c r="I3900" i="14" s="1"/>
  <c r="M4067" i="14"/>
  <c r="N4064" i="13"/>
  <c r="J4063" i="13" a="1"/>
  <c r="J4063" i="13" s="1"/>
  <c r="N4063" i="14"/>
  <c r="J4062" i="14" a="1"/>
  <c r="J4062" i="14" s="1"/>
  <c r="M4066" i="13"/>
  <c r="K3900" i="14" l="1"/>
  <c r="L3900" i="14" s="1"/>
  <c r="I3901" i="14" s="1"/>
  <c r="K3878" i="13"/>
  <c r="L3878" i="13" s="1"/>
  <c r="I3879" i="13" s="1"/>
  <c r="J4064" i="13" a="1"/>
  <c r="J4064" i="13" s="1"/>
  <c r="N4065" i="13"/>
  <c r="M4067" i="13"/>
  <c r="N4064" i="14"/>
  <c r="J4063" i="14" a="1"/>
  <c r="J4063" i="14" s="1"/>
  <c r="M4068" i="14"/>
  <c r="K3879" i="13" l="1"/>
  <c r="L3879" i="13" s="1"/>
  <c r="I3880" i="13" s="1"/>
  <c r="K3901" i="14"/>
  <c r="L3901" i="14" s="1"/>
  <c r="I3902" i="14" s="1"/>
  <c r="J4064" i="14" a="1"/>
  <c r="J4064" i="14" s="1"/>
  <c r="N4065" i="14"/>
  <c r="M4069" i="14"/>
  <c r="M4068" i="13"/>
  <c r="N4066" i="13"/>
  <c r="J4065" i="13" a="1"/>
  <c r="J4065" i="13" s="1"/>
  <c r="K3902" i="14" l="1"/>
  <c r="L3902" i="14" s="1"/>
  <c r="I3903" i="14" s="1"/>
  <c r="K3880" i="13"/>
  <c r="L3880" i="13" s="1"/>
  <c r="I3881" i="13" s="1"/>
  <c r="M4070" i="14"/>
  <c r="N4067" i="13"/>
  <c r="J4066" i="13" a="1"/>
  <c r="J4066" i="13" s="1"/>
  <c r="J4065" i="14" a="1"/>
  <c r="J4065" i="14" s="1"/>
  <c r="N4066" i="14"/>
  <c r="M4069" i="13"/>
  <c r="K3881" i="13" l="1"/>
  <c r="L3881" i="13" s="1"/>
  <c r="I3882" i="13" s="1"/>
  <c r="K3903" i="14"/>
  <c r="L3903" i="14" s="1"/>
  <c r="I3904" i="14" s="1"/>
  <c r="M4070" i="13"/>
  <c r="N4068" i="13"/>
  <c r="J4067" i="13" a="1"/>
  <c r="J4067" i="13" s="1"/>
  <c r="N4067" i="14"/>
  <c r="J4066" i="14" a="1"/>
  <c r="J4066" i="14" s="1"/>
  <c r="M4071" i="14"/>
  <c r="K3904" i="14" l="1"/>
  <c r="L3904" i="14" s="1"/>
  <c r="I3905" i="14" s="1"/>
  <c r="K3882" i="13"/>
  <c r="L3882" i="13" s="1"/>
  <c r="I3883" i="13" s="1"/>
  <c r="M4072" i="14"/>
  <c r="J4068" i="13" a="1"/>
  <c r="J4068" i="13" s="1"/>
  <c r="N4069" i="13"/>
  <c r="M4071" i="13"/>
  <c r="N4068" i="14"/>
  <c r="J4067" i="14" a="1"/>
  <c r="J4067" i="14" s="1"/>
  <c r="K3883" i="13" l="1"/>
  <c r="L3883" i="13" s="1"/>
  <c r="I3884" i="13" s="1"/>
  <c r="K3905" i="14"/>
  <c r="L3905" i="14" s="1"/>
  <c r="I3906" i="14" s="1"/>
  <c r="N4070" i="13"/>
  <c r="J4069" i="13" a="1"/>
  <c r="J4069" i="13" s="1"/>
  <c r="J4068" i="14" a="1"/>
  <c r="J4068" i="14" s="1"/>
  <c r="N4069" i="14"/>
  <c r="M4072" i="13"/>
  <c r="M4073" i="14"/>
  <c r="K3906" i="14" l="1"/>
  <c r="L3906" i="14" s="1"/>
  <c r="I3907" i="14" s="1"/>
  <c r="K3884" i="13"/>
  <c r="L3884" i="13" s="1"/>
  <c r="I3885" i="13" s="1"/>
  <c r="J4069" i="14" a="1"/>
  <c r="J4069" i="14" s="1"/>
  <c r="N4070" i="14"/>
  <c r="M4074" i="14"/>
  <c r="M4073" i="13"/>
  <c r="N4071" i="13"/>
  <c r="J4070" i="13" a="1"/>
  <c r="J4070" i="13" s="1"/>
  <c r="K3885" i="13" l="1"/>
  <c r="L3885" i="13" s="1"/>
  <c r="I3886" i="13" s="1"/>
  <c r="K3907" i="14"/>
  <c r="L3907" i="14" s="1"/>
  <c r="I3908" i="14" s="1"/>
  <c r="M4075" i="14"/>
  <c r="N4072" i="13"/>
  <c r="J4071" i="13" a="1"/>
  <c r="J4071" i="13" s="1"/>
  <c r="N4071" i="14"/>
  <c r="J4070" i="14" a="1"/>
  <c r="J4070" i="14" s="1"/>
  <c r="M4074" i="13"/>
  <c r="K3908" i="14" l="1"/>
  <c r="L3908" i="14" s="1"/>
  <c r="I3909" i="14" s="1"/>
  <c r="K3886" i="13"/>
  <c r="L3886" i="13" s="1"/>
  <c r="I3887" i="13" s="1"/>
  <c r="M4075" i="13"/>
  <c r="J4072" i="13" a="1"/>
  <c r="J4072" i="13" s="1"/>
  <c r="N4073" i="13"/>
  <c r="N4072" i="14"/>
  <c r="J4071" i="14" a="1"/>
  <c r="J4071" i="14" s="1"/>
  <c r="M4076" i="14"/>
  <c r="K3887" i="13" l="1"/>
  <c r="L3887" i="13" s="1"/>
  <c r="I3888" i="13" s="1"/>
  <c r="K3909" i="14"/>
  <c r="L3909" i="14" s="1"/>
  <c r="I3910" i="14" s="1"/>
  <c r="M4077" i="14"/>
  <c r="N4074" i="13"/>
  <c r="J4073" i="13" a="1"/>
  <c r="J4073" i="13" s="1"/>
  <c r="J4072" i="14" a="1"/>
  <c r="J4072" i="14" s="1"/>
  <c r="N4073" i="14"/>
  <c r="M4076" i="13"/>
  <c r="K3910" i="14" l="1"/>
  <c r="L3910" i="14" s="1"/>
  <c r="I3911" i="14" s="1"/>
  <c r="M4077" i="13"/>
  <c r="N4075" i="13"/>
  <c r="J4074" i="13" a="1"/>
  <c r="J4074" i="13" s="1"/>
  <c r="J4073" i="14" a="1"/>
  <c r="J4073" i="14" s="1"/>
  <c r="N4074" i="14"/>
  <c r="M4078" i="14"/>
  <c r="K3888" i="13"/>
  <c r="L3888" i="13" s="1"/>
  <c r="I3889" i="13" s="1"/>
  <c r="K3889" i="13" l="1"/>
  <c r="L3889" i="13" s="1"/>
  <c r="I3890" i="13" s="1"/>
  <c r="K3911" i="14"/>
  <c r="L3911" i="14" s="1"/>
  <c r="I3912" i="14" s="1"/>
  <c r="M4079" i="14"/>
  <c r="J4074" i="14" a="1"/>
  <c r="J4074" i="14" s="1"/>
  <c r="N4075" i="14"/>
  <c r="M4078" i="13"/>
  <c r="N4076" i="13"/>
  <c r="J4075" i="13" a="1"/>
  <c r="J4075" i="13" s="1"/>
  <c r="K3912" i="14" l="1"/>
  <c r="L3912" i="14" s="1"/>
  <c r="I3913" i="14" s="1"/>
  <c r="K3890" i="13"/>
  <c r="L3890" i="13" s="1"/>
  <c r="I3891" i="13" s="1"/>
  <c r="N4076" i="14"/>
  <c r="J4075" i="14" a="1"/>
  <c r="J4075" i="14" s="1"/>
  <c r="J4076" i="13" a="1"/>
  <c r="J4076" i="13" s="1"/>
  <c r="N4077" i="13"/>
  <c r="M4079" i="13"/>
  <c r="M4080" i="14"/>
  <c r="K3891" i="13" l="1"/>
  <c r="L3891" i="13" s="1"/>
  <c r="I3892" i="13" s="1"/>
  <c r="K3913" i="14"/>
  <c r="L3913" i="14" s="1"/>
  <c r="I3914" i="14" s="1"/>
  <c r="M4081" i="14"/>
  <c r="N4078" i="13"/>
  <c r="J4077" i="13" a="1"/>
  <c r="J4077" i="13" s="1"/>
  <c r="M4080" i="13"/>
  <c r="J4076" i="14" a="1"/>
  <c r="J4076" i="14" s="1"/>
  <c r="N4077" i="14"/>
  <c r="K3914" i="14" l="1"/>
  <c r="L3914" i="14" s="1"/>
  <c r="I3915" i="14" s="1"/>
  <c r="K3892" i="13"/>
  <c r="L3892" i="13" s="1"/>
  <c r="I3893" i="13" s="1"/>
  <c r="J4077" i="14" a="1"/>
  <c r="J4077" i="14" s="1"/>
  <c r="N4078" i="14"/>
  <c r="N4079" i="13"/>
  <c r="J4078" i="13" a="1"/>
  <c r="J4078" i="13" s="1"/>
  <c r="M4081" i="13"/>
  <c r="M4082" i="14"/>
  <c r="K3893" i="13" l="1"/>
  <c r="L3893" i="13" s="1"/>
  <c r="I3894" i="13" s="1"/>
  <c r="K3915" i="14"/>
  <c r="L3915" i="14" s="1"/>
  <c r="I3916" i="14" s="1"/>
  <c r="N4080" i="13"/>
  <c r="J4079" i="13" a="1"/>
  <c r="J4079" i="13" s="1"/>
  <c r="N4079" i="14"/>
  <c r="J4078" i="14" a="1"/>
  <c r="J4078" i="14" s="1"/>
  <c r="M4083" i="14"/>
  <c r="M4082" i="13"/>
  <c r="K3916" i="14" l="1"/>
  <c r="L3916" i="14" s="1"/>
  <c r="I3917" i="14" s="1"/>
  <c r="N4080" i="14"/>
  <c r="J4079" i="14" a="1"/>
  <c r="J4079" i="14" s="1"/>
  <c r="M4083" i="13"/>
  <c r="M4084" i="14"/>
  <c r="J4080" i="13" a="1"/>
  <c r="J4080" i="13" s="1"/>
  <c r="N4081" i="13"/>
  <c r="K3894" i="13"/>
  <c r="L3894" i="13" s="1"/>
  <c r="I3895" i="13" s="1"/>
  <c r="K3917" i="14" l="1"/>
  <c r="L3917" i="14" s="1"/>
  <c r="I3918" i="14" s="1"/>
  <c r="K3895" i="13"/>
  <c r="L3895" i="13" s="1"/>
  <c r="I3896" i="13" s="1"/>
  <c r="M4085" i="14"/>
  <c r="J4080" i="14" a="1"/>
  <c r="J4080" i="14" s="1"/>
  <c r="N4081" i="14"/>
  <c r="N4082" i="13"/>
  <c r="J4081" i="13" a="1"/>
  <c r="J4081" i="13" s="1"/>
  <c r="M4084" i="13"/>
  <c r="K3918" i="14" l="1"/>
  <c r="L3918" i="14" s="1"/>
  <c r="I3919" i="14" s="1"/>
  <c r="M4085" i="13"/>
  <c r="J4081" i="14" a="1"/>
  <c r="J4081" i="14" s="1"/>
  <c r="N4082" i="14"/>
  <c r="K3896" i="13"/>
  <c r="L3896" i="13" s="1"/>
  <c r="I3897" i="13" s="1"/>
  <c r="M4086" i="14"/>
  <c r="N4083" i="13"/>
  <c r="J4082" i="13" a="1"/>
  <c r="J4082" i="13" s="1"/>
  <c r="K3919" i="14" l="1"/>
  <c r="L3919" i="14" s="1"/>
  <c r="I3920" i="14" s="1"/>
  <c r="M4086" i="13"/>
  <c r="N4084" i="13"/>
  <c r="J4083" i="13" a="1"/>
  <c r="J4083" i="13" s="1"/>
  <c r="K3897" i="13"/>
  <c r="L3897" i="13" s="1"/>
  <c r="I3898" i="13" s="1"/>
  <c r="M4087" i="14"/>
  <c r="N4083" i="14"/>
  <c r="J4082" i="14" a="1"/>
  <c r="J4082" i="14" s="1"/>
  <c r="K3920" i="14" l="1"/>
  <c r="L3920" i="14" s="1"/>
  <c r="I3921" i="14" s="1"/>
  <c r="M4087" i="13"/>
  <c r="K3898" i="13"/>
  <c r="L3898" i="13" s="1"/>
  <c r="I3899" i="13" s="1"/>
  <c r="N4084" i="14"/>
  <c r="J4083" i="14" a="1"/>
  <c r="J4083" i="14" s="1"/>
  <c r="M4088" i="14"/>
  <c r="J4084" i="13" a="1"/>
  <c r="J4084" i="13" s="1"/>
  <c r="N4085" i="13"/>
  <c r="K3899" i="13" l="1"/>
  <c r="L3899" i="13" s="1"/>
  <c r="I3900" i="13" s="1"/>
  <c r="K3921" i="14"/>
  <c r="L3921" i="14" s="1"/>
  <c r="I3922" i="14" s="1"/>
  <c r="N4086" i="13"/>
  <c r="J4085" i="13" a="1"/>
  <c r="J4085" i="13" s="1"/>
  <c r="J4084" i="14" a="1"/>
  <c r="J4084" i="14" s="1"/>
  <c r="N4085" i="14"/>
  <c r="M4088" i="13"/>
  <c r="M4089" i="14"/>
  <c r="M4090" i="14" l="1"/>
  <c r="M4089" i="13"/>
  <c r="J4085" i="14" a="1"/>
  <c r="J4085" i="14" s="1"/>
  <c r="N4086" i="14"/>
  <c r="K3922" i="14"/>
  <c r="L3922" i="14" s="1"/>
  <c r="I3923" i="14" s="1"/>
  <c r="N4087" i="13"/>
  <c r="J4086" i="13" a="1"/>
  <c r="J4086" i="13" s="1"/>
  <c r="K3900" i="13"/>
  <c r="L3900" i="13" s="1"/>
  <c r="I3901" i="13" s="1"/>
  <c r="K3901" i="13" l="1"/>
  <c r="L3901" i="13" s="1"/>
  <c r="I3902" i="13" s="1"/>
  <c r="K3923" i="14"/>
  <c r="L3923" i="14" s="1"/>
  <c r="I3924" i="14" s="1"/>
  <c r="M4090" i="13"/>
  <c r="N4087" i="14"/>
  <c r="J4086" i="14" a="1"/>
  <c r="J4086" i="14" s="1"/>
  <c r="M4091" i="14"/>
  <c r="N4088" i="13"/>
  <c r="J4087" i="13" a="1"/>
  <c r="J4087" i="13" s="1"/>
  <c r="K3924" i="14" l="1"/>
  <c r="L3924" i="14" s="1"/>
  <c r="I3925" i="14" s="1"/>
  <c r="K3902" i="13"/>
  <c r="L3902" i="13" s="1"/>
  <c r="I3903" i="13" s="1"/>
  <c r="J4088" i="13" a="1"/>
  <c r="J4088" i="13" s="1"/>
  <c r="N4089" i="13"/>
  <c r="N4088" i="14"/>
  <c r="J4087" i="14" a="1"/>
  <c r="J4087" i="14" s="1"/>
  <c r="M4091" i="13"/>
  <c r="M4092" i="14"/>
  <c r="K3903" i="13" l="1"/>
  <c r="L3903" i="13" s="1"/>
  <c r="I3904" i="13" s="1"/>
  <c r="K3925" i="14"/>
  <c r="L3925" i="14" s="1"/>
  <c r="I3926" i="14" s="1"/>
  <c r="J4088" i="14" a="1"/>
  <c r="J4088" i="14" s="1"/>
  <c r="N4089" i="14"/>
  <c r="M4093" i="14"/>
  <c r="N4090" i="13"/>
  <c r="J4089" i="13" a="1"/>
  <c r="J4089" i="13" s="1"/>
  <c r="M4092" i="13"/>
  <c r="K3904" i="13" l="1"/>
  <c r="L3904" i="13" s="1"/>
  <c r="I3905" i="13" s="1"/>
  <c r="N4091" i="13"/>
  <c r="J4090" i="13" a="1"/>
  <c r="J4090" i="13" s="1"/>
  <c r="M4094" i="14"/>
  <c r="M4093" i="13"/>
  <c r="K3926" i="14"/>
  <c r="L3926" i="14" s="1"/>
  <c r="I3927" i="14" s="1"/>
  <c r="J4089" i="14" a="1"/>
  <c r="J4089" i="14" s="1"/>
  <c r="N4090" i="14"/>
  <c r="K3905" i="13" l="1"/>
  <c r="L3905" i="13" s="1"/>
  <c r="I3906" i="13" s="1"/>
  <c r="J4090" i="14" a="1"/>
  <c r="J4090" i="14" s="1"/>
  <c r="N4091" i="14"/>
  <c r="M4094" i="13"/>
  <c r="N4092" i="13"/>
  <c r="J4091" i="13" a="1"/>
  <c r="J4091" i="13" s="1"/>
  <c r="M4095" i="14"/>
  <c r="K3927" i="14"/>
  <c r="L3927" i="14" s="1"/>
  <c r="I3928" i="14" s="1"/>
  <c r="K3928" i="14" l="1"/>
  <c r="L3928" i="14" s="1"/>
  <c r="I3929" i="14" s="1"/>
  <c r="K3906" i="13"/>
  <c r="L3906" i="13" s="1"/>
  <c r="I3907" i="13" s="1"/>
  <c r="J4092" i="13" a="1"/>
  <c r="J4092" i="13" s="1"/>
  <c r="N4093" i="13"/>
  <c r="M4095" i="13"/>
  <c r="N4092" i="14"/>
  <c r="J4091" i="14" a="1"/>
  <c r="J4091" i="14" s="1"/>
  <c r="M4096" i="14"/>
  <c r="K3929" i="14" l="1"/>
  <c r="L3929" i="14" s="1"/>
  <c r="I3930" i="14" s="1"/>
  <c r="K3907" i="13"/>
  <c r="L3907" i="13" s="1"/>
  <c r="I3908" i="13" s="1"/>
  <c r="N4094" i="13"/>
  <c r="J4093" i="13" a="1"/>
  <c r="J4093" i="13" s="1"/>
  <c r="J4092" i="14" a="1"/>
  <c r="J4092" i="14" s="1"/>
  <c r="N4093" i="14"/>
  <c r="M4097" i="14"/>
  <c r="M4096" i="13"/>
  <c r="K3930" i="14" l="1"/>
  <c r="L3930" i="14" s="1"/>
  <c r="I3931" i="14" s="1"/>
  <c r="M4097" i="13"/>
  <c r="J4093" i="14" a="1"/>
  <c r="J4093" i="14" s="1"/>
  <c r="N4094" i="14"/>
  <c r="K3908" i="13"/>
  <c r="L3908" i="13" s="1"/>
  <c r="I3909" i="13" s="1"/>
  <c r="M4098" i="14"/>
  <c r="N4095" i="13"/>
  <c r="J4094" i="13" a="1"/>
  <c r="J4094" i="13" s="1"/>
  <c r="K3931" i="14" l="1"/>
  <c r="L3931" i="14" s="1"/>
  <c r="I3932" i="14" s="1"/>
  <c r="N4095" i="14"/>
  <c r="J4094" i="14" a="1"/>
  <c r="J4094" i="14" s="1"/>
  <c r="M4098" i="13"/>
  <c r="K3909" i="13"/>
  <c r="L3909" i="13" s="1"/>
  <c r="I3910" i="13" s="1"/>
  <c r="M4099" i="14"/>
  <c r="N4096" i="13"/>
  <c r="J4095" i="13" a="1"/>
  <c r="J4095" i="13" s="1"/>
  <c r="K3910" i="13" l="1"/>
  <c r="L3910" i="13" s="1"/>
  <c r="I3911" i="13" s="1"/>
  <c r="K3932" i="14"/>
  <c r="L3932" i="14" s="1"/>
  <c r="I3933" i="14" s="1"/>
  <c r="J4096" i="13" a="1"/>
  <c r="J4096" i="13" s="1"/>
  <c r="N4097" i="13"/>
  <c r="N4096" i="14"/>
  <c r="J4095" i="14" a="1"/>
  <c r="J4095" i="14" s="1"/>
  <c r="M4099" i="13"/>
  <c r="M4100" i="14"/>
  <c r="M4100" i="13" l="1"/>
  <c r="J4096" i="14" a="1"/>
  <c r="J4096" i="14" s="1"/>
  <c r="N4097" i="14"/>
  <c r="K3933" i="14"/>
  <c r="L3933" i="14" s="1"/>
  <c r="I3934" i="14" s="1"/>
  <c r="M4101" i="14"/>
  <c r="N4098" i="13"/>
  <c r="J4097" i="13" a="1"/>
  <c r="J4097" i="13" s="1"/>
  <c r="K3911" i="13"/>
  <c r="L3911" i="13" s="1"/>
  <c r="I3912" i="13" s="1"/>
  <c r="K3912" i="13" l="1"/>
  <c r="L3912" i="13" s="1"/>
  <c r="I3913" i="13" s="1"/>
  <c r="M4102" i="14"/>
  <c r="J4097" i="14" a="1"/>
  <c r="J4097" i="14" s="1"/>
  <c r="N4098" i="14"/>
  <c r="M4101" i="13"/>
  <c r="N4099" i="13"/>
  <c r="J4098" i="13" a="1"/>
  <c r="J4098" i="13" s="1"/>
  <c r="K3934" i="14"/>
  <c r="L3934" i="14" s="1"/>
  <c r="I3935" i="14" s="1"/>
  <c r="K3913" i="13" l="1"/>
  <c r="L3913" i="13" s="1"/>
  <c r="I3914" i="13" s="1"/>
  <c r="K3935" i="14"/>
  <c r="L3935" i="14" s="1"/>
  <c r="I3936" i="14" s="1"/>
  <c r="N4100" i="13"/>
  <c r="J4099" i="13" a="1"/>
  <c r="J4099" i="13" s="1"/>
  <c r="M4102" i="13"/>
  <c r="M4103" i="14"/>
  <c r="N4099" i="14"/>
  <c r="J4098" i="14" a="1"/>
  <c r="J4098" i="14" s="1"/>
  <c r="K3914" i="13" l="1"/>
  <c r="L3914" i="13" s="1"/>
  <c r="I3915" i="13" s="1"/>
  <c r="M4103" i="13"/>
  <c r="N4100" i="14"/>
  <c r="J4099" i="14" a="1"/>
  <c r="J4099" i="14" s="1"/>
  <c r="K3936" i="14"/>
  <c r="L3936" i="14" s="1"/>
  <c r="I3937" i="14" s="1"/>
  <c r="M4104" i="14"/>
  <c r="J4100" i="13" a="1"/>
  <c r="J4100" i="13" s="1"/>
  <c r="N4101" i="13"/>
  <c r="K3915" i="13" l="1"/>
  <c r="L3915" i="13" s="1"/>
  <c r="I3916" i="13" s="1"/>
  <c r="K3937" i="14"/>
  <c r="L3937" i="14" s="1"/>
  <c r="I3938" i="14" s="1"/>
  <c r="N4102" i="13"/>
  <c r="J4101" i="13" a="1"/>
  <c r="J4101" i="13" s="1"/>
  <c r="M4104" i="13"/>
  <c r="M4105" i="14"/>
  <c r="J4100" i="14" a="1"/>
  <c r="J4100" i="14" s="1"/>
  <c r="N4101" i="14"/>
  <c r="K3916" i="13" l="1"/>
  <c r="L3916" i="13" s="1"/>
  <c r="I3917" i="13" s="1"/>
  <c r="K3938" i="14"/>
  <c r="L3938" i="14" s="1"/>
  <c r="I3939" i="14" s="1"/>
  <c r="J4101" i="14" a="1"/>
  <c r="J4101" i="14" s="1"/>
  <c r="N4102" i="14"/>
  <c r="M4105" i="13"/>
  <c r="M4106" i="14"/>
  <c r="J4102" i="13" a="1"/>
  <c r="J4102" i="13" s="1"/>
  <c r="N4103" i="13"/>
  <c r="K3939" i="14" l="1"/>
  <c r="L3939" i="14" s="1"/>
  <c r="I3940" i="14" s="1"/>
  <c r="K3917" i="13"/>
  <c r="L3917" i="13" s="1"/>
  <c r="I3918" i="13" s="1"/>
  <c r="N4104" i="13"/>
  <c r="J4103" i="13" a="1"/>
  <c r="J4103" i="13" s="1"/>
  <c r="M4106" i="13"/>
  <c r="M4107" i="14"/>
  <c r="N4103" i="14"/>
  <c r="J4102" i="14" a="1"/>
  <c r="J4102" i="14" s="1"/>
  <c r="K3918" i="13" l="1"/>
  <c r="L3918" i="13" s="1"/>
  <c r="I3919" i="13" s="1"/>
  <c r="K3940" i="14"/>
  <c r="L3940" i="14" s="1"/>
  <c r="I3941" i="14" s="1"/>
  <c r="M4107" i="13"/>
  <c r="N4104" i="14"/>
  <c r="J4103" i="14" a="1"/>
  <c r="J4103" i="14" s="1"/>
  <c r="M4108" i="14"/>
  <c r="J4104" i="13" a="1"/>
  <c r="J4104" i="13" s="1"/>
  <c r="N4105" i="13"/>
  <c r="K3941" i="14" l="1"/>
  <c r="L3941" i="14" s="1"/>
  <c r="I3942" i="14" s="1"/>
  <c r="K3919" i="13"/>
  <c r="L3919" i="13" s="1"/>
  <c r="I3920" i="13" s="1"/>
  <c r="N4106" i="13"/>
  <c r="J4105" i="13" a="1"/>
  <c r="J4105" i="13" s="1"/>
  <c r="J4104" i="14" a="1"/>
  <c r="J4104" i="14" s="1"/>
  <c r="N4105" i="14"/>
  <c r="M4109" i="14"/>
  <c r="M4108" i="13"/>
  <c r="K3920" i="13" l="1"/>
  <c r="L3920" i="13" s="1"/>
  <c r="I3921" i="13" s="1"/>
  <c r="K3942" i="14"/>
  <c r="L3942" i="14" s="1"/>
  <c r="I3943" i="14" s="1"/>
  <c r="M4109" i="13"/>
  <c r="J4105" i="14" a="1"/>
  <c r="J4105" i="14" s="1"/>
  <c r="N4106" i="14"/>
  <c r="M4110" i="14"/>
  <c r="J4106" i="13" a="1"/>
  <c r="J4106" i="13" s="1"/>
  <c r="N4107" i="13"/>
  <c r="K3943" i="14" l="1"/>
  <c r="L3943" i="14" s="1"/>
  <c r="I3944" i="14" s="1"/>
  <c r="K3921" i="13"/>
  <c r="L3921" i="13" s="1"/>
  <c r="I3922" i="13" s="1"/>
  <c r="N4108" i="13"/>
  <c r="J4107" i="13" a="1"/>
  <c r="J4107" i="13" s="1"/>
  <c r="J4106" i="14" a="1"/>
  <c r="J4106" i="14" s="1"/>
  <c r="N4107" i="14"/>
  <c r="M4111" i="14"/>
  <c r="M4110" i="13"/>
  <c r="K3922" i="13" l="1"/>
  <c r="L3922" i="13" s="1"/>
  <c r="I3923" i="13" s="1"/>
  <c r="K3944" i="14"/>
  <c r="L3944" i="14" s="1"/>
  <c r="I3945" i="14" s="1"/>
  <c r="N4108" i="14"/>
  <c r="J4107" i="14" a="1"/>
  <c r="J4107" i="14" s="1"/>
  <c r="M4111" i="13"/>
  <c r="M4112" i="14"/>
  <c r="J4108" i="13" a="1"/>
  <c r="J4108" i="13" s="1"/>
  <c r="N4109" i="13"/>
  <c r="K3945" i="14" l="1"/>
  <c r="L3945" i="14" s="1"/>
  <c r="I3946" i="14" s="1"/>
  <c r="K3923" i="13"/>
  <c r="L3923" i="13" s="1"/>
  <c r="I3924" i="13" s="1"/>
  <c r="N4110" i="13"/>
  <c r="J4109" i="13" a="1"/>
  <c r="J4109" i="13" s="1"/>
  <c r="M4112" i="13"/>
  <c r="M4113" i="14"/>
  <c r="J4108" i="14" a="1"/>
  <c r="J4108" i="14" s="1"/>
  <c r="N4109" i="14"/>
  <c r="K3924" i="13" l="1"/>
  <c r="L3924" i="13" s="1"/>
  <c r="I3925" i="13" s="1"/>
  <c r="K3946" i="14"/>
  <c r="L3946" i="14" s="1"/>
  <c r="I3947" i="14" s="1"/>
  <c r="J4109" i="14" a="1"/>
  <c r="J4109" i="14" s="1"/>
  <c r="N4110" i="14"/>
  <c r="M4113" i="13"/>
  <c r="M4114" i="14"/>
  <c r="J4110" i="13" a="1"/>
  <c r="J4110" i="13" s="1"/>
  <c r="N4111" i="13"/>
  <c r="K3947" i="14" l="1"/>
  <c r="L3947" i="14" s="1"/>
  <c r="I3948" i="14" s="1"/>
  <c r="K3925" i="13"/>
  <c r="L3925" i="13" s="1"/>
  <c r="I3926" i="13" s="1"/>
  <c r="N4112" i="13"/>
  <c r="J4111" i="13" a="1"/>
  <c r="J4111" i="13" s="1"/>
  <c r="M4114" i="13"/>
  <c r="M4115" i="14"/>
  <c r="N4111" i="14"/>
  <c r="J4110" i="14" a="1"/>
  <c r="J4110" i="14" s="1"/>
  <c r="K3926" i="13" l="1"/>
  <c r="L3926" i="13" s="1"/>
  <c r="I3927" i="13" s="1"/>
  <c r="K3948" i="14"/>
  <c r="L3948" i="14" s="1"/>
  <c r="I3949" i="14" s="1"/>
  <c r="M4115" i="13"/>
  <c r="N4112" i="14"/>
  <c r="J4111" i="14" a="1"/>
  <c r="J4111" i="14" s="1"/>
  <c r="M4116" i="14"/>
  <c r="J4112" i="13" a="1"/>
  <c r="J4112" i="13" s="1"/>
  <c r="N4113" i="13"/>
  <c r="K3949" i="14" l="1"/>
  <c r="L3949" i="14" s="1"/>
  <c r="I3950" i="14" s="1"/>
  <c r="K3927" i="13"/>
  <c r="L3927" i="13" s="1"/>
  <c r="I3928" i="13" s="1"/>
  <c r="N4114" i="13"/>
  <c r="J4113" i="13" a="1"/>
  <c r="J4113" i="13" s="1"/>
  <c r="J4112" i="14" a="1"/>
  <c r="J4112" i="14" s="1"/>
  <c r="N4113" i="14"/>
  <c r="M4117" i="14"/>
  <c r="M4116" i="13"/>
  <c r="K3950" i="14" l="1"/>
  <c r="L3950" i="14" s="1"/>
  <c r="I3951" i="14" s="1"/>
  <c r="J4113" i="14" a="1"/>
  <c r="J4113" i="14" s="1"/>
  <c r="N4114" i="14"/>
  <c r="K3928" i="13"/>
  <c r="L3928" i="13" s="1"/>
  <c r="I3929" i="13" s="1"/>
  <c r="M4117" i="13"/>
  <c r="M4118" i="14"/>
  <c r="J4114" i="13" a="1"/>
  <c r="J4114" i="13" s="1"/>
  <c r="N4115" i="13"/>
  <c r="K3929" i="13" l="1"/>
  <c r="L3929" i="13" s="1"/>
  <c r="I3930" i="13" s="1"/>
  <c r="K3951" i="14"/>
  <c r="L3951" i="14" s="1"/>
  <c r="I3952" i="14" s="1"/>
  <c r="N4116" i="13"/>
  <c r="J4115" i="13" a="1"/>
  <c r="J4115" i="13" s="1"/>
  <c r="N4115" i="14"/>
  <c r="J4114" i="14" a="1"/>
  <c r="J4114" i="14" s="1"/>
  <c r="M4118" i="13"/>
  <c r="M4119" i="14"/>
  <c r="K3952" i="14" l="1"/>
  <c r="L3952" i="14" s="1"/>
  <c r="I3953" i="14" s="1"/>
  <c r="K3930" i="13"/>
  <c r="L3930" i="13" s="1"/>
  <c r="I3931" i="13" s="1"/>
  <c r="N4116" i="14"/>
  <c r="J4115" i="14" a="1"/>
  <c r="J4115" i="14" s="1"/>
  <c r="M4119" i="13"/>
  <c r="M4120" i="14"/>
  <c r="J4116" i="13" a="1"/>
  <c r="J4116" i="13" s="1"/>
  <c r="N4117" i="13"/>
  <c r="K3931" i="13" l="1"/>
  <c r="L3931" i="13" s="1"/>
  <c r="I3932" i="13" s="1"/>
  <c r="K3953" i="14"/>
  <c r="L3953" i="14" s="1"/>
  <c r="I3954" i="14" s="1"/>
  <c r="N4118" i="13"/>
  <c r="J4117" i="13" a="1"/>
  <c r="J4117" i="13" s="1"/>
  <c r="M4120" i="13"/>
  <c r="M4121" i="14"/>
  <c r="J4116" i="14" a="1"/>
  <c r="J4116" i="14" s="1"/>
  <c r="N4117" i="14"/>
  <c r="K3954" i="14" l="1"/>
  <c r="L3954" i="14" s="1"/>
  <c r="I3955" i="14" s="1"/>
  <c r="K3932" i="13"/>
  <c r="L3932" i="13" s="1"/>
  <c r="I3933" i="13" s="1"/>
  <c r="J4117" i="14" a="1"/>
  <c r="J4117" i="14" s="1"/>
  <c r="N4118" i="14"/>
  <c r="M4121" i="13"/>
  <c r="M4122" i="14"/>
  <c r="J4118" i="13" a="1"/>
  <c r="J4118" i="13" s="1"/>
  <c r="N4119" i="13"/>
  <c r="K3933" i="13" l="1"/>
  <c r="L3933" i="13" s="1"/>
  <c r="I3934" i="13" s="1"/>
  <c r="K3955" i="14"/>
  <c r="L3955" i="14" s="1"/>
  <c r="I3956" i="14" s="1"/>
  <c r="N4120" i="13"/>
  <c r="J4119" i="13" a="1"/>
  <c r="J4119" i="13" s="1"/>
  <c r="M4122" i="13"/>
  <c r="M4123" i="14"/>
  <c r="N4119" i="14"/>
  <c r="J4118" i="14" a="1"/>
  <c r="J4118" i="14" s="1"/>
  <c r="K3956" i="14" l="1"/>
  <c r="L3956" i="14" s="1"/>
  <c r="I3957" i="14" s="1"/>
  <c r="K3934" i="13"/>
  <c r="L3934" i="13" s="1"/>
  <c r="I3935" i="13" s="1"/>
  <c r="M4123" i="13"/>
  <c r="N4120" i="14"/>
  <c r="J4119" i="14" a="1"/>
  <c r="J4119" i="14" s="1"/>
  <c r="M4124" i="14"/>
  <c r="J4120" i="13" a="1"/>
  <c r="J4120" i="13" s="1"/>
  <c r="N4121" i="13"/>
  <c r="K3935" i="13" l="1"/>
  <c r="L3935" i="13" s="1"/>
  <c r="I3936" i="13" s="1"/>
  <c r="K3957" i="14"/>
  <c r="L3957" i="14" s="1"/>
  <c r="I3958" i="14" s="1"/>
  <c r="N4122" i="13"/>
  <c r="J4121" i="13" a="1"/>
  <c r="J4121" i="13" s="1"/>
  <c r="J4120" i="14" a="1"/>
  <c r="J4120" i="14" s="1"/>
  <c r="N4121" i="14"/>
  <c r="M4125" i="14"/>
  <c r="M4124" i="13"/>
  <c r="K3958" i="14" l="1"/>
  <c r="L3958" i="14" s="1"/>
  <c r="I3959" i="14" s="1"/>
  <c r="K3936" i="13"/>
  <c r="L3936" i="13" s="1"/>
  <c r="I3937" i="13" s="1"/>
  <c r="J4121" i="14" a="1"/>
  <c r="J4121" i="14" s="1"/>
  <c r="N4122" i="14"/>
  <c r="M4125" i="13"/>
  <c r="M4126" i="14"/>
  <c r="J4122" i="13" a="1"/>
  <c r="J4122" i="13" s="1"/>
  <c r="N4123" i="13"/>
  <c r="K3937" i="13" l="1"/>
  <c r="L3937" i="13" s="1"/>
  <c r="I3938" i="13" s="1"/>
  <c r="K3959" i="14"/>
  <c r="L3959" i="14" s="1"/>
  <c r="I3960" i="14" s="1"/>
  <c r="N4124" i="13"/>
  <c r="J4123" i="13" a="1"/>
  <c r="J4123" i="13" s="1"/>
  <c r="M4126" i="13"/>
  <c r="M4127" i="14"/>
  <c r="J4122" i="14" a="1"/>
  <c r="J4122" i="14" s="1"/>
  <c r="N4123" i="14"/>
  <c r="K3960" i="14" l="1"/>
  <c r="L3960" i="14" s="1"/>
  <c r="I3961" i="14" s="1"/>
  <c r="K3938" i="13"/>
  <c r="L3938" i="13" s="1"/>
  <c r="I3939" i="13" s="1"/>
  <c r="N4124" i="14"/>
  <c r="J4123" i="14" a="1"/>
  <c r="J4123" i="14" s="1"/>
  <c r="M4127" i="13"/>
  <c r="M4128" i="14"/>
  <c r="J4124" i="13" a="1"/>
  <c r="J4124" i="13" s="1"/>
  <c r="N4125" i="13"/>
  <c r="K3939" i="13" l="1"/>
  <c r="L3939" i="13" s="1"/>
  <c r="I3940" i="13" s="1"/>
  <c r="K3961" i="14"/>
  <c r="L3961" i="14" s="1"/>
  <c r="I3962" i="14" s="1"/>
  <c r="N4126" i="13"/>
  <c r="J4125" i="13" a="1"/>
  <c r="J4125" i="13" s="1"/>
  <c r="M4128" i="13"/>
  <c r="M4129" i="14"/>
  <c r="J4124" i="14" a="1"/>
  <c r="J4124" i="14" s="1"/>
  <c r="N4125" i="14"/>
  <c r="K3962" i="14" l="1"/>
  <c r="L3962" i="14" s="1"/>
  <c r="I3963" i="14" s="1"/>
  <c r="K3940" i="13"/>
  <c r="L3940" i="13" s="1"/>
  <c r="I3941" i="13" s="1"/>
  <c r="J4125" i="14" a="1"/>
  <c r="J4125" i="14" s="1"/>
  <c r="N4126" i="14"/>
  <c r="M4129" i="13"/>
  <c r="M4130" i="14"/>
  <c r="J4126" i="13" a="1"/>
  <c r="J4126" i="13" s="1"/>
  <c r="N4127" i="13"/>
  <c r="K3941" i="13" l="1"/>
  <c r="L3941" i="13" s="1"/>
  <c r="I3942" i="13" s="1"/>
  <c r="K3963" i="14"/>
  <c r="L3963" i="14" s="1"/>
  <c r="I3964" i="14" s="1"/>
  <c r="N4128" i="13"/>
  <c r="J4127" i="13" a="1"/>
  <c r="J4127" i="13" s="1"/>
  <c r="M4130" i="13"/>
  <c r="M4131" i="14"/>
  <c r="N4127" i="14"/>
  <c r="J4126" i="14" a="1"/>
  <c r="J4126" i="14" s="1"/>
  <c r="K3964" i="14" l="1"/>
  <c r="L3964" i="14" s="1"/>
  <c r="I3965" i="14" s="1"/>
  <c r="K3942" i="13"/>
  <c r="L3942" i="13" s="1"/>
  <c r="I3943" i="13" s="1"/>
  <c r="M4131" i="13"/>
  <c r="N4128" i="14"/>
  <c r="J4127" i="14" a="1"/>
  <c r="J4127" i="14" s="1"/>
  <c r="M4132" i="14"/>
  <c r="J4128" i="13" a="1"/>
  <c r="J4128" i="13" s="1"/>
  <c r="N4129" i="13"/>
  <c r="K3943" i="13" l="1"/>
  <c r="L3943" i="13" s="1"/>
  <c r="I3944" i="13" s="1"/>
  <c r="K3965" i="14"/>
  <c r="L3965" i="14" s="1"/>
  <c r="I3966" i="14" s="1"/>
  <c r="N4130" i="13"/>
  <c r="J4129" i="13" a="1"/>
  <c r="J4129" i="13" s="1"/>
  <c r="J4128" i="14" a="1"/>
  <c r="J4128" i="14" s="1"/>
  <c r="N4129" i="14"/>
  <c r="M4133" i="14"/>
  <c r="M4132" i="13"/>
  <c r="K3966" i="14" l="1"/>
  <c r="L3966" i="14" s="1"/>
  <c r="I3967" i="14" s="1"/>
  <c r="K3944" i="13"/>
  <c r="L3944" i="13" s="1"/>
  <c r="I3945" i="13" s="1"/>
  <c r="J4129" i="14" a="1"/>
  <c r="J4129" i="14" s="1"/>
  <c r="N4130" i="14"/>
  <c r="M4133" i="13"/>
  <c r="M4134" i="14"/>
  <c r="J4130" i="13" a="1"/>
  <c r="J4130" i="13" s="1"/>
  <c r="N4131" i="13"/>
  <c r="K3945" i="13" l="1"/>
  <c r="L3945" i="13" s="1"/>
  <c r="I3946" i="13" s="1"/>
  <c r="K3967" i="14"/>
  <c r="L3967" i="14" s="1"/>
  <c r="I3968" i="14" s="1"/>
  <c r="N4132" i="13"/>
  <c r="J4131" i="13" a="1"/>
  <c r="J4131" i="13" s="1"/>
  <c r="M4134" i="13"/>
  <c r="M4135" i="14"/>
  <c r="N4131" i="14"/>
  <c r="J4130" i="14" a="1"/>
  <c r="J4130" i="14" s="1"/>
  <c r="K3968" i="14" l="1"/>
  <c r="L3968" i="14" s="1"/>
  <c r="I3969" i="14" s="1"/>
  <c r="K3946" i="13"/>
  <c r="L3946" i="13" s="1"/>
  <c r="I3947" i="13" s="1"/>
  <c r="M4135" i="13"/>
  <c r="N4132" i="14"/>
  <c r="J4131" i="14" a="1"/>
  <c r="J4131" i="14" s="1"/>
  <c r="M4136" i="14"/>
  <c r="J4132" i="13" a="1"/>
  <c r="J4132" i="13" s="1"/>
  <c r="N4133" i="13"/>
  <c r="K3969" i="14" l="1"/>
  <c r="L3969" i="14" s="1"/>
  <c r="I3970" i="14" s="1"/>
  <c r="N4134" i="13"/>
  <c r="J4133" i="13" a="1"/>
  <c r="J4133" i="13" s="1"/>
  <c r="K3947" i="13"/>
  <c r="L3947" i="13" s="1"/>
  <c r="I3948" i="13" s="1"/>
  <c r="J4132" i="14" a="1"/>
  <c r="J4132" i="14" s="1"/>
  <c r="N4133" i="14"/>
  <c r="M4137" i="14"/>
  <c r="M4136" i="13"/>
  <c r="K3948" i="13" l="1"/>
  <c r="L3948" i="13" s="1"/>
  <c r="I3949" i="13" s="1"/>
  <c r="K3970" i="14"/>
  <c r="L3970" i="14" s="1"/>
  <c r="I3971" i="14" s="1"/>
  <c r="J4133" i="14" a="1"/>
  <c r="J4133" i="14" s="1"/>
  <c r="N4134" i="14"/>
  <c r="J4134" i="13" a="1"/>
  <c r="J4134" i="13" s="1"/>
  <c r="N4135" i="13"/>
  <c r="M4137" i="13"/>
  <c r="M4138" i="14"/>
  <c r="K3971" i="14" l="1"/>
  <c r="L3971" i="14" s="1"/>
  <c r="I3972" i="14" s="1"/>
  <c r="K3949" i="13"/>
  <c r="L3949" i="13" s="1"/>
  <c r="I3950" i="13" s="1"/>
  <c r="M4139" i="14"/>
  <c r="N4136" i="13"/>
  <c r="J4135" i="13" a="1"/>
  <c r="J4135" i="13" s="1"/>
  <c r="N4135" i="14"/>
  <c r="J4134" i="14" a="1"/>
  <c r="J4134" i="14" s="1"/>
  <c r="M4138" i="13"/>
  <c r="K3950" i="13" l="1"/>
  <c r="L3950" i="13" s="1"/>
  <c r="I3951" i="13" s="1"/>
  <c r="K3972" i="14"/>
  <c r="L3972" i="14" s="1"/>
  <c r="I3973" i="14" s="1"/>
  <c r="J4136" i="13" a="1"/>
  <c r="J4136" i="13" s="1"/>
  <c r="N4137" i="13"/>
  <c r="M4139" i="13"/>
  <c r="N4136" i="14"/>
  <c r="J4135" i="14" a="1"/>
  <c r="J4135" i="14" s="1"/>
  <c r="M4140" i="14"/>
  <c r="K3973" i="14" l="1"/>
  <c r="L3973" i="14" s="1"/>
  <c r="I3974" i="14" s="1"/>
  <c r="K3951" i="13"/>
  <c r="L3951" i="13" s="1"/>
  <c r="I3952" i="13" s="1"/>
  <c r="M4141" i="14"/>
  <c r="M4140" i="13"/>
  <c r="N4138" i="13"/>
  <c r="J4137" i="13" a="1"/>
  <c r="J4137" i="13" s="1"/>
  <c r="J4136" i="14" a="1"/>
  <c r="J4136" i="14" s="1"/>
  <c r="N4137" i="14"/>
  <c r="K3952" i="13" l="1"/>
  <c r="L3952" i="13" s="1"/>
  <c r="I3953" i="13" s="1"/>
  <c r="K3974" i="14"/>
  <c r="L3974" i="14" s="1"/>
  <c r="I3975" i="14" s="1"/>
  <c r="J4137" i="14" a="1"/>
  <c r="J4137" i="14" s="1"/>
  <c r="N4138" i="14"/>
  <c r="M4141" i="13"/>
  <c r="M4142" i="14"/>
  <c r="J4138" i="13" a="1"/>
  <c r="J4138" i="13" s="1"/>
  <c r="N4139" i="13"/>
  <c r="K3975" i="14" l="1"/>
  <c r="L3975" i="14" s="1"/>
  <c r="I3976" i="14" s="1"/>
  <c r="K3953" i="13"/>
  <c r="L3953" i="13" s="1"/>
  <c r="I3954" i="13" s="1"/>
  <c r="N4140" i="13"/>
  <c r="J4139" i="13" a="1"/>
  <c r="J4139" i="13" s="1"/>
  <c r="M4142" i="13"/>
  <c r="M4143" i="14"/>
  <c r="J4138" i="14" a="1"/>
  <c r="J4138" i="14" s="1"/>
  <c r="N4139" i="14"/>
  <c r="K3954" i="13" l="1"/>
  <c r="L3954" i="13" s="1"/>
  <c r="I3955" i="13" s="1"/>
  <c r="K3976" i="14"/>
  <c r="L3976" i="14" s="1"/>
  <c r="I3977" i="14" s="1"/>
  <c r="N4140" i="14"/>
  <c r="J4139" i="14" a="1"/>
  <c r="J4139" i="14" s="1"/>
  <c r="M4143" i="13"/>
  <c r="M4144" i="14"/>
  <c r="J4140" i="13" a="1"/>
  <c r="J4140" i="13" s="1"/>
  <c r="N4141" i="13"/>
  <c r="K3977" i="14" l="1"/>
  <c r="L3977" i="14" s="1"/>
  <c r="I3978" i="14" s="1"/>
  <c r="K3955" i="13"/>
  <c r="L3955" i="13" s="1"/>
  <c r="I3956" i="13" s="1"/>
  <c r="M4144" i="13"/>
  <c r="N4142" i="13"/>
  <c r="J4141" i="13" a="1"/>
  <c r="J4141" i="13" s="1"/>
  <c r="M4145" i="14"/>
  <c r="J4140" i="14" a="1"/>
  <c r="J4140" i="14" s="1"/>
  <c r="N4141" i="14"/>
  <c r="K3956" i="13" l="1"/>
  <c r="L3956" i="13" s="1"/>
  <c r="I3957" i="13" s="1"/>
  <c r="K3978" i="14"/>
  <c r="L3978" i="14" s="1"/>
  <c r="I3979" i="14" s="1"/>
  <c r="J4142" i="13" a="1"/>
  <c r="J4142" i="13" s="1"/>
  <c r="N4143" i="13"/>
  <c r="J4141" i="14" a="1"/>
  <c r="J4141" i="14" s="1"/>
  <c r="N4142" i="14"/>
  <c r="M4145" i="13"/>
  <c r="M4146" i="14"/>
  <c r="K3979" i="14" l="1"/>
  <c r="L3979" i="14" s="1"/>
  <c r="I3980" i="14" s="1"/>
  <c r="K3957" i="13"/>
  <c r="L3957" i="13" s="1"/>
  <c r="I3958" i="13" s="1"/>
  <c r="N4143" i="14"/>
  <c r="J4142" i="14" a="1"/>
  <c r="J4142" i="14" s="1"/>
  <c r="M4147" i="14"/>
  <c r="N4144" i="13"/>
  <c r="J4143" i="13" a="1"/>
  <c r="J4143" i="13" s="1"/>
  <c r="M4146" i="13"/>
  <c r="K3958" i="13" l="1"/>
  <c r="L3958" i="13" s="1"/>
  <c r="I3959" i="13" s="1"/>
  <c r="K3980" i="14"/>
  <c r="L3980" i="14" s="1"/>
  <c r="I3981" i="14" s="1"/>
  <c r="M4147" i="13"/>
  <c r="M4148" i="14"/>
  <c r="J4144" i="13" a="1"/>
  <c r="J4144" i="13" s="1"/>
  <c r="N4145" i="13"/>
  <c r="N4144" i="14"/>
  <c r="J4143" i="14" a="1"/>
  <c r="J4143" i="14" s="1"/>
  <c r="K3981" i="14" l="1"/>
  <c r="L3981" i="14" s="1"/>
  <c r="I3982" i="14" s="1"/>
  <c r="K3959" i="13"/>
  <c r="L3959" i="13" s="1"/>
  <c r="I3960" i="13" s="1"/>
  <c r="J4144" i="14" a="1"/>
  <c r="J4144" i="14" s="1"/>
  <c r="N4145" i="14"/>
  <c r="M4149" i="14"/>
  <c r="N4146" i="13"/>
  <c r="J4145" i="13" a="1"/>
  <c r="J4145" i="13" s="1"/>
  <c r="M4148" i="13"/>
  <c r="K3960" i="13" l="1"/>
  <c r="L3960" i="13" s="1"/>
  <c r="I3961" i="13" s="1"/>
  <c r="K3982" i="14"/>
  <c r="L3982" i="14" s="1"/>
  <c r="I3983" i="14" s="1"/>
  <c r="M4149" i="13"/>
  <c r="M4150" i="14"/>
  <c r="J4145" i="14" a="1"/>
  <c r="J4145" i="14" s="1"/>
  <c r="N4146" i="14"/>
  <c r="J4146" i="13" a="1"/>
  <c r="J4146" i="13" s="1"/>
  <c r="N4147" i="13"/>
  <c r="K3983" i="14" l="1"/>
  <c r="L3983" i="14" s="1"/>
  <c r="I3984" i="14" s="1"/>
  <c r="K3961" i="13"/>
  <c r="L3961" i="13" s="1"/>
  <c r="I3962" i="13" s="1"/>
  <c r="N4148" i="13"/>
  <c r="J4147" i="13" a="1"/>
  <c r="J4147" i="13" s="1"/>
  <c r="M4151" i="14"/>
  <c r="N4147" i="14"/>
  <c r="J4146" i="14" a="1"/>
  <c r="J4146" i="14" s="1"/>
  <c r="M4150" i="13"/>
  <c r="K3962" i="13" l="1"/>
  <c r="L3962" i="13" s="1"/>
  <c r="I3963" i="13" s="1"/>
  <c r="K3984" i="14"/>
  <c r="L3984" i="14" s="1"/>
  <c r="I3985" i="14" s="1"/>
  <c r="M4151" i="13"/>
  <c r="M4152" i="14"/>
  <c r="N4148" i="14"/>
  <c r="J4147" i="14" a="1"/>
  <c r="J4147" i="14" s="1"/>
  <c r="J4148" i="13" a="1"/>
  <c r="J4148" i="13" s="1"/>
  <c r="N4149" i="13"/>
  <c r="K3985" i="14" l="1"/>
  <c r="L3985" i="14" s="1"/>
  <c r="I3986" i="14" s="1"/>
  <c r="K3963" i="13"/>
  <c r="L3963" i="13" s="1"/>
  <c r="I3964" i="13" s="1"/>
  <c r="N4150" i="13"/>
  <c r="J4149" i="13" a="1"/>
  <c r="J4149" i="13" s="1"/>
  <c r="M4153" i="14"/>
  <c r="J4148" i="14" a="1"/>
  <c r="J4148" i="14" s="1"/>
  <c r="N4149" i="14"/>
  <c r="M4152" i="13"/>
  <c r="K3964" i="13" l="1"/>
  <c r="L3964" i="13" s="1"/>
  <c r="I3965" i="13" s="1"/>
  <c r="K3986" i="14"/>
  <c r="L3986" i="14" s="1"/>
  <c r="I3987" i="14" s="1"/>
  <c r="J4149" i="14" a="1"/>
  <c r="J4149" i="14" s="1"/>
  <c r="N4150" i="14"/>
  <c r="M4153" i="13"/>
  <c r="M4154" i="14"/>
  <c r="J4150" i="13" a="1"/>
  <c r="J4150" i="13" s="1"/>
  <c r="N4151" i="13"/>
  <c r="K3987" i="14" l="1"/>
  <c r="L3987" i="14" s="1"/>
  <c r="I3988" i="14" s="1"/>
  <c r="K3965" i="13"/>
  <c r="L3965" i="13" s="1"/>
  <c r="I3966" i="13" s="1"/>
  <c r="N4152" i="13"/>
  <c r="J4151" i="13" a="1"/>
  <c r="J4151" i="13" s="1"/>
  <c r="M4154" i="13"/>
  <c r="M4155" i="14"/>
  <c r="N4151" i="14"/>
  <c r="J4150" i="14" a="1"/>
  <c r="J4150" i="14" s="1"/>
  <c r="K3966" i="13" l="1"/>
  <c r="L3966" i="13" s="1"/>
  <c r="I3967" i="13" s="1"/>
  <c r="K3988" i="14"/>
  <c r="L3988" i="14" s="1"/>
  <c r="I3989" i="14" s="1"/>
  <c r="M4155" i="13"/>
  <c r="N4152" i="14"/>
  <c r="J4151" i="14" a="1"/>
  <c r="J4151" i="14" s="1"/>
  <c r="M4156" i="14"/>
  <c r="J4152" i="13" a="1"/>
  <c r="J4152" i="13" s="1"/>
  <c r="N4153" i="13"/>
  <c r="K3989" i="14" l="1"/>
  <c r="L3989" i="14" s="1"/>
  <c r="I3990" i="14" s="1"/>
  <c r="K3967" i="13"/>
  <c r="L3967" i="13" s="1"/>
  <c r="I3968" i="13" s="1"/>
  <c r="J4152" i="14" a="1"/>
  <c r="J4152" i="14" s="1"/>
  <c r="N4153" i="14"/>
  <c r="N4154" i="13"/>
  <c r="J4153" i="13" a="1"/>
  <c r="J4153" i="13" s="1"/>
  <c r="M4157" i="14"/>
  <c r="M4156" i="13"/>
  <c r="K3968" i="13" l="1"/>
  <c r="L3968" i="13" s="1"/>
  <c r="I3969" i="13" s="1"/>
  <c r="K3990" i="14"/>
  <c r="L3990" i="14" s="1"/>
  <c r="I3991" i="14" s="1"/>
  <c r="J4154" i="13" a="1"/>
  <c r="J4154" i="13" s="1"/>
  <c r="N4155" i="13"/>
  <c r="M4157" i="13"/>
  <c r="J4153" i="14" a="1"/>
  <c r="J4153" i="14" s="1"/>
  <c r="N4154" i="14"/>
  <c r="M4158" i="14"/>
  <c r="K3991" i="14" l="1"/>
  <c r="L3991" i="14" s="1"/>
  <c r="I3992" i="14" s="1"/>
  <c r="K3969" i="13"/>
  <c r="L3969" i="13" s="1"/>
  <c r="I3970" i="13" s="1"/>
  <c r="J4154" i="14" a="1"/>
  <c r="J4154" i="14" s="1"/>
  <c r="N4155" i="14"/>
  <c r="M4159" i="14"/>
  <c r="M4158" i="13"/>
  <c r="N4156" i="13"/>
  <c r="J4155" i="13" a="1"/>
  <c r="J4155" i="13" s="1"/>
  <c r="K3970" i="13" l="1"/>
  <c r="L3970" i="13" s="1"/>
  <c r="I3971" i="13" s="1"/>
  <c r="K3992" i="14"/>
  <c r="L3992" i="14" s="1"/>
  <c r="I3993" i="14" s="1"/>
  <c r="J4156" i="13" a="1"/>
  <c r="J4156" i="13" s="1"/>
  <c r="N4157" i="13"/>
  <c r="M4160" i="14"/>
  <c r="M4159" i="13"/>
  <c r="N4156" i="14"/>
  <c r="J4155" i="14" a="1"/>
  <c r="J4155" i="14" s="1"/>
  <c r="K3993" i="14" l="1"/>
  <c r="L3993" i="14" s="1"/>
  <c r="I3994" i="14" s="1"/>
  <c r="K3971" i="13"/>
  <c r="L3971" i="13" s="1"/>
  <c r="I3972" i="13" s="1"/>
  <c r="J4156" i="14" a="1"/>
  <c r="J4156" i="14" s="1"/>
  <c r="N4157" i="14"/>
  <c r="M4161" i="14"/>
  <c r="N4158" i="13"/>
  <c r="J4157" i="13" a="1"/>
  <c r="J4157" i="13" s="1"/>
  <c r="M4160" i="13"/>
  <c r="K3972" i="13" l="1"/>
  <c r="L3972" i="13" s="1"/>
  <c r="I3973" i="13" s="1"/>
  <c r="K3994" i="14"/>
  <c r="L3994" i="14" s="1"/>
  <c r="I3995" i="14" s="1"/>
  <c r="M4162" i="14"/>
  <c r="J4157" i="14" a="1"/>
  <c r="J4157" i="14" s="1"/>
  <c r="N4158" i="14"/>
  <c r="M4161" i="13"/>
  <c r="J4158" i="13" a="1"/>
  <c r="J4158" i="13" s="1"/>
  <c r="N4159" i="13"/>
  <c r="K3995" i="14" l="1"/>
  <c r="L3995" i="14" s="1"/>
  <c r="I3996" i="14" s="1"/>
  <c r="K3973" i="13"/>
  <c r="L3973" i="13" s="1"/>
  <c r="I3974" i="13" s="1"/>
  <c r="N4159" i="14"/>
  <c r="J4158" i="14" a="1"/>
  <c r="J4158" i="14" s="1"/>
  <c r="M4163" i="14"/>
  <c r="N4160" i="13"/>
  <c r="J4159" i="13" a="1"/>
  <c r="J4159" i="13" s="1"/>
  <c r="M4162" i="13"/>
  <c r="K3996" i="14" l="1"/>
  <c r="L3996" i="14" s="1"/>
  <c r="I3997" i="14" s="1"/>
  <c r="M4163" i="13"/>
  <c r="M4164" i="14"/>
  <c r="K3974" i="13"/>
  <c r="L3974" i="13" s="1"/>
  <c r="I3975" i="13" s="1"/>
  <c r="J4160" i="13" a="1"/>
  <c r="J4160" i="13" s="1"/>
  <c r="N4161" i="13"/>
  <c r="N4160" i="14"/>
  <c r="J4159" i="14" a="1"/>
  <c r="J4159" i="14" s="1"/>
  <c r="K3975" i="13" l="1"/>
  <c r="L3975" i="13" s="1"/>
  <c r="I3976" i="13" s="1"/>
  <c r="K3997" i="14"/>
  <c r="L3997" i="14" s="1"/>
  <c r="I3998" i="14" s="1"/>
  <c r="J4160" i="14" a="1"/>
  <c r="J4160" i="14" s="1"/>
  <c r="N4161" i="14"/>
  <c r="M4164" i="13"/>
  <c r="N4162" i="13"/>
  <c r="J4161" i="13" a="1"/>
  <c r="J4161" i="13" s="1"/>
  <c r="M4165" i="14"/>
  <c r="K3998" i="14" l="1"/>
  <c r="L3998" i="14" s="1"/>
  <c r="I3999" i="14" s="1"/>
  <c r="K3976" i="13"/>
  <c r="L3976" i="13" s="1"/>
  <c r="I3977" i="13" s="1"/>
  <c r="M4166" i="14"/>
  <c r="M4165" i="13"/>
  <c r="J4161" i="14" a="1"/>
  <c r="J4161" i="14" s="1"/>
  <c r="N4162" i="14"/>
  <c r="J4162" i="13" a="1"/>
  <c r="J4162" i="13" s="1"/>
  <c r="N4163" i="13"/>
  <c r="K3977" i="13" l="1"/>
  <c r="L3977" i="13" s="1"/>
  <c r="I3978" i="13" s="1"/>
  <c r="K3999" i="14"/>
  <c r="L3999" i="14" s="1"/>
  <c r="I4000" i="14" s="1"/>
  <c r="N4164" i="13"/>
  <c r="J4163" i="13" a="1"/>
  <c r="J4163" i="13" s="1"/>
  <c r="M4166" i="13"/>
  <c r="N4163" i="14"/>
  <c r="J4162" i="14" a="1"/>
  <c r="J4162" i="14" s="1"/>
  <c r="M4167" i="14"/>
  <c r="K4000" i="14" l="1"/>
  <c r="L4000" i="14" s="1"/>
  <c r="I4001" i="14" s="1"/>
  <c r="K3978" i="13"/>
  <c r="L3978" i="13" s="1"/>
  <c r="I3979" i="13" s="1"/>
  <c r="M4167" i="13"/>
  <c r="M4168" i="14"/>
  <c r="N4164" i="14"/>
  <c r="J4163" i="14" a="1"/>
  <c r="J4163" i="14" s="1"/>
  <c r="J4164" i="13" a="1"/>
  <c r="J4164" i="13" s="1"/>
  <c r="N4165" i="13"/>
  <c r="K3979" i="13" l="1"/>
  <c r="L3979" i="13" s="1"/>
  <c r="I3980" i="13" s="1"/>
  <c r="K4001" i="14"/>
  <c r="L4001" i="14" s="1"/>
  <c r="I4002" i="14" s="1"/>
  <c r="N4166" i="13"/>
  <c r="J4165" i="13" a="1"/>
  <c r="J4165" i="13" s="1"/>
  <c r="M4169" i="14"/>
  <c r="J4164" i="14" a="1"/>
  <c r="J4164" i="14" s="1"/>
  <c r="N4165" i="14"/>
  <c r="M4168" i="13"/>
  <c r="K4002" i="14" l="1"/>
  <c r="L4002" i="14" s="1"/>
  <c r="I4003" i="14" s="1"/>
  <c r="K3980" i="13"/>
  <c r="L3980" i="13" s="1"/>
  <c r="I3981" i="13" s="1"/>
  <c r="M4169" i="13"/>
  <c r="J4165" i="14" a="1"/>
  <c r="J4165" i="14" s="1"/>
  <c r="N4166" i="14"/>
  <c r="M4170" i="14"/>
  <c r="J4166" i="13" a="1"/>
  <c r="J4166" i="13" s="1"/>
  <c r="N4167" i="13"/>
  <c r="K3981" i="13" l="1"/>
  <c r="L3981" i="13" s="1"/>
  <c r="I3982" i="13" s="1"/>
  <c r="K4003" i="14"/>
  <c r="L4003" i="14" s="1"/>
  <c r="I4004" i="14" s="1"/>
  <c r="N4168" i="13"/>
  <c r="J4167" i="13" a="1"/>
  <c r="J4167" i="13" s="1"/>
  <c r="N4167" i="14"/>
  <c r="J4166" i="14" a="1"/>
  <c r="J4166" i="14" s="1"/>
  <c r="M4171" i="14"/>
  <c r="M4170" i="13"/>
  <c r="K4004" i="14" l="1"/>
  <c r="L4004" i="14" s="1"/>
  <c r="I4005" i="14" s="1"/>
  <c r="K3982" i="13"/>
  <c r="L3982" i="13" s="1"/>
  <c r="I3983" i="13" s="1"/>
  <c r="N4168" i="14"/>
  <c r="J4167" i="14" a="1"/>
  <c r="J4167" i="14" s="1"/>
  <c r="M4171" i="13"/>
  <c r="M4172" i="14"/>
  <c r="J4168" i="13" a="1"/>
  <c r="J4168" i="13" s="1"/>
  <c r="N4169" i="13"/>
  <c r="K3983" i="13" l="1"/>
  <c r="L3983" i="13" s="1"/>
  <c r="I3984" i="13" s="1"/>
  <c r="K4005" i="14"/>
  <c r="L4005" i="14" s="1"/>
  <c r="I4006" i="14" s="1"/>
  <c r="N4170" i="13"/>
  <c r="J4169" i="13" a="1"/>
  <c r="J4169" i="13" s="1"/>
  <c r="M4172" i="13"/>
  <c r="M4173" i="14"/>
  <c r="J4168" i="14" a="1"/>
  <c r="J4168" i="14" s="1"/>
  <c r="N4169" i="14"/>
  <c r="K4006" i="14" l="1"/>
  <c r="L4006" i="14" s="1"/>
  <c r="I4007" i="14" s="1"/>
  <c r="K3984" i="13"/>
  <c r="L3984" i="13" s="1"/>
  <c r="I3985" i="13" s="1"/>
  <c r="J4169" i="14" a="1"/>
  <c r="J4169" i="14" s="1"/>
  <c r="N4170" i="14"/>
  <c r="M4173" i="13"/>
  <c r="M4174" i="14"/>
  <c r="J4170" i="13" a="1"/>
  <c r="J4170" i="13" s="1"/>
  <c r="N4171" i="13"/>
  <c r="K3985" i="13" l="1"/>
  <c r="L3985" i="13" s="1"/>
  <c r="I3986" i="13" s="1"/>
  <c r="K4007" i="14"/>
  <c r="L4007" i="14" s="1"/>
  <c r="I4008" i="14" s="1"/>
  <c r="N4172" i="13"/>
  <c r="J4171" i="13" a="1"/>
  <c r="J4171" i="13" s="1"/>
  <c r="M4174" i="13"/>
  <c r="M4175" i="14"/>
  <c r="J4170" i="14" a="1"/>
  <c r="J4170" i="14" s="1"/>
  <c r="N4171" i="14"/>
  <c r="K4008" i="14" l="1"/>
  <c r="L4008" i="14" s="1"/>
  <c r="I4009" i="14" s="1"/>
  <c r="K3986" i="13"/>
  <c r="L3986" i="13" s="1"/>
  <c r="I3987" i="13" s="1"/>
  <c r="N4172" i="14"/>
  <c r="J4171" i="14" a="1"/>
  <c r="J4171" i="14" s="1"/>
  <c r="M4175" i="13"/>
  <c r="M4176" i="14"/>
  <c r="J4172" i="13" a="1"/>
  <c r="J4172" i="13" s="1"/>
  <c r="N4173" i="13"/>
  <c r="K3987" i="13" l="1"/>
  <c r="L3987" i="13" s="1"/>
  <c r="I3988" i="13" s="1"/>
  <c r="K4009" i="14"/>
  <c r="L4009" i="14" s="1"/>
  <c r="I4010" i="14" s="1"/>
  <c r="M4176" i="13"/>
  <c r="N4174" i="13"/>
  <c r="J4173" i="13" a="1"/>
  <c r="J4173" i="13" s="1"/>
  <c r="M4177" i="14"/>
  <c r="J4172" i="14" a="1"/>
  <c r="J4172" i="14" s="1"/>
  <c r="N4173" i="14"/>
  <c r="K4010" i="14" l="1"/>
  <c r="L4010" i="14" s="1"/>
  <c r="I4011" i="14" s="1"/>
  <c r="K3988" i="13"/>
  <c r="L3988" i="13" s="1"/>
  <c r="I3989" i="13" s="1"/>
  <c r="J4174" i="13" a="1"/>
  <c r="J4174" i="13" s="1"/>
  <c r="N4175" i="13"/>
  <c r="J4173" i="14" a="1"/>
  <c r="J4173" i="14" s="1"/>
  <c r="N4174" i="14"/>
  <c r="M4177" i="13"/>
  <c r="M4178" i="14"/>
  <c r="K3989" i="13" l="1"/>
  <c r="L3989" i="13" s="1"/>
  <c r="I3990" i="13" s="1"/>
  <c r="K4011" i="14"/>
  <c r="L4011" i="14" s="1"/>
  <c r="I4012" i="14" s="1"/>
  <c r="N4175" i="14"/>
  <c r="J4174" i="14" a="1"/>
  <c r="J4174" i="14" s="1"/>
  <c r="M4179" i="14"/>
  <c r="N4176" i="13"/>
  <c r="J4175" i="13" a="1"/>
  <c r="J4175" i="13" s="1"/>
  <c r="M4178" i="13"/>
  <c r="K4012" i="14" l="1"/>
  <c r="L4012" i="14" s="1"/>
  <c r="I4013" i="14" s="1"/>
  <c r="K3990" i="13"/>
  <c r="L3990" i="13" s="1"/>
  <c r="I3991" i="13" s="1"/>
  <c r="M4179" i="13"/>
  <c r="M4180" i="14"/>
  <c r="J4176" i="13" a="1"/>
  <c r="J4176" i="13" s="1"/>
  <c r="N4177" i="13"/>
  <c r="N4176" i="14"/>
  <c r="J4175" i="14" a="1"/>
  <c r="J4175" i="14" s="1"/>
  <c r="K3991" i="13" l="1"/>
  <c r="L3991" i="13" s="1"/>
  <c r="I3992" i="13" s="1"/>
  <c r="K4013" i="14"/>
  <c r="L4013" i="14" s="1"/>
  <c r="I4014" i="14" s="1"/>
  <c r="J4176" i="14" a="1"/>
  <c r="J4176" i="14" s="1"/>
  <c r="N4177" i="14"/>
  <c r="M4181" i="14"/>
  <c r="N4178" i="13"/>
  <c r="J4177" i="13" a="1"/>
  <c r="J4177" i="13" s="1"/>
  <c r="M4180" i="13"/>
  <c r="K4014" i="14" l="1"/>
  <c r="L4014" i="14" s="1"/>
  <c r="I4015" i="14" s="1"/>
  <c r="K3992" i="13"/>
  <c r="L3992" i="13" s="1"/>
  <c r="I3993" i="13" s="1"/>
  <c r="M4182" i="14"/>
  <c r="M4181" i="13"/>
  <c r="J4177" i="14" a="1"/>
  <c r="J4177" i="14" s="1"/>
  <c r="N4178" i="14"/>
  <c r="J4178" i="13" a="1"/>
  <c r="J4178" i="13" s="1"/>
  <c r="N4179" i="13"/>
  <c r="K3993" i="13" l="1"/>
  <c r="L3993" i="13" s="1"/>
  <c r="I3994" i="13" s="1"/>
  <c r="K4015" i="14"/>
  <c r="L4015" i="14" s="1"/>
  <c r="I4016" i="14" s="1"/>
  <c r="N4180" i="13"/>
  <c r="J4179" i="13" a="1"/>
  <c r="J4179" i="13" s="1"/>
  <c r="M4182" i="13"/>
  <c r="N4179" i="14"/>
  <c r="J4178" i="14" a="1"/>
  <c r="J4178" i="14" s="1"/>
  <c r="M4183" i="14"/>
  <c r="K4016" i="14" l="1"/>
  <c r="L4016" i="14" s="1"/>
  <c r="I4017" i="14" s="1"/>
  <c r="K3994" i="13"/>
  <c r="L3994" i="13" s="1"/>
  <c r="I3995" i="13" s="1"/>
  <c r="M4183" i="13"/>
  <c r="M4184" i="14"/>
  <c r="N4180" i="14"/>
  <c r="J4179" i="14" a="1"/>
  <c r="J4179" i="14" s="1"/>
  <c r="J4180" i="13" a="1"/>
  <c r="J4180" i="13" s="1"/>
  <c r="N4181" i="13"/>
  <c r="K3995" i="13" l="1"/>
  <c r="L3995" i="13" s="1"/>
  <c r="I3996" i="13" s="1"/>
  <c r="K4017" i="14"/>
  <c r="L4017" i="14" s="1"/>
  <c r="I4018" i="14" s="1"/>
  <c r="N4182" i="13"/>
  <c r="J4181" i="13" a="1"/>
  <c r="J4181" i="13" s="1"/>
  <c r="M4185" i="14"/>
  <c r="J4180" i="14" a="1"/>
  <c r="J4180" i="14" s="1"/>
  <c r="N4181" i="14"/>
  <c r="M4184" i="13"/>
  <c r="K4018" i="14" l="1"/>
  <c r="L4018" i="14" s="1"/>
  <c r="I4019" i="14" s="1"/>
  <c r="K3996" i="13"/>
  <c r="L3996" i="13" s="1"/>
  <c r="I3997" i="13" s="1"/>
  <c r="J4181" i="14" a="1"/>
  <c r="J4181" i="14" s="1"/>
  <c r="N4182" i="14"/>
  <c r="M4185" i="13"/>
  <c r="M4186" i="14"/>
  <c r="J4182" i="13" a="1"/>
  <c r="J4182" i="13" s="1"/>
  <c r="N4183" i="13"/>
  <c r="K3997" i="13" l="1"/>
  <c r="L3997" i="13" s="1"/>
  <c r="I3998" i="13" s="1"/>
  <c r="K4019" i="14"/>
  <c r="L4019" i="14" s="1"/>
  <c r="I4020" i="14" s="1"/>
  <c r="M4186" i="13"/>
  <c r="N4184" i="13"/>
  <c r="J4183" i="13" a="1"/>
  <c r="J4183" i="13" s="1"/>
  <c r="N4183" i="14"/>
  <c r="J4182" i="14" a="1"/>
  <c r="J4182" i="14" s="1"/>
  <c r="M4187" i="14"/>
  <c r="K4020" i="14" l="1"/>
  <c r="L4020" i="14" s="1"/>
  <c r="I4021" i="14" s="1"/>
  <c r="K3998" i="13"/>
  <c r="L3998" i="13" s="1"/>
  <c r="I3999" i="13" s="1"/>
  <c r="J4184" i="13" a="1"/>
  <c r="J4184" i="13" s="1"/>
  <c r="N4185" i="13"/>
  <c r="M4187" i="13"/>
  <c r="M4188" i="14"/>
  <c r="N4184" i="14"/>
  <c r="J4183" i="14" a="1"/>
  <c r="J4183" i="14" s="1"/>
  <c r="K3999" i="13" l="1"/>
  <c r="L3999" i="13" s="1"/>
  <c r="I4000" i="13" s="1"/>
  <c r="K4021" i="14"/>
  <c r="L4021" i="14" s="1"/>
  <c r="I4022" i="14" s="1"/>
  <c r="J4184" i="14" a="1"/>
  <c r="J4184" i="14" s="1"/>
  <c r="N4185" i="14"/>
  <c r="M4188" i="13"/>
  <c r="N4186" i="13"/>
  <c r="J4185" i="13" a="1"/>
  <c r="J4185" i="13" s="1"/>
  <c r="M4189" i="14"/>
  <c r="K4022" i="14" l="1"/>
  <c r="L4022" i="14" s="1"/>
  <c r="I4023" i="14" s="1"/>
  <c r="K4000" i="13"/>
  <c r="L4000" i="13" s="1"/>
  <c r="I4001" i="13" s="1"/>
  <c r="M4189" i="13"/>
  <c r="J4186" i="13" a="1"/>
  <c r="J4186" i="13" s="1"/>
  <c r="N4187" i="13"/>
  <c r="M4190" i="14"/>
  <c r="J4185" i="14" a="1"/>
  <c r="J4185" i="14" s="1"/>
  <c r="N4186" i="14"/>
  <c r="K4001" i="13" l="1"/>
  <c r="L4001" i="13" s="1"/>
  <c r="I4002" i="13" s="1"/>
  <c r="K4023" i="14"/>
  <c r="L4023" i="14" s="1"/>
  <c r="I4024" i="14" s="1"/>
  <c r="N4188" i="13"/>
  <c r="J4187" i="13" a="1"/>
  <c r="J4187" i="13" s="1"/>
  <c r="J4186" i="14" a="1"/>
  <c r="J4186" i="14" s="1"/>
  <c r="N4187" i="14"/>
  <c r="M4191" i="14"/>
  <c r="M4190" i="13"/>
  <c r="K4024" i="14" l="1"/>
  <c r="L4024" i="14" s="1"/>
  <c r="I4025" i="14" s="1"/>
  <c r="K4002" i="13"/>
  <c r="L4002" i="13" s="1"/>
  <c r="I4003" i="13" s="1"/>
  <c r="N4188" i="14"/>
  <c r="J4187" i="14" a="1"/>
  <c r="J4187" i="14" s="1"/>
  <c r="M4191" i="13"/>
  <c r="M4192" i="14"/>
  <c r="J4188" i="13" a="1"/>
  <c r="J4188" i="13" s="1"/>
  <c r="N4189" i="13"/>
  <c r="K4025" i="14" l="1"/>
  <c r="L4025" i="14" s="1"/>
  <c r="I4026" i="14" s="1"/>
  <c r="N4190" i="13"/>
  <c r="J4189" i="13" a="1"/>
  <c r="J4189" i="13" s="1"/>
  <c r="K4003" i="13"/>
  <c r="L4003" i="13" s="1"/>
  <c r="I4004" i="13" s="1"/>
  <c r="M4192" i="13"/>
  <c r="M4193" i="14"/>
  <c r="J4188" i="14" a="1"/>
  <c r="J4188" i="14" s="1"/>
  <c r="N4189" i="14"/>
  <c r="K4004" i="13" l="1"/>
  <c r="L4004" i="13" s="1"/>
  <c r="I4005" i="13" s="1"/>
  <c r="K4026" i="14"/>
  <c r="L4026" i="14" s="1"/>
  <c r="I4027" i="14" s="1"/>
  <c r="J4190" i="13" a="1"/>
  <c r="J4190" i="13" s="1"/>
  <c r="N4191" i="13"/>
  <c r="J4189" i="14" a="1"/>
  <c r="J4189" i="14" s="1"/>
  <c r="N4190" i="14"/>
  <c r="M4193" i="13"/>
  <c r="M4194" i="14"/>
  <c r="K4027" i="14" l="1"/>
  <c r="L4027" i="14" s="1"/>
  <c r="I4028" i="14" s="1"/>
  <c r="K4005" i="13"/>
  <c r="L4005" i="13" s="1"/>
  <c r="I4006" i="13" s="1"/>
  <c r="N4191" i="14"/>
  <c r="J4190" i="14" a="1"/>
  <c r="J4190" i="14" s="1"/>
  <c r="M4195" i="14"/>
  <c r="N4192" i="13"/>
  <c r="J4191" i="13" a="1"/>
  <c r="J4191" i="13" s="1"/>
  <c r="M4194" i="13"/>
  <c r="K4006" i="13" l="1"/>
  <c r="L4006" i="13" s="1"/>
  <c r="I4007" i="13" s="1"/>
  <c r="K4028" i="14"/>
  <c r="L4028" i="14" s="1"/>
  <c r="I4029" i="14" s="1"/>
  <c r="M4195" i="13"/>
  <c r="M4196" i="14"/>
  <c r="J4192" i="13" a="1"/>
  <c r="J4192" i="13" s="1"/>
  <c r="N4193" i="13"/>
  <c r="N4192" i="14"/>
  <c r="J4191" i="14" a="1"/>
  <c r="J4191" i="14" s="1"/>
  <c r="K4029" i="14" l="1"/>
  <c r="L4029" i="14" s="1"/>
  <c r="I4030" i="14" s="1"/>
  <c r="K4007" i="13"/>
  <c r="L4007" i="13" s="1"/>
  <c r="I4008" i="13" s="1"/>
  <c r="J4192" i="14" a="1"/>
  <c r="J4192" i="14" s="1"/>
  <c r="N4193" i="14"/>
  <c r="M4197" i="14"/>
  <c r="N4194" i="13"/>
  <c r="J4193" i="13" a="1"/>
  <c r="J4193" i="13" s="1"/>
  <c r="M4196" i="13"/>
  <c r="K4030" i="14" l="1"/>
  <c r="L4030" i="14" s="1"/>
  <c r="I4031" i="14" s="1"/>
  <c r="J4193" i="14" a="1"/>
  <c r="J4193" i="14" s="1"/>
  <c r="N4194" i="14"/>
  <c r="M4197" i="13"/>
  <c r="M4198" i="14"/>
  <c r="K4008" i="13"/>
  <c r="L4008" i="13" s="1"/>
  <c r="I4009" i="13" s="1"/>
  <c r="J4194" i="13" a="1"/>
  <c r="J4194" i="13" s="1"/>
  <c r="N4195" i="13"/>
  <c r="K4009" i="13" l="1"/>
  <c r="L4009" i="13" s="1"/>
  <c r="I4010" i="13" s="1"/>
  <c r="K4031" i="14"/>
  <c r="L4031" i="14" s="1"/>
  <c r="I4032" i="14" s="1"/>
  <c r="M4199" i="14"/>
  <c r="N4195" i="14"/>
  <c r="J4194" i="14" a="1"/>
  <c r="J4194" i="14" s="1"/>
  <c r="N4196" i="13"/>
  <c r="J4195" i="13" a="1"/>
  <c r="J4195" i="13" s="1"/>
  <c r="M4198" i="13"/>
  <c r="K4032" i="14" l="1"/>
  <c r="L4032" i="14" s="1"/>
  <c r="I4033" i="14" s="1"/>
  <c r="K4010" i="13"/>
  <c r="L4010" i="13" s="1"/>
  <c r="I4011" i="13" s="1"/>
  <c r="N4196" i="14"/>
  <c r="J4195" i="14" a="1"/>
  <c r="J4195" i="14" s="1"/>
  <c r="M4199" i="13"/>
  <c r="J4196" i="13" a="1"/>
  <c r="J4196" i="13" s="1"/>
  <c r="N4197" i="13"/>
  <c r="M4200" i="14"/>
  <c r="K4011" i="13" l="1"/>
  <c r="L4011" i="13" s="1"/>
  <c r="I4012" i="13" s="1"/>
  <c r="K4033" i="14"/>
  <c r="L4033" i="14" s="1"/>
  <c r="I4034" i="14" s="1"/>
  <c r="M4201" i="14"/>
  <c r="M4200" i="13"/>
  <c r="N4198" i="13"/>
  <c r="J4197" i="13" a="1"/>
  <c r="J4197" i="13" s="1"/>
  <c r="J4196" i="14" a="1"/>
  <c r="J4196" i="14" s="1"/>
  <c r="N4197" i="14"/>
  <c r="K4034" i="14" l="1"/>
  <c r="L4034" i="14" s="1"/>
  <c r="I4035" i="14" s="1"/>
  <c r="K4012" i="13"/>
  <c r="L4012" i="13" s="1"/>
  <c r="I4013" i="13" s="1"/>
  <c r="J4197" i="14" a="1"/>
  <c r="J4197" i="14" s="1"/>
  <c r="N4198" i="14"/>
  <c r="M4201" i="13"/>
  <c r="J4198" i="13" a="1"/>
  <c r="J4198" i="13" s="1"/>
  <c r="N4199" i="13"/>
  <c r="M4202" i="14"/>
  <c r="K4013" i="13" l="1"/>
  <c r="L4013" i="13" s="1"/>
  <c r="I4014" i="13" s="1"/>
  <c r="K4035" i="14"/>
  <c r="L4035" i="14" s="1"/>
  <c r="I4036" i="14" s="1"/>
  <c r="M4203" i="14"/>
  <c r="N4200" i="13"/>
  <c r="J4199" i="13" a="1"/>
  <c r="J4199" i="13" s="1"/>
  <c r="M4202" i="13"/>
  <c r="N4199" i="14"/>
  <c r="J4198" i="14" a="1"/>
  <c r="J4198" i="14" s="1"/>
  <c r="K4014" i="13" l="1"/>
  <c r="L4014" i="13" s="1"/>
  <c r="I4015" i="13" s="1"/>
  <c r="J4200" i="13" a="1"/>
  <c r="J4200" i="13" s="1"/>
  <c r="N4201" i="13"/>
  <c r="K4036" i="14"/>
  <c r="L4036" i="14" s="1"/>
  <c r="I4037" i="14" s="1"/>
  <c r="N4200" i="14"/>
  <c r="J4199" i="14" a="1"/>
  <c r="J4199" i="14" s="1"/>
  <c r="M4203" i="13"/>
  <c r="M4204" i="14"/>
  <c r="K4037" i="14" l="1"/>
  <c r="L4037" i="14" s="1"/>
  <c r="I4038" i="14" s="1"/>
  <c r="K4015" i="13"/>
  <c r="L4015" i="13" s="1"/>
  <c r="I4016" i="13" s="1"/>
  <c r="N4202" i="13"/>
  <c r="J4201" i="13" a="1"/>
  <c r="J4201" i="13" s="1"/>
  <c r="J4200" i="14" a="1"/>
  <c r="J4200" i="14" s="1"/>
  <c r="N4201" i="14"/>
  <c r="M4205" i="14"/>
  <c r="M4204" i="13"/>
  <c r="K4016" i="13" l="1"/>
  <c r="L4016" i="13" s="1"/>
  <c r="I4017" i="13" s="1"/>
  <c r="K4038" i="14"/>
  <c r="L4038" i="14" s="1"/>
  <c r="I4039" i="14" s="1"/>
  <c r="M4206" i="14"/>
  <c r="M4205" i="13"/>
  <c r="J4201" i="14" a="1"/>
  <c r="J4201" i="14" s="1"/>
  <c r="N4202" i="14"/>
  <c r="J4202" i="13" a="1"/>
  <c r="J4202" i="13" s="1"/>
  <c r="N4203" i="13"/>
  <c r="K4017" i="13" l="1"/>
  <c r="L4017" i="13" s="1"/>
  <c r="I4018" i="13" s="1"/>
  <c r="N4204" i="13"/>
  <c r="J4203" i="13" a="1"/>
  <c r="J4203" i="13" s="1"/>
  <c r="M4206" i="13"/>
  <c r="K4039" i="14"/>
  <c r="L4039" i="14" s="1"/>
  <c r="I4040" i="14" s="1"/>
  <c r="J4202" i="14" a="1"/>
  <c r="J4202" i="14" s="1"/>
  <c r="N4203" i="14"/>
  <c r="M4207" i="14"/>
  <c r="K4040" i="14" l="1"/>
  <c r="L4040" i="14" s="1"/>
  <c r="I4041" i="14" s="1"/>
  <c r="K4018" i="13"/>
  <c r="L4018" i="13" s="1"/>
  <c r="I4019" i="13" s="1"/>
  <c r="J4204" i="13" a="1"/>
  <c r="J4204" i="13" s="1"/>
  <c r="N4205" i="13"/>
  <c r="N4204" i="14"/>
  <c r="J4203" i="14" a="1"/>
  <c r="J4203" i="14" s="1"/>
  <c r="M4207" i="13"/>
  <c r="M4208" i="14"/>
  <c r="K4019" i="13" l="1"/>
  <c r="L4019" i="13" s="1"/>
  <c r="I4020" i="13" s="1"/>
  <c r="K4041" i="14"/>
  <c r="L4041" i="14" s="1"/>
  <c r="I4042" i="14" s="1"/>
  <c r="J4204" i="14" a="1"/>
  <c r="J4204" i="14" s="1"/>
  <c r="N4205" i="14"/>
  <c r="N4206" i="13"/>
  <c r="J4205" i="13" a="1"/>
  <c r="J4205" i="13" s="1"/>
  <c r="M4209" i="14"/>
  <c r="M4208" i="13"/>
  <c r="K4042" i="14" l="1"/>
  <c r="L4042" i="14" s="1"/>
  <c r="I4043" i="14" s="1"/>
  <c r="K4020" i="13"/>
  <c r="L4020" i="13" s="1"/>
  <c r="I4021" i="13" s="1"/>
  <c r="M4209" i="13"/>
  <c r="J4206" i="13" a="1"/>
  <c r="J4206" i="13" s="1"/>
  <c r="N4207" i="13"/>
  <c r="J4205" i="14" a="1"/>
  <c r="J4205" i="14" s="1"/>
  <c r="N4206" i="14"/>
  <c r="M4210" i="14"/>
  <c r="K4021" i="13" l="1"/>
  <c r="L4021" i="13" s="1"/>
  <c r="I4022" i="13" s="1"/>
  <c r="K4043" i="14"/>
  <c r="L4043" i="14" s="1"/>
  <c r="I4044" i="14" s="1"/>
  <c r="M4211" i="14"/>
  <c r="N4208" i="13"/>
  <c r="J4207" i="13" a="1"/>
  <c r="J4207" i="13" s="1"/>
  <c r="N4207" i="14"/>
  <c r="J4206" i="14" a="1"/>
  <c r="J4206" i="14" s="1"/>
  <c r="M4210" i="13"/>
  <c r="K4044" i="14" l="1"/>
  <c r="L4044" i="14" s="1"/>
  <c r="I4045" i="14" s="1"/>
  <c r="K4022" i="13"/>
  <c r="L4022" i="13" s="1"/>
  <c r="I4023" i="13" s="1"/>
  <c r="J4208" i="13" a="1"/>
  <c r="J4208" i="13" s="1"/>
  <c r="N4209" i="13"/>
  <c r="M4211" i="13"/>
  <c r="N4208" i="14"/>
  <c r="J4207" i="14" a="1"/>
  <c r="J4207" i="14" s="1"/>
  <c r="M4212" i="14"/>
  <c r="K4023" i="13" l="1"/>
  <c r="L4023" i="13" s="1"/>
  <c r="I4024" i="13" s="1"/>
  <c r="K4045" i="14"/>
  <c r="L4045" i="14" s="1"/>
  <c r="I4046" i="14" s="1"/>
  <c r="J4208" i="14" a="1"/>
  <c r="J4208" i="14" s="1"/>
  <c r="N4209" i="14"/>
  <c r="M4213" i="14"/>
  <c r="M4212" i="13"/>
  <c r="N4210" i="13"/>
  <c r="J4209" i="13" a="1"/>
  <c r="J4209" i="13" s="1"/>
  <c r="K4046" i="14" l="1"/>
  <c r="L4046" i="14" s="1"/>
  <c r="I4047" i="14" s="1"/>
  <c r="K4024" i="13"/>
  <c r="L4024" i="13" s="1"/>
  <c r="I4025" i="13" s="1"/>
  <c r="M4214" i="14"/>
  <c r="J4210" i="13" a="1"/>
  <c r="J4210" i="13" s="1"/>
  <c r="N4211" i="13"/>
  <c r="J4209" i="14" a="1"/>
  <c r="J4209" i="14" s="1"/>
  <c r="N4210" i="14"/>
  <c r="M4213" i="13"/>
  <c r="K4025" i="13" l="1"/>
  <c r="L4025" i="13" s="1"/>
  <c r="I4026" i="13" s="1"/>
  <c r="K4047" i="14"/>
  <c r="L4047" i="14" s="1"/>
  <c r="I4048" i="14" s="1"/>
  <c r="N4212" i="13"/>
  <c r="J4211" i="13" a="1"/>
  <c r="J4211" i="13" s="1"/>
  <c r="N4211" i="14"/>
  <c r="J4210" i="14" a="1"/>
  <c r="J4210" i="14" s="1"/>
  <c r="M4215" i="14"/>
  <c r="M4214" i="13"/>
  <c r="K4048" i="14" l="1"/>
  <c r="L4048" i="14" s="1"/>
  <c r="I4049" i="14" s="1"/>
  <c r="K4026" i="13"/>
  <c r="L4026" i="13" s="1"/>
  <c r="I4027" i="13" s="1"/>
  <c r="N4212" i="14"/>
  <c r="J4211" i="14" a="1"/>
  <c r="J4211" i="14" s="1"/>
  <c r="M4215" i="13"/>
  <c r="M4216" i="14"/>
  <c r="J4212" i="13" a="1"/>
  <c r="J4212" i="13" s="1"/>
  <c r="N4213" i="13"/>
  <c r="K4027" i="13" l="1"/>
  <c r="L4027" i="13" s="1"/>
  <c r="I4028" i="13" s="1"/>
  <c r="K4049" i="14"/>
  <c r="L4049" i="14" s="1"/>
  <c r="I4050" i="14" s="1"/>
  <c r="N4214" i="13"/>
  <c r="J4213" i="13" a="1"/>
  <c r="J4213" i="13" s="1"/>
  <c r="M4216" i="13"/>
  <c r="M4217" i="14"/>
  <c r="J4212" i="14" a="1"/>
  <c r="J4212" i="14" s="1"/>
  <c r="N4213" i="14"/>
  <c r="K4050" i="14" l="1"/>
  <c r="L4050" i="14" s="1"/>
  <c r="I4051" i="14" s="1"/>
  <c r="K4028" i="13"/>
  <c r="L4028" i="13" s="1"/>
  <c r="I4029" i="13" s="1"/>
  <c r="J4213" i="14" a="1"/>
  <c r="J4213" i="14" s="1"/>
  <c r="N4214" i="14"/>
  <c r="M4217" i="13"/>
  <c r="M4218" i="14"/>
  <c r="J4214" i="13" a="1"/>
  <c r="J4214" i="13" s="1"/>
  <c r="N4215" i="13"/>
  <c r="K4029" i="13" l="1"/>
  <c r="L4029" i="13" s="1"/>
  <c r="I4030" i="13" s="1"/>
  <c r="K4051" i="14"/>
  <c r="L4051" i="14" s="1"/>
  <c r="I4052" i="14" s="1"/>
  <c r="N4216" i="13"/>
  <c r="J4215" i="13" a="1"/>
  <c r="J4215" i="13" s="1"/>
  <c r="M4218" i="13"/>
  <c r="N4215" i="14"/>
  <c r="J4214" i="14" a="1"/>
  <c r="J4214" i="14" s="1"/>
  <c r="M4219" i="14"/>
  <c r="K4052" i="14" l="1"/>
  <c r="L4052" i="14" s="1"/>
  <c r="I4053" i="14" s="1"/>
  <c r="K4030" i="13"/>
  <c r="L4030" i="13" s="1"/>
  <c r="I4031" i="13" s="1"/>
  <c r="M4219" i="13"/>
  <c r="M4220" i="14"/>
  <c r="N4216" i="14"/>
  <c r="J4215" i="14" a="1"/>
  <c r="J4215" i="14" s="1"/>
  <c r="J4216" i="13" a="1"/>
  <c r="J4216" i="13" s="1"/>
  <c r="N4217" i="13"/>
  <c r="K4031" i="13" l="1"/>
  <c r="L4031" i="13" s="1"/>
  <c r="I4032" i="13" s="1"/>
  <c r="K4053" i="14"/>
  <c r="L4053" i="14" s="1"/>
  <c r="I4054" i="14" s="1"/>
  <c r="N4218" i="13"/>
  <c r="J4217" i="13" a="1"/>
  <c r="J4217" i="13" s="1"/>
  <c r="M4221" i="14"/>
  <c r="J4216" i="14" a="1"/>
  <c r="J4216" i="14" s="1"/>
  <c r="N4217" i="14"/>
  <c r="M4220" i="13"/>
  <c r="K4054" i="14" l="1"/>
  <c r="L4054" i="14" s="1"/>
  <c r="I4055" i="14" s="1"/>
  <c r="K4032" i="13"/>
  <c r="L4032" i="13" s="1"/>
  <c r="I4033" i="13" s="1"/>
  <c r="M4221" i="13"/>
  <c r="M4222" i="14"/>
  <c r="J4217" i="14" a="1"/>
  <c r="J4217" i="14" s="1"/>
  <c r="N4218" i="14"/>
  <c r="J4218" i="13" a="1"/>
  <c r="J4218" i="13" s="1"/>
  <c r="N4219" i="13"/>
  <c r="K4033" i="13" l="1"/>
  <c r="L4033" i="13" s="1"/>
  <c r="I4034" i="13" s="1"/>
  <c r="K4055" i="14"/>
  <c r="L4055" i="14" s="1"/>
  <c r="I4056" i="14" s="1"/>
  <c r="N4220" i="13"/>
  <c r="J4219" i="13" a="1"/>
  <c r="J4219" i="13" s="1"/>
  <c r="M4223" i="14"/>
  <c r="J4218" i="14" a="1"/>
  <c r="J4218" i="14" s="1"/>
  <c r="N4219" i="14"/>
  <c r="M4222" i="13"/>
  <c r="K4056" i="14" l="1"/>
  <c r="L4056" i="14" s="1"/>
  <c r="I4057" i="14" s="1"/>
  <c r="K4034" i="13"/>
  <c r="L4034" i="13" s="1"/>
  <c r="I4035" i="13" s="1"/>
  <c r="N4220" i="14"/>
  <c r="J4219" i="14" a="1"/>
  <c r="J4219" i="14" s="1"/>
  <c r="M4223" i="13"/>
  <c r="M4224" i="14"/>
  <c r="J4220" i="13" a="1"/>
  <c r="J4220" i="13" s="1"/>
  <c r="N4221" i="13"/>
  <c r="K4035" i="13" l="1"/>
  <c r="L4035" i="13" s="1"/>
  <c r="I4036" i="13" s="1"/>
  <c r="K4057" i="14"/>
  <c r="L4057" i="14" s="1"/>
  <c r="I4058" i="14" s="1"/>
  <c r="N4222" i="13"/>
  <c r="J4221" i="13" a="1"/>
  <c r="J4221" i="13" s="1"/>
  <c r="M4224" i="13"/>
  <c r="M4225" i="14"/>
  <c r="J4220" i="14" a="1"/>
  <c r="J4220" i="14" s="1"/>
  <c r="N4221" i="14"/>
  <c r="K4058" i="14" l="1"/>
  <c r="L4058" i="14" s="1"/>
  <c r="I4059" i="14" s="1"/>
  <c r="K4036" i="13"/>
  <c r="L4036" i="13" s="1"/>
  <c r="I4037" i="13" s="1"/>
  <c r="J4221" i="14" a="1"/>
  <c r="J4221" i="14" s="1"/>
  <c r="N4222" i="14"/>
  <c r="M4225" i="13"/>
  <c r="M4226" i="14"/>
  <c r="J4222" i="13" a="1"/>
  <c r="J4222" i="13" s="1"/>
  <c r="N4223" i="13"/>
  <c r="K4037" i="13" l="1"/>
  <c r="L4037" i="13" s="1"/>
  <c r="I4038" i="13" s="1"/>
  <c r="K4059" i="14"/>
  <c r="L4059" i="14" s="1"/>
  <c r="I4060" i="14" s="1"/>
  <c r="N4224" i="13"/>
  <c r="J4223" i="13" a="1"/>
  <c r="J4223" i="13" s="1"/>
  <c r="M4226" i="13"/>
  <c r="N4223" i="14"/>
  <c r="J4222" i="14" a="1"/>
  <c r="J4222" i="14" s="1"/>
  <c r="M4227" i="14"/>
  <c r="K4060" i="14" l="1"/>
  <c r="L4060" i="14" s="1"/>
  <c r="I4061" i="14" s="1"/>
  <c r="K4038" i="13"/>
  <c r="L4038" i="13" s="1"/>
  <c r="I4039" i="13" s="1"/>
  <c r="M4227" i="13"/>
  <c r="M4228" i="14"/>
  <c r="N4224" i="14"/>
  <c r="J4223" i="14" a="1"/>
  <c r="J4223" i="14" s="1"/>
  <c r="J4224" i="13" a="1"/>
  <c r="J4224" i="13" s="1"/>
  <c r="N4225" i="13"/>
  <c r="K4039" i="13" l="1"/>
  <c r="L4039" i="13" s="1"/>
  <c r="I4040" i="13" s="1"/>
  <c r="K4061" i="14"/>
  <c r="L4061" i="14" s="1"/>
  <c r="I4062" i="14" s="1"/>
  <c r="N4226" i="13"/>
  <c r="J4225" i="13" a="1"/>
  <c r="J4225" i="13" s="1"/>
  <c r="M4229" i="14"/>
  <c r="J4224" i="14" a="1"/>
  <c r="J4224" i="14" s="1"/>
  <c r="N4225" i="14"/>
  <c r="M4228" i="13"/>
  <c r="K4062" i="14" l="1"/>
  <c r="L4062" i="14" s="1"/>
  <c r="I4063" i="14" s="1"/>
  <c r="K4040" i="13"/>
  <c r="L4040" i="13" s="1"/>
  <c r="I4041" i="13" s="1"/>
  <c r="M4229" i="13"/>
  <c r="M4230" i="14"/>
  <c r="J4225" i="14" a="1"/>
  <c r="J4225" i="14" s="1"/>
  <c r="N4226" i="14"/>
  <c r="J4226" i="13" a="1"/>
  <c r="J4226" i="13" s="1"/>
  <c r="N4227" i="13"/>
  <c r="K4041" i="13" l="1"/>
  <c r="L4041" i="13" s="1"/>
  <c r="I4042" i="13" s="1"/>
  <c r="K4063" i="14"/>
  <c r="L4063" i="14" s="1"/>
  <c r="I4064" i="14" s="1"/>
  <c r="M4231" i="14"/>
  <c r="N4228" i="13"/>
  <c r="J4227" i="13" a="1"/>
  <c r="J4227" i="13" s="1"/>
  <c r="N4227" i="14"/>
  <c r="J4226" i="14" a="1"/>
  <c r="J4226" i="14" s="1"/>
  <c r="M4230" i="13"/>
  <c r="K4042" i="13" l="1"/>
  <c r="L4042" i="13" s="1"/>
  <c r="I4043" i="13" s="1"/>
  <c r="J4228" i="13" a="1"/>
  <c r="J4228" i="13" s="1"/>
  <c r="N4229" i="13"/>
  <c r="M4231" i="13"/>
  <c r="K4064" i="14"/>
  <c r="L4064" i="14" s="1"/>
  <c r="I4065" i="14" s="1"/>
  <c r="N4228" i="14"/>
  <c r="J4227" i="14" a="1"/>
  <c r="J4227" i="14" s="1"/>
  <c r="M4232" i="14"/>
  <c r="K4065" i="14" l="1"/>
  <c r="L4065" i="14" s="1"/>
  <c r="I4066" i="14" s="1"/>
  <c r="K4043" i="13"/>
  <c r="L4043" i="13" s="1"/>
  <c r="I4044" i="13" s="1"/>
  <c r="N4230" i="13"/>
  <c r="J4229" i="13" a="1"/>
  <c r="J4229" i="13" s="1"/>
  <c r="M4233" i="14"/>
  <c r="J4228" i="14" a="1"/>
  <c r="J4228" i="14" s="1"/>
  <c r="N4229" i="14"/>
  <c r="M4232" i="13"/>
  <c r="K4044" i="13" l="1"/>
  <c r="L4044" i="13" s="1"/>
  <c r="I4045" i="13" s="1"/>
  <c r="K4066" i="14"/>
  <c r="L4066" i="14" s="1"/>
  <c r="I4067" i="14" s="1"/>
  <c r="M4233" i="13"/>
  <c r="J4229" i="14" a="1"/>
  <c r="J4229" i="14" s="1"/>
  <c r="N4230" i="14"/>
  <c r="M4234" i="14"/>
  <c r="J4230" i="13" a="1"/>
  <c r="J4230" i="13" s="1"/>
  <c r="N4231" i="13"/>
  <c r="K4067" i="14" l="1"/>
  <c r="L4067" i="14" s="1"/>
  <c r="I4068" i="14" s="1"/>
  <c r="K4045" i="13"/>
  <c r="L4045" i="13" s="1"/>
  <c r="I4046" i="13" s="1"/>
  <c r="N4231" i="14"/>
  <c r="J4230" i="14" a="1"/>
  <c r="J4230" i="14" s="1"/>
  <c r="N4232" i="13"/>
  <c r="J4231" i="13" a="1"/>
  <c r="J4231" i="13" s="1"/>
  <c r="M4235" i="14"/>
  <c r="M4234" i="13"/>
  <c r="K4046" i="13" l="1"/>
  <c r="L4046" i="13" s="1"/>
  <c r="I4047" i="13" s="1"/>
  <c r="K4068" i="14"/>
  <c r="L4068" i="14" s="1"/>
  <c r="I4069" i="14" s="1"/>
  <c r="J4232" i="13" a="1"/>
  <c r="J4232" i="13" s="1"/>
  <c r="N4233" i="13"/>
  <c r="M4235" i="13"/>
  <c r="M4236" i="14"/>
  <c r="N4232" i="14"/>
  <c r="J4231" i="14" a="1"/>
  <c r="J4231" i="14" s="1"/>
  <c r="K4069" i="14" l="1"/>
  <c r="L4069" i="14" s="1"/>
  <c r="I4070" i="14" s="1"/>
  <c r="K4047" i="13"/>
  <c r="L4047" i="13" s="1"/>
  <c r="I4048" i="13" s="1"/>
  <c r="J4232" i="14" a="1"/>
  <c r="J4232" i="14" s="1"/>
  <c r="N4233" i="14"/>
  <c r="M4236" i="13"/>
  <c r="N4234" i="13"/>
  <c r="J4233" i="13" a="1"/>
  <c r="J4233" i="13" s="1"/>
  <c r="M4237" i="14"/>
  <c r="K4048" i="13" l="1"/>
  <c r="L4048" i="13" s="1"/>
  <c r="I4049" i="13" s="1"/>
  <c r="K4070" i="14"/>
  <c r="L4070" i="14" s="1"/>
  <c r="I4071" i="14" s="1"/>
  <c r="M4238" i="14"/>
  <c r="M4237" i="13"/>
  <c r="J4234" i="13" a="1"/>
  <c r="J4234" i="13" s="1"/>
  <c r="N4235" i="13"/>
  <c r="J4233" i="14" a="1"/>
  <c r="J4233" i="14" s="1"/>
  <c r="N4234" i="14"/>
  <c r="K4049" i="13" l="1"/>
  <c r="L4049" i="13" s="1"/>
  <c r="I4050" i="13" s="1"/>
  <c r="J4234" i="14" a="1"/>
  <c r="J4234" i="14" s="1"/>
  <c r="N4235" i="14"/>
  <c r="K4071" i="14"/>
  <c r="L4071" i="14" s="1"/>
  <c r="I4072" i="14" s="1"/>
  <c r="N4236" i="13"/>
  <c r="J4235" i="13" a="1"/>
  <c r="J4235" i="13" s="1"/>
  <c r="M4239" i="14"/>
  <c r="M4238" i="13"/>
  <c r="K4072" i="14" l="1"/>
  <c r="L4072" i="14" s="1"/>
  <c r="I4073" i="14" s="1"/>
  <c r="K4050" i="13"/>
  <c r="L4050" i="13" s="1"/>
  <c r="I4051" i="13" s="1"/>
  <c r="N4236" i="14"/>
  <c r="J4235" i="14" a="1"/>
  <c r="J4235" i="14" s="1"/>
  <c r="M4239" i="13"/>
  <c r="J4236" i="13" a="1"/>
  <c r="J4236" i="13" s="1"/>
  <c r="N4237" i="13"/>
  <c r="M4240" i="14"/>
  <c r="K4051" i="13" l="1"/>
  <c r="L4051" i="13" s="1"/>
  <c r="I4052" i="13" s="1"/>
  <c r="K4073" i="14"/>
  <c r="L4073" i="14" s="1"/>
  <c r="I4074" i="14" s="1"/>
  <c r="N4238" i="13"/>
  <c r="J4237" i="13" a="1"/>
  <c r="J4237" i="13" s="1"/>
  <c r="M4241" i="14"/>
  <c r="M4240" i="13"/>
  <c r="J4236" i="14" a="1"/>
  <c r="J4236" i="14" s="1"/>
  <c r="N4237" i="14"/>
  <c r="K4074" i="14" l="1"/>
  <c r="L4074" i="14" s="1"/>
  <c r="I4075" i="14" s="1"/>
  <c r="K4052" i="13"/>
  <c r="L4052" i="13" s="1"/>
  <c r="I4053" i="13" s="1"/>
  <c r="J4237" i="14" a="1"/>
  <c r="J4237" i="14" s="1"/>
  <c r="N4238" i="14"/>
  <c r="M4242" i="14"/>
  <c r="M4241" i="13"/>
  <c r="J4238" i="13" a="1"/>
  <c r="J4238" i="13" s="1"/>
  <c r="N4239" i="13"/>
  <c r="K4053" i="13" l="1"/>
  <c r="L4053" i="13" s="1"/>
  <c r="I4054" i="13" s="1"/>
  <c r="K4075" i="14"/>
  <c r="L4075" i="14" s="1"/>
  <c r="I4076" i="14" s="1"/>
  <c r="N4240" i="13"/>
  <c r="J4239" i="13" a="1"/>
  <c r="J4239" i="13" s="1"/>
  <c r="M4243" i="14"/>
  <c r="N4239" i="14"/>
  <c r="J4238" i="14" a="1"/>
  <c r="J4238" i="14" s="1"/>
  <c r="M4242" i="13"/>
  <c r="K4076" i="14" l="1"/>
  <c r="L4076" i="14" s="1"/>
  <c r="I4077" i="14" s="1"/>
  <c r="K4054" i="13"/>
  <c r="L4054" i="13" s="1"/>
  <c r="I4055" i="13" s="1"/>
  <c r="M4243" i="13"/>
  <c r="M4244" i="14"/>
  <c r="N4240" i="14"/>
  <c r="J4239" i="14" a="1"/>
  <c r="J4239" i="14" s="1"/>
  <c r="J4240" i="13" a="1"/>
  <c r="J4240" i="13" s="1"/>
  <c r="N4241" i="13"/>
  <c r="K4055" i="13" l="1"/>
  <c r="L4055" i="13" s="1"/>
  <c r="I4056" i="13" s="1"/>
  <c r="K4077" i="14"/>
  <c r="L4077" i="14" s="1"/>
  <c r="I4078" i="14" s="1"/>
  <c r="N4242" i="13"/>
  <c r="J4241" i="13" a="1"/>
  <c r="J4241" i="13" s="1"/>
  <c r="M4245" i="14"/>
  <c r="J4240" i="14" a="1"/>
  <c r="J4240" i="14" s="1"/>
  <c r="N4241" i="14"/>
  <c r="M4244" i="13"/>
  <c r="K4078" i="14" l="1"/>
  <c r="L4078" i="14" s="1"/>
  <c r="I4079" i="14" s="1"/>
  <c r="K4056" i="13"/>
  <c r="L4056" i="13" s="1"/>
  <c r="I4057" i="13" s="1"/>
  <c r="M4245" i="13"/>
  <c r="M4246" i="14"/>
  <c r="J4241" i="14" a="1"/>
  <c r="J4241" i="14" s="1"/>
  <c r="N4242" i="14"/>
  <c r="J4242" i="13" a="1"/>
  <c r="J4242" i="13" s="1"/>
  <c r="N4243" i="13"/>
  <c r="K4057" i="13" l="1"/>
  <c r="L4057" i="13" s="1"/>
  <c r="I4058" i="13" s="1"/>
  <c r="K4079" i="14"/>
  <c r="L4079" i="14" s="1"/>
  <c r="I4080" i="14" s="1"/>
  <c r="N4244" i="13"/>
  <c r="J4243" i="13" a="1"/>
  <c r="J4243" i="13" s="1"/>
  <c r="M4247" i="14"/>
  <c r="N4243" i="14"/>
  <c r="J4242" i="14" a="1"/>
  <c r="J4242" i="14" s="1"/>
  <c r="M4246" i="13"/>
  <c r="K4080" i="14" l="1"/>
  <c r="L4080" i="14" s="1"/>
  <c r="I4081" i="14" s="1"/>
  <c r="K4058" i="13"/>
  <c r="L4058" i="13" s="1"/>
  <c r="I4059" i="13" s="1"/>
  <c r="M4247" i="13"/>
  <c r="M4248" i="14"/>
  <c r="N4244" i="14"/>
  <c r="J4243" i="14" a="1"/>
  <c r="J4243" i="14" s="1"/>
  <c r="J4244" i="13" a="1"/>
  <c r="J4244" i="13" s="1"/>
  <c r="N4245" i="13"/>
  <c r="K4059" i="13" l="1"/>
  <c r="L4059" i="13" s="1"/>
  <c r="I4060" i="13" s="1"/>
  <c r="K4081" i="14"/>
  <c r="L4081" i="14" s="1"/>
  <c r="I4082" i="14" s="1"/>
  <c r="N4246" i="13"/>
  <c r="J4245" i="13" a="1"/>
  <c r="J4245" i="13" s="1"/>
  <c r="M4249" i="14"/>
  <c r="J4244" i="14" a="1"/>
  <c r="J4244" i="14" s="1"/>
  <c r="N4245" i="14"/>
  <c r="M4248" i="13"/>
  <c r="K4082" i="14" l="1"/>
  <c r="L4082" i="14" s="1"/>
  <c r="I4083" i="14" s="1"/>
  <c r="K4060" i="13"/>
  <c r="L4060" i="13" s="1"/>
  <c r="I4061" i="13" s="1"/>
  <c r="M4249" i="13"/>
  <c r="J4245" i="14" a="1"/>
  <c r="J4245" i="14" s="1"/>
  <c r="N4246" i="14"/>
  <c r="M4250" i="14"/>
  <c r="J4246" i="13" a="1"/>
  <c r="J4246" i="13" s="1"/>
  <c r="N4247" i="13"/>
  <c r="K4061" i="13" l="1"/>
  <c r="L4061" i="13" s="1"/>
  <c r="I4062" i="13" s="1"/>
  <c r="K4083" i="14"/>
  <c r="L4083" i="14" s="1"/>
  <c r="I4084" i="14" s="1"/>
  <c r="N4247" i="14"/>
  <c r="J4246" i="14" a="1"/>
  <c r="J4246" i="14" s="1"/>
  <c r="N4248" i="13"/>
  <c r="J4247" i="13" a="1"/>
  <c r="J4247" i="13" s="1"/>
  <c r="M4251" i="14"/>
  <c r="M4250" i="13"/>
  <c r="K4084" i="14" l="1"/>
  <c r="L4084" i="14" s="1"/>
  <c r="I4085" i="14" s="1"/>
  <c r="K4062" i="13"/>
  <c r="L4062" i="13" s="1"/>
  <c r="I4063" i="13" s="1"/>
  <c r="J4248" i="13" a="1"/>
  <c r="J4248" i="13" s="1"/>
  <c r="N4249" i="13"/>
  <c r="M4251" i="13"/>
  <c r="M4252" i="14"/>
  <c r="N4248" i="14"/>
  <c r="J4247" i="14" a="1"/>
  <c r="J4247" i="14" s="1"/>
  <c r="K4063" i="13" l="1"/>
  <c r="L4063" i="13" s="1"/>
  <c r="I4064" i="13" s="1"/>
  <c r="K4085" i="14"/>
  <c r="L4085" i="14" s="1"/>
  <c r="I4086" i="14" s="1"/>
  <c r="J4248" i="14" a="1"/>
  <c r="J4248" i="14" s="1"/>
  <c r="N4249" i="14"/>
  <c r="M4252" i="13"/>
  <c r="N4250" i="13"/>
  <c r="J4249" i="13" a="1"/>
  <c r="J4249" i="13" s="1"/>
  <c r="M4253" i="14"/>
  <c r="K4086" i="14" l="1"/>
  <c r="L4086" i="14" s="1"/>
  <c r="I4087" i="14" s="1"/>
  <c r="K4064" i="13"/>
  <c r="L4064" i="13" s="1"/>
  <c r="I4065" i="13" s="1"/>
  <c r="M4254" i="14"/>
  <c r="M4253" i="13"/>
  <c r="J4250" i="13" a="1"/>
  <c r="J4250" i="13" s="1"/>
  <c r="N4251" i="13"/>
  <c r="J4249" i="14" a="1"/>
  <c r="J4249" i="14" s="1"/>
  <c r="N4250" i="14"/>
  <c r="K4065" i="13" l="1"/>
  <c r="L4065" i="13" s="1"/>
  <c r="I4066" i="13" s="1"/>
  <c r="K4087" i="14"/>
  <c r="L4087" i="14" s="1"/>
  <c r="I4088" i="14" s="1"/>
  <c r="J4250" i="14" a="1"/>
  <c r="J4250" i="14" s="1"/>
  <c r="N4251" i="14"/>
  <c r="M4254" i="13"/>
  <c r="N4252" i="13"/>
  <c r="J4251" i="13" a="1"/>
  <c r="J4251" i="13" s="1"/>
  <c r="M4255" i="14"/>
  <c r="K4088" i="14" l="1"/>
  <c r="L4088" i="14" s="1"/>
  <c r="I4089" i="14" s="1"/>
  <c r="K4066" i="13"/>
  <c r="L4066" i="13" s="1"/>
  <c r="I4067" i="13" s="1"/>
  <c r="M4255" i="13"/>
  <c r="J4252" i="13" a="1"/>
  <c r="J4252" i="13" s="1"/>
  <c r="N4253" i="13"/>
  <c r="M4256" i="14"/>
  <c r="N4252" i="14"/>
  <c r="J4251" i="14" a="1"/>
  <c r="J4251" i="14" s="1"/>
  <c r="K4067" i="13" l="1"/>
  <c r="L4067" i="13" s="1"/>
  <c r="I4068" i="13" s="1"/>
  <c r="K4089" i="14"/>
  <c r="L4089" i="14" s="1"/>
  <c r="I4090" i="14" s="1"/>
  <c r="N4254" i="13"/>
  <c r="J4253" i="13" a="1"/>
  <c r="J4253" i="13" s="1"/>
  <c r="J4252" i="14" a="1"/>
  <c r="J4252" i="14" s="1"/>
  <c r="N4253" i="14"/>
  <c r="M4257" i="14"/>
  <c r="M4256" i="13"/>
  <c r="K4090" i="14" l="1"/>
  <c r="L4090" i="14" s="1"/>
  <c r="I4091" i="14" s="1"/>
  <c r="K4068" i="13"/>
  <c r="L4068" i="13" s="1"/>
  <c r="I4069" i="13" s="1"/>
  <c r="M4257" i="13"/>
  <c r="J4253" i="14" a="1"/>
  <c r="J4253" i="14" s="1"/>
  <c r="N4254" i="14"/>
  <c r="M4258" i="14"/>
  <c r="J4254" i="13" a="1"/>
  <c r="J4254" i="13" s="1"/>
  <c r="N4255" i="13"/>
  <c r="K4069" i="13" l="1"/>
  <c r="L4069" i="13" s="1"/>
  <c r="I4070" i="13" s="1"/>
  <c r="K4091" i="14"/>
  <c r="L4091" i="14" s="1"/>
  <c r="I4092" i="14" s="1"/>
  <c r="N4255" i="14"/>
  <c r="J4254" i="14" a="1"/>
  <c r="J4254" i="14" s="1"/>
  <c r="N4256" i="13"/>
  <c r="J4255" i="13" a="1"/>
  <c r="J4255" i="13" s="1"/>
  <c r="M4259" i="14"/>
  <c r="M4258" i="13"/>
  <c r="K4092" i="14" l="1"/>
  <c r="L4092" i="14" s="1"/>
  <c r="I4093" i="14" s="1"/>
  <c r="K4070" i="13"/>
  <c r="L4070" i="13" s="1"/>
  <c r="I4071" i="13" s="1"/>
  <c r="J4256" i="13" a="1"/>
  <c r="J4256" i="13" s="1"/>
  <c r="N4257" i="13"/>
  <c r="M4259" i="13"/>
  <c r="M4260" i="14"/>
  <c r="N4256" i="14"/>
  <c r="J4255" i="14" a="1"/>
  <c r="J4255" i="14" s="1"/>
  <c r="K4071" i="13" l="1"/>
  <c r="L4071" i="13" s="1"/>
  <c r="I4072" i="13" s="1"/>
  <c r="K4093" i="14"/>
  <c r="L4093" i="14" s="1"/>
  <c r="I4094" i="14" s="1"/>
  <c r="J4256" i="14" a="1"/>
  <c r="J4256" i="14" s="1"/>
  <c r="N4257" i="14"/>
  <c r="M4260" i="13"/>
  <c r="N4258" i="13"/>
  <c r="J4257" i="13" a="1"/>
  <c r="J4257" i="13" s="1"/>
  <c r="M4261" i="14"/>
  <c r="K4094" i="14" l="1"/>
  <c r="L4094" i="14" s="1"/>
  <c r="I4095" i="14" s="1"/>
  <c r="K4072" i="13"/>
  <c r="L4072" i="13" s="1"/>
  <c r="I4073" i="13" s="1"/>
  <c r="M4262" i="14"/>
  <c r="M4261" i="13"/>
  <c r="J4257" i="14" a="1"/>
  <c r="J4257" i="14" s="1"/>
  <c r="N4258" i="14"/>
  <c r="J4258" i="13" a="1"/>
  <c r="J4258" i="13" s="1"/>
  <c r="N4259" i="13"/>
  <c r="K4073" i="13" l="1"/>
  <c r="L4073" i="13" s="1"/>
  <c r="I4074" i="13" s="1"/>
  <c r="K4095" i="14"/>
  <c r="L4095" i="14" s="1"/>
  <c r="I4096" i="14" s="1"/>
  <c r="N4260" i="13"/>
  <c r="J4259" i="13" a="1"/>
  <c r="J4259" i="13" s="1"/>
  <c r="M4262" i="13"/>
  <c r="N4259" i="14"/>
  <c r="J4258" i="14" a="1"/>
  <c r="J4258" i="14" s="1"/>
  <c r="M4263" i="14"/>
  <c r="K4096" i="14" l="1"/>
  <c r="L4096" i="14" s="1"/>
  <c r="I4097" i="14" s="1"/>
  <c r="K4074" i="13"/>
  <c r="L4074" i="13" s="1"/>
  <c r="I4075" i="13" s="1"/>
  <c r="M4263" i="13"/>
  <c r="M4264" i="14"/>
  <c r="N4260" i="14"/>
  <c r="J4259" i="14" a="1"/>
  <c r="J4259" i="14" s="1"/>
  <c r="J4260" i="13" a="1"/>
  <c r="J4260" i="13" s="1"/>
  <c r="N4261" i="13"/>
  <c r="K4075" i="13" l="1"/>
  <c r="L4075" i="13" s="1"/>
  <c r="I4076" i="13" s="1"/>
  <c r="K4097" i="14"/>
  <c r="L4097" i="14" s="1"/>
  <c r="I4098" i="14" s="1"/>
  <c r="N4262" i="13"/>
  <c r="J4261" i="13" a="1"/>
  <c r="J4261" i="13" s="1"/>
  <c r="M4265" i="14"/>
  <c r="J4260" i="14" a="1"/>
  <c r="J4260" i="14" s="1"/>
  <c r="N4261" i="14"/>
  <c r="M4264" i="13"/>
  <c r="K4098" i="14" l="1"/>
  <c r="L4098" i="14" s="1"/>
  <c r="I4099" i="14" s="1"/>
  <c r="K4076" i="13"/>
  <c r="L4076" i="13" s="1"/>
  <c r="I4077" i="13" s="1"/>
  <c r="M4266" i="14"/>
  <c r="J4261" i="14" a="1"/>
  <c r="J4261" i="14" s="1"/>
  <c r="N4262" i="14"/>
  <c r="M4265" i="13"/>
  <c r="J4262" i="13" a="1"/>
  <c r="J4262" i="13" s="1"/>
  <c r="N4263" i="13"/>
  <c r="K4077" i="13" l="1"/>
  <c r="L4077" i="13" s="1"/>
  <c r="I4078" i="13" s="1"/>
  <c r="K4099" i="14"/>
  <c r="L4099" i="14" s="1"/>
  <c r="I4100" i="14" s="1"/>
  <c r="N4264" i="13"/>
  <c r="J4263" i="13" a="1"/>
  <c r="J4263" i="13" s="1"/>
  <c r="N4263" i="14"/>
  <c r="J4262" i="14" a="1"/>
  <c r="J4262" i="14" s="1"/>
  <c r="M4267" i="14"/>
  <c r="M4266" i="13"/>
  <c r="K4100" i="14" l="1"/>
  <c r="L4100" i="14" s="1"/>
  <c r="I4101" i="14" s="1"/>
  <c r="K4078" i="13"/>
  <c r="L4078" i="13" s="1"/>
  <c r="I4079" i="13" s="1"/>
  <c r="N4264" i="14"/>
  <c r="J4263" i="14" a="1"/>
  <c r="J4263" i="14" s="1"/>
  <c r="M4267" i="13"/>
  <c r="M4268" i="14"/>
  <c r="J4264" i="13" a="1"/>
  <c r="J4264" i="13" s="1"/>
  <c r="N4265" i="13"/>
  <c r="K4079" i="13" l="1"/>
  <c r="L4079" i="13" s="1"/>
  <c r="I4080" i="13" s="1"/>
  <c r="K4101" i="14"/>
  <c r="L4101" i="14" s="1"/>
  <c r="I4102" i="14" s="1"/>
  <c r="N4266" i="13"/>
  <c r="J4265" i="13" a="1"/>
  <c r="J4265" i="13" s="1"/>
  <c r="M4268" i="13"/>
  <c r="M4269" i="14"/>
  <c r="J4264" i="14" a="1"/>
  <c r="J4264" i="14" s="1"/>
  <c r="N4265" i="14"/>
  <c r="K4102" i="14" l="1"/>
  <c r="L4102" i="14" s="1"/>
  <c r="I4103" i="14" s="1"/>
  <c r="K4080" i="13"/>
  <c r="L4080" i="13" s="1"/>
  <c r="I4081" i="13" s="1"/>
  <c r="J4265" i="14" a="1"/>
  <c r="J4265" i="14" s="1"/>
  <c r="N4266" i="14"/>
  <c r="M4269" i="13"/>
  <c r="M4270" i="14"/>
  <c r="J4266" i="13" a="1"/>
  <c r="J4266" i="13" s="1"/>
  <c r="N4267" i="13"/>
  <c r="K4081" i="13" l="1"/>
  <c r="L4081" i="13" s="1"/>
  <c r="I4082" i="13" s="1"/>
  <c r="K4103" i="14"/>
  <c r="L4103" i="14" s="1"/>
  <c r="I4104" i="14" s="1"/>
  <c r="N4268" i="13"/>
  <c r="J4267" i="13" a="1"/>
  <c r="J4267" i="13" s="1"/>
  <c r="M4270" i="13"/>
  <c r="M4271" i="14"/>
  <c r="J4266" i="14" a="1"/>
  <c r="J4266" i="14" s="1"/>
  <c r="N4267" i="14"/>
  <c r="K4104" i="14" l="1"/>
  <c r="L4104" i="14" s="1"/>
  <c r="I4105" i="14" s="1"/>
  <c r="K4082" i="13"/>
  <c r="L4082" i="13" s="1"/>
  <c r="I4083" i="13" s="1"/>
  <c r="N4268" i="14"/>
  <c r="J4267" i="14" a="1"/>
  <c r="J4267" i="14" s="1"/>
  <c r="M4271" i="13"/>
  <c r="M4272" i="14"/>
  <c r="J4268" i="13" a="1"/>
  <c r="J4268" i="13" s="1"/>
  <c r="N4269" i="13"/>
  <c r="K4083" i="13" l="1"/>
  <c r="L4083" i="13" s="1"/>
  <c r="I4084" i="13" s="1"/>
  <c r="K4105" i="14"/>
  <c r="L4105" i="14" s="1"/>
  <c r="I4106" i="14" s="1"/>
  <c r="N4270" i="13"/>
  <c r="J4269" i="13" a="1"/>
  <c r="J4269" i="13" s="1"/>
  <c r="M4272" i="13"/>
  <c r="M4273" i="14"/>
  <c r="J4268" i="14" a="1"/>
  <c r="J4268" i="14" s="1"/>
  <c r="N4269" i="14"/>
  <c r="K4106" i="14" l="1"/>
  <c r="L4106" i="14" s="1"/>
  <c r="I4107" i="14" s="1"/>
  <c r="K4084" i="13"/>
  <c r="L4084" i="13" s="1"/>
  <c r="I4085" i="13" s="1"/>
  <c r="J4269" i="14" a="1"/>
  <c r="J4269" i="14" s="1"/>
  <c r="N4270" i="14"/>
  <c r="M4273" i="13"/>
  <c r="M4274" i="14"/>
  <c r="J4270" i="13" a="1"/>
  <c r="J4270" i="13" s="1"/>
  <c r="N4271" i="13"/>
  <c r="K4085" i="13" l="1"/>
  <c r="L4085" i="13" s="1"/>
  <c r="I4086" i="13" s="1"/>
  <c r="K4107" i="14"/>
  <c r="L4107" i="14" s="1"/>
  <c r="I4108" i="14" s="1"/>
  <c r="M4275" i="14"/>
  <c r="N4272" i="13"/>
  <c r="J4271" i="13" a="1"/>
  <c r="J4271" i="13" s="1"/>
  <c r="M4274" i="13"/>
  <c r="N4271" i="14"/>
  <c r="J4270" i="14" a="1"/>
  <c r="J4270" i="14" s="1"/>
  <c r="K4108" i="14" l="1"/>
  <c r="L4108" i="14" s="1"/>
  <c r="I4109" i="14" s="1"/>
  <c r="K4086" i="13"/>
  <c r="L4086" i="13" s="1"/>
  <c r="I4087" i="13" s="1"/>
  <c r="J4272" i="13" a="1"/>
  <c r="J4272" i="13" s="1"/>
  <c r="N4273" i="13"/>
  <c r="N4272" i="14"/>
  <c r="J4271" i="14" a="1"/>
  <c r="J4271" i="14" s="1"/>
  <c r="M4275" i="13"/>
  <c r="M4276" i="14"/>
  <c r="K4109" i="14" l="1"/>
  <c r="L4109" i="14" s="1"/>
  <c r="I4110" i="14" s="1"/>
  <c r="J4272" i="14" a="1"/>
  <c r="J4272" i="14" s="1"/>
  <c r="N4273" i="14"/>
  <c r="N4274" i="13"/>
  <c r="J4273" i="13" a="1"/>
  <c r="J4273" i="13" s="1"/>
  <c r="M4277" i="14"/>
  <c r="K4087" i="13"/>
  <c r="L4087" i="13" s="1"/>
  <c r="I4088" i="13" s="1"/>
  <c r="M4276" i="13"/>
  <c r="K4088" i="13" l="1"/>
  <c r="L4088" i="13" s="1"/>
  <c r="I4089" i="13" s="1"/>
  <c r="K4110" i="14"/>
  <c r="L4110" i="14" s="1"/>
  <c r="I4111" i="14" s="1"/>
  <c r="M4277" i="13"/>
  <c r="M4278" i="14"/>
  <c r="J4273" i="14" a="1"/>
  <c r="J4273" i="14" s="1"/>
  <c r="N4274" i="14"/>
  <c r="J4274" i="13" a="1"/>
  <c r="J4274" i="13" s="1"/>
  <c r="N4275" i="13"/>
  <c r="K4089" i="13" l="1"/>
  <c r="L4089" i="13" s="1"/>
  <c r="I4090" i="13" s="1"/>
  <c r="N4276" i="13"/>
  <c r="J4275" i="13" a="1"/>
  <c r="J4275" i="13" s="1"/>
  <c r="M4279" i="14"/>
  <c r="K4111" i="14"/>
  <c r="L4111" i="14" s="1"/>
  <c r="I4112" i="14" s="1"/>
  <c r="N4275" i="14"/>
  <c r="J4274" i="14" a="1"/>
  <c r="J4274" i="14" s="1"/>
  <c r="M4278" i="13"/>
  <c r="K4112" i="14" l="1"/>
  <c r="L4112" i="14" s="1"/>
  <c r="I4113" i="14" s="1"/>
  <c r="K4090" i="13"/>
  <c r="L4090" i="13" s="1"/>
  <c r="I4091" i="13" s="1"/>
  <c r="J4276" i="13" a="1"/>
  <c r="J4276" i="13" s="1"/>
  <c r="N4277" i="13"/>
  <c r="M4279" i="13"/>
  <c r="N4276" i="14"/>
  <c r="J4275" i="14" a="1"/>
  <c r="J4275" i="14" s="1"/>
  <c r="M4280" i="14"/>
  <c r="K4091" i="13" l="1"/>
  <c r="L4091" i="13" s="1"/>
  <c r="I4092" i="13" s="1"/>
  <c r="K4113" i="14"/>
  <c r="L4113" i="14" s="1"/>
  <c r="I4114" i="14" s="1"/>
  <c r="J4276" i="14" a="1"/>
  <c r="J4276" i="14" s="1"/>
  <c r="N4277" i="14"/>
  <c r="M4281" i="14"/>
  <c r="M4280" i="13"/>
  <c r="N4278" i="13"/>
  <c r="J4277" i="13" a="1"/>
  <c r="J4277" i="13" s="1"/>
  <c r="K4114" i="14" l="1"/>
  <c r="L4114" i="14" s="1"/>
  <c r="I4115" i="14" s="1"/>
  <c r="K4092" i="13"/>
  <c r="L4092" i="13" s="1"/>
  <c r="I4093" i="13" s="1"/>
  <c r="M4281" i="13"/>
  <c r="J4278" i="13" a="1"/>
  <c r="J4278" i="13" s="1"/>
  <c r="N4279" i="13"/>
  <c r="M4282" i="14"/>
  <c r="J4277" i="14" a="1"/>
  <c r="J4277" i="14" s="1"/>
  <c r="N4278" i="14"/>
  <c r="K4093" i="13" l="1"/>
  <c r="L4093" i="13" s="1"/>
  <c r="I4094" i="13" s="1"/>
  <c r="K4115" i="14"/>
  <c r="L4115" i="14" s="1"/>
  <c r="I4116" i="14" s="1"/>
  <c r="N4280" i="13"/>
  <c r="J4279" i="13" a="1"/>
  <c r="J4279" i="13" s="1"/>
  <c r="N4279" i="14"/>
  <c r="J4278" i="14" a="1"/>
  <c r="J4278" i="14" s="1"/>
  <c r="M4283" i="14"/>
  <c r="M4282" i="13"/>
  <c r="K4116" i="14" l="1"/>
  <c r="L4116" i="14" s="1"/>
  <c r="I4117" i="14" s="1"/>
  <c r="K4094" i="13"/>
  <c r="L4094" i="13" s="1"/>
  <c r="I4095" i="13" s="1"/>
  <c r="M4283" i="13"/>
  <c r="N4280" i="14"/>
  <c r="J4279" i="14" a="1"/>
  <c r="J4279" i="14" s="1"/>
  <c r="M4284" i="14"/>
  <c r="J4280" i="13" a="1"/>
  <c r="J4280" i="13" s="1"/>
  <c r="N4281" i="13"/>
  <c r="K4095" i="13" l="1"/>
  <c r="L4095" i="13" s="1"/>
  <c r="I4096" i="13" s="1"/>
  <c r="K4117" i="14"/>
  <c r="L4117" i="14" s="1"/>
  <c r="I4118" i="14" s="1"/>
  <c r="J4280" i="14" a="1"/>
  <c r="J4280" i="14" s="1"/>
  <c r="N4281" i="14"/>
  <c r="N4282" i="13"/>
  <c r="J4281" i="13" a="1"/>
  <c r="J4281" i="13" s="1"/>
  <c r="M4285" i="14"/>
  <c r="M4284" i="13"/>
  <c r="K4118" i="14" l="1"/>
  <c r="L4118" i="14" s="1"/>
  <c r="I4119" i="14" s="1"/>
  <c r="K4096" i="13"/>
  <c r="L4096" i="13" s="1"/>
  <c r="I4097" i="13" s="1"/>
  <c r="M4285" i="13"/>
  <c r="J4282" i="13" a="1"/>
  <c r="J4282" i="13" s="1"/>
  <c r="N4283" i="13"/>
  <c r="J4281" i="14" a="1"/>
  <c r="J4281" i="14" s="1"/>
  <c r="N4282" i="14"/>
  <c r="M4286" i="14"/>
  <c r="K4097" i="13" l="1"/>
  <c r="L4097" i="13" s="1"/>
  <c r="I4098" i="13" s="1"/>
  <c r="K4119" i="14"/>
  <c r="L4119" i="14" s="1"/>
  <c r="I4120" i="14" s="1"/>
  <c r="M4287" i="14"/>
  <c r="N4284" i="13"/>
  <c r="J4283" i="13" a="1"/>
  <c r="J4283" i="13" s="1"/>
  <c r="J4282" i="14" a="1"/>
  <c r="J4282" i="14" s="1"/>
  <c r="N4283" i="14"/>
  <c r="M4286" i="13"/>
  <c r="K4120" i="14" l="1"/>
  <c r="L4120" i="14" s="1"/>
  <c r="I4121" i="14" s="1"/>
  <c r="K4098" i="13"/>
  <c r="L4098" i="13" s="1"/>
  <c r="I4099" i="13" s="1"/>
  <c r="J4284" i="13" a="1"/>
  <c r="J4284" i="13" s="1"/>
  <c r="N4285" i="13"/>
  <c r="N4284" i="14"/>
  <c r="J4283" i="14" a="1"/>
  <c r="J4283" i="14" s="1"/>
  <c r="M4287" i="13"/>
  <c r="M4288" i="14"/>
  <c r="K4099" i="13" l="1"/>
  <c r="L4099" i="13" s="1"/>
  <c r="I4100" i="13" s="1"/>
  <c r="K4121" i="14"/>
  <c r="L4121" i="14" s="1"/>
  <c r="I4122" i="14" s="1"/>
  <c r="J4284" i="14" a="1"/>
  <c r="J4284" i="14" s="1"/>
  <c r="N4285" i="14"/>
  <c r="N4286" i="13"/>
  <c r="J4285" i="13" a="1"/>
  <c r="J4285" i="13" s="1"/>
  <c r="M4289" i="14"/>
  <c r="M4288" i="13"/>
  <c r="K4122" i="14" l="1"/>
  <c r="L4122" i="14" s="1"/>
  <c r="I4123" i="14" s="1"/>
  <c r="K4100" i="13"/>
  <c r="L4100" i="13" s="1"/>
  <c r="I4101" i="13" s="1"/>
  <c r="J4286" i="13" a="1"/>
  <c r="J4286" i="13" s="1"/>
  <c r="N4287" i="13"/>
  <c r="J4285" i="14" a="1"/>
  <c r="J4285" i="14" s="1"/>
  <c r="N4286" i="14"/>
  <c r="M4289" i="13"/>
  <c r="M4290" i="14"/>
  <c r="K4101" i="13" l="1"/>
  <c r="L4101" i="13" s="1"/>
  <c r="I4102" i="13" s="1"/>
  <c r="K4123" i="14"/>
  <c r="L4123" i="14" s="1"/>
  <c r="I4124" i="14" s="1"/>
  <c r="N4287" i="14"/>
  <c r="J4286" i="14" a="1"/>
  <c r="J4286" i="14" s="1"/>
  <c r="M4291" i="14"/>
  <c r="N4288" i="13"/>
  <c r="J4287" i="13" a="1"/>
  <c r="J4287" i="13" s="1"/>
  <c r="M4290" i="13"/>
  <c r="K4124" i="14" l="1"/>
  <c r="L4124" i="14" s="1"/>
  <c r="I4125" i="14" s="1"/>
  <c r="K4102" i="13"/>
  <c r="L4102" i="13" s="1"/>
  <c r="I4103" i="13" s="1"/>
  <c r="M4291" i="13"/>
  <c r="J4288" i="13" a="1"/>
  <c r="J4288" i="13" s="1"/>
  <c r="N4289" i="13"/>
  <c r="M4292" i="14"/>
  <c r="N4288" i="14"/>
  <c r="J4287" i="14" a="1"/>
  <c r="J4287" i="14" s="1"/>
  <c r="K4103" i="13" l="1"/>
  <c r="L4103" i="13" s="1"/>
  <c r="I4104" i="13" s="1"/>
  <c r="K4125" i="14"/>
  <c r="L4125" i="14" s="1"/>
  <c r="I4126" i="14" s="1"/>
  <c r="N4290" i="13"/>
  <c r="J4289" i="13" a="1"/>
  <c r="J4289" i="13" s="1"/>
  <c r="J4288" i="14" a="1"/>
  <c r="J4288" i="14" s="1"/>
  <c r="N4289" i="14"/>
  <c r="M4293" i="14"/>
  <c r="M4292" i="13"/>
  <c r="K4126" i="14" l="1"/>
  <c r="L4126" i="14" s="1"/>
  <c r="I4127" i="14" s="1"/>
  <c r="K4104" i="13"/>
  <c r="L4104" i="13" s="1"/>
  <c r="I4105" i="13" s="1"/>
  <c r="J4289" i="14" a="1"/>
  <c r="J4289" i="14" s="1"/>
  <c r="N4290" i="14"/>
  <c r="M4293" i="13"/>
  <c r="M4294" i="14"/>
  <c r="J4290" i="13" a="1"/>
  <c r="J4290" i="13" s="1"/>
  <c r="N4291" i="13"/>
  <c r="K4105" i="13" l="1"/>
  <c r="L4105" i="13" s="1"/>
  <c r="I4106" i="13" s="1"/>
  <c r="K4127" i="14"/>
  <c r="L4127" i="14" s="1"/>
  <c r="I4128" i="14" s="1"/>
  <c r="N4292" i="13"/>
  <c r="J4291" i="13" a="1"/>
  <c r="J4291" i="13" s="1"/>
  <c r="M4294" i="13"/>
  <c r="N4291" i="14"/>
  <c r="J4290" i="14" a="1"/>
  <c r="J4290" i="14" s="1"/>
  <c r="M4295" i="14"/>
  <c r="K4128" i="14" l="1"/>
  <c r="L4128" i="14" s="1"/>
  <c r="I4129" i="14" s="1"/>
  <c r="K4106" i="13"/>
  <c r="L4106" i="13" s="1"/>
  <c r="I4107" i="13" s="1"/>
  <c r="M4295" i="13"/>
  <c r="M4296" i="14"/>
  <c r="N4292" i="14"/>
  <c r="J4291" i="14" a="1"/>
  <c r="J4291" i="14" s="1"/>
  <c r="J4292" i="13" a="1"/>
  <c r="J4292" i="13" s="1"/>
  <c r="N4293" i="13"/>
  <c r="K4107" i="13" l="1"/>
  <c r="L4107" i="13" s="1"/>
  <c r="I4108" i="13" s="1"/>
  <c r="K4129" i="14"/>
  <c r="L4129" i="14" s="1"/>
  <c r="I4130" i="14" s="1"/>
  <c r="N4294" i="13"/>
  <c r="J4293" i="13" a="1"/>
  <c r="J4293" i="13" s="1"/>
  <c r="M4297" i="14"/>
  <c r="J4292" i="14" a="1"/>
  <c r="J4292" i="14" s="1"/>
  <c r="N4293" i="14"/>
  <c r="M4296" i="13"/>
  <c r="K4108" i="13" l="1"/>
  <c r="L4108" i="13" s="1"/>
  <c r="I4109" i="13" s="1"/>
  <c r="J4293" i="14" a="1"/>
  <c r="J4293" i="14" s="1"/>
  <c r="N4294" i="14"/>
  <c r="M4297" i="13"/>
  <c r="K4130" i="14"/>
  <c r="L4130" i="14" s="1"/>
  <c r="I4131" i="14" s="1"/>
  <c r="M4298" i="14"/>
  <c r="J4294" i="13" a="1"/>
  <c r="J4294" i="13" s="1"/>
  <c r="N4295" i="13"/>
  <c r="K4131" i="14" l="1"/>
  <c r="L4131" i="14" s="1"/>
  <c r="I4132" i="14" s="1"/>
  <c r="K4109" i="13"/>
  <c r="L4109" i="13" s="1"/>
  <c r="I4110" i="13" s="1"/>
  <c r="N4296" i="13"/>
  <c r="J4295" i="13" a="1"/>
  <c r="J4295" i="13" s="1"/>
  <c r="N4295" i="14"/>
  <c r="J4294" i="14" a="1"/>
  <c r="J4294" i="14" s="1"/>
  <c r="M4299" i="14"/>
  <c r="M4298" i="13"/>
  <c r="K4110" i="13" l="1"/>
  <c r="L4110" i="13" s="1"/>
  <c r="I4111" i="13" s="1"/>
  <c r="K4132" i="14"/>
  <c r="L4132" i="14" s="1"/>
  <c r="I4133" i="14" s="1"/>
  <c r="M4299" i="13"/>
  <c r="N4296" i="14"/>
  <c r="J4295" i="14" a="1"/>
  <c r="J4295" i="14" s="1"/>
  <c r="M4300" i="14"/>
  <c r="J4296" i="13" a="1"/>
  <c r="J4296" i="13" s="1"/>
  <c r="N4297" i="13"/>
  <c r="K4133" i="14" l="1"/>
  <c r="L4133" i="14" s="1"/>
  <c r="I4134" i="14" s="1"/>
  <c r="K4111" i="13"/>
  <c r="L4111" i="13" s="1"/>
  <c r="I4112" i="13" s="1"/>
  <c r="N4298" i="13"/>
  <c r="J4297" i="13" a="1"/>
  <c r="J4297" i="13" s="1"/>
  <c r="J4296" i="14" a="1"/>
  <c r="J4296" i="14" s="1"/>
  <c r="N4297" i="14"/>
  <c r="M4301" i="14"/>
  <c r="M4300" i="13"/>
  <c r="K4112" i="13" l="1"/>
  <c r="L4112" i="13" s="1"/>
  <c r="I4113" i="13" s="1"/>
  <c r="K4134" i="14"/>
  <c r="L4134" i="14" s="1"/>
  <c r="I4135" i="14" s="1"/>
  <c r="M4301" i="13"/>
  <c r="J4297" i="14" a="1"/>
  <c r="J4297" i="14" s="1"/>
  <c r="N4298" i="14"/>
  <c r="M4302" i="14"/>
  <c r="J4298" i="13" a="1"/>
  <c r="J4298" i="13" s="1"/>
  <c r="N4299" i="13"/>
  <c r="K4135" i="14" l="1"/>
  <c r="L4135" i="14" s="1"/>
  <c r="I4136" i="14" s="1"/>
  <c r="K4113" i="13"/>
  <c r="L4113" i="13" s="1"/>
  <c r="I4114" i="13" s="1"/>
  <c r="J4298" i="14" a="1"/>
  <c r="J4298" i="14" s="1"/>
  <c r="N4299" i="14"/>
  <c r="N4300" i="13"/>
  <c r="J4299" i="13" a="1"/>
  <c r="J4299" i="13" s="1"/>
  <c r="M4303" i="14"/>
  <c r="M4302" i="13"/>
  <c r="K4114" i="13" l="1"/>
  <c r="L4114" i="13" s="1"/>
  <c r="I4115" i="13" s="1"/>
  <c r="K4136" i="14"/>
  <c r="L4136" i="14" s="1"/>
  <c r="I4137" i="14" s="1"/>
  <c r="J4300" i="13" a="1"/>
  <c r="J4300" i="13" s="1"/>
  <c r="N4301" i="13"/>
  <c r="M4303" i="13"/>
  <c r="N4300" i="14"/>
  <c r="J4299" i="14" a="1"/>
  <c r="J4299" i="14" s="1"/>
  <c r="M4304" i="14"/>
  <c r="K4137" i="14" l="1"/>
  <c r="L4137" i="14" s="1"/>
  <c r="I4138" i="14" s="1"/>
  <c r="K4115" i="13"/>
  <c r="L4115" i="13" s="1"/>
  <c r="I4116" i="13" s="1"/>
  <c r="M4305" i="14"/>
  <c r="M4304" i="13"/>
  <c r="N4302" i="13"/>
  <c r="J4301" i="13" a="1"/>
  <c r="J4301" i="13" s="1"/>
  <c r="J4300" i="14" a="1"/>
  <c r="J4300" i="14" s="1"/>
  <c r="N4301" i="14"/>
  <c r="K4116" i="13" l="1"/>
  <c r="L4116" i="13" s="1"/>
  <c r="I4117" i="13" s="1"/>
  <c r="K4138" i="14"/>
  <c r="L4138" i="14" s="1"/>
  <c r="I4139" i="14" s="1"/>
  <c r="J4301" i="14" a="1"/>
  <c r="J4301" i="14" s="1"/>
  <c r="N4302" i="14"/>
  <c r="M4305" i="13"/>
  <c r="J4302" i="13" a="1"/>
  <c r="J4302" i="13" s="1"/>
  <c r="N4303" i="13"/>
  <c r="M4306" i="14"/>
  <c r="K4139" i="14" l="1"/>
  <c r="L4139" i="14" s="1"/>
  <c r="I4140" i="14" s="1"/>
  <c r="K4117" i="13"/>
  <c r="L4117" i="13" s="1"/>
  <c r="I4118" i="13" s="1"/>
  <c r="N4304" i="13"/>
  <c r="J4303" i="13" a="1"/>
  <c r="J4303" i="13" s="1"/>
  <c r="M4307" i="14"/>
  <c r="M4306" i="13"/>
  <c r="N4303" i="14"/>
  <c r="J4302" i="14" a="1"/>
  <c r="J4302" i="14" s="1"/>
  <c r="K4118" i="13" l="1"/>
  <c r="L4118" i="13" s="1"/>
  <c r="I4119" i="13" s="1"/>
  <c r="K4140" i="14"/>
  <c r="L4140" i="14" s="1"/>
  <c r="I4141" i="14" s="1"/>
  <c r="N4304" i="14"/>
  <c r="J4303" i="14" a="1"/>
  <c r="J4303" i="14" s="1"/>
  <c r="M4308" i="14"/>
  <c r="M4307" i="13"/>
  <c r="J4304" i="13" a="1"/>
  <c r="J4304" i="13" s="1"/>
  <c r="N4305" i="13"/>
  <c r="K4141" i="14" l="1"/>
  <c r="L4141" i="14" s="1"/>
  <c r="I4142" i="14" s="1"/>
  <c r="K4119" i="13"/>
  <c r="L4119" i="13" s="1"/>
  <c r="I4120" i="13" s="1"/>
  <c r="N4306" i="13"/>
  <c r="J4305" i="13" a="1"/>
  <c r="J4305" i="13" s="1"/>
  <c r="M4309" i="14"/>
  <c r="M4308" i="13"/>
  <c r="J4304" i="14" a="1"/>
  <c r="J4304" i="14" s="1"/>
  <c r="N4305" i="14"/>
  <c r="K4120" i="13" l="1"/>
  <c r="L4120" i="13" s="1"/>
  <c r="I4121" i="13" s="1"/>
  <c r="K4142" i="14"/>
  <c r="L4142" i="14" s="1"/>
  <c r="I4143" i="14" s="1"/>
  <c r="J4305" i="14" a="1"/>
  <c r="J4305" i="14" s="1"/>
  <c r="N4306" i="14"/>
  <c r="M4310" i="14"/>
  <c r="M4309" i="13"/>
  <c r="J4306" i="13" a="1"/>
  <c r="J4306" i="13" s="1"/>
  <c r="N4307" i="13"/>
  <c r="K4143" i="14" l="1"/>
  <c r="L4143" i="14" s="1"/>
  <c r="I4144" i="14" s="1"/>
  <c r="K4121" i="13"/>
  <c r="L4121" i="13" s="1"/>
  <c r="I4122" i="13" s="1"/>
  <c r="N4308" i="13"/>
  <c r="J4307" i="13" a="1"/>
  <c r="J4307" i="13" s="1"/>
  <c r="M4311" i="14"/>
  <c r="N4307" i="14"/>
  <c r="J4306" i="14" a="1"/>
  <c r="J4306" i="14" s="1"/>
  <c r="M4310" i="13"/>
  <c r="K4122" i="13" l="1"/>
  <c r="L4122" i="13" s="1"/>
  <c r="I4123" i="13" s="1"/>
  <c r="K4144" i="14"/>
  <c r="L4144" i="14" s="1"/>
  <c r="I4145" i="14" s="1"/>
  <c r="M4311" i="13"/>
  <c r="M4312" i="14"/>
  <c r="N4308" i="14"/>
  <c r="J4307" i="14" a="1"/>
  <c r="J4307" i="14" s="1"/>
  <c r="J4308" i="13" a="1"/>
  <c r="J4308" i="13" s="1"/>
  <c r="N4309" i="13"/>
  <c r="K4145" i="14" l="1"/>
  <c r="L4145" i="14" s="1"/>
  <c r="I4146" i="14" s="1"/>
  <c r="K4123" i="13"/>
  <c r="L4123" i="13" s="1"/>
  <c r="I4124" i="13" s="1"/>
  <c r="N4310" i="13"/>
  <c r="J4309" i="13" a="1"/>
  <c r="J4309" i="13" s="1"/>
  <c r="M4313" i="14"/>
  <c r="J4308" i="14" a="1"/>
  <c r="J4308" i="14" s="1"/>
  <c r="N4309" i="14"/>
  <c r="M4312" i="13"/>
  <c r="K4124" i="13" l="1"/>
  <c r="L4124" i="13" s="1"/>
  <c r="I4125" i="13" s="1"/>
  <c r="K4146" i="14"/>
  <c r="L4146" i="14" s="1"/>
  <c r="I4147" i="14" s="1"/>
  <c r="M4313" i="13"/>
  <c r="J4309" i="14" a="1"/>
  <c r="J4309" i="14" s="1"/>
  <c r="N4310" i="14"/>
  <c r="M4314" i="14"/>
  <c r="J4310" i="13" a="1"/>
  <c r="J4310" i="13" s="1"/>
  <c r="N4311" i="13"/>
  <c r="K4147" i="14" l="1"/>
  <c r="L4147" i="14" s="1"/>
  <c r="I4148" i="14" s="1"/>
  <c r="K4125" i="13"/>
  <c r="L4125" i="13" s="1"/>
  <c r="I4126" i="13" s="1"/>
  <c r="N4311" i="14"/>
  <c r="J4310" i="14" a="1"/>
  <c r="J4310" i="14" s="1"/>
  <c r="N4312" i="13"/>
  <c r="J4311" i="13" a="1"/>
  <c r="J4311" i="13" s="1"/>
  <c r="M4315" i="14"/>
  <c r="M4314" i="13"/>
  <c r="K4126" i="13" l="1"/>
  <c r="L4126" i="13" s="1"/>
  <c r="I4127" i="13" s="1"/>
  <c r="K4148" i="14"/>
  <c r="L4148" i="14" s="1"/>
  <c r="I4149" i="14" s="1"/>
  <c r="J4312" i="13" a="1"/>
  <c r="J4312" i="13" s="1"/>
  <c r="N4313" i="13"/>
  <c r="M4315" i="13"/>
  <c r="M4316" i="14"/>
  <c r="N4312" i="14"/>
  <c r="J4311" i="14" a="1"/>
  <c r="J4311" i="14" s="1"/>
  <c r="K4149" i="14" l="1"/>
  <c r="L4149" i="14" s="1"/>
  <c r="I4150" i="14" s="1"/>
  <c r="K4127" i="13"/>
  <c r="L4127" i="13" s="1"/>
  <c r="I4128" i="13" s="1"/>
  <c r="J4312" i="14" a="1"/>
  <c r="J4312" i="14" s="1"/>
  <c r="N4313" i="14"/>
  <c r="M4316" i="13"/>
  <c r="N4314" i="13"/>
  <c r="J4313" i="13" a="1"/>
  <c r="J4313" i="13" s="1"/>
  <c r="M4317" i="14"/>
  <c r="K4128" i="13" l="1"/>
  <c r="L4128" i="13" s="1"/>
  <c r="I4129" i="13" s="1"/>
  <c r="K4150" i="14"/>
  <c r="L4150" i="14" s="1"/>
  <c r="I4151" i="14" s="1"/>
  <c r="M4318" i="14"/>
  <c r="M4317" i="13"/>
  <c r="J4313" i="14" a="1"/>
  <c r="J4313" i="14" s="1"/>
  <c r="N4314" i="14"/>
  <c r="J4314" i="13" a="1"/>
  <c r="J4314" i="13" s="1"/>
  <c r="N4315" i="13"/>
  <c r="K4151" i="14" l="1"/>
  <c r="L4151" i="14" s="1"/>
  <c r="I4152" i="14" s="1"/>
  <c r="K4129" i="13"/>
  <c r="L4129" i="13" s="1"/>
  <c r="I4130" i="13" s="1"/>
  <c r="N4316" i="13"/>
  <c r="J4315" i="13" a="1"/>
  <c r="J4315" i="13" s="1"/>
  <c r="M4318" i="13"/>
  <c r="J4314" i="14" a="1"/>
  <c r="J4314" i="14" s="1"/>
  <c r="N4315" i="14"/>
  <c r="M4319" i="14"/>
  <c r="K4130" i="13" l="1"/>
  <c r="L4130" i="13" s="1"/>
  <c r="I4131" i="13" s="1"/>
  <c r="K4152" i="14"/>
  <c r="L4152" i="14" s="1"/>
  <c r="I4153" i="14" s="1"/>
  <c r="M4319" i="13"/>
  <c r="M4320" i="14"/>
  <c r="N4316" i="14"/>
  <c r="J4315" i="14" a="1"/>
  <c r="J4315" i="14" s="1"/>
  <c r="J4316" i="13" a="1"/>
  <c r="J4316" i="13" s="1"/>
  <c r="N4317" i="13"/>
  <c r="K4153" i="14" l="1"/>
  <c r="L4153" i="14" s="1"/>
  <c r="I4154" i="14" s="1"/>
  <c r="K4131" i="13"/>
  <c r="L4131" i="13" s="1"/>
  <c r="I4132" i="13" s="1"/>
  <c r="N4318" i="13"/>
  <c r="J4317" i="13" a="1"/>
  <c r="J4317" i="13" s="1"/>
  <c r="M4321" i="14"/>
  <c r="J4316" i="14" a="1"/>
  <c r="J4316" i="14" s="1"/>
  <c r="N4317" i="14"/>
  <c r="M4320" i="13"/>
  <c r="K4132" i="13" l="1"/>
  <c r="L4132" i="13" s="1"/>
  <c r="I4133" i="13" s="1"/>
  <c r="K4154" i="14"/>
  <c r="L4154" i="14" s="1"/>
  <c r="I4155" i="14" s="1"/>
  <c r="M4321" i="13"/>
  <c r="J4317" i="14" a="1"/>
  <c r="J4317" i="14" s="1"/>
  <c r="N4318" i="14"/>
  <c r="M4322" i="14"/>
  <c r="J4318" i="13" a="1"/>
  <c r="J4318" i="13" s="1"/>
  <c r="N4319" i="13"/>
  <c r="K4155" i="14" l="1"/>
  <c r="L4155" i="14" s="1"/>
  <c r="I4156" i="14" s="1"/>
  <c r="K4133" i="13"/>
  <c r="L4133" i="13" s="1"/>
  <c r="I4134" i="13" s="1"/>
  <c r="N4319" i="14"/>
  <c r="J4318" i="14" a="1"/>
  <c r="J4318" i="14" s="1"/>
  <c r="N4320" i="13"/>
  <c r="J4319" i="13" a="1"/>
  <c r="J4319" i="13" s="1"/>
  <c r="M4323" i="14"/>
  <c r="M4322" i="13"/>
  <c r="K4134" i="13" l="1"/>
  <c r="L4134" i="13" s="1"/>
  <c r="I4135" i="13" s="1"/>
  <c r="K4156" i="14"/>
  <c r="L4156" i="14" s="1"/>
  <c r="I4157" i="14" s="1"/>
  <c r="J4320" i="13" a="1"/>
  <c r="J4320" i="13" s="1"/>
  <c r="N4321" i="13"/>
  <c r="M4323" i="13"/>
  <c r="M4324" i="14"/>
  <c r="N4320" i="14"/>
  <c r="J4319" i="14" a="1"/>
  <c r="J4319" i="14" s="1"/>
  <c r="K4157" i="14" l="1"/>
  <c r="L4157" i="14" s="1"/>
  <c r="I4158" i="14" s="1"/>
  <c r="K4135" i="13"/>
  <c r="L4135" i="13" s="1"/>
  <c r="I4136" i="13" s="1"/>
  <c r="J4320" i="14" a="1"/>
  <c r="J4320" i="14" s="1"/>
  <c r="N4321" i="14"/>
  <c r="M4324" i="13"/>
  <c r="N4322" i="13"/>
  <c r="J4321" i="13" a="1"/>
  <c r="J4321" i="13" s="1"/>
  <c r="M4325" i="14"/>
  <c r="K4136" i="13" l="1"/>
  <c r="L4136" i="13" s="1"/>
  <c r="I4137" i="13" s="1"/>
  <c r="K4158" i="14"/>
  <c r="L4158" i="14" s="1"/>
  <c r="I4159" i="14" s="1"/>
  <c r="J4322" i="13" a="1"/>
  <c r="J4322" i="13" s="1"/>
  <c r="N4323" i="13"/>
  <c r="M4326" i="14"/>
  <c r="M4325" i="13"/>
  <c r="J4321" i="14" a="1"/>
  <c r="J4321" i="14" s="1"/>
  <c r="N4322" i="14"/>
  <c r="K4159" i="14" l="1"/>
  <c r="L4159" i="14" s="1"/>
  <c r="I4160" i="14" s="1"/>
  <c r="K4137" i="13"/>
  <c r="L4137" i="13" s="1"/>
  <c r="I4138" i="13" s="1"/>
  <c r="N4323" i="14"/>
  <c r="J4322" i="14" a="1"/>
  <c r="J4322" i="14" s="1"/>
  <c r="M4327" i="14"/>
  <c r="N4324" i="13"/>
  <c r="J4323" i="13" a="1"/>
  <c r="J4323" i="13" s="1"/>
  <c r="M4326" i="13"/>
  <c r="K4138" i="13" l="1"/>
  <c r="L4138" i="13" s="1"/>
  <c r="I4139" i="13" s="1"/>
  <c r="K4160" i="14"/>
  <c r="L4160" i="14" s="1"/>
  <c r="I4161" i="14" s="1"/>
  <c r="M4327" i="13"/>
  <c r="M4328" i="14"/>
  <c r="J4324" i="13" a="1"/>
  <c r="J4324" i="13" s="1"/>
  <c r="N4325" i="13"/>
  <c r="N4324" i="14"/>
  <c r="J4323" i="14" a="1"/>
  <c r="J4323" i="14" s="1"/>
  <c r="K4161" i="14" l="1"/>
  <c r="L4161" i="14" s="1"/>
  <c r="I4162" i="14" s="1"/>
  <c r="K4139" i="13"/>
  <c r="L4139" i="13" s="1"/>
  <c r="I4140" i="13" s="1"/>
  <c r="J4324" i="14" a="1"/>
  <c r="J4324" i="14" s="1"/>
  <c r="N4325" i="14"/>
  <c r="M4329" i="14"/>
  <c r="N4326" i="13"/>
  <c r="J4325" i="13" a="1"/>
  <c r="J4325" i="13" s="1"/>
  <c r="M4328" i="13"/>
  <c r="K4140" i="13" l="1"/>
  <c r="L4140" i="13" s="1"/>
  <c r="I4141" i="13" s="1"/>
  <c r="K4162" i="14"/>
  <c r="L4162" i="14" s="1"/>
  <c r="I4163" i="14" s="1"/>
  <c r="M4329" i="13"/>
  <c r="M4330" i="14"/>
  <c r="J4325" i="14" a="1"/>
  <c r="J4325" i="14" s="1"/>
  <c r="N4326" i="14"/>
  <c r="J4326" i="13" a="1"/>
  <c r="J4326" i="13" s="1"/>
  <c r="N4327" i="13"/>
  <c r="K4163" i="14" l="1"/>
  <c r="L4163" i="14" s="1"/>
  <c r="I4164" i="14" s="1"/>
  <c r="K4141" i="13"/>
  <c r="L4141" i="13" s="1"/>
  <c r="I4142" i="13" s="1"/>
  <c r="N4328" i="13"/>
  <c r="J4327" i="13" a="1"/>
  <c r="J4327" i="13" s="1"/>
  <c r="M4331" i="14"/>
  <c r="N4327" i="14"/>
  <c r="J4326" i="14" a="1"/>
  <c r="J4326" i="14" s="1"/>
  <c r="M4330" i="13"/>
  <c r="K4142" i="13" l="1"/>
  <c r="L4142" i="13" s="1"/>
  <c r="I4143" i="13" s="1"/>
  <c r="K4164" i="14"/>
  <c r="L4164" i="14" s="1"/>
  <c r="I4165" i="14" s="1"/>
  <c r="M4331" i="13"/>
  <c r="M4332" i="14"/>
  <c r="N4328" i="14"/>
  <c r="J4327" i="14" a="1"/>
  <c r="J4327" i="14" s="1"/>
  <c r="J4328" i="13" a="1"/>
  <c r="J4328" i="13" s="1"/>
  <c r="N4329" i="13"/>
  <c r="K4165" i="14" l="1"/>
  <c r="L4165" i="14" s="1"/>
  <c r="I4166" i="14" s="1"/>
  <c r="K4143" i="13"/>
  <c r="L4143" i="13" s="1"/>
  <c r="I4144" i="13" s="1"/>
  <c r="N4330" i="13"/>
  <c r="J4329" i="13" a="1"/>
  <c r="J4329" i="13" s="1"/>
  <c r="M4333" i="14"/>
  <c r="J4328" i="14" a="1"/>
  <c r="J4328" i="14" s="1"/>
  <c r="N4329" i="14"/>
  <c r="M4332" i="13"/>
  <c r="K4144" i="13" l="1"/>
  <c r="L4144" i="13" s="1"/>
  <c r="I4145" i="13" s="1"/>
  <c r="K4166" i="14"/>
  <c r="L4166" i="14" s="1"/>
  <c r="I4167" i="14" s="1"/>
  <c r="M4334" i="14"/>
  <c r="J4329" i="14" a="1"/>
  <c r="J4329" i="14" s="1"/>
  <c r="N4330" i="14"/>
  <c r="M4333" i="13"/>
  <c r="J4330" i="13" a="1"/>
  <c r="J4330" i="13" s="1"/>
  <c r="N4331" i="13"/>
  <c r="K4167" i="14" l="1"/>
  <c r="L4167" i="14" s="1"/>
  <c r="I4168" i="14" s="1"/>
  <c r="K4145" i="13"/>
  <c r="L4145" i="13" s="1"/>
  <c r="I4146" i="13" s="1"/>
  <c r="J4330" i="14" a="1"/>
  <c r="J4330" i="14" s="1"/>
  <c r="N4331" i="14"/>
  <c r="N4332" i="13"/>
  <c r="J4331" i="13" a="1"/>
  <c r="J4331" i="13" s="1"/>
  <c r="M4335" i="14"/>
  <c r="M4334" i="13"/>
  <c r="K4146" i="13" l="1"/>
  <c r="L4146" i="13" s="1"/>
  <c r="I4147" i="13" s="1"/>
  <c r="K4168" i="14"/>
  <c r="L4168" i="14" s="1"/>
  <c r="I4169" i="14" s="1"/>
  <c r="J4332" i="13" a="1"/>
  <c r="J4332" i="13" s="1"/>
  <c r="N4333" i="13"/>
  <c r="M4335" i="13"/>
  <c r="N4332" i="14"/>
  <c r="J4331" i="14" a="1"/>
  <c r="J4331" i="14" s="1"/>
  <c r="M4336" i="14"/>
  <c r="K4169" i="14" l="1"/>
  <c r="L4169" i="14" s="1"/>
  <c r="I4170" i="14" s="1"/>
  <c r="K4147" i="13"/>
  <c r="L4147" i="13" s="1"/>
  <c r="I4148" i="13" s="1"/>
  <c r="M4337" i="14"/>
  <c r="M4336" i="13"/>
  <c r="N4334" i="13"/>
  <c r="J4333" i="13" a="1"/>
  <c r="J4333" i="13" s="1"/>
  <c r="J4332" i="14" a="1"/>
  <c r="J4332" i="14" s="1"/>
  <c r="N4333" i="14"/>
  <c r="K4148" i="13" l="1"/>
  <c r="L4148" i="13" s="1"/>
  <c r="I4149" i="13" s="1"/>
  <c r="K4170" i="14"/>
  <c r="L4170" i="14" s="1"/>
  <c r="I4171" i="14" s="1"/>
  <c r="J4333" i="14" a="1"/>
  <c r="J4333" i="14" s="1"/>
  <c r="N4334" i="14"/>
  <c r="M4337" i="13"/>
  <c r="J4334" i="13" a="1"/>
  <c r="J4334" i="13" s="1"/>
  <c r="N4335" i="13"/>
  <c r="M4338" i="14"/>
  <c r="K4171" i="14" l="1"/>
  <c r="L4171" i="14" s="1"/>
  <c r="I4172" i="14" s="1"/>
  <c r="K4149" i="13"/>
  <c r="L4149" i="13" s="1"/>
  <c r="I4150" i="13" s="1"/>
  <c r="N4336" i="13"/>
  <c r="J4335" i="13" a="1"/>
  <c r="J4335" i="13" s="1"/>
  <c r="M4339" i="14"/>
  <c r="M4338" i="13"/>
  <c r="N4335" i="14"/>
  <c r="J4334" i="14" a="1"/>
  <c r="J4334" i="14" s="1"/>
  <c r="K4150" i="13" l="1"/>
  <c r="L4150" i="13" s="1"/>
  <c r="I4151" i="13" s="1"/>
  <c r="K4172" i="14"/>
  <c r="L4172" i="14" s="1"/>
  <c r="I4173" i="14" s="1"/>
  <c r="N4336" i="14"/>
  <c r="J4335" i="14" a="1"/>
  <c r="J4335" i="14" s="1"/>
  <c r="M4340" i="14"/>
  <c r="M4339" i="13"/>
  <c r="J4336" i="13" a="1"/>
  <c r="J4336" i="13" s="1"/>
  <c r="N4337" i="13"/>
  <c r="K4173" i="14" l="1"/>
  <c r="L4173" i="14" s="1"/>
  <c r="I4174" i="14" s="1"/>
  <c r="K4151" i="13"/>
  <c r="L4151" i="13" s="1"/>
  <c r="I4152" i="13" s="1"/>
  <c r="N4338" i="13"/>
  <c r="J4337" i="13" a="1"/>
  <c r="J4337" i="13" s="1"/>
  <c r="M4341" i="14"/>
  <c r="M4340" i="13"/>
  <c r="J4336" i="14" a="1"/>
  <c r="J4336" i="14" s="1"/>
  <c r="N4337" i="14"/>
  <c r="K4152" i="13" l="1"/>
  <c r="L4152" i="13" s="1"/>
  <c r="I4153" i="13" s="1"/>
  <c r="K4174" i="14"/>
  <c r="L4174" i="14" s="1"/>
  <c r="I4175" i="14" s="1"/>
  <c r="J4337" i="14" a="1"/>
  <c r="J4337" i="14" s="1"/>
  <c r="N4338" i="14"/>
  <c r="M4342" i="14"/>
  <c r="M4341" i="13"/>
  <c r="J4338" i="13" a="1"/>
  <c r="J4338" i="13" s="1"/>
  <c r="N4339" i="13"/>
  <c r="K4175" i="14" l="1"/>
  <c r="L4175" i="14" s="1"/>
  <c r="I4176" i="14" s="1"/>
  <c r="K4153" i="13"/>
  <c r="L4153" i="13" s="1"/>
  <c r="I4154" i="13" s="1"/>
  <c r="N4340" i="13"/>
  <c r="J4339" i="13" a="1"/>
  <c r="J4339" i="13" s="1"/>
  <c r="M4343" i="14"/>
  <c r="N4339" i="14"/>
  <c r="J4338" i="14" a="1"/>
  <c r="J4338" i="14" s="1"/>
  <c r="M4342" i="13"/>
  <c r="K4154" i="13" l="1"/>
  <c r="L4154" i="13" s="1"/>
  <c r="I4155" i="13" s="1"/>
  <c r="K4176" i="14"/>
  <c r="L4176" i="14" s="1"/>
  <c r="I4177" i="14" s="1"/>
  <c r="N4340" i="14"/>
  <c r="J4339" i="14" a="1"/>
  <c r="J4339" i="14" s="1"/>
  <c r="M4343" i="13"/>
  <c r="M4344" i="14"/>
  <c r="J4340" i="13" a="1"/>
  <c r="J4340" i="13" s="1"/>
  <c r="N4341" i="13"/>
  <c r="K4177" i="14" l="1"/>
  <c r="L4177" i="14" s="1"/>
  <c r="I4178" i="14" s="1"/>
  <c r="K4155" i="13"/>
  <c r="L4155" i="13" s="1"/>
  <c r="I4156" i="13" s="1"/>
  <c r="N4342" i="13"/>
  <c r="J4341" i="13" a="1"/>
  <c r="J4341" i="13" s="1"/>
  <c r="M4344" i="13"/>
  <c r="M4345" i="14"/>
  <c r="J4340" i="14" a="1"/>
  <c r="J4340" i="14" s="1"/>
  <c r="N4341" i="14"/>
  <c r="K4156" i="13" l="1"/>
  <c r="L4156" i="13" s="1"/>
  <c r="I4157" i="13" s="1"/>
  <c r="K4178" i="14"/>
  <c r="L4178" i="14" s="1"/>
  <c r="I4179" i="14" s="1"/>
  <c r="J4341" i="14" a="1"/>
  <c r="J4341" i="14" s="1"/>
  <c r="N4342" i="14"/>
  <c r="M4345" i="13"/>
  <c r="M4346" i="14"/>
  <c r="J4342" i="13" a="1"/>
  <c r="J4342" i="13" s="1"/>
  <c r="N4343" i="13"/>
  <c r="K4179" i="14" l="1"/>
  <c r="L4179" i="14" s="1"/>
  <c r="I4180" i="14" s="1"/>
  <c r="K4157" i="13"/>
  <c r="L4157" i="13" s="1"/>
  <c r="I4158" i="13" s="1"/>
  <c r="N4344" i="13"/>
  <c r="J4343" i="13" a="1"/>
  <c r="J4343" i="13" s="1"/>
  <c r="M4346" i="13"/>
  <c r="N4343" i="14"/>
  <c r="J4342" i="14" a="1"/>
  <c r="J4342" i="14" s="1"/>
  <c r="M4347" i="14"/>
  <c r="K4158" i="13" l="1"/>
  <c r="L4158" i="13" s="1"/>
  <c r="I4159" i="13" s="1"/>
  <c r="K4180" i="14"/>
  <c r="L4180" i="14" s="1"/>
  <c r="I4181" i="14" s="1"/>
  <c r="N4344" i="14"/>
  <c r="J4343" i="14" a="1"/>
  <c r="J4343" i="14" s="1"/>
  <c r="M4347" i="13"/>
  <c r="M4348" i="14"/>
  <c r="J4344" i="13" a="1"/>
  <c r="J4344" i="13" s="1"/>
  <c r="N4345" i="13"/>
  <c r="K4181" i="14" l="1"/>
  <c r="L4181" i="14" s="1"/>
  <c r="I4182" i="14" s="1"/>
  <c r="K4159" i="13"/>
  <c r="L4159" i="13" s="1"/>
  <c r="I4160" i="13" s="1"/>
  <c r="N4346" i="13"/>
  <c r="J4345" i="13" a="1"/>
  <c r="J4345" i="13" s="1"/>
  <c r="M4348" i="13"/>
  <c r="M4349" i="14"/>
  <c r="J4344" i="14" a="1"/>
  <c r="J4344" i="14" s="1"/>
  <c r="N4345" i="14"/>
  <c r="K4160" i="13" l="1"/>
  <c r="L4160" i="13" s="1"/>
  <c r="I4161" i="13" s="1"/>
  <c r="K4182" i="14"/>
  <c r="L4182" i="14" s="1"/>
  <c r="I4183" i="14" s="1"/>
  <c r="M4349" i="13"/>
  <c r="J4345" i="14" a="1"/>
  <c r="J4345" i="14" s="1"/>
  <c r="N4346" i="14"/>
  <c r="M4350" i="14"/>
  <c r="J4346" i="13" a="1"/>
  <c r="J4346" i="13" s="1"/>
  <c r="N4347" i="13"/>
  <c r="K4183" i="14" l="1"/>
  <c r="L4183" i="14" s="1"/>
  <c r="I4184" i="14" s="1"/>
  <c r="K4161" i="13"/>
  <c r="L4161" i="13" s="1"/>
  <c r="I4162" i="13" s="1"/>
  <c r="J4346" i="14" a="1"/>
  <c r="J4346" i="14" s="1"/>
  <c r="N4347" i="14"/>
  <c r="M4351" i="14"/>
  <c r="N4348" i="13"/>
  <c r="J4347" i="13" a="1"/>
  <c r="J4347" i="13" s="1"/>
  <c r="M4350" i="13"/>
  <c r="K4162" i="13" l="1"/>
  <c r="L4162" i="13" s="1"/>
  <c r="I4163" i="13" s="1"/>
  <c r="K4184" i="14"/>
  <c r="L4184" i="14" s="1"/>
  <c r="I4185" i="14" s="1"/>
  <c r="J4348" i="13" a="1"/>
  <c r="J4348" i="13" s="1"/>
  <c r="N4349" i="13"/>
  <c r="M4351" i="13"/>
  <c r="M4352" i="14"/>
  <c r="N4348" i="14"/>
  <c r="J4347" i="14" a="1"/>
  <c r="J4347" i="14" s="1"/>
  <c r="K4185" i="14" l="1"/>
  <c r="L4185" i="14" s="1"/>
  <c r="I4186" i="14" s="1"/>
  <c r="K4163" i="13"/>
  <c r="L4163" i="13" s="1"/>
  <c r="I4164" i="13" s="1"/>
  <c r="J4348" i="14" a="1"/>
  <c r="J4348" i="14" s="1"/>
  <c r="N4349" i="14"/>
  <c r="M4352" i="13"/>
  <c r="N4350" i="13"/>
  <c r="J4349" i="13" a="1"/>
  <c r="J4349" i="13" s="1"/>
  <c r="M4353" i="14"/>
  <c r="K4186" i="14" l="1"/>
  <c r="L4186" i="14" s="1"/>
  <c r="I4187" i="14" s="1"/>
  <c r="J4350" i="13" a="1"/>
  <c r="J4350" i="13" s="1"/>
  <c r="N4351" i="13"/>
  <c r="M4353" i="13"/>
  <c r="M4354" i="14"/>
  <c r="K4164" i="13"/>
  <c r="L4164" i="13" s="1"/>
  <c r="I4165" i="13" s="1"/>
  <c r="J4349" i="14" a="1"/>
  <c r="J4349" i="14" s="1"/>
  <c r="N4350" i="14"/>
  <c r="K4165" i="13" l="1"/>
  <c r="L4165" i="13" s="1"/>
  <c r="I4166" i="13" s="1"/>
  <c r="K4187" i="14"/>
  <c r="L4187" i="14" s="1"/>
  <c r="I4188" i="14" s="1"/>
  <c r="N4351" i="14"/>
  <c r="J4350" i="14" a="1"/>
  <c r="J4350" i="14" s="1"/>
  <c r="M4355" i="14"/>
  <c r="N4352" i="13"/>
  <c r="J4351" i="13" a="1"/>
  <c r="J4351" i="13" s="1"/>
  <c r="M4354" i="13"/>
  <c r="K4188" i="14" l="1"/>
  <c r="L4188" i="14" s="1"/>
  <c r="I4189" i="14" s="1"/>
  <c r="K4166" i="13"/>
  <c r="L4166" i="13" s="1"/>
  <c r="I4167" i="13" s="1"/>
  <c r="J4352" i="13" a="1"/>
  <c r="J4352" i="13" s="1"/>
  <c r="N4353" i="13"/>
  <c r="M4355" i="13"/>
  <c r="M4356" i="14"/>
  <c r="N4352" i="14"/>
  <c r="J4351" i="14" a="1"/>
  <c r="J4351" i="14" s="1"/>
  <c r="K4167" i="13" l="1"/>
  <c r="L4167" i="13" s="1"/>
  <c r="I4168" i="13" s="1"/>
  <c r="K4189" i="14"/>
  <c r="L4189" i="14" s="1"/>
  <c r="I4190" i="14" s="1"/>
  <c r="J4352" i="14" a="1"/>
  <c r="J4352" i="14" s="1"/>
  <c r="N4353" i="14"/>
  <c r="M4356" i="13"/>
  <c r="N4354" i="13"/>
  <c r="J4353" i="13" a="1"/>
  <c r="J4353" i="13" s="1"/>
  <c r="M4357" i="14"/>
  <c r="K4168" i="13" l="1"/>
  <c r="L4168" i="13" s="1"/>
  <c r="I4169" i="13" s="1"/>
  <c r="M4358" i="14"/>
  <c r="M4357" i="13"/>
  <c r="K4190" i="14"/>
  <c r="L4190" i="14" s="1"/>
  <c r="I4191" i="14" s="1"/>
  <c r="J4353" i="14" a="1"/>
  <c r="J4353" i="14" s="1"/>
  <c r="N4354" i="14"/>
  <c r="J4354" i="13" a="1"/>
  <c r="J4354" i="13" s="1"/>
  <c r="N4355" i="13"/>
  <c r="K4169" i="13" l="1"/>
  <c r="L4169" i="13" s="1"/>
  <c r="I4170" i="13" s="1"/>
  <c r="N4356" i="13"/>
  <c r="J4355" i="13" a="1"/>
  <c r="J4355" i="13" s="1"/>
  <c r="M4359" i="14"/>
  <c r="K4191" i="14"/>
  <c r="L4191" i="14" s="1"/>
  <c r="I4192" i="14" s="1"/>
  <c r="N4355" i="14"/>
  <c r="J4354" i="14" a="1"/>
  <c r="J4354" i="14" s="1"/>
  <c r="M4358" i="13"/>
  <c r="K4170" i="13" l="1"/>
  <c r="L4170" i="13" s="1"/>
  <c r="I4171" i="13" s="1"/>
  <c r="M4359" i="13"/>
  <c r="J4356" i="13" a="1"/>
  <c r="J4356" i="13" s="1"/>
  <c r="N4357" i="13"/>
  <c r="K4192" i="14"/>
  <c r="L4192" i="14" s="1"/>
  <c r="I4193" i="14" s="1"/>
  <c r="N4356" i="14"/>
  <c r="J4355" i="14" a="1"/>
  <c r="J4355" i="14" s="1"/>
  <c r="M4360" i="14"/>
  <c r="K4193" i="14" l="1"/>
  <c r="L4193" i="14" s="1"/>
  <c r="I4194" i="14" s="1"/>
  <c r="K4171" i="13"/>
  <c r="L4171" i="13" s="1"/>
  <c r="I4172" i="13" s="1"/>
  <c r="J4356" i="14" a="1"/>
  <c r="J4356" i="14" s="1"/>
  <c r="N4357" i="14"/>
  <c r="M4361" i="14"/>
  <c r="M4360" i="13"/>
  <c r="N4358" i="13"/>
  <c r="J4357" i="13" a="1"/>
  <c r="J4357" i="13" s="1"/>
  <c r="K4172" i="13" l="1"/>
  <c r="L4172" i="13" s="1"/>
  <c r="I4173" i="13" s="1"/>
  <c r="K4194" i="14"/>
  <c r="L4194" i="14" s="1"/>
  <c r="I4195" i="14" s="1"/>
  <c r="J4358" i="13" a="1"/>
  <c r="J4358" i="13" s="1"/>
  <c r="N4359" i="13"/>
  <c r="M4362" i="14"/>
  <c r="M4361" i="13"/>
  <c r="J4357" i="14" a="1"/>
  <c r="J4357" i="14" s="1"/>
  <c r="N4358" i="14"/>
  <c r="K4195" i="14" l="1"/>
  <c r="L4195" i="14" s="1"/>
  <c r="I4196" i="14" s="1"/>
  <c r="K4173" i="13"/>
  <c r="L4173" i="13" s="1"/>
  <c r="I4174" i="13" s="1"/>
  <c r="N4360" i="13"/>
  <c r="J4359" i="13" a="1"/>
  <c r="J4359" i="13" s="1"/>
  <c r="N4359" i="14"/>
  <c r="J4358" i="14" a="1"/>
  <c r="J4358" i="14" s="1"/>
  <c r="M4363" i="14"/>
  <c r="M4362" i="13"/>
  <c r="K4174" i="13" l="1"/>
  <c r="L4174" i="13" s="1"/>
  <c r="I4175" i="13" s="1"/>
  <c r="K4196" i="14"/>
  <c r="L4196" i="14" s="1"/>
  <c r="I4197" i="14" s="1"/>
  <c r="N4360" i="14"/>
  <c r="J4359" i="14" a="1"/>
  <c r="J4359" i="14" s="1"/>
  <c r="M4363" i="13"/>
  <c r="M4364" i="14"/>
  <c r="J4360" i="13" a="1"/>
  <c r="J4360" i="13" s="1"/>
  <c r="N4361" i="13"/>
  <c r="K4197" i="14" l="1"/>
  <c r="L4197" i="14" s="1"/>
  <c r="I4198" i="14" s="1"/>
  <c r="K4175" i="13"/>
  <c r="L4175" i="13" s="1"/>
  <c r="I4176" i="13" s="1"/>
  <c r="M4364" i="13"/>
  <c r="N4362" i="13"/>
  <c r="J4361" i="13" a="1"/>
  <c r="J4361" i="13" s="1"/>
  <c r="M4365" i="14"/>
  <c r="J4360" i="14" a="1"/>
  <c r="J4360" i="14" s="1"/>
  <c r="N4361" i="14"/>
  <c r="K4176" i="13" l="1"/>
  <c r="L4176" i="13" s="1"/>
  <c r="I4177" i="13" s="1"/>
  <c r="K4198" i="14"/>
  <c r="L4198" i="14" s="1"/>
  <c r="I4199" i="14" s="1"/>
  <c r="J4361" i="14" a="1"/>
  <c r="J4361" i="14" s="1"/>
  <c r="N4362" i="14"/>
  <c r="J4362" i="13" a="1"/>
  <c r="J4362" i="13" s="1"/>
  <c r="N4363" i="13"/>
  <c r="M4366" i="14"/>
  <c r="M4365" i="13"/>
  <c r="K4199" i="14" l="1"/>
  <c r="L4199" i="14" s="1"/>
  <c r="I4200" i="14" s="1"/>
  <c r="K4177" i="13"/>
  <c r="L4177" i="13" s="1"/>
  <c r="I4178" i="13" s="1"/>
  <c r="N4364" i="13"/>
  <c r="J4363" i="13" a="1"/>
  <c r="J4363" i="13" s="1"/>
  <c r="J4362" i="14" a="1"/>
  <c r="J4362" i="14" s="1"/>
  <c r="N4363" i="14"/>
  <c r="M4366" i="13"/>
  <c r="M4367" i="14"/>
  <c r="K4178" i="13" l="1"/>
  <c r="L4178" i="13" s="1"/>
  <c r="I4179" i="13" s="1"/>
  <c r="K4200" i="14"/>
  <c r="L4200" i="14" s="1"/>
  <c r="I4201" i="14" s="1"/>
  <c r="N4364" i="14"/>
  <c r="J4363" i="14" a="1"/>
  <c r="J4363" i="14" s="1"/>
  <c r="M4368" i="14"/>
  <c r="M4367" i="13"/>
  <c r="J4364" i="13" a="1"/>
  <c r="J4364" i="13" s="1"/>
  <c r="N4365" i="13"/>
  <c r="K4201" i="14" l="1"/>
  <c r="L4201" i="14" s="1"/>
  <c r="I4202" i="14" s="1"/>
  <c r="K4179" i="13"/>
  <c r="L4179" i="13" s="1"/>
  <c r="I4180" i="13" s="1"/>
  <c r="N4366" i="13"/>
  <c r="J4365" i="13" a="1"/>
  <c r="J4365" i="13" s="1"/>
  <c r="M4369" i="14"/>
  <c r="M4368" i="13"/>
  <c r="J4364" i="14" a="1"/>
  <c r="J4364" i="14" s="1"/>
  <c r="N4365" i="14"/>
  <c r="K4180" i="13" l="1"/>
  <c r="L4180" i="13" s="1"/>
  <c r="I4181" i="13" s="1"/>
  <c r="K4202" i="14"/>
  <c r="L4202" i="14" s="1"/>
  <c r="I4203" i="14" s="1"/>
  <c r="J4365" i="14" a="1"/>
  <c r="J4365" i="14" s="1"/>
  <c r="N4366" i="14"/>
  <c r="M4370" i="14"/>
  <c r="M4369" i="13"/>
  <c r="J4366" i="13" a="1"/>
  <c r="J4366" i="13" s="1"/>
  <c r="N4367" i="13"/>
  <c r="K4203" i="14" l="1"/>
  <c r="L4203" i="14" s="1"/>
  <c r="I4204" i="14" s="1"/>
  <c r="K4181" i="13"/>
  <c r="L4181" i="13" s="1"/>
  <c r="I4182" i="13" s="1"/>
  <c r="N4368" i="13"/>
  <c r="J4367" i="13" a="1"/>
  <c r="J4367" i="13" s="1"/>
  <c r="M4371" i="14"/>
  <c r="M4370" i="13"/>
  <c r="N4367" i="14"/>
  <c r="J4366" i="14" a="1"/>
  <c r="J4366" i="14" s="1"/>
  <c r="K4182" i="13" l="1"/>
  <c r="L4182" i="13" s="1"/>
  <c r="I4183" i="13" s="1"/>
  <c r="K4204" i="14"/>
  <c r="L4204" i="14" s="1"/>
  <c r="I4205" i="14" s="1"/>
  <c r="N4368" i="14"/>
  <c r="J4367" i="14" a="1"/>
  <c r="J4367" i="14" s="1"/>
  <c r="M4372" i="14"/>
  <c r="M4371" i="13"/>
  <c r="J4368" i="13" a="1"/>
  <c r="J4368" i="13" s="1"/>
  <c r="N4369" i="13"/>
  <c r="K4205" i="14" l="1"/>
  <c r="L4205" i="14" s="1"/>
  <c r="I4206" i="14" s="1"/>
  <c r="K4183" i="13"/>
  <c r="L4183" i="13" s="1"/>
  <c r="I4184" i="13" s="1"/>
  <c r="N4370" i="13"/>
  <c r="J4369" i="13" a="1"/>
  <c r="J4369" i="13" s="1"/>
  <c r="M4373" i="14"/>
  <c r="M4372" i="13"/>
  <c r="J4368" i="14" a="1"/>
  <c r="J4368" i="14" s="1"/>
  <c r="N4369" i="14"/>
  <c r="K4184" i="13" l="1"/>
  <c r="L4184" i="13" s="1"/>
  <c r="I4185" i="13" s="1"/>
  <c r="K4206" i="14"/>
  <c r="L4206" i="14" s="1"/>
  <c r="I4207" i="14" s="1"/>
  <c r="J4369" i="14" a="1"/>
  <c r="J4369" i="14" s="1"/>
  <c r="N4370" i="14"/>
  <c r="M4374" i="14"/>
  <c r="M4373" i="13"/>
  <c r="J4370" i="13" a="1"/>
  <c r="J4370" i="13" s="1"/>
  <c r="N4371" i="13"/>
  <c r="K4207" i="14" l="1"/>
  <c r="L4207" i="14" s="1"/>
  <c r="I4208" i="14" s="1"/>
  <c r="K4185" i="13"/>
  <c r="L4185" i="13" s="1"/>
  <c r="I4186" i="13" s="1"/>
  <c r="N4372" i="13"/>
  <c r="J4371" i="13" a="1"/>
  <c r="J4371" i="13" s="1"/>
  <c r="M4375" i="14"/>
  <c r="N4371" i="14"/>
  <c r="J4370" i="14" a="1"/>
  <c r="J4370" i="14" s="1"/>
  <c r="M4374" i="13"/>
  <c r="K4186" i="13" l="1"/>
  <c r="L4186" i="13" s="1"/>
  <c r="I4187" i="13" s="1"/>
  <c r="K4208" i="14"/>
  <c r="L4208" i="14" s="1"/>
  <c r="I4209" i="14" s="1"/>
  <c r="M4375" i="13"/>
  <c r="N4372" i="14"/>
  <c r="J4371" i="14" a="1"/>
  <c r="J4371" i="14" s="1"/>
  <c r="M4376" i="14"/>
  <c r="J4372" i="13" a="1"/>
  <c r="J4372" i="13" s="1"/>
  <c r="N4373" i="13"/>
  <c r="K4209" i="14" l="1"/>
  <c r="L4209" i="14" s="1"/>
  <c r="I4210" i="14" s="1"/>
  <c r="K4187" i="13"/>
  <c r="L4187" i="13" s="1"/>
  <c r="I4188" i="13" s="1"/>
  <c r="N4374" i="13"/>
  <c r="J4373" i="13" a="1"/>
  <c r="J4373" i="13" s="1"/>
  <c r="J4372" i="14" a="1"/>
  <c r="J4372" i="14" s="1"/>
  <c r="N4373" i="14"/>
  <c r="M4377" i="14"/>
  <c r="M4376" i="13"/>
  <c r="K4188" i="13" l="1"/>
  <c r="L4188" i="13" s="1"/>
  <c r="I4189" i="13" s="1"/>
  <c r="K4210" i="14"/>
  <c r="L4210" i="14" s="1"/>
  <c r="I4211" i="14" s="1"/>
  <c r="M4377" i="13"/>
  <c r="J4373" i="14" a="1"/>
  <c r="J4373" i="14" s="1"/>
  <c r="N4374" i="14"/>
  <c r="M4378" i="14"/>
  <c r="J4374" i="13" a="1"/>
  <c r="J4374" i="13" s="1"/>
  <c r="N4375" i="13"/>
  <c r="K4211" i="14" l="1"/>
  <c r="L4211" i="14" s="1"/>
  <c r="I4212" i="14" s="1"/>
  <c r="K4189" i="13"/>
  <c r="L4189" i="13" s="1"/>
  <c r="I4190" i="13" s="1"/>
  <c r="N4376" i="13"/>
  <c r="J4375" i="13" a="1"/>
  <c r="J4375" i="13" s="1"/>
  <c r="N4375" i="14"/>
  <c r="J4374" i="14" a="1"/>
  <c r="J4374" i="14" s="1"/>
  <c r="M4379" i="14"/>
  <c r="M4378" i="13"/>
  <c r="K4190" i="13" l="1"/>
  <c r="L4190" i="13" s="1"/>
  <c r="I4191" i="13" s="1"/>
  <c r="K4212" i="14"/>
  <c r="L4212" i="14" s="1"/>
  <c r="I4213" i="14" s="1"/>
  <c r="N4376" i="14"/>
  <c r="J4375" i="14" a="1"/>
  <c r="J4375" i="14" s="1"/>
  <c r="M4379" i="13"/>
  <c r="M4380" i="14"/>
  <c r="J4376" i="13" a="1"/>
  <c r="J4376" i="13" s="1"/>
  <c r="N4377" i="13"/>
  <c r="K4213" i="14" l="1"/>
  <c r="L4213" i="14" s="1"/>
  <c r="I4214" i="14" s="1"/>
  <c r="K4191" i="13"/>
  <c r="L4191" i="13" s="1"/>
  <c r="I4192" i="13" s="1"/>
  <c r="N4378" i="13"/>
  <c r="J4377" i="13" a="1"/>
  <c r="J4377" i="13" s="1"/>
  <c r="M4380" i="13"/>
  <c r="M4381" i="14"/>
  <c r="J4376" i="14" a="1"/>
  <c r="J4376" i="14" s="1"/>
  <c r="N4377" i="14"/>
  <c r="K4192" i="13" l="1"/>
  <c r="L4192" i="13" s="1"/>
  <c r="I4193" i="13" s="1"/>
  <c r="K4214" i="14"/>
  <c r="L4214" i="14" s="1"/>
  <c r="I4215" i="14" s="1"/>
  <c r="J4377" i="14" a="1"/>
  <c r="J4377" i="14" s="1"/>
  <c r="N4378" i="14"/>
  <c r="M4381" i="13"/>
  <c r="M4382" i="14"/>
  <c r="J4378" i="13" a="1"/>
  <c r="J4378" i="13" s="1"/>
  <c r="N4379" i="13"/>
  <c r="K4215" i="14" l="1"/>
  <c r="L4215" i="14" s="1"/>
  <c r="I4216" i="14" s="1"/>
  <c r="K4193" i="13"/>
  <c r="L4193" i="13" s="1"/>
  <c r="I4194" i="13" s="1"/>
  <c r="N4380" i="13"/>
  <c r="J4379" i="13" a="1"/>
  <c r="J4379" i="13" s="1"/>
  <c r="M4382" i="13"/>
  <c r="J4378" i="14" a="1"/>
  <c r="J4378" i="14" s="1"/>
  <c r="N4379" i="14"/>
  <c r="M4383" i="14"/>
  <c r="K4194" i="13" l="1"/>
  <c r="L4194" i="13" s="1"/>
  <c r="I4195" i="13" s="1"/>
  <c r="K4216" i="14"/>
  <c r="L4216" i="14" s="1"/>
  <c r="I4217" i="14" s="1"/>
  <c r="N4380" i="14"/>
  <c r="J4379" i="14" a="1"/>
  <c r="J4379" i="14" s="1"/>
  <c r="M4383" i="13"/>
  <c r="M4384" i="14"/>
  <c r="J4380" i="13" a="1"/>
  <c r="J4380" i="13" s="1"/>
  <c r="N4381" i="13"/>
  <c r="K4217" i="14" l="1"/>
  <c r="L4217" i="14" s="1"/>
  <c r="I4218" i="14" s="1"/>
  <c r="K4195" i="13"/>
  <c r="L4195" i="13" s="1"/>
  <c r="I4196" i="13" s="1"/>
  <c r="N4382" i="13"/>
  <c r="J4381" i="13" a="1"/>
  <c r="J4381" i="13" s="1"/>
  <c r="M4384" i="13"/>
  <c r="M4385" i="14"/>
  <c r="J4380" i="14" a="1"/>
  <c r="J4380" i="14" s="1"/>
  <c r="N4381" i="14"/>
  <c r="K4196" i="13" l="1"/>
  <c r="L4196" i="13" s="1"/>
  <c r="I4197" i="13" s="1"/>
  <c r="K4218" i="14"/>
  <c r="L4218" i="14" s="1"/>
  <c r="I4219" i="14" s="1"/>
  <c r="J4381" i="14" a="1"/>
  <c r="J4381" i="14" s="1"/>
  <c r="N4382" i="14"/>
  <c r="M4385" i="13"/>
  <c r="M4386" i="14"/>
  <c r="J4382" i="13" a="1"/>
  <c r="J4382" i="13" s="1"/>
  <c r="N4383" i="13"/>
  <c r="K4219" i="14" l="1"/>
  <c r="L4219" i="14" s="1"/>
  <c r="I4220" i="14" s="1"/>
  <c r="K4197" i="13"/>
  <c r="L4197" i="13" s="1"/>
  <c r="I4198" i="13" s="1"/>
  <c r="N4384" i="13"/>
  <c r="J4383" i="13" a="1"/>
  <c r="J4383" i="13" s="1"/>
  <c r="M4386" i="13"/>
  <c r="N4383" i="14"/>
  <c r="J4382" i="14" a="1"/>
  <c r="J4382" i="14" s="1"/>
  <c r="M4387" i="14"/>
  <c r="K4198" i="13" l="1"/>
  <c r="L4198" i="13" s="1"/>
  <c r="I4199" i="13" s="1"/>
  <c r="K4220" i="14"/>
  <c r="L4220" i="14" s="1"/>
  <c r="I4221" i="14" s="1"/>
  <c r="M4387" i="13"/>
  <c r="M4388" i="14"/>
  <c r="N4384" i="14"/>
  <c r="J4383" i="14" a="1"/>
  <c r="J4383" i="14" s="1"/>
  <c r="J4384" i="13" a="1"/>
  <c r="J4384" i="13" s="1"/>
  <c r="N4385" i="13"/>
  <c r="K4221" i="14" l="1"/>
  <c r="L4221" i="14" s="1"/>
  <c r="I4222" i="14" s="1"/>
  <c r="K4199" i="13"/>
  <c r="L4199" i="13" s="1"/>
  <c r="I4200" i="13" s="1"/>
  <c r="N4386" i="13"/>
  <c r="J4385" i="13" a="1"/>
  <c r="J4385" i="13" s="1"/>
  <c r="M4389" i="14"/>
  <c r="J4384" i="14" a="1"/>
  <c r="J4384" i="14" s="1"/>
  <c r="N4385" i="14"/>
  <c r="M4388" i="13"/>
  <c r="K4200" i="13" l="1"/>
  <c r="L4200" i="13" s="1"/>
  <c r="I4201" i="13" s="1"/>
  <c r="K4222" i="14"/>
  <c r="L4222" i="14" s="1"/>
  <c r="I4223" i="14" s="1"/>
  <c r="M4389" i="13"/>
  <c r="M4390" i="14"/>
  <c r="J4385" i="14" a="1"/>
  <c r="J4385" i="14" s="1"/>
  <c r="N4386" i="14"/>
  <c r="J4386" i="13" a="1"/>
  <c r="J4386" i="13" s="1"/>
  <c r="N4387" i="13"/>
  <c r="K4223" i="14" l="1"/>
  <c r="L4223" i="14" s="1"/>
  <c r="I4224" i="14" s="1"/>
  <c r="K4201" i="13"/>
  <c r="L4201" i="13" s="1"/>
  <c r="I4202" i="13" s="1"/>
  <c r="N4388" i="13"/>
  <c r="J4387" i="13" a="1"/>
  <c r="J4387" i="13" s="1"/>
  <c r="M4391" i="14"/>
  <c r="N4387" i="14"/>
  <c r="J4386" i="14" a="1"/>
  <c r="J4386" i="14" s="1"/>
  <c r="M4390" i="13"/>
  <c r="K4202" i="13" l="1"/>
  <c r="L4202" i="13" s="1"/>
  <c r="I4203" i="13" s="1"/>
  <c r="K4224" i="14"/>
  <c r="L4224" i="14" s="1"/>
  <c r="I4225" i="14" s="1"/>
  <c r="M4391" i="13"/>
  <c r="N4388" i="14"/>
  <c r="J4387" i="14" a="1"/>
  <c r="J4387" i="14" s="1"/>
  <c r="M4392" i="14"/>
  <c r="J4388" i="13" a="1"/>
  <c r="J4388" i="13" s="1"/>
  <c r="N4389" i="13"/>
  <c r="K4225" i="14" l="1"/>
  <c r="L4225" i="14" s="1"/>
  <c r="I4226" i="14" s="1"/>
  <c r="K4203" i="13"/>
  <c r="L4203" i="13" s="1"/>
  <c r="I4204" i="13" s="1"/>
  <c r="J4388" i="14" a="1"/>
  <c r="J4388" i="14" s="1"/>
  <c r="N4389" i="14"/>
  <c r="N4390" i="13"/>
  <c r="J4389" i="13" a="1"/>
  <c r="J4389" i="13" s="1"/>
  <c r="M4393" i="14"/>
  <c r="M4392" i="13"/>
  <c r="K4204" i="13" l="1"/>
  <c r="L4204" i="13" s="1"/>
  <c r="I4205" i="13" s="1"/>
  <c r="K4226" i="14"/>
  <c r="L4226" i="14" s="1"/>
  <c r="I4227" i="14" s="1"/>
  <c r="M4393" i="13"/>
  <c r="J4390" i="13" a="1"/>
  <c r="J4390" i="13" s="1"/>
  <c r="N4391" i="13"/>
  <c r="J4389" i="14" a="1"/>
  <c r="J4389" i="14" s="1"/>
  <c r="N4390" i="14"/>
  <c r="M4394" i="14"/>
  <c r="K4227" i="14" l="1"/>
  <c r="L4227" i="14" s="1"/>
  <c r="I4228" i="14" s="1"/>
  <c r="K4205" i="13"/>
  <c r="L4205" i="13" s="1"/>
  <c r="I4206" i="13" s="1"/>
  <c r="N4392" i="13"/>
  <c r="J4391" i="13" a="1"/>
  <c r="J4391" i="13" s="1"/>
  <c r="M4395" i="14"/>
  <c r="N4391" i="14"/>
  <c r="J4390" i="14" a="1"/>
  <c r="J4390" i="14" s="1"/>
  <c r="M4394" i="13"/>
  <c r="K4206" i="13" l="1"/>
  <c r="L4206" i="13" s="1"/>
  <c r="I4207" i="13" s="1"/>
  <c r="K4228" i="14"/>
  <c r="L4228" i="14" s="1"/>
  <c r="I4229" i="14" s="1"/>
  <c r="M4395" i="13"/>
  <c r="M4396" i="14"/>
  <c r="N4392" i="14"/>
  <c r="J4391" i="14" a="1"/>
  <c r="J4391" i="14" s="1"/>
  <c r="J4392" i="13" a="1"/>
  <c r="J4392" i="13" s="1"/>
  <c r="N4393" i="13"/>
  <c r="K4229" i="14" l="1"/>
  <c r="L4229" i="14" s="1"/>
  <c r="I4230" i="14" s="1"/>
  <c r="K4207" i="13"/>
  <c r="L4207" i="13" s="1"/>
  <c r="I4208" i="13" s="1"/>
  <c r="N4394" i="13"/>
  <c r="J4393" i="13" a="1"/>
  <c r="J4393" i="13" s="1"/>
  <c r="M4397" i="14"/>
  <c r="J4392" i="14" a="1"/>
  <c r="J4392" i="14" s="1"/>
  <c r="N4393" i="14"/>
  <c r="M4396" i="13"/>
  <c r="K4208" i="13" l="1"/>
  <c r="L4208" i="13" s="1"/>
  <c r="I4209" i="13" s="1"/>
  <c r="K4230" i="14"/>
  <c r="L4230" i="14" s="1"/>
  <c r="I4231" i="14" s="1"/>
  <c r="J4393" i="14" a="1"/>
  <c r="J4393" i="14" s="1"/>
  <c r="N4394" i="14"/>
  <c r="M4398" i="14"/>
  <c r="M4397" i="13"/>
  <c r="J4394" i="13" a="1"/>
  <c r="J4394" i="13" s="1"/>
  <c r="N4395" i="13"/>
  <c r="K4209" i="13" l="1"/>
  <c r="L4209" i="13" s="1"/>
  <c r="I4210" i="13" s="1"/>
  <c r="N4396" i="13"/>
  <c r="J4395" i="13" a="1"/>
  <c r="J4395" i="13" s="1"/>
  <c r="M4399" i="14"/>
  <c r="K4231" i="14"/>
  <c r="L4231" i="14" s="1"/>
  <c r="I4232" i="14" s="1"/>
  <c r="J4394" i="14" a="1"/>
  <c r="J4394" i="14" s="1"/>
  <c r="N4395" i="14"/>
  <c r="M4398" i="13"/>
  <c r="K4232" i="14" l="1"/>
  <c r="L4232" i="14" s="1"/>
  <c r="I4233" i="14" s="1"/>
  <c r="K4210" i="13"/>
  <c r="L4210" i="13" s="1"/>
  <c r="I4211" i="13" s="1"/>
  <c r="J4396" i="13" a="1"/>
  <c r="J4396" i="13" s="1"/>
  <c r="N4397" i="13"/>
  <c r="N4396" i="14"/>
  <c r="J4395" i="14" a="1"/>
  <c r="J4395" i="14" s="1"/>
  <c r="M4399" i="13"/>
  <c r="M4400" i="14"/>
  <c r="K4211" i="13" l="1"/>
  <c r="L4211" i="13" s="1"/>
  <c r="I4212" i="13" s="1"/>
  <c r="K4233" i="14"/>
  <c r="L4233" i="14" s="1"/>
  <c r="I4234" i="14" s="1"/>
  <c r="J4396" i="14" a="1"/>
  <c r="J4396" i="14" s="1"/>
  <c r="N4397" i="14"/>
  <c r="N4398" i="13"/>
  <c r="J4397" i="13" a="1"/>
  <c r="J4397" i="13" s="1"/>
  <c r="M4401" i="14"/>
  <c r="M4400" i="13"/>
  <c r="K4234" i="14" l="1"/>
  <c r="L4234" i="14" s="1"/>
  <c r="I4235" i="14" s="1"/>
  <c r="K4212" i="13"/>
  <c r="L4212" i="13" s="1"/>
  <c r="I4213" i="13" s="1"/>
  <c r="J4398" i="13" a="1"/>
  <c r="J4398" i="13" s="1"/>
  <c r="N4399" i="13"/>
  <c r="J4397" i="14" a="1"/>
  <c r="J4397" i="14" s="1"/>
  <c r="N4398" i="14"/>
  <c r="M4401" i="13"/>
  <c r="M4402" i="14"/>
  <c r="K4213" i="13" l="1"/>
  <c r="L4213" i="13" s="1"/>
  <c r="I4214" i="13" s="1"/>
  <c r="K4235" i="14"/>
  <c r="L4235" i="14" s="1"/>
  <c r="I4236" i="14" s="1"/>
  <c r="N4399" i="14"/>
  <c r="J4398" i="14" a="1"/>
  <c r="J4398" i="14" s="1"/>
  <c r="M4403" i="14"/>
  <c r="N4400" i="13"/>
  <c r="J4399" i="13" a="1"/>
  <c r="J4399" i="13" s="1"/>
  <c r="M4402" i="13"/>
  <c r="K4236" i="14" l="1"/>
  <c r="L4236" i="14" s="1"/>
  <c r="I4237" i="14" s="1"/>
  <c r="K4214" i="13"/>
  <c r="L4214" i="13" s="1"/>
  <c r="I4215" i="13" s="1"/>
  <c r="M4403" i="13"/>
  <c r="J4400" i="13" a="1"/>
  <c r="J4400" i="13" s="1"/>
  <c r="N4401" i="13"/>
  <c r="M4404" i="14"/>
  <c r="N4400" i="14"/>
  <c r="J4399" i="14" a="1"/>
  <c r="J4399" i="14" s="1"/>
  <c r="K4215" i="13" l="1"/>
  <c r="L4215" i="13" s="1"/>
  <c r="I4216" i="13" s="1"/>
  <c r="K4237" i="14"/>
  <c r="L4237" i="14" s="1"/>
  <c r="I4238" i="14" s="1"/>
  <c r="N4402" i="13"/>
  <c r="J4401" i="13" a="1"/>
  <c r="J4401" i="13" s="1"/>
  <c r="J4400" i="14" a="1"/>
  <c r="J4400" i="14" s="1"/>
  <c r="N4401" i="14"/>
  <c r="M4405" i="14"/>
  <c r="M4404" i="13"/>
  <c r="K4238" i="14" l="1"/>
  <c r="L4238" i="14" s="1"/>
  <c r="I4239" i="14" s="1"/>
  <c r="K4216" i="13"/>
  <c r="L4216" i="13" s="1"/>
  <c r="I4217" i="13" s="1"/>
  <c r="J4401" i="14" a="1"/>
  <c r="J4401" i="14" s="1"/>
  <c r="N4402" i="14"/>
  <c r="M4406" i="14"/>
  <c r="M4405" i="13"/>
  <c r="J4402" i="13" a="1"/>
  <c r="J4402" i="13" s="1"/>
  <c r="N4403" i="13"/>
  <c r="K4217" i="13" l="1"/>
  <c r="L4217" i="13" s="1"/>
  <c r="I4218" i="13" s="1"/>
  <c r="K4239" i="14"/>
  <c r="L4239" i="14" s="1"/>
  <c r="I4240" i="14" s="1"/>
  <c r="N4404" i="13"/>
  <c r="J4403" i="13" a="1"/>
  <c r="J4403" i="13" s="1"/>
  <c r="M4407" i="14"/>
  <c r="N4403" i="14"/>
  <c r="J4402" i="14" a="1"/>
  <c r="J4402" i="14" s="1"/>
  <c r="M4406" i="13"/>
  <c r="K4240" i="14" l="1"/>
  <c r="L4240" i="14" s="1"/>
  <c r="I4241" i="14" s="1"/>
  <c r="K4218" i="13"/>
  <c r="L4218" i="13" s="1"/>
  <c r="I4219" i="13" s="1"/>
  <c r="M4407" i="13"/>
  <c r="M4408" i="14"/>
  <c r="N4404" i="14"/>
  <c r="J4403" i="14" a="1"/>
  <c r="J4403" i="14" s="1"/>
  <c r="J4404" i="13" a="1"/>
  <c r="J4404" i="13" s="1"/>
  <c r="N4405" i="13"/>
  <c r="K4219" i="13" l="1"/>
  <c r="L4219" i="13" s="1"/>
  <c r="I4220" i="13" s="1"/>
  <c r="K4241" i="14"/>
  <c r="L4241" i="14" s="1"/>
  <c r="I4242" i="14" s="1"/>
  <c r="N4406" i="13"/>
  <c r="J4405" i="13" a="1"/>
  <c r="J4405" i="13" s="1"/>
  <c r="M4409" i="14"/>
  <c r="J4404" i="14" a="1"/>
  <c r="J4404" i="14" s="1"/>
  <c r="N4405" i="14"/>
  <c r="M4408" i="13"/>
  <c r="K4242" i="14" l="1"/>
  <c r="L4242" i="14" s="1"/>
  <c r="I4243" i="14" s="1"/>
  <c r="K4220" i="13"/>
  <c r="L4220" i="13" s="1"/>
  <c r="I4221" i="13" s="1"/>
  <c r="M4409" i="13"/>
  <c r="J4405" i="14" a="1"/>
  <c r="J4405" i="14" s="1"/>
  <c r="N4406" i="14"/>
  <c r="M4410" i="14"/>
  <c r="J4406" i="13" a="1"/>
  <c r="J4406" i="13" s="1"/>
  <c r="N4407" i="13"/>
  <c r="K4221" i="13" l="1"/>
  <c r="L4221" i="13" s="1"/>
  <c r="I4222" i="13" s="1"/>
  <c r="K4243" i="14"/>
  <c r="L4243" i="14" s="1"/>
  <c r="I4244" i="14" s="1"/>
  <c r="N4407" i="14"/>
  <c r="J4406" i="14" a="1"/>
  <c r="J4406" i="14" s="1"/>
  <c r="N4408" i="13"/>
  <c r="J4407" i="13" a="1"/>
  <c r="J4407" i="13" s="1"/>
  <c r="M4411" i="14"/>
  <c r="M4410" i="13"/>
  <c r="K4222" i="13" l="1"/>
  <c r="L4222" i="13" s="1"/>
  <c r="I4223" i="13" s="1"/>
  <c r="M4411" i="13"/>
  <c r="K4244" i="14"/>
  <c r="L4244" i="14" s="1"/>
  <c r="I4245" i="14" s="1"/>
  <c r="J4408" i="13" a="1"/>
  <c r="J4408" i="13" s="1"/>
  <c r="N4409" i="13"/>
  <c r="M4412" i="14"/>
  <c r="N4408" i="14"/>
  <c r="J4407" i="14" a="1"/>
  <c r="J4407" i="14" s="1"/>
  <c r="K4245" i="14" l="1"/>
  <c r="L4245" i="14" s="1"/>
  <c r="I4246" i="14" s="1"/>
  <c r="K4223" i="13"/>
  <c r="L4223" i="13" s="1"/>
  <c r="I4224" i="13" s="1"/>
  <c r="N4410" i="13"/>
  <c r="J4409" i="13" a="1"/>
  <c r="J4409" i="13" s="1"/>
  <c r="M4412" i="13"/>
  <c r="J4408" i="14" a="1"/>
  <c r="J4408" i="14" s="1"/>
  <c r="N4409" i="14"/>
  <c r="M4413" i="14"/>
  <c r="K4224" i="13" l="1"/>
  <c r="L4224" i="13" s="1"/>
  <c r="I4225" i="13" s="1"/>
  <c r="K4246" i="14"/>
  <c r="L4246" i="14" s="1"/>
  <c r="I4247" i="14" s="1"/>
  <c r="M4414" i="14"/>
  <c r="M4413" i="13"/>
  <c r="J4409" i="14" a="1"/>
  <c r="J4409" i="14" s="1"/>
  <c r="N4410" i="14"/>
  <c r="J4410" i="13" a="1"/>
  <c r="J4410" i="13" s="1"/>
  <c r="N4411" i="13"/>
  <c r="K4247" i="14" l="1"/>
  <c r="L4247" i="14" s="1"/>
  <c r="I4248" i="14" s="1"/>
  <c r="K4225" i="13"/>
  <c r="L4225" i="13" s="1"/>
  <c r="I4226" i="13" s="1"/>
  <c r="N4412" i="13"/>
  <c r="J4411" i="13" a="1"/>
  <c r="J4411" i="13" s="1"/>
  <c r="M4414" i="13"/>
  <c r="J4410" i="14" a="1"/>
  <c r="J4410" i="14" s="1"/>
  <c r="N4411" i="14"/>
  <c r="M4415" i="14"/>
  <c r="K4226" i="13" l="1"/>
  <c r="L4226" i="13" s="1"/>
  <c r="I4227" i="13" s="1"/>
  <c r="K4248" i="14"/>
  <c r="L4248" i="14" s="1"/>
  <c r="I4249" i="14" s="1"/>
  <c r="N4412" i="14"/>
  <c r="J4411" i="14" a="1"/>
  <c r="J4411" i="14" s="1"/>
  <c r="M4415" i="13"/>
  <c r="M4416" i="14"/>
  <c r="J4412" i="13" a="1"/>
  <c r="J4412" i="13" s="1"/>
  <c r="N4413" i="13"/>
  <c r="K4249" i="14" l="1"/>
  <c r="L4249" i="14" s="1"/>
  <c r="I4250" i="14" s="1"/>
  <c r="K4227" i="13"/>
  <c r="L4227" i="13" s="1"/>
  <c r="I4228" i="13" s="1"/>
  <c r="N4414" i="13"/>
  <c r="J4413" i="13" a="1"/>
  <c r="J4413" i="13" s="1"/>
  <c r="M4416" i="13"/>
  <c r="M4417" i="14"/>
  <c r="J4412" i="14" a="1"/>
  <c r="J4412" i="14" s="1"/>
  <c r="N4413" i="14"/>
  <c r="K4228" i="13" l="1"/>
  <c r="L4228" i="13" s="1"/>
  <c r="I4229" i="13" s="1"/>
  <c r="K4250" i="14"/>
  <c r="L4250" i="14" s="1"/>
  <c r="I4251" i="14" s="1"/>
  <c r="J4413" i="14" a="1"/>
  <c r="J4413" i="14" s="1"/>
  <c r="N4414" i="14"/>
  <c r="M4417" i="13"/>
  <c r="M4418" i="14"/>
  <c r="J4414" i="13" a="1"/>
  <c r="J4414" i="13" s="1"/>
  <c r="N4415" i="13"/>
  <c r="K4251" i="14" l="1"/>
  <c r="L4251" i="14" s="1"/>
  <c r="I4252" i="14" s="1"/>
  <c r="K4229" i="13"/>
  <c r="L4229" i="13" s="1"/>
  <c r="I4230" i="13" s="1"/>
  <c r="N4416" i="13"/>
  <c r="J4415" i="13" a="1"/>
  <c r="J4415" i="13" s="1"/>
  <c r="M4418" i="13"/>
  <c r="M4419" i="14"/>
  <c r="N4415" i="14"/>
  <c r="J4414" i="14" a="1"/>
  <c r="J4414" i="14" s="1"/>
  <c r="K4230" i="13" l="1"/>
  <c r="L4230" i="13" s="1"/>
  <c r="I4231" i="13" s="1"/>
  <c r="K4252" i="14"/>
  <c r="L4252" i="14" s="1"/>
  <c r="I4253" i="14" s="1"/>
  <c r="M4419" i="13"/>
  <c r="N4416" i="14"/>
  <c r="J4415" i="14" a="1"/>
  <c r="J4415" i="14" s="1"/>
  <c r="M4420" i="14"/>
  <c r="J4416" i="13" a="1"/>
  <c r="J4416" i="13" s="1"/>
  <c r="N4417" i="13"/>
  <c r="K4253" i="14" l="1"/>
  <c r="L4253" i="14" s="1"/>
  <c r="I4254" i="14" s="1"/>
  <c r="K4231" i="13"/>
  <c r="L4231" i="13" s="1"/>
  <c r="I4232" i="13" s="1"/>
  <c r="N4418" i="13"/>
  <c r="J4417" i="13" a="1"/>
  <c r="J4417" i="13" s="1"/>
  <c r="J4416" i="14" a="1"/>
  <c r="J4416" i="14" s="1"/>
  <c r="N4417" i="14"/>
  <c r="M4421" i="14"/>
  <c r="M4420" i="13"/>
  <c r="K4232" i="13" l="1"/>
  <c r="L4232" i="13" s="1"/>
  <c r="I4233" i="13" s="1"/>
  <c r="K4254" i="14"/>
  <c r="L4254" i="14" s="1"/>
  <c r="I4255" i="14" s="1"/>
  <c r="J4417" i="14" a="1"/>
  <c r="J4417" i="14" s="1"/>
  <c r="N4418" i="14"/>
  <c r="M4421" i="13"/>
  <c r="M4422" i="14"/>
  <c r="J4418" i="13" a="1"/>
  <c r="J4418" i="13" s="1"/>
  <c r="N4419" i="13"/>
  <c r="K4255" i="14" l="1"/>
  <c r="L4255" i="14" s="1"/>
  <c r="I4256" i="14" s="1"/>
  <c r="K4233" i="13"/>
  <c r="L4233" i="13" s="1"/>
  <c r="I4234" i="13" s="1"/>
  <c r="N4420" i="13"/>
  <c r="J4419" i="13" a="1"/>
  <c r="J4419" i="13" s="1"/>
  <c r="M4422" i="13"/>
  <c r="M4423" i="14"/>
  <c r="N4419" i="14"/>
  <c r="J4418" i="14" a="1"/>
  <c r="J4418" i="14" s="1"/>
  <c r="K4234" i="13" l="1"/>
  <c r="L4234" i="13" s="1"/>
  <c r="I4235" i="13" s="1"/>
  <c r="K4256" i="14"/>
  <c r="L4256" i="14" s="1"/>
  <c r="I4257" i="14" s="1"/>
  <c r="M4423" i="13"/>
  <c r="N4420" i="14"/>
  <c r="J4419" i="14" a="1"/>
  <c r="J4419" i="14" s="1"/>
  <c r="M4424" i="14"/>
  <c r="J4420" i="13" a="1"/>
  <c r="J4420" i="13" s="1"/>
  <c r="N4421" i="13"/>
  <c r="K4257" i="14" l="1"/>
  <c r="L4257" i="14" s="1"/>
  <c r="I4258" i="14" s="1"/>
  <c r="K4235" i="13"/>
  <c r="L4235" i="13" s="1"/>
  <c r="I4236" i="13" s="1"/>
  <c r="N4422" i="13"/>
  <c r="J4421" i="13" a="1"/>
  <c r="J4421" i="13" s="1"/>
  <c r="J4420" i="14" a="1"/>
  <c r="J4420" i="14" s="1"/>
  <c r="N4421" i="14"/>
  <c r="M4425" i="14"/>
  <c r="M4424" i="13"/>
  <c r="K4258" i="14" l="1"/>
  <c r="L4258" i="14" s="1"/>
  <c r="I4259" i="14" s="1"/>
  <c r="M4425" i="13"/>
  <c r="J4421" i="14" a="1"/>
  <c r="J4421" i="14" s="1"/>
  <c r="N4422" i="14"/>
  <c r="K4236" i="13"/>
  <c r="L4236" i="13" s="1"/>
  <c r="I4237" i="13" s="1"/>
  <c r="M4426" i="14"/>
  <c r="J4422" i="13" a="1"/>
  <c r="J4422" i="13" s="1"/>
  <c r="N4423" i="13"/>
  <c r="K4237" i="13" l="1"/>
  <c r="L4237" i="13" s="1"/>
  <c r="I4238" i="13" s="1"/>
  <c r="K4259" i="14"/>
  <c r="L4259" i="14" s="1"/>
  <c r="I4260" i="14" s="1"/>
  <c r="N4424" i="13"/>
  <c r="J4423" i="13" a="1"/>
  <c r="J4423" i="13" s="1"/>
  <c r="M4426" i="13"/>
  <c r="N4423" i="14"/>
  <c r="J4422" i="14" a="1"/>
  <c r="J4422" i="14" s="1"/>
  <c r="M4427" i="14"/>
  <c r="K4260" i="14" l="1"/>
  <c r="L4260" i="14" s="1"/>
  <c r="I4261" i="14" s="1"/>
  <c r="K4238" i="13"/>
  <c r="L4238" i="13" s="1"/>
  <c r="I4239" i="13" s="1"/>
  <c r="M4427" i="13"/>
  <c r="M4428" i="14"/>
  <c r="N4424" i="14"/>
  <c r="J4423" i="14" a="1"/>
  <c r="J4423" i="14" s="1"/>
  <c r="J4424" i="13" a="1"/>
  <c r="J4424" i="13" s="1"/>
  <c r="N4425" i="13"/>
  <c r="K4239" i="13" l="1"/>
  <c r="L4239" i="13" s="1"/>
  <c r="I4240" i="13" s="1"/>
  <c r="K4261" i="14"/>
  <c r="L4261" i="14" s="1"/>
  <c r="I4262" i="14" s="1"/>
  <c r="M4429" i="14"/>
  <c r="N4426" i="13"/>
  <c r="J4425" i="13" a="1"/>
  <c r="J4425" i="13" s="1"/>
  <c r="J4424" i="14" a="1"/>
  <c r="J4424" i="14" s="1"/>
  <c r="N4425" i="14"/>
  <c r="M4428" i="13"/>
  <c r="K4262" i="14" l="1"/>
  <c r="L4262" i="14" s="1"/>
  <c r="I4263" i="14" s="1"/>
  <c r="K4240" i="13"/>
  <c r="L4240" i="13" s="1"/>
  <c r="I4241" i="13" s="1"/>
  <c r="J4426" i="13" a="1"/>
  <c r="J4426" i="13" s="1"/>
  <c r="N4427" i="13"/>
  <c r="M4429" i="13"/>
  <c r="J4425" i="14" a="1"/>
  <c r="J4425" i="14" s="1"/>
  <c r="N4426" i="14"/>
  <c r="M4430" i="14"/>
  <c r="K4241" i="13" l="1"/>
  <c r="L4241" i="13" s="1"/>
  <c r="I4242" i="13" s="1"/>
  <c r="K4263" i="14"/>
  <c r="L4263" i="14" s="1"/>
  <c r="I4264" i="14" s="1"/>
  <c r="M4431" i="14"/>
  <c r="M4430" i="13"/>
  <c r="J4426" i="14" a="1"/>
  <c r="J4426" i="14" s="1"/>
  <c r="N4427" i="14"/>
  <c r="N4428" i="13"/>
  <c r="J4427" i="13" a="1"/>
  <c r="J4427" i="13" s="1"/>
  <c r="K4264" i="14" l="1"/>
  <c r="L4264" i="14" s="1"/>
  <c r="I4265" i="14" s="1"/>
  <c r="K4242" i="13"/>
  <c r="L4242" i="13" s="1"/>
  <c r="I4243" i="13" s="1"/>
  <c r="M4431" i="13"/>
  <c r="J4428" i="13" a="1"/>
  <c r="J4428" i="13" s="1"/>
  <c r="N4429" i="13"/>
  <c r="N4428" i="14"/>
  <c r="J4427" i="14" a="1"/>
  <c r="J4427" i="14" s="1"/>
  <c r="M4432" i="14"/>
  <c r="K4243" i="13" l="1"/>
  <c r="L4243" i="13" s="1"/>
  <c r="I4244" i="13" s="1"/>
  <c r="K4265" i="14"/>
  <c r="L4265" i="14" s="1"/>
  <c r="I4266" i="14" s="1"/>
  <c r="N4430" i="13"/>
  <c r="J4429" i="13" a="1"/>
  <c r="J4429" i="13" s="1"/>
  <c r="M4433" i="14"/>
  <c r="J4428" i="14" a="1"/>
  <c r="J4428" i="14" s="1"/>
  <c r="N4429" i="14"/>
  <c r="M4432" i="13"/>
  <c r="K4266" i="14" l="1"/>
  <c r="L4266" i="14" s="1"/>
  <c r="I4267" i="14" s="1"/>
  <c r="K4244" i="13"/>
  <c r="L4244" i="13" s="1"/>
  <c r="I4245" i="13" s="1"/>
  <c r="M4433" i="13"/>
  <c r="M4434" i="14"/>
  <c r="J4429" i="14" a="1"/>
  <c r="J4429" i="14" s="1"/>
  <c r="N4430" i="14"/>
  <c r="J4430" i="13" a="1"/>
  <c r="J4430" i="13" s="1"/>
  <c r="N4431" i="13"/>
  <c r="K4245" i="13" l="1"/>
  <c r="L4245" i="13" s="1"/>
  <c r="I4246" i="13" s="1"/>
  <c r="K4267" i="14"/>
  <c r="L4267" i="14" s="1"/>
  <c r="I4268" i="14" s="1"/>
  <c r="N4432" i="13"/>
  <c r="J4431" i="13" a="1"/>
  <c r="J4431" i="13" s="1"/>
  <c r="M4435" i="14"/>
  <c r="N4431" i="14"/>
  <c r="J4430" i="14" a="1"/>
  <c r="J4430" i="14" s="1"/>
  <c r="M4434" i="13"/>
  <c r="K4268" i="14" l="1"/>
  <c r="L4268" i="14" s="1"/>
  <c r="I4269" i="14" s="1"/>
  <c r="K4246" i="13"/>
  <c r="L4246" i="13" s="1"/>
  <c r="I4247" i="13" s="1"/>
  <c r="M4435" i="13"/>
  <c r="M4436" i="14"/>
  <c r="N4432" i="14"/>
  <c r="J4431" i="14" a="1"/>
  <c r="J4431" i="14" s="1"/>
  <c r="J4432" i="13" a="1"/>
  <c r="J4432" i="13" s="1"/>
  <c r="N4433" i="13"/>
  <c r="K4269" i="14" l="1"/>
  <c r="L4269" i="14" s="1"/>
  <c r="I4270" i="14" s="1"/>
  <c r="N4434" i="13"/>
  <c r="J4433" i="13" a="1"/>
  <c r="J4433" i="13" s="1"/>
  <c r="K4247" i="13"/>
  <c r="L4247" i="13" s="1"/>
  <c r="I4248" i="13" s="1"/>
  <c r="M4437" i="14"/>
  <c r="J4432" i="14" a="1"/>
  <c r="J4432" i="14" s="1"/>
  <c r="N4433" i="14"/>
  <c r="M4436" i="13"/>
  <c r="K4248" i="13" l="1"/>
  <c r="L4248" i="13" s="1"/>
  <c r="I4249" i="13" s="1"/>
  <c r="K4270" i="14"/>
  <c r="L4270" i="14" s="1"/>
  <c r="I4271" i="14" s="1"/>
  <c r="M4438" i="14"/>
  <c r="J4434" i="13" a="1"/>
  <c r="J4434" i="13" s="1"/>
  <c r="N4435" i="13"/>
  <c r="J4433" i="14" a="1"/>
  <c r="J4433" i="14" s="1"/>
  <c r="N4434" i="14"/>
  <c r="M4437" i="13"/>
  <c r="K4271" i="14" l="1"/>
  <c r="L4271" i="14" s="1"/>
  <c r="I4272" i="14" s="1"/>
  <c r="K4249" i="13"/>
  <c r="L4249" i="13" s="1"/>
  <c r="I4250" i="13" s="1"/>
  <c r="N4436" i="13"/>
  <c r="J4435" i="13" a="1"/>
  <c r="J4435" i="13" s="1"/>
  <c r="N4435" i="14"/>
  <c r="J4434" i="14" a="1"/>
  <c r="J4434" i="14" s="1"/>
  <c r="M4439" i="14"/>
  <c r="M4438" i="13"/>
  <c r="K4250" i="13" l="1"/>
  <c r="L4250" i="13" s="1"/>
  <c r="I4251" i="13" s="1"/>
  <c r="K4272" i="14"/>
  <c r="L4272" i="14" s="1"/>
  <c r="I4273" i="14" s="1"/>
  <c r="N4436" i="14"/>
  <c r="J4435" i="14" a="1"/>
  <c r="J4435" i="14" s="1"/>
  <c r="M4439" i="13"/>
  <c r="M4440" i="14"/>
  <c r="J4436" i="13" a="1"/>
  <c r="J4436" i="13" s="1"/>
  <c r="N4437" i="13"/>
  <c r="K4273" i="14" l="1"/>
  <c r="L4273" i="14" s="1"/>
  <c r="I4274" i="14" s="1"/>
  <c r="K4251" i="13"/>
  <c r="L4251" i="13" s="1"/>
  <c r="I4252" i="13" s="1"/>
  <c r="N4438" i="13"/>
  <c r="J4437" i="13" a="1"/>
  <c r="J4437" i="13" s="1"/>
  <c r="M4440" i="13"/>
  <c r="M4441" i="14"/>
  <c r="J4436" i="14" a="1"/>
  <c r="J4436" i="14" s="1"/>
  <c r="N4437" i="14"/>
  <c r="K4252" i="13" l="1"/>
  <c r="L4252" i="13" s="1"/>
  <c r="I4253" i="13" s="1"/>
  <c r="K4274" i="14"/>
  <c r="L4274" i="14" s="1"/>
  <c r="I4275" i="14" s="1"/>
  <c r="J4437" i="14" a="1"/>
  <c r="J4437" i="14" s="1"/>
  <c r="N4438" i="14"/>
  <c r="M4441" i="13"/>
  <c r="M4442" i="14"/>
  <c r="J4438" i="13" a="1"/>
  <c r="J4438" i="13" s="1"/>
  <c r="N4439" i="13"/>
  <c r="K4275" i="14" l="1"/>
  <c r="L4275" i="14" s="1"/>
  <c r="I4276" i="14" s="1"/>
  <c r="K4253" i="13"/>
  <c r="L4253" i="13" s="1"/>
  <c r="I4254" i="13" s="1"/>
  <c r="N4440" i="13"/>
  <c r="J4439" i="13" a="1"/>
  <c r="J4439" i="13" s="1"/>
  <c r="M4442" i="13"/>
  <c r="M4443" i="14"/>
  <c r="N4439" i="14"/>
  <c r="J4438" i="14" a="1"/>
  <c r="J4438" i="14" s="1"/>
  <c r="K4254" i="13" l="1"/>
  <c r="L4254" i="13" s="1"/>
  <c r="I4255" i="13" s="1"/>
  <c r="K4276" i="14"/>
  <c r="L4276" i="14" s="1"/>
  <c r="I4277" i="14" s="1"/>
  <c r="M4443" i="13"/>
  <c r="N4440" i="14"/>
  <c r="J4439" i="14" a="1"/>
  <c r="J4439" i="14" s="1"/>
  <c r="M4444" i="14"/>
  <c r="J4440" i="13" a="1"/>
  <c r="J4440" i="13" s="1"/>
  <c r="N4441" i="13"/>
  <c r="K4277" i="14" l="1"/>
  <c r="L4277" i="14" s="1"/>
  <c r="I4278" i="14" s="1"/>
  <c r="K4255" i="13"/>
  <c r="L4255" i="13" s="1"/>
  <c r="I4256" i="13" s="1"/>
  <c r="N4442" i="13"/>
  <c r="J4441" i="13" a="1"/>
  <c r="J4441" i="13" s="1"/>
  <c r="J4440" i="14" a="1"/>
  <c r="J4440" i="14" s="1"/>
  <c r="N4441" i="14"/>
  <c r="M4445" i="14"/>
  <c r="M4444" i="13"/>
  <c r="K4256" i="13" l="1"/>
  <c r="L4256" i="13" s="1"/>
  <c r="I4257" i="13" s="1"/>
  <c r="K4278" i="14"/>
  <c r="L4278" i="14" s="1"/>
  <c r="I4279" i="14" s="1"/>
  <c r="M4445" i="13"/>
  <c r="J4441" i="14" a="1"/>
  <c r="J4441" i="14" s="1"/>
  <c r="N4442" i="14"/>
  <c r="M4446" i="14"/>
  <c r="J4442" i="13" a="1"/>
  <c r="J4442" i="13" s="1"/>
  <c r="N4443" i="13"/>
  <c r="K4279" i="14" l="1"/>
  <c r="L4279" i="14" s="1"/>
  <c r="I4280" i="14" s="1"/>
  <c r="K4257" i="13"/>
  <c r="L4257" i="13" s="1"/>
  <c r="I4258" i="13" s="1"/>
  <c r="N4444" i="13"/>
  <c r="J4443" i="13" a="1"/>
  <c r="J4443" i="13" s="1"/>
  <c r="J4442" i="14" a="1"/>
  <c r="J4442" i="14" s="1"/>
  <c r="N4443" i="14"/>
  <c r="M4447" i="14"/>
  <c r="M4446" i="13"/>
  <c r="K4258" i="13" l="1"/>
  <c r="L4258" i="13" s="1"/>
  <c r="I4259" i="13" s="1"/>
  <c r="K4280" i="14"/>
  <c r="L4280" i="14" s="1"/>
  <c r="I4281" i="14" s="1"/>
  <c r="M4447" i="13"/>
  <c r="N4444" i="14"/>
  <c r="J4443" i="14" a="1"/>
  <c r="J4443" i="14" s="1"/>
  <c r="M4448" i="14"/>
  <c r="J4444" i="13" a="1"/>
  <c r="J4444" i="13" s="1"/>
  <c r="N4445" i="13"/>
  <c r="K4281" i="14" l="1"/>
  <c r="L4281" i="14" s="1"/>
  <c r="I4282" i="14" s="1"/>
  <c r="K4259" i="13"/>
  <c r="L4259" i="13" s="1"/>
  <c r="I4260" i="13" s="1"/>
  <c r="N4446" i="13"/>
  <c r="J4445" i="13" a="1"/>
  <c r="J4445" i="13" s="1"/>
  <c r="J4444" i="14" a="1"/>
  <c r="J4444" i="14" s="1"/>
  <c r="N4445" i="14"/>
  <c r="M4449" i="14"/>
  <c r="M4448" i="13"/>
  <c r="K4260" i="13" l="1"/>
  <c r="L4260" i="13" s="1"/>
  <c r="I4261" i="13" s="1"/>
  <c r="K4282" i="14"/>
  <c r="L4282" i="14" s="1"/>
  <c r="I4283" i="14" s="1"/>
  <c r="J4445" i="14" a="1"/>
  <c r="J4445" i="14" s="1"/>
  <c r="N4446" i="14"/>
  <c r="M4449" i="13"/>
  <c r="M4450" i="14"/>
  <c r="J4446" i="13" a="1"/>
  <c r="J4446" i="13" s="1"/>
  <c r="N4447" i="13"/>
  <c r="K4283" i="14" l="1"/>
  <c r="L4283" i="14" s="1"/>
  <c r="I4284" i="14" s="1"/>
  <c r="K4261" i="13"/>
  <c r="L4261" i="13" s="1"/>
  <c r="I4262" i="13" s="1"/>
  <c r="N4448" i="13"/>
  <c r="J4447" i="13" a="1"/>
  <c r="J4447" i="13" s="1"/>
  <c r="M4450" i="13"/>
  <c r="N4447" i="14"/>
  <c r="J4446" i="14" a="1"/>
  <c r="J4446" i="14" s="1"/>
  <c r="M4451" i="14"/>
  <c r="K4262" i="13" l="1"/>
  <c r="L4262" i="13" s="1"/>
  <c r="I4263" i="13" s="1"/>
  <c r="K4284" i="14"/>
  <c r="L4284" i="14" s="1"/>
  <c r="I4285" i="14" s="1"/>
  <c r="M4451" i="13"/>
  <c r="N4448" i="14"/>
  <c r="J4447" i="14" a="1"/>
  <c r="J4447" i="14" s="1"/>
  <c r="M4452" i="14"/>
  <c r="J4448" i="13" a="1"/>
  <c r="J4448" i="13" s="1"/>
  <c r="N4449" i="13"/>
  <c r="K4285" i="14" l="1"/>
  <c r="L4285" i="14" s="1"/>
  <c r="I4286" i="14" s="1"/>
  <c r="K4263" i="13"/>
  <c r="L4263" i="13" s="1"/>
  <c r="I4264" i="13" s="1"/>
  <c r="J4448" i="14" a="1"/>
  <c r="J4448" i="14" s="1"/>
  <c r="N4449" i="14"/>
  <c r="N4450" i="13"/>
  <c r="J4449" i="13" a="1"/>
  <c r="J4449" i="13" s="1"/>
  <c r="M4453" i="14"/>
  <c r="M4452" i="13"/>
  <c r="K4264" i="13" l="1"/>
  <c r="L4264" i="13" s="1"/>
  <c r="I4265" i="13" s="1"/>
  <c r="K4286" i="14"/>
  <c r="L4286" i="14" s="1"/>
  <c r="I4287" i="14" s="1"/>
  <c r="J4450" i="13" a="1"/>
  <c r="J4450" i="13" s="1"/>
  <c r="N4451" i="13"/>
  <c r="J4449" i="14" a="1"/>
  <c r="J4449" i="14" s="1"/>
  <c r="N4450" i="14"/>
  <c r="M4453" i="13"/>
  <c r="M4454" i="14"/>
  <c r="K4287" i="14" l="1"/>
  <c r="L4287" i="14" s="1"/>
  <c r="I4288" i="14" s="1"/>
  <c r="K4265" i="13"/>
  <c r="L4265" i="13" s="1"/>
  <c r="I4266" i="13" s="1"/>
  <c r="N4451" i="14"/>
  <c r="J4450" i="14" a="1"/>
  <c r="J4450" i="14" s="1"/>
  <c r="M4455" i="14"/>
  <c r="N4452" i="13"/>
  <c r="J4451" i="13" a="1"/>
  <c r="J4451" i="13" s="1"/>
  <c r="M4454" i="13"/>
  <c r="K4266" i="13" l="1"/>
  <c r="L4266" i="13" s="1"/>
  <c r="I4267" i="13" s="1"/>
  <c r="J4452" i="13" a="1"/>
  <c r="J4452" i="13" s="1"/>
  <c r="N4453" i="13"/>
  <c r="M4455" i="13"/>
  <c r="M4456" i="14"/>
  <c r="N4452" i="14"/>
  <c r="J4451" i="14" a="1"/>
  <c r="J4451" i="14" s="1"/>
  <c r="K4288" i="14"/>
  <c r="L4288" i="14" s="1"/>
  <c r="I4289" i="14" s="1"/>
  <c r="K4289" i="14" l="1"/>
  <c r="L4289" i="14" s="1"/>
  <c r="I4290" i="14" s="1"/>
  <c r="K4267" i="13"/>
  <c r="L4267" i="13" s="1"/>
  <c r="I4268" i="13" s="1"/>
  <c r="N4454" i="13"/>
  <c r="J4453" i="13" a="1"/>
  <c r="J4453" i="13" s="1"/>
  <c r="M4457" i="14"/>
  <c r="J4452" i="14" a="1"/>
  <c r="J4452" i="14" s="1"/>
  <c r="N4453" i="14"/>
  <c r="M4456" i="13"/>
  <c r="K4268" i="13" l="1"/>
  <c r="L4268" i="13" s="1"/>
  <c r="I4269" i="13" s="1"/>
  <c r="K4290" i="14"/>
  <c r="L4290" i="14" s="1"/>
  <c r="I4291" i="14" s="1"/>
  <c r="J4453" i="14" a="1"/>
  <c r="J4453" i="14" s="1"/>
  <c r="N4454" i="14"/>
  <c r="M4457" i="13"/>
  <c r="M4458" i="14"/>
  <c r="J4454" i="13" a="1"/>
  <c r="J4454" i="13" s="1"/>
  <c r="N4455" i="13"/>
  <c r="K4291" i="14" l="1"/>
  <c r="L4291" i="14" s="1"/>
  <c r="I4292" i="14" s="1"/>
  <c r="K4269" i="13"/>
  <c r="L4269" i="13" s="1"/>
  <c r="I4270" i="13" s="1"/>
  <c r="N4456" i="13"/>
  <c r="J4455" i="13" a="1"/>
  <c r="J4455" i="13" s="1"/>
  <c r="M4458" i="13"/>
  <c r="N4455" i="14"/>
  <c r="J4454" i="14" a="1"/>
  <c r="J4454" i="14" s="1"/>
  <c r="M4459" i="14"/>
  <c r="K4270" i="13" l="1"/>
  <c r="L4270" i="13" s="1"/>
  <c r="I4271" i="13" s="1"/>
  <c r="K4292" i="14"/>
  <c r="L4292" i="14" s="1"/>
  <c r="I4293" i="14" s="1"/>
  <c r="M4459" i="13"/>
  <c r="N4456" i="14"/>
  <c r="J4455" i="14" a="1"/>
  <c r="J4455" i="14" s="1"/>
  <c r="M4460" i="14"/>
  <c r="J4456" i="13" a="1"/>
  <c r="J4456" i="13" s="1"/>
  <c r="N4457" i="13"/>
  <c r="K4293" i="14" l="1"/>
  <c r="L4293" i="14" s="1"/>
  <c r="I4294" i="14" s="1"/>
  <c r="K4271" i="13"/>
  <c r="L4271" i="13" s="1"/>
  <c r="I4272" i="13" s="1"/>
  <c r="J4456" i="14" a="1"/>
  <c r="J4456" i="14" s="1"/>
  <c r="N4457" i="14"/>
  <c r="N4458" i="13"/>
  <c r="J4457" i="13" a="1"/>
  <c r="J4457" i="13" s="1"/>
  <c r="M4461" i="14"/>
  <c r="M4460" i="13"/>
  <c r="K4272" i="13" l="1"/>
  <c r="L4272" i="13" s="1"/>
  <c r="I4273" i="13" s="1"/>
  <c r="K4294" i="14"/>
  <c r="L4294" i="14" s="1"/>
  <c r="I4295" i="14" s="1"/>
  <c r="J4458" i="13" a="1"/>
  <c r="J4458" i="13" s="1"/>
  <c r="N4459" i="13"/>
  <c r="M4461" i="13"/>
  <c r="J4457" i="14" a="1"/>
  <c r="J4457" i="14" s="1"/>
  <c r="N4458" i="14"/>
  <c r="M4462" i="14"/>
  <c r="K4295" i="14" l="1"/>
  <c r="L4295" i="14" s="1"/>
  <c r="I4296" i="14" s="1"/>
  <c r="K4273" i="13"/>
  <c r="L4273" i="13" s="1"/>
  <c r="I4274" i="13" s="1"/>
  <c r="J4458" i="14" a="1"/>
  <c r="J4458" i="14" s="1"/>
  <c r="N4459" i="14"/>
  <c r="M4463" i="14"/>
  <c r="M4462" i="13"/>
  <c r="N4460" i="13"/>
  <c r="J4459" i="13" a="1"/>
  <c r="J4459" i="13" s="1"/>
  <c r="K4274" i="13" l="1"/>
  <c r="L4274" i="13" s="1"/>
  <c r="I4275" i="13" s="1"/>
  <c r="K4296" i="14"/>
  <c r="L4296" i="14" s="1"/>
  <c r="I4297" i="14" s="1"/>
  <c r="J4460" i="13" a="1"/>
  <c r="J4460" i="13" s="1"/>
  <c r="N4461" i="13"/>
  <c r="M4464" i="14"/>
  <c r="M4463" i="13"/>
  <c r="N4460" i="14"/>
  <c r="J4459" i="14" a="1"/>
  <c r="J4459" i="14" s="1"/>
  <c r="K4297" i="14" l="1"/>
  <c r="L4297" i="14" s="1"/>
  <c r="I4298" i="14" s="1"/>
  <c r="K4275" i="13"/>
  <c r="L4275" i="13" s="1"/>
  <c r="I4276" i="13" s="1"/>
  <c r="J4460" i="14" a="1"/>
  <c r="J4460" i="14" s="1"/>
  <c r="N4461" i="14"/>
  <c r="M4465" i="14"/>
  <c r="N4462" i="13"/>
  <c r="J4461" i="13" a="1"/>
  <c r="J4461" i="13" s="1"/>
  <c r="M4464" i="13"/>
  <c r="K4276" i="13" l="1"/>
  <c r="L4276" i="13" s="1"/>
  <c r="I4277" i="13" s="1"/>
  <c r="K4298" i="14"/>
  <c r="L4298" i="14" s="1"/>
  <c r="I4299" i="14" s="1"/>
  <c r="M4465" i="13"/>
  <c r="M4466" i="14"/>
  <c r="J4461" i="14" a="1"/>
  <c r="J4461" i="14" s="1"/>
  <c r="N4462" i="14"/>
  <c r="J4462" i="13" a="1"/>
  <c r="J4462" i="13" s="1"/>
  <c r="N4463" i="13"/>
  <c r="K4277" i="13" l="1"/>
  <c r="L4277" i="13" s="1"/>
  <c r="I4278" i="13" s="1"/>
  <c r="N4464" i="13"/>
  <c r="J4463" i="13" a="1"/>
  <c r="J4463" i="13" s="1"/>
  <c r="M4467" i="14"/>
  <c r="K4299" i="14"/>
  <c r="L4299" i="14" s="1"/>
  <c r="I4300" i="14" s="1"/>
  <c r="N4463" i="14"/>
  <c r="J4462" i="14" a="1"/>
  <c r="J4462" i="14" s="1"/>
  <c r="M4466" i="13"/>
  <c r="K4300" i="14" l="1"/>
  <c r="L4300" i="14" s="1"/>
  <c r="I4301" i="14" s="1"/>
  <c r="K4278" i="13"/>
  <c r="L4278" i="13" s="1"/>
  <c r="I4279" i="13" s="1"/>
  <c r="J4464" i="13" a="1"/>
  <c r="J4464" i="13" s="1"/>
  <c r="N4465" i="13"/>
  <c r="M4467" i="13"/>
  <c r="N4464" i="14"/>
  <c r="J4463" i="14" a="1"/>
  <c r="J4463" i="14" s="1"/>
  <c r="M4468" i="14"/>
  <c r="K4279" i="13" l="1"/>
  <c r="L4279" i="13" s="1"/>
  <c r="I4280" i="13" s="1"/>
  <c r="K4301" i="14"/>
  <c r="L4301" i="14" s="1"/>
  <c r="I4302" i="14" s="1"/>
  <c r="J4464" i="14" a="1"/>
  <c r="J4464" i="14" s="1"/>
  <c r="N4465" i="14"/>
  <c r="M4469" i="14"/>
  <c r="M4468" i="13"/>
  <c r="N4466" i="13"/>
  <c r="J4465" i="13" a="1"/>
  <c r="J4465" i="13" s="1"/>
  <c r="K4302" i="14" l="1"/>
  <c r="L4302" i="14" s="1"/>
  <c r="I4303" i="14" s="1"/>
  <c r="K4280" i="13"/>
  <c r="L4280" i="13" s="1"/>
  <c r="I4281" i="13" s="1"/>
  <c r="M4470" i="14"/>
  <c r="J4466" i="13" a="1"/>
  <c r="J4466" i="13" s="1"/>
  <c r="N4467" i="13"/>
  <c r="J4465" i="14" a="1"/>
  <c r="J4465" i="14" s="1"/>
  <c r="N4466" i="14"/>
  <c r="M4469" i="13"/>
  <c r="K4281" i="13" l="1"/>
  <c r="L4281" i="13" s="1"/>
  <c r="I4282" i="13" s="1"/>
  <c r="K4303" i="14"/>
  <c r="L4303" i="14" s="1"/>
  <c r="I4304" i="14" s="1"/>
  <c r="N4468" i="13"/>
  <c r="J4467" i="13" a="1"/>
  <c r="J4467" i="13" s="1"/>
  <c r="N4467" i="14"/>
  <c r="J4466" i="14" a="1"/>
  <c r="J4466" i="14" s="1"/>
  <c r="M4471" i="14"/>
  <c r="M4470" i="13"/>
  <c r="K4304" i="14" l="1"/>
  <c r="L4304" i="14" s="1"/>
  <c r="I4305" i="14" s="1"/>
  <c r="K4282" i="13"/>
  <c r="L4282" i="13" s="1"/>
  <c r="I4283" i="13" s="1"/>
  <c r="N4468" i="14"/>
  <c r="J4467" i="14" a="1"/>
  <c r="J4467" i="14" s="1"/>
  <c r="M4471" i="13"/>
  <c r="M4472" i="14"/>
  <c r="J4468" i="13" a="1"/>
  <c r="J4468" i="13" s="1"/>
  <c r="N4469" i="13"/>
  <c r="K4283" i="13" l="1"/>
  <c r="L4283" i="13" s="1"/>
  <c r="I4284" i="13" s="1"/>
  <c r="K4305" i="14"/>
  <c r="L4305" i="14" s="1"/>
  <c r="I4306" i="14" s="1"/>
  <c r="N4470" i="13"/>
  <c r="J4469" i="13" a="1"/>
  <c r="J4469" i="13" s="1"/>
  <c r="M4472" i="13"/>
  <c r="M4473" i="14"/>
  <c r="J4468" i="14" a="1"/>
  <c r="J4468" i="14" s="1"/>
  <c r="N4469" i="14"/>
  <c r="K4306" i="14" l="1"/>
  <c r="L4306" i="14" s="1"/>
  <c r="I4307" i="14" s="1"/>
  <c r="K4284" i="13"/>
  <c r="L4284" i="13" s="1"/>
  <c r="I4285" i="13" s="1"/>
  <c r="J4469" i="14" a="1"/>
  <c r="J4469" i="14" s="1"/>
  <c r="N4470" i="14"/>
  <c r="M4473" i="13"/>
  <c r="M4474" i="14"/>
  <c r="J4470" i="13" a="1"/>
  <c r="J4470" i="13" s="1"/>
  <c r="N4471" i="13"/>
  <c r="K4285" i="13" l="1"/>
  <c r="L4285" i="13" s="1"/>
  <c r="I4286" i="13" s="1"/>
  <c r="K4307" i="14"/>
  <c r="L4307" i="14" s="1"/>
  <c r="I4308" i="14" s="1"/>
  <c r="N4472" i="13"/>
  <c r="J4471" i="13" a="1"/>
  <c r="J4471" i="13" s="1"/>
  <c r="M4474" i="13"/>
  <c r="N4471" i="14"/>
  <c r="J4470" i="14" a="1"/>
  <c r="J4470" i="14" s="1"/>
  <c r="M4475" i="14"/>
  <c r="K4308" i="14" l="1"/>
  <c r="L4308" i="14" s="1"/>
  <c r="I4309" i="14" s="1"/>
  <c r="K4286" i="13"/>
  <c r="L4286" i="13" s="1"/>
  <c r="I4287" i="13" s="1"/>
  <c r="M4475" i="13"/>
  <c r="M4476" i="14"/>
  <c r="N4472" i="14"/>
  <c r="J4471" i="14" a="1"/>
  <c r="J4471" i="14" s="1"/>
  <c r="J4472" i="13" a="1"/>
  <c r="J4472" i="13" s="1"/>
  <c r="N4473" i="13"/>
  <c r="K4287" i="13" l="1"/>
  <c r="L4287" i="13" s="1"/>
  <c r="I4288" i="13" s="1"/>
  <c r="K4309" i="14"/>
  <c r="L4309" i="14" s="1"/>
  <c r="I4310" i="14" s="1"/>
  <c r="N4474" i="13"/>
  <c r="J4473" i="13" a="1"/>
  <c r="J4473" i="13" s="1"/>
  <c r="M4477" i="14"/>
  <c r="J4472" i="14" a="1"/>
  <c r="J4472" i="14" s="1"/>
  <c r="N4473" i="14"/>
  <c r="M4476" i="13"/>
  <c r="K4310" i="14" l="1"/>
  <c r="L4310" i="14" s="1"/>
  <c r="I4311" i="14" s="1"/>
  <c r="K4288" i="13"/>
  <c r="L4288" i="13" s="1"/>
  <c r="I4289" i="13" s="1"/>
  <c r="M4477" i="13"/>
  <c r="M4478" i="14"/>
  <c r="J4473" i="14" a="1"/>
  <c r="J4473" i="14" s="1"/>
  <c r="N4474" i="14"/>
  <c r="J4474" i="13" a="1"/>
  <c r="J4474" i="13" s="1"/>
  <c r="N4475" i="13"/>
  <c r="K4289" i="13" l="1"/>
  <c r="L4289" i="13" s="1"/>
  <c r="I4290" i="13" s="1"/>
  <c r="K4311" i="14"/>
  <c r="L4311" i="14" s="1"/>
  <c r="I4312" i="14" s="1"/>
  <c r="N4476" i="13"/>
  <c r="J4475" i="13" a="1"/>
  <c r="J4475" i="13" s="1"/>
  <c r="M4479" i="14"/>
  <c r="J4474" i="14" a="1"/>
  <c r="J4474" i="14" s="1"/>
  <c r="N4475" i="14"/>
  <c r="M4478" i="13"/>
  <c r="K4312" i="14" l="1"/>
  <c r="L4312" i="14" s="1"/>
  <c r="I4313" i="14" s="1"/>
  <c r="K4290" i="13"/>
  <c r="L4290" i="13" s="1"/>
  <c r="I4291" i="13" s="1"/>
  <c r="N4476" i="14"/>
  <c r="J4475" i="14" a="1"/>
  <c r="J4475" i="14" s="1"/>
  <c r="M4479" i="13"/>
  <c r="M4480" i="14"/>
  <c r="J4476" i="13" a="1"/>
  <c r="J4476" i="13" s="1"/>
  <c r="N4477" i="13"/>
  <c r="K4291" i="13" l="1"/>
  <c r="L4291" i="13" s="1"/>
  <c r="I4292" i="13" s="1"/>
  <c r="K4313" i="14"/>
  <c r="L4313" i="14" s="1"/>
  <c r="I4314" i="14" s="1"/>
  <c r="N4478" i="13"/>
  <c r="J4477" i="13" a="1"/>
  <c r="J4477" i="13" s="1"/>
  <c r="M4480" i="13"/>
  <c r="M4481" i="14"/>
  <c r="J4476" i="14" a="1"/>
  <c r="J4476" i="14" s="1"/>
  <c r="N4477" i="14"/>
  <c r="K4314" i="14" l="1"/>
  <c r="L4314" i="14" s="1"/>
  <c r="I4315" i="14" s="1"/>
  <c r="K4292" i="13"/>
  <c r="L4292" i="13" s="1"/>
  <c r="I4293" i="13" s="1"/>
  <c r="J4477" i="14" a="1"/>
  <c r="J4477" i="14" s="1"/>
  <c r="N4478" i="14"/>
  <c r="M4481" i="13"/>
  <c r="M4482" i="14"/>
  <c r="J4478" i="13" a="1"/>
  <c r="J4478" i="13" s="1"/>
  <c r="N4479" i="13"/>
  <c r="K4293" i="13" l="1"/>
  <c r="L4293" i="13" s="1"/>
  <c r="I4294" i="13" s="1"/>
  <c r="K4315" i="14"/>
  <c r="L4315" i="14" s="1"/>
  <c r="I4316" i="14" s="1"/>
  <c r="N4480" i="13"/>
  <c r="J4479" i="13" a="1"/>
  <c r="J4479" i="13" s="1"/>
  <c r="M4482" i="13"/>
  <c r="N4479" i="14"/>
  <c r="J4478" i="14" a="1"/>
  <c r="J4478" i="14" s="1"/>
  <c r="M4483" i="14"/>
  <c r="K4316" i="14" l="1"/>
  <c r="L4316" i="14" s="1"/>
  <c r="I4317" i="14" s="1"/>
  <c r="K4294" i="13"/>
  <c r="L4294" i="13" s="1"/>
  <c r="I4295" i="13" s="1"/>
  <c r="M4483" i="13"/>
  <c r="M4484" i="14"/>
  <c r="N4480" i="14"/>
  <c r="J4479" i="14" a="1"/>
  <c r="J4479" i="14" s="1"/>
  <c r="J4480" i="13" a="1"/>
  <c r="J4480" i="13" s="1"/>
  <c r="N4481" i="13"/>
  <c r="K4295" i="13" l="1"/>
  <c r="L4295" i="13" s="1"/>
  <c r="I4296" i="13" s="1"/>
  <c r="K4317" i="14"/>
  <c r="L4317" i="14" s="1"/>
  <c r="I4318" i="14" s="1"/>
  <c r="N4482" i="13"/>
  <c r="J4481" i="13" a="1"/>
  <c r="J4481" i="13" s="1"/>
  <c r="M4485" i="14"/>
  <c r="J4480" i="14" a="1"/>
  <c r="J4480" i="14" s="1"/>
  <c r="N4481" i="14"/>
  <c r="M4484" i="13"/>
  <c r="K4318" i="14" l="1"/>
  <c r="L4318" i="14" s="1"/>
  <c r="I4319" i="14" s="1"/>
  <c r="K4296" i="13"/>
  <c r="L4296" i="13" s="1"/>
  <c r="I4297" i="13" s="1"/>
  <c r="J4481" i="14" a="1"/>
  <c r="J4481" i="14" s="1"/>
  <c r="N4482" i="14"/>
  <c r="M4485" i="13"/>
  <c r="M4486" i="14"/>
  <c r="J4482" i="13" a="1"/>
  <c r="J4482" i="13" s="1"/>
  <c r="N4483" i="13"/>
  <c r="K4297" i="13" l="1"/>
  <c r="L4297" i="13" s="1"/>
  <c r="I4298" i="13" s="1"/>
  <c r="K4319" i="14"/>
  <c r="L4319" i="14" s="1"/>
  <c r="I4320" i="14" s="1"/>
  <c r="N4484" i="13"/>
  <c r="J4483" i="13" a="1"/>
  <c r="J4483" i="13" s="1"/>
  <c r="M4486" i="13"/>
  <c r="N4483" i="14"/>
  <c r="J4482" i="14" a="1"/>
  <c r="J4482" i="14" s="1"/>
  <c r="M4487" i="14"/>
  <c r="K4320" i="14" l="1"/>
  <c r="L4320" i="14" s="1"/>
  <c r="I4321" i="14" s="1"/>
  <c r="K4298" i="13"/>
  <c r="L4298" i="13" s="1"/>
  <c r="I4299" i="13" s="1"/>
  <c r="M4487" i="13"/>
  <c r="M4488" i="14"/>
  <c r="N4484" i="14"/>
  <c r="J4483" i="14" a="1"/>
  <c r="J4483" i="14" s="1"/>
  <c r="J4484" i="13" a="1"/>
  <c r="J4484" i="13" s="1"/>
  <c r="N4485" i="13"/>
  <c r="K4299" i="13" l="1"/>
  <c r="L4299" i="13" s="1"/>
  <c r="I4300" i="13" s="1"/>
  <c r="K4321" i="14"/>
  <c r="L4321" i="14" s="1"/>
  <c r="I4322" i="14" s="1"/>
  <c r="N4486" i="13"/>
  <c r="J4485" i="13" a="1"/>
  <c r="J4485" i="13" s="1"/>
  <c r="M4489" i="14"/>
  <c r="J4484" i="14" a="1"/>
  <c r="J4484" i="14" s="1"/>
  <c r="N4485" i="14"/>
  <c r="M4488" i="13"/>
  <c r="K4322" i="14" l="1"/>
  <c r="L4322" i="14" s="1"/>
  <c r="I4323" i="14" s="1"/>
  <c r="K4300" i="13"/>
  <c r="L4300" i="13" s="1"/>
  <c r="I4301" i="13" s="1"/>
  <c r="M4489" i="13"/>
  <c r="J4485" i="14" a="1"/>
  <c r="J4485" i="14" s="1"/>
  <c r="N4486" i="14"/>
  <c r="M4490" i="14"/>
  <c r="J4486" i="13" a="1"/>
  <c r="J4486" i="13" s="1"/>
  <c r="N4487" i="13"/>
  <c r="K4301" i="13" l="1"/>
  <c r="L4301" i="13" s="1"/>
  <c r="I4302" i="13" s="1"/>
  <c r="K4323" i="14"/>
  <c r="L4323" i="14" s="1"/>
  <c r="I4324" i="14" s="1"/>
  <c r="N4487" i="14"/>
  <c r="J4486" i="14" a="1"/>
  <c r="J4486" i="14" s="1"/>
  <c r="N4488" i="13"/>
  <c r="J4487" i="13" a="1"/>
  <c r="J4487" i="13" s="1"/>
  <c r="M4491" i="14"/>
  <c r="M4490" i="13"/>
  <c r="K4324" i="14" l="1"/>
  <c r="L4324" i="14" s="1"/>
  <c r="I4325" i="14" s="1"/>
  <c r="K4302" i="13"/>
  <c r="L4302" i="13" s="1"/>
  <c r="I4303" i="13" s="1"/>
  <c r="J4488" i="13" a="1"/>
  <c r="J4488" i="13" s="1"/>
  <c r="N4489" i="13"/>
  <c r="M4491" i="13"/>
  <c r="M4492" i="14"/>
  <c r="N4488" i="14"/>
  <c r="J4487" i="14" a="1"/>
  <c r="J4487" i="14" s="1"/>
  <c r="K4303" i="13" l="1"/>
  <c r="L4303" i="13" s="1"/>
  <c r="I4304" i="13" s="1"/>
  <c r="K4325" i="14"/>
  <c r="L4325" i="14" s="1"/>
  <c r="I4326" i="14" s="1"/>
  <c r="J4488" i="14" a="1"/>
  <c r="J4488" i="14" s="1"/>
  <c r="N4489" i="14"/>
  <c r="M4492" i="13"/>
  <c r="N4490" i="13"/>
  <c r="J4489" i="13" a="1"/>
  <c r="J4489" i="13" s="1"/>
  <c r="M4493" i="14"/>
  <c r="K4326" i="14" l="1"/>
  <c r="L4326" i="14" s="1"/>
  <c r="I4327" i="14" s="1"/>
  <c r="K4304" i="13"/>
  <c r="L4304" i="13" s="1"/>
  <c r="I4305" i="13" s="1"/>
  <c r="M4494" i="14"/>
  <c r="M4493" i="13"/>
  <c r="J4490" i="13" a="1"/>
  <c r="J4490" i="13" s="1"/>
  <c r="N4491" i="13"/>
  <c r="J4489" i="14" a="1"/>
  <c r="J4489" i="14" s="1"/>
  <c r="N4490" i="14"/>
  <c r="K4305" i="13" l="1"/>
  <c r="L4305" i="13" s="1"/>
  <c r="I4306" i="13" s="1"/>
  <c r="K4327" i="14"/>
  <c r="L4327" i="14" s="1"/>
  <c r="I4328" i="14" s="1"/>
  <c r="J4490" i="14" a="1"/>
  <c r="J4490" i="14" s="1"/>
  <c r="N4491" i="14"/>
  <c r="M4494" i="13"/>
  <c r="N4492" i="13"/>
  <c r="J4491" i="13" a="1"/>
  <c r="J4491" i="13" s="1"/>
  <c r="M4495" i="14"/>
  <c r="K4328" i="14" l="1"/>
  <c r="L4328" i="14" s="1"/>
  <c r="I4329" i="14" s="1"/>
  <c r="K4306" i="13"/>
  <c r="L4306" i="13" s="1"/>
  <c r="I4307" i="13" s="1"/>
  <c r="M4495" i="13"/>
  <c r="J4492" i="13" a="1"/>
  <c r="J4492" i="13" s="1"/>
  <c r="N4493" i="13"/>
  <c r="M4496" i="14"/>
  <c r="N4492" i="14"/>
  <c r="J4491" i="14" a="1"/>
  <c r="J4491" i="14" s="1"/>
  <c r="K4307" i="13" l="1"/>
  <c r="L4307" i="13" s="1"/>
  <c r="I4308" i="13" s="1"/>
  <c r="K4329" i="14"/>
  <c r="L4329" i="14" s="1"/>
  <c r="I4330" i="14" s="1"/>
  <c r="N4494" i="13"/>
  <c r="J4493" i="13" a="1"/>
  <c r="J4493" i="13" s="1"/>
  <c r="J4492" i="14" a="1"/>
  <c r="J4492" i="14" s="1"/>
  <c r="N4493" i="14"/>
  <c r="M4497" i="14"/>
  <c r="M4496" i="13"/>
  <c r="K4308" i="13" l="1"/>
  <c r="L4308" i="13" s="1"/>
  <c r="I4309" i="13" s="1"/>
  <c r="M4497" i="13"/>
  <c r="J4493" i="14" a="1"/>
  <c r="J4493" i="14" s="1"/>
  <c r="N4494" i="14"/>
  <c r="K4330" i="14"/>
  <c r="L4330" i="14" s="1"/>
  <c r="I4331" i="14" s="1"/>
  <c r="M4498" i="14"/>
  <c r="J4494" i="13" a="1"/>
  <c r="J4494" i="13" s="1"/>
  <c r="N4495" i="13"/>
  <c r="K4331" i="14" l="1"/>
  <c r="L4331" i="14" s="1"/>
  <c r="I4332" i="14" s="1"/>
  <c r="K4309" i="13"/>
  <c r="L4309" i="13" s="1"/>
  <c r="I4310" i="13" s="1"/>
  <c r="N4496" i="13"/>
  <c r="J4495" i="13" a="1"/>
  <c r="J4495" i="13" s="1"/>
  <c r="M4498" i="13"/>
  <c r="M4499" i="14"/>
  <c r="N4495" i="14"/>
  <c r="J4494" i="14" a="1"/>
  <c r="J4494" i="14" s="1"/>
  <c r="K4310" i="13" l="1"/>
  <c r="L4310" i="13" s="1"/>
  <c r="I4311" i="13" s="1"/>
  <c r="K4332" i="14"/>
  <c r="L4332" i="14" s="1"/>
  <c r="I4333" i="14" s="1"/>
  <c r="M4499" i="13"/>
  <c r="N4496" i="14"/>
  <c r="J4495" i="14" a="1"/>
  <c r="J4495" i="14" s="1"/>
  <c r="M4500" i="14"/>
  <c r="J4496" i="13" a="1"/>
  <c r="J4496" i="13" s="1"/>
  <c r="N4497" i="13"/>
  <c r="K4333" i="14" l="1"/>
  <c r="L4333" i="14" s="1"/>
  <c r="I4334" i="14" s="1"/>
  <c r="K4311" i="13"/>
  <c r="L4311" i="13" s="1"/>
  <c r="I4312" i="13" s="1"/>
  <c r="J4496" i="14" a="1"/>
  <c r="J4496" i="14" s="1"/>
  <c r="N4497" i="14"/>
  <c r="N4498" i="13"/>
  <c r="J4497" i="13" a="1"/>
  <c r="J4497" i="13" s="1"/>
  <c r="M4501" i="14"/>
  <c r="M4500" i="13"/>
  <c r="K4312" i="13" l="1"/>
  <c r="L4312" i="13" s="1"/>
  <c r="I4313" i="13" s="1"/>
  <c r="K4334" i="14"/>
  <c r="L4334" i="14" s="1"/>
  <c r="I4335" i="14" s="1"/>
  <c r="J4498" i="13" a="1"/>
  <c r="J4498" i="13" s="1"/>
  <c r="N4499" i="13"/>
  <c r="M4501" i="13"/>
  <c r="J4497" i="14" a="1"/>
  <c r="J4497" i="14" s="1"/>
  <c r="N4498" i="14"/>
  <c r="M4502" i="14"/>
  <c r="K4335" i="14" l="1"/>
  <c r="L4335" i="14" s="1"/>
  <c r="I4336" i="14" s="1"/>
  <c r="K4313" i="13"/>
  <c r="L4313" i="13" s="1"/>
  <c r="I4314" i="13" s="1"/>
  <c r="M4503" i="14"/>
  <c r="N4499" i="14"/>
  <c r="J4498" i="14" a="1"/>
  <c r="J4498" i="14" s="1"/>
  <c r="M4502" i="13"/>
  <c r="N4500" i="13"/>
  <c r="J4499" i="13" a="1"/>
  <c r="J4499" i="13" s="1"/>
  <c r="K4314" i="13" l="1"/>
  <c r="L4314" i="13" s="1"/>
  <c r="I4315" i="13" s="1"/>
  <c r="K4336" i="14"/>
  <c r="L4336" i="14" s="1"/>
  <c r="I4337" i="14" s="1"/>
  <c r="J4500" i="13" a="1"/>
  <c r="J4500" i="13" s="1"/>
  <c r="N4501" i="13"/>
  <c r="N4500" i="14"/>
  <c r="J4499" i="14" a="1"/>
  <c r="J4499" i="14" s="1"/>
  <c r="M4503" i="13"/>
  <c r="M4504" i="14"/>
  <c r="K4337" i="14" l="1"/>
  <c r="L4337" i="14" s="1"/>
  <c r="I4338" i="14" s="1"/>
  <c r="K4315" i="13"/>
  <c r="L4315" i="13" s="1"/>
  <c r="I4316" i="13" s="1"/>
  <c r="J4500" i="14" a="1"/>
  <c r="J4500" i="14" s="1"/>
  <c r="N4501" i="14"/>
  <c r="N4502" i="13"/>
  <c r="J4501" i="13" a="1"/>
  <c r="J4501" i="13" s="1"/>
  <c r="M4505" i="14"/>
  <c r="M4504" i="13"/>
  <c r="K4316" i="13" l="1"/>
  <c r="L4316" i="13" s="1"/>
  <c r="I4317" i="13" s="1"/>
  <c r="K4338" i="14"/>
  <c r="L4338" i="14" s="1"/>
  <c r="I4339" i="14" s="1"/>
  <c r="J4502" i="13" a="1"/>
  <c r="J4502" i="13" s="1"/>
  <c r="N4503" i="13"/>
  <c r="M4505" i="13"/>
  <c r="J4501" i="14" a="1"/>
  <c r="J4501" i="14" s="1"/>
  <c r="N4502" i="14"/>
  <c r="M4506" i="14"/>
  <c r="K4339" i="14" l="1"/>
  <c r="L4339" i="14" s="1"/>
  <c r="I4340" i="14" s="1"/>
  <c r="K4317" i="13"/>
  <c r="L4317" i="13" s="1"/>
  <c r="I4318" i="13" s="1"/>
  <c r="M4507" i="14"/>
  <c r="N4503" i="14"/>
  <c r="J4502" i="14" a="1"/>
  <c r="J4502" i="14" s="1"/>
  <c r="M4506" i="13"/>
  <c r="N4504" i="13"/>
  <c r="J4503" i="13" a="1"/>
  <c r="J4503" i="13" s="1"/>
  <c r="K4318" i="13" l="1"/>
  <c r="L4318" i="13" s="1"/>
  <c r="I4319" i="13" s="1"/>
  <c r="K4340" i="14"/>
  <c r="L4340" i="14" s="1"/>
  <c r="I4341" i="14" s="1"/>
  <c r="J4504" i="13" a="1"/>
  <c r="J4504" i="13" s="1"/>
  <c r="N4505" i="13"/>
  <c r="M4507" i="13"/>
  <c r="N4504" i="14"/>
  <c r="J4503" i="14" a="1"/>
  <c r="J4503" i="14" s="1"/>
  <c r="M4508" i="14"/>
  <c r="K4341" i="14" l="1"/>
  <c r="L4341" i="14" s="1"/>
  <c r="I4342" i="14" s="1"/>
  <c r="K4319" i="13"/>
  <c r="L4319" i="13" s="1"/>
  <c r="I4320" i="13" s="1"/>
  <c r="M4509" i="14"/>
  <c r="M4508" i="13"/>
  <c r="N4506" i="13"/>
  <c r="J4505" i="13" a="1"/>
  <c r="J4505" i="13" s="1"/>
  <c r="J4504" i="14" a="1"/>
  <c r="J4504" i="14" s="1"/>
  <c r="N4505" i="14"/>
  <c r="K4320" i="13" l="1"/>
  <c r="L4320" i="13" s="1"/>
  <c r="I4321" i="13" s="1"/>
  <c r="K4342" i="14"/>
  <c r="L4342" i="14" s="1"/>
  <c r="I4343" i="14" s="1"/>
  <c r="J4505" i="14" a="1"/>
  <c r="J4505" i="14" s="1"/>
  <c r="N4506" i="14"/>
  <c r="M4509" i="13"/>
  <c r="M4510" i="14"/>
  <c r="J4506" i="13" a="1"/>
  <c r="J4506" i="13" s="1"/>
  <c r="N4507" i="13"/>
  <c r="K4343" i="14" l="1"/>
  <c r="L4343" i="14" s="1"/>
  <c r="I4344" i="14" s="1"/>
  <c r="K4321" i="13"/>
  <c r="L4321" i="13" s="1"/>
  <c r="I4322" i="13" s="1"/>
  <c r="N4508" i="13"/>
  <c r="J4507" i="13" a="1"/>
  <c r="J4507" i="13" s="1"/>
  <c r="M4510" i="13"/>
  <c r="N4507" i="14"/>
  <c r="J4506" i="14" a="1"/>
  <c r="J4506" i="14" s="1"/>
  <c r="M4511" i="14"/>
  <c r="K4322" i="13" l="1"/>
  <c r="L4322" i="13" s="1"/>
  <c r="I4323" i="13" s="1"/>
  <c r="K4344" i="14"/>
  <c r="L4344" i="14" s="1"/>
  <c r="I4345" i="14" s="1"/>
  <c r="M4511" i="13"/>
  <c r="N4508" i="14"/>
  <c r="J4507" i="14" a="1"/>
  <c r="J4507" i="14" s="1"/>
  <c r="M4512" i="14"/>
  <c r="J4508" i="13" a="1"/>
  <c r="J4508" i="13" s="1"/>
  <c r="N4509" i="13"/>
  <c r="K4345" i="14" l="1"/>
  <c r="L4345" i="14" s="1"/>
  <c r="I4346" i="14" s="1"/>
  <c r="K4323" i="13"/>
  <c r="L4323" i="13" s="1"/>
  <c r="I4324" i="13" s="1"/>
  <c r="J4508" i="14" a="1"/>
  <c r="J4508" i="14" s="1"/>
  <c r="N4509" i="14"/>
  <c r="N4510" i="13"/>
  <c r="J4509" i="13" a="1"/>
  <c r="J4509" i="13" s="1"/>
  <c r="M4513" i="14"/>
  <c r="M4512" i="13"/>
  <c r="K4324" i="13" l="1"/>
  <c r="L4324" i="13" s="1"/>
  <c r="I4325" i="13" s="1"/>
  <c r="K4346" i="14"/>
  <c r="L4346" i="14" s="1"/>
  <c r="I4347" i="14" s="1"/>
  <c r="J4510" i="13" a="1"/>
  <c r="J4510" i="13" s="1"/>
  <c r="N4511" i="13"/>
  <c r="M4513" i="13"/>
  <c r="J4509" i="14" a="1"/>
  <c r="J4509" i="14" s="1"/>
  <c r="N4510" i="14"/>
  <c r="M4514" i="14"/>
  <c r="K4347" i="14" l="1"/>
  <c r="L4347" i="14" s="1"/>
  <c r="I4348" i="14" s="1"/>
  <c r="K4325" i="13"/>
  <c r="L4325" i="13" s="1"/>
  <c r="I4326" i="13" s="1"/>
  <c r="M4515" i="14"/>
  <c r="N4511" i="14"/>
  <c r="J4510" i="14" a="1"/>
  <c r="J4510" i="14" s="1"/>
  <c r="M4514" i="13"/>
  <c r="N4512" i="13"/>
  <c r="J4511" i="13" a="1"/>
  <c r="J4511" i="13" s="1"/>
  <c r="K4326" i="13" l="1"/>
  <c r="L4326" i="13" s="1"/>
  <c r="I4327" i="13" s="1"/>
  <c r="K4348" i="14"/>
  <c r="L4348" i="14" s="1"/>
  <c r="I4349" i="14" s="1"/>
  <c r="J4512" i="13" a="1"/>
  <c r="J4512" i="13" s="1"/>
  <c r="N4513" i="13"/>
  <c r="M4515" i="13"/>
  <c r="N4512" i="14"/>
  <c r="J4511" i="14" a="1"/>
  <c r="J4511" i="14" s="1"/>
  <c r="M4516" i="14"/>
  <c r="K4349" i="14" l="1"/>
  <c r="L4349" i="14" s="1"/>
  <c r="I4350" i="14" s="1"/>
  <c r="K4327" i="13"/>
  <c r="L4327" i="13" s="1"/>
  <c r="I4328" i="13" s="1"/>
  <c r="J4512" i="14" a="1"/>
  <c r="J4512" i="14" s="1"/>
  <c r="N4513" i="14"/>
  <c r="M4517" i="14"/>
  <c r="M4516" i="13"/>
  <c r="N4514" i="13"/>
  <c r="J4513" i="13" a="1"/>
  <c r="J4513" i="13" s="1"/>
  <c r="K4328" i="13" l="1"/>
  <c r="L4328" i="13" s="1"/>
  <c r="I4329" i="13" s="1"/>
  <c r="K4350" i="14"/>
  <c r="L4350" i="14" s="1"/>
  <c r="I4351" i="14" s="1"/>
  <c r="M4518" i="14"/>
  <c r="J4514" i="13" a="1"/>
  <c r="J4514" i="13" s="1"/>
  <c r="N4515" i="13"/>
  <c r="J4513" i="14" a="1"/>
  <c r="J4513" i="14" s="1"/>
  <c r="N4514" i="14"/>
  <c r="M4517" i="13"/>
  <c r="K4351" i="14" l="1"/>
  <c r="L4351" i="14" s="1"/>
  <c r="I4352" i="14" s="1"/>
  <c r="K4329" i="13"/>
  <c r="L4329" i="13" s="1"/>
  <c r="I4330" i="13" s="1"/>
  <c r="N4516" i="13"/>
  <c r="J4515" i="13" a="1"/>
  <c r="J4515" i="13" s="1"/>
  <c r="N4515" i="14"/>
  <c r="J4514" i="14" a="1"/>
  <c r="J4514" i="14" s="1"/>
  <c r="M4519" i="14"/>
  <c r="M4518" i="13"/>
  <c r="K4330" i="13" l="1"/>
  <c r="L4330" i="13" s="1"/>
  <c r="I4331" i="13" s="1"/>
  <c r="K4352" i="14"/>
  <c r="L4352" i="14" s="1"/>
  <c r="I4353" i="14" s="1"/>
  <c r="N4516" i="14"/>
  <c r="J4515" i="14" a="1"/>
  <c r="J4515" i="14" s="1"/>
  <c r="M4519" i="13"/>
  <c r="M4520" i="14"/>
  <c r="J4516" i="13" a="1"/>
  <c r="J4516" i="13" s="1"/>
  <c r="N4517" i="13"/>
  <c r="K4353" i="14" l="1"/>
  <c r="L4353" i="14" s="1"/>
  <c r="I4354" i="14" s="1"/>
  <c r="K4331" i="13"/>
  <c r="L4331" i="13" s="1"/>
  <c r="I4332" i="13" s="1"/>
  <c r="M4520" i="13"/>
  <c r="N4518" i="13"/>
  <c r="J4517" i="13" a="1"/>
  <c r="J4517" i="13" s="1"/>
  <c r="M4521" i="14"/>
  <c r="J4516" i="14" a="1"/>
  <c r="J4516" i="14" s="1"/>
  <c r="N4517" i="14"/>
  <c r="K4332" i="13" l="1"/>
  <c r="L4332" i="13" s="1"/>
  <c r="I4333" i="13" s="1"/>
  <c r="K4354" i="14"/>
  <c r="L4354" i="14" s="1"/>
  <c r="I4355" i="14" s="1"/>
  <c r="J4518" i="13" a="1"/>
  <c r="J4518" i="13" s="1"/>
  <c r="N4519" i="13"/>
  <c r="J4517" i="14" a="1"/>
  <c r="J4517" i="14" s="1"/>
  <c r="N4518" i="14"/>
  <c r="M4521" i="13"/>
  <c r="M4522" i="14"/>
  <c r="K4355" i="14" l="1"/>
  <c r="L4355" i="14" s="1"/>
  <c r="I4356" i="14" s="1"/>
  <c r="K4333" i="13"/>
  <c r="L4333" i="13" s="1"/>
  <c r="I4334" i="13" s="1"/>
  <c r="N4519" i="14"/>
  <c r="J4518" i="14" a="1"/>
  <c r="J4518" i="14" s="1"/>
  <c r="M4523" i="14"/>
  <c r="N4520" i="13"/>
  <c r="J4519" i="13" a="1"/>
  <c r="J4519" i="13" s="1"/>
  <c r="M4522" i="13"/>
  <c r="K4334" i="13" l="1"/>
  <c r="L4334" i="13" s="1"/>
  <c r="I4335" i="13" s="1"/>
  <c r="K4356" i="14"/>
  <c r="L4356" i="14" s="1"/>
  <c r="I4357" i="14" s="1"/>
  <c r="M4523" i="13"/>
  <c r="M4524" i="14"/>
  <c r="J4520" i="13" a="1"/>
  <c r="J4520" i="13" s="1"/>
  <c r="N4521" i="13"/>
  <c r="N4520" i="14"/>
  <c r="J4519" i="14" a="1"/>
  <c r="J4519" i="14" s="1"/>
  <c r="K4357" i="14" l="1"/>
  <c r="L4357" i="14" s="1"/>
  <c r="I4358" i="14" s="1"/>
  <c r="K4335" i="13"/>
  <c r="L4335" i="13" s="1"/>
  <c r="I4336" i="13" s="1"/>
  <c r="J4520" i="14" a="1"/>
  <c r="J4520" i="14" s="1"/>
  <c r="N4521" i="14"/>
  <c r="M4525" i="14"/>
  <c r="N4522" i="13"/>
  <c r="J4521" i="13" a="1"/>
  <c r="J4521" i="13" s="1"/>
  <c r="M4524" i="13"/>
  <c r="K4336" i="13" l="1"/>
  <c r="L4336" i="13" s="1"/>
  <c r="I4337" i="13" s="1"/>
  <c r="K4358" i="14"/>
  <c r="L4358" i="14" s="1"/>
  <c r="I4359" i="14" s="1"/>
  <c r="M4525" i="13"/>
  <c r="M4526" i="14"/>
  <c r="J4522" i="13" a="1"/>
  <c r="J4522" i="13" s="1"/>
  <c r="N4523" i="13"/>
  <c r="J4521" i="14" a="1"/>
  <c r="J4521" i="14" s="1"/>
  <c r="N4522" i="14"/>
  <c r="K4359" i="14" l="1"/>
  <c r="L4359" i="14" s="1"/>
  <c r="I4360" i="14" s="1"/>
  <c r="K4337" i="13"/>
  <c r="L4337" i="13" s="1"/>
  <c r="I4338" i="13" s="1"/>
  <c r="N4523" i="14"/>
  <c r="J4522" i="14" a="1"/>
  <c r="J4522" i="14" s="1"/>
  <c r="M4527" i="14"/>
  <c r="N4524" i="13"/>
  <c r="J4523" i="13" a="1"/>
  <c r="J4523" i="13" s="1"/>
  <c r="M4526" i="13"/>
  <c r="K4338" i="13" l="1"/>
  <c r="L4338" i="13" s="1"/>
  <c r="I4339" i="13" s="1"/>
  <c r="K4360" i="14"/>
  <c r="L4360" i="14" s="1"/>
  <c r="I4361" i="14" s="1"/>
  <c r="M4527" i="13"/>
  <c r="M4528" i="14"/>
  <c r="J4524" i="13" a="1"/>
  <c r="J4524" i="13" s="1"/>
  <c r="N4525" i="13"/>
  <c r="N4524" i="14"/>
  <c r="J4523" i="14" a="1"/>
  <c r="J4523" i="14" s="1"/>
  <c r="K4361" i="14" l="1"/>
  <c r="L4361" i="14" s="1"/>
  <c r="I4362" i="14" s="1"/>
  <c r="K4339" i="13"/>
  <c r="L4339" i="13" s="1"/>
  <c r="I4340" i="13" s="1"/>
  <c r="J4524" i="14" a="1"/>
  <c r="J4524" i="14" s="1"/>
  <c r="N4525" i="14"/>
  <c r="M4529" i="14"/>
  <c r="N4526" i="13"/>
  <c r="J4525" i="13" a="1"/>
  <c r="J4525" i="13" s="1"/>
  <c r="M4528" i="13"/>
  <c r="K4340" i="13" l="1"/>
  <c r="L4340" i="13" s="1"/>
  <c r="I4341" i="13" s="1"/>
  <c r="K4362" i="14"/>
  <c r="L4362" i="14" s="1"/>
  <c r="I4363" i="14" s="1"/>
  <c r="M4529" i="13"/>
  <c r="M4530" i="14"/>
  <c r="J4525" i="14" a="1"/>
  <c r="J4525" i="14" s="1"/>
  <c r="N4526" i="14"/>
  <c r="J4526" i="13" a="1"/>
  <c r="J4526" i="13" s="1"/>
  <c r="N4527" i="13"/>
  <c r="K4363" i="14" l="1"/>
  <c r="L4363" i="14" s="1"/>
  <c r="I4364" i="14" s="1"/>
  <c r="K4341" i="13"/>
  <c r="L4341" i="13" s="1"/>
  <c r="I4342" i="13" s="1"/>
  <c r="N4528" i="13"/>
  <c r="J4527" i="13" a="1"/>
  <c r="J4527" i="13" s="1"/>
  <c r="M4531" i="14"/>
  <c r="N4527" i="14"/>
  <c r="J4526" i="14" a="1"/>
  <c r="J4526" i="14" s="1"/>
  <c r="M4530" i="13"/>
  <c r="K4342" i="13" l="1"/>
  <c r="L4342" i="13" s="1"/>
  <c r="I4343" i="13" s="1"/>
  <c r="K4364" i="14"/>
  <c r="L4364" i="14" s="1"/>
  <c r="I4365" i="14" s="1"/>
  <c r="M4531" i="13"/>
  <c r="M4532" i="14"/>
  <c r="N4528" i="14"/>
  <c r="J4527" i="14" a="1"/>
  <c r="J4527" i="14" s="1"/>
  <c r="J4528" i="13" a="1"/>
  <c r="J4528" i="13" s="1"/>
  <c r="N4529" i="13"/>
  <c r="K4343" i="13" l="1"/>
  <c r="L4343" i="13" s="1"/>
  <c r="I4344" i="13" s="1"/>
  <c r="N4530" i="13"/>
  <c r="J4529" i="13" a="1"/>
  <c r="J4529" i="13" s="1"/>
  <c r="K4365" i="14"/>
  <c r="L4365" i="14" s="1"/>
  <c r="I4366" i="14" s="1"/>
  <c r="M4533" i="14"/>
  <c r="J4528" i="14" a="1"/>
  <c r="J4528" i="14" s="1"/>
  <c r="N4529" i="14"/>
  <c r="M4532" i="13"/>
  <c r="K4366" i="14" l="1"/>
  <c r="L4366" i="14" s="1"/>
  <c r="I4367" i="14" s="1"/>
  <c r="K4344" i="13"/>
  <c r="L4344" i="13" s="1"/>
  <c r="I4345" i="13" s="1"/>
  <c r="M4533" i="13"/>
  <c r="M4534" i="14"/>
  <c r="J4530" i="13" a="1"/>
  <c r="J4530" i="13" s="1"/>
  <c r="N4531" i="13"/>
  <c r="J4529" i="14" a="1"/>
  <c r="J4529" i="14" s="1"/>
  <c r="N4530" i="14"/>
  <c r="K4367" i="14" l="1"/>
  <c r="L4367" i="14" s="1"/>
  <c r="I4368" i="14" s="1"/>
  <c r="N4531" i="14"/>
  <c r="J4530" i="14" a="1"/>
  <c r="J4530" i="14" s="1"/>
  <c r="M4535" i="14"/>
  <c r="K4345" i="13"/>
  <c r="L4345" i="13" s="1"/>
  <c r="I4346" i="13" s="1"/>
  <c r="N4532" i="13"/>
  <c r="J4531" i="13" a="1"/>
  <c r="J4531" i="13" s="1"/>
  <c r="M4534" i="13"/>
  <c r="K4346" i="13" l="1"/>
  <c r="L4346" i="13" s="1"/>
  <c r="I4347" i="13" s="1"/>
  <c r="K4368" i="14"/>
  <c r="L4368" i="14" s="1"/>
  <c r="I4369" i="14" s="1"/>
  <c r="N4532" i="14"/>
  <c r="J4531" i="14" a="1"/>
  <c r="J4531" i="14" s="1"/>
  <c r="M4535" i="13"/>
  <c r="J4532" i="13" a="1"/>
  <c r="J4532" i="13" s="1"/>
  <c r="N4533" i="13"/>
  <c r="M4536" i="14"/>
  <c r="K4347" i="13" l="1"/>
  <c r="L4347" i="13" s="1"/>
  <c r="I4348" i="13" s="1"/>
  <c r="M4536" i="13"/>
  <c r="K4369" i="14"/>
  <c r="L4369" i="14" s="1"/>
  <c r="I4370" i="14" s="1"/>
  <c r="N4534" i="13"/>
  <c r="J4533" i="13" a="1"/>
  <c r="J4533" i="13" s="1"/>
  <c r="M4537" i="14"/>
  <c r="J4532" i="14" a="1"/>
  <c r="J4532" i="14" s="1"/>
  <c r="N4533" i="14"/>
  <c r="K4370" i="14" l="1"/>
  <c r="L4370" i="14" s="1"/>
  <c r="I4371" i="14" s="1"/>
  <c r="K4348" i="13"/>
  <c r="L4348" i="13" s="1"/>
  <c r="I4349" i="13" s="1"/>
  <c r="M4537" i="13"/>
  <c r="J4533" i="14" a="1"/>
  <c r="J4533" i="14" s="1"/>
  <c r="N4534" i="14"/>
  <c r="J4534" i="13" a="1"/>
  <c r="J4534" i="13" s="1"/>
  <c r="N4535" i="13"/>
  <c r="M4538" i="14"/>
  <c r="K4371" i="14" l="1"/>
  <c r="L4371" i="14" s="1"/>
  <c r="I4372" i="14" s="1"/>
  <c r="M4539" i="14"/>
  <c r="N4535" i="14"/>
  <c r="J4534" i="14" a="1"/>
  <c r="J4534" i="14" s="1"/>
  <c r="K4349" i="13"/>
  <c r="L4349" i="13" s="1"/>
  <c r="I4350" i="13" s="1"/>
  <c r="N4536" i="13"/>
  <c r="J4535" i="13" a="1"/>
  <c r="J4535" i="13" s="1"/>
  <c r="M4538" i="13"/>
  <c r="K4372" i="14" l="1"/>
  <c r="L4372" i="14" s="1"/>
  <c r="I4373" i="14" s="1"/>
  <c r="M4539" i="13"/>
  <c r="K4350" i="13"/>
  <c r="L4350" i="13" s="1"/>
  <c r="I4351" i="13" s="1"/>
  <c r="M4540" i="14"/>
  <c r="J4536" i="13" a="1"/>
  <c r="J4536" i="13" s="1"/>
  <c r="N4537" i="13"/>
  <c r="N4536" i="14"/>
  <c r="J4535" i="14" a="1"/>
  <c r="J4535" i="14" s="1"/>
  <c r="K4351" i="13" l="1"/>
  <c r="L4351" i="13" s="1"/>
  <c r="I4352" i="13" s="1"/>
  <c r="K4373" i="14"/>
  <c r="L4373" i="14" s="1"/>
  <c r="I4374" i="14" s="1"/>
  <c r="J4537" i="13" a="1"/>
  <c r="J4537" i="13" s="1"/>
  <c r="N4538" i="13"/>
  <c r="J4536" i="14" a="1"/>
  <c r="J4536" i="14" s="1"/>
  <c r="N4537" i="14"/>
  <c r="M4541" i="14"/>
  <c r="M4540" i="13"/>
  <c r="K4352" i="13" l="1"/>
  <c r="L4352" i="13" s="1"/>
  <c r="I4353" i="13" s="1"/>
  <c r="J4537" i="14" a="1"/>
  <c r="J4537" i="14" s="1"/>
  <c r="N4538" i="14"/>
  <c r="K4374" i="14"/>
  <c r="L4374" i="14" s="1"/>
  <c r="I4375" i="14" s="1"/>
  <c r="M4542" i="14"/>
  <c r="M4541" i="13"/>
  <c r="J4538" i="13" a="1"/>
  <c r="J4538" i="13" s="1"/>
  <c r="N4539" i="13"/>
  <c r="K4375" i="14" l="1"/>
  <c r="L4375" i="14" s="1"/>
  <c r="I4376" i="14" s="1"/>
  <c r="K4353" i="13"/>
  <c r="L4353" i="13" s="1"/>
  <c r="I4354" i="13" s="1"/>
  <c r="N4540" i="13"/>
  <c r="J4539" i="13" a="1"/>
  <c r="J4539" i="13" s="1"/>
  <c r="M4543" i="14"/>
  <c r="N4539" i="14"/>
  <c r="J4538" i="14" a="1"/>
  <c r="J4538" i="14" s="1"/>
  <c r="M4542" i="13"/>
  <c r="K4376" i="14" l="1"/>
  <c r="L4376" i="14" s="1"/>
  <c r="I4377" i="14" s="1"/>
  <c r="N4540" i="14"/>
  <c r="J4539" i="14" a="1"/>
  <c r="J4539" i="14" s="1"/>
  <c r="M4543" i="13"/>
  <c r="M4544" i="14"/>
  <c r="K4354" i="13"/>
  <c r="L4354" i="13" s="1"/>
  <c r="I4355" i="13" s="1"/>
  <c r="J4540" i="13" a="1"/>
  <c r="J4540" i="13" s="1"/>
  <c r="N4541" i="13"/>
  <c r="K4355" i="13" l="1"/>
  <c r="L4355" i="13" s="1"/>
  <c r="I4356" i="13" s="1"/>
  <c r="K4377" i="14"/>
  <c r="L4377" i="14" s="1"/>
  <c r="I4378" i="14" s="1"/>
  <c r="J4541" i="13" a="1"/>
  <c r="J4541" i="13" s="1"/>
  <c r="N4542" i="13"/>
  <c r="J4540" i="14" a="1"/>
  <c r="J4540" i="14" s="1"/>
  <c r="N4541" i="14"/>
  <c r="M4545" i="14"/>
  <c r="M4544" i="13"/>
  <c r="K4378" i="14" l="1"/>
  <c r="L4378" i="14" s="1"/>
  <c r="I4379" i="14" s="1"/>
  <c r="M4546" i="14"/>
  <c r="J4541" i="14" a="1"/>
  <c r="J4541" i="14" s="1"/>
  <c r="N4542" i="14"/>
  <c r="M4545" i="13"/>
  <c r="J4542" i="13" a="1"/>
  <c r="J4542" i="13" s="1"/>
  <c r="N4543" i="13"/>
  <c r="K4356" i="13"/>
  <c r="L4356" i="13" s="1"/>
  <c r="I4357" i="13" s="1"/>
  <c r="K4379" i="14" l="1"/>
  <c r="L4379" i="14" s="1"/>
  <c r="I4380" i="14" s="1"/>
  <c r="N4544" i="13"/>
  <c r="J4543" i="13" a="1"/>
  <c r="J4543" i="13" s="1"/>
  <c r="M4547" i="14"/>
  <c r="K4357" i="13"/>
  <c r="L4357" i="13" s="1"/>
  <c r="I4358" i="13" s="1"/>
  <c r="M4546" i="13"/>
  <c r="N4543" i="14"/>
  <c r="J4542" i="14" a="1"/>
  <c r="J4542" i="14" s="1"/>
  <c r="K4358" i="13" l="1"/>
  <c r="L4358" i="13" s="1"/>
  <c r="I4359" i="13" s="1"/>
  <c r="K4380" i="14"/>
  <c r="L4380" i="14" s="1"/>
  <c r="I4381" i="14" s="1"/>
  <c r="N4544" i="14"/>
  <c r="J4543" i="14" a="1"/>
  <c r="J4543" i="14" s="1"/>
  <c r="J4544" i="13" a="1"/>
  <c r="J4544" i="13" s="1"/>
  <c r="N4545" i="13"/>
  <c r="M4547" i="13"/>
  <c r="M4548" i="14"/>
  <c r="K4359" i="13" l="1"/>
  <c r="L4359" i="13" s="1"/>
  <c r="I4360" i="13" s="1"/>
  <c r="J4545" i="13" a="1"/>
  <c r="J4545" i="13" s="1"/>
  <c r="N4546" i="13"/>
  <c r="M4549" i="14"/>
  <c r="K4381" i="14"/>
  <c r="L4381" i="14" s="1"/>
  <c r="I4382" i="14" s="1"/>
  <c r="M4548" i="13"/>
  <c r="J4544" i="14" a="1"/>
  <c r="J4544" i="14" s="1"/>
  <c r="N4545" i="14"/>
  <c r="K4382" i="14" l="1"/>
  <c r="L4382" i="14" s="1"/>
  <c r="I4383" i="14" s="1"/>
  <c r="K4360" i="13"/>
  <c r="L4360" i="13" s="1"/>
  <c r="I4361" i="13" s="1"/>
  <c r="J4545" i="14" a="1"/>
  <c r="J4545" i="14" s="1"/>
  <c r="N4546" i="14"/>
  <c r="J4546" i="13" a="1"/>
  <c r="J4546" i="13" s="1"/>
  <c r="N4547" i="13"/>
  <c r="M4550" i="14"/>
  <c r="M4549" i="13"/>
  <c r="K4383" i="14" l="1"/>
  <c r="L4383" i="14" s="1"/>
  <c r="I4384" i="14" s="1"/>
  <c r="N4548" i="13"/>
  <c r="J4547" i="13" a="1"/>
  <c r="J4547" i="13" s="1"/>
  <c r="K4361" i="13"/>
  <c r="L4361" i="13" s="1"/>
  <c r="I4362" i="13" s="1"/>
  <c r="M4550" i="13"/>
  <c r="M4551" i="14"/>
  <c r="N4547" i="14"/>
  <c r="J4546" i="14" a="1"/>
  <c r="J4546" i="14" s="1"/>
  <c r="K4362" i="13" l="1"/>
  <c r="L4362" i="13" s="1"/>
  <c r="I4363" i="13" s="1"/>
  <c r="K4384" i="14"/>
  <c r="L4384" i="14" s="1"/>
  <c r="I4385" i="14" s="1"/>
  <c r="M4551" i="13"/>
  <c r="J4548" i="13" a="1"/>
  <c r="J4548" i="13" s="1"/>
  <c r="N4549" i="13"/>
  <c r="N4548" i="14"/>
  <c r="J4547" i="14" a="1"/>
  <c r="J4547" i="14" s="1"/>
  <c r="M4552" i="14"/>
  <c r="K4363" i="13" l="1"/>
  <c r="L4363" i="13" s="1"/>
  <c r="I4364" i="13" s="1"/>
  <c r="J4549" i="13" a="1"/>
  <c r="J4549" i="13" s="1"/>
  <c r="N4550" i="13"/>
  <c r="M4553" i="14"/>
  <c r="K4385" i="14"/>
  <c r="L4385" i="14" s="1"/>
  <c r="I4386" i="14" s="1"/>
  <c r="J4548" i="14" a="1"/>
  <c r="J4548" i="14" s="1"/>
  <c r="N4549" i="14"/>
  <c r="M4552" i="13"/>
  <c r="K4364" i="13" l="1"/>
  <c r="L4364" i="13" s="1"/>
  <c r="I4365" i="13" s="1"/>
  <c r="M4553" i="13"/>
  <c r="J4550" i="13" a="1"/>
  <c r="J4550" i="13" s="1"/>
  <c r="N4551" i="13"/>
  <c r="J4549" i="14" a="1"/>
  <c r="J4549" i="14" s="1"/>
  <c r="N4550" i="14"/>
  <c r="K4386" i="14"/>
  <c r="L4386" i="14" s="1"/>
  <c r="I4387" i="14" s="1"/>
  <c r="M4554" i="14"/>
  <c r="K4365" i="13" l="1"/>
  <c r="L4365" i="13" s="1"/>
  <c r="I4366" i="13" s="1"/>
  <c r="N4551" i="14"/>
  <c r="J4550" i="14" a="1"/>
  <c r="J4550" i="14" s="1"/>
  <c r="M4554" i="13"/>
  <c r="M4555" i="14"/>
  <c r="N4552" i="13"/>
  <c r="J4551" i="13" a="1"/>
  <c r="J4551" i="13" s="1"/>
  <c r="K4387" i="14"/>
  <c r="L4387" i="14" s="1"/>
  <c r="I4388" i="14" s="1"/>
  <c r="K4388" i="14" l="1"/>
  <c r="L4388" i="14" s="1"/>
  <c r="I4389" i="14" s="1"/>
  <c r="K4366" i="13"/>
  <c r="L4366" i="13" s="1"/>
  <c r="I4367" i="13" s="1"/>
  <c r="N4552" i="14"/>
  <c r="J4551" i="14" a="1"/>
  <c r="J4551" i="14" s="1"/>
  <c r="M4555" i="13"/>
  <c r="M4556" i="14"/>
  <c r="J4552" i="13" a="1"/>
  <c r="J4552" i="13" s="1"/>
  <c r="N4553" i="13"/>
  <c r="K4367" i="13" l="1"/>
  <c r="L4367" i="13" s="1"/>
  <c r="I4368" i="13" s="1"/>
  <c r="K4389" i="14"/>
  <c r="L4389" i="14" s="1"/>
  <c r="I4390" i="14" s="1"/>
  <c r="J4553" i="13" a="1"/>
  <c r="J4553" i="13" s="1"/>
  <c r="N4554" i="13"/>
  <c r="M4556" i="13"/>
  <c r="M4557" i="14"/>
  <c r="J4552" i="14" a="1"/>
  <c r="J4552" i="14" s="1"/>
  <c r="N4553" i="14"/>
  <c r="K4390" i="14" l="1"/>
  <c r="L4390" i="14" s="1"/>
  <c r="I4391" i="14" s="1"/>
  <c r="K4368" i="13"/>
  <c r="L4368" i="13" s="1"/>
  <c r="I4369" i="13" s="1"/>
  <c r="M4558" i="14"/>
  <c r="J4553" i="14" a="1"/>
  <c r="J4553" i="14" s="1"/>
  <c r="N4554" i="14"/>
  <c r="M4557" i="13"/>
  <c r="J4554" i="13" a="1"/>
  <c r="J4554" i="13" s="1"/>
  <c r="N4555" i="13"/>
  <c r="K4369" i="13" l="1"/>
  <c r="L4369" i="13" s="1"/>
  <c r="I4370" i="13" s="1"/>
  <c r="K4391" i="14"/>
  <c r="L4391" i="14" s="1"/>
  <c r="I4392" i="14" s="1"/>
  <c r="N4555" i="14"/>
  <c r="J4554" i="14" a="1"/>
  <c r="J4554" i="14" s="1"/>
  <c r="M4559" i="14"/>
  <c r="N4556" i="13"/>
  <c r="J4555" i="13" a="1"/>
  <c r="J4555" i="13" s="1"/>
  <c r="M4558" i="13"/>
  <c r="K4392" i="14" l="1"/>
  <c r="L4392" i="14" s="1"/>
  <c r="I4393" i="14" s="1"/>
  <c r="K4370" i="13"/>
  <c r="L4370" i="13" s="1"/>
  <c r="I4371" i="13" s="1"/>
  <c r="M4559" i="13"/>
  <c r="M4560" i="14"/>
  <c r="J4556" i="13" a="1"/>
  <c r="J4556" i="13" s="1"/>
  <c r="N4557" i="13"/>
  <c r="N4556" i="14"/>
  <c r="J4555" i="14" a="1"/>
  <c r="J4555" i="14" s="1"/>
  <c r="K4371" i="13" l="1"/>
  <c r="L4371" i="13" s="1"/>
  <c r="I4372" i="13" s="1"/>
  <c r="K4393" i="14"/>
  <c r="L4393" i="14" s="1"/>
  <c r="I4394" i="14" s="1"/>
  <c r="J4556" i="14" a="1"/>
  <c r="J4556" i="14" s="1"/>
  <c r="N4557" i="14"/>
  <c r="M4561" i="14"/>
  <c r="J4557" i="13" a="1"/>
  <c r="J4557" i="13" s="1"/>
  <c r="N4558" i="13"/>
  <c r="M4560" i="13"/>
  <c r="K4394" i="14" l="1"/>
  <c r="L4394" i="14" s="1"/>
  <c r="I4395" i="14" s="1"/>
  <c r="K4372" i="13"/>
  <c r="L4372" i="13" s="1"/>
  <c r="I4373" i="13" s="1"/>
  <c r="J4558" i="13" a="1"/>
  <c r="J4558" i="13" s="1"/>
  <c r="N4559" i="13"/>
  <c r="M4561" i="13"/>
  <c r="M4562" i="14"/>
  <c r="J4557" i="14" a="1"/>
  <c r="J4557" i="14" s="1"/>
  <c r="N4558" i="14"/>
  <c r="K4373" i="13" l="1"/>
  <c r="L4373" i="13" s="1"/>
  <c r="I4374" i="13" s="1"/>
  <c r="K4395" i="14"/>
  <c r="L4395" i="14" s="1"/>
  <c r="I4396" i="14" s="1"/>
  <c r="N4559" i="14"/>
  <c r="J4558" i="14" a="1"/>
  <c r="J4558" i="14" s="1"/>
  <c r="M4562" i="13"/>
  <c r="M4563" i="14"/>
  <c r="N4560" i="13"/>
  <c r="J4559" i="13" a="1"/>
  <c r="J4559" i="13" s="1"/>
  <c r="K4374" i="13" l="1"/>
  <c r="L4374" i="13" s="1"/>
  <c r="I4375" i="13" s="1"/>
  <c r="M4563" i="13"/>
  <c r="K4396" i="14"/>
  <c r="L4396" i="14" s="1"/>
  <c r="I4397" i="14" s="1"/>
  <c r="J4560" i="13" a="1"/>
  <c r="J4560" i="13" s="1"/>
  <c r="N4561" i="13"/>
  <c r="M4564" i="14"/>
  <c r="N4560" i="14"/>
  <c r="J4559" i="14" a="1"/>
  <c r="J4559" i="14" s="1"/>
  <c r="K4397" i="14" l="1"/>
  <c r="L4397" i="14" s="1"/>
  <c r="I4398" i="14" s="1"/>
  <c r="K4375" i="13"/>
  <c r="L4375" i="13" s="1"/>
  <c r="I4376" i="13" s="1"/>
  <c r="J4561" i="13" a="1"/>
  <c r="J4561" i="13" s="1"/>
  <c r="N4562" i="13"/>
  <c r="M4564" i="13"/>
  <c r="J4560" i="14" a="1"/>
  <c r="J4560" i="14" s="1"/>
  <c r="N4561" i="14"/>
  <c r="M4565" i="14"/>
  <c r="K4376" i="13" l="1"/>
  <c r="L4376" i="13" s="1"/>
  <c r="I4377" i="13" s="1"/>
  <c r="K4398" i="14"/>
  <c r="L4398" i="14" s="1"/>
  <c r="I4399" i="14" s="1"/>
  <c r="M4566" i="14"/>
  <c r="M4565" i="13"/>
  <c r="J4562" i="13" a="1"/>
  <c r="J4562" i="13" s="1"/>
  <c r="N4563" i="13"/>
  <c r="J4561" i="14" a="1"/>
  <c r="J4561" i="14" s="1"/>
  <c r="N4562" i="14"/>
  <c r="N4563" i="14" l="1"/>
  <c r="J4562" i="14" a="1"/>
  <c r="J4562" i="14" s="1"/>
  <c r="K4399" i="14"/>
  <c r="L4399" i="14" s="1"/>
  <c r="I4400" i="14" s="1"/>
  <c r="M4566" i="13"/>
  <c r="N4564" i="13"/>
  <c r="J4563" i="13" a="1"/>
  <c r="J4563" i="13" s="1"/>
  <c r="M4567" i="14"/>
  <c r="K4377" i="13"/>
  <c r="L4377" i="13" s="1"/>
  <c r="I4378" i="13" s="1"/>
  <c r="J4564" i="13" l="1" a="1"/>
  <c r="J4564" i="13" s="1"/>
  <c r="N4565" i="13"/>
  <c r="K4400" i="14"/>
  <c r="L4400" i="14" s="1"/>
  <c r="I4401" i="14" s="1"/>
  <c r="K4378" i="13"/>
  <c r="L4378" i="13" s="1"/>
  <c r="I4379" i="13" s="1"/>
  <c r="M4567" i="13"/>
  <c r="M4568" i="14"/>
  <c r="N4564" i="14"/>
  <c r="J4563" i="14" a="1"/>
  <c r="J4563" i="14" s="1"/>
  <c r="K4379" i="13" l="1"/>
  <c r="L4379" i="13" s="1"/>
  <c r="I4380" i="13" s="1"/>
  <c r="J4564" i="14" a="1"/>
  <c r="J4564" i="14" s="1"/>
  <c r="N4565" i="14"/>
  <c r="M4568" i="13"/>
  <c r="K4401" i="14"/>
  <c r="L4401" i="14" s="1"/>
  <c r="I4402" i="14" s="1"/>
  <c r="J4565" i="13" a="1"/>
  <c r="J4565" i="13" s="1"/>
  <c r="N4566" i="13"/>
  <c r="M4569" i="14"/>
  <c r="K4380" i="13" l="1"/>
  <c r="L4380" i="13" s="1"/>
  <c r="I4381" i="13" s="1"/>
  <c r="M4570" i="14"/>
  <c r="K4402" i="14"/>
  <c r="L4402" i="14" s="1"/>
  <c r="I4403" i="14" s="1"/>
  <c r="J4565" i="14" a="1"/>
  <c r="J4565" i="14" s="1"/>
  <c r="N4566" i="14"/>
  <c r="J4566" i="13" a="1"/>
  <c r="J4566" i="13" s="1"/>
  <c r="N4567" i="13"/>
  <c r="M4569" i="13"/>
  <c r="K4403" i="14" l="1"/>
  <c r="L4403" i="14" s="1"/>
  <c r="I4404" i="14" s="1"/>
  <c r="K4381" i="13"/>
  <c r="L4381" i="13" s="1"/>
  <c r="I4382" i="13" s="1"/>
  <c r="M4570" i="13"/>
  <c r="N4567" i="14"/>
  <c r="J4566" i="14" a="1"/>
  <c r="J4566" i="14" s="1"/>
  <c r="M4571" i="14"/>
  <c r="N4568" i="13"/>
  <c r="J4567" i="13" a="1"/>
  <c r="J4567" i="13" s="1"/>
  <c r="K4404" i="14" l="1"/>
  <c r="L4404" i="14" s="1"/>
  <c r="I4405" i="14" s="1"/>
  <c r="K4382" i="13"/>
  <c r="L4382" i="13" s="1"/>
  <c r="I4383" i="13" s="1"/>
  <c r="J4568" i="13" a="1"/>
  <c r="J4568" i="13" s="1"/>
  <c r="N4569" i="13"/>
  <c r="M4571" i="13"/>
  <c r="N4568" i="14"/>
  <c r="J4567" i="14" a="1"/>
  <c r="J4567" i="14" s="1"/>
  <c r="M4572" i="14"/>
  <c r="K4405" i="14" l="1"/>
  <c r="L4405" i="14" s="1"/>
  <c r="I4406" i="14" s="1"/>
  <c r="J4568" i="14" a="1"/>
  <c r="J4568" i="14" s="1"/>
  <c r="N4569" i="14"/>
  <c r="M4573" i="14"/>
  <c r="M4572" i="13"/>
  <c r="K4383" i="13"/>
  <c r="L4383" i="13" s="1"/>
  <c r="I4384" i="13" s="1"/>
  <c r="J4569" i="13" a="1"/>
  <c r="J4569" i="13" s="1"/>
  <c r="N4570" i="13"/>
  <c r="K4384" i="13" l="1"/>
  <c r="L4384" i="13" s="1"/>
  <c r="I4385" i="13" s="1"/>
  <c r="K4406" i="14"/>
  <c r="L4406" i="14" s="1"/>
  <c r="I4407" i="14" s="1"/>
  <c r="M4573" i="13"/>
  <c r="J4570" i="13" a="1"/>
  <c r="J4570" i="13" s="1"/>
  <c r="N4571" i="13"/>
  <c r="J4569" i="14" a="1"/>
  <c r="J4569" i="14" s="1"/>
  <c r="N4570" i="14"/>
  <c r="M4574" i="14"/>
  <c r="K4385" i="13" l="1"/>
  <c r="L4385" i="13" s="1"/>
  <c r="I4386" i="13" s="1"/>
  <c r="K4407" i="14"/>
  <c r="L4407" i="14" s="1"/>
  <c r="I4408" i="14" s="1"/>
  <c r="N4572" i="13"/>
  <c r="J4571" i="13" a="1"/>
  <c r="J4571" i="13" s="1"/>
  <c r="M4575" i="14"/>
  <c r="N4571" i="14"/>
  <c r="J4570" i="14" a="1"/>
  <c r="J4570" i="14" s="1"/>
  <c r="M4574" i="13"/>
  <c r="K4408" i="14" l="1"/>
  <c r="L4408" i="14" s="1"/>
  <c r="I4409" i="14" s="1"/>
  <c r="K4386" i="13"/>
  <c r="L4386" i="13" s="1"/>
  <c r="I4387" i="13" s="1"/>
  <c r="N4572" i="14"/>
  <c r="J4571" i="14" a="1"/>
  <c r="J4571" i="14" s="1"/>
  <c r="M4575" i="13"/>
  <c r="M4576" i="14"/>
  <c r="J4572" i="13" a="1"/>
  <c r="J4572" i="13" s="1"/>
  <c r="N4573" i="13"/>
  <c r="K4387" i="13" l="1"/>
  <c r="L4387" i="13" s="1"/>
  <c r="I4388" i="13" s="1"/>
  <c r="K4409" i="14"/>
  <c r="L4409" i="14" s="1"/>
  <c r="I4410" i="14" s="1"/>
  <c r="J4573" i="13" a="1"/>
  <c r="J4573" i="13" s="1"/>
  <c r="N4574" i="13"/>
  <c r="M4576" i="13"/>
  <c r="M4577" i="14"/>
  <c r="J4572" i="14" a="1"/>
  <c r="J4572" i="14" s="1"/>
  <c r="N4573" i="14"/>
  <c r="K4388" i="13" l="1"/>
  <c r="L4388" i="13" s="1"/>
  <c r="I4389" i="13" s="1"/>
  <c r="J4573" i="14" a="1"/>
  <c r="J4573" i="14" s="1"/>
  <c r="N4574" i="14"/>
  <c r="M4577" i="13"/>
  <c r="K4410" i="14"/>
  <c r="L4410" i="14" s="1"/>
  <c r="I4411" i="14" s="1"/>
  <c r="J4574" i="13" a="1"/>
  <c r="J4574" i="13" s="1"/>
  <c r="N4575" i="13"/>
  <c r="M4578" i="14"/>
  <c r="K4389" i="13" l="1"/>
  <c r="L4389" i="13" s="1"/>
  <c r="I4390" i="13" s="1"/>
  <c r="M4579" i="14"/>
  <c r="N4575" i="14"/>
  <c r="J4574" i="14" a="1"/>
  <c r="J4574" i="14" s="1"/>
  <c r="N4576" i="13"/>
  <c r="J4575" i="13" a="1"/>
  <c r="J4575" i="13" s="1"/>
  <c r="K4411" i="14"/>
  <c r="L4411" i="14" s="1"/>
  <c r="I4412" i="14" s="1"/>
  <c r="M4578" i="13"/>
  <c r="K4412" i="14" l="1"/>
  <c r="L4412" i="14" s="1"/>
  <c r="I4413" i="14" s="1"/>
  <c r="K4390" i="13"/>
  <c r="L4390" i="13" s="1"/>
  <c r="I4391" i="13" s="1"/>
  <c r="J4576" i="13" a="1"/>
  <c r="J4576" i="13" s="1"/>
  <c r="N4577" i="13"/>
  <c r="M4580" i="14"/>
  <c r="M4579" i="13"/>
  <c r="N4576" i="14"/>
  <c r="J4575" i="14" a="1"/>
  <c r="J4575" i="14" s="1"/>
  <c r="K4413" i="14" l="1"/>
  <c r="L4413" i="14" s="1"/>
  <c r="I4414" i="14" s="1"/>
  <c r="M4581" i="14"/>
  <c r="K4391" i="13"/>
  <c r="L4391" i="13" s="1"/>
  <c r="I4392" i="13" s="1"/>
  <c r="J4576" i="14" a="1"/>
  <c r="J4576" i="14" s="1"/>
  <c r="N4577" i="14"/>
  <c r="J4577" i="13" a="1"/>
  <c r="J4577" i="13" s="1"/>
  <c r="N4578" i="13"/>
  <c r="M4580" i="13"/>
  <c r="K4392" i="13" l="1"/>
  <c r="L4392" i="13" s="1"/>
  <c r="I4393" i="13" s="1"/>
  <c r="K4414" i="14"/>
  <c r="L4414" i="14" s="1"/>
  <c r="I4415" i="14" s="1"/>
  <c r="M4581" i="13"/>
  <c r="J4578" i="13" a="1"/>
  <c r="J4578" i="13" s="1"/>
  <c r="N4579" i="13"/>
  <c r="J4577" i="14" a="1"/>
  <c r="J4577" i="14" s="1"/>
  <c r="N4578" i="14"/>
  <c r="M4582" i="14"/>
  <c r="K4415" i="14" l="1"/>
  <c r="L4415" i="14" s="1"/>
  <c r="I4416" i="14" s="1"/>
  <c r="K4393" i="13"/>
  <c r="L4393" i="13" s="1"/>
  <c r="I4394" i="13" s="1"/>
  <c r="N4580" i="13"/>
  <c r="J4579" i="13" a="1"/>
  <c r="J4579" i="13" s="1"/>
  <c r="M4583" i="14"/>
  <c r="N4579" i="14"/>
  <c r="J4578" i="14" a="1"/>
  <c r="J4578" i="14" s="1"/>
  <c r="M4582" i="13"/>
  <c r="K4416" i="14" l="1"/>
  <c r="L4416" i="14" s="1"/>
  <c r="I4417" i="14" s="1"/>
  <c r="N4580" i="14"/>
  <c r="J4579" i="14" a="1"/>
  <c r="J4579" i="14" s="1"/>
  <c r="M4583" i="13"/>
  <c r="M4584" i="14"/>
  <c r="K4394" i="13"/>
  <c r="L4394" i="13" s="1"/>
  <c r="I4395" i="13" s="1"/>
  <c r="J4580" i="13" a="1"/>
  <c r="J4580" i="13" s="1"/>
  <c r="N4581" i="13"/>
  <c r="K4395" i="13" l="1"/>
  <c r="L4395" i="13" s="1"/>
  <c r="I4396" i="13" s="1"/>
  <c r="K4417" i="14"/>
  <c r="L4417" i="14" s="1"/>
  <c r="I4418" i="14" s="1"/>
  <c r="J4581" i="13" a="1"/>
  <c r="J4581" i="13" s="1"/>
  <c r="N4582" i="13"/>
  <c r="M4585" i="14"/>
  <c r="J4580" i="14" a="1"/>
  <c r="J4580" i="14" s="1"/>
  <c r="N4581" i="14"/>
  <c r="M4584" i="13"/>
  <c r="K4396" i="13" l="1"/>
  <c r="L4396" i="13" s="1"/>
  <c r="I4397" i="13" s="1"/>
  <c r="M4586" i="14"/>
  <c r="M4585" i="13"/>
  <c r="K4418" i="14"/>
  <c r="L4418" i="14" s="1"/>
  <c r="I4419" i="14" s="1"/>
  <c r="J4581" i="14" a="1"/>
  <c r="J4581" i="14" s="1"/>
  <c r="N4582" i="14"/>
  <c r="J4582" i="13" a="1"/>
  <c r="J4582" i="13" s="1"/>
  <c r="N4583" i="13"/>
  <c r="K4397" i="13" l="1"/>
  <c r="L4397" i="13" s="1"/>
  <c r="I4398" i="13" s="1"/>
  <c r="N4584" i="13"/>
  <c r="J4583" i="13" a="1"/>
  <c r="J4583" i="13" s="1"/>
  <c r="M4587" i="14"/>
  <c r="K4419" i="14"/>
  <c r="L4419" i="14" s="1"/>
  <c r="I4420" i="14" s="1"/>
  <c r="N4583" i="14"/>
  <c r="J4582" i="14" a="1"/>
  <c r="J4582" i="14" s="1"/>
  <c r="M4586" i="13"/>
  <c r="K4420" i="14" l="1"/>
  <c r="L4420" i="14" s="1"/>
  <c r="I4421" i="14" s="1"/>
  <c r="K4398" i="13"/>
  <c r="L4398" i="13" s="1"/>
  <c r="I4399" i="13" s="1"/>
  <c r="J4584" i="13" a="1"/>
  <c r="J4584" i="13" s="1"/>
  <c r="N4585" i="13"/>
  <c r="M4587" i="13"/>
  <c r="M4588" i="14"/>
  <c r="J4583" i="14" a="1"/>
  <c r="J4583" i="14" s="1"/>
  <c r="N4584" i="14"/>
  <c r="K4399" i="13" l="1"/>
  <c r="L4399" i="13" s="1"/>
  <c r="I4400" i="13" s="1"/>
  <c r="K4421" i="14"/>
  <c r="L4421" i="14" s="1"/>
  <c r="I4422" i="14" s="1"/>
  <c r="N4585" i="14"/>
  <c r="J4584" i="14" a="1"/>
  <c r="J4584" i="14" s="1"/>
  <c r="M4588" i="13"/>
  <c r="M4589" i="14"/>
  <c r="J4585" i="13" a="1"/>
  <c r="J4585" i="13" s="1"/>
  <c r="N4586" i="13"/>
  <c r="K4400" i="13" l="1"/>
  <c r="L4400" i="13" s="1"/>
  <c r="I4401" i="13" s="1"/>
  <c r="J4586" i="13" a="1"/>
  <c r="J4586" i="13" s="1"/>
  <c r="N4587" i="13"/>
  <c r="M4589" i="13"/>
  <c r="K4422" i="14"/>
  <c r="L4422" i="14" s="1"/>
  <c r="I4423" i="14" s="1"/>
  <c r="M4590" i="14"/>
  <c r="N4586" i="14"/>
  <c r="J4585" i="14" a="1"/>
  <c r="J4585" i="14" s="1"/>
  <c r="K4401" i="13" l="1"/>
  <c r="L4401" i="13" s="1"/>
  <c r="I4402" i="13" s="1"/>
  <c r="K4423" i="14"/>
  <c r="L4423" i="14" s="1"/>
  <c r="I4424" i="14" s="1"/>
  <c r="N4588" i="13"/>
  <c r="J4587" i="13" a="1"/>
  <c r="J4587" i="13" s="1"/>
  <c r="N4587" i="14"/>
  <c r="J4586" i="14" a="1"/>
  <c r="J4586" i="14" s="1"/>
  <c r="M4591" i="14"/>
  <c r="M4590" i="13"/>
  <c r="K4402" i="13" l="1"/>
  <c r="L4402" i="13" s="1"/>
  <c r="I4403" i="13" s="1"/>
  <c r="K4424" i="14"/>
  <c r="L4424" i="14" s="1"/>
  <c r="I4425" i="14" s="1"/>
  <c r="M4591" i="13"/>
  <c r="J4587" i="14" a="1"/>
  <c r="J4587" i="14" s="1"/>
  <c r="N4588" i="14"/>
  <c r="M4592" i="14"/>
  <c r="J4588" i="13" a="1"/>
  <c r="J4588" i="13" s="1"/>
  <c r="N4589" i="13"/>
  <c r="K4425" i="14" l="1"/>
  <c r="L4425" i="14" s="1"/>
  <c r="I4426" i="14" s="1"/>
  <c r="K4403" i="13"/>
  <c r="L4403" i="13" s="1"/>
  <c r="I4404" i="13" s="1"/>
  <c r="J4589" i="13" a="1"/>
  <c r="J4589" i="13" s="1"/>
  <c r="N4590" i="13"/>
  <c r="N4589" i="14"/>
  <c r="J4588" i="14" a="1"/>
  <c r="J4588" i="14" s="1"/>
  <c r="M4593" i="14"/>
  <c r="M4592" i="13"/>
  <c r="K4404" i="13" l="1"/>
  <c r="L4404" i="13" s="1"/>
  <c r="I4405" i="13" s="1"/>
  <c r="K4426" i="14"/>
  <c r="L4426" i="14" s="1"/>
  <c r="I4427" i="14" s="1"/>
  <c r="M4593" i="13"/>
  <c r="N4590" i="14"/>
  <c r="J4589" i="14" a="1"/>
  <c r="J4589" i="14" s="1"/>
  <c r="J4590" i="13" a="1"/>
  <c r="J4590" i="13" s="1"/>
  <c r="N4591" i="13"/>
  <c r="M4594" i="14"/>
  <c r="K4427" i="14" l="1"/>
  <c r="L4427" i="14" s="1"/>
  <c r="I4428" i="14" s="1"/>
  <c r="K4405" i="13"/>
  <c r="L4405" i="13" s="1"/>
  <c r="I4406" i="13" s="1"/>
  <c r="M4595" i="14"/>
  <c r="N4591" i="14"/>
  <c r="J4590" i="14" a="1"/>
  <c r="J4590" i="14" s="1"/>
  <c r="N4592" i="13"/>
  <c r="J4591" i="13" a="1"/>
  <c r="J4591" i="13" s="1"/>
  <c r="M4594" i="13"/>
  <c r="K4428" i="14" l="1"/>
  <c r="L4428" i="14" s="1"/>
  <c r="I4429" i="14" s="1"/>
  <c r="K4406" i="13"/>
  <c r="L4406" i="13" s="1"/>
  <c r="I4407" i="13" s="1"/>
  <c r="J4591" i="14" a="1"/>
  <c r="J4591" i="14" s="1"/>
  <c r="N4592" i="14"/>
  <c r="M4596" i="14"/>
  <c r="M4595" i="13"/>
  <c r="J4592" i="13" a="1"/>
  <c r="J4592" i="13" s="1"/>
  <c r="N4593" i="13"/>
  <c r="K4407" i="13" l="1"/>
  <c r="L4407" i="13" s="1"/>
  <c r="I4408" i="13" s="1"/>
  <c r="K4429" i="14"/>
  <c r="L4429" i="14" s="1"/>
  <c r="I4430" i="14" s="1"/>
  <c r="J4593" i="13" a="1"/>
  <c r="J4593" i="13" s="1"/>
  <c r="N4594" i="13"/>
  <c r="M4597" i="14"/>
  <c r="N4593" i="14"/>
  <c r="J4592" i="14" a="1"/>
  <c r="J4592" i="14" s="1"/>
  <c r="M4596" i="13"/>
  <c r="K4430" i="14" l="1"/>
  <c r="L4430" i="14" s="1"/>
  <c r="I4431" i="14" s="1"/>
  <c r="K4408" i="13"/>
  <c r="L4408" i="13" s="1"/>
  <c r="I4409" i="13" s="1"/>
  <c r="M4598" i="14"/>
  <c r="N4594" i="14"/>
  <c r="J4593" i="14" a="1"/>
  <c r="J4593" i="14" s="1"/>
  <c r="M4597" i="13"/>
  <c r="J4594" i="13" a="1"/>
  <c r="J4594" i="13" s="1"/>
  <c r="N4595" i="13"/>
  <c r="K4409" i="13" l="1"/>
  <c r="L4409" i="13" s="1"/>
  <c r="I4410" i="13" s="1"/>
  <c r="K4431" i="14"/>
  <c r="L4431" i="14" s="1"/>
  <c r="I4432" i="14" s="1"/>
  <c r="N4596" i="13"/>
  <c r="J4595" i="13" a="1"/>
  <c r="J4595" i="13" s="1"/>
  <c r="N4595" i="14"/>
  <c r="J4594" i="14" a="1"/>
  <c r="J4594" i="14" s="1"/>
  <c r="M4598" i="13"/>
  <c r="M4599" i="14"/>
  <c r="K4410" i="13" l="1"/>
  <c r="L4410" i="13" s="1"/>
  <c r="I4411" i="13" s="1"/>
  <c r="J4595" i="14" a="1"/>
  <c r="J4595" i="14" s="1"/>
  <c r="N4596" i="14"/>
  <c r="K4432" i="14"/>
  <c r="L4432" i="14" s="1"/>
  <c r="I4433" i="14" s="1"/>
  <c r="M4600" i="14"/>
  <c r="M4599" i="13"/>
  <c r="J4596" i="13" a="1"/>
  <c r="J4596" i="13" s="1"/>
  <c r="N4597" i="13"/>
  <c r="K4433" i="14" l="1"/>
  <c r="L4433" i="14" s="1"/>
  <c r="I4434" i="14" s="1"/>
  <c r="K4411" i="13"/>
  <c r="L4411" i="13" s="1"/>
  <c r="I4412" i="13" s="1"/>
  <c r="J4597" i="13" a="1"/>
  <c r="J4597" i="13" s="1"/>
  <c r="N4598" i="13"/>
  <c r="M4601" i="14"/>
  <c r="N4597" i="14"/>
  <c r="J4596" i="14" a="1"/>
  <c r="J4596" i="14" s="1"/>
  <c r="M4600" i="13"/>
  <c r="K4434" i="14" l="1"/>
  <c r="L4434" i="14" s="1"/>
  <c r="I4435" i="14" s="1"/>
  <c r="M4601" i="13"/>
  <c r="N4598" i="14"/>
  <c r="J4597" i="14" a="1"/>
  <c r="J4597" i="14" s="1"/>
  <c r="M4602" i="14"/>
  <c r="K4412" i="13"/>
  <c r="L4412" i="13" s="1"/>
  <c r="I4413" i="13" s="1"/>
  <c r="J4598" i="13" a="1"/>
  <c r="J4598" i="13" s="1"/>
  <c r="N4599" i="13"/>
  <c r="K4413" i="13" l="1"/>
  <c r="L4413" i="13" s="1"/>
  <c r="I4414" i="13" s="1"/>
  <c r="K4435" i="14"/>
  <c r="L4435" i="14" s="1"/>
  <c r="I4436" i="14" s="1"/>
  <c r="N4600" i="13"/>
  <c r="J4599" i="13" a="1"/>
  <c r="J4599" i="13" s="1"/>
  <c r="M4603" i="14"/>
  <c r="M4602" i="13"/>
  <c r="N4599" i="14"/>
  <c r="J4598" i="14" a="1"/>
  <c r="J4598" i="14" s="1"/>
  <c r="K4414" i="13" l="1"/>
  <c r="L4414" i="13" s="1"/>
  <c r="I4415" i="13" s="1"/>
  <c r="M4604" i="14"/>
  <c r="J4599" i="14" a="1"/>
  <c r="J4599" i="14" s="1"/>
  <c r="N4600" i="14"/>
  <c r="K4436" i="14"/>
  <c r="L4436" i="14" s="1"/>
  <c r="I4437" i="14" s="1"/>
  <c r="M4603" i="13"/>
  <c r="J4600" i="13" a="1"/>
  <c r="J4600" i="13" s="1"/>
  <c r="N4601" i="13"/>
  <c r="K4437" i="14" l="1"/>
  <c r="L4437" i="14" s="1"/>
  <c r="I4438" i="14" s="1"/>
  <c r="K4415" i="13"/>
  <c r="L4415" i="13" s="1"/>
  <c r="I4416" i="13" s="1"/>
  <c r="J4601" i="13" a="1"/>
  <c r="J4601" i="13" s="1"/>
  <c r="N4602" i="13"/>
  <c r="M4605" i="14"/>
  <c r="N4601" i="14"/>
  <c r="J4600" i="14" a="1"/>
  <c r="J4600" i="14" s="1"/>
  <c r="M4604" i="13"/>
  <c r="K4416" i="13" l="1"/>
  <c r="L4416" i="13" s="1"/>
  <c r="I4417" i="13" s="1"/>
  <c r="K4438" i="14"/>
  <c r="L4438" i="14" s="1"/>
  <c r="I4439" i="14" s="1"/>
  <c r="M4606" i="14"/>
  <c r="N4602" i="14"/>
  <c r="J4601" i="14" a="1"/>
  <c r="J4601" i="14" s="1"/>
  <c r="M4605" i="13"/>
  <c r="J4602" i="13" a="1"/>
  <c r="J4602" i="13" s="1"/>
  <c r="N4603" i="13"/>
  <c r="K4417" i="13" l="1"/>
  <c r="L4417" i="13" s="1"/>
  <c r="I4418" i="13" s="1"/>
  <c r="K4439" i="14"/>
  <c r="L4439" i="14" s="1"/>
  <c r="I4440" i="14" s="1"/>
  <c r="N4604" i="13"/>
  <c r="J4603" i="13" a="1"/>
  <c r="J4603" i="13" s="1"/>
  <c r="N4603" i="14"/>
  <c r="J4602" i="14" a="1"/>
  <c r="J4602" i="14" s="1"/>
  <c r="M4606" i="13"/>
  <c r="M4607" i="14"/>
  <c r="K4418" i="13" l="1"/>
  <c r="L4418" i="13" s="1"/>
  <c r="I4419" i="13" s="1"/>
  <c r="J4603" i="14" a="1"/>
  <c r="J4603" i="14" s="1"/>
  <c r="N4604" i="14"/>
  <c r="K4440" i="14"/>
  <c r="L4440" i="14" s="1"/>
  <c r="I4441" i="14" s="1"/>
  <c r="M4608" i="14"/>
  <c r="M4607" i="13"/>
  <c r="J4604" i="13" a="1"/>
  <c r="J4604" i="13" s="1"/>
  <c r="N4605" i="13"/>
  <c r="K4441" i="14" l="1"/>
  <c r="L4441" i="14" s="1"/>
  <c r="I4442" i="14" s="1"/>
  <c r="K4419" i="13"/>
  <c r="L4419" i="13" s="1"/>
  <c r="I4420" i="13" s="1"/>
  <c r="J4605" i="13" a="1"/>
  <c r="J4605" i="13" s="1"/>
  <c r="N4606" i="13"/>
  <c r="J4604" i="14" a="1"/>
  <c r="J4604" i="14" s="1"/>
  <c r="N4605" i="14"/>
  <c r="M4609" i="14"/>
  <c r="M4608" i="13"/>
  <c r="K4442" i="14" l="1"/>
  <c r="L4442" i="14" s="1"/>
  <c r="I4443" i="14" s="1"/>
  <c r="M4609" i="13"/>
  <c r="M4610" i="14"/>
  <c r="N4606" i="14"/>
  <c r="J4605" i="14" a="1"/>
  <c r="J4605" i="14" s="1"/>
  <c r="K4420" i="13"/>
  <c r="L4420" i="13" s="1"/>
  <c r="I4421" i="13" s="1"/>
  <c r="J4606" i="13" a="1"/>
  <c r="J4606" i="13" s="1"/>
  <c r="N4607" i="13"/>
  <c r="K4421" i="13" l="1"/>
  <c r="L4421" i="13" s="1"/>
  <c r="I4422" i="13" s="1"/>
  <c r="K4443" i="14"/>
  <c r="L4443" i="14" s="1"/>
  <c r="I4444" i="14" s="1"/>
  <c r="N4607" i="14"/>
  <c r="J4606" i="14" a="1"/>
  <c r="J4606" i="14" s="1"/>
  <c r="M4610" i="13"/>
  <c r="N4608" i="13"/>
  <c r="J4607" i="13" a="1"/>
  <c r="J4607" i="13" s="1"/>
  <c r="M4611" i="14"/>
  <c r="K4444" i="14" l="1"/>
  <c r="L4444" i="14" s="1"/>
  <c r="I4445" i="14" s="1"/>
  <c r="K4422" i="13"/>
  <c r="L4422" i="13" s="1"/>
  <c r="I4423" i="13" s="1"/>
  <c r="M4611" i="13"/>
  <c r="J4608" i="13" a="1"/>
  <c r="J4608" i="13" s="1"/>
  <c r="N4609" i="13"/>
  <c r="M4612" i="14"/>
  <c r="J4607" i="14" a="1"/>
  <c r="J4607" i="14" s="1"/>
  <c r="N4608" i="14"/>
  <c r="K4423" i="13" l="1"/>
  <c r="L4423" i="13" s="1"/>
  <c r="I4424" i="13" s="1"/>
  <c r="K4445" i="14"/>
  <c r="L4445" i="14" s="1"/>
  <c r="I4446" i="14" s="1"/>
  <c r="J4609" i="13" a="1"/>
  <c r="J4609" i="13" s="1"/>
  <c r="N4610" i="13"/>
  <c r="N4609" i="14"/>
  <c r="J4608" i="14" a="1"/>
  <c r="J4608" i="14" s="1"/>
  <c r="M4613" i="14"/>
  <c r="M4612" i="13"/>
  <c r="K4424" i="13" l="1"/>
  <c r="L4424" i="13" s="1"/>
  <c r="I4425" i="13" s="1"/>
  <c r="N4610" i="14"/>
  <c r="J4609" i="14" a="1"/>
  <c r="J4609" i="14" s="1"/>
  <c r="K4446" i="14"/>
  <c r="L4446" i="14" s="1"/>
  <c r="I4447" i="14" s="1"/>
  <c r="M4613" i="13"/>
  <c r="M4614" i="14"/>
  <c r="J4610" i="13" a="1"/>
  <c r="J4610" i="13" s="1"/>
  <c r="N4611" i="13"/>
  <c r="K4447" i="14" l="1"/>
  <c r="L4447" i="14" s="1"/>
  <c r="I4448" i="14" s="1"/>
  <c r="K4425" i="13"/>
  <c r="L4425" i="13" s="1"/>
  <c r="I4426" i="13" s="1"/>
  <c r="M4614" i="13"/>
  <c r="N4611" i="14"/>
  <c r="J4610" i="14" a="1"/>
  <c r="J4610" i="14" s="1"/>
  <c r="N4612" i="13"/>
  <c r="J4611" i="13" a="1"/>
  <c r="J4611" i="13" s="1"/>
  <c r="M4615" i="14"/>
  <c r="K4426" i="13" l="1"/>
  <c r="L4426" i="13" s="1"/>
  <c r="I4427" i="13" s="1"/>
  <c r="K4448" i="14"/>
  <c r="L4448" i="14" s="1"/>
  <c r="I4449" i="14" s="1"/>
  <c r="J4611" i="14" a="1"/>
  <c r="J4611" i="14" s="1"/>
  <c r="N4612" i="14"/>
  <c r="M4616" i="14"/>
  <c r="M4615" i="13"/>
  <c r="J4612" i="13" a="1"/>
  <c r="J4612" i="13" s="1"/>
  <c r="N4613" i="13"/>
  <c r="K4449" i="14" l="1"/>
  <c r="L4449" i="14" s="1"/>
  <c r="I4450" i="14" s="1"/>
  <c r="K4427" i="13"/>
  <c r="L4427" i="13" s="1"/>
  <c r="I4428" i="13" s="1"/>
  <c r="M4616" i="13"/>
  <c r="J4613" i="13" a="1"/>
  <c r="J4613" i="13" s="1"/>
  <c r="N4614" i="13"/>
  <c r="M4617" i="14"/>
  <c r="N4613" i="14"/>
  <c r="J4612" i="14" a="1"/>
  <c r="J4612" i="14" s="1"/>
  <c r="K4428" i="13" l="1"/>
  <c r="L4428" i="13" s="1"/>
  <c r="I4429" i="13" s="1"/>
  <c r="K4450" i="14"/>
  <c r="L4450" i="14" s="1"/>
  <c r="I4451" i="14" s="1"/>
  <c r="N4614" i="14"/>
  <c r="J4613" i="14" a="1"/>
  <c r="J4613" i="14" s="1"/>
  <c r="J4614" i="13" a="1"/>
  <c r="J4614" i="13" s="1"/>
  <c r="N4615" i="13"/>
  <c r="M4618" i="14"/>
  <c r="M4617" i="13"/>
  <c r="K4451" i="14" l="1"/>
  <c r="L4451" i="14" s="1"/>
  <c r="I4452" i="14" s="1"/>
  <c r="K4429" i="13"/>
  <c r="L4429" i="13" s="1"/>
  <c r="I4430" i="13" s="1"/>
  <c r="M4618" i="13"/>
  <c r="N4616" i="13"/>
  <c r="J4615" i="13" a="1"/>
  <c r="J4615" i="13" s="1"/>
  <c r="M4619" i="14"/>
  <c r="N4615" i="14"/>
  <c r="J4614" i="14" a="1"/>
  <c r="J4614" i="14" s="1"/>
  <c r="K4430" i="13" l="1"/>
  <c r="L4430" i="13" s="1"/>
  <c r="I4431" i="13" s="1"/>
  <c r="K4452" i="14"/>
  <c r="L4452" i="14" s="1"/>
  <c r="I4453" i="14" s="1"/>
  <c r="J4615" i="14" a="1"/>
  <c r="J4615" i="14" s="1"/>
  <c r="N4616" i="14"/>
  <c r="J4616" i="13" a="1"/>
  <c r="J4616" i="13" s="1"/>
  <c r="N4617" i="13"/>
  <c r="M4620" i="14"/>
  <c r="M4619" i="13"/>
  <c r="K4453" i="14" l="1"/>
  <c r="L4453" i="14" s="1"/>
  <c r="I4454" i="14" s="1"/>
  <c r="K4431" i="13"/>
  <c r="L4431" i="13" s="1"/>
  <c r="I4432" i="13" s="1"/>
  <c r="J4617" i="13" a="1"/>
  <c r="J4617" i="13" s="1"/>
  <c r="N4618" i="13"/>
  <c r="M4620" i="13"/>
  <c r="N4617" i="14"/>
  <c r="J4616" i="14" a="1"/>
  <c r="J4616" i="14" s="1"/>
  <c r="M4621" i="14"/>
  <c r="K4432" i="13" l="1"/>
  <c r="L4432" i="13" s="1"/>
  <c r="I4433" i="13" s="1"/>
  <c r="K4454" i="14"/>
  <c r="L4454" i="14" s="1"/>
  <c r="I4455" i="14" s="1"/>
  <c r="N4618" i="14"/>
  <c r="J4617" i="14" a="1"/>
  <c r="J4617" i="14" s="1"/>
  <c r="M4622" i="14"/>
  <c r="M4621" i="13"/>
  <c r="J4618" i="13" a="1"/>
  <c r="J4618" i="13" s="1"/>
  <c r="N4619" i="13"/>
  <c r="K4455" i="14" l="1"/>
  <c r="L4455" i="14" s="1"/>
  <c r="I4456" i="14" s="1"/>
  <c r="K4433" i="13"/>
  <c r="L4433" i="13" s="1"/>
  <c r="I4434" i="13" s="1"/>
  <c r="N4620" i="13"/>
  <c r="J4619" i="13" a="1"/>
  <c r="J4619" i="13" s="1"/>
  <c r="M4623" i="14"/>
  <c r="M4622" i="13"/>
  <c r="N4619" i="14"/>
  <c r="J4618" i="14" a="1"/>
  <c r="J4618" i="14" s="1"/>
  <c r="K4434" i="13" l="1"/>
  <c r="L4434" i="13" s="1"/>
  <c r="I4435" i="13" s="1"/>
  <c r="K4456" i="14"/>
  <c r="L4456" i="14" s="1"/>
  <c r="I4457" i="14" s="1"/>
  <c r="J4619" i="14" a="1"/>
  <c r="J4619" i="14" s="1"/>
  <c r="N4620" i="14"/>
  <c r="M4624" i="14"/>
  <c r="M4623" i="13"/>
  <c r="J4620" i="13" a="1"/>
  <c r="J4620" i="13" s="1"/>
  <c r="N4621" i="13"/>
  <c r="K4457" i="14" l="1"/>
  <c r="L4457" i="14" s="1"/>
  <c r="I4458" i="14" s="1"/>
  <c r="K4435" i="13"/>
  <c r="L4435" i="13" s="1"/>
  <c r="I4436" i="13" s="1"/>
  <c r="M4624" i="13"/>
  <c r="J4621" i="13" a="1"/>
  <c r="J4621" i="13" s="1"/>
  <c r="N4622" i="13"/>
  <c r="M4625" i="14"/>
  <c r="N4621" i="14"/>
  <c r="J4620" i="14" a="1"/>
  <c r="J4620" i="14" s="1"/>
  <c r="K4436" i="13" l="1"/>
  <c r="L4436" i="13" s="1"/>
  <c r="I4437" i="13" s="1"/>
  <c r="K4458" i="14"/>
  <c r="L4458" i="14" s="1"/>
  <c r="I4459" i="14" s="1"/>
  <c r="J4622" i="13" a="1"/>
  <c r="J4622" i="13" s="1"/>
  <c r="N4623" i="13"/>
  <c r="N4622" i="14"/>
  <c r="J4621" i="14" a="1"/>
  <c r="J4621" i="14" s="1"/>
  <c r="M4626" i="14"/>
  <c r="M4625" i="13"/>
  <c r="K4437" i="13" l="1"/>
  <c r="L4437" i="13" s="1"/>
  <c r="I4438" i="13" s="1"/>
  <c r="N4623" i="14"/>
  <c r="J4622" i="14" a="1"/>
  <c r="J4622" i="14" s="1"/>
  <c r="K4459" i="14"/>
  <c r="L4459" i="14" s="1"/>
  <c r="I4460" i="14" s="1"/>
  <c r="N4624" i="13"/>
  <c r="J4623" i="13" a="1"/>
  <c r="J4623" i="13" s="1"/>
  <c r="M4626" i="13"/>
  <c r="M4627" i="14"/>
  <c r="K4460" i="14" l="1"/>
  <c r="L4460" i="14" s="1"/>
  <c r="I4461" i="14" s="1"/>
  <c r="K4438" i="13"/>
  <c r="L4438" i="13" s="1"/>
  <c r="I4439" i="13" s="1"/>
  <c r="J4624" i="13" a="1"/>
  <c r="J4624" i="13" s="1"/>
  <c r="N4625" i="13"/>
  <c r="J4623" i="14" a="1"/>
  <c r="J4623" i="14" s="1"/>
  <c r="N4624" i="14"/>
  <c r="M4628" i="14"/>
  <c r="M4627" i="13"/>
  <c r="K4439" i="13" l="1"/>
  <c r="L4439" i="13" s="1"/>
  <c r="I4440" i="13" s="1"/>
  <c r="K4461" i="14"/>
  <c r="L4461" i="14" s="1"/>
  <c r="I4462" i="14" s="1"/>
  <c r="N4625" i="14"/>
  <c r="J4624" i="14" a="1"/>
  <c r="J4624" i="14" s="1"/>
  <c r="M4628" i="13"/>
  <c r="J4625" i="13" a="1"/>
  <c r="J4625" i="13" s="1"/>
  <c r="N4626" i="13"/>
  <c r="M4629" i="14"/>
  <c r="K4462" i="14" l="1"/>
  <c r="L4462" i="14" s="1"/>
  <c r="I4463" i="14" s="1"/>
  <c r="K4440" i="13"/>
  <c r="L4440" i="13" s="1"/>
  <c r="I4441" i="13" s="1"/>
  <c r="M4630" i="14"/>
  <c r="M4629" i="13"/>
  <c r="J4626" i="13" a="1"/>
  <c r="J4626" i="13" s="1"/>
  <c r="N4627" i="13"/>
  <c r="N4626" i="14"/>
  <c r="J4625" i="14" a="1"/>
  <c r="J4625" i="14" s="1"/>
  <c r="K4463" i="14" l="1"/>
  <c r="L4463" i="14" s="1"/>
  <c r="I4464" i="14" s="1"/>
  <c r="K4441" i="13"/>
  <c r="L4441" i="13" s="1"/>
  <c r="I4442" i="13" s="1"/>
  <c r="N4627" i="14"/>
  <c r="J4626" i="14" a="1"/>
  <c r="J4626" i="14" s="1"/>
  <c r="M4630" i="13"/>
  <c r="N4628" i="13"/>
  <c r="J4627" i="13" a="1"/>
  <c r="J4627" i="13" s="1"/>
  <c r="M4631" i="14"/>
  <c r="K4442" i="13" l="1"/>
  <c r="L4442" i="13" s="1"/>
  <c r="I4443" i="13" s="1"/>
  <c r="K4464" i="14"/>
  <c r="L4464" i="14" s="1"/>
  <c r="I4465" i="14" s="1"/>
  <c r="J4628" i="13" a="1"/>
  <c r="J4628" i="13" s="1"/>
  <c r="N4629" i="13"/>
  <c r="M4632" i="14"/>
  <c r="M4631" i="13"/>
  <c r="J4627" i="14" a="1"/>
  <c r="J4627" i="14" s="1"/>
  <c r="N4628" i="14"/>
  <c r="K4465" i="14" l="1"/>
  <c r="L4465" i="14" s="1"/>
  <c r="I4466" i="14" s="1"/>
  <c r="M4632" i="13"/>
  <c r="N4629" i="14"/>
  <c r="J4628" i="14" a="1"/>
  <c r="J4628" i="14" s="1"/>
  <c r="M4633" i="14"/>
  <c r="J4629" i="13" a="1"/>
  <c r="J4629" i="13" s="1"/>
  <c r="N4630" i="13"/>
  <c r="K4443" i="13"/>
  <c r="L4443" i="13" s="1"/>
  <c r="I4444" i="13" s="1"/>
  <c r="K4466" i="14" l="1"/>
  <c r="L4466" i="14" s="1"/>
  <c r="I4467" i="14" s="1"/>
  <c r="K4444" i="13"/>
  <c r="L4444" i="13" s="1"/>
  <c r="I4445" i="13" s="1"/>
  <c r="M4634" i="14"/>
  <c r="M4633" i="13"/>
  <c r="J4630" i="13" a="1"/>
  <c r="J4630" i="13" s="1"/>
  <c r="N4631" i="13"/>
  <c r="N4630" i="14"/>
  <c r="J4629" i="14" a="1"/>
  <c r="J4629" i="14" s="1"/>
  <c r="K4445" i="13" l="1"/>
  <c r="L4445" i="13" s="1"/>
  <c r="I4446" i="13" s="1"/>
  <c r="K4467" i="14"/>
  <c r="L4467" i="14" s="1"/>
  <c r="I4468" i="14" s="1"/>
  <c r="N4631" i="14"/>
  <c r="J4630" i="14" a="1"/>
  <c r="J4630" i="14" s="1"/>
  <c r="M4634" i="13"/>
  <c r="N4632" i="13"/>
  <c r="J4631" i="13" a="1"/>
  <c r="J4631" i="13" s="1"/>
  <c r="M4635" i="14"/>
  <c r="K4446" i="13" l="1"/>
  <c r="L4446" i="13" s="1"/>
  <c r="I4447" i="13" s="1"/>
  <c r="M4636" i="14"/>
  <c r="M4635" i="13"/>
  <c r="K4468" i="14"/>
  <c r="L4468" i="14" s="1"/>
  <c r="I4469" i="14" s="1"/>
  <c r="J4632" i="13" a="1"/>
  <c r="J4632" i="13" s="1"/>
  <c r="N4633" i="13"/>
  <c r="J4631" i="14" a="1"/>
  <c r="J4631" i="14" s="1"/>
  <c r="N4632" i="14"/>
  <c r="K4447" i="13" l="1"/>
  <c r="L4447" i="13" s="1"/>
  <c r="I4448" i="13" s="1"/>
  <c r="N4633" i="14"/>
  <c r="J4632" i="14" a="1"/>
  <c r="J4632" i="14" s="1"/>
  <c r="K4469" i="14"/>
  <c r="L4469" i="14" s="1"/>
  <c r="I4470" i="14" s="1"/>
  <c r="M4637" i="14"/>
  <c r="J4633" i="13" a="1"/>
  <c r="J4633" i="13" s="1"/>
  <c r="N4634" i="13"/>
  <c r="M4636" i="13"/>
  <c r="K4470" i="14" l="1"/>
  <c r="L4470" i="14" s="1"/>
  <c r="I4471" i="14" s="1"/>
  <c r="K4448" i="13"/>
  <c r="L4448" i="13" s="1"/>
  <c r="I4449" i="13" s="1"/>
  <c r="M4637" i="13"/>
  <c r="N4634" i="14"/>
  <c r="J4633" i="14" a="1"/>
  <c r="J4633" i="14" s="1"/>
  <c r="M4638" i="14"/>
  <c r="J4634" i="13" a="1"/>
  <c r="J4634" i="13" s="1"/>
  <c r="N4635" i="13"/>
  <c r="K4449" i="13" l="1"/>
  <c r="L4449" i="13" s="1"/>
  <c r="I4450" i="13" s="1"/>
  <c r="K4471" i="14"/>
  <c r="L4471" i="14" s="1"/>
  <c r="I4472" i="14" s="1"/>
  <c r="N4636" i="13"/>
  <c r="J4635" i="13" a="1"/>
  <c r="J4635" i="13" s="1"/>
  <c r="N4635" i="14"/>
  <c r="J4634" i="14" a="1"/>
  <c r="J4634" i="14" s="1"/>
  <c r="M4639" i="14"/>
  <c r="M4638" i="13"/>
  <c r="K4450" i="13" l="1"/>
  <c r="L4450" i="13" s="1"/>
  <c r="I4451" i="13" s="1"/>
  <c r="M4639" i="13"/>
  <c r="J4635" i="14" a="1"/>
  <c r="J4635" i="14" s="1"/>
  <c r="N4636" i="14"/>
  <c r="K4472" i="14"/>
  <c r="L4472" i="14" s="1"/>
  <c r="I4473" i="14" s="1"/>
  <c r="M4640" i="14"/>
  <c r="J4636" i="13" a="1"/>
  <c r="J4636" i="13" s="1"/>
  <c r="N4637" i="13"/>
  <c r="K4473" i="14" l="1"/>
  <c r="L4473" i="14" s="1"/>
  <c r="I4474" i="14" s="1"/>
  <c r="K4451" i="13"/>
  <c r="L4451" i="13" s="1"/>
  <c r="I4452" i="13" s="1"/>
  <c r="J4637" i="13" a="1"/>
  <c r="J4637" i="13" s="1"/>
  <c r="N4638" i="13"/>
  <c r="M4640" i="13"/>
  <c r="N4637" i="14"/>
  <c r="J4636" i="14" a="1"/>
  <c r="J4636" i="14" s="1"/>
  <c r="M4641" i="14"/>
  <c r="K4452" i="13" l="1"/>
  <c r="L4452" i="13" s="1"/>
  <c r="I4453" i="13" s="1"/>
  <c r="K4474" i="14"/>
  <c r="L4474" i="14" s="1"/>
  <c r="I4475" i="14" s="1"/>
  <c r="N4638" i="14"/>
  <c r="J4637" i="14" a="1"/>
  <c r="J4637" i="14" s="1"/>
  <c r="M4642" i="14"/>
  <c r="M4641" i="13"/>
  <c r="J4638" i="13" a="1"/>
  <c r="J4638" i="13" s="1"/>
  <c r="N4639" i="13"/>
  <c r="K4475" i="14" l="1"/>
  <c r="L4475" i="14" s="1"/>
  <c r="I4476" i="14" s="1"/>
  <c r="K4453" i="13"/>
  <c r="L4453" i="13" s="1"/>
  <c r="I4454" i="13" s="1"/>
  <c r="M4642" i="13"/>
  <c r="N4640" i="13"/>
  <c r="J4639" i="13" a="1"/>
  <c r="J4639" i="13" s="1"/>
  <c r="M4643" i="14"/>
  <c r="N4639" i="14"/>
  <c r="J4638" i="14" a="1"/>
  <c r="J4638" i="14" s="1"/>
  <c r="K4476" i="14" l="1"/>
  <c r="L4476" i="14" s="1"/>
  <c r="I4477" i="14" s="1"/>
  <c r="J4639" i="14" a="1"/>
  <c r="J4639" i="14" s="1"/>
  <c r="N4640" i="14"/>
  <c r="K4454" i="13"/>
  <c r="L4454" i="13" s="1"/>
  <c r="I4455" i="13" s="1"/>
  <c r="J4640" i="13" a="1"/>
  <c r="J4640" i="13" s="1"/>
  <c r="N4641" i="13"/>
  <c r="M4643" i="13"/>
  <c r="M4644" i="14"/>
  <c r="K4455" i="13" l="1"/>
  <c r="L4455" i="13" s="1"/>
  <c r="I4456" i="13" s="1"/>
  <c r="K4477" i="14"/>
  <c r="L4477" i="14" s="1"/>
  <c r="I4478" i="14" s="1"/>
  <c r="J4641" i="13" a="1"/>
  <c r="J4641" i="13" s="1"/>
  <c r="N4642" i="13"/>
  <c r="N4641" i="14"/>
  <c r="J4640" i="14" a="1"/>
  <c r="J4640" i="14" s="1"/>
  <c r="M4645" i="14"/>
  <c r="M4644" i="13"/>
  <c r="K4478" i="14" l="1"/>
  <c r="L4478" i="14" s="1"/>
  <c r="I4479" i="14" s="1"/>
  <c r="K4456" i="13"/>
  <c r="L4456" i="13" s="1"/>
  <c r="I4457" i="13" s="1"/>
  <c r="M4645" i="13"/>
  <c r="N4642" i="14"/>
  <c r="J4641" i="14" a="1"/>
  <c r="J4641" i="14" s="1"/>
  <c r="J4642" i="13" a="1"/>
  <c r="J4642" i="13" s="1"/>
  <c r="N4643" i="13"/>
  <c r="M4646" i="14"/>
  <c r="K4479" i="14" l="1"/>
  <c r="L4479" i="14" s="1"/>
  <c r="I4480" i="14" s="1"/>
  <c r="K4457" i="13"/>
  <c r="L4457" i="13" s="1"/>
  <c r="I4458" i="13" s="1"/>
  <c r="N4643" i="14"/>
  <c r="J4642" i="14" a="1"/>
  <c r="J4642" i="14" s="1"/>
  <c r="N4644" i="13"/>
  <c r="J4643" i="13" a="1"/>
  <c r="J4643" i="13" s="1"/>
  <c r="M4647" i="14"/>
  <c r="M4646" i="13"/>
  <c r="K4480" i="14" l="1"/>
  <c r="L4480" i="14" s="1"/>
  <c r="I4481" i="14" s="1"/>
  <c r="M4647" i="13"/>
  <c r="J4644" i="13" a="1"/>
  <c r="J4644" i="13" s="1"/>
  <c r="N4645" i="13"/>
  <c r="K4458" i="13"/>
  <c r="L4458" i="13" s="1"/>
  <c r="I4459" i="13" s="1"/>
  <c r="M4648" i="14"/>
  <c r="J4643" i="14" a="1"/>
  <c r="J4643" i="14" s="1"/>
  <c r="N4644" i="14"/>
  <c r="K4459" i="13" l="1"/>
  <c r="L4459" i="13" s="1"/>
  <c r="I4460" i="13" s="1"/>
  <c r="K4481" i="14"/>
  <c r="L4481" i="14" s="1"/>
  <c r="I4482" i="14" s="1"/>
  <c r="N4645" i="14"/>
  <c r="J4644" i="14" a="1"/>
  <c r="J4644" i="14" s="1"/>
  <c r="M4649" i="14"/>
  <c r="M4648" i="13"/>
  <c r="J4645" i="13" a="1"/>
  <c r="J4645" i="13" s="1"/>
  <c r="N4646" i="13"/>
  <c r="K4482" i="14" l="1"/>
  <c r="L4482" i="14" s="1"/>
  <c r="I4483" i="14" s="1"/>
  <c r="K4460" i="13"/>
  <c r="L4460" i="13" s="1"/>
  <c r="I4461" i="13" s="1"/>
  <c r="J4646" i="13" a="1"/>
  <c r="J4646" i="13" s="1"/>
  <c r="N4647" i="13"/>
  <c r="M4650" i="14"/>
  <c r="M4649" i="13"/>
  <c r="N4646" i="14"/>
  <c r="J4645" i="14" a="1"/>
  <c r="J4645" i="14" s="1"/>
  <c r="K4461" i="13" l="1"/>
  <c r="L4461" i="13" s="1"/>
  <c r="I4462" i="13" s="1"/>
  <c r="M4650" i="13"/>
  <c r="N4647" i="14"/>
  <c r="J4646" i="14" a="1"/>
  <c r="J4646" i="14" s="1"/>
  <c r="M4651" i="14"/>
  <c r="N4648" i="13"/>
  <c r="J4647" i="13" a="1"/>
  <c r="J4647" i="13" s="1"/>
  <c r="K4483" i="14"/>
  <c r="L4483" i="14" s="1"/>
  <c r="I4484" i="14" s="1"/>
  <c r="K4484" i="14" l="1"/>
  <c r="L4484" i="14" s="1"/>
  <c r="I4485" i="14" s="1"/>
  <c r="K4462" i="13"/>
  <c r="L4462" i="13" s="1"/>
  <c r="I4463" i="13" s="1"/>
  <c r="M4652" i="14"/>
  <c r="M4651" i="13"/>
  <c r="J4648" i="13" a="1"/>
  <c r="J4648" i="13" s="1"/>
  <c r="N4649" i="13"/>
  <c r="J4647" i="14" a="1"/>
  <c r="J4647" i="14" s="1"/>
  <c r="N4648" i="14"/>
  <c r="K4485" i="14" l="1"/>
  <c r="L4485" i="14" s="1"/>
  <c r="I4486" i="14" s="1"/>
  <c r="K4463" i="13"/>
  <c r="L4463" i="13" s="1"/>
  <c r="I4464" i="13" s="1"/>
  <c r="N4649" i="14"/>
  <c r="J4648" i="14" a="1"/>
  <c r="J4648" i="14" s="1"/>
  <c r="M4652" i="13"/>
  <c r="J4649" i="13" a="1"/>
  <c r="J4649" i="13" s="1"/>
  <c r="N4650" i="13"/>
  <c r="M4653" i="14"/>
  <c r="K4464" i="13" l="1"/>
  <c r="L4464" i="13" s="1"/>
  <c r="I4465" i="13" s="1"/>
  <c r="K4486" i="14"/>
  <c r="L4486" i="14" s="1"/>
  <c r="I4487" i="14" s="1"/>
  <c r="J4650" i="13" a="1"/>
  <c r="J4650" i="13" s="1"/>
  <c r="N4651" i="13"/>
  <c r="M4654" i="14"/>
  <c r="M4653" i="13"/>
  <c r="N4650" i="14"/>
  <c r="J4649" i="14" a="1"/>
  <c r="J4649" i="14" s="1"/>
  <c r="K4465" i="13" l="1"/>
  <c r="L4465" i="13" s="1"/>
  <c r="I4466" i="13" s="1"/>
  <c r="K4487" i="14"/>
  <c r="L4487" i="14" s="1"/>
  <c r="I4488" i="14" s="1"/>
  <c r="N4651" i="14"/>
  <c r="J4650" i="14" a="1"/>
  <c r="J4650" i="14" s="1"/>
  <c r="M4655" i="14"/>
  <c r="M4654" i="13"/>
  <c r="N4652" i="13"/>
  <c r="J4651" i="13" a="1"/>
  <c r="J4651" i="13" s="1"/>
  <c r="K4488" i="14" l="1"/>
  <c r="L4488" i="14" s="1"/>
  <c r="I4489" i="14" s="1"/>
  <c r="K4466" i="13"/>
  <c r="L4466" i="13" s="1"/>
  <c r="I4467" i="13" s="1"/>
  <c r="J4652" i="13" a="1"/>
  <c r="J4652" i="13" s="1"/>
  <c r="N4653" i="13"/>
  <c r="M4656" i="14"/>
  <c r="M4655" i="13"/>
  <c r="J4651" i="14" a="1"/>
  <c r="J4651" i="14" s="1"/>
  <c r="N4652" i="14"/>
  <c r="K4467" i="13" l="1"/>
  <c r="L4467" i="13" s="1"/>
  <c r="I4468" i="13" s="1"/>
  <c r="K4489" i="14"/>
  <c r="L4489" i="14" s="1"/>
  <c r="I4490" i="14" s="1"/>
  <c r="N4653" i="14"/>
  <c r="J4652" i="14" a="1"/>
  <c r="J4652" i="14" s="1"/>
  <c r="M4657" i="14"/>
  <c r="J4653" i="13" a="1"/>
  <c r="J4653" i="13" s="1"/>
  <c r="N4654" i="13"/>
  <c r="M4656" i="13"/>
  <c r="K4490" i="14" l="1"/>
  <c r="L4490" i="14" s="1"/>
  <c r="I4491" i="14" s="1"/>
  <c r="K4468" i="13"/>
  <c r="L4468" i="13" s="1"/>
  <c r="I4469" i="13" s="1"/>
  <c r="M4658" i="14"/>
  <c r="J4654" i="13" a="1"/>
  <c r="J4654" i="13" s="1"/>
  <c r="N4655" i="13"/>
  <c r="M4657" i="13"/>
  <c r="N4654" i="14"/>
  <c r="J4653" i="14" a="1"/>
  <c r="J4653" i="14" s="1"/>
  <c r="K4469" i="13" l="1"/>
  <c r="L4469" i="13" s="1"/>
  <c r="I4470" i="13" s="1"/>
  <c r="K4491" i="14"/>
  <c r="L4491" i="14" s="1"/>
  <c r="I4492" i="14" s="1"/>
  <c r="N4656" i="13"/>
  <c r="J4655" i="13" a="1"/>
  <c r="J4655" i="13" s="1"/>
  <c r="N4655" i="14"/>
  <c r="J4654" i="14" a="1"/>
  <c r="J4654" i="14" s="1"/>
  <c r="M4658" i="13"/>
  <c r="M4659" i="14"/>
  <c r="K4492" i="14" l="1"/>
  <c r="L4492" i="14" s="1"/>
  <c r="I4493" i="14" s="1"/>
  <c r="K4470" i="13"/>
  <c r="L4470" i="13" s="1"/>
  <c r="I4471" i="13" s="1"/>
  <c r="J4655" i="14" a="1"/>
  <c r="J4655" i="14" s="1"/>
  <c r="N4656" i="14"/>
  <c r="M4660" i="14"/>
  <c r="M4659" i="13"/>
  <c r="J4656" i="13" a="1"/>
  <c r="J4656" i="13" s="1"/>
  <c r="N4657" i="13"/>
  <c r="K4471" i="13" l="1"/>
  <c r="L4471" i="13" s="1"/>
  <c r="I4472" i="13" s="1"/>
  <c r="K4493" i="14"/>
  <c r="L4493" i="14" s="1"/>
  <c r="I4494" i="14" s="1"/>
  <c r="J4657" i="13" a="1"/>
  <c r="J4657" i="13" s="1"/>
  <c r="N4658" i="13"/>
  <c r="M4661" i="14"/>
  <c r="N4657" i="14"/>
  <c r="J4656" i="14" a="1"/>
  <c r="J4656" i="14" s="1"/>
  <c r="M4660" i="13"/>
  <c r="K4494" i="14" l="1"/>
  <c r="L4494" i="14" s="1"/>
  <c r="I4495" i="14" s="1"/>
  <c r="K4472" i="13"/>
  <c r="L4472" i="13" s="1"/>
  <c r="I4473" i="13" s="1"/>
  <c r="J4658" i="13" a="1"/>
  <c r="J4658" i="13" s="1"/>
  <c r="N4659" i="13"/>
  <c r="N4658" i="14"/>
  <c r="J4657" i="14" a="1"/>
  <c r="J4657" i="14" s="1"/>
  <c r="M4662" i="14"/>
  <c r="M4661" i="13"/>
  <c r="K4495" i="14" l="1"/>
  <c r="L4495" i="14" s="1"/>
  <c r="I4496" i="14" s="1"/>
  <c r="N4659" i="14"/>
  <c r="J4658" i="14" a="1"/>
  <c r="J4658" i="14" s="1"/>
  <c r="K4473" i="13"/>
  <c r="L4473" i="13" s="1"/>
  <c r="I4474" i="13" s="1"/>
  <c r="N4660" i="13"/>
  <c r="J4659" i="13" a="1"/>
  <c r="J4659" i="13" s="1"/>
  <c r="M4662" i="13"/>
  <c r="M4663" i="14"/>
  <c r="K4474" i="13" l="1"/>
  <c r="L4474" i="13" s="1"/>
  <c r="I4475" i="13" s="1"/>
  <c r="K4496" i="14"/>
  <c r="L4496" i="14" s="1"/>
  <c r="I4497" i="14" s="1"/>
  <c r="M4664" i="14"/>
  <c r="J4660" i="13" a="1"/>
  <c r="J4660" i="13" s="1"/>
  <c r="N4661" i="13"/>
  <c r="J4659" i="14" a="1"/>
  <c r="J4659" i="14" s="1"/>
  <c r="N4660" i="14"/>
  <c r="M4663" i="13"/>
  <c r="K4475" i="13" l="1"/>
  <c r="L4475" i="13" s="1"/>
  <c r="I4476" i="13" s="1"/>
  <c r="J4661" i="13" a="1"/>
  <c r="J4661" i="13" s="1"/>
  <c r="N4662" i="13"/>
  <c r="K4497" i="14"/>
  <c r="L4497" i="14" s="1"/>
  <c r="I4498" i="14" s="1"/>
  <c r="N4661" i="14"/>
  <c r="J4660" i="14" a="1"/>
  <c r="J4660" i="14" s="1"/>
  <c r="M4665" i="14"/>
  <c r="M4664" i="13"/>
  <c r="K4498" i="14" l="1"/>
  <c r="L4498" i="14" s="1"/>
  <c r="I4499" i="14" s="1"/>
  <c r="K4476" i="13"/>
  <c r="L4476" i="13" s="1"/>
  <c r="I4477" i="13" s="1"/>
  <c r="J4662" i="13" a="1"/>
  <c r="J4662" i="13" s="1"/>
  <c r="N4663" i="13"/>
  <c r="M4665" i="13"/>
  <c r="N4662" i="14"/>
  <c r="J4661" i="14" a="1"/>
  <c r="J4661" i="14" s="1"/>
  <c r="M4666" i="14"/>
  <c r="K4477" i="13" l="1"/>
  <c r="L4477" i="13" s="1"/>
  <c r="I4478" i="13" s="1"/>
  <c r="K4499" i="14"/>
  <c r="L4499" i="14" s="1"/>
  <c r="I4500" i="14" s="1"/>
  <c r="N4664" i="13"/>
  <c r="J4663" i="13" a="1"/>
  <c r="J4663" i="13" s="1"/>
  <c r="N4663" i="14"/>
  <c r="J4662" i="14" a="1"/>
  <c r="J4662" i="14" s="1"/>
  <c r="M4667" i="14"/>
  <c r="M4666" i="13"/>
  <c r="K4478" i="13" l="1"/>
  <c r="L4478" i="13" s="1"/>
  <c r="I4479" i="13" s="1"/>
  <c r="J4663" i="14" a="1"/>
  <c r="J4663" i="14" s="1"/>
  <c r="N4664" i="14"/>
  <c r="K4500" i="14"/>
  <c r="L4500" i="14" s="1"/>
  <c r="I4501" i="14" s="1"/>
  <c r="M4667" i="13"/>
  <c r="M4668" i="14"/>
  <c r="J4664" i="13" a="1"/>
  <c r="J4664" i="13" s="1"/>
  <c r="N4665" i="13"/>
  <c r="K4479" i="13" l="1"/>
  <c r="L4479" i="13" s="1"/>
  <c r="I4480" i="13" s="1"/>
  <c r="K4501" i="14"/>
  <c r="L4501" i="14" s="1"/>
  <c r="I4502" i="14" s="1"/>
  <c r="N4665" i="14"/>
  <c r="J4664" i="14" a="1"/>
  <c r="J4664" i="14" s="1"/>
  <c r="J4665" i="13" a="1"/>
  <c r="J4665" i="13" s="1"/>
  <c r="N4666" i="13"/>
  <c r="M4668" i="13"/>
  <c r="M4669" i="14"/>
  <c r="K4480" i="13" l="1"/>
  <c r="L4480" i="13" s="1"/>
  <c r="I4481" i="13" s="1"/>
  <c r="M4670" i="14"/>
  <c r="J4666" i="13" a="1"/>
  <c r="J4666" i="13" s="1"/>
  <c r="N4667" i="13"/>
  <c r="K4502" i="14"/>
  <c r="L4502" i="14" s="1"/>
  <c r="I4503" i="14" s="1"/>
  <c r="M4669" i="13"/>
  <c r="J4665" i="14" a="1"/>
  <c r="J4665" i="14" s="1"/>
  <c r="N4666" i="14"/>
  <c r="K4503" i="14" l="1"/>
  <c r="L4503" i="14" s="1"/>
  <c r="I4504" i="14" s="1"/>
  <c r="K4481" i="13"/>
  <c r="L4481" i="13" s="1"/>
  <c r="I4482" i="13" s="1"/>
  <c r="M4670" i="13"/>
  <c r="N4667" i="14"/>
  <c r="J4666" i="14" a="1"/>
  <c r="J4666" i="14" s="1"/>
  <c r="M4671" i="14"/>
  <c r="N4668" i="13"/>
  <c r="J4667" i="13" a="1"/>
  <c r="J4667" i="13" s="1"/>
  <c r="K4504" i="14" l="1"/>
  <c r="L4504" i="14" s="1"/>
  <c r="I4505" i="14" s="1"/>
  <c r="J4668" i="13" a="1"/>
  <c r="J4668" i="13" s="1"/>
  <c r="N4669" i="13"/>
  <c r="K4482" i="13"/>
  <c r="L4482" i="13" s="1"/>
  <c r="I4483" i="13" s="1"/>
  <c r="J4667" i="14" a="1"/>
  <c r="J4667" i="14" s="1"/>
  <c r="N4668" i="14"/>
  <c r="M4672" i="14"/>
  <c r="M4671" i="13"/>
  <c r="K4505" i="14" l="1"/>
  <c r="L4505" i="14" s="1"/>
  <c r="I4506" i="14" s="1"/>
  <c r="N4669" i="14"/>
  <c r="J4668" i="14" a="1"/>
  <c r="J4668" i="14" s="1"/>
  <c r="J4669" i="13" a="1"/>
  <c r="J4669" i="13" s="1"/>
  <c r="N4670" i="13"/>
  <c r="M4673" i="14"/>
  <c r="M4672" i="13"/>
  <c r="K4483" i="13"/>
  <c r="L4483" i="13" s="1"/>
  <c r="I4484" i="13" s="1"/>
  <c r="K4484" i="13" l="1"/>
  <c r="L4484" i="13" s="1"/>
  <c r="I4485" i="13" s="1"/>
  <c r="K4506" i="14"/>
  <c r="L4506" i="14" s="1"/>
  <c r="I4507" i="14" s="1"/>
  <c r="M4674" i="14"/>
  <c r="N4670" i="14"/>
  <c r="J4669" i="14" a="1"/>
  <c r="J4669" i="14" s="1"/>
  <c r="J4670" i="13" a="1"/>
  <c r="J4670" i="13" s="1"/>
  <c r="N4671" i="13"/>
  <c r="M4673" i="13"/>
  <c r="K4507" i="14" l="1"/>
  <c r="L4507" i="14" s="1"/>
  <c r="I4508" i="14" s="1"/>
  <c r="K4485" i="13"/>
  <c r="L4485" i="13" s="1"/>
  <c r="I4486" i="13" s="1"/>
  <c r="M4674" i="13"/>
  <c r="J4670" i="14" a="1"/>
  <c r="J4670" i="14" s="1"/>
  <c r="N4671" i="14"/>
  <c r="N4672" i="13"/>
  <c r="J4671" i="13" a="1"/>
  <c r="J4671" i="13" s="1"/>
  <c r="M4675" i="14"/>
  <c r="K4508" i="14" l="1"/>
  <c r="L4508" i="14" s="1"/>
  <c r="I4509" i="14" s="1"/>
  <c r="J4671" i="14" a="1"/>
  <c r="J4671" i="14" s="1"/>
  <c r="N4672" i="14"/>
  <c r="K4486" i="13"/>
  <c r="L4486" i="13" s="1"/>
  <c r="I4487" i="13" s="1"/>
  <c r="M4676" i="14"/>
  <c r="M4675" i="13"/>
  <c r="J4672" i="13" a="1"/>
  <c r="J4672" i="13" s="1"/>
  <c r="N4673" i="13"/>
  <c r="K4487" i="13" l="1"/>
  <c r="L4487" i="13" s="1"/>
  <c r="I4488" i="13" s="1"/>
  <c r="K4509" i="14"/>
  <c r="L4509" i="14" s="1"/>
  <c r="I4510" i="14" s="1"/>
  <c r="J4673" i="13" a="1"/>
  <c r="J4673" i="13" s="1"/>
  <c r="N4674" i="13"/>
  <c r="M4677" i="14"/>
  <c r="N4673" i="14"/>
  <c r="J4672" i="14" a="1"/>
  <c r="J4672" i="14" s="1"/>
  <c r="M4676" i="13"/>
  <c r="K4510" i="14" l="1"/>
  <c r="L4510" i="14" s="1"/>
  <c r="I4511" i="14" s="1"/>
  <c r="K4488" i="13"/>
  <c r="L4488" i="13" s="1"/>
  <c r="I4489" i="13" s="1"/>
  <c r="J4674" i="13" a="1"/>
  <c r="J4674" i="13" s="1"/>
  <c r="N4675" i="13"/>
  <c r="M4677" i="13"/>
  <c r="M4678" i="14"/>
  <c r="N4674" i="14"/>
  <c r="J4673" i="14" a="1"/>
  <c r="J4673" i="14" s="1"/>
  <c r="K4511" i="14" l="1"/>
  <c r="L4511" i="14" s="1"/>
  <c r="I4512" i="14" s="1"/>
  <c r="J4674" i="14" a="1"/>
  <c r="J4674" i="14" s="1"/>
  <c r="N4675" i="14"/>
  <c r="M4678" i="13"/>
  <c r="K4489" i="13"/>
  <c r="L4489" i="13" s="1"/>
  <c r="I4490" i="13" s="1"/>
  <c r="N4676" i="13"/>
  <c r="J4675" i="13" a="1"/>
  <c r="J4675" i="13" s="1"/>
  <c r="M4679" i="14"/>
  <c r="K4490" i="13" l="1"/>
  <c r="L4490" i="13" s="1"/>
  <c r="I4491" i="13" s="1"/>
  <c r="K4512" i="14"/>
  <c r="L4512" i="14" s="1"/>
  <c r="I4513" i="14" s="1"/>
  <c r="J4675" i="14" a="1"/>
  <c r="J4675" i="14" s="1"/>
  <c r="N4676" i="14"/>
  <c r="M4680" i="14"/>
  <c r="M4679" i="13"/>
  <c r="J4676" i="13" a="1"/>
  <c r="J4676" i="13" s="1"/>
  <c r="N4677" i="13"/>
  <c r="M4680" i="13" l="1"/>
  <c r="J4677" i="13" a="1"/>
  <c r="J4677" i="13" s="1"/>
  <c r="N4678" i="13"/>
  <c r="M4681" i="14"/>
  <c r="K4513" i="14"/>
  <c r="L4513" i="14" s="1"/>
  <c r="I4514" i="14" s="1"/>
  <c r="J4676" i="14" a="1"/>
  <c r="J4676" i="14" s="1"/>
  <c r="N4677" i="14"/>
  <c r="K4491" i="13"/>
  <c r="L4491" i="13" s="1"/>
  <c r="I4492" i="13" s="1"/>
  <c r="K4514" i="14" l="1"/>
  <c r="L4514" i="14" s="1"/>
  <c r="I4515" i="14" s="1"/>
  <c r="K4492" i="13"/>
  <c r="L4492" i="13" s="1"/>
  <c r="I4493" i="13" s="1"/>
  <c r="J4678" i="13" a="1"/>
  <c r="J4678" i="13" s="1"/>
  <c r="N4679" i="13"/>
  <c r="N4678" i="14"/>
  <c r="J4677" i="14" a="1"/>
  <c r="J4677" i="14" s="1"/>
  <c r="M4682" i="14"/>
  <c r="M4681" i="13"/>
  <c r="K4493" i="13" l="1"/>
  <c r="L4493" i="13" s="1"/>
  <c r="I4494" i="13" s="1"/>
  <c r="K4515" i="14"/>
  <c r="L4515" i="14" s="1"/>
  <c r="I4516" i="14" s="1"/>
  <c r="J4678" i="14" a="1"/>
  <c r="J4678" i="14" s="1"/>
  <c r="N4679" i="14"/>
  <c r="M4682" i="13"/>
  <c r="N4680" i="13"/>
  <c r="J4679" i="13" a="1"/>
  <c r="J4679" i="13" s="1"/>
  <c r="M4683" i="14"/>
  <c r="K4516" i="14" l="1"/>
  <c r="L4516" i="14" s="1"/>
  <c r="I4517" i="14" s="1"/>
  <c r="K4494" i="13"/>
  <c r="L4494" i="13" s="1"/>
  <c r="I4495" i="13" s="1"/>
  <c r="J4679" i="14" a="1"/>
  <c r="J4679" i="14" s="1"/>
  <c r="N4680" i="14"/>
  <c r="M4683" i="13"/>
  <c r="J4680" i="13" a="1"/>
  <c r="J4680" i="13" s="1"/>
  <c r="N4681" i="13"/>
  <c r="M4684" i="14"/>
  <c r="K4495" i="13" l="1"/>
  <c r="L4495" i="13" s="1"/>
  <c r="I4496" i="13" s="1"/>
  <c r="K4517" i="14"/>
  <c r="L4517" i="14" s="1"/>
  <c r="I4518" i="14" s="1"/>
  <c r="M4685" i="14"/>
  <c r="J4681" i="13" a="1"/>
  <c r="J4681" i="13" s="1"/>
  <c r="N4682" i="13"/>
  <c r="M4684" i="13"/>
  <c r="N4681" i="14"/>
  <c r="J4680" i="14" a="1"/>
  <c r="J4680" i="14" s="1"/>
  <c r="K4518" i="14" l="1"/>
  <c r="L4518" i="14" s="1"/>
  <c r="I4519" i="14" s="1"/>
  <c r="K4496" i="13"/>
  <c r="L4496" i="13" s="1"/>
  <c r="I4497" i="13" s="1"/>
  <c r="J4682" i="13" a="1"/>
  <c r="J4682" i="13" s="1"/>
  <c r="N4683" i="13"/>
  <c r="N4682" i="14"/>
  <c r="J4681" i="14" a="1"/>
  <c r="J4681" i="14" s="1"/>
  <c r="M4685" i="13"/>
  <c r="M4686" i="14"/>
  <c r="K4497" i="13" l="1"/>
  <c r="L4497" i="13" s="1"/>
  <c r="I4498" i="13" s="1"/>
  <c r="K4519" i="14"/>
  <c r="L4519" i="14" s="1"/>
  <c r="I4520" i="14" s="1"/>
  <c r="M4686" i="13"/>
  <c r="M4687" i="14"/>
  <c r="J4682" i="14" a="1"/>
  <c r="J4682" i="14" s="1"/>
  <c r="N4683" i="14"/>
  <c r="N4684" i="13"/>
  <c r="J4683" i="13" a="1"/>
  <c r="J4683" i="13" s="1"/>
  <c r="K4520" i="14" l="1"/>
  <c r="L4520" i="14" s="1"/>
  <c r="I4521" i="14" s="1"/>
  <c r="K4498" i="13"/>
  <c r="L4498" i="13" s="1"/>
  <c r="I4499" i="13" s="1"/>
  <c r="M4688" i="14"/>
  <c r="J4684" i="13" a="1"/>
  <c r="J4684" i="13" s="1"/>
  <c r="N4685" i="13"/>
  <c r="J4683" i="14" a="1"/>
  <c r="J4683" i="14" s="1"/>
  <c r="N4684" i="14"/>
  <c r="M4687" i="13"/>
  <c r="K4499" i="13" l="1"/>
  <c r="L4499" i="13" s="1"/>
  <c r="I4500" i="13" s="1"/>
  <c r="J4685" i="13" a="1"/>
  <c r="J4685" i="13" s="1"/>
  <c r="N4686" i="13"/>
  <c r="M4688" i="13"/>
  <c r="J4684" i="14" a="1"/>
  <c r="J4684" i="14" s="1"/>
  <c r="N4685" i="14"/>
  <c r="M4689" i="14"/>
  <c r="K4521" i="14"/>
  <c r="L4521" i="14" s="1"/>
  <c r="I4522" i="14" s="1"/>
  <c r="K4522" i="14" l="1"/>
  <c r="L4522" i="14" s="1"/>
  <c r="I4523" i="14" s="1"/>
  <c r="K4500" i="13"/>
  <c r="L4500" i="13" s="1"/>
  <c r="I4501" i="13" s="1"/>
  <c r="N4686" i="14"/>
  <c r="J4685" i="14" a="1"/>
  <c r="J4685" i="14" s="1"/>
  <c r="J4686" i="13" a="1"/>
  <c r="J4686" i="13" s="1"/>
  <c r="N4687" i="13"/>
  <c r="M4690" i="14"/>
  <c r="M4689" i="13"/>
  <c r="K4501" i="13" l="1"/>
  <c r="L4501" i="13" s="1"/>
  <c r="I4502" i="13" s="1"/>
  <c r="K4523" i="14"/>
  <c r="L4523" i="14" s="1"/>
  <c r="I4524" i="14" s="1"/>
  <c r="N4688" i="13"/>
  <c r="J4687" i="13" a="1"/>
  <c r="J4687" i="13" s="1"/>
  <c r="M4690" i="13"/>
  <c r="M4691" i="14"/>
  <c r="J4686" i="14" a="1"/>
  <c r="J4686" i="14" s="1"/>
  <c r="N4687" i="14"/>
  <c r="K4524" i="14" l="1"/>
  <c r="L4524" i="14" s="1"/>
  <c r="I4525" i="14" s="1"/>
  <c r="K4502" i="13"/>
  <c r="L4502" i="13" s="1"/>
  <c r="I4503" i="13" s="1"/>
  <c r="J4687" i="14" a="1"/>
  <c r="J4687" i="14" s="1"/>
  <c r="N4688" i="14"/>
  <c r="M4691" i="13"/>
  <c r="M4692" i="14"/>
  <c r="J4688" i="13" a="1"/>
  <c r="J4688" i="13" s="1"/>
  <c r="N4689" i="13"/>
  <c r="K4525" i="14" l="1"/>
  <c r="L4525" i="14" s="1"/>
  <c r="I4526" i="14" s="1"/>
  <c r="N4689" i="14"/>
  <c r="J4688" i="14" a="1"/>
  <c r="J4688" i="14" s="1"/>
  <c r="J4689" i="13" a="1"/>
  <c r="J4689" i="13" s="1"/>
  <c r="N4690" i="13"/>
  <c r="M4692" i="13"/>
  <c r="K4503" i="13"/>
  <c r="L4503" i="13" s="1"/>
  <c r="I4504" i="13" s="1"/>
  <c r="M4693" i="14"/>
  <c r="K4504" i="13" l="1"/>
  <c r="L4504" i="13" s="1"/>
  <c r="I4505" i="13" s="1"/>
  <c r="K4526" i="14"/>
  <c r="L4526" i="14" s="1"/>
  <c r="I4527" i="14" s="1"/>
  <c r="M4694" i="14"/>
  <c r="M4693" i="13"/>
  <c r="N4690" i="14"/>
  <c r="J4689" i="14" a="1"/>
  <c r="J4689" i="14" s="1"/>
  <c r="J4690" i="13" a="1"/>
  <c r="J4690" i="13" s="1"/>
  <c r="N4691" i="13"/>
  <c r="K4527" i="14" l="1"/>
  <c r="L4527" i="14" s="1"/>
  <c r="I4528" i="14" s="1"/>
  <c r="K4505" i="13"/>
  <c r="L4505" i="13" s="1"/>
  <c r="I4506" i="13" s="1"/>
  <c r="N4692" i="13"/>
  <c r="J4691" i="13" a="1"/>
  <c r="J4691" i="13" s="1"/>
  <c r="M4694" i="13"/>
  <c r="J4690" i="14" a="1"/>
  <c r="J4690" i="14" s="1"/>
  <c r="N4691" i="14"/>
  <c r="M4695" i="14"/>
  <c r="K4506" i="13" l="1"/>
  <c r="L4506" i="13" s="1"/>
  <c r="I4507" i="13" s="1"/>
  <c r="K4528" i="14"/>
  <c r="L4528" i="14" s="1"/>
  <c r="I4529" i="14" s="1"/>
  <c r="J4691" i="14" a="1"/>
  <c r="J4691" i="14" s="1"/>
  <c r="N4692" i="14"/>
  <c r="M4696" i="14"/>
  <c r="M4695" i="13"/>
  <c r="J4692" i="13" a="1"/>
  <c r="J4692" i="13" s="1"/>
  <c r="N4693" i="13"/>
  <c r="K4507" i="13" l="1"/>
  <c r="L4507" i="13" s="1"/>
  <c r="I4508" i="13" s="1"/>
  <c r="K4529" i="14"/>
  <c r="L4529" i="14" s="1"/>
  <c r="I4530" i="14" s="1"/>
  <c r="J4693" i="13" a="1"/>
  <c r="J4693" i="13" s="1"/>
  <c r="N4694" i="13"/>
  <c r="M4697" i="14"/>
  <c r="J4692" i="14" a="1"/>
  <c r="J4692" i="14" s="1"/>
  <c r="N4693" i="14"/>
  <c r="M4696" i="13"/>
  <c r="K4508" i="13" l="1"/>
  <c r="L4508" i="13" s="1"/>
  <c r="I4509" i="13" s="1"/>
  <c r="M4697" i="13"/>
  <c r="M4698" i="14"/>
  <c r="K4530" i="14"/>
  <c r="L4530" i="14" s="1"/>
  <c r="I4531" i="14" s="1"/>
  <c r="J4694" i="13" a="1"/>
  <c r="J4694" i="13" s="1"/>
  <c r="N4695" i="13"/>
  <c r="N4694" i="14"/>
  <c r="J4693" i="14" a="1"/>
  <c r="J4693" i="14" s="1"/>
  <c r="K4509" i="13" l="1"/>
  <c r="L4509" i="13" s="1"/>
  <c r="I4510" i="13" s="1"/>
  <c r="J4694" i="14" a="1"/>
  <c r="J4694" i="14" s="1"/>
  <c r="N4695" i="14"/>
  <c r="K4531" i="14"/>
  <c r="L4531" i="14" s="1"/>
  <c r="I4532" i="14" s="1"/>
  <c r="M4698" i="13"/>
  <c r="N4696" i="13"/>
  <c r="J4695" i="13" a="1"/>
  <c r="J4695" i="13" s="1"/>
  <c r="M4699" i="14"/>
  <c r="K4532" i="14" l="1"/>
  <c r="L4532" i="14" s="1"/>
  <c r="I4533" i="14" s="1"/>
  <c r="K4510" i="13"/>
  <c r="L4510" i="13" s="1"/>
  <c r="I4511" i="13" s="1"/>
  <c r="M4700" i="14"/>
  <c r="M4699" i="13"/>
  <c r="J4695" i="14" a="1"/>
  <c r="J4695" i="14" s="1"/>
  <c r="N4696" i="14"/>
  <c r="J4696" i="13" a="1"/>
  <c r="J4696" i="13" s="1"/>
  <c r="N4697" i="13"/>
  <c r="K4533" i="14" l="1"/>
  <c r="L4533" i="14" s="1"/>
  <c r="I4534" i="14" s="1"/>
  <c r="K4511" i="13"/>
  <c r="L4511" i="13" s="1"/>
  <c r="I4512" i="13" s="1"/>
  <c r="J4697" i="13" a="1"/>
  <c r="J4697" i="13" s="1"/>
  <c r="N4698" i="13"/>
  <c r="M4700" i="13"/>
  <c r="N4697" i="14"/>
  <c r="J4696" i="14" a="1"/>
  <c r="J4696" i="14" s="1"/>
  <c r="M4701" i="14"/>
  <c r="K4512" i="13" l="1"/>
  <c r="L4512" i="13" s="1"/>
  <c r="I4513" i="13" s="1"/>
  <c r="K4534" i="14"/>
  <c r="L4534" i="14" s="1"/>
  <c r="I4535" i="14" s="1"/>
  <c r="N4698" i="14"/>
  <c r="J4697" i="14" a="1"/>
  <c r="J4697" i="14" s="1"/>
  <c r="M4702" i="14"/>
  <c r="M4701" i="13"/>
  <c r="J4698" i="13" a="1"/>
  <c r="J4698" i="13" s="1"/>
  <c r="N4699" i="13"/>
  <c r="K4535" i="14" l="1"/>
  <c r="L4535" i="14" s="1"/>
  <c r="I4536" i="14" s="1"/>
  <c r="K4513" i="13"/>
  <c r="L4513" i="13" s="1"/>
  <c r="I4514" i="13" s="1"/>
  <c r="N4700" i="13"/>
  <c r="J4699" i="13" a="1"/>
  <c r="J4699" i="13" s="1"/>
  <c r="M4703" i="14"/>
  <c r="M4702" i="13"/>
  <c r="J4698" i="14" a="1"/>
  <c r="J4698" i="14" s="1"/>
  <c r="N4699" i="14"/>
  <c r="K4514" i="13" l="1"/>
  <c r="L4514" i="13" s="1"/>
  <c r="I4515" i="13" s="1"/>
  <c r="K4536" i="14"/>
  <c r="L4536" i="14" s="1"/>
  <c r="I4537" i="14" s="1"/>
  <c r="J4699" i="14" a="1"/>
  <c r="J4699" i="14" s="1"/>
  <c r="N4700" i="14"/>
  <c r="M4704" i="14"/>
  <c r="M4703" i="13"/>
  <c r="J4700" i="13" a="1"/>
  <c r="J4700" i="13" s="1"/>
  <c r="N4701" i="13"/>
  <c r="K4537" i="14" l="1"/>
  <c r="L4537" i="14" s="1"/>
  <c r="I4538" i="14" s="1"/>
  <c r="K4515" i="13"/>
  <c r="L4515" i="13" s="1"/>
  <c r="I4516" i="13" s="1"/>
  <c r="N4702" i="13"/>
  <c r="J4701" i="13" a="1"/>
  <c r="J4701" i="13" s="1"/>
  <c r="M4705" i="14"/>
  <c r="J4700" i="14" a="1"/>
  <c r="J4700" i="14" s="1"/>
  <c r="N4701" i="14"/>
  <c r="M4704" i="13"/>
  <c r="K4516" i="13" l="1"/>
  <c r="L4516" i="13" s="1"/>
  <c r="I4517" i="13" s="1"/>
  <c r="K4538" i="14"/>
  <c r="L4538" i="14" s="1"/>
  <c r="I4539" i="14" s="1"/>
  <c r="M4705" i="13"/>
  <c r="N4702" i="14"/>
  <c r="J4701" i="14" a="1"/>
  <c r="J4701" i="14" s="1"/>
  <c r="M4706" i="14"/>
  <c r="N4703" i="13"/>
  <c r="J4702" i="13" a="1"/>
  <c r="J4702" i="13" s="1"/>
  <c r="K4517" i="13" l="1"/>
  <c r="L4517" i="13" s="1"/>
  <c r="I4518" i="13" s="1"/>
  <c r="N4704" i="13"/>
  <c r="J4703" i="13" a="1"/>
  <c r="J4703" i="13" s="1"/>
  <c r="K4539" i="14"/>
  <c r="L4539" i="14" s="1"/>
  <c r="I4540" i="14" s="1"/>
  <c r="J4702" i="14" a="1"/>
  <c r="J4702" i="14" s="1"/>
  <c r="N4703" i="14"/>
  <c r="M4706" i="13"/>
  <c r="M4707" i="14"/>
  <c r="K4540" i="14" l="1"/>
  <c r="L4540" i="14" s="1"/>
  <c r="I4541" i="14" s="1"/>
  <c r="K4518" i="13"/>
  <c r="L4518" i="13" s="1"/>
  <c r="I4519" i="13" s="1"/>
  <c r="J4704" i="13" a="1"/>
  <c r="J4704" i="13" s="1"/>
  <c r="N4705" i="13"/>
  <c r="J4703" i="14" a="1"/>
  <c r="J4703" i="14" s="1"/>
  <c r="N4704" i="14"/>
  <c r="M4708" i="14"/>
  <c r="M4707" i="13"/>
  <c r="K4541" i="14" l="1"/>
  <c r="L4541" i="14" s="1"/>
  <c r="I4542" i="14" s="1"/>
  <c r="N4705" i="14"/>
  <c r="J4704" i="14" a="1"/>
  <c r="J4704" i="14" s="1"/>
  <c r="M4708" i="13"/>
  <c r="K4519" i="13"/>
  <c r="L4519" i="13" s="1"/>
  <c r="I4520" i="13" s="1"/>
  <c r="M4709" i="14"/>
  <c r="N4706" i="13"/>
  <c r="J4705" i="13" a="1"/>
  <c r="J4705" i="13" s="1"/>
  <c r="K4520" i="13" l="1"/>
  <c r="L4520" i="13" s="1"/>
  <c r="I4521" i="13" s="1"/>
  <c r="K4542" i="14"/>
  <c r="L4542" i="14" s="1"/>
  <c r="I4543" i="14" s="1"/>
  <c r="N4706" i="14"/>
  <c r="J4705" i="14" a="1"/>
  <c r="J4705" i="14" s="1"/>
  <c r="N4707" i="13"/>
  <c r="J4706" i="13" a="1"/>
  <c r="J4706" i="13" s="1"/>
  <c r="M4709" i="13"/>
  <c r="M4710" i="14"/>
  <c r="K4521" i="13" l="1"/>
  <c r="L4521" i="13" s="1"/>
  <c r="I4522" i="13" s="1"/>
  <c r="N4708" i="13"/>
  <c r="J4707" i="13" a="1"/>
  <c r="J4707" i="13" s="1"/>
  <c r="K4543" i="14"/>
  <c r="L4543" i="14" s="1"/>
  <c r="I4544" i="14" s="1"/>
  <c r="M4711" i="14"/>
  <c r="M4710" i="13"/>
  <c r="J4706" i="14" a="1"/>
  <c r="J4706" i="14" s="1"/>
  <c r="N4707" i="14"/>
  <c r="K4544" i="14" l="1"/>
  <c r="L4544" i="14" s="1"/>
  <c r="I4545" i="14" s="1"/>
  <c r="K4522" i="13"/>
  <c r="L4522" i="13" s="1"/>
  <c r="I4523" i="13" s="1"/>
  <c r="M4712" i="14"/>
  <c r="J4708" i="13" a="1"/>
  <c r="J4708" i="13" s="1"/>
  <c r="N4709" i="13"/>
  <c r="J4707" i="14" a="1"/>
  <c r="J4707" i="14" s="1"/>
  <c r="N4708" i="14"/>
  <c r="M4711" i="13"/>
  <c r="K4545" i="14" l="1"/>
  <c r="L4545" i="14" s="1"/>
  <c r="I4546" i="14" s="1"/>
  <c r="M4712" i="13"/>
  <c r="N4710" i="13"/>
  <c r="J4709" i="13" a="1"/>
  <c r="J4709" i="13" s="1"/>
  <c r="K4523" i="13"/>
  <c r="L4523" i="13" s="1"/>
  <c r="I4524" i="13" s="1"/>
  <c r="J4708" i="14" a="1"/>
  <c r="J4708" i="14" s="1"/>
  <c r="N4709" i="14"/>
  <c r="M4713" i="14"/>
  <c r="K4524" i="13" l="1"/>
  <c r="L4524" i="13" s="1"/>
  <c r="I4525" i="13" s="1"/>
  <c r="K4546" i="14"/>
  <c r="L4546" i="14" s="1"/>
  <c r="I4547" i="14" s="1"/>
  <c r="N4710" i="14"/>
  <c r="J4709" i="14" a="1"/>
  <c r="J4709" i="14" s="1"/>
  <c r="M4714" i="14"/>
  <c r="M4713" i="13"/>
  <c r="N4711" i="13"/>
  <c r="J4710" i="13" a="1"/>
  <c r="J4710" i="13" s="1"/>
  <c r="K4547" i="14" l="1"/>
  <c r="L4547" i="14" s="1"/>
  <c r="I4548" i="14" s="1"/>
  <c r="K4525" i="13"/>
  <c r="L4525" i="13" s="1"/>
  <c r="I4526" i="13" s="1"/>
  <c r="N4712" i="13"/>
  <c r="J4711" i="13" a="1"/>
  <c r="J4711" i="13" s="1"/>
  <c r="M4715" i="14"/>
  <c r="M4714" i="13"/>
  <c r="J4710" i="14" a="1"/>
  <c r="J4710" i="14" s="1"/>
  <c r="N4711" i="14"/>
  <c r="K4526" i="13" l="1"/>
  <c r="L4526" i="13" s="1"/>
  <c r="I4527" i="13" s="1"/>
  <c r="K4548" i="14"/>
  <c r="L4548" i="14" s="1"/>
  <c r="I4549" i="14" s="1"/>
  <c r="M4715" i="13"/>
  <c r="J4711" i="14" a="1"/>
  <c r="J4711" i="14" s="1"/>
  <c r="N4712" i="14"/>
  <c r="M4716" i="14"/>
  <c r="J4712" i="13" a="1"/>
  <c r="J4712" i="13" s="1"/>
  <c r="N4713" i="13"/>
  <c r="K4549" i="14" l="1"/>
  <c r="L4549" i="14" s="1"/>
  <c r="I4550" i="14" s="1"/>
  <c r="K4527" i="13"/>
  <c r="L4527" i="13" s="1"/>
  <c r="I4528" i="13" s="1"/>
  <c r="N4713" i="14"/>
  <c r="J4712" i="14" a="1"/>
  <c r="J4712" i="14" s="1"/>
  <c r="N4714" i="13"/>
  <c r="J4713" i="13" a="1"/>
  <c r="J4713" i="13" s="1"/>
  <c r="M4717" i="14"/>
  <c r="M4716" i="13"/>
  <c r="K4528" i="13" l="1"/>
  <c r="L4528" i="13" s="1"/>
  <c r="I4529" i="13" s="1"/>
  <c r="K4550" i="14"/>
  <c r="L4550" i="14" s="1"/>
  <c r="I4551" i="14" s="1"/>
  <c r="N4715" i="13"/>
  <c r="J4714" i="13" a="1"/>
  <c r="J4714" i="13" s="1"/>
  <c r="M4717" i="13"/>
  <c r="M4718" i="14"/>
  <c r="N4714" i="14"/>
  <c r="J4713" i="14" a="1"/>
  <c r="J4713" i="14" s="1"/>
  <c r="K4551" i="14" l="1"/>
  <c r="L4551" i="14" s="1"/>
  <c r="I4552" i="14" s="1"/>
  <c r="K4529" i="13"/>
  <c r="L4529" i="13" s="1"/>
  <c r="I4530" i="13" s="1"/>
  <c r="M4718" i="13"/>
  <c r="J4714" i="14" a="1"/>
  <c r="J4714" i="14" s="1"/>
  <c r="N4715" i="14"/>
  <c r="M4719" i="14"/>
  <c r="N4716" i="13"/>
  <c r="J4715" i="13" a="1"/>
  <c r="J4715" i="13" s="1"/>
  <c r="K4552" i="14" l="1"/>
  <c r="L4552" i="14" s="1"/>
  <c r="I4553" i="14" s="1"/>
  <c r="J4715" i="14" a="1"/>
  <c r="J4715" i="14" s="1"/>
  <c r="N4716" i="14"/>
  <c r="K4530" i="13"/>
  <c r="L4530" i="13" s="1"/>
  <c r="I4531" i="13" s="1"/>
  <c r="J4716" i="13" a="1"/>
  <c r="J4716" i="13" s="1"/>
  <c r="N4717" i="13"/>
  <c r="M4720" i="14"/>
  <c r="M4719" i="13"/>
  <c r="K4531" i="13" l="1"/>
  <c r="L4531" i="13" s="1"/>
  <c r="I4532" i="13" s="1"/>
  <c r="K4553" i="14"/>
  <c r="L4553" i="14" s="1"/>
  <c r="I4554" i="14" s="1"/>
  <c r="N4718" i="13"/>
  <c r="J4717" i="13" a="1"/>
  <c r="J4717" i="13" s="1"/>
  <c r="J4716" i="14" a="1"/>
  <c r="J4716" i="14" s="1"/>
  <c r="N4717" i="14"/>
  <c r="M4720" i="13"/>
  <c r="M4721" i="14"/>
  <c r="M4722" i="14" l="1"/>
  <c r="M4721" i="13"/>
  <c r="N4718" i="14"/>
  <c r="J4717" i="14" a="1"/>
  <c r="J4717" i="14" s="1"/>
  <c r="K4554" i="14"/>
  <c r="L4554" i="14" s="1"/>
  <c r="I4555" i="14" s="1"/>
  <c r="N4719" i="13"/>
  <c r="J4718" i="13" a="1"/>
  <c r="J4718" i="13" s="1"/>
  <c r="K4532" i="13"/>
  <c r="L4532" i="13" s="1"/>
  <c r="I4533" i="13" s="1"/>
  <c r="K4533" i="13" l="1"/>
  <c r="L4533" i="13" s="1"/>
  <c r="I4534" i="13" s="1"/>
  <c r="K4555" i="14"/>
  <c r="L4555" i="14" s="1"/>
  <c r="I4556" i="14" s="1"/>
  <c r="M4722" i="13"/>
  <c r="N4720" i="13"/>
  <c r="J4719" i="13" a="1"/>
  <c r="J4719" i="13" s="1"/>
  <c r="J4718" i="14" a="1"/>
  <c r="J4718" i="14" s="1"/>
  <c r="N4719" i="14"/>
  <c r="M4723" i="14"/>
  <c r="K4534" i="13" l="1"/>
  <c r="L4534" i="13" s="1"/>
  <c r="I4535" i="13" s="1"/>
  <c r="J4720" i="13" a="1"/>
  <c r="J4720" i="13" s="1"/>
  <c r="N4721" i="13"/>
  <c r="K4556" i="14"/>
  <c r="L4556" i="14" s="1"/>
  <c r="I4557" i="14" s="1"/>
  <c r="M4724" i="14"/>
  <c r="M4723" i="13"/>
  <c r="J4719" i="14" a="1"/>
  <c r="J4719" i="14" s="1"/>
  <c r="N4720" i="14"/>
  <c r="K4557" i="14" l="1"/>
  <c r="L4557" i="14" s="1"/>
  <c r="I4558" i="14" s="1"/>
  <c r="K4535" i="13"/>
  <c r="L4535" i="13" s="1"/>
  <c r="I4536" i="13" s="1"/>
  <c r="N4721" i="14"/>
  <c r="J4720" i="14" a="1"/>
  <c r="J4720" i="14" s="1"/>
  <c r="M4725" i="14"/>
  <c r="N4722" i="13"/>
  <c r="J4721" i="13" a="1"/>
  <c r="J4721" i="13" s="1"/>
  <c r="M4724" i="13"/>
  <c r="K4536" i="13" l="1"/>
  <c r="L4536" i="13" s="1"/>
  <c r="I4537" i="13" s="1"/>
  <c r="K4558" i="14"/>
  <c r="L4558" i="14" s="1"/>
  <c r="I4559" i="14" s="1"/>
  <c r="N4723" i="13"/>
  <c r="J4722" i="13" a="1"/>
  <c r="J4722" i="13" s="1"/>
  <c r="M4725" i="13"/>
  <c r="M4726" i="14"/>
  <c r="N4722" i="14"/>
  <c r="J4721" i="14" a="1"/>
  <c r="J4721" i="14" s="1"/>
  <c r="K4559" i="14" l="1"/>
  <c r="L4559" i="14" s="1"/>
  <c r="I4560" i="14" s="1"/>
  <c r="K4537" i="13"/>
  <c r="L4537" i="13" s="1"/>
  <c r="I4538" i="13" s="1"/>
  <c r="J4722" i="14" a="1"/>
  <c r="J4722" i="14" s="1"/>
  <c r="N4723" i="14"/>
  <c r="M4726" i="13"/>
  <c r="M4727" i="14"/>
  <c r="N4724" i="13"/>
  <c r="J4723" i="13" a="1"/>
  <c r="J4723" i="13" s="1"/>
  <c r="K4538" i="13" l="1"/>
  <c r="L4538" i="13" s="1"/>
  <c r="I4539" i="13" s="1"/>
  <c r="K4560" i="14"/>
  <c r="L4560" i="14" s="1"/>
  <c r="I4561" i="14" s="1"/>
  <c r="M4728" i="14"/>
  <c r="M4727" i="13"/>
  <c r="J4724" i="13" a="1"/>
  <c r="J4724" i="13" s="1"/>
  <c r="N4725" i="13"/>
  <c r="J4723" i="14" a="1"/>
  <c r="J4723" i="14" s="1"/>
  <c r="N4724" i="14"/>
  <c r="K4561" i="14" l="1"/>
  <c r="L4561" i="14" s="1"/>
  <c r="I4562" i="14" s="1"/>
  <c r="K4539" i="13"/>
  <c r="L4539" i="13" s="1"/>
  <c r="I4540" i="13" s="1"/>
  <c r="J4724" i="14" a="1"/>
  <c r="J4724" i="14" s="1"/>
  <c r="N4725" i="14"/>
  <c r="M4728" i="13"/>
  <c r="N4726" i="13"/>
  <c r="J4725" i="13" a="1"/>
  <c r="J4725" i="13" s="1"/>
  <c r="M4729" i="14"/>
  <c r="K4540" i="13" l="1"/>
  <c r="L4540" i="13" s="1"/>
  <c r="I4541" i="13" s="1"/>
  <c r="K4562" i="14"/>
  <c r="L4562" i="14" s="1"/>
  <c r="I4563" i="14" s="1"/>
  <c r="N4726" i="14"/>
  <c r="J4725" i="14" a="1"/>
  <c r="J4725" i="14" s="1"/>
  <c r="M4730" i="14"/>
  <c r="M4729" i="13"/>
  <c r="N4727" i="13"/>
  <c r="J4726" i="13" a="1"/>
  <c r="J4726" i="13" s="1"/>
  <c r="K4563" i="14" l="1"/>
  <c r="L4563" i="14" s="1"/>
  <c r="I4564" i="14" s="1"/>
  <c r="K4541" i="13"/>
  <c r="L4541" i="13" s="1"/>
  <c r="I4542" i="13" s="1"/>
  <c r="N4728" i="13"/>
  <c r="J4727" i="13" a="1"/>
  <c r="J4727" i="13" s="1"/>
  <c r="M4731" i="14"/>
  <c r="M4730" i="13"/>
  <c r="J4726" i="14" a="1"/>
  <c r="J4726" i="14" s="1"/>
  <c r="N4727" i="14"/>
  <c r="K4542" i="13" l="1"/>
  <c r="L4542" i="13" s="1"/>
  <c r="I4543" i="13" s="1"/>
  <c r="K4564" i="14"/>
  <c r="L4564" i="14" s="1"/>
  <c r="I4565" i="14" s="1"/>
  <c r="J4727" i="14" a="1"/>
  <c r="J4727" i="14" s="1"/>
  <c r="N4728" i="14"/>
  <c r="M4732" i="14"/>
  <c r="M4731" i="13"/>
  <c r="J4728" i="13" a="1"/>
  <c r="J4728" i="13" s="1"/>
  <c r="N4729" i="13"/>
  <c r="K4543" i="13" l="1"/>
  <c r="L4543" i="13" s="1"/>
  <c r="I4544" i="13" s="1"/>
  <c r="K4565" i="14"/>
  <c r="L4565" i="14" s="1"/>
  <c r="I4566" i="14" s="1"/>
  <c r="M4732" i="13"/>
  <c r="N4730" i="13"/>
  <c r="J4729" i="13" a="1"/>
  <c r="J4729" i="13" s="1"/>
  <c r="M4733" i="14"/>
  <c r="N4729" i="14"/>
  <c r="J4728" i="14" a="1"/>
  <c r="J4728" i="14" s="1"/>
  <c r="K4566" i="14" l="1"/>
  <c r="L4566" i="14" s="1"/>
  <c r="I4567" i="14" s="1"/>
  <c r="K4544" i="13"/>
  <c r="L4544" i="13" s="1"/>
  <c r="I4545" i="13" s="1"/>
  <c r="N4730" i="14"/>
  <c r="J4729" i="14" a="1"/>
  <c r="J4729" i="14" s="1"/>
  <c r="N4731" i="13"/>
  <c r="J4730" i="13" a="1"/>
  <c r="J4730" i="13" s="1"/>
  <c r="M4733" i="13"/>
  <c r="M4734" i="14"/>
  <c r="K4545" i="13" l="1"/>
  <c r="L4545" i="13" s="1"/>
  <c r="I4546" i="13" s="1"/>
  <c r="K4567" i="14"/>
  <c r="L4567" i="14" s="1"/>
  <c r="I4568" i="14" s="1"/>
  <c r="N4732" i="13"/>
  <c r="J4731" i="13" a="1"/>
  <c r="J4731" i="13" s="1"/>
  <c r="M4735" i="14"/>
  <c r="M4734" i="13"/>
  <c r="J4730" i="14" a="1"/>
  <c r="J4730" i="14" s="1"/>
  <c r="N4731" i="14"/>
  <c r="K4568" i="14" l="1"/>
  <c r="L4568" i="14" s="1"/>
  <c r="I4569" i="14" s="1"/>
  <c r="K4546" i="13"/>
  <c r="L4546" i="13" s="1"/>
  <c r="I4547" i="13" s="1"/>
  <c r="J4731" i="14" a="1"/>
  <c r="J4731" i="14" s="1"/>
  <c r="N4732" i="14"/>
  <c r="M4736" i="14"/>
  <c r="M4735" i="13"/>
  <c r="J4732" i="13" a="1"/>
  <c r="J4732" i="13" s="1"/>
  <c r="N4733" i="13"/>
  <c r="K4547" i="13" l="1"/>
  <c r="L4547" i="13" s="1"/>
  <c r="I4548" i="13" s="1"/>
  <c r="K4569" i="14"/>
  <c r="L4569" i="14" s="1"/>
  <c r="I4570" i="14" s="1"/>
  <c r="N4734" i="13"/>
  <c r="J4733" i="13" a="1"/>
  <c r="J4733" i="13" s="1"/>
  <c r="M4737" i="14"/>
  <c r="J4732" i="14" a="1"/>
  <c r="J4732" i="14" s="1"/>
  <c r="N4733" i="14"/>
  <c r="M4736" i="13"/>
  <c r="K4570" i="14" l="1"/>
  <c r="L4570" i="14" s="1"/>
  <c r="I4571" i="14" s="1"/>
  <c r="K4548" i="13"/>
  <c r="L4548" i="13" s="1"/>
  <c r="I4549" i="13" s="1"/>
  <c r="M4737" i="13"/>
  <c r="N4734" i="14"/>
  <c r="J4733" i="14" a="1"/>
  <c r="J4733" i="14" s="1"/>
  <c r="M4738" i="14"/>
  <c r="N4735" i="13"/>
  <c r="J4734" i="13" a="1"/>
  <c r="J4734" i="13" s="1"/>
  <c r="K4549" i="13" l="1"/>
  <c r="L4549" i="13" s="1"/>
  <c r="I4550" i="13" s="1"/>
  <c r="K4571" i="14"/>
  <c r="L4571" i="14" s="1"/>
  <c r="I4572" i="14" s="1"/>
  <c r="N4736" i="13"/>
  <c r="J4735" i="13" a="1"/>
  <c r="J4735" i="13" s="1"/>
  <c r="J4734" i="14" a="1"/>
  <c r="J4734" i="14" s="1"/>
  <c r="N4735" i="14"/>
  <c r="M4738" i="13"/>
  <c r="M4739" i="14"/>
  <c r="K4572" i="14" l="1"/>
  <c r="L4572" i="14" s="1"/>
  <c r="I4573" i="14" s="1"/>
  <c r="K4550" i="13"/>
  <c r="L4550" i="13" s="1"/>
  <c r="I4551" i="13" s="1"/>
  <c r="J4735" i="14" a="1"/>
  <c r="J4735" i="14" s="1"/>
  <c r="N4736" i="14"/>
  <c r="M4740" i="14"/>
  <c r="M4739" i="13"/>
  <c r="J4736" i="13" a="1"/>
  <c r="J4736" i="13" s="1"/>
  <c r="N4737" i="13"/>
  <c r="K4551" i="13" l="1"/>
  <c r="L4551" i="13" s="1"/>
  <c r="I4552" i="13" s="1"/>
  <c r="K4573" i="14"/>
  <c r="L4573" i="14" s="1"/>
  <c r="I4574" i="14" s="1"/>
  <c r="N4738" i="13"/>
  <c r="J4737" i="13" a="1"/>
  <c r="J4737" i="13" s="1"/>
  <c r="M4741" i="14"/>
  <c r="N4737" i="14"/>
  <c r="J4736" i="14" a="1"/>
  <c r="J4736" i="14" s="1"/>
  <c r="M4740" i="13"/>
  <c r="K4574" i="14" l="1"/>
  <c r="L4574" i="14" s="1"/>
  <c r="I4575" i="14" s="1"/>
  <c r="K4552" i="13"/>
  <c r="L4552" i="13" s="1"/>
  <c r="I4553" i="13" s="1"/>
  <c r="N4738" i="14"/>
  <c r="J4737" i="14" a="1"/>
  <c r="J4737" i="14" s="1"/>
  <c r="M4741" i="13"/>
  <c r="M4742" i="14"/>
  <c r="N4739" i="13"/>
  <c r="J4738" i="13" a="1"/>
  <c r="J4738" i="13" s="1"/>
  <c r="K4553" i="13" l="1"/>
  <c r="L4553" i="13" s="1"/>
  <c r="I4554" i="13" s="1"/>
  <c r="K4575" i="14"/>
  <c r="L4575" i="14" s="1"/>
  <c r="I4576" i="14" s="1"/>
  <c r="N4740" i="13"/>
  <c r="J4739" i="13" a="1"/>
  <c r="J4739" i="13" s="1"/>
  <c r="M4742" i="13"/>
  <c r="M4743" i="14"/>
  <c r="J4738" i="14" a="1"/>
  <c r="J4738" i="14" s="1"/>
  <c r="N4739" i="14"/>
  <c r="K4554" i="13" l="1"/>
  <c r="L4554" i="13" s="1"/>
  <c r="I4555" i="13" s="1"/>
  <c r="J4739" i="14" a="1"/>
  <c r="J4739" i="14" s="1"/>
  <c r="N4740" i="14"/>
  <c r="M4743" i="13"/>
  <c r="K4576" i="14"/>
  <c r="L4576" i="14" s="1"/>
  <c r="I4577" i="14" s="1"/>
  <c r="M4744" i="14"/>
  <c r="J4740" i="13" a="1"/>
  <c r="J4740" i="13" s="1"/>
  <c r="N4741" i="13"/>
  <c r="K4555" i="13" l="1"/>
  <c r="L4555" i="13" s="1"/>
  <c r="I4556" i="13" s="1"/>
  <c r="K4577" i="14"/>
  <c r="L4577" i="14" s="1"/>
  <c r="I4578" i="14" s="1"/>
  <c r="J4740" i="14" a="1"/>
  <c r="J4740" i="14" s="1"/>
  <c r="N4741" i="14"/>
  <c r="N4742" i="13"/>
  <c r="J4741" i="13" a="1"/>
  <c r="J4741" i="13" s="1"/>
  <c r="M4745" i="14"/>
  <c r="M4744" i="13"/>
  <c r="K4578" i="14" l="1"/>
  <c r="L4578" i="14" s="1"/>
  <c r="I4579" i="14" s="1"/>
  <c r="K4556" i="13"/>
  <c r="L4556" i="13" s="1"/>
  <c r="I4557" i="13" s="1"/>
  <c r="N4743" i="13"/>
  <c r="J4742" i="13" a="1"/>
  <c r="J4742" i="13" s="1"/>
  <c r="N4742" i="14"/>
  <c r="J4741" i="14" a="1"/>
  <c r="J4741" i="14" s="1"/>
  <c r="M4745" i="13"/>
  <c r="M4746" i="14"/>
  <c r="K4579" i="14" l="1"/>
  <c r="L4579" i="14" s="1"/>
  <c r="I4580" i="14" s="1"/>
  <c r="M4747" i="14"/>
  <c r="J4742" i="14" a="1"/>
  <c r="J4742" i="14" s="1"/>
  <c r="N4743" i="14"/>
  <c r="K4557" i="13"/>
  <c r="L4557" i="13" s="1"/>
  <c r="I4558" i="13" s="1"/>
  <c r="M4746" i="13"/>
  <c r="N4744" i="13"/>
  <c r="J4743" i="13" a="1"/>
  <c r="J4743" i="13" s="1"/>
  <c r="K4580" i="14" l="1"/>
  <c r="L4580" i="14" s="1"/>
  <c r="I4581" i="14" s="1"/>
  <c r="J4744" i="13" a="1"/>
  <c r="J4744" i="13" s="1"/>
  <c r="N4745" i="13"/>
  <c r="K4558" i="13"/>
  <c r="L4558" i="13" s="1"/>
  <c r="I4559" i="13" s="1"/>
  <c r="M4748" i="14"/>
  <c r="M4747" i="13"/>
  <c r="J4743" i="14" a="1"/>
  <c r="J4743" i="14" s="1"/>
  <c r="N4744" i="14"/>
  <c r="K4559" i="13" l="1"/>
  <c r="L4559" i="13" s="1"/>
  <c r="I4560" i="13" s="1"/>
  <c r="K4581" i="14"/>
  <c r="L4581" i="14" s="1"/>
  <c r="I4582" i="14" s="1"/>
  <c r="N4745" i="14"/>
  <c r="J4744" i="14" a="1"/>
  <c r="J4744" i="14" s="1"/>
  <c r="M4749" i="14"/>
  <c r="N4746" i="13"/>
  <c r="J4745" i="13" a="1"/>
  <c r="J4745" i="13" s="1"/>
  <c r="M4748" i="13"/>
  <c r="K4582" i="14" l="1"/>
  <c r="L4582" i="14" s="1"/>
  <c r="I4583" i="14" s="1"/>
  <c r="K4560" i="13"/>
  <c r="L4560" i="13" s="1"/>
  <c r="I4561" i="13" s="1"/>
  <c r="N4747" i="13"/>
  <c r="J4746" i="13" a="1"/>
  <c r="J4746" i="13" s="1"/>
  <c r="M4749" i="13"/>
  <c r="M4750" i="14"/>
  <c r="N4746" i="14"/>
  <c r="J4745" i="14" a="1"/>
  <c r="J4745" i="14" s="1"/>
  <c r="K4583" i="14" l="1"/>
  <c r="L4583" i="14" s="1"/>
  <c r="I4584" i="14" s="1"/>
  <c r="K4561" i="13"/>
  <c r="L4561" i="13" s="1"/>
  <c r="I4562" i="13" s="1"/>
  <c r="M4751" i="14"/>
  <c r="J4746" i="14" a="1"/>
  <c r="J4746" i="14" s="1"/>
  <c r="N4747" i="14"/>
  <c r="M4750" i="13"/>
  <c r="N4748" i="13"/>
  <c r="J4747" i="13" a="1"/>
  <c r="J4747" i="13" s="1"/>
  <c r="K4562" i="13" l="1"/>
  <c r="L4562" i="13" s="1"/>
  <c r="I4563" i="13" s="1"/>
  <c r="J4747" i="14" a="1"/>
  <c r="J4747" i="14" s="1"/>
  <c r="N4748" i="14"/>
  <c r="J4748" i="13" a="1"/>
  <c r="J4748" i="13" s="1"/>
  <c r="N4749" i="13"/>
  <c r="M4751" i="13"/>
  <c r="M4752" i="14"/>
  <c r="K4584" i="14"/>
  <c r="L4584" i="14" s="1"/>
  <c r="I4585" i="14" s="1"/>
  <c r="K4563" i="13" l="1"/>
  <c r="L4563" i="13" s="1"/>
  <c r="I4564" i="13" s="1"/>
  <c r="K4585" i="14"/>
  <c r="L4585" i="14" s="1"/>
  <c r="I4586" i="14" s="1"/>
  <c r="J4748" i="14" a="1"/>
  <c r="J4748" i="14" s="1"/>
  <c r="N4749" i="14"/>
  <c r="M4752" i="13"/>
  <c r="N4750" i="13"/>
  <c r="J4749" i="13" a="1"/>
  <c r="J4749" i="13" s="1"/>
  <c r="M4753" i="14"/>
  <c r="K4586" i="14" l="1"/>
  <c r="L4586" i="14" s="1"/>
  <c r="I4587" i="14" s="1"/>
  <c r="K4564" i="13"/>
  <c r="L4564" i="13" s="1"/>
  <c r="I4565" i="13" s="1"/>
  <c r="J4750" i="13" a="1"/>
  <c r="J4750" i="13" s="1"/>
  <c r="N4751" i="13"/>
  <c r="M4753" i="13"/>
  <c r="M4754" i="14"/>
  <c r="N4750" i="14"/>
  <c r="J4749" i="14" a="1"/>
  <c r="J4749" i="14" s="1"/>
  <c r="K4565" i="13" l="1"/>
  <c r="L4565" i="13" s="1"/>
  <c r="I4566" i="13" s="1"/>
  <c r="K4587" i="14"/>
  <c r="L4587" i="14" s="1"/>
  <c r="I4588" i="14" s="1"/>
  <c r="J4750" i="14" a="1"/>
  <c r="J4750" i="14" s="1"/>
  <c r="N4751" i="14"/>
  <c r="M4754" i="13"/>
  <c r="N4752" i="13"/>
  <c r="J4751" i="13" a="1"/>
  <c r="J4751" i="13" s="1"/>
  <c r="M4755" i="14"/>
  <c r="K4588" i="14" l="1"/>
  <c r="L4588" i="14" s="1"/>
  <c r="I4589" i="14" s="1"/>
  <c r="K4566" i="13"/>
  <c r="L4566" i="13" s="1"/>
  <c r="I4567" i="13" s="1"/>
  <c r="J4752" i="13" a="1"/>
  <c r="J4752" i="13" s="1"/>
  <c r="N4753" i="13"/>
  <c r="M4755" i="13"/>
  <c r="M4756" i="14"/>
  <c r="J4751" i="14" a="1"/>
  <c r="J4751" i="14" s="1"/>
  <c r="N4752" i="14"/>
  <c r="K4567" i="13" l="1"/>
  <c r="L4567" i="13" s="1"/>
  <c r="I4568" i="13" s="1"/>
  <c r="K4589" i="14"/>
  <c r="L4589" i="14" s="1"/>
  <c r="I4590" i="14" s="1"/>
  <c r="N4753" i="14"/>
  <c r="J4752" i="14" a="1"/>
  <c r="J4752" i="14" s="1"/>
  <c r="M4757" i="14"/>
  <c r="M4756" i="13"/>
  <c r="N4754" i="13"/>
  <c r="J4753" i="13" a="1"/>
  <c r="J4753" i="13" s="1"/>
  <c r="K4590" i="14" l="1"/>
  <c r="L4590" i="14" s="1"/>
  <c r="I4591" i="14" s="1"/>
  <c r="J4754" i="13" a="1"/>
  <c r="J4754" i="13" s="1"/>
  <c r="N4755" i="13"/>
  <c r="M4758" i="14"/>
  <c r="M4757" i="13"/>
  <c r="N4754" i="14"/>
  <c r="J4753" i="14" a="1"/>
  <c r="J4753" i="14" s="1"/>
  <c r="K4568" i="13"/>
  <c r="L4568" i="13" s="1"/>
  <c r="I4569" i="13" s="1"/>
  <c r="K4591" i="14" l="1"/>
  <c r="L4591" i="14" s="1"/>
  <c r="I4592" i="14" s="1"/>
  <c r="K4569" i="13"/>
  <c r="L4569" i="13" s="1"/>
  <c r="I4570" i="13" s="1"/>
  <c r="N4756" i="13"/>
  <c r="J4755" i="13" a="1"/>
  <c r="J4755" i="13" s="1"/>
  <c r="M4758" i="13"/>
  <c r="J4754" i="14" a="1"/>
  <c r="J4754" i="14" s="1"/>
  <c r="N4755" i="14"/>
  <c r="M4759" i="14"/>
  <c r="K4592" i="14" l="1"/>
  <c r="L4592" i="14" s="1"/>
  <c r="I4593" i="14" s="1"/>
  <c r="K4570" i="13"/>
  <c r="L4570" i="13" s="1"/>
  <c r="I4571" i="13" s="1"/>
  <c r="M4759" i="13"/>
  <c r="M4760" i="14"/>
  <c r="J4755" i="14" a="1"/>
  <c r="J4755" i="14" s="1"/>
  <c r="N4756" i="14"/>
  <c r="J4756" i="13" a="1"/>
  <c r="J4756" i="13" s="1"/>
  <c r="N4757" i="13"/>
  <c r="K4593" i="14" l="1"/>
  <c r="L4593" i="14" s="1"/>
  <c r="I4594" i="14" s="1"/>
  <c r="N4758" i="13"/>
  <c r="J4757" i="13" a="1"/>
  <c r="J4757" i="13" s="1"/>
  <c r="M4761" i="14"/>
  <c r="K4571" i="13"/>
  <c r="L4571" i="13" s="1"/>
  <c r="I4572" i="13" s="1"/>
  <c r="J4756" i="14" a="1"/>
  <c r="J4756" i="14" s="1"/>
  <c r="N4757" i="14"/>
  <c r="M4760" i="13"/>
  <c r="K4594" i="14" l="1"/>
  <c r="L4594" i="14" s="1"/>
  <c r="I4595" i="14" s="1"/>
  <c r="K4572" i="13"/>
  <c r="L4572" i="13" s="1"/>
  <c r="I4573" i="13" s="1"/>
  <c r="M4761" i="13"/>
  <c r="J4758" i="13" a="1"/>
  <c r="J4758" i="13" s="1"/>
  <c r="N4759" i="13"/>
  <c r="N4758" i="14"/>
  <c r="J4757" i="14" a="1"/>
  <c r="J4757" i="14" s="1"/>
  <c r="M4762" i="14"/>
  <c r="K4573" i="13" l="1"/>
  <c r="L4573" i="13" s="1"/>
  <c r="I4574" i="13" s="1"/>
  <c r="N4760" i="13"/>
  <c r="J4759" i="13" a="1"/>
  <c r="J4759" i="13" s="1"/>
  <c r="M4763" i="14"/>
  <c r="J4758" i="14" a="1"/>
  <c r="J4758" i="14" s="1"/>
  <c r="N4759" i="14"/>
  <c r="M4762" i="13"/>
  <c r="K4595" i="14"/>
  <c r="L4595" i="14" s="1"/>
  <c r="I4596" i="14" s="1"/>
  <c r="K4596" i="14" l="1"/>
  <c r="L4596" i="14" s="1"/>
  <c r="I4597" i="14" s="1"/>
  <c r="K4574" i="13"/>
  <c r="L4574" i="13" s="1"/>
  <c r="I4575" i="13" s="1"/>
  <c r="J4759" i="14" a="1"/>
  <c r="J4759" i="14" s="1"/>
  <c r="N4760" i="14"/>
  <c r="J4760" i="13" a="1"/>
  <c r="J4760" i="13" s="1"/>
  <c r="N4761" i="13"/>
  <c r="M4763" i="13"/>
  <c r="M4764" i="14"/>
  <c r="K4575" i="13" l="1"/>
  <c r="L4575" i="13" s="1"/>
  <c r="I4576" i="13" s="1"/>
  <c r="K4597" i="14"/>
  <c r="L4597" i="14" s="1"/>
  <c r="I4598" i="14" s="1"/>
  <c r="N4762" i="13"/>
  <c r="J4761" i="13" a="1"/>
  <c r="J4761" i="13" s="1"/>
  <c r="M4764" i="13"/>
  <c r="M4765" i="14"/>
  <c r="N4761" i="14"/>
  <c r="J4760" i="14" a="1"/>
  <c r="J4760" i="14" s="1"/>
  <c r="K4598" i="14" l="1"/>
  <c r="L4598" i="14" s="1"/>
  <c r="I4599" i="14" s="1"/>
  <c r="K4576" i="13"/>
  <c r="L4576" i="13" s="1"/>
  <c r="I4577" i="13" s="1"/>
  <c r="M4765" i="13"/>
  <c r="N4762" i="14"/>
  <c r="J4761" i="14" a="1"/>
  <c r="J4761" i="14" s="1"/>
  <c r="M4766" i="14"/>
  <c r="J4762" i="13" a="1"/>
  <c r="J4762" i="13" s="1"/>
  <c r="N4763" i="13"/>
  <c r="K4577" i="13" l="1"/>
  <c r="L4577" i="13" s="1"/>
  <c r="I4578" i="13" s="1"/>
  <c r="K4599" i="14"/>
  <c r="L4599" i="14" s="1"/>
  <c r="I4600" i="14" s="1"/>
  <c r="N4764" i="13"/>
  <c r="J4763" i="13" a="1"/>
  <c r="J4763" i="13" s="1"/>
  <c r="J4762" i="14" a="1"/>
  <c r="J4762" i="14" s="1"/>
  <c r="N4763" i="14"/>
  <c r="M4767" i="14"/>
  <c r="M4766" i="13"/>
  <c r="K4578" i="13" l="1"/>
  <c r="L4578" i="13" s="1"/>
  <c r="I4579" i="13" s="1"/>
  <c r="K4600" i="14"/>
  <c r="L4600" i="14" s="1"/>
  <c r="I4601" i="14" s="1"/>
  <c r="J4763" i="14" a="1"/>
  <c r="J4763" i="14" s="1"/>
  <c r="N4764" i="14"/>
  <c r="M4767" i="13"/>
  <c r="M4768" i="14"/>
  <c r="J4764" i="13" a="1"/>
  <c r="J4764" i="13" s="1"/>
  <c r="N4765" i="13"/>
  <c r="K4579" i="13" l="1"/>
  <c r="L4579" i="13" s="1"/>
  <c r="I4580" i="13" s="1"/>
  <c r="K4601" i="14"/>
  <c r="L4601" i="14" s="1"/>
  <c r="I4602" i="14" s="1"/>
  <c r="M4769" i="14"/>
  <c r="N4766" i="13"/>
  <c r="J4765" i="13" a="1"/>
  <c r="J4765" i="13" s="1"/>
  <c r="M4768" i="13"/>
  <c r="J4764" i="14" a="1"/>
  <c r="J4764" i="14" s="1"/>
  <c r="N4765" i="14"/>
  <c r="K4580" i="13" l="1"/>
  <c r="L4580" i="13" s="1"/>
  <c r="I4581" i="13" s="1"/>
  <c r="M4769" i="13"/>
  <c r="N4766" i="14"/>
  <c r="J4765" i="14" a="1"/>
  <c r="J4765" i="14" s="1"/>
  <c r="J4766" i="13" a="1"/>
  <c r="J4766" i="13" s="1"/>
  <c r="N4767" i="13"/>
  <c r="K4602" i="14"/>
  <c r="L4602" i="14" s="1"/>
  <c r="I4603" i="14" s="1"/>
  <c r="M4770" i="14"/>
  <c r="K4603" i="14" l="1"/>
  <c r="L4603" i="14" s="1"/>
  <c r="I4604" i="14" s="1"/>
  <c r="K4581" i="13"/>
  <c r="L4581" i="13" s="1"/>
  <c r="I4582" i="13" s="1"/>
  <c r="N4768" i="13"/>
  <c r="J4767" i="13" a="1"/>
  <c r="J4767" i="13" s="1"/>
  <c r="M4771" i="14"/>
  <c r="M4770" i="13"/>
  <c r="J4766" i="14" a="1"/>
  <c r="J4766" i="14" s="1"/>
  <c r="N4767" i="14"/>
  <c r="K4582" i="13" l="1"/>
  <c r="L4582" i="13" s="1"/>
  <c r="I4583" i="13" s="1"/>
  <c r="J4767" i="14" a="1"/>
  <c r="J4767" i="14" s="1"/>
  <c r="N4768" i="14"/>
  <c r="M4772" i="14"/>
  <c r="M4771" i="13"/>
  <c r="J4768" i="13" a="1"/>
  <c r="J4768" i="13" s="1"/>
  <c r="N4769" i="13"/>
  <c r="K4604" i="14"/>
  <c r="L4604" i="14" s="1"/>
  <c r="I4605" i="14" s="1"/>
  <c r="K4605" i="14" l="1"/>
  <c r="L4605" i="14" s="1"/>
  <c r="I4606" i="14" s="1"/>
  <c r="K4583" i="13"/>
  <c r="L4583" i="13" s="1"/>
  <c r="I4584" i="13" s="1"/>
  <c r="N4770" i="13"/>
  <c r="J4769" i="13" a="1"/>
  <c r="J4769" i="13" s="1"/>
  <c r="N4769" i="14"/>
  <c r="J4768" i="14" a="1"/>
  <c r="J4768" i="14" s="1"/>
  <c r="M4772" i="13"/>
  <c r="M4773" i="14"/>
  <c r="K4584" i="13" l="1"/>
  <c r="L4584" i="13" s="1"/>
  <c r="I4585" i="13" s="1"/>
  <c r="N4770" i="14"/>
  <c r="J4769" i="14" a="1"/>
  <c r="J4769" i="14" s="1"/>
  <c r="M4774" i="14"/>
  <c r="M4773" i="13"/>
  <c r="J4770" i="13" a="1"/>
  <c r="J4770" i="13" s="1"/>
  <c r="N4771" i="13"/>
  <c r="K4606" i="14"/>
  <c r="L4606" i="14" s="1"/>
  <c r="I4607" i="14" s="1"/>
  <c r="K4607" i="14" l="1"/>
  <c r="L4607" i="14" s="1"/>
  <c r="I4608" i="14" s="1"/>
  <c r="K4585" i="13"/>
  <c r="L4585" i="13" s="1"/>
  <c r="I4586" i="13" s="1"/>
  <c r="M4774" i="13"/>
  <c r="J4770" i="14" a="1"/>
  <c r="J4770" i="14" s="1"/>
  <c r="N4771" i="14"/>
  <c r="N4772" i="13"/>
  <c r="J4771" i="13" a="1"/>
  <c r="J4771" i="13" s="1"/>
  <c r="M4775" i="14"/>
  <c r="K4608" i="14" l="1"/>
  <c r="L4608" i="14" s="1"/>
  <c r="I4609" i="14" s="1"/>
  <c r="K4586" i="13"/>
  <c r="L4586" i="13" s="1"/>
  <c r="I4587" i="13" s="1"/>
  <c r="J4771" i="14" a="1"/>
  <c r="J4771" i="14" s="1"/>
  <c r="N4772" i="14"/>
  <c r="M4776" i="14"/>
  <c r="M4775" i="13"/>
  <c r="J4772" i="13" a="1"/>
  <c r="J4772" i="13" s="1"/>
  <c r="N4773" i="13"/>
  <c r="K4587" i="13" l="1"/>
  <c r="L4587" i="13" s="1"/>
  <c r="I4588" i="13" s="1"/>
  <c r="K4609" i="14"/>
  <c r="L4609" i="14" s="1"/>
  <c r="I4610" i="14" s="1"/>
  <c r="N4774" i="13"/>
  <c r="J4773" i="13" a="1"/>
  <c r="J4773" i="13" s="1"/>
  <c r="M4777" i="14"/>
  <c r="J4772" i="14" a="1"/>
  <c r="J4772" i="14" s="1"/>
  <c r="N4773" i="14"/>
  <c r="M4776" i="13"/>
  <c r="K4588" i="13" l="1"/>
  <c r="L4588" i="13" s="1"/>
  <c r="I4589" i="13" s="1"/>
  <c r="K4610" i="14"/>
  <c r="L4610" i="14" s="1"/>
  <c r="I4611" i="14" s="1"/>
  <c r="M4777" i="13"/>
  <c r="M4778" i="14"/>
  <c r="N4774" i="14"/>
  <c r="J4773" i="14" a="1"/>
  <c r="J4773" i="14" s="1"/>
  <c r="J4774" i="13" a="1"/>
  <c r="J4774" i="13" s="1"/>
  <c r="N4775" i="13"/>
  <c r="K4611" i="14" l="1"/>
  <c r="L4611" i="14" s="1"/>
  <c r="I4612" i="14" s="1"/>
  <c r="K4589" i="13"/>
  <c r="L4589" i="13" s="1"/>
  <c r="I4590" i="13" s="1"/>
  <c r="N4776" i="13"/>
  <c r="J4775" i="13" a="1"/>
  <c r="J4775" i="13" s="1"/>
  <c r="M4779" i="14"/>
  <c r="J4774" i="14" a="1"/>
  <c r="J4774" i="14" s="1"/>
  <c r="N4775" i="14"/>
  <c r="M4778" i="13"/>
  <c r="K4590" i="13" l="1"/>
  <c r="L4590" i="13" s="1"/>
  <c r="I4591" i="13" s="1"/>
  <c r="K4612" i="14"/>
  <c r="L4612" i="14" s="1"/>
  <c r="I4613" i="14" s="1"/>
  <c r="M4779" i="13"/>
  <c r="J4776" i="13" a="1"/>
  <c r="J4776" i="13" s="1"/>
  <c r="N4777" i="13"/>
  <c r="M4780" i="14"/>
  <c r="J4775" i="14" a="1"/>
  <c r="J4775" i="14" s="1"/>
  <c r="N4776" i="14"/>
  <c r="K4613" i="14" l="1"/>
  <c r="L4613" i="14" s="1"/>
  <c r="I4614" i="14" s="1"/>
  <c r="K4591" i="13"/>
  <c r="L4591" i="13" s="1"/>
  <c r="I4592" i="13" s="1"/>
  <c r="N4777" i="14"/>
  <c r="J4776" i="14" a="1"/>
  <c r="J4776" i="14" s="1"/>
  <c r="N4778" i="13"/>
  <c r="J4777" i="13" a="1"/>
  <c r="J4777" i="13" s="1"/>
  <c r="M4781" i="14"/>
  <c r="M4780" i="13"/>
  <c r="K4592" i="13" l="1"/>
  <c r="L4592" i="13" s="1"/>
  <c r="I4593" i="13" s="1"/>
  <c r="M4782" i="14"/>
  <c r="M4781" i="13"/>
  <c r="J4778" i="13" a="1"/>
  <c r="J4778" i="13" s="1"/>
  <c r="N4779" i="13"/>
  <c r="N4778" i="14"/>
  <c r="J4777" i="14" a="1"/>
  <c r="J4777" i="14" s="1"/>
  <c r="K4614" i="14"/>
  <c r="L4614" i="14" s="1"/>
  <c r="I4615" i="14" s="1"/>
  <c r="K4593" i="13" l="1"/>
  <c r="L4593" i="13" s="1"/>
  <c r="I4594" i="13" s="1"/>
  <c r="K4615" i="14"/>
  <c r="L4615" i="14" s="1"/>
  <c r="I4616" i="14" s="1"/>
  <c r="N4780" i="13"/>
  <c r="J4779" i="13" a="1"/>
  <c r="J4779" i="13" s="1"/>
  <c r="M4783" i="14"/>
  <c r="J4778" i="14" a="1"/>
  <c r="J4778" i="14" s="1"/>
  <c r="N4779" i="14"/>
  <c r="M4782" i="13"/>
  <c r="K4616" i="14" l="1"/>
  <c r="L4616" i="14" s="1"/>
  <c r="I4617" i="14" s="1"/>
  <c r="K4594" i="13"/>
  <c r="L4594" i="13" s="1"/>
  <c r="I4595" i="13" s="1"/>
  <c r="J4779" i="14" a="1"/>
  <c r="J4779" i="14" s="1"/>
  <c r="N4780" i="14"/>
  <c r="M4783" i="13"/>
  <c r="M4784" i="14"/>
  <c r="J4780" i="13" a="1"/>
  <c r="J4780" i="13" s="1"/>
  <c r="N4781" i="13"/>
  <c r="K4595" i="13" l="1"/>
  <c r="L4595" i="13" s="1"/>
  <c r="I4596" i="13" s="1"/>
  <c r="K4617" i="14"/>
  <c r="L4617" i="14" s="1"/>
  <c r="I4618" i="14" s="1"/>
  <c r="N4782" i="13"/>
  <c r="J4781" i="13" a="1"/>
  <c r="J4781" i="13" s="1"/>
  <c r="M4784" i="13"/>
  <c r="J4780" i="14" a="1"/>
  <c r="J4780" i="14" s="1"/>
  <c r="N4781" i="14"/>
  <c r="M4785" i="14"/>
  <c r="K4618" i="14" l="1"/>
  <c r="L4618" i="14" s="1"/>
  <c r="I4619" i="14" s="1"/>
  <c r="K4596" i="13"/>
  <c r="L4596" i="13" s="1"/>
  <c r="I4597" i="13" s="1"/>
  <c r="N4782" i="14"/>
  <c r="J4781" i="14" a="1"/>
  <c r="J4781" i="14" s="1"/>
  <c r="M4785" i="13"/>
  <c r="M4786" i="14"/>
  <c r="J4782" i="13" a="1"/>
  <c r="J4782" i="13" s="1"/>
  <c r="N4783" i="13"/>
  <c r="K4597" i="13" l="1"/>
  <c r="L4597" i="13" s="1"/>
  <c r="I4598" i="13" s="1"/>
  <c r="N4784" i="13"/>
  <c r="J4783" i="13" a="1"/>
  <c r="J4783" i="13" s="1"/>
  <c r="M4786" i="13"/>
  <c r="M4787" i="14"/>
  <c r="J4782" i="14" a="1"/>
  <c r="J4782" i="14" s="1"/>
  <c r="N4783" i="14"/>
  <c r="K4619" i="14"/>
  <c r="L4619" i="14" s="1"/>
  <c r="I4620" i="14" s="1"/>
  <c r="K4620" i="14" l="1"/>
  <c r="L4620" i="14" s="1"/>
  <c r="I4621" i="14" s="1"/>
  <c r="K4598" i="13"/>
  <c r="L4598" i="13" s="1"/>
  <c r="I4599" i="13" s="1"/>
  <c r="M4788" i="14"/>
  <c r="J4784" i="13" a="1"/>
  <c r="J4784" i="13" s="1"/>
  <c r="N4785" i="13"/>
  <c r="J4783" i="14" a="1"/>
  <c r="J4783" i="14" s="1"/>
  <c r="N4784" i="14"/>
  <c r="M4787" i="13"/>
  <c r="K4621" i="14" l="1"/>
  <c r="L4621" i="14" s="1"/>
  <c r="I4622" i="14" s="1"/>
  <c r="K4599" i="13"/>
  <c r="L4599" i="13" s="1"/>
  <c r="I4600" i="13" s="1"/>
  <c r="M4788" i="13"/>
  <c r="N4786" i="13"/>
  <c r="J4785" i="13" a="1"/>
  <c r="J4785" i="13" s="1"/>
  <c r="N4785" i="14"/>
  <c r="J4784" i="14" a="1"/>
  <c r="J4784" i="14" s="1"/>
  <c r="M4789" i="14"/>
  <c r="K4622" i="14" l="1"/>
  <c r="L4622" i="14" s="1"/>
  <c r="I4623" i="14" s="1"/>
  <c r="K4600" i="13"/>
  <c r="L4600" i="13" s="1"/>
  <c r="I4601" i="13" s="1"/>
  <c r="M4790" i="14"/>
  <c r="J4786" i="13" a="1"/>
  <c r="J4786" i="13" s="1"/>
  <c r="N4787" i="13"/>
  <c r="M4789" i="13"/>
  <c r="N4786" i="14"/>
  <c r="J4785" i="14" a="1"/>
  <c r="J4785" i="14" s="1"/>
  <c r="K4601" i="13" l="1"/>
  <c r="L4601" i="13" s="1"/>
  <c r="I4602" i="13" s="1"/>
  <c r="K4623" i="14"/>
  <c r="L4623" i="14" s="1"/>
  <c r="I4624" i="14" s="1"/>
  <c r="N4788" i="13"/>
  <c r="J4787" i="13" a="1"/>
  <c r="J4787" i="13" s="1"/>
  <c r="J4786" i="14" a="1"/>
  <c r="J4786" i="14" s="1"/>
  <c r="N4787" i="14"/>
  <c r="M4790" i="13"/>
  <c r="M4791" i="14"/>
  <c r="K4624" i="14" l="1"/>
  <c r="L4624" i="14" s="1"/>
  <c r="I4625" i="14" s="1"/>
  <c r="K4602" i="13"/>
  <c r="L4602" i="13" s="1"/>
  <c r="I4603" i="13" s="1"/>
  <c r="J4787" i="14" a="1"/>
  <c r="J4787" i="14" s="1"/>
  <c r="N4788" i="14"/>
  <c r="M4791" i="13"/>
  <c r="M4792" i="14"/>
  <c r="J4788" i="13" a="1"/>
  <c r="J4788" i="13" s="1"/>
  <c r="N4789" i="13"/>
  <c r="K4603" i="13" l="1"/>
  <c r="L4603" i="13" s="1"/>
  <c r="I4604" i="13" s="1"/>
  <c r="K4625" i="14"/>
  <c r="L4625" i="14" s="1"/>
  <c r="I4626" i="14" s="1"/>
  <c r="N4790" i="13"/>
  <c r="J4789" i="13" a="1"/>
  <c r="J4789" i="13" s="1"/>
  <c r="J4788" i="14" a="1"/>
  <c r="J4788" i="14" s="1"/>
  <c r="N4789" i="14"/>
  <c r="M4792" i="13"/>
  <c r="M4793" i="14"/>
  <c r="K4626" i="14" l="1"/>
  <c r="L4626" i="14" s="1"/>
  <c r="I4627" i="14" s="1"/>
  <c r="K4604" i="13"/>
  <c r="L4604" i="13" s="1"/>
  <c r="I4605" i="13" s="1"/>
  <c r="N4790" i="14"/>
  <c r="J4789" i="14" a="1"/>
  <c r="J4789" i="14" s="1"/>
  <c r="M4794" i="14"/>
  <c r="M4793" i="13"/>
  <c r="J4790" i="13" a="1"/>
  <c r="J4790" i="13" s="1"/>
  <c r="N4791" i="13"/>
  <c r="K4605" i="13" l="1"/>
  <c r="L4605" i="13" s="1"/>
  <c r="I4606" i="13" s="1"/>
  <c r="K4627" i="14"/>
  <c r="L4627" i="14" s="1"/>
  <c r="I4628" i="14" s="1"/>
  <c r="N4792" i="13"/>
  <c r="J4791" i="13" a="1"/>
  <c r="J4791" i="13" s="1"/>
  <c r="M4795" i="14"/>
  <c r="M4794" i="13"/>
  <c r="J4790" i="14" a="1"/>
  <c r="J4790" i="14" s="1"/>
  <c r="N4791" i="14"/>
  <c r="K4606" i="13" l="1"/>
  <c r="L4606" i="13" s="1"/>
  <c r="I4607" i="13" s="1"/>
  <c r="K4628" i="14"/>
  <c r="L4628" i="14" s="1"/>
  <c r="I4629" i="14" s="1"/>
  <c r="M4795" i="13"/>
  <c r="J4792" i="13" a="1"/>
  <c r="J4792" i="13" s="1"/>
  <c r="N4793" i="13"/>
  <c r="J4791" i="14" a="1"/>
  <c r="J4791" i="14" s="1"/>
  <c r="N4792" i="14"/>
  <c r="M4796" i="14"/>
  <c r="K4607" i="13" l="1"/>
  <c r="L4607" i="13" s="1"/>
  <c r="I4608" i="13" s="1"/>
  <c r="K4629" i="14"/>
  <c r="L4629" i="14" s="1"/>
  <c r="I4630" i="14" s="1"/>
  <c r="M4797" i="14"/>
  <c r="N4794" i="13"/>
  <c r="J4793" i="13" a="1"/>
  <c r="J4793" i="13" s="1"/>
  <c r="N4793" i="14"/>
  <c r="J4792" i="14" a="1"/>
  <c r="J4792" i="14" s="1"/>
  <c r="M4796" i="13"/>
  <c r="K4630" i="14" l="1"/>
  <c r="L4630" i="14" s="1"/>
  <c r="I4631" i="14" s="1"/>
  <c r="K4608" i="13"/>
  <c r="L4608" i="13" s="1"/>
  <c r="I4609" i="13" s="1"/>
  <c r="J4794" i="13" a="1"/>
  <c r="J4794" i="13" s="1"/>
  <c r="N4795" i="13"/>
  <c r="M4797" i="13"/>
  <c r="N4794" i="14"/>
  <c r="J4793" i="14" a="1"/>
  <c r="J4793" i="14" s="1"/>
  <c r="M4798" i="14"/>
  <c r="K4609" i="13" l="1"/>
  <c r="L4609" i="13" s="1"/>
  <c r="I4610" i="13" s="1"/>
  <c r="K4631" i="14"/>
  <c r="L4631" i="14" s="1"/>
  <c r="I4632" i="14" s="1"/>
  <c r="M4799" i="14"/>
  <c r="M4798" i="13"/>
  <c r="N4796" i="13"/>
  <c r="J4795" i="13" a="1"/>
  <c r="J4795" i="13" s="1"/>
  <c r="J4794" i="14" a="1"/>
  <c r="J4794" i="14" s="1"/>
  <c r="N4795" i="14"/>
  <c r="K4632" i="14" l="1"/>
  <c r="L4632" i="14" s="1"/>
  <c r="I4633" i="14" s="1"/>
  <c r="K4610" i="13"/>
  <c r="L4610" i="13" s="1"/>
  <c r="I4611" i="13" s="1"/>
  <c r="J4795" i="14" a="1"/>
  <c r="J4795" i="14" s="1"/>
  <c r="N4796" i="14"/>
  <c r="M4799" i="13"/>
  <c r="M4800" i="14"/>
  <c r="J4796" i="13" a="1"/>
  <c r="J4796" i="13" s="1"/>
  <c r="N4797" i="13"/>
  <c r="K4611" i="13" l="1"/>
  <c r="L4611" i="13" s="1"/>
  <c r="I4612" i="13" s="1"/>
  <c r="K4633" i="14"/>
  <c r="L4633" i="14" s="1"/>
  <c r="I4634" i="14" s="1"/>
  <c r="M4800" i="13"/>
  <c r="N4798" i="13"/>
  <c r="J4797" i="13" a="1"/>
  <c r="J4797" i="13" s="1"/>
  <c r="M4801" i="14"/>
  <c r="J4796" i="14" a="1"/>
  <c r="J4796" i="14" s="1"/>
  <c r="N4797" i="14"/>
  <c r="K4634" i="14" l="1"/>
  <c r="L4634" i="14" s="1"/>
  <c r="I4635" i="14" s="1"/>
  <c r="K4612" i="13"/>
  <c r="L4612" i="13" s="1"/>
  <c r="I4613" i="13" s="1"/>
  <c r="N4798" i="14"/>
  <c r="J4797" i="14" a="1"/>
  <c r="J4797" i="14" s="1"/>
  <c r="J4798" i="13" a="1"/>
  <c r="J4798" i="13" s="1"/>
  <c r="N4799" i="13"/>
  <c r="M4801" i="13"/>
  <c r="M4802" i="14"/>
  <c r="K4613" i="13" l="1"/>
  <c r="L4613" i="13" s="1"/>
  <c r="I4614" i="13" s="1"/>
  <c r="M4802" i="13"/>
  <c r="N4800" i="13"/>
  <c r="J4799" i="13" a="1"/>
  <c r="J4799" i="13" s="1"/>
  <c r="M4803" i="14"/>
  <c r="J4798" i="14" a="1"/>
  <c r="J4798" i="14" s="1"/>
  <c r="N4799" i="14"/>
  <c r="K4635" i="14"/>
  <c r="L4635" i="14" s="1"/>
  <c r="I4636" i="14" s="1"/>
  <c r="K4614" i="13" l="1"/>
  <c r="L4614" i="13" s="1"/>
  <c r="I4615" i="13" s="1"/>
  <c r="K4636" i="14"/>
  <c r="L4636" i="14" s="1"/>
  <c r="I4637" i="14" s="1"/>
  <c r="M4803" i="13"/>
  <c r="M4804" i="14"/>
  <c r="J4799" i="14" a="1"/>
  <c r="J4799" i="14" s="1"/>
  <c r="N4800" i="14"/>
  <c r="J4800" i="13" a="1"/>
  <c r="J4800" i="13" s="1"/>
  <c r="N4801" i="13"/>
  <c r="K4637" i="14" l="1"/>
  <c r="L4637" i="14" s="1"/>
  <c r="I4638" i="14" s="1"/>
  <c r="N4802" i="13"/>
  <c r="J4801" i="13" a="1"/>
  <c r="J4801" i="13" s="1"/>
  <c r="M4805" i="14"/>
  <c r="N4801" i="14"/>
  <c r="J4800" i="14" a="1"/>
  <c r="J4800" i="14" s="1"/>
  <c r="M4804" i="13"/>
  <c r="K4615" i="13"/>
  <c r="L4615" i="13" s="1"/>
  <c r="I4616" i="13" s="1"/>
  <c r="K4616" i="13" l="1"/>
  <c r="L4616" i="13" s="1"/>
  <c r="I4617" i="13" s="1"/>
  <c r="K4638" i="14"/>
  <c r="L4638" i="14" s="1"/>
  <c r="I4639" i="14" s="1"/>
  <c r="J4802" i="13" a="1"/>
  <c r="J4802" i="13" s="1"/>
  <c r="N4803" i="13"/>
  <c r="N4802" i="14"/>
  <c r="J4801" i="14" a="1"/>
  <c r="J4801" i="14" s="1"/>
  <c r="M4805" i="13"/>
  <c r="M4806" i="14"/>
  <c r="K4617" i="13" l="1"/>
  <c r="L4617" i="13" s="1"/>
  <c r="I4618" i="13" s="1"/>
  <c r="K4639" i="14"/>
  <c r="L4639" i="14" s="1"/>
  <c r="I4640" i="14" s="1"/>
  <c r="M4807" i="14"/>
  <c r="J4802" i="14" a="1"/>
  <c r="J4802" i="14" s="1"/>
  <c r="N4803" i="14"/>
  <c r="N4804" i="13"/>
  <c r="J4803" i="13" a="1"/>
  <c r="J4803" i="13" s="1"/>
  <c r="M4806" i="13"/>
  <c r="K4640" i="14" l="1"/>
  <c r="L4640" i="14" s="1"/>
  <c r="I4641" i="14" s="1"/>
  <c r="K4618" i="13"/>
  <c r="L4618" i="13" s="1"/>
  <c r="I4619" i="13" s="1"/>
  <c r="M4807" i="13"/>
  <c r="J4803" i="14" a="1"/>
  <c r="J4803" i="14" s="1"/>
  <c r="N4804" i="14"/>
  <c r="M4808" i="14"/>
  <c r="J4804" i="13" a="1"/>
  <c r="J4804" i="13" s="1"/>
  <c r="N4805" i="13"/>
  <c r="K4619" i="13" l="1"/>
  <c r="L4619" i="13" s="1"/>
  <c r="I4620" i="13" s="1"/>
  <c r="K4641" i="14"/>
  <c r="L4641" i="14" s="1"/>
  <c r="I4642" i="14" s="1"/>
  <c r="N4806" i="13"/>
  <c r="J4805" i="13" a="1"/>
  <c r="J4805" i="13" s="1"/>
  <c r="J4804" i="14" a="1"/>
  <c r="J4804" i="14" s="1"/>
  <c r="N4805" i="14"/>
  <c r="M4809" i="14"/>
  <c r="M4808" i="13"/>
  <c r="K4642" i="14" l="1"/>
  <c r="L4642" i="14" s="1"/>
  <c r="I4643" i="14" s="1"/>
  <c r="K4620" i="13"/>
  <c r="L4620" i="13" s="1"/>
  <c r="I4621" i="13" s="1"/>
  <c r="M4809" i="13"/>
  <c r="M4810" i="14"/>
  <c r="N4806" i="14"/>
  <c r="J4805" i="14" a="1"/>
  <c r="J4805" i="14" s="1"/>
  <c r="J4806" i="13" a="1"/>
  <c r="J4806" i="13" s="1"/>
  <c r="N4807" i="13"/>
  <c r="K4621" i="13" l="1"/>
  <c r="L4621" i="13" s="1"/>
  <c r="I4622" i="13" s="1"/>
  <c r="K4643" i="14"/>
  <c r="L4643" i="14" s="1"/>
  <c r="I4644" i="14" s="1"/>
  <c r="N4808" i="13"/>
  <c r="J4807" i="13" a="1"/>
  <c r="J4807" i="13" s="1"/>
  <c r="M4811" i="14"/>
  <c r="J4806" i="14" a="1"/>
  <c r="J4806" i="14" s="1"/>
  <c r="N4807" i="14"/>
  <c r="M4810" i="13"/>
  <c r="K4644" i="14" l="1"/>
  <c r="L4644" i="14" s="1"/>
  <c r="I4645" i="14" s="1"/>
  <c r="K4622" i="13"/>
  <c r="L4622" i="13" s="1"/>
  <c r="I4623" i="13" s="1"/>
  <c r="J4807" i="14" a="1"/>
  <c r="J4807" i="14" s="1"/>
  <c r="N4808" i="14"/>
  <c r="M4811" i="13"/>
  <c r="M4812" i="14"/>
  <c r="J4808" i="13" a="1"/>
  <c r="J4808" i="13" s="1"/>
  <c r="N4809" i="13"/>
  <c r="K4645" i="14" l="1"/>
  <c r="L4645" i="14" s="1"/>
  <c r="I4646" i="14" s="1"/>
  <c r="N4810" i="13"/>
  <c r="J4809" i="13" a="1"/>
  <c r="J4809" i="13" s="1"/>
  <c r="M4812" i="13"/>
  <c r="K4623" i="13"/>
  <c r="L4623" i="13" s="1"/>
  <c r="I4624" i="13" s="1"/>
  <c r="N4809" i="14"/>
  <c r="J4808" i="14" a="1"/>
  <c r="J4808" i="14" s="1"/>
  <c r="M4813" i="14"/>
  <c r="K4624" i="13" l="1"/>
  <c r="L4624" i="13" s="1"/>
  <c r="I4625" i="13" s="1"/>
  <c r="K4646" i="14"/>
  <c r="L4646" i="14" s="1"/>
  <c r="I4647" i="14" s="1"/>
  <c r="J4810" i="13" a="1"/>
  <c r="J4810" i="13" s="1"/>
  <c r="N4811" i="13"/>
  <c r="M4814" i="14"/>
  <c r="M4813" i="13"/>
  <c r="N4810" i="14"/>
  <c r="J4809" i="14" a="1"/>
  <c r="J4809" i="14" s="1"/>
  <c r="K4625" i="13" l="1"/>
  <c r="L4625" i="13" s="1"/>
  <c r="I4626" i="13" s="1"/>
  <c r="K4647" i="14"/>
  <c r="L4647" i="14" s="1"/>
  <c r="I4648" i="14" s="1"/>
  <c r="J4810" i="14" a="1"/>
  <c r="J4810" i="14" s="1"/>
  <c r="N4811" i="14"/>
  <c r="M4815" i="14"/>
  <c r="N4812" i="13"/>
  <c r="J4811" i="13" a="1"/>
  <c r="J4811" i="13" s="1"/>
  <c r="M4814" i="13"/>
  <c r="K4648" i="14" l="1"/>
  <c r="L4648" i="14" s="1"/>
  <c r="I4649" i="14" s="1"/>
  <c r="K4626" i="13"/>
  <c r="L4626" i="13" s="1"/>
  <c r="I4627" i="13" s="1"/>
  <c r="J4812" i="13" a="1"/>
  <c r="J4812" i="13" s="1"/>
  <c r="N4813" i="13"/>
  <c r="M4816" i="14"/>
  <c r="J4811" i="14" a="1"/>
  <c r="J4811" i="14" s="1"/>
  <c r="N4812" i="14"/>
  <c r="M4815" i="13"/>
  <c r="K4627" i="13" l="1"/>
  <c r="L4627" i="13" s="1"/>
  <c r="I4628" i="13" s="1"/>
  <c r="K4649" i="14"/>
  <c r="L4649" i="14" s="1"/>
  <c r="I4650" i="14" s="1"/>
  <c r="J4812" i="14" a="1"/>
  <c r="J4812" i="14" s="1"/>
  <c r="N4813" i="14"/>
  <c r="M4817" i="14"/>
  <c r="M4816" i="13"/>
  <c r="N4814" i="13"/>
  <c r="J4813" i="13" a="1"/>
  <c r="J4813" i="13" s="1"/>
  <c r="K4628" i="13" l="1"/>
  <c r="L4628" i="13" s="1"/>
  <c r="I4629" i="13" s="1"/>
  <c r="J4814" i="13" a="1"/>
  <c r="J4814" i="13" s="1"/>
  <c r="N4815" i="13"/>
  <c r="M4818" i="14"/>
  <c r="K4650" i="14"/>
  <c r="L4650" i="14" s="1"/>
  <c r="I4651" i="14" s="1"/>
  <c r="N4814" i="14"/>
  <c r="J4813" i="14" a="1"/>
  <c r="J4813" i="14" s="1"/>
  <c r="M4817" i="13"/>
  <c r="K4651" i="14" l="1"/>
  <c r="L4651" i="14" s="1"/>
  <c r="I4652" i="14" s="1"/>
  <c r="K4629" i="13"/>
  <c r="L4629" i="13" s="1"/>
  <c r="I4630" i="13" s="1"/>
  <c r="N4816" i="13"/>
  <c r="J4815" i="13" a="1"/>
  <c r="J4815" i="13" s="1"/>
  <c r="M4818" i="13"/>
  <c r="J4814" i="14" a="1"/>
  <c r="J4814" i="14" s="1"/>
  <c r="N4815" i="14"/>
  <c r="M4819" i="14"/>
  <c r="K4630" i="13" l="1"/>
  <c r="L4630" i="13" s="1"/>
  <c r="I4631" i="13" s="1"/>
  <c r="K4652" i="14"/>
  <c r="L4652" i="14" s="1"/>
  <c r="I4653" i="14" s="1"/>
  <c r="M4819" i="13"/>
  <c r="M4820" i="14"/>
  <c r="J4815" i="14" a="1"/>
  <c r="J4815" i="14" s="1"/>
  <c r="N4816" i="14"/>
  <c r="J4816" i="13" a="1"/>
  <c r="J4816" i="13" s="1"/>
  <c r="N4817" i="13"/>
  <c r="K4653" i="14" l="1"/>
  <c r="L4653" i="14" s="1"/>
  <c r="I4654" i="14" s="1"/>
  <c r="K4631" i="13"/>
  <c r="L4631" i="13" s="1"/>
  <c r="I4632" i="13" s="1"/>
  <c r="N4818" i="13"/>
  <c r="J4817" i="13" a="1"/>
  <c r="J4817" i="13" s="1"/>
  <c r="M4821" i="14"/>
  <c r="N4817" i="14"/>
  <c r="J4816" i="14" a="1"/>
  <c r="J4816" i="14" s="1"/>
  <c r="M4820" i="13"/>
  <c r="K4632" i="13" l="1"/>
  <c r="L4632" i="13" s="1"/>
  <c r="I4633" i="13" s="1"/>
  <c r="K4654" i="14"/>
  <c r="L4654" i="14" s="1"/>
  <c r="I4655" i="14" s="1"/>
  <c r="N4818" i="14"/>
  <c r="J4817" i="14" a="1"/>
  <c r="J4817" i="14" s="1"/>
  <c r="M4821" i="13"/>
  <c r="M4822" i="14"/>
  <c r="J4818" i="13" a="1"/>
  <c r="J4818" i="13" s="1"/>
  <c r="N4819" i="13"/>
  <c r="K4655" i="14" l="1"/>
  <c r="L4655" i="14" s="1"/>
  <c r="I4656" i="14" s="1"/>
  <c r="K4633" i="13"/>
  <c r="L4633" i="13" s="1"/>
  <c r="I4634" i="13" s="1"/>
  <c r="M4823" i="14"/>
  <c r="N4820" i="13"/>
  <c r="J4819" i="13" a="1"/>
  <c r="J4819" i="13" s="1"/>
  <c r="M4822" i="13"/>
  <c r="J4818" i="14" a="1"/>
  <c r="J4818" i="14" s="1"/>
  <c r="N4819" i="14"/>
  <c r="K4634" i="13" l="1"/>
  <c r="L4634" i="13" s="1"/>
  <c r="I4635" i="13" s="1"/>
  <c r="K4656" i="14"/>
  <c r="L4656" i="14" s="1"/>
  <c r="I4657" i="14" s="1"/>
  <c r="J4819" i="14" a="1"/>
  <c r="J4819" i="14" s="1"/>
  <c r="N4820" i="14"/>
  <c r="J4820" i="13" a="1"/>
  <c r="J4820" i="13" s="1"/>
  <c r="N4821" i="13"/>
  <c r="M4823" i="13"/>
  <c r="M4824" i="14"/>
  <c r="K4635" i="13" l="1"/>
  <c r="L4635" i="13" s="1"/>
  <c r="I4636" i="13" s="1"/>
  <c r="M4824" i="13"/>
  <c r="M4825" i="14"/>
  <c r="N4822" i="13"/>
  <c r="J4821" i="13" a="1"/>
  <c r="J4821" i="13" s="1"/>
  <c r="K4657" i="14"/>
  <c r="L4657" i="14" s="1"/>
  <c r="I4658" i="14" s="1"/>
  <c r="J4820" i="14" a="1"/>
  <c r="J4820" i="14" s="1"/>
  <c r="N4821" i="14"/>
  <c r="K4658" i="14" l="1"/>
  <c r="L4658" i="14" s="1"/>
  <c r="I4659" i="14" s="1"/>
  <c r="K4636" i="13"/>
  <c r="L4636" i="13" s="1"/>
  <c r="I4637" i="13" s="1"/>
  <c r="M4825" i="13"/>
  <c r="N4822" i="14"/>
  <c r="J4821" i="14" a="1"/>
  <c r="J4821" i="14" s="1"/>
  <c r="J4822" i="13" a="1"/>
  <c r="J4822" i="13" s="1"/>
  <c r="N4823" i="13"/>
  <c r="M4826" i="14"/>
  <c r="K4637" i="13" l="1"/>
  <c r="L4637" i="13" s="1"/>
  <c r="I4638" i="13" s="1"/>
  <c r="K4659" i="14"/>
  <c r="L4659" i="14" s="1"/>
  <c r="I4660" i="14" s="1"/>
  <c r="J4822" i="14" a="1"/>
  <c r="J4822" i="14" s="1"/>
  <c r="N4823" i="14"/>
  <c r="M4827" i="14"/>
  <c r="N4824" i="13"/>
  <c r="J4823" i="13" a="1"/>
  <c r="J4823" i="13" s="1"/>
  <c r="M4826" i="13"/>
  <c r="K4660" i="14" l="1"/>
  <c r="L4660" i="14" s="1"/>
  <c r="I4661" i="14" s="1"/>
  <c r="K4638" i="13"/>
  <c r="L4638" i="13" s="1"/>
  <c r="I4639" i="13" s="1"/>
  <c r="M4827" i="13"/>
  <c r="J4824" i="13" a="1"/>
  <c r="J4824" i="13" s="1"/>
  <c r="N4825" i="13"/>
  <c r="M4828" i="14"/>
  <c r="J4823" i="14" a="1"/>
  <c r="J4823" i="14" s="1"/>
  <c r="N4824" i="14"/>
  <c r="K4639" i="13" l="1"/>
  <c r="L4639" i="13" s="1"/>
  <c r="I4640" i="13" s="1"/>
  <c r="K4661" i="14"/>
  <c r="L4661" i="14" s="1"/>
  <c r="I4662" i="14" s="1"/>
  <c r="N4826" i="13"/>
  <c r="J4825" i="13" a="1"/>
  <c r="J4825" i="13" s="1"/>
  <c r="N4825" i="14"/>
  <c r="J4824" i="14" a="1"/>
  <c r="J4824" i="14" s="1"/>
  <c r="M4829" i="14"/>
  <c r="M4828" i="13"/>
  <c r="K4640" i="13" l="1"/>
  <c r="L4640" i="13" s="1"/>
  <c r="I4641" i="13" s="1"/>
  <c r="M4830" i="14"/>
  <c r="M4829" i="13"/>
  <c r="K4662" i="14"/>
  <c r="L4662" i="14" s="1"/>
  <c r="I4663" i="14" s="1"/>
  <c r="N4826" i="14"/>
  <c r="J4825" i="14" a="1"/>
  <c r="J4825" i="14" s="1"/>
  <c r="J4826" i="13" a="1"/>
  <c r="J4826" i="13" s="1"/>
  <c r="N4827" i="13"/>
  <c r="K4641" i="13" l="1"/>
  <c r="L4641" i="13" s="1"/>
  <c r="I4642" i="13" s="1"/>
  <c r="K4663" i="14"/>
  <c r="L4663" i="14" s="1"/>
  <c r="I4664" i="14" s="1"/>
  <c r="N4828" i="13"/>
  <c r="J4827" i="13" a="1"/>
  <c r="J4827" i="13" s="1"/>
  <c r="M4831" i="14"/>
  <c r="J4826" i="14" a="1"/>
  <c r="J4826" i="14" s="1"/>
  <c r="N4827" i="14"/>
  <c r="M4830" i="13"/>
  <c r="K4642" i="13" l="1"/>
  <c r="L4642" i="13" s="1"/>
  <c r="I4643" i="13" s="1"/>
  <c r="M4831" i="13"/>
  <c r="M4832" i="14"/>
  <c r="K4664" i="14"/>
  <c r="L4664" i="14" s="1"/>
  <c r="I4665" i="14" s="1"/>
  <c r="J4827" i="14" a="1"/>
  <c r="J4827" i="14" s="1"/>
  <c r="N4828" i="14"/>
  <c r="J4828" i="13" a="1"/>
  <c r="J4828" i="13" s="1"/>
  <c r="N4829" i="13"/>
  <c r="K4643" i="13" l="1"/>
  <c r="L4643" i="13" s="1"/>
  <c r="I4644" i="13" s="1"/>
  <c r="N4830" i="13"/>
  <c r="J4829" i="13" a="1"/>
  <c r="J4829" i="13" s="1"/>
  <c r="K4665" i="14"/>
  <c r="L4665" i="14" s="1"/>
  <c r="I4666" i="14" s="1"/>
  <c r="M4832" i="13"/>
  <c r="J4828" i="14" a="1"/>
  <c r="J4828" i="14" s="1"/>
  <c r="N4829" i="14"/>
  <c r="M4833" i="14"/>
  <c r="K4666" i="14" l="1"/>
  <c r="L4666" i="14" s="1"/>
  <c r="I4667" i="14" s="1"/>
  <c r="K4644" i="13"/>
  <c r="L4644" i="13" s="1"/>
  <c r="I4645" i="13" s="1"/>
  <c r="M4834" i="14"/>
  <c r="M4833" i="13"/>
  <c r="J4830" i="13" a="1"/>
  <c r="J4830" i="13" s="1"/>
  <c r="N4831" i="13"/>
  <c r="N4830" i="14"/>
  <c r="J4829" i="14" a="1"/>
  <c r="J4829" i="14" s="1"/>
  <c r="K4645" i="13" l="1"/>
  <c r="L4645" i="13" s="1"/>
  <c r="I4646" i="13" s="1"/>
  <c r="K4667" i="14"/>
  <c r="L4667" i="14" s="1"/>
  <c r="I4668" i="14" s="1"/>
  <c r="J4830" i="14" a="1"/>
  <c r="J4830" i="14" s="1"/>
  <c r="N4831" i="14"/>
  <c r="M4834" i="13"/>
  <c r="N4832" i="13"/>
  <c r="J4831" i="13" a="1"/>
  <c r="J4831" i="13" s="1"/>
  <c r="M4835" i="14"/>
  <c r="K4646" i="13" l="1"/>
  <c r="L4646" i="13" s="1"/>
  <c r="I4647" i="13" s="1"/>
  <c r="K4668" i="14"/>
  <c r="L4668" i="14" s="1"/>
  <c r="I4669" i="14" s="1"/>
  <c r="J4832" i="13" a="1"/>
  <c r="J4832" i="13" s="1"/>
  <c r="N4833" i="13"/>
  <c r="M4835" i="13"/>
  <c r="M4836" i="14"/>
  <c r="J4831" i="14" a="1"/>
  <c r="J4831" i="14" s="1"/>
  <c r="N4832" i="14"/>
  <c r="K4669" i="14" l="1"/>
  <c r="L4669" i="14" s="1"/>
  <c r="I4670" i="14" s="1"/>
  <c r="K4647" i="13"/>
  <c r="L4647" i="13" s="1"/>
  <c r="I4648" i="13" s="1"/>
  <c r="N4833" i="14"/>
  <c r="J4832" i="14" a="1"/>
  <c r="J4832" i="14" s="1"/>
  <c r="M4836" i="13"/>
  <c r="M4837" i="14"/>
  <c r="N4834" i="13"/>
  <c r="J4833" i="13" a="1"/>
  <c r="J4833" i="13" s="1"/>
  <c r="K4670" i="14" l="1"/>
  <c r="L4670" i="14" s="1"/>
  <c r="I4671" i="14" s="1"/>
  <c r="M4837" i="13"/>
  <c r="K4648" i="13"/>
  <c r="L4648" i="13" s="1"/>
  <c r="I4649" i="13" s="1"/>
  <c r="J4834" i="13" a="1"/>
  <c r="J4834" i="13" s="1"/>
  <c r="N4835" i="13"/>
  <c r="M4838" i="14"/>
  <c r="N4834" i="14"/>
  <c r="J4833" i="14" a="1"/>
  <c r="J4833" i="14" s="1"/>
  <c r="K4649" i="13" l="1"/>
  <c r="L4649" i="13" s="1"/>
  <c r="I4650" i="13" s="1"/>
  <c r="K4671" i="14"/>
  <c r="L4671" i="14" s="1"/>
  <c r="I4672" i="14" s="1"/>
  <c r="N4836" i="13"/>
  <c r="J4835" i="13" a="1"/>
  <c r="J4835" i="13" s="1"/>
  <c r="J4834" i="14" a="1"/>
  <c r="J4834" i="14" s="1"/>
  <c r="N4835" i="14"/>
  <c r="M4838" i="13"/>
  <c r="M4839" i="14"/>
  <c r="K4650" i="13" l="1"/>
  <c r="L4650" i="13" s="1"/>
  <c r="I4651" i="13" s="1"/>
  <c r="J4835" i="14" a="1"/>
  <c r="J4835" i="14" s="1"/>
  <c r="N4836" i="14"/>
  <c r="K4672" i="14"/>
  <c r="L4672" i="14" s="1"/>
  <c r="I4673" i="14" s="1"/>
  <c r="M4839" i="13"/>
  <c r="M4840" i="14"/>
  <c r="J4836" i="13" a="1"/>
  <c r="J4836" i="13" s="1"/>
  <c r="N4837" i="13"/>
  <c r="K4673" i="14" l="1"/>
  <c r="L4673" i="14" s="1"/>
  <c r="I4674" i="14" s="1"/>
  <c r="K4651" i="13"/>
  <c r="L4651" i="13" s="1"/>
  <c r="I4652" i="13" s="1"/>
  <c r="J4836" i="14" a="1"/>
  <c r="J4836" i="14" s="1"/>
  <c r="N4837" i="14"/>
  <c r="N4838" i="13"/>
  <c r="J4837" i="13" a="1"/>
  <c r="J4837" i="13" s="1"/>
  <c r="M4840" i="13"/>
  <c r="M4841" i="14"/>
  <c r="K4674" i="14" l="1"/>
  <c r="L4674" i="14" s="1"/>
  <c r="I4675" i="14" s="1"/>
  <c r="M4842" i="14"/>
  <c r="M4841" i="13"/>
  <c r="K4652" i="13"/>
  <c r="L4652" i="13" s="1"/>
  <c r="I4653" i="13" s="1"/>
  <c r="N4838" i="14"/>
  <c r="J4837" i="14" a="1"/>
  <c r="J4837" i="14" s="1"/>
  <c r="J4838" i="13" a="1"/>
  <c r="J4838" i="13" s="1"/>
  <c r="N4839" i="13"/>
  <c r="K4675" i="14" l="1"/>
  <c r="L4675" i="14" s="1"/>
  <c r="I4676" i="14" s="1"/>
  <c r="N4840" i="13"/>
  <c r="J4839" i="13" a="1"/>
  <c r="J4839" i="13" s="1"/>
  <c r="K4653" i="13"/>
  <c r="L4653" i="13" s="1"/>
  <c r="I4654" i="13" s="1"/>
  <c r="M4843" i="14"/>
  <c r="J4838" i="14" a="1"/>
  <c r="J4838" i="14" s="1"/>
  <c r="N4839" i="14"/>
  <c r="M4842" i="13"/>
  <c r="K4654" i="13" l="1"/>
  <c r="L4654" i="13" s="1"/>
  <c r="I4655" i="13" s="1"/>
  <c r="K4676" i="14"/>
  <c r="L4676" i="14" s="1"/>
  <c r="I4677" i="14" s="1"/>
  <c r="M4843" i="13"/>
  <c r="M4844" i="14"/>
  <c r="J4840" i="13" a="1"/>
  <c r="J4840" i="13" s="1"/>
  <c r="N4841" i="13"/>
  <c r="J4839" i="14" a="1"/>
  <c r="J4839" i="14" s="1"/>
  <c r="N4840" i="14"/>
  <c r="K4677" i="14" l="1"/>
  <c r="L4677" i="14" s="1"/>
  <c r="I4678" i="14" s="1"/>
  <c r="K4655" i="13"/>
  <c r="L4655" i="13" s="1"/>
  <c r="I4656" i="13" s="1"/>
  <c r="N4841" i="14"/>
  <c r="J4840" i="14" a="1"/>
  <c r="J4840" i="14" s="1"/>
  <c r="M4845" i="14"/>
  <c r="N4842" i="13"/>
  <c r="J4841" i="13" a="1"/>
  <c r="J4841" i="13" s="1"/>
  <c r="M4844" i="13"/>
  <c r="K4678" i="14" l="1"/>
  <c r="L4678" i="14" s="1"/>
  <c r="I4679" i="14" s="1"/>
  <c r="M4845" i="13"/>
  <c r="K4656" i="13"/>
  <c r="L4656" i="13" s="1"/>
  <c r="I4657" i="13" s="1"/>
  <c r="M4846" i="14"/>
  <c r="J4842" i="13" a="1"/>
  <c r="J4842" i="13" s="1"/>
  <c r="N4843" i="13"/>
  <c r="N4842" i="14"/>
  <c r="J4841" i="14" a="1"/>
  <c r="J4841" i="14" s="1"/>
  <c r="K4657" i="13" l="1"/>
  <c r="L4657" i="13" s="1"/>
  <c r="I4658" i="13" s="1"/>
  <c r="K4679" i="14"/>
  <c r="L4679" i="14" s="1"/>
  <c r="I4680" i="14" s="1"/>
  <c r="J4842" i="14" a="1"/>
  <c r="J4842" i="14" s="1"/>
  <c r="N4843" i="14"/>
  <c r="M4847" i="14"/>
  <c r="M4846" i="13"/>
  <c r="N4844" i="13"/>
  <c r="J4843" i="13" a="1"/>
  <c r="J4843" i="13" s="1"/>
  <c r="K4658" i="13" l="1"/>
  <c r="L4658" i="13" s="1"/>
  <c r="I4659" i="13" s="1"/>
  <c r="M4848" i="14"/>
  <c r="J4844" i="13" a="1"/>
  <c r="J4844" i="13" s="1"/>
  <c r="N4845" i="13"/>
  <c r="K4680" i="14"/>
  <c r="L4680" i="14" s="1"/>
  <c r="I4681" i="14" s="1"/>
  <c r="M4847" i="13"/>
  <c r="J4843" i="14" a="1"/>
  <c r="J4843" i="14" s="1"/>
  <c r="N4844" i="14"/>
  <c r="K4659" i="13" l="1"/>
  <c r="L4659" i="13" s="1"/>
  <c r="I4660" i="13" s="1"/>
  <c r="J4844" i="14" a="1"/>
  <c r="J4844" i="14" s="1"/>
  <c r="N4845" i="14"/>
  <c r="M4849" i="14"/>
  <c r="K4681" i="14"/>
  <c r="L4681" i="14" s="1"/>
  <c r="I4682" i="14" s="1"/>
  <c r="N4846" i="13"/>
  <c r="J4845" i="13" a="1"/>
  <c r="J4845" i="13" s="1"/>
  <c r="M4848" i="13"/>
  <c r="K4682" i="14" l="1"/>
  <c r="L4682" i="14" s="1"/>
  <c r="I4683" i="14" s="1"/>
  <c r="K4660" i="13"/>
  <c r="L4660" i="13" s="1"/>
  <c r="I4661" i="13" s="1"/>
  <c r="N4846" i="14"/>
  <c r="J4845" i="14" a="1"/>
  <c r="J4845" i="14" s="1"/>
  <c r="M4849" i="13"/>
  <c r="J4846" i="13" a="1"/>
  <c r="J4846" i="13" s="1"/>
  <c r="N4847" i="13"/>
  <c r="M4850" i="14"/>
  <c r="K4683" i="14" l="1"/>
  <c r="L4683" i="14" s="1"/>
  <c r="I4684" i="14" s="1"/>
  <c r="M4850" i="13"/>
  <c r="K4661" i="13"/>
  <c r="L4661" i="13" s="1"/>
  <c r="I4662" i="13" s="1"/>
  <c r="N4848" i="13"/>
  <c r="J4847" i="13" a="1"/>
  <c r="J4847" i="13" s="1"/>
  <c r="M4851" i="14"/>
  <c r="J4846" i="14" a="1"/>
  <c r="J4846" i="14" s="1"/>
  <c r="N4847" i="14"/>
  <c r="K4662" i="13" l="1"/>
  <c r="L4662" i="13" s="1"/>
  <c r="I4663" i="13" s="1"/>
  <c r="K4684" i="14"/>
  <c r="L4684" i="14" s="1"/>
  <c r="I4685" i="14" s="1"/>
  <c r="J4847" i="14" a="1"/>
  <c r="J4847" i="14" s="1"/>
  <c r="N4848" i="14"/>
  <c r="M4851" i="13"/>
  <c r="J4848" i="13" a="1"/>
  <c r="J4848" i="13" s="1"/>
  <c r="N4849" i="13"/>
  <c r="M4852" i="14"/>
  <c r="K4663" i="13" l="1"/>
  <c r="L4663" i="13" s="1"/>
  <c r="I4664" i="13" s="1"/>
  <c r="M4853" i="14"/>
  <c r="M4852" i="13"/>
  <c r="K4685" i="14"/>
  <c r="L4685" i="14" s="1"/>
  <c r="I4686" i="14" s="1"/>
  <c r="N4849" i="14"/>
  <c r="J4848" i="14" a="1"/>
  <c r="J4848" i="14" s="1"/>
  <c r="N4850" i="13"/>
  <c r="J4849" i="13" a="1"/>
  <c r="J4849" i="13" s="1"/>
  <c r="K4664" i="13" l="1"/>
  <c r="L4664" i="13" s="1"/>
  <c r="I4665" i="13" s="1"/>
  <c r="J4850" i="13" a="1"/>
  <c r="J4850" i="13" s="1"/>
  <c r="N4851" i="13"/>
  <c r="K4686" i="14"/>
  <c r="L4686" i="14" s="1"/>
  <c r="I4687" i="14" s="1"/>
  <c r="M4854" i="14"/>
  <c r="M4853" i="13"/>
  <c r="N4850" i="14"/>
  <c r="J4849" i="14" a="1"/>
  <c r="J4849" i="14" s="1"/>
  <c r="K4687" i="14" l="1"/>
  <c r="L4687" i="14" s="1"/>
  <c r="I4688" i="14" s="1"/>
  <c r="K4665" i="13"/>
  <c r="L4665" i="13" s="1"/>
  <c r="I4666" i="13" s="1"/>
  <c r="N4852" i="13"/>
  <c r="J4851" i="13" a="1"/>
  <c r="J4851" i="13" s="1"/>
  <c r="J4850" i="14" a="1"/>
  <c r="J4850" i="14" s="1"/>
  <c r="N4851" i="14"/>
  <c r="M4855" i="14"/>
  <c r="M4854" i="13"/>
  <c r="K4666" i="13" l="1"/>
  <c r="L4666" i="13" s="1"/>
  <c r="I4667" i="13" s="1"/>
  <c r="K4688" i="14"/>
  <c r="L4688" i="14" s="1"/>
  <c r="I4689" i="14" s="1"/>
  <c r="J4851" i="14" a="1"/>
  <c r="J4851" i="14" s="1"/>
  <c r="N4852" i="14"/>
  <c r="M4855" i="13"/>
  <c r="M4856" i="14"/>
  <c r="J4852" i="13" a="1"/>
  <c r="J4852" i="13" s="1"/>
  <c r="N4853" i="13"/>
  <c r="K4689" i="14" l="1"/>
  <c r="L4689" i="14" s="1"/>
  <c r="I4690" i="14" s="1"/>
  <c r="K4667" i="13"/>
  <c r="L4667" i="13" s="1"/>
  <c r="I4668" i="13" s="1"/>
  <c r="N4854" i="13"/>
  <c r="J4853" i="13" a="1"/>
  <c r="J4853" i="13" s="1"/>
  <c r="M4856" i="13"/>
  <c r="M4857" i="14"/>
  <c r="J4852" i="14" a="1"/>
  <c r="J4852" i="14" s="1"/>
  <c r="N4853" i="14"/>
  <c r="K4690" i="14" l="1"/>
  <c r="L4690" i="14" s="1"/>
  <c r="I4691" i="14" s="1"/>
  <c r="N4854" i="14"/>
  <c r="J4853" i="14" a="1"/>
  <c r="J4853" i="14" s="1"/>
  <c r="M4857" i="13"/>
  <c r="K4668" i="13"/>
  <c r="L4668" i="13" s="1"/>
  <c r="I4669" i="13" s="1"/>
  <c r="M4858" i="14"/>
  <c r="J4854" i="13" a="1"/>
  <c r="J4854" i="13" s="1"/>
  <c r="N4855" i="13"/>
  <c r="K4669" i="13" l="1"/>
  <c r="L4669" i="13" s="1"/>
  <c r="I4670" i="13" s="1"/>
  <c r="K4691" i="14"/>
  <c r="L4691" i="14" s="1"/>
  <c r="I4692" i="14" s="1"/>
  <c r="N4856" i="13"/>
  <c r="J4855" i="13" a="1"/>
  <c r="J4855" i="13" s="1"/>
  <c r="J4854" i="14" a="1"/>
  <c r="J4854" i="14" s="1"/>
  <c r="N4855" i="14"/>
  <c r="M4859" i="14"/>
  <c r="M4858" i="13"/>
  <c r="K4670" i="13" l="1"/>
  <c r="L4670" i="13" s="1"/>
  <c r="I4671" i="13" s="1"/>
  <c r="M4859" i="13"/>
  <c r="J4855" i="14" a="1"/>
  <c r="J4855" i="14" s="1"/>
  <c r="N4856" i="14"/>
  <c r="K4692" i="14"/>
  <c r="L4692" i="14" s="1"/>
  <c r="I4693" i="14" s="1"/>
  <c r="M4860" i="14"/>
  <c r="J4856" i="13" a="1"/>
  <c r="J4856" i="13" s="1"/>
  <c r="N4857" i="13"/>
  <c r="K4671" i="13" l="1"/>
  <c r="L4671" i="13" s="1"/>
  <c r="I4672" i="13" s="1"/>
  <c r="N4858" i="13"/>
  <c r="J4857" i="13" a="1"/>
  <c r="J4857" i="13" s="1"/>
  <c r="K4693" i="14"/>
  <c r="L4693" i="14" s="1"/>
  <c r="I4694" i="14" s="1"/>
  <c r="M4860" i="13"/>
  <c r="M4861" i="14"/>
  <c r="N4857" i="14"/>
  <c r="J4856" i="14" a="1"/>
  <c r="J4856" i="14" s="1"/>
  <c r="K4694" i="14" l="1"/>
  <c r="L4694" i="14" s="1"/>
  <c r="I4695" i="14" s="1"/>
  <c r="K4672" i="13"/>
  <c r="L4672" i="13" s="1"/>
  <c r="I4673" i="13" s="1"/>
  <c r="M4861" i="13"/>
  <c r="J4858" i="13" a="1"/>
  <c r="J4858" i="13" s="1"/>
  <c r="N4859" i="13"/>
  <c r="N4858" i="14"/>
  <c r="J4857" i="14" a="1"/>
  <c r="J4857" i="14" s="1"/>
  <c r="M4862" i="14"/>
  <c r="K4695" i="14" l="1"/>
  <c r="L4695" i="14" s="1"/>
  <c r="I4696" i="14" s="1"/>
  <c r="N4860" i="13"/>
  <c r="J4859" i="13" a="1"/>
  <c r="J4859" i="13" s="1"/>
  <c r="M4863" i="14"/>
  <c r="K4673" i="13"/>
  <c r="L4673" i="13" s="1"/>
  <c r="I4674" i="13" s="1"/>
  <c r="J4858" i="14" a="1"/>
  <c r="J4858" i="14" s="1"/>
  <c r="N4859" i="14"/>
  <c r="M4862" i="13"/>
  <c r="K4696" i="14" l="1"/>
  <c r="L4696" i="14" s="1"/>
  <c r="I4697" i="14" s="1"/>
  <c r="M4863" i="13"/>
  <c r="J4860" i="13" a="1"/>
  <c r="J4860" i="13" s="1"/>
  <c r="N4861" i="13"/>
  <c r="J4859" i="14" a="1"/>
  <c r="J4859" i="14" s="1"/>
  <c r="N4860" i="14"/>
  <c r="M4864" i="14"/>
  <c r="K4674" i="13"/>
  <c r="L4674" i="13" s="1"/>
  <c r="I4675" i="13" s="1"/>
  <c r="K4697" i="14" l="1"/>
  <c r="L4697" i="14" s="1"/>
  <c r="I4698" i="14" s="1"/>
  <c r="J4860" i="14" a="1"/>
  <c r="J4860" i="14" s="1"/>
  <c r="N4861" i="14"/>
  <c r="M4864" i="13"/>
  <c r="N4862" i="13"/>
  <c r="J4861" i="13" a="1"/>
  <c r="J4861" i="13" s="1"/>
  <c r="K4675" i="13"/>
  <c r="L4675" i="13" s="1"/>
  <c r="I4676" i="13" s="1"/>
  <c r="M4865" i="14"/>
  <c r="K4676" i="13" l="1"/>
  <c r="L4676" i="13" s="1"/>
  <c r="I4677" i="13" s="1"/>
  <c r="K4698" i="14"/>
  <c r="L4698" i="14" s="1"/>
  <c r="I4699" i="14" s="1"/>
  <c r="N4862" i="14"/>
  <c r="J4861" i="14" a="1"/>
  <c r="J4861" i="14" s="1"/>
  <c r="M4866" i="14"/>
  <c r="J4862" i="13" a="1"/>
  <c r="J4862" i="13" s="1"/>
  <c r="N4863" i="13"/>
  <c r="M4865" i="13"/>
  <c r="K4699" i="14" l="1"/>
  <c r="L4699" i="14" s="1"/>
  <c r="I4700" i="14" s="1"/>
  <c r="K4677" i="13"/>
  <c r="L4677" i="13" s="1"/>
  <c r="I4678" i="13" s="1"/>
  <c r="N4864" i="13"/>
  <c r="J4863" i="13" a="1"/>
  <c r="J4863" i="13" s="1"/>
  <c r="M4866" i="13"/>
  <c r="M4867" i="14"/>
  <c r="J4862" i="14" a="1"/>
  <c r="J4862" i="14" s="1"/>
  <c r="N4863" i="14"/>
  <c r="K4700" i="14" l="1"/>
  <c r="L4700" i="14" s="1"/>
  <c r="I4701" i="14" s="1"/>
  <c r="M4868" i="14"/>
  <c r="J4863" i="14" a="1"/>
  <c r="J4863" i="14" s="1"/>
  <c r="N4864" i="14"/>
  <c r="M4867" i="13"/>
  <c r="K4678" i="13"/>
  <c r="L4678" i="13" s="1"/>
  <c r="I4679" i="13" s="1"/>
  <c r="J4864" i="13" a="1"/>
  <c r="J4864" i="13" s="1"/>
  <c r="N4865" i="13"/>
  <c r="K4679" i="13" l="1"/>
  <c r="L4679" i="13" s="1"/>
  <c r="I4680" i="13" s="1"/>
  <c r="K4701" i="14"/>
  <c r="L4701" i="14" s="1"/>
  <c r="I4702" i="14" s="1"/>
  <c r="M4869" i="14"/>
  <c r="N4866" i="13"/>
  <c r="J4865" i="13" a="1"/>
  <c r="J4865" i="13" s="1"/>
  <c r="M4868" i="13"/>
  <c r="N4865" i="14"/>
  <c r="J4864" i="14" a="1"/>
  <c r="J4864" i="14" s="1"/>
  <c r="K4680" i="13" l="1"/>
  <c r="L4680" i="13" s="1"/>
  <c r="I4681" i="13" s="1"/>
  <c r="K4702" i="14"/>
  <c r="L4702" i="14" s="1"/>
  <c r="I4703" i="14" s="1"/>
  <c r="N4866" i="14"/>
  <c r="J4865" i="14" a="1"/>
  <c r="J4865" i="14" s="1"/>
  <c r="M4869" i="13"/>
  <c r="J4866" i="13" a="1"/>
  <c r="J4866" i="13" s="1"/>
  <c r="N4867" i="13"/>
  <c r="M4870" i="14"/>
  <c r="K4681" i="13" l="1"/>
  <c r="L4681" i="13" s="1"/>
  <c r="I4682" i="13" s="1"/>
  <c r="M4871" i="14"/>
  <c r="M4870" i="13"/>
  <c r="K4703" i="14"/>
  <c r="L4703" i="14" s="1"/>
  <c r="I4704" i="14" s="1"/>
  <c r="N4868" i="13"/>
  <c r="J4867" i="13" a="1"/>
  <c r="J4867" i="13" s="1"/>
  <c r="J4866" i="14" a="1"/>
  <c r="J4866" i="14" s="1"/>
  <c r="N4867" i="14"/>
  <c r="K4682" i="13" l="1"/>
  <c r="L4682" i="13" s="1"/>
  <c r="I4683" i="13" s="1"/>
  <c r="K4704" i="14"/>
  <c r="L4704" i="14" s="1"/>
  <c r="I4705" i="14" s="1"/>
  <c r="J4867" i="14" a="1"/>
  <c r="J4867" i="14" s="1"/>
  <c r="N4868" i="14"/>
  <c r="M4872" i="14"/>
  <c r="M4871" i="13"/>
  <c r="J4868" i="13" a="1"/>
  <c r="J4868" i="13" s="1"/>
  <c r="N4869" i="13"/>
  <c r="K4683" i="13" l="1"/>
  <c r="L4683" i="13" s="1"/>
  <c r="I4684" i="13" s="1"/>
  <c r="N4870" i="13"/>
  <c r="J4869" i="13" a="1"/>
  <c r="J4869" i="13" s="1"/>
  <c r="M4873" i="14"/>
  <c r="K4705" i="14"/>
  <c r="L4705" i="14" s="1"/>
  <c r="I4706" i="14" s="1"/>
  <c r="J4868" i="14" a="1"/>
  <c r="J4868" i="14" s="1"/>
  <c r="N4869" i="14"/>
  <c r="M4872" i="13"/>
  <c r="K4706" i="14" l="1"/>
  <c r="L4706" i="14" s="1"/>
  <c r="I4707" i="14" s="1"/>
  <c r="K4684" i="13"/>
  <c r="L4684" i="13" s="1"/>
  <c r="I4685" i="13" s="1"/>
  <c r="J4870" i="13" a="1"/>
  <c r="J4870" i="13" s="1"/>
  <c r="N4871" i="13"/>
  <c r="M4873" i="13"/>
  <c r="N4870" i="14"/>
  <c r="J4869" i="14" a="1"/>
  <c r="J4869" i="14" s="1"/>
  <c r="M4874" i="14"/>
  <c r="K4685" i="13" l="1"/>
  <c r="L4685" i="13" s="1"/>
  <c r="I4686" i="13" s="1"/>
  <c r="K4707" i="14"/>
  <c r="L4707" i="14" s="1"/>
  <c r="I4708" i="14" s="1"/>
  <c r="J4870" i="14" a="1"/>
  <c r="J4870" i="14" s="1"/>
  <c r="N4871" i="14"/>
  <c r="M4875" i="14"/>
  <c r="M4874" i="13"/>
  <c r="N4872" i="13"/>
  <c r="J4871" i="13" a="1"/>
  <c r="J4871" i="13" s="1"/>
  <c r="K4708" i="14" l="1"/>
  <c r="L4708" i="14" s="1"/>
  <c r="I4709" i="14" s="1"/>
  <c r="K4686" i="13"/>
  <c r="L4686" i="13" s="1"/>
  <c r="I4687" i="13" s="1"/>
  <c r="J4872" i="13" a="1"/>
  <c r="J4872" i="13" s="1"/>
  <c r="N4873" i="13"/>
  <c r="M4876" i="14"/>
  <c r="M4875" i="13"/>
  <c r="J4871" i="14" a="1"/>
  <c r="J4871" i="14" s="1"/>
  <c r="N4872" i="14"/>
  <c r="K4687" i="13" l="1"/>
  <c r="L4687" i="13" s="1"/>
  <c r="I4688" i="13" s="1"/>
  <c r="K4709" i="14"/>
  <c r="L4709" i="14" s="1"/>
  <c r="I4710" i="14" s="1"/>
  <c r="N4873" i="14"/>
  <c r="J4872" i="14" a="1"/>
  <c r="J4872" i="14" s="1"/>
  <c r="M4877" i="14"/>
  <c r="N4874" i="13"/>
  <c r="J4873" i="13" a="1"/>
  <c r="J4873" i="13" s="1"/>
  <c r="M4876" i="13"/>
  <c r="K4688" i="13" l="1"/>
  <c r="L4688" i="13" s="1"/>
  <c r="I4689" i="13" s="1"/>
  <c r="K4710" i="14"/>
  <c r="L4710" i="14" s="1"/>
  <c r="I4711" i="14" s="1"/>
  <c r="J4874" i="13" a="1"/>
  <c r="J4874" i="13" s="1"/>
  <c r="N4875" i="13"/>
  <c r="M4877" i="13"/>
  <c r="M4878" i="14"/>
  <c r="N4874" i="14"/>
  <c r="J4873" i="14" a="1"/>
  <c r="J4873" i="14" s="1"/>
  <c r="K4689" i="13" l="1"/>
  <c r="L4689" i="13" s="1"/>
  <c r="I4690" i="13" s="1"/>
  <c r="J4874" i="14" a="1"/>
  <c r="J4874" i="14" s="1"/>
  <c r="N4875" i="14"/>
  <c r="K4711" i="14"/>
  <c r="L4711" i="14" s="1"/>
  <c r="I4712" i="14" s="1"/>
  <c r="M4878" i="13"/>
  <c r="N4876" i="13"/>
  <c r="J4875" i="13" a="1"/>
  <c r="J4875" i="13" s="1"/>
  <c r="M4879" i="14"/>
  <c r="K4712" i="14" l="1"/>
  <c r="L4712" i="14" s="1"/>
  <c r="I4713" i="14" s="1"/>
  <c r="K4690" i="13"/>
  <c r="L4690" i="13" s="1"/>
  <c r="I4691" i="13" s="1"/>
  <c r="M4880" i="14"/>
  <c r="M4879" i="13"/>
  <c r="J4875" i="14" a="1"/>
  <c r="J4875" i="14" s="1"/>
  <c r="N4876" i="14"/>
  <c r="J4876" i="13" a="1"/>
  <c r="J4876" i="13" s="1"/>
  <c r="N4877" i="13"/>
  <c r="K4691" i="13" l="1"/>
  <c r="L4691" i="13" s="1"/>
  <c r="I4692" i="13" s="1"/>
  <c r="K4713" i="14"/>
  <c r="L4713" i="14" s="1"/>
  <c r="I4714" i="14" s="1"/>
  <c r="N4878" i="13"/>
  <c r="J4877" i="13" a="1"/>
  <c r="J4877" i="13" s="1"/>
  <c r="M4880" i="13"/>
  <c r="J4876" i="14" a="1"/>
  <c r="J4876" i="14" s="1"/>
  <c r="N4877" i="14"/>
  <c r="M4881" i="14"/>
  <c r="K4714" i="14" l="1"/>
  <c r="L4714" i="14" s="1"/>
  <c r="I4715" i="14" s="1"/>
  <c r="K4692" i="13"/>
  <c r="L4692" i="13" s="1"/>
  <c r="I4693" i="13" s="1"/>
  <c r="M4881" i="13"/>
  <c r="N4878" i="14"/>
  <c r="J4877" i="14" a="1"/>
  <c r="J4877" i="14" s="1"/>
  <c r="M4882" i="14"/>
  <c r="J4878" i="13" a="1"/>
  <c r="J4878" i="13" s="1"/>
  <c r="N4879" i="13"/>
  <c r="K4693" i="13" l="1"/>
  <c r="L4693" i="13" s="1"/>
  <c r="I4694" i="13" s="1"/>
  <c r="K4715" i="14"/>
  <c r="L4715" i="14" s="1"/>
  <c r="I4716" i="14" s="1"/>
  <c r="N4880" i="13"/>
  <c r="J4879" i="13" a="1"/>
  <c r="J4879" i="13" s="1"/>
  <c r="J4878" i="14" a="1"/>
  <c r="J4878" i="14" s="1"/>
  <c r="N4879" i="14"/>
  <c r="M4883" i="14"/>
  <c r="M4882" i="13"/>
  <c r="K4716" i="14" l="1"/>
  <c r="L4716" i="14" s="1"/>
  <c r="I4717" i="14" s="1"/>
  <c r="K4694" i="13"/>
  <c r="L4694" i="13" s="1"/>
  <c r="I4695" i="13" s="1"/>
  <c r="M4883" i="13"/>
  <c r="J4879" i="14" a="1"/>
  <c r="J4879" i="14" s="1"/>
  <c r="N4880" i="14"/>
  <c r="M4884" i="14"/>
  <c r="J4880" i="13" a="1"/>
  <c r="J4880" i="13" s="1"/>
  <c r="N4881" i="13"/>
  <c r="K4695" i="13" l="1"/>
  <c r="L4695" i="13" s="1"/>
  <c r="I4696" i="13" s="1"/>
  <c r="K4717" i="14"/>
  <c r="L4717" i="14" s="1"/>
  <c r="I4718" i="14" s="1"/>
  <c r="N4882" i="13"/>
  <c r="J4881" i="13" a="1"/>
  <c r="J4881" i="13" s="1"/>
  <c r="N4881" i="14"/>
  <c r="J4880" i="14" a="1"/>
  <c r="J4880" i="14" s="1"/>
  <c r="M4885" i="14"/>
  <c r="M4884" i="13"/>
  <c r="K4718" i="14" l="1"/>
  <c r="L4718" i="14" s="1"/>
  <c r="I4719" i="14" s="1"/>
  <c r="K4696" i="13"/>
  <c r="L4696" i="13" s="1"/>
  <c r="I4697" i="13" s="1"/>
  <c r="N4882" i="14"/>
  <c r="J4881" i="14" a="1"/>
  <c r="J4881" i="14" s="1"/>
  <c r="M4885" i="13"/>
  <c r="M4886" i="14"/>
  <c r="J4882" i="13" a="1"/>
  <c r="J4882" i="13" s="1"/>
  <c r="N4883" i="13"/>
  <c r="K4697" i="13" l="1"/>
  <c r="L4697" i="13" s="1"/>
  <c r="I4698" i="13" s="1"/>
  <c r="K4719" i="14"/>
  <c r="L4719" i="14" s="1"/>
  <c r="I4720" i="14" s="1"/>
  <c r="M4886" i="13"/>
  <c r="N4884" i="13"/>
  <c r="J4883" i="13" a="1"/>
  <c r="J4883" i="13" s="1"/>
  <c r="M4887" i="14"/>
  <c r="J4882" i="14" a="1"/>
  <c r="J4882" i="14" s="1"/>
  <c r="N4883" i="14"/>
  <c r="K4698" i="13" l="1"/>
  <c r="L4698" i="13" s="1"/>
  <c r="I4699" i="13" s="1"/>
  <c r="J4884" i="13" a="1"/>
  <c r="J4884" i="13" s="1"/>
  <c r="N4885" i="13"/>
  <c r="M4888" i="14"/>
  <c r="J4883" i="14" a="1"/>
  <c r="J4883" i="14" s="1"/>
  <c r="N4884" i="14"/>
  <c r="K4720" i="14"/>
  <c r="L4720" i="14" s="1"/>
  <c r="I4721" i="14" s="1"/>
  <c r="M4887" i="13"/>
  <c r="K4721" i="14" l="1"/>
  <c r="L4721" i="14" s="1"/>
  <c r="I4722" i="14" s="1"/>
  <c r="K4699" i="13"/>
  <c r="L4699" i="13" s="1"/>
  <c r="I4700" i="13" s="1"/>
  <c r="J4884" i="14" a="1"/>
  <c r="J4884" i="14" s="1"/>
  <c r="N4885" i="14"/>
  <c r="N4886" i="13"/>
  <c r="J4885" i="13" a="1"/>
  <c r="J4885" i="13" s="1"/>
  <c r="M4888" i="13"/>
  <c r="M4889" i="14"/>
  <c r="K4700" i="13" l="1"/>
  <c r="L4700" i="13" s="1"/>
  <c r="I4701" i="13" s="1"/>
  <c r="K4722" i="14"/>
  <c r="L4722" i="14" s="1"/>
  <c r="I4723" i="14" s="1"/>
  <c r="M4889" i="13"/>
  <c r="M4890" i="14"/>
  <c r="J4886" i="13" a="1"/>
  <c r="J4886" i="13" s="1"/>
  <c r="N4887" i="13"/>
  <c r="N4886" i="14"/>
  <c r="J4885" i="14" a="1"/>
  <c r="J4885" i="14" s="1"/>
  <c r="K4701" i="13" l="1"/>
  <c r="L4701" i="13" s="1"/>
  <c r="I4702" i="13" s="1"/>
  <c r="K4723" i="14"/>
  <c r="L4723" i="14" s="1"/>
  <c r="I4724" i="14" s="1"/>
  <c r="J4886" i="14" a="1"/>
  <c r="J4886" i="14" s="1"/>
  <c r="N4887" i="14"/>
  <c r="M4891" i="14"/>
  <c r="N4888" i="13"/>
  <c r="J4887" i="13" a="1"/>
  <c r="J4887" i="13" s="1"/>
  <c r="M4890" i="13"/>
  <c r="K4702" i="13" l="1"/>
  <c r="L4702" i="13" s="1"/>
  <c r="I4703" i="13" s="1"/>
  <c r="J4888" i="13" a="1"/>
  <c r="J4888" i="13" s="1"/>
  <c r="N4889" i="13"/>
  <c r="M4891" i="13"/>
  <c r="M4892" i="14"/>
  <c r="K4724" i="14"/>
  <c r="L4724" i="14" s="1"/>
  <c r="I4725" i="14" s="1"/>
  <c r="J4887" i="14" a="1"/>
  <c r="J4887" i="14" s="1"/>
  <c r="N4888" i="14"/>
  <c r="K4725" i="14" l="1"/>
  <c r="L4725" i="14" s="1"/>
  <c r="I4726" i="14" s="1"/>
  <c r="K4703" i="13"/>
  <c r="L4703" i="13" s="1"/>
  <c r="I4704" i="13" s="1"/>
  <c r="N4889" i="14"/>
  <c r="J4888" i="14" a="1"/>
  <c r="J4888" i="14" s="1"/>
  <c r="M4893" i="14"/>
  <c r="N4890" i="13"/>
  <c r="J4889" i="13" a="1"/>
  <c r="J4889" i="13" s="1"/>
  <c r="M4892" i="13"/>
  <c r="K4704" i="13" l="1"/>
  <c r="L4704" i="13" s="1"/>
  <c r="I4705" i="13" s="1"/>
  <c r="K4726" i="14"/>
  <c r="L4726" i="14" s="1"/>
  <c r="I4727" i="14" s="1"/>
  <c r="M4893" i="13"/>
  <c r="M4894" i="14"/>
  <c r="J4890" i="13" a="1"/>
  <c r="J4890" i="13" s="1"/>
  <c r="N4891" i="13"/>
  <c r="N4890" i="14"/>
  <c r="J4889" i="14" a="1"/>
  <c r="J4889" i="14" s="1"/>
  <c r="K4705" i="13" l="1"/>
  <c r="L4705" i="13" s="1"/>
  <c r="I4706" i="13" s="1"/>
  <c r="K4727" i="14"/>
  <c r="L4727" i="14" s="1"/>
  <c r="I4728" i="14" s="1"/>
  <c r="M4895" i="14"/>
  <c r="J4890" i="14" a="1"/>
  <c r="J4890" i="14" s="1"/>
  <c r="N4891" i="14"/>
  <c r="N4892" i="13"/>
  <c r="J4891" i="13" a="1"/>
  <c r="J4891" i="13" s="1"/>
  <c r="M4894" i="13"/>
  <c r="K4706" i="13" l="1"/>
  <c r="L4706" i="13" s="1"/>
  <c r="I4707" i="13" s="1"/>
  <c r="M4895" i="13"/>
  <c r="J4891" i="14" a="1"/>
  <c r="J4891" i="14" s="1"/>
  <c r="N4892" i="14"/>
  <c r="K4728" i="14"/>
  <c r="L4728" i="14" s="1"/>
  <c r="I4729" i="14" s="1"/>
  <c r="M4896" i="14"/>
  <c r="J4892" i="13" a="1"/>
  <c r="J4892" i="13" s="1"/>
  <c r="N4893" i="13"/>
  <c r="K4707" i="13" l="1"/>
  <c r="L4707" i="13" s="1"/>
  <c r="I4708" i="13" s="1"/>
  <c r="N4894" i="13"/>
  <c r="J4893" i="13" a="1"/>
  <c r="J4893" i="13" s="1"/>
  <c r="K4729" i="14"/>
  <c r="L4729" i="14" s="1"/>
  <c r="I4730" i="14" s="1"/>
  <c r="M4896" i="13"/>
  <c r="M4897" i="14"/>
  <c r="J4892" i="14" a="1"/>
  <c r="J4892" i="14" s="1"/>
  <c r="N4893" i="14"/>
  <c r="K4730" i="14" l="1"/>
  <c r="L4730" i="14" s="1"/>
  <c r="I4731" i="14" s="1"/>
  <c r="K4708" i="13"/>
  <c r="L4708" i="13" s="1"/>
  <c r="I4709" i="13" s="1"/>
  <c r="M4897" i="13"/>
  <c r="N4894" i="14"/>
  <c r="J4893" i="14" a="1"/>
  <c r="J4893" i="14" s="1"/>
  <c r="J4894" i="13" a="1"/>
  <c r="J4894" i="13" s="1"/>
  <c r="N4895" i="13"/>
  <c r="M4898" i="14"/>
  <c r="K4731" i="14" l="1"/>
  <c r="L4731" i="14" s="1"/>
  <c r="I4732" i="14" s="1"/>
  <c r="M4899" i="14"/>
  <c r="K4709" i="13"/>
  <c r="L4709" i="13" s="1"/>
  <c r="I4710" i="13" s="1"/>
  <c r="J4894" i="14" a="1"/>
  <c r="J4894" i="14" s="1"/>
  <c r="N4895" i="14"/>
  <c r="N4896" i="13"/>
  <c r="J4895" i="13" a="1"/>
  <c r="J4895" i="13" s="1"/>
  <c r="M4898" i="13"/>
  <c r="K4710" i="13" l="1"/>
  <c r="L4710" i="13" s="1"/>
  <c r="I4711" i="13" s="1"/>
  <c r="K4732" i="14"/>
  <c r="L4732" i="14" s="1"/>
  <c r="I4733" i="14" s="1"/>
  <c r="M4899" i="13"/>
  <c r="J4895" i="14" a="1"/>
  <c r="J4895" i="14" s="1"/>
  <c r="N4896" i="14"/>
  <c r="M4900" i="14"/>
  <c r="J4896" i="13" a="1"/>
  <c r="J4896" i="13" s="1"/>
  <c r="N4897" i="13"/>
  <c r="K4711" i="13" l="1"/>
  <c r="L4711" i="13" s="1"/>
  <c r="I4712" i="13" s="1"/>
  <c r="N4898" i="13"/>
  <c r="J4897" i="13" a="1"/>
  <c r="J4897" i="13" s="1"/>
  <c r="N4897" i="14"/>
  <c r="J4896" i="14" a="1"/>
  <c r="J4896" i="14" s="1"/>
  <c r="K4733" i="14"/>
  <c r="L4733" i="14" s="1"/>
  <c r="I4734" i="14" s="1"/>
  <c r="M4901" i="14"/>
  <c r="M4900" i="13"/>
  <c r="K4712" i="13" l="1"/>
  <c r="L4712" i="13" s="1"/>
  <c r="I4713" i="13" s="1"/>
  <c r="M4902" i="14"/>
  <c r="M4901" i="13"/>
  <c r="J4898" i="13" a="1"/>
  <c r="J4898" i="13" s="1"/>
  <c r="N4899" i="13"/>
  <c r="K4734" i="14"/>
  <c r="L4734" i="14" s="1"/>
  <c r="I4735" i="14" s="1"/>
  <c r="N4898" i="14"/>
  <c r="J4897" i="14" a="1"/>
  <c r="J4897" i="14" s="1"/>
  <c r="K4735" i="14" l="1"/>
  <c r="L4735" i="14" s="1"/>
  <c r="I4736" i="14" s="1"/>
  <c r="K4713" i="13"/>
  <c r="L4713" i="13" s="1"/>
  <c r="I4714" i="13" s="1"/>
  <c r="N4900" i="13"/>
  <c r="J4899" i="13" a="1"/>
  <c r="J4899" i="13" s="1"/>
  <c r="M4903" i="14"/>
  <c r="J4898" i="14" a="1"/>
  <c r="J4898" i="14" s="1"/>
  <c r="N4899" i="14"/>
  <c r="M4902" i="13"/>
  <c r="K4736" i="14" l="1"/>
  <c r="L4736" i="14" s="1"/>
  <c r="I4737" i="14" s="1"/>
  <c r="M4903" i="13"/>
  <c r="M4904" i="14"/>
  <c r="K4714" i="13"/>
  <c r="L4714" i="13" s="1"/>
  <c r="I4715" i="13" s="1"/>
  <c r="J4899" i="14" a="1"/>
  <c r="J4899" i="14" s="1"/>
  <c r="N4900" i="14"/>
  <c r="J4900" i="13" a="1"/>
  <c r="J4900" i="13" s="1"/>
  <c r="N4901" i="13"/>
  <c r="K4737" i="14" l="1"/>
  <c r="L4737" i="14" s="1"/>
  <c r="I4738" i="14" s="1"/>
  <c r="N4902" i="13"/>
  <c r="J4901" i="13" a="1"/>
  <c r="J4901" i="13" s="1"/>
  <c r="M4904" i="13"/>
  <c r="K4715" i="13"/>
  <c r="L4715" i="13" s="1"/>
  <c r="I4716" i="13" s="1"/>
  <c r="J4900" i="14" a="1"/>
  <c r="J4900" i="14" s="1"/>
  <c r="N4901" i="14"/>
  <c r="M4905" i="14"/>
  <c r="K4716" i="13" l="1"/>
  <c r="L4716" i="13" s="1"/>
  <c r="I4717" i="13" s="1"/>
  <c r="K4738" i="14"/>
  <c r="L4738" i="14" s="1"/>
  <c r="I4739" i="14" s="1"/>
  <c r="J4902" i="13" a="1"/>
  <c r="J4902" i="13" s="1"/>
  <c r="N4903" i="13"/>
  <c r="M4906" i="14"/>
  <c r="N4902" i="14"/>
  <c r="J4901" i="14" a="1"/>
  <c r="J4901" i="14" s="1"/>
  <c r="M4905" i="13"/>
  <c r="K4717" i="13" l="1"/>
  <c r="L4717" i="13" s="1"/>
  <c r="I4718" i="13" s="1"/>
  <c r="M4907" i="14"/>
  <c r="M4906" i="13"/>
  <c r="K4739" i="14"/>
  <c r="L4739" i="14" s="1"/>
  <c r="I4740" i="14" s="1"/>
  <c r="N4904" i="13"/>
  <c r="J4903" i="13" a="1"/>
  <c r="J4903" i="13" s="1"/>
  <c r="J4902" i="14" a="1"/>
  <c r="J4902" i="14" s="1"/>
  <c r="N4903" i="14"/>
  <c r="K4718" i="13" l="1"/>
  <c r="L4718" i="13" s="1"/>
  <c r="I4719" i="13" s="1"/>
  <c r="J4903" i="14" a="1"/>
  <c r="J4903" i="14" s="1"/>
  <c r="N4904" i="14"/>
  <c r="M4908" i="14"/>
  <c r="K4740" i="14"/>
  <c r="L4740" i="14" s="1"/>
  <c r="I4741" i="14" s="1"/>
  <c r="M4907" i="13"/>
  <c r="J4904" i="13" a="1"/>
  <c r="J4904" i="13" s="1"/>
  <c r="N4905" i="13"/>
  <c r="K4741" i="14" l="1"/>
  <c r="L4741" i="14" s="1"/>
  <c r="I4742" i="14" s="1"/>
  <c r="K4719" i="13"/>
  <c r="L4719" i="13" s="1"/>
  <c r="I4720" i="13" s="1"/>
  <c r="N4905" i="14"/>
  <c r="J4904" i="14" a="1"/>
  <c r="J4904" i="14" s="1"/>
  <c r="N4906" i="13"/>
  <c r="J4905" i="13" a="1"/>
  <c r="J4905" i="13" s="1"/>
  <c r="M4909" i="14"/>
  <c r="M4908" i="13"/>
  <c r="K4720" i="13" l="1"/>
  <c r="L4720" i="13" s="1"/>
  <c r="I4721" i="13" s="1"/>
  <c r="K4742" i="14"/>
  <c r="L4742" i="14" s="1"/>
  <c r="I4743" i="14" s="1"/>
  <c r="M4909" i="13"/>
  <c r="J4906" i="13" a="1"/>
  <c r="J4906" i="13" s="1"/>
  <c r="N4907" i="13"/>
  <c r="M4910" i="14"/>
  <c r="N4906" i="14"/>
  <c r="J4905" i="14" a="1"/>
  <c r="J4905" i="14" s="1"/>
  <c r="K4743" i="14" l="1"/>
  <c r="L4743" i="14" s="1"/>
  <c r="I4744" i="14" s="1"/>
  <c r="K4721" i="13"/>
  <c r="L4721" i="13" s="1"/>
  <c r="I4722" i="13" s="1"/>
  <c r="N4908" i="13"/>
  <c r="J4907" i="13" a="1"/>
  <c r="J4907" i="13" s="1"/>
  <c r="J4906" i="14" a="1"/>
  <c r="J4906" i="14" s="1"/>
  <c r="N4907" i="14"/>
  <c r="M4911" i="14"/>
  <c r="M4910" i="13"/>
  <c r="K4744" i="14" l="1"/>
  <c r="L4744" i="14" s="1"/>
  <c r="I4745" i="14" s="1"/>
  <c r="M4911" i="13"/>
  <c r="J4907" i="14" a="1"/>
  <c r="J4907" i="14" s="1"/>
  <c r="N4908" i="14"/>
  <c r="K4722" i="13"/>
  <c r="L4722" i="13" s="1"/>
  <c r="I4723" i="13" s="1"/>
  <c r="M4912" i="14"/>
  <c r="J4908" i="13" a="1"/>
  <c r="J4908" i="13" s="1"/>
  <c r="N4909" i="13"/>
  <c r="K4745" i="14" l="1"/>
  <c r="L4745" i="14" s="1"/>
  <c r="I4746" i="14" s="1"/>
  <c r="M4913" i="14"/>
  <c r="N4910" i="13"/>
  <c r="J4909" i="13" a="1"/>
  <c r="J4909" i="13" s="1"/>
  <c r="K4723" i="13"/>
  <c r="L4723" i="13" s="1"/>
  <c r="I4724" i="13" s="1"/>
  <c r="M4912" i="13"/>
  <c r="J4908" i="14" a="1"/>
  <c r="J4908" i="14" s="1"/>
  <c r="N4909" i="14"/>
  <c r="K4746" i="14" l="1"/>
  <c r="L4746" i="14" s="1"/>
  <c r="I4747" i="14" s="1"/>
  <c r="K4724" i="13"/>
  <c r="L4724" i="13" s="1"/>
  <c r="I4725" i="13" s="1"/>
  <c r="N4910" i="14"/>
  <c r="J4909" i="14" a="1"/>
  <c r="J4909" i="14" s="1"/>
  <c r="M4914" i="14"/>
  <c r="M4913" i="13"/>
  <c r="J4910" i="13" a="1"/>
  <c r="J4910" i="13" s="1"/>
  <c r="N4911" i="13"/>
  <c r="K4747" i="14" l="1"/>
  <c r="L4747" i="14" s="1"/>
  <c r="I4748" i="14" s="1"/>
  <c r="N4912" i="13"/>
  <c r="J4911" i="13" a="1"/>
  <c r="J4911" i="13" s="1"/>
  <c r="M4915" i="14"/>
  <c r="K4725" i="13"/>
  <c r="L4725" i="13" s="1"/>
  <c r="I4726" i="13" s="1"/>
  <c r="M4914" i="13"/>
  <c r="J4910" i="14" a="1"/>
  <c r="J4910" i="14" s="1"/>
  <c r="N4911" i="14"/>
  <c r="K4726" i="13" l="1"/>
  <c r="L4726" i="13" s="1"/>
  <c r="I4727" i="13" s="1"/>
  <c r="K4748" i="14"/>
  <c r="L4748" i="14" s="1"/>
  <c r="I4749" i="14" s="1"/>
  <c r="J4912" i="13" a="1"/>
  <c r="J4912" i="13" s="1"/>
  <c r="N4913" i="13"/>
  <c r="N4912" i="14"/>
  <c r="J4911" i="14" a="1"/>
  <c r="J4911" i="14" s="1"/>
  <c r="M4915" i="13"/>
  <c r="M4916" i="14"/>
  <c r="K4727" i="13" l="1"/>
  <c r="L4727" i="13" s="1"/>
  <c r="I4728" i="13" s="1"/>
  <c r="K4749" i="14"/>
  <c r="L4749" i="14" s="1"/>
  <c r="I4750" i="14" s="1"/>
  <c r="M4917" i="14"/>
  <c r="J4912" i="14" a="1"/>
  <c r="J4912" i="14" s="1"/>
  <c r="N4913" i="14"/>
  <c r="N4914" i="13"/>
  <c r="J4913" i="13" a="1"/>
  <c r="J4913" i="13" s="1"/>
  <c r="M4916" i="13"/>
  <c r="K4728" i="13" l="1"/>
  <c r="L4728" i="13" s="1"/>
  <c r="I4729" i="13" s="1"/>
  <c r="M4917" i="13"/>
  <c r="N4914" i="14"/>
  <c r="J4913" i="14" a="1"/>
  <c r="J4913" i="14" s="1"/>
  <c r="K4750" i="14"/>
  <c r="L4750" i="14" s="1"/>
  <c r="I4751" i="14" s="1"/>
  <c r="J4914" i="13" a="1"/>
  <c r="J4914" i="13" s="1"/>
  <c r="N4915" i="13"/>
  <c r="M4918" i="14"/>
  <c r="K4729" i="13" l="1"/>
  <c r="L4729" i="13" s="1"/>
  <c r="I4730" i="13" s="1"/>
  <c r="M4919" i="14"/>
  <c r="K4751" i="14"/>
  <c r="L4751" i="14" s="1"/>
  <c r="I4752" i="14" s="1"/>
  <c r="M4918" i="13"/>
  <c r="N4916" i="13"/>
  <c r="J4915" i="13" a="1"/>
  <c r="J4915" i="13" s="1"/>
  <c r="N4915" i="14"/>
  <c r="J4914" i="14" a="1"/>
  <c r="J4914" i="14" s="1"/>
  <c r="K4752" i="14" l="1"/>
  <c r="L4752" i="14" s="1"/>
  <c r="I4753" i="14" s="1"/>
  <c r="K4730" i="13"/>
  <c r="L4730" i="13" s="1"/>
  <c r="I4731" i="13" s="1"/>
  <c r="M4919" i="13"/>
  <c r="M4920" i="14"/>
  <c r="N4916" i="14"/>
  <c r="J4915" i="14" a="1"/>
  <c r="J4915" i="14" s="1"/>
  <c r="J4916" i="13" a="1"/>
  <c r="J4916" i="13" s="1"/>
  <c r="N4917" i="13"/>
  <c r="K4753" i="14" l="1"/>
  <c r="L4753" i="14" s="1"/>
  <c r="I4754" i="14" s="1"/>
  <c r="N4918" i="13"/>
  <c r="J4917" i="13" a="1"/>
  <c r="J4917" i="13" s="1"/>
  <c r="M4921" i="14"/>
  <c r="K4731" i="13"/>
  <c r="L4731" i="13" s="1"/>
  <c r="I4732" i="13" s="1"/>
  <c r="J4916" i="14" a="1"/>
  <c r="J4916" i="14" s="1"/>
  <c r="N4917" i="14"/>
  <c r="M4920" i="13"/>
  <c r="K4732" i="13" l="1"/>
  <c r="L4732" i="13" s="1"/>
  <c r="I4733" i="13" s="1"/>
  <c r="K4754" i="14"/>
  <c r="L4754" i="14" s="1"/>
  <c r="I4755" i="14" s="1"/>
  <c r="M4921" i="13"/>
  <c r="J4918" i="13" a="1"/>
  <c r="J4918" i="13" s="1"/>
  <c r="N4919" i="13"/>
  <c r="N4918" i="14"/>
  <c r="J4917" i="14" a="1"/>
  <c r="J4917" i="14" s="1"/>
  <c r="M4922" i="14"/>
  <c r="K4733" i="13" l="1"/>
  <c r="L4733" i="13" s="1"/>
  <c r="I4734" i="13" s="1"/>
  <c r="M4923" i="14"/>
  <c r="N4920" i="13"/>
  <c r="J4919" i="13" a="1"/>
  <c r="J4919" i="13" s="1"/>
  <c r="K4755" i="14"/>
  <c r="L4755" i="14" s="1"/>
  <c r="I4756" i="14" s="1"/>
  <c r="N4919" i="14"/>
  <c r="J4918" i="14" a="1"/>
  <c r="J4918" i="14" s="1"/>
  <c r="M4922" i="13"/>
  <c r="K4734" i="13" l="1"/>
  <c r="L4734" i="13" s="1"/>
  <c r="I4735" i="13" s="1"/>
  <c r="N4920" i="14"/>
  <c r="J4919" i="14" a="1"/>
  <c r="J4919" i="14" s="1"/>
  <c r="M4923" i="13"/>
  <c r="K4756" i="14"/>
  <c r="L4756" i="14" s="1"/>
  <c r="I4757" i="14" s="1"/>
  <c r="M4924" i="14"/>
  <c r="J4920" i="13" a="1"/>
  <c r="J4920" i="13" s="1"/>
  <c r="N4921" i="13"/>
  <c r="K4757" i="14" l="1"/>
  <c r="L4757" i="14" s="1"/>
  <c r="I4758" i="14" s="1"/>
  <c r="K4735" i="13"/>
  <c r="L4735" i="13" s="1"/>
  <c r="I4736" i="13" s="1"/>
  <c r="J4920" i="14" a="1"/>
  <c r="J4920" i="14" s="1"/>
  <c r="N4921" i="14"/>
  <c r="N4922" i="13"/>
  <c r="J4921" i="13" a="1"/>
  <c r="J4921" i="13" s="1"/>
  <c r="M4925" i="14"/>
  <c r="M4924" i="13"/>
  <c r="K4758" i="14" l="1"/>
  <c r="L4758" i="14" s="1"/>
  <c r="I4759" i="14" s="1"/>
  <c r="K4736" i="13"/>
  <c r="L4736" i="13" s="1"/>
  <c r="I4737" i="13" s="1"/>
  <c r="M4925" i="13"/>
  <c r="J4922" i="13" a="1"/>
  <c r="J4922" i="13" s="1"/>
  <c r="N4923" i="13"/>
  <c r="M4926" i="14"/>
  <c r="N4922" i="14"/>
  <c r="J4921" i="14" a="1"/>
  <c r="J4921" i="14" s="1"/>
  <c r="K4737" i="13" l="1"/>
  <c r="L4737" i="13" s="1"/>
  <c r="I4738" i="13" s="1"/>
  <c r="K4759" i="14"/>
  <c r="L4759" i="14" s="1"/>
  <c r="I4760" i="14" s="1"/>
  <c r="N4924" i="13"/>
  <c r="J4923" i="13" a="1"/>
  <c r="J4923" i="13" s="1"/>
  <c r="N4923" i="14"/>
  <c r="J4922" i="14" a="1"/>
  <c r="J4922" i="14" s="1"/>
  <c r="M4927" i="14"/>
  <c r="M4926" i="13"/>
  <c r="K4760" i="14" l="1"/>
  <c r="L4760" i="14" s="1"/>
  <c r="I4761" i="14" s="1"/>
  <c r="K4738" i="13"/>
  <c r="L4738" i="13" s="1"/>
  <c r="I4739" i="13" s="1"/>
  <c r="M4927" i="13"/>
  <c r="N4924" i="14"/>
  <c r="J4923" i="14" a="1"/>
  <c r="J4923" i="14" s="1"/>
  <c r="M4928" i="14"/>
  <c r="J4924" i="13" a="1"/>
  <c r="J4924" i="13" s="1"/>
  <c r="N4925" i="13"/>
  <c r="K4761" i="14" l="1"/>
  <c r="L4761" i="14" s="1"/>
  <c r="I4762" i="14" s="1"/>
  <c r="N4926" i="13"/>
  <c r="J4925" i="13" a="1"/>
  <c r="J4925" i="13" s="1"/>
  <c r="K4739" i="13"/>
  <c r="L4739" i="13" s="1"/>
  <c r="I4740" i="13" s="1"/>
  <c r="J4924" i="14" a="1"/>
  <c r="J4924" i="14" s="1"/>
  <c r="N4925" i="14"/>
  <c r="M4929" i="14"/>
  <c r="M4928" i="13"/>
  <c r="K4740" i="13" l="1"/>
  <c r="L4740" i="13" s="1"/>
  <c r="I4741" i="13" s="1"/>
  <c r="K4762" i="14"/>
  <c r="L4762" i="14" s="1"/>
  <c r="I4763" i="14" s="1"/>
  <c r="M4929" i="13"/>
  <c r="J4926" i="13" a="1"/>
  <c r="J4926" i="13" s="1"/>
  <c r="N4927" i="13"/>
  <c r="N4926" i="14"/>
  <c r="J4925" i="14" a="1"/>
  <c r="J4925" i="14" s="1"/>
  <c r="M4930" i="14"/>
  <c r="K4741" i="13" l="1"/>
  <c r="L4741" i="13" s="1"/>
  <c r="I4742" i="13" s="1"/>
  <c r="M4931" i="14"/>
  <c r="N4928" i="13"/>
  <c r="J4927" i="13" a="1"/>
  <c r="J4927" i="13" s="1"/>
  <c r="K4763" i="14"/>
  <c r="L4763" i="14" s="1"/>
  <c r="I4764" i="14" s="1"/>
  <c r="J4926" i="14" a="1"/>
  <c r="J4926" i="14" s="1"/>
  <c r="N4927" i="14"/>
  <c r="M4930" i="13"/>
  <c r="K4742" i="13" l="1"/>
  <c r="L4742" i="13" s="1"/>
  <c r="I4743" i="13" s="1"/>
  <c r="M4931" i="13"/>
  <c r="M4932" i="14"/>
  <c r="N4928" i="14"/>
  <c r="J4927" i="14" a="1"/>
  <c r="J4927" i="14" s="1"/>
  <c r="K4764" i="14"/>
  <c r="L4764" i="14" s="1"/>
  <c r="I4765" i="14" s="1"/>
  <c r="J4928" i="13" a="1"/>
  <c r="J4928" i="13" s="1"/>
  <c r="N4929" i="13"/>
  <c r="K4765" i="14" l="1"/>
  <c r="L4765" i="14" s="1"/>
  <c r="I4766" i="14" s="1"/>
  <c r="K4743" i="13"/>
  <c r="L4743" i="13" s="1"/>
  <c r="I4744" i="13" s="1"/>
  <c r="N4930" i="13"/>
  <c r="J4929" i="13" a="1"/>
  <c r="J4929" i="13" s="1"/>
  <c r="M4932" i="13"/>
  <c r="J4928" i="14" a="1"/>
  <c r="J4928" i="14" s="1"/>
  <c r="N4929" i="14"/>
  <c r="M4933" i="14"/>
  <c r="K4766" i="14" l="1"/>
  <c r="L4766" i="14" s="1"/>
  <c r="I4767" i="14" s="1"/>
  <c r="M4933" i="13"/>
  <c r="M4934" i="14"/>
  <c r="K4744" i="13"/>
  <c r="L4744" i="13" s="1"/>
  <c r="I4745" i="13" s="1"/>
  <c r="J4929" i="14" a="1"/>
  <c r="J4929" i="14" s="1"/>
  <c r="N4930" i="14"/>
  <c r="J4930" i="13" a="1"/>
  <c r="J4930" i="13" s="1"/>
  <c r="N4931" i="13"/>
  <c r="K4767" i="14" l="1"/>
  <c r="L4767" i="14" s="1"/>
  <c r="I4768" i="14" s="1"/>
  <c r="N4932" i="13"/>
  <c r="J4931" i="13" a="1"/>
  <c r="J4931" i="13" s="1"/>
  <c r="K4745" i="13"/>
  <c r="L4745" i="13" s="1"/>
  <c r="I4746" i="13" s="1"/>
  <c r="M4934" i="13"/>
  <c r="J4930" i="14" a="1"/>
  <c r="J4930" i="14" s="1"/>
  <c r="N4931" i="14"/>
  <c r="M4935" i="14"/>
  <c r="K4746" i="13" l="1"/>
  <c r="L4746" i="13" s="1"/>
  <c r="I4747" i="13" s="1"/>
  <c r="K4768" i="14"/>
  <c r="L4768" i="14" s="1"/>
  <c r="I4769" i="14" s="1"/>
  <c r="J4932" i="13" a="1"/>
  <c r="J4932" i="13" s="1"/>
  <c r="N4933" i="13"/>
  <c r="N4932" i="14"/>
  <c r="J4931" i="14" a="1"/>
  <c r="J4931" i="14" s="1"/>
  <c r="M4935" i="13"/>
  <c r="M4936" i="14"/>
  <c r="M4937" i="14" l="1"/>
  <c r="M4936" i="13"/>
  <c r="K4769" i="14"/>
  <c r="L4769" i="14" s="1"/>
  <c r="I4770" i="14" s="1"/>
  <c r="J4932" i="14" a="1"/>
  <c r="J4932" i="14" s="1"/>
  <c r="N4933" i="14"/>
  <c r="N4934" i="13"/>
  <c r="J4933" i="13" a="1"/>
  <c r="J4933" i="13" s="1"/>
  <c r="K4747" i="13"/>
  <c r="L4747" i="13" s="1"/>
  <c r="I4748" i="13" s="1"/>
  <c r="K4748" i="13" l="1"/>
  <c r="L4748" i="13" s="1"/>
  <c r="I4749" i="13" s="1"/>
  <c r="K4770" i="14"/>
  <c r="L4770" i="14" s="1"/>
  <c r="I4771" i="14" s="1"/>
  <c r="J4933" i="14" a="1"/>
  <c r="J4933" i="14" s="1"/>
  <c r="N4934" i="14"/>
  <c r="M4937" i="13"/>
  <c r="J4934" i="13" a="1"/>
  <c r="J4934" i="13" s="1"/>
  <c r="N4935" i="13"/>
  <c r="M4938" i="14"/>
  <c r="K4749" i="13" l="1"/>
  <c r="L4749" i="13" s="1"/>
  <c r="I4750" i="13" s="1"/>
  <c r="M4939" i="14"/>
  <c r="M4938" i="13"/>
  <c r="K4771" i="14"/>
  <c r="L4771" i="14" s="1"/>
  <c r="I4772" i="14" s="1"/>
  <c r="N4935" i="14"/>
  <c r="J4934" i="14" a="1"/>
  <c r="J4934" i="14" s="1"/>
  <c r="N4936" i="13"/>
  <c r="J4935" i="13" a="1"/>
  <c r="J4935" i="13" s="1"/>
  <c r="K4750" i="13" l="1"/>
  <c r="L4750" i="13" s="1"/>
  <c r="I4751" i="13" s="1"/>
  <c r="J4936" i="13" a="1"/>
  <c r="J4936" i="13" s="1"/>
  <c r="N4937" i="13"/>
  <c r="K4772" i="14"/>
  <c r="L4772" i="14" s="1"/>
  <c r="I4773" i="14" s="1"/>
  <c r="M4940" i="14"/>
  <c r="M4939" i="13"/>
  <c r="N4936" i="14"/>
  <c r="J4935" i="14" a="1"/>
  <c r="J4935" i="14" s="1"/>
  <c r="K4773" i="14" l="1"/>
  <c r="L4773" i="14" s="1"/>
  <c r="I4774" i="14" s="1"/>
  <c r="K4751" i="13"/>
  <c r="L4751" i="13" s="1"/>
  <c r="I4752" i="13" s="1"/>
  <c r="N4938" i="13"/>
  <c r="J4937" i="13" a="1"/>
  <c r="J4937" i="13" s="1"/>
  <c r="J4936" i="14" a="1"/>
  <c r="J4936" i="14" s="1"/>
  <c r="N4937" i="14"/>
  <c r="M4941" i="14"/>
  <c r="M4940" i="13"/>
  <c r="K4752" i="13" l="1"/>
  <c r="L4752" i="13" s="1"/>
  <c r="I4753" i="13" s="1"/>
  <c r="K4774" i="14"/>
  <c r="L4774" i="14" s="1"/>
  <c r="I4775" i="14" s="1"/>
  <c r="N4938" i="14"/>
  <c r="J4937" i="14" a="1"/>
  <c r="J4937" i="14" s="1"/>
  <c r="M4942" i="14"/>
  <c r="M4941" i="13"/>
  <c r="J4938" i="13" a="1"/>
  <c r="J4938" i="13" s="1"/>
  <c r="N4939" i="13"/>
  <c r="K4775" i="14" l="1"/>
  <c r="L4775" i="14" s="1"/>
  <c r="I4776" i="14" s="1"/>
  <c r="K4753" i="13"/>
  <c r="L4753" i="13" s="1"/>
  <c r="I4754" i="13" s="1"/>
  <c r="N4940" i="13"/>
  <c r="J4939" i="13" a="1"/>
  <c r="J4939" i="13" s="1"/>
  <c r="M4943" i="14"/>
  <c r="M4942" i="13"/>
  <c r="N4939" i="14"/>
  <c r="J4938" i="14" a="1"/>
  <c r="J4938" i="14" s="1"/>
  <c r="K4776" i="14" l="1"/>
  <c r="L4776" i="14" s="1"/>
  <c r="I4777" i="14" s="1"/>
  <c r="N4940" i="14"/>
  <c r="J4939" i="14" a="1"/>
  <c r="J4939" i="14" s="1"/>
  <c r="K4754" i="13"/>
  <c r="L4754" i="13" s="1"/>
  <c r="I4755" i="13" s="1"/>
  <c r="M4944" i="14"/>
  <c r="M4943" i="13"/>
  <c r="J4940" i="13" a="1"/>
  <c r="J4940" i="13" s="1"/>
  <c r="N4941" i="13"/>
  <c r="K4755" i="13" l="1"/>
  <c r="L4755" i="13" s="1"/>
  <c r="I4756" i="13" s="1"/>
  <c r="K4777" i="14"/>
  <c r="L4777" i="14" s="1"/>
  <c r="I4778" i="14" s="1"/>
  <c r="N4942" i="13"/>
  <c r="J4941" i="13" a="1"/>
  <c r="J4941" i="13" s="1"/>
  <c r="M4945" i="14"/>
  <c r="J4940" i="14" a="1"/>
  <c r="J4940" i="14" s="1"/>
  <c r="N4941" i="14"/>
  <c r="M4944" i="13"/>
  <c r="K4778" i="14" l="1"/>
  <c r="L4778" i="14" s="1"/>
  <c r="I4779" i="14" s="1"/>
  <c r="K4756" i="13"/>
  <c r="L4756" i="13" s="1"/>
  <c r="I4757" i="13" s="1"/>
  <c r="M4945" i="13"/>
  <c r="M4946" i="14"/>
  <c r="N4942" i="14"/>
  <c r="J4941" i="14" a="1"/>
  <c r="J4941" i="14" s="1"/>
  <c r="J4942" i="13" a="1"/>
  <c r="J4942" i="13" s="1"/>
  <c r="N4943" i="13"/>
  <c r="K4757" i="13" l="1"/>
  <c r="L4757" i="13" s="1"/>
  <c r="I4758" i="13" s="1"/>
  <c r="N4944" i="13"/>
  <c r="J4943" i="13" a="1"/>
  <c r="J4943" i="13" s="1"/>
  <c r="M4947" i="14"/>
  <c r="N4943" i="14"/>
  <c r="J4942" i="14" a="1"/>
  <c r="J4942" i="14" s="1"/>
  <c r="M4946" i="13"/>
  <c r="K4779" i="14"/>
  <c r="L4779" i="14" s="1"/>
  <c r="I4780" i="14" s="1"/>
  <c r="K4780" i="14" l="1"/>
  <c r="L4780" i="14" s="1"/>
  <c r="I4781" i="14" s="1"/>
  <c r="K4758" i="13"/>
  <c r="L4758" i="13" s="1"/>
  <c r="I4759" i="13" s="1"/>
  <c r="N4944" i="14"/>
  <c r="J4943" i="14" a="1"/>
  <c r="J4943" i="14" s="1"/>
  <c r="J4944" i="13" a="1"/>
  <c r="J4944" i="13" s="1"/>
  <c r="N4945" i="13"/>
  <c r="M4947" i="13"/>
  <c r="M4948" i="14"/>
  <c r="K4781" i="14" l="1"/>
  <c r="L4781" i="14" s="1"/>
  <c r="I4782" i="14" s="1"/>
  <c r="M4949" i="14"/>
  <c r="N4946" i="13"/>
  <c r="J4945" i="13" a="1"/>
  <c r="J4945" i="13" s="1"/>
  <c r="K4759" i="13"/>
  <c r="L4759" i="13" s="1"/>
  <c r="I4760" i="13" s="1"/>
  <c r="M4948" i="13"/>
  <c r="J4944" i="14" a="1"/>
  <c r="J4944" i="14" s="1"/>
  <c r="N4945" i="14"/>
  <c r="K4782" i="14" l="1"/>
  <c r="L4782" i="14" s="1"/>
  <c r="I4783" i="14" s="1"/>
  <c r="N4946" i="14"/>
  <c r="J4945" i="14" a="1"/>
  <c r="J4945" i="14" s="1"/>
  <c r="K4760" i="13"/>
  <c r="L4760" i="13" s="1"/>
  <c r="I4761" i="13" s="1"/>
  <c r="M4950" i="14"/>
  <c r="M4949" i="13"/>
  <c r="J4946" i="13" a="1"/>
  <c r="J4946" i="13" s="1"/>
  <c r="N4947" i="13"/>
  <c r="K4761" i="13" l="1"/>
  <c r="L4761" i="13" s="1"/>
  <c r="I4762" i="13" s="1"/>
  <c r="K4783" i="14"/>
  <c r="L4783" i="14" s="1"/>
  <c r="I4784" i="14" s="1"/>
  <c r="N4948" i="13"/>
  <c r="J4947" i="13" a="1"/>
  <c r="J4947" i="13" s="1"/>
  <c r="M4951" i="14"/>
  <c r="N4947" i="14"/>
  <c r="J4946" i="14" a="1"/>
  <c r="J4946" i="14" s="1"/>
  <c r="M4950" i="13"/>
  <c r="K4762" i="13" l="1"/>
  <c r="L4762" i="13" s="1"/>
  <c r="I4763" i="13" s="1"/>
  <c r="M4951" i="13"/>
  <c r="M4952" i="14"/>
  <c r="K4784" i="14"/>
  <c r="L4784" i="14" s="1"/>
  <c r="I4785" i="14" s="1"/>
  <c r="N4948" i="14"/>
  <c r="J4947" i="14" a="1"/>
  <c r="J4947" i="14" s="1"/>
  <c r="J4948" i="13" a="1"/>
  <c r="J4948" i="13" s="1"/>
  <c r="N4949" i="13"/>
  <c r="K4763" i="13" l="1"/>
  <c r="L4763" i="13" s="1"/>
  <c r="I4764" i="13" s="1"/>
  <c r="N4950" i="13"/>
  <c r="J4949" i="13" a="1"/>
  <c r="J4949" i="13" s="1"/>
  <c r="K4785" i="14"/>
  <c r="L4785" i="14" s="1"/>
  <c r="I4786" i="14" s="1"/>
  <c r="M4952" i="13"/>
  <c r="J4948" i="14" a="1"/>
  <c r="J4948" i="14" s="1"/>
  <c r="N4949" i="14"/>
  <c r="M4953" i="14"/>
  <c r="K4786" i="14" l="1"/>
  <c r="L4786" i="14" s="1"/>
  <c r="I4787" i="14" s="1"/>
  <c r="K4764" i="13"/>
  <c r="L4764" i="13" s="1"/>
  <c r="I4765" i="13" s="1"/>
  <c r="M4954" i="14"/>
  <c r="M4953" i="13"/>
  <c r="J4950" i="13" a="1"/>
  <c r="J4950" i="13" s="1"/>
  <c r="N4951" i="13"/>
  <c r="N4950" i="14"/>
  <c r="J4949" i="14" a="1"/>
  <c r="J4949" i="14" s="1"/>
  <c r="K4765" i="13" l="1"/>
  <c r="L4765" i="13" s="1"/>
  <c r="I4766" i="13" s="1"/>
  <c r="K4787" i="14"/>
  <c r="L4787" i="14" s="1"/>
  <c r="I4788" i="14" s="1"/>
  <c r="N4951" i="14"/>
  <c r="J4950" i="14" a="1"/>
  <c r="J4950" i="14" s="1"/>
  <c r="M4954" i="13"/>
  <c r="N4952" i="13"/>
  <c r="J4951" i="13" a="1"/>
  <c r="J4951" i="13" s="1"/>
  <c r="M4955" i="14"/>
  <c r="K4766" i="13" l="1"/>
  <c r="L4766" i="13" s="1"/>
  <c r="I4767" i="13" s="1"/>
  <c r="M4955" i="13"/>
  <c r="M4956" i="14"/>
  <c r="K4788" i="14"/>
  <c r="L4788" i="14" s="1"/>
  <c r="I4789" i="14" s="1"/>
  <c r="J4952" i="13" a="1"/>
  <c r="J4952" i="13" s="1"/>
  <c r="N4953" i="13"/>
  <c r="N4952" i="14"/>
  <c r="J4951" i="14" a="1"/>
  <c r="J4951" i="14" s="1"/>
  <c r="K4767" i="13" l="1"/>
  <c r="L4767" i="13" s="1"/>
  <c r="I4768" i="13" s="1"/>
  <c r="N4954" i="13"/>
  <c r="J4953" i="13" a="1"/>
  <c r="J4953" i="13" s="1"/>
  <c r="K4789" i="14"/>
  <c r="L4789" i="14" s="1"/>
  <c r="I4790" i="14" s="1"/>
  <c r="M4956" i="13"/>
  <c r="J4952" i="14" a="1"/>
  <c r="J4952" i="14" s="1"/>
  <c r="N4953" i="14"/>
  <c r="M4957" i="14"/>
  <c r="K4790" i="14" l="1"/>
  <c r="L4790" i="14" s="1"/>
  <c r="I4791" i="14" s="1"/>
  <c r="K4768" i="13"/>
  <c r="L4768" i="13" s="1"/>
  <c r="I4769" i="13" s="1"/>
  <c r="M4958" i="14"/>
  <c r="J4954" i="13" a="1"/>
  <c r="J4954" i="13" s="1"/>
  <c r="N4955" i="13"/>
  <c r="M4957" i="13"/>
  <c r="N4954" i="14"/>
  <c r="J4953" i="14" a="1"/>
  <c r="J4953" i="14" s="1"/>
  <c r="K4769" i="13" l="1"/>
  <c r="L4769" i="13" s="1"/>
  <c r="I4770" i="13" s="1"/>
  <c r="K4791" i="14"/>
  <c r="L4791" i="14" s="1"/>
  <c r="I4792" i="14" s="1"/>
  <c r="N4956" i="13"/>
  <c r="J4955" i="13" a="1"/>
  <c r="J4955" i="13" s="1"/>
  <c r="N4955" i="14"/>
  <c r="J4954" i="14" a="1"/>
  <c r="J4954" i="14" s="1"/>
  <c r="M4959" i="14"/>
  <c r="M4958" i="13"/>
  <c r="K4792" i="14" l="1"/>
  <c r="L4792" i="14" s="1"/>
  <c r="I4793" i="14" s="1"/>
  <c r="K4770" i="13"/>
  <c r="L4770" i="13" s="1"/>
  <c r="I4771" i="13" s="1"/>
  <c r="N4956" i="14"/>
  <c r="J4955" i="14" a="1"/>
  <c r="J4955" i="14" s="1"/>
  <c r="M4960" i="14"/>
  <c r="M4959" i="13"/>
  <c r="J4956" i="13" a="1"/>
  <c r="J4956" i="13" s="1"/>
  <c r="N4957" i="13"/>
  <c r="K4793" i="14" l="1"/>
  <c r="L4793" i="14" s="1"/>
  <c r="I4794" i="14" s="1"/>
  <c r="N4958" i="13"/>
  <c r="J4957" i="13" a="1"/>
  <c r="J4957" i="13" s="1"/>
  <c r="M4961" i="14"/>
  <c r="K4771" i="13"/>
  <c r="L4771" i="13" s="1"/>
  <c r="I4772" i="13" s="1"/>
  <c r="M4960" i="13"/>
  <c r="J4956" i="14" a="1"/>
  <c r="J4956" i="14" s="1"/>
  <c r="N4957" i="14"/>
  <c r="K4772" i="13" l="1"/>
  <c r="L4772" i="13" s="1"/>
  <c r="I4773" i="13" s="1"/>
  <c r="K4794" i="14"/>
  <c r="L4794" i="14" s="1"/>
  <c r="I4795" i="14" s="1"/>
  <c r="N4958" i="14"/>
  <c r="J4957" i="14" a="1"/>
  <c r="J4957" i="14" s="1"/>
  <c r="J4958" i="13" a="1"/>
  <c r="J4958" i="13" s="1"/>
  <c r="N4959" i="13"/>
  <c r="M4961" i="13"/>
  <c r="M4962" i="14"/>
  <c r="K4773" i="13" l="1"/>
  <c r="L4773" i="13" s="1"/>
  <c r="I4774" i="13" s="1"/>
  <c r="N4960" i="13"/>
  <c r="J4959" i="13" a="1"/>
  <c r="J4959" i="13" s="1"/>
  <c r="M4963" i="14"/>
  <c r="K4795" i="14"/>
  <c r="L4795" i="14" s="1"/>
  <c r="I4796" i="14" s="1"/>
  <c r="M4962" i="13"/>
  <c r="N4959" i="14"/>
  <c r="J4958" i="14" a="1"/>
  <c r="J4958" i="14" s="1"/>
  <c r="K4796" i="14" l="1"/>
  <c r="L4796" i="14" s="1"/>
  <c r="I4797" i="14" s="1"/>
  <c r="K4774" i="13"/>
  <c r="L4774" i="13" s="1"/>
  <c r="I4775" i="13" s="1"/>
  <c r="N4960" i="14"/>
  <c r="J4959" i="14" a="1"/>
  <c r="J4959" i="14" s="1"/>
  <c r="J4960" i="13" a="1"/>
  <c r="J4960" i="13" s="1"/>
  <c r="N4961" i="13"/>
  <c r="M4963" i="13"/>
  <c r="M4964" i="14"/>
  <c r="K4797" i="14" l="1"/>
  <c r="L4797" i="14" s="1"/>
  <c r="I4798" i="14" s="1"/>
  <c r="M4965" i="14"/>
  <c r="N4962" i="13"/>
  <c r="J4961" i="13" a="1"/>
  <c r="J4961" i="13" s="1"/>
  <c r="K4775" i="13"/>
  <c r="L4775" i="13" s="1"/>
  <c r="I4776" i="13" s="1"/>
  <c r="M4964" i="13"/>
  <c r="J4960" i="14" a="1"/>
  <c r="J4960" i="14" s="1"/>
  <c r="N4961" i="14"/>
  <c r="K4798" i="14" l="1"/>
  <c r="L4798" i="14" s="1"/>
  <c r="I4799" i="14" s="1"/>
  <c r="N4962" i="14"/>
  <c r="J4961" i="14" a="1"/>
  <c r="J4961" i="14" s="1"/>
  <c r="K4776" i="13"/>
  <c r="L4776" i="13" s="1"/>
  <c r="I4777" i="13" s="1"/>
  <c r="M4966" i="14"/>
  <c r="M4965" i="13"/>
  <c r="J4962" i="13" a="1"/>
  <c r="J4962" i="13" s="1"/>
  <c r="N4963" i="13"/>
  <c r="K4777" i="13" l="1"/>
  <c r="L4777" i="13" s="1"/>
  <c r="I4778" i="13" s="1"/>
  <c r="K4799" i="14"/>
  <c r="L4799" i="14" s="1"/>
  <c r="I4800" i="14" s="1"/>
  <c r="N4963" i="14"/>
  <c r="J4962" i="14" a="1"/>
  <c r="J4962" i="14" s="1"/>
  <c r="N4964" i="13"/>
  <c r="J4963" i="13" a="1"/>
  <c r="J4963" i="13" s="1"/>
  <c r="M4967" i="14"/>
  <c r="M4966" i="13"/>
  <c r="K4778" i="13" l="1"/>
  <c r="L4778" i="13" s="1"/>
  <c r="I4779" i="13" s="1"/>
  <c r="J4964" i="13" a="1"/>
  <c r="J4964" i="13" s="1"/>
  <c r="N4965" i="13"/>
  <c r="K4800" i="14"/>
  <c r="L4800" i="14" s="1"/>
  <c r="I4801" i="14" s="1"/>
  <c r="M4967" i="13"/>
  <c r="M4968" i="14"/>
  <c r="N4964" i="14"/>
  <c r="J4963" i="14" a="1"/>
  <c r="J4963" i="14" s="1"/>
  <c r="K4801" i="14" l="1"/>
  <c r="L4801" i="14" s="1"/>
  <c r="I4802" i="14" s="1"/>
  <c r="K4779" i="13"/>
  <c r="L4779" i="13" s="1"/>
  <c r="I4780" i="13" s="1"/>
  <c r="J4964" i="14" a="1"/>
  <c r="J4964" i="14" s="1"/>
  <c r="N4965" i="14"/>
  <c r="M4968" i="13"/>
  <c r="N4966" i="13"/>
  <c r="J4965" i="13" a="1"/>
  <c r="J4965" i="13" s="1"/>
  <c r="M4969" i="14"/>
  <c r="K4780" i="13" l="1"/>
  <c r="L4780" i="13" s="1"/>
  <c r="I4781" i="13" s="1"/>
  <c r="K4802" i="14"/>
  <c r="L4802" i="14" s="1"/>
  <c r="I4803" i="14" s="1"/>
  <c r="J4966" i="13" a="1"/>
  <c r="J4966" i="13" s="1"/>
  <c r="N4967" i="13"/>
  <c r="M4969" i="13"/>
  <c r="M4970" i="14"/>
  <c r="N4966" i="14"/>
  <c r="J4965" i="14" a="1"/>
  <c r="J4965" i="14" s="1"/>
  <c r="K4781" i="13" l="1"/>
  <c r="L4781" i="13" s="1"/>
  <c r="I4782" i="13" s="1"/>
  <c r="K4803" i="14"/>
  <c r="L4803" i="14" s="1"/>
  <c r="I4804" i="14" s="1"/>
  <c r="N4967" i="14"/>
  <c r="J4966" i="14" a="1"/>
  <c r="J4966" i="14" s="1"/>
  <c r="M4970" i="13"/>
  <c r="M4971" i="14"/>
  <c r="N4968" i="13"/>
  <c r="J4967" i="13" a="1"/>
  <c r="J4967" i="13" s="1"/>
  <c r="K4782" i="13" l="1"/>
  <c r="L4782" i="13" s="1"/>
  <c r="I4783" i="13" s="1"/>
  <c r="M4971" i="13"/>
  <c r="K4804" i="14"/>
  <c r="L4804" i="14" s="1"/>
  <c r="I4805" i="14" s="1"/>
  <c r="J4968" i="13" a="1"/>
  <c r="J4968" i="13" s="1"/>
  <c r="N4969" i="13"/>
  <c r="M4972" i="14"/>
  <c r="N4968" i="14"/>
  <c r="J4967" i="14" a="1"/>
  <c r="J4967" i="14" s="1"/>
  <c r="K4805" i="14" l="1"/>
  <c r="L4805" i="14" s="1"/>
  <c r="I4806" i="14" s="1"/>
  <c r="K4783" i="13"/>
  <c r="L4783" i="13" s="1"/>
  <c r="I4784" i="13" s="1"/>
  <c r="N4970" i="13"/>
  <c r="J4969" i="13" a="1"/>
  <c r="J4969" i="13" s="1"/>
  <c r="M4972" i="13"/>
  <c r="J4968" i="14" a="1"/>
  <c r="J4968" i="14" s="1"/>
  <c r="N4969" i="14"/>
  <c r="M4973" i="14"/>
  <c r="K4806" i="14" l="1"/>
  <c r="L4806" i="14" s="1"/>
  <c r="I4807" i="14" s="1"/>
  <c r="N4970" i="14"/>
  <c r="J4969" i="14" a="1"/>
  <c r="J4969" i="14" s="1"/>
  <c r="M4974" i="14"/>
  <c r="M4973" i="13"/>
  <c r="K4784" i="13"/>
  <c r="L4784" i="13" s="1"/>
  <c r="I4785" i="13" s="1"/>
  <c r="J4970" i="13" a="1"/>
  <c r="J4970" i="13" s="1"/>
  <c r="N4971" i="13"/>
  <c r="K4785" i="13" l="1"/>
  <c r="L4785" i="13" s="1"/>
  <c r="I4786" i="13" s="1"/>
  <c r="K4807" i="14"/>
  <c r="L4807" i="14" s="1"/>
  <c r="I4808" i="14" s="1"/>
  <c r="N4972" i="13"/>
  <c r="J4971" i="13" a="1"/>
  <c r="J4971" i="13" s="1"/>
  <c r="N4971" i="14"/>
  <c r="J4970" i="14" a="1"/>
  <c r="J4970" i="14" s="1"/>
  <c r="M4974" i="13"/>
  <c r="M4975" i="14"/>
  <c r="K4808" i="14" l="1"/>
  <c r="L4808" i="14" s="1"/>
  <c r="I4809" i="14" s="1"/>
  <c r="K4786" i="13"/>
  <c r="L4786" i="13" s="1"/>
  <c r="I4787" i="13" s="1"/>
  <c r="M4976" i="14"/>
  <c r="N4972" i="14"/>
  <c r="J4971" i="14" a="1"/>
  <c r="J4971" i="14" s="1"/>
  <c r="M4975" i="13"/>
  <c r="J4972" i="13" a="1"/>
  <c r="J4972" i="13" s="1"/>
  <c r="N4973" i="13"/>
  <c r="K4809" i="14" l="1"/>
  <c r="L4809" i="14" s="1"/>
  <c r="I4810" i="14" s="1"/>
  <c r="K4787" i="13"/>
  <c r="L4787" i="13" s="1"/>
  <c r="I4788" i="13" s="1"/>
  <c r="N4974" i="13"/>
  <c r="J4973" i="13" a="1"/>
  <c r="J4973" i="13" s="1"/>
  <c r="J4972" i="14" a="1"/>
  <c r="J4972" i="14" s="1"/>
  <c r="N4973" i="14"/>
  <c r="M4977" i="14"/>
  <c r="M4976" i="13"/>
  <c r="K4788" i="13" l="1"/>
  <c r="L4788" i="13" s="1"/>
  <c r="I4789" i="13" s="1"/>
  <c r="N4974" i="14"/>
  <c r="J4973" i="14" a="1"/>
  <c r="J4973" i="14" s="1"/>
  <c r="M4978" i="14"/>
  <c r="M4977" i="13"/>
  <c r="J4974" i="13" a="1"/>
  <c r="J4974" i="13" s="1"/>
  <c r="N4975" i="13"/>
  <c r="K4810" i="14"/>
  <c r="L4810" i="14" s="1"/>
  <c r="I4811" i="14" s="1"/>
  <c r="K4811" i="14" l="1"/>
  <c r="L4811" i="14" s="1"/>
  <c r="I4812" i="14" s="1"/>
  <c r="K4789" i="13"/>
  <c r="L4789" i="13" s="1"/>
  <c r="I4790" i="13" s="1"/>
  <c r="M4978" i="13"/>
  <c r="N4975" i="14"/>
  <c r="J4974" i="14" a="1"/>
  <c r="J4974" i="14" s="1"/>
  <c r="N4976" i="13"/>
  <c r="J4975" i="13" a="1"/>
  <c r="J4975" i="13" s="1"/>
  <c r="M4979" i="14"/>
  <c r="K4790" i="13" l="1"/>
  <c r="L4790" i="13" s="1"/>
  <c r="I4791" i="13" s="1"/>
  <c r="K4812" i="14"/>
  <c r="L4812" i="14" s="1"/>
  <c r="I4813" i="14" s="1"/>
  <c r="N4976" i="14"/>
  <c r="J4975" i="14" a="1"/>
  <c r="J4975" i="14" s="1"/>
  <c r="M4980" i="14"/>
  <c r="M4979" i="13"/>
  <c r="J4976" i="13" a="1"/>
  <c r="J4976" i="13" s="1"/>
  <c r="N4977" i="13"/>
  <c r="K4813" i="14" l="1"/>
  <c r="L4813" i="14" s="1"/>
  <c r="I4814" i="14" s="1"/>
  <c r="K4791" i="13"/>
  <c r="L4791" i="13" s="1"/>
  <c r="I4792" i="13" s="1"/>
  <c r="N4978" i="13"/>
  <c r="J4977" i="13" a="1"/>
  <c r="J4977" i="13" s="1"/>
  <c r="M4981" i="14"/>
  <c r="M4980" i="13"/>
  <c r="J4976" i="14" a="1"/>
  <c r="J4976" i="14" s="1"/>
  <c r="N4977" i="14"/>
  <c r="K4814" i="14" l="1"/>
  <c r="L4814" i="14" s="1"/>
  <c r="I4815" i="14" s="1"/>
  <c r="N4978" i="14"/>
  <c r="J4977" i="14" a="1"/>
  <c r="J4977" i="14" s="1"/>
  <c r="M4982" i="14"/>
  <c r="K4792" i="13"/>
  <c r="L4792" i="13" s="1"/>
  <c r="I4793" i="13" s="1"/>
  <c r="M4981" i="13"/>
  <c r="J4978" i="13" a="1"/>
  <c r="J4978" i="13" s="1"/>
  <c r="N4979" i="13"/>
  <c r="K4793" i="13" l="1"/>
  <c r="L4793" i="13" s="1"/>
  <c r="I4794" i="13" s="1"/>
  <c r="K4815" i="14"/>
  <c r="L4815" i="14" s="1"/>
  <c r="I4816" i="14" s="1"/>
  <c r="N4980" i="13"/>
  <c r="J4979" i="13" a="1"/>
  <c r="J4979" i="13" s="1"/>
  <c r="N4979" i="14"/>
  <c r="J4978" i="14" a="1"/>
  <c r="J4978" i="14" s="1"/>
  <c r="M4983" i="14"/>
  <c r="M4982" i="13"/>
  <c r="K4794" i="13" l="1"/>
  <c r="L4794" i="13" s="1"/>
  <c r="I4795" i="13" s="1"/>
  <c r="M4983" i="13"/>
  <c r="N4980" i="14"/>
  <c r="J4979" i="14" a="1"/>
  <c r="J4979" i="14" s="1"/>
  <c r="K4816" i="14"/>
  <c r="L4816" i="14" s="1"/>
  <c r="I4817" i="14" s="1"/>
  <c r="M4984" i="14"/>
  <c r="J4980" i="13" a="1"/>
  <c r="J4980" i="13" s="1"/>
  <c r="N4981" i="13"/>
  <c r="K4795" i="13" l="1"/>
  <c r="L4795" i="13" s="1"/>
  <c r="I4796" i="13" s="1"/>
  <c r="N4982" i="13"/>
  <c r="J4981" i="13" a="1"/>
  <c r="J4981" i="13" s="1"/>
  <c r="K4817" i="14"/>
  <c r="L4817" i="14" s="1"/>
  <c r="I4818" i="14" s="1"/>
  <c r="M4984" i="13"/>
  <c r="M4985" i="14"/>
  <c r="J4980" i="14" a="1"/>
  <c r="J4980" i="14" s="1"/>
  <c r="N4981" i="14"/>
  <c r="K4818" i="14" l="1"/>
  <c r="L4818" i="14" s="1"/>
  <c r="I4819" i="14" s="1"/>
  <c r="K4796" i="13"/>
  <c r="L4796" i="13" s="1"/>
  <c r="I4797" i="13" s="1"/>
  <c r="N4982" i="14"/>
  <c r="J4981" i="14" a="1"/>
  <c r="J4981" i="14" s="1"/>
  <c r="M4985" i="13"/>
  <c r="J4982" i="13" a="1"/>
  <c r="J4982" i="13" s="1"/>
  <c r="N4983" i="13"/>
  <c r="M4986" i="14"/>
  <c r="K4797" i="13" l="1"/>
  <c r="L4797" i="13" s="1"/>
  <c r="I4798" i="13" s="1"/>
  <c r="M4987" i="14"/>
  <c r="M4986" i="13"/>
  <c r="N4984" i="13"/>
  <c r="J4983" i="13" a="1"/>
  <c r="J4983" i="13" s="1"/>
  <c r="N4983" i="14"/>
  <c r="J4982" i="14" a="1"/>
  <c r="J4982" i="14" s="1"/>
  <c r="K4819" i="14"/>
  <c r="L4819" i="14" s="1"/>
  <c r="I4820" i="14" s="1"/>
  <c r="K4820" i="14" l="1"/>
  <c r="L4820" i="14" s="1"/>
  <c r="I4821" i="14" s="1"/>
  <c r="K4798" i="13"/>
  <c r="L4798" i="13" s="1"/>
  <c r="I4799" i="13" s="1"/>
  <c r="J4984" i="13" a="1"/>
  <c r="J4984" i="13" s="1"/>
  <c r="N4985" i="13"/>
  <c r="M4988" i="14"/>
  <c r="M4987" i="13"/>
  <c r="N4984" i="14"/>
  <c r="J4983" i="14" a="1"/>
  <c r="J4983" i="14" s="1"/>
  <c r="K4799" i="13" l="1"/>
  <c r="L4799" i="13" s="1"/>
  <c r="I4800" i="13" s="1"/>
  <c r="K4821" i="14"/>
  <c r="L4821" i="14" s="1"/>
  <c r="I4822" i="14" s="1"/>
  <c r="M4989" i="14"/>
  <c r="N4986" i="13"/>
  <c r="J4985" i="13" a="1"/>
  <c r="J4985" i="13" s="1"/>
  <c r="J4984" i="14" a="1"/>
  <c r="J4984" i="14" s="1"/>
  <c r="N4985" i="14"/>
  <c r="M4988" i="13"/>
  <c r="M4989" i="13" l="1"/>
  <c r="K4822" i="14"/>
  <c r="L4822" i="14" s="1"/>
  <c r="I4823" i="14" s="1"/>
  <c r="J4986" i="13" a="1"/>
  <c r="J4986" i="13" s="1"/>
  <c r="N4987" i="13"/>
  <c r="N4986" i="14"/>
  <c r="J4985" i="14" a="1"/>
  <c r="J4985" i="14" s="1"/>
  <c r="M4990" i="14"/>
  <c r="K4800" i="13"/>
  <c r="L4800" i="13" s="1"/>
  <c r="I4801" i="13" s="1"/>
  <c r="K4801" i="13" l="1"/>
  <c r="L4801" i="13" s="1"/>
  <c r="I4802" i="13" s="1"/>
  <c r="K4823" i="14"/>
  <c r="L4823" i="14" s="1"/>
  <c r="I4824" i="14" s="1"/>
  <c r="N4987" i="14"/>
  <c r="J4986" i="14" a="1"/>
  <c r="J4986" i="14" s="1"/>
  <c r="M4991" i="14"/>
  <c r="N4988" i="13"/>
  <c r="J4987" i="13" a="1"/>
  <c r="J4987" i="13" s="1"/>
  <c r="M4990" i="13"/>
  <c r="K4802" i="13" l="1"/>
  <c r="L4802" i="13" s="1"/>
  <c r="I4803" i="13" s="1"/>
  <c r="M4991" i="13"/>
  <c r="M4992" i="14"/>
  <c r="K4824" i="14"/>
  <c r="L4824" i="14" s="1"/>
  <c r="I4825" i="14" s="1"/>
  <c r="J4988" i="13" a="1"/>
  <c r="J4988" i="13" s="1"/>
  <c r="N4989" i="13"/>
  <c r="N4988" i="14"/>
  <c r="J4987" i="14" a="1"/>
  <c r="J4987" i="14" s="1"/>
  <c r="K4825" i="14" l="1"/>
  <c r="L4825" i="14" s="1"/>
  <c r="I4826" i="14" s="1"/>
  <c r="K4803" i="13"/>
  <c r="L4803" i="13" s="1"/>
  <c r="I4804" i="13" s="1"/>
  <c r="J4988" i="14" a="1"/>
  <c r="J4988" i="14" s="1"/>
  <c r="N4989" i="14"/>
  <c r="M4992" i="13"/>
  <c r="N4990" i="13"/>
  <c r="J4989" i="13" a="1"/>
  <c r="J4989" i="13" s="1"/>
  <c r="M4993" i="14"/>
  <c r="K4804" i="13" l="1"/>
  <c r="L4804" i="13" s="1"/>
  <c r="I4805" i="13" s="1"/>
  <c r="K4826" i="14"/>
  <c r="L4826" i="14" s="1"/>
  <c r="I4827" i="14" s="1"/>
  <c r="J4990" i="13" a="1"/>
  <c r="J4990" i="13" s="1"/>
  <c r="N4991" i="13"/>
  <c r="M4994" i="14"/>
  <c r="M4993" i="13"/>
  <c r="N4990" i="14"/>
  <c r="J4989" i="14" a="1"/>
  <c r="J4989" i="14" s="1"/>
  <c r="K4827" i="14" l="1"/>
  <c r="L4827" i="14" s="1"/>
  <c r="I4828" i="14" s="1"/>
  <c r="K4805" i="13"/>
  <c r="L4805" i="13" s="1"/>
  <c r="I4806" i="13" s="1"/>
  <c r="M4995" i="14"/>
  <c r="M4994" i="13"/>
  <c r="J4990" i="14" a="1"/>
  <c r="J4990" i="14" s="1"/>
  <c r="N4991" i="14"/>
  <c r="N4992" i="13"/>
  <c r="J4991" i="13" a="1"/>
  <c r="J4991" i="13" s="1"/>
  <c r="K4806" i="13" l="1"/>
  <c r="L4806" i="13" s="1"/>
  <c r="I4807" i="13" s="1"/>
  <c r="K4828" i="14"/>
  <c r="L4828" i="14" s="1"/>
  <c r="I4829" i="14" s="1"/>
  <c r="N4992" i="14"/>
  <c r="J4991" i="14" a="1"/>
  <c r="J4991" i="14" s="1"/>
  <c r="M4995" i="13"/>
  <c r="J4992" i="13" a="1"/>
  <c r="J4992" i="13" s="1"/>
  <c r="N4993" i="13"/>
  <c r="M4996" i="14"/>
  <c r="K4829" i="14" l="1"/>
  <c r="L4829" i="14" s="1"/>
  <c r="I4830" i="14" s="1"/>
  <c r="K4807" i="13"/>
  <c r="L4807" i="13" s="1"/>
  <c r="I4808" i="13" s="1"/>
  <c r="M4997" i="14"/>
  <c r="M4996" i="13"/>
  <c r="N4994" i="13"/>
  <c r="J4993" i="13" a="1"/>
  <c r="J4993" i="13" s="1"/>
  <c r="J4992" i="14" a="1"/>
  <c r="J4992" i="14" s="1"/>
  <c r="N4993" i="14"/>
  <c r="K4808" i="13" l="1"/>
  <c r="L4808" i="13" s="1"/>
  <c r="I4809" i="13" s="1"/>
  <c r="K4830" i="14"/>
  <c r="L4830" i="14" s="1"/>
  <c r="I4831" i="14" s="1"/>
  <c r="J4993" i="14" a="1"/>
  <c r="J4993" i="14" s="1"/>
  <c r="N4994" i="14"/>
  <c r="M4997" i="13"/>
  <c r="J4994" i="13" a="1"/>
  <c r="J4994" i="13" s="1"/>
  <c r="N4995" i="13"/>
  <c r="M4998" i="14"/>
  <c r="K4831" i="14" l="1"/>
  <c r="L4831" i="14" s="1"/>
  <c r="I4832" i="14" s="1"/>
  <c r="K4809" i="13"/>
  <c r="L4809" i="13" s="1"/>
  <c r="I4810" i="13" s="1"/>
  <c r="N4996" i="13"/>
  <c r="J4995" i="13" a="1"/>
  <c r="J4995" i="13" s="1"/>
  <c r="M4999" i="14"/>
  <c r="M4998" i="13"/>
  <c r="J4994" i="14" a="1"/>
  <c r="J4994" i="14" s="1"/>
  <c r="N4995" i="14"/>
  <c r="K4810" i="13" l="1"/>
  <c r="L4810" i="13" s="1"/>
  <c r="I4811" i="13" s="1"/>
  <c r="K4832" i="14"/>
  <c r="L4832" i="14" s="1"/>
  <c r="I4833" i="14" s="1"/>
  <c r="N4996" i="14"/>
  <c r="J4995" i="14" a="1"/>
  <c r="J4995" i="14" s="1"/>
  <c r="M5000" i="14"/>
  <c r="M4999" i="13"/>
  <c r="J4996" i="13" a="1"/>
  <c r="J4996" i="13" s="1"/>
  <c r="N4997" i="13"/>
  <c r="K4811" i="13" l="1"/>
  <c r="L4811" i="13" s="1"/>
  <c r="I4812" i="13" s="1"/>
  <c r="N4998" i="13"/>
  <c r="J4997" i="13" a="1"/>
  <c r="J4997" i="13" s="1"/>
  <c r="M5001" i="14"/>
  <c r="K4833" i="14"/>
  <c r="L4833" i="14" s="1"/>
  <c r="I4834" i="14" s="1"/>
  <c r="M5000" i="13"/>
  <c r="J4996" i="14" a="1"/>
  <c r="J4996" i="14" s="1"/>
  <c r="N4997" i="14"/>
  <c r="K4834" i="14" l="1"/>
  <c r="L4834" i="14" s="1"/>
  <c r="I4835" i="14" s="1"/>
  <c r="K4812" i="13"/>
  <c r="L4812" i="13" s="1"/>
  <c r="I4813" i="13" s="1"/>
  <c r="J4997" i="14" a="1"/>
  <c r="J4997" i="14" s="1"/>
  <c r="N4998" i="14"/>
  <c r="J4998" i="13" a="1"/>
  <c r="J4998" i="13" s="1"/>
  <c r="N4999" i="13"/>
  <c r="M5001" i="13"/>
  <c r="M5002" i="14"/>
  <c r="K4835" i="14" l="1"/>
  <c r="L4835" i="14" s="1"/>
  <c r="I4836" i="14" s="1"/>
  <c r="M5002" i="13"/>
  <c r="M5003" i="14"/>
  <c r="N5000" i="13"/>
  <c r="J4999" i="13" a="1"/>
  <c r="J4999" i="13" s="1"/>
  <c r="K4813" i="13"/>
  <c r="L4813" i="13" s="1"/>
  <c r="I4814" i="13" s="1"/>
  <c r="N4999" i="14"/>
  <c r="J4998" i="14" a="1"/>
  <c r="J4998" i="14" s="1"/>
  <c r="K4814" i="13" l="1"/>
  <c r="L4814" i="13" s="1"/>
  <c r="I4815" i="13" s="1"/>
  <c r="K4836" i="14"/>
  <c r="L4836" i="14" s="1"/>
  <c r="I4837" i="14" s="1"/>
  <c r="M5003" i="13"/>
  <c r="J5000" i="13" a="1"/>
  <c r="J5000" i="13" s="1"/>
  <c r="N5001" i="13"/>
  <c r="N5000" i="14"/>
  <c r="J4999" i="14" a="1"/>
  <c r="J4999" i="14" s="1"/>
  <c r="M5004" i="14"/>
  <c r="K4837" i="14" l="1"/>
  <c r="L4837" i="14" s="1"/>
  <c r="I4838" i="14" s="1"/>
  <c r="K4815" i="13"/>
  <c r="L4815" i="13" s="1"/>
  <c r="I4816" i="13" s="1"/>
  <c r="N5002" i="13"/>
  <c r="J5001" i="13" a="1"/>
  <c r="J5001" i="13" s="1"/>
  <c r="M5005" i="14"/>
  <c r="J5000" i="14" a="1"/>
  <c r="J5000" i="14" s="1"/>
  <c r="N5001" i="14"/>
  <c r="M5004" i="13"/>
  <c r="K4816" i="13" l="1"/>
  <c r="L4816" i="13" s="1"/>
  <c r="I4817" i="13" s="1"/>
  <c r="K4838" i="14"/>
  <c r="L4838" i="14" s="1"/>
  <c r="I4839" i="14" s="1"/>
  <c r="M5005" i="13"/>
  <c r="M5006" i="14"/>
  <c r="N5002" i="14"/>
  <c r="J5001" i="14" a="1"/>
  <c r="J5001" i="14" s="1"/>
  <c r="J5002" i="13" a="1"/>
  <c r="J5002" i="13" s="1"/>
  <c r="N5003" i="13"/>
  <c r="K4839" i="14" l="1"/>
  <c r="L4839" i="14" s="1"/>
  <c r="I4840" i="14" s="1"/>
  <c r="K4817" i="13"/>
  <c r="L4817" i="13" s="1"/>
  <c r="I4818" i="13" s="1"/>
  <c r="N5004" i="13"/>
  <c r="J5003" i="13" a="1"/>
  <c r="J5003" i="13" s="1"/>
  <c r="M5007" i="14"/>
  <c r="N5003" i="14"/>
  <c r="J5002" i="14" a="1"/>
  <c r="J5002" i="14" s="1"/>
  <c r="M5006" i="13"/>
  <c r="K4818" i="13" l="1"/>
  <c r="L4818" i="13" s="1"/>
  <c r="I4819" i="13" s="1"/>
  <c r="K4840" i="14"/>
  <c r="L4840" i="14" s="1"/>
  <c r="I4841" i="14" s="1"/>
  <c r="M5007" i="13"/>
  <c r="N5004" i="14"/>
  <c r="J5003" i="14" a="1"/>
  <c r="J5003" i="14" s="1"/>
  <c r="M5008" i="14"/>
  <c r="J5004" i="13" a="1"/>
  <c r="J5004" i="13" s="1"/>
  <c r="N5005" i="13"/>
  <c r="K4841" i="14" l="1"/>
  <c r="L4841" i="14" s="1"/>
  <c r="I4842" i="14" s="1"/>
  <c r="K4819" i="13"/>
  <c r="L4819" i="13" s="1"/>
  <c r="I4820" i="13" s="1"/>
  <c r="N5006" i="13"/>
  <c r="J5005" i="13" a="1"/>
  <c r="J5005" i="13" s="1"/>
  <c r="J5004" i="14" a="1"/>
  <c r="J5004" i="14" s="1"/>
  <c r="N5005" i="14"/>
  <c r="M5009" i="14"/>
  <c r="M5008" i="13"/>
  <c r="K4820" i="13" l="1"/>
  <c r="L4820" i="13" s="1"/>
  <c r="I4821" i="13" s="1"/>
  <c r="K4842" i="14"/>
  <c r="L4842" i="14" s="1"/>
  <c r="I4843" i="14" s="1"/>
  <c r="N5006" i="14"/>
  <c r="J5005" i="14" a="1"/>
  <c r="J5005" i="14" s="1"/>
  <c r="M5009" i="13"/>
  <c r="M5010" i="14"/>
  <c r="J5006" i="13" a="1"/>
  <c r="J5006" i="13" s="1"/>
  <c r="N5007" i="13"/>
  <c r="K4821" i="13" l="1"/>
  <c r="L4821" i="13" s="1"/>
  <c r="I4822" i="13" s="1"/>
  <c r="N5008" i="13"/>
  <c r="J5007" i="13" a="1"/>
  <c r="J5007" i="13" s="1"/>
  <c r="M5010" i="13"/>
  <c r="K4843" i="14"/>
  <c r="L4843" i="14" s="1"/>
  <c r="I4844" i="14" s="1"/>
  <c r="M5011" i="14"/>
  <c r="N5007" i="14"/>
  <c r="J5006" i="14" a="1"/>
  <c r="J5006" i="14" s="1"/>
  <c r="K4844" i="14" l="1"/>
  <c r="L4844" i="14" s="1"/>
  <c r="I4845" i="14" s="1"/>
  <c r="K4822" i="13"/>
  <c r="L4822" i="13" s="1"/>
  <c r="I4823" i="13" s="1"/>
  <c r="J5008" i="13" a="1"/>
  <c r="J5008" i="13" s="1"/>
  <c r="N5009" i="13"/>
  <c r="N5008" i="14"/>
  <c r="J5007" i="14" a="1"/>
  <c r="J5007" i="14" s="1"/>
  <c r="M5011" i="13"/>
  <c r="M5012" i="14"/>
  <c r="K4823" i="13" l="1"/>
  <c r="L4823" i="13" s="1"/>
  <c r="I4824" i="13" s="1"/>
  <c r="K4845" i="14"/>
  <c r="L4845" i="14" s="1"/>
  <c r="I4846" i="14" s="1"/>
  <c r="J5008" i="14" a="1"/>
  <c r="J5008" i="14" s="1"/>
  <c r="N5009" i="14"/>
  <c r="M5013" i="14"/>
  <c r="N5010" i="13"/>
  <c r="J5009" i="13" a="1"/>
  <c r="J5009" i="13" s="1"/>
  <c r="M5012" i="13"/>
  <c r="K4846" i="14" l="1"/>
  <c r="L4846" i="14" s="1"/>
  <c r="I4847" i="14" s="1"/>
  <c r="K4824" i="13"/>
  <c r="L4824" i="13" s="1"/>
  <c r="I4825" i="13" s="1"/>
  <c r="J5010" i="13" a="1"/>
  <c r="J5010" i="13" s="1"/>
  <c r="N5011" i="13"/>
  <c r="M5013" i="13"/>
  <c r="M5014" i="14"/>
  <c r="N5010" i="14"/>
  <c r="J5009" i="14" a="1"/>
  <c r="J5009" i="14" s="1"/>
  <c r="K4847" i="14" l="1"/>
  <c r="L4847" i="14" s="1"/>
  <c r="I4848" i="14" s="1"/>
  <c r="K4825" i="13"/>
  <c r="L4825" i="13" s="1"/>
  <c r="I4826" i="13" s="1"/>
  <c r="N5011" i="14"/>
  <c r="J5010" i="14" a="1"/>
  <c r="J5010" i="14" s="1"/>
  <c r="M5014" i="13"/>
  <c r="M5015" i="14"/>
  <c r="N5012" i="13"/>
  <c r="J5011" i="13" a="1"/>
  <c r="J5011" i="13" s="1"/>
  <c r="K4826" i="13" l="1"/>
  <c r="L4826" i="13" s="1"/>
  <c r="I4827" i="13" s="1"/>
  <c r="M5016" i="14"/>
  <c r="M5015" i="13"/>
  <c r="J5012" i="13" a="1"/>
  <c r="J5012" i="13" s="1"/>
  <c r="N5013" i="13"/>
  <c r="N5012" i="14"/>
  <c r="J5011" i="14" a="1"/>
  <c r="J5011" i="14" s="1"/>
  <c r="K4848" i="14"/>
  <c r="L4848" i="14" s="1"/>
  <c r="I4849" i="14" s="1"/>
  <c r="K4849" i="14" l="1"/>
  <c r="L4849" i="14" s="1"/>
  <c r="I4850" i="14" s="1"/>
  <c r="K4827" i="13"/>
  <c r="L4827" i="13" s="1"/>
  <c r="I4828" i="13" s="1"/>
  <c r="N5014" i="13"/>
  <c r="J5013" i="13" a="1"/>
  <c r="J5013" i="13" s="1"/>
  <c r="M5017" i="14"/>
  <c r="J5012" i="14" a="1"/>
  <c r="J5012" i="14" s="1"/>
  <c r="N5013" i="14"/>
  <c r="M5016" i="13"/>
  <c r="K4850" i="14" l="1"/>
  <c r="L4850" i="14" s="1"/>
  <c r="I4851" i="14" s="1"/>
  <c r="M5017" i="13"/>
  <c r="M5018" i="14"/>
  <c r="K4828" i="13"/>
  <c r="L4828" i="13" s="1"/>
  <c r="I4829" i="13" s="1"/>
  <c r="N5014" i="14"/>
  <c r="J5013" i="14" a="1"/>
  <c r="J5013" i="14" s="1"/>
  <c r="J5014" i="13" a="1"/>
  <c r="J5014" i="13" s="1"/>
  <c r="N5015" i="13"/>
  <c r="K4851" i="14" l="1"/>
  <c r="L4851" i="14" s="1"/>
  <c r="I4852" i="14" s="1"/>
  <c r="N5016" i="13"/>
  <c r="J5015" i="13" a="1"/>
  <c r="J5015" i="13" s="1"/>
  <c r="M5018" i="13"/>
  <c r="K4829" i="13"/>
  <c r="L4829" i="13" s="1"/>
  <c r="I4830" i="13" s="1"/>
  <c r="M5019" i="14"/>
  <c r="N5015" i="14"/>
  <c r="J5014" i="14" a="1"/>
  <c r="J5014" i="14" s="1"/>
  <c r="K4830" i="13" l="1"/>
  <c r="L4830" i="13" s="1"/>
  <c r="I4831" i="13" s="1"/>
  <c r="K4852" i="14"/>
  <c r="L4852" i="14" s="1"/>
  <c r="I4853" i="14" s="1"/>
  <c r="J5016" i="13" a="1"/>
  <c r="J5016" i="13" s="1"/>
  <c r="N5017" i="13"/>
  <c r="M5019" i="13"/>
  <c r="N5016" i="14"/>
  <c r="J5015" i="14" a="1"/>
  <c r="J5015" i="14" s="1"/>
  <c r="M5020" i="14"/>
  <c r="J5016" i="14" l="1" a="1"/>
  <c r="J5016" i="14" s="1"/>
  <c r="N5017" i="14"/>
  <c r="M5021" i="14"/>
  <c r="M5020" i="13"/>
  <c r="K4853" i="14"/>
  <c r="L4853" i="14" s="1"/>
  <c r="I4854" i="14" s="1"/>
  <c r="N5018" i="13"/>
  <c r="J5017" i="13" a="1"/>
  <c r="J5017" i="13" s="1"/>
  <c r="K4831" i="13"/>
  <c r="L4831" i="13" s="1"/>
  <c r="I4832" i="13" s="1"/>
  <c r="K4854" i="14" l="1"/>
  <c r="L4854" i="14" s="1"/>
  <c r="I4855" i="14" s="1"/>
  <c r="M5021" i="13"/>
  <c r="M5022" i="14"/>
  <c r="K4832" i="13"/>
  <c r="L4832" i="13" s="1"/>
  <c r="I4833" i="13" s="1"/>
  <c r="N5018" i="14"/>
  <c r="J5017" i="14" a="1"/>
  <c r="J5017" i="14" s="1"/>
  <c r="J5018" i="13" a="1"/>
  <c r="J5018" i="13" s="1"/>
  <c r="N5019" i="13"/>
  <c r="K4833" i="13" l="1"/>
  <c r="L4833" i="13" s="1"/>
  <c r="I4834" i="13" s="1"/>
  <c r="K4855" i="14"/>
  <c r="L4855" i="14" s="1"/>
  <c r="I4856" i="14" s="1"/>
  <c r="N5020" i="13"/>
  <c r="J5019" i="13" a="1"/>
  <c r="J5019" i="13" s="1"/>
  <c r="M5022" i="13"/>
  <c r="M5023" i="14"/>
  <c r="N5019" i="14"/>
  <c r="J5018" i="14" a="1"/>
  <c r="J5018" i="14" s="1"/>
  <c r="K4834" i="13" l="1"/>
  <c r="L4834" i="13" s="1"/>
  <c r="I4835" i="13" s="1"/>
  <c r="M5023" i="13"/>
  <c r="K4856" i="14"/>
  <c r="L4856" i="14" s="1"/>
  <c r="I4857" i="14" s="1"/>
  <c r="N5020" i="14"/>
  <c r="J5019" i="14" a="1"/>
  <c r="J5019" i="14" s="1"/>
  <c r="M5024" i="14"/>
  <c r="J5020" i="13" a="1"/>
  <c r="J5020" i="13" s="1"/>
  <c r="N5021" i="13"/>
  <c r="K4835" i="13" l="1"/>
  <c r="L4835" i="13" s="1"/>
  <c r="I4836" i="13" s="1"/>
  <c r="N5022" i="13"/>
  <c r="J5021" i="13" a="1"/>
  <c r="J5021" i="13" s="1"/>
  <c r="J5020" i="14" a="1"/>
  <c r="J5020" i="14" s="1"/>
  <c r="N5021" i="14"/>
  <c r="M5024" i="13"/>
  <c r="M5025" i="14"/>
  <c r="K4857" i="14"/>
  <c r="L4857" i="14" s="1"/>
  <c r="I4858" i="14" s="1"/>
  <c r="K4858" i="14" l="1"/>
  <c r="L4858" i="14" s="1"/>
  <c r="I4859" i="14" s="1"/>
  <c r="K4836" i="13"/>
  <c r="L4836" i="13" s="1"/>
  <c r="I4837" i="13" s="1"/>
  <c r="M5025" i="13"/>
  <c r="J5022" i="13" a="1"/>
  <c r="J5022" i="13" s="1"/>
  <c r="N5023" i="13"/>
  <c r="M5026" i="14"/>
  <c r="N5022" i="14"/>
  <c r="J5021" i="14" a="1"/>
  <c r="J5021" i="14" s="1"/>
  <c r="K4837" i="13" l="1"/>
  <c r="L4837" i="13" s="1"/>
  <c r="I4838" i="13" s="1"/>
  <c r="K4859" i="14"/>
  <c r="L4859" i="14" s="1"/>
  <c r="I4860" i="14" s="1"/>
  <c r="N5023" i="14"/>
  <c r="J5022" i="14" a="1"/>
  <c r="J5022" i="14" s="1"/>
  <c r="N5024" i="13"/>
  <c r="J5023" i="13" a="1"/>
  <c r="J5023" i="13" s="1"/>
  <c r="M5027" i="14"/>
  <c r="M5026" i="13"/>
  <c r="K4838" i="13" l="1"/>
  <c r="L4838" i="13" s="1"/>
  <c r="I4839" i="13" s="1"/>
  <c r="M5027" i="13"/>
  <c r="J5024" i="13" a="1"/>
  <c r="J5024" i="13" s="1"/>
  <c r="N5025" i="13"/>
  <c r="K4860" i="14"/>
  <c r="L4860" i="14" s="1"/>
  <c r="I4861" i="14" s="1"/>
  <c r="M5028" i="14"/>
  <c r="N5024" i="14"/>
  <c r="J5023" i="14" a="1"/>
  <c r="J5023" i="14" s="1"/>
  <c r="K4839" i="13" l="1"/>
  <c r="L4839" i="13" s="1"/>
  <c r="I4840" i="13" s="1"/>
  <c r="K4861" i="14"/>
  <c r="L4861" i="14" s="1"/>
  <c r="I4862" i="14" s="1"/>
  <c r="M5028" i="13"/>
  <c r="M5029" i="14"/>
  <c r="J5024" i="14" a="1"/>
  <c r="J5024" i="14" s="1"/>
  <c r="N5025" i="14"/>
  <c r="N5026" i="13"/>
  <c r="J5025" i="13" a="1"/>
  <c r="J5025" i="13" s="1"/>
  <c r="K4840" i="13" l="1"/>
  <c r="L4840" i="13" s="1"/>
  <c r="I4841" i="13" s="1"/>
  <c r="J5026" i="13" a="1"/>
  <c r="J5026" i="13" s="1"/>
  <c r="N5027" i="13"/>
  <c r="M5030" i="14"/>
  <c r="K4862" i="14"/>
  <c r="L4862" i="14" s="1"/>
  <c r="I4863" i="14" s="1"/>
  <c r="N5026" i="14"/>
  <c r="J5025" i="14" a="1"/>
  <c r="J5025" i="14" s="1"/>
  <c r="M5029" i="13"/>
  <c r="K4841" i="13" l="1"/>
  <c r="L4841" i="13" s="1"/>
  <c r="I4842" i="13" s="1"/>
  <c r="K4863" i="14"/>
  <c r="L4863" i="14" s="1"/>
  <c r="I4864" i="14" s="1"/>
  <c r="N5028" i="13"/>
  <c r="J5027" i="13" a="1"/>
  <c r="J5027" i="13" s="1"/>
  <c r="M5030" i="13"/>
  <c r="M5031" i="14"/>
  <c r="N5027" i="14"/>
  <c r="J5026" i="14" a="1"/>
  <c r="J5026" i="14" s="1"/>
  <c r="K4842" i="13" l="1"/>
  <c r="L4842" i="13" s="1"/>
  <c r="I4843" i="13" s="1"/>
  <c r="M5031" i="13"/>
  <c r="N5028" i="14"/>
  <c r="J5027" i="14" a="1"/>
  <c r="J5027" i="14" s="1"/>
  <c r="K4864" i="14"/>
  <c r="L4864" i="14" s="1"/>
  <c r="I4865" i="14" s="1"/>
  <c r="M5032" i="14"/>
  <c r="J5028" i="13" a="1"/>
  <c r="J5028" i="13" s="1"/>
  <c r="N5029" i="13"/>
  <c r="K4843" i="13" l="1"/>
  <c r="L4843" i="13" s="1"/>
  <c r="I4844" i="13" s="1"/>
  <c r="N5030" i="13"/>
  <c r="J5029" i="13" a="1"/>
  <c r="J5029" i="13" s="1"/>
  <c r="K4865" i="14"/>
  <c r="L4865" i="14" s="1"/>
  <c r="I4866" i="14" s="1"/>
  <c r="M5032" i="13"/>
  <c r="M5033" i="14"/>
  <c r="J5028" i="14" a="1"/>
  <c r="J5028" i="14" s="1"/>
  <c r="N5029" i="14"/>
  <c r="K4866" i="14" l="1"/>
  <c r="L4866" i="14" s="1"/>
  <c r="I4867" i="14" s="1"/>
  <c r="K4844" i="13"/>
  <c r="L4844" i="13" s="1"/>
  <c r="I4845" i="13" s="1"/>
  <c r="N5030" i="14"/>
  <c r="J5029" i="14" a="1"/>
  <c r="J5029" i="14" s="1"/>
  <c r="M5033" i="13"/>
  <c r="J5030" i="13" a="1"/>
  <c r="J5030" i="13" s="1"/>
  <c r="N5031" i="13"/>
  <c r="M5034" i="14"/>
  <c r="K4845" i="13" l="1"/>
  <c r="L4845" i="13" s="1"/>
  <c r="I4846" i="13" s="1"/>
  <c r="K4867" i="14"/>
  <c r="L4867" i="14" s="1"/>
  <c r="I4868" i="14" s="1"/>
  <c r="M5035" i="14"/>
  <c r="M5034" i="13"/>
  <c r="N5032" i="13"/>
  <c r="J5031" i="13" a="1"/>
  <c r="J5031" i="13" s="1"/>
  <c r="N5031" i="14"/>
  <c r="J5030" i="14" a="1"/>
  <c r="J5030" i="14" s="1"/>
  <c r="K4868" i="14" l="1"/>
  <c r="L4868" i="14" s="1"/>
  <c r="I4869" i="14" s="1"/>
  <c r="K4846" i="13"/>
  <c r="L4846" i="13" s="1"/>
  <c r="I4847" i="13" s="1"/>
  <c r="M5035" i="13"/>
  <c r="N5032" i="14"/>
  <c r="J5031" i="14" a="1"/>
  <c r="J5031" i="14" s="1"/>
  <c r="J5032" i="13" a="1"/>
  <c r="J5032" i="13" s="1"/>
  <c r="N5033" i="13"/>
  <c r="M5036" i="14"/>
  <c r="K4847" i="13" l="1"/>
  <c r="L4847" i="13" s="1"/>
  <c r="I4848" i="13" s="1"/>
  <c r="K4869" i="14"/>
  <c r="L4869" i="14" s="1"/>
  <c r="I4870" i="14" s="1"/>
  <c r="N5034" i="13"/>
  <c r="J5033" i="13" a="1"/>
  <c r="J5033" i="13" s="1"/>
  <c r="M5037" i="14"/>
  <c r="J5032" i="14" a="1"/>
  <c r="J5032" i="14" s="1"/>
  <c r="N5033" i="14"/>
  <c r="M5036" i="13"/>
  <c r="K4870" i="14" l="1"/>
  <c r="L4870" i="14" s="1"/>
  <c r="I4871" i="14" s="1"/>
  <c r="K4848" i="13"/>
  <c r="L4848" i="13" s="1"/>
  <c r="I4849" i="13" s="1"/>
  <c r="M5037" i="13"/>
  <c r="N5034" i="14"/>
  <c r="J5033" i="14" a="1"/>
  <c r="J5033" i="14" s="1"/>
  <c r="M5038" i="14"/>
  <c r="J5034" i="13" a="1"/>
  <c r="J5034" i="13" s="1"/>
  <c r="N5035" i="13"/>
  <c r="K4849" i="13" l="1"/>
  <c r="L4849" i="13" s="1"/>
  <c r="I4850" i="13" s="1"/>
  <c r="K4871" i="14"/>
  <c r="L4871" i="14" s="1"/>
  <c r="I4872" i="14" s="1"/>
  <c r="N5035" i="14"/>
  <c r="J5034" i="14" a="1"/>
  <c r="J5034" i="14" s="1"/>
  <c r="N5036" i="13"/>
  <c r="J5035" i="13" a="1"/>
  <c r="J5035" i="13" s="1"/>
  <c r="M5039" i="14"/>
  <c r="M5038" i="13"/>
  <c r="K4872" i="14" l="1"/>
  <c r="L4872" i="14" s="1"/>
  <c r="I4873" i="14" s="1"/>
  <c r="K4850" i="13"/>
  <c r="L4850" i="13" s="1"/>
  <c r="I4851" i="13" s="1"/>
  <c r="M5040" i="14"/>
  <c r="M5039" i="13"/>
  <c r="J5036" i="13" a="1"/>
  <c r="J5036" i="13" s="1"/>
  <c r="N5037" i="13"/>
  <c r="N5036" i="14"/>
  <c r="J5035" i="14" a="1"/>
  <c r="J5035" i="14" s="1"/>
  <c r="K4851" i="13" l="1"/>
  <c r="L4851" i="13" s="1"/>
  <c r="I4852" i="13" s="1"/>
  <c r="K4873" i="14"/>
  <c r="L4873" i="14" s="1"/>
  <c r="I4874" i="14" s="1"/>
  <c r="N5038" i="13"/>
  <c r="J5037" i="13" a="1"/>
  <c r="J5037" i="13" s="1"/>
  <c r="M5041" i="14"/>
  <c r="J5036" i="14" a="1"/>
  <c r="J5036" i="14" s="1"/>
  <c r="N5037" i="14"/>
  <c r="M5040" i="13"/>
  <c r="K4874" i="14" l="1"/>
  <c r="L4874" i="14" s="1"/>
  <c r="I4875" i="14" s="1"/>
  <c r="K4852" i="13"/>
  <c r="L4852" i="13" s="1"/>
  <c r="I4853" i="13" s="1"/>
  <c r="M5041" i="13"/>
  <c r="M5042" i="14"/>
  <c r="N5038" i="14"/>
  <c r="J5037" i="14" a="1"/>
  <c r="J5037" i="14" s="1"/>
  <c r="J5038" i="13" a="1"/>
  <c r="J5038" i="13" s="1"/>
  <c r="N5039" i="13"/>
  <c r="K4875" i="14" l="1"/>
  <c r="L4875" i="14" s="1"/>
  <c r="I4876" i="14" s="1"/>
  <c r="N5040" i="13"/>
  <c r="J5039" i="13" a="1"/>
  <c r="J5039" i="13" s="1"/>
  <c r="M5043" i="14"/>
  <c r="K4853" i="13"/>
  <c r="L4853" i="13" s="1"/>
  <c r="I4854" i="13" s="1"/>
  <c r="N5039" i="14"/>
  <c r="J5038" i="14" a="1"/>
  <c r="J5038" i="14" s="1"/>
  <c r="M5042" i="13"/>
  <c r="K4854" i="13" l="1"/>
  <c r="L4854" i="13" s="1"/>
  <c r="I4855" i="13" s="1"/>
  <c r="K4876" i="14"/>
  <c r="L4876" i="14" s="1"/>
  <c r="I4877" i="14" s="1"/>
  <c r="M5043" i="13"/>
  <c r="J5040" i="13" a="1"/>
  <c r="J5040" i="13" s="1"/>
  <c r="N5041" i="13"/>
  <c r="N5040" i="14"/>
  <c r="J5039" i="14" a="1"/>
  <c r="J5039" i="14" s="1"/>
  <c r="M5044" i="14"/>
  <c r="K4855" i="13" l="1"/>
  <c r="L4855" i="13" s="1"/>
  <c r="I4856" i="13" s="1"/>
  <c r="M5045" i="14"/>
  <c r="N5042" i="13"/>
  <c r="J5041" i="13" a="1"/>
  <c r="J5041" i="13" s="1"/>
  <c r="K4877" i="14"/>
  <c r="L4877" i="14" s="1"/>
  <c r="I4878" i="14" s="1"/>
  <c r="J5040" i="14" a="1"/>
  <c r="J5040" i="14" s="1"/>
  <c r="N5041" i="14"/>
  <c r="M5044" i="13"/>
  <c r="K4856" i="13" l="1"/>
  <c r="L4856" i="13" s="1"/>
  <c r="I4857" i="13" s="1"/>
  <c r="M5045" i="13"/>
  <c r="K4878" i="14"/>
  <c r="L4878" i="14" s="1"/>
  <c r="I4879" i="14" s="1"/>
  <c r="M5046" i="14"/>
  <c r="N5042" i="14"/>
  <c r="J5041" i="14" a="1"/>
  <c r="J5041" i="14" s="1"/>
  <c r="J5042" i="13" a="1"/>
  <c r="J5042" i="13" s="1"/>
  <c r="N5043" i="13"/>
  <c r="K4879" i="14" l="1"/>
  <c r="L4879" i="14" s="1"/>
  <c r="I4880" i="14" s="1"/>
  <c r="K4857" i="13"/>
  <c r="L4857" i="13" s="1"/>
  <c r="I4858" i="13" s="1"/>
  <c r="N5044" i="13"/>
  <c r="J5043" i="13" a="1"/>
  <c r="J5043" i="13" s="1"/>
  <c r="M5047" i="14"/>
  <c r="M5046" i="13"/>
  <c r="N5043" i="14"/>
  <c r="J5042" i="14" a="1"/>
  <c r="J5042" i="14" s="1"/>
  <c r="K4858" i="13" l="1"/>
  <c r="L4858" i="13" s="1"/>
  <c r="I4859" i="13" s="1"/>
  <c r="K4880" i="14"/>
  <c r="L4880" i="14" s="1"/>
  <c r="I4881" i="14" s="1"/>
  <c r="M5048" i="14"/>
  <c r="N5044" i="14"/>
  <c r="J5043" i="14" a="1"/>
  <c r="J5043" i="14" s="1"/>
  <c r="M5047" i="13"/>
  <c r="J5044" i="13" a="1"/>
  <c r="J5044" i="13" s="1"/>
  <c r="N5045" i="13"/>
  <c r="K4881" i="14" l="1"/>
  <c r="L4881" i="14" s="1"/>
  <c r="I4882" i="14" s="1"/>
  <c r="K4859" i="13"/>
  <c r="L4859" i="13" s="1"/>
  <c r="I4860" i="13" s="1"/>
  <c r="N5046" i="13"/>
  <c r="J5045" i="13" a="1"/>
  <c r="J5045" i="13" s="1"/>
  <c r="J5044" i="14" a="1"/>
  <c r="J5044" i="14" s="1"/>
  <c r="N5045" i="14"/>
  <c r="M5048" i="13"/>
  <c r="M5049" i="14"/>
  <c r="K4882" i="14" l="1"/>
  <c r="L4882" i="14" s="1"/>
  <c r="I4883" i="14" s="1"/>
  <c r="M5050" i="14"/>
  <c r="N5046" i="14"/>
  <c r="J5045" i="14" a="1"/>
  <c r="J5045" i="14" s="1"/>
  <c r="K4860" i="13"/>
  <c r="L4860" i="13" s="1"/>
  <c r="I4861" i="13" s="1"/>
  <c r="M5049" i="13"/>
  <c r="J5046" i="13" a="1"/>
  <c r="J5046" i="13" s="1"/>
  <c r="N5047" i="13"/>
  <c r="K4883" i="14" l="1"/>
  <c r="L4883" i="14" s="1"/>
  <c r="I4884" i="14" s="1"/>
  <c r="N5048" i="13"/>
  <c r="J5047" i="13" a="1"/>
  <c r="J5047" i="13" s="1"/>
  <c r="M5051" i="14"/>
  <c r="K4861" i="13"/>
  <c r="L4861" i="13" s="1"/>
  <c r="I4862" i="13" s="1"/>
  <c r="M5050" i="13"/>
  <c r="N5047" i="14"/>
  <c r="J5046" i="14" a="1"/>
  <c r="J5046" i="14" s="1"/>
  <c r="K4862" i="13" l="1"/>
  <c r="L4862" i="13" s="1"/>
  <c r="I4863" i="13" s="1"/>
  <c r="K4884" i="14"/>
  <c r="L4884" i="14" s="1"/>
  <c r="I4885" i="14" s="1"/>
  <c r="N5048" i="14"/>
  <c r="J5047" i="14" a="1"/>
  <c r="J5047" i="14" s="1"/>
  <c r="M5051" i="13"/>
  <c r="J5048" i="13" a="1"/>
  <c r="J5048" i="13" s="1"/>
  <c r="N5049" i="13"/>
  <c r="M5052" i="14"/>
  <c r="K4863" i="13" l="1"/>
  <c r="L4863" i="13" s="1"/>
  <c r="I4864" i="13" s="1"/>
  <c r="N5050" i="13"/>
  <c r="J5049" i="13" a="1"/>
  <c r="J5049" i="13" s="1"/>
  <c r="M5053" i="14"/>
  <c r="M5052" i="13"/>
  <c r="K4885" i="14"/>
  <c r="L4885" i="14" s="1"/>
  <c r="I4886" i="14" s="1"/>
  <c r="J5048" i="14" a="1"/>
  <c r="J5048" i="14" s="1"/>
  <c r="N5049" i="14"/>
  <c r="K4886" i="14" l="1"/>
  <c r="L4886" i="14" s="1"/>
  <c r="I4887" i="14" s="1"/>
  <c r="K4864" i="13"/>
  <c r="L4864" i="13" s="1"/>
  <c r="I4865" i="13" s="1"/>
  <c r="J5050" i="13" a="1"/>
  <c r="J5050" i="13" s="1"/>
  <c r="N5051" i="13"/>
  <c r="N5050" i="14"/>
  <c r="J5049" i="14" a="1"/>
  <c r="J5049" i="14" s="1"/>
  <c r="M5053" i="13"/>
  <c r="M5054" i="14"/>
  <c r="K4887" i="14" l="1"/>
  <c r="L4887" i="14" s="1"/>
  <c r="I4888" i="14" s="1"/>
  <c r="N5051" i="14"/>
  <c r="J5050" i="14" a="1"/>
  <c r="J5050" i="14" s="1"/>
  <c r="K4865" i="13"/>
  <c r="L4865" i="13" s="1"/>
  <c r="I4866" i="13" s="1"/>
  <c r="N5052" i="13"/>
  <c r="J5051" i="13" a="1"/>
  <c r="J5051" i="13" s="1"/>
  <c r="M5055" i="14"/>
  <c r="M5054" i="13"/>
  <c r="K4866" i="13" l="1"/>
  <c r="L4866" i="13" s="1"/>
  <c r="I4867" i="13" s="1"/>
  <c r="K4888" i="14"/>
  <c r="L4888" i="14" s="1"/>
  <c r="I4889" i="14" s="1"/>
  <c r="N5052" i="14"/>
  <c r="J5051" i="14" a="1"/>
  <c r="J5051" i="14" s="1"/>
  <c r="M5055" i="13"/>
  <c r="J5052" i="13" a="1"/>
  <c r="J5052" i="13" s="1"/>
  <c r="N5053" i="13"/>
  <c r="M5056" i="14"/>
  <c r="K4889" i="14" l="1"/>
  <c r="L4889" i="14" s="1"/>
  <c r="I4890" i="14" s="1"/>
  <c r="K4867" i="13"/>
  <c r="L4867" i="13" s="1"/>
  <c r="I4868" i="13" s="1"/>
  <c r="N5054" i="13"/>
  <c r="J5053" i="13" a="1"/>
  <c r="J5053" i="13" s="1"/>
  <c r="M5057" i="14"/>
  <c r="M5056" i="13"/>
  <c r="J5052" i="14" a="1"/>
  <c r="J5052" i="14" s="1"/>
  <c r="N5053" i="14"/>
  <c r="N5054" i="14" l="1"/>
  <c r="J5053" i="14" a="1"/>
  <c r="J5053" i="14" s="1"/>
  <c r="M5058" i="14"/>
  <c r="K4868" i="13"/>
  <c r="L4868" i="13" s="1"/>
  <c r="I4869" i="13" s="1"/>
  <c r="M5057" i="13"/>
  <c r="J5054" i="13" a="1"/>
  <c r="J5054" i="13" s="1"/>
  <c r="N5055" i="13"/>
  <c r="K4890" i="14"/>
  <c r="L4890" i="14" s="1"/>
  <c r="I4891" i="14" s="1"/>
  <c r="K4869" i="13" l="1"/>
  <c r="L4869" i="13" s="1"/>
  <c r="I4870" i="13" s="1"/>
  <c r="M5059" i="14"/>
  <c r="M5058" i="13"/>
  <c r="N5056" i="13"/>
  <c r="J5055" i="13" a="1"/>
  <c r="J5055" i="13" s="1"/>
  <c r="K4891" i="14"/>
  <c r="L4891" i="14" s="1"/>
  <c r="I4892" i="14" s="1"/>
  <c r="J5054" i="14" a="1"/>
  <c r="J5054" i="14" s="1"/>
  <c r="N5055" i="14"/>
  <c r="K4892" i="14" l="1"/>
  <c r="L4892" i="14" s="1"/>
  <c r="I4893" i="14" s="1"/>
  <c r="K4870" i="13"/>
  <c r="L4870" i="13" s="1"/>
  <c r="I4871" i="13" s="1"/>
  <c r="N5056" i="14"/>
  <c r="J5055" i="14" a="1"/>
  <c r="J5055" i="14" s="1"/>
  <c r="J5056" i="13" a="1"/>
  <c r="J5056" i="13" s="1"/>
  <c r="N5057" i="13"/>
  <c r="M5060" i="14"/>
  <c r="M5059" i="13"/>
  <c r="K4893" i="14" l="1"/>
  <c r="L4893" i="14" s="1"/>
  <c r="I4894" i="14" s="1"/>
  <c r="N5058" i="13"/>
  <c r="J5057" i="13" a="1"/>
  <c r="J5057" i="13" s="1"/>
  <c r="M5060" i="13"/>
  <c r="K4871" i="13"/>
  <c r="L4871" i="13" s="1"/>
  <c r="I4872" i="13" s="1"/>
  <c r="M5061" i="14"/>
  <c r="J5056" i="14" a="1"/>
  <c r="J5056" i="14" s="1"/>
  <c r="N5057" i="14"/>
  <c r="K4872" i="13" l="1"/>
  <c r="L4872" i="13" s="1"/>
  <c r="I4873" i="13" s="1"/>
  <c r="K4894" i="14"/>
  <c r="L4894" i="14" s="1"/>
  <c r="I4895" i="14" s="1"/>
  <c r="J5057" i="14" a="1"/>
  <c r="J5057" i="14" s="1"/>
  <c r="N5058" i="14"/>
  <c r="J5058" i="13" a="1"/>
  <c r="J5058" i="13" s="1"/>
  <c r="N5059" i="13"/>
  <c r="M5061" i="13"/>
  <c r="M5062" i="14"/>
  <c r="K4873" i="13" l="1"/>
  <c r="L4873" i="13" s="1"/>
  <c r="I4874" i="13" s="1"/>
  <c r="M5062" i="13"/>
  <c r="M5063" i="14"/>
  <c r="N5060" i="13"/>
  <c r="J5059" i="13" a="1"/>
  <c r="J5059" i="13" s="1"/>
  <c r="K4895" i="14"/>
  <c r="L4895" i="14" s="1"/>
  <c r="I4896" i="14" s="1"/>
  <c r="J5058" i="14" a="1"/>
  <c r="J5058" i="14" s="1"/>
  <c r="N5059" i="14"/>
  <c r="K4896" i="14" l="1"/>
  <c r="L4896" i="14" s="1"/>
  <c r="I4897" i="14" s="1"/>
  <c r="K4874" i="13"/>
  <c r="L4874" i="13" s="1"/>
  <c r="I4875" i="13" s="1"/>
  <c r="M5063" i="13"/>
  <c r="N5060" i="14"/>
  <c r="J5059" i="14" a="1"/>
  <c r="J5059" i="14" s="1"/>
  <c r="J5060" i="13" a="1"/>
  <c r="J5060" i="13" s="1"/>
  <c r="N5061" i="13"/>
  <c r="M5064" i="14"/>
  <c r="K4897" i="14" l="1"/>
  <c r="L4897" i="14" s="1"/>
  <c r="I4898" i="14" s="1"/>
  <c r="M5065" i="14"/>
  <c r="J5060" i="14" a="1"/>
  <c r="J5060" i="14" s="1"/>
  <c r="N5061" i="14"/>
  <c r="K4875" i="13"/>
  <c r="L4875" i="13" s="1"/>
  <c r="I4876" i="13" s="1"/>
  <c r="N5062" i="13"/>
  <c r="J5061" i="13" a="1"/>
  <c r="J5061" i="13" s="1"/>
  <c r="M5064" i="13"/>
  <c r="K4898" i="14" l="1"/>
  <c r="L4898" i="14" s="1"/>
  <c r="I4899" i="14" s="1"/>
  <c r="J5062" i="13" a="1"/>
  <c r="J5062" i="13" s="1"/>
  <c r="N5063" i="13"/>
  <c r="M5065" i="13"/>
  <c r="K4876" i="13"/>
  <c r="L4876" i="13" s="1"/>
  <c r="I4877" i="13" s="1"/>
  <c r="M5066" i="14"/>
  <c r="J5061" i="14" a="1"/>
  <c r="J5061" i="14" s="1"/>
  <c r="N5062" i="14"/>
  <c r="K4877" i="13" l="1"/>
  <c r="L4877" i="13" s="1"/>
  <c r="I4878" i="13" s="1"/>
  <c r="K4899" i="14"/>
  <c r="L4899" i="14" s="1"/>
  <c r="I4900" i="14" s="1"/>
  <c r="N5064" i="13"/>
  <c r="J5063" i="13" a="1"/>
  <c r="J5063" i="13" s="1"/>
  <c r="N5063" i="14"/>
  <c r="J5062" i="14" a="1"/>
  <c r="J5062" i="14" s="1"/>
  <c r="M5067" i="14"/>
  <c r="M5066" i="13"/>
  <c r="K4878" i="13" l="1"/>
  <c r="L4878" i="13" s="1"/>
  <c r="I4879" i="13" s="1"/>
  <c r="N5064" i="14"/>
  <c r="J5063" i="14" a="1"/>
  <c r="J5063" i="14" s="1"/>
  <c r="K4900" i="14"/>
  <c r="L4900" i="14" s="1"/>
  <c r="I4901" i="14" s="1"/>
  <c r="M5067" i="13"/>
  <c r="M5068" i="14"/>
  <c r="J5064" i="13" a="1"/>
  <c r="J5064" i="13" s="1"/>
  <c r="N5065" i="13"/>
  <c r="K4901" i="14" l="1"/>
  <c r="L4901" i="14" s="1"/>
  <c r="I4902" i="14" s="1"/>
  <c r="K4879" i="13"/>
  <c r="L4879" i="13" s="1"/>
  <c r="I4880" i="13" s="1"/>
  <c r="M5068" i="13"/>
  <c r="N5066" i="13"/>
  <c r="J5065" i="13" a="1"/>
  <c r="J5065" i="13" s="1"/>
  <c r="J5064" i="14" a="1"/>
  <c r="J5064" i="14" s="1"/>
  <c r="N5065" i="14"/>
  <c r="M5069" i="14"/>
  <c r="K4880" i="13" l="1"/>
  <c r="L4880" i="13" s="1"/>
  <c r="I4881" i="13" s="1"/>
  <c r="K4902" i="14"/>
  <c r="L4902" i="14" s="1"/>
  <c r="I4903" i="14" s="1"/>
  <c r="M5070" i="14"/>
  <c r="J5066" i="13" a="1"/>
  <c r="J5066" i="13" s="1"/>
  <c r="N5067" i="13"/>
  <c r="N5066" i="14"/>
  <c r="J5065" i="14" a="1"/>
  <c r="J5065" i="14" s="1"/>
  <c r="M5069" i="13"/>
  <c r="K4881" i="13" l="1"/>
  <c r="L4881" i="13" s="1"/>
  <c r="I4882" i="13" s="1"/>
  <c r="N5068" i="13"/>
  <c r="J5067" i="13" a="1"/>
  <c r="J5067" i="13" s="1"/>
  <c r="M5070" i="13"/>
  <c r="K4903" i="14"/>
  <c r="L4903" i="14" s="1"/>
  <c r="I4904" i="14" s="1"/>
  <c r="M5071" i="14"/>
  <c r="N5067" i="14"/>
  <c r="J5066" i="14" a="1"/>
  <c r="J5066" i="14" s="1"/>
  <c r="K4904" i="14" l="1"/>
  <c r="L4904" i="14" s="1"/>
  <c r="I4905" i="14" s="1"/>
  <c r="K4882" i="13"/>
  <c r="L4882" i="13" s="1"/>
  <c r="I4883" i="13" s="1"/>
  <c r="N5068" i="14"/>
  <c r="J5067" i="14" a="1"/>
  <c r="J5067" i="14" s="1"/>
  <c r="J5068" i="13" a="1"/>
  <c r="J5068" i="13" s="1"/>
  <c r="N5069" i="13"/>
  <c r="M5071" i="13"/>
  <c r="M5072" i="14"/>
  <c r="K4905" i="14" l="1"/>
  <c r="L4905" i="14" s="1"/>
  <c r="I4906" i="14" s="1"/>
  <c r="M5073" i="14"/>
  <c r="N5070" i="13"/>
  <c r="J5069" i="13" a="1"/>
  <c r="J5069" i="13" s="1"/>
  <c r="K4883" i="13"/>
  <c r="L4883" i="13" s="1"/>
  <c r="I4884" i="13" s="1"/>
  <c r="M5072" i="13"/>
  <c r="J5068" i="14" a="1"/>
  <c r="J5068" i="14" s="1"/>
  <c r="N5069" i="14"/>
  <c r="K4906" i="14" l="1"/>
  <c r="L4906" i="14" s="1"/>
  <c r="I4907" i="14" s="1"/>
  <c r="N5070" i="14"/>
  <c r="J5069" i="14" a="1"/>
  <c r="J5069" i="14" s="1"/>
  <c r="M5074" i="14"/>
  <c r="K4884" i="13"/>
  <c r="L4884" i="13" s="1"/>
  <c r="I4885" i="13" s="1"/>
  <c r="M5073" i="13"/>
  <c r="J5070" i="13" a="1"/>
  <c r="J5070" i="13" s="1"/>
  <c r="N5071" i="13"/>
  <c r="K4885" i="13" l="1"/>
  <c r="L4885" i="13" s="1"/>
  <c r="I4886" i="13" s="1"/>
  <c r="K4907" i="14"/>
  <c r="L4907" i="14" s="1"/>
  <c r="I4908" i="14" s="1"/>
  <c r="N5071" i="14"/>
  <c r="J5070" i="14" a="1"/>
  <c r="J5070" i="14" s="1"/>
  <c r="N5072" i="13"/>
  <c r="J5071" i="13" a="1"/>
  <c r="J5071" i="13" s="1"/>
  <c r="M5075" i="14"/>
  <c r="M5074" i="13"/>
  <c r="K4908" i="14" l="1"/>
  <c r="L4908" i="14" s="1"/>
  <c r="I4909" i="14" s="1"/>
  <c r="K4886" i="13"/>
  <c r="L4886" i="13" s="1"/>
  <c r="I4887" i="13" s="1"/>
  <c r="J5072" i="13" a="1"/>
  <c r="J5072" i="13" s="1"/>
  <c r="N5073" i="13"/>
  <c r="M5075" i="13"/>
  <c r="M5076" i="14"/>
  <c r="N5072" i="14"/>
  <c r="J5071" i="14" a="1"/>
  <c r="J5071" i="14" s="1"/>
  <c r="K4909" i="14" l="1"/>
  <c r="L4909" i="14" s="1"/>
  <c r="I4910" i="14" s="1"/>
  <c r="M5077" i="14"/>
  <c r="J5072" i="14" a="1"/>
  <c r="J5072" i="14" s="1"/>
  <c r="N5073" i="14"/>
  <c r="M5076" i="13"/>
  <c r="K4887" i="13"/>
  <c r="L4887" i="13" s="1"/>
  <c r="I4888" i="13" s="1"/>
  <c r="N5074" i="13"/>
  <c r="J5073" i="13" a="1"/>
  <c r="J5073" i="13" s="1"/>
  <c r="K4910" i="14" l="1"/>
  <c r="L4910" i="14" s="1"/>
  <c r="I4911" i="14" s="1"/>
  <c r="M5077" i="13"/>
  <c r="M5078" i="14"/>
  <c r="J5074" i="13" a="1"/>
  <c r="J5074" i="13" s="1"/>
  <c r="N5075" i="13"/>
  <c r="N5074" i="14"/>
  <c r="J5073" i="14" a="1"/>
  <c r="J5073" i="14" s="1"/>
  <c r="K4888" i="13"/>
  <c r="L4888" i="13" s="1"/>
  <c r="I4889" i="13" s="1"/>
  <c r="K4889" i="13" l="1"/>
  <c r="L4889" i="13" s="1"/>
  <c r="I4890" i="13" s="1"/>
  <c r="K4911" i="14"/>
  <c r="L4911" i="14" s="1"/>
  <c r="I4912" i="14" s="1"/>
  <c r="N5076" i="13"/>
  <c r="J5075" i="13" a="1"/>
  <c r="J5075" i="13" s="1"/>
  <c r="M5078" i="13"/>
  <c r="M5079" i="14"/>
  <c r="N5075" i="14"/>
  <c r="J5074" i="14" a="1"/>
  <c r="J5074" i="14" s="1"/>
  <c r="K4890" i="13" l="1"/>
  <c r="L4890" i="13" s="1"/>
  <c r="I4891" i="13" s="1"/>
  <c r="M5079" i="13"/>
  <c r="N5076" i="14"/>
  <c r="J5075" i="14" a="1"/>
  <c r="J5075" i="14" s="1"/>
  <c r="K4912" i="14"/>
  <c r="L4912" i="14" s="1"/>
  <c r="I4913" i="14" s="1"/>
  <c r="M5080" i="14"/>
  <c r="J5076" i="13" a="1"/>
  <c r="J5076" i="13" s="1"/>
  <c r="N5077" i="13"/>
  <c r="K4891" i="13" l="1"/>
  <c r="L4891" i="13" s="1"/>
  <c r="I4892" i="13" s="1"/>
  <c r="N5078" i="13"/>
  <c r="J5077" i="13" a="1"/>
  <c r="J5077" i="13" s="1"/>
  <c r="K4913" i="14"/>
  <c r="L4913" i="14" s="1"/>
  <c r="I4914" i="14" s="1"/>
  <c r="M5080" i="13"/>
  <c r="M5081" i="14"/>
  <c r="J5076" i="14" a="1"/>
  <c r="J5076" i="14" s="1"/>
  <c r="N5077" i="14"/>
  <c r="K4914" i="14" l="1"/>
  <c r="L4914" i="14" s="1"/>
  <c r="I4915" i="14" s="1"/>
  <c r="K4892" i="13"/>
  <c r="L4892" i="13" s="1"/>
  <c r="I4893" i="13" s="1"/>
  <c r="N5078" i="14"/>
  <c r="J5077" i="14" a="1"/>
  <c r="J5077" i="14" s="1"/>
  <c r="M5081" i="13"/>
  <c r="J5078" i="13" a="1"/>
  <c r="J5078" i="13" s="1"/>
  <c r="N5079" i="13"/>
  <c r="M5082" i="14"/>
  <c r="K4893" i="13" l="1"/>
  <c r="L4893" i="13" s="1"/>
  <c r="I4894" i="13" s="1"/>
  <c r="K4915" i="14"/>
  <c r="L4915" i="14" s="1"/>
  <c r="I4916" i="14" s="1"/>
  <c r="N5080" i="13"/>
  <c r="J5079" i="13" a="1"/>
  <c r="J5079" i="13" s="1"/>
  <c r="M5083" i="14"/>
  <c r="M5082" i="13"/>
  <c r="N5079" i="14"/>
  <c r="J5078" i="14" a="1"/>
  <c r="J5078" i="14" s="1"/>
  <c r="K4916" i="14" l="1"/>
  <c r="L4916" i="14" s="1"/>
  <c r="I4917" i="14" s="1"/>
  <c r="K4894" i="13"/>
  <c r="L4894" i="13" s="1"/>
  <c r="I4895" i="13" s="1"/>
  <c r="N5080" i="14"/>
  <c r="J5079" i="14" a="1"/>
  <c r="J5079" i="14" s="1"/>
  <c r="M5084" i="14"/>
  <c r="M5083" i="13"/>
  <c r="J5080" i="13" a="1"/>
  <c r="J5080" i="13" s="1"/>
  <c r="N5081" i="13"/>
  <c r="K4917" i="14" l="1"/>
  <c r="L4917" i="14" s="1"/>
  <c r="I4918" i="14" s="1"/>
  <c r="N5082" i="13"/>
  <c r="J5081" i="13" a="1"/>
  <c r="J5081" i="13" s="1"/>
  <c r="M5085" i="14"/>
  <c r="K4895" i="13"/>
  <c r="L4895" i="13" s="1"/>
  <c r="I4896" i="13" s="1"/>
  <c r="M5084" i="13"/>
  <c r="J5080" i="14" a="1"/>
  <c r="J5080" i="14" s="1"/>
  <c r="N5081" i="14"/>
  <c r="K4918" i="14" l="1"/>
  <c r="L4918" i="14" s="1"/>
  <c r="I4919" i="14" s="1"/>
  <c r="N5082" i="14"/>
  <c r="J5081" i="14" a="1"/>
  <c r="J5081" i="14" s="1"/>
  <c r="K4896" i="13"/>
  <c r="L4896" i="13" s="1"/>
  <c r="I4897" i="13" s="1"/>
  <c r="J5082" i="13" a="1"/>
  <c r="J5082" i="13" s="1"/>
  <c r="N5083" i="13"/>
  <c r="M5085" i="13"/>
  <c r="M5086" i="14"/>
  <c r="K4897" i="13" l="1"/>
  <c r="L4897" i="13" s="1"/>
  <c r="I4898" i="13" s="1"/>
  <c r="K4919" i="14"/>
  <c r="L4919" i="14" s="1"/>
  <c r="I4920" i="14" s="1"/>
  <c r="M5087" i="14"/>
  <c r="N5084" i="13"/>
  <c r="J5083" i="13" a="1"/>
  <c r="J5083" i="13" s="1"/>
  <c r="N5083" i="14"/>
  <c r="J5082" i="14" a="1"/>
  <c r="J5082" i="14" s="1"/>
  <c r="M5086" i="13"/>
  <c r="K4898" i="13" l="1"/>
  <c r="L4898" i="13" s="1"/>
  <c r="I4899" i="13" s="1"/>
  <c r="K4920" i="14"/>
  <c r="L4920" i="14" s="1"/>
  <c r="I4921" i="14" s="1"/>
  <c r="J5084" i="13" a="1"/>
  <c r="J5084" i="13" s="1"/>
  <c r="N5085" i="13"/>
  <c r="M5087" i="13"/>
  <c r="N5084" i="14"/>
  <c r="J5083" i="14" a="1"/>
  <c r="J5083" i="14" s="1"/>
  <c r="M5088" i="14"/>
  <c r="K4899" i="13" l="1"/>
  <c r="L4899" i="13" s="1"/>
  <c r="I4900" i="13" s="1"/>
  <c r="J5084" i="14" a="1"/>
  <c r="J5084" i="14" s="1"/>
  <c r="N5085" i="14"/>
  <c r="M5089" i="14"/>
  <c r="M5088" i="13"/>
  <c r="K4921" i="14"/>
  <c r="L4921" i="14" s="1"/>
  <c r="I4922" i="14" s="1"/>
  <c r="N5086" i="13"/>
  <c r="J5085" i="13" a="1"/>
  <c r="J5085" i="13" s="1"/>
  <c r="K4922" i="14" l="1"/>
  <c r="L4922" i="14" s="1"/>
  <c r="I4923" i="14" s="1"/>
  <c r="K4900" i="13"/>
  <c r="L4900" i="13" s="1"/>
  <c r="I4901" i="13" s="1"/>
  <c r="M5089" i="13"/>
  <c r="N5086" i="14"/>
  <c r="J5085" i="14" a="1"/>
  <c r="J5085" i="14" s="1"/>
  <c r="J5086" i="13" a="1"/>
  <c r="J5086" i="13" s="1"/>
  <c r="N5087" i="13"/>
  <c r="M5090" i="14"/>
  <c r="K4901" i="13" l="1"/>
  <c r="L4901" i="13" s="1"/>
  <c r="I4902" i="13" s="1"/>
  <c r="M5091" i="14"/>
  <c r="N5087" i="14"/>
  <c r="J5086" i="14" a="1"/>
  <c r="J5086" i="14" s="1"/>
  <c r="N5088" i="13"/>
  <c r="J5087" i="13" a="1"/>
  <c r="J5087" i="13" s="1"/>
  <c r="M5090" i="13"/>
  <c r="K4923" i="14"/>
  <c r="L4923" i="14" s="1"/>
  <c r="I4924" i="14" s="1"/>
  <c r="K4924" i="14" l="1"/>
  <c r="L4924" i="14" s="1"/>
  <c r="I4925" i="14" s="1"/>
  <c r="K4902" i="13"/>
  <c r="L4902" i="13" s="1"/>
  <c r="I4903" i="13" s="1"/>
  <c r="M5092" i="14"/>
  <c r="J5088" i="13" a="1"/>
  <c r="J5088" i="13" s="1"/>
  <c r="N5089" i="13"/>
  <c r="M5091" i="13"/>
  <c r="N5088" i="14"/>
  <c r="J5087" i="14" a="1"/>
  <c r="J5087" i="14" s="1"/>
  <c r="K4903" i="13" l="1"/>
  <c r="L4903" i="13" s="1"/>
  <c r="I4904" i="13" s="1"/>
  <c r="K4925" i="14"/>
  <c r="L4925" i="14" s="1"/>
  <c r="I4926" i="14" s="1"/>
  <c r="N5090" i="13"/>
  <c r="J5089" i="13" a="1"/>
  <c r="J5089" i="13" s="1"/>
  <c r="J5088" i="14" a="1"/>
  <c r="J5088" i="14" s="1"/>
  <c r="N5089" i="14"/>
  <c r="M5093" i="14"/>
  <c r="M5092" i="13"/>
  <c r="K4926" i="14" l="1"/>
  <c r="L4926" i="14" s="1"/>
  <c r="I4927" i="14" s="1"/>
  <c r="N5090" i="14"/>
  <c r="J5089" i="14" a="1"/>
  <c r="J5089" i="14" s="1"/>
  <c r="M5094" i="14"/>
  <c r="M5093" i="13"/>
  <c r="J5090" i="13" a="1"/>
  <c r="J5090" i="13" s="1"/>
  <c r="N5091" i="13"/>
  <c r="K4904" i="13"/>
  <c r="L4904" i="13" s="1"/>
  <c r="I4905" i="13" s="1"/>
  <c r="K4905" i="13" l="1"/>
  <c r="L4905" i="13" s="1"/>
  <c r="I4906" i="13" s="1"/>
  <c r="K4927" i="14"/>
  <c r="L4927" i="14" s="1"/>
  <c r="I4928" i="14" s="1"/>
  <c r="M5094" i="13"/>
  <c r="N5091" i="14"/>
  <c r="J5090" i="14" a="1"/>
  <c r="J5090" i="14" s="1"/>
  <c r="N5092" i="13"/>
  <c r="J5091" i="13" a="1"/>
  <c r="J5091" i="13" s="1"/>
  <c r="M5095" i="14"/>
  <c r="K4906" i="13" l="1"/>
  <c r="L4906" i="13" s="1"/>
  <c r="I4907" i="13" s="1"/>
  <c r="K4928" i="14"/>
  <c r="L4928" i="14" s="1"/>
  <c r="I4929" i="14" s="1"/>
  <c r="N5092" i="14"/>
  <c r="J5091" i="14" a="1"/>
  <c r="J5091" i="14" s="1"/>
  <c r="M5096" i="14"/>
  <c r="M5095" i="13"/>
  <c r="J5092" i="13" a="1"/>
  <c r="J5092" i="13" s="1"/>
  <c r="N5093" i="13"/>
  <c r="K4907" i="13" l="1"/>
  <c r="L4907" i="13" s="1"/>
  <c r="I4908" i="13" s="1"/>
  <c r="N5094" i="13"/>
  <c r="J5093" i="13" a="1"/>
  <c r="J5093" i="13" s="1"/>
  <c r="M5097" i="14"/>
  <c r="K4929" i="14"/>
  <c r="L4929" i="14" s="1"/>
  <c r="I4930" i="14" s="1"/>
  <c r="M5096" i="13"/>
  <c r="J5092" i="14" a="1"/>
  <c r="J5092" i="14" s="1"/>
  <c r="N5093" i="14"/>
  <c r="K4930" i="14" l="1"/>
  <c r="L4930" i="14" s="1"/>
  <c r="I4931" i="14" s="1"/>
  <c r="K4908" i="13"/>
  <c r="L4908" i="13" s="1"/>
  <c r="I4909" i="13" s="1"/>
  <c r="N5094" i="14"/>
  <c r="J5093" i="14" a="1"/>
  <c r="J5093" i="14" s="1"/>
  <c r="J5094" i="13" a="1"/>
  <c r="J5094" i="13" s="1"/>
  <c r="N5095" i="13"/>
  <c r="M5097" i="13"/>
  <c r="M5098" i="14"/>
  <c r="K4931" i="14" l="1"/>
  <c r="L4931" i="14" s="1"/>
  <c r="I4932" i="14" s="1"/>
  <c r="M5099" i="14"/>
  <c r="N5096" i="13"/>
  <c r="J5095" i="13" a="1"/>
  <c r="J5095" i="13" s="1"/>
  <c r="K4909" i="13"/>
  <c r="L4909" i="13" s="1"/>
  <c r="I4910" i="13" s="1"/>
  <c r="M5098" i="13"/>
  <c r="N5095" i="14"/>
  <c r="J5094" i="14" a="1"/>
  <c r="J5094" i="14" s="1"/>
  <c r="K4932" i="14" l="1"/>
  <c r="L4932" i="14" s="1"/>
  <c r="I4933" i="14" s="1"/>
  <c r="N5096" i="14"/>
  <c r="J5095" i="14" a="1"/>
  <c r="J5095" i="14" s="1"/>
  <c r="M5100" i="14"/>
  <c r="K4910" i="13"/>
  <c r="L4910" i="13" s="1"/>
  <c r="I4911" i="13" s="1"/>
  <c r="M5099" i="13"/>
  <c r="J5096" i="13" a="1"/>
  <c r="J5096" i="13" s="1"/>
  <c r="N5097" i="13"/>
  <c r="K4911" i="13" l="1"/>
  <c r="L4911" i="13" s="1"/>
  <c r="I4912" i="13" s="1"/>
  <c r="K4933" i="14"/>
  <c r="L4933" i="14" s="1"/>
  <c r="I4934" i="14" s="1"/>
  <c r="J5096" i="14" a="1"/>
  <c r="J5096" i="14" s="1"/>
  <c r="N5097" i="14"/>
  <c r="N5098" i="13"/>
  <c r="J5097" i="13" a="1"/>
  <c r="J5097" i="13" s="1"/>
  <c r="M5100" i="13"/>
  <c r="M5101" i="14"/>
  <c r="K4934" i="14" l="1"/>
  <c r="L4934" i="14" s="1"/>
  <c r="I4935" i="14" s="1"/>
  <c r="K4912" i="13"/>
  <c r="L4912" i="13" s="1"/>
  <c r="I4913" i="13" s="1"/>
  <c r="J5098" i="13" a="1"/>
  <c r="J5098" i="13" s="1"/>
  <c r="N5099" i="13"/>
  <c r="N5098" i="14"/>
  <c r="J5097" i="14" a="1"/>
  <c r="J5097" i="14" s="1"/>
  <c r="M5102" i="14"/>
  <c r="M5101" i="13"/>
  <c r="K4935" i="14" l="1"/>
  <c r="L4935" i="14" s="1"/>
  <c r="I4936" i="14" s="1"/>
  <c r="N5099" i="14"/>
  <c r="J5098" i="14" a="1"/>
  <c r="J5098" i="14" s="1"/>
  <c r="K4913" i="13"/>
  <c r="L4913" i="13" s="1"/>
  <c r="I4914" i="13" s="1"/>
  <c r="N5100" i="13"/>
  <c r="J5099" i="13" a="1"/>
  <c r="J5099" i="13" s="1"/>
  <c r="M5102" i="13"/>
  <c r="M5103" i="14"/>
  <c r="K4936" i="14" l="1"/>
  <c r="L4936" i="14" s="1"/>
  <c r="I4937" i="14" s="1"/>
  <c r="N5100" i="14"/>
  <c r="J5099" i="14" a="1"/>
  <c r="J5099" i="14" s="1"/>
  <c r="M5104" i="14"/>
  <c r="J5100" i="13" a="1"/>
  <c r="J5100" i="13" s="1"/>
  <c r="N5101" i="13"/>
  <c r="M5103" i="13"/>
  <c r="K4914" i="13"/>
  <c r="L4914" i="13" s="1"/>
  <c r="I4915" i="13" s="1"/>
  <c r="K4915" i="13" l="1"/>
  <c r="L4915" i="13" s="1"/>
  <c r="I4916" i="13" s="1"/>
  <c r="K4937" i="14"/>
  <c r="L4937" i="14" s="1"/>
  <c r="I4938" i="14" s="1"/>
  <c r="N5102" i="13"/>
  <c r="J5101" i="13" a="1"/>
  <c r="J5101" i="13" s="1"/>
  <c r="J5100" i="14" a="1"/>
  <c r="J5100" i="14" s="1"/>
  <c r="N5101" i="14"/>
  <c r="M5105" i="14"/>
  <c r="M5104" i="13"/>
  <c r="K4916" i="13" l="1"/>
  <c r="L4916" i="13" s="1"/>
  <c r="I4917" i="13" s="1"/>
  <c r="M5105" i="13"/>
  <c r="N5102" i="14"/>
  <c r="J5101" i="14" a="1"/>
  <c r="J5101" i="14" s="1"/>
  <c r="K4938" i="14"/>
  <c r="L4938" i="14" s="1"/>
  <c r="I4939" i="14" s="1"/>
  <c r="M5106" i="14"/>
  <c r="J5102" i="13" a="1"/>
  <c r="J5102" i="13" s="1"/>
  <c r="N5103" i="13"/>
  <c r="K4917" i="13" l="1"/>
  <c r="L4917" i="13" s="1"/>
  <c r="I4918" i="13" s="1"/>
  <c r="N5104" i="13"/>
  <c r="J5103" i="13" a="1"/>
  <c r="J5103" i="13" s="1"/>
  <c r="K4939" i="14"/>
  <c r="L4939" i="14" s="1"/>
  <c r="I4940" i="14" s="1"/>
  <c r="M5106" i="13"/>
  <c r="M5107" i="14"/>
  <c r="N5103" i="14"/>
  <c r="J5102" i="14" a="1"/>
  <c r="J5102" i="14" s="1"/>
  <c r="K4940" i="14" l="1"/>
  <c r="L4940" i="14" s="1"/>
  <c r="I4941" i="14" s="1"/>
  <c r="K4918" i="13"/>
  <c r="L4918" i="13" s="1"/>
  <c r="I4919" i="13" s="1"/>
  <c r="M5107" i="13"/>
  <c r="J5104" i="13" a="1"/>
  <c r="J5104" i="13" s="1"/>
  <c r="N5105" i="13"/>
  <c r="N5104" i="14"/>
  <c r="J5103" i="14" a="1"/>
  <c r="J5103" i="14" s="1"/>
  <c r="M5108" i="14"/>
  <c r="K4941" i="14" l="1"/>
  <c r="L4941" i="14" s="1"/>
  <c r="I4942" i="14" s="1"/>
  <c r="M5109" i="14"/>
  <c r="N5106" i="13"/>
  <c r="J5105" i="13" a="1"/>
  <c r="J5105" i="13" s="1"/>
  <c r="K4919" i="13"/>
  <c r="L4919" i="13" s="1"/>
  <c r="I4920" i="13" s="1"/>
  <c r="J5104" i="14" a="1"/>
  <c r="J5104" i="14" s="1"/>
  <c r="N5105" i="14"/>
  <c r="M5108" i="13"/>
  <c r="K4920" i="13" l="1"/>
  <c r="L4920" i="13" s="1"/>
  <c r="I4921" i="13" s="1"/>
  <c r="K4942" i="14"/>
  <c r="L4942" i="14" s="1"/>
  <c r="I4943" i="14" s="1"/>
  <c r="M5109" i="13"/>
  <c r="N5106" i="14"/>
  <c r="J5105" i="14" a="1"/>
  <c r="J5105" i="14" s="1"/>
  <c r="M5110" i="14"/>
  <c r="J5106" i="13" a="1"/>
  <c r="J5106" i="13" s="1"/>
  <c r="N5107" i="13"/>
  <c r="K4921" i="13" l="1"/>
  <c r="L4921" i="13" s="1"/>
  <c r="I4922" i="13" s="1"/>
  <c r="K4943" i="14"/>
  <c r="L4943" i="14" s="1"/>
  <c r="I4944" i="14" s="1"/>
  <c r="N5107" i="14"/>
  <c r="J5106" i="14" a="1"/>
  <c r="J5106" i="14" s="1"/>
  <c r="N5108" i="13"/>
  <c r="J5107" i="13" a="1"/>
  <c r="J5107" i="13" s="1"/>
  <c r="M5111" i="14"/>
  <c r="M5110" i="13"/>
  <c r="K4944" i="14" l="1"/>
  <c r="L4944" i="14" s="1"/>
  <c r="I4945" i="14" s="1"/>
  <c r="K4922" i="13"/>
  <c r="L4922" i="13" s="1"/>
  <c r="I4923" i="13" s="1"/>
  <c r="M5111" i="13"/>
  <c r="J5108" i="13" a="1"/>
  <c r="J5108" i="13" s="1"/>
  <c r="N5109" i="13"/>
  <c r="M5112" i="14"/>
  <c r="N5108" i="14"/>
  <c r="J5107" i="14" a="1"/>
  <c r="J5107" i="14" s="1"/>
  <c r="K4923" i="13" l="1"/>
  <c r="L4923" i="13" s="1"/>
  <c r="I4924" i="13" s="1"/>
  <c r="K4945" i="14"/>
  <c r="L4945" i="14" s="1"/>
  <c r="I4946" i="14" s="1"/>
  <c r="N5110" i="13"/>
  <c r="J5109" i="13" a="1"/>
  <c r="J5109" i="13" s="1"/>
  <c r="J5108" i="14" a="1"/>
  <c r="J5108" i="14" s="1"/>
  <c r="N5109" i="14"/>
  <c r="M5113" i="14"/>
  <c r="M5112" i="13"/>
  <c r="K4946" i="14" l="1"/>
  <c r="L4946" i="14" s="1"/>
  <c r="I4947" i="14" s="1"/>
  <c r="K4924" i="13"/>
  <c r="L4924" i="13" s="1"/>
  <c r="I4925" i="13" s="1"/>
  <c r="M5114" i="14"/>
  <c r="M5113" i="13"/>
  <c r="N5110" i="14"/>
  <c r="J5109" i="14" a="1"/>
  <c r="J5109" i="14" s="1"/>
  <c r="J5110" i="13" a="1"/>
  <c r="J5110" i="13" s="1"/>
  <c r="N5111" i="13"/>
  <c r="K4925" i="13" l="1"/>
  <c r="L4925" i="13" s="1"/>
  <c r="I4926" i="13" s="1"/>
  <c r="K4947" i="14"/>
  <c r="L4947" i="14" s="1"/>
  <c r="I4948" i="14" s="1"/>
  <c r="N5112" i="13"/>
  <c r="J5111" i="13" a="1"/>
  <c r="J5111" i="13" s="1"/>
  <c r="M5115" i="14"/>
  <c r="M5114" i="13"/>
  <c r="N5111" i="14"/>
  <c r="J5110" i="14" a="1"/>
  <c r="J5110" i="14" s="1"/>
  <c r="K4926" i="13" l="1"/>
  <c r="L4926" i="13" s="1"/>
  <c r="I4927" i="13" s="1"/>
  <c r="M5115" i="13"/>
  <c r="N5112" i="14"/>
  <c r="J5111" i="14" a="1"/>
  <c r="J5111" i="14" s="1"/>
  <c r="M5116" i="14"/>
  <c r="K4948" i="14"/>
  <c r="L4948" i="14" s="1"/>
  <c r="I4949" i="14" s="1"/>
  <c r="J5112" i="13" a="1"/>
  <c r="J5112" i="13" s="1"/>
  <c r="N5113" i="13"/>
  <c r="K4949" i="14" l="1"/>
  <c r="L4949" i="14" s="1"/>
  <c r="I4950" i="14" s="1"/>
  <c r="K4927" i="13"/>
  <c r="L4927" i="13" s="1"/>
  <c r="I4928" i="13" s="1"/>
  <c r="N5114" i="13"/>
  <c r="J5113" i="13" a="1"/>
  <c r="J5113" i="13" s="1"/>
  <c r="M5117" i="14"/>
  <c r="M5116" i="13"/>
  <c r="J5112" i="14" a="1"/>
  <c r="J5112" i="14" s="1"/>
  <c r="N5113" i="14"/>
  <c r="K4928" i="13" l="1"/>
  <c r="L4928" i="13" s="1"/>
  <c r="I4929" i="13" s="1"/>
  <c r="K4950" i="14"/>
  <c r="L4950" i="14" s="1"/>
  <c r="I4951" i="14" s="1"/>
  <c r="N5114" i="14"/>
  <c r="J5113" i="14" a="1"/>
  <c r="J5113" i="14" s="1"/>
  <c r="M5118" i="14"/>
  <c r="M5117" i="13"/>
  <c r="J5114" i="13" a="1"/>
  <c r="J5114" i="13" s="1"/>
  <c r="N5115" i="13"/>
  <c r="K4929" i="13" l="1"/>
  <c r="L4929" i="13" s="1"/>
  <c r="I4930" i="13" s="1"/>
  <c r="N5116" i="13"/>
  <c r="J5115" i="13" a="1"/>
  <c r="J5115" i="13" s="1"/>
  <c r="M5119" i="14"/>
  <c r="K4951" i="14"/>
  <c r="L4951" i="14" s="1"/>
  <c r="I4952" i="14" s="1"/>
  <c r="M5118" i="13"/>
  <c r="N5115" i="14"/>
  <c r="J5114" i="14" a="1"/>
  <c r="J5114" i="14" s="1"/>
  <c r="K4952" i="14" l="1"/>
  <c r="L4952" i="14" s="1"/>
  <c r="I4953" i="14" s="1"/>
  <c r="K4930" i="13"/>
  <c r="L4930" i="13" s="1"/>
  <c r="I4931" i="13" s="1"/>
  <c r="N5116" i="14"/>
  <c r="J5115" i="14" a="1"/>
  <c r="J5115" i="14" s="1"/>
  <c r="J5116" i="13" a="1"/>
  <c r="J5116" i="13" s="1"/>
  <c r="N5117" i="13"/>
  <c r="M5119" i="13"/>
  <c r="M5120" i="14"/>
  <c r="K4953" i="14" l="1"/>
  <c r="L4953" i="14" s="1"/>
  <c r="I4954" i="14" s="1"/>
  <c r="M5121" i="14"/>
  <c r="N5118" i="13"/>
  <c r="J5117" i="13" a="1"/>
  <c r="J5117" i="13" s="1"/>
  <c r="K4931" i="13"/>
  <c r="L4931" i="13" s="1"/>
  <c r="I4932" i="13" s="1"/>
  <c r="M5120" i="13"/>
  <c r="J5116" i="14" a="1"/>
  <c r="J5116" i="14" s="1"/>
  <c r="N5117" i="14"/>
  <c r="K4954" i="14" l="1"/>
  <c r="L4954" i="14" s="1"/>
  <c r="I4955" i="14" s="1"/>
  <c r="M5121" i="13"/>
  <c r="N5118" i="14"/>
  <c r="J5117" i="14" a="1"/>
  <c r="J5117" i="14" s="1"/>
  <c r="M5122" i="14"/>
  <c r="K4932" i="13"/>
  <c r="L4932" i="13" s="1"/>
  <c r="I4933" i="13" s="1"/>
  <c r="J5118" i="13" a="1"/>
  <c r="J5118" i="13" s="1"/>
  <c r="N5119" i="13"/>
  <c r="K4933" i="13" l="1"/>
  <c r="L4933" i="13" s="1"/>
  <c r="I4934" i="13" s="1"/>
  <c r="K4955" i="14"/>
  <c r="L4955" i="14" s="1"/>
  <c r="I4956" i="14" s="1"/>
  <c r="N5120" i="13"/>
  <c r="J5119" i="13" a="1"/>
  <c r="J5119" i="13" s="1"/>
  <c r="M5123" i="14"/>
  <c r="M5122" i="13"/>
  <c r="N5119" i="14"/>
  <c r="J5118" i="14" a="1"/>
  <c r="J5118" i="14" s="1"/>
  <c r="K4934" i="13" l="1"/>
  <c r="L4934" i="13" s="1"/>
  <c r="I4935" i="13" s="1"/>
  <c r="K4956" i="14"/>
  <c r="L4956" i="14" s="1"/>
  <c r="I4957" i="14" s="1"/>
  <c r="N5120" i="14"/>
  <c r="J5119" i="14" a="1"/>
  <c r="J5119" i="14" s="1"/>
  <c r="M5124" i="14"/>
  <c r="M5123" i="13"/>
  <c r="J5120" i="13" a="1"/>
  <c r="J5120" i="13" s="1"/>
  <c r="N5121" i="13"/>
  <c r="K4935" i="13" l="1"/>
  <c r="L4935" i="13" s="1"/>
  <c r="I4936" i="13" s="1"/>
  <c r="K4957" i="14"/>
  <c r="L4957" i="14" s="1"/>
  <c r="I4958" i="14" s="1"/>
  <c r="M5124" i="13"/>
  <c r="N5122" i="13"/>
  <c r="J5121" i="13" a="1"/>
  <c r="J5121" i="13" s="1"/>
  <c r="M5125" i="14"/>
  <c r="J5120" i="14" a="1"/>
  <c r="J5120" i="14" s="1"/>
  <c r="N5121" i="14"/>
  <c r="K4958" i="14" l="1"/>
  <c r="L4958" i="14" s="1"/>
  <c r="I4959" i="14" s="1"/>
  <c r="K4936" i="13"/>
  <c r="L4936" i="13" s="1"/>
  <c r="I4937" i="13" s="1"/>
  <c r="N5122" i="14"/>
  <c r="J5121" i="14" a="1"/>
  <c r="J5121" i="14" s="1"/>
  <c r="J5122" i="13" a="1"/>
  <c r="J5122" i="13" s="1"/>
  <c r="N5123" i="13"/>
  <c r="M5125" i="13"/>
  <c r="M5126" i="14"/>
  <c r="K4959" i="14" l="1"/>
  <c r="L4959" i="14" s="1"/>
  <c r="I4960" i="14" s="1"/>
  <c r="M5127" i="14"/>
  <c r="N5124" i="13"/>
  <c r="J5123" i="13" a="1"/>
  <c r="J5123" i="13" s="1"/>
  <c r="K4937" i="13"/>
  <c r="L4937" i="13" s="1"/>
  <c r="I4938" i="13" s="1"/>
  <c r="M5126" i="13"/>
  <c r="N5123" i="14"/>
  <c r="J5122" i="14" a="1"/>
  <c r="J5122" i="14" s="1"/>
  <c r="K4938" i="13" l="1"/>
  <c r="L4938" i="13" s="1"/>
  <c r="I4939" i="13" s="1"/>
  <c r="K4960" i="14"/>
  <c r="L4960" i="14" s="1"/>
  <c r="I4961" i="14" s="1"/>
  <c r="M5127" i="13"/>
  <c r="N5124" i="14"/>
  <c r="J5123" i="14" a="1"/>
  <c r="J5123" i="14" s="1"/>
  <c r="M5128" i="14"/>
  <c r="J5124" i="13" a="1"/>
  <c r="J5124" i="13" s="1"/>
  <c r="N5125" i="13"/>
  <c r="K4939" i="13" l="1"/>
  <c r="L4939" i="13" s="1"/>
  <c r="I4940" i="13" s="1"/>
  <c r="N5126" i="13"/>
  <c r="J5125" i="13" a="1"/>
  <c r="J5125" i="13" s="1"/>
  <c r="K4961" i="14"/>
  <c r="L4961" i="14" s="1"/>
  <c r="I4962" i="14" s="1"/>
  <c r="J5124" i="14" a="1"/>
  <c r="J5124" i="14" s="1"/>
  <c r="N5125" i="14"/>
  <c r="M5129" i="14"/>
  <c r="M5128" i="13"/>
  <c r="K4940" i="13" l="1"/>
  <c r="L4940" i="13" s="1"/>
  <c r="I4941" i="13" s="1"/>
  <c r="J5126" i="13" a="1"/>
  <c r="J5126" i="13" s="1"/>
  <c r="N5127" i="13"/>
  <c r="M5129" i="13"/>
  <c r="N5126" i="14"/>
  <c r="J5125" i="14" a="1"/>
  <c r="J5125" i="14" s="1"/>
  <c r="M5130" i="14"/>
  <c r="K4962" i="14"/>
  <c r="L4962" i="14" s="1"/>
  <c r="I4963" i="14" s="1"/>
  <c r="K4963" i="14" l="1"/>
  <c r="L4963" i="14" s="1"/>
  <c r="I4964" i="14" s="1"/>
  <c r="K4941" i="13"/>
  <c r="L4941" i="13" s="1"/>
  <c r="I4942" i="13" s="1"/>
  <c r="N5128" i="13"/>
  <c r="J5127" i="13" a="1"/>
  <c r="J5127" i="13" s="1"/>
  <c r="N5127" i="14"/>
  <c r="J5126" i="14" a="1"/>
  <c r="J5126" i="14" s="1"/>
  <c r="M5131" i="14"/>
  <c r="M5130" i="13"/>
  <c r="K4964" i="14" l="1"/>
  <c r="L4964" i="14" s="1"/>
  <c r="I4965" i="14" s="1"/>
  <c r="M5131" i="13"/>
  <c r="K4942" i="13"/>
  <c r="L4942" i="13" s="1"/>
  <c r="I4943" i="13" s="1"/>
  <c r="N5128" i="14"/>
  <c r="J5127" i="14" a="1"/>
  <c r="J5127" i="14" s="1"/>
  <c r="M5132" i="14"/>
  <c r="J5128" i="13" a="1"/>
  <c r="J5128" i="13" s="1"/>
  <c r="N5129" i="13"/>
  <c r="K4943" i="13" l="1"/>
  <c r="L4943" i="13" s="1"/>
  <c r="I4944" i="13" s="1"/>
  <c r="K4965" i="14"/>
  <c r="L4965" i="14" s="1"/>
  <c r="I4966" i="14" s="1"/>
  <c r="N5130" i="13"/>
  <c r="J5129" i="13" a="1"/>
  <c r="J5129" i="13" s="1"/>
  <c r="J5128" i="14" a="1"/>
  <c r="J5128" i="14" s="1"/>
  <c r="N5129" i="14"/>
  <c r="M5132" i="13"/>
  <c r="M5133" i="14"/>
  <c r="K4944" i="13" l="1"/>
  <c r="L4944" i="13" s="1"/>
  <c r="I4945" i="13" s="1"/>
  <c r="M5134" i="14"/>
  <c r="N5130" i="14"/>
  <c r="J5129" i="14" a="1"/>
  <c r="J5129" i="14" s="1"/>
  <c r="K4966" i="14"/>
  <c r="L4966" i="14" s="1"/>
  <c r="I4967" i="14" s="1"/>
  <c r="M5133" i="13"/>
  <c r="J5130" i="13" a="1"/>
  <c r="J5130" i="13" s="1"/>
  <c r="N5131" i="13"/>
  <c r="K4945" i="13" l="1"/>
  <c r="L4945" i="13" s="1"/>
  <c r="I4946" i="13" s="1"/>
  <c r="N5132" i="13"/>
  <c r="J5131" i="13" a="1"/>
  <c r="J5131" i="13" s="1"/>
  <c r="M5135" i="14"/>
  <c r="K4967" i="14"/>
  <c r="L4967" i="14" s="1"/>
  <c r="I4968" i="14" s="1"/>
  <c r="M5134" i="13"/>
  <c r="N5131" i="14"/>
  <c r="J5130" i="14" a="1"/>
  <c r="J5130" i="14" s="1"/>
  <c r="K4968" i="14" l="1"/>
  <c r="L4968" i="14" s="1"/>
  <c r="I4969" i="14" s="1"/>
  <c r="K4946" i="13"/>
  <c r="L4946" i="13" s="1"/>
  <c r="I4947" i="13" s="1"/>
  <c r="J5132" i="13" a="1"/>
  <c r="J5132" i="13" s="1"/>
  <c r="N5133" i="13"/>
  <c r="M5135" i="13"/>
  <c r="N5132" i="14"/>
  <c r="J5131" i="14" a="1"/>
  <c r="J5131" i="14" s="1"/>
  <c r="M5136" i="14"/>
  <c r="K4947" i="13" l="1"/>
  <c r="L4947" i="13" s="1"/>
  <c r="I4948" i="13" s="1"/>
  <c r="K4969" i="14"/>
  <c r="L4969" i="14" s="1"/>
  <c r="I4970" i="14" s="1"/>
  <c r="J5132" i="14" a="1"/>
  <c r="J5132" i="14" s="1"/>
  <c r="N5133" i="14"/>
  <c r="M5137" i="14"/>
  <c r="M5136" i="13"/>
  <c r="N5134" i="13"/>
  <c r="J5133" i="13" a="1"/>
  <c r="J5133" i="13" s="1"/>
  <c r="K4970" i="14" l="1"/>
  <c r="L4970" i="14" s="1"/>
  <c r="I4971" i="14" s="1"/>
  <c r="K4948" i="13"/>
  <c r="L4948" i="13" s="1"/>
  <c r="I4949" i="13" s="1"/>
  <c r="M5138" i="14"/>
  <c r="J5134" i="13" a="1"/>
  <c r="J5134" i="13" s="1"/>
  <c r="N5135" i="13"/>
  <c r="M5137" i="13"/>
  <c r="N5134" i="14"/>
  <c r="J5133" i="14" a="1"/>
  <c r="J5133" i="14" s="1"/>
  <c r="K4949" i="13" l="1"/>
  <c r="L4949" i="13" s="1"/>
  <c r="I4950" i="13" s="1"/>
  <c r="K4971" i="14"/>
  <c r="L4971" i="14" s="1"/>
  <c r="I4972" i="14" s="1"/>
  <c r="N5135" i="14"/>
  <c r="J5134" i="14" a="1"/>
  <c r="J5134" i="14" s="1"/>
  <c r="N5136" i="13"/>
  <c r="J5135" i="13" a="1"/>
  <c r="J5135" i="13" s="1"/>
  <c r="M5139" i="14"/>
  <c r="M5138" i="13"/>
  <c r="K4950" i="13" l="1"/>
  <c r="L4950" i="13" s="1"/>
  <c r="I4951" i="13" s="1"/>
  <c r="M5139" i="13"/>
  <c r="J5136" i="13" a="1"/>
  <c r="J5136" i="13" s="1"/>
  <c r="N5137" i="13"/>
  <c r="K4972" i="14"/>
  <c r="L4972" i="14" s="1"/>
  <c r="I4973" i="14" s="1"/>
  <c r="M5140" i="14"/>
  <c r="N5136" i="14"/>
  <c r="J5135" i="14" a="1"/>
  <c r="J5135" i="14" s="1"/>
  <c r="K4951" i="13" l="1"/>
  <c r="L4951" i="13" s="1"/>
  <c r="I4952" i="13" s="1"/>
  <c r="K4973" i="14"/>
  <c r="L4973" i="14" s="1"/>
  <c r="I4974" i="14" s="1"/>
  <c r="M5140" i="13"/>
  <c r="J5136" i="14" a="1"/>
  <c r="J5136" i="14" s="1"/>
  <c r="N5137" i="14"/>
  <c r="M5141" i="14"/>
  <c r="N5138" i="13"/>
  <c r="J5137" i="13" a="1"/>
  <c r="J5137" i="13" s="1"/>
  <c r="K4952" i="13" l="1"/>
  <c r="L4952" i="13" s="1"/>
  <c r="I4953" i="13" s="1"/>
  <c r="N5138" i="14"/>
  <c r="J5137" i="14" a="1"/>
  <c r="J5137" i="14" s="1"/>
  <c r="J5138" i="13" a="1"/>
  <c r="J5138" i="13" s="1"/>
  <c r="N5139" i="13"/>
  <c r="K4974" i="14"/>
  <c r="L4974" i="14" s="1"/>
  <c r="I4975" i="14" s="1"/>
  <c r="M5141" i="13"/>
  <c r="M5142" i="14"/>
  <c r="K4975" i="14" l="1"/>
  <c r="L4975" i="14" s="1"/>
  <c r="I4976" i="14" s="1"/>
  <c r="K4953" i="13"/>
  <c r="L4953" i="13" s="1"/>
  <c r="I4954" i="13" s="1"/>
  <c r="N5139" i="14"/>
  <c r="J5138" i="14" a="1"/>
  <c r="J5138" i="14" s="1"/>
  <c r="M5142" i="13"/>
  <c r="M5143" i="14"/>
  <c r="N5140" i="13"/>
  <c r="J5139" i="13" a="1"/>
  <c r="J5139" i="13" s="1"/>
  <c r="K4976" i="14" l="1"/>
  <c r="L4976" i="14" s="1"/>
  <c r="I4977" i="14" s="1"/>
  <c r="M5143" i="13"/>
  <c r="J5140" i="13" a="1"/>
  <c r="J5140" i="13" s="1"/>
  <c r="N5141" i="13"/>
  <c r="K4954" i="13"/>
  <c r="L4954" i="13" s="1"/>
  <c r="I4955" i="13" s="1"/>
  <c r="M5144" i="14"/>
  <c r="N5140" i="14"/>
  <c r="J5139" i="14" a="1"/>
  <c r="J5139" i="14" s="1"/>
  <c r="K4955" i="13" l="1"/>
  <c r="L4955" i="13" s="1"/>
  <c r="I4956" i="13" s="1"/>
  <c r="K4977" i="14"/>
  <c r="L4977" i="14" s="1"/>
  <c r="I4978" i="14" s="1"/>
  <c r="J5140" i="14" a="1"/>
  <c r="J5140" i="14" s="1"/>
  <c r="N5141" i="14"/>
  <c r="M5144" i="13"/>
  <c r="N5142" i="13"/>
  <c r="J5141" i="13" a="1"/>
  <c r="J5141" i="13" s="1"/>
  <c r="M5145" i="14"/>
  <c r="K4978" i="14" l="1"/>
  <c r="L4978" i="14" s="1"/>
  <c r="I4979" i="14" s="1"/>
  <c r="K4956" i="13"/>
  <c r="L4956" i="13" s="1"/>
  <c r="I4957" i="13" s="1"/>
  <c r="N5142" i="14"/>
  <c r="J5141" i="14" a="1"/>
  <c r="J5141" i="14" s="1"/>
  <c r="J5142" i="13" a="1"/>
  <c r="J5142" i="13" s="1"/>
  <c r="N5143" i="13"/>
  <c r="M5146" i="14"/>
  <c r="M5145" i="13"/>
  <c r="K4957" i="13" l="1"/>
  <c r="L4957" i="13" s="1"/>
  <c r="I4958" i="13" s="1"/>
  <c r="K4979" i="14"/>
  <c r="L4979" i="14" s="1"/>
  <c r="I4980" i="14" s="1"/>
  <c r="M5147" i="14"/>
  <c r="N5144" i="13"/>
  <c r="J5143" i="13" a="1"/>
  <c r="J5143" i="13" s="1"/>
  <c r="M5146" i="13"/>
  <c r="N5143" i="14"/>
  <c r="J5142" i="14" a="1"/>
  <c r="J5142" i="14" s="1"/>
  <c r="K4958" i="13" l="1"/>
  <c r="L4958" i="13" s="1"/>
  <c r="I4959" i="13" s="1"/>
  <c r="K4980" i="14"/>
  <c r="L4980" i="14" s="1"/>
  <c r="I4981" i="14" s="1"/>
  <c r="N5144" i="14"/>
  <c r="J5143" i="14" a="1"/>
  <c r="J5143" i="14" s="1"/>
  <c r="J5144" i="13" a="1"/>
  <c r="J5144" i="13" s="1"/>
  <c r="N5145" i="13"/>
  <c r="M5147" i="13"/>
  <c r="M5148" i="14"/>
  <c r="K4959" i="13" l="1"/>
  <c r="L4959" i="13" s="1"/>
  <c r="I4960" i="13" s="1"/>
  <c r="M5149" i="14"/>
  <c r="N5146" i="13"/>
  <c r="J5145" i="13" a="1"/>
  <c r="J5145" i="13" s="1"/>
  <c r="K4981" i="14"/>
  <c r="L4981" i="14" s="1"/>
  <c r="I4982" i="14" s="1"/>
  <c r="M5148" i="13"/>
  <c r="J5144" i="14" a="1"/>
  <c r="J5144" i="14" s="1"/>
  <c r="N5145" i="14"/>
  <c r="K4960" i="13" l="1"/>
  <c r="L4960" i="13" s="1"/>
  <c r="I4961" i="13" s="1"/>
  <c r="M5149" i="13"/>
  <c r="N5146" i="14"/>
  <c r="J5145" i="14" a="1"/>
  <c r="J5145" i="14" s="1"/>
  <c r="M5150" i="14"/>
  <c r="K4982" i="14"/>
  <c r="L4982" i="14" s="1"/>
  <c r="I4983" i="14" s="1"/>
  <c r="J5146" i="13" a="1"/>
  <c r="J5146" i="13" s="1"/>
  <c r="N5147" i="13"/>
  <c r="K4983" i="14" l="1"/>
  <c r="L4983" i="14" s="1"/>
  <c r="I4984" i="14" s="1"/>
  <c r="K4961" i="13"/>
  <c r="L4961" i="13" s="1"/>
  <c r="I4962" i="13" s="1"/>
  <c r="N5148" i="13"/>
  <c r="J5147" i="13" a="1"/>
  <c r="J5147" i="13" s="1"/>
  <c r="M5151" i="14"/>
  <c r="M5150" i="13"/>
  <c r="N5147" i="14"/>
  <c r="J5146" i="14" a="1"/>
  <c r="J5146" i="14" s="1"/>
  <c r="K4984" i="14" l="1"/>
  <c r="L4984" i="14" s="1"/>
  <c r="I4985" i="14" s="1"/>
  <c r="M5152" i="14"/>
  <c r="N5148" i="14"/>
  <c r="J5147" i="14" a="1"/>
  <c r="J5147" i="14" s="1"/>
  <c r="K4962" i="13"/>
  <c r="L4962" i="13" s="1"/>
  <c r="I4963" i="13" s="1"/>
  <c r="M5151" i="13"/>
  <c r="J5148" i="13" a="1"/>
  <c r="J5148" i="13" s="1"/>
  <c r="N5149" i="13"/>
  <c r="K4985" i="14" l="1"/>
  <c r="L4985" i="14" s="1"/>
  <c r="I4986" i="14" s="1"/>
  <c r="N5150" i="13"/>
  <c r="J5149" i="13" a="1"/>
  <c r="J5149" i="13" s="1"/>
  <c r="M5153" i="14"/>
  <c r="K4963" i="13"/>
  <c r="L4963" i="13" s="1"/>
  <c r="I4964" i="13" s="1"/>
  <c r="M5152" i="13"/>
  <c r="J5148" i="14" a="1"/>
  <c r="J5148" i="14" s="1"/>
  <c r="N5149" i="14"/>
  <c r="K4964" i="13" l="1"/>
  <c r="L4964" i="13" s="1"/>
  <c r="I4965" i="13" s="1"/>
  <c r="K4986" i="14"/>
  <c r="L4986" i="14" s="1"/>
  <c r="I4987" i="14" s="1"/>
  <c r="J5150" i="13" a="1"/>
  <c r="J5150" i="13" s="1"/>
  <c r="N5151" i="13"/>
  <c r="N5150" i="14"/>
  <c r="J5149" i="14" a="1"/>
  <c r="J5149" i="14" s="1"/>
  <c r="M5153" i="13"/>
  <c r="M5154" i="14"/>
  <c r="K4965" i="13" l="1"/>
  <c r="L4965" i="13" s="1"/>
  <c r="I4966" i="13" s="1"/>
  <c r="M5155" i="14"/>
  <c r="K4987" i="14"/>
  <c r="L4987" i="14" s="1"/>
  <c r="I4988" i="14" s="1"/>
  <c r="N5151" i="14"/>
  <c r="J5150" i="14" a="1"/>
  <c r="J5150" i="14" s="1"/>
  <c r="N5152" i="13"/>
  <c r="J5151" i="13" a="1"/>
  <c r="J5151" i="13" s="1"/>
  <c r="M5154" i="13"/>
  <c r="K4988" i="14" l="1"/>
  <c r="L4988" i="14" s="1"/>
  <c r="I4989" i="14" s="1"/>
  <c r="K4966" i="13"/>
  <c r="L4966" i="13" s="1"/>
  <c r="I4967" i="13" s="1"/>
  <c r="N5152" i="14"/>
  <c r="J5151" i="14" a="1"/>
  <c r="J5151" i="14" s="1"/>
  <c r="M5156" i="14"/>
  <c r="M5155" i="13"/>
  <c r="J5152" i="13" a="1"/>
  <c r="J5152" i="13" s="1"/>
  <c r="N5153" i="13"/>
  <c r="K4989" i="14" l="1"/>
  <c r="L4989" i="14" s="1"/>
  <c r="I4990" i="14" s="1"/>
  <c r="N5154" i="13"/>
  <c r="J5153" i="13" a="1"/>
  <c r="J5153" i="13" s="1"/>
  <c r="M5157" i="14"/>
  <c r="K4967" i="13"/>
  <c r="L4967" i="13" s="1"/>
  <c r="I4968" i="13" s="1"/>
  <c r="M5156" i="13"/>
  <c r="J5152" i="14" a="1"/>
  <c r="J5152" i="14" s="1"/>
  <c r="N5153" i="14"/>
  <c r="K4968" i="13" l="1"/>
  <c r="L4968" i="13" s="1"/>
  <c r="I4969" i="13" s="1"/>
  <c r="K4990" i="14"/>
  <c r="L4990" i="14" s="1"/>
  <c r="I4991" i="14" s="1"/>
  <c r="N5154" i="14"/>
  <c r="J5153" i="14" a="1"/>
  <c r="J5153" i="14" s="1"/>
  <c r="J5154" i="13" a="1"/>
  <c r="J5154" i="13" s="1"/>
  <c r="N5155" i="13"/>
  <c r="M5158" i="14"/>
  <c r="M5157" i="13"/>
  <c r="K4991" i="14" l="1"/>
  <c r="L4991" i="14" s="1"/>
  <c r="I4992" i="14" s="1"/>
  <c r="K4969" i="13"/>
  <c r="L4969" i="13" s="1"/>
  <c r="I4970" i="13" s="1"/>
  <c r="N5156" i="13"/>
  <c r="J5155" i="13" a="1"/>
  <c r="J5155" i="13" s="1"/>
  <c r="M5158" i="13"/>
  <c r="M5159" i="14"/>
  <c r="J5154" i="14" a="1"/>
  <c r="J5154" i="14" s="1"/>
  <c r="N5155" i="14"/>
  <c r="K4970" i="13" l="1"/>
  <c r="L4970" i="13" s="1"/>
  <c r="I4971" i="13" s="1"/>
  <c r="K4992" i="14"/>
  <c r="L4992" i="14" s="1"/>
  <c r="I4993" i="14" s="1"/>
  <c r="M5159" i="13"/>
  <c r="N5156" i="14"/>
  <c r="J5155" i="14" a="1"/>
  <c r="J5155" i="14" s="1"/>
  <c r="M5160" i="14"/>
  <c r="J5156" i="13" a="1"/>
  <c r="J5156" i="13" s="1"/>
  <c r="N5157" i="13"/>
  <c r="K4993" i="14" l="1"/>
  <c r="L4993" i="14" s="1"/>
  <c r="I4994" i="14" s="1"/>
  <c r="K4971" i="13"/>
  <c r="L4971" i="13" s="1"/>
  <c r="I4972" i="13" s="1"/>
  <c r="N5158" i="13"/>
  <c r="J5157" i="13" a="1"/>
  <c r="J5157" i="13" s="1"/>
  <c r="J5156" i="14" a="1"/>
  <c r="J5156" i="14" s="1"/>
  <c r="N5157" i="14"/>
  <c r="M5161" i="14"/>
  <c r="M5160" i="13"/>
  <c r="K4994" i="14" l="1"/>
  <c r="L4994" i="14" s="1"/>
  <c r="I4995" i="14" s="1"/>
  <c r="J5157" i="14" a="1"/>
  <c r="J5157" i="14" s="1"/>
  <c r="N5158" i="14"/>
  <c r="K4972" i="13"/>
  <c r="L4972" i="13" s="1"/>
  <c r="I4973" i="13" s="1"/>
  <c r="M5161" i="13"/>
  <c r="M5162" i="14"/>
  <c r="J5158" i="13" a="1"/>
  <c r="J5158" i="13" s="1"/>
  <c r="N5159" i="13"/>
  <c r="K4973" i="13" l="1"/>
  <c r="L4973" i="13" s="1"/>
  <c r="I4974" i="13" s="1"/>
  <c r="K4995" i="14"/>
  <c r="L4995" i="14" s="1"/>
  <c r="I4996" i="14" s="1"/>
  <c r="N5160" i="13"/>
  <c r="J5159" i="13" a="1"/>
  <c r="J5159" i="13" s="1"/>
  <c r="N5159" i="14"/>
  <c r="J5158" i="14" a="1"/>
  <c r="J5158" i="14" s="1"/>
  <c r="M5162" i="13"/>
  <c r="M5163" i="14"/>
  <c r="K4996" i="14" l="1"/>
  <c r="L4996" i="14" s="1"/>
  <c r="I4997" i="14" s="1"/>
  <c r="K4974" i="13"/>
  <c r="L4974" i="13" s="1"/>
  <c r="I4975" i="13" s="1"/>
  <c r="N5160" i="14"/>
  <c r="J5159" i="14" a="1"/>
  <c r="J5159" i="14" s="1"/>
  <c r="M5164" i="14"/>
  <c r="M5163" i="13"/>
  <c r="J5160" i="13" a="1"/>
  <c r="J5160" i="13" s="1"/>
  <c r="N5161" i="13"/>
  <c r="K4997" i="14" l="1"/>
  <c r="L4997" i="14" s="1"/>
  <c r="I4998" i="14" s="1"/>
  <c r="N5162" i="13"/>
  <c r="J5161" i="13" a="1"/>
  <c r="J5161" i="13" s="1"/>
  <c r="M5165" i="14"/>
  <c r="K4975" i="13"/>
  <c r="L4975" i="13" s="1"/>
  <c r="I4976" i="13" s="1"/>
  <c r="M5164" i="13"/>
  <c r="J5160" i="14" a="1"/>
  <c r="J5160" i="14" s="1"/>
  <c r="N5161" i="14"/>
  <c r="K4976" i="13" l="1"/>
  <c r="L4976" i="13" s="1"/>
  <c r="I4977" i="13" s="1"/>
  <c r="K4998" i="14"/>
  <c r="L4998" i="14" s="1"/>
  <c r="I4999" i="14" s="1"/>
  <c r="J5161" i="14" a="1"/>
  <c r="J5161" i="14" s="1"/>
  <c r="N5162" i="14"/>
  <c r="J5162" i="13" a="1"/>
  <c r="J5162" i="13" s="1"/>
  <c r="N5163" i="13"/>
  <c r="M5165" i="13"/>
  <c r="M5166" i="14"/>
  <c r="K4977" i="13" l="1"/>
  <c r="L4977" i="13" s="1"/>
  <c r="I4978" i="13" s="1"/>
  <c r="M5167" i="14"/>
  <c r="N5164" i="13"/>
  <c r="J5163" i="13" a="1"/>
  <c r="J5163" i="13" s="1"/>
  <c r="K4999" i="14"/>
  <c r="L4999" i="14" s="1"/>
  <c r="I5000" i="14" s="1"/>
  <c r="J5162" i="14" a="1"/>
  <c r="J5162" i="14" s="1"/>
  <c r="N5163" i="14"/>
  <c r="M5166" i="13"/>
  <c r="K4978" i="13" l="1"/>
  <c r="L4978" i="13" s="1"/>
  <c r="I4979" i="13" s="1"/>
  <c r="M5167" i="13"/>
  <c r="M5168" i="14"/>
  <c r="K5000" i="14"/>
  <c r="L5000" i="14" s="1"/>
  <c r="I5001" i="14" s="1"/>
  <c r="N5164" i="14"/>
  <c r="J5163" i="14" a="1"/>
  <c r="J5163" i="14" s="1"/>
  <c r="J5164" i="13" a="1"/>
  <c r="J5164" i="13" s="1"/>
  <c r="N5165" i="13"/>
  <c r="K4979" i="13" l="1"/>
  <c r="L4979" i="13" s="1"/>
  <c r="I4980" i="13" s="1"/>
  <c r="N5166" i="13"/>
  <c r="J5165" i="13" a="1"/>
  <c r="J5165" i="13" s="1"/>
  <c r="K5001" i="14"/>
  <c r="L5001" i="14" s="1"/>
  <c r="I5002" i="14" s="1"/>
  <c r="M5168" i="13"/>
  <c r="J5164" i="14" a="1"/>
  <c r="J5164" i="14" s="1"/>
  <c r="N5165" i="14"/>
  <c r="M5169" i="14"/>
  <c r="K5002" i="14" l="1"/>
  <c r="L5002" i="14" s="1"/>
  <c r="I5003" i="14" s="1"/>
  <c r="K4980" i="13"/>
  <c r="L4980" i="13" s="1"/>
  <c r="I4981" i="13" s="1"/>
  <c r="M5170" i="14"/>
  <c r="M5169" i="13"/>
  <c r="J5166" i="13" a="1"/>
  <c r="J5166" i="13" s="1"/>
  <c r="N5167" i="13"/>
  <c r="J5165" i="14" a="1"/>
  <c r="J5165" i="14" s="1"/>
  <c r="N5166" i="14"/>
  <c r="K5003" i="14" l="1"/>
  <c r="L5003" i="14" s="1"/>
  <c r="I5004" i="14" s="1"/>
  <c r="N5167" i="14"/>
  <c r="J5166" i="14" a="1"/>
  <c r="J5166" i="14" s="1"/>
  <c r="K4981" i="13"/>
  <c r="L4981" i="13" s="1"/>
  <c r="I4982" i="13" s="1"/>
  <c r="M5170" i="13"/>
  <c r="N5168" i="13"/>
  <c r="J5167" i="13" a="1"/>
  <c r="J5167" i="13" s="1"/>
  <c r="M5171" i="14"/>
  <c r="K4982" i="13" l="1"/>
  <c r="L4982" i="13" s="1"/>
  <c r="I4983" i="13" s="1"/>
  <c r="K5004" i="14"/>
  <c r="L5004" i="14" s="1"/>
  <c r="I5005" i="14" s="1"/>
  <c r="M5171" i="13"/>
  <c r="M5172" i="14"/>
  <c r="N5168" i="14"/>
  <c r="J5167" i="14" a="1"/>
  <c r="J5167" i="14" s="1"/>
  <c r="J5168" i="13" a="1"/>
  <c r="J5168" i="13" s="1"/>
  <c r="N5169" i="13"/>
  <c r="K5005" i="14" l="1"/>
  <c r="L5005" i="14" s="1"/>
  <c r="I5006" i="14" s="1"/>
  <c r="K4983" i="13"/>
  <c r="L4983" i="13" s="1"/>
  <c r="I4984" i="13" s="1"/>
  <c r="M5173" i="14"/>
  <c r="N5170" i="13"/>
  <c r="J5169" i="13" a="1"/>
  <c r="J5169" i="13" s="1"/>
  <c r="J5168" i="14" a="1"/>
  <c r="J5168" i="14" s="1"/>
  <c r="N5169" i="14"/>
  <c r="M5172" i="13"/>
  <c r="K5006" i="14" l="1"/>
  <c r="L5006" i="14" s="1"/>
  <c r="I5007" i="14" s="1"/>
  <c r="J5170" i="13" a="1"/>
  <c r="J5170" i="13" s="1"/>
  <c r="N5171" i="13"/>
  <c r="M5173" i="13"/>
  <c r="K4984" i="13"/>
  <c r="L4984" i="13" s="1"/>
  <c r="I4985" i="13" s="1"/>
  <c r="J5169" i="14" a="1"/>
  <c r="J5169" i="14" s="1"/>
  <c r="N5170" i="14"/>
  <c r="M5174" i="14"/>
  <c r="K5007" i="14" l="1"/>
  <c r="L5007" i="14" s="1"/>
  <c r="I5008" i="14" s="1"/>
  <c r="K4985" i="13"/>
  <c r="L4985" i="13" s="1"/>
  <c r="I4986" i="13" s="1"/>
  <c r="M5175" i="14"/>
  <c r="N5172" i="13"/>
  <c r="J5171" i="13" a="1"/>
  <c r="J5171" i="13" s="1"/>
  <c r="J5170" i="14" a="1"/>
  <c r="J5170" i="14" s="1"/>
  <c r="N5171" i="14"/>
  <c r="M5174" i="13"/>
  <c r="K5008" i="14" l="1"/>
  <c r="L5008" i="14" s="1"/>
  <c r="I5009" i="14" s="1"/>
  <c r="M5175" i="13"/>
  <c r="J5172" i="13" a="1"/>
  <c r="J5172" i="13" s="1"/>
  <c r="N5173" i="13"/>
  <c r="K4986" i="13"/>
  <c r="L4986" i="13" s="1"/>
  <c r="I4987" i="13" s="1"/>
  <c r="N5172" i="14"/>
  <c r="J5171" i="14" a="1"/>
  <c r="J5171" i="14" s="1"/>
  <c r="M5176" i="14"/>
  <c r="K5009" i="14" l="1"/>
  <c r="L5009" i="14" s="1"/>
  <c r="I5010" i="14" s="1"/>
  <c r="J5172" i="14" a="1"/>
  <c r="J5172" i="14" s="1"/>
  <c r="N5173" i="14"/>
  <c r="M5177" i="14"/>
  <c r="K4987" i="13"/>
  <c r="L4987" i="13" s="1"/>
  <c r="I4988" i="13" s="1"/>
  <c r="M5176" i="13"/>
  <c r="N5174" i="13"/>
  <c r="J5173" i="13" a="1"/>
  <c r="J5173" i="13" s="1"/>
  <c r="K4988" i="13" l="1"/>
  <c r="L4988" i="13" s="1"/>
  <c r="I4989" i="13" s="1"/>
  <c r="K5010" i="14"/>
  <c r="L5010" i="14" s="1"/>
  <c r="I5011" i="14" s="1"/>
  <c r="J5173" i="14" a="1"/>
  <c r="J5173" i="14" s="1"/>
  <c r="N5174" i="14"/>
  <c r="J5174" i="13" a="1"/>
  <c r="J5174" i="13" s="1"/>
  <c r="N5175" i="13"/>
  <c r="M5177" i="13"/>
  <c r="M5178" i="14"/>
  <c r="K4989" i="13" l="1"/>
  <c r="L4989" i="13" s="1"/>
  <c r="I4990" i="13" s="1"/>
  <c r="N5176" i="13"/>
  <c r="J5175" i="13" a="1"/>
  <c r="J5175" i="13" s="1"/>
  <c r="K5011" i="14"/>
  <c r="L5011" i="14" s="1"/>
  <c r="I5012" i="14" s="1"/>
  <c r="M5179" i="14"/>
  <c r="N5175" i="14"/>
  <c r="J5174" i="14" a="1"/>
  <c r="J5174" i="14" s="1"/>
  <c r="M5178" i="13"/>
  <c r="K5012" i="14" l="1"/>
  <c r="L5012" i="14" s="1"/>
  <c r="I5013" i="14" s="1"/>
  <c r="K4990" i="13"/>
  <c r="L4990" i="13" s="1"/>
  <c r="I4991" i="13" s="1"/>
  <c r="J5176" i="13" a="1"/>
  <c r="J5176" i="13" s="1"/>
  <c r="N5177" i="13"/>
  <c r="M5179" i="13"/>
  <c r="M5180" i="14"/>
  <c r="N5176" i="14"/>
  <c r="J5175" i="14" a="1"/>
  <c r="J5175" i="14" s="1"/>
  <c r="K4991" i="13" l="1"/>
  <c r="L4991" i="13" s="1"/>
  <c r="I4992" i="13" s="1"/>
  <c r="K5013" i="14"/>
  <c r="L5013" i="14" s="1"/>
  <c r="I5014" i="14" s="1"/>
  <c r="J5176" i="14" a="1"/>
  <c r="J5176" i="14" s="1"/>
  <c r="N5177" i="14"/>
  <c r="M5180" i="13"/>
  <c r="N5178" i="13"/>
  <c r="J5177" i="13" a="1"/>
  <c r="J5177" i="13" s="1"/>
  <c r="M5181" i="14"/>
  <c r="K4992" i="13" l="1"/>
  <c r="L4992" i="13" s="1"/>
  <c r="I4993" i="13" s="1"/>
  <c r="J5178" i="13" a="1"/>
  <c r="J5178" i="13" s="1"/>
  <c r="N5179" i="13"/>
  <c r="M5182" i="14"/>
  <c r="M5181" i="13"/>
  <c r="K5014" i="14"/>
  <c r="L5014" i="14" s="1"/>
  <c r="I5015" i="14" s="1"/>
  <c r="J5177" i="14" a="1"/>
  <c r="J5177" i="14" s="1"/>
  <c r="N5178" i="14"/>
  <c r="K5015" i="14" l="1"/>
  <c r="L5015" i="14" s="1"/>
  <c r="I5016" i="14" s="1"/>
  <c r="K4993" i="13"/>
  <c r="L4993" i="13" s="1"/>
  <c r="I4994" i="13" s="1"/>
  <c r="N5180" i="13"/>
  <c r="J5179" i="13" a="1"/>
  <c r="J5179" i="13" s="1"/>
  <c r="M5182" i="13"/>
  <c r="J5178" i="14" a="1"/>
  <c r="J5178" i="14" s="1"/>
  <c r="N5179" i="14"/>
  <c r="M5183" i="14"/>
  <c r="K5016" i="14" l="1"/>
  <c r="L5016" i="14" s="1"/>
  <c r="I5017" i="14" s="1"/>
  <c r="M5183" i="13"/>
  <c r="M5184" i="14"/>
  <c r="K4994" i="13"/>
  <c r="L4994" i="13" s="1"/>
  <c r="I4995" i="13" s="1"/>
  <c r="N5180" i="14"/>
  <c r="J5179" i="14" a="1"/>
  <c r="J5179" i="14" s="1"/>
  <c r="J5180" i="13" a="1"/>
  <c r="J5180" i="13" s="1"/>
  <c r="N5181" i="13"/>
  <c r="K5017" i="14" l="1"/>
  <c r="L5017" i="14" s="1"/>
  <c r="I5018" i="14" s="1"/>
  <c r="N5182" i="13"/>
  <c r="J5181" i="13" a="1"/>
  <c r="J5181" i="13" s="1"/>
  <c r="M5184" i="13"/>
  <c r="K4995" i="13"/>
  <c r="L4995" i="13" s="1"/>
  <c r="I4996" i="13" s="1"/>
  <c r="J5180" i="14" a="1"/>
  <c r="J5180" i="14" s="1"/>
  <c r="N5181" i="14"/>
  <c r="M5185" i="14"/>
  <c r="K5018" i="14" l="1"/>
  <c r="L5018" i="14" s="1"/>
  <c r="I5019" i="14" s="1"/>
  <c r="J5181" i="14" a="1"/>
  <c r="J5181" i="14" s="1"/>
  <c r="N5182" i="14"/>
  <c r="J5182" i="13" a="1"/>
  <c r="J5182" i="13" s="1"/>
  <c r="N5183" i="13"/>
  <c r="M5186" i="14"/>
  <c r="M5185" i="13"/>
  <c r="K4996" i="13"/>
  <c r="L4996" i="13" s="1"/>
  <c r="I4997" i="13" s="1"/>
  <c r="K4997" i="13" l="1"/>
  <c r="L4997" i="13" s="1"/>
  <c r="I4998" i="13" s="1"/>
  <c r="K5019" i="14"/>
  <c r="L5019" i="14" s="1"/>
  <c r="I5020" i="14" s="1"/>
  <c r="M5187" i="14"/>
  <c r="N5183" i="14"/>
  <c r="J5182" i="14" a="1"/>
  <c r="J5182" i="14" s="1"/>
  <c r="M5186" i="13"/>
  <c r="N5184" i="13"/>
  <c r="J5183" i="13" a="1"/>
  <c r="J5183" i="13" s="1"/>
  <c r="K5020" i="14" l="1"/>
  <c r="L5020" i="14" s="1"/>
  <c r="I5021" i="14" s="1"/>
  <c r="K4998" i="13"/>
  <c r="L4998" i="13" s="1"/>
  <c r="I4999" i="13" s="1"/>
  <c r="N5184" i="14"/>
  <c r="J5183" i="14" a="1"/>
  <c r="J5183" i="14" s="1"/>
  <c r="M5187" i="13"/>
  <c r="J5184" i="13" a="1"/>
  <c r="J5184" i="13" s="1"/>
  <c r="N5185" i="13"/>
  <c r="M5188" i="14"/>
  <c r="K4999" i="13" l="1"/>
  <c r="L4999" i="13" s="1"/>
  <c r="I5000" i="13" s="1"/>
  <c r="K5021" i="14"/>
  <c r="L5021" i="14" s="1"/>
  <c r="I5022" i="14" s="1"/>
  <c r="N5186" i="13"/>
  <c r="J5185" i="13" a="1"/>
  <c r="J5185" i="13" s="1"/>
  <c r="M5189" i="14"/>
  <c r="M5188" i="13"/>
  <c r="J5184" i="14" a="1"/>
  <c r="J5184" i="14" s="1"/>
  <c r="N5185" i="14"/>
  <c r="K5022" i="14" l="1"/>
  <c r="L5022" i="14" s="1"/>
  <c r="I5023" i="14" s="1"/>
  <c r="J5185" i="14" a="1"/>
  <c r="J5185" i="14" s="1"/>
  <c r="N5186" i="14"/>
  <c r="M5190" i="14"/>
  <c r="M5189" i="13"/>
  <c r="J5186" i="13" a="1"/>
  <c r="J5186" i="13" s="1"/>
  <c r="N5187" i="13"/>
  <c r="K5000" i="13"/>
  <c r="L5000" i="13" s="1"/>
  <c r="I5001" i="13" s="1"/>
  <c r="K5001" i="13" l="1"/>
  <c r="L5001" i="13" s="1"/>
  <c r="I5002" i="13" s="1"/>
  <c r="K5023" i="14"/>
  <c r="L5023" i="14" s="1"/>
  <c r="I5024" i="14" s="1"/>
  <c r="J5186" i="14" a="1"/>
  <c r="J5186" i="14" s="1"/>
  <c r="N5187" i="14"/>
  <c r="M5190" i="13"/>
  <c r="N5188" i="13"/>
  <c r="J5187" i="13" a="1"/>
  <c r="J5187" i="13" s="1"/>
  <c r="M5191" i="14"/>
  <c r="K5002" i="13" l="1"/>
  <c r="L5002" i="13" s="1"/>
  <c r="I5003" i="13" s="1"/>
  <c r="M5192" i="14"/>
  <c r="M5191" i="13"/>
  <c r="K5024" i="14"/>
  <c r="L5024" i="14" s="1"/>
  <c r="I5025" i="14" s="1"/>
  <c r="N5188" i="14"/>
  <c r="J5187" i="14" a="1"/>
  <c r="J5187" i="14" s="1"/>
  <c r="J5188" i="13" a="1"/>
  <c r="J5188" i="13" s="1"/>
  <c r="N5189" i="13"/>
  <c r="K5003" i="13" l="1"/>
  <c r="L5003" i="13" s="1"/>
  <c r="I5004" i="13" s="1"/>
  <c r="N5190" i="13"/>
  <c r="J5189" i="13" a="1"/>
  <c r="J5189" i="13" s="1"/>
  <c r="K5025" i="14"/>
  <c r="L5025" i="14" s="1"/>
  <c r="I5026" i="14" s="1"/>
  <c r="M5193" i="14"/>
  <c r="J5188" i="14" a="1"/>
  <c r="J5188" i="14" s="1"/>
  <c r="N5189" i="14"/>
  <c r="M5192" i="13"/>
  <c r="K5026" i="14" l="1"/>
  <c r="L5026" i="14" s="1"/>
  <c r="I5027" i="14" s="1"/>
  <c r="K5004" i="13"/>
  <c r="L5004" i="13" s="1"/>
  <c r="I5005" i="13" s="1"/>
  <c r="M5194" i="14"/>
  <c r="M5193" i="13"/>
  <c r="J5190" i="13" a="1"/>
  <c r="J5190" i="13" s="1"/>
  <c r="N5191" i="13"/>
  <c r="J5189" i="14" a="1"/>
  <c r="J5189" i="14" s="1"/>
  <c r="N5190" i="14"/>
  <c r="K5005" i="13" l="1"/>
  <c r="L5005" i="13" s="1"/>
  <c r="I5006" i="13" s="1"/>
  <c r="K5027" i="14"/>
  <c r="L5027" i="14" s="1"/>
  <c r="I5028" i="14" s="1"/>
  <c r="N5191" i="14"/>
  <c r="J5190" i="14" a="1"/>
  <c r="J5190" i="14" s="1"/>
  <c r="M5194" i="13"/>
  <c r="N5192" i="13"/>
  <c r="J5191" i="13" a="1"/>
  <c r="J5191" i="13" s="1"/>
  <c r="M5195" i="14"/>
  <c r="K5006" i="13" l="1"/>
  <c r="L5006" i="13" s="1"/>
  <c r="I5007" i="13" s="1"/>
  <c r="J5192" i="13" a="1"/>
  <c r="J5192" i="13" s="1"/>
  <c r="N5193" i="13"/>
  <c r="M5195" i="13"/>
  <c r="K5028" i="14"/>
  <c r="L5028" i="14" s="1"/>
  <c r="I5029" i="14" s="1"/>
  <c r="M5196" i="14"/>
  <c r="N5192" i="14"/>
  <c r="J5191" i="14" a="1"/>
  <c r="J5191" i="14" s="1"/>
  <c r="K5007" i="13" l="1"/>
  <c r="L5007" i="13" s="1"/>
  <c r="I5008" i="13" s="1"/>
  <c r="N5194" i="13"/>
  <c r="J5193" i="13" a="1"/>
  <c r="J5193" i="13" s="1"/>
  <c r="K5029" i="14"/>
  <c r="L5029" i="14" s="1"/>
  <c r="I5030" i="14" s="1"/>
  <c r="J5192" i="14" a="1"/>
  <c r="J5192" i="14" s="1"/>
  <c r="N5193" i="14"/>
  <c r="M5197" i="14"/>
  <c r="M5196" i="13"/>
  <c r="K5030" i="14" l="1"/>
  <c r="L5030" i="14" s="1"/>
  <c r="I5031" i="14" s="1"/>
  <c r="K5008" i="13"/>
  <c r="L5008" i="13" s="1"/>
  <c r="I5009" i="13" s="1"/>
  <c r="J5193" i="14" a="1"/>
  <c r="J5193" i="14" s="1"/>
  <c r="N5194" i="14"/>
  <c r="M5197" i="13"/>
  <c r="J5194" i="13" a="1"/>
  <c r="J5194" i="13" s="1"/>
  <c r="N5195" i="13"/>
  <c r="M5198" i="14"/>
  <c r="K5009" i="13" l="1"/>
  <c r="L5009" i="13" s="1"/>
  <c r="I5010" i="13" s="1"/>
  <c r="K5031" i="14"/>
  <c r="L5031" i="14" s="1"/>
  <c r="I5032" i="14" s="1"/>
  <c r="N5196" i="13"/>
  <c r="J5195" i="13" a="1"/>
  <c r="J5195" i="13" s="1"/>
  <c r="M5199" i="14"/>
  <c r="M5198" i="13"/>
  <c r="J5194" i="14" a="1"/>
  <c r="J5194" i="14" s="1"/>
  <c r="N5195" i="14"/>
  <c r="K5010" i="13" l="1"/>
  <c r="L5010" i="13" s="1"/>
  <c r="I5011" i="13" s="1"/>
  <c r="M5199" i="13"/>
  <c r="N5196" i="14"/>
  <c r="J5195" i="14" a="1"/>
  <c r="J5195" i="14" s="1"/>
  <c r="M5200" i="14"/>
  <c r="K5032" i="14"/>
  <c r="L5032" i="14" s="1"/>
  <c r="I5033" i="14" s="1"/>
  <c r="J5196" i="13" a="1"/>
  <c r="J5196" i="13" s="1"/>
  <c r="N5197" i="13"/>
  <c r="K5033" i="14" l="1"/>
  <c r="L5033" i="14" s="1"/>
  <c r="I5034" i="14" s="1"/>
  <c r="K5011" i="13"/>
  <c r="L5011" i="13" s="1"/>
  <c r="I5012" i="13" s="1"/>
  <c r="N5198" i="13"/>
  <c r="J5197" i="13" a="1"/>
  <c r="J5197" i="13" s="1"/>
  <c r="M5201" i="14"/>
  <c r="M5200" i="13"/>
  <c r="J5196" i="14" a="1"/>
  <c r="J5196" i="14" s="1"/>
  <c r="N5197" i="14"/>
  <c r="K5034" i="14" l="1"/>
  <c r="L5034" i="14" s="1"/>
  <c r="I5035" i="14" s="1"/>
  <c r="J5197" i="14" a="1"/>
  <c r="J5197" i="14" s="1"/>
  <c r="N5198" i="14"/>
  <c r="K5012" i="13"/>
  <c r="L5012" i="13" s="1"/>
  <c r="I5013" i="13" s="1"/>
  <c r="M5202" i="14"/>
  <c r="M5201" i="13"/>
  <c r="J5198" i="13" a="1"/>
  <c r="J5198" i="13" s="1"/>
  <c r="N5199" i="13"/>
  <c r="K5013" i="13" l="1"/>
  <c r="L5013" i="13" s="1"/>
  <c r="I5014" i="13" s="1"/>
  <c r="K5035" i="14"/>
  <c r="L5035" i="14" s="1"/>
  <c r="I5036" i="14" s="1"/>
  <c r="N5200" i="13"/>
  <c r="J5199" i="13" a="1"/>
  <c r="J5199" i="13" s="1"/>
  <c r="M5203" i="14"/>
  <c r="N5199" i="14"/>
  <c r="J5198" i="14" a="1"/>
  <c r="J5198" i="14" s="1"/>
  <c r="M5202" i="13"/>
  <c r="K5036" i="14" l="1"/>
  <c r="L5036" i="14" s="1"/>
  <c r="I5037" i="14" s="1"/>
  <c r="K5014" i="13"/>
  <c r="L5014" i="13" s="1"/>
  <c r="I5015" i="13" s="1"/>
  <c r="M5203" i="13"/>
  <c r="M5204" i="14"/>
  <c r="N5200" i="14"/>
  <c r="J5199" i="14" a="1"/>
  <c r="J5199" i="14" s="1"/>
  <c r="J5200" i="13" a="1"/>
  <c r="J5200" i="13" s="1"/>
  <c r="N5201" i="13"/>
  <c r="K5015" i="13" l="1"/>
  <c r="L5015" i="13" s="1"/>
  <c r="I5016" i="13" s="1"/>
  <c r="K5037" i="14"/>
  <c r="L5037" i="14" s="1"/>
  <c r="I5038" i="14" s="1"/>
  <c r="N5202" i="13"/>
  <c r="J5201" i="13" a="1"/>
  <c r="J5201" i="13" s="1"/>
  <c r="M5205" i="14"/>
  <c r="J5200" i="14" a="1"/>
  <c r="J5200" i="14" s="1"/>
  <c r="N5201" i="14"/>
  <c r="M5204" i="13"/>
  <c r="K5016" i="13" l="1"/>
  <c r="L5016" i="13" s="1"/>
  <c r="I5017" i="13" s="1"/>
  <c r="M5205" i="13"/>
  <c r="M5206" i="14"/>
  <c r="K5038" i="14"/>
  <c r="L5038" i="14" s="1"/>
  <c r="I5039" i="14" s="1"/>
  <c r="J5201" i="14" a="1"/>
  <c r="J5201" i="14" s="1"/>
  <c r="N5202" i="14"/>
  <c r="J5202" i="13" a="1"/>
  <c r="J5202" i="13" s="1"/>
  <c r="N5203" i="13"/>
  <c r="K5017" i="13" l="1"/>
  <c r="L5017" i="13" s="1"/>
  <c r="I5018" i="13" s="1"/>
  <c r="N5204" i="13"/>
  <c r="J5203" i="13" a="1"/>
  <c r="J5203" i="13" s="1"/>
  <c r="K5039" i="14"/>
  <c r="L5039" i="14" s="1"/>
  <c r="I5040" i="14" s="1"/>
  <c r="M5206" i="13"/>
  <c r="M5207" i="14"/>
  <c r="J5202" i="14" a="1"/>
  <c r="J5202" i="14" s="1"/>
  <c r="N5203" i="14"/>
  <c r="K5040" i="14" l="1"/>
  <c r="L5040" i="14" s="1"/>
  <c r="I5041" i="14" s="1"/>
  <c r="K5018" i="13"/>
  <c r="L5018" i="13" s="1"/>
  <c r="I5019" i="13" s="1"/>
  <c r="N5204" i="14"/>
  <c r="J5203" i="14" a="1"/>
  <c r="J5203" i="14" s="1"/>
  <c r="M5207" i="13"/>
  <c r="J5204" i="13" a="1"/>
  <c r="J5204" i="13" s="1"/>
  <c r="N5205" i="13"/>
  <c r="M5208" i="14"/>
  <c r="K5041" i="14" l="1"/>
  <c r="L5041" i="14" s="1"/>
  <c r="I5042" i="14" s="1"/>
  <c r="N5206" i="13"/>
  <c r="J5205" i="13" a="1"/>
  <c r="J5205" i="13" s="1"/>
  <c r="M5209" i="14"/>
  <c r="M5208" i="13"/>
  <c r="K5019" i="13"/>
  <c r="L5019" i="13" s="1"/>
  <c r="I5020" i="13" s="1"/>
  <c r="J5204" i="14" a="1"/>
  <c r="J5204" i="14" s="1"/>
  <c r="N5205" i="14"/>
  <c r="K5020" i="13" l="1"/>
  <c r="L5020" i="13" s="1"/>
  <c r="I5021" i="13" s="1"/>
  <c r="K5042" i="14"/>
  <c r="L5042" i="14" s="1"/>
  <c r="I5043" i="14" s="1"/>
  <c r="J5205" i="14" a="1"/>
  <c r="J5205" i="14" s="1"/>
  <c r="N5206" i="14"/>
  <c r="M5209" i="13"/>
  <c r="J5206" i="13" a="1"/>
  <c r="J5206" i="13" s="1"/>
  <c r="N5207" i="13"/>
  <c r="M5210" i="14"/>
  <c r="K5021" i="13" l="1"/>
  <c r="L5021" i="13" s="1"/>
  <c r="I5022" i="13" s="1"/>
  <c r="N5208" i="13"/>
  <c r="J5207" i="13" a="1"/>
  <c r="J5207" i="13" s="1"/>
  <c r="M5211" i="14"/>
  <c r="M5210" i="13"/>
  <c r="K5043" i="14"/>
  <c r="L5043" i="14" s="1"/>
  <c r="I5044" i="14" s="1"/>
  <c r="N5207" i="14"/>
  <c r="J5206" i="14" a="1"/>
  <c r="J5206" i="14" s="1"/>
  <c r="K5044" i="14" l="1"/>
  <c r="L5044" i="14" s="1"/>
  <c r="I5045" i="14" s="1"/>
  <c r="K5022" i="13"/>
  <c r="L5022" i="13" s="1"/>
  <c r="I5023" i="13" s="1"/>
  <c r="J5208" i="13" a="1"/>
  <c r="J5208" i="13" s="1"/>
  <c r="N5209" i="13"/>
  <c r="M5211" i="13"/>
  <c r="N5208" i="14"/>
  <c r="J5207" i="14" a="1"/>
  <c r="J5207" i="14" s="1"/>
  <c r="M5212" i="14"/>
  <c r="K5023" i="13" l="1"/>
  <c r="L5023" i="13" s="1"/>
  <c r="I5024" i="13" s="1"/>
  <c r="K5045" i="14"/>
  <c r="L5045" i="14" s="1"/>
  <c r="I5046" i="14" s="1"/>
  <c r="M5213" i="14"/>
  <c r="M5212" i="13"/>
  <c r="N5210" i="13"/>
  <c r="J5209" i="13" a="1"/>
  <c r="J5209" i="13" s="1"/>
  <c r="J5208" i="14" a="1"/>
  <c r="J5208" i="14" s="1"/>
  <c r="N5209" i="14"/>
  <c r="K5046" i="14" l="1"/>
  <c r="L5046" i="14" s="1"/>
  <c r="I5047" i="14" s="1"/>
  <c r="J5209" i="14" a="1"/>
  <c r="J5209" i="14" s="1"/>
  <c r="N5210" i="14"/>
  <c r="M5213" i="13"/>
  <c r="M5214" i="14"/>
  <c r="J5210" i="13" a="1"/>
  <c r="J5210" i="13" s="1"/>
  <c r="N5211" i="13"/>
  <c r="K5024" i="13"/>
  <c r="L5024" i="13" s="1"/>
  <c r="I5025" i="13" s="1"/>
  <c r="K5047" i="14" l="1"/>
  <c r="L5047" i="14" s="1"/>
  <c r="I5048" i="14" s="1"/>
  <c r="N5212" i="13"/>
  <c r="J5211" i="13" a="1"/>
  <c r="J5211" i="13" s="1"/>
  <c r="M5215" i="14"/>
  <c r="J5210" i="14" a="1"/>
  <c r="J5210" i="14" s="1"/>
  <c r="N5211" i="14"/>
  <c r="K5025" i="13"/>
  <c r="L5025" i="13" s="1"/>
  <c r="I5026" i="13" s="1"/>
  <c r="M5214" i="13"/>
  <c r="K5026" i="13" l="1"/>
  <c r="L5026" i="13" s="1"/>
  <c r="I5027" i="13" s="1"/>
  <c r="K5048" i="14"/>
  <c r="L5048" i="14" s="1"/>
  <c r="I5049" i="14" s="1"/>
  <c r="N5212" i="14"/>
  <c r="J5211" i="14" a="1"/>
  <c r="J5211" i="14" s="1"/>
  <c r="J5212" i="13" a="1"/>
  <c r="J5212" i="13" s="1"/>
  <c r="N5213" i="13"/>
  <c r="M5215" i="13"/>
  <c r="M5216" i="14"/>
  <c r="K5027" i="13" l="1"/>
  <c r="L5027" i="13" s="1"/>
  <c r="I5028" i="13" s="1"/>
  <c r="M5217" i="14"/>
  <c r="N5214" i="13"/>
  <c r="J5213" i="13" a="1"/>
  <c r="J5213" i="13" s="1"/>
  <c r="K5049" i="14"/>
  <c r="L5049" i="14" s="1"/>
  <c r="I5050" i="14" s="1"/>
  <c r="M5216" i="13"/>
  <c r="J5212" i="14" a="1"/>
  <c r="J5212" i="14" s="1"/>
  <c r="N5213" i="14"/>
  <c r="K5028" i="13" l="1"/>
  <c r="L5028" i="13" s="1"/>
  <c r="I5029" i="13" s="1"/>
  <c r="J5213" i="14" a="1"/>
  <c r="J5213" i="14" s="1"/>
  <c r="N5214" i="14"/>
  <c r="K5050" i="14"/>
  <c r="L5050" i="14" s="1"/>
  <c r="I5051" i="14" s="1"/>
  <c r="M5218" i="14"/>
  <c r="M5217" i="13"/>
  <c r="J5214" i="13" a="1"/>
  <c r="J5214" i="13" s="1"/>
  <c r="N5215" i="13"/>
  <c r="K5051" i="14" l="1"/>
  <c r="L5051" i="14" s="1"/>
  <c r="I5052" i="14" s="1"/>
  <c r="K5029" i="13"/>
  <c r="L5029" i="13" s="1"/>
  <c r="I5030" i="13" s="1"/>
  <c r="N5216" i="13"/>
  <c r="J5215" i="13" a="1"/>
  <c r="J5215" i="13" s="1"/>
  <c r="M5219" i="14"/>
  <c r="N5215" i="14"/>
  <c r="J5214" i="14" a="1"/>
  <c r="J5214" i="14" s="1"/>
  <c r="M5218" i="13"/>
  <c r="K5052" i="14" l="1"/>
  <c r="L5052" i="14" s="1"/>
  <c r="I5053" i="14" s="1"/>
  <c r="M5220" i="14"/>
  <c r="N5216" i="14"/>
  <c r="J5215" i="14" a="1"/>
  <c r="J5215" i="14" s="1"/>
  <c r="M5219" i="13"/>
  <c r="K5030" i="13"/>
  <c r="L5030" i="13" s="1"/>
  <c r="I5031" i="13" s="1"/>
  <c r="J5216" i="13" a="1"/>
  <c r="J5216" i="13" s="1"/>
  <c r="N5217" i="13"/>
  <c r="K5053" i="14" l="1"/>
  <c r="L5053" i="14" s="1"/>
  <c r="I5054" i="14" s="1"/>
  <c r="K5031" i="13"/>
  <c r="L5031" i="13" s="1"/>
  <c r="I5032" i="13" s="1"/>
  <c r="N5218" i="13"/>
  <c r="J5217" i="13" a="1"/>
  <c r="J5217" i="13" s="1"/>
  <c r="M5220" i="13"/>
  <c r="M5221" i="14"/>
  <c r="J5216" i="14" a="1"/>
  <c r="J5216" i="14" s="1"/>
  <c r="N5217" i="14"/>
  <c r="K5054" i="14" l="1"/>
  <c r="L5054" i="14" s="1"/>
  <c r="I5055" i="14" s="1"/>
  <c r="J5217" i="14" a="1"/>
  <c r="J5217" i="14" s="1"/>
  <c r="N5218" i="14"/>
  <c r="M5221" i="13"/>
  <c r="K5032" i="13"/>
  <c r="L5032" i="13" s="1"/>
  <c r="I5033" i="13" s="1"/>
  <c r="M5222" i="14"/>
  <c r="J5218" i="13" a="1"/>
  <c r="J5218" i="13" s="1"/>
  <c r="N5219" i="13"/>
  <c r="K5033" i="13" l="1"/>
  <c r="L5033" i="13" s="1"/>
  <c r="I5034" i="13" s="1"/>
  <c r="K5055" i="14"/>
  <c r="L5055" i="14" s="1"/>
  <c r="I5056" i="14" s="1"/>
  <c r="N5220" i="13"/>
  <c r="J5219" i="13" a="1"/>
  <c r="J5219" i="13" s="1"/>
  <c r="J5218" i="14" a="1"/>
  <c r="J5218" i="14" s="1"/>
  <c r="N5219" i="14"/>
  <c r="M5223" i="14"/>
  <c r="M5222" i="13"/>
  <c r="K5034" i="13" l="1"/>
  <c r="L5034" i="13" s="1"/>
  <c r="I5035" i="13" s="1"/>
  <c r="N5220" i="14"/>
  <c r="J5219" i="14" a="1"/>
  <c r="J5219" i="14" s="1"/>
  <c r="K5056" i="14"/>
  <c r="L5056" i="14" s="1"/>
  <c r="I5057" i="14" s="1"/>
  <c r="M5223" i="13"/>
  <c r="M5224" i="14"/>
  <c r="J5220" i="13" a="1"/>
  <c r="J5220" i="13" s="1"/>
  <c r="N5221" i="13"/>
  <c r="K5057" i="14" l="1"/>
  <c r="L5057" i="14" s="1"/>
  <c r="I5058" i="14" s="1"/>
  <c r="K5035" i="13"/>
  <c r="L5035" i="13" s="1"/>
  <c r="I5036" i="13" s="1"/>
  <c r="J5220" i="14" a="1"/>
  <c r="J5220" i="14" s="1"/>
  <c r="N5221" i="14"/>
  <c r="N5222" i="13"/>
  <c r="J5221" i="13" a="1"/>
  <c r="J5221" i="13" s="1"/>
  <c r="M5224" i="13"/>
  <c r="M5225" i="14"/>
  <c r="K5058" i="14" l="1"/>
  <c r="L5058" i="14" s="1"/>
  <c r="I5059" i="14" s="1"/>
  <c r="J5221" i="14" a="1"/>
  <c r="J5221" i="14" s="1"/>
  <c r="N5222" i="14"/>
  <c r="J5222" i="13" a="1"/>
  <c r="J5222" i="13" s="1"/>
  <c r="N5223" i="13"/>
  <c r="K5036" i="13"/>
  <c r="L5036" i="13" s="1"/>
  <c r="I5037" i="13" s="1"/>
  <c r="M5226" i="14"/>
  <c r="M5225" i="13"/>
  <c r="K5059" i="14" l="1"/>
  <c r="L5059" i="14" s="1"/>
  <c r="I5060" i="14" s="1"/>
  <c r="M5226" i="13"/>
  <c r="M5227" i="14"/>
  <c r="N5223" i="14"/>
  <c r="J5222" i="14" a="1"/>
  <c r="J5222" i="14" s="1"/>
  <c r="N5224" i="13"/>
  <c r="J5223" i="13" a="1"/>
  <c r="J5223" i="13" s="1"/>
  <c r="K5037" i="13"/>
  <c r="L5037" i="13" s="1"/>
  <c r="I5038" i="13" s="1"/>
  <c r="K5038" i="13" l="1"/>
  <c r="L5038" i="13" s="1"/>
  <c r="I5039" i="13" s="1"/>
  <c r="K5060" i="14"/>
  <c r="L5060" i="14" s="1"/>
  <c r="I5061" i="14" s="1"/>
  <c r="M5227" i="13"/>
  <c r="N5224" i="14"/>
  <c r="J5223" i="14" a="1"/>
  <c r="J5223" i="14" s="1"/>
  <c r="J5224" i="13" a="1"/>
  <c r="J5224" i="13" s="1"/>
  <c r="N5225" i="13"/>
  <c r="M5228" i="14"/>
  <c r="K5039" i="13" l="1"/>
  <c r="L5039" i="13" s="1"/>
  <c r="I5040" i="13" s="1"/>
  <c r="N5226" i="13"/>
  <c r="J5225" i="13" a="1"/>
  <c r="J5225" i="13" s="1"/>
  <c r="J5224" i="14" a="1"/>
  <c r="J5224" i="14" s="1"/>
  <c r="N5225" i="14"/>
  <c r="K5061" i="14"/>
  <c r="L5061" i="14" s="1"/>
  <c r="I5062" i="14" s="1"/>
  <c r="M5229" i="14"/>
  <c r="M5228" i="13"/>
  <c r="K5062" i="14" l="1"/>
  <c r="L5062" i="14" s="1"/>
  <c r="I5063" i="14" s="1"/>
  <c r="K5040" i="13"/>
  <c r="L5040" i="13" s="1"/>
  <c r="I5041" i="13" s="1"/>
  <c r="J5226" i="13" a="1"/>
  <c r="J5226" i="13" s="1"/>
  <c r="N5227" i="13"/>
  <c r="M5229" i="13"/>
  <c r="M5230" i="14"/>
  <c r="J5225" i="14" a="1"/>
  <c r="J5225" i="14" s="1"/>
  <c r="N5226" i="14"/>
  <c r="K5063" i="14" l="1"/>
  <c r="L5063" i="14" s="1"/>
  <c r="I5064" i="14" s="1"/>
  <c r="J5226" i="14" a="1"/>
  <c r="J5226" i="14" s="1"/>
  <c r="N5227" i="14"/>
  <c r="M5230" i="13"/>
  <c r="K5041" i="13"/>
  <c r="L5041" i="13" s="1"/>
  <c r="I5042" i="13" s="1"/>
  <c r="M5231" i="14"/>
  <c r="N5228" i="13"/>
  <c r="J5227" i="13" a="1"/>
  <c r="J5227" i="13" s="1"/>
  <c r="K5042" i="13" l="1"/>
  <c r="L5042" i="13" s="1"/>
  <c r="I5043" i="13" s="1"/>
  <c r="K5064" i="14"/>
  <c r="L5064" i="14" s="1"/>
  <c r="I5065" i="14" s="1"/>
  <c r="N5228" i="14"/>
  <c r="J5227" i="14" a="1"/>
  <c r="J5227" i="14" s="1"/>
  <c r="J5228" i="13" a="1"/>
  <c r="J5228" i="13" s="1"/>
  <c r="N5229" i="13"/>
  <c r="M5231" i="13"/>
  <c r="M5232" i="14"/>
  <c r="K5065" i="14" l="1"/>
  <c r="L5065" i="14" s="1"/>
  <c r="I5066" i="14" s="1"/>
  <c r="K5043" i="13"/>
  <c r="L5043" i="13" s="1"/>
  <c r="I5044" i="13" s="1"/>
  <c r="M5232" i="13"/>
  <c r="N5230" i="13"/>
  <c r="J5229" i="13" a="1"/>
  <c r="J5229" i="13" s="1"/>
  <c r="M5233" i="14"/>
  <c r="J5228" i="14" a="1"/>
  <c r="J5228" i="14" s="1"/>
  <c r="N5229" i="14"/>
  <c r="K5044" i="13" l="1"/>
  <c r="L5044" i="13" s="1"/>
  <c r="I5045" i="13" s="1"/>
  <c r="K5066" i="14"/>
  <c r="L5066" i="14" s="1"/>
  <c r="I5067" i="14" s="1"/>
  <c r="J5230" i="13" a="1"/>
  <c r="J5230" i="13" s="1"/>
  <c r="N5231" i="13"/>
  <c r="J5229" i="14" a="1"/>
  <c r="J5229" i="14" s="1"/>
  <c r="N5230" i="14"/>
  <c r="M5233" i="13"/>
  <c r="M5234" i="14"/>
  <c r="K5067" i="14" l="1"/>
  <c r="L5067" i="14" s="1"/>
  <c r="I5068" i="14" s="1"/>
  <c r="K5045" i="13"/>
  <c r="L5045" i="13" s="1"/>
  <c r="I5046" i="13" s="1"/>
  <c r="M5234" i="13"/>
  <c r="M5235" i="14"/>
  <c r="N5231" i="14"/>
  <c r="J5230" i="14" a="1"/>
  <c r="J5230" i="14" s="1"/>
  <c r="N5232" i="13"/>
  <c r="J5231" i="13" a="1"/>
  <c r="J5231" i="13" s="1"/>
  <c r="K5068" i="14" l="1"/>
  <c r="L5068" i="14" s="1"/>
  <c r="I5069" i="14" s="1"/>
  <c r="J5232" i="13" a="1"/>
  <c r="J5232" i="13" s="1"/>
  <c r="N5233" i="13"/>
  <c r="M5236" i="14"/>
  <c r="K5046" i="13"/>
  <c r="L5046" i="13" s="1"/>
  <c r="I5047" i="13" s="1"/>
  <c r="M5235" i="13"/>
  <c r="N5232" i="14"/>
  <c r="J5231" i="14" a="1"/>
  <c r="J5231" i="14" s="1"/>
  <c r="K5047" i="13" l="1"/>
  <c r="L5047" i="13" s="1"/>
  <c r="I5048" i="13" s="1"/>
  <c r="K5069" i="14"/>
  <c r="L5069" i="14" s="1"/>
  <c r="I5070" i="14" s="1"/>
  <c r="N5234" i="13"/>
  <c r="J5233" i="13" a="1"/>
  <c r="J5233" i="13" s="1"/>
  <c r="J5232" i="14" a="1"/>
  <c r="J5232" i="14" s="1"/>
  <c r="N5233" i="14"/>
  <c r="M5236" i="13"/>
  <c r="M5237" i="14"/>
  <c r="K5048" i="13" l="1"/>
  <c r="L5048" i="13" s="1"/>
  <c r="I5049" i="13" s="1"/>
  <c r="M5238" i="14"/>
  <c r="J5233" i="14" a="1"/>
  <c r="J5233" i="14" s="1"/>
  <c r="N5234" i="14"/>
  <c r="K5070" i="14"/>
  <c r="L5070" i="14" s="1"/>
  <c r="I5071" i="14" s="1"/>
  <c r="M5237" i="13"/>
  <c r="J5234" i="13" a="1"/>
  <c r="J5234" i="13" s="1"/>
  <c r="N5235" i="13"/>
  <c r="K5049" i="13" l="1"/>
  <c r="L5049" i="13" s="1"/>
  <c r="I5050" i="13" s="1"/>
  <c r="N5236" i="13"/>
  <c r="J5235" i="13" a="1"/>
  <c r="J5235" i="13" s="1"/>
  <c r="M5239" i="14"/>
  <c r="K5071" i="14"/>
  <c r="L5071" i="14" s="1"/>
  <c r="I5072" i="14" s="1"/>
  <c r="J5234" i="14" a="1"/>
  <c r="J5234" i="14" s="1"/>
  <c r="N5235" i="14"/>
  <c r="M5238" i="13"/>
  <c r="K5050" i="13" l="1"/>
  <c r="L5050" i="13" s="1"/>
  <c r="I5051" i="13" s="1"/>
  <c r="M5239" i="13"/>
  <c r="K5072" i="14"/>
  <c r="L5072" i="14" s="1"/>
  <c r="I5073" i="14" s="1"/>
  <c r="J5236" i="13" a="1"/>
  <c r="J5236" i="13" s="1"/>
  <c r="N5237" i="13"/>
  <c r="N5236" i="14"/>
  <c r="J5235" i="14" a="1"/>
  <c r="J5235" i="14" s="1"/>
  <c r="M5240" i="14"/>
  <c r="K5073" i="14" l="1"/>
  <c r="L5073" i="14" s="1"/>
  <c r="I5074" i="14" s="1"/>
  <c r="K5051" i="13"/>
  <c r="L5051" i="13" s="1"/>
  <c r="I5052" i="13" s="1"/>
  <c r="M5241" i="14"/>
  <c r="N5238" i="13"/>
  <c r="J5237" i="13" a="1"/>
  <c r="J5237" i="13" s="1"/>
  <c r="M5240" i="13"/>
  <c r="J5236" i="14" a="1"/>
  <c r="J5236" i="14" s="1"/>
  <c r="N5237" i="14"/>
  <c r="K5052" i="13" l="1"/>
  <c r="L5052" i="13" s="1"/>
  <c r="I5053" i="13" s="1"/>
  <c r="J5237" i="14" a="1"/>
  <c r="J5237" i="14" s="1"/>
  <c r="N5238" i="14"/>
  <c r="J5238" i="13" a="1"/>
  <c r="J5238" i="13" s="1"/>
  <c r="N5239" i="13"/>
  <c r="M5241" i="13"/>
  <c r="M5242" i="14"/>
  <c r="K5074" i="14"/>
  <c r="L5074" i="14" s="1"/>
  <c r="I5075" i="14" s="1"/>
  <c r="K5053" i="13" l="1"/>
  <c r="L5053" i="13" s="1"/>
  <c r="I5054" i="13" s="1"/>
  <c r="K5075" i="14"/>
  <c r="L5075" i="14" s="1"/>
  <c r="I5076" i="14" s="1"/>
  <c r="M5242" i="13"/>
  <c r="N5239" i="14"/>
  <c r="J5238" i="14" a="1"/>
  <c r="J5238" i="14" s="1"/>
  <c r="M5243" i="14"/>
  <c r="N5240" i="13"/>
  <c r="J5239" i="13" a="1"/>
  <c r="J5239" i="13" s="1"/>
  <c r="K5054" i="13" l="1"/>
  <c r="L5054" i="13" s="1"/>
  <c r="I5055" i="13" s="1"/>
  <c r="N5240" i="14"/>
  <c r="J5239" i="14" a="1"/>
  <c r="J5239" i="14" s="1"/>
  <c r="J5240" i="13" a="1"/>
  <c r="J5240" i="13" s="1"/>
  <c r="N5241" i="13"/>
  <c r="K5076" i="14"/>
  <c r="L5076" i="14" s="1"/>
  <c r="I5077" i="14" s="1"/>
  <c r="M5243" i="13"/>
  <c r="M5244" i="14"/>
  <c r="K5077" i="14" l="1"/>
  <c r="L5077" i="14" s="1"/>
  <c r="I5078" i="14" s="1"/>
  <c r="K5055" i="13"/>
  <c r="L5055" i="13" s="1"/>
  <c r="I5056" i="13" s="1"/>
  <c r="M5245" i="14"/>
  <c r="J5240" i="14" a="1"/>
  <c r="J5240" i="14" s="1"/>
  <c r="N5241" i="14"/>
  <c r="N5242" i="13"/>
  <c r="J5241" i="13" a="1"/>
  <c r="J5241" i="13" s="1"/>
  <c r="M5244" i="13"/>
  <c r="K5056" i="13" l="1"/>
  <c r="L5056" i="13" s="1"/>
  <c r="I5057" i="13" s="1"/>
  <c r="K5078" i="14"/>
  <c r="L5078" i="14" s="1"/>
  <c r="I5079" i="14" s="1"/>
  <c r="J5241" i="14" a="1"/>
  <c r="J5241" i="14" s="1"/>
  <c r="N5242" i="14"/>
  <c r="M5245" i="13"/>
  <c r="M5246" i="14"/>
  <c r="J5242" i="13" a="1"/>
  <c r="J5242" i="13" s="1"/>
  <c r="N5243" i="13"/>
  <c r="K5079" i="14" l="1"/>
  <c r="L5079" i="14" s="1"/>
  <c r="I5080" i="14" s="1"/>
  <c r="K5057" i="13"/>
  <c r="L5057" i="13" s="1"/>
  <c r="I5058" i="13" s="1"/>
  <c r="N5244" i="13"/>
  <c r="J5243" i="13" a="1"/>
  <c r="J5243" i="13" s="1"/>
  <c r="M5247" i="14"/>
  <c r="M5246" i="13"/>
  <c r="J5242" i="14" a="1"/>
  <c r="J5242" i="14" s="1"/>
  <c r="N5243" i="14"/>
  <c r="K5080" i="14" l="1"/>
  <c r="L5080" i="14" s="1"/>
  <c r="I5081" i="14" s="1"/>
  <c r="N5244" i="14"/>
  <c r="J5243" i="14" a="1"/>
  <c r="J5243" i="14" s="1"/>
  <c r="M5248" i="14"/>
  <c r="K5058" i="13"/>
  <c r="L5058" i="13" s="1"/>
  <c r="I5059" i="13" s="1"/>
  <c r="M5247" i="13"/>
  <c r="J5244" i="13" a="1"/>
  <c r="J5244" i="13" s="1"/>
  <c r="N5245" i="13"/>
  <c r="K5059" i="13" l="1"/>
  <c r="L5059" i="13" s="1"/>
  <c r="I5060" i="13" s="1"/>
  <c r="K5081" i="14"/>
  <c r="L5081" i="14" s="1"/>
  <c r="I5082" i="14" s="1"/>
  <c r="N5246" i="13"/>
  <c r="J5245" i="13" a="1"/>
  <c r="J5245" i="13" s="1"/>
  <c r="J5244" i="14" a="1"/>
  <c r="J5244" i="14" s="1"/>
  <c r="N5245" i="14"/>
  <c r="M5248" i="13"/>
  <c r="M5249" i="14"/>
  <c r="K5082" i="14" l="1"/>
  <c r="L5082" i="14" s="1"/>
  <c r="I5083" i="14" s="1"/>
  <c r="K5060" i="13"/>
  <c r="L5060" i="13" s="1"/>
  <c r="I5061" i="13" s="1"/>
  <c r="J5245" i="14" a="1"/>
  <c r="J5245" i="14" s="1"/>
  <c r="N5246" i="14"/>
  <c r="M5250" i="14"/>
  <c r="M5249" i="13"/>
  <c r="J5246" i="13" a="1"/>
  <c r="J5246" i="13" s="1"/>
  <c r="N5247" i="13"/>
  <c r="N5248" i="13" l="1"/>
  <c r="J5247" i="13" a="1"/>
  <c r="J5247" i="13" s="1"/>
  <c r="M5251" i="14"/>
  <c r="M5250" i="13"/>
  <c r="K5061" i="13"/>
  <c r="L5061" i="13" s="1"/>
  <c r="I5062" i="13" s="1"/>
  <c r="N5247" i="14"/>
  <c r="J5246" i="14" a="1"/>
  <c r="J5246" i="14" s="1"/>
  <c r="K5083" i="14"/>
  <c r="L5083" i="14" s="1"/>
  <c r="I5084" i="14" s="1"/>
  <c r="M5251" i="13" l="1"/>
  <c r="K5062" i="13"/>
  <c r="L5062" i="13" s="1"/>
  <c r="I5063" i="13" s="1"/>
  <c r="M5252" i="14"/>
  <c r="K5084" i="14"/>
  <c r="L5084" i="14" s="1"/>
  <c r="I5085" i="14" s="1"/>
  <c r="N5248" i="14"/>
  <c r="J5247" i="14" a="1"/>
  <c r="J5247" i="14" s="1"/>
  <c r="J5248" i="13" a="1"/>
  <c r="J5248" i="13" s="1"/>
  <c r="N5249" i="13"/>
  <c r="K5085" i="14" l="1"/>
  <c r="L5085" i="14" s="1"/>
  <c r="I5086" i="14" s="1"/>
  <c r="N5250" i="13"/>
  <c r="J5249" i="13" a="1"/>
  <c r="J5249" i="13" s="1"/>
  <c r="K5063" i="13"/>
  <c r="L5063" i="13" s="1"/>
  <c r="I5064" i="13" s="1"/>
  <c r="J5248" i="14" a="1"/>
  <c r="J5248" i="14" s="1"/>
  <c r="N5249" i="14"/>
  <c r="M5253" i="14"/>
  <c r="M5252" i="13"/>
  <c r="K5064" i="13" l="1"/>
  <c r="L5064" i="13" s="1"/>
  <c r="I5065" i="13" s="1"/>
  <c r="K5086" i="14"/>
  <c r="L5086" i="14" s="1"/>
  <c r="I5087" i="14" s="1"/>
  <c r="J5249" i="14" a="1"/>
  <c r="J5249" i="14" s="1"/>
  <c r="N5250" i="14"/>
  <c r="M5253" i="13"/>
  <c r="J5250" i="13" a="1"/>
  <c r="J5250" i="13" s="1"/>
  <c r="N5251" i="13"/>
  <c r="M5254" i="14"/>
  <c r="K5087" i="14" l="1"/>
  <c r="L5087" i="14" s="1"/>
  <c r="I5088" i="14" s="1"/>
  <c r="K5065" i="13"/>
  <c r="L5065" i="13" s="1"/>
  <c r="I5066" i="13" s="1"/>
  <c r="J5250" i="14" a="1"/>
  <c r="J5250" i="14" s="1"/>
  <c r="N5251" i="14"/>
  <c r="M5255" i="14"/>
  <c r="M5254" i="13"/>
  <c r="N5252" i="13"/>
  <c r="J5251" i="13" a="1"/>
  <c r="J5251" i="13" s="1"/>
  <c r="K5066" i="13" l="1"/>
  <c r="L5066" i="13" s="1"/>
  <c r="I5067" i="13" s="1"/>
  <c r="K5088" i="14"/>
  <c r="L5088" i="14" s="1"/>
  <c r="I5089" i="14" s="1"/>
  <c r="M5255" i="13"/>
  <c r="J5252" i="13" a="1"/>
  <c r="J5252" i="13" s="1"/>
  <c r="N5253" i="13"/>
  <c r="M5256" i="14"/>
  <c r="N5252" i="14"/>
  <c r="J5251" i="14" a="1"/>
  <c r="J5251" i="14" s="1"/>
  <c r="K5089" i="14" l="1"/>
  <c r="L5089" i="14" s="1"/>
  <c r="I5090" i="14" s="1"/>
  <c r="K5067" i="13"/>
  <c r="L5067" i="13" s="1"/>
  <c r="I5068" i="13" s="1"/>
  <c r="N5254" i="13"/>
  <c r="J5253" i="13" a="1"/>
  <c r="J5253" i="13" s="1"/>
  <c r="J5252" i="14" a="1"/>
  <c r="J5252" i="14" s="1"/>
  <c r="N5253" i="14"/>
  <c r="M5257" i="14"/>
  <c r="M5256" i="13"/>
  <c r="K5068" i="13" l="1"/>
  <c r="L5068" i="13" s="1"/>
  <c r="I5069" i="13" s="1"/>
  <c r="K5090" i="14"/>
  <c r="L5090" i="14" s="1"/>
  <c r="I5091" i="14" s="1"/>
  <c r="J5253" i="14" a="1"/>
  <c r="J5253" i="14" s="1"/>
  <c r="N5254" i="14"/>
  <c r="M5257" i="13"/>
  <c r="M5258" i="14"/>
  <c r="J5254" i="13" a="1"/>
  <c r="J5254" i="13" s="1"/>
  <c r="N5255" i="13"/>
  <c r="K5091" i="14" l="1"/>
  <c r="L5091" i="14" s="1"/>
  <c r="I5092" i="14" s="1"/>
  <c r="K5069" i="13"/>
  <c r="L5069" i="13" s="1"/>
  <c r="I5070" i="13" s="1"/>
  <c r="M5259" i="14"/>
  <c r="N5256" i="13"/>
  <c r="J5255" i="13" a="1"/>
  <c r="J5255" i="13" s="1"/>
  <c r="M5258" i="13"/>
  <c r="N5255" i="14"/>
  <c r="J5254" i="14" a="1"/>
  <c r="J5254" i="14" s="1"/>
  <c r="K5070" i="13" l="1"/>
  <c r="L5070" i="13" s="1"/>
  <c r="I5071" i="13" s="1"/>
  <c r="J5256" i="13" a="1"/>
  <c r="J5256" i="13" s="1"/>
  <c r="N5257" i="13"/>
  <c r="N5256" i="14"/>
  <c r="J5255" i="14" a="1"/>
  <c r="J5255" i="14" s="1"/>
  <c r="M5259" i="13"/>
  <c r="M5260" i="14"/>
  <c r="K5092" i="14"/>
  <c r="L5092" i="14" s="1"/>
  <c r="I5093" i="14" s="1"/>
  <c r="K5071" i="13" l="1"/>
  <c r="L5071" i="13" s="1"/>
  <c r="I5072" i="13" s="1"/>
  <c r="N5258" i="13"/>
  <c r="J5257" i="13" a="1"/>
  <c r="J5257" i="13" s="1"/>
  <c r="K5093" i="14"/>
  <c r="L5093" i="14" s="1"/>
  <c r="I5094" i="14" s="1"/>
  <c r="M5260" i="13"/>
  <c r="M5261" i="14"/>
  <c r="J5256" i="14" a="1"/>
  <c r="J5256" i="14" s="1"/>
  <c r="N5257" i="14"/>
  <c r="K5072" i="13" l="1"/>
  <c r="L5072" i="13" s="1"/>
  <c r="I5073" i="13" s="1"/>
  <c r="K5094" i="14"/>
  <c r="L5094" i="14" s="1"/>
  <c r="I5095" i="14" s="1"/>
  <c r="J5257" i="14" a="1"/>
  <c r="J5257" i="14" s="1"/>
  <c r="N5258" i="14"/>
  <c r="M5261" i="13"/>
  <c r="J5258" i="13" a="1"/>
  <c r="J5258" i="13" s="1"/>
  <c r="N5259" i="13"/>
  <c r="M5262" i="14"/>
  <c r="K5095" i="14" l="1"/>
  <c r="L5095" i="14" s="1"/>
  <c r="I5096" i="14" s="1"/>
  <c r="K5073" i="13"/>
  <c r="L5073" i="13" s="1"/>
  <c r="I5074" i="13" s="1"/>
  <c r="J5258" i="14" a="1"/>
  <c r="J5258" i="14" s="1"/>
  <c r="N5259" i="14"/>
  <c r="N5260" i="13"/>
  <c r="J5259" i="13" a="1"/>
  <c r="J5259" i="13" s="1"/>
  <c r="M5263" i="14"/>
  <c r="M5262" i="13"/>
  <c r="K5074" i="13" l="1"/>
  <c r="L5074" i="13" s="1"/>
  <c r="I5075" i="13" s="1"/>
  <c r="K5096" i="14"/>
  <c r="L5096" i="14" s="1"/>
  <c r="I5097" i="14" s="1"/>
  <c r="N5260" i="14"/>
  <c r="J5259" i="14" a="1"/>
  <c r="J5259" i="14" s="1"/>
  <c r="M5264" i="14"/>
  <c r="M5263" i="13"/>
  <c r="J5260" i="13" a="1"/>
  <c r="J5260" i="13" s="1"/>
  <c r="N5261" i="13"/>
  <c r="K5097" i="14" l="1"/>
  <c r="L5097" i="14" s="1"/>
  <c r="I5098" i="14" s="1"/>
  <c r="K5075" i="13"/>
  <c r="L5075" i="13" s="1"/>
  <c r="I5076" i="13" s="1"/>
  <c r="M5265" i="14"/>
  <c r="N5262" i="13"/>
  <c r="J5261" i="13" a="1"/>
  <c r="J5261" i="13" s="1"/>
  <c r="M5264" i="13"/>
  <c r="J5260" i="14" a="1"/>
  <c r="J5260" i="14" s="1"/>
  <c r="N5261" i="14"/>
  <c r="K5076" i="13" l="1"/>
  <c r="L5076" i="13" s="1"/>
  <c r="I5077" i="13" s="1"/>
  <c r="K5098" i="14"/>
  <c r="L5098" i="14" s="1"/>
  <c r="I5099" i="14" s="1"/>
  <c r="J5261" i="14" a="1"/>
  <c r="J5261" i="14" s="1"/>
  <c r="N5262" i="14"/>
  <c r="J5262" i="13" a="1"/>
  <c r="J5262" i="13" s="1"/>
  <c r="N5263" i="13"/>
  <c r="M5265" i="13"/>
  <c r="M5266" i="14"/>
  <c r="K5077" i="13" l="1"/>
  <c r="L5077" i="13" s="1"/>
  <c r="I5078" i="13" s="1"/>
  <c r="N5264" i="13"/>
  <c r="J5263" i="13" a="1"/>
  <c r="J5263" i="13" s="1"/>
  <c r="M5267" i="14"/>
  <c r="K5099" i="14"/>
  <c r="L5099" i="14" s="1"/>
  <c r="I5100" i="14" s="1"/>
  <c r="N5263" i="14"/>
  <c r="J5262" i="14" a="1"/>
  <c r="J5262" i="14" s="1"/>
  <c r="M5266" i="13"/>
  <c r="K5100" i="14" l="1"/>
  <c r="L5100" i="14" s="1"/>
  <c r="I5101" i="14" s="1"/>
  <c r="K5078" i="13"/>
  <c r="L5078" i="13" s="1"/>
  <c r="I5079" i="13" s="1"/>
  <c r="J5264" i="13" a="1"/>
  <c r="J5264" i="13" s="1"/>
  <c r="N5265" i="13"/>
  <c r="M5267" i="13"/>
  <c r="N5264" i="14"/>
  <c r="J5263" i="14" a="1"/>
  <c r="J5263" i="14" s="1"/>
  <c r="M5268" i="14"/>
  <c r="K5079" i="13" l="1"/>
  <c r="L5079" i="13" s="1"/>
  <c r="I5080" i="13" s="1"/>
  <c r="K5101" i="14"/>
  <c r="L5101" i="14" s="1"/>
  <c r="I5102" i="14" s="1"/>
  <c r="M5269" i="14"/>
  <c r="M5268" i="13"/>
  <c r="N5266" i="13"/>
  <c r="J5265" i="13" a="1"/>
  <c r="J5265" i="13" s="1"/>
  <c r="J5264" i="14" a="1"/>
  <c r="J5264" i="14" s="1"/>
  <c r="N5265" i="14"/>
  <c r="K5102" i="14" l="1"/>
  <c r="L5102" i="14" s="1"/>
  <c r="I5103" i="14" s="1"/>
  <c r="K5080" i="13"/>
  <c r="L5080" i="13" s="1"/>
  <c r="I5081" i="13" s="1"/>
  <c r="J5265" i="14" a="1"/>
  <c r="J5265" i="14" s="1"/>
  <c r="N5266" i="14"/>
  <c r="M5269" i="13"/>
  <c r="M5270" i="14"/>
  <c r="J5266" i="13" a="1"/>
  <c r="J5266" i="13" s="1"/>
  <c r="N5267" i="13"/>
  <c r="K5103" i="14" l="1"/>
  <c r="L5103" i="14" s="1"/>
  <c r="I5104" i="14" s="1"/>
  <c r="N5268" i="13"/>
  <c r="J5267" i="13" a="1"/>
  <c r="J5267" i="13" s="1"/>
  <c r="K5081" i="13"/>
  <c r="L5081" i="13" s="1"/>
  <c r="I5082" i="13" s="1"/>
  <c r="M5270" i="13"/>
  <c r="M5271" i="14"/>
  <c r="J5266" i="14" a="1"/>
  <c r="J5266" i="14" s="1"/>
  <c r="N5267" i="14"/>
  <c r="K5082" i="13" l="1"/>
  <c r="L5082" i="13" s="1"/>
  <c r="I5083" i="13" s="1"/>
  <c r="K5104" i="14"/>
  <c r="L5104" i="14" s="1"/>
  <c r="I5105" i="14" s="1"/>
  <c r="N5268" i="14"/>
  <c r="J5267" i="14" a="1"/>
  <c r="J5267" i="14" s="1"/>
  <c r="M5271" i="13"/>
  <c r="J5268" i="13" a="1"/>
  <c r="J5268" i="13" s="1"/>
  <c r="N5269" i="13"/>
  <c r="M5272" i="14"/>
  <c r="K5105" i="14" l="1"/>
  <c r="L5105" i="14" s="1"/>
  <c r="I5106" i="14" s="1"/>
  <c r="K5083" i="13"/>
  <c r="L5083" i="13" s="1"/>
  <c r="I5084" i="13" s="1"/>
  <c r="M5273" i="14"/>
  <c r="M5272" i="13"/>
  <c r="N5270" i="13"/>
  <c r="J5269" i="13" a="1"/>
  <c r="J5269" i="13" s="1"/>
  <c r="J5268" i="14" a="1"/>
  <c r="J5268" i="14" s="1"/>
  <c r="N5269" i="14"/>
  <c r="K5106" i="14" l="1"/>
  <c r="L5106" i="14" s="1"/>
  <c r="I5107" i="14" s="1"/>
  <c r="J5269" i="14" a="1"/>
  <c r="J5269" i="14" s="1"/>
  <c r="N5270" i="14"/>
  <c r="M5273" i="13"/>
  <c r="K5084" i="13"/>
  <c r="L5084" i="13" s="1"/>
  <c r="I5085" i="13" s="1"/>
  <c r="J5270" i="13" a="1"/>
  <c r="J5270" i="13" s="1"/>
  <c r="N5271" i="13"/>
  <c r="M5274" i="14"/>
  <c r="K5107" i="14" l="1"/>
  <c r="L5107" i="14" s="1"/>
  <c r="I5108" i="14" s="1"/>
  <c r="K5085" i="13"/>
  <c r="L5085" i="13" s="1"/>
  <c r="I5086" i="13" s="1"/>
  <c r="M5275" i="14"/>
  <c r="N5271" i="14"/>
  <c r="J5270" i="14" a="1"/>
  <c r="J5270" i="14" s="1"/>
  <c r="N5272" i="13"/>
  <c r="J5271" i="13" a="1"/>
  <c r="J5271" i="13" s="1"/>
  <c r="M5274" i="13"/>
  <c r="K5108" i="14" l="1"/>
  <c r="L5108" i="14" s="1"/>
  <c r="I5109" i="14" s="1"/>
  <c r="N5272" i="14"/>
  <c r="J5271" i="14" a="1"/>
  <c r="J5271" i="14" s="1"/>
  <c r="K5086" i="13"/>
  <c r="L5086" i="13" s="1"/>
  <c r="I5087" i="13" s="1"/>
  <c r="M5275" i="13"/>
  <c r="J5272" i="13" a="1"/>
  <c r="J5272" i="13" s="1"/>
  <c r="N5273" i="13"/>
  <c r="M5276" i="14"/>
  <c r="K5087" i="13" l="1"/>
  <c r="L5087" i="13" s="1"/>
  <c r="I5088" i="13" s="1"/>
  <c r="K5109" i="14"/>
  <c r="L5109" i="14" s="1"/>
  <c r="I5110" i="14" s="1"/>
  <c r="M5276" i="13"/>
  <c r="J5272" i="14" a="1"/>
  <c r="J5272" i="14" s="1"/>
  <c r="N5273" i="14"/>
  <c r="M5277" i="14"/>
  <c r="N5274" i="13"/>
  <c r="J5273" i="13" a="1"/>
  <c r="J5273" i="13" s="1"/>
  <c r="K5110" i="14" l="1"/>
  <c r="L5110" i="14" s="1"/>
  <c r="I5111" i="14" s="1"/>
  <c r="K5088" i="13"/>
  <c r="L5088" i="13" s="1"/>
  <c r="I5089" i="13" s="1"/>
  <c r="J5274" i="13" a="1"/>
  <c r="J5274" i="13" s="1"/>
  <c r="N5275" i="13"/>
  <c r="M5278" i="14"/>
  <c r="J5273" i="14" a="1"/>
  <c r="J5273" i="14" s="1"/>
  <c r="N5274" i="14"/>
  <c r="M5277" i="13"/>
  <c r="K5089" i="13" l="1"/>
  <c r="L5089" i="13" s="1"/>
  <c r="I5090" i="13" s="1"/>
  <c r="K5111" i="14"/>
  <c r="L5111" i="14" s="1"/>
  <c r="I5112" i="14" s="1"/>
  <c r="M5279" i="14"/>
  <c r="M5278" i="13"/>
  <c r="N5276" i="13"/>
  <c r="J5275" i="13" a="1"/>
  <c r="J5275" i="13" s="1"/>
  <c r="J5274" i="14" a="1"/>
  <c r="J5274" i="14" s="1"/>
  <c r="N5275" i="14"/>
  <c r="K5112" i="14" l="1"/>
  <c r="L5112" i="14" s="1"/>
  <c r="I5113" i="14" s="1"/>
  <c r="K5090" i="13"/>
  <c r="L5090" i="13" s="1"/>
  <c r="I5091" i="13" s="1"/>
  <c r="N5276" i="14"/>
  <c r="J5275" i="14" a="1"/>
  <c r="J5275" i="14" s="1"/>
  <c r="M5279" i="13"/>
  <c r="J5276" i="13" a="1"/>
  <c r="J5276" i="13" s="1"/>
  <c r="N5277" i="13"/>
  <c r="M5280" i="14"/>
  <c r="K5113" i="14" l="1"/>
  <c r="L5113" i="14" s="1"/>
  <c r="I5114" i="14" s="1"/>
  <c r="M5281" i="14"/>
  <c r="M5280" i="13"/>
  <c r="K5091" i="13"/>
  <c r="L5091" i="13" s="1"/>
  <c r="I5092" i="13" s="1"/>
  <c r="N5278" i="13"/>
  <c r="J5277" i="13" a="1"/>
  <c r="J5277" i="13" s="1"/>
  <c r="J5276" i="14" a="1"/>
  <c r="J5276" i="14" s="1"/>
  <c r="N5277" i="14"/>
  <c r="K5114" i="14" l="1"/>
  <c r="L5114" i="14" s="1"/>
  <c r="I5115" i="14" s="1"/>
  <c r="J5277" i="14" a="1"/>
  <c r="J5277" i="14" s="1"/>
  <c r="N5278" i="14"/>
  <c r="K5092" i="13"/>
  <c r="L5092" i="13" s="1"/>
  <c r="I5093" i="13" s="1"/>
  <c r="M5282" i="14"/>
  <c r="M5281" i="13"/>
  <c r="J5278" i="13" a="1"/>
  <c r="J5278" i="13" s="1"/>
  <c r="N5279" i="13"/>
  <c r="K5093" i="13" l="1"/>
  <c r="L5093" i="13" s="1"/>
  <c r="I5094" i="13" s="1"/>
  <c r="K5115" i="14"/>
  <c r="L5115" i="14" s="1"/>
  <c r="I5116" i="14" s="1"/>
  <c r="N5280" i="13"/>
  <c r="J5279" i="13" a="1"/>
  <c r="J5279" i="13" s="1"/>
  <c r="M5283" i="14"/>
  <c r="N5279" i="14"/>
  <c r="J5278" i="14" a="1"/>
  <c r="J5278" i="14" s="1"/>
  <c r="M5282" i="13"/>
  <c r="K5116" i="14" l="1"/>
  <c r="L5116" i="14" s="1"/>
  <c r="I5117" i="14" s="1"/>
  <c r="K5094" i="13"/>
  <c r="L5094" i="13" s="1"/>
  <c r="I5095" i="13" s="1"/>
  <c r="M5283" i="13"/>
  <c r="M5284" i="14"/>
  <c r="N5280" i="14"/>
  <c r="J5279" i="14" a="1"/>
  <c r="J5279" i="14" s="1"/>
  <c r="J5280" i="13" a="1"/>
  <c r="J5280" i="13" s="1"/>
  <c r="N5281" i="13"/>
  <c r="K5095" i="13" l="1"/>
  <c r="L5095" i="13" s="1"/>
  <c r="I5096" i="13" s="1"/>
  <c r="K5117" i="14"/>
  <c r="L5117" i="14" s="1"/>
  <c r="I5118" i="14" s="1"/>
  <c r="N5282" i="13"/>
  <c r="J5281" i="13" a="1"/>
  <c r="J5281" i="13" s="1"/>
  <c r="M5285" i="14"/>
  <c r="J5280" i="14" a="1"/>
  <c r="J5280" i="14" s="1"/>
  <c r="N5281" i="14"/>
  <c r="M5284" i="13"/>
  <c r="K5118" i="14" l="1"/>
  <c r="L5118" i="14" s="1"/>
  <c r="I5119" i="14" s="1"/>
  <c r="K5096" i="13"/>
  <c r="L5096" i="13" s="1"/>
  <c r="I5097" i="13" s="1"/>
  <c r="M5286" i="14"/>
  <c r="M5285" i="13"/>
  <c r="J5281" i="14" a="1"/>
  <c r="J5281" i="14" s="1"/>
  <c r="N5282" i="14"/>
  <c r="J5282" i="13" a="1"/>
  <c r="J5282" i="13" s="1"/>
  <c r="N5283" i="13"/>
  <c r="K5097" i="13" l="1"/>
  <c r="L5097" i="13" s="1"/>
  <c r="I5098" i="13" s="1"/>
  <c r="K5119" i="14"/>
  <c r="L5119" i="14" s="1"/>
  <c r="I5120" i="14" s="1"/>
  <c r="N5284" i="13"/>
  <c r="J5283" i="13" a="1"/>
  <c r="J5283" i="13" s="1"/>
  <c r="M5286" i="13"/>
  <c r="J5282" i="14" a="1"/>
  <c r="J5282" i="14" s="1"/>
  <c r="N5283" i="14"/>
  <c r="M5287" i="14"/>
  <c r="K5120" i="14" l="1"/>
  <c r="L5120" i="14" s="1"/>
  <c r="I5121" i="14" s="1"/>
  <c r="K5098" i="13"/>
  <c r="L5098" i="13" s="1"/>
  <c r="I5099" i="13" s="1"/>
  <c r="M5287" i="13"/>
  <c r="M5288" i="14"/>
  <c r="N5284" i="14"/>
  <c r="J5283" i="14" a="1"/>
  <c r="J5283" i="14" s="1"/>
  <c r="J5284" i="13" a="1"/>
  <c r="J5284" i="13" s="1"/>
  <c r="N5285" i="13"/>
  <c r="K5099" i="13" l="1"/>
  <c r="L5099" i="13" s="1"/>
  <c r="I5100" i="13" s="1"/>
  <c r="K5121" i="14"/>
  <c r="L5121" i="14" s="1"/>
  <c r="I5122" i="14" s="1"/>
  <c r="N5286" i="13"/>
  <c r="J5285" i="13" a="1"/>
  <c r="J5285" i="13" s="1"/>
  <c r="M5289" i="14"/>
  <c r="J5284" i="14" a="1"/>
  <c r="J5284" i="14" s="1"/>
  <c r="N5285" i="14"/>
  <c r="M5288" i="13"/>
  <c r="K5122" i="14" l="1"/>
  <c r="L5122" i="14" s="1"/>
  <c r="I5123" i="14" s="1"/>
  <c r="K5100" i="13"/>
  <c r="L5100" i="13" s="1"/>
  <c r="I5101" i="13" s="1"/>
  <c r="M5289" i="13"/>
  <c r="M5290" i="14"/>
  <c r="J5285" i="14" a="1"/>
  <c r="J5285" i="14" s="1"/>
  <c r="N5286" i="14"/>
  <c r="J5286" i="13" a="1"/>
  <c r="J5286" i="13" s="1"/>
  <c r="N5287" i="13"/>
  <c r="K5101" i="13" l="1"/>
  <c r="L5101" i="13" s="1"/>
  <c r="I5102" i="13" s="1"/>
  <c r="K5123" i="14"/>
  <c r="L5123" i="14" s="1"/>
  <c r="I5124" i="14" s="1"/>
  <c r="N5288" i="13"/>
  <c r="J5287" i="13" a="1"/>
  <c r="J5287" i="13" s="1"/>
  <c r="M5291" i="14"/>
  <c r="N5287" i="14"/>
  <c r="J5286" i="14" a="1"/>
  <c r="J5286" i="14" s="1"/>
  <c r="M5290" i="13"/>
  <c r="K5102" i="13" l="1"/>
  <c r="L5102" i="13" s="1"/>
  <c r="I5103" i="13" s="1"/>
  <c r="M5292" i="14"/>
  <c r="M5291" i="13"/>
  <c r="K5124" i="14"/>
  <c r="L5124" i="14" s="1"/>
  <c r="I5125" i="14" s="1"/>
  <c r="N5288" i="14"/>
  <c r="J5287" i="14" a="1"/>
  <c r="J5287" i="14" s="1"/>
  <c r="J5288" i="13" a="1"/>
  <c r="J5288" i="13" s="1"/>
  <c r="N5289" i="13"/>
  <c r="K5125" i="14" l="1"/>
  <c r="L5125" i="14" s="1"/>
  <c r="I5126" i="14" s="1"/>
  <c r="K5103" i="13"/>
  <c r="L5103" i="13" s="1"/>
  <c r="I5104" i="13" s="1"/>
  <c r="N5290" i="13"/>
  <c r="J5289" i="13" a="1"/>
  <c r="J5289" i="13" s="1"/>
  <c r="M5293" i="14"/>
  <c r="J5288" i="14" a="1"/>
  <c r="J5288" i="14" s="1"/>
  <c r="N5289" i="14"/>
  <c r="M5292" i="13"/>
  <c r="K5126" i="14" l="1"/>
  <c r="L5126" i="14" s="1"/>
  <c r="I5127" i="14" s="1"/>
  <c r="J5289" i="14" a="1"/>
  <c r="J5289" i="14" s="1"/>
  <c r="N5290" i="14"/>
  <c r="M5293" i="13"/>
  <c r="M5294" i="14"/>
  <c r="K5104" i="13"/>
  <c r="L5104" i="13" s="1"/>
  <c r="I5105" i="13" s="1"/>
  <c r="J5290" i="13" a="1"/>
  <c r="J5290" i="13" s="1"/>
  <c r="N5291" i="13"/>
  <c r="K5105" i="13" l="1"/>
  <c r="L5105" i="13" s="1"/>
  <c r="I5106" i="13" s="1"/>
  <c r="K5127" i="14"/>
  <c r="L5127" i="14" s="1"/>
  <c r="I5128" i="14" s="1"/>
  <c r="N5292" i="13"/>
  <c r="J5291" i="13" a="1"/>
  <c r="J5291" i="13" s="1"/>
  <c r="M5295" i="14"/>
  <c r="J5290" i="14" a="1"/>
  <c r="J5290" i="14" s="1"/>
  <c r="N5291" i="14"/>
  <c r="M5294" i="13"/>
  <c r="K5128" i="14" l="1"/>
  <c r="L5128" i="14" s="1"/>
  <c r="I5129" i="14" s="1"/>
  <c r="K5106" i="13"/>
  <c r="L5106" i="13" s="1"/>
  <c r="I5107" i="13" s="1"/>
  <c r="M5295" i="13"/>
  <c r="N5292" i="14"/>
  <c r="J5291" i="14" a="1"/>
  <c r="J5291" i="14" s="1"/>
  <c r="M5296" i="14"/>
  <c r="J5292" i="13" a="1"/>
  <c r="J5292" i="13" s="1"/>
  <c r="N5293" i="13"/>
  <c r="K5107" i="13" l="1"/>
  <c r="L5107" i="13" s="1"/>
  <c r="I5108" i="13" s="1"/>
  <c r="K5129" i="14"/>
  <c r="L5129" i="14" s="1"/>
  <c r="I5130" i="14" s="1"/>
  <c r="N5294" i="13"/>
  <c r="J5293" i="13" a="1"/>
  <c r="J5293" i="13" s="1"/>
  <c r="J5292" i="14" a="1"/>
  <c r="J5292" i="14" s="1"/>
  <c r="N5293" i="14"/>
  <c r="M5297" i="14"/>
  <c r="M5296" i="13"/>
  <c r="K5108" i="13" l="1"/>
  <c r="L5108" i="13" s="1"/>
  <c r="I5109" i="13" s="1"/>
  <c r="J5293" i="14" a="1"/>
  <c r="J5293" i="14" s="1"/>
  <c r="N5294" i="14"/>
  <c r="K5130" i="14"/>
  <c r="L5130" i="14" s="1"/>
  <c r="I5131" i="14" s="1"/>
  <c r="M5297" i="13"/>
  <c r="M5298" i="14"/>
  <c r="J5294" i="13" a="1"/>
  <c r="J5294" i="13" s="1"/>
  <c r="N5295" i="13"/>
  <c r="K5131" i="14" l="1"/>
  <c r="L5131" i="14" s="1"/>
  <c r="I5132" i="14" s="1"/>
  <c r="K5109" i="13"/>
  <c r="L5109" i="13" s="1"/>
  <c r="I5110" i="13" s="1"/>
  <c r="N5296" i="13"/>
  <c r="J5295" i="13" a="1"/>
  <c r="J5295" i="13" s="1"/>
  <c r="N5295" i="14"/>
  <c r="J5294" i="14" a="1"/>
  <c r="J5294" i="14" s="1"/>
  <c r="M5298" i="13"/>
  <c r="M5299" i="14"/>
  <c r="K5132" i="14" l="1"/>
  <c r="L5132" i="14" s="1"/>
  <c r="I5133" i="14" s="1"/>
  <c r="K5110" i="13"/>
  <c r="L5110" i="13" s="1"/>
  <c r="I5111" i="13" s="1"/>
  <c r="N5296" i="14"/>
  <c r="J5295" i="14" a="1"/>
  <c r="J5295" i="14" s="1"/>
  <c r="M5299" i="13"/>
  <c r="M5300" i="14"/>
  <c r="J5296" i="13" a="1"/>
  <c r="J5296" i="13" s="1"/>
  <c r="N5297" i="13"/>
  <c r="K5133" i="14" l="1"/>
  <c r="L5133" i="14" s="1"/>
  <c r="I5134" i="14" s="1"/>
  <c r="N5298" i="13"/>
  <c r="J5297" i="13" a="1"/>
  <c r="J5297" i="13" s="1"/>
  <c r="K5111" i="13"/>
  <c r="L5111" i="13" s="1"/>
  <c r="I5112" i="13" s="1"/>
  <c r="M5300" i="13"/>
  <c r="M5301" i="14"/>
  <c r="J5296" i="14" a="1"/>
  <c r="J5296" i="14" s="1"/>
  <c r="N5297" i="14"/>
  <c r="K5112" i="13" l="1"/>
  <c r="L5112" i="13" s="1"/>
  <c r="I5113" i="13" s="1"/>
  <c r="K5134" i="14"/>
  <c r="L5134" i="14" s="1"/>
  <c r="I5135" i="14" s="1"/>
  <c r="J5297" i="14" a="1"/>
  <c r="J5297" i="14" s="1"/>
  <c r="N5298" i="14"/>
  <c r="M5301" i="13"/>
  <c r="J5298" i="13" a="1"/>
  <c r="J5298" i="13" s="1"/>
  <c r="N5299" i="13"/>
  <c r="M5302" i="14"/>
  <c r="K5113" i="13" l="1"/>
  <c r="L5113" i="13" s="1"/>
  <c r="I5114" i="13" s="1"/>
  <c r="M5302" i="13"/>
  <c r="M5303" i="14"/>
  <c r="K5135" i="14"/>
  <c r="L5135" i="14" s="1"/>
  <c r="I5136" i="14" s="1"/>
  <c r="N5300" i="13"/>
  <c r="J5299" i="13" a="1"/>
  <c r="J5299" i="13" s="1"/>
  <c r="J5298" i="14" a="1"/>
  <c r="J5298" i="14" s="1"/>
  <c r="N5299" i="14"/>
  <c r="K5114" i="13" l="1"/>
  <c r="L5114" i="13" s="1"/>
  <c r="I5115" i="13" s="1"/>
  <c r="K5136" i="14"/>
  <c r="L5136" i="14" s="1"/>
  <c r="I5137" i="14" s="1"/>
  <c r="N5300" i="14"/>
  <c r="J5299" i="14" a="1"/>
  <c r="J5299" i="14" s="1"/>
  <c r="M5303" i="13"/>
  <c r="J5300" i="13" a="1"/>
  <c r="J5300" i="13" s="1"/>
  <c r="N5301" i="13"/>
  <c r="M5304" i="14"/>
  <c r="K5115" i="13" l="1"/>
  <c r="L5115" i="13" s="1"/>
  <c r="I5116" i="13" s="1"/>
  <c r="M5304" i="13"/>
  <c r="K5137" i="14"/>
  <c r="L5137" i="14" s="1"/>
  <c r="I5138" i="14" s="1"/>
  <c r="N5302" i="13"/>
  <c r="J5301" i="13" a="1"/>
  <c r="J5301" i="13" s="1"/>
  <c r="M5305" i="14"/>
  <c r="J5300" i="14" a="1"/>
  <c r="J5300" i="14" s="1"/>
  <c r="N5301" i="14"/>
  <c r="K5138" i="14" l="1"/>
  <c r="L5138" i="14" s="1"/>
  <c r="I5139" i="14" s="1"/>
  <c r="K5116" i="13"/>
  <c r="L5116" i="13" s="1"/>
  <c r="I5117" i="13" s="1"/>
  <c r="M5305" i="13"/>
  <c r="J5301" i="14" a="1"/>
  <c r="J5301" i="14" s="1"/>
  <c r="N5302" i="14"/>
  <c r="J5302" i="13" a="1"/>
  <c r="J5302" i="13" s="1"/>
  <c r="N5303" i="13"/>
  <c r="M5306" i="14"/>
  <c r="K5139" i="14" l="1"/>
  <c r="L5139" i="14" s="1"/>
  <c r="I5140" i="14" s="1"/>
  <c r="N5303" i="14"/>
  <c r="J5302" i="14" a="1"/>
  <c r="J5302" i="14" s="1"/>
  <c r="K5117" i="13"/>
  <c r="L5117" i="13" s="1"/>
  <c r="I5118" i="13" s="1"/>
  <c r="M5307" i="14"/>
  <c r="N5304" i="13"/>
  <c r="J5303" i="13" a="1"/>
  <c r="J5303" i="13" s="1"/>
  <c r="M5306" i="13"/>
  <c r="K5118" i="13" l="1"/>
  <c r="L5118" i="13" s="1"/>
  <c r="I5119" i="13" s="1"/>
  <c r="K5140" i="14"/>
  <c r="L5140" i="14" s="1"/>
  <c r="I5141" i="14" s="1"/>
  <c r="M5308" i="14"/>
  <c r="M5307" i="13"/>
  <c r="N5304" i="14"/>
  <c r="J5303" i="14" a="1"/>
  <c r="J5303" i="14" s="1"/>
  <c r="J5304" i="13" a="1"/>
  <c r="J5304" i="13" s="1"/>
  <c r="N5305" i="13"/>
  <c r="K5119" i="13" l="1"/>
  <c r="L5119" i="13" s="1"/>
  <c r="I5120" i="13" s="1"/>
  <c r="N5306" i="13"/>
  <c r="J5305" i="13" a="1"/>
  <c r="J5305" i="13" s="1"/>
  <c r="M5308" i="13"/>
  <c r="K5141" i="14"/>
  <c r="L5141" i="14" s="1"/>
  <c r="I5142" i="14" s="1"/>
  <c r="J5304" i="14" a="1"/>
  <c r="J5304" i="14" s="1"/>
  <c r="N5305" i="14"/>
  <c r="M5309" i="14"/>
  <c r="K5142" i="14" l="1"/>
  <c r="L5142" i="14" s="1"/>
  <c r="I5143" i="14" s="1"/>
  <c r="K5120" i="13"/>
  <c r="L5120" i="13" s="1"/>
  <c r="I5121" i="13" s="1"/>
  <c r="J5306" i="13" a="1"/>
  <c r="J5306" i="13" s="1"/>
  <c r="N5307" i="13"/>
  <c r="J5305" i="14" a="1"/>
  <c r="J5305" i="14" s="1"/>
  <c r="N5306" i="14"/>
  <c r="M5309" i="13"/>
  <c r="M5310" i="14"/>
  <c r="K5121" i="13" l="1"/>
  <c r="L5121" i="13" s="1"/>
  <c r="I5122" i="13" s="1"/>
  <c r="K5143" i="14"/>
  <c r="L5143" i="14" s="1"/>
  <c r="I5144" i="14" s="1"/>
  <c r="J5306" i="14" a="1"/>
  <c r="J5306" i="14" s="1"/>
  <c r="N5307" i="14"/>
  <c r="M5311" i="14"/>
  <c r="N5308" i="13"/>
  <c r="J5307" i="13" a="1"/>
  <c r="J5307" i="13" s="1"/>
  <c r="M5310" i="13"/>
  <c r="K5122" i="13" l="1"/>
  <c r="L5122" i="13" s="1"/>
  <c r="I5123" i="13" s="1"/>
  <c r="K5144" i="14"/>
  <c r="L5144" i="14" s="1"/>
  <c r="I5145" i="14" s="1"/>
  <c r="J5308" i="13" a="1"/>
  <c r="J5308" i="13" s="1"/>
  <c r="N5309" i="13"/>
  <c r="M5311" i="13"/>
  <c r="M5312" i="14"/>
  <c r="N5308" i="14"/>
  <c r="J5307" i="14" a="1"/>
  <c r="J5307" i="14" s="1"/>
  <c r="K5145" i="14" l="1"/>
  <c r="L5145" i="14" s="1"/>
  <c r="I5146" i="14" s="1"/>
  <c r="K5123" i="13"/>
  <c r="L5123" i="13" s="1"/>
  <c r="I5124" i="13" s="1"/>
  <c r="J5308" i="14" a="1"/>
  <c r="J5308" i="14" s="1"/>
  <c r="N5309" i="14"/>
  <c r="M5312" i="13"/>
  <c r="N5310" i="13"/>
  <c r="J5309" i="13" a="1"/>
  <c r="J5309" i="13" s="1"/>
  <c r="M5313" i="14"/>
  <c r="K5124" i="13" l="1"/>
  <c r="L5124" i="13" s="1"/>
  <c r="I5125" i="13" s="1"/>
  <c r="K5146" i="14"/>
  <c r="L5146" i="14" s="1"/>
  <c r="I5147" i="14" s="1"/>
  <c r="M5313" i="13"/>
  <c r="J5310" i="13" a="1"/>
  <c r="J5310" i="13" s="1"/>
  <c r="N5311" i="13"/>
  <c r="M5314" i="14"/>
  <c r="J5309" i="14" a="1"/>
  <c r="J5309" i="14" s="1"/>
  <c r="N5310" i="14"/>
  <c r="K5147" i="14" l="1"/>
  <c r="L5147" i="14" s="1"/>
  <c r="I5148" i="14" s="1"/>
  <c r="K5125" i="13"/>
  <c r="L5125" i="13" s="1"/>
  <c r="I5126" i="13" s="1"/>
  <c r="N5312" i="13"/>
  <c r="J5311" i="13" a="1"/>
  <c r="J5311" i="13" s="1"/>
  <c r="N5311" i="14"/>
  <c r="J5310" i="14" a="1"/>
  <c r="J5310" i="14" s="1"/>
  <c r="M5315" i="14"/>
  <c r="M5314" i="13"/>
  <c r="K5148" i="14" l="1"/>
  <c r="L5148" i="14" s="1"/>
  <c r="I5149" i="14" s="1"/>
  <c r="N5312" i="14"/>
  <c r="J5311" i="14" a="1"/>
  <c r="J5311" i="14" s="1"/>
  <c r="K5126" i="13"/>
  <c r="L5126" i="13" s="1"/>
  <c r="I5127" i="13" s="1"/>
  <c r="M5315" i="13"/>
  <c r="M5316" i="14"/>
  <c r="J5312" i="13" a="1"/>
  <c r="J5312" i="13" s="1"/>
  <c r="N5313" i="13"/>
  <c r="K5127" i="13" l="1"/>
  <c r="L5127" i="13" s="1"/>
  <c r="I5128" i="13" s="1"/>
  <c r="K5149" i="14"/>
  <c r="L5149" i="14" s="1"/>
  <c r="I5150" i="14" s="1"/>
  <c r="J5312" i="14" a="1"/>
  <c r="J5312" i="14" s="1"/>
  <c r="N5313" i="14"/>
  <c r="N5314" i="13"/>
  <c r="J5313" i="13" a="1"/>
  <c r="J5313" i="13" s="1"/>
  <c r="M5316" i="13"/>
  <c r="M5317" i="14"/>
  <c r="K5150" i="14" l="1"/>
  <c r="L5150" i="14" s="1"/>
  <c r="I5151" i="14" s="1"/>
  <c r="K5128" i="13"/>
  <c r="L5128" i="13" s="1"/>
  <c r="I5129" i="13" s="1"/>
  <c r="J5314" i="13" a="1"/>
  <c r="J5314" i="13" s="1"/>
  <c r="N5315" i="13"/>
  <c r="J5313" i="14" a="1"/>
  <c r="J5313" i="14" s="1"/>
  <c r="N5314" i="14"/>
  <c r="M5318" i="14"/>
  <c r="M5317" i="13"/>
  <c r="K5151" i="14" l="1"/>
  <c r="L5151" i="14" s="1"/>
  <c r="I5152" i="14" s="1"/>
  <c r="J5314" i="14" a="1"/>
  <c r="J5314" i="14" s="1"/>
  <c r="N5315" i="14"/>
  <c r="K5129" i="13"/>
  <c r="L5129" i="13" s="1"/>
  <c r="I5130" i="13" s="1"/>
  <c r="N5316" i="13"/>
  <c r="J5315" i="13" a="1"/>
  <c r="J5315" i="13" s="1"/>
  <c r="M5318" i="13"/>
  <c r="M5319" i="14"/>
  <c r="K5152" i="14" l="1"/>
  <c r="L5152" i="14" s="1"/>
  <c r="I5153" i="14" s="1"/>
  <c r="N5316" i="14"/>
  <c r="J5315" i="14" a="1"/>
  <c r="J5315" i="14" s="1"/>
  <c r="J5316" i="13" a="1"/>
  <c r="J5316" i="13" s="1"/>
  <c r="N5317" i="13"/>
  <c r="M5319" i="13"/>
  <c r="M5320" i="14"/>
  <c r="K5130" i="13"/>
  <c r="L5130" i="13" s="1"/>
  <c r="I5131" i="13" s="1"/>
  <c r="K5153" i="14" l="1"/>
  <c r="L5153" i="14" s="1"/>
  <c r="I5154" i="14" s="1"/>
  <c r="M5320" i="13"/>
  <c r="M5321" i="14"/>
  <c r="J5316" i="14" a="1"/>
  <c r="J5316" i="14" s="1"/>
  <c r="N5317" i="14"/>
  <c r="K5131" i="13"/>
  <c r="L5131" i="13" s="1"/>
  <c r="I5132" i="13" s="1"/>
  <c r="N5318" i="13"/>
  <c r="J5317" i="13" a="1"/>
  <c r="J5317" i="13" s="1"/>
  <c r="K5132" i="13" l="1"/>
  <c r="L5132" i="13" s="1"/>
  <c r="I5133" i="13" s="1"/>
  <c r="K5154" i="14"/>
  <c r="L5154" i="14" s="1"/>
  <c r="I5155" i="14" s="1"/>
  <c r="J5317" i="14" a="1"/>
  <c r="J5317" i="14" s="1"/>
  <c r="N5318" i="14"/>
  <c r="M5321" i="13"/>
  <c r="J5318" i="13" a="1"/>
  <c r="J5318" i="13" s="1"/>
  <c r="N5319" i="13"/>
  <c r="M5322" i="14"/>
  <c r="K5133" i="13" l="1"/>
  <c r="L5133" i="13" s="1"/>
  <c r="I5134" i="13" s="1"/>
  <c r="N5320" i="13"/>
  <c r="J5319" i="13" a="1"/>
  <c r="J5319" i="13" s="1"/>
  <c r="M5323" i="14"/>
  <c r="M5322" i="13"/>
  <c r="K5155" i="14"/>
  <c r="L5155" i="14" s="1"/>
  <c r="I5156" i="14" s="1"/>
  <c r="N5319" i="14"/>
  <c r="J5318" i="14" a="1"/>
  <c r="J5318" i="14" s="1"/>
  <c r="K5156" i="14" l="1"/>
  <c r="L5156" i="14" s="1"/>
  <c r="I5157" i="14" s="1"/>
  <c r="K5134" i="13"/>
  <c r="L5134" i="13" s="1"/>
  <c r="I5135" i="13" s="1"/>
  <c r="M5323" i="13"/>
  <c r="J5320" i="13" a="1"/>
  <c r="J5320" i="13" s="1"/>
  <c r="N5321" i="13"/>
  <c r="N5320" i="14"/>
  <c r="J5319" i="14" a="1"/>
  <c r="J5319" i="14" s="1"/>
  <c r="M5324" i="14"/>
  <c r="K5135" i="13" l="1"/>
  <c r="L5135" i="13" s="1"/>
  <c r="I5136" i="13" s="1"/>
  <c r="K5157" i="14"/>
  <c r="L5157" i="14" s="1"/>
  <c r="I5158" i="14" s="1"/>
  <c r="N5322" i="13"/>
  <c r="J5321" i="13" a="1"/>
  <c r="J5321" i="13" s="1"/>
  <c r="M5325" i="14"/>
  <c r="J5320" i="14" a="1"/>
  <c r="J5320" i="14" s="1"/>
  <c r="N5321" i="14"/>
  <c r="M5324" i="13"/>
  <c r="K5136" i="13" l="1"/>
  <c r="L5136" i="13" s="1"/>
  <c r="I5137" i="13" s="1"/>
  <c r="M5325" i="13"/>
  <c r="M5326" i="14"/>
  <c r="K5158" i="14"/>
  <c r="L5158" i="14" s="1"/>
  <c r="I5159" i="14" s="1"/>
  <c r="J5321" i="14" a="1"/>
  <c r="J5321" i="14" s="1"/>
  <c r="N5322" i="14"/>
  <c r="J5322" i="13" a="1"/>
  <c r="J5322" i="13" s="1"/>
  <c r="N5323" i="13"/>
  <c r="K5137" i="13" l="1"/>
  <c r="L5137" i="13" s="1"/>
  <c r="I5138" i="13" s="1"/>
  <c r="N5324" i="13"/>
  <c r="J5323" i="13" a="1"/>
  <c r="J5323" i="13" s="1"/>
  <c r="K5159" i="14"/>
  <c r="L5159" i="14" s="1"/>
  <c r="I5160" i="14" s="1"/>
  <c r="M5326" i="13"/>
  <c r="J5322" i="14" a="1"/>
  <c r="J5322" i="14" s="1"/>
  <c r="N5323" i="14"/>
  <c r="M5327" i="14"/>
  <c r="K5160" i="14" l="1"/>
  <c r="L5160" i="14" s="1"/>
  <c r="I5161" i="14" s="1"/>
  <c r="K5138" i="13"/>
  <c r="L5138" i="13" s="1"/>
  <c r="I5139" i="13" s="1"/>
  <c r="M5328" i="14"/>
  <c r="M5327" i="13"/>
  <c r="J5324" i="13" a="1"/>
  <c r="J5324" i="13" s="1"/>
  <c r="N5325" i="13"/>
  <c r="N5324" i="14"/>
  <c r="J5323" i="14" a="1"/>
  <c r="J5323" i="14" s="1"/>
  <c r="K5161" i="14" l="1"/>
  <c r="L5161" i="14" s="1"/>
  <c r="I5162" i="14" s="1"/>
  <c r="J5324" i="14" a="1"/>
  <c r="J5324" i="14" s="1"/>
  <c r="N5325" i="14"/>
  <c r="M5328" i="13"/>
  <c r="K5139" i="13"/>
  <c r="L5139" i="13" s="1"/>
  <c r="I5140" i="13" s="1"/>
  <c r="N5326" i="13"/>
  <c r="J5325" i="13" a="1"/>
  <c r="J5325" i="13" s="1"/>
  <c r="M5329" i="14"/>
  <c r="K5162" i="14" l="1"/>
  <c r="L5162" i="14" s="1"/>
  <c r="I5163" i="14" s="1"/>
  <c r="J5325" i="14" a="1"/>
  <c r="J5325" i="14" s="1"/>
  <c r="N5326" i="14"/>
  <c r="K5140" i="13"/>
  <c r="L5140" i="13" s="1"/>
  <c r="I5141" i="13" s="1"/>
  <c r="M5330" i="14"/>
  <c r="M5329" i="13"/>
  <c r="J5326" i="13" a="1"/>
  <c r="J5326" i="13" s="1"/>
  <c r="N5327" i="13"/>
  <c r="K5141" i="13" l="1"/>
  <c r="L5141" i="13" s="1"/>
  <c r="I5142" i="13" s="1"/>
  <c r="K5163" i="14"/>
  <c r="L5163" i="14" s="1"/>
  <c r="I5164" i="14" s="1"/>
  <c r="N5328" i="13"/>
  <c r="J5327" i="13" a="1"/>
  <c r="J5327" i="13" s="1"/>
  <c r="M5331" i="14"/>
  <c r="N5327" i="14"/>
  <c r="J5326" i="14" a="1"/>
  <c r="J5326" i="14" s="1"/>
  <c r="M5330" i="13"/>
  <c r="K5142" i="13" l="1"/>
  <c r="L5142" i="13" s="1"/>
  <c r="I5143" i="13" s="1"/>
  <c r="M5331" i="13"/>
  <c r="K5164" i="14"/>
  <c r="L5164" i="14" s="1"/>
  <c r="I5165" i="14" s="1"/>
  <c r="M5332" i="14"/>
  <c r="N5328" i="14"/>
  <c r="J5327" i="14" a="1"/>
  <c r="J5327" i="14" s="1"/>
  <c r="J5328" i="13" a="1"/>
  <c r="J5328" i="13" s="1"/>
  <c r="N5329" i="13"/>
  <c r="K5165" i="14" l="1"/>
  <c r="L5165" i="14" s="1"/>
  <c r="I5166" i="14" s="1"/>
  <c r="K5143" i="13"/>
  <c r="L5143" i="13" s="1"/>
  <c r="I5144" i="13" s="1"/>
  <c r="N5330" i="13"/>
  <c r="J5329" i="13" a="1"/>
  <c r="J5329" i="13" s="1"/>
  <c r="M5333" i="14"/>
  <c r="M5332" i="13"/>
  <c r="J5328" i="14" a="1"/>
  <c r="J5328" i="14" s="1"/>
  <c r="N5329" i="14"/>
  <c r="K5144" i="13" l="1"/>
  <c r="L5144" i="13" s="1"/>
  <c r="I5145" i="13" s="1"/>
  <c r="K5166" i="14"/>
  <c r="L5166" i="14" s="1"/>
  <c r="I5167" i="14" s="1"/>
  <c r="J5329" i="14" a="1"/>
  <c r="J5329" i="14" s="1"/>
  <c r="N5330" i="14"/>
  <c r="M5334" i="14"/>
  <c r="M5333" i="13"/>
  <c r="J5330" i="13" a="1"/>
  <c r="J5330" i="13" s="1"/>
  <c r="N5331" i="13"/>
  <c r="K5167" i="14" l="1"/>
  <c r="L5167" i="14" s="1"/>
  <c r="I5168" i="14" s="1"/>
  <c r="K5145" i="13"/>
  <c r="L5145" i="13" s="1"/>
  <c r="I5146" i="13" s="1"/>
  <c r="N5332" i="13"/>
  <c r="J5331" i="13" a="1"/>
  <c r="J5331" i="13" s="1"/>
  <c r="M5335" i="14"/>
  <c r="J5330" i="14" a="1"/>
  <c r="J5330" i="14" s="1"/>
  <c r="N5331" i="14"/>
  <c r="M5334" i="13"/>
  <c r="K5146" i="13" l="1"/>
  <c r="L5146" i="13" s="1"/>
  <c r="I5147" i="13" s="1"/>
  <c r="K5168" i="14"/>
  <c r="L5168" i="14" s="1"/>
  <c r="I5169" i="14" s="1"/>
  <c r="M5335" i="13"/>
  <c r="N5332" i="14"/>
  <c r="J5331" i="14" a="1"/>
  <c r="J5331" i="14" s="1"/>
  <c r="M5336" i="14"/>
  <c r="J5332" i="13" a="1"/>
  <c r="J5332" i="13" s="1"/>
  <c r="N5333" i="13"/>
  <c r="K5169" i="14" l="1"/>
  <c r="L5169" i="14" s="1"/>
  <c r="I5170" i="14" s="1"/>
  <c r="K5147" i="13"/>
  <c r="L5147" i="13" s="1"/>
  <c r="I5148" i="13" s="1"/>
  <c r="N5334" i="13"/>
  <c r="J5333" i="13" a="1"/>
  <c r="J5333" i="13" s="1"/>
  <c r="J5332" i="14" a="1"/>
  <c r="J5332" i="14" s="1"/>
  <c r="N5333" i="14"/>
  <c r="M5337" i="14"/>
  <c r="M5336" i="13"/>
  <c r="K5170" i="14" l="1"/>
  <c r="L5170" i="14" s="1"/>
  <c r="I5171" i="14" s="1"/>
  <c r="M5337" i="13"/>
  <c r="J5333" i="14" a="1"/>
  <c r="J5333" i="14" s="1"/>
  <c r="N5334" i="14"/>
  <c r="K5148" i="13"/>
  <c r="L5148" i="13" s="1"/>
  <c r="I5149" i="13" s="1"/>
  <c r="M5338" i="14"/>
  <c r="J5334" i="13" a="1"/>
  <c r="J5334" i="13" s="1"/>
  <c r="N5335" i="13"/>
  <c r="K5171" i="14" l="1"/>
  <c r="L5171" i="14" s="1"/>
  <c r="I5172" i="14" s="1"/>
  <c r="N5336" i="13"/>
  <c r="J5335" i="13" a="1"/>
  <c r="J5335" i="13" s="1"/>
  <c r="M5338" i="13"/>
  <c r="K5149" i="13"/>
  <c r="L5149" i="13" s="1"/>
  <c r="I5150" i="13" s="1"/>
  <c r="M5339" i="14"/>
  <c r="N5335" i="14"/>
  <c r="J5334" i="14" a="1"/>
  <c r="J5334" i="14" s="1"/>
  <c r="K5150" i="13" l="1"/>
  <c r="L5150" i="13" s="1"/>
  <c r="I5151" i="13" s="1"/>
  <c r="K5172" i="14"/>
  <c r="L5172" i="14" s="1"/>
  <c r="I5173" i="14" s="1"/>
  <c r="J5336" i="13" a="1"/>
  <c r="J5336" i="13" s="1"/>
  <c r="N5337" i="13"/>
  <c r="N5336" i="14"/>
  <c r="J5335" i="14" a="1"/>
  <c r="J5335" i="14" s="1"/>
  <c r="M5339" i="13"/>
  <c r="M5340" i="14"/>
  <c r="K5151" i="13" l="1"/>
  <c r="L5151" i="13" s="1"/>
  <c r="I5152" i="13" s="1"/>
  <c r="K5173" i="14"/>
  <c r="L5173" i="14" s="1"/>
  <c r="I5174" i="14" s="1"/>
  <c r="J5336" i="14" a="1"/>
  <c r="J5336" i="14" s="1"/>
  <c r="N5337" i="14"/>
  <c r="M5341" i="14"/>
  <c r="N5338" i="13"/>
  <c r="J5337" i="13" a="1"/>
  <c r="J5337" i="13" s="1"/>
  <c r="M5340" i="13"/>
  <c r="K5152" i="13" l="1"/>
  <c r="L5152" i="13" s="1"/>
  <c r="I5153" i="13" s="1"/>
  <c r="J5338" i="13" a="1"/>
  <c r="J5338" i="13" s="1"/>
  <c r="N5339" i="13"/>
  <c r="M5341" i="13"/>
  <c r="M5342" i="14"/>
  <c r="K5174" i="14"/>
  <c r="L5174" i="14" s="1"/>
  <c r="I5175" i="14" s="1"/>
  <c r="J5337" i="14" a="1"/>
  <c r="J5337" i="14" s="1"/>
  <c r="N5338" i="14"/>
  <c r="K5175" i="14" l="1"/>
  <c r="L5175" i="14" s="1"/>
  <c r="I5176" i="14" s="1"/>
  <c r="K5153" i="13"/>
  <c r="L5153" i="13" s="1"/>
  <c r="I5154" i="13" s="1"/>
  <c r="J5338" i="14" a="1"/>
  <c r="J5338" i="14" s="1"/>
  <c r="N5339" i="14"/>
  <c r="M5343" i="14"/>
  <c r="N5340" i="13"/>
  <c r="J5339" i="13" a="1"/>
  <c r="J5339" i="13" s="1"/>
  <c r="M5342" i="13"/>
  <c r="K5154" i="13" l="1"/>
  <c r="L5154" i="13" s="1"/>
  <c r="I5155" i="13" s="1"/>
  <c r="K5176" i="14"/>
  <c r="L5176" i="14" s="1"/>
  <c r="I5177" i="14" s="1"/>
  <c r="M5343" i="13"/>
  <c r="M5344" i="14"/>
  <c r="N5340" i="14"/>
  <c r="J5339" i="14" a="1"/>
  <c r="J5339" i="14" s="1"/>
  <c r="J5340" i="13" a="1"/>
  <c r="J5340" i="13" s="1"/>
  <c r="N5341" i="13"/>
  <c r="K5155" i="13" l="1"/>
  <c r="L5155" i="13" s="1"/>
  <c r="I5156" i="13" s="1"/>
  <c r="N5342" i="13"/>
  <c r="J5341" i="13" a="1"/>
  <c r="J5341" i="13" s="1"/>
  <c r="K5177" i="14"/>
  <c r="L5177" i="14" s="1"/>
  <c r="I5178" i="14" s="1"/>
  <c r="M5345" i="14"/>
  <c r="J5340" i="14" a="1"/>
  <c r="J5340" i="14" s="1"/>
  <c r="N5341" i="14"/>
  <c r="M5344" i="13"/>
  <c r="K5178" i="14" l="1"/>
  <c r="L5178" i="14" s="1"/>
  <c r="I5179" i="14" s="1"/>
  <c r="K5156" i="13"/>
  <c r="L5156" i="13" s="1"/>
  <c r="I5157" i="13" s="1"/>
  <c r="M5346" i="14"/>
  <c r="M5345" i="13"/>
  <c r="J5342" i="13" a="1"/>
  <c r="J5342" i="13" s="1"/>
  <c r="N5343" i="13"/>
  <c r="J5341" i="14" a="1"/>
  <c r="J5341" i="14" s="1"/>
  <c r="N5342" i="14"/>
  <c r="K5179" i="14" l="1"/>
  <c r="L5179" i="14" s="1"/>
  <c r="I5180" i="14" s="1"/>
  <c r="N5343" i="14"/>
  <c r="J5342" i="14" a="1"/>
  <c r="J5342" i="14" s="1"/>
  <c r="K5157" i="13"/>
  <c r="L5157" i="13" s="1"/>
  <c r="I5158" i="13" s="1"/>
  <c r="M5346" i="13"/>
  <c r="M5347" i="14"/>
  <c r="N5344" i="13"/>
  <c r="J5343" i="13" a="1"/>
  <c r="J5343" i="13" s="1"/>
  <c r="K5158" i="13" l="1"/>
  <c r="L5158" i="13" s="1"/>
  <c r="I5159" i="13" s="1"/>
  <c r="K5180" i="14"/>
  <c r="L5180" i="14" s="1"/>
  <c r="I5181" i="14" s="1"/>
  <c r="M5347" i="13"/>
  <c r="N5344" i="14"/>
  <c r="J5343" i="14" a="1"/>
  <c r="J5343" i="14" s="1"/>
  <c r="J5344" i="13" a="1"/>
  <c r="J5344" i="13" s="1"/>
  <c r="N5345" i="13"/>
  <c r="M5348" i="14"/>
  <c r="K5181" i="14" l="1"/>
  <c r="L5181" i="14" s="1"/>
  <c r="I5182" i="14" s="1"/>
  <c r="K5159" i="13"/>
  <c r="L5159" i="13" s="1"/>
  <c r="I5160" i="13" s="1"/>
  <c r="J5344" i="14" a="1"/>
  <c r="J5344" i="14" s="1"/>
  <c r="N5345" i="14"/>
  <c r="M5349" i="14"/>
  <c r="N5346" i="13"/>
  <c r="J5345" i="13" a="1"/>
  <c r="J5345" i="13" s="1"/>
  <c r="M5348" i="13"/>
  <c r="K5182" i="14" l="1"/>
  <c r="L5182" i="14" s="1"/>
  <c r="I5183" i="14" s="1"/>
  <c r="M5349" i="13"/>
  <c r="M5350" i="14"/>
  <c r="K5160" i="13"/>
  <c r="L5160" i="13" s="1"/>
  <c r="I5161" i="13" s="1"/>
  <c r="J5345" i="14" a="1"/>
  <c r="J5345" i="14" s="1"/>
  <c r="N5346" i="14"/>
  <c r="J5346" i="13" a="1"/>
  <c r="J5346" i="13" s="1"/>
  <c r="N5347" i="13"/>
  <c r="K5183" i="14" l="1"/>
  <c r="L5183" i="14" s="1"/>
  <c r="I5184" i="14" s="1"/>
  <c r="N5348" i="13"/>
  <c r="J5347" i="13" a="1"/>
  <c r="J5347" i="13" s="1"/>
  <c r="K5161" i="13"/>
  <c r="L5161" i="13" s="1"/>
  <c r="I5162" i="13" s="1"/>
  <c r="M5350" i="13"/>
  <c r="N5347" i="14"/>
  <c r="J5346" i="14" a="1"/>
  <c r="J5346" i="14" s="1"/>
  <c r="M5351" i="14"/>
  <c r="K5184" i="14" l="1"/>
  <c r="L5184" i="14" s="1"/>
  <c r="I5185" i="14" s="1"/>
  <c r="M5351" i="13"/>
  <c r="M5352" i="14"/>
  <c r="J5348" i="13" a="1"/>
  <c r="J5348" i="13" s="1"/>
  <c r="N5349" i="13"/>
  <c r="N5348" i="14"/>
  <c r="J5347" i="14" a="1"/>
  <c r="J5347" i="14" s="1"/>
  <c r="K5162" i="13"/>
  <c r="L5162" i="13" s="1"/>
  <c r="I5163" i="13" s="1"/>
  <c r="K5185" i="14" l="1"/>
  <c r="L5185" i="14" s="1"/>
  <c r="I5186" i="14" s="1"/>
  <c r="K5163" i="13"/>
  <c r="L5163" i="13" s="1"/>
  <c r="I5164" i="13" s="1"/>
  <c r="N5350" i="13"/>
  <c r="J5349" i="13" a="1"/>
  <c r="J5349" i="13" s="1"/>
  <c r="M5352" i="13"/>
  <c r="J5348" i="14" a="1"/>
  <c r="J5348" i="14" s="1"/>
  <c r="N5349" i="14"/>
  <c r="M5353" i="14"/>
  <c r="K5186" i="14" l="1"/>
  <c r="L5186" i="14" s="1"/>
  <c r="I5187" i="14" s="1"/>
  <c r="M5353" i="13"/>
  <c r="M5354" i="14"/>
  <c r="K5164" i="13"/>
  <c r="L5164" i="13" s="1"/>
  <c r="I5165" i="13" s="1"/>
  <c r="J5349" i="14" a="1"/>
  <c r="J5349" i="14" s="1"/>
  <c r="N5350" i="14"/>
  <c r="J5350" i="13" a="1"/>
  <c r="J5350" i="13" s="1"/>
  <c r="N5351" i="13"/>
  <c r="K5187" i="14" l="1"/>
  <c r="L5187" i="14" s="1"/>
  <c r="I5188" i="14" s="1"/>
  <c r="N5352" i="13"/>
  <c r="J5351" i="13" a="1"/>
  <c r="J5351" i="13" s="1"/>
  <c r="M5354" i="13"/>
  <c r="K5165" i="13"/>
  <c r="L5165" i="13" s="1"/>
  <c r="I5166" i="13" s="1"/>
  <c r="N5351" i="14"/>
  <c r="J5350" i="14" a="1"/>
  <c r="J5350" i="14" s="1"/>
  <c r="M5355" i="14"/>
  <c r="K5166" i="13" l="1"/>
  <c r="L5166" i="13" s="1"/>
  <c r="I5167" i="13" s="1"/>
  <c r="K5188" i="14"/>
  <c r="L5188" i="14" s="1"/>
  <c r="I5189" i="14" s="1"/>
  <c r="M5356" i="14"/>
  <c r="J5352" i="13" a="1"/>
  <c r="J5352" i="13" s="1"/>
  <c r="N5353" i="13"/>
  <c r="M5355" i="13"/>
  <c r="N5352" i="14"/>
  <c r="J5351" i="14" a="1"/>
  <c r="J5351" i="14" s="1"/>
  <c r="K5189" i="14" l="1"/>
  <c r="L5189" i="14" s="1"/>
  <c r="I5190" i="14" s="1"/>
  <c r="K5167" i="13"/>
  <c r="L5167" i="13" s="1"/>
  <c r="I5168" i="13" s="1"/>
  <c r="N5354" i="13"/>
  <c r="J5353" i="13" a="1"/>
  <c r="J5353" i="13" s="1"/>
  <c r="J5352" i="14" a="1"/>
  <c r="J5352" i="14" s="1"/>
  <c r="N5353" i="14"/>
  <c r="M5356" i="13"/>
  <c r="M5357" i="14"/>
  <c r="K5168" i="13" l="1"/>
  <c r="L5168" i="13" s="1"/>
  <c r="I5169" i="13" s="1"/>
  <c r="K5190" i="14"/>
  <c r="L5190" i="14" s="1"/>
  <c r="I5191" i="14" s="1"/>
  <c r="J5353" i="14" a="1"/>
  <c r="J5353" i="14" s="1"/>
  <c r="N5354" i="14"/>
  <c r="M5358" i="14"/>
  <c r="M5357" i="13"/>
  <c r="J5354" i="13" a="1"/>
  <c r="J5354" i="13" s="1"/>
  <c r="N5355" i="13"/>
  <c r="K5191" i="14" l="1"/>
  <c r="L5191" i="14" s="1"/>
  <c r="I5192" i="14" s="1"/>
  <c r="K5169" i="13"/>
  <c r="L5169" i="13" s="1"/>
  <c r="I5170" i="13" s="1"/>
  <c r="J5354" i="14" a="1"/>
  <c r="J5354" i="14" s="1"/>
  <c r="N5355" i="14"/>
  <c r="N5356" i="13"/>
  <c r="J5355" i="13" a="1"/>
  <c r="J5355" i="13" s="1"/>
  <c r="M5359" i="14"/>
  <c r="M5358" i="13"/>
  <c r="K5170" i="13" l="1"/>
  <c r="L5170" i="13" s="1"/>
  <c r="I5171" i="13" s="1"/>
  <c r="K5192" i="14"/>
  <c r="L5192" i="14" s="1"/>
  <c r="I5193" i="14" s="1"/>
  <c r="J5356" i="13" a="1"/>
  <c r="J5356" i="13" s="1"/>
  <c r="N5357" i="13"/>
  <c r="M5359" i="13"/>
  <c r="N5356" i="14"/>
  <c r="J5355" i="14" a="1"/>
  <c r="J5355" i="14" s="1"/>
  <c r="M5360" i="14"/>
  <c r="K5193" i="14" l="1"/>
  <c r="L5193" i="14" s="1"/>
  <c r="I5194" i="14" s="1"/>
  <c r="K5171" i="13"/>
  <c r="L5171" i="13" s="1"/>
  <c r="I5172" i="13" s="1"/>
  <c r="M5361" i="14"/>
  <c r="M5360" i="13"/>
  <c r="N5358" i="13"/>
  <c r="J5357" i="13" a="1"/>
  <c r="J5357" i="13" s="1"/>
  <c r="J5356" i="14" a="1"/>
  <c r="J5356" i="14" s="1"/>
  <c r="N5357" i="14"/>
  <c r="K5194" i="14" l="1"/>
  <c r="L5194" i="14" s="1"/>
  <c r="I5195" i="14" s="1"/>
  <c r="J5357" i="14" a="1"/>
  <c r="J5357" i="14" s="1"/>
  <c r="N5358" i="14"/>
  <c r="M5361" i="13"/>
  <c r="K5172" i="13"/>
  <c r="L5172" i="13" s="1"/>
  <c r="I5173" i="13" s="1"/>
  <c r="J5358" i="13" a="1"/>
  <c r="J5358" i="13" s="1"/>
  <c r="N5359" i="13"/>
  <c r="M5362" i="14"/>
  <c r="K5173" i="13" l="1"/>
  <c r="L5173" i="13" s="1"/>
  <c r="I5174" i="13" s="1"/>
  <c r="K5195" i="14"/>
  <c r="L5195" i="14" s="1"/>
  <c r="I5196" i="14" s="1"/>
  <c r="M5363" i="14"/>
  <c r="N5359" i="14"/>
  <c r="J5358" i="14" a="1"/>
  <c r="J5358" i="14" s="1"/>
  <c r="N5360" i="13"/>
  <c r="J5359" i="13" a="1"/>
  <c r="J5359" i="13" s="1"/>
  <c r="M5362" i="13"/>
  <c r="K5174" i="13" l="1"/>
  <c r="L5174" i="13" s="1"/>
  <c r="I5175" i="13" s="1"/>
  <c r="N5360" i="14"/>
  <c r="J5359" i="14" a="1"/>
  <c r="J5359" i="14" s="1"/>
  <c r="K5196" i="14"/>
  <c r="L5196" i="14" s="1"/>
  <c r="I5197" i="14" s="1"/>
  <c r="M5363" i="13"/>
  <c r="J5360" i="13" a="1"/>
  <c r="J5360" i="13" s="1"/>
  <c r="N5361" i="13"/>
  <c r="M5364" i="14"/>
  <c r="K5197" i="14" l="1"/>
  <c r="L5197" i="14" s="1"/>
  <c r="I5198" i="14" s="1"/>
  <c r="K5175" i="13"/>
  <c r="L5175" i="13" s="1"/>
  <c r="I5176" i="13" s="1"/>
  <c r="M5365" i="14"/>
  <c r="J5360" i="14" a="1"/>
  <c r="J5360" i="14" s="1"/>
  <c r="N5361" i="14"/>
  <c r="N5362" i="13"/>
  <c r="J5361" i="13" a="1"/>
  <c r="J5361" i="13" s="1"/>
  <c r="M5364" i="13"/>
  <c r="K5176" i="13" l="1"/>
  <c r="L5176" i="13" s="1"/>
  <c r="I5177" i="13" s="1"/>
  <c r="K5198" i="14"/>
  <c r="L5198" i="14" s="1"/>
  <c r="I5199" i="14" s="1"/>
  <c r="J5361" i="14" a="1"/>
  <c r="J5361" i="14" s="1"/>
  <c r="N5362" i="14"/>
  <c r="M5366" i="14"/>
  <c r="M5365" i="13"/>
  <c r="J5362" i="13" a="1"/>
  <c r="J5362" i="13" s="1"/>
  <c r="N5363" i="13"/>
  <c r="K5177" i="13" l="1"/>
  <c r="L5177" i="13" s="1"/>
  <c r="I5178" i="13" s="1"/>
  <c r="N5364" i="13"/>
  <c r="J5363" i="13" a="1"/>
  <c r="J5363" i="13" s="1"/>
  <c r="M5367" i="14"/>
  <c r="K5199" i="14"/>
  <c r="L5199" i="14" s="1"/>
  <c r="I5200" i="14" s="1"/>
  <c r="J5362" i="14" a="1"/>
  <c r="J5362" i="14" s="1"/>
  <c r="N5363" i="14"/>
  <c r="M5366" i="13"/>
  <c r="K5200" i="14" l="1"/>
  <c r="L5200" i="14" s="1"/>
  <c r="I5201" i="14" s="1"/>
  <c r="K5178" i="13"/>
  <c r="L5178" i="13" s="1"/>
  <c r="I5179" i="13" s="1"/>
  <c r="J5364" i="13" a="1"/>
  <c r="J5364" i="13" s="1"/>
  <c r="N5365" i="13"/>
  <c r="M5367" i="13"/>
  <c r="N5364" i="14"/>
  <c r="J5363" i="14" a="1"/>
  <c r="J5363" i="14" s="1"/>
  <c r="M5368" i="14"/>
  <c r="K5179" i="13" l="1"/>
  <c r="L5179" i="13" s="1"/>
  <c r="I5180" i="13" s="1"/>
  <c r="K5201" i="14"/>
  <c r="L5201" i="14" s="1"/>
  <c r="I5202" i="14" s="1"/>
  <c r="M5369" i="14"/>
  <c r="M5368" i="13"/>
  <c r="N5366" i="13"/>
  <c r="J5365" i="13" a="1"/>
  <c r="J5365" i="13" s="1"/>
  <c r="J5364" i="14" a="1"/>
  <c r="J5364" i="14" s="1"/>
  <c r="N5365" i="14"/>
  <c r="K5180" i="13" l="1"/>
  <c r="L5180" i="13" s="1"/>
  <c r="I5181" i="13" s="1"/>
  <c r="J5365" i="14" a="1"/>
  <c r="J5365" i="14" s="1"/>
  <c r="N5366" i="14"/>
  <c r="M5369" i="13"/>
  <c r="K5202" i="14"/>
  <c r="L5202" i="14" s="1"/>
  <c r="I5203" i="14" s="1"/>
  <c r="J5366" i="13" a="1"/>
  <c r="J5366" i="13" s="1"/>
  <c r="N5367" i="13"/>
  <c r="M5370" i="14"/>
  <c r="K5181" i="13" l="1"/>
  <c r="L5181" i="13" s="1"/>
  <c r="I5182" i="13" s="1"/>
  <c r="M5371" i="14"/>
  <c r="N5367" i="14"/>
  <c r="J5366" i="14" a="1"/>
  <c r="J5366" i="14" s="1"/>
  <c r="K5203" i="14"/>
  <c r="L5203" i="14" s="1"/>
  <c r="I5204" i="14" s="1"/>
  <c r="N5368" i="13"/>
  <c r="J5367" i="13" a="1"/>
  <c r="J5367" i="13" s="1"/>
  <c r="M5370" i="13"/>
  <c r="K5182" i="13" l="1"/>
  <c r="L5182" i="13" s="1"/>
  <c r="I5183" i="13" s="1"/>
  <c r="M5371" i="13"/>
  <c r="K5204" i="14"/>
  <c r="L5204" i="14" s="1"/>
  <c r="I5205" i="14" s="1"/>
  <c r="M5372" i="14"/>
  <c r="J5368" i="13" a="1"/>
  <c r="J5368" i="13" s="1"/>
  <c r="N5369" i="13"/>
  <c r="N5368" i="14"/>
  <c r="J5367" i="14" a="1"/>
  <c r="J5367" i="14" s="1"/>
  <c r="K5205" i="14" l="1"/>
  <c r="L5205" i="14" s="1"/>
  <c r="I5206" i="14" s="1"/>
  <c r="K5183" i="13"/>
  <c r="L5183" i="13" s="1"/>
  <c r="I5184" i="13" s="1"/>
  <c r="J5368" i="14" a="1"/>
  <c r="J5368" i="14" s="1"/>
  <c r="N5369" i="14"/>
  <c r="M5373" i="14"/>
  <c r="M5372" i="13"/>
  <c r="N5370" i="13"/>
  <c r="J5369" i="13" a="1"/>
  <c r="J5369" i="13" s="1"/>
  <c r="K5206" i="14" l="1"/>
  <c r="L5206" i="14" s="1"/>
  <c r="I5207" i="14" s="1"/>
  <c r="J5370" i="13" a="1"/>
  <c r="J5370" i="13" s="1"/>
  <c r="N5371" i="13"/>
  <c r="M5374" i="14"/>
  <c r="K5184" i="13"/>
  <c r="L5184" i="13" s="1"/>
  <c r="I5185" i="13" s="1"/>
  <c r="M5373" i="13"/>
  <c r="J5369" i="14" a="1"/>
  <c r="J5369" i="14" s="1"/>
  <c r="N5370" i="14"/>
  <c r="K5185" i="13" l="1"/>
  <c r="L5185" i="13" s="1"/>
  <c r="I5186" i="13" s="1"/>
  <c r="K5207" i="14"/>
  <c r="L5207" i="14" s="1"/>
  <c r="I5208" i="14" s="1"/>
  <c r="J5370" i="14" a="1"/>
  <c r="J5370" i="14" s="1"/>
  <c r="N5371" i="14"/>
  <c r="N5372" i="13"/>
  <c r="J5371" i="13" a="1"/>
  <c r="J5371" i="13" s="1"/>
  <c r="M5375" i="14"/>
  <c r="M5374" i="13"/>
  <c r="K5186" i="13" l="1"/>
  <c r="L5186" i="13" s="1"/>
  <c r="I5187" i="13" s="1"/>
  <c r="M5375" i="13"/>
  <c r="K5208" i="14"/>
  <c r="L5208" i="14" s="1"/>
  <c r="I5209" i="14" s="1"/>
  <c r="J5372" i="13" a="1"/>
  <c r="J5372" i="13" s="1"/>
  <c r="N5373" i="13"/>
  <c r="N5372" i="14"/>
  <c r="J5371" i="14" a="1"/>
  <c r="J5371" i="14" s="1"/>
  <c r="M5376" i="14"/>
  <c r="K5209" i="14" l="1"/>
  <c r="L5209" i="14" s="1"/>
  <c r="I5210" i="14" s="1"/>
  <c r="K5187" i="13"/>
  <c r="L5187" i="13" s="1"/>
  <c r="I5188" i="13" s="1"/>
  <c r="M5377" i="14"/>
  <c r="N5374" i="13"/>
  <c r="J5373" i="13" a="1"/>
  <c r="J5373" i="13" s="1"/>
  <c r="M5376" i="13"/>
  <c r="J5372" i="14" a="1"/>
  <c r="J5372" i="14" s="1"/>
  <c r="N5373" i="14"/>
  <c r="K5188" i="13" l="1"/>
  <c r="L5188" i="13" s="1"/>
  <c r="I5189" i="13" s="1"/>
  <c r="K5210" i="14"/>
  <c r="L5210" i="14" s="1"/>
  <c r="I5211" i="14" s="1"/>
  <c r="J5373" i="14" a="1"/>
  <c r="J5373" i="14" s="1"/>
  <c r="N5374" i="14"/>
  <c r="J5374" i="13" a="1"/>
  <c r="J5374" i="13" s="1"/>
  <c r="N5375" i="13"/>
  <c r="M5377" i="13"/>
  <c r="M5378" i="14"/>
  <c r="K5211" i="14" l="1"/>
  <c r="L5211" i="14" s="1"/>
  <c r="I5212" i="14" s="1"/>
  <c r="K5189" i="13"/>
  <c r="L5189" i="13" s="1"/>
  <c r="I5190" i="13" s="1"/>
  <c r="N5376" i="13"/>
  <c r="J5375" i="13" a="1"/>
  <c r="J5375" i="13" s="1"/>
  <c r="M5379" i="14"/>
  <c r="N5375" i="14"/>
  <c r="J5374" i="14" a="1"/>
  <c r="J5374" i="14" s="1"/>
  <c r="M5378" i="13"/>
  <c r="N5376" i="14" l="1"/>
  <c r="J5375" i="14" a="1"/>
  <c r="J5375" i="14" s="1"/>
  <c r="M5379" i="13"/>
  <c r="M5380" i="14"/>
  <c r="K5190" i="13"/>
  <c r="L5190" i="13" s="1"/>
  <c r="I5191" i="13" s="1"/>
  <c r="J5376" i="13" a="1"/>
  <c r="J5376" i="13" s="1"/>
  <c r="N5377" i="13"/>
  <c r="K5212" i="14"/>
  <c r="L5212" i="14" s="1"/>
  <c r="I5213" i="14" s="1"/>
  <c r="N5378" i="13" l="1"/>
  <c r="J5377" i="13" a="1"/>
  <c r="J5377" i="13" s="1"/>
  <c r="K5191" i="13"/>
  <c r="L5191" i="13" s="1"/>
  <c r="I5192" i="13" s="1"/>
  <c r="M5380" i="13"/>
  <c r="K5213" i="14"/>
  <c r="L5213" i="14" s="1"/>
  <c r="I5214" i="14" s="1"/>
  <c r="M5381" i="14"/>
  <c r="J5376" i="14" a="1"/>
  <c r="J5376" i="14" s="1"/>
  <c r="N5377" i="14"/>
  <c r="J5377" i="14" l="1" a="1"/>
  <c r="J5377" i="14" s="1"/>
  <c r="N5378" i="14"/>
  <c r="K5214" i="14"/>
  <c r="L5214" i="14" s="1"/>
  <c r="I5215" i="14" s="1"/>
  <c r="K5192" i="13"/>
  <c r="L5192" i="13" s="1"/>
  <c r="I5193" i="13" s="1"/>
  <c r="M5382" i="14"/>
  <c r="M5381" i="13"/>
  <c r="J5378" i="13" a="1"/>
  <c r="J5378" i="13" s="1"/>
  <c r="N5379" i="13"/>
  <c r="K5215" i="14" l="1"/>
  <c r="L5215" i="14" s="1"/>
  <c r="I5216" i="14" s="1"/>
  <c r="N5380" i="13"/>
  <c r="J5379" i="13" a="1"/>
  <c r="J5379" i="13" s="1"/>
  <c r="M5383" i="14"/>
  <c r="M5382" i="13"/>
  <c r="K5193" i="13"/>
  <c r="L5193" i="13" s="1"/>
  <c r="I5194" i="13" s="1"/>
  <c r="J5378" i="14" a="1"/>
  <c r="J5378" i="14" s="1"/>
  <c r="N5379" i="14"/>
  <c r="K5194" i="13" l="1"/>
  <c r="L5194" i="13" s="1"/>
  <c r="I5195" i="13" s="1"/>
  <c r="K5216" i="14"/>
  <c r="L5216" i="14" s="1"/>
  <c r="I5217" i="14" s="1"/>
  <c r="J5380" i="13" a="1"/>
  <c r="J5380" i="13" s="1"/>
  <c r="N5381" i="13"/>
  <c r="N5380" i="14"/>
  <c r="J5379" i="14" a="1"/>
  <c r="J5379" i="14" s="1"/>
  <c r="M5383" i="13"/>
  <c r="M5384" i="14"/>
  <c r="K5217" i="14" l="1"/>
  <c r="L5217" i="14" s="1"/>
  <c r="I5218" i="14" s="1"/>
  <c r="K5195" i="13"/>
  <c r="L5195" i="13" s="1"/>
  <c r="I5196" i="13" s="1"/>
  <c r="M5385" i="14"/>
  <c r="J5380" i="14" a="1"/>
  <c r="J5380" i="14" s="1"/>
  <c r="N5381" i="14"/>
  <c r="N5382" i="13"/>
  <c r="J5381" i="13" a="1"/>
  <c r="J5381" i="13" s="1"/>
  <c r="M5384" i="13"/>
  <c r="K5218" i="14" l="1"/>
  <c r="L5218" i="14" s="1"/>
  <c r="I5219" i="14" s="1"/>
  <c r="K5196" i="13"/>
  <c r="L5196" i="13" s="1"/>
  <c r="I5197" i="13" s="1"/>
  <c r="J5381" i="14" a="1"/>
  <c r="J5381" i="14" s="1"/>
  <c r="N5382" i="14"/>
  <c r="M5385" i="13"/>
  <c r="J5382" i="13" a="1"/>
  <c r="J5382" i="13" s="1"/>
  <c r="N5383" i="13"/>
  <c r="M5386" i="14"/>
  <c r="K5219" i="14" l="1"/>
  <c r="L5219" i="14" s="1"/>
  <c r="I5220" i="14" s="1"/>
  <c r="M5387" i="14"/>
  <c r="N5384" i="13"/>
  <c r="J5383" i="13" a="1"/>
  <c r="J5383" i="13" s="1"/>
  <c r="M5386" i="13"/>
  <c r="K5197" i="13"/>
  <c r="L5197" i="13" s="1"/>
  <c r="I5198" i="13" s="1"/>
  <c r="N5383" i="14"/>
  <c r="J5382" i="14" a="1"/>
  <c r="J5382" i="14" s="1"/>
  <c r="K5198" i="13" l="1"/>
  <c r="L5198" i="13" s="1"/>
  <c r="I5199" i="13" s="1"/>
  <c r="K5220" i="14"/>
  <c r="L5220" i="14" s="1"/>
  <c r="I5221" i="14" s="1"/>
  <c r="M5387" i="13"/>
  <c r="N5384" i="14"/>
  <c r="J5383" i="14" a="1"/>
  <c r="J5383" i="14" s="1"/>
  <c r="M5388" i="14"/>
  <c r="J5384" i="13" a="1"/>
  <c r="J5384" i="13" s="1"/>
  <c r="N5385" i="13"/>
  <c r="K5221" i="14" l="1"/>
  <c r="L5221" i="14" s="1"/>
  <c r="I5222" i="14" s="1"/>
  <c r="K5199" i="13"/>
  <c r="L5199" i="13" s="1"/>
  <c r="I5200" i="13" s="1"/>
  <c r="N5386" i="13"/>
  <c r="J5385" i="13" a="1"/>
  <c r="J5385" i="13" s="1"/>
  <c r="J5384" i="14" a="1"/>
  <c r="J5384" i="14" s="1"/>
  <c r="N5385" i="14"/>
  <c r="M5389" i="14"/>
  <c r="M5388" i="13"/>
  <c r="K5200" i="13" l="1"/>
  <c r="L5200" i="13" s="1"/>
  <c r="I5201" i="13" s="1"/>
  <c r="K5222" i="14"/>
  <c r="L5222" i="14" s="1"/>
  <c r="I5223" i="14" s="1"/>
  <c r="J5385" i="14" a="1"/>
  <c r="J5385" i="14" s="1"/>
  <c r="N5386" i="14"/>
  <c r="M5389" i="13"/>
  <c r="M5390" i="14"/>
  <c r="J5386" i="13" a="1"/>
  <c r="J5386" i="13" s="1"/>
  <c r="N5387" i="13"/>
  <c r="K5223" i="14" l="1"/>
  <c r="L5223" i="14" s="1"/>
  <c r="I5224" i="14" s="1"/>
  <c r="K5201" i="13"/>
  <c r="L5201" i="13" s="1"/>
  <c r="I5202" i="13" s="1"/>
  <c r="N5388" i="13"/>
  <c r="J5387" i="13" a="1"/>
  <c r="J5387" i="13" s="1"/>
  <c r="M5390" i="13"/>
  <c r="N5387" i="14"/>
  <c r="J5386" i="14" a="1"/>
  <c r="J5386" i="14" s="1"/>
  <c r="M5391" i="14"/>
  <c r="K5202" i="13" l="1"/>
  <c r="L5202" i="13" s="1"/>
  <c r="I5203" i="13" s="1"/>
  <c r="K5224" i="14"/>
  <c r="L5224" i="14" s="1"/>
  <c r="I5225" i="14" s="1"/>
  <c r="M5391" i="13"/>
  <c r="M5392" i="14"/>
  <c r="N5388" i="14"/>
  <c r="J5387" i="14" a="1"/>
  <c r="J5387" i="14" s="1"/>
  <c r="J5388" i="13" a="1"/>
  <c r="J5388" i="13" s="1"/>
  <c r="N5389" i="13"/>
  <c r="K5225" i="14" l="1"/>
  <c r="L5225" i="14" s="1"/>
  <c r="I5226" i="14" s="1"/>
  <c r="K5203" i="13"/>
  <c r="L5203" i="13" s="1"/>
  <c r="I5204" i="13" s="1"/>
  <c r="N5390" i="13"/>
  <c r="J5389" i="13" a="1"/>
  <c r="J5389" i="13" s="1"/>
  <c r="M5393" i="14"/>
  <c r="J5388" i="14" a="1"/>
  <c r="J5388" i="14" s="1"/>
  <c r="N5389" i="14"/>
  <c r="M5392" i="13"/>
  <c r="K5204" i="13" l="1"/>
  <c r="L5204" i="13" s="1"/>
  <c r="I5205" i="13" s="1"/>
  <c r="K5226" i="14"/>
  <c r="L5226" i="14" s="1"/>
  <c r="I5227" i="14" s="1"/>
  <c r="J5389" i="14" a="1"/>
  <c r="J5389" i="14" s="1"/>
  <c r="N5390" i="14"/>
  <c r="M5393" i="13"/>
  <c r="M5394" i="14"/>
  <c r="J5390" i="13" a="1"/>
  <c r="J5390" i="13" s="1"/>
  <c r="N5391" i="13"/>
  <c r="K5205" i="13" l="1"/>
  <c r="L5205" i="13" s="1"/>
  <c r="I5206" i="13" s="1"/>
  <c r="N5392" i="13"/>
  <c r="J5391" i="13" a="1"/>
  <c r="J5391" i="13" s="1"/>
  <c r="M5394" i="13"/>
  <c r="K5227" i="14"/>
  <c r="L5227" i="14" s="1"/>
  <c r="I5228" i="14" s="1"/>
  <c r="N5391" i="14"/>
  <c r="J5390" i="14" a="1"/>
  <c r="J5390" i="14" s="1"/>
  <c r="M5395" i="14"/>
  <c r="K5228" i="14" l="1"/>
  <c r="L5228" i="14" s="1"/>
  <c r="I5229" i="14" s="1"/>
  <c r="K5206" i="13"/>
  <c r="L5206" i="13" s="1"/>
  <c r="I5207" i="13" s="1"/>
  <c r="J5392" i="13" a="1"/>
  <c r="J5392" i="13" s="1"/>
  <c r="N5393" i="13"/>
  <c r="M5396" i="14"/>
  <c r="M5395" i="13"/>
  <c r="N5392" i="14"/>
  <c r="J5391" i="14" a="1"/>
  <c r="J5391" i="14" s="1"/>
  <c r="K5207" i="13" l="1"/>
  <c r="L5207" i="13" s="1"/>
  <c r="I5208" i="13" s="1"/>
  <c r="K5229" i="14"/>
  <c r="L5229" i="14" s="1"/>
  <c r="I5230" i="14" s="1"/>
  <c r="M5396" i="13"/>
  <c r="J5392" i="14" a="1"/>
  <c r="J5392" i="14" s="1"/>
  <c r="N5393" i="14"/>
  <c r="M5397" i="14"/>
  <c r="N5394" i="13"/>
  <c r="J5393" i="13" a="1"/>
  <c r="J5393" i="13" s="1"/>
  <c r="K5208" i="13" l="1"/>
  <c r="L5208" i="13" s="1"/>
  <c r="I5209" i="13" s="1"/>
  <c r="J5393" i="14" a="1"/>
  <c r="J5393" i="14" s="1"/>
  <c r="N5394" i="14"/>
  <c r="K5230" i="14"/>
  <c r="L5230" i="14" s="1"/>
  <c r="I5231" i="14" s="1"/>
  <c r="M5398" i="14"/>
  <c r="M5397" i="13"/>
  <c r="J5394" i="13" a="1"/>
  <c r="J5394" i="13" s="1"/>
  <c r="N5395" i="13"/>
  <c r="K5231" i="14" l="1"/>
  <c r="L5231" i="14" s="1"/>
  <c r="I5232" i="14" s="1"/>
  <c r="K5209" i="13"/>
  <c r="L5209" i="13" s="1"/>
  <c r="I5210" i="13" s="1"/>
  <c r="N5396" i="13"/>
  <c r="J5395" i="13" a="1"/>
  <c r="J5395" i="13" s="1"/>
  <c r="M5399" i="14"/>
  <c r="J5394" i="14" a="1"/>
  <c r="J5394" i="14" s="1"/>
  <c r="N5395" i="14"/>
  <c r="M5398" i="13"/>
  <c r="K5210" i="13" l="1"/>
  <c r="L5210" i="13" s="1"/>
  <c r="I5211" i="13" s="1"/>
  <c r="K5232" i="14"/>
  <c r="L5232" i="14" s="1"/>
  <c r="I5233" i="14" s="1"/>
  <c r="M5399" i="13"/>
  <c r="M5400" i="14"/>
  <c r="N5396" i="14"/>
  <c r="J5395" i="14" a="1"/>
  <c r="J5395" i="14" s="1"/>
  <c r="J5396" i="13" a="1"/>
  <c r="J5396" i="13" s="1"/>
  <c r="N5397" i="13"/>
  <c r="K5233" i="14" l="1"/>
  <c r="L5233" i="14" s="1"/>
  <c r="I5234" i="14" s="1"/>
  <c r="K5211" i="13"/>
  <c r="L5211" i="13" s="1"/>
  <c r="I5212" i="13" s="1"/>
  <c r="N5398" i="13"/>
  <c r="J5397" i="13" a="1"/>
  <c r="J5397" i="13" s="1"/>
  <c r="M5401" i="14"/>
  <c r="J5396" i="14" a="1"/>
  <c r="J5396" i="14" s="1"/>
  <c r="N5397" i="14"/>
  <c r="M5400" i="13"/>
  <c r="K5212" i="13" l="1"/>
  <c r="L5212" i="13" s="1"/>
  <c r="I5213" i="13" s="1"/>
  <c r="K5234" i="14"/>
  <c r="L5234" i="14" s="1"/>
  <c r="I5235" i="14" s="1"/>
  <c r="J5397" i="14" a="1"/>
  <c r="J5397" i="14" s="1"/>
  <c r="N5398" i="14"/>
  <c r="M5401" i="13"/>
  <c r="M5402" i="14"/>
  <c r="J5398" i="13" a="1"/>
  <c r="J5398" i="13" s="1"/>
  <c r="N5399" i="13"/>
  <c r="K5235" i="14" l="1"/>
  <c r="L5235" i="14" s="1"/>
  <c r="I5236" i="14" s="1"/>
  <c r="K5213" i="13"/>
  <c r="L5213" i="13" s="1"/>
  <c r="I5214" i="13" s="1"/>
  <c r="N5400" i="13"/>
  <c r="J5399" i="13" a="1"/>
  <c r="J5399" i="13" s="1"/>
  <c r="M5402" i="13"/>
  <c r="N5399" i="14"/>
  <c r="J5398" i="14" a="1"/>
  <c r="J5398" i="14" s="1"/>
  <c r="M5403" i="14"/>
  <c r="K5214" i="13" l="1"/>
  <c r="L5214" i="13" s="1"/>
  <c r="I5215" i="13" s="1"/>
  <c r="K5236" i="14"/>
  <c r="L5236" i="14" s="1"/>
  <c r="I5237" i="14" s="1"/>
  <c r="M5403" i="13"/>
  <c r="M5404" i="14"/>
  <c r="N5400" i="14"/>
  <c r="J5399" i="14" a="1"/>
  <c r="J5399" i="14" s="1"/>
  <c r="J5400" i="13" a="1"/>
  <c r="J5400" i="13" s="1"/>
  <c r="N5401" i="13"/>
  <c r="K5215" i="13" l="1"/>
  <c r="L5215" i="13" s="1"/>
  <c r="I5216" i="13" s="1"/>
  <c r="K5237" i="14"/>
  <c r="L5237" i="14" s="1"/>
  <c r="I5238" i="14" s="1"/>
  <c r="N5402" i="13"/>
  <c r="J5401" i="13" a="1"/>
  <c r="J5401" i="13" s="1"/>
  <c r="M5405" i="14"/>
  <c r="J5400" i="14" a="1"/>
  <c r="J5400" i="14" s="1"/>
  <c r="N5401" i="14"/>
  <c r="M5404" i="13"/>
  <c r="K5238" i="14" l="1"/>
  <c r="L5238" i="14" s="1"/>
  <c r="I5239" i="14" s="1"/>
  <c r="K5216" i="13"/>
  <c r="L5216" i="13" s="1"/>
  <c r="I5217" i="13" s="1"/>
  <c r="J5401" i="14" a="1"/>
  <c r="J5401" i="14" s="1"/>
  <c r="N5402" i="14"/>
  <c r="M5405" i="13"/>
  <c r="M5406" i="14"/>
  <c r="J5402" i="13" a="1"/>
  <c r="J5402" i="13" s="1"/>
  <c r="N5403" i="13"/>
  <c r="K5239" i="14" l="1"/>
  <c r="L5239" i="14" s="1"/>
  <c r="I5240" i="14" s="1"/>
  <c r="N5404" i="13"/>
  <c r="J5403" i="13" a="1"/>
  <c r="J5403" i="13" s="1"/>
  <c r="M5406" i="13"/>
  <c r="K5217" i="13"/>
  <c r="L5217" i="13" s="1"/>
  <c r="I5218" i="13" s="1"/>
  <c r="M5407" i="14"/>
  <c r="J5402" i="14" a="1"/>
  <c r="J5402" i="14" s="1"/>
  <c r="N5403" i="14"/>
  <c r="K5218" i="13" l="1"/>
  <c r="L5218" i="13" s="1"/>
  <c r="I5219" i="13" s="1"/>
  <c r="K5240" i="14"/>
  <c r="L5240" i="14" s="1"/>
  <c r="I5241" i="14" s="1"/>
  <c r="J5404" i="13" a="1"/>
  <c r="J5404" i="13" s="1"/>
  <c r="N5405" i="13"/>
  <c r="N5404" i="14"/>
  <c r="J5403" i="14" a="1"/>
  <c r="J5403" i="14" s="1"/>
  <c r="M5407" i="13"/>
  <c r="M5408" i="14"/>
  <c r="K5241" i="14" l="1"/>
  <c r="L5241" i="14" s="1"/>
  <c r="I5242" i="14" s="1"/>
  <c r="K5219" i="13"/>
  <c r="L5219" i="13" s="1"/>
  <c r="I5220" i="13" s="1"/>
  <c r="M5408" i="13"/>
  <c r="M5409" i="14"/>
  <c r="J5404" i="14" a="1"/>
  <c r="J5404" i="14" s="1"/>
  <c r="N5405" i="14"/>
  <c r="N5406" i="13"/>
  <c r="J5405" i="13" a="1"/>
  <c r="J5405" i="13" s="1"/>
  <c r="K5242" i="14" l="1"/>
  <c r="L5242" i="14" s="1"/>
  <c r="I5243" i="14" s="1"/>
  <c r="K5220" i="13"/>
  <c r="L5220" i="13" s="1"/>
  <c r="I5221" i="13" s="1"/>
  <c r="J5406" i="13" a="1"/>
  <c r="J5406" i="13" s="1"/>
  <c r="N5407" i="13"/>
  <c r="M5410" i="14"/>
  <c r="J5405" i="14" a="1"/>
  <c r="J5405" i="14" s="1"/>
  <c r="N5406" i="14"/>
  <c r="M5409" i="13"/>
  <c r="K5221" i="13" l="1"/>
  <c r="L5221" i="13" s="1"/>
  <c r="I5222" i="13" s="1"/>
  <c r="K5243" i="14"/>
  <c r="L5243" i="14" s="1"/>
  <c r="I5244" i="14" s="1"/>
  <c r="N5407" i="14"/>
  <c r="J5406" i="14" a="1"/>
  <c r="J5406" i="14" s="1"/>
  <c r="M5411" i="14"/>
  <c r="M5410" i="13"/>
  <c r="N5408" i="13"/>
  <c r="J5407" i="13" a="1"/>
  <c r="J5407" i="13" s="1"/>
  <c r="K5222" i="13" l="1"/>
  <c r="L5222" i="13" s="1"/>
  <c r="I5223" i="13" s="1"/>
  <c r="J5408" i="13" a="1"/>
  <c r="J5408" i="13" s="1"/>
  <c r="N5409" i="13"/>
  <c r="K5244" i="14"/>
  <c r="L5244" i="14" s="1"/>
  <c r="I5245" i="14" s="1"/>
  <c r="M5412" i="14"/>
  <c r="M5411" i="13"/>
  <c r="N5408" i="14"/>
  <c r="J5407" i="14" a="1"/>
  <c r="J5407" i="14" s="1"/>
  <c r="K5245" i="14" l="1"/>
  <c r="L5245" i="14" s="1"/>
  <c r="I5246" i="14" s="1"/>
  <c r="K5223" i="13"/>
  <c r="L5223" i="13" s="1"/>
  <c r="I5224" i="13" s="1"/>
  <c r="N5410" i="13"/>
  <c r="J5409" i="13" a="1"/>
  <c r="J5409" i="13" s="1"/>
  <c r="J5408" i="14" a="1"/>
  <c r="J5408" i="14" s="1"/>
  <c r="N5409" i="14"/>
  <c r="M5413" i="14"/>
  <c r="M5412" i="13"/>
  <c r="K5246" i="14" l="1"/>
  <c r="L5246" i="14" s="1"/>
  <c r="I5247" i="14" s="1"/>
  <c r="M5413" i="13"/>
  <c r="J5409" i="14" a="1"/>
  <c r="J5409" i="14" s="1"/>
  <c r="N5410" i="14"/>
  <c r="K5224" i="13"/>
  <c r="L5224" i="13" s="1"/>
  <c r="I5225" i="13" s="1"/>
  <c r="M5414" i="14"/>
  <c r="J5410" i="13" a="1"/>
  <c r="J5410" i="13" s="1"/>
  <c r="N5411" i="13"/>
  <c r="K5247" i="14" l="1"/>
  <c r="L5247" i="14" s="1"/>
  <c r="I5248" i="14" s="1"/>
  <c r="N5412" i="13"/>
  <c r="J5411" i="13" a="1"/>
  <c r="J5411" i="13" s="1"/>
  <c r="M5414" i="13"/>
  <c r="K5225" i="13"/>
  <c r="L5225" i="13" s="1"/>
  <c r="I5226" i="13" s="1"/>
  <c r="M5415" i="14"/>
  <c r="J5410" i="14" a="1"/>
  <c r="J5410" i="14" s="1"/>
  <c r="N5411" i="14"/>
  <c r="K5226" i="13" l="1"/>
  <c r="L5226" i="13" s="1"/>
  <c r="I5227" i="13" s="1"/>
  <c r="K5248" i="14"/>
  <c r="L5248" i="14" s="1"/>
  <c r="I5249" i="14" s="1"/>
  <c r="N5412" i="14"/>
  <c r="J5411" i="14" a="1"/>
  <c r="J5411" i="14" s="1"/>
  <c r="J5412" i="13" a="1"/>
  <c r="J5412" i="13" s="1"/>
  <c r="N5413" i="13"/>
  <c r="M5415" i="13"/>
  <c r="M5416" i="14"/>
  <c r="K5249" i="14" l="1"/>
  <c r="L5249" i="14" s="1"/>
  <c r="I5250" i="14" s="1"/>
  <c r="K5227" i="13"/>
  <c r="L5227" i="13" s="1"/>
  <c r="I5228" i="13" s="1"/>
  <c r="N5414" i="13"/>
  <c r="J5413" i="13" a="1"/>
  <c r="J5413" i="13" s="1"/>
  <c r="M5417" i="14"/>
  <c r="M5416" i="13"/>
  <c r="J5412" i="14" a="1"/>
  <c r="J5412" i="14" s="1"/>
  <c r="N5413" i="14"/>
  <c r="K5250" i="14" l="1"/>
  <c r="L5250" i="14" s="1"/>
  <c r="I5251" i="14" s="1"/>
  <c r="J5413" i="14" a="1"/>
  <c r="J5413" i="14" s="1"/>
  <c r="N5414" i="14"/>
  <c r="K5228" i="13"/>
  <c r="L5228" i="13" s="1"/>
  <c r="I5229" i="13" s="1"/>
  <c r="M5418" i="14"/>
  <c r="M5417" i="13"/>
  <c r="J5414" i="13" a="1"/>
  <c r="J5414" i="13" s="1"/>
  <c r="N5415" i="13"/>
  <c r="K5229" i="13" l="1"/>
  <c r="L5229" i="13" s="1"/>
  <c r="I5230" i="13" s="1"/>
  <c r="K5251" i="14"/>
  <c r="L5251" i="14" s="1"/>
  <c r="I5252" i="14" s="1"/>
  <c r="N5416" i="13"/>
  <c r="J5415" i="13" a="1"/>
  <c r="J5415" i="13" s="1"/>
  <c r="M5419" i="14"/>
  <c r="N5415" i="14"/>
  <c r="J5414" i="14" a="1"/>
  <c r="J5414" i="14" s="1"/>
  <c r="M5418" i="13"/>
  <c r="K5252" i="14" l="1"/>
  <c r="L5252" i="14" s="1"/>
  <c r="I5253" i="14" s="1"/>
  <c r="K5230" i="13"/>
  <c r="L5230" i="13" s="1"/>
  <c r="I5231" i="13" s="1"/>
  <c r="M5419" i="13"/>
  <c r="M5420" i="14"/>
  <c r="N5416" i="14"/>
  <c r="J5415" i="14" a="1"/>
  <c r="J5415" i="14" s="1"/>
  <c r="J5416" i="13" a="1"/>
  <c r="J5416" i="13" s="1"/>
  <c r="N5417" i="13"/>
  <c r="K5231" i="13" l="1"/>
  <c r="L5231" i="13" s="1"/>
  <c r="I5232" i="13" s="1"/>
  <c r="K5253" i="14"/>
  <c r="L5253" i="14" s="1"/>
  <c r="I5254" i="14" s="1"/>
  <c r="J5416" i="14" a="1"/>
  <c r="J5416" i="14" s="1"/>
  <c r="N5417" i="14"/>
  <c r="M5421" i="14"/>
  <c r="N5418" i="13"/>
  <c r="J5417" i="13" a="1"/>
  <c r="J5417" i="13" s="1"/>
  <c r="M5420" i="13"/>
  <c r="K5232" i="13" l="1"/>
  <c r="L5232" i="13" s="1"/>
  <c r="I5233" i="13" s="1"/>
  <c r="J5418" i="13" a="1"/>
  <c r="J5418" i="13" s="1"/>
  <c r="N5419" i="13"/>
  <c r="M5421" i="13"/>
  <c r="M5422" i="14"/>
  <c r="K5254" i="14"/>
  <c r="L5254" i="14" s="1"/>
  <c r="I5255" i="14" s="1"/>
  <c r="J5417" i="14" a="1"/>
  <c r="J5417" i="14" s="1"/>
  <c r="N5418" i="14"/>
  <c r="K5255" i="14" l="1"/>
  <c r="L5255" i="14" s="1"/>
  <c r="I5256" i="14" s="1"/>
  <c r="K5233" i="13"/>
  <c r="L5233" i="13" s="1"/>
  <c r="I5234" i="13" s="1"/>
  <c r="N5419" i="14"/>
  <c r="J5418" i="14" a="1"/>
  <c r="J5418" i="14" s="1"/>
  <c r="M5423" i="14"/>
  <c r="N5420" i="13"/>
  <c r="J5419" i="13" a="1"/>
  <c r="J5419" i="13" s="1"/>
  <c r="M5422" i="13"/>
  <c r="K5234" i="13" l="1"/>
  <c r="L5234" i="13" s="1"/>
  <c r="I5235" i="13" s="1"/>
  <c r="K5256" i="14"/>
  <c r="L5256" i="14" s="1"/>
  <c r="I5257" i="14" s="1"/>
  <c r="M5423" i="13"/>
  <c r="M5424" i="14"/>
  <c r="J5420" i="13" a="1"/>
  <c r="J5420" i="13" s="1"/>
  <c r="N5421" i="13"/>
  <c r="N5420" i="14"/>
  <c r="J5419" i="14" a="1"/>
  <c r="J5419" i="14" s="1"/>
  <c r="K5235" i="13" l="1"/>
  <c r="L5235" i="13" s="1"/>
  <c r="I5236" i="13" s="1"/>
  <c r="M5425" i="14"/>
  <c r="J5420" i="14" a="1"/>
  <c r="J5420" i="14" s="1"/>
  <c r="N5421" i="14"/>
  <c r="K5257" i="14"/>
  <c r="L5257" i="14" s="1"/>
  <c r="I5258" i="14" s="1"/>
  <c r="N5422" i="13"/>
  <c r="J5421" i="13" a="1"/>
  <c r="J5421" i="13" s="1"/>
  <c r="M5424" i="13"/>
  <c r="K5258" i="14" l="1"/>
  <c r="L5258" i="14" s="1"/>
  <c r="I5259" i="14" s="1"/>
  <c r="K5236" i="13"/>
  <c r="L5236" i="13" s="1"/>
  <c r="I5237" i="13" s="1"/>
  <c r="M5426" i="14"/>
  <c r="M5425" i="13"/>
  <c r="N5422" i="14"/>
  <c r="J5421" i="14" a="1"/>
  <c r="J5421" i="14" s="1"/>
  <c r="J5422" i="13" a="1"/>
  <c r="J5422" i="13" s="1"/>
  <c r="N5423" i="13"/>
  <c r="K5237" i="13" l="1"/>
  <c r="L5237" i="13" s="1"/>
  <c r="I5238" i="13" s="1"/>
  <c r="K5259" i="14"/>
  <c r="L5259" i="14" s="1"/>
  <c r="I5260" i="14" s="1"/>
  <c r="N5424" i="13"/>
  <c r="J5423" i="13" a="1"/>
  <c r="J5423" i="13" s="1"/>
  <c r="M5426" i="13"/>
  <c r="M5427" i="14"/>
  <c r="N5423" i="14"/>
  <c r="J5422" i="14" a="1"/>
  <c r="J5422" i="14" s="1"/>
  <c r="K5238" i="13" l="1"/>
  <c r="L5238" i="13" s="1"/>
  <c r="I5239" i="13" s="1"/>
  <c r="M5427" i="13"/>
  <c r="N5424" i="14"/>
  <c r="J5423" i="14" a="1"/>
  <c r="J5423" i="14" s="1"/>
  <c r="K5260" i="14"/>
  <c r="L5260" i="14" s="1"/>
  <c r="I5261" i="14" s="1"/>
  <c r="M5428" i="14"/>
  <c r="J5424" i="13" a="1"/>
  <c r="J5424" i="13" s="1"/>
  <c r="N5425" i="13"/>
  <c r="K5239" i="13" l="1"/>
  <c r="L5239" i="13" s="1"/>
  <c r="I5240" i="13" s="1"/>
  <c r="N5426" i="13"/>
  <c r="J5425" i="13" a="1"/>
  <c r="J5425" i="13" s="1"/>
  <c r="K5261" i="14"/>
  <c r="L5261" i="14" s="1"/>
  <c r="I5262" i="14" s="1"/>
  <c r="M5428" i="13"/>
  <c r="M5429" i="14"/>
  <c r="J5424" i="14" a="1"/>
  <c r="J5424" i="14" s="1"/>
  <c r="N5425" i="14"/>
  <c r="K5262" i="14" l="1"/>
  <c r="L5262" i="14" s="1"/>
  <c r="I5263" i="14" s="1"/>
  <c r="K5240" i="13"/>
  <c r="L5240" i="13" s="1"/>
  <c r="I5241" i="13" s="1"/>
  <c r="N5426" i="14"/>
  <c r="J5425" i="14" a="1"/>
  <c r="J5425" i="14" s="1"/>
  <c r="M5429" i="13"/>
  <c r="J5426" i="13" a="1"/>
  <c r="J5426" i="13" s="1"/>
  <c r="N5427" i="13"/>
  <c r="M5430" i="14"/>
  <c r="K5263" i="14" l="1"/>
  <c r="L5263" i="14" s="1"/>
  <c r="I5264" i="14" s="1"/>
  <c r="K5241" i="13"/>
  <c r="L5241" i="13" s="1"/>
  <c r="I5242" i="13" s="1"/>
  <c r="M5431" i="14"/>
  <c r="N5428" i="13"/>
  <c r="J5427" i="13" a="1"/>
  <c r="J5427" i="13" s="1"/>
  <c r="M5430" i="13"/>
  <c r="N5427" i="14"/>
  <c r="J5426" i="14" a="1"/>
  <c r="J5426" i="14" s="1"/>
  <c r="K5242" i="13" l="1"/>
  <c r="L5242" i="13" s="1"/>
  <c r="I5243" i="13" s="1"/>
  <c r="K5264" i="14"/>
  <c r="L5264" i="14" s="1"/>
  <c r="I5265" i="14" s="1"/>
  <c r="J5428" i="13" a="1"/>
  <c r="J5428" i="13" s="1"/>
  <c r="N5429" i="13"/>
  <c r="N5428" i="14"/>
  <c r="J5427" i="14" a="1"/>
  <c r="J5427" i="14" s="1"/>
  <c r="M5431" i="13"/>
  <c r="M5432" i="14"/>
  <c r="K5243" i="13" l="1"/>
  <c r="L5243" i="13" s="1"/>
  <c r="I5244" i="13" s="1"/>
  <c r="J5428" i="14" a="1"/>
  <c r="J5428" i="14" s="1"/>
  <c r="N5429" i="14"/>
  <c r="M5432" i="13"/>
  <c r="M5433" i="14"/>
  <c r="K5265" i="14"/>
  <c r="L5265" i="14" s="1"/>
  <c r="I5266" i="14" s="1"/>
  <c r="N5430" i="13"/>
  <c r="J5429" i="13" a="1"/>
  <c r="J5429" i="13" s="1"/>
  <c r="K5266" i="14" l="1"/>
  <c r="L5266" i="14" s="1"/>
  <c r="I5267" i="14" s="1"/>
  <c r="K5244" i="13"/>
  <c r="L5244" i="13" s="1"/>
  <c r="I5245" i="13" s="1"/>
  <c r="N5430" i="14"/>
  <c r="J5429" i="14" a="1"/>
  <c r="J5429" i="14" s="1"/>
  <c r="M5434" i="14"/>
  <c r="J5430" i="13" a="1"/>
  <c r="J5430" i="13" s="1"/>
  <c r="N5431" i="13"/>
  <c r="M5433" i="13"/>
  <c r="K5267" i="14" l="1"/>
  <c r="L5267" i="14" s="1"/>
  <c r="I5268" i="14" s="1"/>
  <c r="M5434" i="13"/>
  <c r="M5435" i="14"/>
  <c r="K5245" i="13"/>
  <c r="L5245" i="13" s="1"/>
  <c r="I5246" i="13" s="1"/>
  <c r="N5432" i="13"/>
  <c r="J5431" i="13" a="1"/>
  <c r="J5431" i="13" s="1"/>
  <c r="N5431" i="14"/>
  <c r="J5430" i="14" a="1"/>
  <c r="J5430" i="14" s="1"/>
  <c r="K5268" i="14" l="1"/>
  <c r="L5268" i="14" s="1"/>
  <c r="I5269" i="14" s="1"/>
  <c r="M5435" i="13"/>
  <c r="N5432" i="14"/>
  <c r="J5431" i="14" a="1"/>
  <c r="J5431" i="14" s="1"/>
  <c r="K5246" i="13"/>
  <c r="L5246" i="13" s="1"/>
  <c r="I5247" i="13" s="1"/>
  <c r="J5432" i="13" a="1"/>
  <c r="J5432" i="13" s="1"/>
  <c r="N5433" i="13"/>
  <c r="M5436" i="14"/>
  <c r="K5269" i="14" l="1"/>
  <c r="L5269" i="14" s="1"/>
  <c r="I5270" i="14" s="1"/>
  <c r="N5434" i="13"/>
  <c r="J5433" i="13" a="1"/>
  <c r="J5433" i="13" s="1"/>
  <c r="M5437" i="14"/>
  <c r="K5247" i="13"/>
  <c r="L5247" i="13" s="1"/>
  <c r="I5248" i="13" s="1"/>
  <c r="M5436" i="13"/>
  <c r="J5432" i="14" a="1"/>
  <c r="J5432" i="14" s="1"/>
  <c r="N5433" i="14"/>
  <c r="K5248" i="13" l="1"/>
  <c r="L5248" i="13" s="1"/>
  <c r="I5249" i="13" s="1"/>
  <c r="K5270" i="14"/>
  <c r="L5270" i="14" s="1"/>
  <c r="I5271" i="14" s="1"/>
  <c r="N5434" i="14"/>
  <c r="J5433" i="14" a="1"/>
  <c r="J5433" i="14" s="1"/>
  <c r="J5434" i="13" a="1"/>
  <c r="J5434" i="13" s="1"/>
  <c r="N5435" i="13"/>
  <c r="M5437" i="13"/>
  <c r="M5438" i="14"/>
  <c r="K5249" i="13" l="1"/>
  <c r="L5249" i="13" s="1"/>
  <c r="I5250" i="13" s="1"/>
  <c r="K5271" i="14"/>
  <c r="L5271" i="14" s="1"/>
  <c r="I5272" i="14" s="1"/>
  <c r="M5438" i="13"/>
  <c r="M5439" i="14"/>
  <c r="N5436" i="13"/>
  <c r="J5435" i="13" a="1"/>
  <c r="J5435" i="13" s="1"/>
  <c r="N5435" i="14"/>
  <c r="J5434" i="14" a="1"/>
  <c r="J5434" i="14" s="1"/>
  <c r="K5250" i="13" l="1"/>
  <c r="L5250" i="13" s="1"/>
  <c r="I5251" i="13" s="1"/>
  <c r="N5436" i="14"/>
  <c r="J5435" i="14" a="1"/>
  <c r="J5435" i="14" s="1"/>
  <c r="M5440" i="14"/>
  <c r="K5272" i="14"/>
  <c r="L5272" i="14" s="1"/>
  <c r="I5273" i="14" s="1"/>
  <c r="M5439" i="13"/>
  <c r="J5436" i="13" a="1"/>
  <c r="J5436" i="13" s="1"/>
  <c r="N5437" i="13"/>
  <c r="K5273" i="14" l="1"/>
  <c r="L5273" i="14" s="1"/>
  <c r="I5274" i="14" s="1"/>
  <c r="K5251" i="13"/>
  <c r="L5251" i="13" s="1"/>
  <c r="I5252" i="13" s="1"/>
  <c r="N5438" i="13"/>
  <c r="J5437" i="13" a="1"/>
  <c r="J5437" i="13" s="1"/>
  <c r="J5436" i="14" a="1"/>
  <c r="J5436" i="14" s="1"/>
  <c r="N5437" i="14"/>
  <c r="M5441" i="14"/>
  <c r="M5440" i="13"/>
  <c r="K5274" i="14" l="1"/>
  <c r="L5274" i="14" s="1"/>
  <c r="I5275" i="14" s="1"/>
  <c r="M5441" i="13"/>
  <c r="N5438" i="14"/>
  <c r="J5437" i="14" a="1"/>
  <c r="J5437" i="14" s="1"/>
  <c r="K5252" i="13"/>
  <c r="L5252" i="13" s="1"/>
  <c r="I5253" i="13" s="1"/>
  <c r="M5442" i="14"/>
  <c r="J5438" i="13" a="1"/>
  <c r="J5438" i="13" s="1"/>
  <c r="N5439" i="13"/>
  <c r="K5275" i="14" l="1"/>
  <c r="L5275" i="14" s="1"/>
  <c r="I5276" i="14" s="1"/>
  <c r="N5440" i="13"/>
  <c r="J5439" i="13" a="1"/>
  <c r="J5439" i="13" s="1"/>
  <c r="K5253" i="13"/>
  <c r="L5253" i="13" s="1"/>
  <c r="I5254" i="13" s="1"/>
  <c r="M5442" i="13"/>
  <c r="M5443" i="14"/>
  <c r="N5439" i="14"/>
  <c r="J5438" i="14" a="1"/>
  <c r="J5438" i="14" s="1"/>
  <c r="K5254" i="13" l="1"/>
  <c r="L5254" i="13" s="1"/>
  <c r="I5255" i="13" s="1"/>
  <c r="K5276" i="14"/>
  <c r="L5276" i="14" s="1"/>
  <c r="I5277" i="14" s="1"/>
  <c r="J5440" i="13" a="1"/>
  <c r="J5440" i="13" s="1"/>
  <c r="N5441" i="13"/>
  <c r="N5440" i="14"/>
  <c r="J5439" i="14" a="1"/>
  <c r="J5439" i="14" s="1"/>
  <c r="M5443" i="13"/>
  <c r="M5444" i="14"/>
  <c r="K5277" i="14" l="1"/>
  <c r="L5277" i="14" s="1"/>
  <c r="I5278" i="14" s="1"/>
  <c r="K5255" i="13"/>
  <c r="L5255" i="13" s="1"/>
  <c r="I5256" i="13" s="1"/>
  <c r="J5440" i="14" a="1"/>
  <c r="J5440" i="14" s="1"/>
  <c r="N5441" i="14"/>
  <c r="N5442" i="13"/>
  <c r="J5441" i="13" a="1"/>
  <c r="J5441" i="13" s="1"/>
  <c r="M5445" i="14"/>
  <c r="M5444" i="13"/>
  <c r="K5278" i="14" l="1"/>
  <c r="L5278" i="14" s="1"/>
  <c r="I5279" i="14" s="1"/>
  <c r="K5256" i="13"/>
  <c r="L5256" i="13" s="1"/>
  <c r="I5257" i="13" s="1"/>
  <c r="M5446" i="14"/>
  <c r="M5445" i="13"/>
  <c r="J5442" i="13" a="1"/>
  <c r="J5442" i="13" s="1"/>
  <c r="N5443" i="13"/>
  <c r="N5442" i="14"/>
  <c r="J5441" i="14" a="1"/>
  <c r="J5441" i="14" s="1"/>
  <c r="K5257" i="13" l="1"/>
  <c r="L5257" i="13" s="1"/>
  <c r="I5258" i="13" s="1"/>
  <c r="K5279" i="14"/>
  <c r="L5279" i="14" s="1"/>
  <c r="I5280" i="14" s="1"/>
  <c r="N5443" i="14"/>
  <c r="J5442" i="14" a="1"/>
  <c r="J5442" i="14" s="1"/>
  <c r="M5446" i="13"/>
  <c r="N5444" i="13"/>
  <c r="J5443" i="13" a="1"/>
  <c r="J5443" i="13" s="1"/>
  <c r="M5447" i="14"/>
  <c r="K5258" i="13" l="1"/>
  <c r="L5258" i="13" s="1"/>
  <c r="I5259" i="13" s="1"/>
  <c r="K5280" i="14"/>
  <c r="L5280" i="14" s="1"/>
  <c r="I5281" i="14" s="1"/>
  <c r="M5447" i="13"/>
  <c r="M5448" i="14"/>
  <c r="J5444" i="13" a="1"/>
  <c r="J5444" i="13" s="1"/>
  <c r="N5445" i="13"/>
  <c r="N5444" i="14"/>
  <c r="J5443" i="14" a="1"/>
  <c r="J5443" i="14" s="1"/>
  <c r="K5281" i="14" l="1"/>
  <c r="L5281" i="14" s="1"/>
  <c r="I5282" i="14" s="1"/>
  <c r="K5259" i="13"/>
  <c r="L5259" i="13" s="1"/>
  <c r="I5260" i="13" s="1"/>
  <c r="J5444" i="14" a="1"/>
  <c r="J5444" i="14" s="1"/>
  <c r="N5445" i="14"/>
  <c r="M5449" i="14"/>
  <c r="N5446" i="13"/>
  <c r="J5445" i="13" a="1"/>
  <c r="J5445" i="13" s="1"/>
  <c r="M5448" i="13"/>
  <c r="K5282" i="14" l="1"/>
  <c r="L5282" i="14" s="1"/>
  <c r="I5283" i="14" s="1"/>
  <c r="J5446" i="13" a="1"/>
  <c r="J5446" i="13" s="1"/>
  <c r="N5447" i="13"/>
  <c r="M5449" i="13"/>
  <c r="M5450" i="14"/>
  <c r="K5260" i="13"/>
  <c r="L5260" i="13" s="1"/>
  <c r="I5261" i="13" s="1"/>
  <c r="N5446" i="14"/>
  <c r="J5445" i="14" a="1"/>
  <c r="J5445" i="14" s="1"/>
  <c r="K5261" i="13" l="1"/>
  <c r="L5261" i="13" s="1"/>
  <c r="I5262" i="13" s="1"/>
  <c r="K5283" i="14"/>
  <c r="L5283" i="14" s="1"/>
  <c r="I5284" i="14" s="1"/>
  <c r="M5451" i="14"/>
  <c r="N5448" i="13"/>
  <c r="J5447" i="13" a="1"/>
  <c r="J5447" i="13" s="1"/>
  <c r="N5447" i="14"/>
  <c r="J5446" i="14" a="1"/>
  <c r="J5446" i="14" s="1"/>
  <c r="M5450" i="13"/>
  <c r="K5262" i="13" l="1"/>
  <c r="L5262" i="13" s="1"/>
  <c r="I5263" i="13" s="1"/>
  <c r="J5448" i="13" a="1"/>
  <c r="J5448" i="13" s="1"/>
  <c r="N5449" i="13"/>
  <c r="M5451" i="13"/>
  <c r="K5284" i="14"/>
  <c r="L5284" i="14" s="1"/>
  <c r="I5285" i="14" s="1"/>
  <c r="N5448" i="14"/>
  <c r="J5447" i="14" a="1"/>
  <c r="J5447" i="14" s="1"/>
  <c r="M5452" i="14"/>
  <c r="K5285" i="14" l="1"/>
  <c r="L5285" i="14" s="1"/>
  <c r="I5286" i="14" s="1"/>
  <c r="K5263" i="13"/>
  <c r="L5263" i="13" s="1"/>
  <c r="I5264" i="13" s="1"/>
  <c r="N5450" i="13"/>
  <c r="J5449" i="13" a="1"/>
  <c r="J5449" i="13" s="1"/>
  <c r="M5453" i="14"/>
  <c r="J5448" i="14" a="1"/>
  <c r="J5448" i="14" s="1"/>
  <c r="N5449" i="14"/>
  <c r="M5452" i="13"/>
  <c r="K5264" i="13" l="1"/>
  <c r="L5264" i="13" s="1"/>
  <c r="I5265" i="13" s="1"/>
  <c r="K5286" i="14"/>
  <c r="L5286" i="14" s="1"/>
  <c r="I5287" i="14" s="1"/>
  <c r="N5450" i="14"/>
  <c r="J5449" i="14" a="1"/>
  <c r="J5449" i="14" s="1"/>
  <c r="M5454" i="14"/>
  <c r="M5453" i="13"/>
  <c r="J5450" i="13" a="1"/>
  <c r="J5450" i="13" s="1"/>
  <c r="N5451" i="13"/>
  <c r="K5287" i="14" l="1"/>
  <c r="L5287" i="14" s="1"/>
  <c r="I5288" i="14" s="1"/>
  <c r="N5452" i="13"/>
  <c r="J5451" i="13" a="1"/>
  <c r="J5451" i="13" s="1"/>
  <c r="M5455" i="14"/>
  <c r="M5454" i="13"/>
  <c r="N5451" i="14"/>
  <c r="J5450" i="14" a="1"/>
  <c r="J5450" i="14" s="1"/>
  <c r="K5265" i="13"/>
  <c r="L5265" i="13" s="1"/>
  <c r="I5266" i="13" s="1"/>
  <c r="K5266" i="13" l="1"/>
  <c r="L5266" i="13" s="1"/>
  <c r="I5267" i="13" s="1"/>
  <c r="K5288" i="14"/>
  <c r="L5288" i="14" s="1"/>
  <c r="I5289" i="14" s="1"/>
  <c r="M5455" i="13"/>
  <c r="J5452" i="13" a="1"/>
  <c r="J5452" i="13" s="1"/>
  <c r="N5453" i="13"/>
  <c r="N5452" i="14"/>
  <c r="J5451" i="14" a="1"/>
  <c r="J5451" i="14" s="1"/>
  <c r="M5456" i="14"/>
  <c r="K5267" i="13" l="1"/>
  <c r="L5267" i="13" s="1"/>
  <c r="I5268" i="13" s="1"/>
  <c r="M5457" i="14"/>
  <c r="N5454" i="13"/>
  <c r="J5453" i="13" a="1"/>
  <c r="J5453" i="13" s="1"/>
  <c r="K5289" i="14"/>
  <c r="L5289" i="14" s="1"/>
  <c r="I5290" i="14" s="1"/>
  <c r="J5452" i="14" a="1"/>
  <c r="J5452" i="14" s="1"/>
  <c r="N5453" i="14"/>
  <c r="M5456" i="13"/>
  <c r="K5268" i="13" l="1"/>
  <c r="L5268" i="13" s="1"/>
  <c r="I5269" i="13" s="1"/>
  <c r="M5457" i="13"/>
  <c r="M5458" i="14"/>
  <c r="N5454" i="14"/>
  <c r="J5453" i="14" a="1"/>
  <c r="J5453" i="14" s="1"/>
  <c r="K5290" i="14"/>
  <c r="L5290" i="14" s="1"/>
  <c r="I5291" i="14" s="1"/>
  <c r="J5454" i="13" a="1"/>
  <c r="J5454" i="13" s="1"/>
  <c r="N5455" i="13"/>
  <c r="K5291" i="14" l="1"/>
  <c r="L5291" i="14" s="1"/>
  <c r="I5292" i="14" s="1"/>
  <c r="K5269" i="13"/>
  <c r="L5269" i="13" s="1"/>
  <c r="I5270" i="13" s="1"/>
  <c r="J5454" i="14" a="1"/>
  <c r="J5454" i="14" s="1"/>
  <c r="N5455" i="14"/>
  <c r="M5458" i="13"/>
  <c r="N5456" i="13"/>
  <c r="J5455" i="13" a="1"/>
  <c r="J5455" i="13" s="1"/>
  <c r="M5459" i="14"/>
  <c r="K5292" i="14" l="1"/>
  <c r="L5292" i="14" s="1"/>
  <c r="I5293" i="14" s="1"/>
  <c r="N5456" i="14"/>
  <c r="J5455" i="14" a="1"/>
  <c r="J5455" i="14" s="1"/>
  <c r="M5459" i="13"/>
  <c r="M5460" i="14"/>
  <c r="K5270" i="13"/>
  <c r="L5270" i="13" s="1"/>
  <c r="I5271" i="13" s="1"/>
  <c r="J5456" i="13" a="1"/>
  <c r="J5456" i="13" s="1"/>
  <c r="N5457" i="13"/>
  <c r="K5271" i="13" l="1"/>
  <c r="L5271" i="13" s="1"/>
  <c r="I5272" i="13" s="1"/>
  <c r="K5293" i="14"/>
  <c r="L5293" i="14" s="1"/>
  <c r="I5294" i="14" s="1"/>
  <c r="J5456" i="14" a="1"/>
  <c r="J5456" i="14" s="1"/>
  <c r="N5457" i="14"/>
  <c r="M5461" i="14"/>
  <c r="N5458" i="13"/>
  <c r="J5457" i="13" a="1"/>
  <c r="J5457" i="13" s="1"/>
  <c r="M5460" i="13"/>
  <c r="K5294" i="14" l="1"/>
  <c r="L5294" i="14" s="1"/>
  <c r="I5295" i="14" s="1"/>
  <c r="K5272" i="13"/>
  <c r="L5272" i="13" s="1"/>
  <c r="I5273" i="13" s="1"/>
  <c r="J5458" i="13" a="1"/>
  <c r="J5458" i="13" s="1"/>
  <c r="N5459" i="13"/>
  <c r="M5461" i="13"/>
  <c r="M5462" i="14"/>
  <c r="J5457" i="14" a="1"/>
  <c r="J5457" i="14" s="1"/>
  <c r="N5458" i="14"/>
  <c r="K5295" i="14" l="1"/>
  <c r="L5295" i="14" s="1"/>
  <c r="I5296" i="14" s="1"/>
  <c r="M5463" i="14"/>
  <c r="J5458" i="14" a="1"/>
  <c r="J5458" i="14" s="1"/>
  <c r="N5459" i="14"/>
  <c r="M5462" i="13"/>
  <c r="K5273" i="13"/>
  <c r="L5273" i="13" s="1"/>
  <c r="I5274" i="13" s="1"/>
  <c r="N5460" i="13"/>
  <c r="J5459" i="13" a="1"/>
  <c r="J5459" i="13" s="1"/>
  <c r="K5274" i="13" l="1"/>
  <c r="L5274" i="13" s="1"/>
  <c r="I5275" i="13" s="1"/>
  <c r="K5296" i="14"/>
  <c r="L5296" i="14" s="1"/>
  <c r="I5297" i="14" s="1"/>
  <c r="N5460" i="14"/>
  <c r="J5459" i="14" a="1"/>
  <c r="J5459" i="14" s="1"/>
  <c r="M5463" i="13"/>
  <c r="J5460" i="13" a="1"/>
  <c r="J5460" i="13" s="1"/>
  <c r="N5461" i="13"/>
  <c r="M5464" i="14"/>
  <c r="K5275" i="13" l="1"/>
  <c r="L5275" i="13" s="1"/>
  <c r="I5276" i="13" s="1"/>
  <c r="K5297" i="14"/>
  <c r="L5297" i="14" s="1"/>
  <c r="I5298" i="14" s="1"/>
  <c r="N5462" i="13"/>
  <c r="J5461" i="13" a="1"/>
  <c r="J5461" i="13" s="1"/>
  <c r="M5465" i="14"/>
  <c r="M5464" i="13"/>
  <c r="J5460" i="14" a="1"/>
  <c r="J5460" i="14" s="1"/>
  <c r="N5461" i="14"/>
  <c r="K5298" i="14" l="1"/>
  <c r="L5298" i="14" s="1"/>
  <c r="I5299" i="14" s="1"/>
  <c r="K5276" i="13"/>
  <c r="L5276" i="13" s="1"/>
  <c r="I5277" i="13" s="1"/>
  <c r="J5461" i="14" a="1"/>
  <c r="J5461" i="14" s="1"/>
  <c r="N5462" i="14"/>
  <c r="M5466" i="14"/>
  <c r="M5465" i="13"/>
  <c r="J5462" i="13" a="1"/>
  <c r="J5462" i="13" s="1"/>
  <c r="N5463" i="13"/>
  <c r="K5299" i="14" l="1"/>
  <c r="L5299" i="14" s="1"/>
  <c r="I5300" i="14" s="1"/>
  <c r="N5464" i="13"/>
  <c r="J5463" i="13" a="1"/>
  <c r="J5463" i="13" s="1"/>
  <c r="M5467" i="14"/>
  <c r="K5277" i="13"/>
  <c r="L5277" i="13" s="1"/>
  <c r="I5278" i="13" s="1"/>
  <c r="N5463" i="14"/>
  <c r="J5462" i="14" a="1"/>
  <c r="J5462" i="14" s="1"/>
  <c r="M5466" i="13"/>
  <c r="K5278" i="13" l="1"/>
  <c r="L5278" i="13" s="1"/>
  <c r="I5279" i="13" s="1"/>
  <c r="K5300" i="14"/>
  <c r="L5300" i="14" s="1"/>
  <c r="I5301" i="14" s="1"/>
  <c r="M5467" i="13"/>
  <c r="J5464" i="13" a="1"/>
  <c r="J5464" i="13" s="1"/>
  <c r="N5465" i="13"/>
  <c r="N5464" i="14"/>
  <c r="J5463" i="14" a="1"/>
  <c r="J5463" i="14" s="1"/>
  <c r="M5468" i="14"/>
  <c r="K5279" i="13" l="1"/>
  <c r="L5279" i="13" s="1"/>
  <c r="I5280" i="13" s="1"/>
  <c r="N5466" i="13"/>
  <c r="J5465" i="13" a="1"/>
  <c r="J5465" i="13" s="1"/>
  <c r="K5301" i="14"/>
  <c r="L5301" i="14" s="1"/>
  <c r="I5302" i="14" s="1"/>
  <c r="M5469" i="14"/>
  <c r="J5464" i="14" a="1"/>
  <c r="J5464" i="14" s="1"/>
  <c r="N5465" i="14"/>
  <c r="M5468" i="13"/>
  <c r="K5302" i="14" l="1"/>
  <c r="L5302" i="14" s="1"/>
  <c r="I5303" i="14" s="1"/>
  <c r="K5280" i="13"/>
  <c r="L5280" i="13" s="1"/>
  <c r="I5281" i="13" s="1"/>
  <c r="N5466" i="14"/>
  <c r="J5465" i="14" a="1"/>
  <c r="J5465" i="14" s="1"/>
  <c r="M5469" i="13"/>
  <c r="M5470" i="14"/>
  <c r="J5466" i="13" a="1"/>
  <c r="J5466" i="13" s="1"/>
  <c r="N5467" i="13"/>
  <c r="K5281" i="13" l="1"/>
  <c r="L5281" i="13" s="1"/>
  <c r="I5282" i="13" s="1"/>
  <c r="K5303" i="14"/>
  <c r="L5303" i="14" s="1"/>
  <c r="I5304" i="14" s="1"/>
  <c r="N5468" i="13"/>
  <c r="J5467" i="13" a="1"/>
  <c r="J5467" i="13" s="1"/>
  <c r="M5470" i="13"/>
  <c r="M5471" i="14"/>
  <c r="N5467" i="14"/>
  <c r="J5466" i="14" a="1"/>
  <c r="J5466" i="14" s="1"/>
  <c r="K5282" i="13" l="1"/>
  <c r="L5282" i="13" s="1"/>
  <c r="I5283" i="13" s="1"/>
  <c r="M5471" i="13"/>
  <c r="K5304" i="14"/>
  <c r="L5304" i="14" s="1"/>
  <c r="I5305" i="14" s="1"/>
  <c r="N5468" i="14"/>
  <c r="J5467" i="14" a="1"/>
  <c r="J5467" i="14" s="1"/>
  <c r="M5472" i="14"/>
  <c r="J5468" i="13" a="1"/>
  <c r="J5468" i="13" s="1"/>
  <c r="N5469" i="13"/>
  <c r="K5305" i="14" l="1"/>
  <c r="L5305" i="14" s="1"/>
  <c r="I5306" i="14" s="1"/>
  <c r="K5283" i="13"/>
  <c r="L5283" i="13" s="1"/>
  <c r="I5284" i="13" s="1"/>
  <c r="J5468" i="14" a="1"/>
  <c r="J5468" i="14" s="1"/>
  <c r="N5469" i="14"/>
  <c r="M5472" i="13"/>
  <c r="N5470" i="13"/>
  <c r="J5469" i="13" a="1"/>
  <c r="J5469" i="13" s="1"/>
  <c r="M5473" i="14"/>
  <c r="K5284" i="13" l="1"/>
  <c r="L5284" i="13" s="1"/>
  <c r="I5285" i="13" s="1"/>
  <c r="K5306" i="14"/>
  <c r="L5306" i="14" s="1"/>
  <c r="I5307" i="14" s="1"/>
  <c r="N5470" i="14"/>
  <c r="J5469" i="14" a="1"/>
  <c r="J5469" i="14" s="1"/>
  <c r="M5474" i="14"/>
  <c r="M5473" i="13"/>
  <c r="J5470" i="13" a="1"/>
  <c r="J5470" i="13" s="1"/>
  <c r="N5471" i="13"/>
  <c r="K5285" i="13" l="1"/>
  <c r="L5285" i="13" s="1"/>
  <c r="I5286" i="13" s="1"/>
  <c r="M5474" i="13"/>
  <c r="N5472" i="13"/>
  <c r="J5471" i="13" a="1"/>
  <c r="J5471" i="13" s="1"/>
  <c r="M5475" i="14"/>
  <c r="K5307" i="14"/>
  <c r="L5307" i="14" s="1"/>
  <c r="I5308" i="14" s="1"/>
  <c r="N5471" i="14"/>
  <c r="J5470" i="14" a="1"/>
  <c r="J5470" i="14" s="1"/>
  <c r="K5286" i="13" l="1"/>
  <c r="L5286" i="13" s="1"/>
  <c r="I5287" i="13" s="1"/>
  <c r="K5308" i="14"/>
  <c r="L5308" i="14" s="1"/>
  <c r="I5309" i="14" s="1"/>
  <c r="N5472" i="14"/>
  <c r="J5471" i="14" a="1"/>
  <c r="J5471" i="14" s="1"/>
  <c r="M5476" i="14"/>
  <c r="M5475" i="13"/>
  <c r="J5472" i="13" a="1"/>
  <c r="J5472" i="13" s="1"/>
  <c r="N5473" i="13"/>
  <c r="K5309" i="14" l="1"/>
  <c r="L5309" i="14" s="1"/>
  <c r="I5310" i="14" s="1"/>
  <c r="K5287" i="13"/>
  <c r="L5287" i="13" s="1"/>
  <c r="I5288" i="13" s="1"/>
  <c r="M5476" i="13"/>
  <c r="N5474" i="13"/>
  <c r="J5473" i="13" a="1"/>
  <c r="J5473" i="13" s="1"/>
  <c r="M5477" i="14"/>
  <c r="J5472" i="14" a="1"/>
  <c r="J5472" i="14" s="1"/>
  <c r="N5473" i="14"/>
  <c r="K5288" i="13" l="1"/>
  <c r="L5288" i="13" s="1"/>
  <c r="I5289" i="13" s="1"/>
  <c r="K5310" i="14"/>
  <c r="L5310" i="14" s="1"/>
  <c r="I5311" i="14" s="1"/>
  <c r="N5474" i="14"/>
  <c r="J5473" i="14" a="1"/>
  <c r="J5473" i="14" s="1"/>
  <c r="J5474" i="13" a="1"/>
  <c r="J5474" i="13" s="1"/>
  <c r="N5475" i="13"/>
  <c r="M5477" i="13"/>
  <c r="M5478" i="14"/>
  <c r="K5311" i="14" l="1"/>
  <c r="L5311" i="14" s="1"/>
  <c r="I5312" i="14" s="1"/>
  <c r="K5289" i="13"/>
  <c r="L5289" i="13" s="1"/>
  <c r="I5290" i="13" s="1"/>
  <c r="J5475" i="13" a="1"/>
  <c r="J5475" i="13" s="1"/>
  <c r="N5476" i="13"/>
  <c r="M5479" i="14"/>
  <c r="M5478" i="13"/>
  <c r="N5475" i="14"/>
  <c r="J5474" i="14" a="1"/>
  <c r="J5474" i="14" s="1"/>
  <c r="K5312" i="14" l="1"/>
  <c r="L5312" i="14" s="1"/>
  <c r="I5313" i="14" s="1"/>
  <c r="M5480" i="14"/>
  <c r="K5290" i="13"/>
  <c r="L5290" i="13" s="1"/>
  <c r="I5291" i="13" s="1"/>
  <c r="N5476" i="14"/>
  <c r="J5475" i="14" a="1"/>
  <c r="J5475" i="14" s="1"/>
  <c r="J5476" i="13" a="1"/>
  <c r="J5476" i="13" s="1"/>
  <c r="N5477" i="13"/>
  <c r="M5479" i="13"/>
  <c r="K5313" i="14" l="1"/>
  <c r="L5313" i="14" s="1"/>
  <c r="I5314" i="14" s="1"/>
  <c r="K5291" i="13"/>
  <c r="L5291" i="13" s="1"/>
  <c r="I5292" i="13" s="1"/>
  <c r="N5478" i="13"/>
  <c r="J5477" i="13" a="1"/>
  <c r="J5477" i="13" s="1"/>
  <c r="M5480" i="13"/>
  <c r="J5476" i="14" a="1"/>
  <c r="J5476" i="14" s="1"/>
  <c r="N5477" i="14"/>
  <c r="M5481" i="14"/>
  <c r="K5314" i="14" l="1"/>
  <c r="L5314" i="14" s="1"/>
  <c r="I5315" i="14" s="1"/>
  <c r="M5482" i="14"/>
  <c r="M5481" i="13"/>
  <c r="K5292" i="13"/>
  <c r="L5292" i="13" s="1"/>
  <c r="I5293" i="13" s="1"/>
  <c r="N5478" i="14"/>
  <c r="J5477" i="14" a="1"/>
  <c r="J5477" i="14" s="1"/>
  <c r="J5478" i="13" a="1"/>
  <c r="J5478" i="13" s="1"/>
  <c r="N5479" i="13"/>
  <c r="K5315" i="14" l="1"/>
  <c r="L5315" i="14" s="1"/>
  <c r="I5316" i="14" s="1"/>
  <c r="J5479" i="13" a="1"/>
  <c r="J5479" i="13" s="1"/>
  <c r="N5480" i="13"/>
  <c r="M5483" i="14"/>
  <c r="K5293" i="13"/>
  <c r="L5293" i="13" s="1"/>
  <c r="I5294" i="13" s="1"/>
  <c r="N5479" i="14"/>
  <c r="J5478" i="14" a="1"/>
  <c r="J5478" i="14" s="1"/>
  <c r="M5482" i="13"/>
  <c r="K5294" i="13" l="1"/>
  <c r="L5294" i="13" s="1"/>
  <c r="I5295" i="13" s="1"/>
  <c r="K5316" i="14"/>
  <c r="L5316" i="14" s="1"/>
  <c r="I5317" i="14" s="1"/>
  <c r="J5480" i="13" a="1"/>
  <c r="J5480" i="13" s="1"/>
  <c r="N5481" i="13"/>
  <c r="M5483" i="13"/>
  <c r="N5480" i="14"/>
  <c r="J5479" i="14" a="1"/>
  <c r="J5479" i="14" s="1"/>
  <c r="M5484" i="14"/>
  <c r="K5317" i="14" l="1"/>
  <c r="L5317" i="14" s="1"/>
  <c r="I5318" i="14" s="1"/>
  <c r="K5295" i="13"/>
  <c r="L5295" i="13" s="1"/>
  <c r="I5296" i="13" s="1"/>
  <c r="M5485" i="14"/>
  <c r="M5484" i="13"/>
  <c r="N5482" i="13"/>
  <c r="J5481" i="13" a="1"/>
  <c r="J5481" i="13" s="1"/>
  <c r="J5480" i="14" a="1"/>
  <c r="J5480" i="14" s="1"/>
  <c r="N5481" i="14"/>
  <c r="K5318" i="14" l="1"/>
  <c r="L5318" i="14" s="1"/>
  <c r="I5319" i="14" s="1"/>
  <c r="N5482" i="14"/>
  <c r="J5481" i="14" a="1"/>
  <c r="J5481" i="14" s="1"/>
  <c r="M5485" i="13"/>
  <c r="K5296" i="13"/>
  <c r="L5296" i="13" s="1"/>
  <c r="I5297" i="13" s="1"/>
  <c r="M5486" i="14"/>
  <c r="J5482" i="13" a="1"/>
  <c r="J5482" i="13" s="1"/>
  <c r="N5483" i="13"/>
  <c r="K5297" i="13" l="1"/>
  <c r="L5297" i="13" s="1"/>
  <c r="I5298" i="13" s="1"/>
  <c r="K5319" i="14"/>
  <c r="L5319" i="14" s="1"/>
  <c r="I5320" i="14" s="1"/>
  <c r="N5483" i="14"/>
  <c r="J5482" i="14" a="1"/>
  <c r="J5482" i="14" s="1"/>
  <c r="J5483" i="13" a="1"/>
  <c r="J5483" i="13" s="1"/>
  <c r="N5484" i="13"/>
  <c r="M5487" i="14"/>
  <c r="M5486" i="13"/>
  <c r="K5320" i="14" l="1"/>
  <c r="L5320" i="14" s="1"/>
  <c r="I5321" i="14" s="1"/>
  <c r="K5298" i="13"/>
  <c r="L5298" i="13" s="1"/>
  <c r="I5299" i="13" s="1"/>
  <c r="J5484" i="13" a="1"/>
  <c r="J5484" i="13" s="1"/>
  <c r="N5485" i="13"/>
  <c r="M5487" i="13"/>
  <c r="M5488" i="14"/>
  <c r="N5484" i="14"/>
  <c r="J5483" i="14" a="1"/>
  <c r="J5483" i="14" s="1"/>
  <c r="K5299" i="13" l="1"/>
  <c r="L5299" i="13" s="1"/>
  <c r="I5300" i="13" s="1"/>
  <c r="J5484" i="14" a="1"/>
  <c r="J5484" i="14" s="1"/>
  <c r="N5485" i="14"/>
  <c r="M5488" i="13"/>
  <c r="M5489" i="14"/>
  <c r="N5486" i="13"/>
  <c r="J5485" i="13" a="1"/>
  <c r="J5485" i="13" s="1"/>
  <c r="K5321" i="14"/>
  <c r="L5321" i="14" s="1"/>
  <c r="I5322" i="14" s="1"/>
  <c r="K5322" i="14" l="1"/>
  <c r="L5322" i="14" s="1"/>
  <c r="I5323" i="14" s="1"/>
  <c r="K5300" i="13"/>
  <c r="L5300" i="13" s="1"/>
  <c r="I5301" i="13" s="1"/>
  <c r="M5490" i="14"/>
  <c r="N5486" i="14"/>
  <c r="J5485" i="14" a="1"/>
  <c r="J5485" i="14" s="1"/>
  <c r="M5489" i="13"/>
  <c r="J5486" i="13" a="1"/>
  <c r="J5486" i="13" s="1"/>
  <c r="N5487" i="13"/>
  <c r="K5301" i="13" l="1"/>
  <c r="L5301" i="13" s="1"/>
  <c r="I5302" i="13" s="1"/>
  <c r="K5323" i="14"/>
  <c r="L5323" i="14" s="1"/>
  <c r="I5324" i="14" s="1"/>
  <c r="J5487" i="13" a="1"/>
  <c r="J5487" i="13" s="1"/>
  <c r="N5488" i="13"/>
  <c r="N5487" i="14"/>
  <c r="J5486" i="14" a="1"/>
  <c r="J5486" i="14" s="1"/>
  <c r="M5491" i="14"/>
  <c r="M5490" i="13"/>
  <c r="K5324" i="14" l="1"/>
  <c r="L5324" i="14" s="1"/>
  <c r="I5325" i="14" s="1"/>
  <c r="K5302" i="13"/>
  <c r="L5302" i="13" s="1"/>
  <c r="I5303" i="13" s="1"/>
  <c r="M5491" i="13"/>
  <c r="N5488" i="14"/>
  <c r="J5487" i="14" a="1"/>
  <c r="J5487" i="14" s="1"/>
  <c r="J5488" i="13" a="1"/>
  <c r="J5488" i="13" s="1"/>
  <c r="N5489" i="13"/>
  <c r="M5492" i="14"/>
  <c r="K5325" i="14" l="1"/>
  <c r="L5325" i="14" s="1"/>
  <c r="I5326" i="14" s="1"/>
  <c r="M5493" i="14"/>
  <c r="J5488" i="14" a="1"/>
  <c r="J5488" i="14" s="1"/>
  <c r="N5489" i="14"/>
  <c r="K5303" i="13"/>
  <c r="L5303" i="13" s="1"/>
  <c r="I5304" i="13" s="1"/>
  <c r="N5490" i="13"/>
  <c r="J5489" i="13" a="1"/>
  <c r="J5489" i="13" s="1"/>
  <c r="M5492" i="13"/>
  <c r="K5326" i="14" l="1"/>
  <c r="L5326" i="14" s="1"/>
  <c r="I5327" i="14" s="1"/>
  <c r="J5490" i="13" a="1"/>
  <c r="J5490" i="13" s="1"/>
  <c r="N5491" i="13"/>
  <c r="M5493" i="13"/>
  <c r="K5304" i="13"/>
  <c r="L5304" i="13" s="1"/>
  <c r="I5305" i="13" s="1"/>
  <c r="M5494" i="14"/>
  <c r="N5490" i="14"/>
  <c r="J5489" i="14" a="1"/>
  <c r="J5489" i="14" s="1"/>
  <c r="K5305" i="13" l="1"/>
  <c r="L5305" i="13" s="1"/>
  <c r="I5306" i="13" s="1"/>
  <c r="K5327" i="14"/>
  <c r="L5327" i="14" s="1"/>
  <c r="I5328" i="14" s="1"/>
  <c r="J5491" i="13" a="1"/>
  <c r="J5491" i="13" s="1"/>
  <c r="N5492" i="13"/>
  <c r="N5491" i="14"/>
  <c r="J5490" i="14" a="1"/>
  <c r="J5490" i="14" s="1"/>
  <c r="M5495" i="14"/>
  <c r="M5494" i="13"/>
  <c r="K5328" i="14" l="1"/>
  <c r="L5328" i="14" s="1"/>
  <c r="I5329" i="14" s="1"/>
  <c r="K5306" i="13"/>
  <c r="L5306" i="13" s="1"/>
  <c r="I5307" i="13" s="1"/>
  <c r="M5495" i="13"/>
  <c r="N5492" i="14"/>
  <c r="J5491" i="14" a="1"/>
  <c r="J5491" i="14" s="1"/>
  <c r="J5492" i="13" a="1"/>
  <c r="J5492" i="13" s="1"/>
  <c r="N5493" i="13"/>
  <c r="M5496" i="14"/>
  <c r="K5307" i="13" l="1"/>
  <c r="L5307" i="13" s="1"/>
  <c r="I5308" i="13" s="1"/>
  <c r="K5329" i="14"/>
  <c r="L5329" i="14" s="1"/>
  <c r="I5330" i="14" s="1"/>
  <c r="J5492" i="14" a="1"/>
  <c r="J5492" i="14" s="1"/>
  <c r="N5493" i="14"/>
  <c r="M5497" i="14"/>
  <c r="N5494" i="13"/>
  <c r="J5493" i="13" a="1"/>
  <c r="J5493" i="13" s="1"/>
  <c r="M5496" i="13"/>
  <c r="K5330" i="14" l="1"/>
  <c r="L5330" i="14" s="1"/>
  <c r="I5331" i="14" s="1"/>
  <c r="K5308" i="13"/>
  <c r="L5308" i="13" s="1"/>
  <c r="I5309" i="13" s="1"/>
  <c r="N5494" i="14"/>
  <c r="J5493" i="14" a="1"/>
  <c r="J5493" i="14" s="1"/>
  <c r="M5497" i="13"/>
  <c r="J5494" i="13" a="1"/>
  <c r="J5494" i="13" s="1"/>
  <c r="N5495" i="13"/>
  <c r="M5498" i="14"/>
  <c r="K5331" i="14" l="1"/>
  <c r="L5331" i="14" s="1"/>
  <c r="I5332" i="14" s="1"/>
  <c r="K5309" i="13"/>
  <c r="L5309" i="13" s="1"/>
  <c r="I5310" i="13" s="1"/>
  <c r="M5499" i="14"/>
  <c r="M5498" i="13"/>
  <c r="J5495" i="13" a="1"/>
  <c r="J5495" i="13" s="1"/>
  <c r="N5496" i="13"/>
  <c r="N5495" i="14"/>
  <c r="J5494" i="14" a="1"/>
  <c r="J5494" i="14" s="1"/>
  <c r="K5310" i="13" l="1"/>
  <c r="L5310" i="13" s="1"/>
  <c r="I5311" i="13" s="1"/>
  <c r="K5332" i="14"/>
  <c r="L5332" i="14" s="1"/>
  <c r="I5333" i="14" s="1"/>
  <c r="N5496" i="14"/>
  <c r="J5495" i="14" a="1"/>
  <c r="J5495" i="14" s="1"/>
  <c r="M5499" i="13"/>
  <c r="J5496" i="13" a="1"/>
  <c r="J5496" i="13" s="1"/>
  <c r="N5497" i="13"/>
  <c r="M5500" i="14"/>
  <c r="K5311" i="13" l="1"/>
  <c r="L5311" i="13" s="1"/>
  <c r="I5312" i="13" s="1"/>
  <c r="K5333" i="14"/>
  <c r="L5333" i="14" s="1"/>
  <c r="I5334" i="14" s="1"/>
  <c r="N5498" i="13"/>
  <c r="J5497" i="13" a="1"/>
  <c r="J5497" i="13" s="1"/>
  <c r="M5501" i="14"/>
  <c r="M5500" i="13"/>
  <c r="J5496" i="14" a="1"/>
  <c r="J5496" i="14" s="1"/>
  <c r="N5497" i="14"/>
  <c r="K5334" i="14" l="1"/>
  <c r="L5334" i="14" s="1"/>
  <c r="I5335" i="14" s="1"/>
  <c r="K5312" i="13"/>
  <c r="L5312" i="13" s="1"/>
  <c r="I5313" i="13" s="1"/>
  <c r="N5498" i="14"/>
  <c r="J5497" i="14" a="1"/>
  <c r="J5497" i="14" s="1"/>
  <c r="M5502" i="14"/>
  <c r="M5501" i="13"/>
  <c r="J5498" i="13" a="1"/>
  <c r="J5498" i="13" s="1"/>
  <c r="N5499" i="13"/>
  <c r="K5313" i="13" l="1"/>
  <c r="L5313" i="13" s="1"/>
  <c r="I5314" i="13" s="1"/>
  <c r="K5335" i="14"/>
  <c r="L5335" i="14" s="1"/>
  <c r="I5336" i="14" s="1"/>
  <c r="J5499" i="13" a="1"/>
  <c r="J5499" i="13" s="1"/>
  <c r="N5500" i="13"/>
  <c r="M5503" i="14"/>
  <c r="M5502" i="13"/>
  <c r="N5499" i="14"/>
  <c r="J5498" i="14" a="1"/>
  <c r="J5498" i="14" s="1"/>
  <c r="K5336" i="14" l="1"/>
  <c r="L5336" i="14" s="1"/>
  <c r="I5337" i="14" s="1"/>
  <c r="K5314" i="13"/>
  <c r="L5314" i="13" s="1"/>
  <c r="I5315" i="13" s="1"/>
  <c r="N5500" i="14"/>
  <c r="J5499" i="14" a="1"/>
  <c r="J5499" i="14" s="1"/>
  <c r="M5504" i="14"/>
  <c r="J5500" i="13" a="1"/>
  <c r="J5500" i="13" s="1"/>
  <c r="N5501" i="13"/>
  <c r="M5503" i="13"/>
  <c r="K5315" i="13" l="1"/>
  <c r="L5315" i="13" s="1"/>
  <c r="I5316" i="13" s="1"/>
  <c r="K5337" i="14"/>
  <c r="L5337" i="14" s="1"/>
  <c r="I5338" i="14" s="1"/>
  <c r="N5502" i="13"/>
  <c r="J5501" i="13" a="1"/>
  <c r="J5501" i="13" s="1"/>
  <c r="M5505" i="14"/>
  <c r="M5504" i="13"/>
  <c r="J5500" i="14" a="1"/>
  <c r="J5500" i="14" s="1"/>
  <c r="N5501" i="14"/>
  <c r="K5316" i="13" l="1"/>
  <c r="L5316" i="13" s="1"/>
  <c r="I5317" i="13" s="1"/>
  <c r="M5505" i="13"/>
  <c r="N5502" i="14"/>
  <c r="J5501" i="14" a="1"/>
  <c r="J5501" i="14" s="1"/>
  <c r="M5506" i="14"/>
  <c r="K5338" i="14"/>
  <c r="L5338" i="14" s="1"/>
  <c r="I5339" i="14" s="1"/>
  <c r="J5502" i="13" a="1"/>
  <c r="J5502" i="13" s="1"/>
  <c r="N5503" i="13"/>
  <c r="K5339" i="14" l="1"/>
  <c r="L5339" i="14" s="1"/>
  <c r="I5340" i="14" s="1"/>
  <c r="K5317" i="13"/>
  <c r="L5317" i="13" s="1"/>
  <c r="I5318" i="13" s="1"/>
  <c r="J5503" i="13" a="1"/>
  <c r="J5503" i="13" s="1"/>
  <c r="N5504" i="13"/>
  <c r="M5507" i="14"/>
  <c r="M5506" i="13"/>
  <c r="N5503" i="14"/>
  <c r="J5502" i="14" a="1"/>
  <c r="J5502" i="14" s="1"/>
  <c r="K5340" i="14" l="1"/>
  <c r="L5340" i="14" s="1"/>
  <c r="I5341" i="14" s="1"/>
  <c r="K5318" i="13"/>
  <c r="L5318" i="13" s="1"/>
  <c r="I5319" i="13" s="1"/>
  <c r="M5508" i="14"/>
  <c r="J5504" i="13" a="1"/>
  <c r="J5504" i="13" s="1"/>
  <c r="N5505" i="13"/>
  <c r="N5504" i="14"/>
  <c r="J5503" i="14" a="1"/>
  <c r="J5503" i="14" s="1"/>
  <c r="M5507" i="13"/>
  <c r="K5341" i="14" l="1"/>
  <c r="L5341" i="14" s="1"/>
  <c r="I5342" i="14" s="1"/>
  <c r="N5506" i="13"/>
  <c r="J5505" i="13" a="1"/>
  <c r="J5505" i="13" s="1"/>
  <c r="K5319" i="13"/>
  <c r="L5319" i="13" s="1"/>
  <c r="I5320" i="13" s="1"/>
  <c r="M5508" i="13"/>
  <c r="M5509" i="14"/>
  <c r="J5504" i="14" a="1"/>
  <c r="J5504" i="14" s="1"/>
  <c r="N5505" i="14"/>
  <c r="K5320" i="13" l="1"/>
  <c r="L5320" i="13" s="1"/>
  <c r="I5321" i="13" s="1"/>
  <c r="K5342" i="14"/>
  <c r="L5342" i="14" s="1"/>
  <c r="I5343" i="14" s="1"/>
  <c r="J5506" i="13" a="1"/>
  <c r="J5506" i="13" s="1"/>
  <c r="N5507" i="13"/>
  <c r="N5506" i="14"/>
  <c r="J5505" i="14" a="1"/>
  <c r="J5505" i="14" s="1"/>
  <c r="M5509" i="13"/>
  <c r="M5510" i="14"/>
  <c r="K5343" i="14" l="1"/>
  <c r="L5343" i="14" s="1"/>
  <c r="I5344" i="14" s="1"/>
  <c r="K5321" i="13"/>
  <c r="L5321" i="13" s="1"/>
  <c r="I5322" i="13" s="1"/>
  <c r="M5510" i="13"/>
  <c r="M5511" i="14"/>
  <c r="N5507" i="14"/>
  <c r="J5506" i="14" a="1"/>
  <c r="J5506" i="14" s="1"/>
  <c r="J5507" i="13" a="1"/>
  <c r="J5507" i="13" s="1"/>
  <c r="N5508" i="13"/>
  <c r="K5322" i="13" l="1"/>
  <c r="L5322" i="13" s="1"/>
  <c r="I5323" i="13" s="1"/>
  <c r="K5344" i="14"/>
  <c r="L5344" i="14" s="1"/>
  <c r="I5345" i="14" s="1"/>
  <c r="J5508" i="13" a="1"/>
  <c r="J5508" i="13" s="1"/>
  <c r="N5509" i="13"/>
  <c r="M5512" i="14"/>
  <c r="N5508" i="14"/>
  <c r="J5507" i="14" a="1"/>
  <c r="J5507" i="14" s="1"/>
  <c r="M5511" i="13"/>
  <c r="K5345" i="14" l="1"/>
  <c r="L5345" i="14" s="1"/>
  <c r="I5346" i="14" s="1"/>
  <c r="K5323" i="13"/>
  <c r="L5323" i="13" s="1"/>
  <c r="I5324" i="13" s="1"/>
  <c r="J5508" i="14" a="1"/>
  <c r="J5508" i="14" s="1"/>
  <c r="N5509" i="14"/>
  <c r="M5512" i="13"/>
  <c r="M5513" i="14"/>
  <c r="N5510" i="13"/>
  <c r="J5509" i="13" a="1"/>
  <c r="J5509" i="13" s="1"/>
  <c r="M5513" i="13" l="1"/>
  <c r="K5324" i="13"/>
  <c r="L5324" i="13" s="1"/>
  <c r="I5325" i="13" s="1"/>
  <c r="J5510" i="13" a="1"/>
  <c r="J5510" i="13" s="1"/>
  <c r="N5511" i="13"/>
  <c r="M5514" i="14"/>
  <c r="N5510" i="14"/>
  <c r="J5509" i="14" a="1"/>
  <c r="J5509" i="14" s="1"/>
  <c r="K5346" i="14"/>
  <c r="L5346" i="14" s="1"/>
  <c r="I5347" i="14" s="1"/>
  <c r="N5511" i="14" l="1"/>
  <c r="J5510" i="14" a="1"/>
  <c r="J5510" i="14" s="1"/>
  <c r="M5515" i="14"/>
  <c r="K5347" i="14"/>
  <c r="L5347" i="14" s="1"/>
  <c r="I5348" i="14" s="1"/>
  <c r="K5325" i="13"/>
  <c r="L5325" i="13" s="1"/>
  <c r="I5326" i="13" s="1"/>
  <c r="J5511" i="13" a="1"/>
  <c r="J5511" i="13" s="1"/>
  <c r="N5512" i="13"/>
  <c r="M5514" i="13"/>
  <c r="K5348" i="14" l="1"/>
  <c r="L5348" i="14" s="1"/>
  <c r="I5349" i="14" s="1"/>
  <c r="J5512" i="13" a="1"/>
  <c r="J5512" i="13" s="1"/>
  <c r="N5513" i="13"/>
  <c r="M5515" i="13"/>
  <c r="K5326" i="13"/>
  <c r="L5326" i="13" s="1"/>
  <c r="I5327" i="13" s="1"/>
  <c r="M5516" i="14"/>
  <c r="N5512" i="14"/>
  <c r="J5511" i="14" a="1"/>
  <c r="J5511" i="14" s="1"/>
  <c r="K5327" i="13" l="1"/>
  <c r="L5327" i="13" s="1"/>
  <c r="I5328" i="13" s="1"/>
  <c r="K5349" i="14"/>
  <c r="L5349" i="14" s="1"/>
  <c r="I5350" i="14" s="1"/>
  <c r="N5514" i="13"/>
  <c r="J5513" i="13" a="1"/>
  <c r="J5513" i="13" s="1"/>
  <c r="J5512" i="14" a="1"/>
  <c r="J5512" i="14" s="1"/>
  <c r="N5513" i="14"/>
  <c r="M5517" i="14"/>
  <c r="M5516" i="13"/>
  <c r="K5328" i="13" l="1"/>
  <c r="L5328" i="13" s="1"/>
  <c r="I5329" i="13" s="1"/>
  <c r="M5517" i="13"/>
  <c r="N5514" i="14"/>
  <c r="J5513" i="14" a="1"/>
  <c r="J5513" i="14" s="1"/>
  <c r="K5350" i="14"/>
  <c r="L5350" i="14" s="1"/>
  <c r="I5351" i="14" s="1"/>
  <c r="M5518" i="14"/>
  <c r="J5514" i="13" a="1"/>
  <c r="J5514" i="13" s="1"/>
  <c r="N5515" i="13"/>
  <c r="K5329" i="13" l="1"/>
  <c r="L5329" i="13" s="1"/>
  <c r="I5330" i="13" s="1"/>
  <c r="J5515" i="13" a="1"/>
  <c r="J5515" i="13" s="1"/>
  <c r="N5516" i="13"/>
  <c r="K5351" i="14"/>
  <c r="L5351" i="14" s="1"/>
  <c r="I5352" i="14" s="1"/>
  <c r="M5518" i="13"/>
  <c r="M5519" i="14"/>
  <c r="N5515" i="14"/>
  <c r="J5514" i="14" a="1"/>
  <c r="J5514" i="14" s="1"/>
  <c r="K5330" i="13" l="1"/>
  <c r="L5330" i="13" s="1"/>
  <c r="I5331" i="13" s="1"/>
  <c r="K5352" i="14"/>
  <c r="L5352" i="14" s="1"/>
  <c r="I5353" i="14" s="1"/>
  <c r="J5516" i="13" a="1"/>
  <c r="J5516" i="13" s="1"/>
  <c r="N5517" i="13"/>
  <c r="N5516" i="14"/>
  <c r="J5515" i="14" a="1"/>
  <c r="J5515" i="14" s="1"/>
  <c r="M5519" i="13"/>
  <c r="M5520" i="14"/>
  <c r="K5331" i="13" l="1"/>
  <c r="L5331" i="13" s="1"/>
  <c r="I5332" i="13" s="1"/>
  <c r="J5516" i="14" a="1"/>
  <c r="J5516" i="14" s="1"/>
  <c r="N5517" i="14"/>
  <c r="K5353" i="14"/>
  <c r="L5353" i="14" s="1"/>
  <c r="I5354" i="14" s="1"/>
  <c r="N5518" i="13"/>
  <c r="J5517" i="13" a="1"/>
  <c r="J5517" i="13" s="1"/>
  <c r="M5521" i="14"/>
  <c r="M5520" i="13"/>
  <c r="K5354" i="14" l="1"/>
  <c r="L5354" i="14" s="1"/>
  <c r="I5355" i="14" s="1"/>
  <c r="K5332" i="13"/>
  <c r="L5332" i="13" s="1"/>
  <c r="I5333" i="13" s="1"/>
  <c r="N5518" i="14"/>
  <c r="J5517" i="14" a="1"/>
  <c r="J5517" i="14" s="1"/>
  <c r="M5521" i="13"/>
  <c r="M5522" i="14"/>
  <c r="J5518" i="13" a="1"/>
  <c r="J5518" i="13" s="1"/>
  <c r="N5519" i="13"/>
  <c r="K5355" i="14" l="1"/>
  <c r="L5355" i="14" s="1"/>
  <c r="I5356" i="14" s="1"/>
  <c r="J5519" i="13" a="1"/>
  <c r="J5519" i="13" s="1"/>
  <c r="N5520" i="13"/>
  <c r="K5333" i="13"/>
  <c r="L5333" i="13" s="1"/>
  <c r="I5334" i="13" s="1"/>
  <c r="M5522" i="13"/>
  <c r="M5523" i="14"/>
  <c r="J5518" i="14" a="1"/>
  <c r="J5518" i="14" s="1"/>
  <c r="N5519" i="14"/>
  <c r="K5334" i="13" l="1"/>
  <c r="L5334" i="13" s="1"/>
  <c r="I5335" i="13" s="1"/>
  <c r="K5356" i="14"/>
  <c r="L5356" i="14" s="1"/>
  <c r="I5357" i="14" s="1"/>
  <c r="M5523" i="13"/>
  <c r="N5520" i="14"/>
  <c r="J5519" i="14" a="1"/>
  <c r="J5519" i="14" s="1"/>
  <c r="J5520" i="13" a="1"/>
  <c r="J5520" i="13" s="1"/>
  <c r="N5521" i="13"/>
  <c r="M5524" i="14"/>
  <c r="K5335" i="13" l="1"/>
  <c r="L5335" i="13" s="1"/>
  <c r="I5336" i="13" s="1"/>
  <c r="M5525" i="14"/>
  <c r="K5357" i="14"/>
  <c r="L5357" i="14" s="1"/>
  <c r="I5358" i="14" s="1"/>
  <c r="J5520" i="14" a="1"/>
  <c r="J5520" i="14" s="1"/>
  <c r="N5521" i="14"/>
  <c r="N5522" i="13"/>
  <c r="J5521" i="13" a="1"/>
  <c r="J5521" i="13" s="1"/>
  <c r="M5524" i="13"/>
  <c r="K5358" i="14" l="1"/>
  <c r="L5358" i="14" s="1"/>
  <c r="I5359" i="14" s="1"/>
  <c r="K5336" i="13"/>
  <c r="L5336" i="13" s="1"/>
  <c r="I5337" i="13" s="1"/>
  <c r="M5525" i="13"/>
  <c r="J5521" i="14" a="1"/>
  <c r="J5521" i="14" s="1"/>
  <c r="N5522" i="14"/>
  <c r="M5526" i="14"/>
  <c r="J5522" i="13" a="1"/>
  <c r="J5522" i="13" s="1"/>
  <c r="N5523" i="13"/>
  <c r="K5359" i="14" l="1"/>
  <c r="L5359" i="14" s="1"/>
  <c r="I5360" i="14" s="1"/>
  <c r="J5522" i="14" a="1"/>
  <c r="J5522" i="14" s="1"/>
  <c r="N5523" i="14"/>
  <c r="J5523" i="13" a="1"/>
  <c r="J5523" i="13" s="1"/>
  <c r="N5524" i="13"/>
  <c r="K5337" i="13"/>
  <c r="L5337" i="13" s="1"/>
  <c r="I5338" i="13" s="1"/>
  <c r="M5527" i="14"/>
  <c r="M5526" i="13"/>
  <c r="K5360" i="14" l="1"/>
  <c r="L5360" i="14" s="1"/>
  <c r="I5361" i="14" s="1"/>
  <c r="J5524" i="13" a="1"/>
  <c r="J5524" i="13" s="1"/>
  <c r="N5525" i="13"/>
  <c r="M5528" i="14"/>
  <c r="N5524" i="14"/>
  <c r="J5523" i="14" a="1"/>
  <c r="J5523" i="14" s="1"/>
  <c r="K5338" i="13"/>
  <c r="L5338" i="13" s="1"/>
  <c r="I5339" i="13" s="1"/>
  <c r="M5527" i="13"/>
  <c r="K5339" i="13" l="1"/>
  <c r="L5339" i="13" s="1"/>
  <c r="I5340" i="13" s="1"/>
  <c r="K5361" i="14"/>
  <c r="L5361" i="14" s="1"/>
  <c r="I5362" i="14" s="1"/>
  <c r="N5526" i="13"/>
  <c r="J5525" i="13" a="1"/>
  <c r="J5525" i="13" s="1"/>
  <c r="M5528" i="13"/>
  <c r="J5524" i="14" a="1"/>
  <c r="J5524" i="14" s="1"/>
  <c r="N5525" i="14"/>
  <c r="M5529" i="14"/>
  <c r="K5340" i="13" l="1"/>
  <c r="L5340" i="13" s="1"/>
  <c r="I5341" i="13" s="1"/>
  <c r="K5362" i="14"/>
  <c r="L5362" i="14" s="1"/>
  <c r="I5363" i="14" s="1"/>
  <c r="J5526" i="13" a="1"/>
  <c r="J5526" i="13" s="1"/>
  <c r="N5527" i="13"/>
  <c r="M5529" i="13"/>
  <c r="M5530" i="14"/>
  <c r="J5525" i="14" a="1"/>
  <c r="J5525" i="14" s="1"/>
  <c r="N5526" i="14"/>
  <c r="K5363" i="14" l="1"/>
  <c r="L5363" i="14" s="1"/>
  <c r="I5364" i="14" s="1"/>
  <c r="K5341" i="13"/>
  <c r="L5341" i="13" s="1"/>
  <c r="I5342" i="13" s="1"/>
  <c r="N5527" i="14"/>
  <c r="J5526" i="14" a="1"/>
  <c r="J5526" i="14" s="1"/>
  <c r="M5530" i="13"/>
  <c r="M5531" i="14"/>
  <c r="J5527" i="13" a="1"/>
  <c r="J5527" i="13" s="1"/>
  <c r="N5528" i="13"/>
  <c r="K5364" i="14" l="1"/>
  <c r="L5364" i="14" s="1"/>
  <c r="I5365" i="14" s="1"/>
  <c r="J5528" i="13" a="1"/>
  <c r="J5528" i="13" s="1"/>
  <c r="N5529" i="13"/>
  <c r="K5342" i="13"/>
  <c r="L5342" i="13" s="1"/>
  <c r="I5343" i="13" s="1"/>
  <c r="M5531" i="13"/>
  <c r="M5532" i="14"/>
  <c r="N5528" i="14"/>
  <c r="J5527" i="14" a="1"/>
  <c r="J5527" i="14" s="1"/>
  <c r="K5343" i="13" l="1"/>
  <c r="L5343" i="13" s="1"/>
  <c r="I5344" i="13" s="1"/>
  <c r="K5365" i="14"/>
  <c r="L5365" i="14" s="1"/>
  <c r="I5366" i="14" s="1"/>
  <c r="N5530" i="13"/>
  <c r="J5529" i="13" a="1"/>
  <c r="J5529" i="13" s="1"/>
  <c r="M5532" i="13"/>
  <c r="J5528" i="14" a="1"/>
  <c r="J5528" i="14" s="1"/>
  <c r="N5529" i="14"/>
  <c r="M5533" i="14"/>
  <c r="K5344" i="13" l="1"/>
  <c r="L5344" i="13" s="1"/>
  <c r="I5345" i="13" s="1"/>
  <c r="N5530" i="14"/>
  <c r="J5529" i="14" a="1"/>
  <c r="J5529" i="14" s="1"/>
  <c r="M5534" i="14"/>
  <c r="M5533" i="13"/>
  <c r="K5366" i="14"/>
  <c r="L5366" i="14" s="1"/>
  <c r="I5367" i="14" s="1"/>
  <c r="J5530" i="13" a="1"/>
  <c r="J5530" i="13" s="1"/>
  <c r="N5531" i="13"/>
  <c r="K5367" i="14" l="1"/>
  <c r="L5367" i="14" s="1"/>
  <c r="I5368" i="14" s="1"/>
  <c r="K5345" i="13"/>
  <c r="L5345" i="13" s="1"/>
  <c r="I5346" i="13" s="1"/>
  <c r="J5531" i="13" a="1"/>
  <c r="J5531" i="13" s="1"/>
  <c r="N5532" i="13"/>
  <c r="N5531" i="14"/>
  <c r="J5530" i="14" a="1"/>
  <c r="J5530" i="14" s="1"/>
  <c r="M5534" i="13"/>
  <c r="M5535" i="14"/>
  <c r="K5346" i="13" l="1"/>
  <c r="L5346" i="13" s="1"/>
  <c r="I5347" i="13" s="1"/>
  <c r="K5368" i="14"/>
  <c r="L5368" i="14" s="1"/>
  <c r="I5369" i="14" s="1"/>
  <c r="M5535" i="13"/>
  <c r="M5536" i="14"/>
  <c r="N5532" i="14"/>
  <c r="J5531" i="14" a="1"/>
  <c r="J5531" i="14" s="1"/>
  <c r="J5532" i="13" a="1"/>
  <c r="J5532" i="13" s="1"/>
  <c r="N5533" i="13"/>
  <c r="K5347" i="13" l="1"/>
  <c r="L5347" i="13" s="1"/>
  <c r="I5348" i="13" s="1"/>
  <c r="N5534" i="13"/>
  <c r="J5533" i="13" a="1"/>
  <c r="J5533" i="13" s="1"/>
  <c r="M5537" i="14"/>
  <c r="K5369" i="14"/>
  <c r="L5369" i="14" s="1"/>
  <c r="I5370" i="14" s="1"/>
  <c r="J5532" i="14" a="1"/>
  <c r="J5532" i="14" s="1"/>
  <c r="N5533" i="14"/>
  <c r="M5536" i="13"/>
  <c r="K5370" i="14" l="1"/>
  <c r="L5370" i="14" s="1"/>
  <c r="I5371" i="14" s="1"/>
  <c r="K5348" i="13"/>
  <c r="L5348" i="13" s="1"/>
  <c r="I5349" i="13" s="1"/>
  <c r="J5534" i="13" a="1"/>
  <c r="J5534" i="13" s="1"/>
  <c r="N5535" i="13"/>
  <c r="M5537" i="13"/>
  <c r="N5534" i="14"/>
  <c r="J5533" i="14" a="1"/>
  <c r="J5533" i="14" s="1"/>
  <c r="M5538" i="14"/>
  <c r="K5349" i="13" l="1"/>
  <c r="L5349" i="13" s="1"/>
  <c r="I5350" i="13" s="1"/>
  <c r="K5371" i="14"/>
  <c r="L5371" i="14" s="1"/>
  <c r="I5372" i="14" s="1"/>
  <c r="M5539" i="14"/>
  <c r="M5538" i="13"/>
  <c r="J5535" i="13" a="1"/>
  <c r="J5535" i="13" s="1"/>
  <c r="N5536" i="13"/>
  <c r="N5535" i="14"/>
  <c r="J5534" i="14" a="1"/>
  <c r="J5534" i="14" s="1"/>
  <c r="K5372" i="14" l="1"/>
  <c r="L5372" i="14" s="1"/>
  <c r="I5373" i="14" s="1"/>
  <c r="K5350" i="13"/>
  <c r="L5350" i="13" s="1"/>
  <c r="I5351" i="13" s="1"/>
  <c r="J5536" i="13" a="1"/>
  <c r="J5536" i="13" s="1"/>
  <c r="N5537" i="13"/>
  <c r="N5536" i="14"/>
  <c r="J5535" i="14" a="1"/>
  <c r="J5535" i="14" s="1"/>
  <c r="M5539" i="13"/>
  <c r="M5540" i="14"/>
  <c r="K5351" i="13" l="1"/>
  <c r="L5351" i="13" s="1"/>
  <c r="I5352" i="13" s="1"/>
  <c r="K5373" i="14"/>
  <c r="L5373" i="14" s="1"/>
  <c r="I5374" i="14" s="1"/>
  <c r="N5538" i="13"/>
  <c r="J5537" i="13" a="1"/>
  <c r="J5537" i="13" s="1"/>
  <c r="M5540" i="13"/>
  <c r="M5541" i="14"/>
  <c r="J5536" i="14" a="1"/>
  <c r="J5536" i="14" s="1"/>
  <c r="N5537" i="14"/>
  <c r="K5374" i="14" l="1"/>
  <c r="L5374" i="14" s="1"/>
  <c r="I5375" i="14" s="1"/>
  <c r="K5352" i="13"/>
  <c r="L5352" i="13" s="1"/>
  <c r="I5353" i="13" s="1"/>
  <c r="N5538" i="14"/>
  <c r="J5537" i="14" a="1"/>
  <c r="J5537" i="14" s="1"/>
  <c r="M5541" i="13"/>
  <c r="M5542" i="14"/>
  <c r="J5538" i="13" a="1"/>
  <c r="J5538" i="13" s="1"/>
  <c r="N5539" i="13"/>
  <c r="K5375" i="14" l="1"/>
  <c r="L5375" i="14" s="1"/>
  <c r="I5376" i="14" s="1"/>
  <c r="J5539" i="13" a="1"/>
  <c r="J5539" i="13" s="1"/>
  <c r="N5540" i="13"/>
  <c r="M5542" i="13"/>
  <c r="K5353" i="13"/>
  <c r="L5353" i="13" s="1"/>
  <c r="I5354" i="13" s="1"/>
  <c r="M5543" i="14"/>
  <c r="N5539" i="14"/>
  <c r="J5538" i="14" a="1"/>
  <c r="J5538" i="14" s="1"/>
  <c r="K5376" i="14" l="1"/>
  <c r="L5376" i="14" s="1"/>
  <c r="I5377" i="14" s="1"/>
  <c r="J5540" i="13" a="1"/>
  <c r="J5540" i="13" s="1"/>
  <c r="N5541" i="13"/>
  <c r="N5540" i="14"/>
  <c r="J5539" i="14" a="1"/>
  <c r="J5539" i="14" s="1"/>
  <c r="K5354" i="13"/>
  <c r="L5354" i="13" s="1"/>
  <c r="I5355" i="13" s="1"/>
  <c r="M5544" i="14"/>
  <c r="M5543" i="13"/>
  <c r="K5355" i="13" l="1"/>
  <c r="L5355" i="13" s="1"/>
  <c r="I5356" i="13" s="1"/>
  <c r="K5377" i="14"/>
  <c r="L5377" i="14" s="1"/>
  <c r="I5378" i="14" s="1"/>
  <c r="N5542" i="13"/>
  <c r="J5541" i="13" a="1"/>
  <c r="J5541" i="13" s="1"/>
  <c r="M5544" i="13"/>
  <c r="M5545" i="14"/>
  <c r="J5540" i="14" a="1"/>
  <c r="J5540" i="14" s="1"/>
  <c r="N5541" i="14"/>
  <c r="K5378" i="14" l="1"/>
  <c r="L5378" i="14" s="1"/>
  <c r="I5379" i="14" s="1"/>
  <c r="K5356" i="13"/>
  <c r="L5356" i="13" s="1"/>
  <c r="I5357" i="13" s="1"/>
  <c r="N5542" i="14"/>
  <c r="J5541" i="14" a="1"/>
  <c r="J5541" i="14" s="1"/>
  <c r="M5545" i="13"/>
  <c r="M5546" i="14"/>
  <c r="J5542" i="13" a="1"/>
  <c r="J5542" i="13" s="1"/>
  <c r="N5543" i="13"/>
  <c r="K5379" i="14" l="1"/>
  <c r="L5379" i="14" s="1"/>
  <c r="I5380" i="14" s="1"/>
  <c r="J5543" i="13" a="1"/>
  <c r="J5543" i="13" s="1"/>
  <c r="N5544" i="13"/>
  <c r="M5546" i="13"/>
  <c r="K5357" i="13"/>
  <c r="L5357" i="13" s="1"/>
  <c r="I5358" i="13" s="1"/>
  <c r="M5547" i="14"/>
  <c r="N5543" i="14"/>
  <c r="J5542" i="14" a="1"/>
  <c r="J5542" i="14" s="1"/>
  <c r="K5380" i="14" l="1"/>
  <c r="L5380" i="14" s="1"/>
  <c r="I5381" i="14" s="1"/>
  <c r="K5358" i="13"/>
  <c r="L5358" i="13" s="1"/>
  <c r="I5359" i="13" s="1"/>
  <c r="J5544" i="13" a="1"/>
  <c r="J5544" i="13" s="1"/>
  <c r="N5545" i="13"/>
  <c r="N5544" i="14"/>
  <c r="J5543" i="14" a="1"/>
  <c r="J5543" i="14" s="1"/>
  <c r="M5548" i="14"/>
  <c r="M5547" i="13"/>
  <c r="K5359" i="13" l="1"/>
  <c r="L5359" i="13" s="1"/>
  <c r="I5360" i="13" s="1"/>
  <c r="K5381" i="14"/>
  <c r="L5381" i="14" s="1"/>
  <c r="I5382" i="14" s="1"/>
  <c r="M5548" i="13"/>
  <c r="J5544" i="14" a="1"/>
  <c r="J5544" i="14" s="1"/>
  <c r="N5545" i="14"/>
  <c r="M5549" i="14"/>
  <c r="N5546" i="13"/>
  <c r="J5545" i="13" a="1"/>
  <c r="J5545" i="13" s="1"/>
  <c r="K5382" i="14" l="1"/>
  <c r="L5382" i="14" s="1"/>
  <c r="I5383" i="14" s="1"/>
  <c r="K5360" i="13"/>
  <c r="L5360" i="13" s="1"/>
  <c r="I5361" i="13" s="1"/>
  <c r="N5546" i="14"/>
  <c r="J5545" i="14" a="1"/>
  <c r="J5545" i="14" s="1"/>
  <c r="M5549" i="13"/>
  <c r="J5546" i="13" a="1"/>
  <c r="J5546" i="13" s="1"/>
  <c r="N5547" i="13"/>
  <c r="M5550" i="14"/>
  <c r="K5361" i="13" l="1"/>
  <c r="L5361" i="13" s="1"/>
  <c r="I5362" i="13" s="1"/>
  <c r="K5383" i="14"/>
  <c r="L5383" i="14" s="1"/>
  <c r="I5384" i="14" s="1"/>
  <c r="M5550" i="13"/>
  <c r="J5547" i="13" a="1"/>
  <c r="J5547" i="13" s="1"/>
  <c r="N5548" i="13"/>
  <c r="M5551" i="14"/>
  <c r="N5547" i="14"/>
  <c r="J5546" i="14" a="1"/>
  <c r="J5546" i="14" s="1"/>
  <c r="J5548" i="13" l="1" a="1"/>
  <c r="J5548" i="13" s="1"/>
  <c r="N5549" i="13"/>
  <c r="N5548" i="14"/>
  <c r="J5547" i="14" a="1"/>
  <c r="J5547" i="14" s="1"/>
  <c r="K5384" i="14"/>
  <c r="L5384" i="14" s="1"/>
  <c r="I5385" i="14" s="1"/>
  <c r="M5552" i="14"/>
  <c r="M5551" i="13"/>
  <c r="K5362" i="13"/>
  <c r="L5362" i="13" s="1"/>
  <c r="I5363" i="13" s="1"/>
  <c r="K5363" i="13" l="1"/>
  <c r="L5363" i="13" s="1"/>
  <c r="I5364" i="13" s="1"/>
  <c r="M5553" i="14"/>
  <c r="J5548" i="14" a="1"/>
  <c r="J5548" i="14" s="1"/>
  <c r="N5549" i="14"/>
  <c r="M5552" i="13"/>
  <c r="N5550" i="13"/>
  <c r="J5549" i="13" a="1"/>
  <c r="J5549" i="13" s="1"/>
  <c r="K5385" i="14"/>
  <c r="L5385" i="14" s="1"/>
  <c r="I5386" i="14" s="1"/>
  <c r="K5364" i="13" l="1"/>
  <c r="L5364" i="13" s="1"/>
  <c r="I5365" i="13" s="1"/>
  <c r="J5550" i="13" a="1"/>
  <c r="J5550" i="13" s="1"/>
  <c r="N5551" i="13"/>
  <c r="M5553" i="13"/>
  <c r="M5554" i="14"/>
  <c r="K5386" i="14"/>
  <c r="L5386" i="14" s="1"/>
  <c r="I5387" i="14" s="1"/>
  <c r="N5550" i="14"/>
  <c r="J5549" i="14" a="1"/>
  <c r="J5549" i="14" s="1"/>
  <c r="K5387" i="14" l="1"/>
  <c r="L5387" i="14" s="1"/>
  <c r="I5388" i="14" s="1"/>
  <c r="K5365" i="13"/>
  <c r="L5365" i="13" s="1"/>
  <c r="I5366" i="13" s="1"/>
  <c r="M5555" i="14"/>
  <c r="J5551" i="13" a="1"/>
  <c r="J5551" i="13" s="1"/>
  <c r="N5552" i="13"/>
  <c r="N5551" i="14"/>
  <c r="J5550" i="14" a="1"/>
  <c r="J5550" i="14" s="1"/>
  <c r="M5554" i="13"/>
  <c r="K5366" i="13" l="1"/>
  <c r="L5366" i="13" s="1"/>
  <c r="I5367" i="13" s="1"/>
  <c r="K5388" i="14"/>
  <c r="L5388" i="14" s="1"/>
  <c r="I5389" i="14" s="1"/>
  <c r="J5552" i="13" a="1"/>
  <c r="J5552" i="13" s="1"/>
  <c r="N5553" i="13"/>
  <c r="M5555" i="13"/>
  <c r="N5552" i="14"/>
  <c r="J5551" i="14" a="1"/>
  <c r="J5551" i="14" s="1"/>
  <c r="M5556" i="14"/>
  <c r="K5389" i="14" l="1"/>
  <c r="L5389" i="14" s="1"/>
  <c r="I5390" i="14" s="1"/>
  <c r="K5367" i="13"/>
  <c r="L5367" i="13" s="1"/>
  <c r="I5368" i="13" s="1"/>
  <c r="N5554" i="13"/>
  <c r="J5553" i="13" a="1"/>
  <c r="J5553" i="13" s="1"/>
  <c r="M5557" i="14"/>
  <c r="M5556" i="13"/>
  <c r="J5552" i="14" a="1"/>
  <c r="J5552" i="14" s="1"/>
  <c r="N5553" i="14"/>
  <c r="K5368" i="13" l="1"/>
  <c r="L5368" i="13" s="1"/>
  <c r="I5369" i="13" s="1"/>
  <c r="K5390" i="14"/>
  <c r="L5390" i="14" s="1"/>
  <c r="I5391" i="14" s="1"/>
  <c r="N5554" i="14"/>
  <c r="J5553" i="14" a="1"/>
  <c r="J5553" i="14" s="1"/>
  <c r="M5558" i="14"/>
  <c r="M5557" i="13"/>
  <c r="J5554" i="13" a="1"/>
  <c r="J5554" i="13" s="1"/>
  <c r="N5555" i="13"/>
  <c r="K5391" i="14" l="1"/>
  <c r="L5391" i="14" s="1"/>
  <c r="I5392" i="14" s="1"/>
  <c r="K5369" i="13"/>
  <c r="L5369" i="13" s="1"/>
  <c r="I5370" i="13" s="1"/>
  <c r="J5555" i="13" a="1"/>
  <c r="J5555" i="13" s="1"/>
  <c r="N5556" i="13"/>
  <c r="M5559" i="14"/>
  <c r="M5558" i="13"/>
  <c r="N5555" i="14"/>
  <c r="J5554" i="14" a="1"/>
  <c r="J5554" i="14" s="1"/>
  <c r="K5370" i="13" l="1"/>
  <c r="L5370" i="13" s="1"/>
  <c r="I5371" i="13" s="1"/>
  <c r="K5392" i="14"/>
  <c r="L5392" i="14" s="1"/>
  <c r="I5393" i="14" s="1"/>
  <c r="M5560" i="14"/>
  <c r="J5556" i="13" a="1"/>
  <c r="J5556" i="13" s="1"/>
  <c r="N5557" i="13"/>
  <c r="N5556" i="14"/>
  <c r="J5555" i="14" a="1"/>
  <c r="J5555" i="14" s="1"/>
  <c r="M5559" i="13"/>
  <c r="K5371" i="13" l="1"/>
  <c r="L5371" i="13" s="1"/>
  <c r="I5372" i="13" s="1"/>
  <c r="N5558" i="13"/>
  <c r="J5557" i="13" a="1"/>
  <c r="J5557" i="13" s="1"/>
  <c r="M5560" i="13"/>
  <c r="K5393" i="14"/>
  <c r="L5393" i="14" s="1"/>
  <c r="I5394" i="14" s="1"/>
  <c r="J5556" i="14" a="1"/>
  <c r="J5556" i="14" s="1"/>
  <c r="N5557" i="14"/>
  <c r="M5561" i="14"/>
  <c r="K5394" i="14" l="1"/>
  <c r="L5394" i="14" s="1"/>
  <c r="I5395" i="14" s="1"/>
  <c r="K5372" i="13"/>
  <c r="L5372" i="13" s="1"/>
  <c r="I5373" i="13" s="1"/>
  <c r="J5558" i="13" a="1"/>
  <c r="J5558" i="13" s="1"/>
  <c r="N5559" i="13"/>
  <c r="N5558" i="14"/>
  <c r="J5557" i="14" a="1"/>
  <c r="J5557" i="14" s="1"/>
  <c r="M5561" i="13"/>
  <c r="M5562" i="14"/>
  <c r="K5373" i="13" l="1"/>
  <c r="L5373" i="13" s="1"/>
  <c r="I5374" i="13" s="1"/>
  <c r="K5395" i="14"/>
  <c r="L5395" i="14" s="1"/>
  <c r="I5396" i="14" s="1"/>
  <c r="N5559" i="14"/>
  <c r="J5558" i="14" a="1"/>
  <c r="J5558" i="14" s="1"/>
  <c r="J5559" i="13" a="1"/>
  <c r="J5559" i="13" s="1"/>
  <c r="N5560" i="13"/>
  <c r="M5563" i="14"/>
  <c r="M5562" i="13"/>
  <c r="K5396" i="14" l="1"/>
  <c r="L5396" i="14" s="1"/>
  <c r="I5397" i="14" s="1"/>
  <c r="K5374" i="13"/>
  <c r="L5374" i="13" s="1"/>
  <c r="I5375" i="13" s="1"/>
  <c r="J5560" i="13" a="1"/>
  <c r="J5560" i="13" s="1"/>
  <c r="N5561" i="13"/>
  <c r="M5563" i="13"/>
  <c r="M5564" i="14"/>
  <c r="N5560" i="14"/>
  <c r="J5559" i="14" a="1"/>
  <c r="J5559" i="14" s="1"/>
  <c r="K5397" i="14" l="1"/>
  <c r="L5397" i="14" s="1"/>
  <c r="I5398" i="14" s="1"/>
  <c r="K5375" i="13"/>
  <c r="L5375" i="13" s="1"/>
  <c r="I5376" i="13" s="1"/>
  <c r="M5564" i="13"/>
  <c r="N5562" i="13"/>
  <c r="J5561" i="13" a="1"/>
  <c r="J5561" i="13" s="1"/>
  <c r="J5560" i="14" a="1"/>
  <c r="J5560" i="14" s="1"/>
  <c r="N5561" i="14"/>
  <c r="M5565" i="14"/>
  <c r="K5376" i="13" l="1"/>
  <c r="L5376" i="13" s="1"/>
  <c r="I5377" i="13" s="1"/>
  <c r="K5398" i="14"/>
  <c r="L5398" i="14" s="1"/>
  <c r="I5399" i="14" s="1"/>
  <c r="N5562" i="14"/>
  <c r="J5561" i="14" a="1"/>
  <c r="J5561" i="14" s="1"/>
  <c r="M5565" i="13"/>
  <c r="M5566" i="14"/>
  <c r="J5562" i="13" a="1"/>
  <c r="J5562" i="13" s="1"/>
  <c r="N5563" i="13"/>
  <c r="K5399" i="14" l="1"/>
  <c r="L5399" i="14" s="1"/>
  <c r="I5400" i="14" s="1"/>
  <c r="K5377" i="13"/>
  <c r="L5377" i="13" s="1"/>
  <c r="I5378" i="13" s="1"/>
  <c r="J5563" i="13" a="1"/>
  <c r="J5563" i="13" s="1"/>
  <c r="N5564" i="13"/>
  <c r="M5566" i="13"/>
  <c r="M5567" i="14"/>
  <c r="N5563" i="14"/>
  <c r="J5562" i="14" a="1"/>
  <c r="J5562" i="14" s="1"/>
  <c r="K5378" i="13" l="1"/>
  <c r="L5378" i="13" s="1"/>
  <c r="I5379" i="13" s="1"/>
  <c r="K5400" i="14"/>
  <c r="L5400" i="14" s="1"/>
  <c r="I5401" i="14" s="1"/>
  <c r="N5564" i="14"/>
  <c r="J5563" i="14" a="1"/>
  <c r="J5563" i="14" s="1"/>
  <c r="M5567" i="13"/>
  <c r="J5564" i="13" a="1"/>
  <c r="J5564" i="13" s="1"/>
  <c r="N5565" i="13"/>
  <c r="M5568" i="14"/>
  <c r="K5379" i="13" l="1"/>
  <c r="L5379" i="13" s="1"/>
  <c r="I5380" i="13" s="1"/>
  <c r="M5569" i="14"/>
  <c r="M5568" i="13"/>
  <c r="K5401" i="14"/>
  <c r="L5401" i="14" s="1"/>
  <c r="I5402" i="14" s="1"/>
  <c r="N5566" i="13"/>
  <c r="J5565" i="13" a="1"/>
  <c r="J5565" i="13" s="1"/>
  <c r="J5564" i="14" a="1"/>
  <c r="J5564" i="14" s="1"/>
  <c r="N5565" i="14"/>
  <c r="K5380" i="13" l="1"/>
  <c r="L5380" i="13" s="1"/>
  <c r="I5381" i="13" s="1"/>
  <c r="N5566" i="14"/>
  <c r="J5565" i="14" a="1"/>
  <c r="J5565" i="14" s="1"/>
  <c r="M5570" i="14"/>
  <c r="K5402" i="14"/>
  <c r="L5402" i="14" s="1"/>
  <c r="I5403" i="14" s="1"/>
  <c r="M5569" i="13"/>
  <c r="J5566" i="13" a="1"/>
  <c r="J5566" i="13" s="1"/>
  <c r="N5567" i="13"/>
  <c r="K5403" i="14" l="1"/>
  <c r="L5403" i="14" s="1"/>
  <c r="I5404" i="14" s="1"/>
  <c r="K5381" i="13"/>
  <c r="L5381" i="13" s="1"/>
  <c r="I5382" i="13" s="1"/>
  <c r="J5567" i="13" a="1"/>
  <c r="J5567" i="13" s="1"/>
  <c r="N5568" i="13"/>
  <c r="N5567" i="14"/>
  <c r="J5566" i="14" a="1"/>
  <c r="J5566" i="14" s="1"/>
  <c r="M5571" i="14"/>
  <c r="M5570" i="13"/>
  <c r="K5404" i="14" l="1"/>
  <c r="L5404" i="14" s="1"/>
  <c r="I5405" i="14" s="1"/>
  <c r="N5568" i="14"/>
  <c r="J5567" i="14" a="1"/>
  <c r="J5567" i="14" s="1"/>
  <c r="K5382" i="13"/>
  <c r="L5382" i="13" s="1"/>
  <c r="I5383" i="13" s="1"/>
  <c r="J5568" i="13" a="1"/>
  <c r="J5568" i="13" s="1"/>
  <c r="N5569" i="13"/>
  <c r="M5571" i="13"/>
  <c r="M5572" i="14"/>
  <c r="K5383" i="13" l="1"/>
  <c r="L5383" i="13" s="1"/>
  <c r="I5384" i="13" s="1"/>
  <c r="K5405" i="14"/>
  <c r="L5405" i="14" s="1"/>
  <c r="I5406" i="14" s="1"/>
  <c r="N5570" i="13"/>
  <c r="J5569" i="13" a="1"/>
  <c r="J5569" i="13" s="1"/>
  <c r="J5568" i="14" a="1"/>
  <c r="J5568" i="14" s="1"/>
  <c r="N5569" i="14"/>
  <c r="M5573" i="14"/>
  <c r="M5572" i="13"/>
  <c r="K5406" i="14" l="1"/>
  <c r="L5406" i="14" s="1"/>
  <c r="I5407" i="14" s="1"/>
  <c r="K5384" i="13"/>
  <c r="L5384" i="13" s="1"/>
  <c r="I5385" i="13" s="1"/>
  <c r="N5570" i="14"/>
  <c r="J5569" i="14" a="1"/>
  <c r="J5569" i="14" s="1"/>
  <c r="M5573" i="13"/>
  <c r="M5574" i="14"/>
  <c r="J5570" i="13" a="1"/>
  <c r="J5570" i="13" s="1"/>
  <c r="N5571" i="13"/>
  <c r="K5385" i="13" l="1"/>
  <c r="L5385" i="13" s="1"/>
  <c r="I5386" i="13" s="1"/>
  <c r="K5407" i="14"/>
  <c r="L5407" i="14" s="1"/>
  <c r="I5408" i="14" s="1"/>
  <c r="M5574" i="13"/>
  <c r="J5571" i="13" a="1"/>
  <c r="J5571" i="13" s="1"/>
  <c r="N5572" i="13"/>
  <c r="M5575" i="14"/>
  <c r="N5571" i="14"/>
  <c r="J5570" i="14" a="1"/>
  <c r="J5570" i="14" s="1"/>
  <c r="K5408" i="14" l="1"/>
  <c r="L5408" i="14" s="1"/>
  <c r="I5409" i="14" s="1"/>
  <c r="K5386" i="13"/>
  <c r="L5386" i="13" s="1"/>
  <c r="I5387" i="13" s="1"/>
  <c r="J5572" i="13" a="1"/>
  <c r="J5572" i="13" s="1"/>
  <c r="N5573" i="13"/>
  <c r="N5572" i="14"/>
  <c r="J5571" i="14" a="1"/>
  <c r="J5571" i="14" s="1"/>
  <c r="M5576" i="14"/>
  <c r="M5575" i="13"/>
  <c r="K5387" i="13" l="1"/>
  <c r="L5387" i="13" s="1"/>
  <c r="I5388" i="13" s="1"/>
  <c r="K5409" i="14"/>
  <c r="L5409" i="14" s="1"/>
  <c r="I5410" i="14" s="1"/>
  <c r="J5572" i="14" a="1"/>
  <c r="J5572" i="14" s="1"/>
  <c r="N5573" i="14"/>
  <c r="N5574" i="13"/>
  <c r="J5573" i="13" a="1"/>
  <c r="J5573" i="13" s="1"/>
  <c r="M5576" i="13"/>
  <c r="M5577" i="14"/>
  <c r="K5410" i="14" l="1"/>
  <c r="L5410" i="14" s="1"/>
  <c r="I5411" i="14" s="1"/>
  <c r="K5388" i="13"/>
  <c r="L5388" i="13" s="1"/>
  <c r="I5389" i="13" s="1"/>
  <c r="J5574" i="13" a="1"/>
  <c r="J5574" i="13" s="1"/>
  <c r="N5575" i="13"/>
  <c r="M5577" i="13"/>
  <c r="N5574" i="14"/>
  <c r="J5573" i="14" a="1"/>
  <c r="J5573" i="14" s="1"/>
  <c r="M5578" i="14"/>
  <c r="K5389" i="13" l="1"/>
  <c r="L5389" i="13" s="1"/>
  <c r="I5390" i="13" s="1"/>
  <c r="K5411" i="14"/>
  <c r="L5411" i="14" s="1"/>
  <c r="I5412" i="14" s="1"/>
  <c r="M5579" i="14"/>
  <c r="N5575" i="14"/>
  <c r="J5574" i="14" a="1"/>
  <c r="J5574" i="14" s="1"/>
  <c r="M5578" i="13"/>
  <c r="J5575" i="13" a="1"/>
  <c r="J5575" i="13" s="1"/>
  <c r="N5576" i="13"/>
  <c r="K5412" i="14" l="1"/>
  <c r="L5412" i="14" s="1"/>
  <c r="I5413" i="14" s="1"/>
  <c r="K5390" i="13"/>
  <c r="L5390" i="13" s="1"/>
  <c r="I5391" i="13" s="1"/>
  <c r="N5576" i="14"/>
  <c r="J5575" i="14" a="1"/>
  <c r="J5575" i="14" s="1"/>
  <c r="J5576" i="13" a="1"/>
  <c r="J5576" i="13" s="1"/>
  <c r="N5577" i="13"/>
  <c r="M5579" i="13"/>
  <c r="M5580" i="14"/>
  <c r="K5391" i="13" l="1"/>
  <c r="L5391" i="13" s="1"/>
  <c r="I5392" i="13" s="1"/>
  <c r="K5413" i="14"/>
  <c r="L5413" i="14" s="1"/>
  <c r="I5414" i="14" s="1"/>
  <c r="N5578" i="13"/>
  <c r="J5577" i="13" a="1"/>
  <c r="J5577" i="13" s="1"/>
  <c r="M5581" i="14"/>
  <c r="M5580" i="13"/>
  <c r="J5576" i="14" a="1"/>
  <c r="J5576" i="14" s="1"/>
  <c r="N5577" i="14"/>
  <c r="K5414" i="14" l="1"/>
  <c r="L5414" i="14" s="1"/>
  <c r="I5415" i="14" s="1"/>
  <c r="K5392" i="13"/>
  <c r="L5392" i="13" s="1"/>
  <c r="I5393" i="13" s="1"/>
  <c r="N5578" i="14"/>
  <c r="J5577" i="14" a="1"/>
  <c r="J5577" i="14" s="1"/>
  <c r="M5582" i="14"/>
  <c r="M5581" i="13"/>
  <c r="J5578" i="13" a="1"/>
  <c r="J5578" i="13" s="1"/>
  <c r="N5579" i="13"/>
  <c r="K5393" i="13" l="1"/>
  <c r="L5393" i="13" s="1"/>
  <c r="I5394" i="13" s="1"/>
  <c r="N5579" i="14"/>
  <c r="J5578" i="14" a="1"/>
  <c r="J5578" i="14" s="1"/>
  <c r="J5579" i="13" a="1"/>
  <c r="J5579" i="13" s="1"/>
  <c r="N5580" i="13"/>
  <c r="M5583" i="14"/>
  <c r="M5582" i="13"/>
  <c r="K5415" i="14"/>
  <c r="L5415" i="14" s="1"/>
  <c r="I5416" i="14" s="1"/>
  <c r="K5416" i="14" l="1"/>
  <c r="L5416" i="14" s="1"/>
  <c r="I5417" i="14" s="1"/>
  <c r="K5394" i="13"/>
  <c r="L5394" i="13" s="1"/>
  <c r="I5395" i="13" s="1"/>
  <c r="N5580" i="14"/>
  <c r="J5579" i="14" a="1"/>
  <c r="J5579" i="14" s="1"/>
  <c r="M5584" i="14"/>
  <c r="J5580" i="13" a="1"/>
  <c r="J5580" i="13" s="1"/>
  <c r="N5581" i="13"/>
  <c r="M5583" i="13"/>
  <c r="K5395" i="13" l="1"/>
  <c r="L5395" i="13" s="1"/>
  <c r="I5396" i="13" s="1"/>
  <c r="K5417" i="14"/>
  <c r="L5417" i="14" s="1"/>
  <c r="I5418" i="14" s="1"/>
  <c r="N5582" i="13"/>
  <c r="J5581" i="13" a="1"/>
  <c r="J5581" i="13" s="1"/>
  <c r="M5585" i="14"/>
  <c r="M5584" i="13"/>
  <c r="J5580" i="14" a="1"/>
  <c r="J5580" i="14" s="1"/>
  <c r="N5581" i="14"/>
  <c r="K5418" i="14" l="1"/>
  <c r="L5418" i="14" s="1"/>
  <c r="I5419" i="14" s="1"/>
  <c r="K5396" i="13"/>
  <c r="L5396" i="13" s="1"/>
  <c r="I5397" i="13" s="1"/>
  <c r="N5582" i="14"/>
  <c r="J5581" i="14" a="1"/>
  <c r="J5581" i="14" s="1"/>
  <c r="M5586" i="14"/>
  <c r="M5585" i="13"/>
  <c r="J5582" i="13" a="1"/>
  <c r="J5582" i="13" s="1"/>
  <c r="N5583" i="13"/>
  <c r="K5419" i="14" l="1"/>
  <c r="L5419" i="14" s="1"/>
  <c r="I5420" i="14" s="1"/>
  <c r="J5583" i="13" a="1"/>
  <c r="J5583" i="13" s="1"/>
  <c r="N5584" i="13"/>
  <c r="M5587" i="14"/>
  <c r="M5586" i="13"/>
  <c r="K5397" i="13"/>
  <c r="L5397" i="13" s="1"/>
  <c r="I5398" i="13" s="1"/>
  <c r="J5582" i="14" a="1"/>
  <c r="J5582" i="14" s="1"/>
  <c r="N5583" i="14"/>
  <c r="K5398" i="13" l="1"/>
  <c r="L5398" i="13" s="1"/>
  <c r="I5399" i="13" s="1"/>
  <c r="K5420" i="14"/>
  <c r="L5420" i="14" s="1"/>
  <c r="I5421" i="14" s="1"/>
  <c r="N5584" i="14"/>
  <c r="J5583" i="14" a="1"/>
  <c r="J5583" i="14" s="1"/>
  <c r="J5584" i="13" a="1"/>
  <c r="J5584" i="13" s="1"/>
  <c r="N5585" i="13"/>
  <c r="M5587" i="13"/>
  <c r="M5588" i="14"/>
  <c r="K5421" i="14" l="1"/>
  <c r="L5421" i="14" s="1"/>
  <c r="I5422" i="14" s="1"/>
  <c r="K5399" i="13"/>
  <c r="L5399" i="13" s="1"/>
  <c r="I5400" i="13" s="1"/>
  <c r="N5586" i="13"/>
  <c r="J5585" i="13" a="1"/>
  <c r="J5585" i="13" s="1"/>
  <c r="M5589" i="14"/>
  <c r="M5588" i="13"/>
  <c r="J5584" i="14" a="1"/>
  <c r="J5584" i="14" s="1"/>
  <c r="N5585" i="14"/>
  <c r="K5400" i="13" l="1"/>
  <c r="L5400" i="13" s="1"/>
  <c r="I5401" i="13" s="1"/>
  <c r="K5422" i="14"/>
  <c r="L5422" i="14" s="1"/>
  <c r="I5423" i="14" s="1"/>
  <c r="M5590" i="14"/>
  <c r="J5585" i="14" a="1"/>
  <c r="J5585" i="14" s="1"/>
  <c r="N5586" i="14"/>
  <c r="M5589" i="13"/>
  <c r="J5586" i="13" a="1"/>
  <c r="J5586" i="13" s="1"/>
  <c r="N5587" i="13"/>
  <c r="K5423" i="14" l="1"/>
  <c r="L5423" i="14" s="1"/>
  <c r="I5424" i="14" s="1"/>
  <c r="K5401" i="13"/>
  <c r="L5401" i="13" s="1"/>
  <c r="I5402" i="13" s="1"/>
  <c r="J5587" i="13" a="1"/>
  <c r="J5587" i="13" s="1"/>
  <c r="N5588" i="13"/>
  <c r="J5586" i="14" a="1"/>
  <c r="J5586" i="14" s="1"/>
  <c r="N5587" i="14"/>
  <c r="M5591" i="14"/>
  <c r="M5590" i="13"/>
  <c r="K5402" i="13" l="1"/>
  <c r="L5402" i="13" s="1"/>
  <c r="I5403" i="13" s="1"/>
  <c r="K5424" i="14"/>
  <c r="L5424" i="14" s="1"/>
  <c r="I5425" i="14" s="1"/>
  <c r="N5588" i="14"/>
  <c r="J5587" i="14" a="1"/>
  <c r="J5587" i="14" s="1"/>
  <c r="M5591" i="13"/>
  <c r="J5588" i="13" a="1"/>
  <c r="J5588" i="13" s="1"/>
  <c r="N5589" i="13"/>
  <c r="M5592" i="14"/>
  <c r="K5425" i="14" l="1"/>
  <c r="L5425" i="14" s="1"/>
  <c r="I5426" i="14" s="1"/>
  <c r="K5403" i="13"/>
  <c r="L5403" i="13" s="1"/>
  <c r="I5404" i="13" s="1"/>
  <c r="N5590" i="13"/>
  <c r="J5589" i="13" a="1"/>
  <c r="J5589" i="13" s="1"/>
  <c r="M5593" i="14"/>
  <c r="M5592" i="13"/>
  <c r="J5588" i="14" a="1"/>
  <c r="J5588" i="14" s="1"/>
  <c r="N5589" i="14"/>
  <c r="K5404" i="13" l="1"/>
  <c r="L5404" i="13" s="1"/>
  <c r="I5405" i="13" s="1"/>
  <c r="K5426" i="14"/>
  <c r="L5426" i="14" s="1"/>
  <c r="I5427" i="14" s="1"/>
  <c r="J5589" i="14" a="1"/>
  <c r="J5589" i="14" s="1"/>
  <c r="N5590" i="14"/>
  <c r="M5593" i="13"/>
  <c r="M5594" i="14"/>
  <c r="J5590" i="13" a="1"/>
  <c r="J5590" i="13" s="1"/>
  <c r="N5591" i="13"/>
  <c r="K5427" i="14" l="1"/>
  <c r="L5427" i="14" s="1"/>
  <c r="I5428" i="14" s="1"/>
  <c r="K5405" i="13"/>
  <c r="L5405" i="13" s="1"/>
  <c r="I5406" i="13" s="1"/>
  <c r="J5591" i="13" a="1"/>
  <c r="J5591" i="13" s="1"/>
  <c r="N5592" i="13"/>
  <c r="M5595" i="14"/>
  <c r="M5594" i="13"/>
  <c r="N5591" i="14"/>
  <c r="J5590" i="14" a="1"/>
  <c r="J5590" i="14" s="1"/>
  <c r="K5406" i="13" l="1"/>
  <c r="L5406" i="13" s="1"/>
  <c r="I5407" i="13" s="1"/>
  <c r="K5428" i="14"/>
  <c r="L5428" i="14" s="1"/>
  <c r="I5429" i="14" s="1"/>
  <c r="N5592" i="14"/>
  <c r="J5591" i="14" a="1"/>
  <c r="J5591" i="14" s="1"/>
  <c r="M5596" i="14"/>
  <c r="J5592" i="13" a="1"/>
  <c r="J5592" i="13" s="1"/>
  <c r="N5593" i="13"/>
  <c r="M5595" i="13"/>
  <c r="K5429" i="14" l="1"/>
  <c r="L5429" i="14" s="1"/>
  <c r="I5430" i="14" s="1"/>
  <c r="K5407" i="13"/>
  <c r="L5407" i="13" s="1"/>
  <c r="I5408" i="13" s="1"/>
  <c r="N5594" i="13"/>
  <c r="J5593" i="13" a="1"/>
  <c r="J5593" i="13" s="1"/>
  <c r="M5596" i="13"/>
  <c r="M5597" i="14"/>
  <c r="J5592" i="14" a="1"/>
  <c r="J5592" i="14" s="1"/>
  <c r="N5593" i="14"/>
  <c r="K5408" i="13" l="1"/>
  <c r="L5408" i="13" s="1"/>
  <c r="I5409" i="13" s="1"/>
  <c r="K5430" i="14"/>
  <c r="L5430" i="14" s="1"/>
  <c r="I5431" i="14" s="1"/>
  <c r="N5594" i="14"/>
  <c r="J5593" i="14" a="1"/>
  <c r="J5593" i="14" s="1"/>
  <c r="M5597" i="13"/>
  <c r="M5598" i="14"/>
  <c r="J5594" i="13" a="1"/>
  <c r="J5594" i="13" s="1"/>
  <c r="N5595" i="13"/>
  <c r="K5431" i="14" l="1"/>
  <c r="L5431" i="14" s="1"/>
  <c r="I5432" i="14" s="1"/>
  <c r="K5409" i="13"/>
  <c r="L5409" i="13" s="1"/>
  <c r="I5410" i="13" s="1"/>
  <c r="J5595" i="13" a="1"/>
  <c r="J5595" i="13" s="1"/>
  <c r="N5596" i="13"/>
  <c r="M5598" i="13"/>
  <c r="M5599" i="14"/>
  <c r="N5595" i="14"/>
  <c r="J5594" i="14" a="1"/>
  <c r="J5594" i="14" s="1"/>
  <c r="K5410" i="13" l="1"/>
  <c r="L5410" i="13" s="1"/>
  <c r="I5411" i="13" s="1"/>
  <c r="K5432" i="14"/>
  <c r="L5432" i="14" s="1"/>
  <c r="I5433" i="14" s="1"/>
  <c r="N5596" i="14"/>
  <c r="J5595" i="14" a="1"/>
  <c r="J5595" i="14" s="1"/>
  <c r="M5599" i="13"/>
  <c r="M5600" i="14"/>
  <c r="J5596" i="13" a="1"/>
  <c r="J5596" i="13" s="1"/>
  <c r="N5597" i="13"/>
  <c r="K5433" i="14" l="1"/>
  <c r="L5433" i="14" s="1"/>
  <c r="I5434" i="14" s="1"/>
  <c r="K5411" i="13"/>
  <c r="L5411" i="13" s="1"/>
  <c r="I5412" i="13" s="1"/>
  <c r="M5600" i="13"/>
  <c r="N5598" i="13"/>
  <c r="J5597" i="13" a="1"/>
  <c r="J5597" i="13" s="1"/>
  <c r="M5601" i="14"/>
  <c r="J5596" i="14" a="1"/>
  <c r="J5596" i="14" s="1"/>
  <c r="N5597" i="14"/>
  <c r="K5412" i="13" l="1"/>
  <c r="L5412" i="13" s="1"/>
  <c r="I5413" i="13" s="1"/>
  <c r="K5434" i="14"/>
  <c r="L5434" i="14" s="1"/>
  <c r="I5435" i="14" s="1"/>
  <c r="J5598" i="13" a="1"/>
  <c r="J5598" i="13" s="1"/>
  <c r="N5599" i="13"/>
  <c r="J5597" i="14" a="1"/>
  <c r="J5597" i="14" s="1"/>
  <c r="N5598" i="14"/>
  <c r="M5602" i="14"/>
  <c r="M5601" i="13"/>
  <c r="K5435" i="14" l="1"/>
  <c r="L5435" i="14" s="1"/>
  <c r="I5436" i="14" s="1"/>
  <c r="K5413" i="13"/>
  <c r="L5413" i="13" s="1"/>
  <c r="I5414" i="13" s="1"/>
  <c r="N5599" i="14"/>
  <c r="J5598" i="14" a="1"/>
  <c r="J5598" i="14" s="1"/>
  <c r="J5599" i="13" a="1"/>
  <c r="J5599" i="13" s="1"/>
  <c r="N5600" i="13"/>
  <c r="M5602" i="13"/>
  <c r="M5603" i="14"/>
  <c r="K5414" i="13" l="1"/>
  <c r="L5414" i="13" s="1"/>
  <c r="I5415" i="13" s="1"/>
  <c r="K5436" i="14"/>
  <c r="L5436" i="14" s="1"/>
  <c r="I5437" i="14" s="1"/>
  <c r="J5600" i="13" a="1"/>
  <c r="J5600" i="13" s="1"/>
  <c r="N5601" i="13"/>
  <c r="M5604" i="14"/>
  <c r="M5603" i="13"/>
  <c r="J5599" i="14" a="1"/>
  <c r="J5599" i="14" s="1"/>
  <c r="N5600" i="14"/>
  <c r="K5437" i="14" l="1"/>
  <c r="L5437" i="14" s="1"/>
  <c r="I5438" i="14" s="1"/>
  <c r="K5415" i="13"/>
  <c r="L5415" i="13" s="1"/>
  <c r="I5416" i="13" s="1"/>
  <c r="J5600" i="14" a="1"/>
  <c r="J5600" i="14" s="1"/>
  <c r="N5601" i="14"/>
  <c r="M5605" i="14"/>
  <c r="N5602" i="13"/>
  <c r="J5601" i="13" a="1"/>
  <c r="J5601" i="13" s="1"/>
  <c r="M5604" i="13"/>
  <c r="K5416" i="13" l="1"/>
  <c r="L5416" i="13" s="1"/>
  <c r="I5417" i="13" s="1"/>
  <c r="K5438" i="14"/>
  <c r="L5438" i="14" s="1"/>
  <c r="I5439" i="14" s="1"/>
  <c r="M5606" i="14"/>
  <c r="J5602" i="13" a="1"/>
  <c r="J5602" i="13" s="1"/>
  <c r="N5603" i="13"/>
  <c r="M5605" i="13"/>
  <c r="J5601" i="14" a="1"/>
  <c r="J5601" i="14" s="1"/>
  <c r="N5602" i="14"/>
  <c r="K5439" i="14" l="1"/>
  <c r="L5439" i="14" s="1"/>
  <c r="I5440" i="14" s="1"/>
  <c r="K5417" i="13"/>
  <c r="L5417" i="13" s="1"/>
  <c r="I5418" i="13" s="1"/>
  <c r="J5603" i="13" a="1"/>
  <c r="J5603" i="13" s="1"/>
  <c r="N5604" i="13"/>
  <c r="N5603" i="14"/>
  <c r="J5602" i="14" a="1"/>
  <c r="J5602" i="14" s="1"/>
  <c r="M5606" i="13"/>
  <c r="M5607" i="14"/>
  <c r="K5418" i="13" l="1"/>
  <c r="L5418" i="13" s="1"/>
  <c r="I5419" i="13" s="1"/>
  <c r="K5440" i="14"/>
  <c r="L5440" i="14" s="1"/>
  <c r="I5441" i="14" s="1"/>
  <c r="J5603" i="14" a="1"/>
  <c r="J5603" i="14" s="1"/>
  <c r="N5604" i="14"/>
  <c r="J5604" i="13" a="1"/>
  <c r="J5604" i="13" s="1"/>
  <c r="N5605" i="13"/>
  <c r="M5608" i="14"/>
  <c r="M5607" i="13"/>
  <c r="K5441" i="14" l="1"/>
  <c r="L5441" i="14" s="1"/>
  <c r="I5442" i="14" s="1"/>
  <c r="K5419" i="13"/>
  <c r="L5419" i="13" s="1"/>
  <c r="I5420" i="13" s="1"/>
  <c r="N5606" i="13"/>
  <c r="J5605" i="13" a="1"/>
  <c r="J5605" i="13" s="1"/>
  <c r="J5604" i="14" a="1"/>
  <c r="J5604" i="14" s="1"/>
  <c r="N5605" i="14"/>
  <c r="M5608" i="13"/>
  <c r="M5609" i="14"/>
  <c r="K5420" i="13" l="1"/>
  <c r="L5420" i="13" s="1"/>
  <c r="I5421" i="13" s="1"/>
  <c r="K5442" i="14"/>
  <c r="L5442" i="14" s="1"/>
  <c r="I5443" i="14" s="1"/>
  <c r="N5606" i="14"/>
  <c r="J5605" i="14" a="1"/>
  <c r="J5605" i="14" s="1"/>
  <c r="M5610" i="14"/>
  <c r="M5609" i="13"/>
  <c r="J5606" i="13" a="1"/>
  <c r="J5606" i="13" s="1"/>
  <c r="N5607" i="13"/>
  <c r="K5443" i="14" l="1"/>
  <c r="L5443" i="14" s="1"/>
  <c r="I5444" i="14" s="1"/>
  <c r="M5610" i="13"/>
  <c r="J5607" i="13" a="1"/>
  <c r="J5607" i="13" s="1"/>
  <c r="N5608" i="13"/>
  <c r="N5607" i="14"/>
  <c r="J5606" i="14" a="1"/>
  <c r="J5606" i="14" s="1"/>
  <c r="K5421" i="13"/>
  <c r="L5421" i="13" s="1"/>
  <c r="I5422" i="13" s="1"/>
  <c r="M5611" i="14"/>
  <c r="K5422" i="13" l="1"/>
  <c r="L5422" i="13" s="1"/>
  <c r="I5423" i="13" s="1"/>
  <c r="K5444" i="14"/>
  <c r="L5444" i="14" s="1"/>
  <c r="I5445" i="14" s="1"/>
  <c r="M5612" i="14"/>
  <c r="J5607" i="14" a="1"/>
  <c r="J5607" i="14" s="1"/>
  <c r="N5608" i="14"/>
  <c r="M5611" i="13"/>
  <c r="J5608" i="13" a="1"/>
  <c r="J5608" i="13" s="1"/>
  <c r="N5609" i="13"/>
  <c r="K5445" i="14" l="1"/>
  <c r="L5445" i="14" s="1"/>
  <c r="I5446" i="14" s="1"/>
  <c r="K5423" i="13"/>
  <c r="L5423" i="13" s="1"/>
  <c r="I5424" i="13" s="1"/>
  <c r="N5609" i="14"/>
  <c r="J5608" i="14" a="1"/>
  <c r="J5608" i="14" s="1"/>
  <c r="N5610" i="13"/>
  <c r="J5609" i="13" a="1"/>
  <c r="J5609" i="13" s="1"/>
  <c r="M5613" i="14"/>
  <c r="M5612" i="13"/>
  <c r="K5424" i="13" l="1"/>
  <c r="L5424" i="13" s="1"/>
  <c r="I5425" i="13" s="1"/>
  <c r="K5446" i="14"/>
  <c r="L5446" i="14" s="1"/>
  <c r="I5447" i="14" s="1"/>
  <c r="J5610" i="13" a="1"/>
  <c r="J5610" i="13" s="1"/>
  <c r="N5611" i="13"/>
  <c r="M5613" i="13"/>
  <c r="M5614" i="14"/>
  <c r="N5610" i="14"/>
  <c r="J5609" i="14" a="1"/>
  <c r="J5609" i="14" s="1"/>
  <c r="K5447" i="14" l="1"/>
  <c r="L5447" i="14" s="1"/>
  <c r="I5448" i="14" s="1"/>
  <c r="K5425" i="13"/>
  <c r="L5425" i="13" s="1"/>
  <c r="I5426" i="13" s="1"/>
  <c r="N5611" i="14"/>
  <c r="J5610" i="14" a="1"/>
  <c r="J5610" i="14" s="1"/>
  <c r="M5614" i="13"/>
  <c r="J5611" i="13" a="1"/>
  <c r="J5611" i="13" s="1"/>
  <c r="N5612" i="13"/>
  <c r="M5615" i="14"/>
  <c r="K5448" i="14" l="1"/>
  <c r="L5448" i="14" s="1"/>
  <c r="I5449" i="14" s="1"/>
  <c r="J5612" i="13" a="1"/>
  <c r="J5612" i="13" s="1"/>
  <c r="N5613" i="13"/>
  <c r="M5616" i="14"/>
  <c r="K5426" i="13"/>
  <c r="L5426" i="13" s="1"/>
  <c r="I5427" i="13" s="1"/>
  <c r="M5615" i="13"/>
  <c r="J5611" i="14" a="1"/>
  <c r="J5611" i="14" s="1"/>
  <c r="N5612" i="14"/>
  <c r="K5427" i="13" l="1"/>
  <c r="L5427" i="13" s="1"/>
  <c r="I5428" i="13" s="1"/>
  <c r="K5449" i="14"/>
  <c r="L5449" i="14" s="1"/>
  <c r="I5450" i="14" s="1"/>
  <c r="N5614" i="13"/>
  <c r="J5613" i="13" a="1"/>
  <c r="J5613" i="13" s="1"/>
  <c r="N5613" i="14"/>
  <c r="J5612" i="14" a="1"/>
  <c r="J5612" i="14" s="1"/>
  <c r="M5616" i="13"/>
  <c r="M5617" i="14"/>
  <c r="K5450" i="14" l="1"/>
  <c r="L5450" i="14" s="1"/>
  <c r="I5451" i="14" s="1"/>
  <c r="K5428" i="13"/>
  <c r="L5428" i="13" s="1"/>
  <c r="I5429" i="13" s="1"/>
  <c r="N5614" i="14"/>
  <c r="J5613" i="14" a="1"/>
  <c r="J5613" i="14" s="1"/>
  <c r="M5618" i="14"/>
  <c r="M5617" i="13"/>
  <c r="J5614" i="13" a="1"/>
  <c r="J5614" i="13" s="1"/>
  <c r="N5615" i="13"/>
  <c r="K5429" i="13" l="1"/>
  <c r="L5429" i="13" s="1"/>
  <c r="I5430" i="13" s="1"/>
  <c r="K5451" i="14"/>
  <c r="L5451" i="14" s="1"/>
  <c r="I5452" i="14" s="1"/>
  <c r="J5615" i="13" a="1"/>
  <c r="J5615" i="13" s="1"/>
  <c r="N5616" i="13"/>
  <c r="M5619" i="14"/>
  <c r="M5618" i="13"/>
  <c r="N5615" i="14"/>
  <c r="J5614" i="14" a="1"/>
  <c r="J5614" i="14" s="1"/>
  <c r="K5430" i="13" l="1"/>
  <c r="L5430" i="13" s="1"/>
  <c r="I5431" i="13" s="1"/>
  <c r="K5452" i="14"/>
  <c r="L5452" i="14" s="1"/>
  <c r="I5453" i="14" s="1"/>
  <c r="J5615" i="14" a="1"/>
  <c r="J5615" i="14" s="1"/>
  <c r="N5616" i="14"/>
  <c r="M5620" i="14"/>
  <c r="J5616" i="13" a="1"/>
  <c r="J5616" i="13" s="1"/>
  <c r="N5617" i="13"/>
  <c r="M5619" i="13"/>
  <c r="K5453" i="14" l="1"/>
  <c r="L5453" i="14" s="1"/>
  <c r="I5454" i="14" s="1"/>
  <c r="K5431" i="13"/>
  <c r="L5431" i="13" s="1"/>
  <c r="I5432" i="13" s="1"/>
  <c r="N5618" i="13"/>
  <c r="J5617" i="13" a="1"/>
  <c r="J5617" i="13" s="1"/>
  <c r="M5620" i="13"/>
  <c r="M5621" i="14"/>
  <c r="N5617" i="14"/>
  <c r="J5616" i="14" a="1"/>
  <c r="J5616" i="14" s="1"/>
  <c r="K5432" i="13" l="1"/>
  <c r="L5432" i="13" s="1"/>
  <c r="I5433" i="13" s="1"/>
  <c r="K5454" i="14"/>
  <c r="L5454" i="14" s="1"/>
  <c r="I5455" i="14" s="1"/>
  <c r="N5618" i="14"/>
  <c r="J5617" i="14" a="1"/>
  <c r="J5617" i="14" s="1"/>
  <c r="M5621" i="13"/>
  <c r="M5622" i="14"/>
  <c r="J5618" i="13" a="1"/>
  <c r="J5618" i="13" s="1"/>
  <c r="N5619" i="13"/>
  <c r="K5455" i="14" l="1"/>
  <c r="L5455" i="14" s="1"/>
  <c r="I5456" i="14" s="1"/>
  <c r="K5433" i="13"/>
  <c r="L5433" i="13" s="1"/>
  <c r="I5434" i="13" s="1"/>
  <c r="J5619" i="13" a="1"/>
  <c r="J5619" i="13" s="1"/>
  <c r="N5620" i="13"/>
  <c r="M5622" i="13"/>
  <c r="M5623" i="14"/>
  <c r="N5619" i="14"/>
  <c r="J5618" i="14" a="1"/>
  <c r="J5618" i="14" s="1"/>
  <c r="K5434" i="13" l="1"/>
  <c r="L5434" i="13" s="1"/>
  <c r="I5435" i="13" s="1"/>
  <c r="J5619" i="14" a="1"/>
  <c r="J5619" i="14" s="1"/>
  <c r="N5620" i="14"/>
  <c r="M5623" i="13"/>
  <c r="J5620" i="13" a="1"/>
  <c r="J5620" i="13" s="1"/>
  <c r="N5621" i="13"/>
  <c r="M5624" i="14"/>
  <c r="K5456" i="14"/>
  <c r="L5456" i="14" s="1"/>
  <c r="I5457" i="14" s="1"/>
  <c r="K5457" i="14" l="1"/>
  <c r="L5457" i="14" s="1"/>
  <c r="I5458" i="14" s="1"/>
  <c r="K5435" i="13"/>
  <c r="L5435" i="13" s="1"/>
  <c r="I5436" i="13" s="1"/>
  <c r="N5622" i="13"/>
  <c r="J5621" i="13" a="1"/>
  <c r="J5621" i="13" s="1"/>
  <c r="N5621" i="14"/>
  <c r="J5620" i="14" a="1"/>
  <c r="J5620" i="14" s="1"/>
  <c r="M5625" i="14"/>
  <c r="M5624" i="13"/>
  <c r="K5458" i="14" l="1"/>
  <c r="L5458" i="14" s="1"/>
  <c r="I5459" i="14" s="1"/>
  <c r="N5622" i="14"/>
  <c r="J5621" i="14" a="1"/>
  <c r="J5621" i="14" s="1"/>
  <c r="K5436" i="13"/>
  <c r="L5436" i="13" s="1"/>
  <c r="I5437" i="13" s="1"/>
  <c r="M5625" i="13"/>
  <c r="M5626" i="14"/>
  <c r="J5622" i="13" a="1"/>
  <c r="J5622" i="13" s="1"/>
  <c r="N5623" i="13"/>
  <c r="K5437" i="13" l="1"/>
  <c r="L5437" i="13" s="1"/>
  <c r="I5438" i="13" s="1"/>
  <c r="K5459" i="14"/>
  <c r="L5459" i="14" s="1"/>
  <c r="I5460" i="14" s="1"/>
  <c r="N5623" i="14"/>
  <c r="J5622" i="14" a="1"/>
  <c r="J5622" i="14" s="1"/>
  <c r="J5623" i="13" a="1"/>
  <c r="J5623" i="13" s="1"/>
  <c r="N5624" i="13"/>
  <c r="M5626" i="13"/>
  <c r="M5627" i="14"/>
  <c r="K5460" i="14" l="1"/>
  <c r="L5460" i="14" s="1"/>
  <c r="I5461" i="14" s="1"/>
  <c r="K5438" i="13"/>
  <c r="L5438" i="13" s="1"/>
  <c r="I5439" i="13" s="1"/>
  <c r="J5624" i="13" a="1"/>
  <c r="J5624" i="13" s="1"/>
  <c r="N5625" i="13"/>
  <c r="M5628" i="14"/>
  <c r="M5627" i="13"/>
  <c r="J5623" i="14" a="1"/>
  <c r="J5623" i="14" s="1"/>
  <c r="N5624" i="14"/>
  <c r="K5439" i="13" l="1"/>
  <c r="L5439" i="13" s="1"/>
  <c r="I5440" i="13" s="1"/>
  <c r="K5461" i="14"/>
  <c r="L5461" i="14" s="1"/>
  <c r="I5462" i="14" s="1"/>
  <c r="M5628" i="13"/>
  <c r="N5625" i="14"/>
  <c r="J5624" i="14" a="1"/>
  <c r="J5624" i="14" s="1"/>
  <c r="M5629" i="14"/>
  <c r="N5626" i="13"/>
  <c r="J5625" i="13" a="1"/>
  <c r="J5625" i="13" s="1"/>
  <c r="K5462" i="14" l="1"/>
  <c r="L5462" i="14" s="1"/>
  <c r="I5463" i="14" s="1"/>
  <c r="K5440" i="13"/>
  <c r="L5440" i="13" s="1"/>
  <c r="I5441" i="13" s="1"/>
  <c r="N5626" i="14"/>
  <c r="J5625" i="14" a="1"/>
  <c r="J5625" i="14" s="1"/>
  <c r="J5626" i="13" a="1"/>
  <c r="J5626" i="13" s="1"/>
  <c r="N5627" i="13"/>
  <c r="M5630" i="14"/>
  <c r="M5629" i="13"/>
  <c r="K5441" i="13" l="1"/>
  <c r="L5441" i="13" s="1"/>
  <c r="I5442" i="13" s="1"/>
  <c r="K5463" i="14"/>
  <c r="L5463" i="14" s="1"/>
  <c r="I5464" i="14" s="1"/>
  <c r="J5627" i="13" a="1"/>
  <c r="J5627" i="13" s="1"/>
  <c r="N5628" i="13"/>
  <c r="M5630" i="13"/>
  <c r="M5631" i="14"/>
  <c r="N5627" i="14"/>
  <c r="J5626" i="14" a="1"/>
  <c r="J5626" i="14" s="1"/>
  <c r="K5464" i="14" l="1"/>
  <c r="L5464" i="14" s="1"/>
  <c r="I5465" i="14" s="1"/>
  <c r="K5442" i="13"/>
  <c r="L5442" i="13" s="1"/>
  <c r="I5443" i="13" s="1"/>
  <c r="J5627" i="14" a="1"/>
  <c r="J5627" i="14" s="1"/>
  <c r="N5628" i="14"/>
  <c r="M5631" i="13"/>
  <c r="M5632" i="14"/>
  <c r="J5628" i="13" a="1"/>
  <c r="J5628" i="13" s="1"/>
  <c r="N5629" i="13"/>
  <c r="K5443" i="13" l="1"/>
  <c r="L5443" i="13" s="1"/>
  <c r="I5444" i="13" s="1"/>
  <c r="K5465" i="14"/>
  <c r="L5465" i="14" s="1"/>
  <c r="I5466" i="14" s="1"/>
  <c r="N5630" i="13"/>
  <c r="J5629" i="13" a="1"/>
  <c r="J5629" i="13" s="1"/>
  <c r="M5632" i="13"/>
  <c r="N5629" i="14"/>
  <c r="J5628" i="14" a="1"/>
  <c r="J5628" i="14" s="1"/>
  <c r="M5633" i="14"/>
  <c r="K5466" i="14" l="1"/>
  <c r="L5466" i="14" s="1"/>
  <c r="I5467" i="14" s="1"/>
  <c r="K5444" i="13"/>
  <c r="L5444" i="13" s="1"/>
  <c r="I5445" i="13" s="1"/>
  <c r="M5634" i="14"/>
  <c r="M5633" i="13"/>
  <c r="N5630" i="14"/>
  <c r="J5629" i="14" a="1"/>
  <c r="J5629" i="14" s="1"/>
  <c r="J5630" i="13" a="1"/>
  <c r="J5630" i="13" s="1"/>
  <c r="N5631" i="13"/>
  <c r="K5445" i="13" l="1"/>
  <c r="L5445" i="13" s="1"/>
  <c r="I5446" i="13" s="1"/>
  <c r="K5467" i="14"/>
  <c r="L5467" i="14" s="1"/>
  <c r="I5468" i="14" s="1"/>
  <c r="J5631" i="13" a="1"/>
  <c r="J5631" i="13" s="1"/>
  <c r="N5632" i="13"/>
  <c r="M5634" i="13"/>
  <c r="N5631" i="14"/>
  <c r="J5630" i="14" a="1"/>
  <c r="J5630" i="14" s="1"/>
  <c r="M5635" i="14"/>
  <c r="K5446" i="13" l="1"/>
  <c r="L5446" i="13" s="1"/>
  <c r="I5447" i="13" s="1"/>
  <c r="K5468" i="14"/>
  <c r="L5468" i="14" s="1"/>
  <c r="I5469" i="14" s="1"/>
  <c r="J5632" i="13" a="1"/>
  <c r="J5632" i="13" s="1"/>
  <c r="N5633" i="13"/>
  <c r="M5636" i="14"/>
  <c r="M5635" i="13"/>
  <c r="J5631" i="14" a="1"/>
  <c r="J5631" i="14" s="1"/>
  <c r="N5632" i="14"/>
  <c r="K5469" i="14" l="1"/>
  <c r="L5469" i="14" s="1"/>
  <c r="I5470" i="14" s="1"/>
  <c r="K5447" i="13"/>
  <c r="L5447" i="13" s="1"/>
  <c r="I5448" i="13" s="1"/>
  <c r="N5633" i="14"/>
  <c r="J5632" i="14" a="1"/>
  <c r="J5632" i="14" s="1"/>
  <c r="M5637" i="14"/>
  <c r="N5634" i="13"/>
  <c r="J5633" i="13" a="1"/>
  <c r="J5633" i="13" s="1"/>
  <c r="M5636" i="13"/>
  <c r="K5448" i="13" l="1"/>
  <c r="L5448" i="13" s="1"/>
  <c r="I5449" i="13" s="1"/>
  <c r="K5470" i="14"/>
  <c r="L5470" i="14" s="1"/>
  <c r="I5471" i="14" s="1"/>
  <c r="M5638" i="14"/>
  <c r="M5637" i="13"/>
  <c r="J5634" i="13" a="1"/>
  <c r="J5634" i="13" s="1"/>
  <c r="N5635" i="13"/>
  <c r="N5634" i="14"/>
  <c r="J5633" i="14" a="1"/>
  <c r="J5633" i="14" s="1"/>
  <c r="K5471" i="14" l="1"/>
  <c r="L5471" i="14" s="1"/>
  <c r="I5472" i="14" s="1"/>
  <c r="K5449" i="13"/>
  <c r="L5449" i="13" s="1"/>
  <c r="I5450" i="13" s="1"/>
  <c r="N5635" i="14"/>
  <c r="J5634" i="14" a="1"/>
  <c r="J5634" i="14" s="1"/>
  <c r="M5638" i="13"/>
  <c r="J5635" i="13" a="1"/>
  <c r="J5635" i="13" s="1"/>
  <c r="N5636" i="13"/>
  <c r="M5639" i="14"/>
  <c r="K5450" i="13" l="1"/>
  <c r="L5450" i="13" s="1"/>
  <c r="I5451" i="13" s="1"/>
  <c r="K5472" i="14"/>
  <c r="L5472" i="14" s="1"/>
  <c r="I5473" i="14" s="1"/>
  <c r="J5636" i="13" a="1"/>
  <c r="J5636" i="13" s="1"/>
  <c r="N5637" i="13"/>
  <c r="M5640" i="14"/>
  <c r="M5639" i="13"/>
  <c r="J5635" i="14" a="1"/>
  <c r="J5635" i="14" s="1"/>
  <c r="N5636" i="14"/>
  <c r="K5473" i="14" l="1"/>
  <c r="L5473" i="14" s="1"/>
  <c r="I5474" i="14" s="1"/>
  <c r="K5451" i="13"/>
  <c r="L5451" i="13" s="1"/>
  <c r="I5452" i="13" s="1"/>
  <c r="N5637" i="14"/>
  <c r="J5636" i="14" a="1"/>
  <c r="J5636" i="14" s="1"/>
  <c r="M5641" i="14"/>
  <c r="N5638" i="13"/>
  <c r="J5637" i="13" a="1"/>
  <c r="J5637" i="13" s="1"/>
  <c r="M5640" i="13"/>
  <c r="K5452" i="13" l="1"/>
  <c r="L5452" i="13" s="1"/>
  <c r="I5453" i="13" s="1"/>
  <c r="K5474" i="14"/>
  <c r="L5474" i="14" s="1"/>
  <c r="I5475" i="14" s="1"/>
  <c r="M5642" i="14"/>
  <c r="M5641" i="13"/>
  <c r="J5638" i="13" a="1"/>
  <c r="J5638" i="13" s="1"/>
  <c r="N5639" i="13"/>
  <c r="N5638" i="14"/>
  <c r="J5637" i="14" a="1"/>
  <c r="J5637" i="14" s="1"/>
  <c r="K5475" i="14" l="1"/>
  <c r="L5475" i="14" s="1"/>
  <c r="I5476" i="14" s="1"/>
  <c r="K5453" i="13"/>
  <c r="L5453" i="13" s="1"/>
  <c r="I5454" i="13" s="1"/>
  <c r="N5639" i="14"/>
  <c r="J5638" i="14" a="1"/>
  <c r="J5638" i="14" s="1"/>
  <c r="M5642" i="13"/>
  <c r="J5639" i="13" a="1"/>
  <c r="J5639" i="13" s="1"/>
  <c r="N5640" i="13"/>
  <c r="M5643" i="14"/>
  <c r="K5476" i="14" l="1"/>
  <c r="L5476" i="14" s="1"/>
  <c r="I5477" i="14" s="1"/>
  <c r="M5644" i="14"/>
  <c r="M5643" i="13"/>
  <c r="K5454" i="13"/>
  <c r="L5454" i="13" s="1"/>
  <c r="I5455" i="13" s="1"/>
  <c r="J5640" i="13" a="1"/>
  <c r="J5640" i="13" s="1"/>
  <c r="N5641" i="13"/>
  <c r="J5639" i="14" a="1"/>
  <c r="J5639" i="14" s="1"/>
  <c r="N5640" i="14"/>
  <c r="K5455" i="13" l="1"/>
  <c r="L5455" i="13" s="1"/>
  <c r="I5456" i="13" s="1"/>
  <c r="K5477" i="14"/>
  <c r="L5477" i="14" s="1"/>
  <c r="I5478" i="14" s="1"/>
  <c r="N5641" i="14"/>
  <c r="J5640" i="14" a="1"/>
  <c r="J5640" i="14" s="1"/>
  <c r="M5645" i="14"/>
  <c r="N5642" i="13"/>
  <c r="J5641" i="13" a="1"/>
  <c r="J5641" i="13" s="1"/>
  <c r="M5644" i="13"/>
  <c r="K5478" i="14" l="1"/>
  <c r="L5478" i="14" s="1"/>
  <c r="I5479" i="14" s="1"/>
  <c r="K5456" i="13"/>
  <c r="L5456" i="13" s="1"/>
  <c r="I5457" i="13" s="1"/>
  <c r="J5642" i="13" a="1"/>
  <c r="J5642" i="13" s="1"/>
  <c r="N5643" i="13"/>
  <c r="M5645" i="13"/>
  <c r="M5646" i="14"/>
  <c r="J5641" i="14" a="1"/>
  <c r="J5641" i="14" s="1"/>
  <c r="N5642" i="14"/>
  <c r="K5457" i="13" l="1"/>
  <c r="L5457" i="13" s="1"/>
  <c r="I5458" i="13" s="1"/>
  <c r="K5479" i="14"/>
  <c r="L5479" i="14" s="1"/>
  <c r="I5480" i="14" s="1"/>
  <c r="N5643" i="14"/>
  <c r="J5642" i="14" a="1"/>
  <c r="J5642" i="14" s="1"/>
  <c r="M5646" i="13"/>
  <c r="J5643" i="13" a="1"/>
  <c r="J5643" i="13" s="1"/>
  <c r="N5644" i="13"/>
  <c r="M5647" i="14"/>
  <c r="K5458" i="13" l="1"/>
  <c r="L5458" i="13" s="1"/>
  <c r="I5459" i="13" s="1"/>
  <c r="J5644" i="13" a="1"/>
  <c r="J5644" i="13" s="1"/>
  <c r="N5645" i="13"/>
  <c r="M5648" i="14"/>
  <c r="M5647" i="13"/>
  <c r="K5480" i="14"/>
  <c r="L5480" i="14" s="1"/>
  <c r="I5481" i="14" s="1"/>
  <c r="J5643" i="14" a="1"/>
  <c r="J5643" i="14" s="1"/>
  <c r="N5644" i="14"/>
  <c r="K5481" i="14" l="1"/>
  <c r="L5481" i="14" s="1"/>
  <c r="I5482" i="14" s="1"/>
  <c r="K5459" i="13"/>
  <c r="L5459" i="13" s="1"/>
  <c r="I5460" i="13" s="1"/>
  <c r="N5646" i="13"/>
  <c r="J5645" i="13" a="1"/>
  <c r="J5645" i="13" s="1"/>
  <c r="M5648" i="13"/>
  <c r="J5644" i="14" a="1"/>
  <c r="J5644" i="14" s="1"/>
  <c r="N5645" i="14"/>
  <c r="M5649" i="14"/>
  <c r="K5460" i="13" l="1"/>
  <c r="L5460" i="13" s="1"/>
  <c r="I5461" i="13" s="1"/>
  <c r="K5482" i="14"/>
  <c r="L5482" i="14" s="1"/>
  <c r="I5483" i="14" s="1"/>
  <c r="J5645" i="14" a="1"/>
  <c r="J5645" i="14" s="1"/>
  <c r="N5646" i="14"/>
  <c r="M5650" i="14"/>
  <c r="M5649" i="13"/>
  <c r="J5646" i="13" a="1"/>
  <c r="J5646" i="13" s="1"/>
  <c r="N5647" i="13"/>
  <c r="K5483" i="14" l="1"/>
  <c r="L5483" i="14" s="1"/>
  <c r="I5484" i="14" s="1"/>
  <c r="K5461" i="13"/>
  <c r="L5461" i="13" s="1"/>
  <c r="I5462" i="13" s="1"/>
  <c r="J5647" i="13" a="1"/>
  <c r="J5647" i="13" s="1"/>
  <c r="N5648" i="13"/>
  <c r="M5651" i="14"/>
  <c r="N5647" i="14"/>
  <c r="J5646" i="14" a="1"/>
  <c r="J5646" i="14" s="1"/>
  <c r="M5650" i="13"/>
  <c r="K5462" i="13" l="1"/>
  <c r="L5462" i="13" s="1"/>
  <c r="I5463" i="13" s="1"/>
  <c r="K5484" i="14"/>
  <c r="L5484" i="14" s="1"/>
  <c r="I5485" i="14" s="1"/>
  <c r="M5651" i="13"/>
  <c r="M5652" i="14"/>
  <c r="J5648" i="13" a="1"/>
  <c r="J5648" i="13" s="1"/>
  <c r="N5649" i="13"/>
  <c r="J5647" i="14" a="1"/>
  <c r="J5647" i="14" s="1"/>
  <c r="N5648" i="14"/>
  <c r="K5485" i="14" l="1"/>
  <c r="L5485" i="14" s="1"/>
  <c r="I5486" i="14" s="1"/>
  <c r="K5463" i="13"/>
  <c r="L5463" i="13" s="1"/>
  <c r="I5464" i="13" s="1"/>
  <c r="J5648" i="14" a="1"/>
  <c r="J5648" i="14" s="1"/>
  <c r="N5649" i="14"/>
  <c r="M5653" i="14"/>
  <c r="N5650" i="13"/>
  <c r="J5649" i="13" a="1"/>
  <c r="J5649" i="13" s="1"/>
  <c r="M5652" i="13"/>
  <c r="K5464" i="13" l="1"/>
  <c r="L5464" i="13" s="1"/>
  <c r="I5465" i="13" s="1"/>
  <c r="K5486" i="14"/>
  <c r="L5486" i="14" s="1"/>
  <c r="I5487" i="14" s="1"/>
  <c r="M5653" i="13"/>
  <c r="M5654" i="14"/>
  <c r="J5649" i="14" a="1"/>
  <c r="J5649" i="14" s="1"/>
  <c r="N5650" i="14"/>
  <c r="J5650" i="13" a="1"/>
  <c r="J5650" i="13" s="1"/>
  <c r="N5651" i="13"/>
  <c r="K5487" i="14" l="1"/>
  <c r="L5487" i="14" s="1"/>
  <c r="I5488" i="14" s="1"/>
  <c r="K5465" i="13"/>
  <c r="L5465" i="13" s="1"/>
  <c r="I5466" i="13" s="1"/>
  <c r="M5655" i="14"/>
  <c r="N5651" i="14"/>
  <c r="J5650" i="14" a="1"/>
  <c r="J5650" i="14" s="1"/>
  <c r="J5651" i="13" a="1"/>
  <c r="J5651" i="13" s="1"/>
  <c r="N5652" i="13"/>
  <c r="M5654" i="13"/>
  <c r="K5466" i="13" l="1"/>
  <c r="L5466" i="13" s="1"/>
  <c r="I5467" i="13" s="1"/>
  <c r="K5488" i="14"/>
  <c r="L5488" i="14" s="1"/>
  <c r="I5489" i="14" s="1"/>
  <c r="J5651" i="14" a="1"/>
  <c r="J5651" i="14" s="1"/>
  <c r="N5652" i="14"/>
  <c r="J5652" i="13" a="1"/>
  <c r="J5652" i="13" s="1"/>
  <c r="N5653" i="13"/>
  <c r="M5656" i="14"/>
  <c r="M5655" i="13"/>
  <c r="K5489" i="14" l="1"/>
  <c r="L5489" i="14" s="1"/>
  <c r="I5490" i="14" s="1"/>
  <c r="K5467" i="13"/>
  <c r="L5467" i="13" s="1"/>
  <c r="I5468" i="13" s="1"/>
  <c r="N5654" i="13"/>
  <c r="J5653" i="13" a="1"/>
  <c r="J5653" i="13" s="1"/>
  <c r="J5652" i="14" a="1"/>
  <c r="J5652" i="14" s="1"/>
  <c r="N5653" i="14"/>
  <c r="M5656" i="13"/>
  <c r="M5657" i="14"/>
  <c r="K5468" i="13" l="1"/>
  <c r="L5468" i="13" s="1"/>
  <c r="I5469" i="13" s="1"/>
  <c r="K5490" i="14"/>
  <c r="L5490" i="14" s="1"/>
  <c r="I5491" i="14" s="1"/>
  <c r="M5658" i="14"/>
  <c r="N5654" i="14"/>
  <c r="J5653" i="14" a="1"/>
  <c r="J5653" i="14" s="1"/>
  <c r="M5657" i="13"/>
  <c r="J5654" i="13" a="1"/>
  <c r="J5654" i="13" s="1"/>
  <c r="N5655" i="13"/>
  <c r="K5491" i="14" l="1"/>
  <c r="L5491" i="14" s="1"/>
  <c r="I5492" i="14" s="1"/>
  <c r="K5469" i="13"/>
  <c r="L5469" i="13" s="1"/>
  <c r="I5470" i="13" s="1"/>
  <c r="N5655" i="14"/>
  <c r="J5654" i="14" a="1"/>
  <c r="J5654" i="14" s="1"/>
  <c r="J5655" i="13" a="1"/>
  <c r="J5655" i="13" s="1"/>
  <c r="N5656" i="13"/>
  <c r="M5658" i="13"/>
  <c r="M5659" i="14"/>
  <c r="K5470" i="13" l="1"/>
  <c r="L5470" i="13" s="1"/>
  <c r="I5471" i="13" s="1"/>
  <c r="K5492" i="14"/>
  <c r="L5492" i="14" s="1"/>
  <c r="I5493" i="14" s="1"/>
  <c r="M5660" i="14"/>
  <c r="J5656" i="13" a="1"/>
  <c r="J5656" i="13" s="1"/>
  <c r="N5657" i="13"/>
  <c r="M5659" i="13"/>
  <c r="J5655" i="14" a="1"/>
  <c r="J5655" i="14" s="1"/>
  <c r="N5656" i="14"/>
  <c r="K5493" i="14" l="1"/>
  <c r="L5493" i="14" s="1"/>
  <c r="I5494" i="14" s="1"/>
  <c r="K5471" i="13"/>
  <c r="L5471" i="13" s="1"/>
  <c r="I5472" i="13" s="1"/>
  <c r="N5657" i="14"/>
  <c r="J5656" i="14" a="1"/>
  <c r="J5656" i="14" s="1"/>
  <c r="N5658" i="13"/>
  <c r="J5657" i="13" a="1"/>
  <c r="J5657" i="13" s="1"/>
  <c r="M5661" i="14"/>
  <c r="M5660" i="13"/>
  <c r="K5472" i="13" l="1"/>
  <c r="L5472" i="13" s="1"/>
  <c r="I5473" i="13" s="1"/>
  <c r="K5494" i="14"/>
  <c r="L5494" i="14" s="1"/>
  <c r="I5495" i="14" s="1"/>
  <c r="J5658" i="13" a="1"/>
  <c r="J5658" i="13" s="1"/>
  <c r="N5659" i="13"/>
  <c r="M5661" i="13"/>
  <c r="M5662" i="14"/>
  <c r="J5657" i="14" a="1"/>
  <c r="J5657" i="14" s="1"/>
  <c r="N5658" i="14"/>
  <c r="K5495" i="14" l="1"/>
  <c r="L5495" i="14" s="1"/>
  <c r="I5496" i="14" s="1"/>
  <c r="K5473" i="13"/>
  <c r="L5473" i="13" s="1"/>
  <c r="I5474" i="13" s="1"/>
  <c r="N5659" i="14"/>
  <c r="J5658" i="14" a="1"/>
  <c r="J5658" i="14" s="1"/>
  <c r="M5662" i="13"/>
  <c r="J5659" i="13" a="1"/>
  <c r="J5659" i="13" s="1"/>
  <c r="N5660" i="13"/>
  <c r="M5663" i="14"/>
  <c r="K5474" i="13" l="1"/>
  <c r="L5474" i="13" s="1"/>
  <c r="I5475" i="13" s="1"/>
  <c r="K5496" i="14"/>
  <c r="L5496" i="14" s="1"/>
  <c r="I5497" i="14" s="1"/>
  <c r="M5664" i="14"/>
  <c r="J5660" i="13" a="1"/>
  <c r="J5660" i="13" s="1"/>
  <c r="N5661" i="13"/>
  <c r="M5663" i="13"/>
  <c r="J5659" i="14" a="1"/>
  <c r="J5659" i="14" s="1"/>
  <c r="N5660" i="14"/>
  <c r="K5497" i="14" l="1"/>
  <c r="L5497" i="14" s="1"/>
  <c r="I5498" i="14" s="1"/>
  <c r="K5475" i="13"/>
  <c r="L5475" i="13" s="1"/>
  <c r="I5476" i="13" s="1"/>
  <c r="J5660" i="14" a="1"/>
  <c r="J5660" i="14" s="1"/>
  <c r="N5661" i="14"/>
  <c r="N5662" i="13"/>
  <c r="J5661" i="13" a="1"/>
  <c r="J5661" i="13" s="1"/>
  <c r="M5664" i="13"/>
  <c r="M5665" i="14"/>
  <c r="K5476" i="13" l="1"/>
  <c r="L5476" i="13" s="1"/>
  <c r="I5477" i="13" s="1"/>
  <c r="K5498" i="14"/>
  <c r="L5498" i="14" s="1"/>
  <c r="I5499" i="14" s="1"/>
  <c r="M5666" i="14"/>
  <c r="J5662" i="13" a="1"/>
  <c r="J5662" i="13" s="1"/>
  <c r="N5663" i="13"/>
  <c r="M5665" i="13"/>
  <c r="J5661" i="14" a="1"/>
  <c r="J5661" i="14" s="1"/>
  <c r="N5662" i="14"/>
  <c r="K5499" i="14" l="1"/>
  <c r="L5499" i="14" s="1"/>
  <c r="I5500" i="14" s="1"/>
  <c r="K5477" i="13"/>
  <c r="L5477" i="13" s="1"/>
  <c r="I5478" i="13" s="1"/>
  <c r="J5663" i="13" a="1"/>
  <c r="J5663" i="13" s="1"/>
  <c r="N5664" i="13"/>
  <c r="N5663" i="14"/>
  <c r="J5662" i="14" a="1"/>
  <c r="J5662" i="14" s="1"/>
  <c r="M5666" i="13"/>
  <c r="M5667" i="14"/>
  <c r="K5478" i="13" l="1"/>
  <c r="L5478" i="13" s="1"/>
  <c r="I5479" i="13" s="1"/>
  <c r="K5500" i="14"/>
  <c r="L5500" i="14" s="1"/>
  <c r="I5501" i="14" s="1"/>
  <c r="J5663" i="14" a="1"/>
  <c r="J5663" i="14" s="1"/>
  <c r="N5664" i="14"/>
  <c r="J5664" i="13" a="1"/>
  <c r="J5664" i="13" s="1"/>
  <c r="N5665" i="13"/>
  <c r="M5668" i="14"/>
  <c r="M5667" i="13"/>
  <c r="K5501" i="14" l="1"/>
  <c r="L5501" i="14" s="1"/>
  <c r="I5502" i="14" s="1"/>
  <c r="K5479" i="13"/>
  <c r="L5479" i="13" s="1"/>
  <c r="I5480" i="13" s="1"/>
  <c r="N5666" i="13"/>
  <c r="J5665" i="13" a="1"/>
  <c r="J5665" i="13" s="1"/>
  <c r="J5664" i="14" a="1"/>
  <c r="J5664" i="14" s="1"/>
  <c r="N5665" i="14"/>
  <c r="M5668" i="13"/>
  <c r="M5669" i="14"/>
  <c r="K5480" i="13" l="1"/>
  <c r="L5480" i="13" s="1"/>
  <c r="I5481" i="13" s="1"/>
  <c r="K5502" i="14"/>
  <c r="L5502" i="14" s="1"/>
  <c r="I5503" i="14" s="1"/>
  <c r="M5670" i="14"/>
  <c r="J5665" i="14" a="1"/>
  <c r="J5665" i="14" s="1"/>
  <c r="N5666" i="14"/>
  <c r="M5669" i="13"/>
  <c r="J5666" i="13" a="1"/>
  <c r="J5666" i="13" s="1"/>
  <c r="N5667" i="13"/>
  <c r="K5503" i="14" l="1"/>
  <c r="L5503" i="14" s="1"/>
  <c r="I5504" i="14" s="1"/>
  <c r="K5481" i="13"/>
  <c r="L5481" i="13" s="1"/>
  <c r="I5482" i="13" s="1"/>
  <c r="N5667" i="14"/>
  <c r="J5666" i="14" a="1"/>
  <c r="J5666" i="14" s="1"/>
  <c r="J5667" i="13" a="1"/>
  <c r="J5667" i="13" s="1"/>
  <c r="N5668" i="13"/>
  <c r="M5670" i="13"/>
  <c r="M5671" i="14"/>
  <c r="K5482" i="13" l="1"/>
  <c r="L5482" i="13" s="1"/>
  <c r="I5483" i="13" s="1"/>
  <c r="K5504" i="14"/>
  <c r="L5504" i="14" s="1"/>
  <c r="I5505" i="14" s="1"/>
  <c r="J5668" i="13" a="1"/>
  <c r="J5668" i="13" s="1"/>
  <c r="N5669" i="13"/>
  <c r="M5672" i="14"/>
  <c r="M5671" i="13"/>
  <c r="J5667" i="14" a="1"/>
  <c r="J5667" i="14" s="1"/>
  <c r="N5668" i="14"/>
  <c r="K5505" i="14" l="1"/>
  <c r="L5505" i="14" s="1"/>
  <c r="I5506" i="14" s="1"/>
  <c r="K5483" i="13"/>
  <c r="L5483" i="13" s="1"/>
  <c r="I5484" i="13" s="1"/>
  <c r="M5673" i="14"/>
  <c r="N5670" i="13"/>
  <c r="J5669" i="13" a="1"/>
  <c r="J5669" i="13" s="1"/>
  <c r="J5668" i="14" a="1"/>
  <c r="J5668" i="14" s="1"/>
  <c r="N5669" i="14"/>
  <c r="M5672" i="13"/>
  <c r="K5484" i="13" l="1"/>
  <c r="L5484" i="13" s="1"/>
  <c r="I5485" i="13" s="1"/>
  <c r="K5506" i="14"/>
  <c r="L5506" i="14" s="1"/>
  <c r="I5507" i="14" s="1"/>
  <c r="J5670" i="13" a="1"/>
  <c r="J5670" i="13" s="1"/>
  <c r="N5671" i="13"/>
  <c r="N5670" i="14"/>
  <c r="J5669" i="14" a="1"/>
  <c r="J5669" i="14" s="1"/>
  <c r="M5674" i="14"/>
  <c r="M5673" i="13"/>
  <c r="K5507" i="14" l="1"/>
  <c r="L5507" i="14" s="1"/>
  <c r="I5508" i="14" s="1"/>
  <c r="K5485" i="13"/>
  <c r="L5485" i="13" s="1"/>
  <c r="I5486" i="13" s="1"/>
  <c r="M5674" i="13"/>
  <c r="N5671" i="14"/>
  <c r="J5670" i="14" a="1"/>
  <c r="J5670" i="14" s="1"/>
  <c r="J5671" i="13" a="1"/>
  <c r="J5671" i="13" s="1"/>
  <c r="N5672" i="13"/>
  <c r="M5675" i="14"/>
  <c r="K5486" i="13" l="1"/>
  <c r="L5486" i="13" s="1"/>
  <c r="I5487" i="13" s="1"/>
  <c r="K5508" i="14"/>
  <c r="L5508" i="14" s="1"/>
  <c r="I5509" i="14" s="1"/>
  <c r="J5671" i="14" a="1"/>
  <c r="J5671" i="14" s="1"/>
  <c r="N5672" i="14"/>
  <c r="J5672" i="13" a="1"/>
  <c r="J5672" i="13" s="1"/>
  <c r="N5673" i="13"/>
  <c r="M5676" i="14"/>
  <c r="M5675" i="13"/>
  <c r="K5509" i="14" l="1"/>
  <c r="L5509" i="14" s="1"/>
  <c r="I5510" i="14" s="1"/>
  <c r="K5487" i="13"/>
  <c r="L5487" i="13" s="1"/>
  <c r="I5488" i="13" s="1"/>
  <c r="N5674" i="13"/>
  <c r="J5673" i="13" a="1"/>
  <c r="J5673" i="13" s="1"/>
  <c r="N5673" i="14"/>
  <c r="J5672" i="14" a="1"/>
  <c r="J5672" i="14" s="1"/>
  <c r="M5676" i="13"/>
  <c r="M5677" i="14"/>
  <c r="K5488" i="13" l="1"/>
  <c r="L5488" i="13" s="1"/>
  <c r="I5489" i="13" s="1"/>
  <c r="K5510" i="14"/>
  <c r="L5510" i="14" s="1"/>
  <c r="I5511" i="14" s="1"/>
  <c r="N5674" i="14"/>
  <c r="J5673" i="14" a="1"/>
  <c r="J5673" i="14" s="1"/>
  <c r="M5678" i="14"/>
  <c r="M5677" i="13"/>
  <c r="J5674" i="13" a="1"/>
  <c r="J5674" i="13" s="1"/>
  <c r="N5675" i="13"/>
  <c r="K5511" i="14" l="1"/>
  <c r="L5511" i="14" s="1"/>
  <c r="I5512" i="14" s="1"/>
  <c r="K5489" i="13"/>
  <c r="L5489" i="13" s="1"/>
  <c r="I5490" i="13" s="1"/>
  <c r="J5675" i="13" a="1"/>
  <c r="J5675" i="13" s="1"/>
  <c r="N5676" i="13"/>
  <c r="M5679" i="14"/>
  <c r="M5678" i="13"/>
  <c r="N5675" i="14"/>
  <c r="J5674" i="14" a="1"/>
  <c r="J5674" i="14" s="1"/>
  <c r="K5490" i="13" l="1"/>
  <c r="L5490" i="13" s="1"/>
  <c r="I5491" i="13" s="1"/>
  <c r="K5512" i="14"/>
  <c r="L5512" i="14" s="1"/>
  <c r="I5513" i="14" s="1"/>
  <c r="J5675" i="14" a="1"/>
  <c r="J5675" i="14" s="1"/>
  <c r="N5676" i="14"/>
  <c r="M5680" i="14"/>
  <c r="J5676" i="13" a="1"/>
  <c r="J5676" i="13" s="1"/>
  <c r="N5677" i="13"/>
  <c r="M5679" i="13"/>
  <c r="K5513" i="14" l="1"/>
  <c r="L5513" i="14" s="1"/>
  <c r="I5514" i="14" s="1"/>
  <c r="K5491" i="13"/>
  <c r="L5491" i="13" s="1"/>
  <c r="I5492" i="13" s="1"/>
  <c r="M5680" i="13"/>
  <c r="M5681" i="14"/>
  <c r="N5678" i="13"/>
  <c r="J5677" i="13" a="1"/>
  <c r="J5677" i="13" s="1"/>
  <c r="J5676" i="14" a="1"/>
  <c r="J5676" i="14" s="1"/>
  <c r="N5677" i="14"/>
  <c r="K5492" i="13" l="1"/>
  <c r="L5492" i="13" s="1"/>
  <c r="I5493" i="13" s="1"/>
  <c r="K5514" i="14"/>
  <c r="L5514" i="14" s="1"/>
  <c r="I5515" i="14" s="1"/>
  <c r="M5682" i="14"/>
  <c r="N5678" i="14"/>
  <c r="J5677" i="14" a="1"/>
  <c r="J5677" i="14" s="1"/>
  <c r="M5681" i="13"/>
  <c r="J5678" i="13" a="1"/>
  <c r="J5678" i="13" s="1"/>
  <c r="N5679" i="13"/>
  <c r="K5515" i="14" l="1"/>
  <c r="L5515" i="14" s="1"/>
  <c r="I5516" i="14" s="1"/>
  <c r="K5493" i="13"/>
  <c r="L5493" i="13" s="1"/>
  <c r="I5494" i="13" s="1"/>
  <c r="N5679" i="14"/>
  <c r="J5678" i="14" a="1"/>
  <c r="J5678" i="14" s="1"/>
  <c r="J5679" i="13" a="1"/>
  <c r="J5679" i="13" s="1"/>
  <c r="N5680" i="13"/>
  <c r="M5682" i="13"/>
  <c r="M5683" i="14"/>
  <c r="K5494" i="13" l="1"/>
  <c r="L5494" i="13" s="1"/>
  <c r="I5495" i="13" s="1"/>
  <c r="K5516" i="14"/>
  <c r="L5516" i="14" s="1"/>
  <c r="I5517" i="14" s="1"/>
  <c r="J5680" i="13" a="1"/>
  <c r="J5680" i="13" s="1"/>
  <c r="N5681" i="13"/>
  <c r="M5684" i="14"/>
  <c r="M5683" i="13"/>
  <c r="J5679" i="14" a="1"/>
  <c r="J5679" i="14" s="1"/>
  <c r="N5680" i="14"/>
  <c r="K5517" i="14" l="1"/>
  <c r="L5517" i="14" s="1"/>
  <c r="I5518" i="14" s="1"/>
  <c r="K5495" i="13"/>
  <c r="L5495" i="13" s="1"/>
  <c r="I5496" i="13" s="1"/>
  <c r="J5680" i="14" a="1"/>
  <c r="J5680" i="14" s="1"/>
  <c r="N5681" i="14"/>
  <c r="M5685" i="14"/>
  <c r="N5682" i="13"/>
  <c r="J5681" i="13" a="1"/>
  <c r="J5681" i="13" s="1"/>
  <c r="M5684" i="13"/>
  <c r="K5496" i="13" l="1"/>
  <c r="L5496" i="13" s="1"/>
  <c r="I5497" i="13" s="1"/>
  <c r="K5518" i="14"/>
  <c r="L5518" i="14" s="1"/>
  <c r="I5519" i="14" s="1"/>
  <c r="M5685" i="13"/>
  <c r="M5686" i="14"/>
  <c r="J5682" i="13" a="1"/>
  <c r="J5682" i="13" s="1"/>
  <c r="N5683" i="13"/>
  <c r="J5681" i="14" a="1"/>
  <c r="J5681" i="14" s="1"/>
  <c r="N5682" i="14"/>
  <c r="K5497" i="13" l="1"/>
  <c r="L5497" i="13" s="1"/>
  <c r="I5498" i="13" s="1"/>
  <c r="N5683" i="14"/>
  <c r="J5682" i="14" a="1"/>
  <c r="J5682" i="14" s="1"/>
  <c r="M5687" i="14"/>
  <c r="K5519" i="14"/>
  <c r="L5519" i="14" s="1"/>
  <c r="I5520" i="14" s="1"/>
  <c r="J5683" i="13" a="1"/>
  <c r="J5683" i="13" s="1"/>
  <c r="N5684" i="13"/>
  <c r="M5686" i="13"/>
  <c r="K5520" i="14" l="1"/>
  <c r="L5520" i="14" s="1"/>
  <c r="I5521" i="14" s="1"/>
  <c r="K5498" i="13"/>
  <c r="L5498" i="13" s="1"/>
  <c r="I5499" i="13" s="1"/>
  <c r="M5687" i="13"/>
  <c r="J5683" i="14" a="1"/>
  <c r="J5683" i="14" s="1"/>
  <c r="N5684" i="14"/>
  <c r="J5684" i="13" a="1"/>
  <c r="J5684" i="13" s="1"/>
  <c r="N5685" i="13"/>
  <c r="M5688" i="14"/>
  <c r="K5499" i="13" l="1"/>
  <c r="L5499" i="13" s="1"/>
  <c r="I5500" i="13" s="1"/>
  <c r="K5521" i="14"/>
  <c r="L5521" i="14" s="1"/>
  <c r="I5522" i="14" s="1"/>
  <c r="J5684" i="14" a="1"/>
  <c r="J5684" i="14" s="1"/>
  <c r="N5685" i="14"/>
  <c r="M5689" i="14"/>
  <c r="N5686" i="13"/>
  <c r="J5685" i="13" a="1"/>
  <c r="J5685" i="13" s="1"/>
  <c r="M5688" i="13"/>
  <c r="K5522" i="14" l="1"/>
  <c r="L5522" i="14" s="1"/>
  <c r="I5523" i="14" s="1"/>
  <c r="K5500" i="13"/>
  <c r="L5500" i="13" s="1"/>
  <c r="I5501" i="13" s="1"/>
  <c r="M5689" i="13"/>
  <c r="M5690" i="14"/>
  <c r="J5686" i="13" a="1"/>
  <c r="J5686" i="13" s="1"/>
  <c r="N5687" i="13"/>
  <c r="N5686" i="14"/>
  <c r="J5685" i="14" a="1"/>
  <c r="J5685" i="14" s="1"/>
  <c r="K5501" i="13" l="1"/>
  <c r="L5501" i="13" s="1"/>
  <c r="I5502" i="13" s="1"/>
  <c r="K5523" i="14"/>
  <c r="L5523" i="14" s="1"/>
  <c r="I5524" i="14" s="1"/>
  <c r="N5687" i="14"/>
  <c r="J5686" i="14" a="1"/>
  <c r="J5686" i="14" s="1"/>
  <c r="M5691" i="14"/>
  <c r="J5687" i="13" a="1"/>
  <c r="J5687" i="13" s="1"/>
  <c r="N5688" i="13"/>
  <c r="M5690" i="13"/>
  <c r="K5524" i="14" l="1"/>
  <c r="L5524" i="14" s="1"/>
  <c r="I5525" i="14" s="1"/>
  <c r="K5502" i="13"/>
  <c r="L5502" i="13" s="1"/>
  <c r="I5503" i="13" s="1"/>
  <c r="M5691" i="13"/>
  <c r="M5692" i="14"/>
  <c r="J5688" i="13" a="1"/>
  <c r="J5688" i="13" s="1"/>
  <c r="N5689" i="13"/>
  <c r="J5687" i="14" a="1"/>
  <c r="J5687" i="14" s="1"/>
  <c r="N5688" i="14"/>
  <c r="K5503" i="13" l="1"/>
  <c r="L5503" i="13" s="1"/>
  <c r="I5504" i="13" s="1"/>
  <c r="K5525" i="14"/>
  <c r="L5525" i="14" s="1"/>
  <c r="I5526" i="14" s="1"/>
  <c r="J5688" i="14" a="1"/>
  <c r="J5688" i="14" s="1"/>
  <c r="N5689" i="14"/>
  <c r="M5693" i="14"/>
  <c r="N5690" i="13"/>
  <c r="J5689" i="13" a="1"/>
  <c r="J5689" i="13" s="1"/>
  <c r="M5692" i="13"/>
  <c r="K5526" i="14" l="1"/>
  <c r="L5526" i="14" s="1"/>
  <c r="I5527" i="14" s="1"/>
  <c r="K5504" i="13"/>
  <c r="L5504" i="13" s="1"/>
  <c r="I5505" i="13" s="1"/>
  <c r="M5693" i="13"/>
  <c r="M5694" i="14"/>
  <c r="J5690" i="13" a="1"/>
  <c r="J5690" i="13" s="1"/>
  <c r="N5691" i="13"/>
  <c r="J5689" i="14" a="1"/>
  <c r="J5689" i="14" s="1"/>
  <c r="N5690" i="14"/>
  <c r="K5505" i="13" l="1"/>
  <c r="L5505" i="13" s="1"/>
  <c r="I5506" i="13" s="1"/>
  <c r="K5527" i="14"/>
  <c r="L5527" i="14" s="1"/>
  <c r="I5528" i="14" s="1"/>
  <c r="J5691" i="13" a="1"/>
  <c r="J5691" i="13" s="1"/>
  <c r="N5692" i="13"/>
  <c r="N5691" i="14"/>
  <c r="J5690" i="14" a="1"/>
  <c r="J5690" i="14" s="1"/>
  <c r="M5695" i="14"/>
  <c r="M5694" i="13"/>
  <c r="K5528" i="14" l="1"/>
  <c r="L5528" i="14" s="1"/>
  <c r="I5529" i="14" s="1"/>
  <c r="K5506" i="13"/>
  <c r="L5506" i="13" s="1"/>
  <c r="I5507" i="13" s="1"/>
  <c r="M5695" i="13"/>
  <c r="J5691" i="14" a="1"/>
  <c r="J5691" i="14" s="1"/>
  <c r="N5692" i="14"/>
  <c r="J5692" i="13" a="1"/>
  <c r="J5692" i="13" s="1"/>
  <c r="N5693" i="13"/>
  <c r="M5696" i="14"/>
  <c r="K5507" i="13" l="1"/>
  <c r="L5507" i="13" s="1"/>
  <c r="I5508" i="13" s="1"/>
  <c r="K5529" i="14"/>
  <c r="L5529" i="14" s="1"/>
  <c r="I5530" i="14" s="1"/>
  <c r="J5692" i="14" a="1"/>
  <c r="J5692" i="14" s="1"/>
  <c r="N5693" i="14"/>
  <c r="N5694" i="13"/>
  <c r="J5693" i="13" a="1"/>
  <c r="J5693" i="13" s="1"/>
  <c r="M5697" i="14"/>
  <c r="M5696" i="13"/>
  <c r="K5530" i="14" l="1"/>
  <c r="L5530" i="14" s="1"/>
  <c r="I5531" i="14" s="1"/>
  <c r="K5508" i="13"/>
  <c r="L5508" i="13" s="1"/>
  <c r="I5509" i="13" s="1"/>
  <c r="M5697" i="13"/>
  <c r="J5694" i="13" a="1"/>
  <c r="J5694" i="13" s="1"/>
  <c r="N5695" i="13"/>
  <c r="N5694" i="14"/>
  <c r="J5693" i="14" a="1"/>
  <c r="J5693" i="14" s="1"/>
  <c r="M5698" i="14"/>
  <c r="K5509" i="13" l="1"/>
  <c r="L5509" i="13" s="1"/>
  <c r="I5510" i="13" s="1"/>
  <c r="K5531" i="14"/>
  <c r="L5531" i="14" s="1"/>
  <c r="I5532" i="14" s="1"/>
  <c r="J5695" i="13" a="1"/>
  <c r="J5695" i="13" s="1"/>
  <c r="N5696" i="13"/>
  <c r="M5699" i="14"/>
  <c r="N5695" i="14"/>
  <c r="J5694" i="14" a="1"/>
  <c r="J5694" i="14" s="1"/>
  <c r="M5698" i="13"/>
  <c r="K5532" i="14" l="1"/>
  <c r="L5532" i="14" s="1"/>
  <c r="I5533" i="14" s="1"/>
  <c r="K5510" i="13"/>
  <c r="L5510" i="13" s="1"/>
  <c r="I5511" i="13" s="1"/>
  <c r="J5695" i="14" a="1"/>
  <c r="J5695" i="14" s="1"/>
  <c r="N5696" i="14"/>
  <c r="M5699" i="13"/>
  <c r="M5700" i="14"/>
  <c r="J5696" i="13" a="1"/>
  <c r="J5696" i="13" s="1"/>
  <c r="N5697" i="13"/>
  <c r="K5511" i="13" l="1"/>
  <c r="L5511" i="13" s="1"/>
  <c r="I5512" i="13" s="1"/>
  <c r="K5533" i="14"/>
  <c r="L5533" i="14" s="1"/>
  <c r="I5534" i="14" s="1"/>
  <c r="N5698" i="13"/>
  <c r="J5697" i="13" a="1"/>
  <c r="J5697" i="13" s="1"/>
  <c r="M5700" i="13"/>
  <c r="J5696" i="14" a="1"/>
  <c r="J5696" i="14" s="1"/>
  <c r="N5697" i="14"/>
  <c r="M5701" i="14"/>
  <c r="K5512" i="13" l="1"/>
  <c r="L5512" i="13" s="1"/>
  <c r="I5513" i="13" s="1"/>
  <c r="J5697" i="14" a="1"/>
  <c r="J5697" i="14" s="1"/>
  <c r="N5698" i="14"/>
  <c r="M5702" i="14"/>
  <c r="M5701" i="13"/>
  <c r="K5534" i="14"/>
  <c r="L5534" i="14" s="1"/>
  <c r="I5535" i="14" s="1"/>
  <c r="J5698" i="13" a="1"/>
  <c r="J5698" i="13" s="1"/>
  <c r="N5699" i="13"/>
  <c r="K5535" i="14" l="1"/>
  <c r="L5535" i="14" s="1"/>
  <c r="I5536" i="14" s="1"/>
  <c r="K5513" i="13"/>
  <c r="L5513" i="13" s="1"/>
  <c r="I5514" i="13" s="1"/>
  <c r="N5699" i="14"/>
  <c r="J5698" i="14" a="1"/>
  <c r="J5698" i="14" s="1"/>
  <c r="J5699" i="13" a="1"/>
  <c r="J5699" i="13" s="1"/>
  <c r="N5700" i="13"/>
  <c r="M5702" i="13"/>
  <c r="M5703" i="14"/>
  <c r="K5536" i="14" l="1"/>
  <c r="L5536" i="14" s="1"/>
  <c r="I5537" i="14" s="1"/>
  <c r="J5700" i="13" a="1"/>
  <c r="J5700" i="13" s="1"/>
  <c r="N5701" i="13"/>
  <c r="K5514" i="13"/>
  <c r="L5514" i="13" s="1"/>
  <c r="I5515" i="13" s="1"/>
  <c r="M5704" i="14"/>
  <c r="M5703" i="13"/>
  <c r="J5699" i="14" a="1"/>
  <c r="J5699" i="14" s="1"/>
  <c r="N5700" i="14"/>
  <c r="K5515" i="13" l="1"/>
  <c r="L5515" i="13" s="1"/>
  <c r="I5516" i="13" s="1"/>
  <c r="K5537" i="14"/>
  <c r="L5537" i="14" s="1"/>
  <c r="I5538" i="14" s="1"/>
  <c r="J5700" i="14" a="1"/>
  <c r="J5700" i="14" s="1"/>
  <c r="N5701" i="14"/>
  <c r="N5702" i="13"/>
  <c r="J5701" i="13" a="1"/>
  <c r="J5701" i="13" s="1"/>
  <c r="M5705" i="14"/>
  <c r="M5704" i="13"/>
  <c r="K5538" i="14" l="1"/>
  <c r="L5538" i="14" s="1"/>
  <c r="I5539" i="14" s="1"/>
  <c r="K5516" i="13"/>
  <c r="L5516" i="13" s="1"/>
  <c r="I5517" i="13" s="1"/>
  <c r="J5702" i="13" a="1"/>
  <c r="J5702" i="13" s="1"/>
  <c r="N5703" i="13"/>
  <c r="N5702" i="14"/>
  <c r="J5701" i="14" a="1"/>
  <c r="J5701" i="14" s="1"/>
  <c r="M5705" i="13"/>
  <c r="M5706" i="14"/>
  <c r="K5517" i="13" l="1"/>
  <c r="L5517" i="13" s="1"/>
  <c r="I5518" i="13" s="1"/>
  <c r="K5539" i="14"/>
  <c r="L5539" i="14" s="1"/>
  <c r="I5540" i="14" s="1"/>
  <c r="N5703" i="14"/>
  <c r="J5702" i="14" a="1"/>
  <c r="J5702" i="14" s="1"/>
  <c r="J5703" i="13" a="1"/>
  <c r="J5703" i="13" s="1"/>
  <c r="N5704" i="13"/>
  <c r="M5707" i="14"/>
  <c r="M5706" i="13"/>
  <c r="K5540" i="14" l="1"/>
  <c r="L5540" i="14" s="1"/>
  <c r="I5541" i="14" s="1"/>
  <c r="K5518" i="13"/>
  <c r="L5518" i="13" s="1"/>
  <c r="I5519" i="13" s="1"/>
  <c r="J5704" i="13" a="1"/>
  <c r="J5704" i="13" s="1"/>
  <c r="N5705" i="13"/>
  <c r="M5707" i="13"/>
  <c r="M5708" i="14"/>
  <c r="J5703" i="14" a="1"/>
  <c r="J5703" i="14" s="1"/>
  <c r="N5704" i="14"/>
  <c r="K5519" i="13" l="1"/>
  <c r="L5519" i="13" s="1"/>
  <c r="I5520" i="13" s="1"/>
  <c r="K5541" i="14"/>
  <c r="L5541" i="14" s="1"/>
  <c r="I5542" i="14" s="1"/>
  <c r="J5704" i="14" a="1"/>
  <c r="J5704" i="14" s="1"/>
  <c r="N5705" i="14"/>
  <c r="M5708" i="13"/>
  <c r="N5706" i="13"/>
  <c r="J5705" i="13" a="1"/>
  <c r="J5705" i="13" s="1"/>
  <c r="M5709" i="14"/>
  <c r="K5542" i="14" l="1"/>
  <c r="L5542" i="14" s="1"/>
  <c r="I5543" i="14" s="1"/>
  <c r="K5520" i="13"/>
  <c r="L5520" i="13" s="1"/>
  <c r="I5521" i="13" s="1"/>
  <c r="M5710" i="14"/>
  <c r="M5709" i="13"/>
  <c r="J5706" i="13" a="1"/>
  <c r="J5706" i="13" s="1"/>
  <c r="N5707" i="13"/>
  <c r="J5705" i="14" a="1"/>
  <c r="J5705" i="14" s="1"/>
  <c r="N5706" i="14"/>
  <c r="K5521" i="13" l="1"/>
  <c r="L5521" i="13" s="1"/>
  <c r="I5522" i="13" s="1"/>
  <c r="K5543" i="14"/>
  <c r="L5543" i="14" s="1"/>
  <c r="I5544" i="14" s="1"/>
  <c r="N5707" i="14"/>
  <c r="J5706" i="14" a="1"/>
  <c r="J5706" i="14" s="1"/>
  <c r="M5710" i="13"/>
  <c r="J5707" i="13" a="1"/>
  <c r="J5707" i="13" s="1"/>
  <c r="N5708" i="13"/>
  <c r="M5711" i="14"/>
  <c r="K5544" i="14" l="1"/>
  <c r="L5544" i="14" s="1"/>
  <c r="I5545" i="14" s="1"/>
  <c r="K5522" i="13"/>
  <c r="L5522" i="13" s="1"/>
  <c r="I5523" i="13" s="1"/>
  <c r="J5708" i="13" a="1"/>
  <c r="J5708" i="13" s="1"/>
  <c r="N5709" i="13"/>
  <c r="M5712" i="14"/>
  <c r="M5711" i="13"/>
  <c r="J5707" i="14" a="1"/>
  <c r="J5707" i="14" s="1"/>
  <c r="N5708" i="14"/>
  <c r="K5523" i="13" l="1"/>
  <c r="L5523" i="13" s="1"/>
  <c r="I5524" i="13" s="1"/>
  <c r="K5545" i="14"/>
  <c r="L5545" i="14" s="1"/>
  <c r="I5546" i="14" s="1"/>
  <c r="J5708" i="14" a="1"/>
  <c r="J5708" i="14" s="1"/>
  <c r="N5709" i="14"/>
  <c r="M5713" i="14"/>
  <c r="N5710" i="13"/>
  <c r="J5709" i="13" a="1"/>
  <c r="J5709" i="13" s="1"/>
  <c r="M5712" i="13"/>
  <c r="J5710" i="13" l="1" a="1"/>
  <c r="J5710" i="13" s="1"/>
  <c r="N5711" i="13"/>
  <c r="M5713" i="13"/>
  <c r="M5714" i="14"/>
  <c r="K5546" i="14"/>
  <c r="L5546" i="14" s="1"/>
  <c r="I5547" i="14" s="1"/>
  <c r="N5710" i="14"/>
  <c r="J5709" i="14" a="1"/>
  <c r="J5709" i="14" s="1"/>
  <c r="K5524" i="13"/>
  <c r="L5524" i="13" s="1"/>
  <c r="I5525" i="13" s="1"/>
  <c r="K5525" i="13" l="1"/>
  <c r="L5525" i="13" s="1"/>
  <c r="I5526" i="13" s="1"/>
  <c r="K5547" i="14"/>
  <c r="L5547" i="14" s="1"/>
  <c r="I5548" i="14" s="1"/>
  <c r="M5714" i="13"/>
  <c r="J5711" i="13" a="1"/>
  <c r="J5711" i="13" s="1"/>
  <c r="N5712" i="13"/>
  <c r="N5711" i="14"/>
  <c r="J5710" i="14" a="1"/>
  <c r="J5710" i="14" s="1"/>
  <c r="M5715" i="14"/>
  <c r="K5526" i="13" l="1"/>
  <c r="L5526" i="13" s="1"/>
  <c r="I5527" i="13" s="1"/>
  <c r="J5712" i="13" a="1"/>
  <c r="J5712" i="13" s="1"/>
  <c r="N5713" i="13"/>
  <c r="K5548" i="14"/>
  <c r="L5548" i="14" s="1"/>
  <c r="I5549" i="14" s="1"/>
  <c r="M5716" i="14"/>
  <c r="J5711" i="14" a="1"/>
  <c r="J5711" i="14" s="1"/>
  <c r="N5712" i="14"/>
  <c r="M5715" i="13"/>
  <c r="K5549" i="14" l="1"/>
  <c r="L5549" i="14" s="1"/>
  <c r="I5550" i="14" s="1"/>
  <c r="K5527" i="13"/>
  <c r="L5527" i="13" s="1"/>
  <c r="I5528" i="13" s="1"/>
  <c r="N5714" i="13"/>
  <c r="J5713" i="13" a="1"/>
  <c r="J5713" i="13" s="1"/>
  <c r="M5717" i="14"/>
  <c r="M5716" i="13"/>
  <c r="J5712" i="14" a="1"/>
  <c r="J5712" i="14" s="1"/>
  <c r="N5713" i="14"/>
  <c r="K5528" i="13" l="1"/>
  <c r="L5528" i="13" s="1"/>
  <c r="I5529" i="13" s="1"/>
  <c r="K5550" i="14"/>
  <c r="L5550" i="14" s="1"/>
  <c r="I5551" i="14" s="1"/>
  <c r="J5713" i="14" a="1"/>
  <c r="J5713" i="14" s="1"/>
  <c r="N5714" i="14"/>
  <c r="M5718" i="14"/>
  <c r="M5717" i="13"/>
  <c r="J5714" i="13" a="1"/>
  <c r="J5714" i="13" s="1"/>
  <c r="N5715" i="13"/>
  <c r="K5551" i="14" l="1"/>
  <c r="L5551" i="14" s="1"/>
  <c r="I5552" i="14" s="1"/>
  <c r="K5529" i="13"/>
  <c r="L5529" i="13" s="1"/>
  <c r="I5530" i="13" s="1"/>
  <c r="J5715" i="13" a="1"/>
  <c r="J5715" i="13" s="1"/>
  <c r="N5716" i="13"/>
  <c r="M5719" i="14"/>
  <c r="N5715" i="14"/>
  <c r="J5714" i="14" a="1"/>
  <c r="J5714" i="14" s="1"/>
  <c r="M5718" i="13"/>
  <c r="K5530" i="13" l="1"/>
  <c r="L5530" i="13" s="1"/>
  <c r="I5531" i="13" s="1"/>
  <c r="K5552" i="14"/>
  <c r="L5552" i="14" s="1"/>
  <c r="I5553" i="14" s="1"/>
  <c r="J5715" i="14" a="1"/>
  <c r="J5715" i="14" s="1"/>
  <c r="N5716" i="14"/>
  <c r="M5719" i="13"/>
  <c r="M5720" i="14"/>
  <c r="J5716" i="13" a="1"/>
  <c r="J5716" i="13" s="1"/>
  <c r="N5717" i="13"/>
  <c r="K5553" i="14" l="1"/>
  <c r="L5553" i="14" s="1"/>
  <c r="I5554" i="14" s="1"/>
  <c r="K5531" i="13"/>
  <c r="L5531" i="13" s="1"/>
  <c r="I5532" i="13" s="1"/>
  <c r="N5718" i="13"/>
  <c r="J5717" i="13" a="1"/>
  <c r="J5717" i="13" s="1"/>
  <c r="M5720" i="13"/>
  <c r="J5716" i="14" a="1"/>
  <c r="J5716" i="14" s="1"/>
  <c r="N5717" i="14"/>
  <c r="M5721" i="14"/>
  <c r="K5532" i="13" l="1"/>
  <c r="L5532" i="13" s="1"/>
  <c r="I5533" i="13" s="1"/>
  <c r="K5554" i="14"/>
  <c r="L5554" i="14" s="1"/>
  <c r="I5555" i="14" s="1"/>
  <c r="N5718" i="14"/>
  <c r="J5717" i="14" a="1"/>
  <c r="J5717" i="14" s="1"/>
  <c r="M5722" i="14"/>
  <c r="M5721" i="13"/>
  <c r="J5718" i="13" a="1"/>
  <c r="J5718" i="13" s="1"/>
  <c r="N5719" i="13"/>
  <c r="K5555" i="14" l="1"/>
  <c r="L5555" i="14" s="1"/>
  <c r="I5556" i="14" s="1"/>
  <c r="K5533" i="13"/>
  <c r="L5533" i="13" s="1"/>
  <c r="I5534" i="13" s="1"/>
  <c r="J5719" i="13" a="1"/>
  <c r="J5719" i="13" s="1"/>
  <c r="N5720" i="13"/>
  <c r="M5723" i="14"/>
  <c r="M5722" i="13"/>
  <c r="N5719" i="14"/>
  <c r="J5718" i="14" a="1"/>
  <c r="J5718" i="14" s="1"/>
  <c r="K5534" i="13" l="1"/>
  <c r="L5534" i="13" s="1"/>
  <c r="I5535" i="13" s="1"/>
  <c r="K5556" i="14"/>
  <c r="L5556" i="14" s="1"/>
  <c r="I5557" i="14" s="1"/>
  <c r="J5719" i="14" a="1"/>
  <c r="J5719" i="14" s="1"/>
  <c r="N5720" i="14"/>
  <c r="M5724" i="14"/>
  <c r="J5720" i="13" a="1"/>
  <c r="J5720" i="13" s="1"/>
  <c r="N5721" i="13"/>
  <c r="M5723" i="13"/>
  <c r="K5557" i="14" l="1"/>
  <c r="L5557" i="14" s="1"/>
  <c r="I5558" i="14" s="1"/>
  <c r="K5535" i="13"/>
  <c r="L5535" i="13" s="1"/>
  <c r="I5536" i="13" s="1"/>
  <c r="M5724" i="13"/>
  <c r="M5725" i="14"/>
  <c r="J5720" i="14" a="1"/>
  <c r="J5720" i="14" s="1"/>
  <c r="N5721" i="14"/>
  <c r="N5722" i="13"/>
  <c r="J5721" i="13" a="1"/>
  <c r="J5721" i="13" s="1"/>
  <c r="K5536" i="13" l="1"/>
  <c r="L5536" i="13" s="1"/>
  <c r="I5537" i="13" s="1"/>
  <c r="K5558" i="14"/>
  <c r="L5558" i="14" s="1"/>
  <c r="I5559" i="14" s="1"/>
  <c r="M5726" i="14"/>
  <c r="J5722" i="13" a="1"/>
  <c r="J5722" i="13" s="1"/>
  <c r="N5723" i="13"/>
  <c r="J5721" i="14" a="1"/>
  <c r="J5721" i="14" s="1"/>
  <c r="N5722" i="14"/>
  <c r="M5725" i="13"/>
  <c r="K5559" i="14" l="1"/>
  <c r="L5559" i="14" s="1"/>
  <c r="I5560" i="14" s="1"/>
  <c r="K5537" i="13"/>
  <c r="L5537" i="13" s="1"/>
  <c r="I5538" i="13" s="1"/>
  <c r="J5723" i="13" a="1"/>
  <c r="J5723" i="13" s="1"/>
  <c r="N5724" i="13"/>
  <c r="N5723" i="14"/>
  <c r="J5722" i="14" a="1"/>
  <c r="J5722" i="14" s="1"/>
  <c r="M5726" i="13"/>
  <c r="M5727" i="14"/>
  <c r="K5538" i="13" l="1"/>
  <c r="L5538" i="13" s="1"/>
  <c r="I5539" i="13" s="1"/>
  <c r="K5560" i="14"/>
  <c r="L5560" i="14" s="1"/>
  <c r="I5561" i="14" s="1"/>
  <c r="J5723" i="14" a="1"/>
  <c r="J5723" i="14" s="1"/>
  <c r="N5724" i="14"/>
  <c r="J5724" i="13" a="1"/>
  <c r="J5724" i="13" s="1"/>
  <c r="N5725" i="13"/>
  <c r="M5728" i="14"/>
  <c r="M5727" i="13"/>
  <c r="K5561" i="14" l="1"/>
  <c r="L5561" i="14" s="1"/>
  <c r="I5562" i="14" s="1"/>
  <c r="K5539" i="13"/>
  <c r="L5539" i="13" s="1"/>
  <c r="I5540" i="13" s="1"/>
  <c r="N5726" i="13"/>
  <c r="J5725" i="13" a="1"/>
  <c r="J5725" i="13" s="1"/>
  <c r="J5724" i="14" a="1"/>
  <c r="J5724" i="14" s="1"/>
  <c r="N5725" i="14"/>
  <c r="M5728" i="13"/>
  <c r="M5729" i="14"/>
  <c r="K5540" i="13" l="1"/>
  <c r="L5540" i="13" s="1"/>
  <c r="I5541" i="13" s="1"/>
  <c r="K5562" i="14"/>
  <c r="L5562" i="14" s="1"/>
  <c r="I5563" i="14" s="1"/>
  <c r="M5730" i="14"/>
  <c r="J5725" i="14" a="1"/>
  <c r="J5725" i="14" s="1"/>
  <c r="N5726" i="14"/>
  <c r="M5729" i="13"/>
  <c r="J5726" i="13" a="1"/>
  <c r="J5726" i="13" s="1"/>
  <c r="N5727" i="13"/>
  <c r="K5563" i="14" l="1"/>
  <c r="L5563" i="14" s="1"/>
  <c r="I5564" i="14" s="1"/>
  <c r="K5541" i="13"/>
  <c r="L5541" i="13" s="1"/>
  <c r="I5542" i="13" s="1"/>
  <c r="N5727" i="14"/>
  <c r="J5726" i="14" a="1"/>
  <c r="J5726" i="14" s="1"/>
  <c r="J5727" i="13" a="1"/>
  <c r="J5727" i="13" s="1"/>
  <c r="N5728" i="13"/>
  <c r="M5730" i="13"/>
  <c r="M5731" i="14"/>
  <c r="K5542" i="13" l="1"/>
  <c r="L5542" i="13" s="1"/>
  <c r="I5543" i="13" s="1"/>
  <c r="M5731" i="13"/>
  <c r="K5564" i="14"/>
  <c r="L5564" i="14" s="1"/>
  <c r="I5565" i="14" s="1"/>
  <c r="J5728" i="13" a="1"/>
  <c r="J5728" i="13" s="1"/>
  <c r="N5729" i="13"/>
  <c r="J5727" i="14" a="1"/>
  <c r="J5727" i="14" s="1"/>
  <c r="N5728" i="14"/>
  <c r="M5732" i="14"/>
  <c r="K5565" i="14" l="1"/>
  <c r="L5565" i="14" s="1"/>
  <c r="I5566" i="14" s="1"/>
  <c r="K5543" i="13"/>
  <c r="L5543" i="13" s="1"/>
  <c r="I5544" i="13" s="1"/>
  <c r="N5730" i="13"/>
  <c r="J5729" i="13" a="1"/>
  <c r="J5729" i="13" s="1"/>
  <c r="M5732" i="13"/>
  <c r="J5728" i="14" a="1"/>
  <c r="J5728" i="14" s="1"/>
  <c r="N5729" i="14"/>
  <c r="M5733" i="14"/>
  <c r="K5544" i="13" l="1"/>
  <c r="L5544" i="13" s="1"/>
  <c r="I5545" i="13" s="1"/>
  <c r="K5566" i="14"/>
  <c r="L5566" i="14" s="1"/>
  <c r="I5567" i="14" s="1"/>
  <c r="M5734" i="14"/>
  <c r="J5729" i="14" a="1"/>
  <c r="J5729" i="14" s="1"/>
  <c r="N5730" i="14"/>
  <c r="M5733" i="13"/>
  <c r="J5730" i="13" a="1"/>
  <c r="J5730" i="13" s="1"/>
  <c r="N5731" i="13"/>
  <c r="K5567" i="14" l="1"/>
  <c r="L5567" i="14" s="1"/>
  <c r="I5568" i="14" s="1"/>
  <c r="K5545" i="13"/>
  <c r="L5545" i="13" s="1"/>
  <c r="I5546" i="13" s="1"/>
  <c r="J5731" i="13" a="1"/>
  <c r="J5731" i="13" s="1"/>
  <c r="N5732" i="13"/>
  <c r="N5731" i="14"/>
  <c r="J5730" i="14" a="1"/>
  <c r="J5730" i="14" s="1"/>
  <c r="M5734" i="13"/>
  <c r="M5735" i="14"/>
  <c r="K5546" i="13" l="1"/>
  <c r="L5546" i="13" s="1"/>
  <c r="I5547" i="13" s="1"/>
  <c r="K5568" i="14"/>
  <c r="L5568" i="14" s="1"/>
  <c r="I5569" i="14" s="1"/>
  <c r="J5731" i="14" a="1"/>
  <c r="J5731" i="14" s="1"/>
  <c r="N5732" i="14"/>
  <c r="M5736" i="14"/>
  <c r="J5732" i="13" a="1"/>
  <c r="J5732" i="13" s="1"/>
  <c r="N5733" i="13"/>
  <c r="M5735" i="13"/>
  <c r="K5569" i="14" l="1"/>
  <c r="L5569" i="14" s="1"/>
  <c r="I5570" i="14" s="1"/>
  <c r="K5547" i="13"/>
  <c r="L5547" i="13" s="1"/>
  <c r="I5548" i="13" s="1"/>
  <c r="N5734" i="13"/>
  <c r="J5733" i="13" a="1"/>
  <c r="J5733" i="13" s="1"/>
  <c r="M5736" i="13"/>
  <c r="M5737" i="14"/>
  <c r="J5732" i="14" a="1"/>
  <c r="J5732" i="14" s="1"/>
  <c r="N5733" i="14"/>
  <c r="K5548" i="13" l="1"/>
  <c r="L5548" i="13" s="1"/>
  <c r="I5549" i="13" s="1"/>
  <c r="K5570" i="14"/>
  <c r="L5570" i="14" s="1"/>
  <c r="I5571" i="14" s="1"/>
  <c r="J5733" i="14" a="1"/>
  <c r="J5733" i="14" s="1"/>
  <c r="N5734" i="14"/>
  <c r="M5737" i="13"/>
  <c r="M5738" i="14"/>
  <c r="J5734" i="13" a="1"/>
  <c r="J5734" i="13" s="1"/>
  <c r="N5735" i="13"/>
  <c r="K5571" i="14" l="1"/>
  <c r="L5571" i="14" s="1"/>
  <c r="I5572" i="14" s="1"/>
  <c r="K5549" i="13"/>
  <c r="L5549" i="13" s="1"/>
  <c r="I5550" i="13" s="1"/>
  <c r="J5735" i="13" a="1"/>
  <c r="J5735" i="13" s="1"/>
  <c r="N5736" i="13"/>
  <c r="M5738" i="13"/>
  <c r="N5735" i="14"/>
  <c r="J5734" i="14" a="1"/>
  <c r="J5734" i="14" s="1"/>
  <c r="M5739" i="14"/>
  <c r="K5550" i="13" l="1"/>
  <c r="L5550" i="13" s="1"/>
  <c r="I5551" i="13" s="1"/>
  <c r="K5572" i="14"/>
  <c r="L5572" i="14" s="1"/>
  <c r="I5573" i="14" s="1"/>
  <c r="J5735" i="14" a="1"/>
  <c r="J5735" i="14" s="1"/>
  <c r="N5736" i="14"/>
  <c r="M5740" i="14"/>
  <c r="M5739" i="13"/>
  <c r="J5736" i="13" a="1"/>
  <c r="J5736" i="13" s="1"/>
  <c r="N5737" i="13"/>
  <c r="K5551" i="13" l="1"/>
  <c r="L5551" i="13" s="1"/>
  <c r="I5552" i="13" s="1"/>
  <c r="N5738" i="13"/>
  <c r="J5737" i="13" a="1"/>
  <c r="J5737" i="13" s="1"/>
  <c r="M5741" i="14"/>
  <c r="K5573" i="14"/>
  <c r="L5573" i="14" s="1"/>
  <c r="I5574" i="14" s="1"/>
  <c r="J5736" i="14" a="1"/>
  <c r="J5736" i="14" s="1"/>
  <c r="N5737" i="14"/>
  <c r="M5740" i="13"/>
  <c r="K5574" i="14" l="1"/>
  <c r="L5574" i="14" s="1"/>
  <c r="I5575" i="14" s="1"/>
  <c r="K5552" i="13"/>
  <c r="L5552" i="13" s="1"/>
  <c r="I5553" i="13" s="1"/>
  <c r="M5741" i="13"/>
  <c r="J5738" i="13" a="1"/>
  <c r="J5738" i="13" s="1"/>
  <c r="N5739" i="13"/>
  <c r="J5737" i="14" a="1"/>
  <c r="J5737" i="14" s="1"/>
  <c r="N5738" i="14"/>
  <c r="M5742" i="14"/>
  <c r="K5553" i="13" l="1"/>
  <c r="L5553" i="13" s="1"/>
  <c r="I5554" i="13" s="1"/>
  <c r="K5575" i="14"/>
  <c r="L5575" i="14" s="1"/>
  <c r="I5576" i="14" s="1"/>
  <c r="J5739" i="13" a="1"/>
  <c r="J5739" i="13" s="1"/>
  <c r="N5740" i="13"/>
  <c r="N5739" i="14"/>
  <c r="J5738" i="14" a="1"/>
  <c r="J5738" i="14" s="1"/>
  <c r="M5743" i="14"/>
  <c r="M5742" i="13"/>
  <c r="K5576" i="14" l="1"/>
  <c r="L5576" i="14" s="1"/>
  <c r="I5577" i="14" s="1"/>
  <c r="K5554" i="13"/>
  <c r="L5554" i="13" s="1"/>
  <c r="I5555" i="13" s="1"/>
  <c r="J5739" i="14" a="1"/>
  <c r="J5739" i="14" s="1"/>
  <c r="N5740" i="14"/>
  <c r="J5740" i="13" a="1"/>
  <c r="J5740" i="13" s="1"/>
  <c r="N5741" i="13"/>
  <c r="M5743" i="13"/>
  <c r="M5744" i="14"/>
  <c r="K5555" i="13" l="1"/>
  <c r="L5555" i="13" s="1"/>
  <c r="I5556" i="13" s="1"/>
  <c r="K5577" i="14"/>
  <c r="L5577" i="14" s="1"/>
  <c r="I5578" i="14" s="1"/>
  <c r="N5742" i="13"/>
  <c r="J5741" i="13" a="1"/>
  <c r="J5741" i="13" s="1"/>
  <c r="J5740" i="14" a="1"/>
  <c r="J5740" i="14" s="1"/>
  <c r="N5741" i="14"/>
  <c r="M5745" i="14"/>
  <c r="M5744" i="13"/>
  <c r="K5578" i="14" l="1"/>
  <c r="L5578" i="14" s="1"/>
  <c r="I5579" i="14" s="1"/>
  <c r="K5556" i="13"/>
  <c r="L5556" i="13" s="1"/>
  <c r="I5557" i="13" s="1"/>
  <c r="M5745" i="13"/>
  <c r="N5742" i="14"/>
  <c r="J5741" i="14" a="1"/>
  <c r="J5741" i="14" s="1"/>
  <c r="M5746" i="14"/>
  <c r="J5742" i="13" a="1"/>
  <c r="J5742" i="13" s="1"/>
  <c r="N5743" i="13"/>
  <c r="K5557" i="13" l="1"/>
  <c r="L5557" i="13" s="1"/>
  <c r="I5558" i="13" s="1"/>
  <c r="K5579" i="14"/>
  <c r="L5579" i="14" s="1"/>
  <c r="I5580" i="14" s="1"/>
  <c r="J5743" i="13" a="1"/>
  <c r="J5743" i="13" s="1"/>
  <c r="N5744" i="13"/>
  <c r="N5743" i="14"/>
  <c r="J5742" i="14" a="1"/>
  <c r="J5742" i="14" s="1"/>
  <c r="M5747" i="14"/>
  <c r="M5746" i="13"/>
  <c r="K5580" i="14" l="1"/>
  <c r="L5580" i="14" s="1"/>
  <c r="I5581" i="14" s="1"/>
  <c r="K5558" i="13"/>
  <c r="L5558" i="13" s="1"/>
  <c r="I5559" i="13" s="1"/>
  <c r="J5743" i="14" a="1"/>
  <c r="J5743" i="14" s="1"/>
  <c r="N5744" i="14"/>
  <c r="J5744" i="13" a="1"/>
  <c r="J5744" i="13" s="1"/>
  <c r="N5745" i="13"/>
  <c r="M5747" i="13"/>
  <c r="M5748" i="14"/>
  <c r="K5559" i="13" l="1"/>
  <c r="L5559" i="13" s="1"/>
  <c r="I5560" i="13" s="1"/>
  <c r="K5581" i="14"/>
  <c r="L5581" i="14" s="1"/>
  <c r="I5582" i="14" s="1"/>
  <c r="N5746" i="13"/>
  <c r="J5745" i="13" a="1"/>
  <c r="J5745" i="13" s="1"/>
  <c r="J5744" i="14" a="1"/>
  <c r="J5744" i="14" s="1"/>
  <c r="N5745" i="14"/>
  <c r="M5749" i="14"/>
  <c r="M5748" i="13"/>
  <c r="K5582" i="14" l="1"/>
  <c r="L5582" i="14" s="1"/>
  <c r="I5583" i="14" s="1"/>
  <c r="K5560" i="13"/>
  <c r="L5560" i="13" s="1"/>
  <c r="I5561" i="13" s="1"/>
  <c r="J5745" i="14" a="1"/>
  <c r="J5745" i="14" s="1"/>
  <c r="N5746" i="14"/>
  <c r="M5749" i="13"/>
  <c r="M5750" i="14"/>
  <c r="J5746" i="13" a="1"/>
  <c r="J5746" i="13" s="1"/>
  <c r="N5747" i="13"/>
  <c r="K5561" i="13" l="1"/>
  <c r="L5561" i="13" s="1"/>
  <c r="I5562" i="13" s="1"/>
  <c r="K5583" i="14"/>
  <c r="L5583" i="14" s="1"/>
  <c r="I5584" i="14" s="1"/>
  <c r="J5747" i="13" a="1"/>
  <c r="J5747" i="13" s="1"/>
  <c r="N5748" i="13"/>
  <c r="M5750" i="13"/>
  <c r="N5747" i="14"/>
  <c r="J5746" i="14" a="1"/>
  <c r="J5746" i="14" s="1"/>
  <c r="M5751" i="14"/>
  <c r="K5584" i="14" l="1"/>
  <c r="L5584" i="14" s="1"/>
  <c r="I5585" i="14" s="1"/>
  <c r="K5562" i="13"/>
  <c r="L5562" i="13" s="1"/>
  <c r="I5563" i="13" s="1"/>
  <c r="M5752" i="14"/>
  <c r="M5751" i="13"/>
  <c r="J5748" i="13" a="1"/>
  <c r="J5748" i="13" s="1"/>
  <c r="N5749" i="13"/>
  <c r="J5747" i="14" a="1"/>
  <c r="J5747" i="14" s="1"/>
  <c r="N5748" i="14"/>
  <c r="K5563" i="13" l="1"/>
  <c r="L5563" i="13" s="1"/>
  <c r="I5564" i="13" s="1"/>
  <c r="K5585" i="14"/>
  <c r="L5585" i="14" s="1"/>
  <c r="I5586" i="14" s="1"/>
  <c r="J5748" i="14" a="1"/>
  <c r="J5748" i="14" s="1"/>
  <c r="N5749" i="14"/>
  <c r="M5752" i="13"/>
  <c r="N5750" i="13"/>
  <c r="J5749" i="13" a="1"/>
  <c r="J5749" i="13" s="1"/>
  <c r="M5753" i="14"/>
  <c r="K5586" i="14" l="1"/>
  <c r="L5586" i="14" s="1"/>
  <c r="I5587" i="14" s="1"/>
  <c r="K5564" i="13"/>
  <c r="L5564" i="13" s="1"/>
  <c r="I5565" i="13" s="1"/>
  <c r="M5754" i="14"/>
  <c r="M5753" i="13"/>
  <c r="J5750" i="13" a="1"/>
  <c r="J5750" i="13" s="1"/>
  <c r="N5751" i="13"/>
  <c r="N5750" i="14"/>
  <c r="J5749" i="14" a="1"/>
  <c r="J5749" i="14" s="1"/>
  <c r="K5565" i="13" l="1"/>
  <c r="L5565" i="13" s="1"/>
  <c r="I5566" i="13" s="1"/>
  <c r="K5587" i="14"/>
  <c r="L5587" i="14" s="1"/>
  <c r="I5588" i="14" s="1"/>
  <c r="N5751" i="14"/>
  <c r="J5750" i="14" a="1"/>
  <c r="J5750" i="14" s="1"/>
  <c r="M5754" i="13"/>
  <c r="J5751" i="13" a="1"/>
  <c r="J5751" i="13" s="1"/>
  <c r="N5752" i="13"/>
  <c r="M5755" i="14"/>
  <c r="K5588" i="14" l="1"/>
  <c r="L5588" i="14" s="1"/>
  <c r="I5589" i="14" s="1"/>
  <c r="K5566" i="13"/>
  <c r="L5566" i="13" s="1"/>
  <c r="I5567" i="13" s="1"/>
  <c r="J5752" i="13" a="1"/>
  <c r="J5752" i="13" s="1"/>
  <c r="N5753" i="13"/>
  <c r="M5756" i="14"/>
  <c r="M5755" i="13"/>
  <c r="J5751" i="14" a="1"/>
  <c r="J5751" i="14" s="1"/>
  <c r="N5752" i="14"/>
  <c r="K5567" i="13" l="1"/>
  <c r="L5567" i="13" s="1"/>
  <c r="I5568" i="13" s="1"/>
  <c r="K5589" i="14"/>
  <c r="L5589" i="14" s="1"/>
  <c r="I5590" i="14" s="1"/>
  <c r="J5752" i="14" a="1"/>
  <c r="J5752" i="14" s="1"/>
  <c r="N5753" i="14"/>
  <c r="M5757" i="14"/>
  <c r="N5754" i="13"/>
  <c r="J5753" i="13" a="1"/>
  <c r="J5753" i="13" s="1"/>
  <c r="M5756" i="13"/>
  <c r="K5590" i="14" l="1"/>
  <c r="L5590" i="14" s="1"/>
  <c r="I5591" i="14" s="1"/>
  <c r="K5568" i="13"/>
  <c r="L5568" i="13" s="1"/>
  <c r="I5569" i="13" s="1"/>
  <c r="M5757" i="13"/>
  <c r="M5758" i="14"/>
  <c r="J5754" i="13" a="1"/>
  <c r="J5754" i="13" s="1"/>
  <c r="N5755" i="13"/>
  <c r="J5753" i="14" a="1"/>
  <c r="J5753" i="14" s="1"/>
  <c r="N5754" i="14"/>
  <c r="K5569" i="13" l="1"/>
  <c r="L5569" i="13" s="1"/>
  <c r="I5570" i="13" s="1"/>
  <c r="K5591" i="14"/>
  <c r="L5591" i="14" s="1"/>
  <c r="I5592" i="14" s="1"/>
  <c r="N5755" i="14"/>
  <c r="J5754" i="14" a="1"/>
  <c r="J5754" i="14" s="1"/>
  <c r="M5759" i="14"/>
  <c r="J5755" i="13" a="1"/>
  <c r="J5755" i="13" s="1"/>
  <c r="N5756" i="13"/>
  <c r="M5758" i="13"/>
  <c r="K5592" i="14" l="1"/>
  <c r="L5592" i="14" s="1"/>
  <c r="I5593" i="14" s="1"/>
  <c r="K5570" i="13"/>
  <c r="L5570" i="13" s="1"/>
  <c r="I5571" i="13" s="1"/>
  <c r="M5759" i="13"/>
  <c r="M5760" i="14"/>
  <c r="J5756" i="13" a="1"/>
  <c r="J5756" i="13" s="1"/>
  <c r="N5757" i="13"/>
  <c r="J5755" i="14" a="1"/>
  <c r="J5755" i="14" s="1"/>
  <c r="N5756" i="14"/>
  <c r="K5571" i="13" l="1"/>
  <c r="L5571" i="13" s="1"/>
  <c r="I5572" i="13" s="1"/>
  <c r="K5593" i="14"/>
  <c r="L5593" i="14" s="1"/>
  <c r="I5594" i="14" s="1"/>
  <c r="J5756" i="14" a="1"/>
  <c r="J5756" i="14" s="1"/>
  <c r="N5757" i="14"/>
  <c r="M5761" i="14"/>
  <c r="N5758" i="13"/>
  <c r="J5757" i="13" a="1"/>
  <c r="J5757" i="13" s="1"/>
  <c r="M5760" i="13"/>
  <c r="K5594" i="14" l="1"/>
  <c r="L5594" i="14" s="1"/>
  <c r="I5595" i="14" s="1"/>
  <c r="K5572" i="13"/>
  <c r="L5572" i="13" s="1"/>
  <c r="I5573" i="13" s="1"/>
  <c r="M5761" i="13"/>
  <c r="M5762" i="14"/>
  <c r="N5758" i="14"/>
  <c r="J5757" i="14" a="1"/>
  <c r="J5757" i="14" s="1"/>
  <c r="J5758" i="13" a="1"/>
  <c r="J5758" i="13" s="1"/>
  <c r="N5759" i="13"/>
  <c r="K5573" i="13" l="1"/>
  <c r="L5573" i="13" s="1"/>
  <c r="I5574" i="13" s="1"/>
  <c r="K5595" i="14"/>
  <c r="L5595" i="14" s="1"/>
  <c r="I5596" i="14" s="1"/>
  <c r="M5763" i="14"/>
  <c r="J5759" i="13" a="1"/>
  <c r="J5759" i="13" s="1"/>
  <c r="N5760" i="13"/>
  <c r="N5759" i="14"/>
  <c r="J5758" i="14" a="1"/>
  <c r="J5758" i="14" s="1"/>
  <c r="M5762" i="13"/>
  <c r="K5596" i="14" l="1"/>
  <c r="L5596" i="14" s="1"/>
  <c r="I5597" i="14" s="1"/>
  <c r="K5574" i="13"/>
  <c r="L5574" i="13" s="1"/>
  <c r="I5575" i="13" s="1"/>
  <c r="J5760" i="13" a="1"/>
  <c r="J5760" i="13" s="1"/>
  <c r="N5761" i="13"/>
  <c r="M5763" i="13"/>
  <c r="J5759" i="14" a="1"/>
  <c r="J5759" i="14" s="1"/>
  <c r="N5760" i="14"/>
  <c r="M5764" i="14"/>
  <c r="K5575" i="13" l="1"/>
  <c r="L5575" i="13" s="1"/>
  <c r="I5576" i="13" s="1"/>
  <c r="K5597" i="14"/>
  <c r="L5597" i="14" s="1"/>
  <c r="I5598" i="14" s="1"/>
  <c r="J5760" i="14" a="1"/>
  <c r="J5760" i="14" s="1"/>
  <c r="N5761" i="14"/>
  <c r="M5765" i="14"/>
  <c r="M5764" i="13"/>
  <c r="N5762" i="13"/>
  <c r="J5761" i="13" a="1"/>
  <c r="J5761" i="13" s="1"/>
  <c r="K5598" i="14" l="1"/>
  <c r="L5598" i="14" s="1"/>
  <c r="I5599" i="14" s="1"/>
  <c r="K5576" i="13"/>
  <c r="L5576" i="13" s="1"/>
  <c r="I5577" i="13" s="1"/>
  <c r="M5766" i="14"/>
  <c r="J5762" i="13" a="1"/>
  <c r="J5762" i="13" s="1"/>
  <c r="N5763" i="13"/>
  <c r="J5761" i="14" a="1"/>
  <c r="J5761" i="14" s="1"/>
  <c r="N5762" i="14"/>
  <c r="M5765" i="13"/>
  <c r="K5577" i="13" l="1"/>
  <c r="L5577" i="13" s="1"/>
  <c r="I5578" i="13" s="1"/>
  <c r="K5599" i="14"/>
  <c r="L5599" i="14" s="1"/>
  <c r="I5600" i="14" s="1"/>
  <c r="J5763" i="13" a="1"/>
  <c r="J5763" i="13" s="1"/>
  <c r="N5764" i="13"/>
  <c r="N5763" i="14"/>
  <c r="J5762" i="14" a="1"/>
  <c r="J5762" i="14" s="1"/>
  <c r="M5766" i="13"/>
  <c r="M5767" i="14"/>
  <c r="K5600" i="14" l="1"/>
  <c r="L5600" i="14" s="1"/>
  <c r="I5601" i="14" s="1"/>
  <c r="K5578" i="13"/>
  <c r="L5578" i="13" s="1"/>
  <c r="I5579" i="13" s="1"/>
  <c r="J5763" i="14" a="1"/>
  <c r="J5763" i="14" s="1"/>
  <c r="N5764" i="14"/>
  <c r="J5764" i="13" a="1"/>
  <c r="J5764" i="13" s="1"/>
  <c r="N5765" i="13"/>
  <c r="M5768" i="14"/>
  <c r="M5767" i="13"/>
  <c r="K5579" i="13" l="1"/>
  <c r="L5579" i="13" s="1"/>
  <c r="I5580" i="13" s="1"/>
  <c r="K5601" i="14"/>
  <c r="L5601" i="14" s="1"/>
  <c r="I5602" i="14" s="1"/>
  <c r="N5766" i="13"/>
  <c r="J5765" i="13" a="1"/>
  <c r="J5765" i="13" s="1"/>
  <c r="J5764" i="14" a="1"/>
  <c r="J5764" i="14" s="1"/>
  <c r="N5765" i="14"/>
  <c r="M5768" i="13"/>
  <c r="M5769" i="14"/>
  <c r="K5602" i="14" l="1"/>
  <c r="L5602" i="14" s="1"/>
  <c r="I5603" i="14" s="1"/>
  <c r="K5580" i="13"/>
  <c r="L5580" i="13" s="1"/>
  <c r="I5581" i="13" s="1"/>
  <c r="N5766" i="14"/>
  <c r="J5765" i="14" a="1"/>
  <c r="J5765" i="14" s="1"/>
  <c r="M5770" i="14"/>
  <c r="M5769" i="13"/>
  <c r="J5766" i="13" a="1"/>
  <c r="J5766" i="13" s="1"/>
  <c r="N5767" i="13"/>
  <c r="K5581" i="13" l="1"/>
  <c r="L5581" i="13" s="1"/>
  <c r="I5582" i="13" s="1"/>
  <c r="K5603" i="14"/>
  <c r="L5603" i="14" s="1"/>
  <c r="I5604" i="14" s="1"/>
  <c r="J5767" i="13" a="1"/>
  <c r="J5767" i="13" s="1"/>
  <c r="N5768" i="13"/>
  <c r="M5771" i="14"/>
  <c r="M5770" i="13"/>
  <c r="N5767" i="14"/>
  <c r="J5766" i="14" a="1"/>
  <c r="J5766" i="14" s="1"/>
  <c r="K5604" i="14" l="1"/>
  <c r="L5604" i="14" s="1"/>
  <c r="I5605" i="14" s="1"/>
  <c r="K5582" i="13"/>
  <c r="L5582" i="13" s="1"/>
  <c r="I5583" i="13" s="1"/>
  <c r="J5767" i="14" a="1"/>
  <c r="J5767" i="14" s="1"/>
  <c r="N5768" i="14"/>
  <c r="M5772" i="14"/>
  <c r="J5768" i="13" a="1"/>
  <c r="J5768" i="13" s="1"/>
  <c r="N5769" i="13"/>
  <c r="M5771" i="13"/>
  <c r="K5583" i="13" l="1"/>
  <c r="L5583" i="13" s="1"/>
  <c r="I5584" i="13" s="1"/>
  <c r="K5605" i="14"/>
  <c r="L5605" i="14" s="1"/>
  <c r="I5606" i="14" s="1"/>
  <c r="M5772" i="13"/>
  <c r="M5773" i="14"/>
  <c r="N5770" i="13"/>
  <c r="J5769" i="13" a="1"/>
  <c r="J5769" i="13" s="1"/>
  <c r="J5768" i="14" a="1"/>
  <c r="J5768" i="14" s="1"/>
  <c r="N5769" i="14"/>
  <c r="K5606" i="14" l="1"/>
  <c r="L5606" i="14" s="1"/>
  <c r="I5607" i="14" s="1"/>
  <c r="K5584" i="13"/>
  <c r="L5584" i="13" s="1"/>
  <c r="I5585" i="13" s="1"/>
  <c r="J5769" i="14" a="1"/>
  <c r="J5769" i="14" s="1"/>
  <c r="N5770" i="14"/>
  <c r="M5774" i="14"/>
  <c r="M5773" i="13"/>
  <c r="J5770" i="13" a="1"/>
  <c r="J5770" i="13" s="1"/>
  <c r="N5771" i="13"/>
  <c r="K5585" i="13" l="1"/>
  <c r="L5585" i="13" s="1"/>
  <c r="I5586" i="13" s="1"/>
  <c r="K5607" i="14"/>
  <c r="L5607" i="14" s="1"/>
  <c r="I5608" i="14" s="1"/>
  <c r="J5771" i="13" a="1"/>
  <c r="J5771" i="13" s="1"/>
  <c r="N5772" i="13"/>
  <c r="M5775" i="14"/>
  <c r="N5771" i="14"/>
  <c r="J5770" i="14" a="1"/>
  <c r="J5770" i="14" s="1"/>
  <c r="M5774" i="13"/>
  <c r="K5608" i="14" l="1"/>
  <c r="L5608" i="14" s="1"/>
  <c r="I5609" i="14" s="1"/>
  <c r="K5586" i="13"/>
  <c r="L5586" i="13" s="1"/>
  <c r="I5587" i="13" s="1"/>
  <c r="J5771" i="14" a="1"/>
  <c r="J5771" i="14" s="1"/>
  <c r="N5772" i="14"/>
  <c r="M5775" i="13"/>
  <c r="M5776" i="14"/>
  <c r="J5772" i="13" a="1"/>
  <c r="J5772" i="13" s="1"/>
  <c r="N5773" i="13"/>
  <c r="K5587" i="13" l="1"/>
  <c r="L5587" i="13" s="1"/>
  <c r="I5588" i="13" s="1"/>
  <c r="K5609" i="14"/>
  <c r="L5609" i="14" s="1"/>
  <c r="I5610" i="14" s="1"/>
  <c r="N5774" i="13"/>
  <c r="J5773" i="13" a="1"/>
  <c r="J5773" i="13" s="1"/>
  <c r="M5776" i="13"/>
  <c r="J5772" i="14" a="1"/>
  <c r="J5772" i="14" s="1"/>
  <c r="N5773" i="14"/>
  <c r="M5777" i="14"/>
  <c r="K5610" i="14" l="1"/>
  <c r="L5610" i="14" s="1"/>
  <c r="I5611" i="14" s="1"/>
  <c r="K5588" i="13"/>
  <c r="L5588" i="13" s="1"/>
  <c r="I5589" i="13" s="1"/>
  <c r="M5778" i="14"/>
  <c r="M5777" i="13"/>
  <c r="N5774" i="14"/>
  <c r="J5773" i="14" a="1"/>
  <c r="J5773" i="14" s="1"/>
  <c r="J5774" i="13" a="1"/>
  <c r="J5774" i="13" s="1"/>
  <c r="N5775" i="13"/>
  <c r="K5589" i="13" l="1"/>
  <c r="L5589" i="13" s="1"/>
  <c r="I5590" i="13" s="1"/>
  <c r="K5611" i="14"/>
  <c r="L5611" i="14" s="1"/>
  <c r="I5612" i="14" s="1"/>
  <c r="J5775" i="13" a="1"/>
  <c r="J5775" i="13" s="1"/>
  <c r="N5776" i="13"/>
  <c r="M5778" i="13"/>
  <c r="N5775" i="14"/>
  <c r="J5774" i="14" a="1"/>
  <c r="J5774" i="14" s="1"/>
  <c r="M5779" i="14"/>
  <c r="K5612" i="14" l="1"/>
  <c r="L5612" i="14" s="1"/>
  <c r="I5613" i="14" s="1"/>
  <c r="K5590" i="13"/>
  <c r="L5590" i="13" s="1"/>
  <c r="I5591" i="13" s="1"/>
  <c r="J5775" i="14" a="1"/>
  <c r="J5775" i="14" s="1"/>
  <c r="N5776" i="14"/>
  <c r="M5780" i="14"/>
  <c r="M5779" i="13"/>
  <c r="J5776" i="13" a="1"/>
  <c r="J5776" i="13" s="1"/>
  <c r="N5777" i="13"/>
  <c r="K5591" i="13" l="1"/>
  <c r="L5591" i="13" s="1"/>
  <c r="I5592" i="13" s="1"/>
  <c r="K5613" i="14"/>
  <c r="L5613" i="14" s="1"/>
  <c r="I5614" i="14" s="1"/>
  <c r="N5778" i="13"/>
  <c r="J5777" i="13" a="1"/>
  <c r="J5777" i="13" s="1"/>
  <c r="M5781" i="14"/>
  <c r="J5776" i="14" a="1"/>
  <c r="J5776" i="14" s="1"/>
  <c r="N5777" i="14"/>
  <c r="M5780" i="13"/>
  <c r="K5614" i="14" l="1"/>
  <c r="L5614" i="14" s="1"/>
  <c r="I5615" i="14" s="1"/>
  <c r="K5592" i="13"/>
  <c r="L5592" i="13" s="1"/>
  <c r="I5593" i="13" s="1"/>
  <c r="M5781" i="13"/>
  <c r="M5782" i="14"/>
  <c r="J5777" i="14" a="1"/>
  <c r="J5777" i="14" s="1"/>
  <c r="N5778" i="14"/>
  <c r="J5778" i="13" a="1"/>
  <c r="J5778" i="13" s="1"/>
  <c r="N5779" i="13"/>
  <c r="K5593" i="13" l="1"/>
  <c r="L5593" i="13" s="1"/>
  <c r="I5594" i="13" s="1"/>
  <c r="K5615" i="14"/>
  <c r="L5615" i="14" s="1"/>
  <c r="I5616" i="14" s="1"/>
  <c r="J5779" i="13" a="1"/>
  <c r="J5779" i="13" s="1"/>
  <c r="N5780" i="13"/>
  <c r="M5783" i="14"/>
  <c r="N5779" i="14"/>
  <c r="J5778" i="14" a="1"/>
  <c r="J5778" i="14" s="1"/>
  <c r="M5782" i="13"/>
  <c r="K5616" i="14" l="1"/>
  <c r="L5616" i="14" s="1"/>
  <c r="I5617" i="14" s="1"/>
  <c r="K5594" i="13"/>
  <c r="L5594" i="13" s="1"/>
  <c r="I5595" i="13" s="1"/>
  <c r="J5779" i="14" a="1"/>
  <c r="J5779" i="14" s="1"/>
  <c r="N5780" i="14"/>
  <c r="M5783" i="13"/>
  <c r="M5784" i="14"/>
  <c r="J5780" i="13" a="1"/>
  <c r="J5780" i="13" s="1"/>
  <c r="N5781" i="13"/>
  <c r="K5595" i="13" l="1"/>
  <c r="L5595" i="13" s="1"/>
  <c r="I5596" i="13" s="1"/>
  <c r="K5617" i="14"/>
  <c r="L5617" i="14" s="1"/>
  <c r="I5618" i="14" s="1"/>
  <c r="N5782" i="13"/>
  <c r="J5781" i="13" a="1"/>
  <c r="J5781" i="13" s="1"/>
  <c r="M5784" i="13"/>
  <c r="M5785" i="14"/>
  <c r="J5780" i="14" a="1"/>
  <c r="J5780" i="14" s="1"/>
  <c r="N5781" i="14"/>
  <c r="K5618" i="14" l="1"/>
  <c r="L5618" i="14" s="1"/>
  <c r="I5619" i="14" s="1"/>
  <c r="K5596" i="13"/>
  <c r="L5596" i="13" s="1"/>
  <c r="I5597" i="13" s="1"/>
  <c r="N5782" i="14"/>
  <c r="J5781" i="14" a="1"/>
  <c r="J5781" i="14" s="1"/>
  <c r="M5785" i="13"/>
  <c r="M5786" i="14"/>
  <c r="J5782" i="13" a="1"/>
  <c r="J5782" i="13" s="1"/>
  <c r="N5783" i="13"/>
  <c r="K5597" i="13" l="1"/>
  <c r="L5597" i="13" s="1"/>
  <c r="I5598" i="13" s="1"/>
  <c r="K5619" i="14"/>
  <c r="L5619" i="14" s="1"/>
  <c r="I5620" i="14" s="1"/>
  <c r="J5783" i="13" a="1"/>
  <c r="J5783" i="13" s="1"/>
  <c r="N5784" i="13"/>
  <c r="M5786" i="13"/>
  <c r="M5787" i="14"/>
  <c r="N5783" i="14"/>
  <c r="J5782" i="14" a="1"/>
  <c r="J5782" i="14" s="1"/>
  <c r="K5620" i="14" l="1"/>
  <c r="L5620" i="14" s="1"/>
  <c r="I5621" i="14" s="1"/>
  <c r="K5598" i="13"/>
  <c r="L5598" i="13" s="1"/>
  <c r="I5599" i="13" s="1"/>
  <c r="J5783" i="14" a="1"/>
  <c r="J5783" i="14" s="1"/>
  <c r="N5784" i="14"/>
  <c r="M5787" i="13"/>
  <c r="J5784" i="13" a="1"/>
  <c r="J5784" i="13" s="1"/>
  <c r="N5785" i="13"/>
  <c r="M5788" i="14"/>
  <c r="K5599" i="13" l="1"/>
  <c r="L5599" i="13" s="1"/>
  <c r="I5600" i="13" s="1"/>
  <c r="K5621" i="14"/>
  <c r="L5621" i="14" s="1"/>
  <c r="I5622" i="14" s="1"/>
  <c r="M5789" i="14"/>
  <c r="M5788" i="13"/>
  <c r="N5786" i="13"/>
  <c r="J5785" i="13" a="1"/>
  <c r="J5785" i="13" s="1"/>
  <c r="J5784" i="14" a="1"/>
  <c r="J5784" i="14" s="1"/>
  <c r="N5785" i="14"/>
  <c r="K5622" i="14" l="1"/>
  <c r="L5622" i="14" s="1"/>
  <c r="I5623" i="14" s="1"/>
  <c r="K5600" i="13"/>
  <c r="L5600" i="13" s="1"/>
  <c r="I5601" i="13" s="1"/>
  <c r="J5785" i="14" a="1"/>
  <c r="J5785" i="14" s="1"/>
  <c r="N5786" i="14"/>
  <c r="M5789" i="13"/>
  <c r="M5790" i="14"/>
  <c r="J5786" i="13" a="1"/>
  <c r="J5786" i="13" s="1"/>
  <c r="N5787" i="13"/>
  <c r="K5601" i="13" l="1"/>
  <c r="L5601" i="13" s="1"/>
  <c r="I5602" i="13" s="1"/>
  <c r="K5623" i="14"/>
  <c r="L5623" i="14" s="1"/>
  <c r="I5624" i="14" s="1"/>
  <c r="J5787" i="13" a="1"/>
  <c r="J5787" i="13" s="1"/>
  <c r="N5788" i="13"/>
  <c r="M5790" i="13"/>
  <c r="N5787" i="14"/>
  <c r="J5786" i="14" a="1"/>
  <c r="J5786" i="14" s="1"/>
  <c r="M5791" i="14"/>
  <c r="K5624" i="14" l="1"/>
  <c r="L5624" i="14" s="1"/>
  <c r="I5625" i="14" s="1"/>
  <c r="K5602" i="13"/>
  <c r="L5602" i="13" s="1"/>
  <c r="I5603" i="13" s="1"/>
  <c r="J5787" i="14" a="1"/>
  <c r="J5787" i="14" s="1"/>
  <c r="N5788" i="14"/>
  <c r="M5792" i="14"/>
  <c r="M5791" i="13"/>
  <c r="J5788" i="13" a="1"/>
  <c r="J5788" i="13" s="1"/>
  <c r="N5789" i="13"/>
  <c r="K5603" i="13" l="1"/>
  <c r="L5603" i="13" s="1"/>
  <c r="I5604" i="13" s="1"/>
  <c r="K5625" i="14"/>
  <c r="L5625" i="14" s="1"/>
  <c r="I5626" i="14" s="1"/>
  <c r="N5790" i="13"/>
  <c r="J5789" i="13" a="1"/>
  <c r="J5789" i="13" s="1"/>
  <c r="M5793" i="14"/>
  <c r="J5788" i="14" a="1"/>
  <c r="J5788" i="14" s="1"/>
  <c r="N5789" i="14"/>
  <c r="M5792" i="13"/>
  <c r="K5626" i="14" l="1"/>
  <c r="L5626" i="14" s="1"/>
  <c r="I5627" i="14" s="1"/>
  <c r="K5604" i="13"/>
  <c r="L5604" i="13" s="1"/>
  <c r="I5605" i="13" s="1"/>
  <c r="J5789" i="14" a="1"/>
  <c r="J5789" i="14" s="1"/>
  <c r="N5790" i="14"/>
  <c r="M5793" i="13"/>
  <c r="M5794" i="14"/>
  <c r="J5790" i="13" a="1"/>
  <c r="J5790" i="13" s="1"/>
  <c r="N5791" i="13"/>
  <c r="K5605" i="13" l="1"/>
  <c r="L5605" i="13" s="1"/>
  <c r="I5606" i="13" s="1"/>
  <c r="K5627" i="14"/>
  <c r="L5627" i="14" s="1"/>
  <c r="I5628" i="14" s="1"/>
  <c r="J5791" i="13" a="1"/>
  <c r="J5791" i="13" s="1"/>
  <c r="N5792" i="13"/>
  <c r="M5794" i="13"/>
  <c r="N5791" i="14"/>
  <c r="J5790" i="14" a="1"/>
  <c r="J5790" i="14" s="1"/>
  <c r="M5795" i="14"/>
  <c r="K5628" i="14" l="1"/>
  <c r="L5628" i="14" s="1"/>
  <c r="I5629" i="14" s="1"/>
  <c r="K5606" i="13"/>
  <c r="L5606" i="13" s="1"/>
  <c r="I5607" i="13" s="1"/>
  <c r="M5796" i="14"/>
  <c r="J5792" i="13" a="1"/>
  <c r="J5792" i="13" s="1"/>
  <c r="N5793" i="13"/>
  <c r="M5795" i="13"/>
  <c r="J5791" i="14" a="1"/>
  <c r="J5791" i="14" s="1"/>
  <c r="N5792" i="14"/>
  <c r="K5607" i="13" l="1"/>
  <c r="L5607" i="13" s="1"/>
  <c r="I5608" i="13" s="1"/>
  <c r="K5629" i="14"/>
  <c r="L5629" i="14" s="1"/>
  <c r="I5630" i="14" s="1"/>
  <c r="N5794" i="13"/>
  <c r="J5793" i="13" a="1"/>
  <c r="J5793" i="13" s="1"/>
  <c r="J5792" i="14" a="1"/>
  <c r="J5792" i="14" s="1"/>
  <c r="N5793" i="14"/>
  <c r="M5796" i="13"/>
  <c r="M5797" i="14"/>
  <c r="K5630" i="14" l="1"/>
  <c r="L5630" i="14" s="1"/>
  <c r="I5631" i="14" s="1"/>
  <c r="K5608" i="13"/>
  <c r="L5608" i="13" s="1"/>
  <c r="I5609" i="13" s="1"/>
  <c r="M5798" i="14"/>
  <c r="J5793" i="14" a="1"/>
  <c r="J5793" i="14" s="1"/>
  <c r="N5794" i="14"/>
  <c r="M5797" i="13"/>
  <c r="J5794" i="13" a="1"/>
  <c r="J5794" i="13" s="1"/>
  <c r="N5795" i="13"/>
  <c r="K5609" i="13" l="1"/>
  <c r="L5609" i="13" s="1"/>
  <c r="I5610" i="13" s="1"/>
  <c r="K5631" i="14"/>
  <c r="L5631" i="14" s="1"/>
  <c r="I5632" i="14" s="1"/>
  <c r="N5795" i="14"/>
  <c r="J5794" i="14" a="1"/>
  <c r="J5794" i="14" s="1"/>
  <c r="J5795" i="13" a="1"/>
  <c r="J5795" i="13" s="1"/>
  <c r="N5796" i="13"/>
  <c r="M5798" i="13"/>
  <c r="M5799" i="14"/>
  <c r="K5632" i="14" l="1"/>
  <c r="L5632" i="14" s="1"/>
  <c r="I5633" i="14" s="1"/>
  <c r="K5610" i="13"/>
  <c r="L5610" i="13" s="1"/>
  <c r="I5611" i="13" s="1"/>
  <c r="M5800" i="14"/>
  <c r="J5796" i="13" a="1"/>
  <c r="J5796" i="13" s="1"/>
  <c r="N5797" i="13"/>
  <c r="M5799" i="13"/>
  <c r="J5795" i="14" a="1"/>
  <c r="J5795" i="14" s="1"/>
  <c r="N5796" i="14"/>
  <c r="K5611" i="13" l="1"/>
  <c r="L5611" i="13" s="1"/>
  <c r="I5612" i="13" s="1"/>
  <c r="K5633" i="14"/>
  <c r="L5633" i="14" s="1"/>
  <c r="I5634" i="14" s="1"/>
  <c r="J5796" i="14" a="1"/>
  <c r="J5796" i="14" s="1"/>
  <c r="N5797" i="14"/>
  <c r="N5798" i="13"/>
  <c r="J5797" i="13" a="1"/>
  <c r="J5797" i="13" s="1"/>
  <c r="M5800" i="13"/>
  <c r="M5801" i="14"/>
  <c r="K5634" i="14" l="1"/>
  <c r="L5634" i="14" s="1"/>
  <c r="I5635" i="14" s="1"/>
  <c r="K5612" i="13"/>
  <c r="L5612" i="13" s="1"/>
  <c r="I5613" i="13" s="1"/>
  <c r="M5802" i="14"/>
  <c r="J5798" i="13" a="1"/>
  <c r="J5798" i="13" s="1"/>
  <c r="N5799" i="13"/>
  <c r="J5797" i="14" a="1"/>
  <c r="J5797" i="14" s="1"/>
  <c r="N5798" i="14"/>
  <c r="M5801" i="13"/>
  <c r="K5635" i="14" l="1"/>
  <c r="L5635" i="14" s="1"/>
  <c r="I5636" i="14" s="1"/>
  <c r="J5799" i="13" a="1"/>
  <c r="J5799" i="13" s="1"/>
  <c r="N5800" i="13"/>
  <c r="N5799" i="14"/>
  <c r="J5798" i="14" a="1"/>
  <c r="J5798" i="14" s="1"/>
  <c r="M5802" i="13"/>
  <c r="K5613" i="13"/>
  <c r="L5613" i="13" s="1"/>
  <c r="I5614" i="13" s="1"/>
  <c r="M5803" i="14"/>
  <c r="K5636" i="14" l="1"/>
  <c r="L5636" i="14" s="1"/>
  <c r="I5637" i="14" s="1"/>
  <c r="J5800" i="13" a="1"/>
  <c r="J5800" i="13" s="1"/>
  <c r="N5801" i="13"/>
  <c r="M5804" i="14"/>
  <c r="M5803" i="13"/>
  <c r="K5614" i="13"/>
  <c r="L5614" i="13" s="1"/>
  <c r="I5615" i="13" s="1"/>
  <c r="J5799" i="14" a="1"/>
  <c r="J5799" i="14" s="1"/>
  <c r="N5800" i="14"/>
  <c r="K5615" i="13" l="1"/>
  <c r="L5615" i="13" s="1"/>
  <c r="I5616" i="13" s="1"/>
  <c r="K5637" i="14"/>
  <c r="L5637" i="14" s="1"/>
  <c r="I5638" i="14" s="1"/>
  <c r="J5800" i="14" a="1"/>
  <c r="J5800" i="14" s="1"/>
  <c r="N5801" i="14"/>
  <c r="N5802" i="13"/>
  <c r="J5801" i="13" a="1"/>
  <c r="J5801" i="13" s="1"/>
  <c r="M5804" i="13"/>
  <c r="M5805" i="14"/>
  <c r="K5616" i="13" l="1"/>
  <c r="L5616" i="13" s="1"/>
  <c r="I5617" i="13" s="1"/>
  <c r="M5806" i="14"/>
  <c r="K5638" i="14"/>
  <c r="L5638" i="14" s="1"/>
  <c r="I5639" i="14" s="1"/>
  <c r="J5801" i="14" a="1"/>
  <c r="J5801" i="14" s="1"/>
  <c r="N5802" i="14"/>
  <c r="J5802" i="13" a="1"/>
  <c r="J5802" i="13" s="1"/>
  <c r="N5803" i="13"/>
  <c r="M5805" i="13"/>
  <c r="K5639" i="14" l="1"/>
  <c r="L5639" i="14" s="1"/>
  <c r="I5640" i="14" s="1"/>
  <c r="K5617" i="13"/>
  <c r="L5617" i="13" s="1"/>
  <c r="I5618" i="13" s="1"/>
  <c r="J5803" i="13" a="1"/>
  <c r="J5803" i="13" s="1"/>
  <c r="N5804" i="13"/>
  <c r="N5803" i="14"/>
  <c r="J5802" i="14" a="1"/>
  <c r="J5802" i="14" s="1"/>
  <c r="M5806" i="13"/>
  <c r="M5807" i="14"/>
  <c r="K5618" i="13" l="1"/>
  <c r="L5618" i="13" s="1"/>
  <c r="I5619" i="13" s="1"/>
  <c r="K5640" i="14"/>
  <c r="L5640" i="14" s="1"/>
  <c r="I5641" i="14" s="1"/>
  <c r="J5803" i="14" a="1"/>
  <c r="J5803" i="14" s="1"/>
  <c r="N5804" i="14"/>
  <c r="M5808" i="14"/>
  <c r="J5804" i="13" a="1"/>
  <c r="J5804" i="13" s="1"/>
  <c r="N5805" i="13"/>
  <c r="M5807" i="13"/>
  <c r="K5619" i="13" l="1"/>
  <c r="L5619" i="13" s="1"/>
  <c r="I5620" i="13" s="1"/>
  <c r="N5806" i="13"/>
  <c r="J5805" i="13" a="1"/>
  <c r="J5805" i="13" s="1"/>
  <c r="M5809" i="14"/>
  <c r="M5808" i="13"/>
  <c r="K5641" i="14"/>
  <c r="L5641" i="14" s="1"/>
  <c r="I5642" i="14" s="1"/>
  <c r="J5804" i="14" a="1"/>
  <c r="J5804" i="14" s="1"/>
  <c r="N5805" i="14"/>
  <c r="K5642" i="14" l="1"/>
  <c r="L5642" i="14" s="1"/>
  <c r="I5643" i="14" s="1"/>
  <c r="K5620" i="13"/>
  <c r="L5620" i="13" s="1"/>
  <c r="I5621" i="13" s="1"/>
  <c r="J5806" i="13" a="1"/>
  <c r="J5806" i="13" s="1"/>
  <c r="N5807" i="13"/>
  <c r="J5805" i="14" a="1"/>
  <c r="J5805" i="14" s="1"/>
  <c r="N5806" i="14"/>
  <c r="M5809" i="13"/>
  <c r="M5810" i="14"/>
  <c r="K5643" i="14" l="1"/>
  <c r="L5643" i="14" s="1"/>
  <c r="I5644" i="14" s="1"/>
  <c r="N5807" i="14"/>
  <c r="J5806" i="14" a="1"/>
  <c r="J5806" i="14" s="1"/>
  <c r="K5621" i="13"/>
  <c r="L5621" i="13" s="1"/>
  <c r="I5622" i="13" s="1"/>
  <c r="J5807" i="13" a="1"/>
  <c r="J5807" i="13" s="1"/>
  <c r="N5808" i="13"/>
  <c r="M5811" i="14"/>
  <c r="M5810" i="13"/>
  <c r="K5622" i="13" l="1"/>
  <c r="L5622" i="13" s="1"/>
  <c r="I5623" i="13" s="1"/>
  <c r="K5644" i="14"/>
  <c r="L5644" i="14" s="1"/>
  <c r="I5645" i="14" s="1"/>
  <c r="J5808" i="13" a="1"/>
  <c r="J5808" i="13" s="1"/>
  <c r="N5809" i="13"/>
  <c r="M5811" i="13"/>
  <c r="J5807" i="14" a="1"/>
  <c r="J5807" i="14" s="1"/>
  <c r="N5808" i="14"/>
  <c r="M5812" i="14"/>
  <c r="K5645" i="14" l="1"/>
  <c r="L5645" i="14" s="1"/>
  <c r="I5646" i="14" s="1"/>
  <c r="K5623" i="13"/>
  <c r="L5623" i="13" s="1"/>
  <c r="I5624" i="13" s="1"/>
  <c r="J5808" i="14" a="1"/>
  <c r="J5808" i="14" s="1"/>
  <c r="N5809" i="14"/>
  <c r="M5813" i="14"/>
  <c r="M5812" i="13"/>
  <c r="N5810" i="13"/>
  <c r="J5809" i="13" a="1"/>
  <c r="J5809" i="13" s="1"/>
  <c r="K5624" i="13" l="1"/>
  <c r="L5624" i="13" s="1"/>
  <c r="I5625" i="13" s="1"/>
  <c r="M5814" i="14"/>
  <c r="J5810" i="13" a="1"/>
  <c r="J5810" i="13" s="1"/>
  <c r="N5811" i="13"/>
  <c r="M5813" i="13"/>
  <c r="N5810" i="14"/>
  <c r="J5809" i="14" a="1"/>
  <c r="J5809" i="14" s="1"/>
  <c r="K5646" i="14"/>
  <c r="L5646" i="14" s="1"/>
  <c r="I5647" i="14" s="1"/>
  <c r="K5625" i="13" l="1"/>
  <c r="L5625" i="13" s="1"/>
  <c r="I5626" i="13" s="1"/>
  <c r="K5647" i="14"/>
  <c r="L5647" i="14" s="1"/>
  <c r="I5648" i="14" s="1"/>
  <c r="M5814" i="13"/>
  <c r="M5815" i="14"/>
  <c r="J5811" i="13" a="1"/>
  <c r="J5811" i="13" s="1"/>
  <c r="N5812" i="13"/>
  <c r="N5811" i="14"/>
  <c r="J5810" i="14" a="1"/>
  <c r="J5810" i="14" s="1"/>
  <c r="K5648" i="14" l="1"/>
  <c r="L5648" i="14" s="1"/>
  <c r="I5649" i="14" s="1"/>
  <c r="K5626" i="13"/>
  <c r="L5626" i="13" s="1"/>
  <c r="I5627" i="13" s="1"/>
  <c r="J5811" i="14" a="1"/>
  <c r="J5811" i="14" s="1"/>
  <c r="N5812" i="14"/>
  <c r="M5816" i="14"/>
  <c r="J5812" i="13" a="1"/>
  <c r="J5812" i="13" s="1"/>
  <c r="N5813" i="13"/>
  <c r="M5815" i="13"/>
  <c r="M5817" i="14" l="1"/>
  <c r="K5627" i="13"/>
  <c r="L5627" i="13" s="1"/>
  <c r="I5628" i="13" s="1"/>
  <c r="M5816" i="13"/>
  <c r="N5814" i="13"/>
  <c r="J5813" i="13" a="1"/>
  <c r="J5813" i="13" s="1"/>
  <c r="J5812" i="14" a="1"/>
  <c r="J5812" i="14" s="1"/>
  <c r="N5813" i="14"/>
  <c r="K5649" i="14"/>
  <c r="L5649" i="14" s="1"/>
  <c r="I5650" i="14" s="1"/>
  <c r="K5650" i="14" l="1"/>
  <c r="L5650" i="14" s="1"/>
  <c r="I5651" i="14" s="1"/>
  <c r="K5628" i="13"/>
  <c r="L5628" i="13" s="1"/>
  <c r="I5629" i="13" s="1"/>
  <c r="J5813" i="14" a="1"/>
  <c r="J5813" i="14" s="1"/>
  <c r="N5814" i="14"/>
  <c r="M5817" i="13"/>
  <c r="M5818" i="14"/>
  <c r="J5814" i="13" a="1"/>
  <c r="J5814" i="13" s="1"/>
  <c r="N5815" i="13"/>
  <c r="K5629" i="13" l="1"/>
  <c r="L5629" i="13" s="1"/>
  <c r="I5630" i="13" s="1"/>
  <c r="K5651" i="14"/>
  <c r="L5651" i="14" s="1"/>
  <c r="I5652" i="14" s="1"/>
  <c r="J5815" i="13" a="1"/>
  <c r="J5815" i="13" s="1"/>
  <c r="N5816" i="13"/>
  <c r="M5818" i="13"/>
  <c r="N5815" i="14"/>
  <c r="J5814" i="14" a="1"/>
  <c r="J5814" i="14" s="1"/>
  <c r="M5819" i="14"/>
  <c r="K5630" i="13" l="1"/>
  <c r="L5630" i="13" s="1"/>
  <c r="I5631" i="13" s="1"/>
  <c r="M5820" i="14"/>
  <c r="M5819" i="13"/>
  <c r="K5652" i="14"/>
  <c r="L5652" i="14" s="1"/>
  <c r="I5653" i="14" s="1"/>
  <c r="J5816" i="13" a="1"/>
  <c r="J5816" i="13" s="1"/>
  <c r="N5817" i="13"/>
  <c r="J5815" i="14" a="1"/>
  <c r="J5815" i="14" s="1"/>
  <c r="N5816" i="14"/>
  <c r="K5631" i="13" l="1"/>
  <c r="L5631" i="13" s="1"/>
  <c r="I5632" i="13" s="1"/>
  <c r="J5816" i="14" a="1"/>
  <c r="J5816" i="14" s="1"/>
  <c r="N5817" i="14"/>
  <c r="K5653" i="14"/>
  <c r="L5653" i="14" s="1"/>
  <c r="I5654" i="14" s="1"/>
  <c r="M5821" i="14"/>
  <c r="N5818" i="13"/>
  <c r="J5817" i="13" a="1"/>
  <c r="J5817" i="13" s="1"/>
  <c r="M5820" i="13"/>
  <c r="K5654" i="14" l="1"/>
  <c r="L5654" i="14" s="1"/>
  <c r="I5655" i="14" s="1"/>
  <c r="K5632" i="13"/>
  <c r="L5632" i="13" s="1"/>
  <c r="I5633" i="13" s="1"/>
  <c r="M5821" i="13"/>
  <c r="M5822" i="14"/>
  <c r="N5818" i="14"/>
  <c r="J5817" i="14" a="1"/>
  <c r="J5817" i="14" s="1"/>
  <c r="J5818" i="13" a="1"/>
  <c r="J5818" i="13" s="1"/>
  <c r="N5819" i="13"/>
  <c r="K5633" i="13" l="1"/>
  <c r="L5633" i="13" s="1"/>
  <c r="I5634" i="13" s="1"/>
  <c r="K5655" i="14"/>
  <c r="L5655" i="14" s="1"/>
  <c r="I5656" i="14" s="1"/>
  <c r="J5819" i="13" a="1"/>
  <c r="J5819" i="13" s="1"/>
  <c r="N5820" i="13"/>
  <c r="M5823" i="14"/>
  <c r="N5819" i="14"/>
  <c r="J5818" i="14" a="1"/>
  <c r="J5818" i="14" s="1"/>
  <c r="M5822" i="13"/>
  <c r="K5656" i="14" l="1"/>
  <c r="L5656" i="14" s="1"/>
  <c r="I5657" i="14" s="1"/>
  <c r="K5634" i="13"/>
  <c r="L5634" i="13" s="1"/>
  <c r="I5635" i="13" s="1"/>
  <c r="M5823" i="13"/>
  <c r="M5824" i="14"/>
  <c r="J5820" i="13" a="1"/>
  <c r="J5820" i="13" s="1"/>
  <c r="N5821" i="13"/>
  <c r="J5819" i="14" a="1"/>
  <c r="J5819" i="14" s="1"/>
  <c r="N5820" i="14"/>
  <c r="K5657" i="14" l="1"/>
  <c r="L5657" i="14" s="1"/>
  <c r="I5658" i="14" s="1"/>
  <c r="J5820" i="14" a="1"/>
  <c r="J5820" i="14" s="1"/>
  <c r="N5821" i="14"/>
  <c r="M5825" i="14"/>
  <c r="K5635" i="13"/>
  <c r="L5635" i="13" s="1"/>
  <c r="I5636" i="13" s="1"/>
  <c r="N5822" i="13"/>
  <c r="J5821" i="13" a="1"/>
  <c r="J5821" i="13" s="1"/>
  <c r="M5824" i="13"/>
  <c r="K5658" i="14" l="1"/>
  <c r="L5658" i="14" s="1"/>
  <c r="I5659" i="14" s="1"/>
  <c r="K5636" i="13"/>
  <c r="L5636" i="13" s="1"/>
  <c r="I5637" i="13" s="1"/>
  <c r="M5825" i="13"/>
  <c r="N5822" i="14"/>
  <c r="J5821" i="14" a="1"/>
  <c r="J5821" i="14" s="1"/>
  <c r="M5826" i="14"/>
  <c r="J5822" i="13" a="1"/>
  <c r="J5822" i="13" s="1"/>
  <c r="N5823" i="13"/>
  <c r="K5637" i="13" l="1"/>
  <c r="L5637" i="13" s="1"/>
  <c r="I5638" i="13" s="1"/>
  <c r="K5659" i="14"/>
  <c r="L5659" i="14" s="1"/>
  <c r="I5660" i="14" s="1"/>
  <c r="J5823" i="13" a="1"/>
  <c r="J5823" i="13" s="1"/>
  <c r="N5824" i="13"/>
  <c r="N5823" i="14"/>
  <c r="J5822" i="14" a="1"/>
  <c r="J5822" i="14" s="1"/>
  <c r="M5827" i="14"/>
  <c r="M5826" i="13"/>
  <c r="K5660" i="14" l="1"/>
  <c r="L5660" i="14" s="1"/>
  <c r="I5661" i="14" s="1"/>
  <c r="K5638" i="13"/>
  <c r="L5638" i="13" s="1"/>
  <c r="I5639" i="13" s="1"/>
  <c r="J5823" i="14" a="1"/>
  <c r="J5823" i="14" s="1"/>
  <c r="N5824" i="14"/>
  <c r="J5824" i="13" a="1"/>
  <c r="J5824" i="13" s="1"/>
  <c r="N5825" i="13"/>
  <c r="M5827" i="13"/>
  <c r="M5828" i="14"/>
  <c r="K5639" i="13" l="1"/>
  <c r="L5639" i="13" s="1"/>
  <c r="I5640" i="13" s="1"/>
  <c r="K5661" i="14"/>
  <c r="L5661" i="14" s="1"/>
  <c r="I5662" i="14" s="1"/>
  <c r="N5826" i="13"/>
  <c r="J5825" i="13" a="1"/>
  <c r="J5825" i="13" s="1"/>
  <c r="M5829" i="14"/>
  <c r="J5824" i="14" a="1"/>
  <c r="J5824" i="14" s="1"/>
  <c r="N5825" i="14"/>
  <c r="M5828" i="13"/>
  <c r="K5662" i="14" l="1"/>
  <c r="L5662" i="14" s="1"/>
  <c r="I5663" i="14" s="1"/>
  <c r="K5640" i="13"/>
  <c r="L5640" i="13" s="1"/>
  <c r="I5641" i="13" s="1"/>
  <c r="N5826" i="14"/>
  <c r="J5825" i="14" a="1"/>
  <c r="J5825" i="14" s="1"/>
  <c r="M5829" i="13"/>
  <c r="M5830" i="14"/>
  <c r="J5826" i="13" a="1"/>
  <c r="J5826" i="13" s="1"/>
  <c r="N5827" i="13"/>
  <c r="K5641" i="13" l="1"/>
  <c r="L5641" i="13" s="1"/>
  <c r="I5642" i="13" s="1"/>
  <c r="K5663" i="14"/>
  <c r="L5663" i="14" s="1"/>
  <c r="I5664" i="14" s="1"/>
  <c r="J5827" i="13" a="1"/>
  <c r="J5827" i="13" s="1"/>
  <c r="N5828" i="13"/>
  <c r="M5830" i="13"/>
  <c r="M5831" i="14"/>
  <c r="N5827" i="14"/>
  <c r="J5826" i="14" a="1"/>
  <c r="J5826" i="14" s="1"/>
  <c r="K5664" i="14" l="1"/>
  <c r="L5664" i="14" s="1"/>
  <c r="I5665" i="14" s="1"/>
  <c r="K5642" i="13"/>
  <c r="L5642" i="13" s="1"/>
  <c r="I5643" i="13" s="1"/>
  <c r="J5827" i="14" a="1"/>
  <c r="J5827" i="14" s="1"/>
  <c r="N5828" i="14"/>
  <c r="M5831" i="13"/>
  <c r="J5828" i="13" a="1"/>
  <c r="J5828" i="13" s="1"/>
  <c r="N5829" i="13"/>
  <c r="M5832" i="14"/>
  <c r="K5643" i="13" l="1"/>
  <c r="L5643" i="13" s="1"/>
  <c r="I5644" i="13" s="1"/>
  <c r="K5665" i="14"/>
  <c r="L5665" i="14" s="1"/>
  <c r="I5666" i="14" s="1"/>
  <c r="M5833" i="14"/>
  <c r="N5830" i="13"/>
  <c r="J5829" i="13" a="1"/>
  <c r="J5829" i="13" s="1"/>
  <c r="M5832" i="13"/>
  <c r="J5828" i="14" a="1"/>
  <c r="J5828" i="14" s="1"/>
  <c r="N5829" i="14"/>
  <c r="K5666" i="14" l="1"/>
  <c r="L5666" i="14" s="1"/>
  <c r="I5667" i="14" s="1"/>
  <c r="K5644" i="13"/>
  <c r="L5644" i="13" s="1"/>
  <c r="I5645" i="13" s="1"/>
  <c r="J5830" i="13" a="1"/>
  <c r="J5830" i="13" s="1"/>
  <c r="N5831" i="13"/>
  <c r="J5829" i="14" a="1"/>
  <c r="J5829" i="14" s="1"/>
  <c r="N5830" i="14"/>
  <c r="M5833" i="13"/>
  <c r="M5834" i="14"/>
  <c r="K5645" i="13" l="1"/>
  <c r="L5645" i="13" s="1"/>
  <c r="I5646" i="13" s="1"/>
  <c r="K5667" i="14"/>
  <c r="L5667" i="14" s="1"/>
  <c r="I5668" i="14" s="1"/>
  <c r="N5831" i="14"/>
  <c r="J5830" i="14" a="1"/>
  <c r="J5830" i="14" s="1"/>
  <c r="J5831" i="13" a="1"/>
  <c r="J5831" i="13" s="1"/>
  <c r="N5832" i="13"/>
  <c r="M5835" i="14"/>
  <c r="M5834" i="13"/>
  <c r="K5668" i="14" l="1"/>
  <c r="L5668" i="14" s="1"/>
  <c r="I5669" i="14" s="1"/>
  <c r="K5646" i="13"/>
  <c r="L5646" i="13" s="1"/>
  <c r="I5647" i="13" s="1"/>
  <c r="J5832" i="13" a="1"/>
  <c r="J5832" i="13" s="1"/>
  <c r="N5833" i="13"/>
  <c r="M5835" i="13"/>
  <c r="M5836" i="14"/>
  <c r="J5831" i="14" a="1"/>
  <c r="J5831" i="14" s="1"/>
  <c r="N5832" i="14"/>
  <c r="K5647" i="13" l="1"/>
  <c r="L5647" i="13" s="1"/>
  <c r="I5648" i="13" s="1"/>
  <c r="K5669" i="14"/>
  <c r="L5669" i="14" s="1"/>
  <c r="I5670" i="14" s="1"/>
  <c r="J5832" i="14" a="1"/>
  <c r="J5832" i="14" s="1"/>
  <c r="N5833" i="14"/>
  <c r="M5836" i="13"/>
  <c r="N5834" i="13"/>
  <c r="J5833" i="13" a="1"/>
  <c r="J5833" i="13" s="1"/>
  <c r="M5837" i="14"/>
  <c r="K5670" i="14" l="1"/>
  <c r="L5670" i="14" s="1"/>
  <c r="I5671" i="14" s="1"/>
  <c r="K5648" i="13"/>
  <c r="L5648" i="13" s="1"/>
  <c r="I5649" i="13" s="1"/>
  <c r="M5838" i="14"/>
  <c r="M5837" i="13"/>
  <c r="J5834" i="13" a="1"/>
  <c r="J5834" i="13" s="1"/>
  <c r="N5835" i="13"/>
  <c r="N5834" i="14"/>
  <c r="J5833" i="14" a="1"/>
  <c r="J5833" i="14" s="1"/>
  <c r="K5649" i="13" l="1"/>
  <c r="L5649" i="13" s="1"/>
  <c r="I5650" i="13" s="1"/>
  <c r="K5671" i="14"/>
  <c r="L5671" i="14" s="1"/>
  <c r="I5672" i="14" s="1"/>
  <c r="N5835" i="14"/>
  <c r="J5834" i="14" a="1"/>
  <c r="J5834" i="14" s="1"/>
  <c r="M5838" i="13"/>
  <c r="J5835" i="13" a="1"/>
  <c r="J5835" i="13" s="1"/>
  <c r="N5836" i="13"/>
  <c r="M5839" i="14"/>
  <c r="K5672" i="14" l="1"/>
  <c r="L5672" i="14" s="1"/>
  <c r="I5673" i="14" s="1"/>
  <c r="K5650" i="13"/>
  <c r="L5650" i="13" s="1"/>
  <c r="I5651" i="13" s="1"/>
  <c r="J5836" i="13" a="1"/>
  <c r="J5836" i="13" s="1"/>
  <c r="N5837" i="13"/>
  <c r="M5840" i="14"/>
  <c r="M5839" i="13"/>
  <c r="J5835" i="14" a="1"/>
  <c r="J5835" i="14" s="1"/>
  <c r="N5836" i="14"/>
  <c r="K5651" i="13" l="1"/>
  <c r="L5651" i="13" s="1"/>
  <c r="I5652" i="13" s="1"/>
  <c r="K5673" i="14"/>
  <c r="L5673" i="14" s="1"/>
  <c r="I5674" i="14" s="1"/>
  <c r="J5836" i="14" a="1"/>
  <c r="J5836" i="14" s="1"/>
  <c r="N5837" i="14"/>
  <c r="M5841" i="14"/>
  <c r="N5838" i="13"/>
  <c r="J5837" i="13" a="1"/>
  <c r="J5837" i="13" s="1"/>
  <c r="M5840" i="13"/>
  <c r="K5674" i="14" l="1"/>
  <c r="L5674" i="14" s="1"/>
  <c r="I5675" i="14" s="1"/>
  <c r="K5652" i="13"/>
  <c r="L5652" i="13" s="1"/>
  <c r="I5653" i="13" s="1"/>
  <c r="J5838" i="13" a="1"/>
  <c r="J5838" i="13" s="1"/>
  <c r="N5839" i="13"/>
  <c r="M5841" i="13"/>
  <c r="M5842" i="14"/>
  <c r="N5838" i="14"/>
  <c r="J5837" i="14" a="1"/>
  <c r="J5837" i="14" s="1"/>
  <c r="K5653" i="13" l="1"/>
  <c r="L5653" i="13" s="1"/>
  <c r="I5654" i="13" s="1"/>
  <c r="K5675" i="14"/>
  <c r="L5675" i="14" s="1"/>
  <c r="I5676" i="14" s="1"/>
  <c r="N5839" i="14"/>
  <c r="J5838" i="14" a="1"/>
  <c r="J5838" i="14" s="1"/>
  <c r="M5842" i="13"/>
  <c r="J5839" i="13" a="1"/>
  <c r="J5839" i="13" s="1"/>
  <c r="N5840" i="13"/>
  <c r="M5843" i="14"/>
  <c r="K5676" i="14" l="1"/>
  <c r="L5676" i="14" s="1"/>
  <c r="I5677" i="14" s="1"/>
  <c r="K5654" i="13"/>
  <c r="L5654" i="13" s="1"/>
  <c r="I5655" i="13" s="1"/>
  <c r="J5840" i="13" a="1"/>
  <c r="J5840" i="13" s="1"/>
  <c r="N5841" i="13"/>
  <c r="M5844" i="14"/>
  <c r="M5843" i="13"/>
  <c r="J5839" i="14" a="1"/>
  <c r="J5839" i="14" s="1"/>
  <c r="N5840" i="14"/>
  <c r="K5655" i="13" l="1"/>
  <c r="L5655" i="13" s="1"/>
  <c r="I5656" i="13" s="1"/>
  <c r="K5677" i="14"/>
  <c r="L5677" i="14" s="1"/>
  <c r="I5678" i="14" s="1"/>
  <c r="N5841" i="14"/>
  <c r="J5840" i="14" a="1"/>
  <c r="J5840" i="14" s="1"/>
  <c r="M5845" i="14"/>
  <c r="N5842" i="13"/>
  <c r="J5841" i="13" a="1"/>
  <c r="J5841" i="13" s="1"/>
  <c r="M5844" i="13"/>
  <c r="K5678" i="14" l="1"/>
  <c r="L5678" i="14" s="1"/>
  <c r="I5679" i="14" s="1"/>
  <c r="K5656" i="13"/>
  <c r="L5656" i="13" s="1"/>
  <c r="I5657" i="13" s="1"/>
  <c r="M5845" i="13"/>
  <c r="M5846" i="14"/>
  <c r="J5842" i="13" a="1"/>
  <c r="J5842" i="13" s="1"/>
  <c r="N5843" i="13"/>
  <c r="N5842" i="14"/>
  <c r="J5841" i="14" a="1"/>
  <c r="J5841" i="14" s="1"/>
  <c r="K5657" i="13" l="1"/>
  <c r="L5657" i="13" s="1"/>
  <c r="I5658" i="13" s="1"/>
  <c r="K5679" i="14"/>
  <c r="L5679" i="14" s="1"/>
  <c r="I5680" i="14" s="1"/>
  <c r="J5842" i="14" a="1"/>
  <c r="J5842" i="14" s="1"/>
  <c r="N5843" i="14"/>
  <c r="M5847" i="14"/>
  <c r="J5843" i="13" a="1"/>
  <c r="J5843" i="13" s="1"/>
  <c r="N5844" i="13"/>
  <c r="M5846" i="13"/>
  <c r="K5680" i="14" l="1"/>
  <c r="L5680" i="14" s="1"/>
  <c r="I5681" i="14" s="1"/>
  <c r="K5658" i="13"/>
  <c r="L5658" i="13" s="1"/>
  <c r="I5659" i="13" s="1"/>
  <c r="J5844" i="13" a="1"/>
  <c r="J5844" i="13" s="1"/>
  <c r="N5845" i="13"/>
  <c r="M5848" i="14"/>
  <c r="M5847" i="13"/>
  <c r="N5844" i="14"/>
  <c r="J5843" i="14" a="1"/>
  <c r="J5843" i="14" s="1"/>
  <c r="K5659" i="13" l="1"/>
  <c r="L5659" i="13" s="1"/>
  <c r="I5660" i="13" s="1"/>
  <c r="K5681" i="14"/>
  <c r="L5681" i="14" s="1"/>
  <c r="I5682" i="14" s="1"/>
  <c r="M5849" i="14"/>
  <c r="N5845" i="14"/>
  <c r="J5844" i="14" a="1"/>
  <c r="J5844" i="14" s="1"/>
  <c r="N5846" i="13"/>
  <c r="J5845" i="13" a="1"/>
  <c r="J5845" i="13" s="1"/>
  <c r="M5848" i="13"/>
  <c r="K5682" i="14" l="1"/>
  <c r="L5682" i="14" s="1"/>
  <c r="I5683" i="14" s="1"/>
  <c r="K5660" i="13"/>
  <c r="L5660" i="13" s="1"/>
  <c r="I5661" i="13" s="1"/>
  <c r="M5849" i="13"/>
  <c r="N5846" i="14"/>
  <c r="J5845" i="14" a="1"/>
  <c r="J5845" i="14" s="1"/>
  <c r="J5846" i="13" a="1"/>
  <c r="J5846" i="13" s="1"/>
  <c r="N5847" i="13"/>
  <c r="M5850" i="14"/>
  <c r="K5661" i="13" l="1"/>
  <c r="L5661" i="13" s="1"/>
  <c r="I5662" i="13" s="1"/>
  <c r="K5683" i="14"/>
  <c r="L5683" i="14" s="1"/>
  <c r="I5684" i="14" s="1"/>
  <c r="J5846" i="14" a="1"/>
  <c r="J5846" i="14" s="1"/>
  <c r="N5847" i="14"/>
  <c r="J5847" i="13" a="1"/>
  <c r="J5847" i="13" s="1"/>
  <c r="N5848" i="13"/>
  <c r="M5851" i="14"/>
  <c r="M5850" i="13"/>
  <c r="K5684" i="14" l="1"/>
  <c r="L5684" i="14" s="1"/>
  <c r="I5685" i="14" s="1"/>
  <c r="K5662" i="13"/>
  <c r="L5662" i="13" s="1"/>
  <c r="I5663" i="13" s="1"/>
  <c r="J5848" i="13" a="1"/>
  <c r="J5848" i="13" s="1"/>
  <c r="N5849" i="13"/>
  <c r="N5848" i="14"/>
  <c r="J5847" i="14" a="1"/>
  <c r="J5847" i="14" s="1"/>
  <c r="M5851" i="13"/>
  <c r="M5852" i="14"/>
  <c r="K5663" i="13" l="1"/>
  <c r="L5663" i="13" s="1"/>
  <c r="I5664" i="13" s="1"/>
  <c r="K5685" i="14"/>
  <c r="L5685" i="14" s="1"/>
  <c r="I5686" i="14" s="1"/>
  <c r="N5849" i="14"/>
  <c r="J5848" i="14" a="1"/>
  <c r="J5848" i="14" s="1"/>
  <c r="M5853" i="14"/>
  <c r="N5850" i="13"/>
  <c r="J5849" i="13" a="1"/>
  <c r="J5849" i="13" s="1"/>
  <c r="M5852" i="13"/>
  <c r="K5686" i="14" l="1"/>
  <c r="L5686" i="14" s="1"/>
  <c r="I5687" i="14" s="1"/>
  <c r="K5664" i="13"/>
  <c r="L5664" i="13" s="1"/>
  <c r="I5665" i="13" s="1"/>
  <c r="M5853" i="13"/>
  <c r="M5854" i="14"/>
  <c r="J5850" i="13" a="1"/>
  <c r="J5850" i="13" s="1"/>
  <c r="N5851" i="13"/>
  <c r="N5850" i="14"/>
  <c r="J5849" i="14" a="1"/>
  <c r="J5849" i="14" s="1"/>
  <c r="K5665" i="13" l="1"/>
  <c r="L5665" i="13" s="1"/>
  <c r="I5666" i="13" s="1"/>
  <c r="K5687" i="14"/>
  <c r="L5687" i="14" s="1"/>
  <c r="I5688" i="14" s="1"/>
  <c r="M5855" i="14"/>
  <c r="J5850" i="14" a="1"/>
  <c r="J5850" i="14" s="1"/>
  <c r="N5851" i="14"/>
  <c r="J5851" i="13" a="1"/>
  <c r="J5851" i="13" s="1"/>
  <c r="N5852" i="13"/>
  <c r="M5854" i="13"/>
  <c r="K5688" i="14" l="1"/>
  <c r="L5688" i="14" s="1"/>
  <c r="I5689" i="14" s="1"/>
  <c r="K5666" i="13"/>
  <c r="L5666" i="13" s="1"/>
  <c r="I5667" i="13" s="1"/>
  <c r="N5852" i="14"/>
  <c r="J5851" i="14" a="1"/>
  <c r="J5851" i="14" s="1"/>
  <c r="J5852" i="13" a="1"/>
  <c r="J5852" i="13" s="1"/>
  <c r="N5853" i="13"/>
  <c r="M5855" i="13"/>
  <c r="M5856" i="14"/>
  <c r="K5667" i="13" l="1"/>
  <c r="L5667" i="13" s="1"/>
  <c r="I5668" i="13" s="1"/>
  <c r="K5689" i="14"/>
  <c r="L5689" i="14" s="1"/>
  <c r="I5690" i="14" s="1"/>
  <c r="M5857" i="14"/>
  <c r="N5854" i="13"/>
  <c r="J5853" i="13" a="1"/>
  <c r="J5853" i="13" s="1"/>
  <c r="M5856" i="13"/>
  <c r="N5853" i="14"/>
  <c r="J5852" i="14" a="1"/>
  <c r="J5852" i="14" s="1"/>
  <c r="K5690" i="14" l="1"/>
  <c r="L5690" i="14" s="1"/>
  <c r="I5691" i="14" s="1"/>
  <c r="K5668" i="13"/>
  <c r="L5668" i="13" s="1"/>
  <c r="I5669" i="13" s="1"/>
  <c r="N5854" i="14"/>
  <c r="J5853" i="14" a="1"/>
  <c r="J5853" i="14" s="1"/>
  <c r="J5854" i="13" a="1"/>
  <c r="J5854" i="13" s="1"/>
  <c r="N5855" i="13"/>
  <c r="M5857" i="13"/>
  <c r="M5858" i="14"/>
  <c r="K5669" i="13" l="1"/>
  <c r="L5669" i="13" s="1"/>
  <c r="I5670" i="13" s="1"/>
  <c r="K5691" i="14"/>
  <c r="L5691" i="14" s="1"/>
  <c r="I5692" i="14" s="1"/>
  <c r="J5855" i="13" a="1"/>
  <c r="J5855" i="13" s="1"/>
  <c r="N5856" i="13"/>
  <c r="M5859" i="14"/>
  <c r="M5858" i="13"/>
  <c r="J5854" i="14" a="1"/>
  <c r="J5854" i="14" s="1"/>
  <c r="N5855" i="14"/>
  <c r="K5692" i="14" l="1"/>
  <c r="L5692" i="14" s="1"/>
  <c r="I5693" i="14" s="1"/>
  <c r="K5670" i="13"/>
  <c r="L5670" i="13" s="1"/>
  <c r="I5671" i="13" s="1"/>
  <c r="M5860" i="14"/>
  <c r="J5856" i="13" a="1"/>
  <c r="J5856" i="13" s="1"/>
  <c r="N5857" i="13"/>
  <c r="N5856" i="14"/>
  <c r="J5855" i="14" a="1"/>
  <c r="J5855" i="14" s="1"/>
  <c r="M5859" i="13"/>
  <c r="K5671" i="13" l="1"/>
  <c r="L5671" i="13" s="1"/>
  <c r="I5672" i="13" s="1"/>
  <c r="K5693" i="14"/>
  <c r="L5693" i="14" s="1"/>
  <c r="I5694" i="14" s="1"/>
  <c r="N5858" i="13"/>
  <c r="J5857" i="13" a="1"/>
  <c r="J5857" i="13" s="1"/>
  <c r="M5860" i="13"/>
  <c r="M5861" i="14"/>
  <c r="N5857" i="14"/>
  <c r="J5856" i="14" a="1"/>
  <c r="J5856" i="14" s="1"/>
  <c r="K5694" i="14" l="1"/>
  <c r="L5694" i="14" s="1"/>
  <c r="I5695" i="14" s="1"/>
  <c r="K5672" i="13"/>
  <c r="L5672" i="13" s="1"/>
  <c r="I5673" i="13" s="1"/>
  <c r="M5861" i="13"/>
  <c r="N5858" i="14"/>
  <c r="J5857" i="14" a="1"/>
  <c r="J5857" i="14" s="1"/>
  <c r="M5862" i="14"/>
  <c r="J5858" i="13" a="1"/>
  <c r="J5858" i="13" s="1"/>
  <c r="N5859" i="13"/>
  <c r="K5673" i="13" l="1"/>
  <c r="L5673" i="13" s="1"/>
  <c r="I5674" i="13" s="1"/>
  <c r="K5695" i="14"/>
  <c r="L5695" i="14" s="1"/>
  <c r="I5696" i="14" s="1"/>
  <c r="J5859" i="13" a="1"/>
  <c r="J5859" i="13" s="1"/>
  <c r="N5860" i="13"/>
  <c r="J5858" i="14" a="1"/>
  <c r="J5858" i="14" s="1"/>
  <c r="N5859" i="14"/>
  <c r="M5863" i="14"/>
  <c r="M5862" i="13"/>
  <c r="K5696" i="14" l="1"/>
  <c r="L5696" i="14" s="1"/>
  <c r="I5697" i="14" s="1"/>
  <c r="K5674" i="13"/>
  <c r="L5674" i="13" s="1"/>
  <c r="I5675" i="13" s="1"/>
  <c r="N5860" i="14"/>
  <c r="J5859" i="14" a="1"/>
  <c r="J5859" i="14" s="1"/>
  <c r="M5863" i="13"/>
  <c r="M5864" i="14"/>
  <c r="J5860" i="13" a="1"/>
  <c r="J5860" i="13" s="1"/>
  <c r="N5861" i="13"/>
  <c r="K5675" i="13" l="1"/>
  <c r="L5675" i="13" s="1"/>
  <c r="I5676" i="13" s="1"/>
  <c r="K5697" i="14"/>
  <c r="L5697" i="14" s="1"/>
  <c r="I5698" i="14" s="1"/>
  <c r="M5864" i="13"/>
  <c r="N5862" i="13"/>
  <c r="J5861" i="13" a="1"/>
  <c r="J5861" i="13" s="1"/>
  <c r="M5865" i="14"/>
  <c r="N5861" i="14"/>
  <c r="J5860" i="14" a="1"/>
  <c r="J5860" i="14" s="1"/>
  <c r="K5698" i="14" l="1"/>
  <c r="L5698" i="14" s="1"/>
  <c r="I5699" i="14" s="1"/>
  <c r="K5676" i="13"/>
  <c r="L5676" i="13" s="1"/>
  <c r="I5677" i="13" s="1"/>
  <c r="N5862" i="14"/>
  <c r="J5861" i="14" a="1"/>
  <c r="J5861" i="14" s="1"/>
  <c r="M5865" i="13"/>
  <c r="J5862" i="13" a="1"/>
  <c r="J5862" i="13" s="1"/>
  <c r="N5863" i="13"/>
  <c r="M5866" i="14"/>
  <c r="K5677" i="13" l="1"/>
  <c r="L5677" i="13" s="1"/>
  <c r="I5678" i="13" s="1"/>
  <c r="K5699" i="14"/>
  <c r="L5699" i="14" s="1"/>
  <c r="I5700" i="14" s="1"/>
  <c r="M5867" i="14"/>
  <c r="M5866" i="13"/>
  <c r="J5863" i="13" a="1"/>
  <c r="J5863" i="13" s="1"/>
  <c r="N5864" i="13"/>
  <c r="J5862" i="14" a="1"/>
  <c r="J5862" i="14" s="1"/>
  <c r="N5863" i="14"/>
  <c r="K5700" i="14" l="1"/>
  <c r="L5700" i="14" s="1"/>
  <c r="I5701" i="14" s="1"/>
  <c r="K5678" i="13"/>
  <c r="L5678" i="13" s="1"/>
  <c r="I5679" i="13" s="1"/>
  <c r="N5864" i="14"/>
  <c r="J5863" i="14" a="1"/>
  <c r="J5863" i="14" s="1"/>
  <c r="M5867" i="13"/>
  <c r="J5864" i="13" a="1"/>
  <c r="J5864" i="13" s="1"/>
  <c r="N5865" i="13"/>
  <c r="M5868" i="14"/>
  <c r="K5679" i="13" l="1"/>
  <c r="L5679" i="13" s="1"/>
  <c r="I5680" i="13" s="1"/>
  <c r="K5701" i="14"/>
  <c r="L5701" i="14" s="1"/>
  <c r="I5702" i="14" s="1"/>
  <c r="M5869" i="14"/>
  <c r="M5868" i="13"/>
  <c r="N5866" i="13"/>
  <c r="J5865" i="13" a="1"/>
  <c r="J5865" i="13" s="1"/>
  <c r="J5864" i="14" a="1"/>
  <c r="J5864" i="14" s="1"/>
  <c r="N5865" i="14"/>
  <c r="K5702" i="14" l="1"/>
  <c r="L5702" i="14" s="1"/>
  <c r="I5703" i="14" s="1"/>
  <c r="K5680" i="13"/>
  <c r="L5680" i="13" s="1"/>
  <c r="I5681" i="13" s="1"/>
  <c r="M5869" i="13"/>
  <c r="N5866" i="14"/>
  <c r="J5865" i="14" a="1"/>
  <c r="J5865" i="14" s="1"/>
  <c r="J5866" i="13" a="1"/>
  <c r="J5866" i="13" s="1"/>
  <c r="N5867" i="13"/>
  <c r="M5870" i="14"/>
  <c r="K5681" i="13" l="1"/>
  <c r="L5681" i="13" s="1"/>
  <c r="I5682" i="13" s="1"/>
  <c r="K5703" i="14"/>
  <c r="L5703" i="14" s="1"/>
  <c r="I5704" i="14" s="1"/>
  <c r="J5866" i="14" a="1"/>
  <c r="J5866" i="14" s="1"/>
  <c r="N5867" i="14"/>
  <c r="J5867" i="13" a="1"/>
  <c r="J5867" i="13" s="1"/>
  <c r="N5868" i="13"/>
  <c r="M5871" i="14"/>
  <c r="M5870" i="13"/>
  <c r="K5704" i="14" l="1"/>
  <c r="L5704" i="14" s="1"/>
  <c r="I5705" i="14" s="1"/>
  <c r="K5682" i="13"/>
  <c r="L5682" i="13" s="1"/>
  <c r="I5683" i="13" s="1"/>
  <c r="J5868" i="13" a="1"/>
  <c r="J5868" i="13" s="1"/>
  <c r="N5869" i="13"/>
  <c r="J5867" i="14" a="1"/>
  <c r="J5867" i="14" s="1"/>
  <c r="N5868" i="14"/>
  <c r="M5871" i="13"/>
  <c r="M5872" i="14"/>
  <c r="K5683" i="13" l="1"/>
  <c r="L5683" i="13" s="1"/>
  <c r="I5684" i="13" s="1"/>
  <c r="K5705" i="14"/>
  <c r="L5705" i="14" s="1"/>
  <c r="I5706" i="14" s="1"/>
  <c r="J5868" i="14" a="1"/>
  <c r="J5868" i="14" s="1"/>
  <c r="N5869" i="14"/>
  <c r="M5873" i="14"/>
  <c r="N5870" i="13"/>
  <c r="J5869" i="13" a="1"/>
  <c r="J5869" i="13" s="1"/>
  <c r="M5872" i="13"/>
  <c r="K5706" i="14" l="1"/>
  <c r="L5706" i="14" s="1"/>
  <c r="I5707" i="14" s="1"/>
  <c r="K5684" i="13"/>
  <c r="L5684" i="13" s="1"/>
  <c r="I5685" i="13" s="1"/>
  <c r="M5873" i="13"/>
  <c r="M5874" i="14"/>
  <c r="N5870" i="14"/>
  <c r="J5869" i="14" a="1"/>
  <c r="J5869" i="14" s="1"/>
  <c r="J5870" i="13" a="1"/>
  <c r="J5870" i="13" s="1"/>
  <c r="N5871" i="13"/>
  <c r="K5685" i="13" l="1"/>
  <c r="L5685" i="13" s="1"/>
  <c r="I5686" i="13" s="1"/>
  <c r="K5707" i="14"/>
  <c r="L5707" i="14" s="1"/>
  <c r="I5708" i="14" s="1"/>
  <c r="J5871" i="13" a="1"/>
  <c r="J5871" i="13" s="1"/>
  <c r="N5872" i="13"/>
  <c r="M5875" i="14"/>
  <c r="J5870" i="14" a="1"/>
  <c r="J5870" i="14" s="1"/>
  <c r="N5871" i="14"/>
  <c r="M5874" i="13"/>
  <c r="K5708" i="14" l="1"/>
  <c r="L5708" i="14" s="1"/>
  <c r="I5709" i="14" s="1"/>
  <c r="K5686" i="13"/>
  <c r="L5686" i="13" s="1"/>
  <c r="I5687" i="13" s="1"/>
  <c r="M5875" i="13"/>
  <c r="M5876" i="14"/>
  <c r="J5871" i="14" a="1"/>
  <c r="J5871" i="14" s="1"/>
  <c r="N5872" i="14"/>
  <c r="J5872" i="13" a="1"/>
  <c r="J5872" i="13" s="1"/>
  <c r="N5873" i="13"/>
  <c r="K5687" i="13" l="1"/>
  <c r="L5687" i="13" s="1"/>
  <c r="I5688" i="13" s="1"/>
  <c r="K5709" i="14"/>
  <c r="L5709" i="14" s="1"/>
  <c r="I5710" i="14" s="1"/>
  <c r="N5874" i="13"/>
  <c r="J5873" i="13" a="1"/>
  <c r="J5873" i="13" s="1"/>
  <c r="M5877" i="14"/>
  <c r="N5873" i="14"/>
  <c r="J5872" i="14" a="1"/>
  <c r="J5872" i="14" s="1"/>
  <c r="M5876" i="13"/>
  <c r="K5710" i="14" l="1"/>
  <c r="L5710" i="14" s="1"/>
  <c r="I5711" i="14" s="1"/>
  <c r="K5688" i="13"/>
  <c r="L5688" i="13" s="1"/>
  <c r="I5689" i="13" s="1"/>
  <c r="M5877" i="13"/>
  <c r="M5878" i="14"/>
  <c r="N5874" i="14"/>
  <c r="J5873" i="14" a="1"/>
  <c r="J5873" i="14" s="1"/>
  <c r="J5874" i="13" a="1"/>
  <c r="J5874" i="13" s="1"/>
  <c r="N5875" i="13"/>
  <c r="K5689" i="13" l="1"/>
  <c r="L5689" i="13" s="1"/>
  <c r="I5690" i="13" s="1"/>
  <c r="K5711" i="14"/>
  <c r="L5711" i="14" s="1"/>
  <c r="I5712" i="14" s="1"/>
  <c r="J5875" i="13" a="1"/>
  <c r="J5875" i="13" s="1"/>
  <c r="N5876" i="13"/>
  <c r="M5879" i="14"/>
  <c r="J5874" i="14" a="1"/>
  <c r="J5874" i="14" s="1"/>
  <c r="N5875" i="14"/>
  <c r="M5878" i="13"/>
  <c r="K5712" i="14" l="1"/>
  <c r="L5712" i="14" s="1"/>
  <c r="I5713" i="14" s="1"/>
  <c r="K5690" i="13"/>
  <c r="L5690" i="13" s="1"/>
  <c r="I5691" i="13" s="1"/>
  <c r="M5880" i="14"/>
  <c r="M5879" i="13"/>
  <c r="N5876" i="14"/>
  <c r="J5875" i="14" a="1"/>
  <c r="J5875" i="14" s="1"/>
  <c r="J5876" i="13" a="1"/>
  <c r="J5876" i="13" s="1"/>
  <c r="N5877" i="13"/>
  <c r="K5691" i="13" l="1"/>
  <c r="L5691" i="13" s="1"/>
  <c r="I5692" i="13" s="1"/>
  <c r="K5713" i="14"/>
  <c r="L5713" i="14" s="1"/>
  <c r="I5714" i="14" s="1"/>
  <c r="N5878" i="13"/>
  <c r="J5877" i="13" a="1"/>
  <c r="J5877" i="13" s="1"/>
  <c r="M5880" i="13"/>
  <c r="M5881" i="14"/>
  <c r="N5877" i="14"/>
  <c r="J5876" i="14" a="1"/>
  <c r="J5876" i="14" s="1"/>
  <c r="K5714" i="14" l="1"/>
  <c r="L5714" i="14" s="1"/>
  <c r="I5715" i="14" s="1"/>
  <c r="K5692" i="13"/>
  <c r="L5692" i="13" s="1"/>
  <c r="I5693" i="13" s="1"/>
  <c r="N5878" i="14"/>
  <c r="J5877" i="14" a="1"/>
  <c r="J5877" i="14" s="1"/>
  <c r="M5881" i="13"/>
  <c r="M5882" i="14"/>
  <c r="J5878" i="13" a="1"/>
  <c r="J5878" i="13" s="1"/>
  <c r="N5879" i="13"/>
  <c r="K5693" i="13" l="1"/>
  <c r="L5693" i="13" s="1"/>
  <c r="I5694" i="13" s="1"/>
  <c r="K5715" i="14"/>
  <c r="L5715" i="14" s="1"/>
  <c r="I5716" i="14" s="1"/>
  <c r="M5882" i="13"/>
  <c r="J5879" i="13" a="1"/>
  <c r="J5879" i="13" s="1"/>
  <c r="N5880" i="13"/>
  <c r="M5883" i="14"/>
  <c r="J5878" i="14" a="1"/>
  <c r="J5878" i="14" s="1"/>
  <c r="N5879" i="14"/>
  <c r="K5716" i="14" l="1"/>
  <c r="L5716" i="14" s="1"/>
  <c r="I5717" i="14" s="1"/>
  <c r="K5694" i="13"/>
  <c r="L5694" i="13" s="1"/>
  <c r="I5695" i="13" s="1"/>
  <c r="N5880" i="14"/>
  <c r="J5879" i="14" a="1"/>
  <c r="J5879" i="14" s="1"/>
  <c r="J5880" i="13" a="1"/>
  <c r="J5880" i="13" s="1"/>
  <c r="N5881" i="13"/>
  <c r="M5884" i="14"/>
  <c r="M5883" i="13"/>
  <c r="K5695" i="13" l="1"/>
  <c r="L5695" i="13" s="1"/>
  <c r="I5696" i="13" s="1"/>
  <c r="K5717" i="14"/>
  <c r="L5717" i="14" s="1"/>
  <c r="I5718" i="14" s="1"/>
  <c r="N5882" i="13"/>
  <c r="J5881" i="13" a="1"/>
  <c r="J5881" i="13" s="1"/>
  <c r="M5885" i="14"/>
  <c r="M5884" i="13"/>
  <c r="N5881" i="14"/>
  <c r="J5880" i="14" a="1"/>
  <c r="J5880" i="14" s="1"/>
  <c r="K5718" i="14" l="1"/>
  <c r="L5718" i="14" s="1"/>
  <c r="I5719" i="14" s="1"/>
  <c r="K5696" i="13"/>
  <c r="L5696" i="13" s="1"/>
  <c r="I5697" i="13" s="1"/>
  <c r="N5882" i="14"/>
  <c r="J5881" i="14" a="1"/>
  <c r="J5881" i="14" s="1"/>
  <c r="M5886" i="14"/>
  <c r="M5885" i="13"/>
  <c r="J5882" i="13" a="1"/>
  <c r="J5882" i="13" s="1"/>
  <c r="N5883" i="13"/>
  <c r="K5697" i="13" l="1"/>
  <c r="L5697" i="13" s="1"/>
  <c r="I5698" i="13" s="1"/>
  <c r="K5719" i="14"/>
  <c r="L5719" i="14" s="1"/>
  <c r="I5720" i="14" s="1"/>
  <c r="M5887" i="14"/>
  <c r="J5883" i="13" a="1"/>
  <c r="J5883" i="13" s="1"/>
  <c r="N5884" i="13"/>
  <c r="M5886" i="13"/>
  <c r="J5882" i="14" a="1"/>
  <c r="J5882" i="14" s="1"/>
  <c r="N5883" i="14"/>
  <c r="K5720" i="14" l="1"/>
  <c r="L5720" i="14" s="1"/>
  <c r="I5721" i="14" s="1"/>
  <c r="K5698" i="13"/>
  <c r="L5698" i="13" s="1"/>
  <c r="I5699" i="13" s="1"/>
  <c r="N5884" i="14"/>
  <c r="J5883" i="14" a="1"/>
  <c r="J5883" i="14" s="1"/>
  <c r="J5884" i="13" a="1"/>
  <c r="J5884" i="13" s="1"/>
  <c r="N5885" i="13"/>
  <c r="M5887" i="13"/>
  <c r="M5888" i="14"/>
  <c r="K5699" i="13" l="1"/>
  <c r="L5699" i="13" s="1"/>
  <c r="I5700" i="13" s="1"/>
  <c r="K5721" i="14"/>
  <c r="L5721" i="14" s="1"/>
  <c r="I5722" i="14" s="1"/>
  <c r="N5886" i="13"/>
  <c r="J5885" i="13" a="1"/>
  <c r="J5885" i="13" s="1"/>
  <c r="M5889" i="14"/>
  <c r="M5888" i="13"/>
  <c r="N5885" i="14"/>
  <c r="J5884" i="14" a="1"/>
  <c r="J5884" i="14" s="1"/>
  <c r="K5722" i="14" l="1"/>
  <c r="L5722" i="14" s="1"/>
  <c r="I5723" i="14" s="1"/>
  <c r="K5700" i="13"/>
  <c r="L5700" i="13" s="1"/>
  <c r="I5701" i="13" s="1"/>
  <c r="N5886" i="14"/>
  <c r="J5885" i="14" a="1"/>
  <c r="J5885" i="14" s="1"/>
  <c r="M5890" i="14"/>
  <c r="M5889" i="13"/>
  <c r="J5886" i="13" a="1"/>
  <c r="J5886" i="13" s="1"/>
  <c r="N5887" i="13"/>
  <c r="K5701" i="13" l="1"/>
  <c r="L5701" i="13" s="1"/>
  <c r="I5702" i="13" s="1"/>
  <c r="K5723" i="14"/>
  <c r="L5723" i="14" s="1"/>
  <c r="I5724" i="14" s="1"/>
  <c r="M5891" i="14"/>
  <c r="J5887" i="13" a="1"/>
  <c r="J5887" i="13" s="1"/>
  <c r="N5888" i="13"/>
  <c r="M5890" i="13"/>
  <c r="J5886" i="14" a="1"/>
  <c r="J5886" i="14" s="1"/>
  <c r="N5887" i="14"/>
  <c r="K5702" i="13" l="1"/>
  <c r="L5702" i="13" s="1"/>
  <c r="I5703" i="13" s="1"/>
  <c r="J5888" i="13" a="1"/>
  <c r="J5888" i="13" s="1"/>
  <c r="N5889" i="13"/>
  <c r="K5724" i="14"/>
  <c r="L5724" i="14" s="1"/>
  <c r="I5725" i="14" s="1"/>
  <c r="N5888" i="14"/>
  <c r="J5887" i="14" a="1"/>
  <c r="J5887" i="14" s="1"/>
  <c r="M5892" i="14"/>
  <c r="M5891" i="13"/>
  <c r="K5725" i="14" l="1"/>
  <c r="L5725" i="14" s="1"/>
  <c r="I5726" i="14" s="1"/>
  <c r="K5703" i="13"/>
  <c r="L5703" i="13" s="1"/>
  <c r="I5704" i="13" s="1"/>
  <c r="N5890" i="13"/>
  <c r="J5889" i="13" a="1"/>
  <c r="J5889" i="13" s="1"/>
  <c r="N5889" i="14"/>
  <c r="J5888" i="14" a="1"/>
  <c r="J5888" i="14" s="1"/>
  <c r="M5893" i="14"/>
  <c r="M5892" i="13"/>
  <c r="K5704" i="13" l="1"/>
  <c r="L5704" i="13" s="1"/>
  <c r="I5705" i="13" s="1"/>
  <c r="K5726" i="14"/>
  <c r="L5726" i="14" s="1"/>
  <c r="I5727" i="14" s="1"/>
  <c r="N5890" i="14"/>
  <c r="J5889" i="14" a="1"/>
  <c r="J5889" i="14" s="1"/>
  <c r="M5893" i="13"/>
  <c r="M5894" i="14"/>
  <c r="J5890" i="13" a="1"/>
  <c r="J5890" i="13" s="1"/>
  <c r="N5891" i="13"/>
  <c r="K5727" i="14" l="1"/>
  <c r="L5727" i="14" s="1"/>
  <c r="I5728" i="14" s="1"/>
  <c r="K5705" i="13"/>
  <c r="L5705" i="13" s="1"/>
  <c r="I5706" i="13" s="1"/>
  <c r="M5894" i="13"/>
  <c r="J5891" i="13" a="1"/>
  <c r="J5891" i="13" s="1"/>
  <c r="N5892" i="13"/>
  <c r="M5895" i="14"/>
  <c r="J5890" i="14" a="1"/>
  <c r="J5890" i="14" s="1"/>
  <c r="N5891" i="14"/>
  <c r="K5706" i="13" l="1"/>
  <c r="L5706" i="13" s="1"/>
  <c r="I5707" i="13" s="1"/>
  <c r="K5728" i="14"/>
  <c r="L5728" i="14" s="1"/>
  <c r="I5729" i="14" s="1"/>
  <c r="N5892" i="14"/>
  <c r="J5891" i="14" a="1"/>
  <c r="J5891" i="14" s="1"/>
  <c r="J5892" i="13" a="1"/>
  <c r="J5892" i="13" s="1"/>
  <c r="N5893" i="13"/>
  <c r="M5896" i="14"/>
  <c r="M5895" i="13"/>
  <c r="K5729" i="14" l="1"/>
  <c r="L5729" i="14" s="1"/>
  <c r="I5730" i="14" s="1"/>
  <c r="K5707" i="13"/>
  <c r="L5707" i="13" s="1"/>
  <c r="I5708" i="13" s="1"/>
  <c r="N5894" i="13"/>
  <c r="J5893" i="13" a="1"/>
  <c r="J5893" i="13" s="1"/>
  <c r="M5896" i="13"/>
  <c r="M5897" i="14"/>
  <c r="N5893" i="14"/>
  <c r="J5892" i="14" a="1"/>
  <c r="J5892" i="14" s="1"/>
  <c r="K5708" i="13" l="1"/>
  <c r="L5708" i="13" s="1"/>
  <c r="I5709" i="13" s="1"/>
  <c r="K5730" i="14"/>
  <c r="L5730" i="14" s="1"/>
  <c r="I5731" i="14" s="1"/>
  <c r="M5897" i="13"/>
  <c r="N5894" i="14"/>
  <c r="J5893" i="14" a="1"/>
  <c r="J5893" i="14" s="1"/>
  <c r="M5898" i="14"/>
  <c r="J5894" i="13" a="1"/>
  <c r="J5894" i="13" s="1"/>
  <c r="N5895" i="13"/>
  <c r="K5709" i="13" l="1"/>
  <c r="L5709" i="13" s="1"/>
  <c r="I5710" i="13" s="1"/>
  <c r="K5731" i="14"/>
  <c r="L5731" i="14" s="1"/>
  <c r="I5732" i="14" s="1"/>
  <c r="J5894" i="14" a="1"/>
  <c r="J5894" i="14" s="1"/>
  <c r="N5895" i="14"/>
  <c r="J5895" i="13" a="1"/>
  <c r="J5895" i="13" s="1"/>
  <c r="N5896" i="13"/>
  <c r="M5899" i="14"/>
  <c r="M5898" i="13"/>
  <c r="K5732" i="14" l="1"/>
  <c r="L5732" i="14" s="1"/>
  <c r="I5733" i="14" s="1"/>
  <c r="K5710" i="13"/>
  <c r="L5710" i="13" s="1"/>
  <c r="I5711" i="13" s="1"/>
  <c r="J5896" i="13" a="1"/>
  <c r="J5896" i="13" s="1"/>
  <c r="N5897" i="13"/>
  <c r="M5900" i="14"/>
  <c r="M5899" i="13"/>
  <c r="N5896" i="14"/>
  <c r="J5895" i="14" a="1"/>
  <c r="J5895" i="14" s="1"/>
  <c r="K5711" i="13" l="1"/>
  <c r="L5711" i="13" s="1"/>
  <c r="I5712" i="13" s="1"/>
  <c r="K5733" i="14"/>
  <c r="L5733" i="14" s="1"/>
  <c r="I5734" i="14" s="1"/>
  <c r="M5901" i="14"/>
  <c r="N5897" i="14"/>
  <c r="J5896" i="14" a="1"/>
  <c r="J5896" i="14" s="1"/>
  <c r="N5898" i="13"/>
  <c r="J5897" i="13" a="1"/>
  <c r="J5897" i="13" s="1"/>
  <c r="M5900" i="13"/>
  <c r="K5734" i="14" l="1"/>
  <c r="L5734" i="14" s="1"/>
  <c r="I5735" i="14" s="1"/>
  <c r="K5712" i="13"/>
  <c r="L5712" i="13" s="1"/>
  <c r="I5713" i="13" s="1"/>
  <c r="M5901" i="13"/>
  <c r="N5898" i="14"/>
  <c r="J5897" i="14" a="1"/>
  <c r="J5897" i="14" s="1"/>
  <c r="J5898" i="13" a="1"/>
  <c r="J5898" i="13" s="1"/>
  <c r="N5899" i="13"/>
  <c r="M5902" i="14"/>
  <c r="K5713" i="13" l="1"/>
  <c r="L5713" i="13" s="1"/>
  <c r="I5714" i="13" s="1"/>
  <c r="K5735" i="14"/>
  <c r="L5735" i="14" s="1"/>
  <c r="I5736" i="14" s="1"/>
  <c r="M5903" i="14"/>
  <c r="J5898" i="14" a="1"/>
  <c r="J5898" i="14" s="1"/>
  <c r="N5899" i="14"/>
  <c r="J5899" i="13" a="1"/>
  <c r="J5899" i="13" s="1"/>
  <c r="N5900" i="13"/>
  <c r="M5902" i="13"/>
  <c r="K5736" i="14" l="1"/>
  <c r="L5736" i="14" s="1"/>
  <c r="I5737" i="14" s="1"/>
  <c r="K5714" i="13"/>
  <c r="L5714" i="13" s="1"/>
  <c r="I5715" i="13" s="1"/>
  <c r="N5900" i="14"/>
  <c r="J5899" i="14" a="1"/>
  <c r="J5899" i="14" s="1"/>
  <c r="J5900" i="13" a="1"/>
  <c r="J5900" i="13" s="1"/>
  <c r="N5901" i="13"/>
  <c r="M5903" i="13"/>
  <c r="M5904" i="14"/>
  <c r="K5715" i="13" l="1"/>
  <c r="L5715" i="13" s="1"/>
  <c r="I5716" i="13" s="1"/>
  <c r="K5737" i="14"/>
  <c r="L5737" i="14" s="1"/>
  <c r="I5738" i="14" s="1"/>
  <c r="N5902" i="13"/>
  <c r="J5901" i="13" a="1"/>
  <c r="J5901" i="13" s="1"/>
  <c r="M5905" i="14"/>
  <c r="M5904" i="13"/>
  <c r="N5901" i="14"/>
  <c r="J5900" i="14" a="1"/>
  <c r="J5900" i="14" s="1"/>
  <c r="K5738" i="14" l="1"/>
  <c r="L5738" i="14" s="1"/>
  <c r="I5739" i="14" s="1"/>
  <c r="K5716" i="13"/>
  <c r="L5716" i="13" s="1"/>
  <c r="I5717" i="13" s="1"/>
  <c r="N5902" i="14"/>
  <c r="J5901" i="14" a="1"/>
  <c r="J5901" i="14" s="1"/>
  <c r="M5906" i="14"/>
  <c r="M5905" i="13"/>
  <c r="J5902" i="13" a="1"/>
  <c r="J5902" i="13" s="1"/>
  <c r="N5903" i="13"/>
  <c r="K5717" i="13" l="1"/>
  <c r="L5717" i="13" s="1"/>
  <c r="I5718" i="13" s="1"/>
  <c r="K5739" i="14"/>
  <c r="L5739" i="14" s="1"/>
  <c r="I5740" i="14" s="1"/>
  <c r="J5903" i="13" a="1"/>
  <c r="J5903" i="13" s="1"/>
  <c r="N5904" i="13"/>
  <c r="M5907" i="14"/>
  <c r="M5906" i="13"/>
  <c r="J5902" i="14" a="1"/>
  <c r="J5902" i="14" s="1"/>
  <c r="N5903" i="14"/>
  <c r="K5740" i="14" l="1"/>
  <c r="L5740" i="14" s="1"/>
  <c r="I5741" i="14" s="1"/>
  <c r="K5718" i="13"/>
  <c r="L5718" i="13" s="1"/>
  <c r="I5719" i="13" s="1"/>
  <c r="N5904" i="14"/>
  <c r="J5903" i="14" a="1"/>
  <c r="J5903" i="14" s="1"/>
  <c r="M5908" i="14"/>
  <c r="J5904" i="13" a="1"/>
  <c r="J5904" i="13" s="1"/>
  <c r="N5905" i="13"/>
  <c r="M5907" i="13"/>
  <c r="K5719" i="13" l="1"/>
  <c r="L5719" i="13" s="1"/>
  <c r="I5720" i="13" s="1"/>
  <c r="K5741" i="14"/>
  <c r="L5741" i="14" s="1"/>
  <c r="I5742" i="14" s="1"/>
  <c r="M5909" i="14"/>
  <c r="N5906" i="13"/>
  <c r="J5905" i="13" a="1"/>
  <c r="J5905" i="13" s="1"/>
  <c r="M5908" i="13"/>
  <c r="N5905" i="14"/>
  <c r="J5904" i="14" a="1"/>
  <c r="J5904" i="14" s="1"/>
  <c r="K5742" i="14" l="1"/>
  <c r="L5742" i="14" s="1"/>
  <c r="I5743" i="14" s="1"/>
  <c r="K5720" i="13"/>
  <c r="L5720" i="13" s="1"/>
  <c r="I5721" i="13" s="1"/>
  <c r="J5906" i="13" a="1"/>
  <c r="J5906" i="13" s="1"/>
  <c r="N5907" i="13"/>
  <c r="M5909" i="13"/>
  <c r="N5906" i="14"/>
  <c r="J5905" i="14" a="1"/>
  <c r="J5905" i="14" s="1"/>
  <c r="M5910" i="14"/>
  <c r="K5721" i="13" l="1"/>
  <c r="L5721" i="13" s="1"/>
  <c r="I5722" i="13" s="1"/>
  <c r="K5743" i="14"/>
  <c r="L5743" i="14" s="1"/>
  <c r="I5744" i="14" s="1"/>
  <c r="J5906" i="14" a="1"/>
  <c r="J5906" i="14" s="1"/>
  <c r="N5907" i="14"/>
  <c r="M5911" i="14"/>
  <c r="M5910" i="13"/>
  <c r="J5907" i="13" a="1"/>
  <c r="J5907" i="13" s="1"/>
  <c r="N5908" i="13"/>
  <c r="K5744" i="14" l="1"/>
  <c r="L5744" i="14" s="1"/>
  <c r="I5745" i="14" s="1"/>
  <c r="K5722" i="13"/>
  <c r="L5722" i="13" s="1"/>
  <c r="I5723" i="13" s="1"/>
  <c r="J5908" i="13" a="1"/>
  <c r="J5908" i="13" s="1"/>
  <c r="N5909" i="13"/>
  <c r="M5912" i="14"/>
  <c r="N5908" i="14"/>
  <c r="J5907" i="14" a="1"/>
  <c r="J5907" i="14" s="1"/>
  <c r="M5911" i="13"/>
  <c r="K5723" i="13" l="1"/>
  <c r="L5723" i="13" s="1"/>
  <c r="I5724" i="13" s="1"/>
  <c r="K5745" i="14"/>
  <c r="L5745" i="14" s="1"/>
  <c r="I5746" i="14" s="1"/>
  <c r="M5913" i="14"/>
  <c r="N5909" i="14"/>
  <c r="J5908" i="14" a="1"/>
  <c r="J5908" i="14" s="1"/>
  <c r="M5912" i="13"/>
  <c r="N5910" i="13"/>
  <c r="J5909" i="13" a="1"/>
  <c r="J5909" i="13" s="1"/>
  <c r="K5746" i="14" l="1"/>
  <c r="L5746" i="14" s="1"/>
  <c r="I5747" i="14" s="1"/>
  <c r="K5724" i="13"/>
  <c r="L5724" i="13" s="1"/>
  <c r="I5725" i="13" s="1"/>
  <c r="N5910" i="14"/>
  <c r="J5909" i="14" a="1"/>
  <c r="J5909" i="14" s="1"/>
  <c r="M5913" i="13"/>
  <c r="J5910" i="13" a="1"/>
  <c r="J5910" i="13" s="1"/>
  <c r="N5911" i="13"/>
  <c r="M5914" i="14"/>
  <c r="K5725" i="13" l="1"/>
  <c r="L5725" i="13" s="1"/>
  <c r="I5726" i="13" s="1"/>
  <c r="K5747" i="14"/>
  <c r="L5747" i="14" s="1"/>
  <c r="I5748" i="14" s="1"/>
  <c r="J5911" i="13" a="1"/>
  <c r="J5911" i="13" s="1"/>
  <c r="N5912" i="13"/>
  <c r="M5915" i="14"/>
  <c r="M5914" i="13"/>
  <c r="J5910" i="14" a="1"/>
  <c r="J5910" i="14" s="1"/>
  <c r="N5911" i="14"/>
  <c r="K5748" i="14" l="1"/>
  <c r="L5748" i="14" s="1"/>
  <c r="I5749" i="14" s="1"/>
  <c r="K5726" i="13"/>
  <c r="L5726" i="13" s="1"/>
  <c r="I5727" i="13" s="1"/>
  <c r="N5912" i="14"/>
  <c r="J5911" i="14" a="1"/>
  <c r="J5911" i="14" s="1"/>
  <c r="M5916" i="14"/>
  <c r="J5912" i="13" a="1"/>
  <c r="J5912" i="13" s="1"/>
  <c r="N5913" i="13"/>
  <c r="M5915" i="13"/>
  <c r="K5727" i="13" l="1"/>
  <c r="L5727" i="13" s="1"/>
  <c r="I5728" i="13" s="1"/>
  <c r="K5749" i="14"/>
  <c r="L5749" i="14" s="1"/>
  <c r="I5750" i="14" s="1"/>
  <c r="M5917" i="14"/>
  <c r="N5914" i="13"/>
  <c r="J5913" i="13" a="1"/>
  <c r="J5913" i="13" s="1"/>
  <c r="M5916" i="13"/>
  <c r="N5913" i="14"/>
  <c r="J5912" i="14" a="1"/>
  <c r="J5912" i="14" s="1"/>
  <c r="K5750" i="14" l="1"/>
  <c r="L5750" i="14" s="1"/>
  <c r="I5751" i="14" s="1"/>
  <c r="K5728" i="13"/>
  <c r="L5728" i="13" s="1"/>
  <c r="I5729" i="13" s="1"/>
  <c r="N5914" i="14"/>
  <c r="J5913" i="14" a="1"/>
  <c r="J5913" i="14" s="1"/>
  <c r="M5917" i="13"/>
  <c r="J5914" i="13" a="1"/>
  <c r="J5914" i="13" s="1"/>
  <c r="N5915" i="13"/>
  <c r="M5918" i="14"/>
  <c r="K5729" i="13" l="1"/>
  <c r="L5729" i="13" s="1"/>
  <c r="I5730" i="13" s="1"/>
  <c r="K5751" i="14"/>
  <c r="L5751" i="14" s="1"/>
  <c r="I5752" i="14" s="1"/>
  <c r="M5919" i="14"/>
  <c r="J5915" i="13" a="1"/>
  <c r="J5915" i="13" s="1"/>
  <c r="N5916" i="13"/>
  <c r="M5918" i="13"/>
  <c r="J5914" i="14" a="1"/>
  <c r="J5914" i="14" s="1"/>
  <c r="N5915" i="14"/>
  <c r="K5752" i="14" l="1"/>
  <c r="L5752" i="14" s="1"/>
  <c r="I5753" i="14" s="1"/>
  <c r="K5730" i="13"/>
  <c r="L5730" i="13" s="1"/>
  <c r="I5731" i="13" s="1"/>
  <c r="J5916" i="13" a="1"/>
  <c r="J5916" i="13" s="1"/>
  <c r="N5917" i="13"/>
  <c r="N5916" i="14"/>
  <c r="J5915" i="14" a="1"/>
  <c r="J5915" i="14" s="1"/>
  <c r="M5919" i="13"/>
  <c r="M5920" i="14"/>
  <c r="K5731" i="13" l="1"/>
  <c r="L5731" i="13" s="1"/>
  <c r="I5732" i="13" s="1"/>
  <c r="K5753" i="14"/>
  <c r="L5753" i="14" s="1"/>
  <c r="I5754" i="14" s="1"/>
  <c r="N5917" i="14"/>
  <c r="J5916" i="14" a="1"/>
  <c r="J5916" i="14" s="1"/>
  <c r="N5918" i="13"/>
  <c r="J5917" i="13" a="1"/>
  <c r="J5917" i="13" s="1"/>
  <c r="M5921" i="14"/>
  <c r="M5920" i="13"/>
  <c r="K5754" i="14" l="1"/>
  <c r="L5754" i="14" s="1"/>
  <c r="I5755" i="14" s="1"/>
  <c r="K5732" i="13"/>
  <c r="L5732" i="13" s="1"/>
  <c r="I5733" i="13" s="1"/>
  <c r="J5918" i="13" a="1"/>
  <c r="J5918" i="13" s="1"/>
  <c r="N5919" i="13"/>
  <c r="M5921" i="13"/>
  <c r="M5922" i="14"/>
  <c r="N5918" i="14"/>
  <c r="J5917" i="14" a="1"/>
  <c r="J5917" i="14" s="1"/>
  <c r="K5733" i="13" l="1"/>
  <c r="L5733" i="13" s="1"/>
  <c r="I5734" i="13" s="1"/>
  <c r="K5755" i="14"/>
  <c r="L5755" i="14" s="1"/>
  <c r="I5756" i="14" s="1"/>
  <c r="J5918" i="14" a="1"/>
  <c r="J5918" i="14" s="1"/>
  <c r="N5919" i="14"/>
  <c r="M5922" i="13"/>
  <c r="J5919" i="13" a="1"/>
  <c r="J5919" i="13" s="1"/>
  <c r="N5920" i="13"/>
  <c r="M5923" i="14"/>
  <c r="K5756" i="14" l="1"/>
  <c r="L5756" i="14" s="1"/>
  <c r="I5757" i="14" s="1"/>
  <c r="K5734" i="13"/>
  <c r="L5734" i="13" s="1"/>
  <c r="I5735" i="13" s="1"/>
  <c r="M5924" i="14"/>
  <c r="M5923" i="13"/>
  <c r="N5920" i="14"/>
  <c r="J5919" i="14" a="1"/>
  <c r="J5919" i="14" s="1"/>
  <c r="J5920" i="13" a="1"/>
  <c r="J5920" i="13" s="1"/>
  <c r="N5921" i="13"/>
  <c r="K5735" i="13" l="1"/>
  <c r="L5735" i="13" s="1"/>
  <c r="I5736" i="13" s="1"/>
  <c r="K5757" i="14"/>
  <c r="L5757" i="14" s="1"/>
  <c r="I5758" i="14" s="1"/>
  <c r="N5922" i="13"/>
  <c r="J5921" i="13" a="1"/>
  <c r="J5921" i="13" s="1"/>
  <c r="M5924" i="13"/>
  <c r="M5925" i="14"/>
  <c r="N5921" i="14"/>
  <c r="J5920" i="14" a="1"/>
  <c r="J5920" i="14" s="1"/>
  <c r="K5758" i="14" l="1"/>
  <c r="L5758" i="14" s="1"/>
  <c r="I5759" i="14" s="1"/>
  <c r="K5736" i="13"/>
  <c r="L5736" i="13" s="1"/>
  <c r="I5737" i="13" s="1"/>
  <c r="M5925" i="13"/>
  <c r="N5922" i="14"/>
  <c r="J5921" i="14" a="1"/>
  <c r="J5921" i="14" s="1"/>
  <c r="M5926" i="14"/>
  <c r="J5922" i="13" a="1"/>
  <c r="J5922" i="13" s="1"/>
  <c r="N5923" i="13"/>
  <c r="K5737" i="13" l="1"/>
  <c r="L5737" i="13" s="1"/>
  <c r="I5738" i="13" s="1"/>
  <c r="K5759" i="14"/>
  <c r="L5759" i="14" s="1"/>
  <c r="I5760" i="14" s="1"/>
  <c r="J5922" i="14" a="1"/>
  <c r="J5922" i="14" s="1"/>
  <c r="N5923" i="14"/>
  <c r="J5923" i="13" a="1"/>
  <c r="J5923" i="13" s="1"/>
  <c r="N5924" i="13"/>
  <c r="M5927" i="14"/>
  <c r="M5926" i="13"/>
  <c r="K5760" i="14" l="1"/>
  <c r="L5760" i="14" s="1"/>
  <c r="I5761" i="14" s="1"/>
  <c r="K5738" i="13"/>
  <c r="L5738" i="13" s="1"/>
  <c r="I5739" i="13" s="1"/>
  <c r="J5924" i="13" a="1"/>
  <c r="J5924" i="13" s="1"/>
  <c r="N5925" i="13"/>
  <c r="N5924" i="14"/>
  <c r="J5923" i="14" a="1"/>
  <c r="J5923" i="14" s="1"/>
  <c r="M5927" i="13"/>
  <c r="M5928" i="14"/>
  <c r="K5739" i="13" l="1"/>
  <c r="L5739" i="13" s="1"/>
  <c r="I5740" i="13" s="1"/>
  <c r="K5761" i="14"/>
  <c r="L5761" i="14" s="1"/>
  <c r="I5762" i="14" s="1"/>
  <c r="N5925" i="14"/>
  <c r="J5924" i="14" a="1"/>
  <c r="J5924" i="14" s="1"/>
  <c r="N5926" i="13"/>
  <c r="J5925" i="13" a="1"/>
  <c r="J5925" i="13" s="1"/>
  <c r="M5929" i="14"/>
  <c r="M5928" i="13"/>
  <c r="K5762" i="14" l="1"/>
  <c r="L5762" i="14" s="1"/>
  <c r="I5763" i="14" s="1"/>
  <c r="K5740" i="13"/>
  <c r="L5740" i="13" s="1"/>
  <c r="I5741" i="13" s="1"/>
  <c r="J5926" i="13" a="1"/>
  <c r="J5926" i="13" s="1"/>
  <c r="N5927" i="13"/>
  <c r="M5929" i="13"/>
  <c r="M5930" i="14"/>
  <c r="N5926" i="14"/>
  <c r="J5925" i="14" a="1"/>
  <c r="J5925" i="14" s="1"/>
  <c r="K5741" i="13" l="1"/>
  <c r="L5741" i="13" s="1"/>
  <c r="I5742" i="13" s="1"/>
  <c r="K5763" i="14"/>
  <c r="L5763" i="14" s="1"/>
  <c r="I5764" i="14" s="1"/>
  <c r="J5926" i="14" a="1"/>
  <c r="J5926" i="14" s="1"/>
  <c r="N5927" i="14"/>
  <c r="M5930" i="13"/>
  <c r="J5927" i="13" a="1"/>
  <c r="J5927" i="13" s="1"/>
  <c r="N5928" i="13"/>
  <c r="M5931" i="14"/>
  <c r="K5764" i="14" l="1"/>
  <c r="L5764" i="14" s="1"/>
  <c r="I5765" i="14" s="1"/>
  <c r="K5742" i="13"/>
  <c r="L5742" i="13" s="1"/>
  <c r="I5743" i="13" s="1"/>
  <c r="J5928" i="13" a="1"/>
  <c r="J5928" i="13" s="1"/>
  <c r="N5929" i="13"/>
  <c r="M5932" i="14"/>
  <c r="M5931" i="13"/>
  <c r="N5928" i="14"/>
  <c r="J5927" i="14" a="1"/>
  <c r="J5927" i="14" s="1"/>
  <c r="K5743" i="13" l="1"/>
  <c r="L5743" i="13" s="1"/>
  <c r="I5744" i="13" s="1"/>
  <c r="K5765" i="14"/>
  <c r="L5765" i="14" s="1"/>
  <c r="I5766" i="14" s="1"/>
  <c r="J5928" i="14" a="1"/>
  <c r="J5928" i="14" s="1"/>
  <c r="N5929" i="14"/>
  <c r="N5930" i="13"/>
  <c r="J5929" i="13" a="1"/>
  <c r="J5929" i="13" s="1"/>
  <c r="M5933" i="14"/>
  <c r="M5932" i="13"/>
  <c r="K5766" i="14" l="1"/>
  <c r="L5766" i="14" s="1"/>
  <c r="I5767" i="14" s="1"/>
  <c r="K5744" i="13"/>
  <c r="L5744" i="13" s="1"/>
  <c r="I5745" i="13" s="1"/>
  <c r="J5930" i="13" a="1"/>
  <c r="J5930" i="13" s="1"/>
  <c r="N5931" i="13"/>
  <c r="N5930" i="14"/>
  <c r="J5929" i="14" a="1"/>
  <c r="J5929" i="14" s="1"/>
  <c r="M5933" i="13"/>
  <c r="M5934" i="14"/>
  <c r="K5745" i="13" l="1"/>
  <c r="L5745" i="13" s="1"/>
  <c r="I5746" i="13" s="1"/>
  <c r="K5767" i="14"/>
  <c r="L5767" i="14" s="1"/>
  <c r="I5768" i="14" s="1"/>
  <c r="J5930" i="14" a="1"/>
  <c r="J5930" i="14" s="1"/>
  <c r="N5931" i="14"/>
  <c r="M5935" i="14"/>
  <c r="J5931" i="13" a="1"/>
  <c r="J5931" i="13" s="1"/>
  <c r="N5932" i="13"/>
  <c r="M5934" i="13"/>
  <c r="K5768" i="14" l="1"/>
  <c r="L5768" i="14" s="1"/>
  <c r="I5769" i="14" s="1"/>
  <c r="K5746" i="13"/>
  <c r="L5746" i="13" s="1"/>
  <c r="I5747" i="13" s="1"/>
  <c r="J5932" i="13" a="1"/>
  <c r="J5932" i="13" s="1"/>
  <c r="N5933" i="13"/>
  <c r="M5935" i="13"/>
  <c r="M5936" i="14"/>
  <c r="J5931" i="14" a="1"/>
  <c r="J5931" i="14" s="1"/>
  <c r="N5932" i="14"/>
  <c r="K5747" i="13" l="1"/>
  <c r="L5747" i="13" s="1"/>
  <c r="I5748" i="13" s="1"/>
  <c r="K5769" i="14"/>
  <c r="L5769" i="14" s="1"/>
  <c r="I5770" i="14" s="1"/>
  <c r="N5933" i="14"/>
  <c r="J5932" i="14" a="1"/>
  <c r="J5932" i="14" s="1"/>
  <c r="M5936" i="13"/>
  <c r="N5934" i="13"/>
  <c r="J5933" i="13" a="1"/>
  <c r="J5933" i="13" s="1"/>
  <c r="M5937" i="14"/>
  <c r="K5770" i="14" l="1"/>
  <c r="L5770" i="14" s="1"/>
  <c r="I5771" i="14" s="1"/>
  <c r="K5748" i="13"/>
  <c r="L5748" i="13" s="1"/>
  <c r="I5749" i="13" s="1"/>
  <c r="M5937" i="13"/>
  <c r="J5934" i="13" a="1"/>
  <c r="J5934" i="13" s="1"/>
  <c r="N5935" i="13"/>
  <c r="M5938" i="14"/>
  <c r="J5933" i="14" a="1"/>
  <c r="J5933" i="14" s="1"/>
  <c r="N5934" i="14"/>
  <c r="K5749" i="13" l="1"/>
  <c r="L5749" i="13" s="1"/>
  <c r="I5750" i="13" s="1"/>
  <c r="K5771" i="14"/>
  <c r="L5771" i="14" s="1"/>
  <c r="I5772" i="14" s="1"/>
  <c r="J5935" i="13" a="1"/>
  <c r="J5935" i="13" s="1"/>
  <c r="N5936" i="13"/>
  <c r="J5934" i="14" a="1"/>
  <c r="J5934" i="14" s="1"/>
  <c r="N5935" i="14"/>
  <c r="M5939" i="14"/>
  <c r="M5938" i="13"/>
  <c r="K5772" i="14" l="1"/>
  <c r="L5772" i="14" s="1"/>
  <c r="I5773" i="14" s="1"/>
  <c r="K5750" i="13"/>
  <c r="L5750" i="13" s="1"/>
  <c r="I5751" i="13" s="1"/>
  <c r="N5936" i="14"/>
  <c r="J5935" i="14" a="1"/>
  <c r="J5935" i="14" s="1"/>
  <c r="J5936" i="13" a="1"/>
  <c r="J5936" i="13" s="1"/>
  <c r="N5937" i="13"/>
  <c r="M5939" i="13"/>
  <c r="M5940" i="14"/>
  <c r="K5751" i="13" l="1"/>
  <c r="L5751" i="13" s="1"/>
  <c r="I5752" i="13" s="1"/>
  <c r="K5773" i="14"/>
  <c r="L5773" i="14" s="1"/>
  <c r="I5774" i="14" s="1"/>
  <c r="N5938" i="13"/>
  <c r="J5937" i="13" a="1"/>
  <c r="J5937" i="13" s="1"/>
  <c r="M5941" i="14"/>
  <c r="M5940" i="13"/>
  <c r="J5936" i="14" a="1"/>
  <c r="J5936" i="14" s="1"/>
  <c r="N5937" i="14"/>
  <c r="K5774" i="14" l="1"/>
  <c r="L5774" i="14" s="1"/>
  <c r="I5775" i="14" s="1"/>
  <c r="K5752" i="13"/>
  <c r="L5752" i="13" s="1"/>
  <c r="I5753" i="13" s="1"/>
  <c r="J5937" i="14" a="1"/>
  <c r="J5937" i="14" s="1"/>
  <c r="N5938" i="14"/>
  <c r="M5942" i="14"/>
  <c r="M5941" i="13"/>
  <c r="J5938" i="13" a="1"/>
  <c r="J5938" i="13" s="1"/>
  <c r="N5939" i="13"/>
  <c r="K5753" i="13" l="1"/>
  <c r="L5753" i="13" s="1"/>
  <c r="I5754" i="13" s="1"/>
  <c r="K5775" i="14"/>
  <c r="L5775" i="14" s="1"/>
  <c r="I5776" i="14" s="1"/>
  <c r="J5939" i="13" a="1"/>
  <c r="J5939" i="13" s="1"/>
  <c r="N5940" i="13"/>
  <c r="M5943" i="14"/>
  <c r="J5938" i="14" a="1"/>
  <c r="J5938" i="14" s="1"/>
  <c r="N5939" i="14"/>
  <c r="M5942" i="13"/>
  <c r="K5776" i="14" l="1"/>
  <c r="L5776" i="14" s="1"/>
  <c r="I5777" i="14" s="1"/>
  <c r="K5754" i="13"/>
  <c r="L5754" i="13" s="1"/>
  <c r="I5755" i="13" s="1"/>
  <c r="N5940" i="14"/>
  <c r="J5939" i="14" a="1"/>
  <c r="J5939" i="14" s="1"/>
  <c r="M5943" i="13"/>
  <c r="M5944" i="14"/>
  <c r="J5940" i="13" a="1"/>
  <c r="J5940" i="13" s="1"/>
  <c r="N5941" i="13"/>
  <c r="K5755" i="13" l="1"/>
  <c r="L5755" i="13" s="1"/>
  <c r="I5756" i="13" s="1"/>
  <c r="K5777" i="14"/>
  <c r="L5777" i="14" s="1"/>
  <c r="I5778" i="14" s="1"/>
  <c r="N5942" i="13"/>
  <c r="J5941" i="13" a="1"/>
  <c r="J5941" i="13" s="1"/>
  <c r="M5944" i="13"/>
  <c r="M5945" i="14"/>
  <c r="J5940" i="14" a="1"/>
  <c r="J5940" i="14" s="1"/>
  <c r="N5941" i="14"/>
  <c r="K5778" i="14" l="1"/>
  <c r="L5778" i="14" s="1"/>
  <c r="I5779" i="14" s="1"/>
  <c r="K5756" i="13"/>
  <c r="L5756" i="13" s="1"/>
  <c r="I5757" i="13" s="1"/>
  <c r="J5941" i="14" a="1"/>
  <c r="J5941" i="14" s="1"/>
  <c r="N5942" i="14"/>
  <c r="M5945" i="13"/>
  <c r="M5946" i="14"/>
  <c r="J5942" i="13" a="1"/>
  <c r="J5942" i="13" s="1"/>
  <c r="N5943" i="13"/>
  <c r="K5757" i="13" l="1"/>
  <c r="L5757" i="13" s="1"/>
  <c r="I5758" i="13" s="1"/>
  <c r="K5779" i="14"/>
  <c r="L5779" i="14" s="1"/>
  <c r="I5780" i="14" s="1"/>
  <c r="J5943" i="13" a="1"/>
  <c r="J5943" i="13" s="1"/>
  <c r="N5944" i="13"/>
  <c r="M5946" i="13"/>
  <c r="N5943" i="14"/>
  <c r="J5942" i="14" a="1"/>
  <c r="J5942" i="14" s="1"/>
  <c r="M5947" i="14"/>
  <c r="K5780" i="14" l="1"/>
  <c r="L5780" i="14" s="1"/>
  <c r="I5781" i="14" s="1"/>
  <c r="K5758" i="13"/>
  <c r="L5758" i="13" s="1"/>
  <c r="I5759" i="13" s="1"/>
  <c r="M5948" i="14"/>
  <c r="M5947" i="13"/>
  <c r="J5944" i="13" a="1"/>
  <c r="J5944" i="13" s="1"/>
  <c r="N5945" i="13"/>
  <c r="N5944" i="14"/>
  <c r="J5943" i="14" a="1"/>
  <c r="J5943" i="14" s="1"/>
  <c r="K5759" i="13" l="1"/>
  <c r="L5759" i="13" s="1"/>
  <c r="I5760" i="13" s="1"/>
  <c r="K5781" i="14"/>
  <c r="L5781" i="14" s="1"/>
  <c r="I5782" i="14" s="1"/>
  <c r="J5944" i="14" a="1"/>
  <c r="J5944" i="14" s="1"/>
  <c r="N5945" i="14"/>
  <c r="M5948" i="13"/>
  <c r="N5946" i="13"/>
  <c r="J5945" i="13" a="1"/>
  <c r="J5945" i="13" s="1"/>
  <c r="M5949" i="14"/>
  <c r="K5782" i="14" l="1"/>
  <c r="L5782" i="14" s="1"/>
  <c r="I5783" i="14" s="1"/>
  <c r="K5760" i="13"/>
  <c r="L5760" i="13" s="1"/>
  <c r="I5761" i="13" s="1"/>
  <c r="M5950" i="14"/>
  <c r="M5949" i="13"/>
  <c r="N5946" i="14"/>
  <c r="J5945" i="14" a="1"/>
  <c r="J5945" i="14" s="1"/>
  <c r="J5946" i="13" a="1"/>
  <c r="J5946" i="13" s="1"/>
  <c r="N5947" i="13"/>
  <c r="K5761" i="13" l="1"/>
  <c r="L5761" i="13" s="1"/>
  <c r="I5762" i="13" s="1"/>
  <c r="K5783" i="14"/>
  <c r="L5783" i="14" s="1"/>
  <c r="I5784" i="14" s="1"/>
  <c r="J5947" i="13" a="1"/>
  <c r="J5947" i="13" s="1"/>
  <c r="N5948" i="13"/>
  <c r="M5950" i="13"/>
  <c r="M5951" i="14"/>
  <c r="N5947" i="14"/>
  <c r="J5946" i="14" a="1"/>
  <c r="J5946" i="14" s="1"/>
  <c r="K5784" i="14" l="1"/>
  <c r="L5784" i="14" s="1"/>
  <c r="I5785" i="14" s="1"/>
  <c r="K5762" i="13"/>
  <c r="L5762" i="13" s="1"/>
  <c r="I5763" i="13" s="1"/>
  <c r="N5948" i="14"/>
  <c r="J5947" i="14" a="1"/>
  <c r="J5947" i="14" s="1"/>
  <c r="M5951" i="13"/>
  <c r="J5948" i="13" a="1"/>
  <c r="J5948" i="13" s="1"/>
  <c r="N5949" i="13"/>
  <c r="M5952" i="14"/>
  <c r="K5763" i="13" l="1"/>
  <c r="L5763" i="13" s="1"/>
  <c r="I5764" i="13" s="1"/>
  <c r="K5785" i="14"/>
  <c r="L5785" i="14" s="1"/>
  <c r="I5786" i="14" s="1"/>
  <c r="M5953" i="14"/>
  <c r="N5950" i="13"/>
  <c r="J5949" i="13" a="1"/>
  <c r="J5949" i="13" s="1"/>
  <c r="M5952" i="13"/>
  <c r="J5948" i="14" a="1"/>
  <c r="J5948" i="14" s="1"/>
  <c r="N5949" i="14"/>
  <c r="K5786" i="14" l="1"/>
  <c r="L5786" i="14" s="1"/>
  <c r="I5787" i="14" s="1"/>
  <c r="K5764" i="13"/>
  <c r="L5764" i="13" s="1"/>
  <c r="I5765" i="13" s="1"/>
  <c r="J5950" i="13" a="1"/>
  <c r="J5950" i="13" s="1"/>
  <c r="N5951" i="13"/>
  <c r="N5950" i="14"/>
  <c r="J5949" i="14" a="1"/>
  <c r="J5949" i="14" s="1"/>
  <c r="M5953" i="13"/>
  <c r="M5954" i="14"/>
  <c r="K5765" i="13" l="1"/>
  <c r="L5765" i="13" s="1"/>
  <c r="I5766" i="13" s="1"/>
  <c r="K5787" i="14"/>
  <c r="L5787" i="14" s="1"/>
  <c r="I5788" i="14" s="1"/>
  <c r="N5951" i="14"/>
  <c r="J5950" i="14" a="1"/>
  <c r="J5950" i="14" s="1"/>
  <c r="J5951" i="13" a="1"/>
  <c r="J5951" i="13" s="1"/>
  <c r="N5952" i="13"/>
  <c r="M5955" i="14"/>
  <c r="M5954" i="13"/>
  <c r="K5788" i="14" l="1"/>
  <c r="L5788" i="14" s="1"/>
  <c r="I5789" i="14" s="1"/>
  <c r="K5766" i="13"/>
  <c r="L5766" i="13" s="1"/>
  <c r="I5767" i="13" s="1"/>
  <c r="J5952" i="13" a="1"/>
  <c r="J5952" i="13" s="1"/>
  <c r="N5953" i="13"/>
  <c r="M5955" i="13"/>
  <c r="M5956" i="14"/>
  <c r="N5952" i="14"/>
  <c r="J5951" i="14" a="1"/>
  <c r="J5951" i="14" s="1"/>
  <c r="K5767" i="13" l="1"/>
  <c r="L5767" i="13" s="1"/>
  <c r="I5768" i="13" s="1"/>
  <c r="K5789" i="14"/>
  <c r="L5789" i="14" s="1"/>
  <c r="I5790" i="14" s="1"/>
  <c r="J5952" i="14" a="1"/>
  <c r="J5952" i="14" s="1"/>
  <c r="N5953" i="14"/>
  <c r="M5956" i="13"/>
  <c r="N5954" i="13"/>
  <c r="J5953" i="13" a="1"/>
  <c r="J5953" i="13" s="1"/>
  <c r="M5957" i="14"/>
  <c r="K5790" i="14" l="1"/>
  <c r="L5790" i="14" s="1"/>
  <c r="I5791" i="14" s="1"/>
  <c r="K5768" i="13"/>
  <c r="L5768" i="13" s="1"/>
  <c r="I5769" i="13" s="1"/>
  <c r="M5958" i="14"/>
  <c r="M5957" i="13"/>
  <c r="J5954" i="13" a="1"/>
  <c r="J5954" i="13" s="1"/>
  <c r="N5955" i="13"/>
  <c r="N5954" i="14"/>
  <c r="J5953" i="14" a="1"/>
  <c r="J5953" i="14" s="1"/>
  <c r="K5769" i="13" l="1"/>
  <c r="L5769" i="13" s="1"/>
  <c r="I5770" i="13" s="1"/>
  <c r="K5791" i="14"/>
  <c r="L5791" i="14" s="1"/>
  <c r="I5792" i="14" s="1"/>
  <c r="N5955" i="14"/>
  <c r="J5954" i="14" a="1"/>
  <c r="J5954" i="14" s="1"/>
  <c r="M5958" i="13"/>
  <c r="J5955" i="13" a="1"/>
  <c r="J5955" i="13" s="1"/>
  <c r="N5956" i="13"/>
  <c r="M5959" i="14"/>
  <c r="K5792" i="14" l="1"/>
  <c r="L5792" i="14" s="1"/>
  <c r="I5793" i="14" s="1"/>
  <c r="K5770" i="13"/>
  <c r="L5770" i="13" s="1"/>
  <c r="I5771" i="13" s="1"/>
  <c r="J5956" i="13" a="1"/>
  <c r="J5956" i="13" s="1"/>
  <c r="N5957" i="13"/>
  <c r="M5960" i="14"/>
  <c r="M5959" i="13"/>
  <c r="J5955" i="14" a="1"/>
  <c r="J5955" i="14" s="1"/>
  <c r="N5956" i="14"/>
  <c r="K5771" i="13" l="1"/>
  <c r="L5771" i="13" s="1"/>
  <c r="I5772" i="13" s="1"/>
  <c r="K5793" i="14"/>
  <c r="L5793" i="14" s="1"/>
  <c r="I5794" i="14" s="1"/>
  <c r="J5956" i="14" a="1"/>
  <c r="J5956" i="14" s="1"/>
  <c r="N5957" i="14"/>
  <c r="M5961" i="14"/>
  <c r="N5958" i="13"/>
  <c r="J5957" i="13" a="1"/>
  <c r="J5957" i="13" s="1"/>
  <c r="M5960" i="13"/>
  <c r="K5794" i="14" l="1"/>
  <c r="L5794" i="14" s="1"/>
  <c r="I5795" i="14" s="1"/>
  <c r="K5772" i="13"/>
  <c r="L5772" i="13" s="1"/>
  <c r="I5773" i="13" s="1"/>
  <c r="M5961" i="13"/>
  <c r="M5962" i="14"/>
  <c r="N5958" i="14"/>
  <c r="J5957" i="14" a="1"/>
  <c r="J5957" i="14" s="1"/>
  <c r="J5958" i="13" a="1"/>
  <c r="J5958" i="13" s="1"/>
  <c r="N5959" i="13"/>
  <c r="K5773" i="13" l="1"/>
  <c r="L5773" i="13" s="1"/>
  <c r="I5774" i="13" s="1"/>
  <c r="K5795" i="14"/>
  <c r="L5795" i="14" s="1"/>
  <c r="I5796" i="14" s="1"/>
  <c r="J5959" i="13" a="1"/>
  <c r="J5959" i="13" s="1"/>
  <c r="N5960" i="13"/>
  <c r="M5963" i="14"/>
  <c r="N5959" i="14"/>
  <c r="J5958" i="14" a="1"/>
  <c r="J5958" i="14" s="1"/>
  <c r="M5962" i="13"/>
  <c r="K5796" i="14" l="1"/>
  <c r="L5796" i="14" s="1"/>
  <c r="I5797" i="14" s="1"/>
  <c r="K5774" i="13"/>
  <c r="L5774" i="13" s="1"/>
  <c r="I5775" i="13" s="1"/>
  <c r="J5959" i="14" a="1"/>
  <c r="J5959" i="14" s="1"/>
  <c r="N5960" i="14"/>
  <c r="M5963" i="13"/>
  <c r="M5964" i="14"/>
  <c r="J5960" i="13" a="1"/>
  <c r="J5960" i="13" s="1"/>
  <c r="N5961" i="13"/>
  <c r="K5775" i="13" l="1"/>
  <c r="L5775" i="13" s="1"/>
  <c r="I5776" i="13" s="1"/>
  <c r="K5797" i="14"/>
  <c r="L5797" i="14" s="1"/>
  <c r="I5798" i="14" s="1"/>
  <c r="N5962" i="13"/>
  <c r="J5961" i="13" a="1"/>
  <c r="J5961" i="13" s="1"/>
  <c r="M5964" i="13"/>
  <c r="J5960" i="14" a="1"/>
  <c r="J5960" i="14" s="1"/>
  <c r="N5961" i="14"/>
  <c r="M5965" i="14"/>
  <c r="K5798" i="14" l="1"/>
  <c r="L5798" i="14" s="1"/>
  <c r="I5799" i="14" s="1"/>
  <c r="K5776" i="13"/>
  <c r="L5776" i="13" s="1"/>
  <c r="I5777" i="13" s="1"/>
  <c r="N5962" i="14"/>
  <c r="J5961" i="14" a="1"/>
  <c r="J5961" i="14" s="1"/>
  <c r="M5966" i="14"/>
  <c r="M5965" i="13"/>
  <c r="J5962" i="13" a="1"/>
  <c r="J5962" i="13" s="1"/>
  <c r="N5963" i="13"/>
  <c r="K5777" i="13" l="1"/>
  <c r="L5777" i="13" s="1"/>
  <c r="I5778" i="13" s="1"/>
  <c r="K5799" i="14"/>
  <c r="L5799" i="14" s="1"/>
  <c r="I5800" i="14" s="1"/>
  <c r="M5967" i="14"/>
  <c r="J5963" i="13" a="1"/>
  <c r="J5963" i="13" s="1"/>
  <c r="N5964" i="13"/>
  <c r="M5966" i="13"/>
  <c r="N5963" i="14"/>
  <c r="J5962" i="14" a="1"/>
  <c r="J5962" i="14" s="1"/>
  <c r="K5800" i="14" l="1"/>
  <c r="L5800" i="14" s="1"/>
  <c r="I5801" i="14" s="1"/>
  <c r="K5778" i="13"/>
  <c r="L5778" i="13" s="1"/>
  <c r="I5779" i="13" s="1"/>
  <c r="J5964" i="13" a="1"/>
  <c r="J5964" i="13" s="1"/>
  <c r="N5965" i="13"/>
  <c r="J5963" i="14" a="1"/>
  <c r="J5963" i="14" s="1"/>
  <c r="N5964" i="14"/>
  <c r="M5967" i="13"/>
  <c r="M5968" i="14"/>
  <c r="K5779" i="13" l="1"/>
  <c r="L5779" i="13" s="1"/>
  <c r="I5780" i="13" s="1"/>
  <c r="K5801" i="14"/>
  <c r="L5801" i="14" s="1"/>
  <c r="I5802" i="14" s="1"/>
  <c r="J5964" i="14" a="1"/>
  <c r="J5964" i="14" s="1"/>
  <c r="N5965" i="14"/>
  <c r="M5969" i="14"/>
  <c r="N5966" i="13"/>
  <c r="J5965" i="13" a="1"/>
  <c r="J5965" i="13" s="1"/>
  <c r="M5968" i="13"/>
  <c r="K5802" i="14" l="1"/>
  <c r="L5802" i="14" s="1"/>
  <c r="I5803" i="14" s="1"/>
  <c r="K5780" i="13"/>
  <c r="L5780" i="13" s="1"/>
  <c r="I5781" i="13" s="1"/>
  <c r="M5969" i="13"/>
  <c r="M5970" i="14"/>
  <c r="J5966" i="13" a="1"/>
  <c r="J5966" i="13" s="1"/>
  <c r="N5967" i="13"/>
  <c r="N5966" i="14"/>
  <c r="J5965" i="14" a="1"/>
  <c r="J5965" i="14" s="1"/>
  <c r="K5781" i="13" l="1"/>
  <c r="L5781" i="13" s="1"/>
  <c r="I5782" i="13" s="1"/>
  <c r="K5803" i="14"/>
  <c r="L5803" i="14" s="1"/>
  <c r="I5804" i="14" s="1"/>
  <c r="N5967" i="14"/>
  <c r="J5966" i="14" a="1"/>
  <c r="J5966" i="14" s="1"/>
  <c r="M5971" i="14"/>
  <c r="J5967" i="13" a="1"/>
  <c r="J5967" i="13" s="1"/>
  <c r="N5968" i="13"/>
  <c r="M5970" i="13"/>
  <c r="K5804" i="14" l="1"/>
  <c r="L5804" i="14" s="1"/>
  <c r="I5805" i="14" s="1"/>
  <c r="K5782" i="13"/>
  <c r="L5782" i="13" s="1"/>
  <c r="I5783" i="13" s="1"/>
  <c r="J5968" i="13" a="1"/>
  <c r="J5968" i="13" s="1"/>
  <c r="N5969" i="13"/>
  <c r="M5971" i="13"/>
  <c r="M5972" i="14"/>
  <c r="J5967" i="14" a="1"/>
  <c r="J5967" i="14" s="1"/>
  <c r="N5968" i="14"/>
  <c r="K5783" i="13" l="1"/>
  <c r="L5783" i="13" s="1"/>
  <c r="I5784" i="13" s="1"/>
  <c r="K5805" i="14"/>
  <c r="L5805" i="14" s="1"/>
  <c r="I5806" i="14" s="1"/>
  <c r="J5968" i="14" a="1"/>
  <c r="J5968" i="14" s="1"/>
  <c r="N5969" i="14"/>
  <c r="M5972" i="13"/>
  <c r="N5970" i="13"/>
  <c r="J5969" i="13" a="1"/>
  <c r="J5969" i="13" s="1"/>
  <c r="M5973" i="14"/>
  <c r="K5806" i="14" l="1"/>
  <c r="L5806" i="14" s="1"/>
  <c r="I5807" i="14" s="1"/>
  <c r="K5784" i="13"/>
  <c r="L5784" i="13" s="1"/>
  <c r="I5785" i="13" s="1"/>
  <c r="J5970" i="13" a="1"/>
  <c r="J5970" i="13" s="1"/>
  <c r="N5971" i="13"/>
  <c r="M5974" i="14"/>
  <c r="M5973" i="13"/>
  <c r="N5970" i="14"/>
  <c r="J5969" i="14" a="1"/>
  <c r="J5969" i="14" s="1"/>
  <c r="K5785" i="13" l="1"/>
  <c r="L5785" i="13" s="1"/>
  <c r="I5786" i="13" s="1"/>
  <c r="K5807" i="14"/>
  <c r="L5807" i="14" s="1"/>
  <c r="I5808" i="14" s="1"/>
  <c r="M5975" i="14"/>
  <c r="J5971" i="13" a="1"/>
  <c r="J5971" i="13" s="1"/>
  <c r="N5972" i="13"/>
  <c r="N5971" i="14"/>
  <c r="J5970" i="14" a="1"/>
  <c r="J5970" i="14" s="1"/>
  <c r="M5974" i="13"/>
  <c r="K5808" i="14" l="1"/>
  <c r="L5808" i="14" s="1"/>
  <c r="I5809" i="14" s="1"/>
  <c r="K5786" i="13"/>
  <c r="L5786" i="13" s="1"/>
  <c r="I5787" i="13" s="1"/>
  <c r="J5972" i="13" a="1"/>
  <c r="J5972" i="13" s="1"/>
  <c r="N5973" i="13"/>
  <c r="M5975" i="13"/>
  <c r="J5971" i="14" a="1"/>
  <c r="J5971" i="14" s="1"/>
  <c r="N5972" i="14"/>
  <c r="M5976" i="14"/>
  <c r="K5787" i="13" l="1"/>
  <c r="L5787" i="13" s="1"/>
  <c r="I5788" i="13" s="1"/>
  <c r="K5809" i="14"/>
  <c r="L5809" i="14" s="1"/>
  <c r="I5810" i="14" s="1"/>
  <c r="M5977" i="14"/>
  <c r="M5976" i="13"/>
  <c r="N5974" i="13"/>
  <c r="J5973" i="13" a="1"/>
  <c r="J5973" i="13" s="1"/>
  <c r="J5972" i="14" a="1"/>
  <c r="J5972" i="14" s="1"/>
  <c r="N5973" i="14"/>
  <c r="K5810" i="14" l="1"/>
  <c r="L5810" i="14" s="1"/>
  <c r="I5811" i="14" s="1"/>
  <c r="K5788" i="13"/>
  <c r="L5788" i="13" s="1"/>
  <c r="I5789" i="13" s="1"/>
  <c r="M5977" i="13"/>
  <c r="M5978" i="14"/>
  <c r="N5974" i="14"/>
  <c r="J5973" i="14" a="1"/>
  <c r="J5973" i="14" s="1"/>
  <c r="J5974" i="13" a="1"/>
  <c r="J5974" i="13" s="1"/>
  <c r="N5975" i="13"/>
  <c r="K5789" i="13" l="1"/>
  <c r="L5789" i="13" s="1"/>
  <c r="I5790" i="13" s="1"/>
  <c r="K5811" i="14"/>
  <c r="L5811" i="14" s="1"/>
  <c r="I5812" i="14" s="1"/>
  <c r="M5979" i="14"/>
  <c r="J5975" i="13" a="1"/>
  <c r="J5975" i="13" s="1"/>
  <c r="N5976" i="13"/>
  <c r="N5975" i="14"/>
  <c r="J5974" i="14" a="1"/>
  <c r="J5974" i="14" s="1"/>
  <c r="M5978" i="13"/>
  <c r="K5812" i="14" l="1"/>
  <c r="L5812" i="14" s="1"/>
  <c r="I5813" i="14" s="1"/>
  <c r="K5790" i="13"/>
  <c r="L5790" i="13" s="1"/>
  <c r="I5791" i="13" s="1"/>
  <c r="J5976" i="13" a="1"/>
  <c r="J5976" i="13" s="1"/>
  <c r="N5977" i="13"/>
  <c r="M5979" i="13"/>
  <c r="J5975" i="14" a="1"/>
  <c r="J5975" i="14" s="1"/>
  <c r="N5976" i="14"/>
  <c r="M5980" i="14"/>
  <c r="K5791" i="13" l="1"/>
  <c r="L5791" i="13" s="1"/>
  <c r="I5792" i="13" s="1"/>
  <c r="K5813" i="14"/>
  <c r="L5813" i="14" s="1"/>
  <c r="I5814" i="14" s="1"/>
  <c r="M5981" i="14"/>
  <c r="M5980" i="13"/>
  <c r="N5978" i="13"/>
  <c r="J5977" i="13" a="1"/>
  <c r="J5977" i="13" s="1"/>
  <c r="J5976" i="14" a="1"/>
  <c r="J5976" i="14" s="1"/>
  <c r="N5977" i="14"/>
  <c r="K5814" i="14" l="1"/>
  <c r="L5814" i="14" s="1"/>
  <c r="I5815" i="14" s="1"/>
  <c r="K5792" i="13"/>
  <c r="L5792" i="13" s="1"/>
  <c r="I5793" i="13" s="1"/>
  <c r="N5978" i="14"/>
  <c r="J5977" i="14" a="1"/>
  <c r="J5977" i="14" s="1"/>
  <c r="M5981" i="13"/>
  <c r="M5982" i="14"/>
  <c r="J5978" i="13" a="1"/>
  <c r="J5978" i="13" s="1"/>
  <c r="N5979" i="13"/>
  <c r="K5793" i="13" l="1"/>
  <c r="L5793" i="13" s="1"/>
  <c r="I5794" i="13" s="1"/>
  <c r="K5815" i="14"/>
  <c r="L5815" i="14" s="1"/>
  <c r="I5816" i="14" s="1"/>
  <c r="J5979" i="13" a="1"/>
  <c r="J5979" i="13" s="1"/>
  <c r="N5980" i="13"/>
  <c r="M5982" i="13"/>
  <c r="M5983" i="14"/>
  <c r="N5979" i="14"/>
  <c r="J5978" i="14" a="1"/>
  <c r="J5978" i="14" s="1"/>
  <c r="K5816" i="14" l="1"/>
  <c r="L5816" i="14" s="1"/>
  <c r="I5817" i="14" s="1"/>
  <c r="K5794" i="13"/>
  <c r="L5794" i="13" s="1"/>
  <c r="I5795" i="13" s="1"/>
  <c r="J5979" i="14" a="1"/>
  <c r="J5979" i="14" s="1"/>
  <c r="N5980" i="14"/>
  <c r="M5983" i="13"/>
  <c r="J5980" i="13" a="1"/>
  <c r="J5980" i="13" s="1"/>
  <c r="N5981" i="13"/>
  <c r="M5984" i="14"/>
  <c r="K5795" i="13" l="1"/>
  <c r="L5795" i="13" s="1"/>
  <c r="I5796" i="13" s="1"/>
  <c r="K5817" i="14"/>
  <c r="L5817" i="14" s="1"/>
  <c r="I5818" i="14" s="1"/>
  <c r="M5985" i="14"/>
  <c r="M5984" i="13"/>
  <c r="J5980" i="14" a="1"/>
  <c r="J5980" i="14" s="1"/>
  <c r="N5981" i="14"/>
  <c r="N5982" i="13"/>
  <c r="J5981" i="13" a="1"/>
  <c r="J5981" i="13" s="1"/>
  <c r="K5818" i="14" l="1"/>
  <c r="L5818" i="14" s="1"/>
  <c r="I5819" i="14" s="1"/>
  <c r="K5796" i="13"/>
  <c r="L5796" i="13" s="1"/>
  <c r="I5797" i="13" s="1"/>
  <c r="M5985" i="13"/>
  <c r="N5982" i="14"/>
  <c r="J5981" i="14" a="1"/>
  <c r="J5981" i="14" s="1"/>
  <c r="M5986" i="14"/>
  <c r="J5982" i="13" a="1"/>
  <c r="J5982" i="13" s="1"/>
  <c r="N5983" i="13"/>
  <c r="K5797" i="13" l="1"/>
  <c r="L5797" i="13" s="1"/>
  <c r="I5798" i="13" s="1"/>
  <c r="K5819" i="14"/>
  <c r="L5819" i="14" s="1"/>
  <c r="I5820" i="14" s="1"/>
  <c r="N5983" i="14"/>
  <c r="J5982" i="14" a="1"/>
  <c r="J5982" i="14" s="1"/>
  <c r="J5983" i="13" a="1"/>
  <c r="J5983" i="13" s="1"/>
  <c r="N5984" i="13"/>
  <c r="M5987" i="14"/>
  <c r="M5986" i="13"/>
  <c r="K5820" i="14" l="1"/>
  <c r="L5820" i="14" s="1"/>
  <c r="I5821" i="14" s="1"/>
  <c r="K5798" i="13"/>
  <c r="L5798" i="13" s="1"/>
  <c r="I5799" i="13" s="1"/>
  <c r="J5984" i="13" a="1"/>
  <c r="J5984" i="13" s="1"/>
  <c r="N5985" i="13"/>
  <c r="M5987" i="13"/>
  <c r="M5988" i="14"/>
  <c r="J5983" i="14" a="1"/>
  <c r="J5983" i="14" s="1"/>
  <c r="N5984" i="14"/>
  <c r="K5799" i="13" l="1"/>
  <c r="L5799" i="13" s="1"/>
  <c r="I5800" i="13" s="1"/>
  <c r="K5821" i="14"/>
  <c r="L5821" i="14" s="1"/>
  <c r="I5822" i="14" s="1"/>
  <c r="J5984" i="14" a="1"/>
  <c r="J5984" i="14" s="1"/>
  <c r="N5985" i="14"/>
  <c r="M5988" i="13"/>
  <c r="N5986" i="13"/>
  <c r="J5985" i="13" a="1"/>
  <c r="J5985" i="13" s="1"/>
  <c r="M5989" i="14"/>
  <c r="K5822" i="14" l="1"/>
  <c r="L5822" i="14" s="1"/>
  <c r="I5823" i="14" s="1"/>
  <c r="K5800" i="13"/>
  <c r="L5800" i="13" s="1"/>
  <c r="I5801" i="13" s="1"/>
  <c r="J5986" i="13" a="1"/>
  <c r="J5986" i="13" s="1"/>
  <c r="N5987" i="13"/>
  <c r="M5990" i="14"/>
  <c r="M5989" i="13"/>
  <c r="J5985" i="14" a="1"/>
  <c r="J5985" i="14" s="1"/>
  <c r="N5986" i="14"/>
  <c r="K5801" i="13" l="1"/>
  <c r="L5801" i="13" s="1"/>
  <c r="I5802" i="13" s="1"/>
  <c r="K5823" i="14"/>
  <c r="L5823" i="14" s="1"/>
  <c r="I5824" i="14" s="1"/>
  <c r="M5991" i="14"/>
  <c r="J5987" i="13" a="1"/>
  <c r="J5987" i="13" s="1"/>
  <c r="N5988" i="13"/>
  <c r="N5987" i="14"/>
  <c r="J5986" i="14" a="1"/>
  <c r="J5986" i="14" s="1"/>
  <c r="M5990" i="13"/>
  <c r="K5824" i="14" l="1"/>
  <c r="L5824" i="14" s="1"/>
  <c r="I5825" i="14" s="1"/>
  <c r="K5802" i="13"/>
  <c r="L5802" i="13" s="1"/>
  <c r="I5803" i="13" s="1"/>
  <c r="J5988" i="13" a="1"/>
  <c r="J5988" i="13" s="1"/>
  <c r="N5989" i="13"/>
  <c r="M5991" i="13"/>
  <c r="J5987" i="14" a="1"/>
  <c r="J5987" i="14" s="1"/>
  <c r="N5988" i="14"/>
  <c r="M5992" i="14"/>
  <c r="K5803" i="13" l="1"/>
  <c r="L5803" i="13" s="1"/>
  <c r="I5804" i="13" s="1"/>
  <c r="K5825" i="14"/>
  <c r="L5825" i="14" s="1"/>
  <c r="I5826" i="14" s="1"/>
  <c r="J5988" i="14" a="1"/>
  <c r="J5988" i="14" s="1"/>
  <c r="N5989" i="14"/>
  <c r="M5993" i="14"/>
  <c r="M5992" i="13"/>
  <c r="N5990" i="13"/>
  <c r="J5989" i="13" a="1"/>
  <c r="J5989" i="13" s="1"/>
  <c r="K5826" i="14" l="1"/>
  <c r="L5826" i="14" s="1"/>
  <c r="I5827" i="14" s="1"/>
  <c r="K5804" i="13"/>
  <c r="L5804" i="13" s="1"/>
  <c r="I5805" i="13" s="1"/>
  <c r="M5994" i="14"/>
  <c r="J5990" i="13" a="1"/>
  <c r="J5990" i="13" s="1"/>
  <c r="N5991" i="13"/>
  <c r="N5990" i="14"/>
  <c r="J5989" i="14" a="1"/>
  <c r="J5989" i="14" s="1"/>
  <c r="M5993" i="13"/>
  <c r="K5805" i="13" l="1"/>
  <c r="L5805" i="13" s="1"/>
  <c r="I5806" i="13" s="1"/>
  <c r="K5827" i="14"/>
  <c r="L5827" i="14" s="1"/>
  <c r="I5828" i="14" s="1"/>
  <c r="J5991" i="13" a="1"/>
  <c r="J5991" i="13" s="1"/>
  <c r="N5992" i="13"/>
  <c r="M5994" i="13"/>
  <c r="N5991" i="14"/>
  <c r="J5990" i="14" a="1"/>
  <c r="J5990" i="14" s="1"/>
  <c r="M5995" i="14"/>
  <c r="K5828" i="14" l="1"/>
  <c r="L5828" i="14" s="1"/>
  <c r="I5829" i="14" s="1"/>
  <c r="K5806" i="13"/>
  <c r="L5806" i="13" s="1"/>
  <c r="I5807" i="13" s="1"/>
  <c r="J5991" i="14" a="1"/>
  <c r="J5991" i="14" s="1"/>
  <c r="N5992" i="14"/>
  <c r="M5996" i="14"/>
  <c r="M5995" i="13"/>
  <c r="J5992" i="13" a="1"/>
  <c r="J5992" i="13" s="1"/>
  <c r="N5993" i="13"/>
  <c r="K5807" i="13" l="1"/>
  <c r="L5807" i="13" s="1"/>
  <c r="I5808" i="13" s="1"/>
  <c r="K5829" i="14"/>
  <c r="L5829" i="14" s="1"/>
  <c r="I5830" i="14" s="1"/>
  <c r="N5994" i="13"/>
  <c r="J5993" i="13" a="1"/>
  <c r="J5993" i="13" s="1"/>
  <c r="M5997" i="14"/>
  <c r="J5992" i="14" a="1"/>
  <c r="J5992" i="14" s="1"/>
  <c r="N5993" i="14"/>
  <c r="M5996" i="13"/>
  <c r="K5830" i="14" l="1"/>
  <c r="L5830" i="14" s="1"/>
  <c r="I5831" i="14" s="1"/>
  <c r="K5808" i="13"/>
  <c r="L5808" i="13" s="1"/>
  <c r="I5809" i="13" s="1"/>
  <c r="M5997" i="13"/>
  <c r="M5998" i="14"/>
  <c r="J5993" i="14" a="1"/>
  <c r="J5993" i="14" s="1"/>
  <c r="N5994" i="14"/>
  <c r="J5994" i="13" a="1"/>
  <c r="J5994" i="13" s="1"/>
  <c r="N5995" i="13"/>
  <c r="K5809" i="13" l="1"/>
  <c r="L5809" i="13" s="1"/>
  <c r="I5810" i="13" s="1"/>
  <c r="K5831" i="14"/>
  <c r="L5831" i="14" s="1"/>
  <c r="I5832" i="14" s="1"/>
  <c r="J5995" i="13" a="1"/>
  <c r="J5995" i="13" s="1"/>
  <c r="N5996" i="13"/>
  <c r="M5999" i="14"/>
  <c r="N5995" i="14"/>
  <c r="J5994" i="14" a="1"/>
  <c r="J5994" i="14" s="1"/>
  <c r="M5998" i="13"/>
  <c r="K5832" i="14" l="1"/>
  <c r="L5832" i="14" s="1"/>
  <c r="I5833" i="14" s="1"/>
  <c r="K5810" i="13"/>
  <c r="L5810" i="13" s="1"/>
  <c r="I5811" i="13" s="1"/>
  <c r="J5995" i="14" a="1"/>
  <c r="J5995" i="14" s="1"/>
  <c r="N5996" i="14"/>
  <c r="M5999" i="13"/>
  <c r="M6000" i="14"/>
  <c r="J5996" i="13" a="1"/>
  <c r="J5996" i="13" s="1"/>
  <c r="N5997" i="13"/>
  <c r="K5811" i="13" l="1"/>
  <c r="L5811" i="13" s="1"/>
  <c r="I5812" i="13" s="1"/>
  <c r="K5833" i="14"/>
  <c r="L5833" i="14" s="1"/>
  <c r="I5834" i="14" s="1"/>
  <c r="M6000" i="13"/>
  <c r="N5998" i="13"/>
  <c r="J5997" i="13" a="1"/>
  <c r="J5997" i="13" s="1"/>
  <c r="M6001" i="14"/>
  <c r="J5996" i="14" a="1"/>
  <c r="J5996" i="14" s="1"/>
  <c r="N5997" i="14"/>
  <c r="K5834" i="14" l="1"/>
  <c r="L5834" i="14" s="1"/>
  <c r="I5835" i="14" s="1"/>
  <c r="K5812" i="13"/>
  <c r="L5812" i="13" s="1"/>
  <c r="I5813" i="13" s="1"/>
  <c r="J5998" i="13" a="1"/>
  <c r="J5998" i="13" s="1"/>
  <c r="N5999" i="13"/>
  <c r="M6001" i="13"/>
  <c r="N5998" i="14"/>
  <c r="J5997" i="14" a="1"/>
  <c r="J5997" i="14" s="1"/>
  <c r="M6002" i="14"/>
  <c r="K5813" i="13" l="1"/>
  <c r="L5813" i="13" s="1"/>
  <c r="I5814" i="13" s="1"/>
  <c r="K5835" i="14"/>
  <c r="L5835" i="14" s="1"/>
  <c r="I5836" i="14" s="1"/>
  <c r="J5999" i="13" a="1"/>
  <c r="J5999" i="13" s="1"/>
  <c r="N6000" i="13"/>
  <c r="M6003" i="14"/>
  <c r="M6002" i="13"/>
  <c r="N5999" i="14"/>
  <c r="J5998" i="14" a="1"/>
  <c r="J5998" i="14" s="1"/>
  <c r="K5836" i="14" l="1"/>
  <c r="L5836" i="14" s="1"/>
  <c r="I5837" i="14" s="1"/>
  <c r="K5814" i="13"/>
  <c r="L5814" i="13" s="1"/>
  <c r="I5815" i="13" s="1"/>
  <c r="J5999" i="14" a="1"/>
  <c r="J5999" i="14" s="1"/>
  <c r="N6000" i="14"/>
  <c r="M6004" i="14"/>
  <c r="J6000" i="13" a="1"/>
  <c r="J6000" i="13" s="1"/>
  <c r="N6001" i="13"/>
  <c r="M6003" i="13"/>
  <c r="K5815" i="13" l="1"/>
  <c r="L5815" i="13" s="1"/>
  <c r="I5816" i="13" s="1"/>
  <c r="K5837" i="14"/>
  <c r="L5837" i="14" s="1"/>
  <c r="I5838" i="14" s="1"/>
  <c r="M6005" i="14"/>
  <c r="N6002" i="13"/>
  <c r="J6001" i="13" a="1"/>
  <c r="J6001" i="13" s="1"/>
  <c r="M6004" i="13"/>
  <c r="J6000" i="14" a="1"/>
  <c r="J6000" i="14" s="1"/>
  <c r="N6001" i="14"/>
  <c r="K5838" i="14" l="1"/>
  <c r="L5838" i="14" s="1"/>
  <c r="I5839" i="14" s="1"/>
  <c r="K5816" i="13"/>
  <c r="L5816" i="13" s="1"/>
  <c r="I5817" i="13" s="1"/>
  <c r="J6002" i="13" a="1"/>
  <c r="J6002" i="13" s="1"/>
  <c r="N6003" i="13"/>
  <c r="N6002" i="14"/>
  <c r="J6001" i="14" a="1"/>
  <c r="J6001" i="14" s="1"/>
  <c r="M6005" i="13"/>
  <c r="M6006" i="14"/>
  <c r="K5817" i="13" l="1"/>
  <c r="L5817" i="13" s="1"/>
  <c r="I5818" i="13" s="1"/>
  <c r="K5839" i="14"/>
  <c r="L5839" i="14" s="1"/>
  <c r="I5840" i="14" s="1"/>
  <c r="N6003" i="14"/>
  <c r="J6002" i="14" a="1"/>
  <c r="J6002" i="14" s="1"/>
  <c r="J6003" i="13" a="1"/>
  <c r="J6003" i="13" s="1"/>
  <c r="N6004" i="13"/>
  <c r="M6007" i="14"/>
  <c r="M6006" i="13"/>
  <c r="K5840" i="14" l="1"/>
  <c r="L5840" i="14" s="1"/>
  <c r="I5841" i="14" s="1"/>
  <c r="K5818" i="13"/>
  <c r="L5818" i="13" s="1"/>
  <c r="I5819" i="13" s="1"/>
  <c r="J6004" i="13" a="1"/>
  <c r="J6004" i="13" s="1"/>
  <c r="N6005" i="13"/>
  <c r="M6007" i="13"/>
  <c r="M6008" i="14"/>
  <c r="J6003" i="14" a="1"/>
  <c r="J6003" i="14" s="1"/>
  <c r="N6004" i="14"/>
  <c r="K5819" i="13" l="1"/>
  <c r="L5819" i="13" s="1"/>
  <c r="I5820" i="13" s="1"/>
  <c r="K5841" i="14"/>
  <c r="L5841" i="14" s="1"/>
  <c r="I5842" i="14" s="1"/>
  <c r="J6004" i="14" a="1"/>
  <c r="J6004" i="14" s="1"/>
  <c r="N6005" i="14"/>
  <c r="M6008" i="13"/>
  <c r="N6006" i="13"/>
  <c r="J6005" i="13" a="1"/>
  <c r="J6005" i="13" s="1"/>
  <c r="M6009" i="14"/>
  <c r="K5842" i="14" l="1"/>
  <c r="L5842" i="14" s="1"/>
  <c r="I5843" i="14" s="1"/>
  <c r="K5820" i="13"/>
  <c r="L5820" i="13" s="1"/>
  <c r="I5821" i="13" s="1"/>
  <c r="M6009" i="13"/>
  <c r="M6010" i="14"/>
  <c r="N6006" i="14"/>
  <c r="J6005" i="14" a="1"/>
  <c r="J6005" i="14" s="1"/>
  <c r="J6006" i="13" a="1"/>
  <c r="J6006" i="13" s="1"/>
  <c r="N6007" i="13"/>
  <c r="K5821" i="13" l="1"/>
  <c r="L5821" i="13" s="1"/>
  <c r="I5822" i="13" s="1"/>
  <c r="K5843" i="14"/>
  <c r="L5843" i="14" s="1"/>
  <c r="I5844" i="14" s="1"/>
  <c r="J6007" i="13" a="1"/>
  <c r="J6007" i="13" s="1"/>
  <c r="N6008" i="13"/>
  <c r="M6011" i="14"/>
  <c r="N6007" i="14"/>
  <c r="J6006" i="14" a="1"/>
  <c r="J6006" i="14" s="1"/>
  <c r="M6010" i="13"/>
  <c r="K5844" i="14" l="1"/>
  <c r="L5844" i="14" s="1"/>
  <c r="I5845" i="14" s="1"/>
  <c r="K5822" i="13"/>
  <c r="L5822" i="13" s="1"/>
  <c r="I5823" i="13" s="1"/>
  <c r="M6012" i="14"/>
  <c r="N6008" i="14"/>
  <c r="J6007" i="14" a="1"/>
  <c r="J6007" i="14" s="1"/>
  <c r="M6011" i="13"/>
  <c r="J6008" i="13" a="1"/>
  <c r="J6008" i="13" s="1"/>
  <c r="N6009" i="13"/>
  <c r="K5823" i="13" l="1"/>
  <c r="L5823" i="13" s="1"/>
  <c r="I5824" i="13" s="1"/>
  <c r="K5845" i="14"/>
  <c r="L5845" i="14" s="1"/>
  <c r="I5846" i="14" s="1"/>
  <c r="N6010" i="13"/>
  <c r="J6009" i="13" a="1"/>
  <c r="J6009" i="13" s="1"/>
  <c r="N6009" i="14"/>
  <c r="J6008" i="14" a="1"/>
  <c r="J6008" i="14" s="1"/>
  <c r="M6013" i="14"/>
  <c r="M6012" i="13"/>
  <c r="K5846" i="14" l="1"/>
  <c r="L5846" i="14" s="1"/>
  <c r="I5847" i="14" s="1"/>
  <c r="K5824" i="13"/>
  <c r="L5824" i="13" s="1"/>
  <c r="I5825" i="13" s="1"/>
  <c r="M6013" i="13"/>
  <c r="N6010" i="14"/>
  <c r="J6009" i="14" a="1"/>
  <c r="J6009" i="14" s="1"/>
  <c r="M6014" i="14"/>
  <c r="J6010" i="13" a="1"/>
  <c r="J6010" i="13" s="1"/>
  <c r="N6011" i="13"/>
  <c r="K5825" i="13" l="1"/>
  <c r="L5825" i="13" s="1"/>
  <c r="I5826" i="13" s="1"/>
  <c r="K5847" i="14"/>
  <c r="L5847" i="14" s="1"/>
  <c r="I5848" i="14" s="1"/>
  <c r="J6010" i="14" a="1"/>
  <c r="J6010" i="14" s="1"/>
  <c r="N6011" i="14"/>
  <c r="M6015" i="14"/>
  <c r="J6011" i="13" a="1"/>
  <c r="J6011" i="13" s="1"/>
  <c r="N6012" i="13"/>
  <c r="M6014" i="13"/>
  <c r="K5848" i="14" l="1"/>
  <c r="L5848" i="14" s="1"/>
  <c r="I5849" i="14" s="1"/>
  <c r="K5826" i="13"/>
  <c r="L5826" i="13" s="1"/>
  <c r="I5827" i="13" s="1"/>
  <c r="M6016" i="14"/>
  <c r="M6015" i="13"/>
  <c r="N6012" i="14"/>
  <c r="J6011" i="14" a="1"/>
  <c r="J6011" i="14" s="1"/>
  <c r="J6012" i="13" a="1"/>
  <c r="J6012" i="13" s="1"/>
  <c r="N6013" i="13"/>
  <c r="K5827" i="13" l="1"/>
  <c r="L5827" i="13" s="1"/>
  <c r="I5828" i="13" s="1"/>
  <c r="K5849" i="14"/>
  <c r="L5849" i="14" s="1"/>
  <c r="I5850" i="14" s="1"/>
  <c r="N6014" i="13"/>
  <c r="J6013" i="13" a="1"/>
  <c r="J6013" i="13" s="1"/>
  <c r="M6016" i="13"/>
  <c r="M6017" i="14"/>
  <c r="J6012" i="14" a="1"/>
  <c r="J6012" i="14" s="1"/>
  <c r="N6013" i="14"/>
  <c r="K5850" i="14" l="1"/>
  <c r="L5850" i="14" s="1"/>
  <c r="I5851" i="14" s="1"/>
  <c r="K5828" i="13"/>
  <c r="L5828" i="13" s="1"/>
  <c r="I5829" i="13" s="1"/>
  <c r="N6014" i="14"/>
  <c r="J6013" i="14" a="1"/>
  <c r="J6013" i="14" s="1"/>
  <c r="M6017" i="13"/>
  <c r="M6018" i="14"/>
  <c r="J6014" i="13" a="1"/>
  <c r="J6014" i="13" s="1"/>
  <c r="N6015" i="13"/>
  <c r="K5829" i="13" l="1"/>
  <c r="L5829" i="13" s="1"/>
  <c r="I5830" i="13" s="1"/>
  <c r="K5851" i="14"/>
  <c r="L5851" i="14" s="1"/>
  <c r="I5852" i="14" s="1"/>
  <c r="J6015" i="13" a="1"/>
  <c r="J6015" i="13" s="1"/>
  <c r="N6016" i="13"/>
  <c r="M6018" i="13"/>
  <c r="M6019" i="14"/>
  <c r="J6014" i="14" a="1"/>
  <c r="J6014" i="14" s="1"/>
  <c r="N6015" i="14"/>
  <c r="K5852" i="14" l="1"/>
  <c r="L5852" i="14" s="1"/>
  <c r="I5853" i="14" s="1"/>
  <c r="K5830" i="13"/>
  <c r="L5830" i="13" s="1"/>
  <c r="I5831" i="13" s="1"/>
  <c r="J6015" i="14" a="1"/>
  <c r="J6015" i="14" s="1"/>
  <c r="N6016" i="14"/>
  <c r="M6019" i="13"/>
  <c r="J6016" i="13" a="1"/>
  <c r="J6016" i="13" s="1"/>
  <c r="N6017" i="13"/>
  <c r="M6020" i="14"/>
  <c r="K5831" i="13" l="1"/>
  <c r="L5831" i="13" s="1"/>
  <c r="I5832" i="13" s="1"/>
  <c r="K5853" i="14"/>
  <c r="L5853" i="14" s="1"/>
  <c r="I5854" i="14" s="1"/>
  <c r="N6018" i="13"/>
  <c r="J6017" i="13" a="1"/>
  <c r="J6017" i="13" s="1"/>
  <c r="M6021" i="14"/>
  <c r="M6020" i="13"/>
  <c r="J6016" i="14" a="1"/>
  <c r="J6016" i="14" s="1"/>
  <c r="N6017" i="14"/>
  <c r="K5854" i="14" l="1"/>
  <c r="L5854" i="14" s="1"/>
  <c r="I5855" i="14" s="1"/>
  <c r="K5832" i="13"/>
  <c r="L5832" i="13" s="1"/>
  <c r="I5833" i="13" s="1"/>
  <c r="N6018" i="14"/>
  <c r="J6017" i="14" a="1"/>
  <c r="J6017" i="14" s="1"/>
  <c r="M6022" i="14"/>
  <c r="M6021" i="13"/>
  <c r="J6018" i="13" a="1"/>
  <c r="J6018" i="13" s="1"/>
  <c r="N6019" i="13"/>
  <c r="K5833" i="13" l="1"/>
  <c r="L5833" i="13" s="1"/>
  <c r="I5834" i="13" s="1"/>
  <c r="K5855" i="14"/>
  <c r="L5855" i="14" s="1"/>
  <c r="I5856" i="14" s="1"/>
  <c r="J6019" i="13" a="1"/>
  <c r="J6019" i="13" s="1"/>
  <c r="N6020" i="13"/>
  <c r="M6023" i="14"/>
  <c r="M6022" i="13"/>
  <c r="J6018" i="14" a="1"/>
  <c r="J6018" i="14" s="1"/>
  <c r="N6019" i="14"/>
  <c r="K5856" i="14" l="1"/>
  <c r="L5856" i="14" s="1"/>
  <c r="I5857" i="14" s="1"/>
  <c r="K5834" i="13"/>
  <c r="L5834" i="13" s="1"/>
  <c r="I5835" i="13" s="1"/>
  <c r="N6020" i="14"/>
  <c r="J6019" i="14" a="1"/>
  <c r="J6019" i="14" s="1"/>
  <c r="M6024" i="14"/>
  <c r="J6020" i="13" a="1"/>
  <c r="J6020" i="13" s="1"/>
  <c r="N6021" i="13"/>
  <c r="M6023" i="13"/>
  <c r="K5835" i="13" l="1"/>
  <c r="L5835" i="13" s="1"/>
  <c r="I5836" i="13" s="1"/>
  <c r="K5857" i="14"/>
  <c r="L5857" i="14" s="1"/>
  <c r="I5858" i="14" s="1"/>
  <c r="M6025" i="14"/>
  <c r="N6022" i="13"/>
  <c r="J6021" i="13" a="1"/>
  <c r="J6021" i="13" s="1"/>
  <c r="M6024" i="13"/>
  <c r="N6021" i="14"/>
  <c r="J6020" i="14" a="1"/>
  <c r="J6020" i="14" s="1"/>
  <c r="K5858" i="14" l="1"/>
  <c r="L5858" i="14" s="1"/>
  <c r="I5859" i="14" s="1"/>
  <c r="K5836" i="13"/>
  <c r="L5836" i="13" s="1"/>
  <c r="I5837" i="13" s="1"/>
  <c r="J6022" i="13" a="1"/>
  <c r="J6022" i="13" s="1"/>
  <c r="N6023" i="13"/>
  <c r="N6022" i="14"/>
  <c r="J6021" i="14" a="1"/>
  <c r="J6021" i="14" s="1"/>
  <c r="M6025" i="13"/>
  <c r="M6026" i="14"/>
  <c r="K5837" i="13" l="1"/>
  <c r="L5837" i="13" s="1"/>
  <c r="I5838" i="13" s="1"/>
  <c r="K5859" i="14"/>
  <c r="L5859" i="14" s="1"/>
  <c r="I5860" i="14" s="1"/>
  <c r="M6027" i="14"/>
  <c r="J6022" i="14" a="1"/>
  <c r="J6022" i="14" s="1"/>
  <c r="N6023" i="14"/>
  <c r="J6023" i="13" a="1"/>
  <c r="J6023" i="13" s="1"/>
  <c r="N6024" i="13"/>
  <c r="M6026" i="13"/>
  <c r="K5860" i="14" l="1"/>
  <c r="L5860" i="14" s="1"/>
  <c r="I5861" i="14" s="1"/>
  <c r="K5838" i="13"/>
  <c r="L5838" i="13" s="1"/>
  <c r="I5839" i="13" s="1"/>
  <c r="N6024" i="14"/>
  <c r="J6023" i="14" a="1"/>
  <c r="J6023" i="14" s="1"/>
  <c r="J6024" i="13" a="1"/>
  <c r="J6024" i="13" s="1"/>
  <c r="N6025" i="13"/>
  <c r="M6028" i="14"/>
  <c r="M6027" i="13"/>
  <c r="K5839" i="13" l="1"/>
  <c r="L5839" i="13" s="1"/>
  <c r="I5840" i="13" s="1"/>
  <c r="K5861" i="14"/>
  <c r="L5861" i="14" s="1"/>
  <c r="I5862" i="14" s="1"/>
  <c r="N6026" i="13"/>
  <c r="J6025" i="13" a="1"/>
  <c r="J6025" i="13" s="1"/>
  <c r="M6028" i="13"/>
  <c r="M6029" i="14"/>
  <c r="N6025" i="14"/>
  <c r="J6024" i="14" a="1"/>
  <c r="J6024" i="14" s="1"/>
  <c r="K5862" i="14" l="1"/>
  <c r="L5862" i="14" s="1"/>
  <c r="I5863" i="14" s="1"/>
  <c r="K5840" i="13"/>
  <c r="L5840" i="13" s="1"/>
  <c r="I5841" i="13" s="1"/>
  <c r="M6029" i="13"/>
  <c r="N6026" i="14"/>
  <c r="J6025" i="14" a="1"/>
  <c r="J6025" i="14" s="1"/>
  <c r="M6030" i="14"/>
  <c r="J6026" i="13" a="1"/>
  <c r="J6026" i="13" s="1"/>
  <c r="N6027" i="13"/>
  <c r="K5841" i="13" l="1"/>
  <c r="L5841" i="13" s="1"/>
  <c r="I5842" i="13" s="1"/>
  <c r="K5863" i="14"/>
  <c r="L5863" i="14" s="1"/>
  <c r="I5864" i="14" s="1"/>
  <c r="J6027" i="13" a="1"/>
  <c r="J6027" i="13" s="1"/>
  <c r="N6028" i="13"/>
  <c r="J6026" i="14" a="1"/>
  <c r="J6026" i="14" s="1"/>
  <c r="N6027" i="14"/>
  <c r="M6031" i="14"/>
  <c r="M6030" i="13"/>
  <c r="K5864" i="14" l="1"/>
  <c r="L5864" i="14" s="1"/>
  <c r="I5865" i="14" s="1"/>
  <c r="K5842" i="13"/>
  <c r="L5842" i="13" s="1"/>
  <c r="I5843" i="13" s="1"/>
  <c r="N6028" i="14"/>
  <c r="J6027" i="14" a="1"/>
  <c r="J6027" i="14" s="1"/>
  <c r="M6031" i="13"/>
  <c r="M6032" i="14"/>
  <c r="J6028" i="13" a="1"/>
  <c r="J6028" i="13" s="1"/>
  <c r="N6029" i="13"/>
  <c r="K5843" i="13" l="1"/>
  <c r="L5843" i="13" s="1"/>
  <c r="I5844" i="13" s="1"/>
  <c r="K5865" i="14"/>
  <c r="L5865" i="14" s="1"/>
  <c r="I5866" i="14" s="1"/>
  <c r="N6030" i="13"/>
  <c r="J6029" i="13" a="1"/>
  <c r="J6029" i="13" s="1"/>
  <c r="M6032" i="13"/>
  <c r="M6033" i="14"/>
  <c r="N6029" i="14"/>
  <c r="J6028" i="14" a="1"/>
  <c r="J6028" i="14" s="1"/>
  <c r="K5866" i="14" l="1"/>
  <c r="L5866" i="14" s="1"/>
  <c r="I5867" i="14" s="1"/>
  <c r="K5844" i="13"/>
  <c r="L5844" i="13" s="1"/>
  <c r="I5845" i="13" s="1"/>
  <c r="M6033" i="13"/>
  <c r="N6030" i="14"/>
  <c r="J6029" i="14" a="1"/>
  <c r="J6029" i="14" s="1"/>
  <c r="M6034" i="14"/>
  <c r="J6030" i="13" a="1"/>
  <c r="J6030" i="13" s="1"/>
  <c r="N6031" i="13"/>
  <c r="K5867" i="14" l="1"/>
  <c r="L5867" i="14" s="1"/>
  <c r="I5868" i="14" s="1"/>
  <c r="J6031" i="13" a="1"/>
  <c r="J6031" i="13" s="1"/>
  <c r="N6032" i="13"/>
  <c r="K5845" i="13"/>
  <c r="L5845" i="13" s="1"/>
  <c r="I5846" i="13" s="1"/>
  <c r="J6030" i="14" a="1"/>
  <c r="J6030" i="14" s="1"/>
  <c r="N6031" i="14"/>
  <c r="M6035" i="14"/>
  <c r="M6034" i="13"/>
  <c r="K5846" i="13" l="1"/>
  <c r="L5846" i="13" s="1"/>
  <c r="I5847" i="13" s="1"/>
  <c r="K5868" i="14"/>
  <c r="L5868" i="14" s="1"/>
  <c r="I5869" i="14" s="1"/>
  <c r="N6032" i="14"/>
  <c r="J6031" i="14" a="1"/>
  <c r="J6031" i="14" s="1"/>
  <c r="J6032" i="13" a="1"/>
  <c r="J6032" i="13" s="1"/>
  <c r="N6033" i="13"/>
  <c r="M6035" i="13"/>
  <c r="M6036" i="14"/>
  <c r="K5869" i="14" l="1"/>
  <c r="L5869" i="14" s="1"/>
  <c r="I5870" i="14" s="1"/>
  <c r="K5847" i="13"/>
  <c r="L5847" i="13" s="1"/>
  <c r="I5848" i="13" s="1"/>
  <c r="N6034" i="13"/>
  <c r="J6033" i="13" a="1"/>
  <c r="J6033" i="13" s="1"/>
  <c r="M6037" i="14"/>
  <c r="M6036" i="13"/>
  <c r="J6032" i="14" a="1"/>
  <c r="J6032" i="14" s="1"/>
  <c r="N6033" i="14"/>
  <c r="K5848" i="13" l="1"/>
  <c r="L5848" i="13" s="1"/>
  <c r="I5849" i="13" s="1"/>
  <c r="K5870" i="14"/>
  <c r="L5870" i="14" s="1"/>
  <c r="I5871" i="14" s="1"/>
  <c r="N6034" i="14"/>
  <c r="J6033" i="14" a="1"/>
  <c r="J6033" i="14" s="1"/>
  <c r="M6038" i="14"/>
  <c r="M6037" i="13"/>
  <c r="J6034" i="13" a="1"/>
  <c r="J6034" i="13" s="1"/>
  <c r="N6035" i="13"/>
  <c r="K5871" i="14" l="1"/>
  <c r="L5871" i="14" s="1"/>
  <c r="I5872" i="14" s="1"/>
  <c r="K5849" i="13"/>
  <c r="L5849" i="13" s="1"/>
  <c r="I5850" i="13" s="1"/>
  <c r="J6035" i="13" a="1"/>
  <c r="J6035" i="13" s="1"/>
  <c r="N6036" i="13"/>
  <c r="M6039" i="14"/>
  <c r="M6038" i="13"/>
  <c r="J6034" i="14" a="1"/>
  <c r="J6034" i="14" s="1"/>
  <c r="N6035" i="14"/>
  <c r="K5850" i="13" l="1"/>
  <c r="L5850" i="13" s="1"/>
  <c r="I5851" i="13" s="1"/>
  <c r="K5872" i="14"/>
  <c r="L5872" i="14" s="1"/>
  <c r="I5873" i="14" s="1"/>
  <c r="N6036" i="14"/>
  <c r="J6035" i="14" a="1"/>
  <c r="J6035" i="14" s="1"/>
  <c r="M6040" i="14"/>
  <c r="J6036" i="13" a="1"/>
  <c r="J6036" i="13" s="1"/>
  <c r="N6037" i="13"/>
  <c r="M6039" i="13"/>
  <c r="K5873" i="14" l="1"/>
  <c r="L5873" i="14" s="1"/>
  <c r="I5874" i="14" s="1"/>
  <c r="K5851" i="13"/>
  <c r="L5851" i="13" s="1"/>
  <c r="I5852" i="13" s="1"/>
  <c r="N6038" i="13"/>
  <c r="J6037" i="13" a="1"/>
  <c r="J6037" i="13" s="1"/>
  <c r="M6041" i="14"/>
  <c r="M6040" i="13"/>
  <c r="N6037" i="14"/>
  <c r="J6036" i="14" a="1"/>
  <c r="J6036" i="14" s="1"/>
  <c r="K5852" i="13" l="1"/>
  <c r="L5852" i="13" s="1"/>
  <c r="I5853" i="13" s="1"/>
  <c r="K5874" i="14"/>
  <c r="L5874" i="14" s="1"/>
  <c r="I5875" i="14" s="1"/>
  <c r="M6042" i="14"/>
  <c r="N6038" i="14"/>
  <c r="J6037" i="14" a="1"/>
  <c r="J6037" i="14" s="1"/>
  <c r="M6041" i="13"/>
  <c r="J6038" i="13" a="1"/>
  <c r="J6038" i="13" s="1"/>
  <c r="N6039" i="13"/>
  <c r="K5875" i="14" l="1"/>
  <c r="L5875" i="14" s="1"/>
  <c r="I5876" i="14" s="1"/>
  <c r="K5853" i="13"/>
  <c r="L5853" i="13" s="1"/>
  <c r="I5854" i="13" s="1"/>
  <c r="J6038" i="14" a="1"/>
  <c r="J6038" i="14" s="1"/>
  <c r="N6039" i="14"/>
  <c r="J6039" i="13" a="1"/>
  <c r="J6039" i="13" s="1"/>
  <c r="N6040" i="13"/>
  <c r="M6042" i="13"/>
  <c r="M6043" i="14"/>
  <c r="K5854" i="13" l="1"/>
  <c r="L5854" i="13" s="1"/>
  <c r="I5855" i="13" s="1"/>
  <c r="K5876" i="14"/>
  <c r="L5876" i="14" s="1"/>
  <c r="I5877" i="14" s="1"/>
  <c r="J6040" i="13" a="1"/>
  <c r="J6040" i="13" s="1"/>
  <c r="N6041" i="13"/>
  <c r="M6044" i="14"/>
  <c r="N6040" i="14"/>
  <c r="J6039" i="14" a="1"/>
  <c r="J6039" i="14" s="1"/>
  <c r="M6043" i="13"/>
  <c r="K5877" i="14" l="1"/>
  <c r="L5877" i="14" s="1"/>
  <c r="I5878" i="14" s="1"/>
  <c r="K5855" i="13"/>
  <c r="L5855" i="13" s="1"/>
  <c r="I5856" i="13" s="1"/>
  <c r="M6045" i="14"/>
  <c r="N6041" i="14"/>
  <c r="J6040" i="14" a="1"/>
  <c r="J6040" i="14" s="1"/>
  <c r="M6044" i="13"/>
  <c r="N6042" i="13"/>
  <c r="J6041" i="13" a="1"/>
  <c r="J6041" i="13" s="1"/>
  <c r="K5856" i="13" l="1"/>
  <c r="L5856" i="13" s="1"/>
  <c r="I5857" i="13" s="1"/>
  <c r="K5878" i="14"/>
  <c r="L5878" i="14" s="1"/>
  <c r="I5879" i="14" s="1"/>
  <c r="N6042" i="14"/>
  <c r="J6041" i="14" a="1"/>
  <c r="J6041" i="14" s="1"/>
  <c r="M6045" i="13"/>
  <c r="J6042" i="13" a="1"/>
  <c r="J6042" i="13" s="1"/>
  <c r="N6043" i="13"/>
  <c r="M6046" i="14"/>
  <c r="K5879" i="14" l="1"/>
  <c r="L5879" i="14" s="1"/>
  <c r="I5880" i="14" s="1"/>
  <c r="K5857" i="13"/>
  <c r="L5857" i="13" s="1"/>
  <c r="I5858" i="13" s="1"/>
  <c r="M6047" i="14"/>
  <c r="J6043" i="13" a="1"/>
  <c r="J6043" i="13" s="1"/>
  <c r="N6044" i="13"/>
  <c r="M6046" i="13"/>
  <c r="J6042" i="14" a="1"/>
  <c r="J6042" i="14" s="1"/>
  <c r="N6043" i="14"/>
  <c r="K5858" i="13" l="1"/>
  <c r="L5858" i="13" s="1"/>
  <c r="I5859" i="13" s="1"/>
  <c r="K5880" i="14"/>
  <c r="L5880" i="14" s="1"/>
  <c r="I5881" i="14" s="1"/>
  <c r="J6044" i="13" a="1"/>
  <c r="J6044" i="13" s="1"/>
  <c r="N6045" i="13"/>
  <c r="N6044" i="14"/>
  <c r="J6043" i="14" a="1"/>
  <c r="J6043" i="14" s="1"/>
  <c r="M6048" i="14"/>
  <c r="M6047" i="13"/>
  <c r="K5881" i="14" l="1"/>
  <c r="L5881" i="14" s="1"/>
  <c r="I5882" i="14" s="1"/>
  <c r="K5859" i="13"/>
  <c r="L5859" i="13" s="1"/>
  <c r="I5860" i="13" s="1"/>
  <c r="J6044" i="14" a="1"/>
  <c r="J6044" i="14" s="1"/>
  <c r="N6045" i="14"/>
  <c r="M6048" i="13"/>
  <c r="N6046" i="13"/>
  <c r="J6045" i="13" a="1"/>
  <c r="J6045" i="13" s="1"/>
  <c r="M6049" i="14"/>
  <c r="K5860" i="13" l="1"/>
  <c r="L5860" i="13" s="1"/>
  <c r="I5861" i="13" s="1"/>
  <c r="K5882" i="14"/>
  <c r="L5882" i="14" s="1"/>
  <c r="I5883" i="14" s="1"/>
  <c r="M6049" i="13"/>
  <c r="M6050" i="14"/>
  <c r="N6046" i="14"/>
  <c r="J6045" i="14" a="1"/>
  <c r="J6045" i="14" s="1"/>
  <c r="J6046" i="13" a="1"/>
  <c r="J6046" i="13" s="1"/>
  <c r="N6047" i="13"/>
  <c r="K5883" i="14" l="1"/>
  <c r="L5883" i="14" s="1"/>
  <c r="I5884" i="14" s="1"/>
  <c r="K5861" i="13"/>
  <c r="L5861" i="13" s="1"/>
  <c r="I5862" i="13" s="1"/>
  <c r="J6047" i="13" a="1"/>
  <c r="J6047" i="13" s="1"/>
  <c r="N6048" i="13"/>
  <c r="M6051" i="14"/>
  <c r="J6046" i="14" a="1"/>
  <c r="J6046" i="14" s="1"/>
  <c r="N6047" i="14"/>
  <c r="M6050" i="13"/>
  <c r="K5862" i="13" l="1"/>
  <c r="L5862" i="13" s="1"/>
  <c r="I5863" i="13" s="1"/>
  <c r="K5884" i="14"/>
  <c r="L5884" i="14" s="1"/>
  <c r="I5885" i="14" s="1"/>
  <c r="N6048" i="14"/>
  <c r="J6047" i="14" a="1"/>
  <c r="J6047" i="14" s="1"/>
  <c r="M6051" i="13"/>
  <c r="M6052" i="14"/>
  <c r="J6048" i="13" a="1"/>
  <c r="J6048" i="13" s="1"/>
  <c r="N6049" i="13"/>
  <c r="K5885" i="14" l="1"/>
  <c r="L5885" i="14" s="1"/>
  <c r="I5886" i="14" s="1"/>
  <c r="K5863" i="13"/>
  <c r="L5863" i="13" s="1"/>
  <c r="I5864" i="13" s="1"/>
  <c r="N6050" i="13"/>
  <c r="J6049" i="13" a="1"/>
  <c r="J6049" i="13" s="1"/>
  <c r="M6052" i="13"/>
  <c r="M6053" i="14"/>
  <c r="J6048" i="14" a="1"/>
  <c r="J6048" i="14" s="1"/>
  <c r="N6049" i="14"/>
  <c r="K5864" i="13" l="1"/>
  <c r="L5864" i="13" s="1"/>
  <c r="I5865" i="13" s="1"/>
  <c r="K5886" i="14"/>
  <c r="L5886" i="14" s="1"/>
  <c r="I5887" i="14" s="1"/>
  <c r="N6050" i="14"/>
  <c r="J6049" i="14" a="1"/>
  <c r="J6049" i="14" s="1"/>
  <c r="M6053" i="13"/>
  <c r="M6054" i="14"/>
  <c r="J6050" i="13" a="1"/>
  <c r="J6050" i="13" s="1"/>
  <c r="N6051" i="13"/>
  <c r="K5887" i="14" l="1"/>
  <c r="L5887" i="14" s="1"/>
  <c r="I5888" i="14" s="1"/>
  <c r="K5865" i="13"/>
  <c r="L5865" i="13" s="1"/>
  <c r="I5866" i="13" s="1"/>
  <c r="J6051" i="13" a="1"/>
  <c r="J6051" i="13" s="1"/>
  <c r="N6052" i="13"/>
  <c r="M6054" i="13"/>
  <c r="M6055" i="14"/>
  <c r="J6050" i="14" a="1"/>
  <c r="J6050" i="14" s="1"/>
  <c r="N6051" i="14"/>
  <c r="K5866" i="13" l="1"/>
  <c r="L5866" i="13" s="1"/>
  <c r="I5867" i="13" s="1"/>
  <c r="K5888" i="14"/>
  <c r="L5888" i="14" s="1"/>
  <c r="I5889" i="14" s="1"/>
  <c r="N6052" i="14"/>
  <c r="J6051" i="14" a="1"/>
  <c r="J6051" i="14" s="1"/>
  <c r="M6055" i="13"/>
  <c r="J6052" i="13" a="1"/>
  <c r="J6052" i="13" s="1"/>
  <c r="N6053" i="13"/>
  <c r="M6056" i="14"/>
  <c r="K5889" i="14" l="1"/>
  <c r="L5889" i="14" s="1"/>
  <c r="I5890" i="14" s="1"/>
  <c r="K5867" i="13"/>
  <c r="L5867" i="13" s="1"/>
  <c r="I5868" i="13" s="1"/>
  <c r="M6057" i="14"/>
  <c r="M6056" i="13"/>
  <c r="N6054" i="13"/>
  <c r="J6053" i="13" a="1"/>
  <c r="J6053" i="13" s="1"/>
  <c r="N6053" i="14"/>
  <c r="J6052" i="14" a="1"/>
  <c r="J6052" i="14" s="1"/>
  <c r="K5868" i="13" l="1"/>
  <c r="L5868" i="13" s="1"/>
  <c r="I5869" i="13" s="1"/>
  <c r="K5890" i="14"/>
  <c r="L5890" i="14" s="1"/>
  <c r="I5891" i="14" s="1"/>
  <c r="M6057" i="13"/>
  <c r="N6054" i="14"/>
  <c r="J6053" i="14" a="1"/>
  <c r="J6053" i="14" s="1"/>
  <c r="J6054" i="13" a="1"/>
  <c r="J6054" i="13" s="1"/>
  <c r="N6055" i="13"/>
  <c r="M6058" i="14"/>
  <c r="K5869" i="13" l="1"/>
  <c r="L5869" i="13" s="1"/>
  <c r="I5870" i="13" s="1"/>
  <c r="J6054" i="14" a="1"/>
  <c r="J6054" i="14" s="1"/>
  <c r="N6055" i="14"/>
  <c r="J6055" i="13" a="1"/>
  <c r="J6055" i="13" s="1"/>
  <c r="N6056" i="13"/>
  <c r="M6059" i="14"/>
  <c r="K5891" i="14"/>
  <c r="L5891" i="14" s="1"/>
  <c r="I5892" i="14" s="1"/>
  <c r="M6058" i="13"/>
  <c r="K5870" i="13" l="1"/>
  <c r="L5870" i="13" s="1"/>
  <c r="I5871" i="13" s="1"/>
  <c r="K5892" i="14"/>
  <c r="L5892" i="14" s="1"/>
  <c r="I5893" i="14" s="1"/>
  <c r="M6059" i="13"/>
  <c r="M6060" i="14"/>
  <c r="N6056" i="14"/>
  <c r="J6055" i="14" a="1"/>
  <c r="J6055" i="14" s="1"/>
  <c r="J6056" i="13" a="1"/>
  <c r="J6056" i="13" s="1"/>
  <c r="N6057" i="13"/>
  <c r="K5893" i="14" l="1"/>
  <c r="L5893" i="14" s="1"/>
  <c r="I5894" i="14" s="1"/>
  <c r="K5871" i="13"/>
  <c r="L5871" i="13" s="1"/>
  <c r="I5872" i="13" s="1"/>
  <c r="N6058" i="13"/>
  <c r="J6057" i="13" a="1"/>
  <c r="J6057" i="13" s="1"/>
  <c r="M6061" i="14"/>
  <c r="N6057" i="14"/>
  <c r="J6056" i="14" a="1"/>
  <c r="J6056" i="14" s="1"/>
  <c r="M6060" i="13"/>
  <c r="K5894" i="14" l="1"/>
  <c r="L5894" i="14" s="1"/>
  <c r="I5895" i="14" s="1"/>
  <c r="M6062" i="14"/>
  <c r="M6061" i="13"/>
  <c r="K5872" i="13"/>
  <c r="L5872" i="13" s="1"/>
  <c r="I5873" i="13" s="1"/>
  <c r="N6058" i="14"/>
  <c r="J6057" i="14" a="1"/>
  <c r="J6057" i="14" s="1"/>
  <c r="J6058" i="13" a="1"/>
  <c r="J6058" i="13" s="1"/>
  <c r="N6059" i="13"/>
  <c r="K5873" i="13" l="1"/>
  <c r="L5873" i="13" s="1"/>
  <c r="I5874" i="13" s="1"/>
  <c r="K5895" i="14"/>
  <c r="L5895" i="14" s="1"/>
  <c r="I5896" i="14" s="1"/>
  <c r="M6063" i="14"/>
  <c r="J6059" i="13" a="1"/>
  <c r="J6059" i="13" s="1"/>
  <c r="N6060" i="13"/>
  <c r="J6058" i="14" a="1"/>
  <c r="J6058" i="14" s="1"/>
  <c r="N6059" i="14"/>
  <c r="M6062" i="13"/>
  <c r="K5896" i="14" l="1"/>
  <c r="L5896" i="14" s="1"/>
  <c r="I5897" i="14" s="1"/>
  <c r="K5874" i="13"/>
  <c r="L5874" i="13" s="1"/>
  <c r="I5875" i="13" s="1"/>
  <c r="J6060" i="13" a="1"/>
  <c r="J6060" i="13" s="1"/>
  <c r="N6061" i="13"/>
  <c r="M6063" i="13"/>
  <c r="N6060" i="14"/>
  <c r="J6059" i="14" a="1"/>
  <c r="J6059" i="14" s="1"/>
  <c r="M6064" i="14"/>
  <c r="K5875" i="13" l="1"/>
  <c r="L5875" i="13" s="1"/>
  <c r="I5876" i="13" s="1"/>
  <c r="K5897" i="14"/>
  <c r="L5897" i="14" s="1"/>
  <c r="I5898" i="14" s="1"/>
  <c r="N6061" i="14"/>
  <c r="J6060" i="14" a="1"/>
  <c r="J6060" i="14" s="1"/>
  <c r="M6065" i="14"/>
  <c r="M6064" i="13"/>
  <c r="N6062" i="13"/>
  <c r="J6061" i="13" a="1"/>
  <c r="J6061" i="13" s="1"/>
  <c r="K5898" i="14" l="1"/>
  <c r="L5898" i="14" s="1"/>
  <c r="I5899" i="14" s="1"/>
  <c r="K5876" i="13"/>
  <c r="L5876" i="13" s="1"/>
  <c r="I5877" i="13" s="1"/>
  <c r="J6062" i="13" a="1"/>
  <c r="J6062" i="13" s="1"/>
  <c r="N6063" i="13"/>
  <c r="M6066" i="14"/>
  <c r="M6065" i="13"/>
  <c r="N6062" i="14"/>
  <c r="J6061" i="14" a="1"/>
  <c r="J6061" i="14" s="1"/>
  <c r="K5877" i="13" l="1"/>
  <c r="L5877" i="13" s="1"/>
  <c r="I5878" i="13" s="1"/>
  <c r="K5899" i="14"/>
  <c r="L5899" i="14" s="1"/>
  <c r="I5900" i="14" s="1"/>
  <c r="J6062" i="14" a="1"/>
  <c r="J6062" i="14" s="1"/>
  <c r="N6063" i="14"/>
  <c r="J6063" i="13" a="1"/>
  <c r="J6063" i="13" s="1"/>
  <c r="N6064" i="13"/>
  <c r="M6067" i="14"/>
  <c r="M6066" i="13"/>
  <c r="K5900" i="14" l="1"/>
  <c r="L5900" i="14" s="1"/>
  <c r="I5901" i="14" s="1"/>
  <c r="K5878" i="13"/>
  <c r="L5878" i="13" s="1"/>
  <c r="I5879" i="13" s="1"/>
  <c r="J6064" i="13" a="1"/>
  <c r="J6064" i="13" s="1"/>
  <c r="N6065" i="13"/>
  <c r="M6067" i="13"/>
  <c r="N6064" i="14"/>
  <c r="J6063" i="14" a="1"/>
  <c r="J6063" i="14" s="1"/>
  <c r="M6068" i="14"/>
  <c r="K5879" i="13" l="1"/>
  <c r="L5879" i="13" s="1"/>
  <c r="I5880" i="13" s="1"/>
  <c r="K5901" i="14"/>
  <c r="L5901" i="14" s="1"/>
  <c r="I5902" i="14" s="1"/>
  <c r="M6069" i="14"/>
  <c r="J6064" i="14" a="1"/>
  <c r="J6064" i="14" s="1"/>
  <c r="N6065" i="14"/>
  <c r="M6068" i="13"/>
  <c r="N6066" i="13"/>
  <c r="J6065" i="13" a="1"/>
  <c r="J6065" i="13" s="1"/>
  <c r="K5902" i="14" l="1"/>
  <c r="L5902" i="14" s="1"/>
  <c r="I5903" i="14" s="1"/>
  <c r="K5880" i="13"/>
  <c r="L5880" i="13" s="1"/>
  <c r="I5881" i="13" s="1"/>
  <c r="N6066" i="14"/>
  <c r="J6065" i="14" a="1"/>
  <c r="J6065" i="14" s="1"/>
  <c r="M6069" i="13"/>
  <c r="J6066" i="13" a="1"/>
  <c r="J6066" i="13" s="1"/>
  <c r="N6067" i="13"/>
  <c r="M6070" i="14"/>
  <c r="K5881" i="13" l="1"/>
  <c r="L5881" i="13" s="1"/>
  <c r="I5882" i="13" s="1"/>
  <c r="K5903" i="14"/>
  <c r="L5903" i="14" s="1"/>
  <c r="I5904" i="14" s="1"/>
  <c r="J6067" i="13" a="1"/>
  <c r="J6067" i="13" s="1"/>
  <c r="N6068" i="13"/>
  <c r="M6071" i="14"/>
  <c r="M6070" i="13"/>
  <c r="J6066" i="14" a="1"/>
  <c r="J6066" i="14" s="1"/>
  <c r="N6067" i="14"/>
  <c r="K5904" i="14" l="1"/>
  <c r="L5904" i="14" s="1"/>
  <c r="I5905" i="14" s="1"/>
  <c r="K5882" i="13"/>
  <c r="L5882" i="13" s="1"/>
  <c r="I5883" i="13" s="1"/>
  <c r="N6068" i="14"/>
  <c r="J6067" i="14" a="1"/>
  <c r="J6067" i="14" s="1"/>
  <c r="M6072" i="14"/>
  <c r="J6068" i="13" a="1"/>
  <c r="J6068" i="13" s="1"/>
  <c r="N6069" i="13"/>
  <c r="M6071" i="13"/>
  <c r="K5883" i="13" l="1"/>
  <c r="L5883" i="13" s="1"/>
  <c r="I5884" i="13" s="1"/>
  <c r="K5905" i="14"/>
  <c r="L5905" i="14" s="1"/>
  <c r="I5906" i="14" s="1"/>
  <c r="M6073" i="14"/>
  <c r="N6070" i="13"/>
  <c r="J6069" i="13" a="1"/>
  <c r="J6069" i="13" s="1"/>
  <c r="M6072" i="13"/>
  <c r="N6069" i="14"/>
  <c r="J6068" i="14" a="1"/>
  <c r="J6068" i="14" s="1"/>
  <c r="K5906" i="14" l="1"/>
  <c r="L5906" i="14" s="1"/>
  <c r="I5907" i="14" s="1"/>
  <c r="K5884" i="13"/>
  <c r="L5884" i="13" s="1"/>
  <c r="I5885" i="13" s="1"/>
  <c r="N6070" i="14"/>
  <c r="J6069" i="14" a="1"/>
  <c r="J6069" i="14" s="1"/>
  <c r="M6073" i="13"/>
  <c r="J6070" i="13" a="1"/>
  <c r="J6070" i="13" s="1"/>
  <c r="N6071" i="13"/>
  <c r="M6074" i="14"/>
  <c r="K5885" i="13" l="1"/>
  <c r="L5885" i="13" s="1"/>
  <c r="I5886" i="13" s="1"/>
  <c r="K5907" i="14"/>
  <c r="L5907" i="14" s="1"/>
  <c r="I5908" i="14" s="1"/>
  <c r="J6071" i="13" a="1"/>
  <c r="J6071" i="13" s="1"/>
  <c r="N6072" i="13"/>
  <c r="M6075" i="14"/>
  <c r="M6074" i="13"/>
  <c r="J6070" i="14" a="1"/>
  <c r="J6070" i="14" s="1"/>
  <c r="N6071" i="14"/>
  <c r="K5908" i="14" l="1"/>
  <c r="L5908" i="14" s="1"/>
  <c r="I5909" i="14" s="1"/>
  <c r="K5886" i="13"/>
  <c r="L5886" i="13" s="1"/>
  <c r="I5887" i="13" s="1"/>
  <c r="N6072" i="14"/>
  <c r="J6071" i="14" a="1"/>
  <c r="J6071" i="14" s="1"/>
  <c r="M6076" i="14"/>
  <c r="J6072" i="13" a="1"/>
  <c r="J6072" i="13" s="1"/>
  <c r="N6073" i="13"/>
  <c r="M6075" i="13"/>
  <c r="K5887" i="13" l="1"/>
  <c r="L5887" i="13" s="1"/>
  <c r="I5888" i="13" s="1"/>
  <c r="K5909" i="14"/>
  <c r="L5909" i="14" s="1"/>
  <c r="I5910" i="14" s="1"/>
  <c r="N6074" i="13"/>
  <c r="J6073" i="13" a="1"/>
  <c r="J6073" i="13" s="1"/>
  <c r="M6077" i="14"/>
  <c r="M6076" i="13"/>
  <c r="N6073" i="14"/>
  <c r="J6072" i="14" a="1"/>
  <c r="J6072" i="14" s="1"/>
  <c r="K5910" i="14" l="1"/>
  <c r="L5910" i="14" s="1"/>
  <c r="I5911" i="14" s="1"/>
  <c r="K5888" i="13"/>
  <c r="L5888" i="13" s="1"/>
  <c r="I5889" i="13" s="1"/>
  <c r="N6074" i="14"/>
  <c r="J6073" i="14" a="1"/>
  <c r="J6073" i="14" s="1"/>
  <c r="M6078" i="14"/>
  <c r="M6077" i="13"/>
  <c r="J6074" i="13" a="1"/>
  <c r="J6074" i="13" s="1"/>
  <c r="N6075" i="13"/>
  <c r="K5889" i="13" l="1"/>
  <c r="L5889" i="13" s="1"/>
  <c r="I5890" i="13" s="1"/>
  <c r="K5911" i="14"/>
  <c r="L5911" i="14" s="1"/>
  <c r="I5912" i="14" s="1"/>
  <c r="M6079" i="14"/>
  <c r="J6075" i="13" a="1"/>
  <c r="J6075" i="13" s="1"/>
  <c r="N6076" i="13"/>
  <c r="M6078" i="13"/>
  <c r="J6074" i="14" a="1"/>
  <c r="J6074" i="14" s="1"/>
  <c r="N6075" i="14"/>
  <c r="K5912" i="14" l="1"/>
  <c r="L5912" i="14" s="1"/>
  <c r="I5913" i="14" s="1"/>
  <c r="K5890" i="13"/>
  <c r="L5890" i="13" s="1"/>
  <c r="I5891" i="13" s="1"/>
  <c r="J6076" i="13" a="1"/>
  <c r="J6076" i="13" s="1"/>
  <c r="N6077" i="13"/>
  <c r="N6076" i="14"/>
  <c r="J6075" i="14" a="1"/>
  <c r="J6075" i="14" s="1"/>
  <c r="M6080" i="14"/>
  <c r="M6079" i="13"/>
  <c r="K5891" i="13" l="1"/>
  <c r="L5891" i="13" s="1"/>
  <c r="I5892" i="13" s="1"/>
  <c r="K5913" i="14"/>
  <c r="L5913" i="14" s="1"/>
  <c r="I5914" i="14" s="1"/>
  <c r="M6080" i="13"/>
  <c r="N6077" i="14"/>
  <c r="J6076" i="14" a="1"/>
  <c r="J6076" i="14" s="1"/>
  <c r="M6081" i="14"/>
  <c r="N6078" i="13"/>
  <c r="J6077" i="13" a="1"/>
  <c r="J6077" i="13" s="1"/>
  <c r="K5914" i="14" l="1"/>
  <c r="L5914" i="14" s="1"/>
  <c r="I5915" i="14" s="1"/>
  <c r="K5892" i="13"/>
  <c r="L5892" i="13" s="1"/>
  <c r="I5893" i="13" s="1"/>
  <c r="N6078" i="14"/>
  <c r="J6077" i="14" a="1"/>
  <c r="J6077" i="14" s="1"/>
  <c r="J6078" i="13" a="1"/>
  <c r="J6078" i="13" s="1"/>
  <c r="N6079" i="13"/>
  <c r="M6081" i="13"/>
  <c r="M6082" i="14"/>
  <c r="K5893" i="13" l="1"/>
  <c r="L5893" i="13" s="1"/>
  <c r="I5894" i="13" s="1"/>
  <c r="K5915" i="14"/>
  <c r="L5915" i="14" s="1"/>
  <c r="I5916" i="14" s="1"/>
  <c r="M6083" i="14"/>
  <c r="J6079" i="13" a="1"/>
  <c r="J6079" i="13" s="1"/>
  <c r="N6080" i="13"/>
  <c r="M6082" i="13"/>
  <c r="J6078" i="14" a="1"/>
  <c r="J6078" i="14" s="1"/>
  <c r="N6079" i="14"/>
  <c r="K5916" i="14" l="1"/>
  <c r="L5916" i="14" s="1"/>
  <c r="I5917" i="14" s="1"/>
  <c r="K5894" i="13"/>
  <c r="L5894" i="13" s="1"/>
  <c r="I5895" i="13" s="1"/>
  <c r="J6080" i="13" a="1"/>
  <c r="J6080" i="13" s="1"/>
  <c r="N6081" i="13"/>
  <c r="J6079" i="14" a="1"/>
  <c r="J6079" i="14" s="1"/>
  <c r="N6080" i="14"/>
  <c r="M6083" i="13"/>
  <c r="M6084" i="14"/>
  <c r="K5895" i="13" l="1"/>
  <c r="L5895" i="13" s="1"/>
  <c r="I5896" i="13" s="1"/>
  <c r="K5917" i="14"/>
  <c r="L5917" i="14" s="1"/>
  <c r="I5918" i="14" s="1"/>
  <c r="M6085" i="14"/>
  <c r="J6080" i="14" a="1"/>
  <c r="J6080" i="14" s="1"/>
  <c r="N6081" i="14"/>
  <c r="N6082" i="13"/>
  <c r="J6081" i="13" a="1"/>
  <c r="J6081" i="13" s="1"/>
  <c r="M6084" i="13"/>
  <c r="K5918" i="14" l="1"/>
  <c r="L5918" i="14" s="1"/>
  <c r="I5919" i="14" s="1"/>
  <c r="K5896" i="13"/>
  <c r="L5896" i="13" s="1"/>
  <c r="I5897" i="13" s="1"/>
  <c r="M6085" i="13"/>
  <c r="N6082" i="14"/>
  <c r="J6081" i="14" a="1"/>
  <c r="J6081" i="14" s="1"/>
  <c r="J6082" i="13" a="1"/>
  <c r="J6082" i="13" s="1"/>
  <c r="N6083" i="13"/>
  <c r="M6086" i="14"/>
  <c r="K5897" i="13" l="1"/>
  <c r="L5897" i="13" s="1"/>
  <c r="I5898" i="13" s="1"/>
  <c r="K5919" i="14"/>
  <c r="L5919" i="14" s="1"/>
  <c r="I5920" i="14" s="1"/>
  <c r="J6082" i="14" a="1"/>
  <c r="J6082" i="14" s="1"/>
  <c r="N6083" i="14"/>
  <c r="J6083" i="13" a="1"/>
  <c r="J6083" i="13" s="1"/>
  <c r="N6084" i="13"/>
  <c r="M6087" i="14"/>
  <c r="M6086" i="13"/>
  <c r="K5920" i="14" l="1"/>
  <c r="L5920" i="14" s="1"/>
  <c r="I5921" i="14" s="1"/>
  <c r="K5898" i="13"/>
  <c r="L5898" i="13" s="1"/>
  <c r="I5899" i="13" s="1"/>
  <c r="J6084" i="13" a="1"/>
  <c r="J6084" i="13" s="1"/>
  <c r="N6085" i="13"/>
  <c r="J6083" i="14" a="1"/>
  <c r="J6083" i="14" s="1"/>
  <c r="N6084" i="14"/>
  <c r="M6087" i="13"/>
  <c r="M6088" i="14"/>
  <c r="K5899" i="13" l="1"/>
  <c r="L5899" i="13" s="1"/>
  <c r="I5900" i="13" s="1"/>
  <c r="K5921" i="14"/>
  <c r="L5921" i="14" s="1"/>
  <c r="I5922" i="14" s="1"/>
  <c r="M6089" i="14"/>
  <c r="N6085" i="14"/>
  <c r="J6084" i="14" a="1"/>
  <c r="J6084" i="14" s="1"/>
  <c r="N6086" i="13"/>
  <c r="J6085" i="13" a="1"/>
  <c r="J6085" i="13" s="1"/>
  <c r="M6088" i="13"/>
  <c r="K5922" i="14" l="1"/>
  <c r="L5922" i="14" s="1"/>
  <c r="I5923" i="14" s="1"/>
  <c r="K5900" i="13"/>
  <c r="L5900" i="13" s="1"/>
  <c r="I5901" i="13" s="1"/>
  <c r="M6089" i="13"/>
  <c r="N6086" i="14"/>
  <c r="J6085" i="14" a="1"/>
  <c r="J6085" i="14" s="1"/>
  <c r="J6086" i="13" a="1"/>
  <c r="J6086" i="13" s="1"/>
  <c r="N6087" i="13"/>
  <c r="M6090" i="14"/>
  <c r="K5901" i="13" l="1"/>
  <c r="L5901" i="13" s="1"/>
  <c r="I5902" i="13" s="1"/>
  <c r="K5923" i="14"/>
  <c r="L5923" i="14" s="1"/>
  <c r="I5924" i="14" s="1"/>
  <c r="J6086" i="14" a="1"/>
  <c r="J6086" i="14" s="1"/>
  <c r="N6087" i="14"/>
  <c r="J6087" i="13" a="1"/>
  <c r="J6087" i="13" s="1"/>
  <c r="N6088" i="13"/>
  <c r="M6091" i="14"/>
  <c r="M6090" i="13"/>
  <c r="K5924" i="14" l="1"/>
  <c r="L5924" i="14" s="1"/>
  <c r="I5925" i="14" s="1"/>
  <c r="K5902" i="13"/>
  <c r="L5902" i="13" s="1"/>
  <c r="I5903" i="13" s="1"/>
  <c r="J6088" i="13" a="1"/>
  <c r="J6088" i="13" s="1"/>
  <c r="N6089" i="13"/>
  <c r="N6088" i="14"/>
  <c r="J6087" i="14" a="1"/>
  <c r="J6087" i="14" s="1"/>
  <c r="M6091" i="13"/>
  <c r="M6092" i="14"/>
  <c r="K5903" i="13" l="1"/>
  <c r="L5903" i="13" s="1"/>
  <c r="I5904" i="13" s="1"/>
  <c r="K5925" i="14"/>
  <c r="L5925" i="14" s="1"/>
  <c r="I5926" i="14" s="1"/>
  <c r="N6089" i="14"/>
  <c r="J6088" i="14" a="1"/>
  <c r="J6088" i="14" s="1"/>
  <c r="N6090" i="13"/>
  <c r="J6089" i="13" a="1"/>
  <c r="J6089" i="13" s="1"/>
  <c r="M6093" i="14"/>
  <c r="M6092" i="13"/>
  <c r="K5926" i="14" l="1"/>
  <c r="L5926" i="14" s="1"/>
  <c r="I5927" i="14" s="1"/>
  <c r="K5904" i="13"/>
  <c r="L5904" i="13" s="1"/>
  <c r="I5905" i="13" s="1"/>
  <c r="J6090" i="13" a="1"/>
  <c r="J6090" i="13" s="1"/>
  <c r="N6091" i="13"/>
  <c r="M6093" i="13"/>
  <c r="M6094" i="14"/>
  <c r="N6090" i="14"/>
  <c r="J6089" i="14" a="1"/>
  <c r="J6089" i="14" s="1"/>
  <c r="K5905" i="13" l="1"/>
  <c r="L5905" i="13" s="1"/>
  <c r="I5906" i="13" s="1"/>
  <c r="K5927" i="14"/>
  <c r="L5927" i="14" s="1"/>
  <c r="I5928" i="14" s="1"/>
  <c r="J6090" i="14" a="1"/>
  <c r="J6090" i="14" s="1"/>
  <c r="N6091" i="14"/>
  <c r="M6094" i="13"/>
  <c r="J6091" i="13" a="1"/>
  <c r="J6091" i="13" s="1"/>
  <c r="N6092" i="13"/>
  <c r="M6095" i="14"/>
  <c r="K5928" i="14" l="1"/>
  <c r="L5928" i="14" s="1"/>
  <c r="I5929" i="14" s="1"/>
  <c r="K5906" i="13"/>
  <c r="L5906" i="13" s="1"/>
  <c r="I5907" i="13" s="1"/>
  <c r="J6092" i="13" a="1"/>
  <c r="J6092" i="13" s="1"/>
  <c r="N6093" i="13"/>
  <c r="M6096" i="14"/>
  <c r="M6095" i="13"/>
  <c r="N6092" i="14"/>
  <c r="J6091" i="14" a="1"/>
  <c r="J6091" i="14" s="1"/>
  <c r="K5907" i="13" l="1"/>
  <c r="L5907" i="13" s="1"/>
  <c r="I5908" i="13" s="1"/>
  <c r="K5929" i="14"/>
  <c r="L5929" i="14" s="1"/>
  <c r="I5930" i="14" s="1"/>
  <c r="M6097" i="14"/>
  <c r="N6093" i="14"/>
  <c r="J6092" i="14" a="1"/>
  <c r="J6092" i="14" s="1"/>
  <c r="N6094" i="13"/>
  <c r="J6093" i="13" a="1"/>
  <c r="J6093" i="13" s="1"/>
  <c r="M6096" i="13"/>
  <c r="K5930" i="14" l="1"/>
  <c r="L5930" i="14" s="1"/>
  <c r="I5931" i="14" s="1"/>
  <c r="K5908" i="13"/>
  <c r="L5908" i="13" s="1"/>
  <c r="I5909" i="13" s="1"/>
  <c r="N6094" i="14"/>
  <c r="J6093" i="14" a="1"/>
  <c r="J6093" i="14" s="1"/>
  <c r="M6097" i="13"/>
  <c r="J6094" i="13" a="1"/>
  <c r="J6094" i="13" s="1"/>
  <c r="N6095" i="13"/>
  <c r="M6098" i="14"/>
  <c r="K5909" i="13" l="1"/>
  <c r="L5909" i="13" s="1"/>
  <c r="I5910" i="13" s="1"/>
  <c r="K5931" i="14"/>
  <c r="L5931" i="14" s="1"/>
  <c r="I5932" i="14" s="1"/>
  <c r="M6099" i="14"/>
  <c r="J6095" i="13" a="1"/>
  <c r="J6095" i="13" s="1"/>
  <c r="N6096" i="13"/>
  <c r="M6098" i="13"/>
  <c r="J6094" i="14" a="1"/>
  <c r="J6094" i="14" s="1"/>
  <c r="N6095" i="14"/>
  <c r="K5932" i="14" l="1"/>
  <c r="L5932" i="14" s="1"/>
  <c r="I5933" i="14" s="1"/>
  <c r="K5910" i="13"/>
  <c r="L5910" i="13" s="1"/>
  <c r="I5911" i="13" s="1"/>
  <c r="J6096" i="13" a="1"/>
  <c r="J6096" i="13" s="1"/>
  <c r="N6097" i="13"/>
  <c r="N6096" i="14"/>
  <c r="J6095" i="14" a="1"/>
  <c r="J6095" i="14" s="1"/>
  <c r="M6099" i="13"/>
  <c r="M6100" i="14"/>
  <c r="K5911" i="13" l="1"/>
  <c r="L5911" i="13" s="1"/>
  <c r="I5912" i="13" s="1"/>
  <c r="K5933" i="14"/>
  <c r="L5933" i="14" s="1"/>
  <c r="I5934" i="14" s="1"/>
  <c r="M6101" i="14"/>
  <c r="J6096" i="14" a="1"/>
  <c r="J6096" i="14" s="1"/>
  <c r="N6097" i="14"/>
  <c r="N6098" i="13"/>
  <c r="J6097" i="13" a="1"/>
  <c r="J6097" i="13" s="1"/>
  <c r="M6100" i="13"/>
  <c r="K5934" i="14" l="1"/>
  <c r="L5934" i="14" s="1"/>
  <c r="I5935" i="14" s="1"/>
  <c r="K5912" i="13"/>
  <c r="L5912" i="13" s="1"/>
  <c r="I5913" i="13" s="1"/>
  <c r="N6098" i="14"/>
  <c r="J6097" i="14" a="1"/>
  <c r="J6097" i="14" s="1"/>
  <c r="M6101" i="13"/>
  <c r="J6098" i="13" a="1"/>
  <c r="J6098" i="13" s="1"/>
  <c r="N6099" i="13"/>
  <c r="M6102" i="14"/>
  <c r="K5913" i="13" l="1"/>
  <c r="L5913" i="13" s="1"/>
  <c r="I5914" i="13" s="1"/>
  <c r="K5935" i="14"/>
  <c r="L5935" i="14" s="1"/>
  <c r="I5936" i="14" s="1"/>
  <c r="J6099" i="13" a="1"/>
  <c r="J6099" i="13" s="1"/>
  <c r="N6100" i="13"/>
  <c r="M6103" i="14"/>
  <c r="M6102" i="13"/>
  <c r="J6098" i="14" a="1"/>
  <c r="J6098" i="14" s="1"/>
  <c r="N6099" i="14"/>
  <c r="K5936" i="14" l="1"/>
  <c r="L5936" i="14" s="1"/>
  <c r="I5937" i="14" s="1"/>
  <c r="K5914" i="13"/>
  <c r="L5914" i="13" s="1"/>
  <c r="I5915" i="13" s="1"/>
  <c r="J6099" i="14" a="1"/>
  <c r="J6099" i="14" s="1"/>
  <c r="N6100" i="14"/>
  <c r="M6104" i="14"/>
  <c r="J6100" i="13" a="1"/>
  <c r="J6100" i="13" s="1"/>
  <c r="N6101" i="13"/>
  <c r="M6103" i="13"/>
  <c r="K5915" i="13" l="1"/>
  <c r="L5915" i="13" s="1"/>
  <c r="I5916" i="13" s="1"/>
  <c r="K5937" i="14"/>
  <c r="L5937" i="14" s="1"/>
  <c r="I5938" i="14" s="1"/>
  <c r="M6105" i="14"/>
  <c r="N6102" i="13"/>
  <c r="J6101" i="13" a="1"/>
  <c r="J6101" i="13" s="1"/>
  <c r="M6104" i="13"/>
  <c r="N6101" i="14"/>
  <c r="J6100" i="14" a="1"/>
  <c r="J6100" i="14" s="1"/>
  <c r="K5938" i="14" l="1"/>
  <c r="L5938" i="14" s="1"/>
  <c r="I5939" i="14" s="1"/>
  <c r="K5916" i="13"/>
  <c r="L5916" i="13" s="1"/>
  <c r="I5917" i="13" s="1"/>
  <c r="N6102" i="14"/>
  <c r="J6101" i="14" a="1"/>
  <c r="J6101" i="14" s="1"/>
  <c r="M6105" i="13"/>
  <c r="J6102" i="13" a="1"/>
  <c r="J6102" i="13" s="1"/>
  <c r="N6103" i="13"/>
  <c r="M6106" i="14"/>
  <c r="K5917" i="13" l="1"/>
  <c r="L5917" i="13" s="1"/>
  <c r="I5918" i="13" s="1"/>
  <c r="K5939" i="14"/>
  <c r="L5939" i="14" s="1"/>
  <c r="I5940" i="14" s="1"/>
  <c r="J6103" i="13" a="1"/>
  <c r="J6103" i="13" s="1"/>
  <c r="N6104" i="13"/>
  <c r="M6107" i="14"/>
  <c r="M6106" i="13"/>
  <c r="J6102" i="14" a="1"/>
  <c r="J6102" i="14" s="1"/>
  <c r="N6103" i="14"/>
  <c r="K5940" i="14" l="1"/>
  <c r="L5940" i="14" s="1"/>
  <c r="I5941" i="14" s="1"/>
  <c r="K5918" i="13"/>
  <c r="L5918" i="13" s="1"/>
  <c r="I5919" i="13" s="1"/>
  <c r="J6103" i="14" a="1"/>
  <c r="J6103" i="14" s="1"/>
  <c r="N6104" i="14"/>
  <c r="M6108" i="14"/>
  <c r="J6104" i="13" a="1"/>
  <c r="J6104" i="13" s="1"/>
  <c r="N6105" i="13"/>
  <c r="M6107" i="13"/>
  <c r="K5919" i="13" l="1"/>
  <c r="L5919" i="13" s="1"/>
  <c r="I5920" i="13" s="1"/>
  <c r="K5941" i="14"/>
  <c r="L5941" i="14" s="1"/>
  <c r="I5942" i="14" s="1"/>
  <c r="N6106" i="13"/>
  <c r="J6105" i="13" a="1"/>
  <c r="J6105" i="13" s="1"/>
  <c r="M6109" i="14"/>
  <c r="M6108" i="13"/>
  <c r="N6105" i="14"/>
  <c r="J6104" i="14" a="1"/>
  <c r="J6104" i="14" s="1"/>
  <c r="K5942" i="14" l="1"/>
  <c r="L5942" i="14" s="1"/>
  <c r="I5943" i="14" s="1"/>
  <c r="K5920" i="13"/>
  <c r="L5920" i="13" s="1"/>
  <c r="I5921" i="13" s="1"/>
  <c r="N6106" i="14"/>
  <c r="J6105" i="14" a="1"/>
  <c r="J6105" i="14" s="1"/>
  <c r="M6110" i="14"/>
  <c r="M6109" i="13"/>
  <c r="J6106" i="13" a="1"/>
  <c r="J6106" i="13" s="1"/>
  <c r="N6107" i="13"/>
  <c r="K5921" i="13" l="1"/>
  <c r="L5921" i="13" s="1"/>
  <c r="I5922" i="13" s="1"/>
  <c r="K5943" i="14"/>
  <c r="L5943" i="14" s="1"/>
  <c r="I5944" i="14" s="1"/>
  <c r="J6107" i="13" a="1"/>
  <c r="J6107" i="13" s="1"/>
  <c r="N6108" i="13"/>
  <c r="M6111" i="14"/>
  <c r="M6110" i="13"/>
  <c r="J6106" i="14" a="1"/>
  <c r="J6106" i="14" s="1"/>
  <c r="N6107" i="14"/>
  <c r="K5944" i="14" l="1"/>
  <c r="L5944" i="14" s="1"/>
  <c r="I5945" i="14" s="1"/>
  <c r="K5922" i="13"/>
  <c r="L5922" i="13" s="1"/>
  <c r="I5923" i="13" s="1"/>
  <c r="J6107" i="14" a="1"/>
  <c r="J6107" i="14" s="1"/>
  <c r="N6108" i="14"/>
  <c r="M6112" i="14"/>
  <c r="J6108" i="13" a="1"/>
  <c r="J6108" i="13" s="1"/>
  <c r="N6109" i="13"/>
  <c r="M6111" i="13"/>
  <c r="K5923" i="13" l="1"/>
  <c r="L5923" i="13" s="1"/>
  <c r="I5924" i="13" s="1"/>
  <c r="K5945" i="14"/>
  <c r="L5945" i="14" s="1"/>
  <c r="I5946" i="14" s="1"/>
  <c r="N6110" i="13"/>
  <c r="J6109" i="13" a="1"/>
  <c r="J6109" i="13" s="1"/>
  <c r="M6113" i="14"/>
  <c r="M6112" i="13"/>
  <c r="N6109" i="14"/>
  <c r="J6108" i="14" a="1"/>
  <c r="J6108" i="14" s="1"/>
  <c r="K5946" i="14" l="1"/>
  <c r="L5946" i="14" s="1"/>
  <c r="I5947" i="14" s="1"/>
  <c r="K5924" i="13"/>
  <c r="L5924" i="13" s="1"/>
  <c r="I5925" i="13" s="1"/>
  <c r="N6110" i="14"/>
  <c r="J6109" i="14" a="1"/>
  <c r="J6109" i="14" s="1"/>
  <c r="M6114" i="14"/>
  <c r="M6113" i="13"/>
  <c r="J6110" i="13" a="1"/>
  <c r="J6110" i="13" s="1"/>
  <c r="N6111" i="13"/>
  <c r="K5925" i="13" l="1"/>
  <c r="L5925" i="13" s="1"/>
  <c r="I5926" i="13" s="1"/>
  <c r="K5947" i="14"/>
  <c r="L5947" i="14" s="1"/>
  <c r="I5948" i="14" s="1"/>
  <c r="J6111" i="13" a="1"/>
  <c r="J6111" i="13" s="1"/>
  <c r="N6112" i="13"/>
  <c r="M6115" i="14"/>
  <c r="M6114" i="13"/>
  <c r="J6110" i="14" a="1"/>
  <c r="J6110" i="14" s="1"/>
  <c r="N6111" i="14"/>
  <c r="K5948" i="14" l="1"/>
  <c r="L5948" i="14" s="1"/>
  <c r="I5949" i="14" s="1"/>
  <c r="K5926" i="13"/>
  <c r="L5926" i="13" s="1"/>
  <c r="I5927" i="13" s="1"/>
  <c r="J6111" i="14" a="1"/>
  <c r="J6111" i="14" s="1"/>
  <c r="N6112" i="14"/>
  <c r="M6116" i="14"/>
  <c r="J6112" i="13" a="1"/>
  <c r="J6112" i="13" s="1"/>
  <c r="N6113" i="13"/>
  <c r="M6115" i="13"/>
  <c r="K5927" i="13" l="1"/>
  <c r="L5927" i="13" s="1"/>
  <c r="I5928" i="13" s="1"/>
  <c r="K5949" i="14"/>
  <c r="L5949" i="14" s="1"/>
  <c r="I5950" i="14" s="1"/>
  <c r="M6117" i="14"/>
  <c r="N6114" i="13"/>
  <c r="J6113" i="13" a="1"/>
  <c r="J6113" i="13" s="1"/>
  <c r="M6116" i="13"/>
  <c r="N6113" i="14"/>
  <c r="J6112" i="14" a="1"/>
  <c r="J6112" i="14" s="1"/>
  <c r="K5928" i="13" l="1"/>
  <c r="L5928" i="13" s="1"/>
  <c r="I5929" i="13" s="1"/>
  <c r="K5950" i="14"/>
  <c r="L5950" i="14" s="1"/>
  <c r="I5951" i="14" s="1"/>
  <c r="N6114" i="14"/>
  <c r="J6113" i="14" a="1"/>
  <c r="J6113" i="14" s="1"/>
  <c r="M6117" i="13"/>
  <c r="J6114" i="13" a="1"/>
  <c r="J6114" i="13" s="1"/>
  <c r="N6115" i="13"/>
  <c r="M6118" i="14"/>
  <c r="K5951" i="14" l="1"/>
  <c r="L5951" i="14" s="1"/>
  <c r="I5952" i="14" s="1"/>
  <c r="K5929" i="13"/>
  <c r="L5929" i="13" s="1"/>
  <c r="I5930" i="13" s="1"/>
  <c r="J6115" i="13" a="1"/>
  <c r="J6115" i="13" s="1"/>
  <c r="N6116" i="13"/>
  <c r="M6119" i="14"/>
  <c r="M6118" i="13"/>
  <c r="J6114" i="14" a="1"/>
  <c r="J6114" i="14" s="1"/>
  <c r="N6115" i="14"/>
  <c r="K5930" i="13" l="1"/>
  <c r="L5930" i="13" s="1"/>
  <c r="I5931" i="13" s="1"/>
  <c r="K5952" i="14"/>
  <c r="L5952" i="14" s="1"/>
  <c r="I5953" i="14" s="1"/>
  <c r="M6120" i="14"/>
  <c r="J6116" i="13" a="1"/>
  <c r="J6116" i="13" s="1"/>
  <c r="N6117" i="13"/>
  <c r="J6115" i="14" a="1"/>
  <c r="J6115" i="14" s="1"/>
  <c r="N6116" i="14"/>
  <c r="M6119" i="13"/>
  <c r="K5953" i="14" l="1"/>
  <c r="L5953" i="14" s="1"/>
  <c r="I5954" i="14" s="1"/>
  <c r="K5931" i="13"/>
  <c r="L5931" i="13" s="1"/>
  <c r="I5932" i="13" s="1"/>
  <c r="N6118" i="13"/>
  <c r="J6117" i="13" a="1"/>
  <c r="J6117" i="13" s="1"/>
  <c r="J6116" i="14" a="1"/>
  <c r="J6116" i="14" s="1"/>
  <c r="N6117" i="14"/>
  <c r="M6121" i="14"/>
  <c r="M6120" i="13"/>
  <c r="K5932" i="13" l="1"/>
  <c r="L5932" i="13" s="1"/>
  <c r="I5933" i="13" s="1"/>
  <c r="K5954" i="14"/>
  <c r="L5954" i="14" s="1"/>
  <c r="I5955" i="14" s="1"/>
  <c r="M6121" i="13"/>
  <c r="N6118" i="14"/>
  <c r="J6117" i="14" a="1"/>
  <c r="J6117" i="14" s="1"/>
  <c r="M6122" i="14"/>
  <c r="J6118" i="13" a="1"/>
  <c r="J6118" i="13" s="1"/>
  <c r="N6119" i="13"/>
  <c r="K5955" i="14" l="1"/>
  <c r="L5955" i="14" s="1"/>
  <c r="I5956" i="14" s="1"/>
  <c r="K5933" i="13"/>
  <c r="L5933" i="13" s="1"/>
  <c r="I5934" i="13" s="1"/>
  <c r="J6118" i="14" a="1"/>
  <c r="J6118" i="14" s="1"/>
  <c r="N6119" i="14"/>
  <c r="J6119" i="13" a="1"/>
  <c r="J6119" i="13" s="1"/>
  <c r="N6120" i="13"/>
  <c r="M6123" i="14"/>
  <c r="M6122" i="13"/>
  <c r="K5934" i="13" l="1"/>
  <c r="L5934" i="13" s="1"/>
  <c r="I5935" i="13" s="1"/>
  <c r="K5956" i="14"/>
  <c r="L5956" i="14" s="1"/>
  <c r="I5957" i="14" s="1"/>
  <c r="J6120" i="13" a="1"/>
  <c r="J6120" i="13" s="1"/>
  <c r="N6121" i="13"/>
  <c r="J6119" i="14" a="1"/>
  <c r="J6119" i="14" s="1"/>
  <c r="N6120" i="14"/>
  <c r="M6123" i="13"/>
  <c r="M6124" i="14"/>
  <c r="K5957" i="14" l="1"/>
  <c r="L5957" i="14" s="1"/>
  <c r="I5958" i="14" s="1"/>
  <c r="K5935" i="13"/>
  <c r="L5935" i="13" s="1"/>
  <c r="I5936" i="13" s="1"/>
  <c r="M6125" i="14"/>
  <c r="N6121" i="14"/>
  <c r="J6120" i="14" a="1"/>
  <c r="J6120" i="14" s="1"/>
  <c r="N6122" i="13"/>
  <c r="J6121" i="13" a="1"/>
  <c r="J6121" i="13" s="1"/>
  <c r="M6124" i="13"/>
  <c r="K5936" i="13" l="1"/>
  <c r="L5936" i="13" s="1"/>
  <c r="I5937" i="13" s="1"/>
  <c r="K5958" i="14"/>
  <c r="L5958" i="14" s="1"/>
  <c r="I5959" i="14" s="1"/>
  <c r="N6122" i="14"/>
  <c r="J6121" i="14" a="1"/>
  <c r="J6121" i="14" s="1"/>
  <c r="M6125" i="13"/>
  <c r="J6122" i="13" a="1"/>
  <c r="J6122" i="13" s="1"/>
  <c r="N6123" i="13"/>
  <c r="M6126" i="14"/>
  <c r="K5959" i="14" l="1"/>
  <c r="L5959" i="14" s="1"/>
  <c r="I5960" i="14" s="1"/>
  <c r="K5937" i="13"/>
  <c r="L5937" i="13" s="1"/>
  <c r="I5938" i="13" s="1"/>
  <c r="J6123" i="13" a="1"/>
  <c r="J6123" i="13" s="1"/>
  <c r="N6124" i="13"/>
  <c r="M6127" i="14"/>
  <c r="M6126" i="13"/>
  <c r="J6122" i="14" a="1"/>
  <c r="J6122" i="14" s="1"/>
  <c r="N6123" i="14"/>
  <c r="K5938" i="13" l="1"/>
  <c r="L5938" i="13" s="1"/>
  <c r="I5939" i="13" s="1"/>
  <c r="K5960" i="14"/>
  <c r="L5960" i="14" s="1"/>
  <c r="I5961" i="14" s="1"/>
  <c r="J6123" i="14" a="1"/>
  <c r="J6123" i="14" s="1"/>
  <c r="N6124" i="14"/>
  <c r="M6128" i="14"/>
  <c r="J6124" i="13" a="1"/>
  <c r="J6124" i="13" s="1"/>
  <c r="N6125" i="13"/>
  <c r="M6127" i="13"/>
  <c r="K5961" i="14" l="1"/>
  <c r="L5961" i="14" s="1"/>
  <c r="I5962" i="14" s="1"/>
  <c r="K5939" i="13"/>
  <c r="L5939" i="13" s="1"/>
  <c r="I5940" i="13" s="1"/>
  <c r="M6129" i="14"/>
  <c r="M6128" i="13"/>
  <c r="J6124" i="14" a="1"/>
  <c r="J6124" i="14" s="1"/>
  <c r="N6125" i="14"/>
  <c r="N6126" i="13"/>
  <c r="J6125" i="13" a="1"/>
  <c r="J6125" i="13" s="1"/>
  <c r="K5940" i="13" l="1"/>
  <c r="L5940" i="13" s="1"/>
  <c r="I5941" i="13" s="1"/>
  <c r="K5962" i="14"/>
  <c r="L5962" i="14" s="1"/>
  <c r="I5963" i="14" s="1"/>
  <c r="M6129" i="13"/>
  <c r="J6126" i="13" a="1"/>
  <c r="J6126" i="13" s="1"/>
  <c r="N6127" i="13"/>
  <c r="N6126" i="14"/>
  <c r="J6125" i="14" a="1"/>
  <c r="J6125" i="14" s="1"/>
  <c r="M6130" i="14"/>
  <c r="K5963" i="14" l="1"/>
  <c r="L5963" i="14" s="1"/>
  <c r="I5964" i="14" s="1"/>
  <c r="K5941" i="13"/>
  <c r="L5941" i="13" s="1"/>
  <c r="I5942" i="13" s="1"/>
  <c r="J6127" i="13" a="1"/>
  <c r="J6127" i="13" s="1"/>
  <c r="N6128" i="13"/>
  <c r="M6131" i="14"/>
  <c r="J6126" i="14" a="1"/>
  <c r="J6126" i="14" s="1"/>
  <c r="N6127" i="14"/>
  <c r="M6130" i="13"/>
  <c r="K5942" i="13" l="1"/>
  <c r="L5942" i="13" s="1"/>
  <c r="I5943" i="13" s="1"/>
  <c r="K5964" i="14"/>
  <c r="L5964" i="14" s="1"/>
  <c r="I5965" i="14" s="1"/>
  <c r="M6131" i="13"/>
  <c r="M6132" i="14"/>
  <c r="J6128" i="13" a="1"/>
  <c r="J6128" i="13" s="1"/>
  <c r="N6129" i="13"/>
  <c r="N6128" i="14"/>
  <c r="J6127" i="14" a="1"/>
  <c r="J6127" i="14" s="1"/>
  <c r="K5965" i="14" l="1"/>
  <c r="L5965" i="14" s="1"/>
  <c r="I5966" i="14" s="1"/>
  <c r="K5943" i="13"/>
  <c r="L5943" i="13" s="1"/>
  <c r="I5944" i="13" s="1"/>
  <c r="J6128" i="14" a="1"/>
  <c r="J6128" i="14" s="1"/>
  <c r="N6129" i="14"/>
  <c r="M6133" i="14"/>
  <c r="N6130" i="13"/>
  <c r="J6129" i="13" a="1"/>
  <c r="J6129" i="13" s="1"/>
  <c r="M6132" i="13"/>
  <c r="K5944" i="13" l="1"/>
  <c r="L5944" i="13" s="1"/>
  <c r="I5945" i="13" s="1"/>
  <c r="K5966" i="14"/>
  <c r="L5966" i="14" s="1"/>
  <c r="I5967" i="14" s="1"/>
  <c r="M6133" i="13"/>
  <c r="M6134" i="14"/>
  <c r="N6130" i="14"/>
  <c r="J6129" i="14" a="1"/>
  <c r="J6129" i="14" s="1"/>
  <c r="J6130" i="13" a="1"/>
  <c r="J6130" i="13" s="1"/>
  <c r="N6131" i="13"/>
  <c r="K5967" i="14" l="1"/>
  <c r="L5967" i="14" s="1"/>
  <c r="I5968" i="14" s="1"/>
  <c r="K5945" i="13"/>
  <c r="L5945" i="13" s="1"/>
  <c r="I5946" i="13" s="1"/>
  <c r="J6131" i="13" a="1"/>
  <c r="J6131" i="13" s="1"/>
  <c r="N6132" i="13"/>
  <c r="M6135" i="14"/>
  <c r="N6131" i="14"/>
  <c r="J6130" i="14" a="1"/>
  <c r="J6130" i="14" s="1"/>
  <c r="M6134" i="13"/>
  <c r="K5946" i="13" l="1"/>
  <c r="L5946" i="13" s="1"/>
  <c r="I5947" i="13" s="1"/>
  <c r="K5968" i="14"/>
  <c r="L5968" i="14" s="1"/>
  <c r="I5969" i="14" s="1"/>
  <c r="N6132" i="14"/>
  <c r="J6131" i="14" a="1"/>
  <c r="J6131" i="14" s="1"/>
  <c r="M6135" i="13"/>
  <c r="M6136" i="14"/>
  <c r="J6132" i="13" a="1"/>
  <c r="J6132" i="13" s="1"/>
  <c r="N6133" i="13"/>
  <c r="K5969" i="14" l="1"/>
  <c r="L5969" i="14" s="1"/>
  <c r="I5970" i="14" s="1"/>
  <c r="K5947" i="13"/>
  <c r="L5947" i="13" s="1"/>
  <c r="I5948" i="13" s="1"/>
  <c r="N6134" i="13"/>
  <c r="J6133" i="13" a="1"/>
  <c r="J6133" i="13" s="1"/>
  <c r="M6136" i="13"/>
  <c r="M6137" i="14"/>
  <c r="J6132" i="14" a="1"/>
  <c r="J6132" i="14" s="1"/>
  <c r="N6133" i="14"/>
  <c r="K5948" i="13" l="1"/>
  <c r="L5948" i="13" s="1"/>
  <c r="I5949" i="13" s="1"/>
  <c r="K5970" i="14"/>
  <c r="L5970" i="14" s="1"/>
  <c r="I5971" i="14" s="1"/>
  <c r="N6134" i="14"/>
  <c r="J6133" i="14" a="1"/>
  <c r="J6133" i="14" s="1"/>
  <c r="M6137" i="13"/>
  <c r="M6138" i="14"/>
  <c r="J6134" i="13" a="1"/>
  <c r="J6134" i="13" s="1"/>
  <c r="N6135" i="13"/>
  <c r="K5971" i="14" l="1"/>
  <c r="L5971" i="14" s="1"/>
  <c r="I5972" i="14" s="1"/>
  <c r="K5949" i="13"/>
  <c r="L5949" i="13" s="1"/>
  <c r="I5950" i="13" s="1"/>
  <c r="J6135" i="13" a="1"/>
  <c r="J6135" i="13" s="1"/>
  <c r="N6136" i="13"/>
  <c r="M6138" i="13"/>
  <c r="M6139" i="14"/>
  <c r="N6135" i="14"/>
  <c r="J6134" i="14" a="1"/>
  <c r="J6134" i="14" s="1"/>
  <c r="K5950" i="13" l="1"/>
  <c r="L5950" i="13" s="1"/>
  <c r="I5951" i="13" s="1"/>
  <c r="K5972" i="14"/>
  <c r="L5972" i="14" s="1"/>
  <c r="I5973" i="14" s="1"/>
  <c r="N6136" i="14"/>
  <c r="J6135" i="14" a="1"/>
  <c r="J6135" i="14" s="1"/>
  <c r="M6139" i="13"/>
  <c r="J6136" i="13" a="1"/>
  <c r="J6136" i="13" s="1"/>
  <c r="N6137" i="13"/>
  <c r="M6140" i="14"/>
  <c r="K5973" i="14" l="1"/>
  <c r="L5973" i="14" s="1"/>
  <c r="I5974" i="14" s="1"/>
  <c r="K5951" i="13"/>
  <c r="L5951" i="13" s="1"/>
  <c r="I5952" i="13" s="1"/>
  <c r="N6138" i="13"/>
  <c r="J6137" i="13" a="1"/>
  <c r="J6137" i="13" s="1"/>
  <c r="M6141" i="14"/>
  <c r="M6140" i="13"/>
  <c r="J6136" i="14" a="1"/>
  <c r="J6136" i="14" s="1"/>
  <c r="N6137" i="14"/>
  <c r="K5952" i="13" l="1"/>
  <c r="L5952" i="13" s="1"/>
  <c r="I5953" i="13" s="1"/>
  <c r="K5974" i="14"/>
  <c r="L5974" i="14" s="1"/>
  <c r="I5975" i="14" s="1"/>
  <c r="N6138" i="14"/>
  <c r="J6137" i="14" a="1"/>
  <c r="J6137" i="14" s="1"/>
  <c r="M6142" i="14"/>
  <c r="M6141" i="13"/>
  <c r="J6138" i="13" a="1"/>
  <c r="J6138" i="13" s="1"/>
  <c r="N6139" i="13"/>
  <c r="K5975" i="14" l="1"/>
  <c r="L5975" i="14" s="1"/>
  <c r="I5976" i="14" s="1"/>
  <c r="K5953" i="13"/>
  <c r="L5953" i="13" s="1"/>
  <c r="I5954" i="13" s="1"/>
  <c r="J6139" i="13" a="1"/>
  <c r="J6139" i="13" s="1"/>
  <c r="N6140" i="13"/>
  <c r="M6143" i="14"/>
  <c r="M6142" i="13"/>
  <c r="N6139" i="14"/>
  <c r="J6138" i="14" a="1"/>
  <c r="J6138" i="14" s="1"/>
  <c r="K5954" i="13" l="1"/>
  <c r="L5954" i="13" s="1"/>
  <c r="I5955" i="13" s="1"/>
  <c r="K5976" i="14"/>
  <c r="L5976" i="14" s="1"/>
  <c r="I5977" i="14" s="1"/>
  <c r="N6140" i="14"/>
  <c r="J6139" i="14" a="1"/>
  <c r="J6139" i="14" s="1"/>
  <c r="M6144" i="14"/>
  <c r="J6140" i="13" a="1"/>
  <c r="J6140" i="13" s="1"/>
  <c r="N6141" i="13"/>
  <c r="M6143" i="13"/>
  <c r="K5977" i="14" l="1"/>
  <c r="L5977" i="14" s="1"/>
  <c r="I5978" i="14" s="1"/>
  <c r="K5955" i="13"/>
  <c r="L5955" i="13" s="1"/>
  <c r="I5956" i="13" s="1"/>
  <c r="M6145" i="14"/>
  <c r="N6142" i="13"/>
  <c r="J6141" i="13" a="1"/>
  <c r="J6141" i="13" s="1"/>
  <c r="M6144" i="13"/>
  <c r="J6140" i="14" a="1"/>
  <c r="J6140" i="14" s="1"/>
  <c r="N6141" i="14"/>
  <c r="K5956" i="13" l="1"/>
  <c r="L5956" i="13" s="1"/>
  <c r="I5957" i="13" s="1"/>
  <c r="K5978" i="14"/>
  <c r="L5978" i="14" s="1"/>
  <c r="I5979" i="14" s="1"/>
  <c r="J6142" i="13" a="1"/>
  <c r="J6142" i="13" s="1"/>
  <c r="N6143" i="13"/>
  <c r="N6142" i="14"/>
  <c r="J6141" i="14" a="1"/>
  <c r="J6141" i="14" s="1"/>
  <c r="M6145" i="13"/>
  <c r="M6146" i="14"/>
  <c r="K5979" i="14" l="1"/>
  <c r="L5979" i="14" s="1"/>
  <c r="I5980" i="14" s="1"/>
  <c r="K5957" i="13"/>
  <c r="L5957" i="13" s="1"/>
  <c r="I5958" i="13" s="1"/>
  <c r="N6143" i="14"/>
  <c r="J6142" i="14" a="1"/>
  <c r="J6142" i="14" s="1"/>
  <c r="M6147" i="14"/>
  <c r="J6143" i="13" a="1"/>
  <c r="J6143" i="13" s="1"/>
  <c r="N6144" i="13"/>
  <c r="M6146" i="13"/>
  <c r="K5958" i="13" l="1"/>
  <c r="L5958" i="13" s="1"/>
  <c r="I5959" i="13" s="1"/>
  <c r="K5980" i="14"/>
  <c r="L5980" i="14" s="1"/>
  <c r="I5981" i="14" s="1"/>
  <c r="J6144" i="13" a="1"/>
  <c r="J6144" i="13" s="1"/>
  <c r="N6145" i="13"/>
  <c r="M6147" i="13"/>
  <c r="M6148" i="14"/>
  <c r="N6144" i="14"/>
  <c r="J6143" i="14" a="1"/>
  <c r="J6143" i="14" s="1"/>
  <c r="K5981" i="14" l="1"/>
  <c r="L5981" i="14" s="1"/>
  <c r="I5982" i="14" s="1"/>
  <c r="K5959" i="13"/>
  <c r="L5959" i="13" s="1"/>
  <c r="I5960" i="13" s="1"/>
  <c r="J6144" i="14" a="1"/>
  <c r="J6144" i="14" s="1"/>
  <c r="N6145" i="14"/>
  <c r="M6148" i="13"/>
  <c r="N6146" i="13"/>
  <c r="J6145" i="13" a="1"/>
  <c r="J6145" i="13" s="1"/>
  <c r="M6149" i="14"/>
  <c r="K5960" i="13" l="1"/>
  <c r="L5960" i="13" s="1"/>
  <c r="I5961" i="13" s="1"/>
  <c r="K5982" i="14"/>
  <c r="L5982" i="14" s="1"/>
  <c r="I5983" i="14" s="1"/>
  <c r="M6150" i="14"/>
  <c r="M6149" i="13"/>
  <c r="J6146" i="13" a="1"/>
  <c r="J6146" i="13" s="1"/>
  <c r="N6147" i="13"/>
  <c r="N6146" i="14"/>
  <c r="J6145" i="14" a="1"/>
  <c r="J6145" i="14" s="1"/>
  <c r="K5961" i="13" l="1"/>
  <c r="L5961" i="13" s="1"/>
  <c r="I5962" i="13" s="1"/>
  <c r="N6147" i="14"/>
  <c r="J6146" i="14" a="1"/>
  <c r="J6146" i="14" s="1"/>
  <c r="M6150" i="13"/>
  <c r="K5983" i="14"/>
  <c r="L5983" i="14" s="1"/>
  <c r="I5984" i="14" s="1"/>
  <c r="J6147" i="13" a="1"/>
  <c r="J6147" i="13" s="1"/>
  <c r="N6148" i="13"/>
  <c r="M6151" i="14"/>
  <c r="K5984" i="14" l="1"/>
  <c r="L5984" i="14" s="1"/>
  <c r="I5985" i="14" s="1"/>
  <c r="K5962" i="13"/>
  <c r="L5962" i="13" s="1"/>
  <c r="I5963" i="13" s="1"/>
  <c r="M6152" i="14"/>
  <c r="N6148" i="14"/>
  <c r="J6147" i="14" a="1"/>
  <c r="J6147" i="14" s="1"/>
  <c r="J6148" i="13" a="1"/>
  <c r="J6148" i="13" s="1"/>
  <c r="N6149" i="13"/>
  <c r="M6151" i="13"/>
  <c r="K5963" i="13" l="1"/>
  <c r="L5963" i="13" s="1"/>
  <c r="I5964" i="13" s="1"/>
  <c r="K5985" i="14"/>
  <c r="L5985" i="14" s="1"/>
  <c r="I5986" i="14" s="1"/>
  <c r="J6148" i="14" a="1"/>
  <c r="J6148" i="14" s="1"/>
  <c r="N6149" i="14"/>
  <c r="N6150" i="13"/>
  <c r="J6149" i="13" a="1"/>
  <c r="J6149" i="13" s="1"/>
  <c r="M6153" i="14"/>
  <c r="M6152" i="13"/>
  <c r="K5986" i="14" l="1"/>
  <c r="L5986" i="14" s="1"/>
  <c r="I5987" i="14" s="1"/>
  <c r="K5964" i="13"/>
  <c r="L5964" i="13" s="1"/>
  <c r="I5965" i="13" s="1"/>
  <c r="J6150" i="13" a="1"/>
  <c r="J6150" i="13" s="1"/>
  <c r="N6151" i="13"/>
  <c r="N6150" i="14"/>
  <c r="J6149" i="14" a="1"/>
  <c r="J6149" i="14" s="1"/>
  <c r="M6153" i="13"/>
  <c r="M6154" i="14"/>
  <c r="K5965" i="13" l="1"/>
  <c r="L5965" i="13" s="1"/>
  <c r="I5966" i="13" s="1"/>
  <c r="K5987" i="14"/>
  <c r="L5987" i="14" s="1"/>
  <c r="I5988" i="14" s="1"/>
  <c r="M6155" i="14"/>
  <c r="N6151" i="14"/>
  <c r="J6150" i="14" a="1"/>
  <c r="J6150" i="14" s="1"/>
  <c r="J6151" i="13" a="1"/>
  <c r="J6151" i="13" s="1"/>
  <c r="N6152" i="13"/>
  <c r="M6154" i="13"/>
  <c r="K5988" i="14" l="1"/>
  <c r="L5988" i="14" s="1"/>
  <c r="I5989" i="14" s="1"/>
  <c r="K5966" i="13"/>
  <c r="L5966" i="13" s="1"/>
  <c r="I5967" i="13" s="1"/>
  <c r="M6155" i="13"/>
  <c r="N6152" i="14"/>
  <c r="J6151" i="14" a="1"/>
  <c r="J6151" i="14" s="1"/>
  <c r="J6152" i="13" a="1"/>
  <c r="J6152" i="13" s="1"/>
  <c r="N6153" i="13"/>
  <c r="M6156" i="14"/>
  <c r="K5967" i="13" l="1"/>
  <c r="L5967" i="13" s="1"/>
  <c r="I5968" i="13" s="1"/>
  <c r="K5989" i="14"/>
  <c r="L5989" i="14" s="1"/>
  <c r="I5990" i="14" s="1"/>
  <c r="M6157" i="14"/>
  <c r="J6152" i="14" a="1"/>
  <c r="J6152" i="14" s="1"/>
  <c r="N6153" i="14"/>
  <c r="N6154" i="13"/>
  <c r="J6153" i="13" a="1"/>
  <c r="J6153" i="13" s="1"/>
  <c r="M6156" i="13"/>
  <c r="K5990" i="14" l="1"/>
  <c r="L5990" i="14" s="1"/>
  <c r="I5991" i="14" s="1"/>
  <c r="K5968" i="13"/>
  <c r="L5968" i="13" s="1"/>
  <c r="I5969" i="13" s="1"/>
  <c r="M6157" i="13"/>
  <c r="N6154" i="14"/>
  <c r="J6153" i="14" a="1"/>
  <c r="J6153" i="14" s="1"/>
  <c r="M6158" i="14"/>
  <c r="J6154" i="13" a="1"/>
  <c r="J6154" i="13" s="1"/>
  <c r="N6155" i="13"/>
  <c r="K5969" i="13" l="1"/>
  <c r="L5969" i="13" s="1"/>
  <c r="I5970" i="13" s="1"/>
  <c r="K5991" i="14"/>
  <c r="L5991" i="14" s="1"/>
  <c r="I5992" i="14" s="1"/>
  <c r="N6155" i="14"/>
  <c r="J6154" i="14" a="1"/>
  <c r="J6154" i="14" s="1"/>
  <c r="J6155" i="13" a="1"/>
  <c r="J6155" i="13" s="1"/>
  <c r="N6156" i="13"/>
  <c r="M6159" i="14"/>
  <c r="M6158" i="13"/>
  <c r="K5992" i="14" l="1"/>
  <c r="L5992" i="14" s="1"/>
  <c r="I5993" i="14" s="1"/>
  <c r="K5970" i="13"/>
  <c r="L5970" i="13" s="1"/>
  <c r="I5971" i="13" s="1"/>
  <c r="J6156" i="13" a="1"/>
  <c r="J6156" i="13" s="1"/>
  <c r="N6157" i="13"/>
  <c r="M6159" i="13"/>
  <c r="M6160" i="14"/>
  <c r="N6156" i="14"/>
  <c r="J6155" i="14" a="1"/>
  <c r="J6155" i="14" s="1"/>
  <c r="K5971" i="13" l="1"/>
  <c r="L5971" i="13" s="1"/>
  <c r="I5972" i="13" s="1"/>
  <c r="K5993" i="14"/>
  <c r="L5993" i="14" s="1"/>
  <c r="I5994" i="14" s="1"/>
  <c r="J6156" i="14" a="1"/>
  <c r="J6156" i="14" s="1"/>
  <c r="N6157" i="14"/>
  <c r="M6160" i="13"/>
  <c r="N6158" i="13"/>
  <c r="J6157" i="13" a="1"/>
  <c r="J6157" i="13" s="1"/>
  <c r="M6161" i="14"/>
  <c r="K5994" i="14" l="1"/>
  <c r="L5994" i="14" s="1"/>
  <c r="I5995" i="14" s="1"/>
  <c r="K5972" i="13"/>
  <c r="L5972" i="13" s="1"/>
  <c r="I5973" i="13" s="1"/>
  <c r="M6161" i="13"/>
  <c r="J6158" i="13" a="1"/>
  <c r="J6158" i="13" s="1"/>
  <c r="N6159" i="13"/>
  <c r="M6162" i="14"/>
  <c r="N6158" i="14"/>
  <c r="J6157" i="14" a="1"/>
  <c r="J6157" i="14" s="1"/>
  <c r="K5973" i="13" l="1"/>
  <c r="L5973" i="13" s="1"/>
  <c r="I5974" i="13" s="1"/>
  <c r="K5995" i="14"/>
  <c r="L5995" i="14" s="1"/>
  <c r="I5996" i="14" s="1"/>
  <c r="J6159" i="13" a="1"/>
  <c r="J6159" i="13" s="1"/>
  <c r="N6160" i="13"/>
  <c r="J6158" i="14" a="1"/>
  <c r="J6158" i="14" s="1"/>
  <c r="N6159" i="14"/>
  <c r="M6163" i="14"/>
  <c r="M6162" i="13"/>
  <c r="K5996" i="14" l="1"/>
  <c r="L5996" i="14" s="1"/>
  <c r="I5997" i="14" s="1"/>
  <c r="K5974" i="13"/>
  <c r="L5974" i="13" s="1"/>
  <c r="I5975" i="13" s="1"/>
  <c r="N6160" i="14"/>
  <c r="J6159" i="14" a="1"/>
  <c r="J6159" i="14" s="1"/>
  <c r="M6163" i="13"/>
  <c r="J6160" i="13" a="1"/>
  <c r="J6160" i="13" s="1"/>
  <c r="N6161" i="13"/>
  <c r="M6164" i="14"/>
  <c r="K5975" i="13" l="1"/>
  <c r="L5975" i="13" s="1"/>
  <c r="I5976" i="13" s="1"/>
  <c r="K5997" i="14"/>
  <c r="L5997" i="14" s="1"/>
  <c r="I5998" i="14" s="1"/>
  <c r="M6165" i="14"/>
  <c r="M6164" i="13"/>
  <c r="N6162" i="13"/>
  <c r="J6161" i="13" a="1"/>
  <c r="J6161" i="13" s="1"/>
  <c r="J6160" i="14" a="1"/>
  <c r="J6160" i="14" s="1"/>
  <c r="N6161" i="14"/>
  <c r="K5998" i="14" l="1"/>
  <c r="L5998" i="14" s="1"/>
  <c r="I5999" i="14" s="1"/>
  <c r="K5976" i="13"/>
  <c r="L5976" i="13" s="1"/>
  <c r="I5977" i="13" s="1"/>
  <c r="J6161" i="14" a="1"/>
  <c r="J6161" i="14" s="1"/>
  <c r="N6162" i="14"/>
  <c r="M6165" i="13"/>
  <c r="J6162" i="13" a="1"/>
  <c r="J6162" i="13" s="1"/>
  <c r="N6163" i="13"/>
  <c r="M6166" i="14"/>
  <c r="K5977" i="13" l="1"/>
  <c r="L5977" i="13" s="1"/>
  <c r="I5978" i="13" s="1"/>
  <c r="K5999" i="14"/>
  <c r="L5999" i="14" s="1"/>
  <c r="I6000" i="14" s="1"/>
  <c r="J6163" i="13" a="1"/>
  <c r="J6163" i="13" s="1"/>
  <c r="N6164" i="13"/>
  <c r="M6167" i="14"/>
  <c r="M6166" i="13"/>
  <c r="N6163" i="14"/>
  <c r="J6162" i="14" a="1"/>
  <c r="J6162" i="14" s="1"/>
  <c r="K6000" i="14" l="1"/>
  <c r="L6000" i="14" s="1"/>
  <c r="I6001" i="14" s="1"/>
  <c r="K5978" i="13"/>
  <c r="L5978" i="13" s="1"/>
  <c r="I5979" i="13" s="1"/>
  <c r="N6164" i="14"/>
  <c r="J6163" i="14" a="1"/>
  <c r="J6163" i="14" s="1"/>
  <c r="M6168" i="14"/>
  <c r="J6164" i="13" a="1"/>
  <c r="J6164" i="13" s="1"/>
  <c r="N6165" i="13"/>
  <c r="M6167" i="13"/>
  <c r="K5979" i="13" l="1"/>
  <c r="L5979" i="13" s="1"/>
  <c r="I5980" i="13" s="1"/>
  <c r="K6001" i="14"/>
  <c r="L6001" i="14" s="1"/>
  <c r="I6002" i="14" s="1"/>
  <c r="N6166" i="13"/>
  <c r="J6165" i="13" a="1"/>
  <c r="J6165" i="13" s="1"/>
  <c r="M6168" i="13"/>
  <c r="M6169" i="14"/>
  <c r="J6164" i="14" a="1"/>
  <c r="J6164" i="14" s="1"/>
  <c r="N6165" i="14"/>
  <c r="K6002" i="14" l="1"/>
  <c r="L6002" i="14" s="1"/>
  <c r="I6003" i="14" s="1"/>
  <c r="K5980" i="13"/>
  <c r="L5980" i="13" s="1"/>
  <c r="I5981" i="13" s="1"/>
  <c r="N6166" i="14"/>
  <c r="J6165" i="14" a="1"/>
  <c r="J6165" i="14" s="1"/>
  <c r="M6169" i="13"/>
  <c r="M6170" i="14"/>
  <c r="J6166" i="13" a="1"/>
  <c r="J6166" i="13" s="1"/>
  <c r="N6167" i="13"/>
  <c r="K5981" i="13" l="1"/>
  <c r="L5981" i="13" s="1"/>
  <c r="I5982" i="13" s="1"/>
  <c r="K6003" i="14"/>
  <c r="L6003" i="14" s="1"/>
  <c r="I6004" i="14" s="1"/>
  <c r="J6167" i="13" a="1"/>
  <c r="J6167" i="13" s="1"/>
  <c r="N6168" i="13"/>
  <c r="M6170" i="13"/>
  <c r="M6171" i="14"/>
  <c r="N6167" i="14"/>
  <c r="J6166" i="14" a="1"/>
  <c r="J6166" i="14" s="1"/>
  <c r="K6004" i="14" l="1"/>
  <c r="L6004" i="14" s="1"/>
  <c r="I6005" i="14" s="1"/>
  <c r="K5982" i="13"/>
  <c r="L5982" i="13" s="1"/>
  <c r="I5983" i="13" s="1"/>
  <c r="N6168" i="14"/>
  <c r="J6167" i="14" a="1"/>
  <c r="J6167" i="14" s="1"/>
  <c r="M6171" i="13"/>
  <c r="J6168" i="13" a="1"/>
  <c r="J6168" i="13" s="1"/>
  <c r="N6169" i="13"/>
  <c r="M6172" i="14"/>
  <c r="K5983" i="13" l="1"/>
  <c r="L5983" i="13" s="1"/>
  <c r="I5984" i="13" s="1"/>
  <c r="K6005" i="14"/>
  <c r="L6005" i="14" s="1"/>
  <c r="I6006" i="14" s="1"/>
  <c r="N6170" i="13"/>
  <c r="J6169" i="13" a="1"/>
  <c r="J6169" i="13" s="1"/>
  <c r="M6173" i="14"/>
  <c r="M6172" i="13"/>
  <c r="J6168" i="14" a="1"/>
  <c r="J6168" i="14" s="1"/>
  <c r="N6169" i="14"/>
  <c r="K6006" i="14" l="1"/>
  <c r="L6006" i="14" s="1"/>
  <c r="I6007" i="14" s="1"/>
  <c r="K5984" i="13"/>
  <c r="L5984" i="13" s="1"/>
  <c r="I5985" i="13" s="1"/>
  <c r="N6170" i="14"/>
  <c r="J6169" i="14" a="1"/>
  <c r="J6169" i="14" s="1"/>
  <c r="M6174" i="14"/>
  <c r="M6173" i="13"/>
  <c r="J6170" i="13" a="1"/>
  <c r="J6170" i="13" s="1"/>
  <c r="N6171" i="13"/>
  <c r="K5985" i="13" l="1"/>
  <c r="L5985" i="13" s="1"/>
  <c r="I5986" i="13" s="1"/>
  <c r="K6007" i="14"/>
  <c r="L6007" i="14" s="1"/>
  <c r="I6008" i="14" s="1"/>
  <c r="J6171" i="13" a="1"/>
  <c r="J6171" i="13" s="1"/>
  <c r="N6172" i="13"/>
  <c r="M6175" i="14"/>
  <c r="M6174" i="13"/>
  <c r="N6171" i="14"/>
  <c r="J6170" i="14" a="1"/>
  <c r="J6170" i="14" s="1"/>
  <c r="K6008" i="14" l="1"/>
  <c r="L6008" i="14" s="1"/>
  <c r="I6009" i="14" s="1"/>
  <c r="K5986" i="13"/>
  <c r="L5986" i="13" s="1"/>
  <c r="I5987" i="13" s="1"/>
  <c r="N6172" i="14"/>
  <c r="J6171" i="14" a="1"/>
  <c r="J6171" i="14" s="1"/>
  <c r="M6176" i="14"/>
  <c r="N6173" i="13"/>
  <c r="J6172" i="13" a="1"/>
  <c r="J6172" i="13" s="1"/>
  <c r="M6175" i="13"/>
  <c r="K5987" i="13" l="1"/>
  <c r="L5987" i="13" s="1"/>
  <c r="I5988" i="13" s="1"/>
  <c r="K6009" i="14"/>
  <c r="L6009" i="14" s="1"/>
  <c r="I6010" i="14" s="1"/>
  <c r="M6176" i="13"/>
  <c r="M6177" i="14"/>
  <c r="N6174" i="13"/>
  <c r="J6173" i="13" a="1"/>
  <c r="J6173" i="13" s="1"/>
  <c r="J6172" i="14" a="1"/>
  <c r="J6172" i="14" s="1"/>
  <c r="N6173" i="14"/>
  <c r="K6010" i="14" l="1"/>
  <c r="L6010" i="14" s="1"/>
  <c r="I6011" i="14" s="1"/>
  <c r="K5988" i="13"/>
  <c r="L5988" i="13" s="1"/>
  <c r="I5989" i="13" s="1"/>
  <c r="N6174" i="14"/>
  <c r="J6173" i="14" a="1"/>
  <c r="J6173" i="14" s="1"/>
  <c r="M6178" i="14"/>
  <c r="M6177" i="13"/>
  <c r="J6174" i="13" a="1"/>
  <c r="J6174" i="13" s="1"/>
  <c r="N6175" i="13"/>
  <c r="K5989" i="13" l="1"/>
  <c r="L5989" i="13" s="1"/>
  <c r="I5990" i="13" s="1"/>
  <c r="K6011" i="14"/>
  <c r="L6011" i="14" s="1"/>
  <c r="I6012" i="14" s="1"/>
  <c r="N6176" i="13"/>
  <c r="J6175" i="13" a="1"/>
  <c r="J6175" i="13" s="1"/>
  <c r="M6179" i="14"/>
  <c r="M6178" i="13"/>
  <c r="N6175" i="14"/>
  <c r="J6174" i="14" a="1"/>
  <c r="J6174" i="14" s="1"/>
  <c r="K6012" i="14" l="1"/>
  <c r="L6012" i="14" s="1"/>
  <c r="I6013" i="14" s="1"/>
  <c r="K5990" i="13"/>
  <c r="L5990" i="13" s="1"/>
  <c r="I5991" i="13" s="1"/>
  <c r="N6176" i="14"/>
  <c r="J6175" i="14" a="1"/>
  <c r="J6175" i="14" s="1"/>
  <c r="M6180" i="14"/>
  <c r="M6179" i="13"/>
  <c r="J6176" i="13" a="1"/>
  <c r="J6176" i="13" s="1"/>
  <c r="N6177" i="13"/>
  <c r="K5991" i="13" l="1"/>
  <c r="L5991" i="13" s="1"/>
  <c r="I5992" i="13" s="1"/>
  <c r="K6013" i="14"/>
  <c r="L6013" i="14" s="1"/>
  <c r="I6014" i="14" s="1"/>
  <c r="M6181" i="14"/>
  <c r="N6178" i="13"/>
  <c r="J6177" i="13" a="1"/>
  <c r="J6177" i="13" s="1"/>
  <c r="M6180" i="13"/>
  <c r="J6176" i="14" a="1"/>
  <c r="J6176" i="14" s="1"/>
  <c r="N6177" i="14"/>
  <c r="K6014" i="14" l="1"/>
  <c r="L6014" i="14" s="1"/>
  <c r="I6015" i="14" s="1"/>
  <c r="K5992" i="13"/>
  <c r="L5992" i="13" s="1"/>
  <c r="I5993" i="13" s="1"/>
  <c r="N6178" i="14"/>
  <c r="J6177" i="14" a="1"/>
  <c r="J6177" i="14" s="1"/>
  <c r="J6178" i="13" a="1"/>
  <c r="J6178" i="13" s="1"/>
  <c r="N6179" i="13"/>
  <c r="M6182" i="14"/>
  <c r="M6181" i="13"/>
  <c r="K5993" i="13" l="1"/>
  <c r="L5993" i="13" s="1"/>
  <c r="I5994" i="13" s="1"/>
  <c r="K6015" i="14"/>
  <c r="L6015" i="14" s="1"/>
  <c r="I6016" i="14" s="1"/>
  <c r="J6179" i="13" a="1"/>
  <c r="J6179" i="13" s="1"/>
  <c r="N6180" i="13"/>
  <c r="M6182" i="13"/>
  <c r="M6183" i="14"/>
  <c r="N6179" i="14"/>
  <c r="J6178" i="14" a="1"/>
  <c r="J6178" i="14" s="1"/>
  <c r="K6016" i="14" l="1"/>
  <c r="L6016" i="14" s="1"/>
  <c r="I6017" i="14" s="1"/>
  <c r="K5994" i="13"/>
  <c r="L5994" i="13" s="1"/>
  <c r="I5995" i="13" s="1"/>
  <c r="M6183" i="13"/>
  <c r="N6180" i="14"/>
  <c r="J6179" i="14" a="1"/>
  <c r="J6179" i="14" s="1"/>
  <c r="N6181" i="13"/>
  <c r="J6180" i="13" a="1"/>
  <c r="J6180" i="13" s="1"/>
  <c r="M6184" i="14"/>
  <c r="K5995" i="13" l="1"/>
  <c r="L5995" i="13" s="1"/>
  <c r="I5996" i="13" s="1"/>
  <c r="K6017" i="14"/>
  <c r="L6017" i="14" s="1"/>
  <c r="I6018" i="14" s="1"/>
  <c r="M6185" i="14"/>
  <c r="J6180" i="14" a="1"/>
  <c r="J6180" i="14" s="1"/>
  <c r="N6181" i="14"/>
  <c r="N6182" i="13"/>
  <c r="J6181" i="13" a="1"/>
  <c r="J6181" i="13" s="1"/>
  <c r="M6184" i="13"/>
  <c r="K6018" i="14" l="1"/>
  <c r="L6018" i="14" s="1"/>
  <c r="I6019" i="14" s="1"/>
  <c r="K5996" i="13"/>
  <c r="L5996" i="13" s="1"/>
  <c r="I5997" i="13" s="1"/>
  <c r="M6185" i="13"/>
  <c r="N6182" i="14"/>
  <c r="J6181" i="14" a="1"/>
  <c r="J6181" i="14" s="1"/>
  <c r="M6186" i="14"/>
  <c r="J6182" i="13" a="1"/>
  <c r="J6182" i="13" s="1"/>
  <c r="N6183" i="13"/>
  <c r="K5997" i="13" l="1"/>
  <c r="L5997" i="13" s="1"/>
  <c r="I5998" i="13" s="1"/>
  <c r="K6019" i="14"/>
  <c r="L6019" i="14" s="1"/>
  <c r="I6020" i="14" s="1"/>
  <c r="N6183" i="14"/>
  <c r="J6182" i="14" a="1"/>
  <c r="J6182" i="14" s="1"/>
  <c r="N6184" i="13"/>
  <c r="J6183" i="13" a="1"/>
  <c r="J6183" i="13" s="1"/>
  <c r="M6187" i="14"/>
  <c r="M6186" i="13"/>
  <c r="K6020" i="14" l="1"/>
  <c r="L6020" i="14" s="1"/>
  <c r="I6021" i="14" s="1"/>
  <c r="K5998" i="13"/>
  <c r="L5998" i="13" s="1"/>
  <c r="I5999" i="13" s="1"/>
  <c r="N6185" i="13"/>
  <c r="J6184" i="13" a="1"/>
  <c r="J6184" i="13" s="1"/>
  <c r="M6187" i="13"/>
  <c r="M6188" i="14"/>
  <c r="N6184" i="14"/>
  <c r="J6183" i="14" a="1"/>
  <c r="J6183" i="14" s="1"/>
  <c r="K5999" i="13" l="1"/>
  <c r="L5999" i="13" s="1"/>
  <c r="I6000" i="13" s="1"/>
  <c r="K6021" i="14"/>
  <c r="L6021" i="14" s="1"/>
  <c r="I6022" i="14" s="1"/>
  <c r="M6188" i="13"/>
  <c r="J6184" i="14" a="1"/>
  <c r="J6184" i="14" s="1"/>
  <c r="N6185" i="14"/>
  <c r="M6189" i="14"/>
  <c r="N6186" i="13"/>
  <c r="J6185" i="13" a="1"/>
  <c r="J6185" i="13" s="1"/>
  <c r="K6022" i="14" l="1"/>
  <c r="L6022" i="14" s="1"/>
  <c r="I6023" i="14" s="1"/>
  <c r="K6000" i="13"/>
  <c r="L6000" i="13" s="1"/>
  <c r="I6001" i="13" s="1"/>
  <c r="N6186" i="14"/>
  <c r="J6185" i="14" a="1"/>
  <c r="J6185" i="14" s="1"/>
  <c r="M6190" i="14"/>
  <c r="J6186" i="13" a="1"/>
  <c r="J6186" i="13" s="1"/>
  <c r="N6187" i="13"/>
  <c r="M6189" i="13"/>
  <c r="K6001" i="13" l="1"/>
  <c r="L6001" i="13" s="1"/>
  <c r="I6002" i="13" s="1"/>
  <c r="K6023" i="14"/>
  <c r="L6023" i="14" s="1"/>
  <c r="I6024" i="14" s="1"/>
  <c r="N6188" i="13"/>
  <c r="J6187" i="13" a="1"/>
  <c r="J6187" i="13" s="1"/>
  <c r="M6190" i="13"/>
  <c r="M6191" i="14"/>
  <c r="N6187" i="14"/>
  <c r="J6186" i="14" a="1"/>
  <c r="J6186" i="14" s="1"/>
  <c r="K6024" i="14" l="1"/>
  <c r="L6024" i="14" s="1"/>
  <c r="I6025" i="14" s="1"/>
  <c r="K6002" i="13"/>
  <c r="L6002" i="13" s="1"/>
  <c r="I6003" i="13" s="1"/>
  <c r="M6191" i="13"/>
  <c r="N6188" i="14"/>
  <c r="J6187" i="14" a="1"/>
  <c r="J6187" i="14" s="1"/>
  <c r="M6192" i="14"/>
  <c r="N6189" i="13"/>
  <c r="J6188" i="13" a="1"/>
  <c r="J6188" i="13" s="1"/>
  <c r="K6003" i="13" l="1"/>
  <c r="L6003" i="13" s="1"/>
  <c r="I6004" i="13" s="1"/>
  <c r="K6025" i="14"/>
  <c r="L6025" i="14" s="1"/>
  <c r="I6026" i="14" s="1"/>
  <c r="N6189" i="14"/>
  <c r="J6188" i="14" a="1"/>
  <c r="J6188" i="14" s="1"/>
  <c r="M6193" i="14"/>
  <c r="N6190" i="13"/>
  <c r="J6189" i="13" a="1"/>
  <c r="J6189" i="13" s="1"/>
  <c r="M6192" i="13"/>
  <c r="K6026" i="14" l="1"/>
  <c r="L6026" i="14" s="1"/>
  <c r="I6027" i="14" s="1"/>
  <c r="K6004" i="13"/>
  <c r="L6004" i="13" s="1"/>
  <c r="I6005" i="13" s="1"/>
  <c r="M6194" i="14"/>
  <c r="M6193" i="13"/>
  <c r="J6190" i="13" a="1"/>
  <c r="J6190" i="13" s="1"/>
  <c r="N6191" i="13"/>
  <c r="J6189" i="14" a="1"/>
  <c r="J6189" i="14" s="1"/>
  <c r="N6190" i="14"/>
  <c r="K6005" i="13" l="1"/>
  <c r="L6005" i="13" s="1"/>
  <c r="I6006" i="13" s="1"/>
  <c r="K6027" i="14"/>
  <c r="L6027" i="14" s="1"/>
  <c r="I6028" i="14" s="1"/>
  <c r="N6191" i="14"/>
  <c r="J6190" i="14" a="1"/>
  <c r="J6190" i="14" s="1"/>
  <c r="M6194" i="13"/>
  <c r="N6192" i="13"/>
  <c r="J6191" i="13" a="1"/>
  <c r="J6191" i="13" s="1"/>
  <c r="M6195" i="14"/>
  <c r="K6028" i="14" l="1"/>
  <c r="L6028" i="14" s="1"/>
  <c r="I6029" i="14" s="1"/>
  <c r="K6006" i="13"/>
  <c r="L6006" i="13" s="1"/>
  <c r="I6007" i="13" s="1"/>
  <c r="M6196" i="14"/>
  <c r="M6195" i="13"/>
  <c r="N6193" i="13"/>
  <c r="J6192" i="13" a="1"/>
  <c r="J6192" i="13" s="1"/>
  <c r="J6191" i="14" a="1"/>
  <c r="J6191" i="14" s="1"/>
  <c r="N6192" i="14"/>
  <c r="K6007" i="13" l="1"/>
  <c r="L6007" i="13" s="1"/>
  <c r="I6008" i="13" s="1"/>
  <c r="K6029" i="14"/>
  <c r="L6029" i="14" s="1"/>
  <c r="I6030" i="14" s="1"/>
  <c r="J6192" i="14" a="1"/>
  <c r="J6192" i="14" s="1"/>
  <c r="N6193" i="14"/>
  <c r="M6196" i="13"/>
  <c r="N6194" i="13"/>
  <c r="J6193" i="13" a="1"/>
  <c r="J6193" i="13" s="1"/>
  <c r="M6197" i="14"/>
  <c r="K6030" i="14" l="1"/>
  <c r="L6030" i="14" s="1"/>
  <c r="I6031" i="14" s="1"/>
  <c r="K6008" i="13"/>
  <c r="L6008" i="13" s="1"/>
  <c r="I6009" i="13" s="1"/>
  <c r="M6198" i="14"/>
  <c r="M6197" i="13"/>
  <c r="J6194" i="13" a="1"/>
  <c r="J6194" i="13" s="1"/>
  <c r="N6195" i="13"/>
  <c r="J6193" i="14" a="1"/>
  <c r="J6193" i="14" s="1"/>
  <c r="N6194" i="14"/>
  <c r="K6009" i="13" l="1"/>
  <c r="L6009" i="13" s="1"/>
  <c r="I6010" i="13" s="1"/>
  <c r="K6031" i="14"/>
  <c r="L6031" i="14" s="1"/>
  <c r="I6032" i="14" s="1"/>
  <c r="N6195" i="14"/>
  <c r="J6194" i="14" a="1"/>
  <c r="J6194" i="14" s="1"/>
  <c r="M6198" i="13"/>
  <c r="N6196" i="13"/>
  <c r="J6195" i="13" a="1"/>
  <c r="J6195" i="13" s="1"/>
  <c r="M6199" i="14"/>
  <c r="K6032" i="14" l="1"/>
  <c r="L6032" i="14" s="1"/>
  <c r="I6033" i="14" s="1"/>
  <c r="K6010" i="13"/>
  <c r="L6010" i="13" s="1"/>
  <c r="I6011" i="13" s="1"/>
  <c r="M6199" i="13"/>
  <c r="N6197" i="13"/>
  <c r="J6196" i="13" a="1"/>
  <c r="J6196" i="13" s="1"/>
  <c r="M6200" i="14"/>
  <c r="J6195" i="14" a="1"/>
  <c r="J6195" i="14" s="1"/>
  <c r="N6196" i="14"/>
  <c r="K6011" i="13" l="1"/>
  <c r="L6011" i="13" s="1"/>
  <c r="I6012" i="13" s="1"/>
  <c r="K6033" i="14"/>
  <c r="L6033" i="14" s="1"/>
  <c r="I6034" i="14" s="1"/>
  <c r="N6198" i="13"/>
  <c r="J6197" i="13" a="1"/>
  <c r="J6197" i="13" s="1"/>
  <c r="J6196" i="14" a="1"/>
  <c r="J6196" i="14" s="1"/>
  <c r="N6197" i="14"/>
  <c r="M6201" i="14"/>
  <c r="M6200" i="13"/>
  <c r="K6034" i="14" l="1"/>
  <c r="L6034" i="14" s="1"/>
  <c r="I6035" i="14" s="1"/>
  <c r="K6012" i="13"/>
  <c r="L6012" i="13" s="1"/>
  <c r="I6013" i="13" s="1"/>
  <c r="M6201" i="13"/>
  <c r="J6197" i="14" a="1"/>
  <c r="J6197" i="14" s="1"/>
  <c r="N6198" i="14"/>
  <c r="M6202" i="14"/>
  <c r="J6198" i="13" a="1"/>
  <c r="J6198" i="13" s="1"/>
  <c r="N6199" i="13"/>
  <c r="K6013" i="13" l="1"/>
  <c r="L6013" i="13" s="1"/>
  <c r="I6014" i="13" s="1"/>
  <c r="K6035" i="14"/>
  <c r="L6035" i="14" s="1"/>
  <c r="I6036" i="14" s="1"/>
  <c r="N6199" i="14"/>
  <c r="J6198" i="14" a="1"/>
  <c r="J6198" i="14" s="1"/>
  <c r="N6200" i="13"/>
  <c r="J6199" i="13" a="1"/>
  <c r="J6199" i="13" s="1"/>
  <c r="M6203" i="14"/>
  <c r="M6202" i="13"/>
  <c r="K6036" i="14" l="1"/>
  <c r="L6036" i="14" s="1"/>
  <c r="I6037" i="14" s="1"/>
  <c r="K6014" i="13"/>
  <c r="L6014" i="13" s="1"/>
  <c r="I6015" i="13" s="1"/>
  <c r="N6201" i="13"/>
  <c r="J6200" i="13" a="1"/>
  <c r="J6200" i="13" s="1"/>
  <c r="M6203" i="13"/>
  <c r="M6204" i="14"/>
  <c r="J6199" i="14" a="1"/>
  <c r="J6199" i="14" s="1"/>
  <c r="N6200" i="14"/>
  <c r="K6015" i="13" l="1"/>
  <c r="L6015" i="13" s="1"/>
  <c r="I6016" i="13" s="1"/>
  <c r="J6200" i="14" a="1"/>
  <c r="J6200" i="14" s="1"/>
  <c r="N6201" i="14"/>
  <c r="M6204" i="13"/>
  <c r="M6205" i="14"/>
  <c r="N6202" i="13"/>
  <c r="J6201" i="13" a="1"/>
  <c r="J6201" i="13" s="1"/>
  <c r="K6037" i="14"/>
  <c r="L6037" i="14" s="1"/>
  <c r="I6038" i="14" s="1"/>
  <c r="K6038" i="14" l="1"/>
  <c r="L6038" i="14" s="1"/>
  <c r="I6039" i="14" s="1"/>
  <c r="K6016" i="13"/>
  <c r="L6016" i="13" s="1"/>
  <c r="I6017" i="13" s="1"/>
  <c r="M6206" i="14"/>
  <c r="N6202" i="14"/>
  <c r="J6201" i="14" a="1"/>
  <c r="J6201" i="14" s="1"/>
  <c r="M6205" i="13"/>
  <c r="J6202" i="13" a="1"/>
  <c r="J6202" i="13" s="1"/>
  <c r="N6203" i="13"/>
  <c r="K6039" i="14" l="1"/>
  <c r="L6039" i="14" s="1"/>
  <c r="I6040" i="14" s="1"/>
  <c r="N6204" i="13"/>
  <c r="J6203" i="13" a="1"/>
  <c r="J6203" i="13" s="1"/>
  <c r="N6203" i="14"/>
  <c r="J6202" i="14" a="1"/>
  <c r="J6202" i="14" s="1"/>
  <c r="K6017" i="13"/>
  <c r="L6017" i="13" s="1"/>
  <c r="I6018" i="13" s="1"/>
  <c r="M6206" i="13"/>
  <c r="M6207" i="14"/>
  <c r="K6040" i="14" l="1"/>
  <c r="L6040" i="14" s="1"/>
  <c r="I6041" i="14" s="1"/>
  <c r="M6208" i="14"/>
  <c r="N6205" i="13"/>
  <c r="J6204" i="13" a="1"/>
  <c r="J6204" i="13" s="1"/>
  <c r="M6207" i="13"/>
  <c r="K6018" i="13"/>
  <c r="L6018" i="13" s="1"/>
  <c r="I6019" i="13" s="1"/>
  <c r="J6203" i="14" a="1"/>
  <c r="J6203" i="14" s="1"/>
  <c r="N6204" i="14"/>
  <c r="K6019" i="13" l="1"/>
  <c r="L6019" i="13" s="1"/>
  <c r="I6020" i="13" s="1"/>
  <c r="K6041" i="14"/>
  <c r="L6041" i="14" s="1"/>
  <c r="I6042" i="14" s="1"/>
  <c r="N6205" i="14"/>
  <c r="J6204" i="14" a="1"/>
  <c r="J6204" i="14" s="1"/>
  <c r="M6208" i="13"/>
  <c r="M6209" i="14"/>
  <c r="N6206" i="13"/>
  <c r="J6205" i="13" a="1"/>
  <c r="J6205" i="13" s="1"/>
  <c r="K6020" i="13" l="1"/>
  <c r="L6020" i="13" s="1"/>
  <c r="I6021" i="13" s="1"/>
  <c r="M6209" i="13"/>
  <c r="K6042" i="14"/>
  <c r="L6042" i="14" s="1"/>
  <c r="I6043" i="14" s="1"/>
  <c r="M6210" i="14"/>
  <c r="J6206" i="13" a="1"/>
  <c r="J6206" i="13" s="1"/>
  <c r="N6207" i="13"/>
  <c r="N6206" i="14"/>
  <c r="J6205" i="14" a="1"/>
  <c r="J6205" i="14" s="1"/>
  <c r="K6043" i="14" l="1"/>
  <c r="L6043" i="14" s="1"/>
  <c r="I6044" i="14" s="1"/>
  <c r="K6021" i="13"/>
  <c r="L6021" i="13" s="1"/>
  <c r="I6022" i="13" s="1"/>
  <c r="N6207" i="14"/>
  <c r="J6206" i="14" a="1"/>
  <c r="J6206" i="14" s="1"/>
  <c r="M6211" i="14"/>
  <c r="M6210" i="13"/>
  <c r="N6208" i="13"/>
  <c r="J6207" i="13" a="1"/>
  <c r="J6207" i="13" s="1"/>
  <c r="K6022" i="13" l="1"/>
  <c r="L6022" i="13" s="1"/>
  <c r="I6023" i="13" s="1"/>
  <c r="K6044" i="14"/>
  <c r="L6044" i="14" s="1"/>
  <c r="I6045" i="14" s="1"/>
  <c r="N6209" i="13"/>
  <c r="J6208" i="13" a="1"/>
  <c r="J6208" i="13" s="1"/>
  <c r="M6212" i="14"/>
  <c r="M6211" i="13"/>
  <c r="J6207" i="14" a="1"/>
  <c r="J6207" i="14" s="1"/>
  <c r="N6208" i="14"/>
  <c r="K6045" i="14" l="1"/>
  <c r="L6045" i="14" s="1"/>
  <c r="I6046" i="14" s="1"/>
  <c r="K6023" i="13"/>
  <c r="L6023" i="13" s="1"/>
  <c r="I6024" i="13" s="1"/>
  <c r="N6209" i="14"/>
  <c r="J6208" i="14" a="1"/>
  <c r="J6208" i="14" s="1"/>
  <c r="M6213" i="14"/>
  <c r="M6212" i="13"/>
  <c r="N6210" i="13"/>
  <c r="J6209" i="13" a="1"/>
  <c r="J6209" i="13" s="1"/>
  <c r="K6024" i="13" l="1"/>
  <c r="L6024" i="13" s="1"/>
  <c r="I6025" i="13" s="1"/>
  <c r="K6046" i="14"/>
  <c r="L6046" i="14" s="1"/>
  <c r="I6047" i="14" s="1"/>
  <c r="M6214" i="14"/>
  <c r="J6210" i="13" a="1"/>
  <c r="J6210" i="13" s="1"/>
  <c r="N6211" i="13"/>
  <c r="M6213" i="13"/>
  <c r="N6210" i="14"/>
  <c r="J6209" i="14" a="1"/>
  <c r="J6209" i="14" s="1"/>
  <c r="K6025" i="13" l="1"/>
  <c r="L6025" i="13" s="1"/>
  <c r="I6026" i="13" s="1"/>
  <c r="N6212" i="13"/>
  <c r="J6211" i="13" a="1"/>
  <c r="J6211" i="13" s="1"/>
  <c r="K6047" i="14"/>
  <c r="L6047" i="14" s="1"/>
  <c r="I6048" i="14" s="1"/>
  <c r="N6211" i="14"/>
  <c r="J6210" i="14" a="1"/>
  <c r="J6210" i="14" s="1"/>
  <c r="M6214" i="13"/>
  <c r="M6215" i="14"/>
  <c r="K6048" i="14" l="1"/>
  <c r="L6048" i="14" s="1"/>
  <c r="I6049" i="14" s="1"/>
  <c r="K6026" i="13"/>
  <c r="L6026" i="13" s="1"/>
  <c r="I6027" i="13" s="1"/>
  <c r="M6216" i="14"/>
  <c r="N6213" i="13"/>
  <c r="J6212" i="13" a="1"/>
  <c r="J6212" i="13" s="1"/>
  <c r="J6211" i="14" a="1"/>
  <c r="J6211" i="14" s="1"/>
  <c r="N6212" i="14"/>
  <c r="M6215" i="13"/>
  <c r="K6027" i="13" l="1"/>
  <c r="L6027" i="13" s="1"/>
  <c r="I6028" i="13" s="1"/>
  <c r="K6049" i="14"/>
  <c r="L6049" i="14" s="1"/>
  <c r="I6050" i="14" s="1"/>
  <c r="N6214" i="13"/>
  <c r="J6213" i="13" a="1"/>
  <c r="J6213" i="13" s="1"/>
  <c r="N6213" i="14"/>
  <c r="J6212" i="14" a="1"/>
  <c r="J6212" i="14" s="1"/>
  <c r="M6217" i="14"/>
  <c r="M6216" i="13"/>
  <c r="K6050" i="14" l="1"/>
  <c r="L6050" i="14" s="1"/>
  <c r="I6051" i="14" s="1"/>
  <c r="K6028" i="13"/>
  <c r="L6028" i="13" s="1"/>
  <c r="I6029" i="13" s="1"/>
  <c r="N6214" i="14"/>
  <c r="J6213" i="14" a="1"/>
  <c r="J6213" i="14" s="1"/>
  <c r="M6217" i="13"/>
  <c r="M6218" i="14"/>
  <c r="J6214" i="13" a="1"/>
  <c r="J6214" i="13" s="1"/>
  <c r="N6215" i="13"/>
  <c r="K6029" i="13" l="1"/>
  <c r="L6029" i="13" s="1"/>
  <c r="I6030" i="13" s="1"/>
  <c r="K6051" i="14"/>
  <c r="L6051" i="14" s="1"/>
  <c r="I6052" i="14" s="1"/>
  <c r="N6216" i="13"/>
  <c r="J6215" i="13" a="1"/>
  <c r="J6215" i="13" s="1"/>
  <c r="M6218" i="13"/>
  <c r="M6219" i="14"/>
  <c r="N6215" i="14"/>
  <c r="J6214" i="14" a="1"/>
  <c r="J6214" i="14" s="1"/>
  <c r="K6052" i="14" l="1"/>
  <c r="L6052" i="14" s="1"/>
  <c r="I6053" i="14" s="1"/>
  <c r="K6030" i="13"/>
  <c r="L6030" i="13" s="1"/>
  <c r="I6031" i="13" s="1"/>
  <c r="J6215" i="14" a="1"/>
  <c r="J6215" i="14" s="1"/>
  <c r="N6216" i="14"/>
  <c r="M6219" i="13"/>
  <c r="M6220" i="14"/>
  <c r="N6217" i="13"/>
  <c r="J6216" i="13" a="1"/>
  <c r="J6216" i="13" s="1"/>
  <c r="K6031" i="13" l="1"/>
  <c r="L6031" i="13" s="1"/>
  <c r="I6032" i="13" s="1"/>
  <c r="K6053" i="14"/>
  <c r="L6053" i="14" s="1"/>
  <c r="I6054" i="14" s="1"/>
  <c r="M6220" i="13"/>
  <c r="N6218" i="13"/>
  <c r="J6217" i="13" a="1"/>
  <c r="J6217" i="13" s="1"/>
  <c r="N6217" i="14"/>
  <c r="J6216" i="14" a="1"/>
  <c r="J6216" i="14" s="1"/>
  <c r="M6221" i="14"/>
  <c r="K6054" i="14" l="1"/>
  <c r="L6054" i="14" s="1"/>
  <c r="I6055" i="14" s="1"/>
  <c r="K6032" i="13"/>
  <c r="L6032" i="13" s="1"/>
  <c r="I6033" i="13" s="1"/>
  <c r="M6222" i="14"/>
  <c r="J6218" i="13" a="1"/>
  <c r="J6218" i="13" s="1"/>
  <c r="N6219" i="13"/>
  <c r="M6221" i="13"/>
  <c r="N6218" i="14"/>
  <c r="J6217" i="14" a="1"/>
  <c r="J6217" i="14" s="1"/>
  <c r="K6033" i="13" l="1"/>
  <c r="L6033" i="13" s="1"/>
  <c r="I6034" i="13" s="1"/>
  <c r="K6055" i="14"/>
  <c r="L6055" i="14" s="1"/>
  <c r="I6056" i="14" s="1"/>
  <c r="N6220" i="13"/>
  <c r="J6219" i="13" a="1"/>
  <c r="J6219" i="13" s="1"/>
  <c r="N6219" i="14"/>
  <c r="J6218" i="14" a="1"/>
  <c r="J6218" i="14" s="1"/>
  <c r="M6222" i="13"/>
  <c r="M6223" i="14"/>
  <c r="K6056" i="14" l="1"/>
  <c r="L6056" i="14" s="1"/>
  <c r="I6057" i="14" s="1"/>
  <c r="K6034" i="13"/>
  <c r="L6034" i="13" s="1"/>
  <c r="I6035" i="13" s="1"/>
  <c r="J6219" i="14" a="1"/>
  <c r="J6219" i="14" s="1"/>
  <c r="N6220" i="14"/>
  <c r="M6224" i="14"/>
  <c r="M6223" i="13"/>
  <c r="N6221" i="13"/>
  <c r="J6220" i="13" a="1"/>
  <c r="J6220" i="13" s="1"/>
  <c r="K6035" i="13" l="1"/>
  <c r="L6035" i="13" s="1"/>
  <c r="I6036" i="13" s="1"/>
  <c r="K6057" i="14"/>
  <c r="L6057" i="14" s="1"/>
  <c r="I6058" i="14" s="1"/>
  <c r="N6222" i="13"/>
  <c r="J6221" i="13" a="1"/>
  <c r="J6221" i="13" s="1"/>
  <c r="M6225" i="14"/>
  <c r="J6220" i="14" a="1"/>
  <c r="J6220" i="14" s="1"/>
  <c r="N6221" i="14"/>
  <c r="M6224" i="13"/>
  <c r="K6058" i="14" l="1"/>
  <c r="L6058" i="14" s="1"/>
  <c r="I6059" i="14" s="1"/>
  <c r="K6036" i="13"/>
  <c r="L6036" i="13" s="1"/>
  <c r="I6037" i="13" s="1"/>
  <c r="M6225" i="13"/>
  <c r="M6226" i="14"/>
  <c r="N6222" i="14"/>
  <c r="J6221" i="14" a="1"/>
  <c r="J6221" i="14" s="1"/>
  <c r="J6222" i="13" a="1"/>
  <c r="J6222" i="13" s="1"/>
  <c r="N6223" i="13"/>
  <c r="K6037" i="13" l="1"/>
  <c r="L6037" i="13" s="1"/>
  <c r="I6038" i="13" s="1"/>
  <c r="K6059" i="14"/>
  <c r="L6059" i="14" s="1"/>
  <c r="I6060" i="14" s="1"/>
  <c r="N6224" i="13"/>
  <c r="J6223" i="13" a="1"/>
  <c r="J6223" i="13" s="1"/>
  <c r="M6227" i="14"/>
  <c r="N6223" i="14"/>
  <c r="J6222" i="14" a="1"/>
  <c r="J6222" i="14" s="1"/>
  <c r="M6226" i="13"/>
  <c r="K6060" i="14" l="1"/>
  <c r="L6060" i="14" s="1"/>
  <c r="I6061" i="14" s="1"/>
  <c r="K6038" i="13"/>
  <c r="L6038" i="13" s="1"/>
  <c r="I6039" i="13" s="1"/>
  <c r="M6227" i="13"/>
  <c r="M6228" i="14"/>
  <c r="J6223" i="14" a="1"/>
  <c r="J6223" i="14" s="1"/>
  <c r="N6224" i="14"/>
  <c r="J6224" i="13" a="1"/>
  <c r="J6224" i="13" s="1"/>
  <c r="N6225" i="13"/>
  <c r="K6039" i="13" l="1"/>
  <c r="L6039" i="13" s="1"/>
  <c r="I6040" i="13" s="1"/>
  <c r="K6061" i="14"/>
  <c r="L6061" i="14" s="1"/>
  <c r="I6062" i="14" s="1"/>
  <c r="N6226" i="13"/>
  <c r="J6225" i="13" a="1"/>
  <c r="J6225" i="13" s="1"/>
  <c r="M6229" i="14"/>
  <c r="J6224" i="14" a="1"/>
  <c r="J6224" i="14" s="1"/>
  <c r="N6225" i="14"/>
  <c r="M6228" i="13"/>
  <c r="K6062" i="14" l="1"/>
  <c r="L6062" i="14" s="1"/>
  <c r="I6063" i="14" s="1"/>
  <c r="K6040" i="13"/>
  <c r="L6040" i="13" s="1"/>
  <c r="I6041" i="13" s="1"/>
  <c r="M6229" i="13"/>
  <c r="M6230" i="14"/>
  <c r="N6226" i="14"/>
  <c r="J6225" i="14" a="1"/>
  <c r="J6225" i="14" s="1"/>
  <c r="J6226" i="13" a="1"/>
  <c r="J6226" i="13" s="1"/>
  <c r="N6227" i="13"/>
  <c r="K6041" i="13" l="1"/>
  <c r="L6041" i="13" s="1"/>
  <c r="I6042" i="13" s="1"/>
  <c r="K6063" i="14"/>
  <c r="L6063" i="14" s="1"/>
  <c r="I6064" i="14" s="1"/>
  <c r="J6227" i="13" a="1"/>
  <c r="J6227" i="13" s="1"/>
  <c r="N6228" i="13"/>
  <c r="M6231" i="14"/>
  <c r="N6227" i="14"/>
  <c r="J6226" i="14" a="1"/>
  <c r="J6226" i="14" s="1"/>
  <c r="M6230" i="13"/>
  <c r="K6064" i="14" l="1"/>
  <c r="L6064" i="14" s="1"/>
  <c r="I6065" i="14" s="1"/>
  <c r="K6042" i="13"/>
  <c r="L6042" i="13" s="1"/>
  <c r="I6043" i="13" s="1"/>
  <c r="M6231" i="13"/>
  <c r="J6227" i="14" a="1"/>
  <c r="J6227" i="14" s="1"/>
  <c r="N6228" i="14"/>
  <c r="M6232" i="14"/>
  <c r="N6229" i="13"/>
  <c r="J6228" i="13" a="1"/>
  <c r="J6228" i="13" s="1"/>
  <c r="K6043" i="13" l="1"/>
  <c r="L6043" i="13" s="1"/>
  <c r="I6044" i="13" s="1"/>
  <c r="K6065" i="14"/>
  <c r="L6065" i="14" s="1"/>
  <c r="I6066" i="14" s="1"/>
  <c r="J6228" i="14" a="1"/>
  <c r="J6228" i="14" s="1"/>
  <c r="N6229" i="14"/>
  <c r="N6230" i="13"/>
  <c r="J6229" i="13" a="1"/>
  <c r="J6229" i="13" s="1"/>
  <c r="M6233" i="14"/>
  <c r="M6232" i="13"/>
  <c r="K6066" i="14" l="1"/>
  <c r="L6066" i="14" s="1"/>
  <c r="I6067" i="14" s="1"/>
  <c r="K6044" i="13"/>
  <c r="L6044" i="13" s="1"/>
  <c r="I6045" i="13" s="1"/>
  <c r="J6230" i="13" a="1"/>
  <c r="J6230" i="13" s="1"/>
  <c r="N6231" i="13"/>
  <c r="M6233" i="13"/>
  <c r="M6234" i="14"/>
  <c r="N6230" i="14"/>
  <c r="J6229" i="14" a="1"/>
  <c r="J6229" i="14" s="1"/>
  <c r="K6045" i="13" l="1"/>
  <c r="L6045" i="13" s="1"/>
  <c r="I6046" i="13" s="1"/>
  <c r="K6067" i="14"/>
  <c r="L6067" i="14" s="1"/>
  <c r="I6068" i="14" s="1"/>
  <c r="N6231" i="14"/>
  <c r="J6230" i="14" a="1"/>
  <c r="J6230" i="14" s="1"/>
  <c r="M6234" i="13"/>
  <c r="N6232" i="13"/>
  <c r="J6231" i="13" a="1"/>
  <c r="J6231" i="13" s="1"/>
  <c r="M6235" i="14"/>
  <c r="K6068" i="14" l="1"/>
  <c r="L6068" i="14" s="1"/>
  <c r="I6069" i="14" s="1"/>
  <c r="K6046" i="13"/>
  <c r="L6046" i="13" s="1"/>
  <c r="I6047" i="13" s="1"/>
  <c r="M6236" i="14"/>
  <c r="M6235" i="13"/>
  <c r="N6233" i="13"/>
  <c r="J6232" i="13" a="1"/>
  <c r="J6232" i="13" s="1"/>
  <c r="J6231" i="14" a="1"/>
  <c r="J6231" i="14" s="1"/>
  <c r="N6232" i="14"/>
  <c r="K6047" i="13" l="1"/>
  <c r="L6047" i="13" s="1"/>
  <c r="I6048" i="13" s="1"/>
  <c r="K6069" i="14"/>
  <c r="L6069" i="14" s="1"/>
  <c r="I6070" i="14" s="1"/>
  <c r="N6233" i="14"/>
  <c r="J6232" i="14" a="1"/>
  <c r="J6232" i="14" s="1"/>
  <c r="M6236" i="13"/>
  <c r="M6237" i="14"/>
  <c r="N6234" i="13"/>
  <c r="J6233" i="13" a="1"/>
  <c r="J6233" i="13" s="1"/>
  <c r="K6070" i="14" l="1"/>
  <c r="L6070" i="14" s="1"/>
  <c r="I6071" i="14" s="1"/>
  <c r="K6048" i="13"/>
  <c r="L6048" i="13" s="1"/>
  <c r="I6049" i="13" s="1"/>
  <c r="M6237" i="13"/>
  <c r="J6234" i="13" a="1"/>
  <c r="J6234" i="13" s="1"/>
  <c r="N6235" i="13"/>
  <c r="M6238" i="14"/>
  <c r="J6233" i="14" a="1"/>
  <c r="J6233" i="14" s="1"/>
  <c r="N6234" i="14"/>
  <c r="K6049" i="13" l="1"/>
  <c r="L6049" i="13" s="1"/>
  <c r="I6050" i="13" s="1"/>
  <c r="K6071" i="14"/>
  <c r="L6071" i="14" s="1"/>
  <c r="I6072" i="14" s="1"/>
  <c r="N6236" i="13"/>
  <c r="J6235" i="13" a="1"/>
  <c r="J6235" i="13" s="1"/>
  <c r="N6235" i="14"/>
  <c r="J6234" i="14" a="1"/>
  <c r="J6234" i="14" s="1"/>
  <c r="M6239" i="14"/>
  <c r="M6238" i="13"/>
  <c r="K6050" i="13" l="1"/>
  <c r="L6050" i="13" s="1"/>
  <c r="I6051" i="13" s="1"/>
  <c r="M6239" i="13"/>
  <c r="J6235" i="14" a="1"/>
  <c r="J6235" i="14" s="1"/>
  <c r="N6236" i="14"/>
  <c r="K6072" i="14"/>
  <c r="L6072" i="14" s="1"/>
  <c r="I6073" i="14" s="1"/>
  <c r="M6240" i="14"/>
  <c r="N6237" i="13"/>
  <c r="J6236" i="13" a="1"/>
  <c r="J6236" i="13" s="1"/>
  <c r="K6051" i="13" l="1"/>
  <c r="L6051" i="13" s="1"/>
  <c r="I6052" i="13" s="1"/>
  <c r="M6240" i="13"/>
  <c r="N6238" i="13"/>
  <c r="J6237" i="13" a="1"/>
  <c r="J6237" i="13" s="1"/>
  <c r="K6073" i="14"/>
  <c r="L6073" i="14" s="1"/>
  <c r="I6074" i="14" s="1"/>
  <c r="J6236" i="14" a="1"/>
  <c r="J6236" i="14" s="1"/>
  <c r="N6237" i="14"/>
  <c r="M6241" i="14"/>
  <c r="K6074" i="14" l="1"/>
  <c r="L6074" i="14" s="1"/>
  <c r="I6075" i="14" s="1"/>
  <c r="K6052" i="13"/>
  <c r="L6052" i="13" s="1"/>
  <c r="I6053" i="13" s="1"/>
  <c r="M6242" i="14"/>
  <c r="M6241" i="13"/>
  <c r="J6237" i="14" a="1"/>
  <c r="J6237" i="14" s="1"/>
  <c r="N6238" i="14"/>
  <c r="J6238" i="13" a="1"/>
  <c r="J6238" i="13" s="1"/>
  <c r="N6239" i="13"/>
  <c r="K6053" i="13" l="1"/>
  <c r="L6053" i="13" s="1"/>
  <c r="I6054" i="13" s="1"/>
  <c r="K6075" i="14"/>
  <c r="L6075" i="14" s="1"/>
  <c r="I6076" i="14" s="1"/>
  <c r="N6240" i="13"/>
  <c r="J6239" i="13" a="1"/>
  <c r="J6239" i="13" s="1"/>
  <c r="M6242" i="13"/>
  <c r="N6239" i="14"/>
  <c r="J6238" i="14" a="1"/>
  <c r="J6238" i="14" s="1"/>
  <c r="M6243" i="14"/>
  <c r="K6076" i="14" l="1"/>
  <c r="L6076" i="14" s="1"/>
  <c r="I6077" i="14" s="1"/>
  <c r="K6054" i="13"/>
  <c r="L6054" i="13" s="1"/>
  <c r="I6055" i="13" s="1"/>
  <c r="M6243" i="13"/>
  <c r="M6244" i="14"/>
  <c r="J6239" i="14" a="1"/>
  <c r="J6239" i="14" s="1"/>
  <c r="N6240" i="14"/>
  <c r="J6240" i="13" a="1"/>
  <c r="J6240" i="13" s="1"/>
  <c r="N6241" i="13"/>
  <c r="K6055" i="13" l="1"/>
  <c r="L6055" i="13" s="1"/>
  <c r="I6056" i="13" s="1"/>
  <c r="K6077" i="14"/>
  <c r="L6077" i="14" s="1"/>
  <c r="I6078" i="14" s="1"/>
  <c r="N6242" i="13"/>
  <c r="J6241" i="13" a="1"/>
  <c r="J6241" i="13" s="1"/>
  <c r="M6245" i="14"/>
  <c r="J6240" i="14" a="1"/>
  <c r="J6240" i="14" s="1"/>
  <c r="N6241" i="14"/>
  <c r="M6244" i="13"/>
  <c r="K6078" i="14" l="1"/>
  <c r="L6078" i="14" s="1"/>
  <c r="I6079" i="14" s="1"/>
  <c r="K6056" i="13"/>
  <c r="L6056" i="13" s="1"/>
  <c r="I6057" i="13" s="1"/>
  <c r="J6241" i="14" a="1"/>
  <c r="J6241" i="14" s="1"/>
  <c r="N6242" i="14"/>
  <c r="M6245" i="13"/>
  <c r="M6246" i="14"/>
  <c r="J6242" i="13" a="1"/>
  <c r="J6242" i="13" s="1"/>
  <c r="N6243" i="13"/>
  <c r="K6057" i="13" l="1"/>
  <c r="L6057" i="13" s="1"/>
  <c r="I6058" i="13" s="1"/>
  <c r="K6079" i="14"/>
  <c r="L6079" i="14" s="1"/>
  <c r="I6080" i="14" s="1"/>
  <c r="J6243" i="13" a="1"/>
  <c r="J6243" i="13" s="1"/>
  <c r="N6244" i="13"/>
  <c r="M6246" i="13"/>
  <c r="N6243" i="14"/>
  <c r="J6242" i="14" a="1"/>
  <c r="J6242" i="14" s="1"/>
  <c r="M6247" i="14"/>
  <c r="K6080" i="14" l="1"/>
  <c r="L6080" i="14" s="1"/>
  <c r="I6081" i="14" s="1"/>
  <c r="K6058" i="13"/>
  <c r="L6058" i="13" s="1"/>
  <c r="I6059" i="13" s="1"/>
  <c r="M6247" i="13"/>
  <c r="M6248" i="14"/>
  <c r="N6245" i="13"/>
  <c r="J6244" i="13" a="1"/>
  <c r="J6244" i="13" s="1"/>
  <c r="J6243" i="14" a="1"/>
  <c r="J6243" i="14" s="1"/>
  <c r="N6244" i="14"/>
  <c r="K6059" i="13" l="1"/>
  <c r="L6059" i="13" s="1"/>
  <c r="I6060" i="13" s="1"/>
  <c r="K6081" i="14"/>
  <c r="L6081" i="14" s="1"/>
  <c r="I6082" i="14" s="1"/>
  <c r="M6249" i="14"/>
  <c r="N6245" i="14"/>
  <c r="J6244" i="14" a="1"/>
  <c r="J6244" i="14" s="1"/>
  <c r="N6246" i="13"/>
  <c r="J6245" i="13" a="1"/>
  <c r="J6245" i="13" s="1"/>
  <c r="M6248" i="13"/>
  <c r="K6082" i="14" l="1"/>
  <c r="L6082" i="14" s="1"/>
  <c r="I6083" i="14" s="1"/>
  <c r="K6060" i="13"/>
  <c r="L6060" i="13" s="1"/>
  <c r="I6061" i="13" s="1"/>
  <c r="N6246" i="14"/>
  <c r="J6245" i="14" a="1"/>
  <c r="J6245" i="14" s="1"/>
  <c r="M6250" i="14"/>
  <c r="M6249" i="13"/>
  <c r="J6246" i="13" a="1"/>
  <c r="J6246" i="13" s="1"/>
  <c r="N6247" i="13"/>
  <c r="K6061" i="13" l="1"/>
  <c r="L6061" i="13" s="1"/>
  <c r="I6062" i="13" s="1"/>
  <c r="K6083" i="14"/>
  <c r="L6083" i="14" s="1"/>
  <c r="I6084" i="14" s="1"/>
  <c r="N6248" i="13"/>
  <c r="J6247" i="13" a="1"/>
  <c r="J6247" i="13" s="1"/>
  <c r="M6250" i="13"/>
  <c r="N6247" i="14"/>
  <c r="J6246" i="14" a="1"/>
  <c r="J6246" i="14" s="1"/>
  <c r="K6084" i="14" l="1"/>
  <c r="L6084" i="14" s="1"/>
  <c r="I6085" i="14" s="1"/>
  <c r="K6062" i="13"/>
  <c r="L6062" i="13" s="1"/>
  <c r="I6063" i="13" s="1"/>
  <c r="J6247" i="14" a="1"/>
  <c r="J6247" i="14" s="1"/>
  <c r="N6248" i="14"/>
  <c r="N6249" i="13"/>
  <c r="J6248" i="13" a="1"/>
  <c r="J6248" i="13" s="1"/>
  <c r="K6063" i="13" l="1"/>
  <c r="L6063" i="13" s="1"/>
  <c r="I6064" i="13" s="1"/>
  <c r="K6085" i="14"/>
  <c r="L6085" i="14" s="1"/>
  <c r="I6086" i="14" s="1"/>
  <c r="N6250" i="13"/>
  <c r="J6249" i="13" a="1"/>
  <c r="J6249" i="13" s="1"/>
  <c r="J6248" i="14" a="1"/>
  <c r="J6248" i="14" s="1"/>
  <c r="N6249" i="14"/>
  <c r="K6086" i="14" l="1"/>
  <c r="L6086" i="14" s="1"/>
  <c r="I6087" i="14" s="1"/>
  <c r="K6064" i="13"/>
  <c r="L6064" i="13" s="1"/>
  <c r="I6065" i="13" s="1"/>
  <c r="N6250" i="14"/>
  <c r="J6249" i="14" a="1"/>
  <c r="J6249" i="14" s="1"/>
  <c r="J6250" i="13" a="1"/>
  <c r="J6250" i="13" s="1"/>
  <c r="Q103" i="10" a="1"/>
  <c r="Q103" i="10" s="1"/>
  <c r="Q880" i="10" a="1"/>
  <c r="Q880" i="10" s="1"/>
  <c r="Q1151" i="10" a="1"/>
  <c r="Q1151" i="10" s="1"/>
  <c r="Q23" i="10" a="1"/>
  <c r="Q23" i="10" s="1"/>
  <c r="Q612" i="10" a="1"/>
  <c r="Q612" i="10" s="1"/>
  <c r="Q707" i="10" a="1"/>
  <c r="Q707" i="10" s="1"/>
  <c r="Q290" i="10" a="1"/>
  <c r="Q290" i="10" s="1"/>
  <c r="Q621" i="10" a="1"/>
  <c r="Q621" i="10" s="1"/>
  <c r="Q864" i="10" a="1"/>
  <c r="Q864" i="10" s="1"/>
  <c r="Q1171" i="10" a="1"/>
  <c r="Q1171" i="10" s="1"/>
  <c r="Q311" i="10" a="1"/>
  <c r="Q311" i="10" s="1"/>
  <c r="Q204" i="10" a="1"/>
  <c r="Q204" i="10" s="1"/>
  <c r="Q438" i="10" a="1"/>
  <c r="Q438" i="10" s="1"/>
  <c r="Q394" i="10" a="1"/>
  <c r="Q394" i="10" s="1"/>
  <c r="Q34" i="10" a="1"/>
  <c r="Q34" i="10" s="1"/>
  <c r="Q608" i="10" a="1"/>
  <c r="Q608" i="10" s="1"/>
  <c r="Q479" i="10" a="1"/>
  <c r="Q479" i="10" s="1"/>
  <c r="Q117" i="10" a="1"/>
  <c r="Q117" i="10" s="1"/>
  <c r="Q1005" i="10" a="1"/>
  <c r="Q1005" i="10" s="1"/>
  <c r="Q373" i="10" a="1"/>
  <c r="Q373" i="10" s="1"/>
  <c r="Q535" i="10" a="1"/>
  <c r="Q535" i="10" s="1"/>
  <c r="Q947" i="10" a="1"/>
  <c r="Q947" i="10" s="1"/>
  <c r="Q368" i="10" a="1"/>
  <c r="Q368" i="10" s="1"/>
  <c r="Q1058" i="10" a="1"/>
  <c r="Q1058" i="10" s="1"/>
  <c r="Q223" i="10" a="1"/>
  <c r="Q223" i="10" s="1"/>
  <c r="Q521" i="10" a="1"/>
  <c r="Q521" i="10" s="1"/>
  <c r="Q100" i="10" a="1"/>
  <c r="Q100" i="10" s="1"/>
  <c r="Q839" i="10" a="1"/>
  <c r="Q839" i="10" s="1"/>
  <c r="Q694" i="10" a="1"/>
  <c r="Q694" i="10" s="1"/>
  <c r="Q1066" i="10" a="1"/>
  <c r="Q1066" i="10" s="1"/>
  <c r="Q451" i="10" a="1"/>
  <c r="Q451" i="10" s="1"/>
  <c r="Q624" i="10" a="1"/>
  <c r="Q624" i="10" s="1"/>
  <c r="Q205" i="10" a="1"/>
  <c r="Q205" i="10" s="1"/>
  <c r="Q460" i="10" a="1"/>
  <c r="Q460" i="10" s="1"/>
  <c r="Q1012" i="10" a="1"/>
  <c r="Q1012" i="10" s="1"/>
  <c r="Q777" i="10" a="1"/>
  <c r="Q777" i="10" s="1"/>
  <c r="Q691" i="10" a="1"/>
  <c r="Q691" i="10" s="1"/>
  <c r="Q299" i="10" a="1"/>
  <c r="Q299" i="10" s="1"/>
  <c r="Q798" i="10" a="1"/>
  <c r="Q798" i="10" s="1"/>
  <c r="Q804" i="10" a="1"/>
  <c r="Q804" i="10" s="1"/>
  <c r="Q511" i="10" a="1"/>
  <c r="Q511" i="10" s="1"/>
  <c r="Q727" i="10" a="1"/>
  <c r="Q727" i="10" s="1"/>
  <c r="Q1132" i="10" a="1"/>
  <c r="Q1132" i="10" s="1"/>
  <c r="Q781" i="10" a="1"/>
  <c r="Q781" i="10" s="1"/>
  <c r="Q960" i="10" a="1"/>
  <c r="Q960" i="10" s="1"/>
  <c r="Q538" i="10" a="1"/>
  <c r="Q538" i="10" s="1"/>
  <c r="Q811" i="10" a="1"/>
  <c r="Q811" i="10" s="1"/>
  <c r="Q704" i="10" a="1"/>
  <c r="Q704" i="10" s="1"/>
  <c r="Q569" i="10" a="1"/>
  <c r="Q569" i="10" s="1"/>
  <c r="Q617" i="10" a="1"/>
  <c r="Q617" i="10" s="1"/>
  <c r="Q313" i="10" a="1"/>
  <c r="Q313" i="10" s="1"/>
  <c r="Q105" i="10" a="1"/>
  <c r="Q105" i="10" s="1"/>
  <c r="Q483" i="10" a="1"/>
  <c r="Q483" i="10" s="1"/>
  <c r="Q456" i="10" a="1"/>
  <c r="Q456" i="10" s="1"/>
  <c r="Q43" i="10" a="1"/>
  <c r="Q43" i="10" s="1"/>
  <c r="Q787" i="10" a="1"/>
  <c r="Q787" i="10" s="1"/>
  <c r="Q1139" i="10" a="1"/>
  <c r="Q1139" i="10" s="1"/>
  <c r="Q141" i="10" a="1"/>
  <c r="Q141" i="10" s="1"/>
  <c r="Q370" i="10" a="1"/>
  <c r="Q370" i="10" s="1"/>
  <c r="Q909" i="10" a="1"/>
  <c r="Q909" i="10" s="1"/>
  <c r="Q879" i="10" a="1"/>
  <c r="Q879" i="10" s="1"/>
  <c r="Q428" i="10" a="1"/>
  <c r="Q428" i="10" s="1"/>
  <c r="Q367" i="10" a="1"/>
  <c r="Q367" i="10" s="1"/>
  <c r="Q660" i="10" a="1"/>
  <c r="Q660" i="10" s="1"/>
  <c r="Q230" i="10" a="1"/>
  <c r="Q230" i="10" s="1"/>
  <c r="Q712" i="10" a="1"/>
  <c r="Q712" i="10" s="1"/>
  <c r="Q435" i="10" a="1"/>
  <c r="Q435" i="10" s="1"/>
  <c r="Q1153" i="10" a="1"/>
  <c r="Q1153" i="10" s="1"/>
  <c r="Q972" i="10" a="1"/>
  <c r="Q972" i="10" s="1"/>
  <c r="Q195" i="10" a="1"/>
  <c r="Q195" i="10" s="1"/>
  <c r="Q1101" i="10" a="1"/>
  <c r="Q1101" i="10" s="1"/>
  <c r="Q1062" i="10" a="1"/>
  <c r="Q1062" i="10" s="1"/>
  <c r="Q828" i="10" a="1"/>
  <c r="Q828" i="10" s="1"/>
  <c r="Q957" i="10" a="1"/>
  <c r="Q957" i="10" s="1"/>
  <c r="Q246" i="10" a="1"/>
  <c r="Q246" i="10" s="1"/>
  <c r="Q1055" i="10" a="1"/>
  <c r="Q1055" i="10" s="1"/>
  <c r="Q900" i="10" a="1"/>
  <c r="Q900" i="10" s="1"/>
  <c r="Q764" i="10" a="1"/>
  <c r="Q764" i="10" s="1"/>
  <c r="Q477" i="10" a="1"/>
  <c r="Q477" i="10" s="1"/>
  <c r="Q661" i="10" a="1"/>
  <c r="Q661" i="10" s="1"/>
  <c r="Q495" i="10" a="1"/>
  <c r="Q495" i="10" s="1"/>
  <c r="Q1001" i="10" a="1"/>
  <c r="Q1001" i="10" s="1"/>
  <c r="Q812" i="10" a="1"/>
  <c r="Q812" i="10" s="1"/>
  <c r="Q154" i="10" a="1"/>
  <c r="Q154" i="10" s="1"/>
  <c r="Q358" i="10" a="1"/>
  <c r="Q358" i="10" s="1"/>
  <c r="Q37" i="10" a="1"/>
  <c r="Q37" i="10" s="1"/>
  <c r="Q778" i="10" a="1"/>
  <c r="Q778" i="10" s="1"/>
  <c r="Q566" i="10" a="1"/>
  <c r="Q566" i="10" s="1"/>
  <c r="Q588" i="10" a="1"/>
  <c r="Q588" i="10" s="1"/>
  <c r="Q250" i="10" a="1"/>
  <c r="Q250" i="10" s="1"/>
  <c r="Q941" i="10" a="1"/>
  <c r="Q941" i="10" s="1"/>
  <c r="Q690" i="10" a="1"/>
  <c r="Q690" i="10" s="1"/>
  <c r="Q762" i="10" a="1"/>
  <c r="Q762" i="10" s="1"/>
  <c r="Q751" i="10" a="1"/>
  <c r="Q751" i="10" s="1"/>
  <c r="Q320" i="10" a="1"/>
  <c r="Q320" i="10" s="1"/>
  <c r="Q330" i="10" a="1"/>
  <c r="Q330" i="10" s="1"/>
  <c r="Q562" i="10" a="1"/>
  <c r="Q562" i="10" s="1"/>
  <c r="Q128" i="10" a="1"/>
  <c r="Q128" i="10" s="1"/>
  <c r="Q20" i="10" a="1"/>
  <c r="Q20" i="10" s="1"/>
  <c r="Q789" i="10" a="1"/>
  <c r="Q789" i="10" s="1"/>
  <c r="Q419" i="10" a="1"/>
  <c r="Q419" i="10" s="1"/>
  <c r="Q1137" i="10" a="1"/>
  <c r="Q1137" i="10" s="1"/>
  <c r="Q869" i="10" a="1"/>
  <c r="Q869" i="10" s="1"/>
  <c r="Q32" i="10" a="1"/>
  <c r="Q32" i="10" s="1"/>
  <c r="Q340" i="10" a="1"/>
  <c r="Q340" i="10" s="1"/>
  <c r="Q821" i="10" a="1"/>
  <c r="Q821" i="10" s="1"/>
  <c r="Q643" i="10" a="1"/>
  <c r="Q643" i="10" s="1"/>
  <c r="Q201" i="10" a="1"/>
  <c r="Q201" i="10" s="1"/>
  <c r="Q1077" i="10" a="1"/>
  <c r="Q1077" i="10" s="1"/>
  <c r="Q700" i="10" a="1"/>
  <c r="Q700" i="10" s="1"/>
  <c r="Q565" i="10" a="1"/>
  <c r="Q565" i="10" s="1"/>
  <c r="Q339" i="10" a="1"/>
  <c r="Q339" i="10" s="1"/>
  <c r="Q889" i="10" a="1"/>
  <c r="Q889" i="10" s="1"/>
  <c r="Q60" i="10" a="1"/>
  <c r="Q60" i="10" s="1"/>
  <c r="Q212" i="10" a="1"/>
  <c r="Q212" i="10" s="1"/>
  <c r="Q585" i="10" a="1"/>
  <c r="Q585" i="10" s="1"/>
  <c r="Q287" i="10" a="1"/>
  <c r="Q287" i="10" s="1"/>
  <c r="Q1121" i="10" a="1"/>
  <c r="Q1121" i="10" s="1"/>
  <c r="Q944" i="10" a="1"/>
  <c r="Q944" i="10" s="1"/>
  <c r="Q860" i="10" a="1"/>
  <c r="Q860" i="10" s="1"/>
  <c r="Q1110" i="10" a="1"/>
  <c r="Q1110" i="10" s="1"/>
  <c r="Q720" i="10" a="1"/>
  <c r="Q720" i="10" s="1"/>
  <c r="Q1028" i="10" a="1"/>
  <c r="Q1028" i="10" s="1"/>
  <c r="Q127" i="10" a="1"/>
  <c r="Q127" i="10" s="1"/>
  <c r="Q898" i="10" a="1"/>
  <c r="Q898" i="10" s="1"/>
  <c r="Q784" i="10" a="1"/>
  <c r="Q784" i="10" s="1"/>
  <c r="Q557" i="10" a="1"/>
  <c r="Q557" i="10" s="1"/>
  <c r="Q210" i="10" a="1"/>
  <c r="Q210" i="10" s="1"/>
  <c r="Q1075" i="10" a="1"/>
  <c r="Q1075" i="10" s="1"/>
  <c r="Q228" i="10" a="1"/>
  <c r="Q228" i="10" s="1"/>
  <c r="Q757" i="10" a="1"/>
  <c r="Q757" i="10" s="1"/>
  <c r="Q835" i="10" a="1"/>
  <c r="Q835" i="10" s="1"/>
  <c r="Q285" i="10" a="1"/>
  <c r="Q285" i="10" s="1"/>
  <c r="Q1024" i="10" a="1"/>
  <c r="Q1024" i="10" s="1"/>
  <c r="Q35" i="10" a="1"/>
  <c r="Q35" i="10" s="1"/>
  <c r="Q71" i="10" a="1"/>
  <c r="Q71" i="10" s="1"/>
  <c r="Q1157" i="10" a="1"/>
  <c r="Q1157" i="10" s="1"/>
  <c r="Q988" i="10" a="1"/>
  <c r="Q988" i="10" s="1"/>
  <c r="Q845" i="10" a="1"/>
  <c r="Q845" i="10" s="1"/>
  <c r="Q214" i="10" a="1"/>
  <c r="Q214" i="10" s="1"/>
  <c r="Q108" i="10" a="1"/>
  <c r="Q108" i="10" s="1"/>
  <c r="Q68" i="10" a="1"/>
  <c r="Q68" i="10" s="1"/>
  <c r="Q505" i="10" a="1"/>
  <c r="Q505" i="10" s="1"/>
  <c r="Q188" i="10" a="1"/>
  <c r="Q188" i="10" s="1"/>
  <c r="Q551" i="10" a="1"/>
  <c r="Q551" i="10" s="1"/>
  <c r="Q53" i="10" a="1"/>
  <c r="Q53" i="10" s="1"/>
  <c r="Q52" i="10" a="1"/>
  <c r="Q52" i="10" s="1"/>
  <c r="Q800" i="10" a="1"/>
  <c r="Q800" i="10" s="1"/>
  <c r="Q797" i="10" a="1"/>
  <c r="Q797" i="10" s="1"/>
  <c r="Q847" i="10" a="1"/>
  <c r="Q847" i="10" s="1"/>
  <c r="Q836" i="10" a="1"/>
  <c r="Q836" i="10" s="1"/>
  <c r="Q349" i="10" a="1"/>
  <c r="Q349" i="10" s="1"/>
  <c r="Q146" i="10" a="1"/>
  <c r="Q146" i="10" s="1"/>
  <c r="Q1011" i="10" a="1"/>
  <c r="Q1011" i="10" s="1"/>
  <c r="Q663" i="10" a="1"/>
  <c r="Q663" i="10" s="1"/>
  <c r="Q437" i="10" a="1"/>
  <c r="Q437" i="10" s="1"/>
  <c r="Q259" i="10" a="1"/>
  <c r="Q259" i="10" s="1"/>
  <c r="Q82" i="10" a="1"/>
  <c r="Q82" i="10" s="1"/>
  <c r="Q595" i="10" a="1"/>
  <c r="Q595" i="10" s="1"/>
  <c r="Q834" i="10" a="1"/>
  <c r="Q834" i="10" s="1"/>
  <c r="Q412" i="10" a="1"/>
  <c r="Q412" i="10" s="1"/>
  <c r="Q471" i="10" a="1"/>
  <c r="Q471" i="10" s="1"/>
  <c r="Q213" i="10" a="1"/>
  <c r="Q213" i="10" s="1"/>
  <c r="Q99" i="10" a="1"/>
  <c r="Q99" i="10" s="1"/>
  <c r="Q870" i="10" a="1"/>
  <c r="Q870" i="10" s="1"/>
  <c r="Q636" i="10" a="1"/>
  <c r="Q636" i="10" s="1"/>
  <c r="Q381" i="10" a="1"/>
  <c r="Q381" i="10" s="1"/>
  <c r="Q54" i="10" a="1"/>
  <c r="Q54" i="10" s="1"/>
  <c r="Q76" i="10" a="1"/>
  <c r="Q76" i="10" s="1"/>
  <c r="Q39" i="10" a="1"/>
  <c r="Q39" i="10" s="1"/>
  <c r="Q1008" i="10" a="1"/>
  <c r="Q1008" i="10" s="1"/>
  <c r="Q517" i="10" a="1"/>
  <c r="Q517" i="10" s="1"/>
  <c r="Q276" i="10" a="1"/>
  <c r="Q276" i="10" s="1"/>
  <c r="Q138" i="10" a="1"/>
  <c r="Q138" i="10" s="1"/>
  <c r="Q403" i="10" a="1"/>
  <c r="Q403" i="10" s="1"/>
  <c r="Q1044" i="10" a="1"/>
  <c r="Q1044" i="10" s="1"/>
  <c r="Q50" i="10" a="1"/>
  <c r="Q50" i="10" s="1"/>
  <c r="Q723" i="10" a="1"/>
  <c r="Q723" i="10" s="1"/>
  <c r="Q1127" i="10" a="1"/>
  <c r="Q1127" i="10" s="1"/>
  <c r="Q364" i="10" a="1"/>
  <c r="Q364" i="10" s="1"/>
  <c r="Q580" i="10" a="1"/>
  <c r="Q580" i="10" s="1"/>
  <c r="Q761" i="10" a="1"/>
  <c r="Q761" i="10" s="1"/>
  <c r="Q527" i="10" a="1"/>
  <c r="Q527" i="10" s="1"/>
  <c r="Q1135" i="10" a="1"/>
  <c r="Q1135" i="10" s="1"/>
  <c r="Q544" i="10" a="1"/>
  <c r="Q544" i="10" s="1"/>
  <c r="Q397" i="10" a="1"/>
  <c r="Q397" i="10" s="1"/>
  <c r="Q226" i="10" a="1"/>
  <c r="Q226" i="10" s="1"/>
  <c r="Q48" i="10" a="1"/>
  <c r="Q48" i="10" s="1"/>
  <c r="Q323" i="10" a="1"/>
  <c r="Q323" i="10" s="1"/>
  <c r="Q1106" i="10" a="1"/>
  <c r="Q1106" i="10" s="1"/>
  <c r="Q256" i="10" a="1"/>
  <c r="Q256" i="10" s="1"/>
  <c r="Q903" i="10" a="1"/>
  <c r="Q903" i="10" s="1"/>
  <c r="Q498" i="10" a="1"/>
  <c r="Q498" i="10" s="1"/>
  <c r="Q918" i="10" a="1"/>
  <c r="Q918" i="10" s="1"/>
  <c r="Q476" i="10" a="1"/>
  <c r="Q476" i="10" s="1"/>
  <c r="Q676" i="10" a="1"/>
  <c r="Q676" i="10" s="1"/>
  <c r="Q809" i="10" a="1"/>
  <c r="Q809" i="10" s="1"/>
  <c r="Q703" i="10" a="1"/>
  <c r="Q703" i="10" s="1"/>
  <c r="Q119" i="10" a="1"/>
  <c r="Q119" i="10" s="1"/>
  <c r="Q1104" i="10" a="1"/>
  <c r="Q1104" i="10" s="1"/>
  <c r="Q883" i="10" a="1"/>
  <c r="Q883" i="10" s="1"/>
  <c r="Q151" i="10" a="1"/>
  <c r="Q151" i="10" s="1"/>
  <c r="Q1125" i="10" a="1"/>
  <c r="Q1125" i="10" s="1"/>
  <c r="Q282" i="10" a="1"/>
  <c r="Q282" i="10" s="1"/>
  <c r="Q546" i="10" a="1"/>
  <c r="Q546" i="10" s="1"/>
  <c r="Q1020" i="10" a="1"/>
  <c r="Q1020" i="10" s="1"/>
  <c r="Q730" i="10" a="1"/>
  <c r="Q730" i="10" s="1"/>
  <c r="Q42" i="10" a="1"/>
  <c r="Q42" i="10" s="1"/>
  <c r="Q402" i="10" a="1"/>
  <c r="Q402" i="10" s="1"/>
  <c r="Q160" i="10" a="1"/>
  <c r="Q160" i="10" s="1"/>
  <c r="Q84" i="10" a="1"/>
  <c r="Q84" i="10" s="1"/>
  <c r="Q693" i="10" a="1"/>
  <c r="Q693" i="10" s="1"/>
  <c r="Q515" i="10" a="1"/>
  <c r="Q515" i="10" s="1"/>
  <c r="Q850" i="10" a="1"/>
  <c r="Q850" i="10" s="1"/>
  <c r="Q1107" i="10" a="1"/>
  <c r="Q1107" i="10" s="1"/>
  <c r="Q375" i="10" a="1"/>
  <c r="Q375" i="10" s="1"/>
  <c r="Q69" i="10" a="1"/>
  <c r="Q69" i="10" s="1"/>
  <c r="Q1015" i="10" a="1"/>
  <c r="Q1015" i="10" s="1"/>
  <c r="Q469" i="10" a="1"/>
  <c r="Q469" i="10" s="1"/>
  <c r="Q355" i="10" a="1"/>
  <c r="Q355" i="10" s="1"/>
  <c r="Q1120" i="10" a="1"/>
  <c r="Q1120" i="10" s="1"/>
  <c r="Q892" i="10" a="1"/>
  <c r="Q892" i="10" s="1"/>
  <c r="Q26" i="10" a="1"/>
  <c r="Q26" i="10" s="1"/>
  <c r="Q310" i="10" a="1"/>
  <c r="Q310" i="10" s="1"/>
  <c r="Q332" i="10" a="1"/>
  <c r="Q332" i="10" s="1"/>
  <c r="Q881" i="10" a="1"/>
  <c r="Q881" i="10" s="1"/>
  <c r="Q1136" i="10" a="1"/>
  <c r="Q1136" i="10" s="1"/>
  <c r="Q773" i="10" a="1"/>
  <c r="Q773" i="10" s="1"/>
  <c r="Q740" i="10" a="1"/>
  <c r="Q740" i="10" s="1"/>
  <c r="Q967" i="10" a="1"/>
  <c r="Q967" i="10" s="1"/>
  <c r="Q887" i="10" a="1"/>
  <c r="Q887" i="10" s="1"/>
  <c r="Q383" i="10" a="1"/>
  <c r="Q383" i="10" s="1"/>
  <c r="Q234" i="10" a="1"/>
  <c r="Q234" i="10" s="1"/>
  <c r="Q724" i="10" a="1"/>
  <c r="Q724" i="10" s="1"/>
  <c r="Q338" i="10" a="1"/>
  <c r="Q338" i="10" s="1"/>
  <c r="Q242" i="10" a="1"/>
  <c r="Q242" i="10" s="1"/>
  <c r="Q148" i="10" a="1"/>
  <c r="Q148" i="10" s="1"/>
  <c r="Q194" i="10" a="1"/>
  <c r="Q194" i="10" s="1"/>
  <c r="Q357" i="10" a="1"/>
  <c r="Q357" i="10" s="1"/>
  <c r="Q396" i="10" a="1"/>
  <c r="Q396" i="10" s="1"/>
  <c r="Q196" i="10" a="1"/>
  <c r="Q196" i="10" s="1"/>
  <c r="Q239" i="10" a="1"/>
  <c r="Q239" i="10" s="1"/>
  <c r="Q306" i="10" a="1"/>
  <c r="Q306" i="10" s="1"/>
  <c r="Q533" i="10" a="1"/>
  <c r="Q533" i="10" s="1"/>
  <c r="Q934" i="10" a="1"/>
  <c r="Q934" i="10" s="1"/>
  <c r="Q950" i="10" a="1"/>
  <c r="Q950" i="10" s="1"/>
  <c r="Q327" i="10" a="1"/>
  <c r="Q327" i="10" s="1"/>
  <c r="Q572" i="10" a="1"/>
  <c r="Q572" i="10" s="1"/>
  <c r="Q1097" i="10" a="1"/>
  <c r="Q1097" i="10" s="1"/>
  <c r="Q791" i="10" a="1"/>
  <c r="Q791" i="10" s="1"/>
  <c r="Q38" i="10" a="1"/>
  <c r="Q38" i="10" s="1"/>
  <c r="Q519" i="10" a="1"/>
  <c r="Q519" i="10" s="1"/>
  <c r="Q1018" i="10" a="1"/>
  <c r="Q1018" i="10" s="1"/>
  <c r="Q237" i="10" a="1"/>
  <c r="Q237" i="10" s="1"/>
  <c r="Q964" i="10" a="1"/>
  <c r="Q964" i="10" s="1"/>
  <c r="Q407" i="10" a="1"/>
  <c r="Q407" i="10" s="1"/>
  <c r="Q930" i="10" a="1"/>
  <c r="Q930" i="10" s="1"/>
  <c r="Q425" i="10" a="1"/>
  <c r="Q425" i="10" s="1"/>
  <c r="Q133" i="10" a="1"/>
  <c r="Q133" i="10" s="1"/>
  <c r="Q447" i="10" a="1"/>
  <c r="Q447" i="10" s="1"/>
  <c r="Q765" i="10" a="1"/>
  <c r="Q765" i="10" s="1"/>
  <c r="Q391" i="10" a="1"/>
  <c r="Q391" i="10" s="1"/>
  <c r="Q605" i="10" a="1"/>
  <c r="Q605" i="10" s="1"/>
  <c r="Q748" i="10" a="1"/>
  <c r="Q748" i="10" s="1"/>
  <c r="Q559" i="10" a="1"/>
  <c r="Q559" i="10" s="1"/>
  <c r="Q717" i="10" a="1"/>
  <c r="Q717" i="10" s="1"/>
  <c r="Q530" i="10" a="1"/>
  <c r="Q530" i="10" s="1"/>
  <c r="Q1079" i="10" a="1"/>
  <c r="Q1079" i="10" s="1"/>
  <c r="Q405" i="10" a="1"/>
  <c r="Q405" i="10" s="1"/>
  <c r="Q243" i="10" a="1"/>
  <c r="Q243" i="10" s="1"/>
  <c r="Q826" i="10" a="1"/>
  <c r="Q826" i="10" s="1"/>
  <c r="Q1004" i="10" a="1"/>
  <c r="Q1004" i="10" s="1"/>
  <c r="Q556" i="10" a="1"/>
  <c r="Q556" i="10" s="1"/>
  <c r="Q975" i="10" a="1"/>
  <c r="Q975" i="10" s="1"/>
  <c r="Q393" i="10" a="1"/>
  <c r="Q393" i="10" s="1"/>
  <c r="Q278" i="10" a="1"/>
  <c r="Q278" i="10" s="1"/>
  <c r="Q623" i="10" a="1"/>
  <c r="Q623" i="10" s="1"/>
  <c r="Q853" i="10" a="1"/>
  <c r="Q853" i="10" s="1"/>
  <c r="Q57" i="10" a="1"/>
  <c r="Q57" i="10" s="1"/>
  <c r="Q200" i="10" a="1"/>
  <c r="Q200" i="10" s="1"/>
  <c r="Q570" i="10" a="1"/>
  <c r="Q570" i="10" s="1"/>
  <c r="Q197" i="10" a="1"/>
  <c r="Q197" i="10" s="1"/>
  <c r="Q708" i="10" a="1"/>
  <c r="Q708" i="10" s="1"/>
  <c r="Q283" i="10" a="1"/>
  <c r="Q283" i="10" s="1"/>
  <c r="Q796" i="10" a="1"/>
  <c r="Q796" i="10" s="1"/>
  <c r="Q164" i="10" a="1"/>
  <c r="Q164" i="10" s="1"/>
  <c r="Q111" i="10" a="1"/>
  <c r="Q111" i="10" s="1"/>
  <c r="Q767" i="10" a="1"/>
  <c r="Q767" i="10" s="1"/>
  <c r="Q861" i="10" a="1"/>
  <c r="Q861" i="10" s="1"/>
  <c r="Q759" i="10" a="1"/>
  <c r="Q759" i="10" s="1"/>
  <c r="Q825" i="10" a="1"/>
  <c r="Q825" i="10" s="1"/>
  <c r="Q369" i="10" a="1"/>
  <c r="Q369" i="10" s="1"/>
  <c r="Q341" i="10" a="1"/>
  <c r="Q341" i="10" s="1"/>
  <c r="Q790" i="10" a="1"/>
  <c r="Q790" i="10" s="1"/>
  <c r="Q912" i="10" a="1"/>
  <c r="Q912" i="10" s="1"/>
  <c r="Q522" i="10" a="1"/>
  <c r="Q522" i="10" s="1"/>
  <c r="Q597" i="10" a="1"/>
  <c r="Q597" i="10" s="1"/>
  <c r="Q882" i="10" a="1"/>
  <c r="Q882" i="10" s="1"/>
  <c r="Q1026" i="10" a="1"/>
  <c r="Q1026" i="10" s="1"/>
  <c r="Q626" i="10" a="1"/>
  <c r="Q626" i="10" s="1"/>
  <c r="Q684" i="10" a="1"/>
  <c r="Q684" i="10" s="1"/>
  <c r="Q625" i="10" a="1"/>
  <c r="Q625" i="10" s="1"/>
  <c r="Q352" i="10" a="1"/>
  <c r="Q352" i="10" s="1"/>
  <c r="Q468" i="10" a="1"/>
  <c r="Q468" i="10" s="1"/>
  <c r="Q885" i="10" a="1"/>
  <c r="Q885" i="10" s="1"/>
  <c r="Q112" i="10" a="1"/>
  <c r="Q112" i="10" s="1"/>
  <c r="Q692" i="10" a="1"/>
  <c r="Q692" i="10" s="1"/>
  <c r="Q322" i="10" a="1"/>
  <c r="Q322" i="10" s="1"/>
  <c r="Q308" i="10" a="1"/>
  <c r="Q308" i="10" s="1"/>
  <c r="Q741" i="10" a="1"/>
  <c r="Q741" i="10" s="1"/>
  <c r="Q499" i="10" a="1"/>
  <c r="Q499" i="10" s="1"/>
  <c r="Q1158" i="10" a="1"/>
  <c r="Q1158" i="10" s="1"/>
  <c r="Q1036" i="10" a="1"/>
  <c r="Q1036" i="10" s="1"/>
  <c r="Q771" i="10" a="1"/>
  <c r="Q771" i="10" s="1"/>
  <c r="Q855" i="10" a="1"/>
  <c r="Q855" i="10" s="1"/>
  <c r="Q768" i="10" a="1"/>
  <c r="Q768" i="10" s="1"/>
  <c r="Q324" i="10" a="1"/>
  <c r="Q324" i="10" s="1"/>
  <c r="Q581" i="10" a="1"/>
  <c r="Q581" i="10" s="1"/>
  <c r="Q404" i="10" a="1"/>
  <c r="Q404" i="10" s="1"/>
  <c r="Q725" i="10" a="1"/>
  <c r="Q725" i="10" s="1"/>
  <c r="Q611" i="10" a="1"/>
  <c r="Q611" i="10" s="1"/>
  <c r="Q948" i="10" a="1"/>
  <c r="Q948" i="10" s="1"/>
  <c r="Q1061" i="10" a="1"/>
  <c r="Q1061" i="10" s="1"/>
  <c r="Q819" i="10" a="1"/>
  <c r="Q819" i="10" s="1"/>
  <c r="Q823" i="10" a="1"/>
  <c r="Q823" i="10" s="1"/>
  <c r="Q501" i="10" a="1"/>
  <c r="Q501" i="10" s="1"/>
  <c r="Q579" i="10" a="1"/>
  <c r="Q579" i="10" s="1"/>
  <c r="Q165" i="10" a="1"/>
  <c r="Q165" i="10" s="1"/>
  <c r="Q106" i="10" a="1"/>
  <c r="Q106" i="10" s="1"/>
  <c r="Q149" i="10" a="1"/>
  <c r="Q149" i="10" s="1"/>
  <c r="Q325" i="10" a="1"/>
  <c r="Q325" i="10" s="1"/>
  <c r="Q745" i="10" a="1"/>
  <c r="Q745" i="10" s="1"/>
  <c r="Q815" i="10" a="1"/>
  <c r="Q815" i="10" s="1"/>
  <c r="Q215" i="10" a="1"/>
  <c r="Q215" i="10" s="1"/>
  <c r="Q41" i="10" a="1"/>
  <c r="Q41" i="10" s="1"/>
  <c r="Q378" i="10" a="1"/>
  <c r="Q378" i="10" s="1"/>
  <c r="Q706" i="10" a="1"/>
  <c r="Q706" i="10" s="1"/>
  <c r="Q336" i="10" a="1"/>
  <c r="Q336" i="10" s="1"/>
  <c r="Q564" i="10" a="1"/>
  <c r="Q564" i="10" s="1"/>
  <c r="Q786" i="10" a="1"/>
  <c r="Q786" i="10" s="1"/>
  <c r="Q1056" i="10" a="1"/>
  <c r="Q1056" i="10" s="1"/>
  <c r="Q858" i="10" a="1"/>
  <c r="Q858" i="10" s="1"/>
  <c r="Q738" i="10" a="1"/>
  <c r="Q738" i="10" s="1"/>
  <c r="Q560" i="10" a="1"/>
  <c r="Q560" i="10" s="1"/>
  <c r="Q118" i="10" a="1"/>
  <c r="Q118" i="10" s="1"/>
  <c r="Q116" i="10" a="1"/>
  <c r="Q116" i="10" s="1"/>
  <c r="Q954" i="10" a="1"/>
  <c r="Q954" i="10" s="1"/>
  <c r="Q183" i="10" a="1"/>
  <c r="Q183" i="10" s="1"/>
  <c r="Q79" i="10" a="1"/>
  <c r="Q79" i="10" s="1"/>
  <c r="Q575" i="10" a="1"/>
  <c r="Q575" i="10" s="1"/>
  <c r="Q1155" i="10" a="1"/>
  <c r="Q1155" i="10" s="1"/>
  <c r="Q1084" i="10" a="1"/>
  <c r="Q1084" i="10" s="1"/>
  <c r="Q586" i="10" a="1"/>
  <c r="Q586" i="10" s="1"/>
  <c r="Q502" i="10" a="1"/>
  <c r="Q502" i="10" s="1"/>
  <c r="Q268" i="10" a="1"/>
  <c r="Q268" i="10" s="1"/>
  <c r="Q455" i="10" a="1"/>
  <c r="Q455" i="10" s="1"/>
  <c r="Q618" i="10" a="1"/>
  <c r="Q618" i="10" s="1"/>
  <c r="Q946" i="10" a="1"/>
  <c r="Q946" i="10" s="1"/>
  <c r="Q831" i="10" a="1"/>
  <c r="Q831" i="10" s="1"/>
  <c r="Q372" i="10" a="1"/>
  <c r="Q372" i="10" s="1"/>
  <c r="Q64" i="10" a="1"/>
  <c r="Q64" i="10" s="1"/>
  <c r="Q44" i="10" a="1"/>
  <c r="Q44" i="10" s="1"/>
  <c r="Q452" i="10" a="1"/>
  <c r="Q452" i="10" s="1"/>
  <c r="Q697" i="10" a="1"/>
  <c r="Q697" i="10" s="1"/>
  <c r="Q463" i="10" a="1"/>
  <c r="Q463" i="10" s="1"/>
  <c r="Q1122" i="10" a="1"/>
  <c r="Q1122" i="10" s="1"/>
  <c r="Q992" i="10" a="1"/>
  <c r="Q992" i="10" s="1"/>
  <c r="Q666" i="10" a="1"/>
  <c r="Q666" i="10" s="1"/>
  <c r="Q674" i="10" a="1"/>
  <c r="Q674" i="10" s="1"/>
  <c r="Q752" i="10" a="1"/>
  <c r="Q752" i="10" s="1"/>
  <c r="Q1116" i="10" a="1"/>
  <c r="Q1116" i="10" s="1"/>
  <c r="Q854" i="10" a="1"/>
  <c r="Q854" i="10" s="1"/>
  <c r="Q884" i="10" a="1"/>
  <c r="Q884" i="10" s="1"/>
  <c r="Q1034" i="10" a="1"/>
  <c r="Q1034" i="10" s="1"/>
  <c r="Q500" i="10" a="1"/>
  <c r="Q500" i="10" s="1"/>
  <c r="Q901" i="10" a="1"/>
  <c r="Q901" i="10" s="1"/>
  <c r="Q467" i="10" a="1"/>
  <c r="Q467" i="10" s="1"/>
  <c r="Q1126" i="10" a="1"/>
  <c r="Q1126" i="10" s="1"/>
  <c r="Q21" i="10" a="1"/>
  <c r="Q21" i="10" s="1"/>
  <c r="Q346" i="10" a="1"/>
  <c r="Q346" i="10" s="1"/>
  <c r="Q422" i="10" a="1"/>
  <c r="Q422" i="10" s="1"/>
  <c r="Q101" i="10" a="1"/>
  <c r="Q101" i="10" s="1"/>
  <c r="Q288" i="10" a="1"/>
  <c r="Q288" i="10" s="1"/>
  <c r="Q994" i="10" a="1"/>
  <c r="Q994" i="10" s="1"/>
  <c r="Q783" i="10" a="1"/>
  <c r="Q783" i="10" s="1"/>
  <c r="Q630" i="10" a="1"/>
  <c r="Q630" i="10" s="1"/>
  <c r="Q304" i="10" a="1"/>
  <c r="Q304" i="10" s="1"/>
  <c r="Q295" i="10" a="1"/>
  <c r="Q295" i="10" s="1"/>
  <c r="Q976" i="10" a="1"/>
  <c r="Q976" i="10" s="1"/>
  <c r="Q399" i="10" a="1"/>
  <c r="Q399" i="10" s="1"/>
  <c r="Q1164" i="10" a="1"/>
  <c r="Q1164" i="10" s="1"/>
  <c r="Q928" i="10" a="1"/>
  <c r="Q928" i="10" s="1"/>
  <c r="Q813" i="10" a="1"/>
  <c r="Q813" i="10" s="1"/>
  <c r="Q354" i="10" a="1"/>
  <c r="Q354" i="10" s="1"/>
  <c r="Q176" i="10" a="1"/>
  <c r="Q176" i="10" s="1"/>
  <c r="Q714" i="10" a="1"/>
  <c r="Q714" i="10" s="1"/>
  <c r="Q681" i="10" a="1"/>
  <c r="Q681" i="10" s="1"/>
  <c r="Q291" i="10" a="1"/>
  <c r="Q291" i="10" s="1"/>
  <c r="Q754" i="10" a="1"/>
  <c r="Q754" i="10" s="1"/>
  <c r="Q493" i="10" a="1"/>
  <c r="Q493" i="10" s="1"/>
  <c r="Q130" i="10" a="1"/>
  <c r="Q130" i="10" s="1"/>
  <c r="Q1047" i="10" a="1"/>
  <c r="Q1047" i="10" s="1"/>
  <c r="Q549" i="10" a="1"/>
  <c r="Q549" i="10" s="1"/>
  <c r="Q307" i="10" a="1"/>
  <c r="Q307" i="10" s="1"/>
  <c r="Q1078" i="10" a="1"/>
  <c r="Q1078" i="10" s="1"/>
  <c r="Q1100" i="10" a="1"/>
  <c r="Q1100" i="10" s="1"/>
  <c r="Q996" i="10" a="1"/>
  <c r="Q996" i="10" s="1"/>
  <c r="Q1103" i="10" a="1"/>
  <c r="Q1103" i="10" s="1"/>
  <c r="Q999" i="10" a="1"/>
  <c r="Q999" i="10" s="1"/>
  <c r="Q1087" i="10" a="1"/>
  <c r="Q1087" i="10" s="1"/>
  <c r="Q668" i="10" a="1"/>
  <c r="Q668" i="10" s="1"/>
  <c r="Q1088" i="10" a="1"/>
  <c r="Q1088" i="10" s="1"/>
  <c r="Q303" i="10" a="1"/>
  <c r="Q303" i="10" s="1"/>
  <c r="Q1074" i="10" a="1"/>
  <c r="Q1074" i="10" s="1"/>
  <c r="Q640" i="10" a="1"/>
  <c r="Q640" i="10" s="1"/>
  <c r="Q87" i="10" a="1"/>
  <c r="Q87" i="10" s="1"/>
  <c r="Q277" i="10" a="1"/>
  <c r="Q277" i="10" s="1"/>
  <c r="Q1050" i="10" a="1"/>
  <c r="Q1050" i="10" s="1"/>
  <c r="Q678" i="10" a="1"/>
  <c r="Q678" i="10" s="1"/>
  <c r="Q444" i="10" a="1"/>
  <c r="Q444" i="10" s="1"/>
  <c r="Q1063" i="10" a="1"/>
  <c r="Q1063" i="10" s="1"/>
  <c r="Q457" i="10" a="1"/>
  <c r="Q457" i="10" s="1"/>
  <c r="Q415" i="10" a="1"/>
  <c r="Q415" i="10" s="1"/>
  <c r="Q1138" i="10" a="1"/>
  <c r="Q1138" i="10" s="1"/>
  <c r="Q1072" i="10" a="1"/>
  <c r="Q1072" i="10" s="1"/>
  <c r="Q240" i="10" a="1"/>
  <c r="Q240" i="10" s="1"/>
  <c r="Q943" i="10" a="1"/>
  <c r="Q943" i="10" s="1"/>
  <c r="Q937" i="10" a="1"/>
  <c r="Q937" i="10" s="1"/>
  <c r="Q294" i="10" a="1"/>
  <c r="Q294" i="10" s="1"/>
  <c r="Q548" i="10" a="1"/>
  <c r="Q548" i="10" s="1"/>
  <c r="Q567" i="10" a="1"/>
  <c r="Q567" i="10" s="1"/>
  <c r="Q389" i="10" a="1"/>
  <c r="Q389" i="10" s="1"/>
  <c r="Q1098" i="10" a="1"/>
  <c r="Q1098" i="10" s="1"/>
  <c r="Q726" i="10" a="1"/>
  <c r="Q726" i="10" s="1"/>
  <c r="Q620" i="10" a="1"/>
  <c r="Q620" i="10" s="1"/>
  <c r="Q1060" i="10" a="1"/>
  <c r="Q1060" i="10" s="1"/>
  <c r="Q1017" i="10" a="1"/>
  <c r="Q1017" i="10" s="1"/>
  <c r="Q951" i="10" a="1"/>
  <c r="Q951" i="10" s="1"/>
  <c r="Q1092" i="10" a="1"/>
  <c r="Q1092" i="10" s="1"/>
  <c r="Q1033" i="10" a="1"/>
  <c r="Q1033" i="10" s="1"/>
  <c r="Q735" i="10" a="1"/>
  <c r="Q735" i="10" s="1"/>
  <c r="Q260" i="10" a="1"/>
  <c r="Q260" i="10" s="1"/>
  <c r="Q1037" i="10" a="1"/>
  <c r="Q1037" i="10" s="1"/>
  <c r="Q377" i="10" a="1"/>
  <c r="Q377" i="10" s="1"/>
  <c r="Q655" i="10" a="1"/>
  <c r="Q655" i="10" s="1"/>
  <c r="Q279" i="10" a="1"/>
  <c r="Q279" i="10" s="1"/>
  <c r="Q73" i="10" a="1"/>
  <c r="Q73" i="10" s="1"/>
  <c r="Q474" i="10" a="1"/>
  <c r="Q474" i="10" s="1"/>
  <c r="Q610" i="10" a="1"/>
  <c r="Q610" i="10" s="1"/>
  <c r="Q432" i="10" a="1"/>
  <c r="Q432" i="10" s="1"/>
  <c r="Q687" i="10" a="1"/>
  <c r="Q687" i="10" s="1"/>
  <c r="Q86" i="10" a="1"/>
  <c r="Q86" i="10" s="1"/>
  <c r="Q803" i="10" a="1"/>
  <c r="Q803" i="10" s="1"/>
  <c r="Q1154" i="10" a="1"/>
  <c r="Q1154" i="10" s="1"/>
  <c r="Q186" i="10" a="1"/>
  <c r="Q186" i="10" s="1"/>
  <c r="Q386" i="10" a="1"/>
  <c r="Q386" i="10" s="1"/>
  <c r="Q272" i="10" a="1"/>
  <c r="Q272" i="10" s="1"/>
  <c r="Q436" i="10" a="1"/>
  <c r="Q436" i="10" s="1"/>
  <c r="Q805" i="10" a="1"/>
  <c r="Q805" i="10" s="1"/>
  <c r="Q563" i="10" a="1"/>
  <c r="Q563" i="10" s="1"/>
  <c r="Q263" i="10" a="1"/>
  <c r="Q263" i="10" s="1"/>
  <c r="Q245" i="10" a="1"/>
  <c r="Q245" i="10" s="1"/>
  <c r="Q410" i="10" a="1"/>
  <c r="Q410" i="10" s="1"/>
  <c r="Q679" i="10" a="1"/>
  <c r="Q679" i="10" s="1"/>
  <c r="Q265" i="10" a="1"/>
  <c r="Q265" i="10" s="1"/>
  <c r="Q1156" i="10" a="1"/>
  <c r="Q1156" i="10" s="1"/>
  <c r="Q802" i="10" a="1"/>
  <c r="Q802" i="10" s="1"/>
  <c r="Q677" i="10" a="1"/>
  <c r="Q677" i="10" s="1"/>
  <c r="Q1059" i="10" a="1"/>
  <c r="Q1059" i="10" s="1"/>
  <c r="Q810" i="10" a="1"/>
  <c r="Q810" i="10" s="1"/>
  <c r="Q658" i="10" a="1"/>
  <c r="Q658" i="10" s="1"/>
  <c r="Q416" i="10" a="1"/>
  <c r="Q416" i="10" s="1"/>
  <c r="Q596" i="10" a="1"/>
  <c r="Q596" i="10" s="1"/>
  <c r="Q949" i="10" a="1"/>
  <c r="Q949" i="10" s="1"/>
  <c r="Q688" i="10" a="1"/>
  <c r="Q688" i="10" s="1"/>
  <c r="Q92" i="10" a="1"/>
  <c r="Q92" i="10" s="1"/>
  <c r="Q598" i="10" a="1"/>
  <c r="Q598" i="10" s="1"/>
  <c r="Q208" i="10" a="1"/>
  <c r="Q208" i="10" s="1"/>
  <c r="Q615" i="10" a="1"/>
  <c r="Q615" i="10" s="1"/>
  <c r="Q970" i="10" a="1"/>
  <c r="Q970" i="10" s="1"/>
  <c r="Q642" i="10" a="1"/>
  <c r="Q642" i="10" s="1"/>
  <c r="Q528" i="10" a="1"/>
  <c r="Q528" i="10" s="1"/>
  <c r="Q207" i="10" a="1"/>
  <c r="Q207" i="10" s="1"/>
  <c r="Q978" i="10" a="1"/>
  <c r="Q978" i="10" s="1"/>
  <c r="Q736" i="10" a="1"/>
  <c r="Q736" i="10" s="1"/>
  <c r="Q989" i="10" a="1"/>
  <c r="Q989" i="10" s="1"/>
  <c r="Q418" i="10" a="1"/>
  <c r="Q418" i="10" s="1"/>
  <c r="Q496" i="10" a="1"/>
  <c r="Q496" i="10" s="1"/>
  <c r="Q244" i="10" a="1"/>
  <c r="Q244" i="10" s="1"/>
  <c r="Q512" i="10" a="1"/>
  <c r="Q512" i="10" s="1"/>
  <c r="Q301" i="10" a="1"/>
  <c r="Q301" i="10" s="1"/>
  <c r="Q1010" i="10" a="1"/>
  <c r="Q1010" i="10" s="1"/>
  <c r="Q1168" i="10" a="1"/>
  <c r="Q1168" i="10" s="1"/>
  <c r="Q732" i="10" a="1"/>
  <c r="Q732" i="10" s="1"/>
  <c r="Q61" i="10" a="1"/>
  <c r="Q61" i="10" s="1"/>
  <c r="Q1065" i="10" a="1"/>
  <c r="Q1065" i="10" s="1"/>
  <c r="Q959" i="10" a="1"/>
  <c r="Q959" i="10" s="1"/>
  <c r="Q647" i="10" a="1"/>
  <c r="Q647" i="10" s="1"/>
  <c r="Q249" i="10" a="1"/>
  <c r="Q249" i="10" s="1"/>
  <c r="Q1039" i="10" a="1"/>
  <c r="Q1039" i="10" s="1"/>
  <c r="Q980" i="10" a="1"/>
  <c r="Q980" i="10" s="1"/>
  <c r="Q969" i="10" a="1"/>
  <c r="Q969" i="10" s="1"/>
  <c r="Q927" i="10" a="1"/>
  <c r="Q927" i="10" s="1"/>
  <c r="Q695" i="10" a="1"/>
  <c r="Q695" i="10" s="1"/>
  <c r="Q573" i="10" a="1"/>
  <c r="Q573" i="10" s="1"/>
  <c r="Q852" i="10" a="1"/>
  <c r="Q852" i="10" s="1"/>
  <c r="Q899" i="10" a="1"/>
  <c r="Q899" i="10" s="1"/>
  <c r="Q713" i="10" a="1"/>
  <c r="Q713" i="10" s="1"/>
  <c r="Q594" i="10" a="1"/>
  <c r="Q594" i="10" s="1"/>
  <c r="Q1090" i="10" a="1"/>
  <c r="Q1090" i="10" s="1"/>
  <c r="Q820" i="10" a="1"/>
  <c r="Q820" i="10" s="1"/>
  <c r="Q997" i="10" a="1"/>
  <c r="Q997" i="10" s="1"/>
  <c r="Q755" i="10" a="1"/>
  <c r="Q755" i="10" s="1"/>
  <c r="Q135" i="10" a="1"/>
  <c r="Q135" i="10" s="1"/>
  <c r="Q181" i="10" a="1"/>
  <c r="Q181" i="10" s="1"/>
  <c r="Q429" i="10" a="1"/>
  <c r="Q429" i="10" s="1"/>
  <c r="Q421" i="10" a="1"/>
  <c r="Q421" i="10" s="1"/>
  <c r="Q874" i="10" a="1"/>
  <c r="Q874" i="10" s="1"/>
  <c r="Q66" i="10" a="1"/>
  <c r="Q66" i="10" s="1"/>
  <c r="Q1007" i="10" a="1"/>
  <c r="Q1007" i="10" s="1"/>
  <c r="Q406" i="10" a="1"/>
  <c r="Q406" i="10" s="1"/>
  <c r="Q1068" i="10" a="1"/>
  <c r="Q1068" i="10" s="1"/>
  <c r="Q906" i="10" a="1"/>
  <c r="Q906" i="10" s="1"/>
  <c r="Q614" i="10" a="1"/>
  <c r="Q614" i="10" s="1"/>
  <c r="Q868" i="10" a="1"/>
  <c r="Q868" i="10" s="1"/>
  <c r="Q905" i="10" a="1"/>
  <c r="Q905" i="10" s="1"/>
  <c r="Q863" i="10" a="1"/>
  <c r="Q863" i="10" s="1"/>
  <c r="Q516" i="10" a="1"/>
  <c r="Q516" i="10" s="1"/>
  <c r="Q335" i="10" a="1"/>
  <c r="Q335" i="10" s="1"/>
  <c r="Q1149" i="10" a="1"/>
  <c r="Q1149" i="10" s="1"/>
  <c r="Q319" i="10" a="1"/>
  <c r="Q319" i="10" s="1"/>
  <c r="Q156" i="10" a="1"/>
  <c r="Q156" i="10" s="1"/>
  <c r="Q576" i="10" a="1"/>
  <c r="Q576" i="10" s="1"/>
  <c r="Q47" i="10" a="1"/>
  <c r="Q47" i="10" s="1"/>
  <c r="Q818" i="10" a="1"/>
  <c r="Q818" i="10" s="1"/>
  <c r="Q532" i="10" a="1"/>
  <c r="Q532" i="10" s="1"/>
  <c r="Q1045" i="10" a="1"/>
  <c r="Q1045" i="10" s="1"/>
  <c r="Q1108" i="10" a="1"/>
  <c r="Q1108" i="10" s="1"/>
  <c r="Q1082" i="10" a="1"/>
  <c r="Q1082" i="10" s="1"/>
  <c r="Q613" i="10" a="1"/>
  <c r="Q613" i="10" s="1"/>
  <c r="Q316" i="10" a="1"/>
  <c r="Q316" i="10" s="1"/>
  <c r="Q543" i="10" a="1"/>
  <c r="Q543" i="10" s="1"/>
  <c r="Q261" i="10" a="1"/>
  <c r="Q261" i="10" s="1"/>
  <c r="Q298" i="10" a="1"/>
  <c r="Q298" i="10" s="1"/>
  <c r="Q1040" i="10" a="1"/>
  <c r="Q1040" i="10" s="1"/>
  <c r="Q224" i="10" a="1"/>
  <c r="Q224" i="10" s="1"/>
  <c r="Q67" i="10" a="1"/>
  <c r="Q67" i="10" s="1"/>
  <c r="Q578" i="10" a="1"/>
  <c r="Q578" i="10" s="1"/>
  <c r="Q220" i="10" a="1"/>
  <c r="Q220" i="10" s="1"/>
  <c r="Q1076" i="10" a="1"/>
  <c r="Q1076" i="10" s="1"/>
  <c r="Q631" i="10" a="1"/>
  <c r="Q631" i="10" s="1"/>
  <c r="Q374" i="10" a="1"/>
  <c r="Q374" i="10" s="1"/>
  <c r="Q583" i="10" a="1"/>
  <c r="Q583" i="10" s="1"/>
  <c r="Q788" i="10" a="1"/>
  <c r="Q788" i="10" s="1"/>
  <c r="Q915" i="10" a="1"/>
  <c r="Q915" i="10" s="1"/>
  <c r="Q979" i="10" a="1"/>
  <c r="Q979" i="10" s="1"/>
  <c r="Q163" i="10" a="1"/>
  <c r="Q163" i="10" s="1"/>
  <c r="Q179" i="10" a="1"/>
  <c r="Q179" i="10" s="1"/>
  <c r="Q634" i="10" a="1"/>
  <c r="Q634" i="10" s="1"/>
  <c r="Q806" i="10" a="1"/>
  <c r="Q806" i="10" s="1"/>
  <c r="Q157" i="10" a="1"/>
  <c r="Q157" i="10" s="1"/>
  <c r="Q388" i="10" a="1"/>
  <c r="Q388" i="10" s="1"/>
  <c r="Q1029" i="10" a="1"/>
  <c r="Q1029" i="10" s="1"/>
  <c r="Q147" i="10" a="1"/>
  <c r="Q147" i="10" s="1"/>
  <c r="Q185" i="10" a="1"/>
  <c r="Q185" i="10" s="1"/>
  <c r="Q480" i="10" a="1"/>
  <c r="Q480" i="10" s="1"/>
  <c r="Q719" i="10" a="1"/>
  <c r="Q719" i="10" s="1"/>
  <c r="Q95" i="10" a="1"/>
  <c r="Q95" i="10" s="1"/>
  <c r="Q175" i="10" a="1"/>
  <c r="Q175" i="10" s="1"/>
  <c r="Q55" i="10" a="1"/>
  <c r="Q55" i="10" s="1"/>
  <c r="Q470" i="10" a="1"/>
  <c r="Q470" i="10" s="1"/>
  <c r="Q848" i="10" a="1"/>
  <c r="Q848" i="10" s="1"/>
  <c r="Q274" i="10" a="1"/>
  <c r="Q274" i="10" s="1"/>
  <c r="Q131" i="10" a="1"/>
  <c r="Q131" i="10" s="1"/>
  <c r="Q932" i="10" a="1"/>
  <c r="Q932" i="10" s="1"/>
  <c r="Q489" i="10" a="1"/>
  <c r="Q489" i="10" s="1"/>
  <c r="Q1167" i="10" a="1"/>
  <c r="Q1167" i="10" s="1"/>
  <c r="Q450" i="10" a="1"/>
  <c r="Q450" i="10" s="1"/>
  <c r="Q387" i="10" a="1"/>
  <c r="Q387" i="10" s="1"/>
  <c r="Q629" i="10" a="1"/>
  <c r="Q629" i="10" s="1"/>
  <c r="Q919" i="10" a="1"/>
  <c r="Q919" i="10" s="1"/>
  <c r="Q1014" i="10" a="1"/>
  <c r="Q1014" i="10" s="1"/>
  <c r="Q252" i="10" a="1"/>
  <c r="Q252" i="10" s="1"/>
  <c r="Q922" i="10" a="1"/>
  <c r="Q922" i="10" s="1"/>
  <c r="Q525" i="10" a="1"/>
  <c r="Q525" i="10" s="1"/>
  <c r="Q935" i="10" a="1"/>
  <c r="Q935" i="10" s="1"/>
  <c r="Q1133" i="10" a="1"/>
  <c r="Q1133" i="10" s="1"/>
  <c r="Q109" i="10" a="1"/>
  <c r="Q109" i="10" s="1"/>
  <c r="Q1043" i="10" a="1"/>
  <c r="Q1043" i="10" s="1"/>
  <c r="Q711" i="10" a="1"/>
  <c r="Q711" i="10" s="1"/>
  <c r="Q30" i="10" a="1"/>
  <c r="Q30" i="10" s="1"/>
  <c r="Q656" i="10" a="1"/>
  <c r="Q656" i="10" s="1"/>
  <c r="Q1023" i="10" a="1"/>
  <c r="Q1023" i="10" s="1"/>
  <c r="Q1052" i="10" a="1"/>
  <c r="Q1052" i="10" s="1"/>
  <c r="Q113" i="10" a="1"/>
  <c r="Q113" i="10" s="1"/>
  <c r="Q132" i="10" a="1"/>
  <c r="Q132" i="10" s="1"/>
  <c r="Q940" i="10" a="1"/>
  <c r="Q940" i="10" s="1"/>
  <c r="Q965" i="10" a="1"/>
  <c r="Q965" i="10" s="1"/>
  <c r="Q258" i="10" a="1"/>
  <c r="Q258" i="10" s="1"/>
  <c r="Q709" i="10" a="1"/>
  <c r="Q709" i="10" s="1"/>
  <c r="Q172" i="10" a="1"/>
  <c r="Q172" i="10" s="1"/>
  <c r="Q733" i="10" a="1"/>
  <c r="Q733" i="10" s="1"/>
  <c r="Q286" i="10" a="1"/>
  <c r="Q286" i="10" s="1"/>
  <c r="Q968" i="10" a="1"/>
  <c r="Q968" i="10" s="1"/>
  <c r="Q400" i="10" a="1"/>
  <c r="Q400" i="10" s="1"/>
  <c r="Q871" i="10" a="1"/>
  <c r="Q871" i="10" s="1"/>
  <c r="Q292" i="10" a="1"/>
  <c r="Q292" i="10" s="1"/>
  <c r="Q1114" i="10" a="1"/>
  <c r="Q1114" i="10" s="1"/>
  <c r="Q531" i="10" a="1"/>
  <c r="Q531" i="10" s="1"/>
  <c r="Q227" i="10" a="1"/>
  <c r="Q227" i="10" s="1"/>
  <c r="Q275" i="10" a="1"/>
  <c r="Q275" i="10" s="1"/>
  <c r="Q247" i="10" a="1"/>
  <c r="Q247" i="10" s="1"/>
  <c r="Q542" i="10" a="1"/>
  <c r="Q542" i="10" s="1"/>
  <c r="Q380" i="10" a="1"/>
  <c r="Q380" i="10" s="1"/>
  <c r="Q384" i="10" a="1"/>
  <c r="Q384" i="10" s="1"/>
  <c r="Q675" i="10" a="1"/>
  <c r="Q675" i="10" s="1"/>
  <c r="Q18" i="10" a="1"/>
  <c r="Q18" i="10" s="1"/>
  <c r="Q671" i="10" a="1"/>
  <c r="Q671" i="10" s="1"/>
  <c r="Q550" i="10" a="1"/>
  <c r="Q550" i="10" s="1"/>
  <c r="Q841" i="10" a="1"/>
  <c r="Q841" i="10" s="1"/>
  <c r="Q1142" i="10" a="1"/>
  <c r="Q1142" i="10" s="1"/>
  <c r="Q121" i="10" a="1"/>
  <c r="Q121" i="10" s="1"/>
  <c r="Q1148" i="10" a="1"/>
  <c r="Q1148" i="10" s="1"/>
  <c r="Q466" i="10" a="1"/>
  <c r="Q466" i="10" s="1"/>
  <c r="Q1013" i="10" a="1"/>
  <c r="Q1013" i="10" s="1"/>
  <c r="Q851" i="10" a="1"/>
  <c r="Q851" i="10" s="1"/>
  <c r="Q662" i="10" a="1"/>
  <c r="Q662" i="10" s="1"/>
  <c r="Q553" i="10" a="1"/>
  <c r="Q553" i="10" s="1"/>
  <c r="Q931" i="10" a="1"/>
  <c r="Q931" i="10" s="1"/>
  <c r="Q202" i="10" a="1"/>
  <c r="Q202" i="10" s="1"/>
  <c r="Q644" i="10" a="1"/>
  <c r="Q644" i="10" s="1"/>
  <c r="Q178" i="10" a="1"/>
  <c r="Q178" i="10" s="1"/>
  <c r="Q669" i="10" a="1"/>
  <c r="Q669" i="10" s="1"/>
  <c r="Q599" i="10" a="1"/>
  <c r="Q599" i="10" s="1"/>
  <c r="Q652" i="10" a="1"/>
  <c r="Q652" i="10" s="1"/>
  <c r="Q716" i="10" a="1"/>
  <c r="Q716" i="10" s="1"/>
  <c r="Q799" i="10" a="1"/>
  <c r="Q799" i="10" s="1"/>
  <c r="Q317" i="10" a="1"/>
  <c r="Q317" i="10" s="1"/>
  <c r="Q639" i="10" a="1"/>
  <c r="Q639" i="10" s="1"/>
  <c r="Q722" i="10" a="1"/>
  <c r="Q722" i="10" s="1"/>
  <c r="Q162" i="10" a="1"/>
  <c r="Q162" i="10" s="1"/>
  <c r="Q953" i="10" a="1"/>
  <c r="Q953" i="10" s="1"/>
  <c r="Q137" i="10" a="1"/>
  <c r="Q137" i="10" s="1"/>
  <c r="Q1091" i="10" a="1"/>
  <c r="Q1091" i="10" s="1"/>
  <c r="Q547" i="10" a="1"/>
  <c r="Q547" i="10" s="1"/>
  <c r="Q490" i="10" a="1"/>
  <c r="Q490" i="10" s="1"/>
  <c r="Q1165" i="10" a="1"/>
  <c r="Q1165" i="10" s="1"/>
  <c r="Q627" i="10" a="1"/>
  <c r="Q627" i="10" s="1"/>
  <c r="Q309" i="10" a="1"/>
  <c r="Q309" i="10" s="1"/>
  <c r="Q508" i="10" a="1"/>
  <c r="Q508" i="10" s="1"/>
  <c r="Q924" i="10" a="1"/>
  <c r="Q924" i="10" s="1"/>
  <c r="Q896" i="10" a="1"/>
  <c r="Q896" i="10" s="1"/>
  <c r="Q80" i="10" a="1"/>
  <c r="Q80" i="10" s="1"/>
  <c r="Q96" i="10" a="1"/>
  <c r="Q96" i="10" s="1"/>
  <c r="Q963" i="10" a="1"/>
  <c r="Q963" i="10" s="1"/>
  <c r="Q231" i="10" a="1"/>
  <c r="Q231" i="10" s="1"/>
  <c r="Q485" i="10" a="1"/>
  <c r="Q485" i="10" s="1"/>
  <c r="Q780" i="10" a="1"/>
  <c r="Q780" i="10" s="1"/>
  <c r="Q420" i="10" a="1"/>
  <c r="Q420" i="10" s="1"/>
  <c r="Q233" i="10" a="1"/>
  <c r="Q233" i="10" s="1"/>
  <c r="Q102" i="10" a="1"/>
  <c r="Q102" i="10" s="1"/>
  <c r="Q351" i="10" a="1"/>
  <c r="Q351" i="10" s="1"/>
  <c r="Q27" i="10" a="1"/>
  <c r="Q27" i="10" s="1"/>
  <c r="Q1170" i="10" a="1"/>
  <c r="Q1170" i="10" s="1"/>
  <c r="Q448" i="10" a="1"/>
  <c r="Q448" i="10" s="1"/>
  <c r="Q458" i="10" a="1"/>
  <c r="Q458" i="10" s="1"/>
  <c r="Q1051" i="10" a="1"/>
  <c r="Q1051" i="10" s="1"/>
  <c r="Q628" i="10" a="1"/>
  <c r="Q628" i="10" s="1"/>
  <c r="Q1046" i="10" a="1"/>
  <c r="Q1046" i="10" s="1"/>
  <c r="Q1054" i="10" a="1"/>
  <c r="Q1054" i="10" s="1"/>
  <c r="Q114" i="10" a="1"/>
  <c r="Q114" i="10" s="1"/>
  <c r="Q180" i="10" a="1"/>
  <c r="Q180" i="10" s="1"/>
  <c r="Q682" i="10" a="1"/>
  <c r="Q682" i="10" s="1"/>
  <c r="Q893" i="10" a="1"/>
  <c r="Q893" i="10" s="1"/>
  <c r="Q1053" i="10" a="1"/>
  <c r="Q1053" i="10" s="1"/>
  <c r="Q770" i="10" a="1"/>
  <c r="Q770" i="10" s="1"/>
  <c r="Q539" i="10" a="1"/>
  <c r="Q539" i="10" s="1"/>
  <c r="Q1147" i="10" a="1"/>
  <c r="Q1147" i="10" s="1"/>
  <c r="Q555" i="10" a="1"/>
  <c r="Q555" i="10" s="1"/>
  <c r="Q453" i="10" a="1"/>
  <c r="Q453" i="10" s="1"/>
  <c r="Q1109" i="10" a="1"/>
  <c r="Q1109" i="10" s="1"/>
  <c r="Q361" i="10" a="1"/>
  <c r="Q361" i="10" s="1"/>
  <c r="Q742" i="10" a="1"/>
  <c r="Q742" i="10" s="1"/>
  <c r="Q534" i="10" a="1"/>
  <c r="Q534" i="10" s="1"/>
  <c r="Q1081" i="10" a="1"/>
  <c r="Q1081" i="10" s="1"/>
  <c r="Q873" i="10" a="1"/>
  <c r="Q873" i="10" s="1"/>
  <c r="Q144" i="10" a="1"/>
  <c r="Q144" i="10" s="1"/>
  <c r="Q795" i="10" a="1"/>
  <c r="Q795" i="10" s="1"/>
  <c r="Q29" i="10" a="1"/>
  <c r="Q29" i="10" s="1"/>
  <c r="Q749" i="10" a="1"/>
  <c r="Q749" i="10" s="1"/>
  <c r="Q182" i="10" a="1"/>
  <c r="Q182" i="10" s="1"/>
  <c r="Q991" i="10" a="1"/>
  <c r="Q991" i="10" s="1"/>
  <c r="Q772" i="10" a="1"/>
  <c r="Q772" i="10" s="1"/>
  <c r="Q431" i="10" a="1"/>
  <c r="Q431" i="10" s="1"/>
  <c r="Q633" i="10" a="1"/>
  <c r="Q633" i="10" s="1"/>
  <c r="Q911" i="10" a="1"/>
  <c r="Q911" i="10" s="1"/>
  <c r="Q807" i="10" a="1"/>
  <c r="Q807" i="10" s="1"/>
  <c r="Q329" i="10" a="1"/>
  <c r="Q329" i="10" s="1"/>
  <c r="Q31" i="10" a="1"/>
  <c r="Q31" i="10" s="1"/>
  <c r="Q866" i="10" a="1"/>
  <c r="Q866" i="10" s="1"/>
  <c r="Q189" i="10" a="1"/>
  <c r="Q189" i="10" s="1"/>
  <c r="Q434" i="10" a="1"/>
  <c r="Q434" i="10" s="1"/>
  <c r="Q63" i="10" a="1"/>
  <c r="Q63" i="10" s="1"/>
  <c r="Q439" i="10" a="1"/>
  <c r="Q439" i="10" s="1"/>
  <c r="Q659" i="10" a="1"/>
  <c r="Q659" i="10" s="1"/>
  <c r="Q895" i="10" a="1"/>
  <c r="Q895" i="10" s="1"/>
  <c r="Q1031" i="10" a="1"/>
  <c r="Q1031" i="10" s="1"/>
  <c r="Q441" i="10" a="1"/>
  <c r="Q441" i="10" s="1"/>
  <c r="Q124" i="10" a="1"/>
  <c r="Q124" i="10" s="1"/>
  <c r="Q356" i="10" a="1"/>
  <c r="Q356" i="10" s="1"/>
  <c r="Q649" i="10" a="1"/>
  <c r="Q649" i="10" s="1"/>
  <c r="Q607" i="10" a="1"/>
  <c r="Q607" i="10" s="1"/>
  <c r="Q1111" i="10" a="1"/>
  <c r="Q1111" i="10" s="1"/>
  <c r="Q998" i="10" a="1"/>
  <c r="Q998" i="10" s="1"/>
  <c r="Q348" i="10" a="1"/>
  <c r="Q348" i="10" s="1"/>
  <c r="Q342" i="10" a="1"/>
  <c r="Q342" i="10" s="1"/>
  <c r="Q983" i="10" a="1"/>
  <c r="Q983" i="10" s="1"/>
  <c r="Q653" i="10" a="1"/>
  <c r="Q653" i="10" s="1"/>
  <c r="Q1095" i="10" a="1"/>
  <c r="Q1095" i="10" s="1"/>
  <c r="Q645" i="10" a="1"/>
  <c r="Q645" i="10" s="1"/>
  <c r="Q211" i="10" a="1"/>
  <c r="Q211" i="10" s="1"/>
  <c r="Q982" i="10" a="1"/>
  <c r="Q982" i="10" s="1"/>
  <c r="Q876" i="10" a="1"/>
  <c r="Q876" i="10" s="1"/>
  <c r="Q701" i="10" a="1"/>
  <c r="Q701" i="10" s="1"/>
  <c r="Q166" i="10" a="1"/>
  <c r="Q166" i="10" s="1"/>
  <c r="Q956" i="10" a="1"/>
  <c r="Q956" i="10" s="1"/>
  <c r="Q115" i="10" a="1"/>
  <c r="Q115" i="10" s="1"/>
  <c r="Q886" i="10" a="1"/>
  <c r="Q886" i="10" s="1"/>
  <c r="Q908" i="10" a="1"/>
  <c r="Q908" i="10" s="1"/>
  <c r="Q442" i="10" a="1"/>
  <c r="Q442" i="10" s="1"/>
  <c r="Q371" i="10" a="1"/>
  <c r="Q371" i="10" s="1"/>
  <c r="Q140" i="10" a="1"/>
  <c r="Q140" i="10" s="1"/>
  <c r="Q426" i="10" a="1"/>
  <c r="Q426" i="10" s="1"/>
  <c r="Q90" i="10" a="1"/>
  <c r="Q90" i="10" s="1"/>
  <c r="Q604" i="10" a="1"/>
  <c r="Q604" i="10" s="1"/>
  <c r="Q464" i="10" a="1"/>
  <c r="Q464" i="10" s="1"/>
  <c r="Q143" i="10" a="1"/>
  <c r="Q143" i="10" s="1"/>
  <c r="Q914" i="10" a="1"/>
  <c r="Q914" i="10" s="1"/>
  <c r="Q672" i="10" a="1"/>
  <c r="Q672" i="10" s="1"/>
  <c r="Q45" i="10" a="1"/>
  <c r="Q45" i="10" s="1"/>
  <c r="Q98" i="10" a="1"/>
  <c r="Q98" i="10" s="1"/>
  <c r="Q1027" i="10" a="1"/>
  <c r="Q1027" i="10" s="1"/>
  <c r="Q756" i="10" a="1"/>
  <c r="Q756" i="10" s="1"/>
  <c r="Q169" i="10" a="1"/>
  <c r="Q169" i="10" s="1"/>
  <c r="Q1085" i="10" a="1"/>
  <c r="Q1085" i="10" s="1"/>
  <c r="Q1093" i="10" a="1"/>
  <c r="Q1093" i="10" s="1"/>
  <c r="Q916" i="10" a="1"/>
  <c r="Q916" i="10" s="1"/>
  <c r="Q981" i="10" a="1"/>
  <c r="Q981" i="10" s="1"/>
  <c r="Q867" i="10" a="1"/>
  <c r="Q867" i="10" s="1"/>
  <c r="Q503" i="10" a="1"/>
  <c r="Q503" i="10" s="1"/>
  <c r="Q293" i="10" a="1"/>
  <c r="Q293" i="10" s="1"/>
  <c r="Q51" i="10" a="1"/>
  <c r="Q51" i="10" s="1"/>
  <c r="Q822" i="10" a="1"/>
  <c r="Q822" i="10" s="1"/>
  <c r="Q844" i="10" a="1"/>
  <c r="Q844" i="10" s="1"/>
  <c r="Q986" i="10" a="1"/>
  <c r="Q986" i="10" s="1"/>
  <c r="Q933" i="10" a="1"/>
  <c r="Q933" i="10" s="1"/>
  <c r="Q83" i="10" a="1"/>
  <c r="Q83" i="10" s="1"/>
  <c r="Q917" i="10" a="1"/>
  <c r="Q917" i="10" s="1"/>
  <c r="Q837" i="10" a="1"/>
  <c r="Q837" i="10" s="1"/>
  <c r="Q150" i="10" a="1"/>
  <c r="Q150" i="10" s="1"/>
  <c r="Q1071" i="10" a="1"/>
  <c r="Q1071" i="10" s="1"/>
  <c r="Q743" i="10" a="1"/>
  <c r="Q743" i="10" s="1"/>
  <c r="Q297" i="10" a="1"/>
  <c r="Q297" i="10" s="1"/>
  <c r="Q191" i="10" a="1"/>
  <c r="Q191" i="10" s="1"/>
  <c r="Q962" i="10" a="1"/>
  <c r="Q962" i="10" s="1"/>
  <c r="Q592" i="10" a="1"/>
  <c r="Q592" i="10" s="1"/>
  <c r="Q271" i="10" a="1"/>
  <c r="Q271" i="10" s="1"/>
  <c r="Q1042" i="10" a="1"/>
  <c r="Q1042" i="10" s="1"/>
  <c r="Q159" i="10" a="1"/>
  <c r="Q159" i="10" s="1"/>
  <c r="Q816" i="10" a="1"/>
  <c r="Q816" i="10" s="1"/>
  <c r="Q484" i="10" a="1"/>
  <c r="Q484" i="10" s="1"/>
  <c r="Q482" i="10" a="1"/>
  <c r="Q482" i="10" s="1"/>
  <c r="Q492" i="10" a="1"/>
  <c r="Q492" i="10" s="1"/>
  <c r="Q359" i="10" a="1"/>
  <c r="Q359" i="10" s="1"/>
  <c r="Q229" i="10" a="1"/>
  <c r="Q229" i="10" s="1"/>
  <c r="Q1124" i="10" a="1"/>
  <c r="Q1124" i="10" s="1"/>
  <c r="Q758" i="10" a="1"/>
  <c r="Q758" i="10" s="1"/>
  <c r="Q524" i="10" a="1"/>
  <c r="Q524" i="10" s="1"/>
  <c r="Q58" i="10" a="1"/>
  <c r="Q58" i="10" s="1"/>
  <c r="Q591" i="10" a="1"/>
  <c r="Q591" i="10" s="1"/>
  <c r="Q487" i="10" a="1"/>
  <c r="Q487" i="10" s="1"/>
  <c r="Q236" i="10" a="1"/>
  <c r="Q236" i="10" s="1"/>
  <c r="Q445" i="10" a="1"/>
  <c r="Q445" i="10" s="1"/>
  <c r="Q832" i="10" a="1"/>
  <c r="Q832" i="10" s="1"/>
  <c r="Q300" i="10" a="1"/>
  <c r="Q300" i="10" s="1"/>
  <c r="Q36" i="10" a="1"/>
  <c r="Q36" i="10" s="1"/>
  <c r="Q155" i="10" a="1"/>
  <c r="Q155" i="10" s="1"/>
  <c r="Q728" i="10" a="1"/>
  <c r="Q728" i="10" s="1"/>
  <c r="Q715" i="10" a="1"/>
  <c r="Q715" i="10" s="1"/>
  <c r="Q1086" i="10" a="1"/>
  <c r="Q1086" i="10" s="1"/>
  <c r="Q77" i="10" a="1"/>
  <c r="Q77" i="10" s="1"/>
  <c r="Q664" i="10" a="1"/>
  <c r="Q664" i="10" s="1"/>
  <c r="Q1073" i="10" a="1"/>
  <c r="Q1073" i="10" s="1"/>
  <c r="Q398" i="10" a="1"/>
  <c r="Q398" i="10" s="1"/>
  <c r="Q877" i="10" a="1"/>
  <c r="Q877" i="10" s="1"/>
  <c r="Q145" i="10" a="1"/>
  <c r="Q145" i="10" s="1"/>
  <c r="Q785" i="10" a="1"/>
  <c r="Q785" i="10" s="1"/>
  <c r="Q683" i="10" a="1"/>
  <c r="Q683" i="10" s="1"/>
  <c r="Q1096" i="10" a="1"/>
  <c r="Q1096" i="10" s="1"/>
  <c r="Q284" i="10" a="1"/>
  <c r="Q284" i="10" s="1"/>
  <c r="Q255" i="10" a="1"/>
  <c r="Q255" i="10" s="1"/>
  <c r="Q739" i="10" a="1"/>
  <c r="Q739" i="10" s="1"/>
  <c r="Q343" i="10" a="1"/>
  <c r="Q343" i="10" s="1"/>
  <c r="Q199" i="10" a="1"/>
  <c r="Q199" i="10" s="1"/>
  <c r="Q28" i="10" a="1"/>
  <c r="Q28" i="10" s="1"/>
  <c r="Q22" i="10" a="1"/>
  <c r="Q22" i="10" s="1"/>
  <c r="Q72" i="10" a="1"/>
  <c r="Q72" i="10" s="1"/>
  <c r="Q486" i="10" a="1"/>
  <c r="Q486" i="10" s="1"/>
  <c r="Q253" i="10" a="1"/>
  <c r="Q253" i="10" s="1"/>
  <c r="Q19" i="10" a="1"/>
  <c r="Q19" i="10" s="1"/>
  <c r="Q514" i="10" a="1"/>
  <c r="Q514" i="10" s="1"/>
  <c r="Q995" i="10" a="1"/>
  <c r="Q995" i="10" s="1"/>
  <c r="Q775" i="10" a="1"/>
  <c r="Q775" i="10" s="1"/>
  <c r="Q545" i="10" a="1"/>
  <c r="Q545" i="10" s="1"/>
  <c r="Q838" i="10" a="1"/>
  <c r="Q838" i="10" s="1"/>
  <c r="Q296" i="10" a="1"/>
  <c r="Q296" i="10" s="1"/>
  <c r="Q494" i="10" a="1"/>
  <c r="Q494" i="10" s="1"/>
  <c r="Q266" i="10" a="1"/>
  <c r="Q266" i="10" s="1"/>
  <c r="Q136" i="10" a="1"/>
  <c r="Q136" i="10" s="1"/>
  <c r="Q568" i="10" a="1"/>
  <c r="Q568" i="10" s="1"/>
  <c r="Q857" i="10" a="1"/>
  <c r="Q857" i="10" s="1"/>
  <c r="Q315" i="10" a="1"/>
  <c r="Q315" i="10" s="1"/>
  <c r="Q513" i="10" a="1"/>
  <c r="Q513" i="10" s="1"/>
  <c r="Q926" i="10" a="1"/>
  <c r="Q926" i="10" s="1"/>
  <c r="Q632" i="10" a="1"/>
  <c r="Q632" i="10" s="1"/>
  <c r="Q921" i="10" a="1"/>
  <c r="Q921" i="10" s="1"/>
  <c r="Q379" i="10" a="1"/>
  <c r="Q379" i="10" s="1"/>
  <c r="Q577" i="10" a="1"/>
  <c r="Q577" i="10" s="1"/>
  <c r="Q990" i="10" a="1"/>
  <c r="Q990" i="10" s="1"/>
  <c r="Q219" i="10" a="1"/>
  <c r="Q219" i="10" s="1"/>
  <c r="Q651" i="10" a="1"/>
  <c r="Q651" i="10" s="1"/>
  <c r="Q958" i="10" a="1"/>
  <c r="Q958" i="10" s="1"/>
  <c r="Q1159" i="10" a="1"/>
  <c r="Q1159" i="10" s="1"/>
  <c r="Q600" i="10" a="1"/>
  <c r="Q600" i="10" s="1"/>
  <c r="Q1009" i="10" a="1"/>
  <c r="Q1009" i="10" s="1"/>
  <c r="Q167" i="10" a="1"/>
  <c r="Q167" i="10" s="1"/>
  <c r="Q540" i="10" a="1"/>
  <c r="Q540" i="10" s="1"/>
  <c r="Q192" i="10" a="1"/>
  <c r="Q192" i="10" s="1"/>
  <c r="Q85" i="10" a="1"/>
  <c r="Q85" i="10" s="1"/>
  <c r="Q93" i="10" a="1"/>
  <c r="Q93" i="10" s="1"/>
  <c r="Q462" i="10" a="1"/>
  <c r="Q462" i="10" s="1"/>
  <c r="Q1069" i="10" a="1"/>
  <c r="Q1069" i="10" s="1"/>
  <c r="Q209" i="10" a="1"/>
  <c r="Q209" i="10" s="1"/>
  <c r="Q849" i="10" a="1"/>
  <c r="Q849" i="10" s="1"/>
  <c r="Q747" i="10" a="1"/>
  <c r="Q747" i="10" s="1"/>
  <c r="Q49" i="10" a="1"/>
  <c r="Q49" i="10" s="1"/>
  <c r="Q481" i="10" a="1"/>
  <c r="Q481" i="10" s="1"/>
  <c r="Q774" i="10" a="1"/>
  <c r="Q774" i="10" s="1"/>
  <c r="Q232" i="10" a="1"/>
  <c r="Q232" i="10" s="1"/>
  <c r="Q430" i="10" a="1"/>
  <c r="Q430" i="10" s="1"/>
  <c r="Q74" i="10" a="1"/>
  <c r="Q74" i="10" s="1"/>
  <c r="Q344" i="10" a="1"/>
  <c r="Q344" i="10" s="1"/>
  <c r="Q254" i="10" a="1"/>
  <c r="Q254" i="10" s="1"/>
  <c r="Q1160" i="10" a="1"/>
  <c r="Q1160" i="10" s="1"/>
  <c r="Q1022" i="10" a="1"/>
  <c r="Q1022" i="10" s="1"/>
  <c r="Q1118" i="10" a="1"/>
  <c r="Q1118" i="10" s="1"/>
  <c r="Q523" i="10" a="1"/>
  <c r="Q523" i="10" s="1"/>
  <c r="Q792" i="10" a="1"/>
  <c r="Q792" i="10" s="1"/>
  <c r="Q843" i="10" a="1"/>
  <c r="Q843" i="10" s="1"/>
  <c r="Q110" i="10" a="1"/>
  <c r="Q110" i="10" s="1"/>
  <c r="Q558" i="10" a="1"/>
  <c r="Q558" i="10" s="1"/>
  <c r="Q609" i="10" a="1"/>
  <c r="Q609" i="10" s="1"/>
  <c r="Q878" i="10" a="1"/>
  <c r="Q878" i="10" s="1"/>
  <c r="Q929" i="10" a="1"/>
  <c r="Q929" i="10" s="1"/>
  <c r="Q842" i="10" a="1"/>
  <c r="Q842" i="10" s="1"/>
  <c r="Q737" i="10" a="1"/>
  <c r="Q737" i="10" s="1"/>
  <c r="Q552" i="10" a="1"/>
  <c r="Q552" i="10" s="1"/>
  <c r="Q1021" i="10" a="1"/>
  <c r="Q1021" i="10" s="1"/>
  <c r="Q454" i="10" a="1"/>
  <c r="Q454" i="10" s="1"/>
  <c r="Q814" i="10" a="1"/>
  <c r="Q814" i="10" s="1"/>
  <c r="Q81" i="10" a="1"/>
  <c r="Q81" i="10" s="1"/>
  <c r="Q1025" i="10" a="1"/>
  <c r="Q1025" i="10" s="1"/>
  <c r="Q731" i="10" a="1"/>
  <c r="Q731" i="10" s="1"/>
  <c r="Q891" i="10" a="1"/>
  <c r="Q891" i="10" s="1"/>
  <c r="Q698" i="10" a="1"/>
  <c r="Q698" i="10" s="1"/>
  <c r="Q794" i="10" a="1"/>
  <c r="Q794" i="10" s="1"/>
  <c r="Q670" i="10" a="1"/>
  <c r="Q670" i="10" s="1"/>
  <c r="Q257" i="10" a="1"/>
  <c r="Q257" i="10" s="1"/>
  <c r="Q59" i="10" a="1"/>
  <c r="Q59" i="10" s="1"/>
  <c r="Q601" i="10" a="1"/>
  <c r="Q601" i="10" s="1"/>
  <c r="Q312" i="10" a="1"/>
  <c r="Q312" i="10" s="1"/>
  <c r="Q1002" i="10" a="1"/>
  <c r="Q1002" i="10" s="1"/>
  <c r="Q734" i="10" a="1"/>
  <c r="Q734" i="10" s="1"/>
  <c r="Q321" i="10" a="1"/>
  <c r="Q321" i="10" s="1"/>
  <c r="Q123" i="10" a="1"/>
  <c r="Q123" i="10" s="1"/>
  <c r="Q665" i="10" a="1"/>
  <c r="Q665" i="10" s="1"/>
  <c r="Q376" i="10" a="1"/>
  <c r="Q376" i="10" s="1"/>
  <c r="Q472" i="10" a="1"/>
  <c r="Q472" i="10" s="1"/>
  <c r="Q1144" i="10" a="1"/>
  <c r="Q1144" i="10" s="1"/>
  <c r="Q729" i="10" a="1"/>
  <c r="Q729" i="10" s="1"/>
  <c r="Q440" i="10" a="1"/>
  <c r="Q440" i="10" s="1"/>
  <c r="Q347" i="10" a="1"/>
  <c r="Q347" i="10" s="1"/>
  <c r="Q1119" i="10" a="1"/>
  <c r="Q1119" i="10" s="1"/>
  <c r="Q705" i="10" a="1"/>
  <c r="Q705" i="10" s="1"/>
  <c r="Q507" i="10" a="1"/>
  <c r="Q507" i="10" s="1"/>
  <c r="Q1049" i="10" a="1"/>
  <c r="Q1049" i="10" s="1"/>
  <c r="Q760" i="10" a="1"/>
  <c r="Q760" i="10" s="1"/>
  <c r="Q616" i="10" a="1"/>
  <c r="Q616" i="10" s="1"/>
  <c r="Q689" i="10" a="1"/>
  <c r="Q689" i="10" s="1"/>
  <c r="Q830" i="10" a="1"/>
  <c r="Q830" i="10" s="1"/>
  <c r="Q331" i="10" a="1"/>
  <c r="Q331" i="10" s="1"/>
  <c r="Q619" i="10" a="1"/>
  <c r="Q619" i="10" s="1"/>
  <c r="Q685" i="10" a="1"/>
  <c r="Q685" i="10" s="1"/>
  <c r="Q977" i="10" a="1"/>
  <c r="Q977" i="10" s="1"/>
  <c r="Q273" i="10" a="1"/>
  <c r="Q273" i="10" s="1"/>
  <c r="Q170" i="10" a="1"/>
  <c r="Q170" i="10" s="1"/>
  <c r="Q782" i="10" a="1"/>
  <c r="Q782" i="10" s="1"/>
  <c r="Q433" i="10" a="1"/>
  <c r="Q433" i="10" s="1"/>
  <c r="Q24" i="10" a="1"/>
  <c r="Q24" i="10" s="1"/>
  <c r="Q382" i="10" a="1"/>
  <c r="Q382" i="10" s="1"/>
  <c r="Q657" i="10" a="1"/>
  <c r="Q657" i="10" s="1"/>
  <c r="Q75" i="10" a="1"/>
  <c r="Q75" i="10" s="1"/>
  <c r="Q846" i="10" a="1"/>
  <c r="Q846" i="10" s="1"/>
  <c r="Q241" i="10" a="1"/>
  <c r="Q241" i="10" s="1"/>
  <c r="Q939" i="10" a="1"/>
  <c r="Q939" i="10" s="1"/>
  <c r="Q62" i="10" a="1"/>
  <c r="Q62" i="10" s="1"/>
  <c r="Q465" i="10" a="1"/>
  <c r="Q465" i="10" s="1"/>
  <c r="Q554" i="10" a="1"/>
  <c r="Q554" i="10" s="1"/>
  <c r="Q654" i="10" a="1"/>
  <c r="Q654" i="10" s="1"/>
  <c r="Q305" i="10" a="1"/>
  <c r="Q305" i="10" s="1"/>
  <c r="Q1003" i="10" a="1"/>
  <c r="Q1003" i="10" s="1"/>
  <c r="Q190" i="10" a="1"/>
  <c r="Q190" i="10" s="1"/>
  <c r="Q529" i="10" a="1"/>
  <c r="Q529" i="10" s="1"/>
  <c r="Q746" i="10" a="1"/>
  <c r="Q746" i="10" s="1"/>
  <c r="Q718" i="10" a="1"/>
  <c r="Q718" i="10" s="1"/>
  <c r="Q593" i="10" a="1"/>
  <c r="Q593" i="10" s="1"/>
  <c r="Q776" i="10" a="1"/>
  <c r="Q776" i="10" s="1"/>
  <c r="Q890" i="10" a="1"/>
  <c r="Q890" i="10" s="1"/>
  <c r="Q248" i="10" a="1"/>
  <c r="Q248" i="10" s="1"/>
  <c r="Q449" i="10" a="1"/>
  <c r="Q449" i="10" s="1"/>
  <c r="Q587" i="10" a="1"/>
  <c r="Q587" i="10" s="1"/>
  <c r="Q699" i="10" a="1"/>
  <c r="Q699" i="10" s="1"/>
  <c r="Q859" i="10" a="1"/>
  <c r="Q859" i="10" s="1"/>
  <c r="Q973" i="10" a="1"/>
  <c r="Q973" i="10" s="1"/>
  <c r="Q710" i="10" a="1"/>
  <c r="Q710" i="10" s="1"/>
  <c r="Q584" i="10" a="1"/>
  <c r="Q584" i="10" s="1"/>
  <c r="Q171" i="10" a="1"/>
  <c r="Q171" i="10" s="1"/>
  <c r="Q942" i="10" a="1"/>
  <c r="Q942" i="10" s="1"/>
  <c r="Q744" i="10" a="1"/>
  <c r="Q744" i="10" s="1"/>
  <c r="Q1123" i="10" a="1"/>
  <c r="Q1123" i="10" s="1"/>
  <c r="Q993" i="10" a="1"/>
  <c r="Q993" i="10" s="1"/>
  <c r="Q648" i="10" a="1"/>
  <c r="Q648" i="10" s="1"/>
  <c r="Q235" i="10" a="1"/>
  <c r="Q235" i="10" s="1"/>
  <c r="Q1006" i="10" a="1"/>
  <c r="Q1006" i="10" s="1"/>
  <c r="Q808" i="10" a="1"/>
  <c r="Q808" i="10" s="1"/>
  <c r="Q1141" i="10" a="1"/>
  <c r="Q1141" i="10" s="1"/>
  <c r="Q1057" i="10" a="1"/>
  <c r="Q1057" i="10" s="1"/>
  <c r="Q46" i="10" a="1"/>
  <c r="Q46" i="10" s="1"/>
  <c r="Q955" i="10" a="1"/>
  <c r="Q955" i="10" s="1"/>
  <c r="Q390" i="10" a="1"/>
  <c r="Q390" i="10" s="1"/>
  <c r="Q97" i="10" a="1"/>
  <c r="Q97" i="10" s="1"/>
  <c r="Q574" i="10" a="1"/>
  <c r="Q574" i="10" s="1"/>
  <c r="Q974" i="10" a="1"/>
  <c r="Q974" i="10" s="1"/>
  <c r="Q872" i="10" a="1"/>
  <c r="Q872" i="10" s="1"/>
  <c r="Q409" i="10" a="1"/>
  <c r="Q409" i="10" s="1"/>
  <c r="Q267" i="10" a="1"/>
  <c r="Q267" i="10" s="1"/>
  <c r="Q408" i="10" a="1"/>
  <c r="Q408" i="10" s="1"/>
  <c r="Q459" i="10" a="1"/>
  <c r="Q459" i="10" s="1"/>
  <c r="Q638" i="10" a="1"/>
  <c r="Q638" i="10" s="1"/>
  <c r="Q94" i="10" a="1"/>
  <c r="Q94" i="10" s="1"/>
  <c r="Q25" i="10" a="1"/>
  <c r="Q25" i="10" s="1"/>
  <c r="Q602" i="10" a="1"/>
  <c r="Q602" i="10" s="1"/>
  <c r="Q945" i="10" a="1"/>
  <c r="Q945" i="10" s="1"/>
  <c r="Q360" i="10" a="1"/>
  <c r="Q360" i="10" s="1"/>
  <c r="Q520" i="10" a="1"/>
  <c r="Q520" i="10" s="1"/>
  <c r="Q680" i="10" a="1"/>
  <c r="Q680" i="10" s="1"/>
  <c r="Q328" i="10" a="1"/>
  <c r="Q328" i="10" s="1"/>
  <c r="Q488" i="10" a="1"/>
  <c r="Q488" i="10" s="1"/>
  <c r="Q392" i="10" a="1"/>
  <c r="Q392" i="10" s="1"/>
  <c r="Q1140" i="10" a="1"/>
  <c r="Q1140" i="10" s="1"/>
  <c r="Q1094" i="10" a="1"/>
  <c r="Q1094" i="10" s="1"/>
  <c r="Q1038" i="10" a="1"/>
  <c r="Q1038" i="10" s="1"/>
  <c r="Q862" i="10" a="1"/>
  <c r="Q862" i="10" s="1"/>
  <c r="Q865" i="10" a="1"/>
  <c r="Q865" i="10" s="1"/>
  <c r="Q667" i="10" a="1"/>
  <c r="Q667" i="10" s="1"/>
  <c r="Q827" i="10" a="1"/>
  <c r="Q827" i="10" s="1"/>
  <c r="Q1080" i="10" a="1"/>
  <c r="Q1080" i="10" s="1"/>
  <c r="Q1089" i="10" a="1"/>
  <c r="Q1089" i="10" s="1"/>
  <c r="Q33" i="10" a="1"/>
  <c r="Q33" i="10" s="1"/>
  <c r="Q473" i="10" a="1"/>
  <c r="Q473" i="10" s="1"/>
  <c r="Q923" i="10" a="1"/>
  <c r="Q923" i="10" s="1"/>
  <c r="Q413" i="10" a="1"/>
  <c r="Q413" i="10" s="1"/>
  <c r="Q174" i="10" a="1"/>
  <c r="Q174" i="10" s="1"/>
  <c r="Q1083" i="10" a="1"/>
  <c r="Q1083" i="10" s="1"/>
  <c r="Q518" i="10" a="1"/>
  <c r="Q518" i="10" s="1"/>
  <c r="Q225" i="10" a="1"/>
  <c r="Q225" i="10" s="1"/>
  <c r="Q987" i="10" a="1"/>
  <c r="Q987" i="10" s="1"/>
  <c r="Q589" i="10" a="1"/>
  <c r="Q589" i="10" s="1"/>
  <c r="Q238" i="10" a="1"/>
  <c r="Q238" i="10" s="1"/>
  <c r="Q40" i="10" a="1"/>
  <c r="Q40" i="10" s="1"/>
  <c r="Q582" i="10" a="1"/>
  <c r="Q582" i="10" s="1"/>
  <c r="Q289" i="10" a="1"/>
  <c r="Q289" i="10" s="1"/>
  <c r="Q385" i="10" a="1"/>
  <c r="Q385" i="10" s="1"/>
  <c r="Q187" i="10" a="1"/>
  <c r="Q187" i="10" s="1"/>
  <c r="Q646" i="10" a="1"/>
  <c r="Q646" i="10" s="1"/>
  <c r="Q353" i="10" a="1"/>
  <c r="Q353" i="10" s="1"/>
  <c r="Q264" i="10" a="1"/>
  <c r="Q264" i="10" s="1"/>
  <c r="Q650" i="10" a="1"/>
  <c r="Q650" i="10" s="1"/>
  <c r="Q622" i="10" a="1"/>
  <c r="Q622" i="10" s="1"/>
  <c r="Q424" i="10" a="1"/>
  <c r="Q424" i="10" s="1"/>
  <c r="Q966" i="10" a="1"/>
  <c r="Q966" i="10" s="1"/>
  <c r="Q673" i="10" a="1"/>
  <c r="Q673" i="10" s="1"/>
  <c r="Q134" i="10" a="1"/>
  <c r="Q134" i="10" s="1"/>
  <c r="Q363" i="10" a="1"/>
  <c r="Q363" i="10" s="1"/>
  <c r="Q1019" i="10" a="1"/>
  <c r="Q1019" i="10" s="1"/>
  <c r="Q161" i="10" a="1"/>
  <c r="Q161" i="10" s="1"/>
  <c r="Q366" i="10" a="1"/>
  <c r="Q366" i="10" s="1"/>
  <c r="Q417" i="10" a="1"/>
  <c r="Q417" i="10" s="1"/>
  <c r="Q269" i="10" a="1"/>
  <c r="Q269" i="10" s="1"/>
  <c r="Q1166" i="10" a="1"/>
  <c r="Q1166" i="10" s="1"/>
  <c r="Q779" i="10" a="1"/>
  <c r="Q779" i="10" s="1"/>
  <c r="Q925" i="10" a="1"/>
  <c r="Q925" i="10" s="1"/>
  <c r="Q350" i="10" a="1"/>
  <c r="Q350" i="10" s="1"/>
  <c r="Q1048" i="10" a="1"/>
  <c r="Q1048" i="10" s="1"/>
  <c r="Q122" i="10" a="1"/>
  <c r="Q122" i="10" s="1"/>
  <c r="Q281" i="10" a="1"/>
  <c r="Q281" i="10" s="1"/>
  <c r="Q1099" i="10" a="1"/>
  <c r="Q1099" i="10" s="1"/>
  <c r="Q365" i="10" a="1"/>
  <c r="Q365" i="10" s="1"/>
  <c r="Q158" i="10" a="1"/>
  <c r="Q158" i="10" s="1"/>
  <c r="Q856" i="10" a="1"/>
  <c r="Q856" i="10" s="1"/>
  <c r="Q637" i="10" a="1"/>
  <c r="Q637" i="10" s="1"/>
  <c r="Q89" i="10" a="1"/>
  <c r="Q89" i="10" s="1"/>
  <c r="Q907" i="10" a="1"/>
  <c r="Q907" i="10" s="1"/>
  <c r="Q541" i="10" a="1"/>
  <c r="Q541" i="10" s="1"/>
  <c r="Q222" i="10" a="1"/>
  <c r="Q222" i="10" s="1"/>
  <c r="Q920" i="10" a="1"/>
  <c r="Q920" i="10" s="1"/>
  <c r="Q829" i="10" a="1"/>
  <c r="Q829" i="10" s="1"/>
  <c r="Q153" i="10" a="1"/>
  <c r="Q153" i="10" s="1"/>
  <c r="Q971" i="10" a="1"/>
  <c r="Q971" i="10" s="1"/>
  <c r="Q1067" i="10" a="1"/>
  <c r="Q1067" i="10" s="1"/>
  <c r="Q1152" i="10" a="1"/>
  <c r="Q1152" i="10" s="1"/>
  <c r="Q221" i="10" a="1"/>
  <c r="Q221" i="10" s="1"/>
  <c r="Q936" i="10" a="1"/>
  <c r="Q936" i="10" s="1"/>
  <c r="Q78" i="10" a="1"/>
  <c r="Q78" i="10" s="1"/>
  <c r="Q401" i="10" a="1"/>
  <c r="Q401" i="10" s="1"/>
  <c r="Q334" i="10" a="1"/>
  <c r="Q334" i="10" s="1"/>
  <c r="Q217" i="10" a="1"/>
  <c r="Q217" i="10" s="1"/>
  <c r="Q606" i="10" a="1"/>
  <c r="Q606" i="10" s="1"/>
  <c r="Q536" i="10" a="1"/>
  <c r="Q536" i="10" s="1"/>
  <c r="Q504" i="10" a="1"/>
  <c r="Q504" i="10" s="1"/>
  <c r="Q497" i="10" a="1"/>
  <c r="Q497" i="10" s="1"/>
  <c r="Q88" i="10" a="1"/>
  <c r="Q88" i="10" s="1"/>
  <c r="Q510" i="10" a="1"/>
  <c r="Q510" i="10" s="1"/>
  <c r="Q721" i="10" a="1"/>
  <c r="Q721" i="10" s="1"/>
  <c r="Q139" i="10" a="1"/>
  <c r="Q139" i="10" s="1"/>
  <c r="Q910" i="10" a="1"/>
  <c r="Q910" i="10" s="1"/>
  <c r="Q561" i="10" a="1"/>
  <c r="Q561" i="10" s="1"/>
  <c r="Q152" i="10" a="1"/>
  <c r="Q152" i="10" s="1"/>
  <c r="Q913" i="10" a="1"/>
  <c r="Q913" i="10" s="1"/>
  <c r="Q203" i="10" a="1"/>
  <c r="Q203" i="10" s="1"/>
  <c r="Q1070" i="10" a="1"/>
  <c r="Q1070" i="10" s="1"/>
  <c r="Q1162" i="10" a="1"/>
  <c r="Q1162" i="10" s="1"/>
  <c r="Q270" i="10" a="1"/>
  <c r="Q270" i="10" s="1"/>
  <c r="Q120" i="10" a="1"/>
  <c r="Q120" i="10" s="1"/>
  <c r="Q1131" i="10" a="1"/>
  <c r="Q1131" i="10" s="1"/>
  <c r="Q753" i="10" a="1"/>
  <c r="Q753" i="10" s="1"/>
  <c r="Q894" i="10" a="1"/>
  <c r="Q894" i="10" s="1"/>
  <c r="Q395" i="10" a="1"/>
  <c r="Q395" i="10" s="1"/>
  <c r="Q817" i="10" a="1"/>
  <c r="Q817" i="10" s="1"/>
  <c r="Q446" i="10" a="1"/>
  <c r="Q446" i="10" s="1"/>
  <c r="Q1163" i="10" a="1"/>
  <c r="Q1163" i="10" s="1"/>
  <c r="Q173" i="10" a="1"/>
  <c r="Q173" i="10" s="1"/>
  <c r="Q461" i="10" a="1"/>
  <c r="Q461" i="10" s="1"/>
  <c r="Q318" i="10" a="1"/>
  <c r="Q318" i="10" s="1"/>
  <c r="Q423" i="10" a="1"/>
  <c r="Q423" i="10" s="1"/>
  <c r="Q766" i="10" a="1"/>
  <c r="Q766" i="10" s="1"/>
  <c r="Q902" i="10" a="1"/>
  <c r="Q902" i="10" s="1"/>
  <c r="Q107" i="10" a="1"/>
  <c r="Q107" i="10" s="1"/>
  <c r="Q1169" i="10" a="1"/>
  <c r="Q1169" i="10" s="1"/>
  <c r="Q686" i="10" a="1"/>
  <c r="Q686" i="10" s="1"/>
  <c r="Q1030" i="10" a="1"/>
  <c r="Q1030" i="10" s="1"/>
  <c r="Q750" i="10" a="1"/>
  <c r="Q750" i="10" s="1"/>
  <c r="Q801" i="10" a="1"/>
  <c r="Q801" i="10" s="1"/>
  <c r="Q1128" i="10" a="1"/>
  <c r="Q1128" i="10" s="1"/>
  <c r="Q793" i="10" a="1"/>
  <c r="Q793" i="10" s="1"/>
  <c r="Q1032" i="10" a="1"/>
  <c r="Q1032" i="10" s="1"/>
  <c r="Q1130" i="10" a="1"/>
  <c r="Q1130" i="10" s="1"/>
  <c r="Q262" i="10" a="1"/>
  <c r="Q262" i="10" s="1"/>
  <c r="Q1143" i="10" a="1"/>
  <c r="Q1143" i="10" s="1"/>
  <c r="Q326" i="10" a="1"/>
  <c r="Q326" i="10" s="1"/>
  <c r="Q129" i="10" a="1"/>
  <c r="Q129" i="10" s="1"/>
  <c r="Q184" i="10" a="1"/>
  <c r="Q184" i="10" s="1"/>
  <c r="Q840" i="10" a="1"/>
  <c r="Q840" i="10" s="1"/>
  <c r="Q427" i="10" a="1"/>
  <c r="Q427" i="10" s="1"/>
  <c r="Q1145" i="10" a="1"/>
  <c r="Q1145" i="10" s="1"/>
  <c r="Q1000" i="10" a="1"/>
  <c r="Q1000" i="10" s="1"/>
  <c r="Q125" i="10" a="1"/>
  <c r="Q125" i="10" s="1"/>
  <c r="Q142" i="10" a="1"/>
  <c r="Q142" i="10" s="1"/>
  <c r="Q904" i="10" a="1"/>
  <c r="Q904" i="10" s="1"/>
  <c r="Q491" i="10" a="1"/>
  <c r="Q491" i="10" s="1"/>
  <c r="Q1150" i="10" a="1"/>
  <c r="Q1150" i="10" s="1"/>
  <c r="Q1064" i="10" a="1"/>
  <c r="Q1064" i="10" s="1"/>
  <c r="Q333" i="10" a="1"/>
  <c r="Q333" i="10" s="1"/>
  <c r="Q206" i="10" a="1"/>
  <c r="Q206" i="10" s="1"/>
  <c r="Q302" i="10" a="1"/>
  <c r="Q302" i="10" s="1"/>
  <c r="Q104" i="10" a="1"/>
  <c r="Q104" i="10" s="1"/>
  <c r="Q509" i="10" a="1"/>
  <c r="Q509" i="10" s="1"/>
  <c r="Q526" i="10" a="1"/>
  <c r="Q526" i="10" s="1"/>
  <c r="Q177" i="10" a="1"/>
  <c r="Q177" i="10" s="1"/>
  <c r="Q875" i="10" a="1"/>
  <c r="Q875" i="10" s="1"/>
  <c r="Q1041" i="10" a="1"/>
  <c r="Q1041" i="10" s="1"/>
  <c r="Q337" i="10" a="1"/>
  <c r="Q337" i="10" s="1"/>
  <c r="Q362" i="10" a="1"/>
  <c r="Q362" i="10" s="1"/>
  <c r="Q590" i="10" a="1"/>
  <c r="Q590" i="10" s="1"/>
  <c r="Q952" i="10" a="1"/>
  <c r="Q952" i="10" s="1"/>
  <c r="Q193" i="10" a="1"/>
  <c r="Q193" i="10" s="1"/>
  <c r="Q537" i="10" a="1"/>
  <c r="Q537" i="10" s="1"/>
  <c r="Q91" i="10" a="1"/>
  <c r="Q91" i="10" s="1"/>
  <c r="Q251" i="10" a="1"/>
  <c r="Q251" i="10" s="1"/>
  <c r="Q641" i="10" a="1"/>
  <c r="Q641" i="10" s="1"/>
  <c r="Q443" i="10" a="1"/>
  <c r="Q443" i="10" s="1"/>
  <c r="Q985" i="10" a="1"/>
  <c r="Q985" i="10" s="1"/>
  <c r="Q696" i="10" a="1"/>
  <c r="Q696" i="10" s="1"/>
  <c r="Q603" i="10" a="1"/>
  <c r="Q603" i="10" s="1"/>
  <c r="Q1161" i="10" a="1"/>
  <c r="Q1161" i="10" s="1"/>
  <c r="Q961" i="10" a="1"/>
  <c r="Q961" i="10" s="1"/>
  <c r="Q763" i="10" a="1"/>
  <c r="Q763" i="10" s="1"/>
  <c r="Q198" i="10" a="1"/>
  <c r="Q198" i="10" s="1"/>
  <c r="Q1016" i="10" a="1"/>
  <c r="Q1016" i="10" s="1"/>
  <c r="Q411" i="10" a="1"/>
  <c r="Q411" i="10" s="1"/>
  <c r="Q1129" i="10" a="1"/>
  <c r="Q1129" i="10" s="1"/>
  <c r="Q769" i="10" a="1"/>
  <c r="Q769" i="10" s="1"/>
  <c r="Q571" i="10" a="1"/>
  <c r="Q571" i="10" s="1"/>
  <c r="Q1113" i="10" a="1"/>
  <c r="Q1113" i="10" s="1"/>
  <c r="Q824" i="10" a="1"/>
  <c r="Q824" i="10" s="1"/>
  <c r="Q475" i="10" a="1"/>
  <c r="Q475" i="10" s="1"/>
  <c r="Q1134" i="10" a="1"/>
  <c r="Q1134" i="10" s="1"/>
  <c r="Q833" i="10" a="1"/>
  <c r="Q833" i="10" s="1"/>
  <c r="Q635" i="10" a="1"/>
  <c r="Q635" i="10" s="1"/>
  <c r="Q70" i="10" a="1"/>
  <c r="Q70" i="10" s="1"/>
  <c r="Q888" i="10" a="1"/>
  <c r="Q888" i="10" s="1"/>
  <c r="Q897" i="10" a="1"/>
  <c r="Q897" i="10" s="1"/>
  <c r="Q1035" i="10" a="1"/>
  <c r="Q1035" i="10" s="1"/>
  <c r="Q280" i="10" a="1"/>
  <c r="Q280" i="10" s="1"/>
  <c r="Q126" i="10" a="1"/>
  <c r="Q126" i="10" s="1"/>
  <c r="Q1115" i="10" a="1"/>
  <c r="Q1115" i="10" s="1"/>
  <c r="Q168" i="10" a="1"/>
  <c r="Q168" i="10" s="1"/>
  <c r="Q984" i="10" a="1"/>
  <c r="Q984" i="10" s="1"/>
  <c r="Q938" i="10" a="1"/>
  <c r="Q938" i="10" s="1"/>
  <c r="Q1102" i="10" a="1"/>
  <c r="Q1102" i="10" s="1"/>
  <c r="Q1146" i="10" a="1"/>
  <c r="Q1146" i="10" s="1"/>
  <c r="Q1117" i="10" a="1"/>
  <c r="Q1117" i="10" s="1"/>
  <c r="Q414" i="10" a="1"/>
  <c r="Q414" i="10" s="1"/>
  <c r="Q1112" i="10" a="1"/>
  <c r="Q1112" i="10" s="1"/>
  <c r="Q314" i="10" a="1"/>
  <c r="Q314" i="10" s="1"/>
  <c r="Q345" i="10" a="1"/>
  <c r="Q345" i="10" s="1"/>
  <c r="Q56" i="10" a="1"/>
  <c r="Q56" i="10" s="1"/>
  <c r="Q218" i="10" a="1"/>
  <c r="Q218" i="10" s="1"/>
  <c r="Q478" i="10" a="1"/>
  <c r="Q478" i="10" s="1"/>
  <c r="Q65" i="10" a="1"/>
  <c r="Q65" i="10" s="1"/>
  <c r="Q506" i="10" a="1"/>
  <c r="Q506" i="10" s="1"/>
  <c r="Q216" i="10" a="1"/>
  <c r="Q216" i="10" s="1"/>
  <c r="Q702" i="10" a="1"/>
  <c r="Q702" i="10" s="1"/>
  <c r="Q1105" i="10" a="1"/>
  <c r="Q1105" i="10" s="1"/>
  <c r="K6065" i="13" l="1"/>
  <c r="L6065" i="13" s="1"/>
  <c r="I6066" i="13" s="1"/>
  <c r="K6087" i="14"/>
  <c r="L6087" i="14" s="1"/>
  <c r="I6088" i="14" s="1"/>
  <c r="C8" i="13"/>
  <c r="C9" i="13"/>
  <c r="C10" i="13"/>
  <c r="C11" i="13"/>
  <c r="C12" i="13"/>
  <c r="C13" i="13"/>
  <c r="C14" i="13"/>
  <c r="C15" i="13"/>
  <c r="C16" i="13"/>
  <c r="C17" i="13"/>
  <c r="C18" i="13"/>
  <c r="C19" i="13"/>
  <c r="C20" i="13"/>
  <c r="C21" i="13"/>
  <c r="C22" i="13"/>
  <c r="C23" i="13"/>
  <c r="C24" i="13"/>
  <c r="C25" i="13"/>
  <c r="C26" i="13"/>
  <c r="C27" i="13"/>
  <c r="C28" i="13"/>
  <c r="C29" i="13"/>
  <c r="C30" i="13"/>
  <c r="C31" i="13"/>
  <c r="C32" i="13"/>
  <c r="C33" i="13"/>
  <c r="C34" i="13"/>
  <c r="C35" i="13"/>
  <c r="C36" i="13"/>
  <c r="C37" i="13"/>
  <c r="C38" i="13"/>
  <c r="C39" i="13"/>
  <c r="C40" i="13"/>
  <c r="C41" i="13"/>
  <c r="C42" i="13"/>
  <c r="C43" i="13"/>
  <c r="C44" i="13"/>
  <c r="C45" i="13"/>
  <c r="C46" i="13"/>
  <c r="C47" i="13"/>
  <c r="C48" i="13"/>
  <c r="C49" i="13"/>
  <c r="C50" i="13"/>
  <c r="C51" i="13"/>
  <c r="C52" i="13"/>
  <c r="C53" i="13"/>
  <c r="C54" i="13"/>
  <c r="C55" i="13"/>
  <c r="C56" i="13"/>
  <c r="C57" i="13"/>
  <c r="C58" i="13"/>
  <c r="C59" i="13"/>
  <c r="C60" i="13"/>
  <c r="C61" i="13"/>
  <c r="C62" i="13"/>
  <c r="C63" i="13"/>
  <c r="C64" i="13"/>
  <c r="C65" i="13"/>
  <c r="C66" i="13"/>
  <c r="C67" i="13"/>
  <c r="C68" i="13"/>
  <c r="C69" i="13"/>
  <c r="C70" i="13"/>
  <c r="C71" i="13"/>
  <c r="C72" i="13"/>
  <c r="C73" i="13"/>
  <c r="C74" i="13"/>
  <c r="C75" i="13"/>
  <c r="C76" i="13"/>
  <c r="C77" i="13"/>
  <c r="C78" i="13"/>
  <c r="C79" i="13"/>
  <c r="C80" i="13"/>
  <c r="C81" i="13"/>
  <c r="C82" i="13"/>
  <c r="C83" i="13"/>
  <c r="C84" i="13"/>
  <c r="C85" i="13"/>
  <c r="C86" i="13"/>
  <c r="C87" i="13"/>
  <c r="C88" i="13"/>
  <c r="C89" i="13"/>
  <c r="C90" i="13"/>
  <c r="C91" i="13"/>
  <c r="C92" i="13"/>
  <c r="C93" i="13"/>
  <c r="C94" i="13"/>
  <c r="C95" i="13"/>
  <c r="C96" i="13"/>
  <c r="C97" i="13"/>
  <c r="C98" i="13"/>
  <c r="C99" i="13"/>
  <c r="C100" i="13"/>
  <c r="C101" i="13"/>
  <c r="C102" i="13"/>
  <c r="C103" i="13"/>
  <c r="C104" i="13"/>
  <c r="C105" i="13"/>
  <c r="C106" i="13"/>
  <c r="C107" i="13"/>
  <c r="C108" i="13"/>
  <c r="J6250" i="14" a="1"/>
  <c r="J6250" i="14" s="1"/>
  <c r="R1157" i="10" a="1"/>
  <c r="R1157" i="10" s="1"/>
  <c r="S1157" i="10" s="1"/>
  <c r="R874" i="10" a="1"/>
  <c r="R874" i="10" s="1"/>
  <c r="S874" i="10" s="1"/>
  <c r="R799" i="10" a="1"/>
  <c r="R799" i="10" s="1"/>
  <c r="S799" i="10" s="1"/>
  <c r="R248" i="10" a="1"/>
  <c r="R248" i="10" s="1"/>
  <c r="S248" i="10" s="1"/>
  <c r="R479" i="10" a="1"/>
  <c r="R479" i="10" s="1"/>
  <c r="S479" i="10" s="1"/>
  <c r="R1035" i="10" a="1"/>
  <c r="R1035" i="10" s="1"/>
  <c r="S1035" i="10" s="1"/>
  <c r="R404" i="10" a="1"/>
  <c r="R404" i="10" s="1"/>
  <c r="S404" i="10" s="1"/>
  <c r="R944" i="10" a="1"/>
  <c r="R944" i="10" s="1"/>
  <c r="S944" i="10" s="1"/>
  <c r="R181" i="10" a="1"/>
  <c r="R181" i="10" s="1"/>
  <c r="S181" i="10" s="1"/>
  <c r="R641" i="10" a="1"/>
  <c r="R641" i="10" s="1"/>
  <c r="S641" i="10" s="1"/>
  <c r="R62" i="10" a="1"/>
  <c r="R62" i="10" s="1"/>
  <c r="S62" i="10" s="1"/>
  <c r="R618" i="10" a="1"/>
  <c r="R618" i="10" s="1"/>
  <c r="S618" i="10" s="1"/>
  <c r="R856" i="10" a="1"/>
  <c r="R856" i="10" s="1"/>
  <c r="S856" i="10" s="1"/>
  <c r="R978" i="10" a="1"/>
  <c r="R978" i="10" s="1"/>
  <c r="S978" i="10" s="1"/>
  <c r="R831" i="10" a="1"/>
  <c r="R831" i="10" s="1"/>
  <c r="S831" i="10" s="1"/>
  <c r="R280" i="10" a="1"/>
  <c r="R280" i="10" s="1"/>
  <c r="S280" i="10" s="1"/>
  <c r="R594" i="10" a="1"/>
  <c r="R594" i="10" s="1"/>
  <c r="S594" i="10" s="1"/>
  <c r="R447" i="10" a="1"/>
  <c r="R447" i="10" s="1"/>
  <c r="S447" i="10" s="1"/>
  <c r="R785" i="10" a="1"/>
  <c r="R785" i="10" s="1"/>
  <c r="S785" i="10" s="1"/>
  <c r="R206" i="10" a="1"/>
  <c r="R206" i="10" s="1"/>
  <c r="S206" i="10" s="1"/>
  <c r="R698" i="10" a="1"/>
  <c r="R698" i="10" s="1"/>
  <c r="S698" i="10" s="1"/>
  <c r="R131" i="10" a="1"/>
  <c r="R131" i="10" s="1"/>
  <c r="S131" i="10" s="1"/>
  <c r="R591" i="10" a="1"/>
  <c r="R591" i="10" s="1"/>
  <c r="S591" i="10" s="1"/>
  <c r="R40" i="10" a="1"/>
  <c r="R40" i="10" s="1"/>
  <c r="S40" i="10" s="1"/>
  <c r="R580" i="10" a="1"/>
  <c r="R580" i="10" s="1"/>
  <c r="S580" i="10" s="1"/>
  <c r="R1118" i="10" a="1"/>
  <c r="R1118" i="10" s="1"/>
  <c r="S1118" i="10" s="1"/>
  <c r="R220" i="10" a="1"/>
  <c r="R220" i="10" s="1"/>
  <c r="S220" i="10" s="1"/>
  <c r="R760" i="10" a="1"/>
  <c r="R760" i="10" s="1"/>
  <c r="S760" i="10" s="1"/>
  <c r="R991" i="10" a="1"/>
  <c r="R991" i="10" s="1"/>
  <c r="S991" i="10" s="1"/>
  <c r="R440" i="10" a="1"/>
  <c r="R440" i="10" s="1"/>
  <c r="S440" i="10" s="1"/>
  <c r="R916" i="10" a="1"/>
  <c r="R916" i="10" s="1"/>
  <c r="S916" i="10" s="1"/>
  <c r="R153" i="10" a="1"/>
  <c r="R153" i="10" s="1"/>
  <c r="S153" i="10" s="1"/>
  <c r="R693" i="10" a="1"/>
  <c r="R693" i="10" s="1"/>
  <c r="S693" i="10" s="1"/>
  <c r="R34" i="10" a="1"/>
  <c r="R34" i="10" s="1"/>
  <c r="S34" i="10" s="1"/>
  <c r="R574" i="10" a="1"/>
  <c r="R574" i="10" s="1"/>
  <c r="S574" i="10" s="1"/>
  <c r="R23" i="10" a="1"/>
  <c r="R23" i="10" s="1"/>
  <c r="S23" i="10" s="1"/>
  <c r="R31" i="10" a="1"/>
  <c r="R31" i="10" s="1"/>
  <c r="S31" i="10" s="1"/>
  <c r="R587" i="10" a="1"/>
  <c r="R587" i="10" s="1"/>
  <c r="S587" i="10" s="1"/>
  <c r="R913" i="10" a="1"/>
  <c r="R913" i="10" s="1"/>
  <c r="S913" i="10" s="1"/>
  <c r="R826" i="10" a="1"/>
  <c r="R826" i="10" s="1"/>
  <c r="S826" i="10" s="1"/>
  <c r="R168" i="10" a="1"/>
  <c r="R168" i="10" s="1"/>
  <c r="S168" i="10" s="1"/>
  <c r="R708" i="10" a="1"/>
  <c r="R708" i="10" s="1"/>
  <c r="S708" i="10" s="1"/>
  <c r="R273" i="10" a="1"/>
  <c r="R273" i="10" s="1"/>
  <c r="S273" i="10" s="1"/>
  <c r="R79" i="10" a="1"/>
  <c r="R79" i="10" s="1"/>
  <c r="S79" i="10" s="1"/>
  <c r="R608" i="10" a="1"/>
  <c r="R608" i="10" s="1"/>
  <c r="S608" i="10" s="1"/>
  <c r="R561" i="10" a="1"/>
  <c r="R561" i="10" s="1"/>
  <c r="S561" i="10" s="1"/>
  <c r="R380" i="10" a="1"/>
  <c r="R380" i="10" s="1"/>
  <c r="S380" i="10" s="1"/>
  <c r="R788" i="10" a="1"/>
  <c r="R788" i="10" s="1"/>
  <c r="S788" i="10" s="1"/>
  <c r="R1025" i="10" a="1"/>
  <c r="R1025" i="10" s="1"/>
  <c r="S1025" i="10" s="1"/>
  <c r="R435" i="10" a="1"/>
  <c r="R435" i="10" s="1"/>
  <c r="S435" i="10" s="1"/>
  <c r="R779" i="10" a="1"/>
  <c r="R779" i="10" s="1"/>
  <c r="S779" i="10" s="1"/>
  <c r="R385" i="10" a="1"/>
  <c r="R385" i="10" s="1"/>
  <c r="S385" i="10" s="1"/>
  <c r="R882" i="10" a="1"/>
  <c r="R882" i="10" s="1"/>
  <c r="S882" i="10" s="1"/>
  <c r="R562" i="10" a="1"/>
  <c r="R562" i="10" s="1"/>
  <c r="S562" i="10" s="1"/>
  <c r="R1102" i="10" a="1"/>
  <c r="R1102" i="10" s="1"/>
  <c r="S1102" i="10" s="1"/>
  <c r="R487" i="10" a="1"/>
  <c r="R487" i="10" s="1"/>
  <c r="S487" i="10" s="1"/>
  <c r="R1027" i="10" a="1"/>
  <c r="R1027" i="10" s="1"/>
  <c r="S1027" i="10" s="1"/>
  <c r="R396" i="10" a="1"/>
  <c r="R396" i="10" s="1"/>
  <c r="S396" i="10" s="1"/>
  <c r="R936" i="10" a="1"/>
  <c r="R936" i="10" s="1"/>
  <c r="S936" i="10" s="1"/>
  <c r="R157" i="10" a="1"/>
  <c r="R157" i="10" s="1"/>
  <c r="S157" i="10" s="1"/>
  <c r="R1042" i="10" a="1"/>
  <c r="R1042" i="10" s="1"/>
  <c r="S1042" i="10" s="1"/>
  <c r="R191" i="10" a="1"/>
  <c r="R191" i="10" s="1"/>
  <c r="S191" i="10" s="1"/>
  <c r="R49" i="10" a="1"/>
  <c r="R49" i="10" s="1"/>
  <c r="S49" i="10" s="1"/>
  <c r="R914" i="10" a="1"/>
  <c r="R914" i="10" s="1"/>
  <c r="S914" i="10" s="1"/>
  <c r="R786" i="10" a="1"/>
  <c r="R786" i="10" s="1"/>
  <c r="S786" i="10" s="1"/>
  <c r="R689" i="10" a="1"/>
  <c r="R689" i="10" s="1"/>
  <c r="S689" i="10" s="1"/>
  <c r="R1003" i="10" a="1"/>
  <c r="R1003" i="10" s="1"/>
  <c r="S1003" i="10" s="1"/>
  <c r="R540" i="10" a="1"/>
  <c r="R540" i="10" s="1"/>
  <c r="S540" i="10" s="1"/>
  <c r="R1080" i="10" a="1"/>
  <c r="R1080" i="10" s="1"/>
  <c r="S1080" i="10" s="1"/>
  <c r="R237" i="10" a="1"/>
  <c r="R237" i="10" s="1"/>
  <c r="S237" i="10" s="1"/>
  <c r="R793" i="10" a="1"/>
  <c r="R793" i="10" s="1"/>
  <c r="S793" i="10" s="1"/>
  <c r="R214" i="10" a="1"/>
  <c r="R214" i="10" s="1"/>
  <c r="S214" i="10" s="1"/>
  <c r="R674" i="10" a="1"/>
  <c r="R674" i="10" s="1"/>
  <c r="S674" i="10" s="1"/>
  <c r="R123" i="10" a="1"/>
  <c r="R123" i="10" s="1"/>
  <c r="S123" i="10" s="1"/>
  <c r="R663" i="10" a="1"/>
  <c r="R663" i="10" s="1"/>
  <c r="S663" i="10" s="1"/>
  <c r="R96" i="10" a="1"/>
  <c r="R96" i="10" s="1"/>
  <c r="S96" i="10" s="1"/>
  <c r="R287" i="10" a="1"/>
  <c r="R287" i="10" s="1"/>
  <c r="S287" i="10" s="1"/>
  <c r="R843" i="10" a="1"/>
  <c r="R843" i="10" s="1"/>
  <c r="S843" i="10" s="1"/>
  <c r="R1074" i="10" a="1"/>
  <c r="R1074" i="10" s="1"/>
  <c r="S1074" i="10" s="1"/>
  <c r="R523" i="10" a="1"/>
  <c r="R523" i="10" s="1"/>
  <c r="S523" i="10" s="1"/>
  <c r="R999" i="10" a="1"/>
  <c r="R999" i="10" s="1"/>
  <c r="S999" i="10" s="1"/>
  <c r="R432" i="10" a="1"/>
  <c r="R432" i="10" s="1"/>
  <c r="S432" i="10" s="1"/>
  <c r="R908" i="10" a="1"/>
  <c r="R908" i="10" s="1"/>
  <c r="S908" i="10" s="1"/>
  <c r="R129" i="10" a="1"/>
  <c r="R129" i="10" s="1"/>
  <c r="S129" i="10" s="1"/>
  <c r="R669" i="10" a="1"/>
  <c r="R669" i="10" s="1"/>
  <c r="S669" i="10" s="1"/>
  <c r="R114" i="10" a="1"/>
  <c r="R114" i="10" s="1"/>
  <c r="S114" i="10" s="1"/>
  <c r="R668" i="10" a="1"/>
  <c r="R668" i="10" s="1"/>
  <c r="S668" i="10" s="1"/>
  <c r="R1159" i="10" a="1"/>
  <c r="R1159" i="10" s="1"/>
  <c r="S1159" i="10" s="1"/>
  <c r="R365" i="10" a="1"/>
  <c r="R365" i="10" s="1"/>
  <c r="S365" i="10" s="1"/>
  <c r="R921" i="10" a="1"/>
  <c r="R921" i="10" s="1"/>
  <c r="S921" i="10" s="1"/>
  <c r="R342" i="10" a="1"/>
  <c r="R342" i="10" s="1"/>
  <c r="S342" i="10" s="1"/>
  <c r="R802" i="10" a="1"/>
  <c r="R802" i="10" s="1"/>
  <c r="S802" i="10" s="1"/>
  <c r="R251" i="10" a="1"/>
  <c r="R251" i="10" s="1"/>
  <c r="S251" i="10" s="1"/>
  <c r="R791" i="10" a="1"/>
  <c r="R791" i="10" s="1"/>
  <c r="S791" i="10" s="1"/>
  <c r="R28" i="10" a="1"/>
  <c r="R28" i="10" s="1"/>
  <c r="S28" i="10" s="1"/>
  <c r="R568" i="10" a="1"/>
  <c r="R568" i="10" s="1"/>
  <c r="S568" i="10" s="1"/>
  <c r="R1044" i="10" a="1"/>
  <c r="R1044" i="10" s="1"/>
  <c r="S1044" i="10" s="1"/>
  <c r="R281" i="10" a="1"/>
  <c r="R281" i="10" s="1"/>
  <c r="S281" i="10" s="1"/>
  <c r="R821" i="10" a="1"/>
  <c r="R821" i="10" s="1"/>
  <c r="S821" i="10" s="1"/>
  <c r="R162" i="10" a="1"/>
  <c r="R162" i="10" s="1"/>
  <c r="S162" i="10" s="1"/>
  <c r="R702" i="10" a="1"/>
  <c r="R702" i="10" s="1"/>
  <c r="S702" i="10" s="1"/>
  <c r="R151" i="10" a="1"/>
  <c r="R151" i="10" s="1"/>
  <c r="S151" i="10" s="1"/>
  <c r="R691" i="10" a="1"/>
  <c r="R691" i="10" s="1"/>
  <c r="S691" i="10" s="1"/>
  <c r="R664" i="10" a="1"/>
  <c r="R664" i="10" s="1"/>
  <c r="S664" i="10" s="1"/>
  <c r="R113" i="10" a="1"/>
  <c r="R113" i="10" s="1"/>
  <c r="S113" i="10" s="1"/>
  <c r="R344" i="10" a="1"/>
  <c r="R344" i="10" s="1"/>
  <c r="S344" i="10" s="1"/>
  <c r="R146" i="10" a="1"/>
  <c r="R146" i="10" s="1"/>
  <c r="S146" i="10" s="1"/>
  <c r="R700" i="10" a="1"/>
  <c r="R700" i="10" s="1"/>
  <c r="S700" i="10" s="1"/>
  <c r="R1136" i="10" a="1"/>
  <c r="R1136" i="10" s="1"/>
  <c r="S1136" i="10" s="1"/>
  <c r="R946" i="10" a="1"/>
  <c r="R946" i="10" s="1"/>
  <c r="S946" i="10" s="1"/>
  <c r="R395" i="10" a="1"/>
  <c r="R395" i="10" s="1"/>
  <c r="S395" i="10" s="1"/>
  <c r="R871" i="10" a="1"/>
  <c r="R871" i="10" s="1"/>
  <c r="S871" i="10" s="1"/>
  <c r="R304" i="10" a="1"/>
  <c r="R304" i="10" s="1"/>
  <c r="S304" i="10" s="1"/>
  <c r="R780" i="10" a="1"/>
  <c r="R780" i="10" s="1"/>
  <c r="S780" i="10" s="1"/>
  <c r="R1169" i="10" a="1"/>
  <c r="R1169" i="10" s="1"/>
  <c r="S1169" i="10" s="1"/>
  <c r="R541" i="10" a="1"/>
  <c r="R541" i="10" s="1"/>
  <c r="S541" i="10" s="1"/>
  <c r="R1097" i="10" a="1"/>
  <c r="R1097" i="10" s="1"/>
  <c r="S1097" i="10" s="1"/>
  <c r="R476" i="10" a="1"/>
  <c r="R476" i="10" s="1"/>
  <c r="S476" i="10" s="1"/>
  <c r="R1016" i="10" a="1"/>
  <c r="R1016" i="10" s="1"/>
  <c r="S1016" i="10" s="1"/>
  <c r="R306" i="10" a="1"/>
  <c r="R306" i="10" s="1"/>
  <c r="S306" i="10" s="1"/>
  <c r="R846" i="10" a="1"/>
  <c r="R846" i="10" s="1"/>
  <c r="S846" i="10" s="1"/>
  <c r="R231" i="10" a="1"/>
  <c r="R231" i="10" s="1"/>
  <c r="S231" i="10" s="1"/>
  <c r="R771" i="10" a="1"/>
  <c r="R771" i="10" s="1"/>
  <c r="S771" i="10" s="1"/>
  <c r="R140" i="10" a="1"/>
  <c r="R140" i="10" s="1"/>
  <c r="S140" i="10" s="1"/>
  <c r="R680" i="10" a="1"/>
  <c r="R680" i="10" s="1"/>
  <c r="S680" i="10" s="1"/>
  <c r="R1171" i="10" a="1"/>
  <c r="R1171" i="10" s="1"/>
  <c r="S1171" i="10" s="1"/>
  <c r="R95" i="10" a="1"/>
  <c r="R95" i="10" s="1"/>
  <c r="S95" i="10" s="1"/>
  <c r="R20" i="10" a="1"/>
  <c r="R20" i="10" s="1"/>
  <c r="S20" i="10" s="1"/>
  <c r="R1036" i="10" a="1"/>
  <c r="R1036" i="10" s="1"/>
  <c r="S1036" i="10" s="1"/>
  <c r="R797" i="10" a="1"/>
  <c r="R797" i="10" s="1"/>
  <c r="S797" i="10" s="1"/>
  <c r="R828" i="10" a="1"/>
  <c r="R828" i="10" s="1"/>
  <c r="S828" i="10" s="1"/>
  <c r="R241" i="10" a="1"/>
  <c r="R241" i="10" s="1"/>
  <c r="S241" i="10" s="1"/>
  <c r="R216" i="10" a="1"/>
  <c r="R216" i="10" s="1"/>
  <c r="S216" i="10" s="1"/>
  <c r="R462" i="10" a="1"/>
  <c r="R462" i="10" s="1"/>
  <c r="S462" i="10" s="1"/>
  <c r="R387" i="10" a="1"/>
  <c r="R387" i="10" s="1"/>
  <c r="S387" i="10" s="1"/>
  <c r="R847" i="10" a="1"/>
  <c r="R847" i="10" s="1"/>
  <c r="S847" i="10" s="1"/>
  <c r="R836" i="10" a="1"/>
  <c r="R836" i="10" s="1"/>
  <c r="S836" i="10" s="1"/>
  <c r="R1099" i="10" a="1"/>
  <c r="R1099" i="10" s="1"/>
  <c r="S1099" i="10" s="1"/>
  <c r="R1131" i="10" a="1"/>
  <c r="R1131" i="10" s="1"/>
  <c r="S1131" i="10" s="1"/>
  <c r="R877" i="10" a="1"/>
  <c r="R877" i="10" s="1"/>
  <c r="S877" i="10" s="1"/>
  <c r="R854" i="10" a="1"/>
  <c r="R854" i="10" s="1"/>
  <c r="S854" i="10" s="1"/>
  <c r="R763" i="10" a="1"/>
  <c r="R763" i="10" s="1"/>
  <c r="S763" i="10" s="1"/>
  <c r="R178" i="10" a="1"/>
  <c r="R178" i="10" s="1"/>
  <c r="S178" i="10" s="1"/>
  <c r="R103" i="10" a="1"/>
  <c r="R103" i="10" s="1"/>
  <c r="S103" i="10" s="1"/>
  <c r="R1103" i="10" a="1"/>
  <c r="R1103" i="10" s="1"/>
  <c r="S1103" i="10" s="1"/>
  <c r="R1092" i="10" a="1"/>
  <c r="R1092" i="10" s="1"/>
  <c r="S1092" i="10" s="1"/>
  <c r="R305" i="10" a="1"/>
  <c r="R305" i="10" s="1"/>
  <c r="S305" i="10" s="1"/>
  <c r="R1087" i="10" a="1"/>
  <c r="R1087" i="10" s="1"/>
  <c r="S1087" i="10" s="1"/>
  <c r="R850" i="10" a="1"/>
  <c r="R850" i="10" s="1"/>
  <c r="S850" i="10" s="1"/>
  <c r="R930" i="10" a="1"/>
  <c r="R930" i="10" s="1"/>
  <c r="S930" i="10" s="1"/>
  <c r="R352" i="10" a="1"/>
  <c r="R352" i="10" s="1"/>
  <c r="S352" i="10" s="1"/>
  <c r="R1170" i="10" a="1"/>
  <c r="R1170" i="10" s="1"/>
  <c r="S1170" i="10" s="1"/>
  <c r="R290" i="10" a="1"/>
  <c r="R290" i="10" s="1"/>
  <c r="S290" i="10" s="1"/>
  <c r="R279" i="10" a="1"/>
  <c r="R279" i="10" s="1"/>
  <c r="S279" i="10" s="1"/>
  <c r="R719" i="10" a="1"/>
  <c r="R719" i="10" s="1"/>
  <c r="S719" i="10" s="1"/>
  <c r="R1052" i="10" a="1"/>
  <c r="R1052" i="10" s="1"/>
  <c r="S1052" i="10" s="1"/>
  <c r="R186" i="10" a="1"/>
  <c r="R186" i="10" s="1"/>
  <c r="S186" i="10" s="1"/>
  <c r="R635" i="10" a="1"/>
  <c r="R635" i="10" s="1"/>
  <c r="S635" i="10" s="1"/>
  <c r="R703" i="10" a="1"/>
  <c r="R703" i="10" s="1"/>
  <c r="S703" i="10" s="1"/>
  <c r="R63" i="10" a="1"/>
  <c r="R63" i="10" s="1"/>
  <c r="S63" i="10" s="1"/>
  <c r="R1127" i="10" a="1"/>
  <c r="R1127" i="10" s="1"/>
  <c r="S1127" i="10" s="1"/>
  <c r="R863" i="10" a="1"/>
  <c r="R863" i="10" s="1"/>
  <c r="S863" i="10" s="1"/>
  <c r="R25" i="10" a="1"/>
  <c r="R25" i="10" s="1"/>
  <c r="S25" i="10" s="1"/>
  <c r="R565" i="10" a="1"/>
  <c r="R565" i="10" s="1"/>
  <c r="S565" i="10" s="1"/>
  <c r="R1002" i="10" a="1"/>
  <c r="R1002" i="10" s="1"/>
  <c r="S1002" i="10" s="1"/>
  <c r="R148" i="10" a="1"/>
  <c r="R148" i="10" s="1"/>
  <c r="S148" i="10" s="1"/>
  <c r="R362" i="10" a="1"/>
  <c r="R362" i="10" s="1"/>
  <c r="S362" i="10" s="1"/>
  <c r="R977" i="10" a="1"/>
  <c r="R977" i="10" s="1"/>
  <c r="S977" i="10" s="1"/>
  <c r="R657" i="10" a="1"/>
  <c r="R657" i="10" s="1"/>
  <c r="S657" i="10" s="1"/>
  <c r="R78" i="10" a="1"/>
  <c r="R78" i="10" s="1"/>
  <c r="S78" i="10" s="1"/>
  <c r="R570" i="10" a="1"/>
  <c r="R570" i="10" s="1"/>
  <c r="S570" i="10" s="1"/>
  <c r="R1110" i="10" a="1"/>
  <c r="R1110" i="10" s="1"/>
  <c r="S1110" i="10" s="1"/>
  <c r="R463" i="10" a="1"/>
  <c r="R463" i="10" s="1"/>
  <c r="S463" i="10" s="1"/>
  <c r="R1019" i="10" a="1"/>
  <c r="R1019" i="10" s="1"/>
  <c r="S1019" i="10" s="1"/>
  <c r="R452" i="10" a="1"/>
  <c r="R452" i="10" s="1"/>
  <c r="S452" i="10" s="1"/>
  <c r="R1084" i="10" a="1"/>
  <c r="R1084" i="10" s="1"/>
  <c r="S1084" i="10" s="1"/>
  <c r="R920" i="10" a="1"/>
  <c r="R920" i="10" s="1"/>
  <c r="S920" i="10" s="1"/>
  <c r="R939" i="10" a="1"/>
  <c r="R939" i="10" s="1"/>
  <c r="S939" i="10" s="1"/>
  <c r="R1009" i="10" a="1"/>
  <c r="R1009" i="10" s="1"/>
  <c r="S1009" i="10" s="1"/>
  <c r="R444" i="10" a="1"/>
  <c r="R444" i="10" s="1"/>
  <c r="S444" i="10" s="1"/>
  <c r="R984" i="10" a="1"/>
  <c r="R984" i="10" s="1"/>
  <c r="S984" i="10" s="1"/>
  <c r="R607" i="10" a="1"/>
  <c r="R607" i="10" s="1"/>
  <c r="S607" i="10" s="1"/>
  <c r="R56" i="10" a="1"/>
  <c r="R56" i="10" s="1"/>
  <c r="S56" i="10" s="1"/>
  <c r="R532" i="10" a="1"/>
  <c r="R532" i="10" s="1"/>
  <c r="S532" i="10" s="1"/>
  <c r="R1072" i="10" a="1"/>
  <c r="R1072" i="10" s="1"/>
  <c r="S1072" i="10" s="1"/>
  <c r="R309" i="10" a="1"/>
  <c r="R309" i="10" s="1"/>
  <c r="S309" i="10" s="1"/>
  <c r="R769" i="10" a="1"/>
  <c r="R769" i="10" s="1"/>
  <c r="S769" i="10" s="1"/>
  <c r="R190" i="10" a="1"/>
  <c r="R190" i="10" s="1"/>
  <c r="S190" i="10" s="1"/>
  <c r="R746" i="10" a="1"/>
  <c r="R746" i="10" s="1"/>
  <c r="S746" i="10" s="1"/>
  <c r="R179" i="10" a="1"/>
  <c r="R179" i="10" s="1"/>
  <c r="S179" i="10" s="1"/>
  <c r="R370" i="10" a="1"/>
  <c r="R370" i="10" s="1"/>
  <c r="S370" i="10" s="1"/>
  <c r="R50" i="10" a="1"/>
  <c r="R50" i="10" s="1"/>
  <c r="S50" i="10" s="1"/>
  <c r="R590" i="10" a="1"/>
  <c r="R590" i="10" s="1"/>
  <c r="S590" i="10" s="1"/>
  <c r="R1082" i="10" a="1"/>
  <c r="R1082" i="10" s="1"/>
  <c r="S1082" i="10" s="1"/>
  <c r="R515" i="10" a="1"/>
  <c r="R515" i="10" s="1"/>
  <c r="S515" i="10" s="1"/>
  <c r="R975" i="10" a="1"/>
  <c r="R975" i="10" s="1"/>
  <c r="S975" i="10" s="1"/>
  <c r="R424" i="10" a="1"/>
  <c r="R424" i="10" s="1"/>
  <c r="S424" i="10" s="1"/>
  <c r="R964" i="10" a="1"/>
  <c r="R964" i="10" s="1"/>
  <c r="S964" i="10" s="1"/>
  <c r="R988" i="10" a="1"/>
  <c r="R988" i="10" s="1"/>
  <c r="S988" i="10" s="1"/>
  <c r="R209" i="10" a="1"/>
  <c r="R209" i="10" s="1"/>
  <c r="S209" i="10" s="1"/>
  <c r="R735" i="10" a="1"/>
  <c r="R735" i="10" s="1"/>
  <c r="S735" i="10" s="1"/>
  <c r="R184" i="10" a="1"/>
  <c r="R184" i="10" s="1"/>
  <c r="S184" i="10" s="1"/>
  <c r="R660" i="10" a="1"/>
  <c r="R660" i="10" s="1"/>
  <c r="S660" i="10" s="1"/>
  <c r="R1151" i="10" a="1"/>
  <c r="R1151" i="10" s="1"/>
  <c r="S1151" i="10" s="1"/>
  <c r="R437" i="10" a="1"/>
  <c r="R437" i="10" s="1"/>
  <c r="S437" i="10" s="1"/>
  <c r="R897" i="10" a="1"/>
  <c r="R897" i="10" s="1"/>
  <c r="S897" i="10" s="1"/>
  <c r="R318" i="10" a="1"/>
  <c r="R318" i="10" s="1"/>
  <c r="S318" i="10" s="1"/>
  <c r="R651" i="10" a="1"/>
  <c r="R651" i="10" s="1"/>
  <c r="S651" i="10" s="1"/>
  <c r="R560" i="10" a="1"/>
  <c r="R560" i="10" s="1"/>
  <c r="S560" i="10" s="1"/>
  <c r="R257" i="10" a="1"/>
  <c r="R257" i="10" s="1"/>
  <c r="S257" i="10" s="1"/>
  <c r="R234" i="10" a="1"/>
  <c r="R234" i="10" s="1"/>
  <c r="S234" i="10" s="1"/>
  <c r="R383" i="10" a="1"/>
  <c r="R383" i="10" s="1"/>
  <c r="S383" i="10" s="1"/>
  <c r="R1020" i="10" a="1"/>
  <c r="R1020" i="10" s="1"/>
  <c r="S1020" i="10" s="1"/>
  <c r="R767" i="10" a="1"/>
  <c r="R767" i="10" s="1"/>
  <c r="S767" i="10" s="1"/>
  <c r="R1041" i="10" a="1"/>
  <c r="R1041" i="10" s="1"/>
  <c r="S1041" i="10" s="1"/>
  <c r="R954" i="10" a="1"/>
  <c r="R954" i="10" s="1"/>
  <c r="S954" i="10" s="1"/>
  <c r="R296" i="10" a="1"/>
  <c r="R296" i="10" s="1"/>
  <c r="S296" i="10" s="1"/>
  <c r="R73" i="10" a="1"/>
  <c r="R73" i="10" s="1"/>
  <c r="S73" i="10" s="1"/>
  <c r="R543" i="10" a="1"/>
  <c r="R543" i="10" s="1"/>
  <c r="S543" i="10" s="1"/>
  <c r="R401" i="10" a="1"/>
  <c r="R401" i="10" s="1"/>
  <c r="S401" i="10" s="1"/>
  <c r="R314" i="10" a="1"/>
  <c r="R314" i="10" s="1"/>
  <c r="S314" i="10" s="1"/>
  <c r="R207" i="10" a="1"/>
  <c r="R207" i="10" s="1"/>
  <c r="S207" i="10" s="1"/>
  <c r="R196" i="10" a="1"/>
  <c r="R196" i="10" s="1"/>
  <c r="S196" i="10" s="1"/>
  <c r="R718" i="10" a="1"/>
  <c r="R718" i="10" s="1"/>
  <c r="S718" i="10" s="1"/>
  <c r="R643" i="10" a="1"/>
  <c r="R643" i="10" s="1"/>
  <c r="S643" i="10" s="1"/>
  <c r="R552" i="10" a="1"/>
  <c r="R552" i="10" s="1"/>
  <c r="S552" i="10" s="1"/>
  <c r="R127" i="10" a="1"/>
  <c r="R127" i="10" s="1"/>
  <c r="S127" i="10" s="1"/>
  <c r="R124" i="10" a="1"/>
  <c r="R124" i="10" s="1"/>
  <c r="S124" i="10" s="1"/>
  <c r="R796" i="10" a="1"/>
  <c r="R796" i="10" s="1"/>
  <c r="S796" i="10" s="1"/>
  <c r="R1049" i="10" a="1"/>
  <c r="R1049" i="10" s="1"/>
  <c r="S1049" i="10" s="1"/>
  <c r="R379" i="10" a="1"/>
  <c r="R379" i="10" s="1"/>
  <c r="S379" i="10" s="1"/>
  <c r="R626" i="10" a="1"/>
  <c r="R626" i="10" s="1"/>
  <c r="S626" i="10" s="1"/>
  <c r="R156" i="10" a="1"/>
  <c r="R156" i="10" s="1"/>
  <c r="S156" i="10" s="1"/>
  <c r="R409" i="10" a="1"/>
  <c r="R409" i="10" s="1"/>
  <c r="S409" i="10" s="1"/>
  <c r="R830" i="10" a="1"/>
  <c r="R830" i="10" s="1"/>
  <c r="S830" i="10" s="1"/>
  <c r="R334" i="10" a="1"/>
  <c r="R334" i="10" s="1"/>
  <c r="S334" i="10" s="1"/>
  <c r="R749" i="10" a="1"/>
  <c r="R749" i="10" s="1"/>
  <c r="S749" i="10" s="1"/>
  <c r="R726" i="10" a="1"/>
  <c r="R726" i="10" s="1"/>
  <c r="S726" i="10" s="1"/>
  <c r="R68" i="10" a="1"/>
  <c r="R68" i="10" s="1"/>
  <c r="S68" i="10" s="1"/>
  <c r="R959" i="10" a="1"/>
  <c r="R959" i="10" s="1"/>
  <c r="S959" i="10" s="1"/>
  <c r="R945" i="10" a="1"/>
  <c r="R945" i="10" s="1"/>
  <c r="S945" i="10" s="1"/>
  <c r="R312" i="10" a="1"/>
  <c r="R312" i="10" s="1"/>
  <c r="S312" i="10" s="1"/>
  <c r="R446" i="10" a="1"/>
  <c r="R446" i="10" s="1"/>
  <c r="S446" i="10" s="1"/>
  <c r="R721" i="10" a="1"/>
  <c r="R721" i="10" s="1"/>
  <c r="S721" i="10" s="1"/>
  <c r="R223" i="10" a="1"/>
  <c r="R223" i="10" s="1"/>
  <c r="S223" i="10" s="1"/>
  <c r="R688" i="10" a="1"/>
  <c r="R688" i="10" s="1"/>
  <c r="S688" i="10" s="1"/>
  <c r="R925" i="10" a="1"/>
  <c r="R925" i="10" s="1"/>
  <c r="S925" i="10" s="1"/>
  <c r="R732" i="10" a="1"/>
  <c r="R732" i="10" s="1"/>
  <c r="S732" i="10" s="1"/>
  <c r="R1168" i="10" a="1"/>
  <c r="R1168" i="10" s="1"/>
  <c r="S1168" i="10" s="1"/>
  <c r="R412" i="10" a="1"/>
  <c r="R412" i="10" s="1"/>
  <c r="S412" i="10" s="1"/>
  <c r="R952" i="10" a="1"/>
  <c r="R952" i="10" s="1"/>
  <c r="S952" i="10" s="1"/>
  <c r="R109" i="10" a="1"/>
  <c r="R109" i="10" s="1"/>
  <c r="S109" i="10" s="1"/>
  <c r="R665" i="10" a="1"/>
  <c r="R665" i="10" s="1"/>
  <c r="S665" i="10" s="1"/>
  <c r="R86" i="10" a="1"/>
  <c r="R86" i="10" s="1"/>
  <c r="S86" i="10" s="1"/>
  <c r="R546" i="10" a="1"/>
  <c r="R546" i="10" s="1"/>
  <c r="S546" i="10" s="1"/>
  <c r="R1086" i="10" a="1"/>
  <c r="R1086" i="10" s="1"/>
  <c r="S1086" i="10" s="1"/>
  <c r="R535" i="10" a="1"/>
  <c r="R535" i="10" s="1"/>
  <c r="S535" i="10" s="1"/>
  <c r="R722" i="10" a="1"/>
  <c r="R722" i="10" s="1"/>
  <c r="S722" i="10" s="1"/>
  <c r="R316" i="10" a="1"/>
  <c r="R316" i="10" s="1"/>
  <c r="S316" i="10" s="1"/>
  <c r="R764" i="10" a="1"/>
  <c r="R764" i="10" s="1"/>
  <c r="S764" i="10" s="1"/>
  <c r="R1153" i="10" a="1"/>
  <c r="R1153" i="10" s="1"/>
  <c r="S1153" i="10" s="1"/>
  <c r="R511" i="10" a="1"/>
  <c r="R511" i="10" s="1"/>
  <c r="S511" i="10" s="1"/>
  <c r="R1067" i="10" a="1"/>
  <c r="R1067" i="10" s="1"/>
  <c r="S1067" i="10" s="1"/>
  <c r="R690" i="10" a="1"/>
  <c r="R690" i="10" s="1"/>
  <c r="S690" i="10" s="1"/>
  <c r="R139" i="10" a="1"/>
  <c r="R139" i="10" s="1"/>
  <c r="S139" i="10" s="1"/>
  <c r="R615" i="10" a="1"/>
  <c r="R615" i="10" s="1"/>
  <c r="S615" i="10" s="1"/>
  <c r="R48" i="10" a="1"/>
  <c r="R48" i="10" s="1"/>
  <c r="S48" i="10" s="1"/>
  <c r="R524" i="10" a="1"/>
  <c r="R524" i="10" s="1"/>
  <c r="S524" i="10" s="1"/>
  <c r="R1064" i="10" a="1"/>
  <c r="R1064" i="10" s="1"/>
  <c r="S1064" i="10" s="1"/>
  <c r="R285" i="10" a="1"/>
  <c r="R285" i="10" s="1"/>
  <c r="S285" i="10" s="1"/>
  <c r="R841" i="10" a="1"/>
  <c r="R841" i="10" s="1"/>
  <c r="S841" i="10" s="1"/>
  <c r="R1140" i="10" a="1"/>
  <c r="R1140" i="10" s="1"/>
  <c r="S1140" i="10" s="1"/>
  <c r="R465" i="10" a="1"/>
  <c r="R465" i="10" s="1"/>
  <c r="S465" i="10" s="1"/>
  <c r="R924" i="10" a="1"/>
  <c r="R924" i="10" s="1"/>
  <c r="S924" i="10" s="1"/>
  <c r="R145" i="10" a="1"/>
  <c r="R145" i="10" s="1"/>
  <c r="S145" i="10" s="1"/>
  <c r="R621" i="10" a="1"/>
  <c r="R621" i="10" s="1"/>
  <c r="S621" i="10" s="1"/>
  <c r="R58" i="10" a="1"/>
  <c r="R58" i="10" s="1"/>
  <c r="S58" i="10" s="1"/>
  <c r="R598" i="10" a="1"/>
  <c r="R598" i="10" s="1"/>
  <c r="S598" i="10" s="1"/>
  <c r="R1058" i="10" a="1"/>
  <c r="R1058" i="10" s="1"/>
  <c r="S1058" i="10" s="1"/>
  <c r="R507" i="10" a="1"/>
  <c r="R507" i="10" s="1"/>
  <c r="S507" i="10" s="1"/>
  <c r="R1047" i="10" a="1"/>
  <c r="R1047" i="10" s="1"/>
  <c r="S1047" i="10" s="1"/>
  <c r="R1055" i="10" a="1"/>
  <c r="R1055" i="10" s="1"/>
  <c r="S1055" i="10" s="1"/>
  <c r="R504" i="10" a="1"/>
  <c r="R504" i="10" s="1"/>
  <c r="S504" i="10" s="1"/>
  <c r="R818" i="10" a="1"/>
  <c r="R818" i="10" s="1"/>
  <c r="S818" i="10" s="1"/>
  <c r="R267" i="10" a="1"/>
  <c r="R267" i="10" s="1"/>
  <c r="S267" i="10" s="1"/>
  <c r="R743" i="10" a="1"/>
  <c r="R743" i="10" s="1"/>
  <c r="S743" i="10" s="1"/>
  <c r="R176" i="10" a="1"/>
  <c r="R176" i="10" s="1"/>
  <c r="S176" i="10" s="1"/>
  <c r="R652" i="10" a="1"/>
  <c r="R652" i="10" s="1"/>
  <c r="S652" i="10" s="1"/>
  <c r="R1143" i="10" a="1"/>
  <c r="R1143" i="10" s="1"/>
  <c r="S1143" i="10" s="1"/>
  <c r="R413" i="10" a="1"/>
  <c r="R413" i="10" s="1"/>
  <c r="S413" i="10" s="1"/>
  <c r="R329" i="10" a="1"/>
  <c r="R329" i="10" s="1"/>
  <c r="S329" i="10" s="1"/>
  <c r="R536" i="10" a="1"/>
  <c r="R536" i="10" s="1"/>
  <c r="S536" i="10" s="1"/>
  <c r="R493" i="10" a="1"/>
  <c r="R493" i="10" s="1"/>
  <c r="S493" i="10" s="1"/>
  <c r="R470" i="10" a="1"/>
  <c r="R470" i="10" s="1"/>
  <c r="S470" i="10" s="1"/>
  <c r="R919" i="10" a="1"/>
  <c r="R919" i="10" s="1"/>
  <c r="S919" i="10" s="1"/>
  <c r="R696" i="10" a="1"/>
  <c r="R696" i="10" s="1"/>
  <c r="S696" i="10" s="1"/>
  <c r="R949" i="10" a="1"/>
  <c r="R949" i="10" s="1"/>
  <c r="S949" i="10" s="1"/>
  <c r="R259" i="10" a="1"/>
  <c r="R259" i="10" s="1"/>
  <c r="S259" i="10" s="1"/>
  <c r="R1162" i="10" a="1"/>
  <c r="R1162" i="10" s="1"/>
  <c r="S1162" i="10" s="1"/>
  <c r="R632" i="10" a="1"/>
  <c r="R632" i="10" s="1"/>
  <c r="S632" i="10" s="1"/>
  <c r="R92" i="10" a="1"/>
  <c r="R92" i="10" s="1"/>
  <c r="S92" i="10" s="1"/>
  <c r="R1053" i="10" a="1"/>
  <c r="R1053" i="10" s="1"/>
  <c r="S1053" i="10" s="1"/>
  <c r="R53" i="10" a="1"/>
  <c r="R53" i="10" s="1"/>
  <c r="S53" i="10" s="1"/>
  <c r="R442" i="10" a="1"/>
  <c r="R442" i="10" s="1"/>
  <c r="S442" i="10" s="1"/>
  <c r="R529" i="10" a="1"/>
  <c r="R529" i="10" s="1"/>
  <c r="S529" i="10" s="1"/>
  <c r="R811" i="10" a="1"/>
  <c r="R811" i="10" s="1"/>
  <c r="S811" i="10" s="1"/>
  <c r="R255" i="10" a="1"/>
  <c r="R255" i="10" s="1"/>
  <c r="S255" i="10" s="1"/>
  <c r="R658" i="10" a="1"/>
  <c r="R658" i="10" s="1"/>
  <c r="S658" i="10" s="1"/>
  <c r="R88" i="10" a="1"/>
  <c r="R88" i="10" s="1"/>
  <c r="S88" i="10" s="1"/>
  <c r="R1146" i="10" a="1"/>
  <c r="R1146" i="10" s="1"/>
  <c r="S1146" i="10" s="1"/>
  <c r="R1106" i="10" a="1"/>
  <c r="R1106" i="10" s="1"/>
  <c r="S1106" i="10" s="1"/>
  <c r="R792" i="10" a="1"/>
  <c r="R792" i="10" s="1"/>
  <c r="S792" i="10" s="1"/>
  <c r="R252" i="10" a="1"/>
  <c r="R252" i="10" s="1"/>
  <c r="S252" i="10" s="1"/>
  <c r="R639" i="10" a="1"/>
  <c r="R639" i="10" s="1"/>
  <c r="S639" i="10" s="1"/>
  <c r="R817" i="10" a="1"/>
  <c r="R817" i="10" s="1"/>
  <c r="S817" i="10" s="1"/>
  <c r="R1030" i="10" a="1"/>
  <c r="R1030" i="10" s="1"/>
  <c r="S1030" i="10" s="1"/>
  <c r="R407" i="10" a="1"/>
  <c r="R407" i="10" s="1"/>
  <c r="S407" i="10" s="1"/>
  <c r="R418" i="10" a="1"/>
  <c r="R418" i="10" s="1"/>
  <c r="S418" i="10" s="1"/>
  <c r="R359" i="10" a="1"/>
  <c r="R359" i="10" s="1"/>
  <c r="S359" i="10" s="1"/>
  <c r="R351" i="10" a="1"/>
  <c r="R351" i="10" s="1"/>
  <c r="S351" i="10" s="1"/>
  <c r="R466" i="10" a="1"/>
  <c r="R466" i="10" s="1"/>
  <c r="S466" i="10" s="1"/>
  <c r="R575" i="10" a="1"/>
  <c r="R575" i="10" s="1"/>
  <c r="S575" i="10" s="1"/>
  <c r="R450" i="10" a="1"/>
  <c r="R450" i="10" s="1"/>
  <c r="S450" i="10" s="1"/>
  <c r="R1045" i="10" a="1"/>
  <c r="R1045" i="10" s="1"/>
  <c r="S1045" i="10" s="1"/>
  <c r="R761" i="10" a="1"/>
  <c r="R761" i="10" s="1"/>
  <c r="S761" i="10" s="1"/>
  <c r="R269" i="10" a="1"/>
  <c r="R269" i="10" s="1"/>
  <c r="S269" i="10" s="1"/>
  <c r="R262" i="10" a="1"/>
  <c r="R262" i="10" s="1"/>
  <c r="S262" i="10" s="1"/>
  <c r="R192" i="10" a="1"/>
  <c r="R192" i="10" s="1"/>
  <c r="S192" i="10" s="1"/>
  <c r="R759" i="10" a="1"/>
  <c r="R759" i="10" s="1"/>
  <c r="S759" i="10" s="1"/>
  <c r="R219" i="10" a="1"/>
  <c r="R219" i="10" s="1"/>
  <c r="S219" i="10" s="1"/>
  <c r="R770" i="10" a="1"/>
  <c r="R770" i="10" s="1"/>
  <c r="S770" i="10" s="1"/>
  <c r="R246" i="10" a="1"/>
  <c r="R246" i="10" s="1"/>
  <c r="S246" i="10" s="1"/>
  <c r="R825" i="10" a="1"/>
  <c r="R825" i="10" s="1"/>
  <c r="S825" i="10" s="1"/>
  <c r="R333" i="10" a="1"/>
  <c r="R333" i="10" s="1"/>
  <c r="S333" i="10" s="1"/>
  <c r="R326" i="10" a="1"/>
  <c r="R326" i="10" s="1"/>
  <c r="S326" i="10" s="1"/>
  <c r="R905" i="10" a="1"/>
  <c r="R905" i="10" s="1"/>
  <c r="S905" i="10" s="1"/>
  <c r="R349" i="10" a="1"/>
  <c r="R349" i="10" s="1"/>
  <c r="S349" i="10" s="1"/>
  <c r="R1126" i="10" a="1"/>
  <c r="R1126" i="10" s="1"/>
  <c r="S1126" i="10" s="1"/>
  <c r="R588" i="10" a="1"/>
  <c r="R588" i="10" s="1"/>
  <c r="S588" i="10" s="1"/>
  <c r="R112" i="10" a="1"/>
  <c r="R112" i="10" s="1"/>
  <c r="S112" i="10" s="1"/>
  <c r="R679" i="10" a="1"/>
  <c r="R679" i="10" s="1"/>
  <c r="S679" i="10" s="1"/>
  <c r="R203" i="10" a="1"/>
  <c r="R203" i="10" s="1"/>
  <c r="S203" i="10" s="1"/>
  <c r="R754" i="10" a="1"/>
  <c r="R754" i="10" s="1"/>
  <c r="S754" i="10" s="1"/>
  <c r="R782" i="10" a="1"/>
  <c r="R782" i="10" s="1"/>
  <c r="S782" i="10" s="1"/>
  <c r="R242" i="10" a="1"/>
  <c r="R242" i="10" s="1"/>
  <c r="S242" i="10" s="1"/>
  <c r="R585" i="10" a="1"/>
  <c r="R585" i="10" s="1"/>
  <c r="S585" i="10" s="1"/>
  <c r="R513" i="10" a="1"/>
  <c r="R513" i="10" s="1"/>
  <c r="S513" i="10" s="1"/>
  <c r="R899" i="10" a="1"/>
  <c r="R899" i="10" s="1"/>
  <c r="S899" i="10" s="1"/>
  <c r="R1005" i="10" a="1"/>
  <c r="R1005" i="10" s="1"/>
  <c r="S1005" i="10" s="1"/>
  <c r="R284" i="10" a="1"/>
  <c r="R284" i="10" s="1"/>
  <c r="S284" i="10" s="1"/>
  <c r="R433" i="10" a="1"/>
  <c r="R433" i="10" s="1"/>
  <c r="S433" i="10" s="1"/>
  <c r="R24" i="10" a="1"/>
  <c r="R24" i="10" s="1"/>
  <c r="S24" i="10" s="1"/>
  <c r="R1112" i="10" a="1"/>
  <c r="R1112" i="10" s="1"/>
  <c r="S1112" i="10" s="1"/>
  <c r="R177" i="10" a="1"/>
  <c r="R177" i="10" s="1"/>
  <c r="S177" i="10" s="1"/>
  <c r="R402" i="10" a="1"/>
  <c r="R402" i="10" s="1"/>
  <c r="S402" i="10" s="1"/>
  <c r="R600" i="10" a="1"/>
  <c r="R600" i="10" s="1"/>
  <c r="S600" i="10" s="1"/>
  <c r="R881" i="10" a="1"/>
  <c r="R881" i="10" s="1"/>
  <c r="S881" i="10" s="1"/>
  <c r="R369" i="10" a="1"/>
  <c r="R369" i="10" s="1"/>
  <c r="S369" i="10" s="1"/>
  <c r="R958" i="10" a="1"/>
  <c r="R958" i="10" s="1"/>
  <c r="S958" i="10" s="1"/>
  <c r="R974" i="10" a="1"/>
  <c r="R974" i="10" s="1"/>
  <c r="S974" i="10" s="1"/>
  <c r="R210" i="10" a="1"/>
  <c r="R210" i="10" s="1"/>
  <c r="S210" i="10" s="1"/>
  <c r="R867" i="10" a="1"/>
  <c r="R867" i="10" s="1"/>
  <c r="S867" i="10" s="1"/>
  <c r="R358" i="10" a="1"/>
  <c r="R358" i="10" s="1"/>
  <c r="S358" i="10" s="1"/>
  <c r="R381" i="10" a="1"/>
  <c r="R381" i="10" s="1"/>
  <c r="S381" i="10" s="1"/>
  <c r="R620" i="10" a="1"/>
  <c r="R620" i="10" s="1"/>
  <c r="S620" i="10" s="1"/>
  <c r="R647" i="10" a="1"/>
  <c r="R647" i="10" s="1"/>
  <c r="S647" i="10" s="1"/>
  <c r="R160" i="10" a="1"/>
  <c r="R160" i="10" s="1"/>
  <c r="S160" i="10" s="1"/>
  <c r="R187" i="10" a="1"/>
  <c r="R187" i="10" s="1"/>
  <c r="S187" i="10" s="1"/>
  <c r="R278" i="10" a="1"/>
  <c r="R278" i="10" s="1"/>
  <c r="S278" i="10" s="1"/>
  <c r="R301" i="10" a="1"/>
  <c r="R301" i="10" s="1"/>
  <c r="S301" i="10" s="1"/>
  <c r="R604" i="10" a="1"/>
  <c r="R604" i="10" s="1"/>
  <c r="S604" i="10" s="1"/>
  <c r="R1116" i="10" a="1"/>
  <c r="R1116" i="10" s="1"/>
  <c r="S1116" i="10" s="1"/>
  <c r="R337" i="10" a="1"/>
  <c r="R337" i="10" s="1"/>
  <c r="S337" i="10" s="1"/>
  <c r="R891" i="10" a="1"/>
  <c r="R891" i="10" s="1"/>
  <c r="S891" i="10" s="1"/>
  <c r="R1077" i="10" a="1"/>
  <c r="R1077" i="10" s="1"/>
  <c r="S1077" i="10" s="1"/>
  <c r="R276" i="10" a="1"/>
  <c r="R276" i="10" s="1"/>
  <c r="S276" i="10" s="1"/>
  <c r="R434" i="10" a="1"/>
  <c r="R434" i="10" s="1"/>
  <c r="S434" i="10" s="1"/>
  <c r="R728" i="10" a="1"/>
  <c r="R728" i="10" s="1"/>
  <c r="S728" i="10" s="1"/>
  <c r="R1163" i="10" a="1"/>
  <c r="R1163" i="10" s="1"/>
  <c r="S1163" i="10" s="1"/>
  <c r="R1141" i="10" a="1"/>
  <c r="R1141" i="10" s="1"/>
  <c r="S1141" i="10" s="1"/>
  <c r="R572" i="10" a="1"/>
  <c r="R572" i="10" s="1"/>
  <c r="S572" i="10" s="1"/>
  <c r="R472" i="10" a="1"/>
  <c r="R472" i="10" s="1"/>
  <c r="S472" i="10" s="1"/>
  <c r="R1023" i="10" a="1"/>
  <c r="R1023" i="10" s="1"/>
  <c r="S1023" i="10" s="1"/>
  <c r="R497" i="10" a="1"/>
  <c r="R497" i="10" s="1"/>
  <c r="S497" i="10" s="1"/>
  <c r="R1125" i="10" a="1"/>
  <c r="R1125" i="10" s="1"/>
  <c r="S1125" i="10" s="1"/>
  <c r="R152" i="10" a="1"/>
  <c r="R152" i="10" s="1"/>
  <c r="S152" i="10" s="1"/>
  <c r="R895" i="10" a="1"/>
  <c r="R895" i="10" s="1"/>
  <c r="S895" i="10" s="1"/>
  <c r="R947" i="10" a="1"/>
  <c r="R947" i="10" s="1"/>
  <c r="S947" i="10" s="1"/>
  <c r="R29" i="10" a="1"/>
  <c r="R29" i="10" s="1"/>
  <c r="S29" i="10" s="1"/>
  <c r="R268" i="10" a="1"/>
  <c r="R268" i="10" s="1"/>
  <c r="S268" i="10" s="1"/>
  <c r="R1149" i="10" a="1"/>
  <c r="R1149" i="10" s="1"/>
  <c r="S1149" i="10" s="1"/>
  <c r="R188" i="10" a="1"/>
  <c r="R188" i="10" s="1"/>
  <c r="S188" i="10" s="1"/>
  <c r="R408" i="10" a="1"/>
  <c r="R408" i="10" s="1"/>
  <c r="S408" i="10" s="1"/>
  <c r="R367" i="10" a="1"/>
  <c r="R367" i="10" s="1"/>
  <c r="S367" i="10" s="1"/>
  <c r="R950" i="10" a="1"/>
  <c r="R950" i="10" s="1"/>
  <c r="S950" i="10" s="1"/>
  <c r="R666" i="10" a="1"/>
  <c r="R666" i="10" s="1"/>
  <c r="S666" i="10" s="1"/>
  <c r="R174" i="10" a="1"/>
  <c r="R174" i="10" s="1"/>
  <c r="S174" i="10" s="1"/>
  <c r="R453" i="10" a="1"/>
  <c r="R453" i="10" s="1"/>
  <c r="S453" i="10" s="1"/>
  <c r="R1167" i="10" a="1"/>
  <c r="R1167" i="10" s="1"/>
  <c r="S1167" i="10" s="1"/>
  <c r="R676" i="10" a="1"/>
  <c r="R676" i="10" s="1"/>
  <c r="S676" i="10" s="1"/>
  <c r="R136" i="10" a="1"/>
  <c r="R136" i="10" s="1"/>
  <c r="S136" i="10" s="1"/>
  <c r="R687" i="10" a="1"/>
  <c r="R687" i="10" s="1"/>
  <c r="S687" i="10" s="1"/>
  <c r="R163" i="10" a="1"/>
  <c r="R163" i="10" s="1"/>
  <c r="S163" i="10" s="1"/>
  <c r="R730" i="10" a="1"/>
  <c r="R730" i="10" s="1"/>
  <c r="S730" i="10" s="1"/>
  <c r="R238" i="10" a="1"/>
  <c r="R238" i="10" s="1"/>
  <c r="S238" i="10" s="1"/>
  <c r="R243" i="10" a="1"/>
  <c r="R243" i="10" s="1"/>
  <c r="S243" i="10" s="1"/>
  <c r="R810" i="10" a="1"/>
  <c r="R810" i="10" s="1"/>
  <c r="S810" i="10" s="1"/>
  <c r="R254" i="10" a="1"/>
  <c r="R254" i="10" s="1"/>
  <c r="S254" i="10" s="1"/>
  <c r="R833" i="10" a="1"/>
  <c r="R833" i="10" s="1"/>
  <c r="S833" i="10" s="1"/>
  <c r="R373" i="10" a="1"/>
  <c r="R373" i="10" s="1"/>
  <c r="S373" i="10" s="1"/>
  <c r="R1134" i="10" a="1"/>
  <c r="R1134" i="10" s="1"/>
  <c r="S1134" i="10" s="1"/>
  <c r="R596" i="10" a="1"/>
  <c r="R596" i="10" s="1"/>
  <c r="S596" i="10" s="1"/>
  <c r="R120" i="10" a="1"/>
  <c r="R120" i="10" s="1"/>
  <c r="S120" i="10" s="1"/>
  <c r="R671" i="10" a="1"/>
  <c r="R671" i="10" s="1"/>
  <c r="S671" i="10" s="1"/>
  <c r="R956" i="10" a="1"/>
  <c r="R956" i="10" s="1"/>
  <c r="S956" i="10" s="1"/>
  <c r="R864" i="10" a="1"/>
  <c r="R864" i="10" s="1"/>
  <c r="S864" i="10" s="1"/>
  <c r="R982" i="10" a="1"/>
  <c r="R982" i="10" s="1"/>
  <c r="S982" i="10" s="1"/>
  <c r="R753" i="10" a="1"/>
  <c r="R753" i="10" s="1"/>
  <c r="S753" i="10" s="1"/>
  <c r="R300" i="10" a="1"/>
  <c r="R300" i="10" s="1"/>
  <c r="S300" i="10" s="1"/>
  <c r="R583" i="10" a="1"/>
  <c r="R583" i="10" s="1"/>
  <c r="S583" i="10" s="1"/>
  <c r="R107" i="10" a="1"/>
  <c r="R107" i="10" s="1"/>
  <c r="S107" i="10" s="1"/>
  <c r="R937" i="10" a="1"/>
  <c r="R937" i="10" s="1"/>
  <c r="S937" i="10" s="1"/>
  <c r="R1158" i="10" a="1"/>
  <c r="R1158" i="10" s="1"/>
  <c r="S1158" i="10" s="1"/>
  <c r="R80" i="10" a="1"/>
  <c r="R80" i="10" s="1"/>
  <c r="S80" i="10" s="1"/>
  <c r="R171" i="10" a="1"/>
  <c r="R171" i="10" s="1"/>
  <c r="S171" i="10" s="1"/>
  <c r="R727" i="10" a="1"/>
  <c r="R727" i="10" s="1"/>
  <c r="S727" i="10" s="1"/>
  <c r="R738" i="10" a="1"/>
  <c r="R738" i="10" s="1"/>
  <c r="S738" i="10" s="1"/>
  <c r="R857" i="10" a="1"/>
  <c r="R857" i="10" s="1"/>
  <c r="S857" i="10" s="1"/>
  <c r="R1142" i="10" a="1"/>
  <c r="R1142" i="10" s="1"/>
  <c r="S1142" i="10" s="1"/>
  <c r="R715" i="10" a="1"/>
  <c r="R715" i="10" s="1"/>
  <c r="S715" i="10" s="1"/>
  <c r="R324" i="10" a="1"/>
  <c r="R324" i="10" s="1"/>
  <c r="S324" i="10" s="1"/>
  <c r="R335" i="10" a="1"/>
  <c r="R335" i="10" s="1"/>
  <c r="S335" i="10" s="1"/>
  <c r="R537" i="10" a="1"/>
  <c r="R537" i="10" s="1"/>
  <c r="S537" i="10" s="1"/>
  <c r="R530" i="10" a="1"/>
  <c r="R530" i="10" s="1"/>
  <c r="S530" i="10" s="1"/>
  <c r="R1048" i="10" a="1"/>
  <c r="R1048" i="10" s="1"/>
  <c r="S1048" i="10" s="1"/>
  <c r="R625" i="10" a="1"/>
  <c r="R625" i="10" s="1"/>
  <c r="S625" i="10" s="1"/>
  <c r="R875" i="10" a="1"/>
  <c r="R875" i="10" s="1"/>
  <c r="S875" i="10" s="1"/>
  <c r="R1073" i="10" a="1"/>
  <c r="R1073" i="10" s="1"/>
  <c r="S1073" i="10" s="1"/>
  <c r="R892" i="10" a="1"/>
  <c r="R892" i="10" s="1"/>
  <c r="S892" i="10" s="1"/>
  <c r="R808" i="10" a="1"/>
  <c r="R808" i="10" s="1"/>
  <c r="S808" i="10" s="1"/>
  <c r="R824" i="10" a="1"/>
  <c r="R824" i="10" s="1"/>
  <c r="S824" i="10" s="1"/>
  <c r="R274" i="10" a="1"/>
  <c r="R274" i="10" s="1"/>
  <c r="S274" i="10" s="1"/>
  <c r="R21" i="10" a="1"/>
  <c r="R21" i="10" s="1"/>
  <c r="S21" i="10" s="1"/>
  <c r="R500" i="10" a="1"/>
  <c r="R500" i="10" s="1"/>
  <c r="S500" i="10" s="1"/>
  <c r="R275" i="10" a="1"/>
  <c r="R275" i="10" s="1"/>
  <c r="S275" i="10" s="1"/>
  <c r="R286" i="10" a="1"/>
  <c r="R286" i="10" s="1"/>
  <c r="S286" i="10" s="1"/>
  <c r="R341" i="10" a="1"/>
  <c r="R341" i="10" s="1"/>
  <c r="S341" i="10" s="1"/>
  <c r="R564" i="10" a="1"/>
  <c r="R564" i="10" s="1"/>
  <c r="S564" i="10" s="1"/>
  <c r="R1135" i="10" a="1"/>
  <c r="R1135" i="10" s="1"/>
  <c r="S1135" i="10" s="1"/>
  <c r="R104" i="10" a="1"/>
  <c r="R104" i="10" s="1"/>
  <c r="S104" i="10" s="1"/>
  <c r="R195" i="10" a="1"/>
  <c r="R195" i="10" s="1"/>
  <c r="S195" i="10" s="1"/>
  <c r="R270" i="10" a="1"/>
  <c r="R270" i="10" s="1"/>
  <c r="S270" i="10" s="1"/>
  <c r="R159" i="10" a="1"/>
  <c r="R159" i="10" s="1"/>
  <c r="S159" i="10" s="1"/>
  <c r="R907" i="10" a="1"/>
  <c r="R907" i="10" s="1"/>
  <c r="S907" i="10" s="1"/>
  <c r="R338" i="10" a="1"/>
  <c r="R338" i="10" s="1"/>
  <c r="S338" i="10" s="1"/>
  <c r="R60" i="10" a="1"/>
  <c r="R60" i="10" s="1"/>
  <c r="S60" i="10" s="1"/>
  <c r="R82" i="10" a="1"/>
  <c r="R82" i="10" s="1"/>
  <c r="S82" i="10" s="1"/>
  <c r="R319" i="10" a="1"/>
  <c r="R319" i="10" s="1"/>
  <c r="S319" i="10" s="1"/>
  <c r="R636" i="10" a="1"/>
  <c r="R636" i="10" s="1"/>
  <c r="S636" i="10" s="1"/>
  <c r="R490" i="10" a="1"/>
  <c r="R490" i="10" s="1"/>
  <c r="S490" i="10" s="1"/>
  <c r="R816" i="10" a="1"/>
  <c r="R816" i="10" s="1"/>
  <c r="S816" i="10" s="1"/>
  <c r="R508" i="10" a="1"/>
  <c r="R508" i="10" s="1"/>
  <c r="S508" i="10" s="1"/>
  <c r="R1040" i="10" a="1"/>
  <c r="R1040" i="10" s="1"/>
  <c r="S1040" i="10" s="1"/>
  <c r="R357" i="10" a="1"/>
  <c r="R357" i="10" s="1"/>
  <c r="S357" i="10" s="1"/>
  <c r="R842" i="10" a="1"/>
  <c r="R842" i="10" s="1"/>
  <c r="S842" i="10" s="1"/>
  <c r="R865" i="10" a="1"/>
  <c r="R865" i="10" s="1"/>
  <c r="S865" i="10" s="1"/>
  <c r="R1104" i="10" a="1"/>
  <c r="R1104" i="10" s="1"/>
  <c r="S1104" i="10" s="1"/>
  <c r="R421" i="10" a="1"/>
  <c r="R421" i="10" s="1"/>
  <c r="S421" i="10" s="1"/>
  <c r="R644" i="10" a="1"/>
  <c r="R644" i="10" s="1"/>
  <c r="S644" i="10" s="1"/>
  <c r="R655" i="10" a="1"/>
  <c r="R655" i="10" s="1"/>
  <c r="S655" i="10" s="1"/>
  <c r="R762" i="10" a="1"/>
  <c r="R762" i="10" s="1"/>
  <c r="S762" i="10" s="1"/>
  <c r="R849" i="10" a="1"/>
  <c r="R849" i="10" s="1"/>
  <c r="S849" i="10" s="1"/>
  <c r="R1105" i="10" a="1"/>
  <c r="R1105" i="10" s="1"/>
  <c r="S1105" i="10" s="1"/>
  <c r="R526" i="10" a="1"/>
  <c r="R526" i="10" s="1"/>
  <c r="S526" i="10" s="1"/>
  <c r="R1018" i="10" a="1"/>
  <c r="R1018" i="10" s="1"/>
  <c r="S1018" i="10" s="1"/>
  <c r="R844" i="10" a="1"/>
  <c r="R844" i="10" s="1"/>
  <c r="S844" i="10" s="1"/>
  <c r="R137" i="10" a="1"/>
  <c r="R137" i="10" s="1"/>
  <c r="S137" i="10" s="1"/>
  <c r="R419" i="10" a="1"/>
  <c r="R419" i="10" s="1"/>
  <c r="S419" i="10" s="1"/>
  <c r="R74" i="10" a="1"/>
  <c r="R74" i="10" s="1"/>
  <c r="S74" i="10" s="1"/>
  <c r="R1017" i="10" a="1"/>
  <c r="R1017" i="10" s="1"/>
  <c r="S1017" i="10" s="1"/>
  <c r="R155" i="10" a="1"/>
  <c r="R155" i="10" s="1"/>
  <c r="S155" i="10" s="1"/>
  <c r="R1132" i="10" a="1"/>
  <c r="R1132" i="10" s="1"/>
  <c r="S1132" i="10" s="1"/>
  <c r="R98" i="10" a="1"/>
  <c r="R98" i="10" s="1"/>
  <c r="S98" i="10" s="1"/>
  <c r="R627" i="10" a="1"/>
  <c r="R627" i="10" s="1"/>
  <c r="S627" i="10" s="1"/>
  <c r="R630" i="10" a="1"/>
  <c r="R630" i="10" s="1"/>
  <c r="S630" i="10" s="1"/>
  <c r="R202" i="10" a="1"/>
  <c r="R202" i="10" s="1"/>
  <c r="S202" i="10" s="1"/>
  <c r="R606" i="10" a="1"/>
  <c r="R606" i="10" s="1"/>
  <c r="S606" i="10" s="1"/>
  <c r="R545" i="10" a="1"/>
  <c r="R545" i="10" s="1"/>
  <c r="S545" i="10" s="1"/>
  <c r="R1085" i="10" a="1"/>
  <c r="R1085" i="10" s="1"/>
  <c r="S1085" i="10" s="1"/>
  <c r="R522" i="10" a="1"/>
  <c r="R522" i="10" s="1"/>
  <c r="S522" i="10" s="1"/>
  <c r="R1062" i="10" a="1"/>
  <c r="R1062" i="10" s="1"/>
  <c r="S1062" i="10" s="1"/>
  <c r="R685" i="10" a="1"/>
  <c r="R685" i="10" s="1"/>
  <c r="S685" i="10" s="1"/>
  <c r="R122" i="10" a="1"/>
  <c r="R122" i="10" s="1"/>
  <c r="S122" i="10" s="1"/>
  <c r="R662" i="10" a="1"/>
  <c r="R662" i="10" s="1"/>
  <c r="S662" i="10" s="1"/>
  <c r="R866" i="10" a="1"/>
  <c r="R866" i="10" s="1"/>
  <c r="S866" i="10" s="1"/>
  <c r="R315" i="10" a="1"/>
  <c r="R315" i="10" s="1"/>
  <c r="S315" i="10" s="1"/>
  <c r="R855" i="10" a="1"/>
  <c r="R855" i="10" s="1"/>
  <c r="S855" i="10" s="1"/>
  <c r="R288" i="10" a="1"/>
  <c r="R288" i="10" s="1"/>
  <c r="S288" i="10" s="1"/>
  <c r="R299" i="10" a="1"/>
  <c r="R299" i="10" s="1"/>
  <c r="S299" i="10" s="1"/>
  <c r="R775" i="10" a="1"/>
  <c r="R775" i="10" s="1"/>
  <c r="S775" i="10" s="1"/>
  <c r="R208" i="10" a="1"/>
  <c r="R208" i="10" s="1"/>
  <c r="S208" i="10" s="1"/>
  <c r="R748" i="10" a="1"/>
  <c r="R748" i="10" s="1"/>
  <c r="S748" i="10" s="1"/>
  <c r="R1137" i="10" a="1"/>
  <c r="R1137" i="10" s="1"/>
  <c r="S1137" i="10" s="1"/>
  <c r="R509" i="10" a="1"/>
  <c r="R509" i="10" s="1"/>
  <c r="S509" i="10" s="1"/>
  <c r="R1065" i="10" a="1"/>
  <c r="R1065" i="10" s="1"/>
  <c r="S1065" i="10" s="1"/>
  <c r="R486" i="10" a="1"/>
  <c r="R486" i="10" s="1"/>
  <c r="S486" i="10" s="1"/>
  <c r="R224" i="10" a="1"/>
  <c r="R224" i="10" s="1"/>
  <c r="S224" i="10" s="1"/>
  <c r="R235" i="10" a="1"/>
  <c r="R235" i="10" s="1"/>
  <c r="S235" i="10" s="1"/>
  <c r="R711" i="10" a="1"/>
  <c r="R711" i="10" s="1"/>
  <c r="S711" i="10" s="1"/>
  <c r="R144" i="10" a="1"/>
  <c r="R144" i="10" s="1"/>
  <c r="S144" i="10" s="1"/>
  <c r="R684" i="10" a="1"/>
  <c r="R684" i="10" s="1"/>
  <c r="S684" i="10" s="1"/>
  <c r="R1120" i="10" a="1"/>
  <c r="R1120" i="10" s="1"/>
  <c r="S1120" i="10" s="1"/>
  <c r="R445" i="10" a="1"/>
  <c r="R445" i="10" s="1"/>
  <c r="S445" i="10" s="1"/>
  <c r="R1001" i="10" a="1"/>
  <c r="R1001" i="10" s="1"/>
  <c r="S1001" i="10" s="1"/>
  <c r="R422" i="10" a="1"/>
  <c r="R422" i="10" s="1"/>
  <c r="S422" i="10" s="1"/>
  <c r="R605" i="10" a="1"/>
  <c r="R605" i="10" s="1"/>
  <c r="S605" i="10" s="1"/>
  <c r="R494" i="10" a="1"/>
  <c r="R494" i="10" s="1"/>
  <c r="S494" i="10" s="1"/>
  <c r="R876" i="10" a="1"/>
  <c r="R876" i="10" s="1"/>
  <c r="S876" i="10" s="1"/>
  <c r="R1098" i="10" a="1"/>
  <c r="R1098" i="10" s="1"/>
  <c r="S1098" i="10" s="1"/>
  <c r="R430" i="10" a="1"/>
  <c r="R430" i="10" s="1"/>
  <c r="S430" i="10" s="1"/>
  <c r="R706" i="10" a="1"/>
  <c r="R706" i="10" s="1"/>
  <c r="S706" i="10" s="1"/>
  <c r="R873" i="10" a="1"/>
  <c r="R873" i="10" s="1"/>
  <c r="S873" i="10" s="1"/>
  <c r="R473" i="10" a="1"/>
  <c r="R473" i="10" s="1"/>
  <c r="S473" i="10" s="1"/>
  <c r="R638" i="10" a="1"/>
  <c r="R638" i="10" s="1"/>
  <c r="S638" i="10" s="1"/>
  <c r="R622" i="10" a="1"/>
  <c r="R622" i="10" s="1"/>
  <c r="S622" i="10" s="1"/>
  <c r="R1004" i="10" a="1"/>
  <c r="R1004" i="10" s="1"/>
  <c r="S1004" i="10" s="1"/>
  <c r="R119" i="10" a="1"/>
  <c r="R119" i="10" s="1"/>
  <c r="S119" i="10" s="1"/>
  <c r="R563" i="10" a="1"/>
  <c r="R563" i="10" s="1"/>
  <c r="S563" i="10" s="1"/>
  <c r="R1050" i="10" a="1"/>
  <c r="R1050" i="10" s="1"/>
  <c r="S1050" i="10" s="1"/>
  <c r="R1090" i="10" a="1"/>
  <c r="R1090" i="10" s="1"/>
  <c r="S1090" i="10" s="1"/>
  <c r="R138" i="10" a="1"/>
  <c r="R138" i="10" s="1"/>
  <c r="S138" i="10" s="1"/>
  <c r="R498" i="10" a="1"/>
  <c r="R498" i="10" s="1"/>
  <c r="S498" i="10" s="1"/>
  <c r="R1038" i="10" a="1"/>
  <c r="R1038" i="10" s="1"/>
  <c r="S1038" i="10" s="1"/>
  <c r="R423" i="10" a="1"/>
  <c r="R423" i="10" s="1"/>
  <c r="S423" i="10" s="1"/>
  <c r="R963" i="10" a="1"/>
  <c r="R963" i="10" s="1"/>
  <c r="S963" i="10" s="1"/>
  <c r="R332" i="10" a="1"/>
  <c r="R332" i="10" s="1"/>
  <c r="S332" i="10" s="1"/>
  <c r="R872" i="10" a="1"/>
  <c r="R872" i="10" s="1"/>
  <c r="S872" i="10" s="1"/>
  <c r="R93" i="10" a="1"/>
  <c r="R93" i="10" s="1"/>
  <c r="S93" i="10" s="1"/>
  <c r="R649" i="10" a="1"/>
  <c r="R649" i="10" s="1"/>
  <c r="S649" i="10" s="1"/>
  <c r="R70" i="10" a="1"/>
  <c r="R70" i="10" s="1"/>
  <c r="S70" i="10" s="1"/>
  <c r="R77" i="10" a="1"/>
  <c r="R77" i="10" s="1"/>
  <c r="S77" i="10" s="1"/>
  <c r="R569" i="10" a="1"/>
  <c r="R569" i="10" s="1"/>
  <c r="S569" i="10" s="1"/>
  <c r="R1109" i="10" a="1"/>
  <c r="R1109" i="10" s="1"/>
  <c r="S1109" i="10" s="1"/>
  <c r="R514" i="10" a="1"/>
  <c r="R514" i="10" s="1"/>
  <c r="S514" i="10" s="1"/>
  <c r="R1054" i="10" a="1"/>
  <c r="R1054" i="10" s="1"/>
  <c r="S1054" i="10" s="1"/>
  <c r="R503" i="10" a="1"/>
  <c r="R503" i="10" s="1"/>
  <c r="S503" i="10" s="1"/>
  <c r="R1043" i="10" a="1"/>
  <c r="R1043" i="10" s="1"/>
  <c r="S1043" i="10" s="1"/>
  <c r="R1121" i="10" a="1"/>
  <c r="R1121" i="10" s="1"/>
  <c r="S1121" i="10" s="1"/>
  <c r="R1164" i="10" a="1"/>
  <c r="R1164" i="10" s="1"/>
  <c r="S1164" i="10" s="1"/>
  <c r="R505" i="10" a="1"/>
  <c r="R505" i="10" s="1"/>
  <c r="S505" i="10" s="1"/>
  <c r="R789" i="10" a="1"/>
  <c r="R789" i="10" s="1"/>
  <c r="S789" i="10" s="1"/>
  <c r="R194" i="10" a="1"/>
  <c r="R194" i="10" s="1"/>
  <c r="S194" i="10" s="1"/>
  <c r="R734" i="10" a="1"/>
  <c r="R734" i="10" s="1"/>
  <c r="S734" i="10" s="1"/>
  <c r="R183" i="10" a="1"/>
  <c r="R183" i="10" s="1"/>
  <c r="S183" i="10" s="1"/>
  <c r="R723" i="10" a="1"/>
  <c r="R723" i="10" s="1"/>
  <c r="S723" i="10" s="1"/>
  <c r="R398" i="10" a="1"/>
  <c r="R398" i="10" s="1"/>
  <c r="S398" i="10" s="1"/>
  <c r="R890" i="10" a="1"/>
  <c r="R890" i="10" s="1"/>
  <c r="S890" i="10" s="1"/>
  <c r="R323" i="10" a="1"/>
  <c r="R323" i="10" s="1"/>
  <c r="S323" i="10" s="1"/>
  <c r="R783" i="10" a="1"/>
  <c r="R783" i="10" s="1"/>
  <c r="S783" i="10" s="1"/>
  <c r="R1083" i="10" a="1"/>
  <c r="R1083" i="10" s="1"/>
  <c r="S1083" i="10" s="1"/>
  <c r="R516" i="10" a="1"/>
  <c r="R516" i="10" s="1"/>
  <c r="S516" i="10" s="1"/>
  <c r="R1056" i="10" a="1"/>
  <c r="R1056" i="10" s="1"/>
  <c r="S1056" i="10" s="1"/>
  <c r="R293" i="10" a="1"/>
  <c r="R293" i="10" s="1"/>
  <c r="S293" i="10" s="1"/>
  <c r="R436" i="10" a="1"/>
  <c r="R436" i="10" s="1"/>
  <c r="S436" i="10" s="1"/>
  <c r="R976" i="10" a="1"/>
  <c r="R976" i="10" s="1"/>
  <c r="S976" i="10" s="1"/>
  <c r="R213" i="10" a="1"/>
  <c r="R213" i="10" s="1"/>
  <c r="S213" i="10" s="1"/>
  <c r="R737" i="10" a="1"/>
  <c r="R737" i="10" s="1"/>
  <c r="S737" i="10" s="1"/>
  <c r="R158" i="10" a="1"/>
  <c r="R158" i="10" s="1"/>
  <c r="S158" i="10" s="1"/>
  <c r="R714" i="10" a="1"/>
  <c r="R714" i="10" s="1"/>
  <c r="S714" i="10" s="1"/>
  <c r="R147" i="10" a="1"/>
  <c r="R147" i="10" s="1"/>
  <c r="S147" i="10" s="1"/>
  <c r="R992" i="10" a="1"/>
  <c r="R992" i="10" s="1"/>
  <c r="S992" i="10" s="1"/>
  <c r="R229" i="10" a="1"/>
  <c r="R229" i="10" s="1"/>
  <c r="S229" i="10" s="1"/>
  <c r="R372" i="10" a="1"/>
  <c r="R372" i="10" s="1"/>
  <c r="S372" i="10" s="1"/>
  <c r="R912" i="10" a="1"/>
  <c r="R912" i="10" s="1"/>
  <c r="S912" i="10" s="1"/>
  <c r="R149" i="10" a="1"/>
  <c r="R149" i="10" s="1"/>
  <c r="S149" i="10" s="1"/>
  <c r="R673" i="10" a="1"/>
  <c r="R673" i="10" s="1"/>
  <c r="S673" i="10" s="1"/>
  <c r="R94" i="10" a="1"/>
  <c r="R94" i="10" s="1"/>
  <c r="S94" i="10" s="1"/>
  <c r="R650" i="10" a="1"/>
  <c r="R650" i="10" s="1"/>
  <c r="S650" i="10" s="1"/>
  <c r="R83" i="10" a="1"/>
  <c r="R83" i="10" s="1"/>
  <c r="S83" i="10" s="1"/>
  <c r="R534" i="10" a="1"/>
  <c r="R534" i="10" s="1"/>
  <c r="S534" i="10" s="1"/>
  <c r="R510" i="10" a="1"/>
  <c r="R510" i="10" s="1"/>
  <c r="S510" i="10" s="1"/>
  <c r="R427" i="10" a="1"/>
  <c r="R427" i="10" s="1"/>
  <c r="S427" i="10" s="1"/>
  <c r="R597" i="10" a="1"/>
  <c r="R597" i="10" s="1"/>
  <c r="S597" i="10" s="1"/>
  <c r="R1015" i="10" a="1"/>
  <c r="R1015" i="10" s="1"/>
  <c r="S1015" i="10" s="1"/>
  <c r="R525" i="10" a="1"/>
  <c r="R525" i="10" s="1"/>
  <c r="S525" i="10" s="1"/>
  <c r="R623" i="10" a="1"/>
  <c r="R623" i="10" s="1"/>
  <c r="S623" i="10" s="1"/>
  <c r="R128" i="10" a="1"/>
  <c r="R128" i="10" s="1"/>
  <c r="S128" i="10" s="1"/>
  <c r="R752" i="10" a="1"/>
  <c r="R752" i="10" s="1"/>
  <c r="S752" i="10" s="1"/>
  <c r="R733" i="10" a="1"/>
  <c r="R733" i="10" s="1"/>
  <c r="S733" i="10" s="1"/>
  <c r="R717" i="10" a="1"/>
  <c r="R717" i="10" s="1"/>
  <c r="S717" i="10" s="1"/>
  <c r="R47" i="10" a="1"/>
  <c r="R47" i="10" s="1"/>
  <c r="S47" i="10" s="1"/>
  <c r="R297" i="10" a="1"/>
  <c r="R297" i="10" s="1"/>
  <c r="S297" i="10" s="1"/>
  <c r="R491" i="10" a="1"/>
  <c r="R491" i="10" s="1"/>
  <c r="S491" i="10" s="1"/>
  <c r="R400" i="10" a="1"/>
  <c r="R400" i="10" s="1"/>
  <c r="S400" i="10" s="1"/>
  <c r="R456" i="10" a="1"/>
  <c r="R456" i="10" s="1"/>
  <c r="S456" i="10" s="1"/>
  <c r="R678" i="10" a="1"/>
  <c r="R678" i="10" s="1"/>
  <c r="S678" i="10" s="1"/>
  <c r="R167" i="10" a="1"/>
  <c r="R167" i="10" s="1"/>
  <c r="S167" i="10" s="1"/>
  <c r="R707" i="10" a="1"/>
  <c r="R707" i="10" s="1"/>
  <c r="S707" i="10" s="1"/>
  <c r="R76" i="10" a="1"/>
  <c r="R76" i="10" s="1"/>
  <c r="S76" i="10" s="1"/>
  <c r="R616" i="10" a="1"/>
  <c r="R616" i="10" s="1"/>
  <c r="S616" i="10" s="1"/>
  <c r="R1154" i="10" a="1"/>
  <c r="R1154" i="10" s="1"/>
  <c r="S1154" i="10" s="1"/>
  <c r="R393" i="10" a="1"/>
  <c r="R393" i="10" s="1"/>
  <c r="S393" i="10" s="1"/>
  <c r="R933" i="10" a="1"/>
  <c r="R933" i="10" s="1"/>
  <c r="S933" i="10" s="1"/>
  <c r="R1076" i="10" a="1"/>
  <c r="R1076" i="10" s="1"/>
  <c r="S1076" i="10" s="1"/>
  <c r="R313" i="10" a="1"/>
  <c r="R313" i="10" s="1"/>
  <c r="S313" i="10" s="1"/>
  <c r="R853" i="10" a="1"/>
  <c r="R853" i="10" s="1"/>
  <c r="S853" i="10" s="1"/>
  <c r="R258" i="10" a="1"/>
  <c r="R258" i="10" s="1"/>
  <c r="S258" i="10" s="1"/>
  <c r="R798" i="10" a="1"/>
  <c r="R798" i="10" s="1"/>
  <c r="S798" i="10" s="1"/>
  <c r="R247" i="10" a="1"/>
  <c r="R247" i="10" s="1"/>
  <c r="S247" i="10" s="1"/>
  <c r="R787" i="10" a="1"/>
  <c r="R787" i="10" s="1"/>
  <c r="S787" i="10" s="1"/>
  <c r="R869" i="10" a="1"/>
  <c r="R869" i="10" s="1"/>
  <c r="S869" i="10" s="1"/>
  <c r="R1012" i="10" a="1"/>
  <c r="R1012" i="10" s="1"/>
  <c r="S1012" i="10" s="1"/>
  <c r="R249" i="10" a="1"/>
  <c r="R249" i="10" s="1"/>
  <c r="S249" i="10" s="1"/>
  <c r="R533" i="10" a="1"/>
  <c r="R533" i="10" s="1"/>
  <c r="S533" i="10" s="1"/>
  <c r="R1057" i="10" a="1"/>
  <c r="R1057" i="10" s="1"/>
  <c r="S1057" i="10" s="1"/>
  <c r="R478" i="10" a="1"/>
  <c r="R478" i="10" s="1"/>
  <c r="S478" i="10" s="1"/>
  <c r="R1034" i="10" a="1"/>
  <c r="R1034" i="10" s="1"/>
  <c r="S1034" i="10" s="1"/>
  <c r="R467" i="10" a="1"/>
  <c r="R467" i="10" s="1"/>
  <c r="S467" i="10" s="1"/>
  <c r="R142" i="10" a="1"/>
  <c r="R142" i="10" s="1"/>
  <c r="S142" i="10" s="1"/>
  <c r="R634" i="10" a="1"/>
  <c r="R634" i="10" s="1"/>
  <c r="S634" i="10" s="1"/>
  <c r="R67" i="10" a="1"/>
  <c r="R67" i="10" s="1"/>
  <c r="S67" i="10" s="1"/>
  <c r="R527" i="10" a="1"/>
  <c r="R527" i="10" s="1"/>
  <c r="S527" i="10" s="1"/>
  <c r="R827" i="10" a="1"/>
  <c r="R827" i="10" s="1"/>
  <c r="S827" i="10" s="1"/>
  <c r="R260" i="10" a="1"/>
  <c r="R260" i="10" s="1"/>
  <c r="S260" i="10" s="1"/>
  <c r="R800" i="10" a="1"/>
  <c r="R800" i="10" s="1"/>
  <c r="S800" i="10" s="1"/>
  <c r="R37" i="10" a="1"/>
  <c r="R37" i="10" s="1"/>
  <c r="S37" i="10" s="1"/>
  <c r="R180" i="10" a="1"/>
  <c r="R180" i="10" s="1"/>
  <c r="S180" i="10" s="1"/>
  <c r="R720" i="10" a="1"/>
  <c r="R720" i="10" s="1"/>
  <c r="S720" i="10" s="1"/>
  <c r="R1156" i="10" a="1"/>
  <c r="R1156" i="10" s="1"/>
  <c r="S1156" i="10" s="1"/>
  <c r="R481" i="10" a="1"/>
  <c r="R481" i="10" s="1"/>
  <c r="S481" i="10" s="1"/>
  <c r="R1021" i="10" a="1"/>
  <c r="R1021" i="10" s="1"/>
  <c r="S1021" i="10" s="1"/>
  <c r="R458" i="10" a="1"/>
  <c r="R458" i="10" s="1"/>
  <c r="S458" i="10" s="1"/>
  <c r="R998" i="10" a="1"/>
  <c r="R998" i="10" s="1"/>
  <c r="S998" i="10" s="1"/>
  <c r="R736" i="10" a="1"/>
  <c r="R736" i="10" s="1"/>
  <c r="S736" i="10" s="1"/>
  <c r="R747" i="10" a="1"/>
  <c r="R747" i="10" s="1"/>
  <c r="S747" i="10" s="1"/>
  <c r="R116" i="10" a="1"/>
  <c r="R116" i="10" s="1"/>
  <c r="S116" i="10" s="1"/>
  <c r="R656" i="10" a="1"/>
  <c r="R656" i="10" s="1"/>
  <c r="S656" i="10" s="1"/>
  <c r="R1147" i="10" a="1"/>
  <c r="R1147" i="10" s="1"/>
  <c r="S1147" i="10" s="1"/>
  <c r="R417" i="10" a="1"/>
  <c r="R417" i="10" s="1"/>
  <c r="S417" i="10" s="1"/>
  <c r="R957" i="10" a="1"/>
  <c r="R957" i="10" s="1"/>
  <c r="S957" i="10" s="1"/>
  <c r="R394" i="10" a="1"/>
  <c r="R394" i="10" s="1"/>
  <c r="S394" i="10" s="1"/>
  <c r="R934" i="10" a="1"/>
  <c r="R934" i="10" s="1"/>
  <c r="S934" i="10" s="1"/>
  <c r="R868" i="10" a="1"/>
  <c r="R868" i="10" s="1"/>
  <c r="S868" i="10" s="1"/>
  <c r="R468" i="10" a="1"/>
  <c r="R468" i="10" s="1"/>
  <c r="S468" i="10" s="1"/>
  <c r="R449" i="10" a="1"/>
  <c r="R449" i="10" s="1"/>
  <c r="S449" i="10" s="1"/>
  <c r="R966" i="10" a="1"/>
  <c r="R966" i="10" s="1"/>
  <c r="S966" i="10" s="1"/>
  <c r="R886" i="10" a="1"/>
  <c r="R886" i="10" s="1"/>
  <c r="S886" i="10" s="1"/>
  <c r="R292" i="10" a="1"/>
  <c r="R292" i="10" s="1"/>
  <c r="S292" i="10" s="1"/>
  <c r="R902" i="10" a="1"/>
  <c r="R902" i="10" s="1"/>
  <c r="S902" i="10" s="1"/>
  <c r="R822" i="10" a="1"/>
  <c r="R822" i="10" s="1"/>
  <c r="S822" i="10" s="1"/>
  <c r="R228" i="10" a="1"/>
  <c r="R228" i="10" s="1"/>
  <c r="S228" i="10" s="1"/>
  <c r="R926" i="10" a="1"/>
  <c r="R926" i="10" s="1"/>
  <c r="S926" i="10" s="1"/>
  <c r="R997" i="10" a="1"/>
  <c r="R997" i="10" s="1"/>
  <c r="S997" i="10" s="1"/>
  <c r="R322" i="10" a="1"/>
  <c r="R322" i="10" s="1"/>
  <c r="S322" i="10" s="1"/>
  <c r="R860" i="10" a="1"/>
  <c r="R860" i="10" s="1"/>
  <c r="S860" i="10" s="1"/>
  <c r="R81" i="10" a="1"/>
  <c r="R81" i="10" s="1"/>
  <c r="S81" i="10" s="1"/>
  <c r="R557" i="10" a="1"/>
  <c r="R557" i="10" s="1"/>
  <c r="S557" i="10" s="1"/>
  <c r="R1113" i="10" a="1"/>
  <c r="R1113" i="10" s="1"/>
  <c r="S1113" i="10" s="1"/>
  <c r="R1089" i="10" a="1"/>
  <c r="R1089" i="10" s="1"/>
  <c r="S1089" i="10" s="1"/>
  <c r="R677" i="10" a="1"/>
  <c r="R677" i="10" s="1"/>
  <c r="S677" i="10" s="1"/>
  <c r="R943" i="10" a="1"/>
  <c r="R943" i="10" s="1"/>
  <c r="S943" i="10" s="1"/>
  <c r="R531" i="10" a="1"/>
  <c r="R531" i="10" s="1"/>
  <c r="S531" i="10" s="1"/>
  <c r="R99" i="10" a="1"/>
  <c r="R99" i="10" s="1"/>
  <c r="S99" i="10" s="1"/>
  <c r="R612" i="10" a="1"/>
  <c r="R612" i="10" s="1"/>
  <c r="S612" i="10" s="1"/>
  <c r="R378" i="10" a="1"/>
  <c r="R378" i="10" s="1"/>
  <c r="S378" i="10" s="1"/>
  <c r="R571" i="10" a="1"/>
  <c r="R571" i="10" s="1"/>
  <c r="S571" i="10" s="1"/>
  <c r="R555" i="10" a="1"/>
  <c r="R555" i="10" s="1"/>
  <c r="S555" i="10" s="1"/>
  <c r="R1071" i="10" a="1"/>
  <c r="R1071" i="10" s="1"/>
  <c r="S1071" i="10" s="1"/>
  <c r="R659" i="10" a="1"/>
  <c r="R659" i="10" s="1"/>
  <c r="S659" i="10" s="1"/>
  <c r="R1079" i="10" a="1"/>
  <c r="R1079" i="10" s="1"/>
  <c r="S1079" i="10" s="1"/>
  <c r="R840" i="10" a="1"/>
  <c r="R840" i="10" s="1"/>
  <c r="S840" i="10" s="1"/>
  <c r="R61" i="10" a="1"/>
  <c r="R61" i="10" s="1"/>
  <c r="S61" i="10" s="1"/>
  <c r="R617" i="10" a="1"/>
  <c r="R617" i="10" s="1"/>
  <c r="S617" i="10" s="1"/>
  <c r="R38" i="10" a="1"/>
  <c r="R38" i="10" s="1"/>
  <c r="S38" i="10" s="1"/>
  <c r="R980" i="10" a="1"/>
  <c r="R980" i="10" s="1"/>
  <c r="S980" i="10" s="1"/>
  <c r="R217" i="10" a="1"/>
  <c r="R217" i="10" s="1"/>
  <c r="S217" i="10" s="1"/>
  <c r="R757" i="10" a="1"/>
  <c r="R757" i="10" s="1"/>
  <c r="S757" i="10" s="1"/>
  <c r="R961" i="10" a="1"/>
  <c r="R961" i="10" s="1"/>
  <c r="S961" i="10" s="1"/>
  <c r="R382" i="10" a="1"/>
  <c r="R382" i="10" s="1"/>
  <c r="S382" i="10" s="1"/>
  <c r="R938" i="10" a="1"/>
  <c r="R938" i="10" s="1"/>
  <c r="S938" i="10" s="1"/>
  <c r="R371" i="10" a="1"/>
  <c r="R371" i="10" s="1"/>
  <c r="S371" i="10" s="1"/>
  <c r="R366" i="10" a="1"/>
  <c r="R366" i="10" s="1"/>
  <c r="S366" i="10" s="1"/>
  <c r="R858" i="10" a="1"/>
  <c r="R858" i="10" s="1"/>
  <c r="S858" i="10" s="1"/>
  <c r="R291" i="10" a="1"/>
  <c r="R291" i="10" s="1"/>
  <c r="S291" i="10" s="1"/>
  <c r="R815" i="10" a="1"/>
  <c r="R815" i="10" s="1"/>
  <c r="S815" i="10" s="1"/>
  <c r="R264" i="10" a="1"/>
  <c r="R264" i="10" s="1"/>
  <c r="S264" i="10" s="1"/>
  <c r="R804" i="10" a="1"/>
  <c r="R804" i="10" s="1"/>
  <c r="S804" i="10" s="1"/>
  <c r="R41" i="10" a="1"/>
  <c r="R41" i="10" s="1"/>
  <c r="S41" i="10" s="1"/>
  <c r="R581" i="10" a="1"/>
  <c r="R581" i="10" s="1"/>
  <c r="S581" i="10" s="1"/>
  <c r="R307" i="10" a="1"/>
  <c r="R307" i="10" s="1"/>
  <c r="S307" i="10" s="1"/>
  <c r="R302" i="10" a="1"/>
  <c r="R302" i="10" s="1"/>
  <c r="S302" i="10" s="1"/>
  <c r="R794" i="10" a="1"/>
  <c r="R794" i="10" s="1"/>
  <c r="S794" i="10" s="1"/>
  <c r="R227" i="10" a="1"/>
  <c r="R227" i="10" s="1"/>
  <c r="S227" i="10" s="1"/>
  <c r="R751" i="10" a="1"/>
  <c r="R751" i="10" s="1"/>
  <c r="S751" i="10" s="1"/>
  <c r="R200" i="10" a="1"/>
  <c r="R200" i="10" s="1"/>
  <c r="S200" i="10" s="1"/>
  <c r="R740" i="10" a="1"/>
  <c r="R740" i="10" s="1"/>
  <c r="S740" i="10" s="1"/>
  <c r="R1129" i="10" a="1"/>
  <c r="R1129" i="10" s="1"/>
  <c r="S1129" i="10" s="1"/>
  <c r="R517" i="10" a="1"/>
  <c r="R517" i="10" s="1"/>
  <c r="S517" i="10" s="1"/>
  <c r="R1066" i="10" a="1"/>
  <c r="R1066" i="10" s="1"/>
  <c r="S1066" i="10" s="1"/>
  <c r="R903" i="10" a="1"/>
  <c r="R903" i="10" s="1"/>
  <c r="S903" i="10" s="1"/>
  <c r="R1119" i="10" a="1"/>
  <c r="R1119" i="10" s="1"/>
  <c r="S1119" i="10" s="1"/>
  <c r="R448" i="10" a="1"/>
  <c r="R448" i="10" s="1"/>
  <c r="S448" i="10" s="1"/>
  <c r="R839" i="10" a="1"/>
  <c r="R839" i="10" s="1"/>
  <c r="S839" i="10" s="1"/>
  <c r="R1096" i="10" a="1"/>
  <c r="R1096" i="10" s="1"/>
  <c r="S1096" i="10" s="1"/>
  <c r="R211" i="10" a="1"/>
  <c r="R211" i="10" s="1"/>
  <c r="S211" i="10" s="1"/>
  <c r="R918" i="10" a="1"/>
  <c r="R918" i="10" s="1"/>
  <c r="S918" i="10" s="1"/>
  <c r="R1111" i="10" a="1"/>
  <c r="R1111" i="10" s="1"/>
  <c r="S1111" i="10" s="1"/>
  <c r="R1031" i="10" a="1"/>
  <c r="R1031" i="10" s="1"/>
  <c r="S1031" i="10" s="1"/>
  <c r="R130" i="10" a="1"/>
  <c r="R130" i="10" s="1"/>
  <c r="S130" i="10" s="1"/>
  <c r="R576" i="10" a="1"/>
  <c r="R576" i="10" s="1"/>
  <c r="S576" i="10" s="1"/>
  <c r="R741" i="10" a="1"/>
  <c r="R741" i="10" s="1"/>
  <c r="S741" i="10" s="1"/>
  <c r="R121" i="10" a="1"/>
  <c r="R121" i="10" s="1"/>
  <c r="S121" i="10" s="1"/>
  <c r="R161" i="10" a="1"/>
  <c r="R161" i="10" s="1"/>
  <c r="S161" i="10" s="1"/>
  <c r="R595" i="10" a="1"/>
  <c r="R595" i="10" s="1"/>
  <c r="S595" i="10" s="1"/>
  <c r="R593" i="10" a="1"/>
  <c r="R593" i="10" s="1"/>
  <c r="S593" i="10" s="1"/>
  <c r="R1069" i="10" a="1"/>
  <c r="R1069" i="10" s="1"/>
  <c r="S1069" i="10" s="1"/>
  <c r="R506" i="10" a="1"/>
  <c r="R506" i="10" s="1"/>
  <c r="S506" i="10" s="1"/>
  <c r="R1046" i="10" a="1"/>
  <c r="R1046" i="10" s="1"/>
  <c r="S1046" i="10" s="1"/>
  <c r="R399" i="10" a="1"/>
  <c r="R399" i="10" s="1"/>
  <c r="S399" i="10" s="1"/>
  <c r="R955" i="10" a="1"/>
  <c r="R955" i="10" s="1"/>
  <c r="S955" i="10" s="1"/>
  <c r="R388" i="10" a="1"/>
  <c r="R388" i="10" s="1"/>
  <c r="S388" i="10" s="1"/>
  <c r="R928" i="10" a="1"/>
  <c r="R928" i="10" s="1"/>
  <c r="S928" i="10" s="1"/>
  <c r="R165" i="10" a="1"/>
  <c r="R165" i="10" s="1"/>
  <c r="S165" i="10" s="1"/>
  <c r="R308" i="10" a="1"/>
  <c r="R308" i="10" s="1"/>
  <c r="S308" i="10" s="1"/>
  <c r="R848" i="10" a="1"/>
  <c r="R848" i="10" s="1"/>
  <c r="S848" i="10" s="1"/>
  <c r="R85" i="10" a="1"/>
  <c r="R85" i="10" s="1"/>
  <c r="S85" i="10" s="1"/>
  <c r="R609" i="10" a="1"/>
  <c r="R609" i="10" s="1"/>
  <c r="S609" i="10" s="1"/>
  <c r="R30" i="10" a="1"/>
  <c r="R30" i="10" s="1"/>
  <c r="S30" i="10" s="1"/>
  <c r="R586" i="10" a="1"/>
  <c r="R586" i="10" s="1"/>
  <c r="S586" i="10" s="1"/>
  <c r="R101" i="10" a="1"/>
  <c r="R101" i="10" s="1"/>
  <c r="S101" i="10" s="1"/>
  <c r="R244" i="10" a="1"/>
  <c r="R244" i="10" s="1"/>
  <c r="S244" i="10" s="1"/>
  <c r="R784" i="10" a="1"/>
  <c r="R784" i="10" s="1"/>
  <c r="S784" i="10" s="1"/>
  <c r="R1068" i="10" a="1"/>
  <c r="R1068" i="10" s="1"/>
  <c r="S1068" i="10" s="1"/>
  <c r="R289" i="10" a="1"/>
  <c r="R289" i="10" s="1"/>
  <c r="S289" i="10" s="1"/>
  <c r="R829" i="10" a="1"/>
  <c r="R829" i="10" s="1"/>
  <c r="S829" i="10" s="1"/>
  <c r="R266" i="10" a="1"/>
  <c r="R266" i="10" s="1"/>
  <c r="S266" i="10" s="1"/>
  <c r="R806" i="10" a="1"/>
  <c r="R806" i="10" s="1"/>
  <c r="S806" i="10" s="1"/>
  <c r="R429" i="10" a="1"/>
  <c r="R429" i="10" s="1"/>
  <c r="S429" i="10" s="1"/>
  <c r="R985" i="10" a="1"/>
  <c r="R985" i="10" s="1"/>
  <c r="S985" i="10" s="1"/>
  <c r="R406" i="10" a="1"/>
  <c r="R406" i="10" s="1"/>
  <c r="S406" i="10" s="1"/>
  <c r="R610" i="10" a="1"/>
  <c r="R610" i="10" s="1"/>
  <c r="S610" i="10" s="1"/>
  <c r="R59" i="10" a="1"/>
  <c r="R59" i="10" s="1"/>
  <c r="S59" i="10" s="1"/>
  <c r="R599" i="10" a="1"/>
  <c r="R599" i="10" s="1"/>
  <c r="S599" i="10" s="1"/>
  <c r="R32" i="10" a="1"/>
  <c r="R32" i="10" s="1"/>
  <c r="S32" i="10" s="1"/>
  <c r="R43" i="10" a="1"/>
  <c r="R43" i="10" s="1"/>
  <c r="S43" i="10" s="1"/>
  <c r="R519" i="10" a="1"/>
  <c r="R519" i="10" s="1"/>
  <c r="S519" i="10" s="1"/>
  <c r="R1059" i="10" a="1"/>
  <c r="R1059" i="10" s="1"/>
  <c r="S1059" i="10" s="1"/>
  <c r="R492" i="10" a="1"/>
  <c r="R492" i="10" s="1"/>
  <c r="S492" i="10" s="1"/>
  <c r="R1032" i="10" a="1"/>
  <c r="R1032" i="10" s="1"/>
  <c r="S1032" i="10" s="1"/>
  <c r="R253" i="10" a="1"/>
  <c r="R253" i="10" s="1"/>
  <c r="S253" i="10" s="1"/>
  <c r="R809" i="10" a="1"/>
  <c r="R809" i="10" s="1"/>
  <c r="S809" i="10" s="1"/>
  <c r="R230" i="10" a="1"/>
  <c r="R230" i="10" s="1"/>
  <c r="S230" i="10" s="1"/>
  <c r="R1075" i="10" a="1"/>
  <c r="R1075" i="10" s="1"/>
  <c r="S1075" i="10" s="1"/>
  <c r="R1070" i="10" a="1"/>
  <c r="R1070" i="10" s="1"/>
  <c r="S1070" i="10" s="1"/>
  <c r="R455" i="10" a="1"/>
  <c r="R455" i="10" s="1"/>
  <c r="S455" i="10" s="1"/>
  <c r="R995" i="10" a="1"/>
  <c r="R995" i="10" s="1"/>
  <c r="S995" i="10" s="1"/>
  <c r="R428" i="10" a="1"/>
  <c r="R428" i="10" s="1"/>
  <c r="S428" i="10" s="1"/>
  <c r="R968" i="10" a="1"/>
  <c r="R968" i="10" s="1"/>
  <c r="S968" i="10" s="1"/>
  <c r="R189" i="10" a="1"/>
  <c r="R189" i="10" s="1"/>
  <c r="S189" i="10" s="1"/>
  <c r="R745" i="10" a="1"/>
  <c r="R745" i="10" s="1"/>
  <c r="S745" i="10" s="1"/>
  <c r="R166" i="10" a="1"/>
  <c r="R166" i="10" s="1"/>
  <c r="S166" i="10" s="1"/>
  <c r="R629" i="10" a="1"/>
  <c r="R629" i="10" s="1"/>
  <c r="S629" i="10" s="1"/>
  <c r="R983" i="10" a="1"/>
  <c r="R983" i="10" s="1"/>
  <c r="S983" i="10" s="1"/>
  <c r="R820" i="10" a="1"/>
  <c r="R820" i="10" s="1"/>
  <c r="S820" i="10" s="1"/>
  <c r="R1026" i="10" a="1"/>
  <c r="R1026" i="10" s="1"/>
  <c r="S1026" i="10" s="1"/>
  <c r="R169" i="10" a="1"/>
  <c r="R169" i="10" s="1"/>
  <c r="S169" i="10" s="1"/>
  <c r="R922" i="10" a="1"/>
  <c r="R922" i="10" s="1"/>
  <c r="S922" i="10" s="1"/>
  <c r="R72" i="10" a="1"/>
  <c r="R72" i="10" s="1"/>
  <c r="S72" i="10" s="1"/>
  <c r="R389" i="10" a="1"/>
  <c r="R389" i="10" s="1"/>
  <c r="S389" i="10" s="1"/>
  <c r="R1013" i="10" a="1"/>
  <c r="R1013" i="10" s="1"/>
  <c r="S1013" i="10" s="1"/>
  <c r="R87" i="10" a="1"/>
  <c r="R87" i="10" s="1"/>
  <c r="S87" i="10" s="1"/>
  <c r="R1114" i="10" a="1"/>
  <c r="R1114" i="10" s="1"/>
  <c r="S1114" i="10" s="1"/>
  <c r="R520" i="10" a="1"/>
  <c r="R520" i="10" s="1"/>
  <c r="S520" i="10" s="1"/>
  <c r="R742" i="10" a="1"/>
  <c r="R742" i="10" s="1"/>
  <c r="S742" i="10" s="1"/>
  <c r="R558" i="10" a="1"/>
  <c r="R558" i="10" s="1"/>
  <c r="S558" i="10" s="1"/>
  <c r="R566" i="10" a="1"/>
  <c r="R566" i="10" s="1"/>
  <c r="S566" i="10" s="1"/>
  <c r="R701" i="10" a="1"/>
  <c r="R701" i="10" s="1"/>
  <c r="S701" i="10" s="1"/>
  <c r="R813" i="10" a="1"/>
  <c r="R813" i="10" s="1"/>
  <c r="S813" i="10" s="1"/>
  <c r="R250" i="10" a="1"/>
  <c r="R250" i="10" s="1"/>
  <c r="S250" i="10" s="1"/>
  <c r="R790" i="10" a="1"/>
  <c r="R790" i="10" s="1"/>
  <c r="S790" i="10" s="1"/>
  <c r="R143" i="10" a="1"/>
  <c r="R143" i="10" s="1"/>
  <c r="S143" i="10" s="1"/>
  <c r="R699" i="10" a="1"/>
  <c r="R699" i="10" s="1"/>
  <c r="S699" i="10" s="1"/>
  <c r="R132" i="10" a="1"/>
  <c r="R132" i="10" s="1"/>
  <c r="S132" i="10" s="1"/>
  <c r="R672" i="10" a="1"/>
  <c r="R672" i="10" s="1"/>
  <c r="S672" i="10" s="1"/>
  <c r="R683" i="10" a="1"/>
  <c r="R683" i="10" s="1"/>
  <c r="S683" i="10" s="1"/>
  <c r="R52" i="10" a="1"/>
  <c r="R52" i="10" s="1"/>
  <c r="S52" i="10" s="1"/>
  <c r="R592" i="10" a="1"/>
  <c r="R592" i="10" s="1"/>
  <c r="S592" i="10" s="1"/>
  <c r="R1130" i="10" a="1"/>
  <c r="R1130" i="10" s="1"/>
  <c r="S1130" i="10" s="1"/>
  <c r="R353" i="10" a="1"/>
  <c r="R353" i="10" s="1"/>
  <c r="S353" i="10" s="1"/>
  <c r="R893" i="10" a="1"/>
  <c r="R893" i="10" s="1"/>
  <c r="S893" i="10" s="1"/>
  <c r="R330" i="10" a="1"/>
  <c r="R330" i="10" s="1"/>
  <c r="S330" i="10" s="1"/>
  <c r="R870" i="10" a="1"/>
  <c r="R870" i="10" s="1"/>
  <c r="S870" i="10" s="1"/>
  <c r="R619" i="10" a="1"/>
  <c r="R619" i="10" s="1"/>
  <c r="S619" i="10" s="1"/>
  <c r="R1095" i="10" a="1"/>
  <c r="R1095" i="10" s="1"/>
  <c r="S1095" i="10" s="1"/>
  <c r="R528" i="10" a="1"/>
  <c r="R528" i="10" s="1"/>
  <c r="S528" i="10" s="1"/>
  <c r="R812" i="10" a="1"/>
  <c r="R812" i="10" s="1"/>
  <c r="S812" i="10" s="1"/>
  <c r="R33" i="10" a="1"/>
  <c r="R33" i="10" s="1"/>
  <c r="S33" i="10" s="1"/>
  <c r="R573" i="10" a="1"/>
  <c r="R573" i="10" s="1"/>
  <c r="S573" i="10" s="1"/>
  <c r="R1123" i="10" a="1"/>
  <c r="R1123" i="10" s="1"/>
  <c r="S1123" i="10" s="1"/>
  <c r="R550" i="10" a="1"/>
  <c r="R550" i="10" s="1"/>
  <c r="S550" i="10" s="1"/>
  <c r="R173" i="10" a="1"/>
  <c r="R173" i="10" s="1"/>
  <c r="S173" i="10" s="1"/>
  <c r="R729" i="10" a="1"/>
  <c r="R729" i="10" s="1"/>
  <c r="S729" i="10" s="1"/>
  <c r="R150" i="10" a="1"/>
  <c r="R150" i="10" s="1"/>
  <c r="S150" i="10" s="1"/>
  <c r="R354" i="10" a="1"/>
  <c r="R354" i="10" s="1"/>
  <c r="S354" i="10" s="1"/>
  <c r="R894" i="10" a="1"/>
  <c r="R894" i="10" s="1"/>
  <c r="S894" i="10" s="1"/>
  <c r="R343" i="10" a="1"/>
  <c r="R343" i="10" s="1"/>
  <c r="S343" i="10" s="1"/>
  <c r="R883" i="10" a="1"/>
  <c r="R883" i="10" s="1"/>
  <c r="S883" i="10" s="1"/>
  <c r="R878" i="10" a="1"/>
  <c r="R878" i="10" s="1"/>
  <c r="S878" i="10" s="1"/>
  <c r="R263" i="10" a="1"/>
  <c r="R263" i="10" s="1"/>
  <c r="S263" i="10" s="1"/>
  <c r="R803" i="10" a="1"/>
  <c r="R803" i="10" s="1"/>
  <c r="S803" i="10" s="1"/>
  <c r="R236" i="10" a="1"/>
  <c r="R236" i="10" s="1"/>
  <c r="S236" i="10" s="1"/>
  <c r="R776" i="10" a="1"/>
  <c r="R776" i="10" s="1"/>
  <c r="S776" i="10" s="1"/>
  <c r="R1165" i="10" a="1"/>
  <c r="R1165" i="10" s="1"/>
  <c r="S1165" i="10" s="1"/>
  <c r="R553" i="10" a="1"/>
  <c r="R553" i="10" s="1"/>
  <c r="S553" i="10" s="1"/>
  <c r="R1093" i="10" a="1"/>
  <c r="R1093" i="10" s="1"/>
  <c r="S1093" i="10" s="1"/>
  <c r="R819" i="10" a="1"/>
  <c r="R819" i="10" s="1"/>
  <c r="S819" i="10" s="1"/>
  <c r="R814" i="10" a="1"/>
  <c r="R814" i="10" s="1"/>
  <c r="S814" i="10" s="1"/>
  <c r="R199" i="10" a="1"/>
  <c r="R199" i="10" s="1"/>
  <c r="S199" i="10" s="1"/>
  <c r="R739" i="10" a="1"/>
  <c r="R739" i="10" s="1"/>
  <c r="S739" i="10" s="1"/>
  <c r="R172" i="10" a="1"/>
  <c r="R172" i="10" s="1"/>
  <c r="S172" i="10" s="1"/>
  <c r="R712" i="10" a="1"/>
  <c r="R712" i="10" s="1"/>
  <c r="S712" i="10" s="1"/>
  <c r="R1148" i="10" a="1"/>
  <c r="R1148" i="10" s="1"/>
  <c r="S1148" i="10" s="1"/>
  <c r="R489" i="10" a="1"/>
  <c r="R489" i="10" s="1"/>
  <c r="S489" i="10" s="1"/>
  <c r="R1029" i="10" a="1"/>
  <c r="R1029" i="10" s="1"/>
  <c r="S1029" i="10" s="1"/>
  <c r="R1145" i="10" a="1"/>
  <c r="R1145" i="10" s="1"/>
  <c r="S1145" i="10" s="1"/>
  <c r="R464" i="10" a="1"/>
  <c r="R464" i="10" s="1"/>
  <c r="S464" i="10" s="1"/>
  <c r="R480" i="10" a="1"/>
  <c r="R480" i="10" s="1"/>
  <c r="S480" i="10" s="1"/>
  <c r="R940" i="10" a="1"/>
  <c r="R940" i="10" s="1"/>
  <c r="S940" i="10" s="1"/>
  <c r="R1108" i="10" a="1"/>
  <c r="R1108" i="10" s="1"/>
  <c r="S1108" i="10" s="1"/>
  <c r="R885" i="10" a="1"/>
  <c r="R885" i="10" s="1"/>
  <c r="S885" i="10" s="1"/>
  <c r="R766" i="10" a="1"/>
  <c r="R766" i="10" s="1"/>
  <c r="S766" i="10" s="1"/>
  <c r="R215" i="10" a="1"/>
  <c r="R215" i="10" s="1"/>
  <c r="S215" i="10" s="1"/>
  <c r="R750" i="10" a="1"/>
  <c r="R750" i="10" s="1"/>
  <c r="S750" i="10" s="1"/>
  <c r="R675" i="10" a="1"/>
  <c r="R675" i="10" s="1"/>
  <c r="S675" i="10" s="1"/>
  <c r="R648" i="10" a="1"/>
  <c r="R648" i="10" s="1"/>
  <c r="S648" i="10" s="1"/>
  <c r="R425" i="10" a="1"/>
  <c r="R425" i="10" s="1"/>
  <c r="S425" i="10" s="1"/>
  <c r="R686" i="10" a="1"/>
  <c r="R686" i="10" s="1"/>
  <c r="S686" i="10" s="1"/>
  <c r="R355" i="10" a="1"/>
  <c r="R355" i="10" s="1"/>
  <c r="S355" i="10" s="1"/>
  <c r="R328" i="10" a="1"/>
  <c r="R328" i="10" s="1"/>
  <c r="S328" i="10" s="1"/>
  <c r="R645" i="10" a="1"/>
  <c r="R645" i="10" s="1"/>
  <c r="S645" i="10" s="1"/>
  <c r="R1008" i="10" a="1"/>
  <c r="R1008" i="10" s="1"/>
  <c r="S1008" i="10" s="1"/>
  <c r="R989" i="10" a="1"/>
  <c r="R989" i="10" s="1"/>
  <c r="S989" i="10" s="1"/>
  <c r="R973" i="10" a="1"/>
  <c r="R973" i="10" s="1"/>
  <c r="S973" i="10" s="1"/>
  <c r="R303" i="10" a="1"/>
  <c r="R303" i="10" s="1"/>
  <c r="S303" i="10" s="1"/>
  <c r="R832" i="10" a="1"/>
  <c r="R832" i="10" s="1"/>
  <c r="S832" i="10" s="1"/>
  <c r="R909" i="10" a="1"/>
  <c r="R909" i="10" s="1"/>
  <c r="S909" i="10" s="1"/>
  <c r="R239" i="10" a="1"/>
  <c r="R239" i="10" s="1"/>
  <c r="S239" i="10" s="1"/>
  <c r="R768" i="10" a="1"/>
  <c r="R768" i="10" s="1"/>
  <c r="S768" i="10" s="1"/>
  <c r="R375" i="10" a="1"/>
  <c r="R375" i="10" s="1"/>
  <c r="S375" i="10" s="1"/>
  <c r="R377" i="10" a="1"/>
  <c r="R377" i="10" s="1"/>
  <c r="S377" i="10" s="1"/>
  <c r="R311" i="10" a="1"/>
  <c r="R311" i="10" s="1"/>
  <c r="S311" i="10" s="1"/>
  <c r="R927" i="10" a="1"/>
  <c r="R927" i="10" s="1"/>
  <c r="S927" i="10" s="1"/>
  <c r="R376" i="10" a="1"/>
  <c r="R376" i="10" s="1"/>
  <c r="S376" i="10" s="1"/>
  <c r="R852" i="10" a="1"/>
  <c r="R852" i="10" s="1"/>
  <c r="S852" i="10" s="1"/>
  <c r="R368" i="10" a="1"/>
  <c r="R368" i="10" s="1"/>
  <c r="S368" i="10" s="1"/>
  <c r="R360" i="10" a="1"/>
  <c r="R360" i="10" s="1"/>
  <c r="S360" i="10" s="1"/>
  <c r="R589" i="10" a="1"/>
  <c r="R589" i="10" s="1"/>
  <c r="S589" i="10" s="1"/>
  <c r="R392" i="10" a="1"/>
  <c r="R392" i="10" s="1"/>
  <c r="S392" i="10" s="1"/>
  <c r="R518" i="10" a="1"/>
  <c r="R518" i="10" s="1"/>
  <c r="S518" i="10" s="1"/>
  <c r="R556" i="10" a="1"/>
  <c r="R556" i="10" s="1"/>
  <c r="S556" i="10" s="1"/>
  <c r="R1150" i="10" a="1"/>
  <c r="R1150" i="10" s="1"/>
  <c r="S1150" i="10" s="1"/>
  <c r="R835" i="10" a="1"/>
  <c r="R835" i="10" s="1"/>
  <c r="S835" i="10" s="1"/>
  <c r="R1028" i="10" a="1"/>
  <c r="R1028" i="10" s="1"/>
  <c r="S1028" i="10" s="1"/>
  <c r="R948" i="10" a="1"/>
  <c r="R948" i="10" s="1"/>
  <c r="S948" i="10" s="1"/>
  <c r="R225" i="10" a="1"/>
  <c r="R225" i="10" s="1"/>
  <c r="S225" i="10" s="1"/>
  <c r="R106" i="10" a="1"/>
  <c r="R106" i="10" s="1"/>
  <c r="S106" i="10" s="1"/>
  <c r="R233" i="10" a="1"/>
  <c r="R233" i="10" s="1"/>
  <c r="S233" i="10" s="1"/>
  <c r="R923" i="10" a="1"/>
  <c r="R923" i="10" s="1"/>
  <c r="S923" i="10" s="1"/>
  <c r="R356" i="10" a="1"/>
  <c r="R356" i="10" s="1"/>
  <c r="S356" i="10" s="1"/>
  <c r="R896" i="10" a="1"/>
  <c r="R896" i="10" s="1"/>
  <c r="S896" i="10" s="1"/>
  <c r="R133" i="10" a="1"/>
  <c r="R133" i="10" s="1"/>
  <c r="S133" i="10" s="1"/>
  <c r="R1063" i="10" a="1"/>
  <c r="R1063" i="10" s="1"/>
  <c r="S1063" i="10" s="1"/>
  <c r="R496" i="10" a="1"/>
  <c r="R496" i="10" s="1"/>
  <c r="S496" i="10" s="1"/>
  <c r="R972" i="10" a="1"/>
  <c r="R972" i="10" s="1"/>
  <c r="S972" i="10" s="1"/>
  <c r="R1152" i="10" a="1"/>
  <c r="R1152" i="10" s="1"/>
  <c r="S1152" i="10" s="1"/>
  <c r="R477" i="10" a="1"/>
  <c r="R477" i="10" s="1"/>
  <c r="S477" i="10" s="1"/>
  <c r="R1033" i="10" a="1"/>
  <c r="R1033" i="10" s="1"/>
  <c r="S1033" i="10" s="1"/>
  <c r="R454" i="10" a="1"/>
  <c r="R454" i="10" s="1"/>
  <c r="S454" i="10" s="1"/>
  <c r="R461" i="10" a="1"/>
  <c r="R461" i="10" s="1"/>
  <c r="S461" i="10" s="1"/>
  <c r="R953" i="10" a="1"/>
  <c r="R953" i="10" s="1"/>
  <c r="S953" i="10" s="1"/>
  <c r="R374" i="10" a="1"/>
  <c r="R374" i="10" s="1"/>
  <c r="S374" i="10" s="1"/>
  <c r="R898" i="10" a="1"/>
  <c r="R898" i="10" s="1"/>
  <c r="S898" i="10" s="1"/>
  <c r="R347" i="10" a="1"/>
  <c r="R347" i="10" s="1"/>
  <c r="S347" i="10" s="1"/>
  <c r="R887" i="10" a="1"/>
  <c r="R887" i="10" s="1"/>
  <c r="S887" i="10" s="1"/>
  <c r="R320" i="10" a="1"/>
  <c r="R320" i="10" s="1"/>
  <c r="S320" i="10" s="1"/>
  <c r="R969" i="10" a="1"/>
  <c r="R969" i="10" s="1"/>
  <c r="S969" i="10" s="1"/>
  <c r="R390" i="10" a="1"/>
  <c r="R390" i="10" s="1"/>
  <c r="S390" i="10" s="1"/>
  <c r="R397" i="10" a="1"/>
  <c r="R397" i="10" s="1"/>
  <c r="S397" i="10" s="1"/>
  <c r="R889" i="10" a="1"/>
  <c r="R889" i="10" s="1"/>
  <c r="S889" i="10" s="1"/>
  <c r="R310" i="10" a="1"/>
  <c r="R310" i="10" s="1"/>
  <c r="S310" i="10" s="1"/>
  <c r="R834" i="10" a="1"/>
  <c r="R834" i="10" s="1"/>
  <c r="S834" i="10" s="1"/>
  <c r="R283" i="10" a="1"/>
  <c r="R283" i="10" s="1"/>
  <c r="S283" i="10" s="1"/>
  <c r="R823" i="10" a="1"/>
  <c r="R823" i="10" s="1"/>
  <c r="S823" i="10" s="1"/>
  <c r="R256" i="10" a="1"/>
  <c r="R256" i="10" s="1"/>
  <c r="S256" i="10" s="1"/>
  <c r="R994" i="10" a="1"/>
  <c r="R994" i="10" s="1"/>
  <c r="S994" i="10" s="1"/>
  <c r="R416" i="10" a="1"/>
  <c r="R416" i="10" s="1"/>
  <c r="S416" i="10" s="1"/>
  <c r="R57" i="10" a="1"/>
  <c r="R57" i="10" s="1"/>
  <c r="S57" i="10" s="1"/>
  <c r="R475" i="10" a="1"/>
  <c r="R475" i="10" s="1"/>
  <c r="S475" i="10" s="1"/>
  <c r="R709" i="10" a="1"/>
  <c r="R709" i="10" s="1"/>
  <c r="S709" i="10" s="1"/>
  <c r="R272" i="10" a="1"/>
  <c r="R272" i="10" s="1"/>
  <c r="S272" i="10" s="1"/>
  <c r="R222" i="10" a="1"/>
  <c r="R222" i="10" s="1"/>
  <c r="S222" i="10" s="1"/>
  <c r="R910" i="10" a="1"/>
  <c r="R910" i="10" s="1"/>
  <c r="S910" i="10" s="1"/>
  <c r="R204" i="10" a="1"/>
  <c r="R204" i="10" s="1"/>
  <c r="S204" i="10" s="1"/>
  <c r="R544" i="10" a="1"/>
  <c r="R544" i="10" s="1"/>
  <c r="S544" i="10" s="1"/>
  <c r="R185" i="10" a="1"/>
  <c r="R185" i="10" s="1"/>
  <c r="S185" i="10" s="1"/>
  <c r="R603" i="10" a="1"/>
  <c r="R603" i="10" s="1"/>
  <c r="S603" i="10" s="1"/>
  <c r="R837" i="10" a="1"/>
  <c r="R837" i="10" s="1"/>
  <c r="S837" i="10" s="1"/>
  <c r="R653" i="10" a="1"/>
  <c r="R653" i="10" s="1"/>
  <c r="S653" i="10" s="1"/>
  <c r="R483" i="10" a="1"/>
  <c r="R483" i="10" s="1"/>
  <c r="S483" i="10" s="1"/>
  <c r="R539" i="10" a="1"/>
  <c r="R539" i="10" s="1"/>
  <c r="S539" i="10" s="1"/>
  <c r="R348" i="10" a="1"/>
  <c r="R348" i="10" s="1"/>
  <c r="S348" i="10" s="1"/>
  <c r="R888" i="10" a="1"/>
  <c r="R888" i="10" s="1"/>
  <c r="S888" i="10" s="1"/>
  <c r="R45" i="10" a="1"/>
  <c r="R45" i="10" s="1"/>
  <c r="S45" i="10" s="1"/>
  <c r="R601" i="10" a="1"/>
  <c r="R601" i="10" s="1"/>
  <c r="S601" i="10" s="1"/>
  <c r="R22" i="10" a="1"/>
  <c r="R22" i="10" s="1"/>
  <c r="S22" i="10" s="1"/>
  <c r="R482" i="10" a="1"/>
  <c r="R482" i="10" s="1"/>
  <c r="S482" i="10" s="1"/>
  <c r="R1022" i="10" a="1"/>
  <c r="R1022" i="10" s="1"/>
  <c r="S1022" i="10" s="1"/>
  <c r="R471" i="10" a="1"/>
  <c r="R471" i="10" s="1"/>
  <c r="S471" i="10" s="1"/>
  <c r="R1011" i="10" a="1"/>
  <c r="R1011" i="10" s="1"/>
  <c r="S1011" i="10" s="1"/>
  <c r="R1006" i="10" a="1"/>
  <c r="R1006" i="10" s="1"/>
  <c r="S1006" i="10" s="1"/>
  <c r="R391" i="10" a="1"/>
  <c r="R391" i="10" s="1"/>
  <c r="S391" i="10" s="1"/>
  <c r="R931" i="10" a="1"/>
  <c r="R931" i="10" s="1"/>
  <c r="S931" i="10" s="1"/>
  <c r="R364" i="10" a="1"/>
  <c r="R364" i="10" s="1"/>
  <c r="S364" i="10" s="1"/>
  <c r="R904" i="10" a="1"/>
  <c r="R904" i="10" s="1"/>
  <c r="S904" i="10" s="1"/>
  <c r="R125" i="10" a="1"/>
  <c r="R125" i="10" s="1"/>
  <c r="S125" i="10" s="1"/>
  <c r="R681" i="10" a="1"/>
  <c r="R681" i="10" s="1"/>
  <c r="S681" i="10" s="1"/>
  <c r="R102" i="10" a="1"/>
  <c r="R102" i="10" s="1"/>
  <c r="S102" i="10" s="1"/>
  <c r="R942" i="10" a="1"/>
  <c r="R942" i="10" s="1"/>
  <c r="S942" i="10" s="1"/>
  <c r="R327" i="10" a="1"/>
  <c r="R327" i="10" s="1"/>
  <c r="S327" i="10" s="1"/>
  <c r="R611" i="10" a="1"/>
  <c r="R611" i="10" s="1"/>
  <c r="S611" i="10" s="1"/>
  <c r="R44" i="10" a="1"/>
  <c r="R44" i="10" s="1"/>
  <c r="S44" i="10" s="1"/>
  <c r="R584" i="10" a="1"/>
  <c r="R584" i="10" s="1"/>
  <c r="S584" i="10" s="1"/>
  <c r="R1122" i="10" a="1"/>
  <c r="R1122" i="10" s="1"/>
  <c r="S1122" i="10" s="1"/>
  <c r="R361" i="10" a="1"/>
  <c r="R361" i="10" s="1"/>
  <c r="S361" i="10" s="1"/>
  <c r="R901" i="10" a="1"/>
  <c r="R901" i="10" s="1"/>
  <c r="S901" i="10" s="1"/>
  <c r="R724" i="10" a="1"/>
  <c r="R724" i="10" s="1"/>
  <c r="S724" i="10" s="1"/>
  <c r="R1160" i="10" a="1"/>
  <c r="R1160" i="10" s="1"/>
  <c r="S1160" i="10" s="1"/>
  <c r="R501" i="10" a="1"/>
  <c r="R501" i="10" s="1"/>
  <c r="S501" i="10" s="1"/>
  <c r="R705" i="10" a="1"/>
  <c r="R705" i="10" s="1"/>
  <c r="S705" i="10" s="1"/>
  <c r="R126" i="10" a="1"/>
  <c r="R126" i="10" s="1"/>
  <c r="S126" i="10" s="1"/>
  <c r="R682" i="10" a="1"/>
  <c r="R682" i="10" s="1"/>
  <c r="S682" i="10" s="1"/>
  <c r="R115" i="10" a="1"/>
  <c r="R115" i="10" s="1"/>
  <c r="S115" i="10" s="1"/>
  <c r="R110" i="10" a="1"/>
  <c r="R110" i="10" s="1"/>
  <c r="S110" i="10" s="1"/>
  <c r="R602" i="10" a="1"/>
  <c r="R602" i="10" s="1"/>
  <c r="S602" i="10" s="1"/>
  <c r="R35" i="10" a="1"/>
  <c r="R35" i="10" s="1"/>
  <c r="S35" i="10" s="1"/>
  <c r="R559" i="10" a="1"/>
  <c r="R559" i="10" s="1"/>
  <c r="S559" i="10" s="1"/>
  <c r="R1115" i="10" a="1"/>
  <c r="R1115" i="10" s="1"/>
  <c r="S1115" i="10" s="1"/>
  <c r="R548" i="10" a="1"/>
  <c r="R548" i="10" s="1"/>
  <c r="S548" i="10" s="1"/>
  <c r="R1088" i="10" a="1"/>
  <c r="R1088" i="10" s="1"/>
  <c r="S1088" i="10" s="1"/>
  <c r="R325" i="10" a="1"/>
  <c r="R325" i="10" s="1"/>
  <c r="S325" i="10" s="1"/>
  <c r="R51" i="10" a="1"/>
  <c r="R51" i="10" s="1"/>
  <c r="S51" i="10" s="1"/>
  <c r="R46" i="10" a="1"/>
  <c r="R46" i="10" s="1"/>
  <c r="S46" i="10" s="1"/>
  <c r="R538" i="10" a="1"/>
  <c r="R538" i="10" s="1"/>
  <c r="S538" i="10" s="1"/>
  <c r="R1078" i="10" a="1"/>
  <c r="R1078" i="10" s="1"/>
  <c r="S1078" i="10" s="1"/>
  <c r="R495" i="10" a="1"/>
  <c r="R495" i="10" s="1"/>
  <c r="S495" i="10" s="1"/>
  <c r="R1051" i="10" a="1"/>
  <c r="R1051" i="10" s="1"/>
  <c r="S1051" i="10" s="1"/>
  <c r="R484" i="10" a="1"/>
  <c r="R484" i="10" s="1"/>
  <c r="S484" i="10" s="1"/>
  <c r="R1024" i="10" a="1"/>
  <c r="R1024" i="10" s="1"/>
  <c r="S1024" i="10" s="1"/>
  <c r="R261" i="10" a="1"/>
  <c r="R261" i="10" s="1"/>
  <c r="S261" i="10" s="1"/>
  <c r="R911" i="10" a="1"/>
  <c r="R911" i="10" s="1"/>
  <c r="S911" i="10" s="1"/>
  <c r="R42" i="10" a="1"/>
  <c r="R42" i="10" s="1"/>
  <c r="S42" i="10" s="1"/>
  <c r="R986" i="10" a="1"/>
  <c r="R986" i="10" s="1"/>
  <c r="S986" i="10" s="1"/>
  <c r="R97" i="10" a="1"/>
  <c r="R97" i="10" s="1"/>
  <c r="S97" i="10" s="1"/>
  <c r="R614" i="10" a="1"/>
  <c r="R614" i="10" s="1"/>
  <c r="S614" i="10" s="1"/>
  <c r="R317" i="10" a="1"/>
  <c r="R317" i="10" s="1"/>
  <c r="S317" i="10" s="1"/>
  <c r="R941" i="10" a="1"/>
  <c r="R941" i="10" s="1"/>
  <c r="S941" i="10" s="1"/>
  <c r="R271" i="10" a="1"/>
  <c r="R271" i="10" s="1"/>
  <c r="S271" i="10" s="1"/>
  <c r="R265" i="10" a="1"/>
  <c r="R265" i="10" s="1"/>
  <c r="S265" i="10" s="1"/>
  <c r="R670" i="10" a="1"/>
  <c r="R670" i="10" s="1"/>
  <c r="S670" i="10" s="1"/>
  <c r="R967" i="10" a="1"/>
  <c r="R967" i="10" s="1"/>
  <c r="S967" i="10" s="1"/>
  <c r="R55" i="10" a="1"/>
  <c r="R55" i="10" s="1"/>
  <c r="S55" i="10" s="1"/>
  <c r="R345" i="10" a="1"/>
  <c r="R345" i="10" s="1"/>
  <c r="S345" i="10" s="1"/>
  <c r="R226" i="10" a="1"/>
  <c r="R226" i="10" s="1"/>
  <c r="S226" i="10" s="1"/>
  <c r="R755" i="10" a="1"/>
  <c r="R755" i="10" s="1"/>
  <c r="S755" i="10" s="1"/>
  <c r="R135" i="10" a="1"/>
  <c r="R135" i="10" s="1"/>
  <c r="S135" i="10" s="1"/>
  <c r="R108" i="10" a="1"/>
  <c r="R108" i="10" s="1"/>
  <c r="S108" i="10" s="1"/>
  <c r="R1139" i="10" a="1"/>
  <c r="R1139" i="10" s="1"/>
  <c r="S1139" i="10" s="1"/>
  <c r="R965" i="10" a="1"/>
  <c r="R965" i="10" s="1"/>
  <c r="S965" i="10" s="1"/>
  <c r="R71" i="10" a="1"/>
  <c r="R71" i="10" s="1"/>
  <c r="S71" i="10" s="1"/>
  <c r="R879" i="10" a="1"/>
  <c r="R879" i="10" s="1"/>
  <c r="S879" i="10" s="1"/>
  <c r="R105" i="10" a="1"/>
  <c r="R105" i="10" s="1"/>
  <c r="S105" i="10" s="1"/>
  <c r="R245" i="10" a="1"/>
  <c r="R245" i="10" s="1"/>
  <c r="S245" i="10" s="1"/>
  <c r="R426" i="10" a="1"/>
  <c r="R426" i="10" s="1"/>
  <c r="S426" i="10" s="1"/>
  <c r="R346" i="10" a="1"/>
  <c r="R346" i="10" s="1"/>
  <c r="S346" i="10" s="1"/>
  <c r="R859" i="10" a="1"/>
  <c r="R859" i="10" s="1"/>
  <c r="S859" i="10" s="1"/>
  <c r="R69" i="10" a="1"/>
  <c r="R69" i="10" s="1"/>
  <c r="S69" i="10" s="1"/>
  <c r="R282" i="10" a="1"/>
  <c r="R282" i="10" s="1"/>
  <c r="S282" i="10" s="1"/>
  <c r="R795" i="10" a="1"/>
  <c r="R795" i="10" s="1"/>
  <c r="S795" i="10" s="1"/>
  <c r="R915" i="10" a="1"/>
  <c r="R915" i="10" s="1"/>
  <c r="S915" i="10" s="1"/>
  <c r="R1138" i="10" a="1"/>
  <c r="R1138" i="10" s="1"/>
  <c r="S1138" i="10" s="1"/>
  <c r="R862" i="10" a="1"/>
  <c r="R862" i="10" s="1"/>
  <c r="S862" i="10" s="1"/>
  <c r="R1010" i="10" a="1"/>
  <c r="R1010" i="10" s="1"/>
  <c r="S1010" i="10" s="1"/>
  <c r="R459" i="10" a="1"/>
  <c r="R459" i="10" s="1"/>
  <c r="S459" i="10" s="1"/>
  <c r="R935" i="10" a="1"/>
  <c r="R935" i="10" s="1"/>
  <c r="S935" i="10" s="1"/>
  <c r="R451" i="10" a="1"/>
  <c r="R451" i="10" s="1"/>
  <c r="S451" i="10" s="1"/>
  <c r="R900" i="10" a="1"/>
  <c r="R900" i="10" s="1"/>
  <c r="S900" i="10" s="1"/>
  <c r="R1081" i="10" a="1"/>
  <c r="R1081" i="10" s="1"/>
  <c r="S1081" i="10" s="1"/>
  <c r="R932" i="10" a="1"/>
  <c r="R932" i="10" s="1"/>
  <c r="S932" i="10" s="1"/>
  <c r="R756" i="10" a="1"/>
  <c r="R756" i="10" s="1"/>
  <c r="S756" i="10" s="1"/>
  <c r="R801" i="10" a="1"/>
  <c r="R801" i="10" s="1"/>
  <c r="S801" i="10" s="1"/>
  <c r="R294" i="10" a="1"/>
  <c r="R294" i="10" s="1"/>
  <c r="S294" i="10" s="1"/>
  <c r="R1124" i="10" a="1"/>
  <c r="R1124" i="10" s="1"/>
  <c r="S1124" i="10" s="1"/>
  <c r="R170" i="10" a="1"/>
  <c r="R170" i="10" s="1"/>
  <c r="S170" i="10" s="1"/>
  <c r="R90" i="10" a="1"/>
  <c r="R90" i="10" s="1"/>
  <c r="S90" i="10" s="1"/>
  <c r="R765" i="10" a="1"/>
  <c r="R765" i="10" s="1"/>
  <c r="S765" i="10" s="1"/>
  <c r="R1007" i="10" a="1"/>
  <c r="R1007" i="10" s="1"/>
  <c r="S1007" i="10" s="1"/>
  <c r="R773" i="10" a="1"/>
  <c r="R773" i="10" s="1"/>
  <c r="S773" i="10" s="1"/>
  <c r="R990" i="10" a="1"/>
  <c r="R990" i="10" s="1"/>
  <c r="S990" i="10" s="1"/>
  <c r="R439" i="10" a="1"/>
  <c r="R439" i="10" s="1"/>
  <c r="S439" i="10" s="1"/>
  <c r="R979" i="10" a="1"/>
  <c r="R979" i="10" s="1"/>
  <c r="S979" i="10" s="1"/>
  <c r="R654" i="10" a="1"/>
  <c r="R654" i="10" s="1"/>
  <c r="S654" i="10" s="1"/>
  <c r="R39" i="10" a="1"/>
  <c r="R39" i="10" s="1"/>
  <c r="S39" i="10" s="1"/>
  <c r="R579" i="10" a="1"/>
  <c r="R579" i="10" s="1"/>
  <c r="S579" i="10" s="1"/>
  <c r="R1039" i="10" a="1"/>
  <c r="R1039" i="10" s="1"/>
  <c r="S1039" i="10" s="1"/>
  <c r="R232" i="10" a="1"/>
  <c r="R232" i="10" s="1"/>
  <c r="S232" i="10" s="1"/>
  <c r="R772" i="10" a="1"/>
  <c r="R772" i="10" s="1"/>
  <c r="S772" i="10" s="1"/>
  <c r="R1161" i="10" a="1"/>
  <c r="R1161" i="10" s="1"/>
  <c r="S1161" i="10" s="1"/>
  <c r="R549" i="10" a="1"/>
  <c r="R549" i="10" s="1"/>
  <c r="S549" i="10" s="1"/>
  <c r="R692" i="10" a="1"/>
  <c r="R692" i="10" s="1"/>
  <c r="S692" i="10" s="1"/>
  <c r="R1128" i="10" a="1"/>
  <c r="R1128" i="10" s="1"/>
  <c r="S1128" i="10" s="1"/>
  <c r="R469" i="10" a="1"/>
  <c r="R469" i="10" s="1"/>
  <c r="S469" i="10" s="1"/>
  <c r="R993" i="10" a="1"/>
  <c r="R993" i="10" s="1"/>
  <c r="S993" i="10" s="1"/>
  <c r="R414" i="10" a="1"/>
  <c r="R414" i="10" s="1"/>
  <c r="S414" i="10" s="1"/>
  <c r="R970" i="10" a="1"/>
  <c r="R970" i="10" s="1"/>
  <c r="S970" i="10" s="1"/>
  <c r="R403" i="10" a="1"/>
  <c r="R403" i="10" s="1"/>
  <c r="S403" i="10" s="1"/>
  <c r="R1144" i="10" a="1"/>
  <c r="R1144" i="10" s="1"/>
  <c r="S1144" i="10" s="1"/>
  <c r="R485" i="10" a="1"/>
  <c r="R485" i="10" s="1"/>
  <c r="S485" i="10" s="1"/>
  <c r="R628" i="10" a="1"/>
  <c r="R628" i="10" s="1"/>
  <c r="S628" i="10" s="1"/>
  <c r="R1166" i="10" a="1"/>
  <c r="R1166" i="10" s="1"/>
  <c r="S1166" i="10" s="1"/>
  <c r="R405" i="10" a="1"/>
  <c r="R405" i="10" s="1"/>
  <c r="S405" i="10" s="1"/>
  <c r="R929" i="10" a="1"/>
  <c r="R929" i="10" s="1"/>
  <c r="S929" i="10" s="1"/>
  <c r="R350" i="10" a="1"/>
  <c r="R350" i="10" s="1"/>
  <c r="S350" i="10" s="1"/>
  <c r="R906" i="10" a="1"/>
  <c r="R906" i="10" s="1"/>
  <c r="S906" i="10" s="1"/>
  <c r="R339" i="10" a="1"/>
  <c r="R339" i="10" s="1"/>
  <c r="S339" i="10" s="1"/>
  <c r="R443" i="10" a="1"/>
  <c r="R443" i="10" s="1"/>
  <c r="S443" i="10" s="1"/>
  <c r="R582" i="10" a="1"/>
  <c r="R582" i="10" s="1"/>
  <c r="S582" i="10" s="1"/>
  <c r="R502" i="10" a="1"/>
  <c r="R502" i="10" s="1"/>
  <c r="S502" i="10" s="1"/>
  <c r="R637" i="10" a="1"/>
  <c r="R637" i="10" s="1"/>
  <c r="S637" i="10" s="1"/>
  <c r="R613" i="10" a="1"/>
  <c r="R613" i="10" s="1"/>
  <c r="S613" i="10" s="1"/>
  <c r="R277" i="10" a="1"/>
  <c r="R277" i="10" s="1"/>
  <c r="S277" i="10" s="1"/>
  <c r="R695" i="10" a="1"/>
  <c r="R695" i="10" s="1"/>
  <c r="S695" i="10" s="1"/>
  <c r="R212" i="10" a="1"/>
  <c r="R212" i="10" s="1"/>
  <c r="S212" i="10" s="1"/>
  <c r="R193" i="10" a="1"/>
  <c r="R193" i="10" s="1"/>
  <c r="S193" i="10" s="1"/>
  <c r="R710" i="10" a="1"/>
  <c r="R710" i="10" s="1"/>
  <c r="S710" i="10" s="1"/>
  <c r="R547" i="10" a="1"/>
  <c r="R547" i="10" s="1"/>
  <c r="S547" i="10" s="1"/>
  <c r="R1060" i="10" a="1"/>
  <c r="R1060" i="10" s="1"/>
  <c r="S1060" i="10" s="1"/>
  <c r="R201" i="10" a="1"/>
  <c r="R201" i="10" s="1"/>
  <c r="S201" i="10" s="1"/>
  <c r="R884" i="10" a="1"/>
  <c r="R884" i="10" s="1"/>
  <c r="S884" i="10" s="1"/>
  <c r="R661" i="10" a="1"/>
  <c r="R661" i="10" s="1"/>
  <c r="S661" i="10" s="1"/>
  <c r="R996" i="10" a="1"/>
  <c r="R996" i="10" s="1"/>
  <c r="S996" i="10" s="1"/>
  <c r="R415" i="10" a="1"/>
  <c r="R415" i="10" s="1"/>
  <c r="S415" i="10" s="1"/>
  <c r="R971" i="10" a="1"/>
  <c r="R971" i="10" s="1"/>
  <c r="S971" i="10" s="1"/>
  <c r="R340" i="10" a="1"/>
  <c r="R340" i="10" s="1"/>
  <c r="S340" i="10" s="1"/>
  <c r="R880" i="10" a="1"/>
  <c r="R880" i="10" s="1"/>
  <c r="S880" i="10" s="1"/>
  <c r="R117" i="10" a="1"/>
  <c r="R117" i="10" s="1"/>
  <c r="S117" i="10" s="1"/>
  <c r="R577" i="10" a="1"/>
  <c r="R577" i="10" s="1"/>
  <c r="S577" i="10" s="1"/>
  <c r="R1117" i="10" a="1"/>
  <c r="R1117" i="10" s="1"/>
  <c r="S1117" i="10" s="1"/>
  <c r="R554" i="10" a="1"/>
  <c r="R554" i="10" s="1"/>
  <c r="S554" i="10" s="1"/>
  <c r="R1094" i="10" a="1"/>
  <c r="R1094" i="10" s="1"/>
  <c r="S1094" i="10" s="1"/>
  <c r="R1101" i="10" a="1"/>
  <c r="R1101" i="10" s="1"/>
  <c r="S1101" i="10" s="1"/>
  <c r="R474" i="10" a="1"/>
  <c r="R474" i="10" s="1"/>
  <c r="S474" i="10" s="1"/>
  <c r="R1014" i="10" a="1"/>
  <c r="R1014" i="10" s="1"/>
  <c r="S1014" i="10" s="1"/>
  <c r="R431" i="10" a="1"/>
  <c r="R431" i="10" s="1"/>
  <c r="S431" i="10" s="1"/>
  <c r="R987" i="10" a="1"/>
  <c r="R987" i="10" s="1"/>
  <c r="S987" i="10" s="1"/>
  <c r="R420" i="10" a="1"/>
  <c r="R420" i="10" s="1"/>
  <c r="S420" i="10" s="1"/>
  <c r="R960" i="10" a="1"/>
  <c r="R960" i="10" s="1"/>
  <c r="S960" i="10" s="1"/>
  <c r="R197" i="10" a="1"/>
  <c r="R197" i="10" s="1"/>
  <c r="S197" i="10" s="1"/>
  <c r="R1037" i="10" a="1"/>
  <c r="R1037" i="10" s="1"/>
  <c r="S1037" i="10" s="1"/>
  <c r="R410" i="10" a="1"/>
  <c r="R410" i="10" s="1"/>
  <c r="S410" i="10" s="1"/>
  <c r="R694" i="10" a="1"/>
  <c r="R694" i="10" s="1"/>
  <c r="S694" i="10" s="1"/>
  <c r="R111" i="10" a="1"/>
  <c r="R111" i="10" s="1"/>
  <c r="S111" i="10" s="1"/>
  <c r="R667" i="10" a="1"/>
  <c r="R667" i="10" s="1"/>
  <c r="S667" i="10" s="1"/>
  <c r="R100" i="10" a="1"/>
  <c r="R100" i="10" s="1"/>
  <c r="S100" i="10" s="1"/>
  <c r="R640" i="10" a="1"/>
  <c r="R640" i="10" s="1"/>
  <c r="S640" i="10" s="1"/>
  <c r="R331" i="10" a="1"/>
  <c r="R331" i="10" s="1"/>
  <c r="S331" i="10" s="1"/>
  <c r="R807" i="10" a="1"/>
  <c r="R807" i="10" s="1"/>
  <c r="S807" i="10" s="1"/>
  <c r="R240" i="10" a="1"/>
  <c r="R240" i="10" s="1"/>
  <c r="S240" i="10" s="1"/>
  <c r="R716" i="10" a="1"/>
  <c r="R716" i="10" s="1"/>
  <c r="S716" i="10" s="1"/>
  <c r="R1000" i="10" a="1"/>
  <c r="R1000" i="10" s="1"/>
  <c r="S1000" i="10" s="1"/>
  <c r="R221" i="10" a="1"/>
  <c r="R221" i="10" s="1"/>
  <c r="S221" i="10" s="1"/>
  <c r="R777" i="10" a="1"/>
  <c r="R777" i="10" s="1"/>
  <c r="S777" i="10" s="1"/>
  <c r="R198" i="10" a="1"/>
  <c r="R198" i="10" s="1"/>
  <c r="S198" i="10" s="1"/>
  <c r="R205" i="10" a="1"/>
  <c r="R205" i="10" s="1"/>
  <c r="S205" i="10" s="1"/>
  <c r="R697" i="10" a="1"/>
  <c r="R697" i="10" s="1"/>
  <c r="S697" i="10" s="1"/>
  <c r="R118" i="10" a="1"/>
  <c r="R118" i="10" s="1"/>
  <c r="S118" i="10" s="1"/>
  <c r="R642" i="10" a="1"/>
  <c r="R642" i="10" s="1"/>
  <c r="S642" i="10" s="1"/>
  <c r="R91" i="10" a="1"/>
  <c r="R91" i="10" s="1"/>
  <c r="S91" i="10" s="1"/>
  <c r="R631" i="10" a="1"/>
  <c r="R631" i="10" s="1"/>
  <c r="S631" i="10" s="1"/>
  <c r="R64" i="10" a="1"/>
  <c r="R64" i="10" s="1"/>
  <c r="S64" i="10" s="1"/>
  <c r="R713" i="10" a="1"/>
  <c r="R713" i="10" s="1"/>
  <c r="S713" i="10" s="1"/>
  <c r="R134" i="10" a="1"/>
  <c r="R134" i="10" s="1"/>
  <c r="S134" i="10" s="1"/>
  <c r="R141" i="10" a="1"/>
  <c r="R141" i="10" s="1"/>
  <c r="S141" i="10" s="1"/>
  <c r="R633" i="10" a="1"/>
  <c r="R633" i="10" s="1"/>
  <c r="S633" i="10" s="1"/>
  <c r="R54" i="10" a="1"/>
  <c r="R54" i="10" s="1"/>
  <c r="S54" i="10" s="1"/>
  <c r="R578" i="10" a="1"/>
  <c r="R578" i="10" s="1"/>
  <c r="S578" i="10" s="1"/>
  <c r="R27" i="10" a="1"/>
  <c r="R27" i="10" s="1"/>
  <c r="S27" i="10" s="1"/>
  <c r="R567" i="10" a="1"/>
  <c r="R567" i="10" s="1"/>
  <c r="S567" i="10" s="1"/>
  <c r="R1107" i="10" a="1"/>
  <c r="R1107" i="10" s="1"/>
  <c r="S1107" i="10" s="1"/>
  <c r="R89" i="10" a="1"/>
  <c r="R89" i="10" s="1"/>
  <c r="S89" i="10" s="1"/>
  <c r="R65" i="10" a="1"/>
  <c r="R65" i="10" s="1"/>
  <c r="S65" i="10" s="1"/>
  <c r="R499" i="10" a="1"/>
  <c r="R499" i="10" s="1"/>
  <c r="S499" i="10" s="1"/>
  <c r="R336" i="10" a="1"/>
  <c r="R336" i="10" s="1"/>
  <c r="S336" i="10" s="1"/>
  <c r="R542" i="10" a="1"/>
  <c r="R542" i="10" s="1"/>
  <c r="S542" i="10" s="1"/>
  <c r="R363" i="10" a="1"/>
  <c r="R363" i="10" s="1"/>
  <c r="S363" i="10" s="1"/>
  <c r="R182" i="10" a="1"/>
  <c r="R182" i="10" s="1"/>
  <c r="S182" i="10" s="1"/>
  <c r="R778" i="10" a="1"/>
  <c r="R778" i="10" s="1"/>
  <c r="S778" i="10" s="1"/>
  <c r="R295" i="10" a="1"/>
  <c r="R295" i="10" s="1"/>
  <c r="S295" i="10" s="1"/>
  <c r="R488" i="10" a="1"/>
  <c r="R488" i="10" s="1"/>
  <c r="S488" i="10" s="1"/>
  <c r="R805" i="10" a="1"/>
  <c r="R805" i="10" s="1"/>
  <c r="S805" i="10" s="1"/>
  <c r="R725" i="10" a="1"/>
  <c r="R725" i="10" s="1"/>
  <c r="S725" i="10" s="1"/>
  <c r="R36" i="10" a="1"/>
  <c r="R36" i="10" s="1"/>
  <c r="S36" i="10" s="1"/>
  <c r="R646" i="10" a="1"/>
  <c r="R646" i="10" s="1"/>
  <c r="S646" i="10" s="1"/>
  <c r="R26" i="10" a="1"/>
  <c r="R26" i="10" s="1"/>
  <c r="S26" i="10" s="1"/>
  <c r="R66" i="10" a="1"/>
  <c r="R66" i="10" s="1"/>
  <c r="S66" i="10" s="1"/>
  <c r="R512" i="10" a="1"/>
  <c r="R512" i="10" s="1"/>
  <c r="S512" i="10" s="1"/>
  <c r="R84" i="10" a="1"/>
  <c r="R84" i="10" s="1"/>
  <c r="S84" i="10" s="1"/>
  <c r="R624" i="10" a="1"/>
  <c r="R624" i="10" s="1"/>
  <c r="S624" i="10" s="1"/>
  <c r="R1100" i="10" a="1"/>
  <c r="R1100" i="10" s="1"/>
  <c r="S1100" i="10" s="1"/>
  <c r="R321" i="10" a="1"/>
  <c r="R321" i="10" s="1"/>
  <c r="S321" i="10" s="1"/>
  <c r="R861" i="10" a="1"/>
  <c r="R861" i="10" s="1"/>
  <c r="S861" i="10" s="1"/>
  <c r="R298" i="10" a="1"/>
  <c r="R298" i="10" s="1"/>
  <c r="S298" i="10" s="1"/>
  <c r="R838" i="10" a="1"/>
  <c r="R838" i="10" s="1"/>
  <c r="S838" i="10" s="1"/>
  <c r="R845" i="10" a="1"/>
  <c r="R845" i="10" s="1"/>
  <c r="S845" i="10" s="1"/>
  <c r="R218" i="10" a="1"/>
  <c r="R218" i="10" s="1"/>
  <c r="S218" i="10" s="1"/>
  <c r="R758" i="10" a="1"/>
  <c r="R758" i="10" s="1"/>
  <c r="S758" i="10" s="1"/>
  <c r="R175" i="10" a="1"/>
  <c r="R175" i="10" s="1"/>
  <c r="S175" i="10" s="1"/>
  <c r="R731" i="10" a="1"/>
  <c r="R731" i="10" s="1"/>
  <c r="S731" i="10" s="1"/>
  <c r="R164" i="10" a="1"/>
  <c r="R164" i="10" s="1"/>
  <c r="S164" i="10" s="1"/>
  <c r="R704" i="10" a="1"/>
  <c r="R704" i="10" s="1"/>
  <c r="S704" i="10" s="1"/>
  <c r="R774" i="10" a="1"/>
  <c r="R774" i="10" s="1"/>
  <c r="S774" i="10" s="1"/>
  <c r="R781" i="10" a="1"/>
  <c r="R781" i="10" s="1"/>
  <c r="S781" i="10" s="1"/>
  <c r="R154" i="10" a="1"/>
  <c r="R154" i="10" s="1"/>
  <c r="S154" i="10" s="1"/>
  <c r="R438" i="10" a="1"/>
  <c r="R438" i="10" s="1"/>
  <c r="S438" i="10" s="1"/>
  <c r="R962" i="10" a="1"/>
  <c r="R962" i="10" s="1"/>
  <c r="S962" i="10" s="1"/>
  <c r="R411" i="10" a="1"/>
  <c r="R411" i="10" s="1"/>
  <c r="S411" i="10" s="1"/>
  <c r="R951" i="10" a="1"/>
  <c r="R951" i="10" s="1"/>
  <c r="S951" i="10" s="1"/>
  <c r="R384" i="10" a="1"/>
  <c r="R384" i="10" s="1"/>
  <c r="S384" i="10" s="1"/>
  <c r="R75" i="10" a="1"/>
  <c r="R75" i="10" s="1"/>
  <c r="S75" i="10" s="1"/>
  <c r="R551" i="10" a="1"/>
  <c r="R551" i="10" s="1"/>
  <c r="S551" i="10" s="1"/>
  <c r="R1091" i="10" a="1"/>
  <c r="R1091" i="10" s="1"/>
  <c r="S1091" i="10" s="1"/>
  <c r="R460" i="10" a="1"/>
  <c r="R460" i="10" s="1"/>
  <c r="S460" i="10" s="1"/>
  <c r="R744" i="10" a="1"/>
  <c r="R744" i="10" s="1"/>
  <c r="S744" i="10" s="1"/>
  <c r="R1133" i="10" a="1"/>
  <c r="R1133" i="10" s="1"/>
  <c r="S1133" i="10" s="1"/>
  <c r="R521" i="10" a="1"/>
  <c r="R521" i="10" s="1"/>
  <c r="S521" i="10" s="1"/>
  <c r="R1061" i="10" a="1"/>
  <c r="R1061" i="10" s="1"/>
  <c r="S1061" i="10" s="1"/>
  <c r="R1155" i="10" a="1"/>
  <c r="R1155" i="10" s="1"/>
  <c r="S1155" i="10" s="1"/>
  <c r="R441" i="10" a="1"/>
  <c r="R441" i="10" s="1"/>
  <c r="S441" i="10" s="1"/>
  <c r="R981" i="10" a="1"/>
  <c r="R981" i="10" s="1"/>
  <c r="S981" i="10" s="1"/>
  <c r="R386" i="10" a="1"/>
  <c r="R386" i="10" s="1"/>
  <c r="S386" i="10" s="1"/>
  <c r="R457" i="10" a="1"/>
  <c r="R457" i="10" s="1"/>
  <c r="S457" i="10" s="1"/>
  <c r="R917" i="10" a="1"/>
  <c r="R917" i="10" s="1"/>
  <c r="S917" i="10" s="1"/>
  <c r="R851" i="10" a="1"/>
  <c r="R851" i="10" s="1"/>
  <c r="S851" i="10" s="1"/>
  <c r="K6088" i="14" l="1"/>
  <c r="L6088" i="14" s="1"/>
  <c r="I6089" i="14" s="1"/>
  <c r="K6066" i="13"/>
  <c r="L6066" i="13" s="1"/>
  <c r="I6067" i="13" s="1"/>
  <c r="C8" i="14"/>
  <c r="C36" i="14"/>
  <c r="C22" i="14"/>
  <c r="C52" i="14"/>
  <c r="C14" i="14"/>
  <c r="C60" i="14"/>
  <c r="C9" i="14"/>
  <c r="C10" i="14"/>
  <c r="C11" i="14"/>
  <c r="C12" i="14"/>
  <c r="C13" i="14"/>
  <c r="C15" i="14"/>
  <c r="C16" i="14"/>
  <c r="C17" i="14"/>
  <c r="C18" i="14"/>
  <c r="C19" i="14"/>
  <c r="C20" i="14"/>
  <c r="C21" i="14"/>
  <c r="C23" i="14"/>
  <c r="C24" i="14"/>
  <c r="C25" i="14"/>
  <c r="C26" i="14"/>
  <c r="C27" i="14"/>
  <c r="C28" i="14"/>
  <c r="C29" i="14"/>
  <c r="C30" i="14"/>
  <c r="C31" i="14"/>
  <c r="C32" i="14"/>
  <c r="C33" i="14"/>
  <c r="C34" i="14"/>
  <c r="C35" i="14"/>
  <c r="C37" i="14"/>
  <c r="C38" i="14"/>
  <c r="C39" i="14"/>
  <c r="C40" i="14"/>
  <c r="C41" i="14"/>
  <c r="C42" i="14"/>
  <c r="C43" i="14"/>
  <c r="C44" i="14"/>
  <c r="C45" i="14"/>
  <c r="C46" i="14"/>
  <c r="C47" i="14"/>
  <c r="C48" i="14"/>
  <c r="C49" i="14"/>
  <c r="C50" i="14"/>
  <c r="C51" i="14"/>
  <c r="C53" i="14"/>
  <c r="C54" i="14"/>
  <c r="C55" i="14"/>
  <c r="C56" i="14"/>
  <c r="C57" i="14"/>
  <c r="C58" i="14"/>
  <c r="C59" i="14"/>
  <c r="C61" i="14"/>
  <c r="C62" i="14"/>
  <c r="C63" i="14"/>
  <c r="C64" i="14"/>
  <c r="C65" i="14"/>
  <c r="C66" i="14"/>
  <c r="C67" i="14"/>
  <c r="C68" i="14"/>
  <c r="C69" i="14"/>
  <c r="C70" i="14"/>
  <c r="C71" i="14"/>
  <c r="K6067" i="13" l="1"/>
  <c r="L6067" i="13" s="1"/>
  <c r="I6068" i="13" s="1"/>
  <c r="K6089" i="14"/>
  <c r="L6089" i="14" s="1"/>
  <c r="I6090" i="14" s="1"/>
  <c r="K6090" i="14" l="1"/>
  <c r="L6090" i="14" s="1"/>
  <c r="I6091" i="14" s="1"/>
  <c r="K6068" i="13"/>
  <c r="L6068" i="13" s="1"/>
  <c r="I6069" i="13" s="1"/>
  <c r="K6069" i="13" l="1"/>
  <c r="L6069" i="13" s="1"/>
  <c r="I6070" i="13" s="1"/>
  <c r="K6091" i="14"/>
  <c r="L6091" i="14" s="1"/>
  <c r="I6092" i="14" s="1"/>
  <c r="K6092" i="14" l="1"/>
  <c r="L6092" i="14" s="1"/>
  <c r="I6093" i="14" s="1"/>
  <c r="K6070" i="13"/>
  <c r="L6070" i="13" s="1"/>
  <c r="I6071" i="13" s="1"/>
  <c r="K6071" i="13" l="1"/>
  <c r="L6071" i="13" s="1"/>
  <c r="I6072" i="13" s="1"/>
  <c r="K6093" i="14"/>
  <c r="L6093" i="14" s="1"/>
  <c r="I6094" i="14" s="1"/>
  <c r="K6094" i="14" l="1"/>
  <c r="L6094" i="14" s="1"/>
  <c r="I6095" i="14" s="1"/>
  <c r="K6072" i="13"/>
  <c r="L6072" i="13" s="1"/>
  <c r="I6073" i="13" s="1"/>
  <c r="K6073" i="13" l="1"/>
  <c r="L6073" i="13" s="1"/>
  <c r="I6074" i="13" s="1"/>
  <c r="K6095" i="14"/>
  <c r="L6095" i="14" s="1"/>
  <c r="I6096" i="14" s="1"/>
  <c r="K6074" i="13" l="1"/>
  <c r="L6074" i="13" s="1"/>
  <c r="I6075" i="13" s="1"/>
  <c r="K6096" i="14"/>
  <c r="L6096" i="14" s="1"/>
  <c r="I6097" i="14" s="1"/>
  <c r="K6097" i="14" l="1"/>
  <c r="L6097" i="14" s="1"/>
  <c r="I6098" i="14" s="1"/>
  <c r="K6075" i="13"/>
  <c r="L6075" i="13" s="1"/>
  <c r="I6076" i="13" s="1"/>
  <c r="K6076" i="13" l="1"/>
  <c r="L6076" i="13" s="1"/>
  <c r="I6077" i="13" s="1"/>
  <c r="K6098" i="14"/>
  <c r="L6098" i="14" s="1"/>
  <c r="I6099" i="14" s="1"/>
  <c r="K6099" i="14" l="1"/>
  <c r="L6099" i="14" s="1"/>
  <c r="I6100" i="14" s="1"/>
  <c r="K6077" i="13"/>
  <c r="L6077" i="13" s="1"/>
  <c r="I6078" i="13" s="1"/>
  <c r="K6100" i="14" l="1"/>
  <c r="L6100" i="14" s="1"/>
  <c r="I6101" i="14" s="1"/>
  <c r="K6078" i="13"/>
  <c r="L6078" i="13" s="1"/>
  <c r="I6079" i="13" s="1"/>
  <c r="K6079" i="13" l="1"/>
  <c r="L6079" i="13" s="1"/>
  <c r="I6080" i="13" s="1"/>
  <c r="K6101" i="14"/>
  <c r="L6101" i="14" s="1"/>
  <c r="I6102" i="14" s="1"/>
  <c r="K6102" i="14" l="1"/>
  <c r="L6102" i="14" s="1"/>
  <c r="I6103" i="14" s="1"/>
  <c r="K6080" i="13"/>
  <c r="L6080" i="13" s="1"/>
  <c r="I6081" i="13" s="1"/>
  <c r="K6081" i="13" l="1"/>
  <c r="L6081" i="13" s="1"/>
  <c r="I6082" i="13" s="1"/>
  <c r="K6103" i="14"/>
  <c r="L6103" i="14" s="1"/>
  <c r="I6104" i="14" s="1"/>
  <c r="K6104" i="14" l="1"/>
  <c r="L6104" i="14" s="1"/>
  <c r="I6105" i="14" s="1"/>
  <c r="K6082" i="13"/>
  <c r="L6082" i="13" s="1"/>
  <c r="I6083" i="13" s="1"/>
  <c r="K6083" i="13" l="1"/>
  <c r="L6083" i="13" s="1"/>
  <c r="I6084" i="13" s="1"/>
  <c r="K6105" i="14"/>
  <c r="L6105" i="14" s="1"/>
  <c r="I6106" i="14" s="1"/>
  <c r="K6106" i="14" l="1"/>
  <c r="L6106" i="14" s="1"/>
  <c r="I6107" i="14" s="1"/>
  <c r="K6084" i="13"/>
  <c r="L6084" i="13" s="1"/>
  <c r="I6085" i="13" s="1"/>
  <c r="K6085" i="13" l="1"/>
  <c r="L6085" i="13" s="1"/>
  <c r="I6086" i="13" s="1"/>
  <c r="K6107" i="14"/>
  <c r="L6107" i="14" s="1"/>
  <c r="I6108" i="14" s="1"/>
  <c r="K6108" i="14" l="1"/>
  <c r="L6108" i="14" s="1"/>
  <c r="I6109" i="14" s="1"/>
  <c r="K6086" i="13"/>
  <c r="L6086" i="13" s="1"/>
  <c r="I6087" i="13" s="1"/>
  <c r="K6087" i="13" l="1"/>
  <c r="L6087" i="13" s="1"/>
  <c r="I6088" i="13" s="1"/>
  <c r="K6109" i="14"/>
  <c r="L6109" i="14" s="1"/>
  <c r="I6110" i="14" s="1"/>
  <c r="K6110" i="14" l="1"/>
  <c r="L6110" i="14" s="1"/>
  <c r="I6111" i="14" s="1"/>
  <c r="K6088" i="13"/>
  <c r="L6088" i="13" s="1"/>
  <c r="I6089" i="13" s="1"/>
  <c r="K6089" i="13" l="1"/>
  <c r="L6089" i="13" s="1"/>
  <c r="I6090" i="13" s="1"/>
  <c r="K6111" i="14"/>
  <c r="L6111" i="14" s="1"/>
  <c r="I6112" i="14" s="1"/>
  <c r="K6112" i="14" l="1"/>
  <c r="L6112" i="14" s="1"/>
  <c r="I6113" i="14" s="1"/>
  <c r="K6090" i="13"/>
  <c r="L6090" i="13" s="1"/>
  <c r="I6091" i="13" s="1"/>
  <c r="K6113" i="14" l="1"/>
  <c r="L6113" i="14" s="1"/>
  <c r="I6114" i="14" s="1"/>
  <c r="K6091" i="13"/>
  <c r="L6091" i="13" s="1"/>
  <c r="I6092" i="13" s="1"/>
  <c r="K6092" i="13" l="1"/>
  <c r="L6092" i="13" s="1"/>
  <c r="I6093" i="13" s="1"/>
  <c r="K6114" i="14"/>
  <c r="L6114" i="14" s="1"/>
  <c r="I6115" i="14" s="1"/>
  <c r="K6115" i="14" l="1"/>
  <c r="L6115" i="14" s="1"/>
  <c r="I6116" i="14" s="1"/>
  <c r="K6093" i="13"/>
  <c r="L6093" i="13" s="1"/>
  <c r="I6094" i="13" s="1"/>
  <c r="K6094" i="13" l="1"/>
  <c r="L6094" i="13" s="1"/>
  <c r="I6095" i="13" s="1"/>
  <c r="K6116" i="14"/>
  <c r="L6116" i="14" s="1"/>
  <c r="I6117" i="14" s="1"/>
  <c r="K6095" i="13" l="1"/>
  <c r="L6095" i="13" s="1"/>
  <c r="I6096" i="13" s="1"/>
  <c r="K6117" i="14"/>
  <c r="L6117" i="14" s="1"/>
  <c r="I6118" i="14" s="1"/>
  <c r="K6118" i="14" l="1"/>
  <c r="L6118" i="14" s="1"/>
  <c r="I6119" i="14" s="1"/>
  <c r="K6096" i="13"/>
  <c r="L6096" i="13" s="1"/>
  <c r="I6097" i="13" s="1"/>
  <c r="K6097" i="13" l="1"/>
  <c r="L6097" i="13" s="1"/>
  <c r="I6098" i="13" s="1"/>
  <c r="K6119" i="14"/>
  <c r="L6119" i="14" s="1"/>
  <c r="I6120" i="14" s="1"/>
  <c r="K6120" i="14" l="1"/>
  <c r="L6120" i="14" s="1"/>
  <c r="I6121" i="14" s="1"/>
  <c r="K6098" i="13"/>
  <c r="L6098" i="13" s="1"/>
  <c r="I6099" i="13" s="1"/>
  <c r="K6099" i="13" l="1"/>
  <c r="L6099" i="13" s="1"/>
  <c r="I6100" i="13" s="1"/>
  <c r="K6121" i="14"/>
  <c r="L6121" i="14" s="1"/>
  <c r="I6122" i="14" s="1"/>
  <c r="K6122" i="14" l="1"/>
  <c r="L6122" i="14" s="1"/>
  <c r="I6123" i="14" s="1"/>
  <c r="K6100" i="13"/>
  <c r="L6100" i="13" s="1"/>
  <c r="I6101" i="13" s="1"/>
  <c r="K6101" i="13" l="1"/>
  <c r="L6101" i="13" s="1"/>
  <c r="I6102" i="13" s="1"/>
  <c r="K6123" i="14"/>
  <c r="L6123" i="14" s="1"/>
  <c r="I6124" i="14" s="1"/>
  <c r="K6124" i="14" l="1"/>
  <c r="L6124" i="14" s="1"/>
  <c r="I6125" i="14" s="1"/>
  <c r="K6102" i="13"/>
  <c r="L6102" i="13" s="1"/>
  <c r="I6103" i="13" s="1"/>
  <c r="K6103" i="13" l="1"/>
  <c r="L6103" i="13" s="1"/>
  <c r="I6104" i="13" s="1"/>
  <c r="K6125" i="14"/>
  <c r="L6125" i="14" s="1"/>
  <c r="I6126" i="14" s="1"/>
  <c r="K6126" i="14" l="1"/>
  <c r="L6126" i="14" s="1"/>
  <c r="I6127" i="14" s="1"/>
  <c r="K6104" i="13"/>
  <c r="L6104" i="13" s="1"/>
  <c r="I6105" i="13" s="1"/>
  <c r="K6105" i="13" l="1"/>
  <c r="L6105" i="13" s="1"/>
  <c r="I6106" i="13" s="1"/>
  <c r="K6127" i="14"/>
  <c r="L6127" i="14" s="1"/>
  <c r="I6128" i="14" s="1"/>
  <c r="K6128" i="14" l="1"/>
  <c r="L6128" i="14" s="1"/>
  <c r="I6129" i="14" s="1"/>
  <c r="K6106" i="13"/>
  <c r="L6106" i="13" s="1"/>
  <c r="I6107" i="13" s="1"/>
  <c r="K6107" i="13" l="1"/>
  <c r="L6107" i="13" s="1"/>
  <c r="I6108" i="13" s="1"/>
  <c r="K6129" i="14"/>
  <c r="L6129" i="14" s="1"/>
  <c r="I6130" i="14" s="1"/>
  <c r="K6130" i="14" l="1"/>
  <c r="L6130" i="14" s="1"/>
  <c r="I6131" i="14" s="1"/>
  <c r="K6108" i="13"/>
  <c r="L6108" i="13" s="1"/>
  <c r="I6109" i="13" s="1"/>
  <c r="K6109" i="13" l="1"/>
  <c r="L6109" i="13" s="1"/>
  <c r="I6110" i="13" s="1"/>
  <c r="K6131" i="14"/>
  <c r="L6131" i="14" s="1"/>
  <c r="I6132" i="14" s="1"/>
  <c r="K6132" i="14" l="1"/>
  <c r="L6132" i="14" s="1"/>
  <c r="I6133" i="14" s="1"/>
  <c r="K6110" i="13"/>
  <c r="L6110" i="13" s="1"/>
  <c r="I6111" i="13" s="1"/>
  <c r="K6111" i="13" l="1"/>
  <c r="L6111" i="13" s="1"/>
  <c r="I6112" i="13" s="1"/>
  <c r="K6133" i="14"/>
  <c r="L6133" i="14" s="1"/>
  <c r="I6134" i="14" s="1"/>
  <c r="K6134" i="14" l="1"/>
  <c r="L6134" i="14" s="1"/>
  <c r="I6135" i="14" s="1"/>
  <c r="K6112" i="13"/>
  <c r="L6112" i="13" s="1"/>
  <c r="I6113" i="13" s="1"/>
  <c r="K6113" i="13" l="1"/>
  <c r="L6113" i="13" s="1"/>
  <c r="I6114" i="13" s="1"/>
  <c r="K6135" i="14"/>
  <c r="L6135" i="14" s="1"/>
  <c r="I6136" i="14" s="1"/>
  <c r="K6136" i="14" l="1"/>
  <c r="L6136" i="14" s="1"/>
  <c r="I6137" i="14" s="1"/>
  <c r="K6114" i="13"/>
  <c r="L6114" i="13" s="1"/>
  <c r="I6115" i="13" s="1"/>
  <c r="K6115" i="13" l="1"/>
  <c r="L6115" i="13" s="1"/>
  <c r="I6116" i="13" s="1"/>
  <c r="K6137" i="14"/>
  <c r="L6137" i="14" s="1"/>
  <c r="I6138" i="14" s="1"/>
  <c r="K6138" i="14" l="1"/>
  <c r="L6138" i="14" s="1"/>
  <c r="I6139" i="14" s="1"/>
  <c r="K6116" i="13"/>
  <c r="L6116" i="13" s="1"/>
  <c r="I6117" i="13" s="1"/>
  <c r="K6117" i="13" l="1"/>
  <c r="L6117" i="13" s="1"/>
  <c r="I6118" i="13" s="1"/>
  <c r="K6139" i="14"/>
  <c r="L6139" i="14" s="1"/>
  <c r="I6140" i="14" s="1"/>
  <c r="K6140" i="14" l="1"/>
  <c r="L6140" i="14" s="1"/>
  <c r="I6141" i="14" s="1"/>
  <c r="K6118" i="13"/>
  <c r="L6118" i="13" s="1"/>
  <c r="I6119" i="13" s="1"/>
  <c r="K6119" i="13" l="1"/>
  <c r="L6119" i="13" s="1"/>
  <c r="I6120" i="13" s="1"/>
  <c r="K6141" i="14"/>
  <c r="L6141" i="14" s="1"/>
  <c r="I6142" i="14" s="1"/>
  <c r="K6142" i="14" l="1"/>
  <c r="L6142" i="14" s="1"/>
  <c r="I6143" i="14" s="1"/>
  <c r="K6120" i="13"/>
  <c r="L6120" i="13" s="1"/>
  <c r="I6121" i="13" s="1"/>
  <c r="K6121" i="13" l="1"/>
  <c r="L6121" i="13" s="1"/>
  <c r="I6122" i="13" s="1"/>
  <c r="K6143" i="14"/>
  <c r="L6143" i="14" s="1"/>
  <c r="I6144" i="14" s="1"/>
  <c r="K6144" i="14" l="1"/>
  <c r="L6144" i="14" s="1"/>
  <c r="I6145" i="14" s="1"/>
  <c r="K6122" i="13"/>
  <c r="L6122" i="13" s="1"/>
  <c r="I6123" i="13" s="1"/>
  <c r="K6123" i="13" l="1"/>
  <c r="L6123" i="13" s="1"/>
  <c r="I6124" i="13" s="1"/>
  <c r="K6145" i="14"/>
  <c r="L6145" i="14" s="1"/>
  <c r="I6146" i="14" s="1"/>
  <c r="K6146" i="14" l="1"/>
  <c r="L6146" i="14" s="1"/>
  <c r="I6147" i="14" s="1"/>
  <c r="K6124" i="13"/>
  <c r="L6124" i="13" s="1"/>
  <c r="I6125" i="13" s="1"/>
  <c r="K6125" i="13" l="1"/>
  <c r="L6125" i="13" s="1"/>
  <c r="I6126" i="13" s="1"/>
  <c r="K6147" i="14"/>
  <c r="L6147" i="14" s="1"/>
  <c r="I6148" i="14" s="1"/>
  <c r="K6148" i="14" l="1"/>
  <c r="L6148" i="14" s="1"/>
  <c r="I6149" i="14" s="1"/>
  <c r="K6126" i="13"/>
  <c r="L6126" i="13" s="1"/>
  <c r="I6127" i="13" s="1"/>
  <c r="K6127" i="13" l="1"/>
  <c r="L6127" i="13" s="1"/>
  <c r="I6128" i="13" s="1"/>
  <c r="K6149" i="14"/>
  <c r="L6149" i="14" s="1"/>
  <c r="I6150" i="14" s="1"/>
  <c r="K6150" i="14" l="1"/>
  <c r="L6150" i="14" s="1"/>
  <c r="I6151" i="14" s="1"/>
  <c r="K6128" i="13"/>
  <c r="L6128" i="13" s="1"/>
  <c r="I6129" i="13" s="1"/>
  <c r="K6129" i="13" l="1"/>
  <c r="L6129" i="13" s="1"/>
  <c r="I6130" i="13" s="1"/>
  <c r="K6151" i="14"/>
  <c r="L6151" i="14" s="1"/>
  <c r="I6152" i="14" s="1"/>
  <c r="K6152" i="14" l="1"/>
  <c r="L6152" i="14" s="1"/>
  <c r="I6153" i="14" s="1"/>
  <c r="K6130" i="13"/>
  <c r="L6130" i="13" s="1"/>
  <c r="I6131" i="13" s="1"/>
  <c r="K6131" i="13" l="1"/>
  <c r="L6131" i="13" s="1"/>
  <c r="I6132" i="13" s="1"/>
  <c r="K6153" i="14"/>
  <c r="L6153" i="14" s="1"/>
  <c r="I6154" i="14" s="1"/>
  <c r="K6154" i="14" l="1"/>
  <c r="L6154" i="14" s="1"/>
  <c r="I6155" i="14" s="1"/>
  <c r="K6132" i="13"/>
  <c r="L6132" i="13" s="1"/>
  <c r="I6133" i="13" s="1"/>
  <c r="K6133" i="13" l="1"/>
  <c r="L6133" i="13" s="1"/>
  <c r="I6134" i="13" s="1"/>
  <c r="K6155" i="14"/>
  <c r="L6155" i="14" s="1"/>
  <c r="I6156" i="14" s="1"/>
  <c r="K6156" i="14" l="1"/>
  <c r="L6156" i="14" s="1"/>
  <c r="I6157" i="14" s="1"/>
  <c r="K6134" i="13"/>
  <c r="L6134" i="13" s="1"/>
  <c r="I6135" i="13" s="1"/>
  <c r="K6135" i="13" l="1"/>
  <c r="L6135" i="13" s="1"/>
  <c r="I6136" i="13" s="1"/>
  <c r="K6157" i="14"/>
  <c r="L6157" i="14" s="1"/>
  <c r="I6158" i="14" s="1"/>
  <c r="K6158" i="14" l="1"/>
  <c r="L6158" i="14" s="1"/>
  <c r="I6159" i="14" s="1"/>
  <c r="K6136" i="13"/>
  <c r="L6136" i="13" s="1"/>
  <c r="I6137" i="13" s="1"/>
  <c r="K6137" i="13" l="1"/>
  <c r="L6137" i="13" s="1"/>
  <c r="I6138" i="13" s="1"/>
  <c r="K6159" i="14"/>
  <c r="L6159" i="14" s="1"/>
  <c r="I6160" i="14" s="1"/>
  <c r="K6160" i="14" l="1"/>
  <c r="L6160" i="14" s="1"/>
  <c r="I6161" i="14" s="1"/>
  <c r="K6138" i="13"/>
  <c r="L6138" i="13" s="1"/>
  <c r="I6139" i="13" s="1"/>
  <c r="K6139" i="13" l="1"/>
  <c r="L6139" i="13" s="1"/>
  <c r="I6140" i="13" s="1"/>
  <c r="K6161" i="14"/>
  <c r="L6161" i="14" s="1"/>
  <c r="I6162" i="14" s="1"/>
  <c r="K6162" i="14" l="1"/>
  <c r="L6162" i="14" s="1"/>
  <c r="I6163" i="14" s="1"/>
  <c r="K6140" i="13"/>
  <c r="L6140" i="13" s="1"/>
  <c r="I6141" i="13" s="1"/>
  <c r="K6141" i="13" l="1"/>
  <c r="L6141" i="13" s="1"/>
  <c r="I6142" i="13" s="1"/>
  <c r="K6163" i="14"/>
  <c r="L6163" i="14" s="1"/>
  <c r="I6164" i="14" s="1"/>
  <c r="K6164" i="14" l="1"/>
  <c r="L6164" i="14" s="1"/>
  <c r="I6165" i="14" s="1"/>
  <c r="K6142" i="13"/>
  <c r="L6142" i="13" s="1"/>
  <c r="I6143" i="13" s="1"/>
  <c r="K6143" i="13" l="1"/>
  <c r="L6143" i="13" s="1"/>
  <c r="I6144" i="13" s="1"/>
  <c r="K6165" i="14"/>
  <c r="L6165" i="14" s="1"/>
  <c r="I6166" i="14" s="1"/>
  <c r="K6166" i="14" l="1"/>
  <c r="L6166" i="14" s="1"/>
  <c r="I6167" i="14" s="1"/>
  <c r="K6144" i="13"/>
  <c r="L6144" i="13" s="1"/>
  <c r="I6145" i="13" s="1"/>
  <c r="K6145" i="13" l="1"/>
  <c r="L6145" i="13" s="1"/>
  <c r="I6146" i="13" s="1"/>
  <c r="K6167" i="14"/>
  <c r="L6167" i="14" s="1"/>
  <c r="I6168" i="14" s="1"/>
  <c r="K6168" i="14" l="1"/>
  <c r="L6168" i="14" s="1"/>
  <c r="I6169" i="14" s="1"/>
  <c r="K6146" i="13"/>
  <c r="L6146" i="13" s="1"/>
  <c r="I6147" i="13" s="1"/>
  <c r="K6147" i="13" l="1"/>
  <c r="L6147" i="13" s="1"/>
  <c r="I6148" i="13" s="1"/>
  <c r="K6169" i="14"/>
  <c r="L6169" i="14" s="1"/>
  <c r="I6170" i="14" s="1"/>
  <c r="K6170" i="14" l="1"/>
  <c r="L6170" i="14" s="1"/>
  <c r="I6171" i="14" s="1"/>
  <c r="K6148" i="13"/>
  <c r="L6148" i="13" s="1"/>
  <c r="I6149" i="13" s="1"/>
  <c r="K6149" i="13" l="1"/>
  <c r="L6149" i="13" s="1"/>
  <c r="I6150" i="13" s="1"/>
  <c r="K6171" i="14"/>
  <c r="L6171" i="14" s="1"/>
  <c r="I6172" i="14" s="1"/>
  <c r="K6172" i="14" l="1"/>
  <c r="L6172" i="14" s="1"/>
  <c r="I6173" i="14" s="1"/>
  <c r="K6150" i="13"/>
  <c r="L6150" i="13" s="1"/>
  <c r="I6151" i="13" s="1"/>
  <c r="K6151" i="13" l="1"/>
  <c r="L6151" i="13" s="1"/>
  <c r="I6152" i="13" s="1"/>
  <c r="K6173" i="14"/>
  <c r="L6173" i="14" s="1"/>
  <c r="I6174" i="14" s="1"/>
  <c r="K6174" i="14" l="1"/>
  <c r="L6174" i="14" s="1"/>
  <c r="I6175" i="14" s="1"/>
  <c r="K6152" i="13"/>
  <c r="L6152" i="13" s="1"/>
  <c r="I6153" i="13" s="1"/>
  <c r="K6153" i="13" l="1"/>
  <c r="L6153" i="13" s="1"/>
  <c r="I6154" i="13" s="1"/>
  <c r="K6175" i="14"/>
  <c r="L6175" i="14" s="1"/>
  <c r="I6176" i="14" s="1"/>
  <c r="K6176" i="14" l="1"/>
  <c r="L6176" i="14" s="1"/>
  <c r="I6177" i="14" s="1"/>
  <c r="K6154" i="13"/>
  <c r="L6154" i="13" s="1"/>
  <c r="I6155" i="13" s="1"/>
  <c r="K6155" i="13" l="1"/>
  <c r="L6155" i="13" s="1"/>
  <c r="I6156" i="13" s="1"/>
  <c r="K6177" i="14"/>
  <c r="L6177" i="14" s="1"/>
  <c r="I6178" i="14" s="1"/>
  <c r="K6178" i="14" l="1"/>
  <c r="L6178" i="14" s="1"/>
  <c r="I6179" i="14" s="1"/>
  <c r="K6156" i="13"/>
  <c r="L6156" i="13" s="1"/>
  <c r="I6157" i="13" s="1"/>
  <c r="K6179" i="14" l="1"/>
  <c r="L6179" i="14" s="1"/>
  <c r="I6180" i="14" s="1"/>
  <c r="K6157" i="13"/>
  <c r="L6157" i="13" s="1"/>
  <c r="I6158" i="13" s="1"/>
  <c r="K6158" i="13" l="1"/>
  <c r="L6158" i="13" s="1"/>
  <c r="I6159" i="13" s="1"/>
  <c r="K6180" i="14"/>
  <c r="L6180" i="14" s="1"/>
  <c r="I6181" i="14" s="1"/>
  <c r="K6181" i="14" l="1"/>
  <c r="L6181" i="14" s="1"/>
  <c r="I6182" i="14" s="1"/>
  <c r="K6159" i="13"/>
  <c r="L6159" i="13" s="1"/>
  <c r="I6160" i="13" s="1"/>
  <c r="K6182" i="14" l="1"/>
  <c r="L6182" i="14" s="1"/>
  <c r="I6183" i="14" s="1"/>
  <c r="K6160" i="13"/>
  <c r="L6160" i="13" s="1"/>
  <c r="I6161" i="13" s="1"/>
  <c r="K6161" i="13" l="1"/>
  <c r="L6161" i="13" s="1"/>
  <c r="I6162" i="13" s="1"/>
  <c r="K6183" i="14"/>
  <c r="L6183" i="14" s="1"/>
  <c r="I6184" i="14" s="1"/>
  <c r="K6184" i="14" l="1"/>
  <c r="L6184" i="14" s="1"/>
  <c r="I6185" i="14" s="1"/>
  <c r="K6162" i="13"/>
  <c r="L6162" i="13" s="1"/>
  <c r="I6163" i="13" s="1"/>
  <c r="K6163" i="13" l="1"/>
  <c r="L6163" i="13" s="1"/>
  <c r="I6164" i="13" s="1"/>
  <c r="K6185" i="14"/>
  <c r="L6185" i="14" s="1"/>
  <c r="I6186" i="14" s="1"/>
  <c r="K6186" i="14" l="1"/>
  <c r="L6186" i="14" s="1"/>
  <c r="I6187" i="14" s="1"/>
  <c r="K6164" i="13"/>
  <c r="L6164" i="13" s="1"/>
  <c r="I6165" i="13" s="1"/>
  <c r="K6165" i="13" l="1"/>
  <c r="L6165" i="13" s="1"/>
  <c r="I6166" i="13" s="1"/>
  <c r="K6187" i="14"/>
  <c r="L6187" i="14" s="1"/>
  <c r="I6188" i="14" s="1"/>
  <c r="K6188" i="14" l="1"/>
  <c r="L6188" i="14" s="1"/>
  <c r="I6189" i="14" s="1"/>
  <c r="K6166" i="13"/>
  <c r="L6166" i="13" s="1"/>
  <c r="I6167" i="13" s="1"/>
  <c r="K6167" i="13" l="1"/>
  <c r="L6167" i="13" s="1"/>
  <c r="I6168" i="13" s="1"/>
  <c r="K6189" i="14"/>
  <c r="L6189" i="14" s="1"/>
  <c r="I6190" i="14" s="1"/>
  <c r="K6190" i="14" l="1"/>
  <c r="L6190" i="14" s="1"/>
  <c r="I6191" i="14" s="1"/>
  <c r="K6168" i="13"/>
  <c r="L6168" i="13" s="1"/>
  <c r="I6169" i="13" s="1"/>
  <c r="K6169" i="13" l="1"/>
  <c r="L6169" i="13" s="1"/>
  <c r="I6170" i="13" s="1"/>
  <c r="K6191" i="14"/>
  <c r="L6191" i="14" s="1"/>
  <c r="I6192" i="14" s="1"/>
  <c r="K6192" i="14" l="1"/>
  <c r="L6192" i="14" s="1"/>
  <c r="I6193" i="14" s="1"/>
  <c r="K6170" i="13"/>
  <c r="L6170" i="13" s="1"/>
  <c r="I6171" i="13" s="1"/>
  <c r="K6171" i="13" l="1"/>
  <c r="L6171" i="13" s="1"/>
  <c r="I6172" i="13" s="1"/>
  <c r="K6193" i="14"/>
  <c r="L6193" i="14" s="1"/>
  <c r="I6194" i="14" s="1"/>
  <c r="K6194" i="14" l="1"/>
  <c r="L6194" i="14" s="1"/>
  <c r="I6195" i="14" s="1"/>
  <c r="K6172" i="13"/>
  <c r="L6172" i="13" s="1"/>
  <c r="I6173" i="13" s="1"/>
  <c r="K6173" i="13" l="1"/>
  <c r="L6173" i="13" s="1"/>
  <c r="I6174" i="13" s="1"/>
  <c r="K6195" i="14"/>
  <c r="L6195" i="14" s="1"/>
  <c r="I6196" i="14" s="1"/>
  <c r="K6196" i="14" l="1"/>
  <c r="L6196" i="14" s="1"/>
  <c r="I6197" i="14" s="1"/>
  <c r="K6174" i="13"/>
  <c r="L6174" i="13" s="1"/>
  <c r="I6175" i="13" s="1"/>
  <c r="K6175" i="13" l="1"/>
  <c r="L6175" i="13" s="1"/>
  <c r="I6176" i="13" s="1"/>
  <c r="K6197" i="14"/>
  <c r="L6197" i="14" s="1"/>
  <c r="I6198" i="14" s="1"/>
  <c r="K6198" i="14" l="1"/>
  <c r="L6198" i="14" s="1"/>
  <c r="I6199" i="14" s="1"/>
  <c r="K6176" i="13"/>
  <c r="L6176" i="13" s="1"/>
  <c r="I6177" i="13" s="1"/>
  <c r="K6177" i="13" l="1"/>
  <c r="L6177" i="13" s="1"/>
  <c r="I6178" i="13" s="1"/>
  <c r="K6199" i="14"/>
  <c r="L6199" i="14" s="1"/>
  <c r="I6200" i="14" s="1"/>
  <c r="K6200" i="14" l="1"/>
  <c r="L6200" i="14" s="1"/>
  <c r="I6201" i="14" s="1"/>
  <c r="K6178" i="13"/>
  <c r="L6178" i="13" s="1"/>
  <c r="I6179" i="13" s="1"/>
  <c r="K6179" i="13" l="1"/>
  <c r="L6179" i="13" s="1"/>
  <c r="I6180" i="13" s="1"/>
  <c r="K6201" i="14"/>
  <c r="L6201" i="14" s="1"/>
  <c r="I6202" i="14" s="1"/>
  <c r="K6202" i="14" l="1"/>
  <c r="L6202" i="14" s="1"/>
  <c r="I6203" i="14" s="1"/>
  <c r="K6180" i="13"/>
  <c r="L6180" i="13" s="1"/>
  <c r="I6181" i="13" s="1"/>
  <c r="K6181" i="13" l="1"/>
  <c r="L6181" i="13" s="1"/>
  <c r="I6182" i="13" s="1"/>
  <c r="K6203" i="14"/>
  <c r="L6203" i="14" s="1"/>
  <c r="I6204" i="14" s="1"/>
  <c r="K6182" i="13" l="1"/>
  <c r="L6182" i="13" s="1"/>
  <c r="I6183" i="13" s="1"/>
  <c r="K6204" i="14"/>
  <c r="L6204" i="14" s="1"/>
  <c r="I6205" i="14" s="1"/>
  <c r="K6205" i="14" l="1"/>
  <c r="L6205" i="14" s="1"/>
  <c r="I6206" i="14" s="1"/>
  <c r="K6183" i="13"/>
  <c r="L6183" i="13" s="1"/>
  <c r="I6184" i="13" s="1"/>
  <c r="K6184" i="13" l="1"/>
  <c r="L6184" i="13" s="1"/>
  <c r="I6185" i="13" s="1"/>
  <c r="K6206" i="14"/>
  <c r="L6206" i="14" s="1"/>
  <c r="I6207" i="14" s="1"/>
  <c r="K6207" i="14" l="1"/>
  <c r="L6207" i="14" s="1"/>
  <c r="I6208" i="14" s="1"/>
  <c r="K6185" i="13"/>
  <c r="L6185" i="13" s="1"/>
  <c r="I6186" i="13" s="1"/>
  <c r="K6186" i="13" l="1"/>
  <c r="L6186" i="13" s="1"/>
  <c r="I6187" i="13" s="1"/>
  <c r="K6208" i="14"/>
  <c r="L6208" i="14" s="1"/>
  <c r="I6209" i="14" s="1"/>
  <c r="K6209" i="14" l="1"/>
  <c r="L6209" i="14" s="1"/>
  <c r="I6210" i="14" s="1"/>
  <c r="K6187" i="13"/>
  <c r="L6187" i="13" s="1"/>
  <c r="I6188" i="13" s="1"/>
  <c r="K6188" i="13" l="1"/>
  <c r="L6188" i="13" s="1"/>
  <c r="I6189" i="13" s="1"/>
  <c r="K6210" i="14"/>
  <c r="L6210" i="14" s="1"/>
  <c r="I6211" i="14" s="1"/>
  <c r="K6211" i="14" l="1"/>
  <c r="L6211" i="14" s="1"/>
  <c r="I6212" i="14" s="1"/>
  <c r="K6189" i="13"/>
  <c r="L6189" i="13" s="1"/>
  <c r="I6190" i="13" s="1"/>
  <c r="K6190" i="13" l="1"/>
  <c r="L6190" i="13" s="1"/>
  <c r="I6191" i="13" s="1"/>
  <c r="K6212" i="14"/>
  <c r="L6212" i="14" s="1"/>
  <c r="I6213" i="14" s="1"/>
  <c r="K6213" i="14" l="1"/>
  <c r="L6213" i="14" s="1"/>
  <c r="I6214" i="14" s="1"/>
  <c r="K6191" i="13"/>
  <c r="L6191" i="13" s="1"/>
  <c r="I6192" i="13" s="1"/>
  <c r="K6192" i="13" l="1"/>
  <c r="L6192" i="13" s="1"/>
  <c r="I6193" i="13" s="1"/>
  <c r="K6214" i="14"/>
  <c r="L6214" i="14" s="1"/>
  <c r="I6215" i="14" s="1"/>
  <c r="K6215" i="14" l="1"/>
  <c r="L6215" i="14" s="1"/>
  <c r="I6216" i="14" s="1"/>
  <c r="K6193" i="13"/>
  <c r="L6193" i="13" s="1"/>
  <c r="I6194" i="13" s="1"/>
  <c r="K6194" i="13" l="1"/>
  <c r="L6194" i="13" s="1"/>
  <c r="I6195" i="13" s="1"/>
  <c r="K6216" i="14"/>
  <c r="L6216" i="14" s="1"/>
  <c r="I6217" i="14" s="1"/>
  <c r="K6217" i="14" l="1"/>
  <c r="L6217" i="14" s="1"/>
  <c r="I6218" i="14" s="1"/>
  <c r="K6195" i="13"/>
  <c r="L6195" i="13" s="1"/>
  <c r="I6196" i="13" s="1"/>
  <c r="K6196" i="13" l="1"/>
  <c r="L6196" i="13" s="1"/>
  <c r="I6197" i="13" s="1"/>
  <c r="K6218" i="14"/>
  <c r="L6218" i="14" s="1"/>
  <c r="I6219" i="14" s="1"/>
  <c r="K6219" i="14" l="1"/>
  <c r="L6219" i="14" s="1"/>
  <c r="I6220" i="14" s="1"/>
  <c r="K6197" i="13"/>
  <c r="L6197" i="13" s="1"/>
  <c r="I6198" i="13" s="1"/>
  <c r="K6198" i="13" l="1"/>
  <c r="L6198" i="13" s="1"/>
  <c r="I6199" i="13" s="1"/>
  <c r="K6220" i="14"/>
  <c r="L6220" i="14" s="1"/>
  <c r="I6221" i="14" s="1"/>
  <c r="K6221" i="14" l="1"/>
  <c r="L6221" i="14" s="1"/>
  <c r="I6222" i="14" s="1"/>
  <c r="K6199" i="13"/>
  <c r="L6199" i="13" s="1"/>
  <c r="I6200" i="13" s="1"/>
  <c r="K6200" i="13" l="1"/>
  <c r="L6200" i="13" s="1"/>
  <c r="I6201" i="13" s="1"/>
  <c r="K6222" i="14"/>
  <c r="L6222" i="14" s="1"/>
  <c r="I6223" i="14" s="1"/>
  <c r="K6223" i="14" l="1"/>
  <c r="L6223" i="14" s="1"/>
  <c r="I6224" i="14" s="1"/>
  <c r="K6201" i="13"/>
  <c r="L6201" i="13" s="1"/>
  <c r="I6202" i="13" s="1"/>
  <c r="K6202" i="13" l="1"/>
  <c r="L6202" i="13" s="1"/>
  <c r="I6203" i="13" s="1"/>
  <c r="K6224" i="14"/>
  <c r="L6224" i="14" s="1"/>
  <c r="I6225" i="14" s="1"/>
  <c r="K6225" i="14" l="1"/>
  <c r="L6225" i="14" s="1"/>
  <c r="I6226" i="14" s="1"/>
  <c r="K6203" i="13"/>
  <c r="L6203" i="13" s="1"/>
  <c r="I6204" i="13" s="1"/>
  <c r="K6204" i="13" l="1"/>
  <c r="L6204" i="13" s="1"/>
  <c r="I6205" i="13" s="1"/>
  <c r="K6226" i="14"/>
  <c r="L6226" i="14" s="1"/>
  <c r="I6227" i="14" s="1"/>
  <c r="K6227" i="14" l="1"/>
  <c r="L6227" i="14" s="1"/>
  <c r="I6228" i="14" s="1"/>
  <c r="K6205" i="13"/>
  <c r="L6205" i="13" s="1"/>
  <c r="I6206" i="13" s="1"/>
  <c r="K6206" i="13" l="1"/>
  <c r="L6206" i="13" s="1"/>
  <c r="I6207" i="13" s="1"/>
  <c r="K6228" i="14"/>
  <c r="L6228" i="14" s="1"/>
  <c r="I6229" i="14" s="1"/>
  <c r="K6229" i="14" l="1"/>
  <c r="L6229" i="14" s="1"/>
  <c r="I6230" i="14" s="1"/>
  <c r="K6207" i="13"/>
  <c r="L6207" i="13" s="1"/>
  <c r="I6208" i="13" s="1"/>
  <c r="K6208" i="13" l="1"/>
  <c r="L6208" i="13" s="1"/>
  <c r="I6209" i="13" s="1"/>
  <c r="K6230" i="14"/>
  <c r="L6230" i="14" s="1"/>
  <c r="I6231" i="14" s="1"/>
  <c r="K6231" i="14" l="1"/>
  <c r="L6231" i="14" s="1"/>
  <c r="I6232" i="14" s="1"/>
  <c r="K6209" i="13"/>
  <c r="L6209" i="13" s="1"/>
  <c r="I6210" i="13" s="1"/>
  <c r="K6210" i="13" l="1"/>
  <c r="L6210" i="13" s="1"/>
  <c r="I6211" i="13" s="1"/>
  <c r="K6232" i="14"/>
  <c r="L6232" i="14" s="1"/>
  <c r="I6233" i="14" s="1"/>
  <c r="K6233" i="14" l="1"/>
  <c r="L6233" i="14" s="1"/>
  <c r="I6234" i="14" s="1"/>
  <c r="K6211" i="13"/>
  <c r="L6211" i="13" s="1"/>
  <c r="I6212" i="13" s="1"/>
  <c r="K6212" i="13" l="1"/>
  <c r="L6212" i="13" s="1"/>
  <c r="I6213" i="13" s="1"/>
  <c r="K6234" i="14"/>
  <c r="L6234" i="14" s="1"/>
  <c r="I6235" i="14" s="1"/>
  <c r="K6235" i="14" l="1"/>
  <c r="L6235" i="14" s="1"/>
  <c r="I6236" i="14" s="1"/>
  <c r="K6213" i="13"/>
  <c r="L6213" i="13" s="1"/>
  <c r="I6214" i="13" s="1"/>
  <c r="K6214" i="13" l="1"/>
  <c r="L6214" i="13" s="1"/>
  <c r="I6215" i="13" s="1"/>
  <c r="K6236" i="14"/>
  <c r="L6236" i="14" s="1"/>
  <c r="I6237" i="14" s="1"/>
  <c r="K6237" i="14" l="1"/>
  <c r="L6237" i="14" s="1"/>
  <c r="I6238" i="14" s="1"/>
  <c r="K6215" i="13"/>
  <c r="L6215" i="13" s="1"/>
  <c r="I6216" i="13" s="1"/>
  <c r="K6216" i="13" l="1"/>
  <c r="L6216" i="13" s="1"/>
  <c r="I6217" i="13" s="1"/>
  <c r="K6238" i="14"/>
  <c r="L6238" i="14" s="1"/>
  <c r="I6239" i="14" s="1"/>
  <c r="K6239" i="14" l="1"/>
  <c r="L6239" i="14" s="1"/>
  <c r="I6240" i="14" s="1"/>
  <c r="K6217" i="13"/>
  <c r="L6217" i="13" s="1"/>
  <c r="I6218" i="13" s="1"/>
  <c r="K6218" i="13" l="1"/>
  <c r="L6218" i="13" s="1"/>
  <c r="I6219" i="13" s="1"/>
  <c r="K6240" i="14"/>
  <c r="L6240" i="14" s="1"/>
  <c r="I6241" i="14" s="1"/>
  <c r="K6241" i="14" l="1"/>
  <c r="L6241" i="14" s="1"/>
  <c r="I6242" i="14" s="1"/>
  <c r="K6219" i="13"/>
  <c r="L6219" i="13" s="1"/>
  <c r="I6220" i="13" s="1"/>
  <c r="K6220" i="13" l="1"/>
  <c r="L6220" i="13" s="1"/>
  <c r="I6221" i="13" s="1"/>
  <c r="K6242" i="14"/>
  <c r="L6242" i="14" s="1"/>
  <c r="I6243" i="14" s="1"/>
  <c r="K6243" i="14" l="1"/>
  <c r="L6243" i="14" s="1"/>
  <c r="I6244" i="14" s="1"/>
  <c r="K6221" i="13"/>
  <c r="L6221" i="13" s="1"/>
  <c r="I6222" i="13" s="1"/>
  <c r="K6244" i="14" l="1"/>
  <c r="L6244" i="14" s="1"/>
  <c r="I6245" i="14" s="1"/>
  <c r="K6222" i="13"/>
  <c r="L6222" i="13" s="1"/>
  <c r="I6223" i="13" s="1"/>
  <c r="K6223" i="13" l="1"/>
  <c r="L6223" i="13" s="1"/>
  <c r="I6224" i="13" s="1"/>
  <c r="K6245" i="14"/>
  <c r="L6245" i="14" s="1"/>
  <c r="I6246" i="14" s="1"/>
  <c r="K6224" i="13" l="1"/>
  <c r="L6224" i="13" s="1"/>
  <c r="I6225" i="13" s="1"/>
  <c r="K6246" i="14"/>
  <c r="L6246" i="14" s="1"/>
  <c r="I6247" i="14" s="1"/>
  <c r="K6247" i="14" l="1"/>
  <c r="L6247" i="14" s="1"/>
  <c r="I6248" i="14" s="1"/>
  <c r="K6225" i="13"/>
  <c r="L6225" i="13" s="1"/>
  <c r="I6226" i="13" s="1"/>
  <c r="K6226" i="13" l="1"/>
  <c r="L6226" i="13" s="1"/>
  <c r="I6227" i="13" s="1"/>
  <c r="K6248" i="14"/>
  <c r="L6248" i="14" s="1"/>
  <c r="I6249" i="14" s="1"/>
  <c r="K6249" i="14" l="1"/>
  <c r="L6249" i="14" s="1"/>
  <c r="I6250" i="14" s="1"/>
  <c r="K6227" i="13"/>
  <c r="L6227" i="13" s="1"/>
  <c r="I6228" i="13" s="1"/>
  <c r="K6228" i="13" l="1"/>
  <c r="L6228" i="13" s="1"/>
  <c r="I6229" i="13" s="1"/>
  <c r="K6250" i="14"/>
  <c r="K6229" i="13" l="1"/>
  <c r="L6229" i="13" s="1"/>
  <c r="I6230" i="13" s="1"/>
  <c r="D27" i="14"/>
  <c r="D33" i="14"/>
  <c r="D49" i="14"/>
  <c r="D19" i="14"/>
  <c r="D8" i="14"/>
  <c r="E8" i="14" s="1"/>
  <c r="B9" i="14" s="1"/>
  <c r="D9" i="14"/>
  <c r="D10" i="14"/>
  <c r="D11" i="14"/>
  <c r="D12" i="14"/>
  <c r="D13" i="14"/>
  <c r="D14" i="14"/>
  <c r="D15" i="14"/>
  <c r="D16" i="14"/>
  <c r="D17" i="14"/>
  <c r="D18" i="14"/>
  <c r="D20" i="14"/>
  <c r="D21" i="14"/>
  <c r="D22" i="14"/>
  <c r="D23" i="14"/>
  <c r="D24" i="14"/>
  <c r="D25" i="14"/>
  <c r="D26" i="14"/>
  <c r="D28" i="14"/>
  <c r="D29" i="14"/>
  <c r="D30" i="14"/>
  <c r="D31" i="14"/>
  <c r="D32" i="14"/>
  <c r="D34" i="14"/>
  <c r="D35" i="14"/>
  <c r="D36" i="14"/>
  <c r="D37" i="14"/>
  <c r="D38" i="14"/>
  <c r="D39" i="14"/>
  <c r="D40" i="14"/>
  <c r="D41" i="14"/>
  <c r="D42" i="14"/>
  <c r="D43" i="14"/>
  <c r="D44" i="14"/>
  <c r="D45" i="14"/>
  <c r="D46" i="14"/>
  <c r="D47" i="14"/>
  <c r="D48" i="14"/>
  <c r="D50" i="14"/>
  <c r="D51" i="14"/>
  <c r="D52" i="14"/>
  <c r="D53" i="14"/>
  <c r="D54" i="14"/>
  <c r="D55" i="14"/>
  <c r="D56" i="14"/>
  <c r="D57" i="14"/>
  <c r="D58" i="14"/>
  <c r="D59" i="14"/>
  <c r="D60" i="14"/>
  <c r="D61" i="14"/>
  <c r="D62" i="14"/>
  <c r="D63" i="14"/>
  <c r="D64" i="14"/>
  <c r="D65" i="14"/>
  <c r="D66" i="14"/>
  <c r="D69" i="14"/>
  <c r="D67" i="14"/>
  <c r="D68" i="14"/>
  <c r="D70" i="14"/>
  <c r="D71" i="14"/>
  <c r="L6250" i="14"/>
  <c r="E9" i="14" l="1"/>
  <c r="B10" i="14" s="1"/>
  <c r="E10" i="14" s="1"/>
  <c r="B11" i="14" s="1"/>
  <c r="E11" i="14" s="1"/>
  <c r="B12" i="14" s="1"/>
  <c r="E12" i="14" s="1"/>
  <c r="B13" i="14" s="1"/>
  <c r="E13" i="14" s="1"/>
  <c r="B14" i="14" s="1"/>
  <c r="E14" i="14" s="1"/>
  <c r="B15" i="14" s="1"/>
  <c r="E15" i="14" s="1"/>
  <c r="B16" i="14" s="1"/>
  <c r="E16" i="14" s="1"/>
  <c r="B17" i="14" s="1"/>
  <c r="E17" i="14" s="1"/>
  <c r="B18" i="14" s="1"/>
  <c r="E18" i="14" s="1"/>
  <c r="B19" i="14" s="1"/>
  <c r="E19" i="14" s="1"/>
  <c r="B20" i="14" s="1"/>
  <c r="E20" i="14" s="1"/>
  <c r="B21" i="14" s="1"/>
  <c r="E21" i="14" s="1"/>
  <c r="B22" i="14" s="1"/>
  <c r="E22" i="14" s="1"/>
  <c r="B23" i="14" s="1"/>
  <c r="E23" i="14" s="1"/>
  <c r="B24" i="14" s="1"/>
  <c r="E24" i="14" s="1"/>
  <c r="B25" i="14" s="1"/>
  <c r="E25" i="14" s="1"/>
  <c r="B26" i="14" s="1"/>
  <c r="E26" i="14" s="1"/>
  <c r="B27" i="14" s="1"/>
  <c r="E27" i="14" s="1"/>
  <c r="B28" i="14" s="1"/>
  <c r="E28" i="14" s="1"/>
  <c r="B29" i="14" s="1"/>
  <c r="E29" i="14" s="1"/>
  <c r="B30" i="14" s="1"/>
  <c r="E30" i="14" s="1"/>
  <c r="B31" i="14" s="1"/>
  <c r="E31" i="14" s="1"/>
  <c r="B32" i="14" s="1"/>
  <c r="E32" i="14" s="1"/>
  <c r="B33" i="14" s="1"/>
  <c r="E33" i="14" s="1"/>
  <c r="B34" i="14" s="1"/>
  <c r="E34" i="14" s="1"/>
  <c r="B35" i="14" s="1"/>
  <c r="E35" i="14" s="1"/>
  <c r="B36" i="14" s="1"/>
  <c r="E36" i="14" s="1"/>
  <c r="B37" i="14" s="1"/>
  <c r="E37" i="14" s="1"/>
  <c r="B38" i="14" s="1"/>
  <c r="E38" i="14" s="1"/>
  <c r="B39" i="14" s="1"/>
  <c r="E39" i="14" s="1"/>
  <c r="B40" i="14" s="1"/>
  <c r="E40" i="14" s="1"/>
  <c r="B41" i="14" s="1"/>
  <c r="E41" i="14" s="1"/>
  <c r="B42" i="14" s="1"/>
  <c r="E42" i="14" s="1"/>
  <c r="B43" i="14" s="1"/>
  <c r="E43" i="14" s="1"/>
  <c r="B44" i="14" s="1"/>
  <c r="E44" i="14" s="1"/>
  <c r="B45" i="14" s="1"/>
  <c r="E45" i="14" s="1"/>
  <c r="B46" i="14" s="1"/>
  <c r="E46" i="14" s="1"/>
  <c r="B47" i="14" s="1"/>
  <c r="E47" i="14" s="1"/>
  <c r="B48" i="14" s="1"/>
  <c r="E48" i="14" s="1"/>
  <c r="B49" i="14" s="1"/>
  <c r="E49" i="14" s="1"/>
  <c r="B50" i="14" s="1"/>
  <c r="E50" i="14" s="1"/>
  <c r="B51" i="14" s="1"/>
  <c r="E51" i="14" s="1"/>
  <c r="B52" i="14" s="1"/>
  <c r="E52" i="14" s="1"/>
  <c r="B53" i="14" s="1"/>
  <c r="E53" i="14" s="1"/>
  <c r="B54" i="14" s="1"/>
  <c r="E54" i="14" s="1"/>
  <c r="B55" i="14" s="1"/>
  <c r="E55" i="14" s="1"/>
  <c r="B56" i="14" s="1"/>
  <c r="E56" i="14" s="1"/>
  <c r="B57" i="14" s="1"/>
  <c r="E57" i="14" s="1"/>
  <c r="B58" i="14" s="1"/>
  <c r="E58" i="14" s="1"/>
  <c r="B59" i="14" s="1"/>
  <c r="E59" i="14" s="1"/>
  <c r="B60" i="14" s="1"/>
  <c r="E60" i="14" s="1"/>
  <c r="B61" i="14" s="1"/>
  <c r="E61" i="14" s="1"/>
  <c r="B62" i="14" s="1"/>
  <c r="E62" i="14" s="1"/>
  <c r="B63" i="14" s="1"/>
  <c r="E63" i="14" s="1"/>
  <c r="B64" i="14" s="1"/>
  <c r="E64" i="14" s="1"/>
  <c r="B65" i="14" s="1"/>
  <c r="E65" i="14" s="1"/>
  <c r="B66" i="14" s="1"/>
  <c r="E66" i="14" s="1"/>
  <c r="B67" i="14" s="1"/>
  <c r="E67" i="14" s="1"/>
  <c r="B68" i="14" s="1"/>
  <c r="E68" i="14" s="1"/>
  <c r="B69" i="14" s="1"/>
  <c r="E69" i="14" s="1"/>
  <c r="B70" i="14" s="1"/>
  <c r="E70" i="14" s="1"/>
  <c r="B71" i="14" s="1"/>
  <c r="E71" i="14" s="1"/>
  <c r="K6230" i="13"/>
  <c r="L6230" i="13" s="1"/>
  <c r="I6231" i="13" s="1"/>
  <c r="R17" i="10" a="1"/>
  <c r="R17" i="10" s="1"/>
  <c r="S17" i="10" s="1"/>
  <c r="R18" i="10" a="1"/>
  <c r="R18" i="10" s="1"/>
  <c r="S18" i="10" s="1"/>
  <c r="R19" i="10" a="1"/>
  <c r="R19" i="10" s="1"/>
  <c r="S19" i="10" s="1"/>
  <c r="B4" i="14"/>
  <c r="E7" i="10" s="1"/>
  <c r="C4" i="14"/>
  <c r="D4" i="14" s="1" a="1"/>
  <c r="D4" i="14" s="1"/>
  <c r="F7" i="10" s="1"/>
  <c r="G7" i="10" s="1"/>
  <c r="K6231" i="13" l="1"/>
  <c r="L6231" i="13" s="1"/>
  <c r="I6232" i="13" s="1"/>
  <c r="K6232" i="13" l="1"/>
  <c r="L6232" i="13" s="1"/>
  <c r="I6233" i="13" s="1"/>
  <c r="K6233" i="13" l="1"/>
  <c r="L6233" i="13" s="1"/>
  <c r="I6234" i="13" s="1"/>
  <c r="K6234" i="13" l="1"/>
  <c r="L6234" i="13" s="1"/>
  <c r="I6235" i="13" s="1"/>
  <c r="K6235" i="13" l="1"/>
  <c r="L6235" i="13" s="1"/>
  <c r="I6236" i="13" s="1"/>
  <c r="K6236" i="13" l="1"/>
  <c r="L6236" i="13" s="1"/>
  <c r="I6237" i="13" s="1"/>
  <c r="K6237" i="13" l="1"/>
  <c r="L6237" i="13" s="1"/>
  <c r="I6238" i="13" s="1"/>
  <c r="K6238" i="13" l="1"/>
  <c r="L6238" i="13" s="1"/>
  <c r="I6239" i="13" s="1"/>
  <c r="K6239" i="13" l="1"/>
  <c r="L6239" i="13" s="1"/>
  <c r="I6240" i="13" s="1"/>
  <c r="K6240" i="13" l="1"/>
  <c r="L6240" i="13" s="1"/>
  <c r="I6241" i="13" s="1"/>
  <c r="K6241" i="13" l="1"/>
  <c r="L6241" i="13" s="1"/>
  <c r="I6242" i="13" s="1"/>
  <c r="K6242" i="13" l="1"/>
  <c r="L6242" i="13" s="1"/>
  <c r="I6243" i="13" s="1"/>
  <c r="K6243" i="13" l="1"/>
  <c r="L6243" i="13" s="1"/>
  <c r="I6244" i="13" s="1"/>
  <c r="K6244" i="13" l="1"/>
  <c r="L6244" i="13" s="1"/>
  <c r="I6245" i="13" s="1"/>
  <c r="K6245" i="13" l="1"/>
  <c r="L6245" i="13" s="1"/>
  <c r="I6246" i="13" s="1"/>
  <c r="K6246" i="13" l="1"/>
  <c r="L6246" i="13" s="1"/>
  <c r="I6247" i="13" s="1"/>
  <c r="K6247" i="13" l="1"/>
  <c r="L6247" i="13" s="1"/>
  <c r="I6248" i="13" s="1"/>
  <c r="K6248" i="13" l="1"/>
  <c r="L6248" i="13" s="1"/>
  <c r="I6249" i="13" s="1"/>
  <c r="K6249" i="13" l="1"/>
  <c r="L6249" i="13" s="1"/>
  <c r="I6250" i="13" s="1"/>
  <c r="K6250" i="13" l="1"/>
  <c r="D8" i="13" l="1"/>
  <c r="E8" i="13" s="1"/>
  <c r="B9" i="13" s="1"/>
  <c r="D9" i="13"/>
  <c r="D10" i="13"/>
  <c r="D11" i="13"/>
  <c r="D12" i="13"/>
  <c r="D13" i="13"/>
  <c r="D14" i="13"/>
  <c r="D15" i="13"/>
  <c r="D16" i="13"/>
  <c r="D17" i="13"/>
  <c r="D18" i="13"/>
  <c r="D19" i="13"/>
  <c r="D20" i="13"/>
  <c r="D21" i="13"/>
  <c r="D22" i="13"/>
  <c r="D23" i="13"/>
  <c r="D24" i="13"/>
  <c r="D25" i="13"/>
  <c r="D26" i="13"/>
  <c r="D27" i="13"/>
  <c r="D28" i="13"/>
  <c r="D29" i="13"/>
  <c r="D30" i="13"/>
  <c r="D31" i="13"/>
  <c r="D32" i="13"/>
  <c r="D33" i="13"/>
  <c r="D34" i="13"/>
  <c r="D35" i="13"/>
  <c r="D36" i="13"/>
  <c r="D37" i="13"/>
  <c r="D38" i="13"/>
  <c r="D39" i="13"/>
  <c r="D40" i="13"/>
  <c r="D41" i="13"/>
  <c r="D42" i="13"/>
  <c r="D43" i="13"/>
  <c r="D44" i="13"/>
  <c r="D45" i="13"/>
  <c r="D46" i="13"/>
  <c r="D47" i="13"/>
  <c r="D48" i="13"/>
  <c r="D49" i="13"/>
  <c r="D50" i="13"/>
  <c r="D51" i="13"/>
  <c r="D52" i="13"/>
  <c r="D53" i="13"/>
  <c r="D54" i="13"/>
  <c r="D55" i="13"/>
  <c r="D56" i="13"/>
  <c r="D57" i="13"/>
  <c r="D58" i="13"/>
  <c r="D59" i="13"/>
  <c r="D60" i="13"/>
  <c r="D61" i="13"/>
  <c r="D62" i="13"/>
  <c r="D63" i="13"/>
  <c r="D64" i="13"/>
  <c r="D65" i="13"/>
  <c r="D66" i="13"/>
  <c r="D80" i="13"/>
  <c r="D111" i="13"/>
  <c r="D135" i="13"/>
  <c r="D93" i="13"/>
  <c r="D78" i="13"/>
  <c r="D71" i="13"/>
  <c r="D84" i="13"/>
  <c r="D133" i="13"/>
  <c r="D104" i="13"/>
  <c r="D77" i="13"/>
  <c r="D129" i="13"/>
  <c r="D90" i="13"/>
  <c r="D105" i="13"/>
  <c r="D95" i="13"/>
  <c r="D88" i="13"/>
  <c r="D69" i="13"/>
  <c r="D109" i="13"/>
  <c r="D98" i="13"/>
  <c r="D128" i="13"/>
  <c r="D101" i="13"/>
  <c r="D86" i="13"/>
  <c r="D81" i="13"/>
  <c r="D97" i="13"/>
  <c r="D127" i="13"/>
  <c r="D112" i="13"/>
  <c r="D85" i="13"/>
  <c r="D130" i="13"/>
  <c r="D108" i="13"/>
  <c r="D120" i="13"/>
  <c r="D103" i="13"/>
  <c r="D96" i="13"/>
  <c r="D102" i="13"/>
  <c r="D124" i="13"/>
  <c r="D91" i="13"/>
  <c r="D113" i="13"/>
  <c r="D125" i="13"/>
  <c r="D115" i="13"/>
  <c r="D134" i="13"/>
  <c r="D136" i="13"/>
  <c r="D74" i="13"/>
  <c r="D83" i="13"/>
  <c r="D94" i="13"/>
  <c r="D121" i="13"/>
  <c r="D68" i="13"/>
  <c r="D75" i="13"/>
  <c r="D89" i="13"/>
  <c r="D87" i="13"/>
  <c r="D126" i="13"/>
  <c r="D82" i="13"/>
  <c r="D118" i="13"/>
  <c r="D114" i="13"/>
  <c r="D122" i="13"/>
  <c r="D99" i="13"/>
  <c r="D110" i="13"/>
  <c r="D72" i="13"/>
  <c r="D92" i="13"/>
  <c r="D76" i="13"/>
  <c r="D131" i="13"/>
  <c r="D107" i="13"/>
  <c r="D117" i="13"/>
  <c r="D67" i="13"/>
  <c r="D116" i="13"/>
  <c r="D132" i="13"/>
  <c r="D70" i="13"/>
  <c r="D123" i="13"/>
  <c r="D73" i="13"/>
  <c r="D100" i="13"/>
  <c r="D106" i="13"/>
  <c r="D79" i="13"/>
  <c r="D119" i="13"/>
  <c r="L6250" i="13"/>
  <c r="E9" i="13" l="1"/>
  <c r="B10" i="13" s="1"/>
  <c r="E10" i="13" s="1"/>
  <c r="B11" i="13" s="1"/>
  <c r="E11" i="13" s="1"/>
  <c r="B12" i="13" s="1"/>
  <c r="E12" i="13" s="1"/>
  <c r="B13" i="13" s="1"/>
  <c r="E13" i="13" s="1"/>
  <c r="B14" i="13" s="1"/>
  <c r="E14" i="13" s="1"/>
  <c r="B15" i="13" s="1"/>
  <c r="E15" i="13" s="1"/>
  <c r="B16" i="13" s="1"/>
  <c r="E16" i="13" s="1"/>
  <c r="B17" i="13" s="1"/>
  <c r="E17" i="13" s="1"/>
  <c r="B18" i="13" s="1"/>
  <c r="E18" i="13" s="1"/>
  <c r="B19" i="13" s="1"/>
  <c r="E19" i="13" s="1"/>
  <c r="B20" i="13" s="1"/>
  <c r="E20" i="13" s="1"/>
  <c r="B21" i="13" s="1"/>
  <c r="E21" i="13" s="1"/>
  <c r="B22" i="13" s="1"/>
  <c r="E22" i="13" s="1"/>
  <c r="B23" i="13" s="1"/>
  <c r="E23" i="13" s="1"/>
  <c r="B24" i="13" s="1"/>
  <c r="E24" i="13" s="1"/>
  <c r="B25" i="13" s="1"/>
  <c r="E25" i="13" s="1"/>
  <c r="B26" i="13" s="1"/>
  <c r="E26" i="13" s="1"/>
  <c r="B27" i="13" s="1"/>
  <c r="E27" i="13" s="1"/>
  <c r="B28" i="13" s="1"/>
  <c r="E28" i="13" s="1"/>
  <c r="B29" i="13" s="1"/>
  <c r="E29" i="13" s="1"/>
  <c r="B30" i="13" s="1"/>
  <c r="E30" i="13" s="1"/>
  <c r="B31" i="13" s="1"/>
  <c r="E31" i="13" s="1"/>
  <c r="B32" i="13" s="1"/>
  <c r="E32" i="13" s="1"/>
  <c r="B33" i="13" s="1"/>
  <c r="E33" i="13" s="1"/>
  <c r="B34" i="13" s="1"/>
  <c r="E34" i="13" s="1"/>
  <c r="B35" i="13" s="1"/>
  <c r="E35" i="13" s="1"/>
  <c r="B36" i="13" s="1"/>
  <c r="E36" i="13" s="1"/>
  <c r="B37" i="13" s="1"/>
  <c r="E37" i="13" s="1"/>
  <c r="B38" i="13" s="1"/>
  <c r="E38" i="13" s="1"/>
  <c r="B39" i="13" s="1"/>
  <c r="E39" i="13" s="1"/>
  <c r="B40" i="13" s="1"/>
  <c r="E40" i="13" s="1"/>
  <c r="B41" i="13" s="1"/>
  <c r="E41" i="13" s="1"/>
  <c r="B42" i="13" s="1"/>
  <c r="E42" i="13" s="1"/>
  <c r="B43" i="13" s="1"/>
  <c r="E43" i="13" s="1"/>
  <c r="B44" i="13" s="1"/>
  <c r="E44" i="13" s="1"/>
  <c r="B45" i="13" s="1"/>
  <c r="E45" i="13" s="1"/>
  <c r="B46" i="13" s="1"/>
  <c r="E46" i="13" s="1"/>
  <c r="B47" i="13" s="1"/>
  <c r="E47" i="13" s="1"/>
  <c r="B48" i="13" s="1"/>
  <c r="E48" i="13" s="1"/>
  <c r="B49" i="13" s="1"/>
  <c r="E49" i="13" s="1"/>
  <c r="B50" i="13" s="1"/>
  <c r="E50" i="13" s="1"/>
  <c r="B51" i="13" s="1"/>
  <c r="E51" i="13" s="1"/>
  <c r="B52" i="13" s="1"/>
  <c r="E52" i="13" s="1"/>
  <c r="B53" i="13" s="1"/>
  <c r="E53" i="13" s="1"/>
  <c r="B54" i="13" s="1"/>
  <c r="E54" i="13" s="1"/>
  <c r="B55" i="13" s="1"/>
  <c r="E55" i="13" s="1"/>
  <c r="B56" i="13" s="1"/>
  <c r="E56" i="13" s="1"/>
  <c r="B57" i="13" s="1"/>
  <c r="E57" i="13" s="1"/>
  <c r="B58" i="13" s="1"/>
  <c r="E58" i="13" s="1"/>
  <c r="B59" i="13" s="1"/>
  <c r="E59" i="13" s="1"/>
  <c r="B60" i="13" s="1"/>
  <c r="E60" i="13" s="1"/>
  <c r="B61" i="13" s="1"/>
  <c r="E61" i="13" s="1"/>
  <c r="B62" i="13" s="1"/>
  <c r="E62" i="13" s="1"/>
  <c r="B63" i="13" s="1"/>
  <c r="E63" i="13" s="1"/>
  <c r="B64" i="13" s="1"/>
  <c r="E64" i="13" s="1"/>
  <c r="B65" i="13" s="1"/>
  <c r="E65" i="13" s="1"/>
  <c r="B66" i="13" s="1"/>
  <c r="E66" i="13" s="1"/>
  <c r="B67" i="13" s="1"/>
  <c r="E67" i="13" s="1"/>
  <c r="B68" i="13" s="1"/>
  <c r="E68" i="13" s="1"/>
  <c r="B69" i="13" s="1"/>
  <c r="E69" i="13" s="1"/>
  <c r="B70" i="13" s="1"/>
  <c r="E70" i="13" s="1"/>
  <c r="B71" i="13" s="1"/>
  <c r="E71" i="13" s="1"/>
  <c r="B72" i="13" s="1"/>
  <c r="E72" i="13" s="1"/>
  <c r="B73" i="13" s="1"/>
  <c r="E73" i="13" s="1"/>
  <c r="B74" i="13" s="1"/>
  <c r="E74" i="13" s="1"/>
  <c r="B75" i="13" s="1"/>
  <c r="E75" i="13" s="1"/>
  <c r="B76" i="13" s="1"/>
  <c r="E76" i="13" s="1"/>
  <c r="B77" i="13" s="1"/>
  <c r="E77" i="13" s="1"/>
  <c r="B78" i="13" s="1"/>
  <c r="E78" i="13" s="1"/>
  <c r="B79" i="13" s="1"/>
  <c r="E79" i="13" s="1"/>
  <c r="B80" i="13" s="1"/>
  <c r="E80" i="13" s="1"/>
  <c r="B81" i="13" s="1"/>
  <c r="E81" i="13" s="1"/>
  <c r="B82" i="13" s="1"/>
  <c r="E82" i="13" s="1"/>
  <c r="B83" i="13" s="1"/>
  <c r="E83" i="13" s="1"/>
  <c r="B84" i="13" s="1"/>
  <c r="E84" i="13" s="1"/>
  <c r="B85" i="13" s="1"/>
  <c r="E85" i="13" s="1"/>
  <c r="B86" i="13" s="1"/>
  <c r="E86" i="13" s="1"/>
  <c r="B87" i="13" s="1"/>
  <c r="E87" i="13" s="1"/>
  <c r="B88" i="13" s="1"/>
  <c r="E88" i="13" s="1"/>
  <c r="B89" i="13" s="1"/>
  <c r="E89" i="13" s="1"/>
  <c r="B90" i="13" s="1"/>
  <c r="E90" i="13" s="1"/>
  <c r="B91" i="13" s="1"/>
  <c r="E91" i="13" s="1"/>
  <c r="B92" i="13" s="1"/>
  <c r="E92" i="13" s="1"/>
  <c r="B93" i="13" s="1"/>
  <c r="E93" i="13" s="1"/>
  <c r="B94" i="13" s="1"/>
  <c r="E94" i="13" s="1"/>
  <c r="B95" i="13" s="1"/>
  <c r="E95" i="13" s="1"/>
  <c r="B96" i="13" s="1"/>
  <c r="E96" i="13" s="1"/>
  <c r="B97" i="13" s="1"/>
  <c r="E97" i="13" s="1"/>
  <c r="B98" i="13" s="1"/>
  <c r="E98" i="13" s="1"/>
  <c r="B99" i="13" s="1"/>
  <c r="E99" i="13" s="1"/>
  <c r="B100" i="13" s="1"/>
  <c r="E100" i="13" s="1"/>
  <c r="B101" i="13" s="1"/>
  <c r="E101" i="13" s="1"/>
  <c r="B102" i="13" s="1"/>
  <c r="E102" i="13" s="1"/>
  <c r="B103" i="13" s="1"/>
  <c r="E103" i="13" s="1"/>
  <c r="B104" i="13" s="1"/>
  <c r="E104" i="13" s="1"/>
  <c r="B105" i="13" s="1"/>
  <c r="E105" i="13" s="1"/>
  <c r="B106" i="13" s="1"/>
  <c r="E106" i="13" s="1"/>
  <c r="B107" i="13" s="1"/>
  <c r="E107" i="13" s="1"/>
  <c r="B108" i="13" s="1"/>
  <c r="E108" i="13" s="1"/>
  <c r="B109" i="13" s="1"/>
  <c r="E109" i="13" s="1"/>
  <c r="B110" i="13" s="1"/>
  <c r="E110" i="13" s="1"/>
  <c r="B111" i="13" s="1"/>
  <c r="E111" i="13" s="1"/>
  <c r="B112" i="13" s="1"/>
  <c r="E112" i="13" s="1"/>
  <c r="B113" i="13" s="1"/>
  <c r="E113" i="13" s="1"/>
  <c r="B114" i="13" s="1"/>
  <c r="E114" i="13" s="1"/>
  <c r="B115" i="13" s="1"/>
  <c r="E115" i="13" s="1"/>
  <c r="B116" i="13" s="1"/>
  <c r="E116" i="13" s="1"/>
  <c r="B117" i="13" s="1"/>
  <c r="E117" i="13" s="1"/>
  <c r="B118" i="13" s="1"/>
  <c r="E118" i="13" s="1"/>
  <c r="B119" i="13" s="1"/>
  <c r="E119" i="13" s="1"/>
  <c r="B120" i="13" s="1"/>
  <c r="E120" i="13" s="1"/>
  <c r="B121" i="13" s="1"/>
  <c r="E121" i="13" s="1"/>
  <c r="B122" i="13" s="1"/>
  <c r="E122" i="13" s="1"/>
  <c r="B123" i="13" s="1"/>
  <c r="E123" i="13" s="1"/>
  <c r="B124" i="13" s="1"/>
  <c r="E124" i="13" s="1"/>
  <c r="B125" i="13" s="1"/>
  <c r="E125" i="13" s="1"/>
  <c r="B126" i="13" s="1"/>
  <c r="E126" i="13" s="1"/>
  <c r="B127" i="13" s="1"/>
  <c r="E127" i="13" s="1"/>
  <c r="B128" i="13" s="1"/>
  <c r="E128" i="13" s="1"/>
  <c r="B129" i="13" s="1"/>
  <c r="E129" i="13" s="1"/>
  <c r="B130" i="13" s="1"/>
  <c r="E130" i="13" s="1"/>
  <c r="B131" i="13" s="1"/>
  <c r="E131" i="13" s="1"/>
  <c r="B132" i="13" s="1"/>
  <c r="E132" i="13" s="1"/>
  <c r="B133" i="13" s="1"/>
  <c r="E133" i="13" s="1"/>
  <c r="B134" i="13" s="1"/>
  <c r="E134" i="13" s="1"/>
  <c r="B135" i="13" s="1"/>
  <c r="E135" i="13" s="1"/>
  <c r="B136" i="13" s="1"/>
  <c r="E136" i="13" s="1"/>
  <c r="Q16" i="10" a="1"/>
  <c r="Q16" i="10" s="1"/>
  <c r="S16" i="10" s="1"/>
  <c r="C4" i="13"/>
  <c r="D4" i="13" s="1" a="1"/>
  <c r="D4" i="13" s="1"/>
  <c r="F6" i="10" s="1"/>
  <c r="G6" i="10" s="1"/>
  <c r="B4" i="13"/>
  <c r="E6" i="10" s="1"/>
</calcChain>
</file>

<file path=xl/sharedStrings.xml><?xml version="1.0" encoding="utf-8"?>
<sst xmlns="http://schemas.openxmlformats.org/spreadsheetml/2006/main" count="3252" uniqueCount="914">
  <si>
    <r>
      <rPr>
        <sz val="12"/>
        <color theme="1"/>
        <rFont val="Aptos"/>
        <family val="2"/>
      </rPr>
      <t xml:space="preserve">Here is the </t>
    </r>
    <r>
      <rPr>
        <b/>
        <sz val="12"/>
        <color theme="1"/>
        <rFont val="Aptos"/>
        <family val="2"/>
      </rPr>
      <t>percentage of total household investables</t>
    </r>
    <r>
      <rPr>
        <sz val="12"/>
        <color theme="1"/>
        <rFont val="Aptos"/>
        <family val="2"/>
      </rPr>
      <t xml:space="preserve"> ($1,118,616) for each individual asset/fund, based on the target weights and current account balances you provided.</t>
    </r>
  </si>
  <si>
    <r>
      <rPr>
        <b/>
        <sz val="12"/>
        <color theme="1"/>
        <rFont val="Aptos"/>
        <family val="2"/>
      </rPr>
      <t>Total Household Investables</t>
    </r>
    <r>
      <rPr>
        <sz val="12"/>
        <color theme="1"/>
        <rFont val="Aptos"/>
        <family val="2"/>
      </rPr>
      <t xml:space="preserve">: </t>
    </r>
    <r>
      <rPr>
        <b/>
        <sz val="12"/>
        <color theme="1"/>
        <rFont val="Aptos"/>
        <family val="2"/>
      </rPr>
      <t>$1,118,616</t>
    </r>
    <r>
      <rPr>
        <sz val="12"/>
        <color theme="1"/>
        <rFont val="Aptos"/>
        <family val="2"/>
      </rPr>
      <t xml:space="preserve"> (Crypto + M1 + TSP + Cleveland Clinic 403(b))</t>
    </r>
  </si>
  <si>
    <t>Crypto Assets (Total Crypto: $16,700 → 1.49% of household)</t>
  </si>
  <si>
    <r>
      <rPr>
        <sz val="12"/>
        <color theme="1"/>
        <rFont val="Aptos"/>
        <family val="2"/>
      </rPr>
      <t xml:space="preserve">BTC: </t>
    </r>
    <r>
      <rPr>
        <b/>
        <sz val="12"/>
        <color theme="1"/>
        <rFont val="Aptos"/>
        <family val="2"/>
      </rPr>
      <t>$6,680</t>
    </r>
    <r>
      <rPr>
        <sz val="12"/>
        <color theme="1"/>
        <rFont val="Aptos"/>
        <family val="2"/>
      </rPr>
      <t xml:space="preserve"> → </t>
    </r>
    <r>
      <rPr>
        <b/>
        <sz val="12"/>
        <color theme="1"/>
        <rFont val="Aptos"/>
        <family val="2"/>
      </rPr>
      <t>0.60%</t>
    </r>
  </si>
  <si>
    <r>
      <rPr>
        <sz val="12"/>
        <color theme="1"/>
        <rFont val="Aptos"/>
        <family val="2"/>
      </rPr>
      <t xml:space="preserve">ETH: </t>
    </r>
    <r>
      <rPr>
        <b/>
        <sz val="12"/>
        <color theme="1"/>
        <rFont val="Aptos"/>
        <family val="2"/>
      </rPr>
      <t>$3,340</t>
    </r>
    <r>
      <rPr>
        <sz val="12"/>
        <color theme="1"/>
        <rFont val="Aptos"/>
        <family val="2"/>
      </rPr>
      <t xml:space="preserve"> → </t>
    </r>
    <r>
      <rPr>
        <b/>
        <sz val="12"/>
        <color theme="1"/>
        <rFont val="Aptos"/>
        <family val="2"/>
      </rPr>
      <t>0.30%</t>
    </r>
  </si>
  <si>
    <r>
      <rPr>
        <sz val="12"/>
        <color theme="1"/>
        <rFont val="Aptos"/>
        <family val="2"/>
      </rPr>
      <t xml:space="preserve">SOL: </t>
    </r>
    <r>
      <rPr>
        <b/>
        <sz val="12"/>
        <color theme="1"/>
        <rFont val="Aptos"/>
        <family val="2"/>
      </rPr>
      <t>$1,670</t>
    </r>
    <r>
      <rPr>
        <sz val="12"/>
        <color theme="1"/>
        <rFont val="Aptos"/>
        <family val="2"/>
      </rPr>
      <t xml:space="preserve"> → </t>
    </r>
    <r>
      <rPr>
        <b/>
        <sz val="12"/>
        <color theme="1"/>
        <rFont val="Aptos"/>
        <family val="2"/>
      </rPr>
      <t>0.15%</t>
    </r>
  </si>
  <si>
    <r>
      <rPr>
        <sz val="12"/>
        <color theme="1"/>
        <rFont val="Aptos"/>
        <family val="2"/>
      </rPr>
      <t xml:space="preserve">BNB: </t>
    </r>
    <r>
      <rPr>
        <b/>
        <sz val="12"/>
        <color theme="1"/>
        <rFont val="Aptos"/>
        <family val="2"/>
      </rPr>
      <t>$1,002</t>
    </r>
    <r>
      <rPr>
        <sz val="12"/>
        <color theme="1"/>
        <rFont val="Aptos"/>
        <family val="2"/>
      </rPr>
      <t xml:space="preserve"> → </t>
    </r>
    <r>
      <rPr>
        <b/>
        <sz val="12"/>
        <color theme="1"/>
        <rFont val="Aptos"/>
        <family val="2"/>
      </rPr>
      <t>0.09%</t>
    </r>
  </si>
  <si>
    <r>
      <rPr>
        <sz val="12"/>
        <color theme="1"/>
        <rFont val="Aptos"/>
        <family val="2"/>
      </rPr>
      <t xml:space="preserve">LINK: </t>
    </r>
    <r>
      <rPr>
        <b/>
        <sz val="12"/>
        <color theme="1"/>
        <rFont val="Aptos"/>
        <family val="2"/>
      </rPr>
      <t>$1,002</t>
    </r>
    <r>
      <rPr>
        <sz val="12"/>
        <color theme="1"/>
        <rFont val="Aptos"/>
        <family val="2"/>
      </rPr>
      <t xml:space="preserve"> → </t>
    </r>
    <r>
      <rPr>
        <b/>
        <sz val="12"/>
        <color theme="1"/>
        <rFont val="Aptos"/>
        <family val="2"/>
      </rPr>
      <t>0.09%</t>
    </r>
  </si>
  <si>
    <r>
      <rPr>
        <sz val="12"/>
        <color theme="1"/>
        <rFont val="Aptos"/>
        <family val="2"/>
      </rPr>
      <t xml:space="preserve">TAO: </t>
    </r>
    <r>
      <rPr>
        <b/>
        <sz val="12"/>
        <color theme="1"/>
        <rFont val="Aptos"/>
        <family val="2"/>
      </rPr>
      <t>$835</t>
    </r>
    <r>
      <rPr>
        <sz val="12"/>
        <color theme="1"/>
        <rFont val="Aptos"/>
        <family val="2"/>
      </rPr>
      <t xml:space="preserve"> → </t>
    </r>
    <r>
      <rPr>
        <b/>
        <sz val="12"/>
        <color theme="1"/>
        <rFont val="Aptos"/>
        <family val="2"/>
      </rPr>
      <t>0.07%</t>
    </r>
  </si>
  <si>
    <r>
      <rPr>
        <sz val="12"/>
        <color theme="1"/>
        <rFont val="Aptos"/>
        <family val="2"/>
      </rPr>
      <t xml:space="preserve">HYPE: </t>
    </r>
    <r>
      <rPr>
        <b/>
        <sz val="12"/>
        <color theme="1"/>
        <rFont val="Aptos"/>
        <family val="2"/>
      </rPr>
      <t>$835</t>
    </r>
    <r>
      <rPr>
        <sz val="12"/>
        <color theme="1"/>
        <rFont val="Aptos"/>
        <family val="2"/>
      </rPr>
      <t xml:space="preserve"> → </t>
    </r>
    <r>
      <rPr>
        <b/>
        <sz val="12"/>
        <color theme="1"/>
        <rFont val="Aptos"/>
        <family val="2"/>
      </rPr>
      <t>0.07%</t>
    </r>
  </si>
  <si>
    <r>
      <rPr>
        <sz val="12"/>
        <color theme="1"/>
        <rFont val="Aptos"/>
        <family val="2"/>
      </rPr>
      <t xml:space="preserve">XRP: </t>
    </r>
    <r>
      <rPr>
        <b/>
        <sz val="12"/>
        <color theme="1"/>
        <rFont val="Aptos"/>
        <family val="2"/>
      </rPr>
      <t>$501</t>
    </r>
    <r>
      <rPr>
        <sz val="12"/>
        <color theme="1"/>
        <rFont val="Aptos"/>
        <family val="2"/>
      </rPr>
      <t xml:space="preserve"> → </t>
    </r>
    <r>
      <rPr>
        <b/>
        <sz val="12"/>
        <color theme="1"/>
        <rFont val="Aptos"/>
        <family val="2"/>
      </rPr>
      <t>0.04%</t>
    </r>
  </si>
  <si>
    <r>
      <rPr>
        <sz val="12"/>
        <color theme="1"/>
        <rFont val="Aptos"/>
        <family val="2"/>
      </rPr>
      <t xml:space="preserve">TRX: </t>
    </r>
    <r>
      <rPr>
        <b/>
        <sz val="12"/>
        <color theme="1"/>
        <rFont val="Aptos"/>
        <family val="2"/>
      </rPr>
      <t>$501</t>
    </r>
    <r>
      <rPr>
        <sz val="12"/>
        <color theme="1"/>
        <rFont val="Aptos"/>
        <family val="2"/>
      </rPr>
      <t xml:space="preserve"> → </t>
    </r>
    <r>
      <rPr>
        <b/>
        <sz val="12"/>
        <color theme="1"/>
        <rFont val="Aptos"/>
        <family val="2"/>
      </rPr>
      <t>0.04%</t>
    </r>
  </si>
  <si>
    <r>
      <rPr>
        <sz val="12"/>
        <color theme="1"/>
        <rFont val="Aptos"/>
        <family val="2"/>
      </rPr>
      <t xml:space="preserve">AVAX: </t>
    </r>
    <r>
      <rPr>
        <b/>
        <sz val="12"/>
        <color theme="1"/>
        <rFont val="Aptos"/>
        <family val="2"/>
      </rPr>
      <t>$334</t>
    </r>
    <r>
      <rPr>
        <sz val="12"/>
        <color theme="1"/>
        <rFont val="Aptos"/>
        <family val="2"/>
      </rPr>
      <t xml:space="preserve"> → </t>
    </r>
    <r>
      <rPr>
        <b/>
        <sz val="12"/>
        <color theme="1"/>
        <rFont val="Aptos"/>
        <family val="2"/>
      </rPr>
      <t>0.03%</t>
    </r>
  </si>
  <si>
    <t>M1 Finance Pie Assets (Total M1: $85,600 → 7.65% of household)</t>
  </si>
  <si>
    <r>
      <rPr>
        <sz val="12"/>
        <color theme="1"/>
        <rFont val="Aptos"/>
        <family val="2"/>
      </rPr>
      <t xml:space="preserve">VOO: </t>
    </r>
    <r>
      <rPr>
        <b/>
        <sz val="12"/>
        <color theme="1"/>
        <rFont val="Aptos"/>
        <family val="2"/>
      </rPr>
      <t>$21,400</t>
    </r>
    <r>
      <rPr>
        <sz val="12"/>
        <color theme="1"/>
        <rFont val="Aptos"/>
        <family val="2"/>
      </rPr>
      <t xml:space="preserve"> → </t>
    </r>
    <r>
      <rPr>
        <b/>
        <sz val="12"/>
        <color theme="1"/>
        <rFont val="Aptos"/>
        <family val="2"/>
      </rPr>
      <t>1.91%</t>
    </r>
  </si>
  <si>
    <r>
      <rPr>
        <sz val="12"/>
        <color theme="1"/>
        <rFont val="Aptos"/>
        <family val="2"/>
      </rPr>
      <t xml:space="preserve">VEA: </t>
    </r>
    <r>
      <rPr>
        <b/>
        <sz val="12"/>
        <color theme="1"/>
        <rFont val="Aptos"/>
        <family val="2"/>
      </rPr>
      <t>$21,400</t>
    </r>
    <r>
      <rPr>
        <sz val="12"/>
        <color theme="1"/>
        <rFont val="Aptos"/>
        <family val="2"/>
      </rPr>
      <t xml:space="preserve"> → </t>
    </r>
    <r>
      <rPr>
        <b/>
        <sz val="12"/>
        <color theme="1"/>
        <rFont val="Aptos"/>
        <family val="2"/>
      </rPr>
      <t>1.91%</t>
    </r>
  </si>
  <si>
    <r>
      <rPr>
        <sz val="12"/>
        <color theme="1"/>
        <rFont val="Aptos"/>
        <family val="2"/>
      </rPr>
      <t xml:space="preserve">VWO: </t>
    </r>
    <r>
      <rPr>
        <b/>
        <sz val="12"/>
        <color theme="1"/>
        <rFont val="Aptos"/>
        <family val="2"/>
      </rPr>
      <t>$21,400</t>
    </r>
    <r>
      <rPr>
        <sz val="12"/>
        <color theme="1"/>
        <rFont val="Aptos"/>
        <family val="2"/>
      </rPr>
      <t xml:space="preserve"> → </t>
    </r>
    <r>
      <rPr>
        <b/>
        <sz val="12"/>
        <color theme="1"/>
        <rFont val="Aptos"/>
        <family val="2"/>
      </rPr>
      <t>1.91%</t>
    </r>
  </si>
  <si>
    <r>
      <rPr>
        <sz val="12"/>
        <color theme="1"/>
        <rFont val="Aptos"/>
        <family val="2"/>
      </rPr>
      <t xml:space="preserve">IVOV: </t>
    </r>
    <r>
      <rPr>
        <b/>
        <sz val="12"/>
        <color theme="1"/>
        <rFont val="Aptos"/>
        <family val="2"/>
      </rPr>
      <t>$8,560</t>
    </r>
    <r>
      <rPr>
        <sz val="12"/>
        <color theme="1"/>
        <rFont val="Aptos"/>
        <family val="2"/>
      </rPr>
      <t xml:space="preserve"> → </t>
    </r>
    <r>
      <rPr>
        <b/>
        <sz val="12"/>
        <color theme="1"/>
        <rFont val="Aptos"/>
        <family val="2"/>
      </rPr>
      <t>0.77%</t>
    </r>
  </si>
  <si>
    <r>
      <rPr>
        <sz val="12"/>
        <color theme="1"/>
        <rFont val="Aptos"/>
        <family val="2"/>
      </rPr>
      <t xml:space="preserve">VIOV: </t>
    </r>
    <r>
      <rPr>
        <b/>
        <sz val="12"/>
        <color theme="1"/>
        <rFont val="Aptos"/>
        <family val="2"/>
      </rPr>
      <t>$8,560</t>
    </r>
    <r>
      <rPr>
        <sz val="12"/>
        <color theme="1"/>
        <rFont val="Aptos"/>
        <family val="2"/>
      </rPr>
      <t xml:space="preserve"> → </t>
    </r>
    <r>
      <rPr>
        <b/>
        <sz val="12"/>
        <color theme="1"/>
        <rFont val="Aptos"/>
        <family val="2"/>
      </rPr>
      <t>0.77%</t>
    </r>
  </si>
  <si>
    <r>
      <rPr>
        <sz val="12"/>
        <color theme="1"/>
        <rFont val="Aptos"/>
        <family val="2"/>
      </rPr>
      <t xml:space="preserve">VNQ: </t>
    </r>
    <r>
      <rPr>
        <b/>
        <sz val="12"/>
        <color theme="1"/>
        <rFont val="Aptos"/>
        <family val="2"/>
      </rPr>
      <t>$4,280</t>
    </r>
    <r>
      <rPr>
        <sz val="12"/>
        <color theme="1"/>
        <rFont val="Aptos"/>
        <family val="2"/>
      </rPr>
      <t xml:space="preserve"> → </t>
    </r>
    <r>
      <rPr>
        <b/>
        <sz val="12"/>
        <color theme="1"/>
        <rFont val="Aptos"/>
        <family val="2"/>
      </rPr>
      <t>0.38%</t>
    </r>
  </si>
  <si>
    <t>TSP Assets (Total TSP: $526,714 → 47.09% of household)</t>
  </si>
  <si>
    <r>
      <rPr>
        <sz val="12"/>
        <color theme="1"/>
        <rFont val="Aptos"/>
        <family val="2"/>
      </rPr>
      <t xml:space="preserve">C Fund: </t>
    </r>
    <r>
      <rPr>
        <b/>
        <sz val="12"/>
        <color theme="1"/>
        <rFont val="Aptos"/>
        <family val="2"/>
      </rPr>
      <t>$263,357</t>
    </r>
    <r>
      <rPr>
        <sz val="12"/>
        <color theme="1"/>
        <rFont val="Aptos"/>
        <family val="2"/>
      </rPr>
      <t xml:space="preserve"> → </t>
    </r>
    <r>
      <rPr>
        <b/>
        <sz val="12"/>
        <color theme="1"/>
        <rFont val="Aptos"/>
        <family val="2"/>
      </rPr>
      <t>23.55%</t>
    </r>
  </si>
  <si>
    <r>
      <rPr>
        <sz val="12"/>
        <color theme="1"/>
        <rFont val="Aptos"/>
        <family val="2"/>
      </rPr>
      <t xml:space="preserve">S Fund: </t>
    </r>
    <r>
      <rPr>
        <b/>
        <sz val="12"/>
        <color theme="1"/>
        <rFont val="Aptos"/>
        <family val="2"/>
      </rPr>
      <t>$105,343</t>
    </r>
    <r>
      <rPr>
        <sz val="12"/>
        <color theme="1"/>
        <rFont val="Aptos"/>
        <family val="2"/>
      </rPr>
      <t xml:space="preserve"> → </t>
    </r>
    <r>
      <rPr>
        <b/>
        <sz val="12"/>
        <color theme="1"/>
        <rFont val="Aptos"/>
        <family val="2"/>
      </rPr>
      <t>9.42%</t>
    </r>
  </si>
  <si>
    <r>
      <rPr>
        <sz val="12"/>
        <color theme="1"/>
        <rFont val="Aptos"/>
        <family val="2"/>
      </rPr>
      <t xml:space="preserve">I Fund: </t>
    </r>
    <r>
      <rPr>
        <b/>
        <sz val="12"/>
        <color theme="1"/>
        <rFont val="Aptos"/>
        <family val="2"/>
      </rPr>
      <t>$158,014</t>
    </r>
    <r>
      <rPr>
        <sz val="12"/>
        <color theme="1"/>
        <rFont val="Aptos"/>
        <family val="2"/>
      </rPr>
      <t xml:space="preserve"> → </t>
    </r>
    <r>
      <rPr>
        <b/>
        <sz val="12"/>
        <color theme="1"/>
        <rFont val="Aptos"/>
        <family val="2"/>
      </rPr>
      <t>14.13%</t>
    </r>
  </si>
  <si>
    <t>Cleveland Clinic 403(b) Assets (Total 403(b): $489,602 → 43.77% of household)</t>
  </si>
  <si>
    <r>
      <rPr>
        <sz val="12"/>
        <color theme="1"/>
        <rFont val="Aptos"/>
        <family val="2"/>
      </rPr>
      <t xml:space="preserve">VIIIX: </t>
    </r>
    <r>
      <rPr>
        <b/>
        <sz val="12"/>
        <color theme="1"/>
        <rFont val="Aptos"/>
        <family val="2"/>
      </rPr>
      <t>$244,801</t>
    </r>
    <r>
      <rPr>
        <sz val="12"/>
        <color theme="1"/>
        <rFont val="Aptos"/>
        <family val="2"/>
      </rPr>
      <t xml:space="preserve"> → </t>
    </r>
    <r>
      <rPr>
        <b/>
        <sz val="12"/>
        <color theme="1"/>
        <rFont val="Aptos"/>
        <family val="2"/>
      </rPr>
      <t>21.89%</t>
    </r>
  </si>
  <si>
    <r>
      <rPr>
        <sz val="12"/>
        <color theme="1"/>
        <rFont val="Aptos"/>
        <family val="2"/>
      </rPr>
      <t xml:space="preserve">VEMPX: </t>
    </r>
    <r>
      <rPr>
        <b/>
        <sz val="12"/>
        <color theme="1"/>
        <rFont val="Aptos"/>
        <family val="2"/>
      </rPr>
      <t>$97,920</t>
    </r>
    <r>
      <rPr>
        <sz val="12"/>
        <color theme="1"/>
        <rFont val="Aptos"/>
        <family val="2"/>
      </rPr>
      <t xml:space="preserve"> → </t>
    </r>
    <r>
      <rPr>
        <b/>
        <sz val="12"/>
        <color theme="1"/>
        <rFont val="Aptos"/>
        <family val="2"/>
      </rPr>
      <t>8.75%</t>
    </r>
  </si>
  <si>
    <r>
      <rPr>
        <sz val="12"/>
        <color theme="1"/>
        <rFont val="Aptos"/>
        <family val="2"/>
      </rPr>
      <t xml:space="preserve">VTPSX: </t>
    </r>
    <r>
      <rPr>
        <b/>
        <sz val="12"/>
        <color theme="1"/>
        <rFont val="Aptos"/>
        <family val="2"/>
      </rPr>
      <t>$146,881</t>
    </r>
    <r>
      <rPr>
        <sz val="12"/>
        <color theme="1"/>
        <rFont val="Aptos"/>
        <family val="2"/>
      </rPr>
      <t xml:space="preserve"> → </t>
    </r>
    <r>
      <rPr>
        <b/>
        <sz val="12"/>
        <color theme="1"/>
        <rFont val="Aptos"/>
        <family val="2"/>
      </rPr>
      <t>13.13%</t>
    </r>
  </si>
  <si>
    <t>Summary by Major Category</t>
  </si>
  <si>
    <r>
      <rPr>
        <b/>
        <sz val="12"/>
        <color theme="1"/>
        <rFont val="Aptos"/>
        <family val="2"/>
      </rPr>
      <t>U.S. Large-Cap Equities</t>
    </r>
    <r>
      <rPr>
        <sz val="12"/>
        <color theme="1"/>
        <rFont val="Aptos"/>
        <family val="2"/>
      </rPr>
      <t xml:space="preserve"> (VOO + VIIIX + C Fund): </t>
    </r>
    <r>
      <rPr>
        <b/>
        <sz val="12"/>
        <color theme="1"/>
        <rFont val="Aptos"/>
        <family val="2"/>
      </rPr>
      <t>~$529,558</t>
    </r>
    <r>
      <rPr>
        <sz val="12"/>
        <color theme="1"/>
        <rFont val="Aptos"/>
        <family val="2"/>
      </rPr>
      <t xml:space="preserve"> → </t>
    </r>
    <r>
      <rPr>
        <b/>
        <sz val="12"/>
        <color theme="1"/>
        <rFont val="Aptos"/>
        <family val="2"/>
      </rPr>
      <t>~47.3%</t>
    </r>
  </si>
  <si>
    <r>
      <rPr>
        <b/>
        <sz val="12"/>
        <color theme="1"/>
        <rFont val="Aptos"/>
        <family val="2"/>
      </rPr>
      <t>U.S. Small/Mid-Cap Equities</t>
    </r>
    <r>
      <rPr>
        <sz val="12"/>
        <color theme="1"/>
        <rFont val="Aptos"/>
        <family val="2"/>
      </rPr>
      <t xml:space="preserve"> (VEMPX + S Fund + IVOV + VIOV): </t>
    </r>
    <r>
      <rPr>
        <b/>
        <sz val="12"/>
        <color theme="1"/>
        <rFont val="Aptos"/>
        <family val="2"/>
      </rPr>
      <t>~$220,383</t>
    </r>
    <r>
      <rPr>
        <sz val="12"/>
        <color theme="1"/>
        <rFont val="Aptos"/>
        <family val="2"/>
      </rPr>
      <t xml:space="preserve"> → </t>
    </r>
    <r>
      <rPr>
        <b/>
        <sz val="12"/>
        <color theme="1"/>
        <rFont val="Aptos"/>
        <family val="2"/>
      </rPr>
      <t>~19.7%</t>
    </r>
  </si>
  <si>
    <r>
      <rPr>
        <b/>
        <sz val="12"/>
        <color theme="1"/>
        <rFont val="Aptos"/>
        <family val="2"/>
      </rPr>
      <t>International Equities</t>
    </r>
    <r>
      <rPr>
        <sz val="12"/>
        <color theme="1"/>
        <rFont val="Aptos"/>
        <family val="2"/>
      </rPr>
      <t xml:space="preserve"> (VTPSX + I Fund + VEA + VWO): </t>
    </r>
    <r>
      <rPr>
        <b/>
        <sz val="12"/>
        <color theme="1"/>
        <rFont val="Aptos"/>
        <family val="2"/>
      </rPr>
      <t>~$347,695</t>
    </r>
    <r>
      <rPr>
        <sz val="12"/>
        <color theme="1"/>
        <rFont val="Aptos"/>
        <family val="2"/>
      </rPr>
      <t xml:space="preserve"> → </t>
    </r>
    <r>
      <rPr>
        <b/>
        <sz val="12"/>
        <color theme="1"/>
        <rFont val="Aptos"/>
        <family val="2"/>
      </rPr>
      <t>~31.1%</t>
    </r>
  </si>
  <si>
    <r>
      <rPr>
        <b/>
        <sz val="12"/>
        <color theme="1"/>
        <rFont val="Aptos"/>
        <family val="2"/>
      </rPr>
      <t>U.S. REITs</t>
    </r>
    <r>
      <rPr>
        <sz val="12"/>
        <color theme="1"/>
        <rFont val="Aptos"/>
        <family val="2"/>
      </rPr>
      <t xml:space="preserve"> (VNQ): </t>
    </r>
    <r>
      <rPr>
        <b/>
        <sz val="12"/>
        <color theme="1"/>
        <rFont val="Aptos"/>
        <family val="2"/>
      </rPr>
      <t>$4,280</t>
    </r>
    <r>
      <rPr>
        <sz val="12"/>
        <color theme="1"/>
        <rFont val="Aptos"/>
        <family val="2"/>
      </rPr>
      <t xml:space="preserve"> → </t>
    </r>
    <r>
      <rPr>
        <b/>
        <sz val="12"/>
        <color theme="1"/>
        <rFont val="Aptos"/>
        <family val="2"/>
      </rPr>
      <t>~0.4%</t>
    </r>
  </si>
  <si>
    <r>
      <rPr>
        <b/>
        <sz val="12"/>
        <color theme="1"/>
        <rFont val="Aptos"/>
        <family val="2"/>
      </rPr>
      <t>Crypto</t>
    </r>
    <r>
      <rPr>
        <sz val="12"/>
        <color theme="1"/>
        <rFont val="Aptos"/>
        <family val="2"/>
      </rPr>
      <t xml:space="preserve"> (all 10 assets combined): </t>
    </r>
    <r>
      <rPr>
        <b/>
        <sz val="12"/>
        <color theme="1"/>
        <rFont val="Aptos"/>
        <family val="2"/>
      </rPr>
      <t>$16,700</t>
    </r>
    <r>
      <rPr>
        <sz val="12"/>
        <color theme="1"/>
        <rFont val="Aptos"/>
        <family val="2"/>
      </rPr>
      <t xml:space="preserve"> → </t>
    </r>
    <r>
      <rPr>
        <b/>
        <sz val="12"/>
        <color theme="1"/>
        <rFont val="Aptos"/>
        <family val="2"/>
      </rPr>
      <t>~1.5%</t>
    </r>
  </si>
  <si>
    <t>Liquid Cash</t>
  </si>
  <si>
    <t>Total Assets</t>
  </si>
  <si>
    <t>Proposed</t>
  </si>
  <si>
    <t>Current</t>
  </si>
  <si>
    <t>Crypto Deposit</t>
  </si>
  <si>
    <t>Cash On Hand</t>
  </si>
  <si>
    <t>Total Liabilities</t>
  </si>
  <si>
    <t>Stocks</t>
  </si>
  <si>
    <t>Crypto Profit</t>
  </si>
  <si>
    <t>1 yr</t>
  </si>
  <si>
    <t>PayPal</t>
  </si>
  <si>
    <t>Net Worth</t>
  </si>
  <si>
    <t>Crypto</t>
  </si>
  <si>
    <t>M1 Deposit</t>
  </si>
  <si>
    <t>2 yr</t>
  </si>
  <si>
    <t>Huntington Checking</t>
  </si>
  <si>
    <t>M1 Profit</t>
  </si>
  <si>
    <t>3 yr</t>
  </si>
  <si>
    <t>PNC Checking</t>
  </si>
  <si>
    <t>Liabilities</t>
  </si>
  <si>
    <t>M1 Finance</t>
  </si>
  <si>
    <t>DFS Deposit</t>
  </si>
  <si>
    <t>4 yr</t>
  </si>
  <si>
    <t>PNC Savings</t>
  </si>
  <si>
    <t>Rocket Mortgage</t>
  </si>
  <si>
    <t>Kraken</t>
  </si>
  <si>
    <t>DFS Profit</t>
  </si>
  <si>
    <t>5 yr</t>
  </si>
  <si>
    <t>Total Liquid Cash</t>
  </si>
  <si>
    <t>Lormet</t>
  </si>
  <si>
    <t>New Deposit</t>
  </si>
  <si>
    <t>Total Deposit</t>
  </si>
  <si>
    <t>6 yr</t>
  </si>
  <si>
    <t>GM Financial</t>
  </si>
  <si>
    <t>Total</t>
  </si>
  <si>
    <t>Total Profit</t>
  </si>
  <si>
    <t>7 yr</t>
  </si>
  <si>
    <t>Savings Investments</t>
  </si>
  <si>
    <t>Deposit</t>
  </si>
  <si>
    <t>8 yr</t>
  </si>
  <si>
    <t>Isaac - M1</t>
  </si>
  <si>
    <t>9 yr</t>
  </si>
  <si>
    <t>Regan-M1</t>
  </si>
  <si>
    <t>Available Cash</t>
  </si>
  <si>
    <t>BinanceUS</t>
  </si>
  <si>
    <t>12/31 Crypto Bal</t>
  </si>
  <si>
    <t>10 yr</t>
  </si>
  <si>
    <t>Crypto - Kraken</t>
  </si>
  <si>
    <t>2023 Crypto Deposit</t>
  </si>
  <si>
    <t>2023 Crypto Withdraw</t>
  </si>
  <si>
    <t>Current Net Worth</t>
  </si>
  <si>
    <t>2026 Current Gain</t>
  </si>
  <si>
    <t>Current Crypto Bal</t>
  </si>
  <si>
    <t>2023 Crypto Return</t>
  </si>
  <si>
    <t>2026 Projected</t>
  </si>
  <si>
    <t>2026 Projected Gain</t>
  </si>
  <si>
    <t>DFS</t>
  </si>
  <si>
    <t>Total Invested</t>
  </si>
  <si>
    <t>Total Savings Investments</t>
  </si>
  <si>
    <t>Asset Type</t>
  </si>
  <si>
    <t>Net Worth Balance</t>
  </si>
  <si>
    <t>Net Worth Pct</t>
  </si>
  <si>
    <t>C Fund - US Large Cap</t>
  </si>
  <si>
    <t>TSP</t>
  </si>
  <si>
    <t>Goal</t>
  </si>
  <si>
    <t>Distance</t>
  </si>
  <si>
    <t>VIIIX - US Large Cap</t>
  </si>
  <si>
    <t>Clinic</t>
  </si>
  <si>
    <t>Retirement Investments</t>
  </si>
  <si>
    <t>Kids Savings</t>
  </si>
  <si>
    <t>VOO - US Large Cap</t>
  </si>
  <si>
    <t>M1</t>
  </si>
  <si>
    <t>TSP Civilian</t>
  </si>
  <si>
    <t>Stock Investments</t>
  </si>
  <si>
    <t>I Fund - International</t>
  </si>
  <si>
    <t>TSP Uniformed Service</t>
  </si>
  <si>
    <t>Crypto Investments</t>
  </si>
  <si>
    <t>VTPSX - International</t>
  </si>
  <si>
    <t>Cleveland Clinic 403b</t>
  </si>
  <si>
    <t>VEA - International</t>
  </si>
  <si>
    <t>Cleveland Clinic 401a</t>
  </si>
  <si>
    <t>Real Estate</t>
  </si>
  <si>
    <t>VWO - International</t>
  </si>
  <si>
    <t>Total Retirement Investments</t>
  </si>
  <si>
    <t>Vehicles</t>
  </si>
  <si>
    <t>S Fund - US Small/Mid Cap</t>
  </si>
  <si>
    <t>VEMPX - US Small/Mid Cap</t>
  </si>
  <si>
    <t>IVOV - US Small/Mid Cap</t>
  </si>
  <si>
    <t>Main Home - Redfin</t>
  </si>
  <si>
    <t>VIOV - US Small/Mid Cap</t>
  </si>
  <si>
    <t>Rental Property - Redfin</t>
  </si>
  <si>
    <t>Real</t>
  </si>
  <si>
    <t>Total Property Values</t>
  </si>
  <si>
    <t>VNQ - US REIT</t>
  </si>
  <si>
    <t>2019 Chevy Silverado (JAF3923)</t>
  </si>
  <si>
    <t>2019 Toyota Rav 4 (JZJ5569)</t>
  </si>
  <si>
    <t>US Large Cap</t>
  </si>
  <si>
    <t>2013 Toyota Corolla (KLM2660)</t>
  </si>
  <si>
    <t>International</t>
  </si>
  <si>
    <t>2005 Gulf Stream Sun Voyager (HEH3760)</t>
  </si>
  <si>
    <t>US Small/Mid Cap</t>
  </si>
  <si>
    <t>Total Vehicle Values</t>
  </si>
  <si>
    <t>2003 Toyota Corolla (KFB5773)</t>
  </si>
  <si>
    <t>Totals</t>
  </si>
  <si>
    <t>2008 Honda Fit (EJV3194)</t>
  </si>
  <si>
    <t>2001 EZGO (KKB6096)</t>
  </si>
  <si>
    <t>Actual</t>
  </si>
  <si>
    <t>Income</t>
  </si>
  <si>
    <t>Needs</t>
  </si>
  <si>
    <t>Wants</t>
  </si>
  <si>
    <t>Savings</t>
  </si>
  <si>
    <t>Lorri Pay</t>
  </si>
  <si>
    <t>Isaac Pay</t>
  </si>
  <si>
    <t>Isaac Guard</t>
  </si>
  <si>
    <t>Monthly Difference</t>
  </si>
  <si>
    <t>Rental</t>
  </si>
  <si>
    <t>Variable Savings</t>
  </si>
  <si>
    <t>2026 PROPOSED BUDGET</t>
  </si>
  <si>
    <t>MONTHLY</t>
  </si>
  <si>
    <t>%</t>
  </si>
  <si>
    <t>ANNUAL</t>
  </si>
  <si>
    <t>WEEKLY</t>
  </si>
  <si>
    <t>TOTALS</t>
  </si>
  <si>
    <t>Gross Pay</t>
  </si>
  <si>
    <t>D</t>
  </si>
  <si>
    <t>Groceries/Household</t>
  </si>
  <si>
    <t>Health/Life Insurance</t>
  </si>
  <si>
    <t>Dining Out</t>
  </si>
  <si>
    <t>Retirement</t>
  </si>
  <si>
    <t>Misc Food</t>
  </si>
  <si>
    <t>Pre-Tax Deductions</t>
  </si>
  <si>
    <t>Gasoline</t>
  </si>
  <si>
    <t>Family Entertainment</t>
  </si>
  <si>
    <t>Taxable Pay</t>
  </si>
  <si>
    <t>Miscellaneous Spending</t>
  </si>
  <si>
    <t>Department Stores/Clothes</t>
  </si>
  <si>
    <t>Federal Tax</t>
  </si>
  <si>
    <t>Alcohol/Bars</t>
  </si>
  <si>
    <t>Ohio Tax</t>
  </si>
  <si>
    <t>Medicare</t>
  </si>
  <si>
    <t>F</t>
  </si>
  <si>
    <t>Social Security</t>
  </si>
  <si>
    <t>EH Roberts</t>
  </si>
  <si>
    <t>FERS Retirement</t>
  </si>
  <si>
    <t>Verizon Wireless</t>
  </si>
  <si>
    <t>Cleveland Tax</t>
  </si>
  <si>
    <t>Spectrum TV/Internet</t>
  </si>
  <si>
    <t>Employee Taxes</t>
  </si>
  <si>
    <t>First Energy</t>
  </si>
  <si>
    <t>Vivint Home Security</t>
  </si>
  <si>
    <t>Combined Take Home</t>
  </si>
  <si>
    <t>Columbia Gas</t>
  </si>
  <si>
    <t>Medical Bills</t>
  </si>
  <si>
    <t>Guard Take Home</t>
  </si>
  <si>
    <t>Planet Fitness</t>
  </si>
  <si>
    <t>Rental Income</t>
  </si>
  <si>
    <t>Lowes Rewards</t>
  </si>
  <si>
    <t>Wells Fargo - Pool</t>
  </si>
  <si>
    <t>Total Take Home</t>
  </si>
  <si>
    <t>Wells Fargo - Deck</t>
  </si>
  <si>
    <t>Massage Envy</t>
  </si>
  <si>
    <t>Streaming/Music</t>
  </si>
  <si>
    <t>ISAAC</t>
  </si>
  <si>
    <t>GM Financial/Toyota</t>
  </si>
  <si>
    <t>PAY PERIOD</t>
  </si>
  <si>
    <t>Ohio Turnpike</t>
  </si>
  <si>
    <t>Water Bill - Main</t>
  </si>
  <si>
    <t>Water Bill - Rental</t>
  </si>
  <si>
    <t>Health Ins</t>
  </si>
  <si>
    <t>R</t>
  </si>
  <si>
    <t>Vehicle Maintenance</t>
  </si>
  <si>
    <t>Car Insurance</t>
  </si>
  <si>
    <t>Rental Garbage</t>
  </si>
  <si>
    <t>Garbage</t>
  </si>
  <si>
    <t>Sanitation - Main</t>
  </si>
  <si>
    <t>Camping/Vacation</t>
  </si>
  <si>
    <t>Home Maintenance</t>
  </si>
  <si>
    <t>Rental Repairs</t>
  </si>
  <si>
    <t>Rental Insurance</t>
  </si>
  <si>
    <t>Rental Property Taxes</t>
  </si>
  <si>
    <t>Rental Sanitation</t>
  </si>
  <si>
    <t>Take Home</t>
  </si>
  <si>
    <t>S</t>
  </si>
  <si>
    <t>Our Savings</t>
  </si>
  <si>
    <t>LORRI</t>
  </si>
  <si>
    <t>GTL</t>
  </si>
  <si>
    <t>Gross Earnings</t>
  </si>
  <si>
    <t>Life Insurance</t>
  </si>
  <si>
    <t>Dental</t>
  </si>
  <si>
    <t>PTOTRDN</t>
  </si>
  <si>
    <t>Month</t>
  </si>
  <si>
    <t>L</t>
  </si>
  <si>
    <t>I</t>
  </si>
  <si>
    <t>P Income</t>
  </si>
  <si>
    <t>A Income</t>
  </si>
  <si>
    <t>Diff</t>
  </si>
  <si>
    <t>% Over</t>
  </si>
  <si>
    <t>P Spending</t>
  </si>
  <si>
    <t>A Spending</t>
  </si>
  <si>
    <t>% Under</t>
  </si>
  <si>
    <t>P Savings</t>
  </si>
  <si>
    <t>A Savings</t>
  </si>
  <si>
    <t>JAN</t>
  </si>
  <si>
    <t>FEB</t>
  </si>
  <si>
    <t>MAR</t>
  </si>
  <si>
    <t>APR</t>
  </si>
  <si>
    <t>MAY</t>
  </si>
  <si>
    <t>JUN</t>
  </si>
  <si>
    <t>JUL</t>
  </si>
  <si>
    <t>AUG</t>
  </si>
  <si>
    <t>SEP</t>
  </si>
  <si>
    <t>OCT</t>
  </si>
  <si>
    <t>NOV</t>
  </si>
  <si>
    <t>DEC</t>
  </si>
  <si>
    <t>P Fixed</t>
  </si>
  <si>
    <t>A Fixed</t>
  </si>
  <si>
    <t>P Non-Fixed</t>
  </si>
  <si>
    <t>A Non-Fixed</t>
  </si>
  <si>
    <t>P NMB</t>
  </si>
  <si>
    <t>A NMB</t>
  </si>
  <si>
    <t>Monthly</t>
  </si>
  <si>
    <t xml:space="preserve">% </t>
  </si>
  <si>
    <t>Average</t>
  </si>
  <si>
    <t>Spent</t>
  </si>
  <si>
    <t>Difference</t>
  </si>
  <si>
    <t>Under</t>
  </si>
  <si>
    <t>Budget</t>
  </si>
  <si>
    <t>ID</t>
  </si>
  <si>
    <t>SPEND ACCOUNT</t>
  </si>
  <si>
    <t>Made</t>
  </si>
  <si>
    <t>More</t>
  </si>
  <si>
    <t>Lorri Income</t>
  </si>
  <si>
    <t>Isaac Income</t>
  </si>
  <si>
    <t>Isaac Guard Income</t>
  </si>
  <si>
    <t>Date</t>
  </si>
  <si>
    <t>Description</t>
  </si>
  <si>
    <t>Checking Account Balance</t>
  </si>
  <si>
    <t>PNC (I)</t>
  </si>
  <si>
    <t>PNC (L)</t>
  </si>
  <si>
    <t>Chase (I)</t>
  </si>
  <si>
    <t>Chase (L)</t>
  </si>
  <si>
    <t>#1 (8539)</t>
  </si>
  <si>
    <t>#2 (4990)</t>
  </si>
  <si>
    <t>#3 (5153)</t>
  </si>
  <si>
    <t>#4 (2711)</t>
  </si>
  <si>
    <t>#6 (5411)</t>
  </si>
  <si>
    <t>Available Credit</t>
  </si>
  <si>
    <t>DEBIT</t>
  </si>
  <si>
    <t>CREDIT</t>
  </si>
  <si>
    <t>BALANCE</t>
  </si>
  <si>
    <t>s</t>
  </si>
  <si>
    <t>April Savings</t>
  </si>
  <si>
    <t>r</t>
  </si>
  <si>
    <t>x</t>
  </si>
  <si>
    <t>Sanitation Bill</t>
  </si>
  <si>
    <t>d</t>
  </si>
  <si>
    <t>Transfer to Venmo - Nurses Week Breakfast</t>
  </si>
  <si>
    <t>i</t>
  </si>
  <si>
    <t>Isaac Pay Check</t>
  </si>
  <si>
    <t>Lorri Pay Check</t>
  </si>
  <si>
    <t>f</t>
  </si>
  <si>
    <t>BP Global</t>
  </si>
  <si>
    <t>Friendship</t>
  </si>
  <si>
    <t>Puerto Rico - Cash</t>
  </si>
  <si>
    <t>cash</t>
  </si>
  <si>
    <t>April Rent</t>
  </si>
  <si>
    <t>Amazon Marketplace</t>
  </si>
  <si>
    <t>Chipotle</t>
  </si>
  <si>
    <t>Transfer to Regan</t>
  </si>
  <si>
    <t>Transfer to Julie</t>
  </si>
  <si>
    <t>Heinens Grocery Store</t>
  </si>
  <si>
    <t>Julie State Tax Return</t>
  </si>
  <si>
    <t>Walmart</t>
  </si>
  <si>
    <t>Lorri Golf Outing</t>
  </si>
  <si>
    <t>Coopershawk</t>
  </si>
  <si>
    <t>Biggby Coffee</t>
  </si>
  <si>
    <t>Speedway</t>
  </si>
  <si>
    <t>ALDI</t>
  </si>
  <si>
    <t>Uber</t>
  </si>
  <si>
    <t>MCO LGC</t>
  </si>
  <si>
    <t>Spectrum</t>
  </si>
  <si>
    <t>Rumpke Waste</t>
  </si>
  <si>
    <t>Isaac Guard Check</t>
  </si>
  <si>
    <t>Orlando Market</t>
  </si>
  <si>
    <t>Paninis</t>
  </si>
  <si>
    <t>Lorain Smokes and Beverage</t>
  </si>
  <si>
    <t>Target</t>
  </si>
  <si>
    <t>Transfer to Venmo - Raffle Tickets</t>
  </si>
  <si>
    <t>MyClevelandClinic Org</t>
  </si>
  <si>
    <t>Spotify</t>
  </si>
  <si>
    <t>Aramark Cleveland</t>
  </si>
  <si>
    <t>Barrio</t>
  </si>
  <si>
    <t>Mr. Hero</t>
  </si>
  <si>
    <t>ARCO</t>
  </si>
  <si>
    <t>Disney+</t>
  </si>
  <si>
    <t>Sams Club</t>
  </si>
  <si>
    <t>Crepes in the City</t>
  </si>
  <si>
    <t>84 Lumber</t>
  </si>
  <si>
    <t>Olive Garden</t>
  </si>
  <si>
    <t>City of Lorain</t>
  </si>
  <si>
    <t>Sheetz</t>
  </si>
  <si>
    <t>xx</t>
  </si>
  <si>
    <t>Columbia Gas - Rental</t>
  </si>
  <si>
    <t>Lorri - Hair</t>
  </si>
  <si>
    <t>Shein</t>
  </si>
  <si>
    <t>Vecchio - Lorri Dentist</t>
  </si>
  <si>
    <t>Claude</t>
  </si>
  <si>
    <t>Harbor Freight</t>
  </si>
  <si>
    <t>Julie Tax Filing</t>
  </si>
  <si>
    <t>Toyota Starter</t>
  </si>
  <si>
    <t>Shop Funds</t>
  </si>
  <si>
    <t>Uber Eats</t>
  </si>
  <si>
    <t>Raising Canes</t>
  </si>
  <si>
    <t>Circle K</t>
  </si>
  <si>
    <t>Dunkin Donuts</t>
  </si>
  <si>
    <t>Laporte Inn</t>
  </si>
  <si>
    <t>Booking.com</t>
  </si>
  <si>
    <t>Pulp</t>
  </si>
  <si>
    <t>Netflix</t>
  </si>
  <si>
    <t>Marcos Pizza</t>
  </si>
  <si>
    <t>Bowling Fees</t>
  </si>
  <si>
    <t>Gulf Oil</t>
  </si>
  <si>
    <t>Mahd House</t>
  </si>
  <si>
    <t>Hotshots Bar &amp; Grill</t>
  </si>
  <si>
    <t>McDonalds</t>
  </si>
  <si>
    <t>SP Med Threads</t>
  </si>
  <si>
    <t>Community West Foundation</t>
  </si>
  <si>
    <t>Lowes Rewards - Kitchen</t>
  </si>
  <si>
    <t>Fairview Convienient</t>
  </si>
  <si>
    <t>Sunoco</t>
  </si>
  <si>
    <t>Bob Evans</t>
  </si>
  <si>
    <t>Golf Outing</t>
  </si>
  <si>
    <t>LOC Citizens</t>
  </si>
  <si>
    <t>Vivint</t>
  </si>
  <si>
    <t>Apples</t>
  </si>
  <si>
    <t>Home Depot</t>
  </si>
  <si>
    <t>Orange Theory</t>
  </si>
  <si>
    <t>Taco Bell</t>
  </si>
  <si>
    <t>Regan Clothes</t>
  </si>
  <si>
    <t>My Corner Bar</t>
  </si>
  <si>
    <t>Transfer to Kids Savings</t>
  </si>
  <si>
    <t>Pandora</t>
  </si>
  <si>
    <t>Hunan King</t>
  </si>
  <si>
    <t>Transfer to Savings</t>
  </si>
  <si>
    <t>Transfer to Venmo - Kim Conners; ParTee Golf</t>
  </si>
  <si>
    <t>Crumbl</t>
  </si>
  <si>
    <t>Dicks Sporting Goods</t>
  </si>
  <si>
    <t>Sweeties Candy</t>
  </si>
  <si>
    <t>Sweeties Soda Shoppe</t>
  </si>
  <si>
    <t>March Rent</t>
  </si>
  <si>
    <t>Wingstop</t>
  </si>
  <si>
    <t>McJames Sports Pub</t>
  </si>
  <si>
    <t>Burger King</t>
  </si>
  <si>
    <t>West Park</t>
  </si>
  <si>
    <t>CCF Parking Services</t>
  </si>
  <si>
    <t>Transfer to Venmo</t>
  </si>
  <si>
    <t>Arbys</t>
  </si>
  <si>
    <t>Cash App - Joe Spencer</t>
  </si>
  <si>
    <t>First Watch</t>
  </si>
  <si>
    <t>Trader Joes</t>
  </si>
  <si>
    <t>Mochinut</t>
  </si>
  <si>
    <t>Night at Races</t>
  </si>
  <si>
    <t>Pull Tabs</t>
  </si>
  <si>
    <t>Lowes</t>
  </si>
  <si>
    <t>Action Network</t>
  </si>
  <si>
    <t>Northfield Park</t>
  </si>
  <si>
    <t>Don Tequila</t>
  </si>
  <si>
    <t>Apple TV</t>
  </si>
  <si>
    <t xml:space="preserve">Lormet </t>
  </si>
  <si>
    <t>Regan - Cash</t>
  </si>
  <si>
    <t>Applebees</t>
  </si>
  <si>
    <t>Cleveland Clinic - Family Medical</t>
  </si>
  <si>
    <t>Dart Connect</t>
  </si>
  <si>
    <t>February Rent</t>
  </si>
  <si>
    <t>Chick-fil-A</t>
  </si>
  <si>
    <t>Cleveland Maennerchor</t>
  </si>
  <si>
    <t>Kintaro</t>
  </si>
  <si>
    <t>Table Capture</t>
  </si>
  <si>
    <t>ATM Fee Reimbursement</t>
  </si>
  <si>
    <t>Transfer to Venmo - Patti Akins; Retirement Gift</t>
  </si>
  <si>
    <t>Five Guys</t>
  </si>
  <si>
    <t>Cleveland Clinic - Lorri Labs</t>
  </si>
  <si>
    <t>Payment to Chase</t>
  </si>
  <si>
    <t>Cash App - Yasmary; Vacation</t>
  </si>
  <si>
    <t>Wendys</t>
  </si>
  <si>
    <t>G&amp;J Pepsi</t>
  </si>
  <si>
    <t>7-Eleven</t>
  </si>
  <si>
    <t>Cash App - Gabbi</t>
  </si>
  <si>
    <t>Tom - Plate Registration</t>
  </si>
  <si>
    <t>Sanitation</t>
  </si>
  <si>
    <t>DoorDash</t>
  </si>
  <si>
    <t>February Savings</t>
  </si>
  <si>
    <t>Transfer to Venmo - Sarah Ridenour; Dinner</t>
  </si>
  <si>
    <t>Transfer from Venmo</t>
  </si>
  <si>
    <t>Discount Drug Mart</t>
  </si>
  <si>
    <t>ATM Withdrawal</t>
  </si>
  <si>
    <t>X-Golf</t>
  </si>
  <si>
    <t>GetGo</t>
  </si>
  <si>
    <t>Luckys Bar and Grill</t>
  </si>
  <si>
    <t>Julie - Car Insurance</t>
  </si>
  <si>
    <t>Austin Food</t>
  </si>
  <si>
    <t>Red Lantern</t>
  </si>
  <si>
    <t>Transfer to Venmo - Julie</t>
  </si>
  <si>
    <t>Hotel Cleveland</t>
  </si>
  <si>
    <t>Food Court</t>
  </si>
  <si>
    <t>Cash App - Julie</t>
  </si>
  <si>
    <t>Casino/SFTH Drinks</t>
  </si>
  <si>
    <t>Community West Foundation - Raffle Tickets</t>
  </si>
  <si>
    <t>North Ridge Laser Wash</t>
  </si>
  <si>
    <t>Mens Wearhouse</t>
  </si>
  <si>
    <t>Kohls</t>
  </si>
  <si>
    <t>Marcs</t>
  </si>
  <si>
    <t>Checking Interest</t>
  </si>
  <si>
    <t>First Energy - Rental</t>
  </si>
  <si>
    <t>Smoothie King</t>
  </si>
  <si>
    <t>Venmo - Football Squares</t>
  </si>
  <si>
    <t>Qdoba</t>
  </si>
  <si>
    <t>Vending Machine</t>
  </si>
  <si>
    <t>Lowes - Kitchen Remodel</t>
  </si>
  <si>
    <t>Drug Mart</t>
  </si>
  <si>
    <t>Menards - Kitchen Remodel</t>
  </si>
  <si>
    <t>Shell</t>
  </si>
  <si>
    <t>Venmo - Work Party</t>
  </si>
  <si>
    <t>Meijer</t>
  </si>
  <si>
    <t>Longhorn Steakhouse</t>
  </si>
  <si>
    <t>January Savings</t>
  </si>
  <si>
    <t>Rental Utilities</t>
  </si>
  <si>
    <t>Frontier Airlines</t>
  </si>
  <si>
    <t>Home Depot - Kitchen Remodel</t>
  </si>
  <si>
    <t>Shotz Bar</t>
  </si>
  <si>
    <t>Transfer to Venmo - Kathleen Chambers;Challenge</t>
  </si>
  <si>
    <t>Sorrento</t>
  </si>
  <si>
    <t>Cash from Casino</t>
  </si>
  <si>
    <t>Garretts Mill Diner</t>
  </si>
  <si>
    <t>Accelerated Fitness</t>
  </si>
  <si>
    <t>Guard Hotel</t>
  </si>
  <si>
    <t>Fairview Tavern</t>
  </si>
  <si>
    <t>PJ McIntyres</t>
  </si>
  <si>
    <t>Zack Drzik - Oil Change</t>
  </si>
  <si>
    <t>Winking Lizard</t>
  </si>
  <si>
    <t>January Rent</t>
  </si>
  <si>
    <t>Ohio Lottery</t>
  </si>
  <si>
    <t>Maple Grove</t>
  </si>
  <si>
    <t>Amazon Prime Membership</t>
  </si>
  <si>
    <t>Buffalo Wild Wings</t>
  </si>
  <si>
    <t>Regan Grades</t>
  </si>
  <si>
    <t>AMF Bowling</t>
  </si>
  <si>
    <t>Fat Heads Brewery</t>
  </si>
  <si>
    <t>Dillards</t>
  </si>
  <si>
    <t>Movie Tickets</t>
  </si>
  <si>
    <t>Regal Cinemas</t>
  </si>
  <si>
    <t>Quick Change</t>
  </si>
  <si>
    <t>Cash to Regan</t>
  </si>
  <si>
    <t>Comfort Inn</t>
  </si>
  <si>
    <t>z</t>
  </si>
  <si>
    <t>Starting Checking Balance</t>
  </si>
  <si>
    <t>TOTAL BALANCE</t>
  </si>
  <si>
    <t>SAVINGS</t>
  </si>
  <si>
    <t>CC REWARDS - XMAS</t>
  </si>
  <si>
    <t>DIFF:</t>
  </si>
  <si>
    <t>BAL:</t>
  </si>
  <si>
    <t>SPENT</t>
  </si>
  <si>
    <t>Amount</t>
  </si>
  <si>
    <t>Amount ($25) Per Week</t>
  </si>
  <si>
    <t>Interest ($625)</t>
  </si>
  <si>
    <t>SAVED</t>
  </si>
  <si>
    <t>DATE</t>
  </si>
  <si>
    <t>TOTAL</t>
  </si>
  <si>
    <t>DESCRIPTION</t>
  </si>
  <si>
    <t>April Transfer</t>
  </si>
  <si>
    <t>Lorri CC Rewards</t>
  </si>
  <si>
    <t>Interest Payment</t>
  </si>
  <si>
    <t>84 Lumber - Deck</t>
  </si>
  <si>
    <t>Toyota Corolla Starter</t>
  </si>
  <si>
    <t>Lorri - Columbus</t>
  </si>
  <si>
    <t>Isaac CC Rewards</t>
  </si>
  <si>
    <t>March Savings</t>
  </si>
  <si>
    <t>March Transfer</t>
  </si>
  <si>
    <t>Drew Bachtell - Labor</t>
  </si>
  <si>
    <t>Transaction Fee</t>
  </si>
  <si>
    <t>Hardrock</t>
  </si>
  <si>
    <t>Caesars</t>
  </si>
  <si>
    <t>Fanduel</t>
  </si>
  <si>
    <t>Bet365</t>
  </si>
  <si>
    <t>BetMGM</t>
  </si>
  <si>
    <t>Draftkings</t>
  </si>
  <si>
    <t>Nashville - Julie</t>
  </si>
  <si>
    <t>Puerto Rico - Excursion</t>
  </si>
  <si>
    <t>February Transfer</t>
  </si>
  <si>
    <t>Kitchen Remodel</t>
  </si>
  <si>
    <t>Jack Casino</t>
  </si>
  <si>
    <t>Property Taxes</t>
  </si>
  <si>
    <t>Puerto Rico House/Car</t>
  </si>
  <si>
    <t>Puerto Rico Airfare</t>
  </si>
  <si>
    <t>January Transfer</t>
  </si>
  <si>
    <t>Casino</t>
  </si>
  <si>
    <t>Oil Change - 13 Corolla</t>
  </si>
  <si>
    <t>Nashville</t>
  </si>
  <si>
    <t>Cleveland Clinic - Grocery Reimburse</t>
  </si>
  <si>
    <t>Toyota Rav4 Oil Change</t>
  </si>
  <si>
    <t>Starting Balance</t>
  </si>
  <si>
    <t>Per Month</t>
  </si>
  <si>
    <t>Per Yr</t>
  </si>
  <si>
    <t>per yr</t>
  </si>
  <si>
    <t>Insurance</t>
  </si>
  <si>
    <t>3 mos</t>
  </si>
  <si>
    <t>2 mos</t>
  </si>
  <si>
    <t>Water</t>
  </si>
  <si>
    <t>1 mo</t>
  </si>
  <si>
    <t>Repair Budget</t>
  </si>
  <si>
    <t>Total Cost</t>
  </si>
  <si>
    <t>Monthly Rent</t>
  </si>
  <si>
    <t>Profit</t>
  </si>
  <si>
    <t>ROI</t>
  </si>
  <si>
    <t>Current Salary:</t>
  </si>
  <si>
    <t>Lorri Salary</t>
  </si>
  <si>
    <t>SS Benefits</t>
  </si>
  <si>
    <t>Age 62</t>
  </si>
  <si>
    <t>Age 67</t>
  </si>
  <si>
    <t>Age 70</t>
  </si>
  <si>
    <t>Disability</t>
  </si>
  <si>
    <t>Pensions</t>
  </si>
  <si>
    <t>Annual</t>
  </si>
  <si>
    <t>Retirement Tax</t>
  </si>
  <si>
    <t>Pct Above in Ret:</t>
  </si>
  <si>
    <t>Isaac Salary</t>
  </si>
  <si>
    <t>Lorri</t>
  </si>
  <si>
    <t>FERS</t>
  </si>
  <si>
    <t>Tax Rate</t>
  </si>
  <si>
    <t>Retirement Salary:</t>
  </si>
  <si>
    <t>Guard Salary</t>
  </si>
  <si>
    <t>Isaac</t>
  </si>
  <si>
    <t>Guard</t>
  </si>
  <si>
    <t>Taxes Due</t>
  </si>
  <si>
    <t>Ret Age</t>
  </si>
  <si>
    <t>Act Age</t>
  </si>
  <si>
    <t>Ret Date</t>
  </si>
  <si>
    <t>Annuity Length</t>
  </si>
  <si>
    <t>Zero Balance</t>
  </si>
  <si>
    <t>Zero Bal Age</t>
  </si>
  <si>
    <t>Ret Income</t>
  </si>
  <si>
    <t>Isaac Retirement Age:</t>
  </si>
  <si>
    <t>Disbursement Percent</t>
  </si>
  <si>
    <t>Ret Tax</t>
  </si>
  <si>
    <t>Lorri Retirement Age:</t>
  </si>
  <si>
    <t>Ret Takehome</t>
  </si>
  <si>
    <t>Isaac Age</t>
  </si>
  <si>
    <t>Lorri Age</t>
  </si>
  <si>
    <t>Isaac SS</t>
  </si>
  <si>
    <t>Lorri SS</t>
  </si>
  <si>
    <t>TSP Retirement</t>
  </si>
  <si>
    <t>Clinic Retirement</t>
  </si>
  <si>
    <t>Monthly Target</t>
  </si>
  <si>
    <t>Fixed Monthly</t>
  </si>
  <si>
    <t>From Retirement</t>
  </si>
  <si>
    <t>Isaac Ret Bal</t>
  </si>
  <si>
    <t>Lorri Ret Bal</t>
  </si>
  <si>
    <t>Total Retirement</t>
  </si>
  <si>
    <t>Start Date</t>
  </si>
  <si>
    <t>End Date</t>
  </si>
  <si>
    <t>Total Cont.</t>
  </si>
  <si>
    <t>Current Amt.</t>
  </si>
  <si>
    <t>Annual Growth</t>
  </si>
  <si>
    <t>Double?</t>
  </si>
  <si>
    <t>Overall Growth</t>
  </si>
  <si>
    <t>Civilian Service</t>
  </si>
  <si>
    <t>Uniform Service</t>
  </si>
  <si>
    <t>CC SIP 403(b) Plan</t>
  </si>
  <si>
    <t>Cleveland Clinic IPP 401(a)</t>
  </si>
  <si>
    <t>Qtr Rank</t>
  </si>
  <si>
    <t>Contribution</t>
  </si>
  <si>
    <t>Change In Value</t>
  </si>
  <si>
    <t>End Balance</t>
  </si>
  <si>
    <t>Qtr Ret</t>
  </si>
  <si>
    <t>Missed Cont</t>
  </si>
  <si>
    <t>Total Contribution</t>
  </si>
  <si>
    <t>Fees/Credits</t>
  </si>
  <si>
    <t>Change in Value</t>
  </si>
  <si>
    <t>Employer Cont.</t>
  </si>
  <si>
    <t>Pos Qtr</t>
  </si>
  <si>
    <t>Pos Avg</t>
  </si>
  <si>
    <t>Neg Qtr</t>
  </si>
  <si>
    <t>Neg Avg</t>
  </si>
  <si>
    <t>Q1 Avg</t>
  </si>
  <si>
    <t>Q2 Avg</t>
  </si>
  <si>
    <t>Q3 Avg</t>
  </si>
  <si>
    <t>Q4 Avg</t>
  </si>
  <si>
    <t>Today's Date:</t>
  </si>
  <si>
    <t>Technician TSP</t>
  </si>
  <si>
    <t>Guard TSP</t>
  </si>
  <si>
    <t>Cleveland Clinic</t>
  </si>
  <si>
    <t>Cleveland Clinic Pension</t>
  </si>
  <si>
    <t>Tax Brackets</t>
  </si>
  <si>
    <t>Isaac Ret Date:</t>
  </si>
  <si>
    <t>Low</t>
  </si>
  <si>
    <t>High</t>
  </si>
  <si>
    <t>Salary</t>
  </si>
  <si>
    <t>Tax</t>
  </si>
  <si>
    <t>Isaac Yrs Till Ret:</t>
  </si>
  <si>
    <t>Growth Rate:</t>
  </si>
  <si>
    <t>Lorri Ret Date:</t>
  </si>
  <si>
    <t>Lorri Yrs Till Ret:</t>
  </si>
  <si>
    <t>Total Present Value:</t>
  </si>
  <si>
    <t>Present Value:</t>
  </si>
  <si>
    <t>Total Future Value:</t>
  </si>
  <si>
    <t>Future Value:</t>
  </si>
  <si>
    <t>Tech Salary</t>
  </si>
  <si>
    <t>Clinic Salary</t>
  </si>
  <si>
    <t>Total Salary</t>
  </si>
  <si>
    <t>Lorri Social Security</t>
  </si>
  <si>
    <t>Isaac Social Security</t>
  </si>
  <si>
    <t>Yrs of Service</t>
  </si>
  <si>
    <t>Retirement Goal</t>
  </si>
  <si>
    <t>Age</t>
  </si>
  <si>
    <t>FERS Annual</t>
  </si>
  <si>
    <t>Guard Annual</t>
  </si>
  <si>
    <t>Pension Annual</t>
  </si>
  <si>
    <t>Pct of Takehome</t>
  </si>
  <si>
    <t>FERS Monthly</t>
  </si>
  <si>
    <t>Guard Monthly</t>
  </si>
  <si>
    <t>Pension Monthly</t>
  </si>
  <si>
    <t>Annuity</t>
  </si>
  <si>
    <t>Supplement</t>
  </si>
  <si>
    <t>Starting Principle</t>
  </si>
  <si>
    <t>Annual Growth Rate</t>
  </si>
  <si>
    <t>L Income Rate</t>
  </si>
  <si>
    <t>Annuity Length (Yrs)</t>
  </si>
  <si>
    <t>Year</t>
  </si>
  <si>
    <t>Opening Balance</t>
  </si>
  <si>
    <t>Payments</t>
  </si>
  <si>
    <t>Interest</t>
  </si>
  <si>
    <t>Closing Balance</t>
  </si>
  <si>
    <t>Yr</t>
  </si>
  <si>
    <t>LIRKX</t>
  </si>
  <si>
    <t>Total Pts:</t>
  </si>
  <si>
    <t>Updated on</t>
  </si>
  <si>
    <t>Yrs Serv:</t>
  </si>
  <si>
    <t>Avg Pts</t>
  </si>
  <si>
    <t>Yrs Serv</t>
  </si>
  <si>
    <t>W-2</t>
  </si>
  <si>
    <t>W-3</t>
  </si>
  <si>
    <t>W-4</t>
  </si>
  <si>
    <t>W-5</t>
  </si>
  <si>
    <t>Bas Pay</t>
  </si>
  <si>
    <t>Username</t>
  </si>
  <si>
    <t>Password</t>
  </si>
  <si>
    <t>Pin</t>
  </si>
  <si>
    <t>Web URL</t>
  </si>
  <si>
    <t>1-800-238-8722 (ADT USAA department)</t>
  </si>
  <si>
    <t>ADT</t>
  </si>
  <si>
    <t>isaac.d.martin@gmail.com</t>
  </si>
  <si>
    <t>IDMartin2</t>
  </si>
  <si>
    <t>https://www.myadt.com/</t>
  </si>
  <si>
    <t>Casino Total Rewards</t>
  </si>
  <si>
    <t>idmartin</t>
  </si>
  <si>
    <t>IDMartin11!!</t>
  </si>
  <si>
    <t>Chase</t>
  </si>
  <si>
    <t>idmartin22</t>
  </si>
  <si>
    <t>IDMartin00</t>
  </si>
  <si>
    <t>https://www.chase.com/</t>
  </si>
  <si>
    <t>lorrismith24</t>
  </si>
  <si>
    <t>lorrimartin24</t>
  </si>
  <si>
    <t>martinl11</t>
  </si>
  <si>
    <t>regan22</t>
  </si>
  <si>
    <t>https://lawprod.ccf.org:40201/lawson/portal/</t>
  </si>
  <si>
    <t>LORRI24</t>
  </si>
  <si>
    <t>IDMartin22</t>
  </si>
  <si>
    <t>http://www.columbiagasohio.com</t>
  </si>
  <si>
    <t>IDMartin2431182</t>
  </si>
  <si>
    <t>DirecTV</t>
  </si>
  <si>
    <t>isaac.d.martin2@gmail.com</t>
  </si>
  <si>
    <t>https://www.directv.com/DTVAPP/login/login.jsp?lpos=header</t>
  </si>
  <si>
    <t>Fidelity</t>
  </si>
  <si>
    <t>ReganNoel22</t>
  </si>
  <si>
    <t>https://login.fidelity.com/ftgw/Fas/Fidelity/IspCust/Login/Init</t>
  </si>
  <si>
    <t>United Concordia</t>
  </si>
  <si>
    <t>isaac.martin1</t>
  </si>
  <si>
    <t>LorriSmith2431182!!</t>
  </si>
  <si>
    <t>https://myaccess.dmdc.osd.mil/identitymanagement/authenticate.do?execution=e3s1</t>
  </si>
  <si>
    <t>email</t>
  </si>
  <si>
    <t>IDMartin00))</t>
  </si>
  <si>
    <t>Mypay</t>
  </si>
  <si>
    <t>isaac.martin</t>
  </si>
  <si>
    <t>IDMartin2431182^^^^</t>
  </si>
  <si>
    <t>https://mypay.dfas.mil/mypay.aspx</t>
  </si>
  <si>
    <t>https://signup.netflix.com/Login</t>
  </si>
  <si>
    <t>Ohio Edison</t>
  </si>
  <si>
    <t>https://www.firstenergycorp.com/log_in.html</t>
  </si>
  <si>
    <t>Ohio University</t>
  </si>
  <si>
    <t>lm133410</t>
  </si>
  <si>
    <t>lm0394</t>
  </si>
  <si>
    <t>https://my.ohio.edu/portal/uPortal/render.userLayoutRootNode.uP</t>
  </si>
  <si>
    <t>Regan Cleveland Clinic</t>
  </si>
  <si>
    <t>Scottrade</t>
  </si>
  <si>
    <t>53967781</t>
  </si>
  <si>
    <t>Sirius</t>
  </si>
  <si>
    <t>lorri24!</t>
  </si>
  <si>
    <t>https://care.siriusxm.com/login_view.action</t>
  </si>
  <si>
    <t>Social Security Isaac</t>
  </si>
  <si>
    <t>IDMartin33##</t>
  </si>
  <si>
    <t>https://secure.ssa.gov/RIL/SiView.do</t>
  </si>
  <si>
    <t>Social Security Lorri</t>
  </si>
  <si>
    <t>TaxAct</t>
  </si>
  <si>
    <t>momsreturn</t>
  </si>
  <si>
    <t>48145</t>
  </si>
  <si>
    <t>tpuskarich</t>
  </si>
  <si>
    <t>tomsreturn</t>
  </si>
  <si>
    <t>29548</t>
  </si>
  <si>
    <t xml:space="preserve"> v</t>
  </si>
  <si>
    <t>Tricare Dental</t>
  </si>
  <si>
    <t>lorri24</t>
  </si>
  <si>
    <t>https://epm.highmark.com/cidlogin/loginHTML.html</t>
  </si>
  <si>
    <t>IDMartin2431182!!</t>
  </si>
  <si>
    <t>https://www.tsp.gov/index.shtml</t>
  </si>
  <si>
    <t>Turbo Tax</t>
  </si>
  <si>
    <t>Isaac: 22241</t>
  </si>
  <si>
    <t>Lorri: 24221</t>
  </si>
  <si>
    <t>USAA</t>
  </si>
  <si>
    <t>https://www.usaa.com</t>
  </si>
  <si>
    <t>Verizon</t>
  </si>
  <si>
    <t>http://www.verizonwireless.com/b2c/index.html</t>
  </si>
  <si>
    <t>Water Bill</t>
  </si>
  <si>
    <t>http://secure.cityofelyria.org/Login.aspx</t>
  </si>
  <si>
    <t xml:space="preserve">704943038-001 </t>
  </si>
  <si>
    <t>704943032-002</t>
  </si>
  <si>
    <t>AKO</t>
  </si>
  <si>
    <t>IsaacMartin@@22</t>
  </si>
  <si>
    <t>Fifth Third Bank</t>
  </si>
  <si>
    <t>Republic Services</t>
  </si>
  <si>
    <t>Isaac Credit Karma</t>
  </si>
  <si>
    <t>idmartin22@yahoo.com</t>
  </si>
  <si>
    <t>Binance Google Authenticator</t>
  </si>
  <si>
    <t>YTFECKQ4OXNYJ3AN</t>
  </si>
  <si>
    <t>=F33*F34</t>
  </si>
  <si>
    <t>Electric Price</t>
  </si>
  <si>
    <t>Gas Price</t>
  </si>
  <si>
    <t>Main Home</t>
  </si>
  <si>
    <t>0.0569c</t>
  </si>
  <si>
    <t>Better Buy Energy</t>
  </si>
  <si>
    <t>Ohio Gas &amp; Electric</t>
  </si>
  <si>
    <t>Rental Home</t>
  </si>
  <si>
    <t>0.0818c</t>
  </si>
  <si>
    <t>Account</t>
  </si>
  <si>
    <t>Customer #</t>
  </si>
  <si>
    <t>Company</t>
  </si>
  <si>
    <t>$/KWh</t>
  </si>
  <si>
    <t>Length</t>
  </si>
  <si>
    <t>Date Signed</t>
  </si>
  <si>
    <t>End</t>
  </si>
  <si>
    <t>Main</t>
  </si>
  <si>
    <t>08036702040000657950</t>
  </si>
  <si>
    <t>12mo</t>
  </si>
  <si>
    <t>08036417900000657946</t>
  </si>
  <si>
    <t>1099-DIV</t>
  </si>
  <si>
    <t>Total Ordinary Dividends</t>
  </si>
  <si>
    <t>Total Capital Gains</t>
  </si>
  <si>
    <t>Section 897 Ordinary Dividends</t>
  </si>
  <si>
    <t>Nondividend Distributions</t>
  </si>
  <si>
    <t>Section 199A Dividends</t>
  </si>
  <si>
    <t>Foreign Tax Paid</t>
  </si>
  <si>
    <t>Short Term Proceeds</t>
  </si>
  <si>
    <t>Short Term Cost Basis</t>
  </si>
  <si>
    <t>Wash/Disallowed</t>
  </si>
  <si>
    <t>Net Gain or Loss</t>
  </si>
  <si>
    <t>Long Term Proceeds</t>
  </si>
  <si>
    <t>Long Term Cost Basis</t>
  </si>
  <si>
    <t>Total Gain/Loss</t>
  </si>
  <si>
    <t>5MB92034</t>
  </si>
  <si>
    <t>5MC10290</t>
  </si>
  <si>
    <t>5MC10287</t>
  </si>
  <si>
    <t>FMB92034</t>
  </si>
  <si>
    <t>Consolidated</t>
  </si>
  <si>
    <t>Fund / Asset</t>
  </si>
  <si>
    <t>C Fund</t>
  </si>
  <si>
    <t>S Fund</t>
  </si>
  <si>
    <t>I Fund</t>
  </si>
  <si>
    <t>TSP Uniformed</t>
  </si>
  <si>
    <t>VIIIX</t>
  </si>
  <si>
    <t>Fidelity 403b</t>
  </si>
  <si>
    <t>VTPSX</t>
  </si>
  <si>
    <t>VEMPX</t>
  </si>
  <si>
    <t>Fidelity 401a</t>
  </si>
  <si>
    <t>VTI</t>
  </si>
  <si>
    <t>QQQM</t>
  </si>
  <si>
    <t>AVUV</t>
  </si>
  <si>
    <t>AVDV</t>
  </si>
  <si>
    <t>AVES</t>
  </si>
  <si>
    <t>BTC</t>
  </si>
  <si>
    <t>ETH</t>
  </si>
  <si>
    <t>SOL</t>
  </si>
  <si>
    <t>TAO</t>
  </si>
  <si>
    <t>HYPE</t>
  </si>
  <si>
    <t>LINK</t>
  </si>
  <si>
    <t>XRP</t>
  </si>
  <si>
    <t>Regan Investment</t>
  </si>
  <si>
    <t>VXUS</t>
  </si>
  <si>
    <t>Shares Owned</t>
  </si>
  <si>
    <t>Giant Eagle</t>
  </si>
  <si>
    <t>Dollar Tree</t>
  </si>
  <si>
    <t>Famouse Footwear</t>
  </si>
  <si>
    <t>The Winchester - Concert</t>
  </si>
  <si>
    <t>Amazon - Kindle Book</t>
  </si>
  <si>
    <t>Lormet - RAV4</t>
  </si>
  <si>
    <t>Wells Fargo - Deck (Feb 3, 2028)</t>
  </si>
  <si>
    <t>Lowes - Aug 14, 2026</t>
  </si>
  <si>
    <t>Lowes - Dec 15, 2026</t>
  </si>
  <si>
    <t>Lowes - Mar 2027</t>
  </si>
  <si>
    <t>Wells Fargo - Pool (Aug 11, 2030)</t>
  </si>
  <si>
    <t>Trailer Rental - Deck</t>
  </si>
  <si>
    <t>Sun Belt Rentals - Deck</t>
  </si>
  <si>
    <t>Frankenmuth Insurance - Rental</t>
  </si>
  <si>
    <t>Litehouse Pools</t>
  </si>
  <si>
    <t>Little Met Golf Course</t>
  </si>
  <si>
    <t>Home Depot - Deck</t>
  </si>
  <si>
    <t>Consumers Builders Supply - Deck</t>
  </si>
  <si>
    <t>Lowes - Deck</t>
  </si>
  <si>
    <t>Yard House</t>
  </si>
  <si>
    <t>Fleet Feet</t>
  </si>
  <si>
    <t>Subway</t>
  </si>
  <si>
    <t>Cheesecake Factory</t>
  </si>
  <si>
    <t>Digital Media</t>
  </si>
  <si>
    <t>Zachery Drzik - Corolla Oil Change</t>
  </si>
  <si>
    <t>Rav 4 &amp; Corolla Oil Change</t>
  </si>
  <si>
    <t>Deck Materials</t>
  </si>
  <si>
    <t>Pool Maintenance - Chemicals</t>
  </si>
  <si>
    <t>Sportsbooks Withdrawal</t>
  </si>
  <si>
    <t>E-Zpass</t>
  </si>
  <si>
    <t>Amazon - Kindle Unlimited</t>
  </si>
  <si>
    <t>Amazon - Prime Video</t>
  </si>
  <si>
    <t>Cash App - Yasmary</t>
  </si>
  <si>
    <t>Cash App - Superbowl Squares</t>
  </si>
  <si>
    <t>Cash App - Starbucks</t>
  </si>
  <si>
    <t>Cash App - McDonalds</t>
  </si>
  <si>
    <t>Backstage Bar</t>
  </si>
  <si>
    <t>Fujiyama</t>
  </si>
  <si>
    <t>Coastal Local Seafood</t>
  </si>
  <si>
    <t>El Vaquero</t>
  </si>
  <si>
    <t>ATM Withdrawal - Columbus</t>
  </si>
  <si>
    <t>Transfer to Venmo - Kate Thomas</t>
  </si>
  <si>
    <t>Cash App - Shop Funds</t>
  </si>
  <si>
    <t>Barleys Brewing Compnay</t>
  </si>
  <si>
    <t>Barrel &amp; Bottle</t>
  </si>
  <si>
    <t>Pool Maintenance - Robot (Amazon)</t>
  </si>
  <si>
    <t>Cash - Misc</t>
  </si>
  <si>
    <t>Cash - Food</t>
  </si>
  <si>
    <t>Cash - Entertainment</t>
  </si>
  <si>
    <t>World Market</t>
  </si>
  <si>
    <t>PJ McIntyre's Irish Pub</t>
  </si>
  <si>
    <t>Dantes Pizza - Lorri Refund</t>
  </si>
  <si>
    <t>Amazon Marketplace - Robot Vacuum</t>
  </si>
  <si>
    <t>BP</t>
  </si>
  <si>
    <t>ATM Withdrawal - Grad Party</t>
  </si>
  <si>
    <t>May Transfer</t>
  </si>
  <si>
    <t>Dantes Pizza - Cleveland Clinic</t>
  </si>
  <si>
    <t>Transfer to Venmo - Dominic Cruz; Golf Outing</t>
  </si>
  <si>
    <t>Transfer to Venmo - Stroke Awareness</t>
  </si>
  <si>
    <t>Lowes - Landscaping</t>
  </si>
  <si>
    <t>Pandys Garden Center - Landscaping</t>
  </si>
  <si>
    <t>Five Below</t>
  </si>
  <si>
    <t>2003 Toyota Corolla</t>
  </si>
  <si>
    <t>Le Petit</t>
  </si>
  <si>
    <t>May Savings</t>
  </si>
  <si>
    <t>Transfer to Kraken</t>
  </si>
  <si>
    <t>Transfer to M1</t>
  </si>
  <si>
    <t>Uber One Membership</t>
  </si>
  <si>
    <t>Online Food Order</t>
  </si>
  <si>
    <t>GM Financial (1 payment left)</t>
  </si>
  <si>
    <t>Lowes Rewards CC - Kitchen</t>
  </si>
  <si>
    <t>First Energy - Main</t>
  </si>
  <si>
    <t>Water My Battery</t>
  </si>
  <si>
    <t>Marathon</t>
  </si>
  <si>
    <t>The Clean Plate</t>
  </si>
  <si>
    <t>HDSA.org</t>
  </si>
  <si>
    <t>Interest Income</t>
  </si>
  <si>
    <t>Amazon Prime</t>
  </si>
  <si>
    <t>May Rent</t>
  </si>
  <si>
    <t>Rays Auto - RV Service</t>
  </si>
  <si>
    <t>Progressive Insurance</t>
  </si>
  <si>
    <t>RV Service/Repair</t>
  </si>
  <si>
    <t>Golf Outing - Dominic Cruz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</si>
</sst>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9">
    <numFmt numFmtId="8" formatCode="&quot;$&quot;#,##0.00_);[Red]\(&quot;$&quot;#,##0.00\)"/>
    <numFmt numFmtId="44" formatCode="_(&quot;$&quot;* #,##0.00_);_(&quot;$&quot;* \(#,##0.00\);_(&quot;$&quot;* &quot;-&quot;??_);_(@_)"/>
    <numFmt numFmtId="164" formatCode="[$-F400]h:mm:ss\ AM/PM"/>
    <numFmt numFmtId="165" formatCode="&quot;$&quot;#,##0.00"/>
    <numFmt numFmtId="166" formatCode="0.0%"/>
    <numFmt numFmtId="167" formatCode="0.0"/>
    <numFmt numFmtId="168" formatCode="0.0000"/>
    <numFmt numFmtId="169" formatCode="0.000"/>
    <numFmt numFmtId="170" formatCode="0.000000000"/>
  </numFmts>
  <fonts count="20" x14ac:knownFonts="1">
    <font>
      <sz val="11"/>
      <color theme="1"/>
      <name val="Calibri"/>
      <scheme val="minor"/>
    </font>
    <font>
      <sz val="11"/>
      <color theme="1"/>
      <name val="Calibri"/>
      <family val="2"/>
      <scheme val="minor"/>
    </font>
    <font>
      <sz val="12"/>
      <color theme="1"/>
      <name val="Aptos"/>
      <family val="2"/>
    </font>
    <font>
      <b/>
      <sz val="12"/>
      <color theme="1"/>
      <name val="Aptos"/>
      <family val="2"/>
    </font>
    <font>
      <b/>
      <sz val="11"/>
      <color theme="1"/>
      <name val="Calibri"/>
      <family val="2"/>
    </font>
    <font>
      <sz val="11"/>
      <name val="Calibri"/>
      <family val="2"/>
    </font>
    <font>
      <sz val="11"/>
      <color theme="1"/>
      <name val="Calibri"/>
      <family val="2"/>
    </font>
    <font>
      <u/>
      <sz val="11"/>
      <color theme="10"/>
      <name val="Calibri"/>
      <family val="2"/>
    </font>
    <font>
      <sz val="8"/>
      <color rgb="FF5A5F6D"/>
      <name val="Quattrocento Sans"/>
    </font>
    <font>
      <sz val="11"/>
      <color theme="1"/>
      <name val="Calibri"/>
      <family val="2"/>
      <scheme val="minor"/>
    </font>
    <font>
      <b/>
      <sz val="22"/>
      <color theme="1"/>
      <name val="Courier New"/>
      <family val="3"/>
    </font>
    <font>
      <sz val="8"/>
      <color theme="1"/>
      <name val="Courier New"/>
      <family val="3"/>
    </font>
    <font>
      <b/>
      <sz val="8"/>
      <color theme="1"/>
      <name val="Courier New"/>
      <family val="3"/>
    </font>
    <font>
      <sz val="9"/>
      <color theme="1"/>
      <name val="Courier New"/>
      <family val="3"/>
    </font>
    <font>
      <sz val="8"/>
      <color theme="1"/>
      <name val="Calibri"/>
      <family val="2"/>
    </font>
    <font>
      <u/>
      <sz val="8"/>
      <color theme="1"/>
      <name val="Courier New"/>
      <family val="3"/>
    </font>
    <font>
      <u/>
      <sz val="11"/>
      <color theme="10"/>
      <name val="Calibri"/>
      <family val="2"/>
    </font>
    <font>
      <u/>
      <sz val="8"/>
      <color theme="1"/>
      <name val="Courier New"/>
      <family val="3"/>
    </font>
    <font>
      <sz val="11"/>
      <color rgb="FF0A0A0A"/>
      <name val="Calibri"/>
      <family val="2"/>
    </font>
    <font>
      <u/>
      <sz val="11"/>
      <color theme="10"/>
      <name val="Calibri"/>
      <family val="2"/>
      <scheme val="minor"/>
    </font>
  </fonts>
  <fills count="21">
    <fill>
      <patternFill patternType="none"/>
    </fill>
    <fill>
      <patternFill patternType="gray125"/>
    </fill>
    <fill>
      <patternFill patternType="solid">
        <fgColor rgb="FFD8D8D8"/>
        <bgColor rgb="FFD8D8D8"/>
      </patternFill>
    </fill>
    <fill>
      <patternFill patternType="solid">
        <fgColor rgb="FFE5B8B7"/>
        <bgColor rgb="FFE5B8B7"/>
      </patternFill>
    </fill>
    <fill>
      <patternFill patternType="solid">
        <fgColor rgb="FFD6E3BC"/>
        <bgColor rgb="FFD6E3BC"/>
      </patternFill>
    </fill>
    <fill>
      <patternFill patternType="solid">
        <fgColor rgb="FFBFBFBF"/>
        <bgColor rgb="FFBFBFBF"/>
      </patternFill>
    </fill>
    <fill>
      <patternFill patternType="solid">
        <fgColor rgb="FFFFC000"/>
        <bgColor rgb="FFFFC000"/>
      </patternFill>
    </fill>
    <fill>
      <patternFill patternType="solid">
        <fgColor rgb="FF00B050"/>
        <bgColor rgb="FF00B050"/>
      </patternFill>
    </fill>
    <fill>
      <patternFill patternType="solid">
        <fgColor rgb="FFFABF8F"/>
        <bgColor rgb="FFFABF8F"/>
      </patternFill>
    </fill>
    <fill>
      <patternFill patternType="solid">
        <fgColor rgb="FF938953"/>
        <bgColor rgb="FF938953"/>
      </patternFill>
    </fill>
    <fill>
      <patternFill patternType="solid">
        <fgColor rgb="FFC2D69B"/>
        <bgColor rgb="FFC2D69B"/>
      </patternFill>
    </fill>
    <fill>
      <patternFill patternType="solid">
        <fgColor rgb="FF548DD4"/>
        <bgColor rgb="FF548DD4"/>
      </patternFill>
    </fill>
    <fill>
      <patternFill patternType="solid">
        <fgColor rgb="FFD99594"/>
        <bgColor rgb="FFD99594"/>
      </patternFill>
    </fill>
    <fill>
      <patternFill patternType="solid">
        <fgColor rgb="FFB2A1C7"/>
        <bgColor rgb="FFB2A1C7"/>
      </patternFill>
    </fill>
    <fill>
      <patternFill patternType="solid">
        <fgColor rgb="FF95B3D7"/>
        <bgColor rgb="FF95B3D7"/>
      </patternFill>
    </fill>
    <fill>
      <patternFill patternType="solid">
        <fgColor rgb="FF92CDDC"/>
        <bgColor rgb="FF92CDDC"/>
      </patternFill>
    </fill>
    <fill>
      <patternFill patternType="solid">
        <fgColor rgb="FFFF0000"/>
        <bgColor rgb="FFFF0000"/>
      </patternFill>
    </fill>
    <fill>
      <patternFill patternType="solid">
        <fgColor rgb="FFA5A5A5"/>
        <bgColor rgb="FFA5A5A5"/>
      </patternFill>
    </fill>
    <fill>
      <patternFill patternType="solid">
        <fgColor rgb="FFFFFF00"/>
        <bgColor rgb="FFFFFF00"/>
      </patternFill>
    </fill>
    <fill>
      <patternFill patternType="solid">
        <fgColor rgb="FFB8CCE4"/>
        <bgColor rgb="FFB8CCE4"/>
      </patternFill>
    </fill>
    <fill>
      <patternFill patternType="solid">
        <fgColor rgb="FFFFFF00"/>
        <bgColor indexed="64"/>
      </patternFill>
    </fill>
  </fills>
  <borders count="51">
    <border>
      <left/>
      <right/>
      <top/>
      <bottom/>
      <diagonal/>
    </border>
    <border>
      <left style="medium">
        <color rgb="FF000000"/>
      </left>
      <right/>
      <top style="medium">
        <color rgb="FF000000"/>
      </top>
      <bottom style="thin">
        <color rgb="FF000000"/>
      </bottom>
      <diagonal/>
    </border>
    <border>
      <left/>
      <right/>
      <top style="medium">
        <color rgb="FF000000"/>
      </top>
      <bottom style="thin">
        <color rgb="FF000000"/>
      </bottom>
      <diagonal/>
    </border>
    <border>
      <left/>
      <right style="medium">
        <color rgb="FF000000"/>
      </right>
      <top style="medium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medium">
        <color rgb="FF000000"/>
      </top>
      <bottom style="thin">
        <color rgb="FF000000"/>
      </bottom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medium">
        <color rgb="FF000000"/>
      </bottom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medium">
        <color rgb="FF000000"/>
      </right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medium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/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/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/>
      <bottom/>
      <diagonal/>
    </border>
    <border>
      <left style="medium">
        <color rgb="FF000000"/>
      </left>
      <right style="thin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/>
      <top style="medium">
        <color rgb="FF000000"/>
      </top>
      <bottom style="thin">
        <color rgb="FF000000"/>
      </bottom>
      <diagonal/>
    </border>
    <border>
      <left/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medium">
        <color rgb="FF000000"/>
      </right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/>
      <right/>
      <top style="medium">
        <color rgb="FF000000"/>
      </top>
      <bottom style="thin">
        <color rgb="FF000000"/>
      </bottom>
      <diagonal/>
    </border>
    <border>
      <left/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 style="thin">
        <color rgb="FF000000"/>
      </left>
      <right/>
      <top style="medium">
        <color rgb="FF000000"/>
      </top>
      <bottom style="thin">
        <color rgb="FF000000"/>
      </bottom>
      <diagonal/>
    </border>
    <border>
      <left/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/>
      <top/>
      <bottom/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medium">
        <color rgb="FF000000"/>
      </bottom>
      <diagonal/>
    </border>
    <border>
      <left/>
      <right/>
      <top/>
      <bottom style="thin">
        <color rgb="FF000000"/>
      </bottom>
      <diagonal/>
    </border>
    <border>
      <left/>
      <right/>
      <top/>
      <bottom style="thin">
        <color rgb="FF000000"/>
      </bottom>
      <diagonal/>
    </border>
    <border>
      <left/>
      <right/>
      <top/>
      <bottom style="thin">
        <color rgb="FF000000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2">
    <xf numFmtId="164" fontId="0" fillId="0" borderId="0"/>
    <xf numFmtId="164" fontId="19" fillId="0" borderId="0" applyNumberFormat="0" applyFill="0" applyBorder="0" applyAlignment="0" applyProtection="0"/>
  </cellStyleXfs>
  <cellXfs count="575">
    <xf numFmtId="164" fontId="0" fillId="0" borderId="0" xfId="0"/>
    <xf numFmtId="164" fontId="2" fillId="0" borderId="0" xfId="0" applyFont="1" applyAlignment="1">
      <alignment vertical="center"/>
    </xf>
    <xf numFmtId="164" fontId="3" fillId="0" borderId="0" xfId="0" applyFont="1" applyAlignment="1">
      <alignment vertical="center"/>
    </xf>
    <xf numFmtId="164" fontId="2" fillId="0" borderId="0" xfId="0" applyFont="1" applyAlignment="1">
      <alignment horizontal="left" vertical="center"/>
    </xf>
    <xf numFmtId="164" fontId="3" fillId="0" borderId="0" xfId="0" applyFont="1" applyAlignment="1">
      <alignment horizontal="left" vertical="center"/>
    </xf>
    <xf numFmtId="164" fontId="6" fillId="0" borderId="4" xfId="0" applyFont="1" applyBorder="1"/>
    <xf numFmtId="44" fontId="6" fillId="0" borderId="5" xfId="0" applyNumberFormat="1" applyFont="1" applyBorder="1"/>
    <xf numFmtId="44" fontId="6" fillId="0" borderId="0" xfId="0" applyNumberFormat="1" applyFont="1"/>
    <xf numFmtId="164" fontId="6" fillId="0" borderId="6" xfId="0" applyFont="1" applyBorder="1" applyAlignment="1">
      <alignment horizontal="left"/>
    </xf>
    <xf numFmtId="165" fontId="6" fillId="0" borderId="7" xfId="0" applyNumberFormat="1" applyFont="1" applyBorder="1" applyAlignment="1">
      <alignment horizontal="center"/>
    </xf>
    <xf numFmtId="164" fontId="6" fillId="0" borderId="8" xfId="0" applyFont="1" applyBorder="1" applyAlignment="1">
      <alignment horizontal="center"/>
    </xf>
    <xf numFmtId="164" fontId="6" fillId="0" borderId="0" xfId="0" applyFont="1" applyAlignment="1">
      <alignment horizontal="center"/>
    </xf>
    <xf numFmtId="9" fontId="6" fillId="0" borderId="0" xfId="0" applyNumberFormat="1" applyFont="1"/>
    <xf numFmtId="164" fontId="6" fillId="0" borderId="9" xfId="0" applyFont="1" applyBorder="1"/>
    <xf numFmtId="44" fontId="6" fillId="0" borderId="10" xfId="0" applyNumberFormat="1" applyFont="1" applyBorder="1"/>
    <xf numFmtId="14" fontId="6" fillId="0" borderId="11" xfId="0" applyNumberFormat="1" applyFont="1" applyBorder="1" applyAlignment="1">
      <alignment horizontal="center"/>
    </xf>
    <xf numFmtId="44" fontId="6" fillId="0" borderId="11" xfId="0" applyNumberFormat="1" applyFont="1" applyBorder="1"/>
    <xf numFmtId="10" fontId="6" fillId="0" borderId="0" xfId="0" applyNumberFormat="1" applyFont="1" applyAlignment="1">
      <alignment horizontal="left"/>
    </xf>
    <xf numFmtId="164" fontId="6" fillId="0" borderId="9" xfId="0" applyFont="1" applyBorder="1" applyAlignment="1">
      <alignment horizontal="left"/>
    </xf>
    <xf numFmtId="9" fontId="6" fillId="0" borderId="10" xfId="0" applyNumberFormat="1" applyFont="1" applyBorder="1" applyAlignment="1">
      <alignment horizontal="center"/>
    </xf>
    <xf numFmtId="10" fontId="6" fillId="0" borderId="11" xfId="0" applyNumberFormat="1" applyFont="1" applyBorder="1" applyAlignment="1">
      <alignment horizontal="center"/>
    </xf>
    <xf numFmtId="164" fontId="6" fillId="0" borderId="12" xfId="0" applyFont="1" applyBorder="1"/>
    <xf numFmtId="44" fontId="6" fillId="0" borderId="13" xfId="0" applyNumberFormat="1" applyFont="1" applyBorder="1"/>
    <xf numFmtId="165" fontId="6" fillId="0" borderId="0" xfId="0" applyNumberFormat="1" applyFont="1"/>
    <xf numFmtId="164" fontId="6" fillId="0" borderId="14" xfId="0" applyFont="1" applyBorder="1" applyAlignment="1">
      <alignment horizontal="left"/>
    </xf>
    <xf numFmtId="165" fontId="6" fillId="0" borderId="0" xfId="0" applyNumberFormat="1" applyFont="1" applyAlignment="1">
      <alignment horizontal="center"/>
    </xf>
    <xf numFmtId="164" fontId="6" fillId="0" borderId="15" xfId="0" applyFont="1" applyBorder="1" applyAlignment="1">
      <alignment horizontal="center"/>
    </xf>
    <xf numFmtId="164" fontId="6" fillId="0" borderId="16" xfId="0" applyFont="1" applyBorder="1"/>
    <xf numFmtId="44" fontId="6" fillId="0" borderId="17" xfId="0" applyNumberFormat="1" applyFont="1" applyBorder="1"/>
    <xf numFmtId="3" fontId="6" fillId="0" borderId="9" xfId="0" applyNumberFormat="1" applyFont="1" applyBorder="1" applyAlignment="1">
      <alignment horizontal="left"/>
    </xf>
    <xf numFmtId="44" fontId="6" fillId="0" borderId="10" xfId="0" applyNumberFormat="1" applyFont="1" applyBorder="1" applyAlignment="1">
      <alignment horizontal="center"/>
    </xf>
    <xf numFmtId="164" fontId="7" fillId="0" borderId="9" xfId="0" applyFont="1" applyBorder="1"/>
    <xf numFmtId="14" fontId="6" fillId="0" borderId="11" xfId="0" applyNumberFormat="1" applyFont="1" applyBorder="1"/>
    <xf numFmtId="44" fontId="6" fillId="0" borderId="18" xfId="0" applyNumberFormat="1" applyFont="1" applyBorder="1"/>
    <xf numFmtId="10" fontId="6" fillId="0" borderId="13" xfId="0" applyNumberFormat="1" applyFont="1" applyBorder="1" applyAlignment="1">
      <alignment horizontal="center"/>
    </xf>
    <xf numFmtId="164" fontId="6" fillId="0" borderId="19" xfId="0" applyFont="1" applyBorder="1"/>
    <xf numFmtId="44" fontId="6" fillId="0" borderId="20" xfId="0" applyNumberFormat="1" applyFont="1" applyBorder="1"/>
    <xf numFmtId="14" fontId="6" fillId="0" borderId="0" xfId="0" applyNumberFormat="1" applyFont="1" applyAlignment="1">
      <alignment horizontal="center"/>
    </xf>
    <xf numFmtId="164" fontId="6" fillId="0" borderId="13" xfId="0" applyFont="1" applyBorder="1"/>
    <xf numFmtId="44" fontId="6" fillId="0" borderId="0" xfId="0" applyNumberFormat="1" applyFont="1" applyAlignment="1">
      <alignment horizontal="center"/>
    </xf>
    <xf numFmtId="44" fontId="6" fillId="0" borderId="11" xfId="0" applyNumberFormat="1" applyFont="1" applyBorder="1" applyAlignment="1">
      <alignment horizontal="center"/>
    </xf>
    <xf numFmtId="164" fontId="6" fillId="0" borderId="21" xfId="0" applyFont="1" applyBorder="1"/>
    <xf numFmtId="44" fontId="6" fillId="0" borderId="22" xfId="0" applyNumberFormat="1" applyFont="1" applyBorder="1"/>
    <xf numFmtId="164" fontId="6" fillId="0" borderId="12" xfId="0" applyFont="1" applyBorder="1" applyAlignment="1">
      <alignment horizontal="left"/>
    </xf>
    <xf numFmtId="44" fontId="6" fillId="0" borderId="18" xfId="0" applyNumberFormat="1" applyFont="1" applyBorder="1" applyAlignment="1">
      <alignment horizontal="center"/>
    </xf>
    <xf numFmtId="44" fontId="6" fillId="0" borderId="13" xfId="0" applyNumberFormat="1" applyFont="1" applyBorder="1" applyAlignment="1">
      <alignment horizontal="center"/>
    </xf>
    <xf numFmtId="0" fontId="6" fillId="0" borderId="0" xfId="0" applyNumberFormat="1" applyFont="1"/>
    <xf numFmtId="164" fontId="6" fillId="0" borderId="10" xfId="0" applyFont="1" applyBorder="1"/>
    <xf numFmtId="44" fontId="6" fillId="0" borderId="23" xfId="0" applyNumberFormat="1" applyFont="1" applyBorder="1"/>
    <xf numFmtId="164" fontId="6" fillId="0" borderId="0" xfId="0" applyFont="1" applyAlignment="1">
      <alignment horizontal="left"/>
    </xf>
    <xf numFmtId="10" fontId="6" fillId="0" borderId="0" xfId="0" applyNumberFormat="1" applyFont="1" applyAlignment="1">
      <alignment horizontal="center"/>
    </xf>
    <xf numFmtId="44" fontId="6" fillId="0" borderId="24" xfId="0" applyNumberFormat="1" applyFont="1" applyBorder="1"/>
    <xf numFmtId="10" fontId="4" fillId="0" borderId="4" xfId="0" applyNumberFormat="1" applyFont="1" applyBorder="1" applyAlignment="1">
      <alignment horizontal="center"/>
    </xf>
    <xf numFmtId="44" fontId="4" fillId="0" borderId="25" xfId="0" applyNumberFormat="1" applyFont="1" applyBorder="1" applyAlignment="1">
      <alignment horizontal="center"/>
    </xf>
    <xf numFmtId="164" fontId="4" fillId="0" borderId="5" xfId="0" applyFont="1" applyBorder="1" applyAlignment="1">
      <alignment horizontal="center"/>
    </xf>
    <xf numFmtId="44" fontId="6" fillId="0" borderId="26" xfId="0" applyNumberFormat="1" applyFont="1" applyBorder="1"/>
    <xf numFmtId="44" fontId="6" fillId="0" borderId="12" xfId="0" applyNumberFormat="1" applyFont="1" applyBorder="1" applyAlignment="1">
      <alignment horizontal="center"/>
    </xf>
    <xf numFmtId="164" fontId="6" fillId="0" borderId="4" xfId="0" applyFont="1" applyBorder="1" applyAlignment="1">
      <alignment horizontal="left"/>
    </xf>
    <xf numFmtId="165" fontId="6" fillId="0" borderId="25" xfId="0" applyNumberFormat="1" applyFont="1" applyBorder="1" applyAlignment="1">
      <alignment horizontal="center"/>
    </xf>
    <xf numFmtId="10" fontId="6" fillId="0" borderId="5" xfId="0" applyNumberFormat="1" applyFont="1" applyBorder="1" applyAlignment="1">
      <alignment horizontal="center"/>
    </xf>
    <xf numFmtId="164" fontId="6" fillId="0" borderId="27" xfId="0" applyFont="1" applyBorder="1"/>
    <xf numFmtId="14" fontId="4" fillId="0" borderId="4" xfId="0" applyNumberFormat="1" applyFont="1" applyBorder="1" applyAlignment="1">
      <alignment horizontal="center"/>
    </xf>
    <xf numFmtId="44" fontId="4" fillId="0" borderId="5" xfId="0" applyNumberFormat="1" applyFont="1" applyBorder="1" applyAlignment="1">
      <alignment horizontal="center"/>
    </xf>
    <xf numFmtId="165" fontId="6" fillId="0" borderId="10" xfId="0" applyNumberFormat="1" applyFont="1" applyBorder="1" applyAlignment="1">
      <alignment horizontal="center"/>
    </xf>
    <xf numFmtId="165" fontId="6" fillId="0" borderId="18" xfId="0" applyNumberFormat="1" applyFont="1" applyBorder="1" applyAlignment="1">
      <alignment horizontal="center"/>
    </xf>
    <xf numFmtId="14" fontId="6" fillId="0" borderId="0" xfId="0" applyNumberFormat="1" applyFont="1"/>
    <xf numFmtId="0" fontId="4" fillId="0" borderId="0" xfId="0" applyNumberFormat="1" applyFont="1"/>
    <xf numFmtId="44" fontId="4" fillId="0" borderId="0" xfId="0" applyNumberFormat="1" applyFont="1"/>
    <xf numFmtId="164" fontId="6" fillId="0" borderId="28" xfId="0" applyFont="1" applyBorder="1"/>
    <xf numFmtId="44" fontId="4" fillId="0" borderId="21" xfId="0" applyNumberFormat="1" applyFont="1" applyBorder="1" applyAlignment="1">
      <alignment horizontal="center"/>
    </xf>
    <xf numFmtId="164" fontId="4" fillId="0" borderId="29" xfId="0" applyFont="1" applyBorder="1" applyAlignment="1">
      <alignment horizontal="center"/>
    </xf>
    <xf numFmtId="44" fontId="4" fillId="0" borderId="22" xfId="0" applyNumberFormat="1" applyFont="1" applyBorder="1" applyAlignment="1">
      <alignment horizontal="center"/>
    </xf>
    <xf numFmtId="44" fontId="6" fillId="0" borderId="25" xfId="0" applyNumberFormat="1" applyFont="1" applyBorder="1"/>
    <xf numFmtId="10" fontId="6" fillId="0" borderId="25" xfId="0" applyNumberFormat="1" applyFont="1" applyBorder="1" applyAlignment="1">
      <alignment horizontal="center"/>
    </xf>
    <xf numFmtId="164" fontId="6" fillId="0" borderId="5" xfId="0" applyFont="1" applyBorder="1"/>
    <xf numFmtId="44" fontId="6" fillId="0" borderId="19" xfId="0" applyNumberFormat="1" applyFont="1" applyBorder="1"/>
    <xf numFmtId="44" fontId="6" fillId="0" borderId="30" xfId="0" applyNumberFormat="1" applyFont="1" applyBorder="1" applyAlignment="1">
      <alignment horizontal="center"/>
    </xf>
    <xf numFmtId="10" fontId="6" fillId="0" borderId="20" xfId="0" applyNumberFormat="1" applyFont="1" applyBorder="1" applyAlignment="1">
      <alignment horizontal="center"/>
    </xf>
    <xf numFmtId="10" fontId="6" fillId="0" borderId="10" xfId="0" applyNumberFormat="1" applyFont="1" applyBorder="1" applyAlignment="1">
      <alignment horizontal="center"/>
    </xf>
    <xf numFmtId="164" fontId="6" fillId="0" borderId="11" xfId="0" applyFont="1" applyBorder="1"/>
    <xf numFmtId="44" fontId="6" fillId="0" borderId="9" xfId="0" applyNumberFormat="1" applyFont="1" applyBorder="1"/>
    <xf numFmtId="44" fontId="6" fillId="0" borderId="0" xfId="0" applyNumberFormat="1" applyFont="1" applyAlignment="1">
      <alignment horizontal="left"/>
    </xf>
    <xf numFmtId="10" fontId="6" fillId="0" borderId="24" xfId="0" applyNumberFormat="1" applyFont="1" applyBorder="1" applyAlignment="1">
      <alignment horizontal="center"/>
    </xf>
    <xf numFmtId="164" fontId="6" fillId="0" borderId="17" xfId="0" applyFont="1" applyBorder="1"/>
    <xf numFmtId="164" fontId="8" fillId="0" borderId="0" xfId="0" applyFont="1"/>
    <xf numFmtId="44" fontId="6" fillId="0" borderId="12" xfId="0" applyNumberFormat="1" applyFont="1" applyBorder="1"/>
    <xf numFmtId="164" fontId="6" fillId="0" borderId="0" xfId="0" applyFont="1"/>
    <xf numFmtId="44" fontId="6" fillId="0" borderId="29" xfId="0" applyNumberFormat="1" applyFont="1" applyBorder="1"/>
    <xf numFmtId="10" fontId="6" fillId="0" borderId="29" xfId="0" applyNumberFormat="1" applyFont="1" applyBorder="1" applyAlignment="1">
      <alignment horizontal="center"/>
    </xf>
    <xf numFmtId="164" fontId="6" fillId="0" borderId="22" xfId="0" applyFont="1" applyBorder="1"/>
    <xf numFmtId="164" fontId="6" fillId="0" borderId="0" xfId="0" applyFont="1" applyAlignment="1">
      <alignment horizontal="right"/>
    </xf>
    <xf numFmtId="10" fontId="6" fillId="0" borderId="17" xfId="0" applyNumberFormat="1" applyFont="1" applyBorder="1" applyAlignment="1">
      <alignment horizontal="center"/>
    </xf>
    <xf numFmtId="0" fontId="9" fillId="0" borderId="0" xfId="0" applyNumberFormat="1" applyFont="1"/>
    <xf numFmtId="164" fontId="4" fillId="0" borderId="21" xfId="0" applyFont="1" applyBorder="1"/>
    <xf numFmtId="44" fontId="4" fillId="0" borderId="29" xfId="0" applyNumberFormat="1" applyFont="1" applyBorder="1"/>
    <xf numFmtId="9" fontId="4" fillId="0" borderId="22" xfId="0" applyNumberFormat="1" applyFont="1" applyBorder="1" applyAlignment="1">
      <alignment horizontal="center"/>
    </xf>
    <xf numFmtId="164" fontId="6" fillId="2" borderId="4" xfId="0" applyFont="1" applyFill="1" applyBorder="1"/>
    <xf numFmtId="10" fontId="6" fillId="0" borderId="10" xfId="0" applyNumberFormat="1" applyFont="1" applyBorder="1"/>
    <xf numFmtId="164" fontId="6" fillId="2" borderId="9" xfId="0" applyFont="1" applyFill="1" applyBorder="1"/>
    <xf numFmtId="44" fontId="6" fillId="3" borderId="10" xfId="0" applyNumberFormat="1" applyFont="1" applyFill="1" applyBorder="1" applyAlignment="1">
      <alignment horizontal="center"/>
    </xf>
    <xf numFmtId="10" fontId="6" fillId="3" borderId="10" xfId="0" applyNumberFormat="1" applyFont="1" applyFill="1" applyBorder="1" applyAlignment="1">
      <alignment horizontal="center"/>
    </xf>
    <xf numFmtId="44" fontId="6" fillId="4" borderId="10" xfId="0" applyNumberFormat="1" applyFont="1" applyFill="1" applyBorder="1" applyAlignment="1">
      <alignment horizontal="center"/>
    </xf>
    <xf numFmtId="10" fontId="6" fillId="4" borderId="11" xfId="0" applyNumberFormat="1" applyFont="1" applyFill="1" applyBorder="1" applyAlignment="1">
      <alignment horizontal="center"/>
    </xf>
    <xf numFmtId="44" fontId="6" fillId="3" borderId="10" xfId="0" applyNumberFormat="1" applyFont="1" applyFill="1" applyBorder="1"/>
    <xf numFmtId="44" fontId="6" fillId="4" borderId="10" xfId="0" applyNumberFormat="1" applyFont="1" applyFill="1" applyBorder="1"/>
    <xf numFmtId="164" fontId="6" fillId="2" borderId="33" xfId="0" applyFont="1" applyFill="1" applyBorder="1"/>
    <xf numFmtId="44" fontId="6" fillId="3" borderId="34" xfId="0" applyNumberFormat="1" applyFont="1" applyFill="1" applyBorder="1" applyAlignment="1">
      <alignment horizontal="center"/>
    </xf>
    <xf numFmtId="10" fontId="6" fillId="3" borderId="34" xfId="0" applyNumberFormat="1" applyFont="1" applyFill="1" applyBorder="1" applyAlignment="1">
      <alignment horizontal="center"/>
    </xf>
    <xf numFmtId="44" fontId="6" fillId="4" borderId="34" xfId="0" applyNumberFormat="1" applyFont="1" applyFill="1" applyBorder="1" applyAlignment="1">
      <alignment horizontal="center"/>
    </xf>
    <xf numFmtId="10" fontId="6" fillId="4" borderId="35" xfId="0" applyNumberFormat="1" applyFont="1" applyFill="1" applyBorder="1" applyAlignment="1">
      <alignment horizontal="center"/>
    </xf>
    <xf numFmtId="164" fontId="6" fillId="3" borderId="10" xfId="0" applyFont="1" applyFill="1" applyBorder="1" applyAlignment="1">
      <alignment horizontal="center"/>
    </xf>
    <xf numFmtId="10" fontId="6" fillId="0" borderId="18" xfId="0" applyNumberFormat="1" applyFont="1" applyBorder="1"/>
    <xf numFmtId="164" fontId="6" fillId="2" borderId="12" xfId="0" applyFont="1" applyFill="1" applyBorder="1"/>
    <xf numFmtId="44" fontId="6" fillId="3" borderId="18" xfId="0" applyNumberFormat="1" applyFont="1" applyFill="1" applyBorder="1"/>
    <xf numFmtId="10" fontId="6" fillId="3" borderId="18" xfId="0" applyNumberFormat="1" applyFont="1" applyFill="1" applyBorder="1" applyAlignment="1">
      <alignment horizontal="center"/>
    </xf>
    <xf numFmtId="44" fontId="6" fillId="4" borderId="18" xfId="0" applyNumberFormat="1" applyFont="1" applyFill="1" applyBorder="1"/>
    <xf numFmtId="10" fontId="6" fillId="4" borderId="13" xfId="0" applyNumberFormat="1" applyFont="1" applyFill="1" applyBorder="1" applyAlignment="1">
      <alignment horizontal="center"/>
    </xf>
    <xf numFmtId="10" fontId="6" fillId="0" borderId="0" xfId="0" applyNumberFormat="1" applyFont="1"/>
    <xf numFmtId="2" fontId="6" fillId="0" borderId="0" xfId="0" applyNumberFormat="1" applyFont="1"/>
    <xf numFmtId="164" fontId="11" fillId="0" borderId="0" xfId="0" applyFont="1" applyAlignment="1">
      <alignment vertical="center"/>
    </xf>
    <xf numFmtId="44" fontId="11" fillId="0" borderId="0" xfId="0" applyNumberFormat="1" applyFont="1" applyAlignment="1">
      <alignment vertical="center"/>
    </xf>
    <xf numFmtId="164" fontId="6" fillId="0" borderId="0" xfId="0" applyFont="1" applyAlignment="1">
      <alignment vertical="center"/>
    </xf>
    <xf numFmtId="164" fontId="11" fillId="0" borderId="0" xfId="0" applyFont="1" applyAlignment="1">
      <alignment horizontal="center" vertical="center"/>
    </xf>
    <xf numFmtId="1" fontId="11" fillId="0" borderId="0" xfId="0" applyNumberFormat="1" applyFont="1" applyAlignment="1">
      <alignment horizontal="center" vertical="center"/>
    </xf>
    <xf numFmtId="164" fontId="11" fillId="0" borderId="4" xfId="0" applyFont="1" applyBorder="1" applyAlignment="1">
      <alignment horizontal="center" vertical="center"/>
    </xf>
    <xf numFmtId="164" fontId="11" fillId="0" borderId="25" xfId="0" applyFont="1" applyBorder="1" applyAlignment="1">
      <alignment horizontal="center" vertical="center"/>
    </xf>
    <xf numFmtId="164" fontId="11" fillId="0" borderId="5" xfId="0" applyFont="1" applyBorder="1" applyAlignment="1">
      <alignment horizontal="center" vertical="center"/>
    </xf>
    <xf numFmtId="164" fontId="11" fillId="0" borderId="4" xfId="0" applyFont="1" applyBorder="1" applyAlignment="1">
      <alignment vertical="center"/>
    </xf>
    <xf numFmtId="164" fontId="11" fillId="0" borderId="21" xfId="0" applyFont="1" applyBorder="1" applyAlignment="1">
      <alignment vertical="center"/>
    </xf>
    <xf numFmtId="44" fontId="11" fillId="0" borderId="36" xfId="0" applyNumberFormat="1" applyFont="1" applyBorder="1" applyAlignment="1">
      <alignment horizontal="center" vertical="center"/>
    </xf>
    <xf numFmtId="10" fontId="11" fillId="0" borderId="18" xfId="0" applyNumberFormat="1" applyFont="1" applyBorder="1" applyAlignment="1">
      <alignment horizontal="center" vertical="center"/>
    </xf>
    <xf numFmtId="44" fontId="11" fillId="0" borderId="18" xfId="0" applyNumberFormat="1" applyFont="1" applyBorder="1" applyAlignment="1">
      <alignment horizontal="center" vertical="center"/>
    </xf>
    <xf numFmtId="44" fontId="11" fillId="0" borderId="13" xfId="0" applyNumberFormat="1" applyFont="1" applyBorder="1" applyAlignment="1">
      <alignment horizontal="center" vertical="center"/>
    </xf>
    <xf numFmtId="164" fontId="12" fillId="5" borderId="9" xfId="0" applyFont="1" applyFill="1" applyBorder="1" applyAlignment="1">
      <alignment vertical="center"/>
    </xf>
    <xf numFmtId="44" fontId="12" fillId="5" borderId="10" xfId="0" applyNumberFormat="1" applyFont="1" applyFill="1" applyBorder="1" applyAlignment="1">
      <alignment horizontal="center" vertical="center"/>
    </xf>
    <xf numFmtId="164" fontId="12" fillId="5" borderId="10" xfId="0" applyFont="1" applyFill="1" applyBorder="1" applyAlignment="1">
      <alignment horizontal="center" vertical="center"/>
    </xf>
    <xf numFmtId="44" fontId="12" fillId="5" borderId="11" xfId="0" applyNumberFormat="1" applyFont="1" applyFill="1" applyBorder="1" applyAlignment="1">
      <alignment horizontal="center" vertical="center"/>
    </xf>
    <xf numFmtId="44" fontId="11" fillId="0" borderId="0" xfId="0" applyNumberFormat="1" applyFont="1" applyAlignment="1">
      <alignment horizontal="center" vertical="center"/>
    </xf>
    <xf numFmtId="10" fontId="11" fillId="0" borderId="0" xfId="0" applyNumberFormat="1" applyFont="1" applyAlignment="1">
      <alignment horizontal="center" vertical="center"/>
    </xf>
    <xf numFmtId="164" fontId="11" fillId="0" borderId="9" xfId="0" applyFont="1" applyBorder="1" applyAlignment="1">
      <alignment vertical="center"/>
    </xf>
    <xf numFmtId="44" fontId="11" fillId="0" borderId="10" xfId="0" applyNumberFormat="1" applyFont="1" applyBorder="1" applyAlignment="1">
      <alignment horizontal="center" vertical="center"/>
    </xf>
    <xf numFmtId="164" fontId="11" fillId="0" borderId="10" xfId="0" applyFont="1" applyBorder="1" applyAlignment="1">
      <alignment horizontal="center" vertical="center"/>
    </xf>
    <xf numFmtId="44" fontId="11" fillId="0" borderId="11" xfId="0" applyNumberFormat="1" applyFont="1" applyBorder="1" applyAlignment="1">
      <alignment horizontal="center" vertical="center"/>
    </xf>
    <xf numFmtId="1" fontId="11" fillId="0" borderId="25" xfId="0" applyNumberFormat="1" applyFont="1" applyBorder="1" applyAlignment="1">
      <alignment horizontal="center" vertical="center"/>
    </xf>
    <xf numFmtId="164" fontId="12" fillId="0" borderId="25" xfId="0" applyFont="1" applyBorder="1" applyAlignment="1">
      <alignment vertical="center"/>
    </xf>
    <xf numFmtId="44" fontId="11" fillId="0" borderId="25" xfId="0" applyNumberFormat="1" applyFont="1" applyBorder="1" applyAlignment="1">
      <alignment horizontal="center" vertical="center"/>
    </xf>
    <xf numFmtId="10" fontId="11" fillId="0" borderId="25" xfId="0" applyNumberFormat="1" applyFont="1" applyBorder="1" applyAlignment="1">
      <alignment horizontal="center" vertical="center"/>
    </xf>
    <xf numFmtId="44" fontId="11" fillId="0" borderId="5" xfId="0" applyNumberFormat="1" applyFont="1" applyBorder="1" applyAlignment="1">
      <alignment horizontal="center" vertical="center"/>
    </xf>
    <xf numFmtId="10" fontId="11" fillId="0" borderId="10" xfId="0" applyNumberFormat="1" applyFont="1" applyBorder="1" applyAlignment="1">
      <alignment horizontal="center" vertical="center"/>
    </xf>
    <xf numFmtId="164" fontId="11" fillId="0" borderId="9" xfId="0" applyFont="1" applyBorder="1" applyAlignment="1">
      <alignment horizontal="center" vertical="center"/>
    </xf>
    <xf numFmtId="1" fontId="11" fillId="0" borderId="10" xfId="0" applyNumberFormat="1" applyFont="1" applyBorder="1" applyAlignment="1">
      <alignment horizontal="center" vertical="center"/>
    </xf>
    <xf numFmtId="164" fontId="12" fillId="0" borderId="10" xfId="0" applyFont="1" applyBorder="1" applyAlignment="1">
      <alignment vertical="center"/>
    </xf>
    <xf numFmtId="10" fontId="12" fillId="5" borderId="10" xfId="0" applyNumberFormat="1" applyFont="1" applyFill="1" applyBorder="1" applyAlignment="1">
      <alignment horizontal="center" vertical="center"/>
    </xf>
    <xf numFmtId="164" fontId="11" fillId="0" borderId="16" xfId="0" applyFont="1" applyBorder="1" applyAlignment="1">
      <alignment horizontal="center" vertical="center"/>
    </xf>
    <xf numFmtId="1" fontId="11" fillId="0" borderId="24" xfId="0" applyNumberFormat="1" applyFont="1" applyBorder="1" applyAlignment="1">
      <alignment horizontal="center" vertical="center"/>
    </xf>
    <xf numFmtId="164" fontId="12" fillId="0" borderId="24" xfId="0" applyFont="1" applyBorder="1" applyAlignment="1">
      <alignment vertical="center"/>
    </xf>
    <xf numFmtId="44" fontId="11" fillId="0" borderId="24" xfId="0" applyNumberFormat="1" applyFont="1" applyBorder="1" applyAlignment="1">
      <alignment horizontal="center" vertical="center"/>
    </xf>
    <xf numFmtId="10" fontId="11" fillId="0" borderId="24" xfId="0" applyNumberFormat="1" applyFont="1" applyBorder="1" applyAlignment="1">
      <alignment horizontal="center" vertical="center"/>
    </xf>
    <xf numFmtId="44" fontId="11" fillId="0" borderId="17" xfId="0" applyNumberFormat="1" applyFont="1" applyBorder="1" applyAlignment="1">
      <alignment horizontal="center" vertical="center"/>
    </xf>
    <xf numFmtId="164" fontId="11" fillId="0" borderId="12" xfId="0" applyFont="1" applyBorder="1" applyAlignment="1">
      <alignment horizontal="center" vertical="center"/>
    </xf>
    <xf numFmtId="1" fontId="11" fillId="0" borderId="18" xfId="0" applyNumberFormat="1" applyFont="1" applyBorder="1" applyAlignment="1">
      <alignment horizontal="center" vertical="center"/>
    </xf>
    <xf numFmtId="164" fontId="12" fillId="0" borderId="18" xfId="0" applyFont="1" applyBorder="1" applyAlignment="1">
      <alignment vertical="center"/>
    </xf>
    <xf numFmtId="164" fontId="12" fillId="0" borderId="0" xfId="0" applyFont="1" applyAlignment="1">
      <alignment vertical="center"/>
    </xf>
    <xf numFmtId="164" fontId="11" fillId="0" borderId="25" xfId="0" applyFont="1" applyBorder="1" applyAlignment="1">
      <alignment vertical="center"/>
    </xf>
    <xf numFmtId="164" fontId="11" fillId="0" borderId="10" xfId="0" applyFont="1" applyBorder="1" applyAlignment="1">
      <alignment vertical="center"/>
    </xf>
    <xf numFmtId="164" fontId="11" fillId="6" borderId="10" xfId="0" applyFont="1" applyFill="1" applyBorder="1" applyAlignment="1">
      <alignment vertical="center"/>
    </xf>
    <xf numFmtId="164" fontId="12" fillId="7" borderId="9" xfId="0" applyFont="1" applyFill="1" applyBorder="1" applyAlignment="1">
      <alignment vertical="center"/>
    </xf>
    <xf numFmtId="44" fontId="12" fillId="7" borderId="10" xfId="0" applyNumberFormat="1" applyFont="1" applyFill="1" applyBorder="1" applyAlignment="1">
      <alignment horizontal="center" vertical="center"/>
    </xf>
    <xf numFmtId="10" fontId="12" fillId="7" borderId="10" xfId="0" applyNumberFormat="1" applyFont="1" applyFill="1" applyBorder="1" applyAlignment="1">
      <alignment horizontal="center" vertical="center"/>
    </xf>
    <xf numFmtId="44" fontId="12" fillId="7" borderId="11" xfId="0" applyNumberFormat="1" applyFont="1" applyFill="1" applyBorder="1" applyAlignment="1">
      <alignment horizontal="center" vertical="center"/>
    </xf>
    <xf numFmtId="164" fontId="12" fillId="7" borderId="12" xfId="0" applyFont="1" applyFill="1" applyBorder="1" applyAlignment="1">
      <alignment vertical="center"/>
    </xf>
    <xf numFmtId="44" fontId="12" fillId="7" borderId="18" xfId="0" applyNumberFormat="1" applyFont="1" applyFill="1" applyBorder="1" applyAlignment="1">
      <alignment horizontal="center" vertical="center"/>
    </xf>
    <xf numFmtId="10" fontId="12" fillId="7" borderId="18" xfId="0" applyNumberFormat="1" applyFont="1" applyFill="1" applyBorder="1" applyAlignment="1">
      <alignment horizontal="center" vertical="center"/>
    </xf>
    <xf numFmtId="44" fontId="12" fillId="7" borderId="13" xfId="0" applyNumberFormat="1" applyFont="1" applyFill="1" applyBorder="1" applyAlignment="1">
      <alignment horizontal="center" vertical="center"/>
    </xf>
    <xf numFmtId="165" fontId="11" fillId="0" borderId="0" xfId="0" applyNumberFormat="1" applyFont="1" applyAlignment="1">
      <alignment vertical="center"/>
    </xf>
    <xf numFmtId="44" fontId="11" fillId="0" borderId="25" xfId="0" applyNumberFormat="1" applyFont="1" applyBorder="1" applyAlignment="1">
      <alignment vertical="center"/>
    </xf>
    <xf numFmtId="164" fontId="11" fillId="0" borderId="5" xfId="0" applyFont="1" applyBorder="1" applyAlignment="1">
      <alignment vertical="center"/>
    </xf>
    <xf numFmtId="164" fontId="11" fillId="0" borderId="11" xfId="0" applyFont="1" applyBorder="1" applyAlignment="1">
      <alignment horizontal="center" vertical="center"/>
    </xf>
    <xf numFmtId="164" fontId="11" fillId="0" borderId="18" xfId="0" applyFont="1" applyBorder="1" applyAlignment="1">
      <alignment vertical="center"/>
    </xf>
    <xf numFmtId="164" fontId="11" fillId="7" borderId="12" xfId="0" applyFont="1" applyFill="1" applyBorder="1" applyAlignment="1">
      <alignment vertical="center"/>
    </xf>
    <xf numFmtId="44" fontId="11" fillId="7" borderId="18" xfId="0" applyNumberFormat="1" applyFont="1" applyFill="1" applyBorder="1" applyAlignment="1">
      <alignment horizontal="center" vertical="center"/>
    </xf>
    <xf numFmtId="10" fontId="11" fillId="7" borderId="18" xfId="0" applyNumberFormat="1" applyFont="1" applyFill="1" applyBorder="1" applyAlignment="1">
      <alignment horizontal="center" vertical="center"/>
    </xf>
    <xf numFmtId="44" fontId="11" fillId="7" borderId="13" xfId="0" applyNumberFormat="1" applyFont="1" applyFill="1" applyBorder="1" applyAlignment="1">
      <alignment horizontal="center" vertical="center"/>
    </xf>
    <xf numFmtId="165" fontId="11" fillId="0" borderId="18" xfId="0" applyNumberFormat="1" applyFont="1" applyBorder="1" applyAlignment="1">
      <alignment horizontal="center" vertical="center"/>
    </xf>
    <xf numFmtId="2" fontId="11" fillId="0" borderId="0" xfId="0" applyNumberFormat="1" applyFont="1" applyAlignment="1">
      <alignment horizontal="center" vertical="center"/>
    </xf>
    <xf numFmtId="164" fontId="11" fillId="8" borderId="4" xfId="0" applyFont="1" applyFill="1" applyBorder="1" applyAlignment="1">
      <alignment horizontal="center"/>
    </xf>
    <xf numFmtId="164" fontId="11" fillId="8" borderId="37" xfId="0" applyFont="1" applyFill="1" applyBorder="1" applyAlignment="1">
      <alignment horizontal="center"/>
    </xf>
    <xf numFmtId="164" fontId="11" fillId="8" borderId="5" xfId="0" applyFont="1" applyFill="1" applyBorder="1" applyAlignment="1">
      <alignment horizontal="center"/>
    </xf>
    <xf numFmtId="164" fontId="11" fillId="0" borderId="0" xfId="0" applyFont="1" applyAlignment="1">
      <alignment horizontal="center"/>
    </xf>
    <xf numFmtId="44" fontId="11" fillId="5" borderId="4" xfId="0" applyNumberFormat="1" applyFont="1" applyFill="1" applyBorder="1" applyAlignment="1">
      <alignment horizontal="center"/>
    </xf>
    <xf numFmtId="44" fontId="11" fillId="5" borderId="38" xfId="0" applyNumberFormat="1" applyFont="1" applyFill="1" applyBorder="1" applyAlignment="1">
      <alignment horizontal="center"/>
    </xf>
    <xf numFmtId="44" fontId="11" fillId="5" borderId="25" xfId="0" applyNumberFormat="1" applyFont="1" applyFill="1" applyBorder="1" applyAlignment="1">
      <alignment horizontal="center"/>
    </xf>
    <xf numFmtId="10" fontId="11" fillId="5" borderId="5" xfId="0" applyNumberFormat="1" applyFont="1" applyFill="1" applyBorder="1" applyAlignment="1">
      <alignment horizontal="center"/>
    </xf>
    <xf numFmtId="44" fontId="11" fillId="0" borderId="0" xfId="0" applyNumberFormat="1" applyFont="1" applyAlignment="1">
      <alignment horizontal="center"/>
    </xf>
    <xf numFmtId="44" fontId="11" fillId="9" borderId="4" xfId="0" applyNumberFormat="1" applyFont="1" applyFill="1" applyBorder="1" applyAlignment="1">
      <alignment horizontal="center"/>
    </xf>
    <xf numFmtId="44" fontId="11" fillId="9" borderId="37" xfId="0" applyNumberFormat="1" applyFont="1" applyFill="1" applyBorder="1" applyAlignment="1">
      <alignment horizontal="center"/>
    </xf>
    <xf numFmtId="44" fontId="11" fillId="9" borderId="39" xfId="0" applyNumberFormat="1" applyFont="1" applyFill="1" applyBorder="1" applyAlignment="1">
      <alignment horizontal="center"/>
    </xf>
    <xf numFmtId="10" fontId="11" fillId="9" borderId="5" xfId="0" applyNumberFormat="1" applyFont="1" applyFill="1" applyBorder="1" applyAlignment="1">
      <alignment horizontal="center"/>
    </xf>
    <xf numFmtId="44" fontId="11" fillId="0" borderId="0" xfId="0" applyNumberFormat="1" applyFont="1"/>
    <xf numFmtId="44" fontId="11" fillId="10" borderId="4" xfId="0" applyNumberFormat="1" applyFont="1" applyFill="1" applyBorder="1" applyAlignment="1">
      <alignment horizontal="center"/>
    </xf>
    <xf numFmtId="44" fontId="11" fillId="10" borderId="37" xfId="0" applyNumberFormat="1" applyFont="1" applyFill="1" applyBorder="1" applyAlignment="1">
      <alignment horizontal="center"/>
    </xf>
    <xf numFmtId="44" fontId="11" fillId="10" borderId="5" xfId="0" applyNumberFormat="1" applyFont="1" applyFill="1" applyBorder="1" applyAlignment="1">
      <alignment horizontal="center"/>
    </xf>
    <xf numFmtId="16" fontId="11" fillId="8" borderId="9" xfId="0" applyNumberFormat="1" applyFont="1" applyFill="1" applyBorder="1" applyAlignment="1">
      <alignment horizontal="center"/>
    </xf>
    <xf numFmtId="1" fontId="11" fillId="8" borderId="40" xfId="0" applyNumberFormat="1" applyFont="1" applyFill="1" applyBorder="1" applyAlignment="1">
      <alignment horizontal="center"/>
    </xf>
    <xf numFmtId="1" fontId="11" fillId="8" borderId="11" xfId="0" applyNumberFormat="1" applyFont="1" applyFill="1" applyBorder="1" applyAlignment="1">
      <alignment horizontal="center"/>
    </xf>
    <xf numFmtId="44" fontId="11" fillId="5" borderId="9" xfId="0" applyNumberFormat="1" applyFont="1" applyFill="1" applyBorder="1"/>
    <xf numFmtId="44" fontId="11" fillId="5" borderId="41" xfId="0" applyNumberFormat="1" applyFont="1" applyFill="1" applyBorder="1"/>
    <xf numFmtId="44" fontId="11" fillId="5" borderId="10" xfId="0" applyNumberFormat="1" applyFont="1" applyFill="1" applyBorder="1"/>
    <xf numFmtId="10" fontId="11" fillId="5" borderId="11" xfId="0" applyNumberFormat="1" applyFont="1" applyFill="1" applyBorder="1" applyAlignment="1">
      <alignment horizontal="center"/>
    </xf>
    <xf numFmtId="44" fontId="11" fillId="9" borderId="9" xfId="0" applyNumberFormat="1" applyFont="1" applyFill="1" applyBorder="1" applyAlignment="1">
      <alignment horizontal="center"/>
    </xf>
    <xf numFmtId="44" fontId="11" fillId="9" borderId="40" xfId="0" applyNumberFormat="1" applyFont="1" applyFill="1" applyBorder="1" applyAlignment="1">
      <alignment horizontal="center"/>
    </xf>
    <xf numFmtId="44" fontId="11" fillId="9" borderId="42" xfId="0" applyNumberFormat="1" applyFont="1" applyFill="1" applyBorder="1"/>
    <xf numFmtId="10" fontId="11" fillId="9" borderId="11" xfId="0" applyNumberFormat="1" applyFont="1" applyFill="1" applyBorder="1" applyAlignment="1">
      <alignment horizontal="center"/>
    </xf>
    <xf numFmtId="44" fontId="11" fillId="10" borderId="9" xfId="0" applyNumberFormat="1" applyFont="1" applyFill="1" applyBorder="1"/>
    <xf numFmtId="44" fontId="11" fillId="10" borderId="40" xfId="0" applyNumberFormat="1" applyFont="1" applyFill="1" applyBorder="1"/>
    <xf numFmtId="44" fontId="11" fillId="10" borderId="11" xfId="0" applyNumberFormat="1" applyFont="1" applyFill="1" applyBorder="1"/>
    <xf numFmtId="16" fontId="11" fillId="8" borderId="9" xfId="0" quotePrefix="1" applyNumberFormat="1" applyFont="1" applyFill="1" applyBorder="1" applyAlignment="1">
      <alignment horizontal="center"/>
    </xf>
    <xf numFmtId="164" fontId="11" fillId="8" borderId="9" xfId="0" applyFont="1" applyFill="1" applyBorder="1" applyAlignment="1">
      <alignment horizontal="center"/>
    </xf>
    <xf numFmtId="10" fontId="11" fillId="10" borderId="11" xfId="0" applyNumberFormat="1" applyFont="1" applyFill="1" applyBorder="1" applyAlignment="1">
      <alignment horizontal="center"/>
    </xf>
    <xf numFmtId="44" fontId="11" fillId="11" borderId="4" xfId="0" applyNumberFormat="1" applyFont="1" applyFill="1" applyBorder="1" applyAlignment="1">
      <alignment horizontal="center"/>
    </xf>
    <xf numFmtId="44" fontId="11" fillId="11" borderId="38" xfId="0" applyNumberFormat="1" applyFont="1" applyFill="1" applyBorder="1" applyAlignment="1">
      <alignment horizontal="center"/>
    </xf>
    <xf numFmtId="44" fontId="11" fillId="11" borderId="25" xfId="0" applyNumberFormat="1" applyFont="1" applyFill="1" applyBorder="1" applyAlignment="1">
      <alignment horizontal="center"/>
    </xf>
    <xf numFmtId="10" fontId="11" fillId="11" borderId="5" xfId="0" applyNumberFormat="1" applyFont="1" applyFill="1" applyBorder="1" applyAlignment="1">
      <alignment horizontal="center"/>
    </xf>
    <xf numFmtId="44" fontId="11" fillId="12" borderId="4" xfId="0" applyNumberFormat="1" applyFont="1" applyFill="1" applyBorder="1" applyAlignment="1">
      <alignment horizontal="center"/>
    </xf>
    <xf numFmtId="44" fontId="11" fillId="12" borderId="38" xfId="0" applyNumberFormat="1" applyFont="1" applyFill="1" applyBorder="1" applyAlignment="1">
      <alignment horizontal="center"/>
    </xf>
    <xf numFmtId="44" fontId="11" fillId="12" borderId="25" xfId="0" applyNumberFormat="1" applyFont="1" applyFill="1" applyBorder="1" applyAlignment="1">
      <alignment horizontal="center"/>
    </xf>
    <xf numFmtId="10" fontId="11" fillId="12" borderId="5" xfId="0" applyNumberFormat="1" applyFont="1" applyFill="1" applyBorder="1" applyAlignment="1">
      <alignment horizontal="center"/>
    </xf>
    <xf numFmtId="44" fontId="11" fillId="13" borderId="4" xfId="0" applyNumberFormat="1" applyFont="1" applyFill="1" applyBorder="1" applyAlignment="1">
      <alignment horizontal="center"/>
    </xf>
    <xf numFmtId="44" fontId="11" fillId="13" borderId="37" xfId="0" applyNumberFormat="1" applyFont="1" applyFill="1" applyBorder="1" applyAlignment="1">
      <alignment horizontal="center"/>
    </xf>
    <xf numFmtId="44" fontId="11" fillId="13" borderId="5" xfId="0" applyNumberFormat="1" applyFont="1" applyFill="1" applyBorder="1" applyAlignment="1">
      <alignment horizontal="center"/>
    </xf>
    <xf numFmtId="44" fontId="11" fillId="11" borderId="9" xfId="0" applyNumberFormat="1" applyFont="1" applyFill="1" applyBorder="1"/>
    <xf numFmtId="44" fontId="11" fillId="11" borderId="41" xfId="0" applyNumberFormat="1" applyFont="1" applyFill="1" applyBorder="1"/>
    <xf numFmtId="44" fontId="11" fillId="11" borderId="10" xfId="0" applyNumberFormat="1" applyFont="1" applyFill="1" applyBorder="1"/>
    <xf numFmtId="10" fontId="11" fillId="11" borderId="11" xfId="0" applyNumberFormat="1" applyFont="1" applyFill="1" applyBorder="1" applyAlignment="1">
      <alignment horizontal="center"/>
    </xf>
    <xf numFmtId="44" fontId="11" fillId="12" borderId="9" xfId="0" applyNumberFormat="1" applyFont="1" applyFill="1" applyBorder="1"/>
    <xf numFmtId="44" fontId="11" fillId="12" borderId="41" xfId="0" applyNumberFormat="1" applyFont="1" applyFill="1" applyBorder="1"/>
    <xf numFmtId="44" fontId="11" fillId="12" borderId="10" xfId="0" applyNumberFormat="1" applyFont="1" applyFill="1" applyBorder="1"/>
    <xf numFmtId="10" fontId="11" fillId="12" borderId="11" xfId="0" applyNumberFormat="1" applyFont="1" applyFill="1" applyBorder="1" applyAlignment="1">
      <alignment horizontal="center"/>
    </xf>
    <xf numFmtId="44" fontId="11" fillId="13" borderId="9" xfId="0" applyNumberFormat="1" applyFont="1" applyFill="1" applyBorder="1"/>
    <xf numFmtId="44" fontId="11" fillId="13" borderId="40" xfId="0" applyNumberFormat="1" applyFont="1" applyFill="1" applyBorder="1"/>
    <xf numFmtId="44" fontId="11" fillId="13" borderId="11" xfId="0" applyNumberFormat="1" applyFont="1" applyFill="1" applyBorder="1"/>
    <xf numFmtId="164" fontId="11" fillId="5" borderId="43" xfId="0" applyFont="1" applyFill="1" applyBorder="1"/>
    <xf numFmtId="1" fontId="11" fillId="5" borderId="43" xfId="0" applyNumberFormat="1" applyFont="1" applyFill="1" applyBorder="1"/>
    <xf numFmtId="16" fontId="11" fillId="5" borderId="43" xfId="0" applyNumberFormat="1" applyFont="1" applyFill="1" applyBorder="1" applyAlignment="1">
      <alignment horizontal="left" vertical="center"/>
    </xf>
    <xf numFmtId="16" fontId="11" fillId="5" borderId="43" xfId="0" applyNumberFormat="1" applyFont="1" applyFill="1" applyBorder="1" applyAlignment="1">
      <alignment horizontal="center" vertical="center"/>
    </xf>
    <xf numFmtId="164" fontId="12" fillId="5" borderId="10" xfId="0" applyFont="1" applyFill="1" applyBorder="1" applyAlignment="1">
      <alignment horizontal="center"/>
    </xf>
    <xf numFmtId="10" fontId="12" fillId="5" borderId="10" xfId="0" applyNumberFormat="1" applyFont="1" applyFill="1" applyBorder="1" applyAlignment="1">
      <alignment horizontal="center"/>
    </xf>
    <xf numFmtId="14" fontId="11" fillId="9" borderId="10" xfId="0" applyNumberFormat="1" applyFont="1" applyFill="1" applyBorder="1"/>
    <xf numFmtId="14" fontId="11" fillId="11" borderId="10" xfId="0" applyNumberFormat="1" applyFont="1" applyFill="1" applyBorder="1"/>
    <xf numFmtId="14" fontId="11" fillId="14" borderId="10" xfId="0" applyNumberFormat="1" applyFont="1" applyFill="1" applyBorder="1"/>
    <xf numFmtId="14" fontId="11" fillId="12" borderId="10" xfId="0" applyNumberFormat="1" applyFont="1" applyFill="1" applyBorder="1"/>
    <xf numFmtId="14" fontId="11" fillId="10" borderId="10" xfId="0" applyNumberFormat="1" applyFont="1" applyFill="1" applyBorder="1"/>
    <xf numFmtId="14" fontId="11" fillId="13" borderId="10" xfId="0" applyNumberFormat="1" applyFont="1" applyFill="1" applyBorder="1"/>
    <xf numFmtId="14" fontId="11" fillId="15" borderId="10" xfId="0" applyNumberFormat="1" applyFont="1" applyFill="1" applyBorder="1"/>
    <xf numFmtId="14" fontId="11" fillId="8" borderId="10" xfId="0" applyNumberFormat="1" applyFont="1" applyFill="1" applyBorder="1"/>
    <xf numFmtId="1" fontId="11" fillId="5" borderId="10" xfId="0" applyNumberFormat="1" applyFont="1" applyFill="1" applyBorder="1" applyAlignment="1">
      <alignment horizontal="center"/>
    </xf>
    <xf numFmtId="16" fontId="11" fillId="5" borderId="42" xfId="0" applyNumberFormat="1" applyFont="1" applyFill="1" applyBorder="1" applyAlignment="1">
      <alignment horizontal="left" vertical="center"/>
    </xf>
    <xf numFmtId="16" fontId="11" fillId="5" borderId="42" xfId="0" applyNumberFormat="1" applyFont="1" applyFill="1" applyBorder="1" applyAlignment="1">
      <alignment horizontal="center" vertical="center"/>
    </xf>
    <xf numFmtId="164" fontId="11" fillId="9" borderId="10" xfId="0" applyFont="1" applyFill="1" applyBorder="1" applyAlignment="1">
      <alignment horizontal="center"/>
    </xf>
    <xf numFmtId="164" fontId="11" fillId="11" borderId="10" xfId="0" applyFont="1" applyFill="1" applyBorder="1" applyAlignment="1">
      <alignment horizontal="center"/>
    </xf>
    <xf numFmtId="164" fontId="11" fillId="14" borderId="10" xfId="0" applyFont="1" applyFill="1" applyBorder="1" applyAlignment="1">
      <alignment horizontal="center"/>
    </xf>
    <xf numFmtId="164" fontId="11" fillId="12" borderId="10" xfId="0" applyFont="1" applyFill="1" applyBorder="1" applyAlignment="1">
      <alignment horizontal="center"/>
    </xf>
    <xf numFmtId="164" fontId="11" fillId="10" borderId="10" xfId="0" applyFont="1" applyFill="1" applyBorder="1" applyAlignment="1">
      <alignment horizontal="center"/>
    </xf>
    <xf numFmtId="164" fontId="11" fillId="13" borderId="10" xfId="0" applyFont="1" applyFill="1" applyBorder="1" applyAlignment="1">
      <alignment horizontal="center"/>
    </xf>
    <xf numFmtId="164" fontId="11" fillId="15" borderId="10" xfId="0" applyFont="1" applyFill="1" applyBorder="1" applyAlignment="1">
      <alignment horizontal="center"/>
    </xf>
    <xf numFmtId="164" fontId="11" fillId="8" borderId="10" xfId="0" applyFont="1" applyFill="1" applyBorder="1" applyAlignment="1">
      <alignment horizontal="center"/>
    </xf>
    <xf numFmtId="164" fontId="11" fillId="5" borderId="42" xfId="0" applyFont="1" applyFill="1" applyBorder="1" applyAlignment="1">
      <alignment horizontal="left" vertical="center"/>
    </xf>
    <xf numFmtId="164" fontId="11" fillId="5" borderId="42" xfId="0" applyFont="1" applyFill="1" applyBorder="1" applyAlignment="1">
      <alignment horizontal="center" vertical="center"/>
    </xf>
    <xf numFmtId="44" fontId="12" fillId="5" borderId="10" xfId="0" applyNumberFormat="1" applyFont="1" applyFill="1" applyBorder="1" applyAlignment="1">
      <alignment horizontal="center"/>
    </xf>
    <xf numFmtId="10" fontId="12" fillId="5" borderId="42" xfId="0" applyNumberFormat="1" applyFont="1" applyFill="1" applyBorder="1" applyAlignment="1">
      <alignment horizontal="center"/>
    </xf>
    <xf numFmtId="44" fontId="11" fillId="9" borderId="10" xfId="0" applyNumberFormat="1" applyFont="1" applyFill="1" applyBorder="1"/>
    <xf numFmtId="164" fontId="11" fillId="9" borderId="10" xfId="0" applyFont="1" applyFill="1" applyBorder="1"/>
    <xf numFmtId="164" fontId="11" fillId="11" borderId="10" xfId="0" applyFont="1" applyFill="1" applyBorder="1"/>
    <xf numFmtId="44" fontId="11" fillId="14" borderId="10" xfId="0" applyNumberFormat="1" applyFont="1" applyFill="1" applyBorder="1"/>
    <xf numFmtId="164" fontId="11" fillId="14" borderId="10" xfId="0" applyFont="1" applyFill="1" applyBorder="1"/>
    <xf numFmtId="164" fontId="11" fillId="12" borderId="10" xfId="0" applyFont="1" applyFill="1" applyBorder="1"/>
    <xf numFmtId="44" fontId="11" fillId="10" borderId="10" xfId="0" applyNumberFormat="1" applyFont="1" applyFill="1" applyBorder="1"/>
    <xf numFmtId="164" fontId="11" fillId="10" borderId="10" xfId="0" applyFont="1" applyFill="1" applyBorder="1"/>
    <xf numFmtId="44" fontId="11" fillId="13" borderId="10" xfId="0" applyNumberFormat="1" applyFont="1" applyFill="1" applyBorder="1"/>
    <xf numFmtId="164" fontId="11" fillId="13" borderId="10" xfId="0" applyFont="1" applyFill="1" applyBorder="1"/>
    <xf numFmtId="44" fontId="11" fillId="15" borderId="10" xfId="0" applyNumberFormat="1" applyFont="1" applyFill="1" applyBorder="1"/>
    <xf numFmtId="164" fontId="11" fillId="15" borderId="10" xfId="0" applyFont="1" applyFill="1" applyBorder="1"/>
    <xf numFmtId="44" fontId="11" fillId="8" borderId="10" xfId="0" applyNumberFormat="1" applyFont="1" applyFill="1" applyBorder="1"/>
    <xf numFmtId="164" fontId="11" fillId="8" borderId="10" xfId="0" applyFont="1" applyFill="1" applyBorder="1"/>
    <xf numFmtId="164" fontId="11" fillId="5" borderId="10" xfId="0" applyFont="1" applyFill="1" applyBorder="1" applyAlignment="1">
      <alignment horizontal="center"/>
    </xf>
    <xf numFmtId="10" fontId="11" fillId="5" borderId="10" xfId="0" applyNumberFormat="1" applyFont="1" applyFill="1" applyBorder="1" applyAlignment="1">
      <alignment horizontal="center"/>
    </xf>
    <xf numFmtId="44" fontId="11" fillId="5" borderId="10" xfId="0" applyNumberFormat="1" applyFont="1" applyFill="1" applyBorder="1" applyAlignment="1">
      <alignment horizontal="center"/>
    </xf>
    <xf numFmtId="164" fontId="11" fillId="5" borderId="10" xfId="0" applyFont="1" applyFill="1" applyBorder="1" applyAlignment="1">
      <alignment horizontal="left" vertical="center"/>
    </xf>
    <xf numFmtId="44" fontId="11" fillId="5" borderId="42" xfId="0" applyNumberFormat="1" applyFont="1" applyFill="1" applyBorder="1" applyAlignment="1">
      <alignment horizontal="center" vertical="center"/>
    </xf>
    <xf numFmtId="44" fontId="12" fillId="5" borderId="42" xfId="0" applyNumberFormat="1" applyFont="1" applyFill="1" applyBorder="1" applyAlignment="1">
      <alignment horizontal="center"/>
    </xf>
    <xf numFmtId="164" fontId="12" fillId="5" borderId="42" xfId="0" applyFont="1" applyFill="1" applyBorder="1" applyAlignment="1">
      <alignment horizontal="center"/>
    </xf>
    <xf numFmtId="44" fontId="11" fillId="5" borderId="10" xfId="0" applyNumberFormat="1" applyFont="1" applyFill="1" applyBorder="1" applyAlignment="1">
      <alignment horizontal="center" vertical="center"/>
    </xf>
    <xf numFmtId="44" fontId="11" fillId="5" borderId="10" xfId="0" applyNumberFormat="1" applyFont="1" applyFill="1" applyBorder="1" applyAlignment="1">
      <alignment horizontal="left" vertical="center"/>
    </xf>
    <xf numFmtId="1" fontId="11" fillId="0" borderId="0" xfId="0" applyNumberFormat="1" applyFont="1" applyAlignment="1">
      <alignment horizontal="center"/>
    </xf>
    <xf numFmtId="164" fontId="11" fillId="0" borderId="0" xfId="0" applyFont="1" applyAlignment="1">
      <alignment horizontal="left" vertical="center"/>
    </xf>
    <xf numFmtId="164" fontId="11" fillId="0" borderId="0" xfId="0" applyFont="1"/>
    <xf numFmtId="10" fontId="11" fillId="0" borderId="0" xfId="0" applyNumberFormat="1" applyFont="1" applyAlignment="1">
      <alignment horizontal="center"/>
    </xf>
    <xf numFmtId="44" fontId="12" fillId="5" borderId="10" xfId="0" applyNumberFormat="1" applyFont="1" applyFill="1" applyBorder="1"/>
    <xf numFmtId="14" fontId="13" fillId="0" borderId="10" xfId="0" applyNumberFormat="1" applyFont="1" applyBorder="1"/>
    <xf numFmtId="164" fontId="13" fillId="0" borderId="10" xfId="0" applyFont="1" applyBorder="1"/>
    <xf numFmtId="165" fontId="13" fillId="0" borderId="10" xfId="0" applyNumberFormat="1" applyFont="1" applyBorder="1" applyAlignment="1">
      <alignment horizontal="left"/>
    </xf>
    <xf numFmtId="164" fontId="13" fillId="0" borderId="0" xfId="0" applyFont="1"/>
    <xf numFmtId="1" fontId="13" fillId="10" borderId="10" xfId="0" applyNumberFormat="1" applyFont="1" applyFill="1" applyBorder="1" applyAlignment="1">
      <alignment horizontal="center"/>
    </xf>
    <xf numFmtId="44" fontId="13" fillId="10" borderId="10" xfId="0" applyNumberFormat="1" applyFont="1" applyFill="1" applyBorder="1"/>
    <xf numFmtId="164" fontId="13" fillId="13" borderId="10" xfId="0" applyFont="1" applyFill="1" applyBorder="1"/>
    <xf numFmtId="44" fontId="13" fillId="13" borderId="10" xfId="0" applyNumberFormat="1" applyFont="1" applyFill="1" applyBorder="1"/>
    <xf numFmtId="164" fontId="13" fillId="15" borderId="10" xfId="0" applyFont="1" applyFill="1" applyBorder="1"/>
    <xf numFmtId="44" fontId="13" fillId="15" borderId="10" xfId="0" applyNumberFormat="1" applyFont="1" applyFill="1" applyBorder="1"/>
    <xf numFmtId="164" fontId="13" fillId="8" borderId="10" xfId="0" applyFont="1" applyFill="1" applyBorder="1"/>
    <xf numFmtId="44" fontId="13" fillId="8" borderId="10" xfId="0" applyNumberFormat="1" applyFont="1" applyFill="1" applyBorder="1"/>
    <xf numFmtId="164" fontId="13" fillId="9" borderId="10" xfId="0" applyFont="1" applyFill="1" applyBorder="1"/>
    <xf numFmtId="44" fontId="13" fillId="9" borderId="10" xfId="0" applyNumberFormat="1" applyFont="1" applyFill="1" applyBorder="1"/>
    <xf numFmtId="1" fontId="13" fillId="0" borderId="10" xfId="0" applyNumberFormat="1" applyFont="1" applyBorder="1"/>
    <xf numFmtId="2" fontId="13" fillId="0" borderId="10" xfId="0" applyNumberFormat="1" applyFont="1" applyBorder="1"/>
    <xf numFmtId="1" fontId="13" fillId="10" borderId="10" xfId="0" applyNumberFormat="1" applyFont="1" applyFill="1" applyBorder="1"/>
    <xf numFmtId="164" fontId="13" fillId="12" borderId="10" xfId="0" applyFont="1" applyFill="1" applyBorder="1"/>
    <xf numFmtId="44" fontId="13" fillId="12" borderId="10" xfId="0" applyNumberFormat="1" applyFont="1" applyFill="1" applyBorder="1"/>
    <xf numFmtId="1" fontId="13" fillId="10" borderId="43" xfId="0" applyNumberFormat="1" applyFont="1" applyFill="1" applyBorder="1"/>
    <xf numFmtId="44" fontId="13" fillId="10" borderId="43" xfId="0" applyNumberFormat="1" applyFont="1" applyFill="1" applyBorder="1"/>
    <xf numFmtId="164" fontId="13" fillId="13" borderId="43" xfId="0" applyFont="1" applyFill="1" applyBorder="1"/>
    <xf numFmtId="44" fontId="13" fillId="13" borderId="43" xfId="0" applyNumberFormat="1" applyFont="1" applyFill="1" applyBorder="1"/>
    <xf numFmtId="164" fontId="13" fillId="15" borderId="43" xfId="0" applyFont="1" applyFill="1" applyBorder="1"/>
    <xf numFmtId="44" fontId="13" fillId="15" borderId="43" xfId="0" applyNumberFormat="1" applyFont="1" applyFill="1" applyBorder="1"/>
    <xf numFmtId="164" fontId="13" fillId="8" borderId="43" xfId="0" applyFont="1" applyFill="1" applyBorder="1"/>
    <xf numFmtId="44" fontId="13" fillId="8" borderId="43" xfId="0" applyNumberFormat="1" applyFont="1" applyFill="1" applyBorder="1"/>
    <xf numFmtId="164" fontId="13" fillId="12" borderId="43" xfId="0" applyFont="1" applyFill="1" applyBorder="1"/>
    <xf numFmtId="44" fontId="13" fillId="12" borderId="43" xfId="0" applyNumberFormat="1" applyFont="1" applyFill="1" applyBorder="1"/>
    <xf numFmtId="164" fontId="13" fillId="9" borderId="43" xfId="0" applyFont="1" applyFill="1" applyBorder="1"/>
    <xf numFmtId="44" fontId="13" fillId="9" borderId="43" xfId="0" applyNumberFormat="1" applyFont="1" applyFill="1" applyBorder="1"/>
    <xf numFmtId="164" fontId="13" fillId="0" borderId="10" xfId="0" applyFont="1" applyBorder="1" applyAlignment="1">
      <alignment horizontal="center"/>
    </xf>
    <xf numFmtId="1" fontId="13" fillId="0" borderId="10" xfId="0" applyNumberFormat="1" applyFont="1" applyBorder="1" applyAlignment="1">
      <alignment horizontal="center"/>
    </xf>
    <xf numFmtId="44" fontId="13" fillId="0" borderId="24" xfId="0" applyNumberFormat="1" applyFont="1" applyBorder="1" applyAlignment="1">
      <alignment horizontal="center"/>
    </xf>
    <xf numFmtId="44" fontId="13" fillId="0" borderId="10" xfId="0" applyNumberFormat="1" applyFont="1" applyBorder="1" applyAlignment="1">
      <alignment horizontal="center"/>
    </xf>
    <xf numFmtId="165" fontId="13" fillId="0" borderId="10" xfId="0" applyNumberFormat="1" applyFont="1" applyBorder="1"/>
    <xf numFmtId="14" fontId="13" fillId="0" borderId="0" xfId="0" applyNumberFormat="1" applyFont="1"/>
    <xf numFmtId="1" fontId="13" fillId="0" borderId="0" xfId="0" applyNumberFormat="1" applyFont="1" applyAlignment="1">
      <alignment horizontal="center"/>
    </xf>
    <xf numFmtId="44" fontId="13" fillId="0" borderId="0" xfId="0" applyNumberFormat="1" applyFont="1"/>
    <xf numFmtId="164" fontId="13" fillId="16" borderId="10" xfId="0" applyFont="1" applyFill="1" applyBorder="1"/>
    <xf numFmtId="14" fontId="11" fillId="5" borderId="10" xfId="0" applyNumberFormat="1" applyFont="1" applyFill="1" applyBorder="1" applyAlignment="1">
      <alignment horizontal="center"/>
    </xf>
    <xf numFmtId="164" fontId="11" fillId="5" borderId="42" xfId="0" applyFont="1" applyFill="1" applyBorder="1" applyAlignment="1">
      <alignment horizontal="center"/>
    </xf>
    <xf numFmtId="164" fontId="11" fillId="5" borderId="10" xfId="0" applyFont="1" applyFill="1" applyBorder="1"/>
    <xf numFmtId="165" fontId="11" fillId="5" borderId="10" xfId="0" applyNumberFormat="1" applyFont="1" applyFill="1" applyBorder="1" applyAlignment="1">
      <alignment horizontal="center"/>
    </xf>
    <xf numFmtId="165" fontId="11" fillId="4" borderId="41" xfId="0" applyNumberFormat="1" applyFont="1" applyFill="1" applyBorder="1" applyAlignment="1">
      <alignment horizontal="center"/>
    </xf>
    <xf numFmtId="165" fontId="11" fillId="4" borderId="10" xfId="0" applyNumberFormat="1" applyFont="1" applyFill="1" applyBorder="1" applyAlignment="1">
      <alignment horizontal="center"/>
    </xf>
    <xf numFmtId="165" fontId="11" fillId="14" borderId="42" xfId="0" applyNumberFormat="1" applyFont="1" applyFill="1" applyBorder="1" applyAlignment="1">
      <alignment horizontal="center"/>
    </xf>
    <xf numFmtId="165" fontId="11" fillId="14" borderId="10" xfId="0" applyNumberFormat="1" applyFont="1" applyFill="1" applyBorder="1" applyAlignment="1">
      <alignment horizontal="center"/>
    </xf>
    <xf numFmtId="165" fontId="11" fillId="4" borderId="42" xfId="0" applyNumberFormat="1" applyFont="1" applyFill="1" applyBorder="1" applyAlignment="1">
      <alignment horizontal="center"/>
    </xf>
    <xf numFmtId="165" fontId="11" fillId="5" borderId="42" xfId="0" applyNumberFormat="1" applyFont="1" applyFill="1" applyBorder="1" applyAlignment="1">
      <alignment horizontal="center"/>
    </xf>
    <xf numFmtId="164" fontId="11" fillId="5" borderId="10" xfId="0" applyFont="1" applyFill="1" applyBorder="1" applyAlignment="1">
      <alignment horizontal="left"/>
    </xf>
    <xf numFmtId="14" fontId="6" fillId="17" borderId="4" xfId="0" applyNumberFormat="1" applyFont="1" applyFill="1" applyBorder="1" applyAlignment="1">
      <alignment horizontal="left"/>
    </xf>
    <xf numFmtId="165" fontId="6" fillId="17" borderId="39" xfId="0" applyNumberFormat="1" applyFont="1" applyFill="1" applyBorder="1" applyAlignment="1">
      <alignment horizontal="center"/>
    </xf>
    <xf numFmtId="165" fontId="6" fillId="17" borderId="4" xfId="0" applyNumberFormat="1" applyFont="1" applyFill="1" applyBorder="1"/>
    <xf numFmtId="165" fontId="6" fillId="7" borderId="39" xfId="0" applyNumberFormat="1" applyFont="1" applyFill="1" applyBorder="1" applyAlignment="1">
      <alignment horizontal="center"/>
    </xf>
    <xf numFmtId="165" fontId="6" fillId="17" borderId="4" xfId="0" applyNumberFormat="1" applyFont="1" applyFill="1" applyBorder="1" applyAlignment="1">
      <alignment horizontal="center"/>
    </xf>
    <xf numFmtId="165" fontId="6" fillId="17" borderId="25" xfId="0" applyNumberFormat="1" applyFont="1" applyFill="1" applyBorder="1" applyAlignment="1">
      <alignment horizontal="center"/>
    </xf>
    <xf numFmtId="14" fontId="6" fillId="17" borderId="9" xfId="0" applyNumberFormat="1" applyFont="1" applyFill="1" applyBorder="1" applyAlignment="1">
      <alignment horizontal="left"/>
    </xf>
    <xf numFmtId="166" fontId="6" fillId="7" borderId="42" xfId="0" applyNumberFormat="1" applyFont="1" applyFill="1" applyBorder="1" applyAlignment="1">
      <alignment horizontal="center"/>
    </xf>
    <xf numFmtId="165" fontId="6" fillId="17" borderId="9" xfId="0" applyNumberFormat="1" applyFont="1" applyFill="1" applyBorder="1"/>
    <xf numFmtId="165" fontId="6" fillId="7" borderId="42" xfId="0" applyNumberFormat="1" applyFont="1" applyFill="1" applyBorder="1" applyAlignment="1">
      <alignment horizontal="center"/>
    </xf>
    <xf numFmtId="165" fontId="6" fillId="17" borderId="9" xfId="0" applyNumberFormat="1" applyFont="1" applyFill="1" applyBorder="1" applyAlignment="1">
      <alignment horizontal="center"/>
    </xf>
    <xf numFmtId="165" fontId="6" fillId="7" borderId="10" xfId="0" applyNumberFormat="1" applyFont="1" applyFill="1" applyBorder="1" applyAlignment="1">
      <alignment horizontal="center"/>
    </xf>
    <xf numFmtId="164" fontId="6" fillId="17" borderId="9" xfId="0" applyFont="1" applyFill="1" applyBorder="1" applyAlignment="1">
      <alignment horizontal="center"/>
    </xf>
    <xf numFmtId="165" fontId="6" fillId="17" borderId="10" xfId="0" applyNumberFormat="1" applyFont="1" applyFill="1" applyBorder="1" applyAlignment="1">
      <alignment horizontal="center"/>
    </xf>
    <xf numFmtId="165" fontId="6" fillId="17" borderId="42" xfId="0" applyNumberFormat="1" applyFont="1" applyFill="1" applyBorder="1" applyAlignment="1">
      <alignment horizontal="center"/>
    </xf>
    <xf numFmtId="10" fontId="6" fillId="12" borderId="11" xfId="0" applyNumberFormat="1" applyFont="1" applyFill="1" applyBorder="1" applyAlignment="1">
      <alignment horizontal="center"/>
    </xf>
    <xf numFmtId="14" fontId="6" fillId="17" borderId="12" xfId="0" applyNumberFormat="1" applyFont="1" applyFill="1" applyBorder="1" applyAlignment="1">
      <alignment horizontal="left"/>
    </xf>
    <xf numFmtId="165" fontId="6" fillId="17" borderId="46" xfId="0" applyNumberFormat="1" applyFont="1" applyFill="1" applyBorder="1" applyAlignment="1">
      <alignment horizontal="center"/>
    </xf>
    <xf numFmtId="165" fontId="6" fillId="17" borderId="12" xfId="0" applyNumberFormat="1" applyFont="1" applyFill="1" applyBorder="1"/>
    <xf numFmtId="165" fontId="6" fillId="7" borderId="46" xfId="0" applyNumberFormat="1" applyFont="1" applyFill="1" applyBorder="1" applyAlignment="1">
      <alignment horizontal="center"/>
    </xf>
    <xf numFmtId="165" fontId="6" fillId="17" borderId="12" xfId="0" applyNumberFormat="1" applyFont="1" applyFill="1" applyBorder="1" applyAlignment="1">
      <alignment horizontal="center"/>
    </xf>
    <xf numFmtId="165" fontId="6" fillId="7" borderId="18" xfId="0" applyNumberFormat="1" applyFont="1" applyFill="1" applyBorder="1" applyAlignment="1">
      <alignment horizontal="center"/>
    </xf>
    <xf numFmtId="164" fontId="6" fillId="17" borderId="12" xfId="0" applyFont="1" applyFill="1" applyBorder="1" applyAlignment="1">
      <alignment horizontal="center"/>
    </xf>
    <xf numFmtId="165" fontId="6" fillId="17" borderId="18" xfId="0" applyNumberFormat="1" applyFont="1" applyFill="1" applyBorder="1" applyAlignment="1">
      <alignment horizontal="center"/>
    </xf>
    <xf numFmtId="165" fontId="6" fillId="12" borderId="13" xfId="0" applyNumberFormat="1" applyFont="1" applyFill="1" applyBorder="1" applyAlignment="1">
      <alignment horizontal="center"/>
    </xf>
    <xf numFmtId="14" fontId="6" fillId="0" borderId="0" xfId="0" applyNumberFormat="1" applyFont="1" applyAlignment="1">
      <alignment horizontal="left"/>
    </xf>
    <xf numFmtId="164" fontId="6" fillId="17" borderId="25" xfId="0" applyFont="1" applyFill="1" applyBorder="1" applyAlignment="1">
      <alignment horizontal="center"/>
    </xf>
    <xf numFmtId="165" fontId="6" fillId="8" borderId="4" xfId="0" applyNumberFormat="1" applyFont="1" applyFill="1" applyBorder="1" applyAlignment="1">
      <alignment horizontal="center"/>
    </xf>
    <xf numFmtId="165" fontId="6" fillId="8" borderId="5" xfId="0" applyNumberFormat="1" applyFont="1" applyFill="1" applyBorder="1" applyAlignment="1">
      <alignment horizontal="center"/>
    </xf>
    <xf numFmtId="164" fontId="6" fillId="17" borderId="4" xfId="0" applyFont="1" applyFill="1" applyBorder="1"/>
    <xf numFmtId="165" fontId="6" fillId="17" borderId="5" xfId="0" applyNumberFormat="1" applyFont="1" applyFill="1" applyBorder="1" applyAlignment="1">
      <alignment horizontal="center"/>
    </xf>
    <xf numFmtId="167" fontId="6" fillId="7" borderId="10" xfId="0" applyNumberFormat="1" applyFont="1" applyFill="1" applyBorder="1" applyAlignment="1">
      <alignment horizontal="center"/>
    </xf>
    <xf numFmtId="2" fontId="6" fillId="17" borderId="10" xfId="0" applyNumberFormat="1" applyFont="1" applyFill="1" applyBorder="1" applyAlignment="1">
      <alignment horizontal="center"/>
    </xf>
    <xf numFmtId="14" fontId="6" fillId="17" borderId="10" xfId="0" applyNumberFormat="1" applyFont="1" applyFill="1" applyBorder="1" applyAlignment="1">
      <alignment horizontal="center"/>
    </xf>
    <xf numFmtId="2" fontId="6" fillId="17" borderId="42" xfId="0" applyNumberFormat="1" applyFont="1" applyFill="1" applyBorder="1" applyAlignment="1">
      <alignment horizontal="center"/>
    </xf>
    <xf numFmtId="14" fontId="6" fillId="8" borderId="9" xfId="0" applyNumberFormat="1" applyFont="1" applyFill="1" applyBorder="1" applyAlignment="1">
      <alignment horizontal="center"/>
    </xf>
    <xf numFmtId="2" fontId="6" fillId="8" borderId="11" xfId="0" applyNumberFormat="1" applyFont="1" applyFill="1" applyBorder="1" applyAlignment="1">
      <alignment horizontal="center"/>
    </xf>
    <xf numFmtId="164" fontId="6" fillId="17" borderId="9" xfId="0" applyFont="1" applyFill="1" applyBorder="1"/>
    <xf numFmtId="165" fontId="6" fillId="17" borderId="11" xfId="0" applyNumberFormat="1" applyFont="1" applyFill="1" applyBorder="1" applyAlignment="1">
      <alignment horizontal="center"/>
    </xf>
    <xf numFmtId="167" fontId="6" fillId="7" borderId="18" xfId="0" applyNumberFormat="1" applyFont="1" applyFill="1" applyBorder="1" applyAlignment="1">
      <alignment horizontal="center"/>
    </xf>
    <xf numFmtId="2" fontId="6" fillId="17" borderId="18" xfId="0" applyNumberFormat="1" applyFont="1" applyFill="1" applyBorder="1" applyAlignment="1">
      <alignment horizontal="center"/>
    </xf>
    <xf numFmtId="14" fontId="6" fillId="17" borderId="18" xfId="0" applyNumberFormat="1" applyFont="1" applyFill="1" applyBorder="1" applyAlignment="1">
      <alignment horizontal="center"/>
    </xf>
    <xf numFmtId="2" fontId="6" fillId="17" borderId="46" xfId="0" applyNumberFormat="1" applyFont="1" applyFill="1" applyBorder="1" applyAlignment="1">
      <alignment horizontal="center"/>
    </xf>
    <xf numFmtId="14" fontId="6" fillId="8" borderId="12" xfId="0" applyNumberFormat="1" applyFont="1" applyFill="1" applyBorder="1" applyAlignment="1">
      <alignment horizontal="center"/>
    </xf>
    <xf numFmtId="2" fontId="6" fillId="8" borderId="13" xfId="0" applyNumberFormat="1" applyFont="1" applyFill="1" applyBorder="1" applyAlignment="1">
      <alignment horizontal="center"/>
    </xf>
    <xf numFmtId="10" fontId="6" fillId="7" borderId="12" xfId="0" applyNumberFormat="1" applyFont="1" applyFill="1" applyBorder="1" applyAlignment="1">
      <alignment horizontal="center"/>
    </xf>
    <xf numFmtId="10" fontId="6" fillId="7" borderId="13" xfId="0" applyNumberFormat="1" applyFont="1" applyFill="1" applyBorder="1" applyAlignment="1">
      <alignment horizontal="center"/>
    </xf>
    <xf numFmtId="164" fontId="6" fillId="17" borderId="12" xfId="0" applyFont="1" applyFill="1" applyBorder="1"/>
    <xf numFmtId="165" fontId="6" fillId="17" borderId="13" xfId="0" applyNumberFormat="1" applyFont="1" applyFill="1" applyBorder="1" applyAlignment="1">
      <alignment horizontal="center"/>
    </xf>
    <xf numFmtId="2" fontId="6" fillId="0" borderId="0" xfId="0" applyNumberFormat="1" applyFont="1" applyAlignment="1">
      <alignment horizontal="center"/>
    </xf>
    <xf numFmtId="8" fontId="11" fillId="5" borderId="10" xfId="0" applyNumberFormat="1" applyFont="1" applyFill="1" applyBorder="1" applyAlignment="1">
      <alignment horizontal="center"/>
    </xf>
    <xf numFmtId="8" fontId="11" fillId="0" borderId="0" xfId="0" applyNumberFormat="1" applyFont="1" applyAlignment="1">
      <alignment horizontal="center"/>
    </xf>
    <xf numFmtId="2" fontId="11" fillId="0" borderId="0" xfId="0" applyNumberFormat="1" applyFont="1" applyAlignment="1">
      <alignment horizontal="center"/>
    </xf>
    <xf numFmtId="2" fontId="11" fillId="5" borderId="10" xfId="0" applyNumberFormat="1" applyFont="1" applyFill="1" applyBorder="1" applyAlignment="1">
      <alignment horizontal="center"/>
    </xf>
    <xf numFmtId="14" fontId="11" fillId="0" borderId="0" xfId="0" applyNumberFormat="1" applyFont="1" applyAlignment="1">
      <alignment horizontal="center"/>
    </xf>
    <xf numFmtId="1" fontId="11" fillId="0" borderId="0" xfId="0" applyNumberFormat="1" applyFont="1"/>
    <xf numFmtId="14" fontId="11" fillId="0" borderId="0" xfId="0" applyNumberFormat="1" applyFont="1"/>
    <xf numFmtId="8" fontId="11" fillId="0" borderId="0" xfId="0" applyNumberFormat="1" applyFont="1"/>
    <xf numFmtId="1" fontId="11" fillId="17" borderId="10" xfId="0" applyNumberFormat="1" applyFont="1" applyFill="1" applyBorder="1" applyAlignment="1">
      <alignment horizontal="center"/>
    </xf>
    <xf numFmtId="8" fontId="11" fillId="14" borderId="10" xfId="0" applyNumberFormat="1" applyFont="1" applyFill="1" applyBorder="1" applyAlignment="1">
      <alignment horizontal="center"/>
    </xf>
    <xf numFmtId="8" fontId="11" fillId="3" borderId="10" xfId="0" applyNumberFormat="1" applyFont="1" applyFill="1" applyBorder="1" applyAlignment="1">
      <alignment horizontal="center"/>
    </xf>
    <xf numFmtId="1" fontId="11" fillId="0" borderId="10" xfId="0" applyNumberFormat="1" applyFont="1" applyBorder="1" applyAlignment="1">
      <alignment horizontal="center"/>
    </xf>
    <xf numFmtId="14" fontId="11" fillId="0" borderId="10" xfId="0" applyNumberFormat="1" applyFont="1" applyBorder="1"/>
    <xf numFmtId="10" fontId="11" fillId="14" borderId="10" xfId="0" applyNumberFormat="1" applyFont="1" applyFill="1" applyBorder="1" applyAlignment="1">
      <alignment horizontal="center"/>
    </xf>
    <xf numFmtId="10" fontId="11" fillId="3" borderId="10" xfId="0" applyNumberFormat="1" applyFont="1" applyFill="1" applyBorder="1" applyAlignment="1">
      <alignment horizontal="center"/>
    </xf>
    <xf numFmtId="14" fontId="11" fillId="0" borderId="30" xfId="0" applyNumberFormat="1" applyFont="1" applyBorder="1"/>
    <xf numFmtId="14" fontId="11" fillId="0" borderId="44" xfId="0" applyNumberFormat="1" applyFont="1" applyBorder="1"/>
    <xf numFmtId="14" fontId="11" fillId="0" borderId="24" xfId="0" applyNumberFormat="1" applyFont="1" applyBorder="1"/>
    <xf numFmtId="8" fontId="11" fillId="5" borderId="34" xfId="0" applyNumberFormat="1" applyFont="1" applyFill="1" applyBorder="1" applyAlignment="1">
      <alignment horizontal="center"/>
    </xf>
    <xf numFmtId="165" fontId="11" fillId="5" borderId="34" xfId="0" applyNumberFormat="1" applyFont="1" applyFill="1" applyBorder="1" applyAlignment="1">
      <alignment horizontal="center"/>
    </xf>
    <xf numFmtId="8" fontId="11" fillId="14" borderId="34" xfId="0" applyNumberFormat="1" applyFont="1" applyFill="1" applyBorder="1" applyAlignment="1">
      <alignment horizontal="center"/>
    </xf>
    <xf numFmtId="10" fontId="11" fillId="14" borderId="34" xfId="0" applyNumberFormat="1" applyFont="1" applyFill="1" applyBorder="1" applyAlignment="1">
      <alignment horizontal="center"/>
    </xf>
    <xf numFmtId="8" fontId="11" fillId="3" borderId="34" xfId="0" applyNumberFormat="1" applyFont="1" applyFill="1" applyBorder="1" applyAlignment="1">
      <alignment horizontal="center"/>
    </xf>
    <xf numFmtId="10" fontId="11" fillId="3" borderId="34" xfId="0" applyNumberFormat="1" applyFont="1" applyFill="1" applyBorder="1" applyAlignment="1">
      <alignment horizontal="center"/>
    </xf>
    <xf numFmtId="10" fontId="11" fillId="5" borderId="34" xfId="0" applyNumberFormat="1" applyFont="1" applyFill="1" applyBorder="1" applyAlignment="1">
      <alignment horizontal="center"/>
    </xf>
    <xf numFmtId="1" fontId="11" fillId="0" borderId="10" xfId="0" applyNumberFormat="1" applyFont="1" applyBorder="1"/>
    <xf numFmtId="8" fontId="11" fillId="0" borderId="10" xfId="0" applyNumberFormat="1" applyFont="1" applyBorder="1"/>
    <xf numFmtId="8" fontId="11" fillId="0" borderId="10" xfId="0" applyNumberFormat="1" applyFont="1" applyBorder="1" applyAlignment="1">
      <alignment horizontal="center"/>
    </xf>
    <xf numFmtId="10" fontId="11" fillId="0" borderId="10" xfId="0" applyNumberFormat="1" applyFont="1" applyBorder="1" applyAlignment="1">
      <alignment horizontal="center"/>
    </xf>
    <xf numFmtId="164" fontId="11" fillId="0" borderId="10" xfId="0" applyFont="1" applyBorder="1" applyAlignment="1">
      <alignment horizontal="center"/>
    </xf>
    <xf numFmtId="164" fontId="14" fillId="0" borderId="10" xfId="0" applyFont="1" applyBorder="1"/>
    <xf numFmtId="14" fontId="14" fillId="0" borderId="10" xfId="0" applyNumberFormat="1" applyFont="1" applyBorder="1" applyAlignment="1">
      <alignment horizontal="center"/>
    </xf>
    <xf numFmtId="164" fontId="14" fillId="0" borderId="0" xfId="0" applyFont="1"/>
    <xf numFmtId="10" fontId="14" fillId="0" borderId="4" xfId="0" applyNumberFormat="1" applyFont="1" applyBorder="1" applyAlignment="1">
      <alignment horizontal="center"/>
    </xf>
    <xf numFmtId="165" fontId="14" fillId="0" borderId="25" xfId="0" applyNumberFormat="1" applyFont="1" applyBorder="1" applyAlignment="1">
      <alignment horizontal="center"/>
    </xf>
    <xf numFmtId="165" fontId="14" fillId="0" borderId="5" xfId="0" applyNumberFormat="1" applyFont="1" applyBorder="1" applyAlignment="1">
      <alignment horizontal="center"/>
    </xf>
    <xf numFmtId="164" fontId="14" fillId="0" borderId="10" xfId="0" applyFont="1" applyBorder="1" applyAlignment="1">
      <alignment horizontal="left"/>
    </xf>
    <xf numFmtId="165" fontId="14" fillId="0" borderId="10" xfId="0" applyNumberFormat="1" applyFont="1" applyBorder="1" applyAlignment="1">
      <alignment horizontal="center"/>
    </xf>
    <xf numFmtId="2" fontId="14" fillId="0" borderId="9" xfId="0" applyNumberFormat="1" applyFont="1" applyBorder="1" applyAlignment="1">
      <alignment horizontal="center"/>
    </xf>
    <xf numFmtId="2" fontId="14" fillId="0" borderId="10" xfId="0" applyNumberFormat="1" applyFont="1" applyBorder="1" applyAlignment="1">
      <alignment horizontal="center"/>
    </xf>
    <xf numFmtId="164" fontId="14" fillId="0" borderId="10" xfId="0" applyFont="1" applyBorder="1" applyAlignment="1">
      <alignment horizontal="center"/>
    </xf>
    <xf numFmtId="164" fontId="14" fillId="0" borderId="11" xfId="0" applyFont="1" applyBorder="1" applyAlignment="1">
      <alignment horizontal="center"/>
    </xf>
    <xf numFmtId="10" fontId="14" fillId="0" borderId="10" xfId="0" applyNumberFormat="1" applyFont="1" applyBorder="1" applyAlignment="1">
      <alignment horizontal="center"/>
    </xf>
    <xf numFmtId="10" fontId="14" fillId="0" borderId="9" xfId="0" applyNumberFormat="1" applyFont="1" applyBorder="1" applyAlignment="1">
      <alignment horizontal="center"/>
    </xf>
    <xf numFmtId="165" fontId="14" fillId="0" borderId="11" xfId="0" applyNumberFormat="1" applyFont="1" applyBorder="1" applyAlignment="1">
      <alignment horizontal="center"/>
    </xf>
    <xf numFmtId="8" fontId="14" fillId="0" borderId="0" xfId="0" applyNumberFormat="1" applyFont="1" applyAlignment="1">
      <alignment horizontal="center"/>
    </xf>
    <xf numFmtId="8" fontId="14" fillId="0" borderId="10" xfId="0" applyNumberFormat="1" applyFont="1" applyBorder="1" applyAlignment="1">
      <alignment horizontal="center"/>
    </xf>
    <xf numFmtId="164" fontId="14" fillId="0" borderId="0" xfId="0" applyFont="1" applyAlignment="1">
      <alignment horizontal="center"/>
    </xf>
    <xf numFmtId="8" fontId="14" fillId="0" borderId="0" xfId="0" applyNumberFormat="1" applyFont="1"/>
    <xf numFmtId="10" fontId="14" fillId="0" borderId="12" xfId="0" applyNumberFormat="1" applyFont="1" applyBorder="1" applyAlignment="1">
      <alignment horizontal="center"/>
    </xf>
    <xf numFmtId="165" fontId="14" fillId="0" borderId="18" xfId="0" applyNumberFormat="1" applyFont="1" applyBorder="1" applyAlignment="1">
      <alignment horizontal="center"/>
    </xf>
    <xf numFmtId="165" fontId="14" fillId="0" borderId="13" xfId="0" applyNumberFormat="1" applyFont="1" applyBorder="1" applyAlignment="1">
      <alignment horizontal="center"/>
    </xf>
    <xf numFmtId="2" fontId="14" fillId="0" borderId="0" xfId="0" applyNumberFormat="1" applyFont="1" applyAlignment="1">
      <alignment horizontal="center"/>
    </xf>
    <xf numFmtId="165" fontId="14" fillId="0" borderId="0" xfId="0" applyNumberFormat="1" applyFont="1" applyAlignment="1">
      <alignment horizontal="center" vertical="center"/>
    </xf>
    <xf numFmtId="164" fontId="14" fillId="0" borderId="0" xfId="0" applyFont="1" applyAlignment="1">
      <alignment horizontal="left"/>
    </xf>
    <xf numFmtId="164" fontId="14" fillId="0" borderId="0" xfId="0" applyFont="1" applyAlignment="1">
      <alignment horizontal="center" vertical="center"/>
    </xf>
    <xf numFmtId="165" fontId="14" fillId="0" borderId="0" xfId="0" applyNumberFormat="1" applyFont="1" applyAlignment="1">
      <alignment horizontal="center"/>
    </xf>
    <xf numFmtId="14" fontId="14" fillId="0" borderId="0" xfId="0" applyNumberFormat="1" applyFont="1" applyAlignment="1">
      <alignment horizontal="center"/>
    </xf>
    <xf numFmtId="165" fontId="14" fillId="0" borderId="0" xfId="0" applyNumberFormat="1" applyFont="1"/>
    <xf numFmtId="9" fontId="14" fillId="0" borderId="0" xfId="0" applyNumberFormat="1" applyFont="1" applyAlignment="1">
      <alignment horizontal="center"/>
    </xf>
    <xf numFmtId="1" fontId="14" fillId="0" borderId="0" xfId="0" applyNumberFormat="1" applyFont="1" applyAlignment="1">
      <alignment horizontal="center"/>
    </xf>
    <xf numFmtId="10" fontId="14" fillId="0" borderId="0" xfId="0" applyNumberFormat="1" applyFont="1" applyAlignment="1">
      <alignment horizontal="center"/>
    </xf>
    <xf numFmtId="165" fontId="14" fillId="18" borderId="43" xfId="0" applyNumberFormat="1" applyFont="1" applyFill="1" applyBorder="1"/>
    <xf numFmtId="10" fontId="14" fillId="0" borderId="0" xfId="0" applyNumberFormat="1" applyFont="1"/>
    <xf numFmtId="40" fontId="14" fillId="0" borderId="0" xfId="0" applyNumberFormat="1" applyFont="1" applyAlignment="1">
      <alignment horizontal="center"/>
    </xf>
    <xf numFmtId="14" fontId="14" fillId="0" borderId="0" xfId="0" applyNumberFormat="1" applyFont="1"/>
    <xf numFmtId="0" fontId="11" fillId="0" borderId="0" xfId="0" applyNumberFormat="1" applyFont="1"/>
    <xf numFmtId="0" fontId="11" fillId="0" borderId="0" xfId="0" applyNumberFormat="1" applyFont="1" applyAlignment="1">
      <alignment horizontal="center"/>
    </xf>
    <xf numFmtId="165" fontId="11" fillId="0" borderId="0" xfId="0" applyNumberFormat="1" applyFont="1" applyAlignment="1">
      <alignment horizontal="center"/>
    </xf>
    <xf numFmtId="165" fontId="12" fillId="0" borderId="0" xfId="0" applyNumberFormat="1" applyFont="1" applyAlignment="1">
      <alignment horizontal="center"/>
    </xf>
    <xf numFmtId="165" fontId="11" fillId="0" borderId="0" xfId="0" applyNumberFormat="1" applyFont="1"/>
    <xf numFmtId="165" fontId="12" fillId="0" borderId="0" xfId="0" applyNumberFormat="1" applyFont="1"/>
    <xf numFmtId="165" fontId="12" fillId="18" borderId="43" xfId="0" applyNumberFormat="1" applyFont="1" applyFill="1" applyBorder="1" applyAlignment="1">
      <alignment horizontal="center"/>
    </xf>
    <xf numFmtId="165" fontId="12" fillId="18" borderId="43" xfId="0" applyNumberFormat="1" applyFont="1" applyFill="1" applyBorder="1"/>
    <xf numFmtId="49" fontId="11" fillId="0" borderId="0" xfId="0" applyNumberFormat="1" applyFont="1"/>
    <xf numFmtId="49" fontId="15" fillId="0" borderId="0" xfId="0" applyNumberFormat="1" applyFont="1"/>
    <xf numFmtId="49" fontId="11" fillId="0" borderId="0" xfId="0" applyNumberFormat="1" applyFont="1" applyAlignment="1">
      <alignment horizontal="left"/>
    </xf>
    <xf numFmtId="49" fontId="16" fillId="0" borderId="0" xfId="0" applyNumberFormat="1" applyFont="1"/>
    <xf numFmtId="164" fontId="17" fillId="0" borderId="0" xfId="0" applyFont="1"/>
    <xf numFmtId="1" fontId="6" fillId="0" borderId="0" xfId="0" applyNumberFormat="1" applyFont="1"/>
    <xf numFmtId="49" fontId="6" fillId="0" borderId="0" xfId="0" applyNumberFormat="1" applyFont="1" applyAlignment="1">
      <alignment horizontal="center"/>
    </xf>
    <xf numFmtId="168" fontId="6" fillId="0" borderId="0" xfId="0" applyNumberFormat="1" applyFont="1" applyAlignment="1">
      <alignment horizontal="center"/>
    </xf>
    <xf numFmtId="169" fontId="6" fillId="0" borderId="0" xfId="0" applyNumberFormat="1" applyFont="1"/>
    <xf numFmtId="168" fontId="6" fillId="0" borderId="0" xfId="0" applyNumberFormat="1" applyFont="1"/>
    <xf numFmtId="49" fontId="18" fillId="0" borderId="0" xfId="0" applyNumberFormat="1" applyFont="1" applyAlignment="1">
      <alignment horizontal="center"/>
    </xf>
    <xf numFmtId="1" fontId="6" fillId="0" borderId="0" xfId="0" applyNumberFormat="1" applyFont="1" applyAlignment="1">
      <alignment horizontal="center"/>
    </xf>
    <xf numFmtId="165" fontId="6" fillId="19" borderId="43" xfId="0" applyNumberFormat="1" applyFont="1" applyFill="1" applyBorder="1" applyAlignment="1">
      <alignment horizontal="center"/>
    </xf>
    <xf numFmtId="165" fontId="6" fillId="4" borderId="43" xfId="0" applyNumberFormat="1" applyFont="1" applyFill="1" applyBorder="1" applyAlignment="1">
      <alignment horizontal="center"/>
    </xf>
    <xf numFmtId="1" fontId="4" fillId="0" borderId="24" xfId="0" applyNumberFormat="1" applyFont="1" applyBorder="1" applyAlignment="1">
      <alignment horizontal="center"/>
    </xf>
    <xf numFmtId="164" fontId="4" fillId="0" borderId="24" xfId="0" applyFont="1" applyBorder="1"/>
    <xf numFmtId="165" fontId="4" fillId="2" borderId="34" xfId="0" applyNumberFormat="1" applyFont="1" applyFill="1" applyBorder="1" applyAlignment="1">
      <alignment horizontal="center"/>
    </xf>
    <xf numFmtId="165" fontId="4" fillId="19" borderId="34" xfId="0" applyNumberFormat="1" applyFont="1" applyFill="1" applyBorder="1" applyAlignment="1">
      <alignment horizontal="center"/>
    </xf>
    <xf numFmtId="165" fontId="4" fillId="4" borderId="34" xfId="0" applyNumberFormat="1" applyFont="1" applyFill="1" applyBorder="1" applyAlignment="1">
      <alignment horizontal="center"/>
    </xf>
    <xf numFmtId="164" fontId="4" fillId="0" borderId="0" xfId="0" applyFont="1"/>
    <xf numFmtId="165" fontId="4" fillId="0" borderId="0" xfId="0" applyNumberFormat="1" applyFont="1"/>
    <xf numFmtId="164" fontId="4" fillId="0" borderId="0" xfId="0" applyFont="1" applyAlignment="1">
      <alignment horizontal="center"/>
    </xf>
    <xf numFmtId="1" fontId="6" fillId="0" borderId="4" xfId="0" applyNumberFormat="1" applyFont="1" applyBorder="1" applyAlignment="1">
      <alignment horizontal="center"/>
    </xf>
    <xf numFmtId="164" fontId="6" fillId="0" borderId="25" xfId="0" applyFont="1" applyBorder="1"/>
    <xf numFmtId="165" fontId="6" fillId="2" borderId="25" xfId="0" applyNumberFormat="1" applyFont="1" applyFill="1" applyBorder="1" applyAlignment="1">
      <alignment horizontal="center"/>
    </xf>
    <xf numFmtId="165" fontId="6" fillId="19" borderId="25" xfId="0" applyNumberFormat="1" applyFont="1" applyFill="1" applyBorder="1" applyAlignment="1">
      <alignment horizontal="center"/>
    </xf>
    <xf numFmtId="165" fontId="6" fillId="4" borderId="25" xfId="0" applyNumberFormat="1" applyFont="1" applyFill="1" applyBorder="1" applyAlignment="1">
      <alignment horizontal="center"/>
    </xf>
    <xf numFmtId="165" fontId="6" fillId="4" borderId="5" xfId="0" applyNumberFormat="1" applyFont="1" applyFill="1" applyBorder="1" applyAlignment="1">
      <alignment horizontal="center"/>
    </xf>
    <xf numFmtId="1" fontId="6" fillId="0" borderId="9" xfId="0" applyNumberFormat="1" applyFont="1" applyBorder="1" applyAlignment="1">
      <alignment horizontal="center"/>
    </xf>
    <xf numFmtId="165" fontId="6" fillId="2" borderId="10" xfId="0" applyNumberFormat="1" applyFont="1" applyFill="1" applyBorder="1" applyAlignment="1">
      <alignment horizontal="center"/>
    </xf>
    <xf numFmtId="165" fontId="6" fillId="19" borderId="10" xfId="0" applyNumberFormat="1" applyFont="1" applyFill="1" applyBorder="1" applyAlignment="1">
      <alignment horizontal="center"/>
    </xf>
    <xf numFmtId="165" fontId="6" fillId="4" borderId="10" xfId="0" applyNumberFormat="1" applyFont="1" applyFill="1" applyBorder="1" applyAlignment="1">
      <alignment horizontal="center"/>
    </xf>
    <xf numFmtId="165" fontId="6" fillId="4" borderId="11" xfId="0" applyNumberFormat="1" applyFont="1" applyFill="1" applyBorder="1" applyAlignment="1">
      <alignment horizontal="center"/>
    </xf>
    <xf numFmtId="1" fontId="4" fillId="0" borderId="12" xfId="0" applyNumberFormat="1" applyFont="1" applyBorder="1" applyAlignment="1">
      <alignment horizontal="center"/>
    </xf>
    <xf numFmtId="164" fontId="4" fillId="0" borderId="18" xfId="0" applyFont="1" applyBorder="1"/>
    <xf numFmtId="165" fontId="4" fillId="2" borderId="18" xfId="0" applyNumberFormat="1" applyFont="1" applyFill="1" applyBorder="1" applyAlignment="1">
      <alignment horizontal="center"/>
    </xf>
    <xf numFmtId="165" fontId="4" fillId="19" borderId="18" xfId="0" applyNumberFormat="1" applyFont="1" applyFill="1" applyBorder="1" applyAlignment="1">
      <alignment horizontal="center"/>
    </xf>
    <xf numFmtId="165" fontId="4" fillId="4" borderId="18" xfId="0" applyNumberFormat="1" applyFont="1" applyFill="1" applyBorder="1" applyAlignment="1">
      <alignment horizontal="center"/>
    </xf>
    <xf numFmtId="165" fontId="4" fillId="4" borderId="13" xfId="0" applyNumberFormat="1" applyFont="1" applyFill="1" applyBorder="1" applyAlignment="1">
      <alignment horizontal="center"/>
    </xf>
    <xf numFmtId="165" fontId="4" fillId="7" borderId="43" xfId="0" applyNumberFormat="1" applyFont="1" applyFill="1" applyBorder="1"/>
    <xf numFmtId="165" fontId="6" fillId="2" borderId="43" xfId="0" applyNumberFormat="1" applyFont="1" applyFill="1" applyBorder="1" applyAlignment="1">
      <alignment horizontal="center"/>
    </xf>
    <xf numFmtId="165" fontId="4" fillId="0" borderId="0" xfId="0" applyNumberFormat="1" applyFont="1" applyAlignment="1">
      <alignment horizontal="center"/>
    </xf>
    <xf numFmtId="1" fontId="4" fillId="0" borderId="21" xfId="0" applyNumberFormat="1" applyFont="1" applyBorder="1" applyAlignment="1">
      <alignment horizontal="center"/>
    </xf>
    <xf numFmtId="1" fontId="6" fillId="0" borderId="29" xfId="0" applyNumberFormat="1" applyFont="1" applyBorder="1" applyAlignment="1">
      <alignment horizontal="left"/>
    </xf>
    <xf numFmtId="165" fontId="4" fillId="2" borderId="29" xfId="0" applyNumberFormat="1" applyFont="1" applyFill="1" applyBorder="1" applyAlignment="1">
      <alignment horizontal="center"/>
    </xf>
    <xf numFmtId="165" fontId="4" fillId="19" borderId="29" xfId="0" applyNumberFormat="1" applyFont="1" applyFill="1" applyBorder="1" applyAlignment="1">
      <alignment horizontal="center"/>
    </xf>
    <xf numFmtId="165" fontId="4" fillId="4" borderId="29" xfId="0" applyNumberFormat="1" applyFont="1" applyFill="1" applyBorder="1" applyAlignment="1">
      <alignment horizontal="center"/>
    </xf>
    <xf numFmtId="165" fontId="4" fillId="4" borderId="22" xfId="0" applyNumberFormat="1" applyFont="1" applyFill="1" applyBorder="1" applyAlignment="1">
      <alignment horizontal="center"/>
    </xf>
    <xf numFmtId="164" fontId="1" fillId="0" borderId="0" xfId="0" applyFont="1"/>
    <xf numFmtId="44" fontId="13" fillId="0" borderId="34" xfId="0" applyNumberFormat="1" applyFont="1" applyBorder="1" applyAlignment="1">
      <alignment horizontal="center"/>
    </xf>
    <xf numFmtId="170" fontId="1" fillId="0" borderId="0" xfId="0" applyNumberFormat="1" applyFont="1"/>
    <xf numFmtId="170" fontId="0" fillId="0" borderId="0" xfId="0" applyNumberFormat="1"/>
    <xf numFmtId="164" fontId="7" fillId="0" borderId="33" xfId="0" applyFont="1" applyBorder="1"/>
    <xf numFmtId="44" fontId="6" fillId="0" borderId="34" xfId="0" applyNumberFormat="1" applyFont="1" applyBorder="1"/>
    <xf numFmtId="14" fontId="6" fillId="0" borderId="35" xfId="0" applyNumberFormat="1" applyFont="1" applyBorder="1"/>
    <xf numFmtId="164" fontId="19" fillId="0" borderId="33" xfId="1" applyBorder="1"/>
    <xf numFmtId="164" fontId="19" fillId="0" borderId="9" xfId="1" applyBorder="1"/>
    <xf numFmtId="164" fontId="13" fillId="20" borderId="10" xfId="0" applyFont="1" applyFill="1" applyBorder="1" applyAlignment="1">
      <alignment horizontal="center"/>
    </xf>
    <xf numFmtId="1" fontId="13" fillId="20" borderId="10" xfId="0" applyNumberFormat="1" applyFont="1" applyFill="1" applyBorder="1" applyAlignment="1">
      <alignment horizontal="center"/>
    </xf>
    <xf numFmtId="14" fontId="13" fillId="20" borderId="10" xfId="0" applyNumberFormat="1" applyFont="1" applyFill="1" applyBorder="1"/>
    <xf numFmtId="164" fontId="13" fillId="20" borderId="10" xfId="0" applyFont="1" applyFill="1" applyBorder="1"/>
    <xf numFmtId="44" fontId="13" fillId="20" borderId="24" xfId="0" applyNumberFormat="1" applyFont="1" applyFill="1" applyBorder="1" applyAlignment="1">
      <alignment horizontal="center"/>
    </xf>
    <xf numFmtId="165" fontId="13" fillId="20" borderId="10" xfId="0" applyNumberFormat="1" applyFont="1" applyFill="1" applyBorder="1"/>
    <xf numFmtId="14" fontId="13" fillId="20" borderId="0" xfId="0" applyNumberFormat="1" applyFont="1" applyFill="1"/>
    <xf numFmtId="1" fontId="13" fillId="20" borderId="0" xfId="0" applyNumberFormat="1" applyFont="1" applyFill="1" applyAlignment="1">
      <alignment horizontal="center"/>
    </xf>
    <xf numFmtId="44" fontId="13" fillId="20" borderId="0" xfId="0" applyNumberFormat="1" applyFont="1" applyFill="1"/>
    <xf numFmtId="164" fontId="13" fillId="20" borderId="0" xfId="0" applyFont="1" applyFill="1"/>
    <xf numFmtId="164" fontId="0" fillId="20" borderId="0" xfId="0" applyFill="1"/>
    <xf numFmtId="164" fontId="6" fillId="2" borderId="50" xfId="0" applyFont="1" applyFill="1" applyBorder="1"/>
    <xf numFmtId="44" fontId="6" fillId="3" borderId="50" xfId="0" applyNumberFormat="1" applyFont="1" applyFill="1" applyBorder="1" applyAlignment="1">
      <alignment horizontal="center"/>
    </xf>
    <xf numFmtId="10" fontId="6" fillId="3" borderId="50" xfId="0" applyNumberFormat="1" applyFont="1" applyFill="1" applyBorder="1" applyAlignment="1">
      <alignment horizontal="center"/>
    </xf>
    <xf numFmtId="44" fontId="6" fillId="4" borderId="50" xfId="0" applyNumberFormat="1" applyFont="1" applyFill="1" applyBorder="1" applyAlignment="1">
      <alignment horizontal="center"/>
    </xf>
    <xf numFmtId="10" fontId="6" fillId="4" borderId="50" xfId="0" applyNumberFormat="1" applyFont="1" applyFill="1" applyBorder="1" applyAlignment="1">
      <alignment horizontal="center"/>
    </xf>
    <xf numFmtId="164" fontId="13" fillId="0" borderId="44" xfId="0" applyFont="1" applyBorder="1" applyAlignment="1">
      <alignment horizontal="center"/>
    </xf>
    <xf numFmtId="0" fontId="5" fillId="0" borderId="26" xfId="0" applyNumberFormat="1" applyFont="1" applyBorder="1"/>
    <xf numFmtId="44" fontId="13" fillId="0" borderId="44" xfId="0" applyNumberFormat="1" applyFont="1" applyBorder="1" applyAlignment="1">
      <alignment horizontal="center"/>
    </xf>
    <xf numFmtId="164" fontId="13" fillId="12" borderId="44" xfId="0" applyFont="1" applyFill="1" applyBorder="1" applyAlignment="1">
      <alignment horizontal="center"/>
    </xf>
    <xf numFmtId="164" fontId="4" fillId="0" borderId="1" xfId="0" applyFont="1" applyBorder="1" applyAlignment="1">
      <alignment horizontal="center"/>
    </xf>
    <xf numFmtId="0" fontId="5" fillId="0" borderId="2" xfId="0" applyNumberFormat="1" applyFont="1" applyBorder="1"/>
    <xf numFmtId="0" fontId="5" fillId="0" borderId="3" xfId="0" applyNumberFormat="1" applyFont="1" applyBorder="1"/>
    <xf numFmtId="164" fontId="6" fillId="0" borderId="1" xfId="0" applyFont="1" applyBorder="1" applyAlignment="1">
      <alignment horizontal="center"/>
    </xf>
    <xf numFmtId="164" fontId="6" fillId="4" borderId="31" xfId="0" applyFont="1" applyFill="1" applyBorder="1" applyAlignment="1">
      <alignment horizontal="center"/>
    </xf>
    <xf numFmtId="44" fontId="6" fillId="3" borderId="31" xfId="0" applyNumberFormat="1" applyFont="1" applyFill="1" applyBorder="1" applyAlignment="1">
      <alignment horizontal="center"/>
    </xf>
    <xf numFmtId="0" fontId="5" fillId="0" borderId="32" xfId="0" applyNumberFormat="1" applyFont="1" applyBorder="1"/>
    <xf numFmtId="44" fontId="6" fillId="0" borderId="31" xfId="0" applyNumberFormat="1" applyFont="1" applyBorder="1" applyAlignment="1">
      <alignment horizontal="center"/>
    </xf>
    <xf numFmtId="164" fontId="6" fillId="0" borderId="31" xfId="0" applyFont="1" applyBorder="1" applyAlignment="1">
      <alignment horizontal="center"/>
    </xf>
    <xf numFmtId="164" fontId="10" fillId="0" borderId="0" xfId="0" applyFont="1" applyAlignment="1">
      <alignment horizontal="center" vertical="center"/>
    </xf>
    <xf numFmtId="164" fontId="0" fillId="0" borderId="0" xfId="0"/>
    <xf numFmtId="164" fontId="11" fillId="5" borderId="44" xfId="0" applyFont="1" applyFill="1" applyBorder="1" applyAlignment="1">
      <alignment horizontal="center"/>
    </xf>
    <xf numFmtId="0" fontId="5" fillId="0" borderId="45" xfId="0" applyNumberFormat="1" applyFont="1" applyBorder="1"/>
    <xf numFmtId="165" fontId="11" fillId="4" borderId="44" xfId="0" applyNumberFormat="1" applyFont="1" applyFill="1" applyBorder="1" applyAlignment="1">
      <alignment horizontal="center"/>
    </xf>
    <xf numFmtId="165" fontId="11" fillId="14" borderId="44" xfId="0" applyNumberFormat="1" applyFont="1" applyFill="1" applyBorder="1" applyAlignment="1">
      <alignment horizontal="center"/>
    </xf>
    <xf numFmtId="165" fontId="6" fillId="17" borderId="1" xfId="0" applyNumberFormat="1" applyFont="1" applyFill="1" applyBorder="1" applyAlignment="1">
      <alignment horizontal="center"/>
    </xf>
    <xf numFmtId="14" fontId="11" fillId="5" borderId="44" xfId="0" applyNumberFormat="1" applyFont="1" applyFill="1" applyBorder="1" applyAlignment="1">
      <alignment horizontal="center"/>
    </xf>
    <xf numFmtId="8" fontId="11" fillId="14" borderId="44" xfId="0" applyNumberFormat="1" applyFont="1" applyFill="1" applyBorder="1" applyAlignment="1">
      <alignment horizontal="center"/>
    </xf>
    <xf numFmtId="8" fontId="11" fillId="3" borderId="44" xfId="0" applyNumberFormat="1" applyFont="1" applyFill="1" applyBorder="1" applyAlignment="1">
      <alignment horizontal="center"/>
    </xf>
    <xf numFmtId="164" fontId="14" fillId="0" borderId="44" xfId="0" applyFont="1" applyBorder="1" applyAlignment="1">
      <alignment horizontal="center"/>
    </xf>
    <xf numFmtId="2" fontId="14" fillId="0" borderId="31" xfId="0" applyNumberFormat="1" applyFont="1" applyBorder="1" applyAlignment="1">
      <alignment horizontal="center"/>
    </xf>
    <xf numFmtId="164" fontId="11" fillId="0" borderId="0" xfId="0" applyFont="1" applyAlignment="1">
      <alignment horizontal="center"/>
    </xf>
    <xf numFmtId="165" fontId="4" fillId="2" borderId="47" xfId="0" applyNumberFormat="1" applyFont="1" applyFill="1" applyBorder="1" applyAlignment="1">
      <alignment horizontal="center"/>
    </xf>
    <xf numFmtId="0" fontId="5" fillId="0" borderId="48" xfId="0" applyNumberFormat="1" applyFont="1" applyBorder="1"/>
    <xf numFmtId="0" fontId="5" fillId="0" borderId="49" xfId="0" applyNumberFormat="1" applyFont="1" applyBorder="1"/>
  </cellXfs>
  <cellStyles count="2">
    <cellStyle name="Hyperlink" xfId="1" builtinId="8"/>
    <cellStyle name="Normal" xfId="0" builtinId="0"/>
  </cellStyles>
  <dxfs count="10">
    <dxf>
      <font>
        <color rgb="FFFF0000"/>
      </font>
      <fill>
        <patternFill patternType="none"/>
      </fill>
    </dxf>
    <dxf>
      <font>
        <color rgb="FFFF0000"/>
      </font>
      <fill>
        <patternFill patternType="none"/>
      </fill>
    </dxf>
    <dxf>
      <font>
        <color rgb="FF006100"/>
      </font>
      <fill>
        <patternFill patternType="solid">
          <fgColor rgb="FFC6EFCE"/>
          <bgColor rgb="FFC6EF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ill>
        <patternFill patternType="solid">
          <fgColor rgb="FFB2A1C7"/>
          <bgColor rgb="FFB2A1C7"/>
        </patternFill>
      </fill>
    </dxf>
    <dxf>
      <fill>
        <patternFill patternType="solid">
          <fgColor rgb="FFC2D69B"/>
          <bgColor rgb="FFC2D69B"/>
        </patternFill>
      </fill>
    </dxf>
    <dxf>
      <fill>
        <patternFill patternType="solid">
          <fgColor rgb="FF92CDDC"/>
          <bgColor rgb="FF92CDDC"/>
        </patternFill>
      </fill>
    </dxf>
    <dxf>
      <fill>
        <patternFill patternType="solid">
          <fgColor rgb="FFFABF8F"/>
          <bgColor rgb="FFFABF8F"/>
        </patternFill>
      </fill>
    </dxf>
    <dxf>
      <fill>
        <patternFill patternType="solid">
          <fgColor rgb="FFD99594"/>
          <bgColor rgb="FFD99594"/>
        </patternFill>
      </fill>
    </dxf>
    <dxf>
      <fill>
        <patternFill patternType="solid">
          <fgColor rgb="FF938953"/>
          <bgColor rgb="FF938953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theme" Target="theme/theme1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customschemas.google.com/relationships/workbookmetadata" Target="metadata"/></Relationships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3.xml.rels><?xml version="1.0" encoding="UTF-8" standalone="yes"?>
<Relationships xmlns="http://schemas.openxmlformats.org/package/2006/relationships"><Relationship Id="rId8" Type="http://schemas.openxmlformats.org/officeDocument/2006/relationships/hyperlink" Target="https://login.fidelity.com/ftgw/Fas/Fidelity/IspCust/Login/Init" TargetMode="External"/><Relationship Id="rId13" Type="http://schemas.openxmlformats.org/officeDocument/2006/relationships/hyperlink" Target="https://www.wellsfargo.com/" TargetMode="External"/><Relationship Id="rId3" Type="http://schemas.openxmlformats.org/officeDocument/2006/relationships/hyperlink" Target="https://dashboard.m1finance.com/login" TargetMode="External"/><Relationship Id="rId7" Type="http://schemas.openxmlformats.org/officeDocument/2006/relationships/hyperlink" Target="https://login.fidelity.com/ftgw/Fas/Fidelity/IspCust/Login/Init" TargetMode="External"/><Relationship Id="rId12" Type="http://schemas.openxmlformats.org/officeDocument/2006/relationships/hyperlink" Target="https://swivelpay.com/login?institutionId=f2b951bb-bba0-4c8a-bbd4-953565bf1dc0" TargetMode="External"/><Relationship Id="rId2" Type="http://schemas.openxmlformats.org/officeDocument/2006/relationships/hyperlink" Target="https://www.gmfinancial.com/en-us/myaccount/login.html" TargetMode="External"/><Relationship Id="rId1" Type="http://schemas.openxmlformats.org/officeDocument/2006/relationships/hyperlink" Target="https://rocketaccount.com/" TargetMode="External"/><Relationship Id="rId6" Type="http://schemas.openxmlformats.org/officeDocument/2006/relationships/hyperlink" Target="https://secure.tsp.gov/tsp/login.html" TargetMode="External"/><Relationship Id="rId11" Type="http://schemas.openxmlformats.org/officeDocument/2006/relationships/hyperlink" Target="https://www.wellsfargo.com/" TargetMode="External"/><Relationship Id="rId5" Type="http://schemas.openxmlformats.org/officeDocument/2006/relationships/hyperlink" Target="https://secure.tsp.gov/tsp/login.html" TargetMode="External"/><Relationship Id="rId10" Type="http://schemas.openxmlformats.org/officeDocument/2006/relationships/hyperlink" Target="https://www.redfin.com/OH/Elyria/41403-Elmwood-St-44035/home/66327750" TargetMode="External"/><Relationship Id="rId4" Type="http://schemas.openxmlformats.org/officeDocument/2006/relationships/hyperlink" Target="https://dashboard.m1finance.com/login" TargetMode="External"/><Relationship Id="rId9" Type="http://schemas.openxmlformats.org/officeDocument/2006/relationships/hyperlink" Target="https://www.redfin.com/OH/Elyria/41377-Elmwood-St-44035/home/77213055" TargetMode="External"/><Relationship Id="rId14" Type="http://schemas.openxmlformats.org/officeDocument/2006/relationships/hyperlink" Target="https://lowes.syf.com/accounts/login/?token=eyJlbmMiOiJBMjU2Q0JDLUhTNTEyIiwiYWxnIjoiUlNBLU9BRVAtMjU2In0.QMX1ocv4_8-Z4HRw9u2yRJQKCHD69o_RPB7kg4Q2lKOp1QCCW0f7uDpeF6ohl3KVFJcEm7YR6zX3KxjKJxA1oosXYGPEJeOmc9kpbmsjyEgGgAOtNkI4nLs8wpRW8uSfCODPJ2rATyc6Vi-l5EKitRXOSE_Uz7gO31cdTrUgWMbxrADrFCJxu8k3vXXPh-FAQjEG1HDhSfm2pKvkyLLrLdXCBTuX0hSCAXy2kT2hqQmKUF16QYm7X7hex0bDu9hCl-SvikM_zHYQUujGzPl7GzuRvyy58_Uy6pQBUry9VUOtOgvBhy2N-yBxAlIokfw2eScNX8mfnAnDejoAB5vWtw.Hf6mG0pt67bwkBOFA60CKw.5qPcoSE1TmsKXdZXDh-CwF-dSEt5k3UrhSNXKvZWeUpaFNXOyHVtMRaZT1u2E2wj_Y_N7p6X39GzE_9RaDvW0xCePE1PQpleC2PKALAfsdyfcbWdUaa6OFVCJEYU0PYcSwc3ZtzLh_EBSDv9d4T702ILhCNc42PIWlVfHnitC24GoUYtII_u9HUscI0hFU_6NbWo9vz0AWiTm0lC3bemCQlUIzLZqWoTsg5ZTBk9L4tOjZw2iGq05Jlh79caUaO3Ji_9CwjY2E8cdnil-bHb8J7bLNCT7UBvVq3We0bL5FvUcGVE17bPPvPYDX0oq6swPgjHzlwKVKP42QBUR2koifo8GTB_oxcH-sQlwyD1Sfkj1UU0CHSTFx22dbSJOAH3gpt5dtThDRwxd6tU-8eJvTZya-uqsdfWhJgroOivf1ucwyo58ya2cgfOIsoo0oKUVNhhoRbfb5ttAVupWURbSYp3ORdx4V2qEHpPvW7LRPj5f8Y96NX-bJs-lvWCqMPL07YZ-nCyfgSbZdDGKYCMSUqUKGfWtdnpCnT2VicfHsyMD-Rjs7-nxCyAU_ZRIGfT1mHC9chvYRNi8_V0Fuopuo2NmG4vlppC1AX-Trsnz5s5VeM31JbMZIsUZscTWyAwovTz7mOLzytfN5Z4F151KL1aL6a0A_Bl5E35Yc6ojd0k2lbsE9R1OJE4tGRdS3C4TQzjBc86TbspH4QMpUXHJ2ajkTGX-fAyhmcnljNYvzBG1Oc4kCcBdMNfBg9VuiJwgjkIo-UIi3LXNRqF0uMsceA_Ml7G2UgWMf5hGtiBb15hQ6Bufm9cRPJZW48tjFAlNhqrjznLRQ6oDkPN0pMXyW725XD9op5Iwr1BiAWtiCyWh735KNsy0Pb6Mp_FQ0tmM1Qao7pIjFGEQ0kiA4X-GyRg8R4QY5V6ZgnlNpC7LscDRwmayyg8YE-D_8_ANpL-VoEwGQjFYt5NY57g-U25_5WZ8uniWbJqICQcp0F1PfI3NeQg2ORzA9i-AQSPkodYBGMcvIc-RMiiXTjiqzRESh50KSc2fXy_SX4R-t-qBQs.Gl_cHOrgUzbvUoeqxAttTRtxwQ-ql4pErY4QXM4P0wo&amp;ui_locales=en" TargetMode="External"/></Relationships>
</file>

<file path=xl/worksheets/_rels/sheet17.xml.rels><?xml version="1.0" encoding="UTF-8" standalone="yes"?>
<Relationships xmlns="http://schemas.openxmlformats.org/package/2006/relationships"><Relationship Id="rId8" Type="http://schemas.openxmlformats.org/officeDocument/2006/relationships/hyperlink" Target="https://secure.ssa.gov/RIL/SiView.do" TargetMode="External"/><Relationship Id="rId3" Type="http://schemas.openxmlformats.org/officeDocument/2006/relationships/hyperlink" Target="https://myaccess.dmdc.osd.mil/identitymanagement/authenticate.do?execution=e3s1" TargetMode="External"/><Relationship Id="rId7" Type="http://schemas.openxmlformats.org/officeDocument/2006/relationships/hyperlink" Target="mailto:isaac.d.martin@gmail.com" TargetMode="External"/><Relationship Id="rId2" Type="http://schemas.openxmlformats.org/officeDocument/2006/relationships/hyperlink" Target="mailto:isaac.d.martin@gmail.com" TargetMode="External"/><Relationship Id="rId1" Type="http://schemas.openxmlformats.org/officeDocument/2006/relationships/hyperlink" Target="mailto:isaac.d.martin2@gmail.com" TargetMode="External"/><Relationship Id="rId6" Type="http://schemas.openxmlformats.org/officeDocument/2006/relationships/hyperlink" Target="mailto:isaac.d.martin@gmail.com" TargetMode="External"/><Relationship Id="rId5" Type="http://schemas.openxmlformats.org/officeDocument/2006/relationships/hyperlink" Target="https://www.myedaccount.com/accounts/Login.aspx?c=Yes" TargetMode="External"/><Relationship Id="rId10" Type="http://schemas.openxmlformats.org/officeDocument/2006/relationships/hyperlink" Target="mailto:idmartin22@yahoo.com" TargetMode="External"/><Relationship Id="rId4" Type="http://schemas.openxmlformats.org/officeDocument/2006/relationships/hyperlink" Target="https://www.firstenergycorp.com/log_in.html" TargetMode="External"/><Relationship Id="rId9" Type="http://schemas.openxmlformats.org/officeDocument/2006/relationships/hyperlink" Target="mailto:isaac.d.martin@gmail.com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1000"/>
  <sheetViews>
    <sheetView workbookViewId="0"/>
  </sheetViews>
  <sheetFormatPr defaultColWidth="14.44140625" defaultRowHeight="15" customHeight="1" x14ac:dyDescent="0.3"/>
  <cols>
    <col min="1" max="26" width="8.6640625" customWidth="1"/>
  </cols>
  <sheetData>
    <row r="1" spans="1:1" ht="14.25" customHeight="1" x14ac:dyDescent="0.3">
      <c r="A1" s="1" t="s">
        <v>0</v>
      </c>
    </row>
    <row r="2" spans="1:1" ht="14.25" customHeight="1" x14ac:dyDescent="0.3">
      <c r="A2" s="2" t="s">
        <v>1</v>
      </c>
    </row>
    <row r="3" spans="1:1" ht="14.25" customHeight="1" x14ac:dyDescent="0.3">
      <c r="A3" s="2" t="s">
        <v>2</v>
      </c>
    </row>
    <row r="4" spans="1:1" ht="14.25" customHeight="1" x14ac:dyDescent="0.3">
      <c r="A4" s="3" t="s">
        <v>3</v>
      </c>
    </row>
    <row r="5" spans="1:1" ht="14.25" customHeight="1" x14ac:dyDescent="0.3">
      <c r="A5" s="3" t="s">
        <v>4</v>
      </c>
    </row>
    <row r="6" spans="1:1" ht="14.25" customHeight="1" x14ac:dyDescent="0.3">
      <c r="A6" s="3" t="s">
        <v>5</v>
      </c>
    </row>
    <row r="7" spans="1:1" ht="14.25" customHeight="1" x14ac:dyDescent="0.3">
      <c r="A7" s="3" t="s">
        <v>6</v>
      </c>
    </row>
    <row r="8" spans="1:1" ht="14.25" customHeight="1" x14ac:dyDescent="0.3">
      <c r="A8" s="3" t="s">
        <v>7</v>
      </c>
    </row>
    <row r="9" spans="1:1" ht="14.25" customHeight="1" x14ac:dyDescent="0.3">
      <c r="A9" s="3" t="s">
        <v>8</v>
      </c>
    </row>
    <row r="10" spans="1:1" ht="14.25" customHeight="1" x14ac:dyDescent="0.3">
      <c r="A10" s="3" t="s">
        <v>9</v>
      </c>
    </row>
    <row r="11" spans="1:1" ht="14.25" customHeight="1" x14ac:dyDescent="0.3">
      <c r="A11" s="3" t="s">
        <v>10</v>
      </c>
    </row>
    <row r="12" spans="1:1" ht="14.25" customHeight="1" x14ac:dyDescent="0.3">
      <c r="A12" s="3" t="s">
        <v>11</v>
      </c>
    </row>
    <row r="13" spans="1:1" ht="14.25" customHeight="1" x14ac:dyDescent="0.3">
      <c r="A13" s="3" t="s">
        <v>12</v>
      </c>
    </row>
    <row r="14" spans="1:1" ht="14.25" customHeight="1" x14ac:dyDescent="0.3">
      <c r="A14" s="2" t="s">
        <v>13</v>
      </c>
    </row>
    <row r="15" spans="1:1" ht="14.25" customHeight="1" x14ac:dyDescent="0.3">
      <c r="A15" s="3" t="s">
        <v>14</v>
      </c>
    </row>
    <row r="16" spans="1:1" ht="14.25" customHeight="1" x14ac:dyDescent="0.3">
      <c r="A16" s="3" t="s">
        <v>15</v>
      </c>
    </row>
    <row r="17" spans="1:1" ht="14.25" customHeight="1" x14ac:dyDescent="0.3">
      <c r="A17" s="3" t="s">
        <v>16</v>
      </c>
    </row>
    <row r="18" spans="1:1" ht="14.25" customHeight="1" x14ac:dyDescent="0.3">
      <c r="A18" s="3" t="s">
        <v>17</v>
      </c>
    </row>
    <row r="19" spans="1:1" ht="14.25" customHeight="1" x14ac:dyDescent="0.3">
      <c r="A19" s="3" t="s">
        <v>18</v>
      </c>
    </row>
    <row r="20" spans="1:1" ht="14.25" customHeight="1" x14ac:dyDescent="0.3">
      <c r="A20" s="3" t="s">
        <v>19</v>
      </c>
    </row>
    <row r="21" spans="1:1" ht="14.25" customHeight="1" x14ac:dyDescent="0.3">
      <c r="A21" s="2" t="s">
        <v>20</v>
      </c>
    </row>
    <row r="22" spans="1:1" ht="14.25" customHeight="1" x14ac:dyDescent="0.3">
      <c r="A22" s="3" t="s">
        <v>21</v>
      </c>
    </row>
    <row r="23" spans="1:1" ht="14.25" customHeight="1" x14ac:dyDescent="0.3">
      <c r="A23" s="3" t="s">
        <v>22</v>
      </c>
    </row>
    <row r="24" spans="1:1" ht="14.25" customHeight="1" x14ac:dyDescent="0.3">
      <c r="A24" s="3" t="s">
        <v>23</v>
      </c>
    </row>
    <row r="25" spans="1:1" ht="14.25" customHeight="1" x14ac:dyDescent="0.3">
      <c r="A25" s="2" t="s">
        <v>24</v>
      </c>
    </row>
    <row r="26" spans="1:1" ht="14.25" customHeight="1" x14ac:dyDescent="0.3">
      <c r="A26" s="3" t="s">
        <v>25</v>
      </c>
    </row>
    <row r="27" spans="1:1" ht="14.25" customHeight="1" x14ac:dyDescent="0.3">
      <c r="A27" s="3" t="s">
        <v>26</v>
      </c>
    </row>
    <row r="28" spans="1:1" ht="14.25" customHeight="1" x14ac:dyDescent="0.3">
      <c r="A28" s="3" t="s">
        <v>27</v>
      </c>
    </row>
    <row r="29" spans="1:1" ht="14.25" customHeight="1" x14ac:dyDescent="0.3">
      <c r="A29" s="2" t="s">
        <v>28</v>
      </c>
    </row>
    <row r="30" spans="1:1" ht="14.25" customHeight="1" x14ac:dyDescent="0.3">
      <c r="A30" s="4" t="s">
        <v>29</v>
      </c>
    </row>
    <row r="31" spans="1:1" ht="14.25" customHeight="1" x14ac:dyDescent="0.3">
      <c r="A31" s="4" t="s">
        <v>30</v>
      </c>
    </row>
    <row r="32" spans="1:1" ht="14.25" customHeight="1" x14ac:dyDescent="0.3">
      <c r="A32" s="4" t="s">
        <v>31</v>
      </c>
    </row>
    <row r="33" spans="1:1" ht="14.25" customHeight="1" x14ac:dyDescent="0.3">
      <c r="A33" s="4" t="s">
        <v>32</v>
      </c>
    </row>
    <row r="34" spans="1:1" ht="14.25" customHeight="1" x14ac:dyDescent="0.3">
      <c r="A34" s="4" t="s">
        <v>33</v>
      </c>
    </row>
    <row r="35" spans="1:1" ht="14.25" customHeight="1" x14ac:dyDescent="0.3"/>
    <row r="36" spans="1:1" ht="14.25" customHeight="1" x14ac:dyDescent="0.3"/>
    <row r="37" spans="1:1" ht="14.25" customHeight="1" x14ac:dyDescent="0.3"/>
    <row r="38" spans="1:1" ht="14.25" customHeight="1" x14ac:dyDescent="0.3"/>
    <row r="39" spans="1:1" ht="14.25" customHeight="1" x14ac:dyDescent="0.3"/>
    <row r="40" spans="1:1" ht="14.25" customHeight="1" x14ac:dyDescent="0.3"/>
    <row r="41" spans="1:1" ht="14.25" customHeight="1" x14ac:dyDescent="0.3"/>
    <row r="42" spans="1:1" ht="14.25" customHeight="1" x14ac:dyDescent="0.3"/>
    <row r="43" spans="1:1" ht="14.25" customHeight="1" x14ac:dyDescent="0.3"/>
    <row r="44" spans="1:1" ht="14.25" customHeight="1" x14ac:dyDescent="0.3"/>
    <row r="45" spans="1:1" ht="14.25" customHeight="1" x14ac:dyDescent="0.3"/>
    <row r="46" spans="1:1" ht="14.25" customHeight="1" x14ac:dyDescent="0.3"/>
    <row r="47" spans="1:1" ht="14.25" customHeight="1" x14ac:dyDescent="0.3"/>
    <row r="48" spans="1:1" ht="14.25" customHeight="1" x14ac:dyDescent="0.3"/>
    <row r="49" ht="14.25" customHeight="1" x14ac:dyDescent="0.3"/>
    <row r="50" ht="14.25" customHeight="1" x14ac:dyDescent="0.3"/>
    <row r="51" ht="14.25" customHeight="1" x14ac:dyDescent="0.3"/>
    <row r="52" ht="14.25" customHeight="1" x14ac:dyDescent="0.3"/>
    <row r="53" ht="14.25" customHeight="1" x14ac:dyDescent="0.3"/>
    <row r="54" ht="14.25" customHeight="1" x14ac:dyDescent="0.3"/>
    <row r="55" ht="14.25" customHeight="1" x14ac:dyDescent="0.3"/>
    <row r="56" ht="14.25" customHeight="1" x14ac:dyDescent="0.3"/>
    <row r="57" ht="14.25" customHeight="1" x14ac:dyDescent="0.3"/>
    <row r="58" ht="14.25" customHeight="1" x14ac:dyDescent="0.3"/>
    <row r="59" ht="14.25" customHeight="1" x14ac:dyDescent="0.3"/>
    <row r="60" ht="14.25" customHeight="1" x14ac:dyDescent="0.3"/>
    <row r="61" ht="14.25" customHeight="1" x14ac:dyDescent="0.3"/>
    <row r="62" ht="14.25" customHeight="1" x14ac:dyDescent="0.3"/>
    <row r="63" ht="14.25" customHeight="1" x14ac:dyDescent="0.3"/>
    <row r="64" ht="14.25" customHeight="1" x14ac:dyDescent="0.3"/>
    <row r="65" ht="14.25" customHeight="1" x14ac:dyDescent="0.3"/>
    <row r="66" ht="14.25" customHeight="1" x14ac:dyDescent="0.3"/>
    <row r="67" ht="14.25" customHeight="1" x14ac:dyDescent="0.3"/>
    <row r="68" ht="14.25" customHeight="1" x14ac:dyDescent="0.3"/>
    <row r="69" ht="14.25" customHeight="1" x14ac:dyDescent="0.3"/>
    <row r="70" ht="14.25" customHeight="1" x14ac:dyDescent="0.3"/>
    <row r="71" ht="14.25" customHeight="1" x14ac:dyDescent="0.3"/>
    <row r="72" ht="14.25" customHeight="1" x14ac:dyDescent="0.3"/>
    <row r="73" ht="14.25" customHeight="1" x14ac:dyDescent="0.3"/>
    <row r="74" ht="14.25" customHeight="1" x14ac:dyDescent="0.3"/>
    <row r="75" ht="14.25" customHeight="1" x14ac:dyDescent="0.3"/>
    <row r="76" ht="14.25" customHeight="1" x14ac:dyDescent="0.3"/>
    <row r="77" ht="14.25" customHeight="1" x14ac:dyDescent="0.3"/>
    <row r="78" ht="14.25" customHeight="1" x14ac:dyDescent="0.3"/>
    <row r="79" ht="14.25" customHeight="1" x14ac:dyDescent="0.3"/>
    <row r="80" ht="14.25" customHeight="1" x14ac:dyDescent="0.3"/>
    <row r="81" ht="14.25" customHeight="1" x14ac:dyDescent="0.3"/>
    <row r="82" ht="14.25" customHeight="1" x14ac:dyDescent="0.3"/>
    <row r="83" ht="14.25" customHeight="1" x14ac:dyDescent="0.3"/>
    <row r="84" ht="14.25" customHeight="1" x14ac:dyDescent="0.3"/>
    <row r="85" ht="14.25" customHeight="1" x14ac:dyDescent="0.3"/>
    <row r="86" ht="14.25" customHeight="1" x14ac:dyDescent="0.3"/>
    <row r="87" ht="14.25" customHeight="1" x14ac:dyDescent="0.3"/>
    <row r="88" ht="14.25" customHeight="1" x14ac:dyDescent="0.3"/>
    <row r="89" ht="14.25" customHeight="1" x14ac:dyDescent="0.3"/>
    <row r="90" ht="14.25" customHeight="1" x14ac:dyDescent="0.3"/>
    <row r="91" ht="14.25" customHeight="1" x14ac:dyDescent="0.3"/>
    <row r="92" ht="14.25" customHeight="1" x14ac:dyDescent="0.3"/>
    <row r="93" ht="14.25" customHeight="1" x14ac:dyDescent="0.3"/>
    <row r="94" ht="14.25" customHeight="1" x14ac:dyDescent="0.3"/>
    <row r="95" ht="14.25" customHeight="1" x14ac:dyDescent="0.3"/>
    <row r="96" ht="14.25" customHeight="1" x14ac:dyDescent="0.3"/>
    <row r="97" ht="14.25" customHeight="1" x14ac:dyDescent="0.3"/>
    <row r="98" ht="14.25" customHeight="1" x14ac:dyDescent="0.3"/>
    <row r="99" ht="14.25" customHeight="1" x14ac:dyDescent="0.3"/>
    <row r="100" ht="14.25" customHeight="1" x14ac:dyDescent="0.3"/>
    <row r="101" ht="14.25" customHeight="1" x14ac:dyDescent="0.3"/>
    <row r="102" ht="14.25" customHeight="1" x14ac:dyDescent="0.3"/>
    <row r="103" ht="14.25" customHeight="1" x14ac:dyDescent="0.3"/>
    <row r="104" ht="14.25" customHeight="1" x14ac:dyDescent="0.3"/>
    <row r="105" ht="14.25" customHeight="1" x14ac:dyDescent="0.3"/>
    <row r="106" ht="14.25" customHeight="1" x14ac:dyDescent="0.3"/>
    <row r="107" ht="14.25" customHeight="1" x14ac:dyDescent="0.3"/>
    <row r="108" ht="14.25" customHeight="1" x14ac:dyDescent="0.3"/>
    <row r="109" ht="14.25" customHeight="1" x14ac:dyDescent="0.3"/>
    <row r="110" ht="14.25" customHeight="1" x14ac:dyDescent="0.3"/>
    <row r="111" ht="14.25" customHeight="1" x14ac:dyDescent="0.3"/>
    <row r="112" ht="14.25" customHeight="1" x14ac:dyDescent="0.3"/>
    <row r="113" ht="14.25" customHeight="1" x14ac:dyDescent="0.3"/>
    <row r="114" ht="14.25" customHeight="1" x14ac:dyDescent="0.3"/>
    <row r="115" ht="14.25" customHeight="1" x14ac:dyDescent="0.3"/>
    <row r="116" ht="14.25" customHeight="1" x14ac:dyDescent="0.3"/>
    <row r="117" ht="14.25" customHeight="1" x14ac:dyDescent="0.3"/>
    <row r="118" ht="14.25" customHeight="1" x14ac:dyDescent="0.3"/>
    <row r="119" ht="14.25" customHeight="1" x14ac:dyDescent="0.3"/>
    <row r="120" ht="14.25" customHeight="1" x14ac:dyDescent="0.3"/>
    <row r="121" ht="14.25" customHeight="1" x14ac:dyDescent="0.3"/>
    <row r="122" ht="14.25" customHeight="1" x14ac:dyDescent="0.3"/>
    <row r="123" ht="14.25" customHeight="1" x14ac:dyDescent="0.3"/>
    <row r="124" ht="14.25" customHeight="1" x14ac:dyDescent="0.3"/>
    <row r="125" ht="14.25" customHeight="1" x14ac:dyDescent="0.3"/>
    <row r="126" ht="14.25" customHeight="1" x14ac:dyDescent="0.3"/>
    <row r="127" ht="14.25" customHeight="1" x14ac:dyDescent="0.3"/>
    <row r="128" ht="14.25" customHeight="1" x14ac:dyDescent="0.3"/>
    <row r="129" ht="14.25" customHeight="1" x14ac:dyDescent="0.3"/>
    <row r="130" ht="14.25" customHeight="1" x14ac:dyDescent="0.3"/>
    <row r="131" ht="14.25" customHeight="1" x14ac:dyDescent="0.3"/>
    <row r="132" ht="14.25" customHeight="1" x14ac:dyDescent="0.3"/>
    <row r="133" ht="14.25" customHeight="1" x14ac:dyDescent="0.3"/>
    <row r="134" ht="14.25" customHeight="1" x14ac:dyDescent="0.3"/>
    <row r="135" ht="14.25" customHeight="1" x14ac:dyDescent="0.3"/>
    <row r="136" ht="14.25" customHeight="1" x14ac:dyDescent="0.3"/>
    <row r="137" ht="14.25" customHeight="1" x14ac:dyDescent="0.3"/>
    <row r="138" ht="14.25" customHeight="1" x14ac:dyDescent="0.3"/>
    <row r="139" ht="14.25" customHeight="1" x14ac:dyDescent="0.3"/>
    <row r="140" ht="14.25" customHeight="1" x14ac:dyDescent="0.3"/>
    <row r="141" ht="14.25" customHeight="1" x14ac:dyDescent="0.3"/>
    <row r="142" ht="14.25" customHeight="1" x14ac:dyDescent="0.3"/>
    <row r="143" ht="14.25" customHeight="1" x14ac:dyDescent="0.3"/>
    <row r="144" ht="14.25" customHeight="1" x14ac:dyDescent="0.3"/>
    <row r="145" ht="14.25" customHeight="1" x14ac:dyDescent="0.3"/>
    <row r="146" ht="14.25" customHeight="1" x14ac:dyDescent="0.3"/>
    <row r="147" ht="14.25" customHeight="1" x14ac:dyDescent="0.3"/>
    <row r="148" ht="14.25" customHeight="1" x14ac:dyDescent="0.3"/>
    <row r="149" ht="14.25" customHeight="1" x14ac:dyDescent="0.3"/>
    <row r="150" ht="14.25" customHeight="1" x14ac:dyDescent="0.3"/>
    <row r="151" ht="14.25" customHeight="1" x14ac:dyDescent="0.3"/>
    <row r="152" ht="14.25" customHeight="1" x14ac:dyDescent="0.3"/>
    <row r="153" ht="14.25" customHeight="1" x14ac:dyDescent="0.3"/>
    <row r="154" ht="14.25" customHeight="1" x14ac:dyDescent="0.3"/>
    <row r="155" ht="14.25" customHeight="1" x14ac:dyDescent="0.3"/>
    <row r="156" ht="14.25" customHeight="1" x14ac:dyDescent="0.3"/>
    <row r="157" ht="14.25" customHeight="1" x14ac:dyDescent="0.3"/>
    <row r="158" ht="14.25" customHeight="1" x14ac:dyDescent="0.3"/>
    <row r="159" ht="14.25" customHeight="1" x14ac:dyDescent="0.3"/>
    <row r="160" ht="14.25" customHeight="1" x14ac:dyDescent="0.3"/>
    <row r="161" ht="14.25" customHeight="1" x14ac:dyDescent="0.3"/>
    <row r="162" ht="14.25" customHeight="1" x14ac:dyDescent="0.3"/>
    <row r="163" ht="14.25" customHeight="1" x14ac:dyDescent="0.3"/>
    <row r="164" ht="14.25" customHeight="1" x14ac:dyDescent="0.3"/>
    <row r="165" ht="14.25" customHeight="1" x14ac:dyDescent="0.3"/>
    <row r="166" ht="14.25" customHeight="1" x14ac:dyDescent="0.3"/>
    <row r="167" ht="14.25" customHeight="1" x14ac:dyDescent="0.3"/>
    <row r="168" ht="14.25" customHeight="1" x14ac:dyDescent="0.3"/>
    <row r="169" ht="14.25" customHeight="1" x14ac:dyDescent="0.3"/>
    <row r="170" ht="14.25" customHeight="1" x14ac:dyDescent="0.3"/>
    <row r="171" ht="14.25" customHeight="1" x14ac:dyDescent="0.3"/>
    <row r="172" ht="14.25" customHeight="1" x14ac:dyDescent="0.3"/>
    <row r="173" ht="14.25" customHeight="1" x14ac:dyDescent="0.3"/>
    <row r="174" ht="14.25" customHeight="1" x14ac:dyDescent="0.3"/>
    <row r="175" ht="14.25" customHeight="1" x14ac:dyDescent="0.3"/>
    <row r="176" ht="14.25" customHeight="1" x14ac:dyDescent="0.3"/>
    <row r="177" ht="14.25" customHeight="1" x14ac:dyDescent="0.3"/>
    <row r="178" ht="14.25" customHeight="1" x14ac:dyDescent="0.3"/>
    <row r="179" ht="14.25" customHeight="1" x14ac:dyDescent="0.3"/>
    <row r="180" ht="14.25" customHeight="1" x14ac:dyDescent="0.3"/>
    <row r="181" ht="14.25" customHeight="1" x14ac:dyDescent="0.3"/>
    <row r="182" ht="14.25" customHeight="1" x14ac:dyDescent="0.3"/>
    <row r="183" ht="14.25" customHeight="1" x14ac:dyDescent="0.3"/>
    <row r="184" ht="14.25" customHeight="1" x14ac:dyDescent="0.3"/>
    <row r="185" ht="14.25" customHeight="1" x14ac:dyDescent="0.3"/>
    <row r="186" ht="14.25" customHeight="1" x14ac:dyDescent="0.3"/>
    <row r="187" ht="14.25" customHeight="1" x14ac:dyDescent="0.3"/>
    <row r="188" ht="14.25" customHeight="1" x14ac:dyDescent="0.3"/>
    <row r="189" ht="14.25" customHeight="1" x14ac:dyDescent="0.3"/>
    <row r="190" ht="14.25" customHeight="1" x14ac:dyDescent="0.3"/>
    <row r="191" ht="14.25" customHeight="1" x14ac:dyDescent="0.3"/>
    <row r="192" ht="14.25" customHeight="1" x14ac:dyDescent="0.3"/>
    <row r="193" ht="14.25" customHeight="1" x14ac:dyDescent="0.3"/>
    <row r="194" ht="14.25" customHeight="1" x14ac:dyDescent="0.3"/>
    <row r="195" ht="14.25" customHeight="1" x14ac:dyDescent="0.3"/>
    <row r="196" ht="14.25" customHeight="1" x14ac:dyDescent="0.3"/>
    <row r="197" ht="14.25" customHeight="1" x14ac:dyDescent="0.3"/>
    <row r="198" ht="14.25" customHeight="1" x14ac:dyDescent="0.3"/>
    <row r="199" ht="14.25" customHeight="1" x14ac:dyDescent="0.3"/>
    <row r="200" ht="14.25" customHeight="1" x14ac:dyDescent="0.3"/>
    <row r="201" ht="14.25" customHeight="1" x14ac:dyDescent="0.3"/>
    <row r="202" ht="14.25" customHeight="1" x14ac:dyDescent="0.3"/>
    <row r="203" ht="14.25" customHeight="1" x14ac:dyDescent="0.3"/>
    <row r="204" ht="14.25" customHeight="1" x14ac:dyDescent="0.3"/>
    <row r="205" ht="14.25" customHeight="1" x14ac:dyDescent="0.3"/>
    <row r="206" ht="14.25" customHeight="1" x14ac:dyDescent="0.3"/>
    <row r="207" ht="14.25" customHeight="1" x14ac:dyDescent="0.3"/>
    <row r="208" ht="14.25" customHeight="1" x14ac:dyDescent="0.3"/>
    <row r="209" ht="14.25" customHeight="1" x14ac:dyDescent="0.3"/>
    <row r="210" ht="14.25" customHeight="1" x14ac:dyDescent="0.3"/>
    <row r="211" ht="14.25" customHeight="1" x14ac:dyDescent="0.3"/>
    <row r="212" ht="14.25" customHeight="1" x14ac:dyDescent="0.3"/>
    <row r="213" ht="14.25" customHeight="1" x14ac:dyDescent="0.3"/>
    <row r="214" ht="14.25" customHeight="1" x14ac:dyDescent="0.3"/>
    <row r="215" ht="14.25" customHeight="1" x14ac:dyDescent="0.3"/>
    <row r="216" ht="14.25" customHeight="1" x14ac:dyDescent="0.3"/>
    <row r="217" ht="14.25" customHeight="1" x14ac:dyDescent="0.3"/>
    <row r="218" ht="14.25" customHeight="1" x14ac:dyDescent="0.3"/>
    <row r="219" ht="14.25" customHeight="1" x14ac:dyDescent="0.3"/>
    <row r="220" ht="14.25" customHeight="1" x14ac:dyDescent="0.3"/>
    <row r="221" ht="14.25" customHeight="1" x14ac:dyDescent="0.3"/>
    <row r="222" ht="14.25" customHeight="1" x14ac:dyDescent="0.3"/>
    <row r="223" ht="14.25" customHeight="1" x14ac:dyDescent="0.3"/>
    <row r="224" ht="14.25" customHeight="1" x14ac:dyDescent="0.3"/>
    <row r="225" ht="14.25" customHeight="1" x14ac:dyDescent="0.3"/>
    <row r="226" ht="14.25" customHeight="1" x14ac:dyDescent="0.3"/>
    <row r="227" ht="14.25" customHeight="1" x14ac:dyDescent="0.3"/>
    <row r="228" ht="14.25" customHeight="1" x14ac:dyDescent="0.3"/>
    <row r="229" ht="14.25" customHeight="1" x14ac:dyDescent="0.3"/>
    <row r="230" ht="14.25" customHeight="1" x14ac:dyDescent="0.3"/>
    <row r="231" ht="14.25" customHeight="1" x14ac:dyDescent="0.3"/>
    <row r="232" ht="14.25" customHeight="1" x14ac:dyDescent="0.3"/>
    <row r="233" ht="14.25" customHeight="1" x14ac:dyDescent="0.3"/>
    <row r="234" ht="14.25" customHeight="1" x14ac:dyDescent="0.3"/>
    <row r="235" ht="14.25" customHeight="1" x14ac:dyDescent="0.3"/>
    <row r="236" ht="14.25" customHeight="1" x14ac:dyDescent="0.3"/>
    <row r="237" ht="14.25" customHeight="1" x14ac:dyDescent="0.3"/>
    <row r="238" ht="14.25" customHeight="1" x14ac:dyDescent="0.3"/>
    <row r="239" ht="14.25" customHeight="1" x14ac:dyDescent="0.3"/>
    <row r="240" ht="14.25" customHeight="1" x14ac:dyDescent="0.3"/>
    <row r="241" ht="14.25" customHeight="1" x14ac:dyDescent="0.3"/>
    <row r="242" ht="14.25" customHeight="1" x14ac:dyDescent="0.3"/>
    <row r="243" ht="14.25" customHeight="1" x14ac:dyDescent="0.3"/>
    <row r="244" ht="14.25" customHeight="1" x14ac:dyDescent="0.3"/>
    <row r="245" ht="14.25" customHeight="1" x14ac:dyDescent="0.3"/>
    <row r="246" ht="14.25" customHeight="1" x14ac:dyDescent="0.3"/>
    <row r="247" ht="14.25" customHeight="1" x14ac:dyDescent="0.3"/>
    <row r="248" ht="14.25" customHeight="1" x14ac:dyDescent="0.3"/>
    <row r="249" ht="14.25" customHeight="1" x14ac:dyDescent="0.3"/>
    <row r="250" ht="14.25" customHeight="1" x14ac:dyDescent="0.3"/>
    <row r="251" ht="14.25" customHeight="1" x14ac:dyDescent="0.3"/>
    <row r="252" ht="14.25" customHeight="1" x14ac:dyDescent="0.3"/>
    <row r="253" ht="14.25" customHeight="1" x14ac:dyDescent="0.3"/>
    <row r="254" ht="14.25" customHeight="1" x14ac:dyDescent="0.3"/>
    <row r="255" ht="14.25" customHeight="1" x14ac:dyDescent="0.3"/>
    <row r="256" ht="14.25" customHeight="1" x14ac:dyDescent="0.3"/>
    <row r="257" ht="14.25" customHeight="1" x14ac:dyDescent="0.3"/>
    <row r="258" ht="14.25" customHeight="1" x14ac:dyDescent="0.3"/>
    <row r="259" ht="14.25" customHeight="1" x14ac:dyDescent="0.3"/>
    <row r="260" ht="14.25" customHeight="1" x14ac:dyDescent="0.3"/>
    <row r="261" ht="14.25" customHeight="1" x14ac:dyDescent="0.3"/>
    <row r="262" ht="14.25" customHeight="1" x14ac:dyDescent="0.3"/>
    <row r="263" ht="14.25" customHeight="1" x14ac:dyDescent="0.3"/>
    <row r="264" ht="14.25" customHeight="1" x14ac:dyDescent="0.3"/>
    <row r="265" ht="14.25" customHeight="1" x14ac:dyDescent="0.3"/>
    <row r="266" ht="14.25" customHeight="1" x14ac:dyDescent="0.3"/>
    <row r="267" ht="14.25" customHeight="1" x14ac:dyDescent="0.3"/>
    <row r="268" ht="14.25" customHeight="1" x14ac:dyDescent="0.3"/>
    <row r="269" ht="14.25" customHeight="1" x14ac:dyDescent="0.3"/>
    <row r="270" ht="14.25" customHeight="1" x14ac:dyDescent="0.3"/>
    <row r="271" ht="14.25" customHeight="1" x14ac:dyDescent="0.3"/>
    <row r="272" ht="14.25" customHeight="1" x14ac:dyDescent="0.3"/>
    <row r="273" ht="14.25" customHeight="1" x14ac:dyDescent="0.3"/>
    <row r="274" ht="14.25" customHeight="1" x14ac:dyDescent="0.3"/>
    <row r="275" ht="14.25" customHeight="1" x14ac:dyDescent="0.3"/>
    <row r="276" ht="14.25" customHeight="1" x14ac:dyDescent="0.3"/>
    <row r="277" ht="14.25" customHeight="1" x14ac:dyDescent="0.3"/>
    <row r="278" ht="14.25" customHeight="1" x14ac:dyDescent="0.3"/>
    <row r="279" ht="14.25" customHeight="1" x14ac:dyDescent="0.3"/>
    <row r="280" ht="14.25" customHeight="1" x14ac:dyDescent="0.3"/>
    <row r="281" ht="14.25" customHeight="1" x14ac:dyDescent="0.3"/>
    <row r="282" ht="14.25" customHeight="1" x14ac:dyDescent="0.3"/>
    <row r="283" ht="14.25" customHeight="1" x14ac:dyDescent="0.3"/>
    <row r="284" ht="14.25" customHeight="1" x14ac:dyDescent="0.3"/>
    <row r="285" ht="14.25" customHeight="1" x14ac:dyDescent="0.3"/>
    <row r="286" ht="14.25" customHeight="1" x14ac:dyDescent="0.3"/>
    <row r="287" ht="14.25" customHeight="1" x14ac:dyDescent="0.3"/>
    <row r="288" ht="14.25" customHeight="1" x14ac:dyDescent="0.3"/>
    <row r="289" ht="14.25" customHeight="1" x14ac:dyDescent="0.3"/>
    <row r="290" ht="14.25" customHeight="1" x14ac:dyDescent="0.3"/>
    <row r="291" ht="14.25" customHeight="1" x14ac:dyDescent="0.3"/>
    <row r="292" ht="14.25" customHeight="1" x14ac:dyDescent="0.3"/>
    <row r="293" ht="14.25" customHeight="1" x14ac:dyDescent="0.3"/>
    <row r="294" ht="14.25" customHeight="1" x14ac:dyDescent="0.3"/>
    <row r="295" ht="14.25" customHeight="1" x14ac:dyDescent="0.3"/>
    <row r="296" ht="14.25" customHeight="1" x14ac:dyDescent="0.3"/>
    <row r="297" ht="14.25" customHeight="1" x14ac:dyDescent="0.3"/>
    <row r="298" ht="14.25" customHeight="1" x14ac:dyDescent="0.3"/>
    <row r="299" ht="14.25" customHeight="1" x14ac:dyDescent="0.3"/>
    <row r="300" ht="14.25" customHeight="1" x14ac:dyDescent="0.3"/>
    <row r="301" ht="14.25" customHeight="1" x14ac:dyDescent="0.3"/>
    <row r="302" ht="14.25" customHeight="1" x14ac:dyDescent="0.3"/>
    <row r="303" ht="14.25" customHeight="1" x14ac:dyDescent="0.3"/>
    <row r="304" ht="14.25" customHeight="1" x14ac:dyDescent="0.3"/>
    <row r="305" ht="14.25" customHeight="1" x14ac:dyDescent="0.3"/>
    <row r="306" ht="14.25" customHeight="1" x14ac:dyDescent="0.3"/>
    <row r="307" ht="14.25" customHeight="1" x14ac:dyDescent="0.3"/>
    <row r="308" ht="14.25" customHeight="1" x14ac:dyDescent="0.3"/>
    <row r="309" ht="14.25" customHeight="1" x14ac:dyDescent="0.3"/>
    <row r="310" ht="14.25" customHeight="1" x14ac:dyDescent="0.3"/>
    <row r="311" ht="14.25" customHeight="1" x14ac:dyDescent="0.3"/>
    <row r="312" ht="14.25" customHeight="1" x14ac:dyDescent="0.3"/>
    <row r="313" ht="14.25" customHeight="1" x14ac:dyDescent="0.3"/>
    <row r="314" ht="14.25" customHeight="1" x14ac:dyDescent="0.3"/>
    <row r="315" ht="14.25" customHeight="1" x14ac:dyDescent="0.3"/>
    <row r="316" ht="14.25" customHeight="1" x14ac:dyDescent="0.3"/>
    <row r="317" ht="14.25" customHeight="1" x14ac:dyDescent="0.3"/>
    <row r="318" ht="14.25" customHeight="1" x14ac:dyDescent="0.3"/>
    <row r="319" ht="14.25" customHeight="1" x14ac:dyDescent="0.3"/>
    <row r="320" ht="14.25" customHeight="1" x14ac:dyDescent="0.3"/>
    <row r="321" ht="14.25" customHeight="1" x14ac:dyDescent="0.3"/>
    <row r="322" ht="14.25" customHeight="1" x14ac:dyDescent="0.3"/>
    <row r="323" ht="14.25" customHeight="1" x14ac:dyDescent="0.3"/>
    <row r="324" ht="14.25" customHeight="1" x14ac:dyDescent="0.3"/>
    <row r="325" ht="14.25" customHeight="1" x14ac:dyDescent="0.3"/>
    <row r="326" ht="14.25" customHeight="1" x14ac:dyDescent="0.3"/>
    <row r="327" ht="14.25" customHeight="1" x14ac:dyDescent="0.3"/>
    <row r="328" ht="14.25" customHeight="1" x14ac:dyDescent="0.3"/>
    <row r="329" ht="14.25" customHeight="1" x14ac:dyDescent="0.3"/>
    <row r="330" ht="14.25" customHeight="1" x14ac:dyDescent="0.3"/>
    <row r="331" ht="14.25" customHeight="1" x14ac:dyDescent="0.3"/>
    <row r="332" ht="14.25" customHeight="1" x14ac:dyDescent="0.3"/>
    <row r="333" ht="14.25" customHeight="1" x14ac:dyDescent="0.3"/>
    <row r="334" ht="14.25" customHeight="1" x14ac:dyDescent="0.3"/>
    <row r="335" ht="14.25" customHeight="1" x14ac:dyDescent="0.3"/>
    <row r="336" ht="14.25" customHeight="1" x14ac:dyDescent="0.3"/>
    <row r="337" ht="14.25" customHeight="1" x14ac:dyDescent="0.3"/>
    <row r="338" ht="14.25" customHeight="1" x14ac:dyDescent="0.3"/>
    <row r="339" ht="14.25" customHeight="1" x14ac:dyDescent="0.3"/>
    <row r="340" ht="14.25" customHeight="1" x14ac:dyDescent="0.3"/>
    <row r="341" ht="14.25" customHeight="1" x14ac:dyDescent="0.3"/>
    <row r="342" ht="14.25" customHeight="1" x14ac:dyDescent="0.3"/>
    <row r="343" ht="14.25" customHeight="1" x14ac:dyDescent="0.3"/>
    <row r="344" ht="14.25" customHeight="1" x14ac:dyDescent="0.3"/>
    <row r="345" ht="14.25" customHeight="1" x14ac:dyDescent="0.3"/>
    <row r="346" ht="14.25" customHeight="1" x14ac:dyDescent="0.3"/>
    <row r="347" ht="14.25" customHeight="1" x14ac:dyDescent="0.3"/>
    <row r="348" ht="14.25" customHeight="1" x14ac:dyDescent="0.3"/>
    <row r="349" ht="14.25" customHeight="1" x14ac:dyDescent="0.3"/>
    <row r="350" ht="14.25" customHeight="1" x14ac:dyDescent="0.3"/>
    <row r="351" ht="14.25" customHeight="1" x14ac:dyDescent="0.3"/>
    <row r="352" ht="14.25" customHeight="1" x14ac:dyDescent="0.3"/>
    <row r="353" ht="14.25" customHeight="1" x14ac:dyDescent="0.3"/>
    <row r="354" ht="14.25" customHeight="1" x14ac:dyDescent="0.3"/>
    <row r="355" ht="14.25" customHeight="1" x14ac:dyDescent="0.3"/>
    <row r="356" ht="14.25" customHeight="1" x14ac:dyDescent="0.3"/>
    <row r="357" ht="14.25" customHeight="1" x14ac:dyDescent="0.3"/>
    <row r="358" ht="14.25" customHeight="1" x14ac:dyDescent="0.3"/>
    <row r="359" ht="14.25" customHeight="1" x14ac:dyDescent="0.3"/>
    <row r="360" ht="14.25" customHeight="1" x14ac:dyDescent="0.3"/>
    <row r="361" ht="14.25" customHeight="1" x14ac:dyDescent="0.3"/>
    <row r="362" ht="14.25" customHeight="1" x14ac:dyDescent="0.3"/>
    <row r="363" ht="14.25" customHeight="1" x14ac:dyDescent="0.3"/>
    <row r="364" ht="14.25" customHeight="1" x14ac:dyDescent="0.3"/>
    <row r="365" ht="14.25" customHeight="1" x14ac:dyDescent="0.3"/>
    <row r="366" ht="14.25" customHeight="1" x14ac:dyDescent="0.3"/>
    <row r="367" ht="14.25" customHeight="1" x14ac:dyDescent="0.3"/>
    <row r="368" ht="14.25" customHeight="1" x14ac:dyDescent="0.3"/>
    <row r="369" ht="14.25" customHeight="1" x14ac:dyDescent="0.3"/>
    <row r="370" ht="14.25" customHeight="1" x14ac:dyDescent="0.3"/>
    <row r="371" ht="14.25" customHeight="1" x14ac:dyDescent="0.3"/>
    <row r="372" ht="14.25" customHeight="1" x14ac:dyDescent="0.3"/>
    <row r="373" ht="14.25" customHeight="1" x14ac:dyDescent="0.3"/>
    <row r="374" ht="14.25" customHeight="1" x14ac:dyDescent="0.3"/>
    <row r="375" ht="14.25" customHeight="1" x14ac:dyDescent="0.3"/>
    <row r="376" ht="14.25" customHeight="1" x14ac:dyDescent="0.3"/>
    <row r="377" ht="14.25" customHeight="1" x14ac:dyDescent="0.3"/>
    <row r="378" ht="14.25" customHeight="1" x14ac:dyDescent="0.3"/>
    <row r="379" ht="14.25" customHeight="1" x14ac:dyDescent="0.3"/>
    <row r="380" ht="14.25" customHeight="1" x14ac:dyDescent="0.3"/>
    <row r="381" ht="14.25" customHeight="1" x14ac:dyDescent="0.3"/>
    <row r="382" ht="14.25" customHeight="1" x14ac:dyDescent="0.3"/>
    <row r="383" ht="14.25" customHeight="1" x14ac:dyDescent="0.3"/>
    <row r="384" ht="14.25" customHeight="1" x14ac:dyDescent="0.3"/>
    <row r="385" ht="14.25" customHeight="1" x14ac:dyDescent="0.3"/>
    <row r="386" ht="14.25" customHeight="1" x14ac:dyDescent="0.3"/>
    <row r="387" ht="14.25" customHeight="1" x14ac:dyDescent="0.3"/>
    <row r="388" ht="14.25" customHeight="1" x14ac:dyDescent="0.3"/>
    <row r="389" ht="14.25" customHeight="1" x14ac:dyDescent="0.3"/>
    <row r="390" ht="14.25" customHeight="1" x14ac:dyDescent="0.3"/>
    <row r="391" ht="14.25" customHeight="1" x14ac:dyDescent="0.3"/>
    <row r="392" ht="14.25" customHeight="1" x14ac:dyDescent="0.3"/>
    <row r="393" ht="14.25" customHeight="1" x14ac:dyDescent="0.3"/>
    <row r="394" ht="14.25" customHeight="1" x14ac:dyDescent="0.3"/>
    <row r="395" ht="14.25" customHeight="1" x14ac:dyDescent="0.3"/>
    <row r="396" ht="14.25" customHeight="1" x14ac:dyDescent="0.3"/>
    <row r="397" ht="14.25" customHeight="1" x14ac:dyDescent="0.3"/>
    <row r="398" ht="14.25" customHeight="1" x14ac:dyDescent="0.3"/>
    <row r="399" ht="14.25" customHeight="1" x14ac:dyDescent="0.3"/>
    <row r="400" ht="14.25" customHeight="1" x14ac:dyDescent="0.3"/>
    <row r="401" ht="14.25" customHeight="1" x14ac:dyDescent="0.3"/>
    <row r="402" ht="14.25" customHeight="1" x14ac:dyDescent="0.3"/>
    <row r="403" ht="14.25" customHeight="1" x14ac:dyDescent="0.3"/>
    <row r="404" ht="14.25" customHeight="1" x14ac:dyDescent="0.3"/>
    <row r="405" ht="14.25" customHeight="1" x14ac:dyDescent="0.3"/>
    <row r="406" ht="14.25" customHeight="1" x14ac:dyDescent="0.3"/>
    <row r="407" ht="14.25" customHeight="1" x14ac:dyDescent="0.3"/>
    <row r="408" ht="14.25" customHeight="1" x14ac:dyDescent="0.3"/>
    <row r="409" ht="14.25" customHeight="1" x14ac:dyDescent="0.3"/>
    <row r="410" ht="14.25" customHeight="1" x14ac:dyDescent="0.3"/>
    <row r="411" ht="14.25" customHeight="1" x14ac:dyDescent="0.3"/>
    <row r="412" ht="14.25" customHeight="1" x14ac:dyDescent="0.3"/>
    <row r="413" ht="14.25" customHeight="1" x14ac:dyDescent="0.3"/>
    <row r="414" ht="14.25" customHeight="1" x14ac:dyDescent="0.3"/>
    <row r="415" ht="14.25" customHeight="1" x14ac:dyDescent="0.3"/>
    <row r="416" ht="14.25" customHeight="1" x14ac:dyDescent="0.3"/>
    <row r="417" ht="14.25" customHeight="1" x14ac:dyDescent="0.3"/>
    <row r="418" ht="14.25" customHeight="1" x14ac:dyDescent="0.3"/>
    <row r="419" ht="14.25" customHeight="1" x14ac:dyDescent="0.3"/>
    <row r="420" ht="14.25" customHeight="1" x14ac:dyDescent="0.3"/>
    <row r="421" ht="14.25" customHeight="1" x14ac:dyDescent="0.3"/>
    <row r="422" ht="14.25" customHeight="1" x14ac:dyDescent="0.3"/>
    <row r="423" ht="14.25" customHeight="1" x14ac:dyDescent="0.3"/>
    <row r="424" ht="14.25" customHeight="1" x14ac:dyDescent="0.3"/>
    <row r="425" ht="14.25" customHeight="1" x14ac:dyDescent="0.3"/>
    <row r="426" ht="14.25" customHeight="1" x14ac:dyDescent="0.3"/>
    <row r="427" ht="14.25" customHeight="1" x14ac:dyDescent="0.3"/>
    <row r="428" ht="14.25" customHeight="1" x14ac:dyDescent="0.3"/>
    <row r="429" ht="14.25" customHeight="1" x14ac:dyDescent="0.3"/>
    <row r="430" ht="14.25" customHeight="1" x14ac:dyDescent="0.3"/>
    <row r="431" ht="14.25" customHeight="1" x14ac:dyDescent="0.3"/>
    <row r="432" ht="14.25" customHeight="1" x14ac:dyDescent="0.3"/>
    <row r="433" ht="14.25" customHeight="1" x14ac:dyDescent="0.3"/>
    <row r="434" ht="14.25" customHeight="1" x14ac:dyDescent="0.3"/>
    <row r="435" ht="14.25" customHeight="1" x14ac:dyDescent="0.3"/>
    <row r="436" ht="14.25" customHeight="1" x14ac:dyDescent="0.3"/>
    <row r="437" ht="14.25" customHeight="1" x14ac:dyDescent="0.3"/>
    <row r="438" ht="14.25" customHeight="1" x14ac:dyDescent="0.3"/>
    <row r="439" ht="14.25" customHeight="1" x14ac:dyDescent="0.3"/>
    <row r="440" ht="14.25" customHeight="1" x14ac:dyDescent="0.3"/>
    <row r="441" ht="14.25" customHeight="1" x14ac:dyDescent="0.3"/>
    <row r="442" ht="14.25" customHeight="1" x14ac:dyDescent="0.3"/>
    <row r="443" ht="14.25" customHeight="1" x14ac:dyDescent="0.3"/>
    <row r="444" ht="14.25" customHeight="1" x14ac:dyDescent="0.3"/>
    <row r="445" ht="14.25" customHeight="1" x14ac:dyDescent="0.3"/>
    <row r="446" ht="14.25" customHeight="1" x14ac:dyDescent="0.3"/>
    <row r="447" ht="14.25" customHeight="1" x14ac:dyDescent="0.3"/>
    <row r="448" ht="14.25" customHeight="1" x14ac:dyDescent="0.3"/>
    <row r="449" ht="14.25" customHeight="1" x14ac:dyDescent="0.3"/>
    <row r="450" ht="14.25" customHeight="1" x14ac:dyDescent="0.3"/>
    <row r="451" ht="14.25" customHeight="1" x14ac:dyDescent="0.3"/>
    <row r="452" ht="14.25" customHeight="1" x14ac:dyDescent="0.3"/>
    <row r="453" ht="14.25" customHeight="1" x14ac:dyDescent="0.3"/>
    <row r="454" ht="14.25" customHeight="1" x14ac:dyDescent="0.3"/>
    <row r="455" ht="14.25" customHeight="1" x14ac:dyDescent="0.3"/>
    <row r="456" ht="14.25" customHeight="1" x14ac:dyDescent="0.3"/>
    <row r="457" ht="14.25" customHeight="1" x14ac:dyDescent="0.3"/>
    <row r="458" ht="14.25" customHeight="1" x14ac:dyDescent="0.3"/>
    <row r="459" ht="14.25" customHeight="1" x14ac:dyDescent="0.3"/>
    <row r="460" ht="14.25" customHeight="1" x14ac:dyDescent="0.3"/>
    <row r="461" ht="14.25" customHeight="1" x14ac:dyDescent="0.3"/>
    <row r="462" ht="14.25" customHeight="1" x14ac:dyDescent="0.3"/>
    <row r="463" ht="14.25" customHeight="1" x14ac:dyDescent="0.3"/>
    <row r="464" ht="14.25" customHeight="1" x14ac:dyDescent="0.3"/>
    <row r="465" ht="14.25" customHeight="1" x14ac:dyDescent="0.3"/>
    <row r="466" ht="14.25" customHeight="1" x14ac:dyDescent="0.3"/>
    <row r="467" ht="14.25" customHeight="1" x14ac:dyDescent="0.3"/>
    <row r="468" ht="14.25" customHeight="1" x14ac:dyDescent="0.3"/>
    <row r="469" ht="14.25" customHeight="1" x14ac:dyDescent="0.3"/>
    <row r="470" ht="14.25" customHeight="1" x14ac:dyDescent="0.3"/>
    <row r="471" ht="14.25" customHeight="1" x14ac:dyDescent="0.3"/>
    <row r="472" ht="14.25" customHeight="1" x14ac:dyDescent="0.3"/>
    <row r="473" ht="14.25" customHeight="1" x14ac:dyDescent="0.3"/>
    <row r="474" ht="14.25" customHeight="1" x14ac:dyDescent="0.3"/>
    <row r="475" ht="14.25" customHeight="1" x14ac:dyDescent="0.3"/>
    <row r="476" ht="14.25" customHeight="1" x14ac:dyDescent="0.3"/>
    <row r="477" ht="14.25" customHeight="1" x14ac:dyDescent="0.3"/>
    <row r="478" ht="14.25" customHeight="1" x14ac:dyDescent="0.3"/>
    <row r="479" ht="14.25" customHeight="1" x14ac:dyDescent="0.3"/>
    <row r="480" ht="14.25" customHeight="1" x14ac:dyDescent="0.3"/>
    <row r="481" ht="14.25" customHeight="1" x14ac:dyDescent="0.3"/>
    <row r="482" ht="14.25" customHeight="1" x14ac:dyDescent="0.3"/>
    <row r="483" ht="14.25" customHeight="1" x14ac:dyDescent="0.3"/>
    <row r="484" ht="14.25" customHeight="1" x14ac:dyDescent="0.3"/>
    <row r="485" ht="14.25" customHeight="1" x14ac:dyDescent="0.3"/>
    <row r="486" ht="14.25" customHeight="1" x14ac:dyDescent="0.3"/>
    <row r="487" ht="14.25" customHeight="1" x14ac:dyDescent="0.3"/>
    <row r="488" ht="14.25" customHeight="1" x14ac:dyDescent="0.3"/>
    <row r="489" ht="14.25" customHeight="1" x14ac:dyDescent="0.3"/>
    <row r="490" ht="14.25" customHeight="1" x14ac:dyDescent="0.3"/>
    <row r="491" ht="14.25" customHeight="1" x14ac:dyDescent="0.3"/>
    <row r="492" ht="14.25" customHeight="1" x14ac:dyDescent="0.3"/>
    <row r="493" ht="14.25" customHeight="1" x14ac:dyDescent="0.3"/>
    <row r="494" ht="14.25" customHeight="1" x14ac:dyDescent="0.3"/>
    <row r="495" ht="14.25" customHeight="1" x14ac:dyDescent="0.3"/>
    <row r="496" ht="14.25" customHeight="1" x14ac:dyDescent="0.3"/>
    <row r="497" ht="14.25" customHeight="1" x14ac:dyDescent="0.3"/>
    <row r="498" ht="14.25" customHeight="1" x14ac:dyDescent="0.3"/>
    <row r="499" ht="14.25" customHeight="1" x14ac:dyDescent="0.3"/>
    <row r="500" ht="14.25" customHeight="1" x14ac:dyDescent="0.3"/>
    <row r="501" ht="14.25" customHeight="1" x14ac:dyDescent="0.3"/>
    <row r="502" ht="14.25" customHeight="1" x14ac:dyDescent="0.3"/>
    <row r="503" ht="14.25" customHeight="1" x14ac:dyDescent="0.3"/>
    <row r="504" ht="14.25" customHeight="1" x14ac:dyDescent="0.3"/>
    <row r="505" ht="14.25" customHeight="1" x14ac:dyDescent="0.3"/>
    <row r="506" ht="14.25" customHeight="1" x14ac:dyDescent="0.3"/>
    <row r="507" ht="14.25" customHeight="1" x14ac:dyDescent="0.3"/>
    <row r="508" ht="14.25" customHeight="1" x14ac:dyDescent="0.3"/>
    <row r="509" ht="14.25" customHeight="1" x14ac:dyDescent="0.3"/>
    <row r="510" ht="14.25" customHeight="1" x14ac:dyDescent="0.3"/>
    <row r="511" ht="14.25" customHeight="1" x14ac:dyDescent="0.3"/>
    <row r="512" ht="14.25" customHeight="1" x14ac:dyDescent="0.3"/>
    <row r="513" ht="14.25" customHeight="1" x14ac:dyDescent="0.3"/>
    <row r="514" ht="14.25" customHeight="1" x14ac:dyDescent="0.3"/>
    <row r="515" ht="14.25" customHeight="1" x14ac:dyDescent="0.3"/>
    <row r="516" ht="14.25" customHeight="1" x14ac:dyDescent="0.3"/>
    <row r="517" ht="14.25" customHeight="1" x14ac:dyDescent="0.3"/>
    <row r="518" ht="14.25" customHeight="1" x14ac:dyDescent="0.3"/>
    <row r="519" ht="14.25" customHeight="1" x14ac:dyDescent="0.3"/>
    <row r="520" ht="14.25" customHeight="1" x14ac:dyDescent="0.3"/>
    <row r="521" ht="14.25" customHeight="1" x14ac:dyDescent="0.3"/>
    <row r="522" ht="14.25" customHeight="1" x14ac:dyDescent="0.3"/>
    <row r="523" ht="14.25" customHeight="1" x14ac:dyDescent="0.3"/>
    <row r="524" ht="14.25" customHeight="1" x14ac:dyDescent="0.3"/>
    <row r="525" ht="14.25" customHeight="1" x14ac:dyDescent="0.3"/>
    <row r="526" ht="14.25" customHeight="1" x14ac:dyDescent="0.3"/>
    <row r="527" ht="14.25" customHeight="1" x14ac:dyDescent="0.3"/>
    <row r="528" ht="14.25" customHeight="1" x14ac:dyDescent="0.3"/>
    <row r="529" ht="14.25" customHeight="1" x14ac:dyDescent="0.3"/>
    <row r="530" ht="14.25" customHeight="1" x14ac:dyDescent="0.3"/>
    <row r="531" ht="14.25" customHeight="1" x14ac:dyDescent="0.3"/>
    <row r="532" ht="14.25" customHeight="1" x14ac:dyDescent="0.3"/>
    <row r="533" ht="14.25" customHeight="1" x14ac:dyDescent="0.3"/>
    <row r="534" ht="14.25" customHeight="1" x14ac:dyDescent="0.3"/>
    <row r="535" ht="14.25" customHeight="1" x14ac:dyDescent="0.3"/>
    <row r="536" ht="14.25" customHeight="1" x14ac:dyDescent="0.3"/>
    <row r="537" ht="14.25" customHeight="1" x14ac:dyDescent="0.3"/>
    <row r="538" ht="14.25" customHeight="1" x14ac:dyDescent="0.3"/>
    <row r="539" ht="14.25" customHeight="1" x14ac:dyDescent="0.3"/>
    <row r="540" ht="14.25" customHeight="1" x14ac:dyDescent="0.3"/>
    <row r="541" ht="14.25" customHeight="1" x14ac:dyDescent="0.3"/>
    <row r="542" ht="14.25" customHeight="1" x14ac:dyDescent="0.3"/>
    <row r="543" ht="14.25" customHeight="1" x14ac:dyDescent="0.3"/>
    <row r="544" ht="14.25" customHeight="1" x14ac:dyDescent="0.3"/>
    <row r="545" ht="14.25" customHeight="1" x14ac:dyDescent="0.3"/>
    <row r="546" ht="14.25" customHeight="1" x14ac:dyDescent="0.3"/>
    <row r="547" ht="14.25" customHeight="1" x14ac:dyDescent="0.3"/>
    <row r="548" ht="14.25" customHeight="1" x14ac:dyDescent="0.3"/>
    <row r="549" ht="14.25" customHeight="1" x14ac:dyDescent="0.3"/>
    <row r="550" ht="14.25" customHeight="1" x14ac:dyDescent="0.3"/>
    <row r="551" ht="14.25" customHeight="1" x14ac:dyDescent="0.3"/>
    <row r="552" ht="14.25" customHeight="1" x14ac:dyDescent="0.3"/>
    <row r="553" ht="14.25" customHeight="1" x14ac:dyDescent="0.3"/>
    <row r="554" ht="14.25" customHeight="1" x14ac:dyDescent="0.3"/>
    <row r="555" ht="14.25" customHeight="1" x14ac:dyDescent="0.3"/>
    <row r="556" ht="14.25" customHeight="1" x14ac:dyDescent="0.3"/>
    <row r="557" ht="14.25" customHeight="1" x14ac:dyDescent="0.3"/>
    <row r="558" ht="14.25" customHeight="1" x14ac:dyDescent="0.3"/>
    <row r="559" ht="14.25" customHeight="1" x14ac:dyDescent="0.3"/>
    <row r="560" ht="14.25" customHeight="1" x14ac:dyDescent="0.3"/>
    <row r="561" ht="14.25" customHeight="1" x14ac:dyDescent="0.3"/>
    <row r="562" ht="14.25" customHeight="1" x14ac:dyDescent="0.3"/>
    <row r="563" ht="14.25" customHeight="1" x14ac:dyDescent="0.3"/>
    <row r="564" ht="14.25" customHeight="1" x14ac:dyDescent="0.3"/>
    <row r="565" ht="14.25" customHeight="1" x14ac:dyDescent="0.3"/>
    <row r="566" ht="14.25" customHeight="1" x14ac:dyDescent="0.3"/>
    <row r="567" ht="14.25" customHeight="1" x14ac:dyDescent="0.3"/>
    <row r="568" ht="14.25" customHeight="1" x14ac:dyDescent="0.3"/>
    <row r="569" ht="14.25" customHeight="1" x14ac:dyDescent="0.3"/>
    <row r="570" ht="14.25" customHeight="1" x14ac:dyDescent="0.3"/>
    <row r="571" ht="14.25" customHeight="1" x14ac:dyDescent="0.3"/>
    <row r="572" ht="14.25" customHeight="1" x14ac:dyDescent="0.3"/>
    <row r="573" ht="14.25" customHeight="1" x14ac:dyDescent="0.3"/>
    <row r="574" ht="14.25" customHeight="1" x14ac:dyDescent="0.3"/>
    <row r="575" ht="14.25" customHeight="1" x14ac:dyDescent="0.3"/>
    <row r="576" ht="14.25" customHeight="1" x14ac:dyDescent="0.3"/>
    <row r="577" ht="14.25" customHeight="1" x14ac:dyDescent="0.3"/>
    <row r="578" ht="14.25" customHeight="1" x14ac:dyDescent="0.3"/>
    <row r="579" ht="14.25" customHeight="1" x14ac:dyDescent="0.3"/>
    <row r="580" ht="14.25" customHeight="1" x14ac:dyDescent="0.3"/>
    <row r="581" ht="14.25" customHeight="1" x14ac:dyDescent="0.3"/>
    <row r="582" ht="14.25" customHeight="1" x14ac:dyDescent="0.3"/>
    <row r="583" ht="14.25" customHeight="1" x14ac:dyDescent="0.3"/>
    <row r="584" ht="14.25" customHeight="1" x14ac:dyDescent="0.3"/>
    <row r="585" ht="14.25" customHeight="1" x14ac:dyDescent="0.3"/>
    <row r="586" ht="14.25" customHeight="1" x14ac:dyDescent="0.3"/>
    <row r="587" ht="14.25" customHeight="1" x14ac:dyDescent="0.3"/>
    <row r="588" ht="14.25" customHeight="1" x14ac:dyDescent="0.3"/>
    <row r="589" ht="14.25" customHeight="1" x14ac:dyDescent="0.3"/>
    <row r="590" ht="14.25" customHeight="1" x14ac:dyDescent="0.3"/>
    <row r="591" ht="14.25" customHeight="1" x14ac:dyDescent="0.3"/>
    <row r="592" ht="14.25" customHeight="1" x14ac:dyDescent="0.3"/>
    <row r="593" ht="14.25" customHeight="1" x14ac:dyDescent="0.3"/>
    <row r="594" ht="14.25" customHeight="1" x14ac:dyDescent="0.3"/>
    <row r="595" ht="14.25" customHeight="1" x14ac:dyDescent="0.3"/>
    <row r="596" ht="14.25" customHeight="1" x14ac:dyDescent="0.3"/>
    <row r="597" ht="14.25" customHeight="1" x14ac:dyDescent="0.3"/>
    <row r="598" ht="14.25" customHeight="1" x14ac:dyDescent="0.3"/>
    <row r="599" ht="14.25" customHeight="1" x14ac:dyDescent="0.3"/>
    <row r="600" ht="14.25" customHeight="1" x14ac:dyDescent="0.3"/>
    <row r="601" ht="14.25" customHeight="1" x14ac:dyDescent="0.3"/>
    <row r="602" ht="14.25" customHeight="1" x14ac:dyDescent="0.3"/>
    <row r="603" ht="14.25" customHeight="1" x14ac:dyDescent="0.3"/>
    <row r="604" ht="14.25" customHeight="1" x14ac:dyDescent="0.3"/>
    <row r="605" ht="14.25" customHeight="1" x14ac:dyDescent="0.3"/>
    <row r="606" ht="14.25" customHeight="1" x14ac:dyDescent="0.3"/>
    <row r="607" ht="14.25" customHeight="1" x14ac:dyDescent="0.3"/>
    <row r="608" ht="14.25" customHeight="1" x14ac:dyDescent="0.3"/>
    <row r="609" ht="14.25" customHeight="1" x14ac:dyDescent="0.3"/>
    <row r="610" ht="14.25" customHeight="1" x14ac:dyDescent="0.3"/>
    <row r="611" ht="14.25" customHeight="1" x14ac:dyDescent="0.3"/>
    <row r="612" ht="14.25" customHeight="1" x14ac:dyDescent="0.3"/>
    <row r="613" ht="14.25" customHeight="1" x14ac:dyDescent="0.3"/>
    <row r="614" ht="14.25" customHeight="1" x14ac:dyDescent="0.3"/>
    <row r="615" ht="14.25" customHeight="1" x14ac:dyDescent="0.3"/>
    <row r="616" ht="14.25" customHeight="1" x14ac:dyDescent="0.3"/>
    <row r="617" ht="14.25" customHeight="1" x14ac:dyDescent="0.3"/>
    <row r="618" ht="14.25" customHeight="1" x14ac:dyDescent="0.3"/>
    <row r="619" ht="14.25" customHeight="1" x14ac:dyDescent="0.3"/>
    <row r="620" ht="14.25" customHeight="1" x14ac:dyDescent="0.3"/>
    <row r="621" ht="14.25" customHeight="1" x14ac:dyDescent="0.3"/>
    <row r="622" ht="14.25" customHeight="1" x14ac:dyDescent="0.3"/>
    <row r="623" ht="14.25" customHeight="1" x14ac:dyDescent="0.3"/>
    <row r="624" ht="14.25" customHeight="1" x14ac:dyDescent="0.3"/>
    <row r="625" ht="14.25" customHeight="1" x14ac:dyDescent="0.3"/>
    <row r="626" ht="14.25" customHeight="1" x14ac:dyDescent="0.3"/>
    <row r="627" ht="14.25" customHeight="1" x14ac:dyDescent="0.3"/>
    <row r="628" ht="14.25" customHeight="1" x14ac:dyDescent="0.3"/>
    <row r="629" ht="14.25" customHeight="1" x14ac:dyDescent="0.3"/>
    <row r="630" ht="14.25" customHeight="1" x14ac:dyDescent="0.3"/>
    <row r="631" ht="14.25" customHeight="1" x14ac:dyDescent="0.3"/>
    <row r="632" ht="14.25" customHeight="1" x14ac:dyDescent="0.3"/>
    <row r="633" ht="14.25" customHeight="1" x14ac:dyDescent="0.3"/>
    <row r="634" ht="14.25" customHeight="1" x14ac:dyDescent="0.3"/>
    <row r="635" ht="14.25" customHeight="1" x14ac:dyDescent="0.3"/>
    <row r="636" ht="14.25" customHeight="1" x14ac:dyDescent="0.3"/>
    <row r="637" ht="14.25" customHeight="1" x14ac:dyDescent="0.3"/>
    <row r="638" ht="14.25" customHeight="1" x14ac:dyDescent="0.3"/>
    <row r="639" ht="14.25" customHeight="1" x14ac:dyDescent="0.3"/>
    <row r="640" ht="14.25" customHeight="1" x14ac:dyDescent="0.3"/>
    <row r="641" ht="14.25" customHeight="1" x14ac:dyDescent="0.3"/>
    <row r="642" ht="14.25" customHeight="1" x14ac:dyDescent="0.3"/>
    <row r="643" ht="14.25" customHeight="1" x14ac:dyDescent="0.3"/>
    <row r="644" ht="14.25" customHeight="1" x14ac:dyDescent="0.3"/>
    <row r="645" ht="14.25" customHeight="1" x14ac:dyDescent="0.3"/>
    <row r="646" ht="14.25" customHeight="1" x14ac:dyDescent="0.3"/>
    <row r="647" ht="14.25" customHeight="1" x14ac:dyDescent="0.3"/>
    <row r="648" ht="14.25" customHeight="1" x14ac:dyDescent="0.3"/>
    <row r="649" ht="14.25" customHeight="1" x14ac:dyDescent="0.3"/>
    <row r="650" ht="14.25" customHeight="1" x14ac:dyDescent="0.3"/>
    <row r="651" ht="14.25" customHeight="1" x14ac:dyDescent="0.3"/>
    <row r="652" ht="14.25" customHeight="1" x14ac:dyDescent="0.3"/>
    <row r="653" ht="14.25" customHeight="1" x14ac:dyDescent="0.3"/>
    <row r="654" ht="14.25" customHeight="1" x14ac:dyDescent="0.3"/>
    <row r="655" ht="14.25" customHeight="1" x14ac:dyDescent="0.3"/>
    <row r="656" ht="14.25" customHeight="1" x14ac:dyDescent="0.3"/>
    <row r="657" ht="14.25" customHeight="1" x14ac:dyDescent="0.3"/>
    <row r="658" ht="14.25" customHeight="1" x14ac:dyDescent="0.3"/>
    <row r="659" ht="14.25" customHeight="1" x14ac:dyDescent="0.3"/>
    <row r="660" ht="14.25" customHeight="1" x14ac:dyDescent="0.3"/>
    <row r="661" ht="14.25" customHeight="1" x14ac:dyDescent="0.3"/>
    <row r="662" ht="14.25" customHeight="1" x14ac:dyDescent="0.3"/>
    <row r="663" ht="14.25" customHeight="1" x14ac:dyDescent="0.3"/>
    <row r="664" ht="14.25" customHeight="1" x14ac:dyDescent="0.3"/>
    <row r="665" ht="14.25" customHeight="1" x14ac:dyDescent="0.3"/>
    <row r="666" ht="14.25" customHeight="1" x14ac:dyDescent="0.3"/>
    <row r="667" ht="14.25" customHeight="1" x14ac:dyDescent="0.3"/>
    <row r="668" ht="14.25" customHeight="1" x14ac:dyDescent="0.3"/>
    <row r="669" ht="14.25" customHeight="1" x14ac:dyDescent="0.3"/>
    <row r="670" ht="14.25" customHeight="1" x14ac:dyDescent="0.3"/>
    <row r="671" ht="14.25" customHeight="1" x14ac:dyDescent="0.3"/>
    <row r="672" ht="14.25" customHeight="1" x14ac:dyDescent="0.3"/>
    <row r="673" ht="14.25" customHeight="1" x14ac:dyDescent="0.3"/>
    <row r="674" ht="14.25" customHeight="1" x14ac:dyDescent="0.3"/>
    <row r="675" ht="14.25" customHeight="1" x14ac:dyDescent="0.3"/>
    <row r="676" ht="14.25" customHeight="1" x14ac:dyDescent="0.3"/>
    <row r="677" ht="14.25" customHeight="1" x14ac:dyDescent="0.3"/>
    <row r="678" ht="14.25" customHeight="1" x14ac:dyDescent="0.3"/>
    <row r="679" ht="14.25" customHeight="1" x14ac:dyDescent="0.3"/>
    <row r="680" ht="14.25" customHeight="1" x14ac:dyDescent="0.3"/>
    <row r="681" ht="14.25" customHeight="1" x14ac:dyDescent="0.3"/>
    <row r="682" ht="14.25" customHeight="1" x14ac:dyDescent="0.3"/>
    <row r="683" ht="14.25" customHeight="1" x14ac:dyDescent="0.3"/>
    <row r="684" ht="14.25" customHeight="1" x14ac:dyDescent="0.3"/>
    <row r="685" ht="14.25" customHeight="1" x14ac:dyDescent="0.3"/>
    <row r="686" ht="14.25" customHeight="1" x14ac:dyDescent="0.3"/>
    <row r="687" ht="14.25" customHeight="1" x14ac:dyDescent="0.3"/>
    <row r="688" ht="14.25" customHeight="1" x14ac:dyDescent="0.3"/>
    <row r="689" ht="14.25" customHeight="1" x14ac:dyDescent="0.3"/>
    <row r="690" ht="14.25" customHeight="1" x14ac:dyDescent="0.3"/>
    <row r="691" ht="14.25" customHeight="1" x14ac:dyDescent="0.3"/>
    <row r="692" ht="14.25" customHeight="1" x14ac:dyDescent="0.3"/>
    <row r="693" ht="14.25" customHeight="1" x14ac:dyDescent="0.3"/>
    <row r="694" ht="14.25" customHeight="1" x14ac:dyDescent="0.3"/>
    <row r="695" ht="14.25" customHeight="1" x14ac:dyDescent="0.3"/>
    <row r="696" ht="14.25" customHeight="1" x14ac:dyDescent="0.3"/>
    <row r="697" ht="14.25" customHeight="1" x14ac:dyDescent="0.3"/>
    <row r="698" ht="14.25" customHeight="1" x14ac:dyDescent="0.3"/>
    <row r="699" ht="14.25" customHeight="1" x14ac:dyDescent="0.3"/>
    <row r="700" ht="14.25" customHeight="1" x14ac:dyDescent="0.3"/>
    <row r="701" ht="14.25" customHeight="1" x14ac:dyDescent="0.3"/>
    <row r="702" ht="14.25" customHeight="1" x14ac:dyDescent="0.3"/>
    <row r="703" ht="14.25" customHeight="1" x14ac:dyDescent="0.3"/>
    <row r="704" ht="14.25" customHeight="1" x14ac:dyDescent="0.3"/>
    <row r="705" ht="14.25" customHeight="1" x14ac:dyDescent="0.3"/>
    <row r="706" ht="14.25" customHeight="1" x14ac:dyDescent="0.3"/>
    <row r="707" ht="14.25" customHeight="1" x14ac:dyDescent="0.3"/>
    <row r="708" ht="14.25" customHeight="1" x14ac:dyDescent="0.3"/>
    <row r="709" ht="14.25" customHeight="1" x14ac:dyDescent="0.3"/>
    <row r="710" ht="14.25" customHeight="1" x14ac:dyDescent="0.3"/>
    <row r="711" ht="14.25" customHeight="1" x14ac:dyDescent="0.3"/>
    <row r="712" ht="14.25" customHeight="1" x14ac:dyDescent="0.3"/>
    <row r="713" ht="14.25" customHeight="1" x14ac:dyDescent="0.3"/>
    <row r="714" ht="14.25" customHeight="1" x14ac:dyDescent="0.3"/>
    <row r="715" ht="14.25" customHeight="1" x14ac:dyDescent="0.3"/>
    <row r="716" ht="14.25" customHeight="1" x14ac:dyDescent="0.3"/>
    <row r="717" ht="14.25" customHeight="1" x14ac:dyDescent="0.3"/>
    <row r="718" ht="14.25" customHeight="1" x14ac:dyDescent="0.3"/>
    <row r="719" ht="14.25" customHeight="1" x14ac:dyDescent="0.3"/>
    <row r="720" ht="14.25" customHeight="1" x14ac:dyDescent="0.3"/>
    <row r="721" ht="14.25" customHeight="1" x14ac:dyDescent="0.3"/>
    <row r="722" ht="14.25" customHeight="1" x14ac:dyDescent="0.3"/>
    <row r="723" ht="14.25" customHeight="1" x14ac:dyDescent="0.3"/>
    <row r="724" ht="14.25" customHeight="1" x14ac:dyDescent="0.3"/>
    <row r="725" ht="14.25" customHeight="1" x14ac:dyDescent="0.3"/>
    <row r="726" ht="14.25" customHeight="1" x14ac:dyDescent="0.3"/>
    <row r="727" ht="14.25" customHeight="1" x14ac:dyDescent="0.3"/>
    <row r="728" ht="14.25" customHeight="1" x14ac:dyDescent="0.3"/>
    <row r="729" ht="14.25" customHeight="1" x14ac:dyDescent="0.3"/>
    <row r="730" ht="14.25" customHeight="1" x14ac:dyDescent="0.3"/>
    <row r="731" ht="14.25" customHeight="1" x14ac:dyDescent="0.3"/>
    <row r="732" ht="14.25" customHeight="1" x14ac:dyDescent="0.3"/>
    <row r="733" ht="14.25" customHeight="1" x14ac:dyDescent="0.3"/>
    <row r="734" ht="14.25" customHeight="1" x14ac:dyDescent="0.3"/>
    <row r="735" ht="14.25" customHeight="1" x14ac:dyDescent="0.3"/>
    <row r="736" ht="14.25" customHeight="1" x14ac:dyDescent="0.3"/>
    <row r="737" ht="14.25" customHeight="1" x14ac:dyDescent="0.3"/>
    <row r="738" ht="14.25" customHeight="1" x14ac:dyDescent="0.3"/>
    <row r="739" ht="14.25" customHeight="1" x14ac:dyDescent="0.3"/>
    <row r="740" ht="14.25" customHeight="1" x14ac:dyDescent="0.3"/>
    <row r="741" ht="14.25" customHeight="1" x14ac:dyDescent="0.3"/>
    <row r="742" ht="14.25" customHeight="1" x14ac:dyDescent="0.3"/>
    <row r="743" ht="14.25" customHeight="1" x14ac:dyDescent="0.3"/>
    <row r="744" ht="14.25" customHeight="1" x14ac:dyDescent="0.3"/>
    <row r="745" ht="14.25" customHeight="1" x14ac:dyDescent="0.3"/>
    <row r="746" ht="14.25" customHeight="1" x14ac:dyDescent="0.3"/>
    <row r="747" ht="14.25" customHeight="1" x14ac:dyDescent="0.3"/>
    <row r="748" ht="14.25" customHeight="1" x14ac:dyDescent="0.3"/>
    <row r="749" ht="14.25" customHeight="1" x14ac:dyDescent="0.3"/>
    <row r="750" ht="14.25" customHeight="1" x14ac:dyDescent="0.3"/>
    <row r="751" ht="14.25" customHeight="1" x14ac:dyDescent="0.3"/>
    <row r="752" ht="14.25" customHeight="1" x14ac:dyDescent="0.3"/>
    <row r="753" ht="14.25" customHeight="1" x14ac:dyDescent="0.3"/>
    <row r="754" ht="14.25" customHeight="1" x14ac:dyDescent="0.3"/>
    <row r="755" ht="14.25" customHeight="1" x14ac:dyDescent="0.3"/>
    <row r="756" ht="14.25" customHeight="1" x14ac:dyDescent="0.3"/>
    <row r="757" ht="14.25" customHeight="1" x14ac:dyDescent="0.3"/>
    <row r="758" ht="14.25" customHeight="1" x14ac:dyDescent="0.3"/>
    <row r="759" ht="14.25" customHeight="1" x14ac:dyDescent="0.3"/>
    <row r="760" ht="14.25" customHeight="1" x14ac:dyDescent="0.3"/>
    <row r="761" ht="14.25" customHeight="1" x14ac:dyDescent="0.3"/>
    <row r="762" ht="14.25" customHeight="1" x14ac:dyDescent="0.3"/>
    <row r="763" ht="14.25" customHeight="1" x14ac:dyDescent="0.3"/>
    <row r="764" ht="14.25" customHeight="1" x14ac:dyDescent="0.3"/>
    <row r="765" ht="14.25" customHeight="1" x14ac:dyDescent="0.3"/>
    <row r="766" ht="14.25" customHeight="1" x14ac:dyDescent="0.3"/>
    <row r="767" ht="14.25" customHeight="1" x14ac:dyDescent="0.3"/>
    <row r="768" ht="14.25" customHeight="1" x14ac:dyDescent="0.3"/>
    <row r="769" ht="14.25" customHeight="1" x14ac:dyDescent="0.3"/>
    <row r="770" ht="14.25" customHeight="1" x14ac:dyDescent="0.3"/>
    <row r="771" ht="14.25" customHeight="1" x14ac:dyDescent="0.3"/>
    <row r="772" ht="14.25" customHeight="1" x14ac:dyDescent="0.3"/>
    <row r="773" ht="14.25" customHeight="1" x14ac:dyDescent="0.3"/>
    <row r="774" ht="14.25" customHeight="1" x14ac:dyDescent="0.3"/>
    <row r="775" ht="14.25" customHeight="1" x14ac:dyDescent="0.3"/>
    <row r="776" ht="14.25" customHeight="1" x14ac:dyDescent="0.3"/>
    <row r="777" ht="14.25" customHeight="1" x14ac:dyDescent="0.3"/>
    <row r="778" ht="14.25" customHeight="1" x14ac:dyDescent="0.3"/>
    <row r="779" ht="14.25" customHeight="1" x14ac:dyDescent="0.3"/>
    <row r="780" ht="14.25" customHeight="1" x14ac:dyDescent="0.3"/>
    <row r="781" ht="14.25" customHeight="1" x14ac:dyDescent="0.3"/>
    <row r="782" ht="14.25" customHeight="1" x14ac:dyDescent="0.3"/>
    <row r="783" ht="14.25" customHeight="1" x14ac:dyDescent="0.3"/>
    <row r="784" ht="14.25" customHeight="1" x14ac:dyDescent="0.3"/>
    <row r="785" ht="14.25" customHeight="1" x14ac:dyDescent="0.3"/>
    <row r="786" ht="14.25" customHeight="1" x14ac:dyDescent="0.3"/>
    <row r="787" ht="14.25" customHeight="1" x14ac:dyDescent="0.3"/>
    <row r="788" ht="14.25" customHeight="1" x14ac:dyDescent="0.3"/>
    <row r="789" ht="14.25" customHeight="1" x14ac:dyDescent="0.3"/>
    <row r="790" ht="14.25" customHeight="1" x14ac:dyDescent="0.3"/>
    <row r="791" ht="14.25" customHeight="1" x14ac:dyDescent="0.3"/>
    <row r="792" ht="14.25" customHeight="1" x14ac:dyDescent="0.3"/>
    <row r="793" ht="14.25" customHeight="1" x14ac:dyDescent="0.3"/>
    <row r="794" ht="14.25" customHeight="1" x14ac:dyDescent="0.3"/>
    <row r="795" ht="14.25" customHeight="1" x14ac:dyDescent="0.3"/>
    <row r="796" ht="14.25" customHeight="1" x14ac:dyDescent="0.3"/>
    <row r="797" ht="14.25" customHeight="1" x14ac:dyDescent="0.3"/>
    <row r="798" ht="14.25" customHeight="1" x14ac:dyDescent="0.3"/>
    <row r="799" ht="14.25" customHeight="1" x14ac:dyDescent="0.3"/>
    <row r="800" ht="14.25" customHeight="1" x14ac:dyDescent="0.3"/>
    <row r="801" ht="14.25" customHeight="1" x14ac:dyDescent="0.3"/>
    <row r="802" ht="14.25" customHeight="1" x14ac:dyDescent="0.3"/>
    <row r="803" ht="14.25" customHeight="1" x14ac:dyDescent="0.3"/>
    <row r="804" ht="14.25" customHeight="1" x14ac:dyDescent="0.3"/>
    <row r="805" ht="14.25" customHeight="1" x14ac:dyDescent="0.3"/>
    <row r="806" ht="14.25" customHeight="1" x14ac:dyDescent="0.3"/>
    <row r="807" ht="14.25" customHeight="1" x14ac:dyDescent="0.3"/>
    <row r="808" ht="14.25" customHeight="1" x14ac:dyDescent="0.3"/>
    <row r="809" ht="14.25" customHeight="1" x14ac:dyDescent="0.3"/>
    <row r="810" ht="14.25" customHeight="1" x14ac:dyDescent="0.3"/>
    <row r="811" ht="14.25" customHeight="1" x14ac:dyDescent="0.3"/>
    <row r="812" ht="14.25" customHeight="1" x14ac:dyDescent="0.3"/>
    <row r="813" ht="14.25" customHeight="1" x14ac:dyDescent="0.3"/>
    <row r="814" ht="14.25" customHeight="1" x14ac:dyDescent="0.3"/>
    <row r="815" ht="14.25" customHeight="1" x14ac:dyDescent="0.3"/>
    <row r="816" ht="14.25" customHeight="1" x14ac:dyDescent="0.3"/>
    <row r="817" ht="14.25" customHeight="1" x14ac:dyDescent="0.3"/>
    <row r="818" ht="14.25" customHeight="1" x14ac:dyDescent="0.3"/>
    <row r="819" ht="14.25" customHeight="1" x14ac:dyDescent="0.3"/>
    <row r="820" ht="14.25" customHeight="1" x14ac:dyDescent="0.3"/>
    <row r="821" ht="14.25" customHeight="1" x14ac:dyDescent="0.3"/>
    <row r="822" ht="14.25" customHeight="1" x14ac:dyDescent="0.3"/>
    <row r="823" ht="14.25" customHeight="1" x14ac:dyDescent="0.3"/>
    <row r="824" ht="14.25" customHeight="1" x14ac:dyDescent="0.3"/>
    <row r="825" ht="14.25" customHeight="1" x14ac:dyDescent="0.3"/>
    <row r="826" ht="14.25" customHeight="1" x14ac:dyDescent="0.3"/>
    <row r="827" ht="14.25" customHeight="1" x14ac:dyDescent="0.3"/>
    <row r="828" ht="14.25" customHeight="1" x14ac:dyDescent="0.3"/>
    <row r="829" ht="14.25" customHeight="1" x14ac:dyDescent="0.3"/>
    <row r="830" ht="14.25" customHeight="1" x14ac:dyDescent="0.3"/>
    <row r="831" ht="14.25" customHeight="1" x14ac:dyDescent="0.3"/>
    <row r="832" ht="14.25" customHeight="1" x14ac:dyDescent="0.3"/>
    <row r="833" ht="14.25" customHeight="1" x14ac:dyDescent="0.3"/>
    <row r="834" ht="14.25" customHeight="1" x14ac:dyDescent="0.3"/>
    <row r="835" ht="14.25" customHeight="1" x14ac:dyDescent="0.3"/>
    <row r="836" ht="14.25" customHeight="1" x14ac:dyDescent="0.3"/>
    <row r="837" ht="14.25" customHeight="1" x14ac:dyDescent="0.3"/>
    <row r="838" ht="14.25" customHeight="1" x14ac:dyDescent="0.3"/>
    <row r="839" ht="14.25" customHeight="1" x14ac:dyDescent="0.3"/>
    <row r="840" ht="14.25" customHeight="1" x14ac:dyDescent="0.3"/>
    <row r="841" ht="14.25" customHeight="1" x14ac:dyDescent="0.3"/>
    <row r="842" ht="14.25" customHeight="1" x14ac:dyDescent="0.3"/>
    <row r="843" ht="14.25" customHeight="1" x14ac:dyDescent="0.3"/>
    <row r="844" ht="14.25" customHeight="1" x14ac:dyDescent="0.3"/>
    <row r="845" ht="14.25" customHeight="1" x14ac:dyDescent="0.3"/>
    <row r="846" ht="14.25" customHeight="1" x14ac:dyDescent="0.3"/>
    <row r="847" ht="14.25" customHeight="1" x14ac:dyDescent="0.3"/>
    <row r="848" ht="14.25" customHeight="1" x14ac:dyDescent="0.3"/>
    <row r="849" ht="14.25" customHeight="1" x14ac:dyDescent="0.3"/>
    <row r="850" ht="14.25" customHeight="1" x14ac:dyDescent="0.3"/>
    <row r="851" ht="14.25" customHeight="1" x14ac:dyDescent="0.3"/>
    <row r="852" ht="14.25" customHeight="1" x14ac:dyDescent="0.3"/>
    <row r="853" ht="14.25" customHeight="1" x14ac:dyDescent="0.3"/>
    <row r="854" ht="14.25" customHeight="1" x14ac:dyDescent="0.3"/>
    <row r="855" ht="14.25" customHeight="1" x14ac:dyDescent="0.3"/>
    <row r="856" ht="14.25" customHeight="1" x14ac:dyDescent="0.3"/>
    <row r="857" ht="14.25" customHeight="1" x14ac:dyDescent="0.3"/>
    <row r="858" ht="14.25" customHeight="1" x14ac:dyDescent="0.3"/>
    <row r="859" ht="14.25" customHeight="1" x14ac:dyDescent="0.3"/>
    <row r="860" ht="14.25" customHeight="1" x14ac:dyDescent="0.3"/>
    <row r="861" ht="14.25" customHeight="1" x14ac:dyDescent="0.3"/>
    <row r="862" ht="14.25" customHeight="1" x14ac:dyDescent="0.3"/>
    <row r="863" ht="14.25" customHeight="1" x14ac:dyDescent="0.3"/>
    <row r="864" ht="14.25" customHeight="1" x14ac:dyDescent="0.3"/>
    <row r="865" ht="14.25" customHeight="1" x14ac:dyDescent="0.3"/>
    <row r="866" ht="14.25" customHeight="1" x14ac:dyDescent="0.3"/>
    <row r="867" ht="14.25" customHeight="1" x14ac:dyDescent="0.3"/>
    <row r="868" ht="14.25" customHeight="1" x14ac:dyDescent="0.3"/>
    <row r="869" ht="14.25" customHeight="1" x14ac:dyDescent="0.3"/>
    <row r="870" ht="14.25" customHeight="1" x14ac:dyDescent="0.3"/>
    <row r="871" ht="14.25" customHeight="1" x14ac:dyDescent="0.3"/>
    <row r="872" ht="14.25" customHeight="1" x14ac:dyDescent="0.3"/>
    <row r="873" ht="14.25" customHeight="1" x14ac:dyDescent="0.3"/>
    <row r="874" ht="14.25" customHeight="1" x14ac:dyDescent="0.3"/>
    <row r="875" ht="14.25" customHeight="1" x14ac:dyDescent="0.3"/>
    <row r="876" ht="14.25" customHeight="1" x14ac:dyDescent="0.3"/>
    <row r="877" ht="14.25" customHeight="1" x14ac:dyDescent="0.3"/>
    <row r="878" ht="14.25" customHeight="1" x14ac:dyDescent="0.3"/>
    <row r="879" ht="14.25" customHeight="1" x14ac:dyDescent="0.3"/>
    <row r="880" ht="14.25" customHeight="1" x14ac:dyDescent="0.3"/>
    <row r="881" ht="14.25" customHeight="1" x14ac:dyDescent="0.3"/>
    <row r="882" ht="14.25" customHeight="1" x14ac:dyDescent="0.3"/>
    <row r="883" ht="14.25" customHeight="1" x14ac:dyDescent="0.3"/>
    <row r="884" ht="14.25" customHeight="1" x14ac:dyDescent="0.3"/>
    <row r="885" ht="14.25" customHeight="1" x14ac:dyDescent="0.3"/>
    <row r="886" ht="14.25" customHeight="1" x14ac:dyDescent="0.3"/>
    <row r="887" ht="14.25" customHeight="1" x14ac:dyDescent="0.3"/>
    <row r="888" ht="14.25" customHeight="1" x14ac:dyDescent="0.3"/>
    <row r="889" ht="14.25" customHeight="1" x14ac:dyDescent="0.3"/>
    <row r="890" ht="14.25" customHeight="1" x14ac:dyDescent="0.3"/>
    <row r="891" ht="14.25" customHeight="1" x14ac:dyDescent="0.3"/>
    <row r="892" ht="14.25" customHeight="1" x14ac:dyDescent="0.3"/>
    <row r="893" ht="14.25" customHeight="1" x14ac:dyDescent="0.3"/>
    <row r="894" ht="14.25" customHeight="1" x14ac:dyDescent="0.3"/>
    <row r="895" ht="14.25" customHeight="1" x14ac:dyDescent="0.3"/>
    <row r="896" ht="14.25" customHeight="1" x14ac:dyDescent="0.3"/>
    <row r="897" ht="14.25" customHeight="1" x14ac:dyDescent="0.3"/>
    <row r="898" ht="14.25" customHeight="1" x14ac:dyDescent="0.3"/>
    <row r="899" ht="14.25" customHeight="1" x14ac:dyDescent="0.3"/>
    <row r="900" ht="14.25" customHeight="1" x14ac:dyDescent="0.3"/>
    <row r="901" ht="14.25" customHeight="1" x14ac:dyDescent="0.3"/>
    <row r="902" ht="14.25" customHeight="1" x14ac:dyDescent="0.3"/>
    <row r="903" ht="14.25" customHeight="1" x14ac:dyDescent="0.3"/>
    <row r="904" ht="14.25" customHeight="1" x14ac:dyDescent="0.3"/>
    <row r="905" ht="14.25" customHeight="1" x14ac:dyDescent="0.3"/>
    <row r="906" ht="14.25" customHeight="1" x14ac:dyDescent="0.3"/>
    <row r="907" ht="14.25" customHeight="1" x14ac:dyDescent="0.3"/>
    <row r="908" ht="14.25" customHeight="1" x14ac:dyDescent="0.3"/>
    <row r="909" ht="14.25" customHeight="1" x14ac:dyDescent="0.3"/>
    <row r="910" ht="14.25" customHeight="1" x14ac:dyDescent="0.3"/>
    <row r="911" ht="14.25" customHeight="1" x14ac:dyDescent="0.3"/>
    <row r="912" ht="14.25" customHeight="1" x14ac:dyDescent="0.3"/>
    <row r="913" ht="14.25" customHeight="1" x14ac:dyDescent="0.3"/>
    <row r="914" ht="14.25" customHeight="1" x14ac:dyDescent="0.3"/>
    <row r="915" ht="14.25" customHeight="1" x14ac:dyDescent="0.3"/>
    <row r="916" ht="14.25" customHeight="1" x14ac:dyDescent="0.3"/>
    <row r="917" ht="14.25" customHeight="1" x14ac:dyDescent="0.3"/>
    <row r="918" ht="14.25" customHeight="1" x14ac:dyDescent="0.3"/>
    <row r="919" ht="14.25" customHeight="1" x14ac:dyDescent="0.3"/>
    <row r="920" ht="14.25" customHeight="1" x14ac:dyDescent="0.3"/>
    <row r="921" ht="14.25" customHeight="1" x14ac:dyDescent="0.3"/>
    <row r="922" ht="14.25" customHeight="1" x14ac:dyDescent="0.3"/>
    <row r="923" ht="14.25" customHeight="1" x14ac:dyDescent="0.3"/>
    <row r="924" ht="14.25" customHeight="1" x14ac:dyDescent="0.3"/>
    <row r="925" ht="14.25" customHeight="1" x14ac:dyDescent="0.3"/>
    <row r="926" ht="14.25" customHeight="1" x14ac:dyDescent="0.3"/>
    <row r="927" ht="14.25" customHeight="1" x14ac:dyDescent="0.3"/>
    <row r="928" ht="14.25" customHeight="1" x14ac:dyDescent="0.3"/>
    <row r="929" ht="14.25" customHeight="1" x14ac:dyDescent="0.3"/>
    <row r="930" ht="14.25" customHeight="1" x14ac:dyDescent="0.3"/>
    <row r="931" ht="14.25" customHeight="1" x14ac:dyDescent="0.3"/>
    <row r="932" ht="14.25" customHeight="1" x14ac:dyDescent="0.3"/>
    <row r="933" ht="14.25" customHeight="1" x14ac:dyDescent="0.3"/>
    <row r="934" ht="14.25" customHeight="1" x14ac:dyDescent="0.3"/>
    <row r="935" ht="14.25" customHeight="1" x14ac:dyDescent="0.3"/>
    <row r="936" ht="14.25" customHeight="1" x14ac:dyDescent="0.3"/>
    <row r="937" ht="14.25" customHeight="1" x14ac:dyDescent="0.3"/>
    <row r="938" ht="14.25" customHeight="1" x14ac:dyDescent="0.3"/>
    <row r="939" ht="14.25" customHeight="1" x14ac:dyDescent="0.3"/>
    <row r="940" ht="14.25" customHeight="1" x14ac:dyDescent="0.3"/>
    <row r="941" ht="14.25" customHeight="1" x14ac:dyDescent="0.3"/>
    <row r="942" ht="14.25" customHeight="1" x14ac:dyDescent="0.3"/>
    <row r="943" ht="14.25" customHeight="1" x14ac:dyDescent="0.3"/>
    <row r="944" ht="14.25" customHeight="1" x14ac:dyDescent="0.3"/>
    <row r="945" ht="14.25" customHeight="1" x14ac:dyDescent="0.3"/>
    <row r="946" ht="14.25" customHeight="1" x14ac:dyDescent="0.3"/>
    <row r="947" ht="14.25" customHeight="1" x14ac:dyDescent="0.3"/>
    <row r="948" ht="14.25" customHeight="1" x14ac:dyDescent="0.3"/>
    <row r="949" ht="14.25" customHeight="1" x14ac:dyDescent="0.3"/>
    <row r="950" ht="14.25" customHeight="1" x14ac:dyDescent="0.3"/>
    <row r="951" ht="14.25" customHeight="1" x14ac:dyDescent="0.3"/>
    <row r="952" ht="14.25" customHeight="1" x14ac:dyDescent="0.3"/>
    <row r="953" ht="14.25" customHeight="1" x14ac:dyDescent="0.3"/>
    <row r="954" ht="14.25" customHeight="1" x14ac:dyDescent="0.3"/>
    <row r="955" ht="14.25" customHeight="1" x14ac:dyDescent="0.3"/>
    <row r="956" ht="14.25" customHeight="1" x14ac:dyDescent="0.3"/>
    <row r="957" ht="14.25" customHeight="1" x14ac:dyDescent="0.3"/>
    <row r="958" ht="14.25" customHeight="1" x14ac:dyDescent="0.3"/>
    <row r="959" ht="14.25" customHeight="1" x14ac:dyDescent="0.3"/>
    <row r="960" ht="14.25" customHeight="1" x14ac:dyDescent="0.3"/>
    <row r="961" ht="14.25" customHeight="1" x14ac:dyDescent="0.3"/>
    <row r="962" ht="14.25" customHeight="1" x14ac:dyDescent="0.3"/>
    <row r="963" ht="14.25" customHeight="1" x14ac:dyDescent="0.3"/>
    <row r="964" ht="14.25" customHeight="1" x14ac:dyDescent="0.3"/>
    <row r="965" ht="14.25" customHeight="1" x14ac:dyDescent="0.3"/>
    <row r="966" ht="14.25" customHeight="1" x14ac:dyDescent="0.3"/>
    <row r="967" ht="14.25" customHeight="1" x14ac:dyDescent="0.3"/>
    <row r="968" ht="14.25" customHeight="1" x14ac:dyDescent="0.3"/>
    <row r="969" ht="14.25" customHeight="1" x14ac:dyDescent="0.3"/>
    <row r="970" ht="14.25" customHeight="1" x14ac:dyDescent="0.3"/>
    <row r="971" ht="14.25" customHeight="1" x14ac:dyDescent="0.3"/>
    <row r="972" ht="14.25" customHeight="1" x14ac:dyDescent="0.3"/>
    <row r="973" ht="14.25" customHeight="1" x14ac:dyDescent="0.3"/>
    <row r="974" ht="14.25" customHeight="1" x14ac:dyDescent="0.3"/>
    <row r="975" ht="14.25" customHeight="1" x14ac:dyDescent="0.3"/>
    <row r="976" ht="14.25" customHeight="1" x14ac:dyDescent="0.3"/>
    <row r="977" ht="14.25" customHeight="1" x14ac:dyDescent="0.3"/>
    <row r="978" ht="14.25" customHeight="1" x14ac:dyDescent="0.3"/>
    <row r="979" ht="14.25" customHeight="1" x14ac:dyDescent="0.3"/>
    <row r="980" ht="14.25" customHeight="1" x14ac:dyDescent="0.3"/>
    <row r="981" ht="14.25" customHeight="1" x14ac:dyDescent="0.3"/>
    <row r="982" ht="14.25" customHeight="1" x14ac:dyDescent="0.3"/>
    <row r="983" ht="14.25" customHeight="1" x14ac:dyDescent="0.3"/>
    <row r="984" ht="14.25" customHeight="1" x14ac:dyDescent="0.3"/>
    <row r="985" ht="14.25" customHeight="1" x14ac:dyDescent="0.3"/>
    <row r="986" ht="14.25" customHeight="1" x14ac:dyDescent="0.3"/>
    <row r="987" ht="14.25" customHeight="1" x14ac:dyDescent="0.3"/>
    <row r="988" ht="14.25" customHeight="1" x14ac:dyDescent="0.3"/>
    <row r="989" ht="14.25" customHeight="1" x14ac:dyDescent="0.3"/>
    <row r="990" ht="14.25" customHeight="1" x14ac:dyDescent="0.3"/>
    <row r="991" ht="14.25" customHeight="1" x14ac:dyDescent="0.3"/>
    <row r="992" ht="14.25" customHeight="1" x14ac:dyDescent="0.3"/>
    <row r="993" ht="14.25" customHeight="1" x14ac:dyDescent="0.3"/>
    <row r="994" ht="14.25" customHeight="1" x14ac:dyDescent="0.3"/>
    <row r="995" ht="14.25" customHeight="1" x14ac:dyDescent="0.3"/>
    <row r="996" ht="14.25" customHeight="1" x14ac:dyDescent="0.3"/>
    <row r="997" ht="14.25" customHeight="1" x14ac:dyDescent="0.3"/>
    <row r="998" ht="14.25" customHeight="1" x14ac:dyDescent="0.3"/>
    <row r="999" ht="14.25" customHeight="1" x14ac:dyDescent="0.3"/>
    <row r="1000" ht="14.25" customHeight="1" x14ac:dyDescent="0.3"/>
  </sheetData>
  <pageMargins left="0.7" right="0.7" top="0.75" bottom="0.75" header="0" footer="0"/>
  <pageSetup orientation="landscape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4096B9D-9BD3-4A9B-9AD5-048136FAD479}">
  <dimension ref="A1:C27"/>
  <sheetViews>
    <sheetView tabSelected="1" workbookViewId="0">
      <selection activeCell="E25" sqref="E25"/>
    </sheetView>
  </sheetViews>
  <sheetFormatPr defaultRowHeight="14.4" x14ac:dyDescent="0.3"/>
  <cols>
    <col min="1" max="1" width="16.77734375" bestFit="1" customWidth="1"/>
    <col min="2" max="2" width="11.6640625" bestFit="1" customWidth="1"/>
    <col min="3" max="3" width="14.6640625" style="524" bestFit="1" customWidth="1"/>
    <col min="4" max="7" width="11.33203125" bestFit="1" customWidth="1"/>
  </cols>
  <sheetData>
    <row r="1" spans="1:3" x14ac:dyDescent="0.3">
      <c r="A1" t="s">
        <v>776</v>
      </c>
      <c r="B1" t="s">
        <v>806</v>
      </c>
      <c r="C1" s="523" t="s">
        <v>830</v>
      </c>
    </row>
    <row r="2" spans="1:3" x14ac:dyDescent="0.3">
      <c r="A2" t="s">
        <v>106</v>
      </c>
      <c r="B2" t="s">
        <v>807</v>
      </c>
      <c r="C2" s="524">
        <v>1980.553694</v>
      </c>
    </row>
    <row r="3" spans="1:3" x14ac:dyDescent="0.3">
      <c r="A3" t="s">
        <v>106</v>
      </c>
      <c r="B3" t="s">
        <v>808</v>
      </c>
      <c r="C3" s="524">
        <v>953.99926500000004</v>
      </c>
    </row>
    <row r="4" spans="1:3" x14ac:dyDescent="0.3">
      <c r="A4" t="s">
        <v>106</v>
      </c>
      <c r="B4" t="s">
        <v>809</v>
      </c>
      <c r="C4" s="524">
        <v>1356.8132929999999</v>
      </c>
    </row>
    <row r="5" spans="1:3" x14ac:dyDescent="0.3">
      <c r="A5" t="s">
        <v>810</v>
      </c>
      <c r="B5" t="s">
        <v>807</v>
      </c>
      <c r="C5" s="524">
        <v>461.85277600000001</v>
      </c>
    </row>
    <row r="6" spans="1:3" x14ac:dyDescent="0.3">
      <c r="A6" t="s">
        <v>810</v>
      </c>
      <c r="B6" t="s">
        <v>808</v>
      </c>
      <c r="C6" s="524">
        <v>734.11651700000004</v>
      </c>
    </row>
    <row r="7" spans="1:3" x14ac:dyDescent="0.3">
      <c r="A7" t="s">
        <v>812</v>
      </c>
      <c r="B7" t="s">
        <v>811</v>
      </c>
      <c r="C7" s="524">
        <v>204.221</v>
      </c>
    </row>
    <row r="8" spans="1:3" x14ac:dyDescent="0.3">
      <c r="A8" t="s">
        <v>812</v>
      </c>
      <c r="B8" t="s">
        <v>813</v>
      </c>
      <c r="C8" s="524">
        <v>1221.3789999999999</v>
      </c>
    </row>
    <row r="9" spans="1:3" x14ac:dyDescent="0.3">
      <c r="A9" t="s">
        <v>812</v>
      </c>
      <c r="B9" t="s">
        <v>814</v>
      </c>
      <c r="C9" s="524">
        <v>139.10499999999999</v>
      </c>
    </row>
    <row r="10" spans="1:3" x14ac:dyDescent="0.3">
      <c r="A10" t="s">
        <v>815</v>
      </c>
      <c r="B10" t="s">
        <v>813</v>
      </c>
      <c r="C10" s="524">
        <v>681.65200000000004</v>
      </c>
    </row>
    <row r="11" spans="1:3" x14ac:dyDescent="0.3">
      <c r="A11" t="s">
        <v>54</v>
      </c>
      <c r="B11" t="s">
        <v>816</v>
      </c>
      <c r="C11" s="524">
        <v>51.368160000000003</v>
      </c>
    </row>
    <row r="12" spans="1:3" x14ac:dyDescent="0.3">
      <c r="A12" t="s">
        <v>54</v>
      </c>
      <c r="B12" t="s">
        <v>817</v>
      </c>
      <c r="C12" s="524">
        <v>32.164059999999999</v>
      </c>
    </row>
    <row r="13" spans="1:3" x14ac:dyDescent="0.3">
      <c r="A13" t="s">
        <v>54</v>
      </c>
      <c r="B13" t="s">
        <v>818</v>
      </c>
      <c r="C13" s="524">
        <v>238.14445000000001</v>
      </c>
    </row>
    <row r="14" spans="1:3" x14ac:dyDescent="0.3">
      <c r="A14" t="s">
        <v>54</v>
      </c>
      <c r="B14" t="s">
        <v>819</v>
      </c>
      <c r="C14" s="524">
        <v>221.08779999999999</v>
      </c>
    </row>
    <row r="15" spans="1:3" x14ac:dyDescent="0.3">
      <c r="A15" t="s">
        <v>54</v>
      </c>
      <c r="B15" t="s">
        <v>820</v>
      </c>
      <c r="C15" s="524">
        <v>211.67950999999999</v>
      </c>
    </row>
    <row r="16" spans="1:3" x14ac:dyDescent="0.3">
      <c r="A16" t="s">
        <v>59</v>
      </c>
      <c r="B16" t="s">
        <v>821</v>
      </c>
      <c r="C16" s="524">
        <v>0.13134000000000001</v>
      </c>
    </row>
    <row r="17" spans="1:3" x14ac:dyDescent="0.3">
      <c r="A17" t="s">
        <v>59</v>
      </c>
      <c r="B17" t="s">
        <v>822</v>
      </c>
      <c r="C17" s="524">
        <v>1.63889</v>
      </c>
    </row>
    <row r="18" spans="1:3" x14ac:dyDescent="0.3">
      <c r="A18" t="s">
        <v>59</v>
      </c>
      <c r="B18" t="s">
        <v>823</v>
      </c>
      <c r="C18" s="524">
        <v>24.44229</v>
      </c>
    </row>
    <row r="19" spans="1:3" x14ac:dyDescent="0.3">
      <c r="A19" t="s">
        <v>59</v>
      </c>
      <c r="B19" t="s">
        <v>824</v>
      </c>
      <c r="C19" s="524">
        <v>5.3065249999999997</v>
      </c>
    </row>
    <row r="20" spans="1:3" x14ac:dyDescent="0.3">
      <c r="A20" t="s">
        <v>59</v>
      </c>
      <c r="B20" t="s">
        <v>825</v>
      </c>
      <c r="C20" s="524">
        <v>17.650690000000001</v>
      </c>
    </row>
    <row r="21" spans="1:3" x14ac:dyDescent="0.3">
      <c r="A21" t="s">
        <v>59</v>
      </c>
      <c r="B21" t="s">
        <v>826</v>
      </c>
      <c r="C21" s="524">
        <v>183.82106999999999</v>
      </c>
    </row>
    <row r="22" spans="1:3" x14ac:dyDescent="0.3">
      <c r="A22" t="s">
        <v>59</v>
      </c>
      <c r="B22" t="s">
        <v>827</v>
      </c>
      <c r="C22" s="524">
        <v>364.74335000000002</v>
      </c>
    </row>
    <row r="23" spans="1:3" x14ac:dyDescent="0.3">
      <c r="A23" s="521" t="s">
        <v>828</v>
      </c>
      <c r="B23" s="521" t="s">
        <v>816</v>
      </c>
      <c r="C23" s="524">
        <v>8.5647800000000007</v>
      </c>
    </row>
    <row r="24" spans="1:3" x14ac:dyDescent="0.3">
      <c r="A24" s="521" t="s">
        <v>828</v>
      </c>
      <c r="B24" s="521" t="s">
        <v>818</v>
      </c>
      <c r="C24" s="524">
        <v>26.340599999999998</v>
      </c>
    </row>
    <row r="25" spans="1:3" x14ac:dyDescent="0.3">
      <c r="A25" s="521" t="s">
        <v>828</v>
      </c>
      <c r="B25" s="521" t="s">
        <v>829</v>
      </c>
      <c r="C25" s="524">
        <v>29.661580000000001</v>
      </c>
    </row>
    <row r="26" spans="1:3" x14ac:dyDescent="0.3">
      <c r="A26" s="521" t="s">
        <v>828</v>
      </c>
      <c r="B26" s="521" t="s">
        <v>819</v>
      </c>
      <c r="C26" s="524">
        <v>23.59262</v>
      </c>
    </row>
    <row r="27" spans="1:3" x14ac:dyDescent="0.3">
      <c r="A27" s="521" t="s">
        <v>828</v>
      </c>
      <c r="B27" s="521" t="s">
        <v>820</v>
      </c>
      <c r="C27" s="524">
        <v>19.2333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R1000"/>
  <sheetViews>
    <sheetView zoomScale="80" zoomScaleNormal="80" workbookViewId="0">
      <selection activeCell="J35" sqref="J35"/>
    </sheetView>
  </sheetViews>
  <sheetFormatPr defaultColWidth="14.44140625" defaultRowHeight="15" customHeight="1" x14ac:dyDescent="0.3"/>
  <cols>
    <col min="1" max="1" width="41.33203125" customWidth="1"/>
    <col min="2" max="2" width="14.6640625" customWidth="1"/>
    <col min="3" max="3" width="11.33203125" customWidth="1"/>
    <col min="4" max="4" width="14.6640625" customWidth="1"/>
    <col min="5" max="5" width="31.77734375" bestFit="1" customWidth="1"/>
    <col min="6" max="6" width="19.44140625" customWidth="1"/>
    <col min="7" max="7" width="20" customWidth="1"/>
    <col min="8" max="8" width="13.44140625" customWidth="1"/>
    <col min="9" max="9" width="15.5546875" customWidth="1"/>
    <col min="10" max="10" width="24.33203125" customWidth="1"/>
    <col min="11" max="11" width="13" customWidth="1"/>
    <col min="12" max="12" width="12.33203125" customWidth="1"/>
    <col min="13" max="13" width="14.109375" customWidth="1"/>
    <col min="14" max="14" width="26.5546875" customWidth="1"/>
    <col min="15" max="15" width="14.6640625" customWidth="1"/>
    <col min="16" max="16" width="14.109375" customWidth="1"/>
    <col min="17" max="17" width="7.6640625" customWidth="1"/>
    <col min="18" max="18" width="13.33203125" customWidth="1"/>
    <col min="19" max="26" width="14.109375" customWidth="1"/>
  </cols>
  <sheetData>
    <row r="1" spans="1:18" ht="14.4" x14ac:dyDescent="0.3">
      <c r="A1" s="550" t="s">
        <v>34</v>
      </c>
      <c r="B1" s="551"/>
      <c r="C1" s="552"/>
      <c r="E1" s="5" t="s">
        <v>35</v>
      </c>
      <c r="F1" s="6">
        <f ca="1">SUM($B$7,$B$19,$B$26,$B$31,$B$39)</f>
        <v>1730481.8399999999</v>
      </c>
      <c r="H1" s="7"/>
      <c r="I1" s="7"/>
      <c r="J1" s="8"/>
      <c r="K1" s="9" t="s">
        <v>36</v>
      </c>
      <c r="L1" s="10" t="s">
        <v>37</v>
      </c>
      <c r="N1" s="5" t="s">
        <v>38</v>
      </c>
      <c r="O1" s="6">
        <v>28500</v>
      </c>
      <c r="P1" s="11"/>
      <c r="Q1" s="12">
        <v>0.15</v>
      </c>
    </row>
    <row r="2" spans="1:18" ht="14.4" x14ac:dyDescent="0.3">
      <c r="A2" s="13" t="s">
        <v>39</v>
      </c>
      <c r="B2" s="14">
        <f>'Checking Transaction Log'!G2</f>
        <v>0</v>
      </c>
      <c r="C2" s="15">
        <f t="shared" ref="C2:C6" ca="1" si="0">TODAY()</f>
        <v>46186</v>
      </c>
      <c r="E2" s="13" t="s">
        <v>40</v>
      </c>
      <c r="F2" s="16">
        <f>F14</f>
        <v>180225.99</v>
      </c>
      <c r="H2" s="17"/>
      <c r="J2" s="18" t="s">
        <v>41</v>
      </c>
      <c r="K2" s="19">
        <v>0.75</v>
      </c>
      <c r="L2" s="20">
        <f>K5/(K5+K6)</f>
        <v>0.84936632219753672</v>
      </c>
      <c r="N2" s="21" t="s">
        <v>42</v>
      </c>
      <c r="O2" s="22">
        <f>B12-O1</f>
        <v>-11530</v>
      </c>
      <c r="P2" s="11"/>
      <c r="Q2" s="23" t="s">
        <v>43</v>
      </c>
      <c r="R2" s="23">
        <f ca="1">E20*(1+$Q$1)</f>
        <v>1782794.2274999998</v>
      </c>
    </row>
    <row r="3" spans="1:18" ht="14.4" x14ac:dyDescent="0.3">
      <c r="A3" s="13" t="s">
        <v>44</v>
      </c>
      <c r="B3" s="14">
        <v>0</v>
      </c>
      <c r="C3" s="15">
        <f t="shared" ca="1" si="0"/>
        <v>46186</v>
      </c>
      <c r="E3" s="21" t="s">
        <v>45</v>
      </c>
      <c r="F3" s="22">
        <f ca="1">F1-F2</f>
        <v>1550255.8499999999</v>
      </c>
      <c r="H3" s="17"/>
      <c r="J3" s="18" t="s">
        <v>46</v>
      </c>
      <c r="K3" s="19">
        <v>0.25</v>
      </c>
      <c r="L3" s="20">
        <f>K6/(K5+K6)</f>
        <v>0.15063367780246323</v>
      </c>
      <c r="N3" s="5" t="s">
        <v>47</v>
      </c>
      <c r="O3" s="6">
        <v>67870.080000000002</v>
      </c>
      <c r="P3" s="11"/>
      <c r="Q3" s="23" t="s">
        <v>48</v>
      </c>
      <c r="R3" s="23">
        <f t="shared" ref="R3:R11" ca="1" si="1">R2*(1+$Q$1)</f>
        <v>2050213.3616249997</v>
      </c>
    </row>
    <row r="4" spans="1:18" ht="14.4" x14ac:dyDescent="0.3">
      <c r="A4" s="13" t="s">
        <v>49</v>
      </c>
      <c r="B4" s="14">
        <v>0</v>
      </c>
      <c r="C4" s="15">
        <f t="shared" ca="1" si="0"/>
        <v>46186</v>
      </c>
      <c r="F4" s="7"/>
      <c r="H4" s="17"/>
      <c r="J4" s="24"/>
      <c r="K4" s="25"/>
      <c r="L4" s="26"/>
      <c r="N4" s="27" t="s">
        <v>50</v>
      </c>
      <c r="O4" s="28">
        <f>B10-O3</f>
        <v>27817.33</v>
      </c>
      <c r="P4" s="11"/>
      <c r="Q4" s="23" t="s">
        <v>51</v>
      </c>
      <c r="R4" s="23">
        <f t="shared" ca="1" si="1"/>
        <v>2357745.3658687496</v>
      </c>
    </row>
    <row r="5" spans="1:18" ht="14.4" x14ac:dyDescent="0.3">
      <c r="A5" s="13" t="s">
        <v>52</v>
      </c>
      <c r="B5" s="14">
        <f ca="1">'Checking Transaction Log'!G1</f>
        <v>10126.999999999985</v>
      </c>
      <c r="C5" s="15">
        <f t="shared" ca="1" si="0"/>
        <v>46186</v>
      </c>
      <c r="E5" s="553" t="s">
        <v>53</v>
      </c>
      <c r="F5" s="551"/>
      <c r="G5" s="552"/>
      <c r="H5" s="17"/>
      <c r="J5" s="29" t="s">
        <v>54</v>
      </c>
      <c r="K5" s="30">
        <f>B10</f>
        <v>95687.41</v>
      </c>
      <c r="L5" s="20">
        <f ca="1">K5/F3</f>
        <v>6.1723624523010195E-2</v>
      </c>
      <c r="N5" s="5" t="s">
        <v>55</v>
      </c>
      <c r="O5" s="6"/>
      <c r="P5" s="11"/>
      <c r="Q5" s="23" t="s">
        <v>56</v>
      </c>
      <c r="R5" s="23">
        <f t="shared" ca="1" si="1"/>
        <v>2711407.1707490617</v>
      </c>
    </row>
    <row r="6" spans="1:18" ht="14.4" x14ac:dyDescent="0.3">
      <c r="A6" s="13" t="s">
        <v>57</v>
      </c>
      <c r="B6" s="14">
        <f>'Savings Transaction Log'!A3</f>
        <v>9131.9600000000009</v>
      </c>
      <c r="C6" s="15">
        <f t="shared" ca="1" si="0"/>
        <v>46186</v>
      </c>
      <c r="E6" s="31" t="s">
        <v>58</v>
      </c>
      <c r="F6" s="14">
        <v>135885.85999999999</v>
      </c>
      <c r="G6" s="32">
        <v>46186</v>
      </c>
      <c r="H6" s="17"/>
      <c r="J6" s="18" t="s">
        <v>59</v>
      </c>
      <c r="K6" s="30">
        <f>B12</f>
        <v>16970</v>
      </c>
      <c r="L6" s="20">
        <f ca="1">K6/F3</f>
        <v>1.094658020480942E-2</v>
      </c>
      <c r="N6" s="21" t="s">
        <v>60</v>
      </c>
      <c r="O6" s="22"/>
      <c r="P6" s="11"/>
      <c r="Q6" s="23" t="s">
        <v>61</v>
      </c>
      <c r="R6" s="23">
        <f t="shared" ca="1" si="1"/>
        <v>3118118.246361421</v>
      </c>
    </row>
    <row r="7" spans="1:18" ht="14.4" x14ac:dyDescent="0.3">
      <c r="A7" s="21" t="s">
        <v>62</v>
      </c>
      <c r="B7" s="33">
        <f ca="1">SUM(B2:B6)</f>
        <v>19258.959999999985</v>
      </c>
      <c r="C7" s="34">
        <f ca="1">B7/F3</f>
        <v>1.2423084873377505E-2</v>
      </c>
      <c r="E7" s="529" t="s">
        <v>836</v>
      </c>
      <c r="F7" s="14">
        <v>18535</v>
      </c>
      <c r="G7" s="32">
        <v>46173</v>
      </c>
      <c r="H7" s="7"/>
      <c r="J7" s="18" t="s">
        <v>64</v>
      </c>
      <c r="K7" s="30">
        <f>IF((B3+B4+B6)&gt;10000,(B3+B4+B6-10000),0)</f>
        <v>0</v>
      </c>
      <c r="L7" s="26"/>
      <c r="N7" s="35" t="s">
        <v>65</v>
      </c>
      <c r="O7" s="36">
        <f t="shared" ref="O7:O8" si="2">O1+O3+O5</f>
        <v>96370.08</v>
      </c>
      <c r="P7" s="11"/>
      <c r="Q7" s="23" t="s">
        <v>66</v>
      </c>
      <c r="R7" s="23">
        <f t="shared" ca="1" si="1"/>
        <v>3585835.9833156336</v>
      </c>
    </row>
    <row r="8" spans="1:18" ht="14.4" x14ac:dyDescent="0.3">
      <c r="B8" s="7"/>
      <c r="C8" s="37"/>
      <c r="E8" s="529" t="s">
        <v>900</v>
      </c>
      <c r="F8" s="14">
        <v>0</v>
      </c>
      <c r="G8" s="32">
        <v>46186</v>
      </c>
      <c r="H8" s="7"/>
      <c r="I8" s="7"/>
      <c r="J8" s="18" t="s">
        <v>68</v>
      </c>
      <c r="K8" s="30">
        <f>SUM(K5:K7)</f>
        <v>112657.41</v>
      </c>
      <c r="L8" s="20">
        <f ca="1">K8/F3</f>
        <v>7.2670204727819612E-2</v>
      </c>
      <c r="N8" s="21" t="s">
        <v>69</v>
      </c>
      <c r="O8" s="22">
        <f t="shared" si="2"/>
        <v>16287.330000000002</v>
      </c>
      <c r="P8" s="11"/>
      <c r="Q8" s="23" t="s">
        <v>70</v>
      </c>
      <c r="R8" s="23">
        <f t="shared" ca="1" si="1"/>
        <v>4123711.3808129784</v>
      </c>
    </row>
    <row r="9" spans="1:18" ht="14.4" x14ac:dyDescent="0.3">
      <c r="A9" s="550" t="s">
        <v>71</v>
      </c>
      <c r="B9" s="551"/>
      <c r="C9" s="552"/>
      <c r="E9" s="528" t="s">
        <v>841</v>
      </c>
      <c r="F9" s="526">
        <v>9640</v>
      </c>
      <c r="G9" s="527">
        <v>46186</v>
      </c>
      <c r="H9" s="7"/>
      <c r="I9" s="7"/>
      <c r="J9" s="24"/>
      <c r="K9" s="39" t="s">
        <v>72</v>
      </c>
      <c r="L9" s="26" t="s">
        <v>68</v>
      </c>
      <c r="P9" s="11"/>
      <c r="Q9" s="23" t="s">
        <v>73</v>
      </c>
      <c r="R9" s="23">
        <f t="shared" ca="1" si="1"/>
        <v>4742268.0879349252</v>
      </c>
    </row>
    <row r="10" spans="1:18" ht="14.4" x14ac:dyDescent="0.3">
      <c r="A10" s="31" t="s">
        <v>74</v>
      </c>
      <c r="B10" s="14">
        <v>95687.41</v>
      </c>
      <c r="C10" s="15">
        <v>46186</v>
      </c>
      <c r="D10" s="17"/>
      <c r="E10" s="528" t="s">
        <v>837</v>
      </c>
      <c r="F10" s="526">
        <v>11365.33</v>
      </c>
      <c r="G10" s="527">
        <v>46178</v>
      </c>
      <c r="H10" s="17"/>
      <c r="I10" s="7"/>
      <c r="J10" s="18" t="s">
        <v>54</v>
      </c>
      <c r="K10" s="30">
        <f>(K8*K2)-K5</f>
        <v>-11194.352500000008</v>
      </c>
      <c r="L10" s="40">
        <f t="shared" ref="L10:L11" si="3">K10+K5</f>
        <v>84493.057499999995</v>
      </c>
      <c r="P10" s="11"/>
      <c r="Q10" s="23" t="s">
        <v>75</v>
      </c>
      <c r="R10" s="23">
        <f t="shared" ca="1" si="1"/>
        <v>5453608.3011251632</v>
      </c>
    </row>
    <row r="11" spans="1:18" ht="14.4" x14ac:dyDescent="0.3">
      <c r="A11" s="31" t="s">
        <v>76</v>
      </c>
      <c r="B11" s="14">
        <v>12753.71</v>
      </c>
      <c r="C11" s="15">
        <v>46186</v>
      </c>
      <c r="D11" s="17"/>
      <c r="E11" s="528" t="s">
        <v>838</v>
      </c>
      <c r="F11" s="526">
        <v>40.630000000000003</v>
      </c>
      <c r="G11" s="527">
        <v>46186</v>
      </c>
      <c r="H11" s="17"/>
      <c r="I11" s="7"/>
      <c r="J11" s="43" t="s">
        <v>78</v>
      </c>
      <c r="K11" s="44">
        <f>(K8*K3)-K6</f>
        <v>11194.352500000001</v>
      </c>
      <c r="L11" s="45">
        <f t="shared" si="3"/>
        <v>28164.352500000001</v>
      </c>
      <c r="N11" s="46" t="s">
        <v>79</v>
      </c>
      <c r="O11" s="7">
        <v>5258.27</v>
      </c>
      <c r="P11" s="11"/>
      <c r="Q11" s="23" t="s">
        <v>80</v>
      </c>
      <c r="R11" s="23">
        <f t="shared" ca="1" si="1"/>
        <v>6271649.5462939376</v>
      </c>
    </row>
    <row r="12" spans="1:18" ht="14.4" x14ac:dyDescent="0.3">
      <c r="A12" s="47" t="s">
        <v>81</v>
      </c>
      <c r="B12" s="48">
        <v>16970</v>
      </c>
      <c r="C12" s="15">
        <v>46186</v>
      </c>
      <c r="D12" s="17"/>
      <c r="E12" s="525" t="s">
        <v>839</v>
      </c>
      <c r="F12" s="526">
        <v>3944.13</v>
      </c>
      <c r="G12" s="527">
        <v>46186</v>
      </c>
      <c r="I12" s="7"/>
      <c r="J12" s="49"/>
      <c r="K12" s="25"/>
      <c r="L12" s="50">
        <f ca="1">L11/F3</f>
        <v>1.8167551181954903E-2</v>
      </c>
      <c r="N12" s="46" t="s">
        <v>82</v>
      </c>
      <c r="O12" s="7">
        <v>6000</v>
      </c>
      <c r="P12" s="11"/>
      <c r="Q12" s="23"/>
    </row>
    <row r="13" spans="1:18" ht="14.4" x14ac:dyDescent="0.3">
      <c r="A13" s="27"/>
      <c r="B13" s="51"/>
      <c r="C13" s="15"/>
      <c r="D13" s="17"/>
      <c r="E13" s="525" t="s">
        <v>840</v>
      </c>
      <c r="F13" s="526">
        <v>815.04</v>
      </c>
      <c r="G13" s="527">
        <v>46186</v>
      </c>
      <c r="J13" s="49"/>
      <c r="K13" s="25"/>
      <c r="L13" s="11"/>
      <c r="N13" s="46" t="s">
        <v>83</v>
      </c>
      <c r="O13" s="7">
        <v>0</v>
      </c>
      <c r="P13" s="11"/>
      <c r="Q13" s="23"/>
    </row>
    <row r="14" spans="1:18" ht="14.4" x14ac:dyDescent="0.3">
      <c r="A14" s="27"/>
      <c r="B14" s="51"/>
      <c r="C14" s="15"/>
      <c r="D14" s="17"/>
      <c r="E14" s="21" t="s">
        <v>40</v>
      </c>
      <c r="F14" s="33">
        <f>SUM(F6:F13)</f>
        <v>180225.99</v>
      </c>
      <c r="G14" s="38"/>
      <c r="J14" s="49"/>
      <c r="K14" s="25"/>
      <c r="L14" s="11"/>
      <c r="N14" s="46" t="s">
        <v>86</v>
      </c>
      <c r="O14" s="7">
        <f>B18</f>
        <v>0</v>
      </c>
      <c r="P14" s="11"/>
      <c r="Q14" s="23"/>
    </row>
    <row r="15" spans="1:18" ht="14.4" x14ac:dyDescent="0.3">
      <c r="A15" s="47"/>
      <c r="B15" s="55"/>
      <c r="C15" s="15"/>
      <c r="F15" s="7"/>
      <c r="J15" s="57" t="s">
        <v>41</v>
      </c>
      <c r="K15" s="58">
        <f>SUM(B10:B11)</f>
        <v>108441.12</v>
      </c>
      <c r="L15" s="59">
        <f ca="1">K15/F3</f>
        <v>6.9950466563309541E-2</v>
      </c>
      <c r="N15" s="46" t="s">
        <v>87</v>
      </c>
      <c r="O15" s="7">
        <f>O14-O11-O12</f>
        <v>-11258.27</v>
      </c>
      <c r="P15" s="11"/>
      <c r="Q15" s="23"/>
    </row>
    <row r="16" spans="1:18" ht="14.4" x14ac:dyDescent="0.3">
      <c r="A16" s="60"/>
      <c r="B16" s="51"/>
      <c r="C16" s="15"/>
      <c r="E16" s="41" t="s">
        <v>77</v>
      </c>
      <c r="F16" s="42">
        <f ca="1">SUM(B7,B10,B18,B13,B12,B17,B15,B16,B14)</f>
        <v>131916.37</v>
      </c>
      <c r="I16" s="7"/>
      <c r="J16" s="18" t="s">
        <v>46</v>
      </c>
      <c r="K16" s="63">
        <f>B12</f>
        <v>16970</v>
      </c>
      <c r="L16" s="20">
        <f ca="1">K16/F3</f>
        <v>1.094658020480942E-2</v>
      </c>
      <c r="P16" s="11"/>
      <c r="Q16" s="23"/>
    </row>
    <row r="17" spans="1:17" ht="14.4" x14ac:dyDescent="0.3">
      <c r="A17" s="47"/>
      <c r="B17" s="48"/>
      <c r="C17" s="15"/>
      <c r="E17" s="7"/>
      <c r="I17" s="7"/>
      <c r="J17" s="43" t="s">
        <v>90</v>
      </c>
      <c r="K17" s="64">
        <f>SUM(B13)</f>
        <v>0</v>
      </c>
      <c r="L17" s="34">
        <f ca="1">K17/F3</f>
        <v>0</v>
      </c>
      <c r="P17" s="11"/>
    </row>
    <row r="18" spans="1:17" ht="14.4" x14ac:dyDescent="0.3">
      <c r="A18" s="47"/>
      <c r="B18" s="48"/>
      <c r="C18" s="15"/>
      <c r="E18" s="17"/>
      <c r="G18" s="7"/>
      <c r="I18" s="7"/>
      <c r="J18" s="49"/>
      <c r="K18" s="25"/>
      <c r="L18" s="11"/>
      <c r="N18" s="66" t="s">
        <v>91</v>
      </c>
      <c r="O18" s="67">
        <f>B19+B26+B31-F6</f>
        <v>1503837.02</v>
      </c>
      <c r="P18" s="11"/>
    </row>
    <row r="19" spans="1:17" ht="14.4" x14ac:dyDescent="0.3">
      <c r="A19" s="68" t="s">
        <v>92</v>
      </c>
      <c r="B19" s="33">
        <f>SUM(B10:B18)</f>
        <v>125411.12</v>
      </c>
      <c r="C19" s="34">
        <f ca="1">B19/F3</f>
        <v>8.0897046768118958E-2</v>
      </c>
      <c r="E19" s="52" t="s">
        <v>84</v>
      </c>
      <c r="F19" s="53" t="s">
        <v>85</v>
      </c>
      <c r="G19" s="54" t="s">
        <v>85</v>
      </c>
      <c r="I19" s="7"/>
      <c r="J19" s="49"/>
      <c r="K19" s="25"/>
      <c r="L19" s="11"/>
      <c r="N19" s="5" t="s">
        <v>96</v>
      </c>
      <c r="O19" s="72">
        <f>($B$22+$B$23)*0.5</f>
        <v>286569.15499999991</v>
      </c>
      <c r="P19" s="73">
        <f t="shared" ref="P19:P32" si="4">O19/$O$18</f>
        <v>0.19055865176134573</v>
      </c>
      <c r="Q19" s="74" t="s">
        <v>97</v>
      </c>
    </row>
    <row r="20" spans="1:17" ht="14.4" x14ac:dyDescent="0.3">
      <c r="B20" s="7"/>
      <c r="C20" s="37"/>
      <c r="E20" s="56">
        <f ca="1">F3</f>
        <v>1550255.8499999999</v>
      </c>
      <c r="F20" s="44">
        <f ca="1">E20-E22</f>
        <v>135253.41999999993</v>
      </c>
      <c r="G20" s="34">
        <f ca="1">(E20-E22)/E22</f>
        <v>9.5585291680382434E-2</v>
      </c>
      <c r="I20" s="7"/>
      <c r="J20" s="49" t="s">
        <v>98</v>
      </c>
      <c r="K20" s="25" t="s">
        <v>99</v>
      </c>
      <c r="L20" s="11"/>
      <c r="N20" s="13" t="s">
        <v>100</v>
      </c>
      <c r="O20" s="14">
        <f>($B$24+$B$25)*0.5</f>
        <v>267086.72499999998</v>
      </c>
      <c r="P20" s="78">
        <f t="shared" si="4"/>
        <v>0.17760350453402191</v>
      </c>
      <c r="Q20" s="79" t="s">
        <v>101</v>
      </c>
    </row>
    <row r="21" spans="1:17" ht="15.75" customHeight="1" x14ac:dyDescent="0.3">
      <c r="A21" s="550" t="s">
        <v>102</v>
      </c>
      <c r="B21" s="551"/>
      <c r="C21" s="552"/>
      <c r="E21" s="61">
        <v>46023</v>
      </c>
      <c r="F21" s="62" t="s">
        <v>88</v>
      </c>
      <c r="G21" s="54" t="s">
        <v>89</v>
      </c>
      <c r="I21" s="7"/>
      <c r="J21" s="81">
        <v>2000000</v>
      </c>
      <c r="K21" s="50">
        <f ca="1">1-($E$20/J21)</f>
        <v>0.22487207500000006</v>
      </c>
      <c r="L21" s="11"/>
      <c r="N21" s="27" t="s">
        <v>104</v>
      </c>
      <c r="O21" s="51">
        <f>($B$10+$B$11)*0.25</f>
        <v>27110.28</v>
      </c>
      <c r="P21" s="82">
        <f t="shared" si="4"/>
        <v>1.8027405655966628E-2</v>
      </c>
      <c r="Q21" s="83" t="s">
        <v>105</v>
      </c>
    </row>
    <row r="22" spans="1:17" ht="15.75" customHeight="1" x14ac:dyDescent="0.3">
      <c r="A22" s="31" t="s">
        <v>106</v>
      </c>
      <c r="B22" s="14">
        <f>-'TSP-401K'!H82</f>
        <v>433522.30999999994</v>
      </c>
      <c r="C22" s="15">
        <v>46178</v>
      </c>
      <c r="E22" s="56">
        <v>1415002.43</v>
      </c>
      <c r="F22" s="45">
        <f ca="1">((F20/(C2-E21))*365)+E22</f>
        <v>1717870.5177300612</v>
      </c>
      <c r="G22" s="34">
        <f ca="1">(F22-E22)/E22</f>
        <v>0.21404068382416933</v>
      </c>
      <c r="I22" s="7"/>
      <c r="J22" s="81">
        <v>3000000</v>
      </c>
      <c r="K22" s="50">
        <f ca="1">1-($E$20/J22)</f>
        <v>0.48324805000000004</v>
      </c>
      <c r="L22" s="11"/>
      <c r="N22" s="5" t="s">
        <v>108</v>
      </c>
      <c r="O22" s="72">
        <f>($B$22+$B$23)*0.3</f>
        <v>171941.49299999993</v>
      </c>
      <c r="P22" s="73">
        <f t="shared" si="4"/>
        <v>0.11433519105680742</v>
      </c>
      <c r="Q22" s="74" t="s">
        <v>97</v>
      </c>
    </row>
    <row r="23" spans="1:17" ht="15.75" customHeight="1" x14ac:dyDescent="0.3">
      <c r="A23" s="31" t="s">
        <v>109</v>
      </c>
      <c r="B23" s="14">
        <f>-'TSP-401K'!L82</f>
        <v>139615.99999999994</v>
      </c>
      <c r="C23" s="15">
        <f>C22</f>
        <v>46178</v>
      </c>
      <c r="E23" s="7"/>
      <c r="G23" s="65"/>
      <c r="I23" s="7"/>
      <c r="J23" s="81">
        <v>4000000</v>
      </c>
      <c r="K23" s="50">
        <f ca="1">1-($E$20/J23)</f>
        <v>0.61243603749999997</v>
      </c>
      <c r="L23" s="11"/>
      <c r="N23" s="13" t="s">
        <v>111</v>
      </c>
      <c r="O23" s="14">
        <f>($B$24+$B$25)*0.3</f>
        <v>160252.03499999997</v>
      </c>
      <c r="P23" s="78">
        <f t="shared" si="4"/>
        <v>0.10656210272041312</v>
      </c>
      <c r="Q23" s="79" t="s">
        <v>101</v>
      </c>
    </row>
    <row r="24" spans="1:17" ht="15.75" customHeight="1" x14ac:dyDescent="0.3">
      <c r="A24" s="31" t="s">
        <v>112</v>
      </c>
      <c r="B24" s="14">
        <f>-'TSP-401K'!Q82</f>
        <v>408701.7699999999</v>
      </c>
      <c r="C24" s="15">
        <f>C22</f>
        <v>46178</v>
      </c>
      <c r="E24" s="69" t="s">
        <v>93</v>
      </c>
      <c r="F24" s="70" t="s">
        <v>94</v>
      </c>
      <c r="G24" s="71" t="s">
        <v>95</v>
      </c>
      <c r="I24" s="7"/>
      <c r="J24" s="7">
        <v>5000000</v>
      </c>
      <c r="K24" s="50">
        <f ca="1">1-($E$20/J24)</f>
        <v>0.68994883000000007</v>
      </c>
      <c r="L24" s="11"/>
      <c r="N24" s="13" t="s">
        <v>113</v>
      </c>
      <c r="O24" s="14">
        <f t="shared" ref="O24:O25" si="5">($B$10+$B$11)*0.25</f>
        <v>27110.28</v>
      </c>
      <c r="P24" s="78">
        <f t="shared" si="4"/>
        <v>1.8027405655966628E-2</v>
      </c>
      <c r="Q24" s="79" t="s">
        <v>105</v>
      </c>
    </row>
    <row r="25" spans="1:17" ht="15.75" customHeight="1" x14ac:dyDescent="0.3">
      <c r="A25" s="31" t="s">
        <v>114</v>
      </c>
      <c r="B25" s="14">
        <f>-'TSP-401K'!V82</f>
        <v>125471.68000000005</v>
      </c>
      <c r="C25" s="15">
        <f>C22</f>
        <v>46178</v>
      </c>
      <c r="E25" s="75" t="s">
        <v>34</v>
      </c>
      <c r="F25" s="76">
        <f ca="1">B7</f>
        <v>19258.959999999985</v>
      </c>
      <c r="G25" s="77">
        <f t="shared" ref="G25:G31" ca="1" si="6">F25/SUM($F$25:$F$31)</f>
        <v>1.2219679469508842E-2</v>
      </c>
      <c r="I25" s="7"/>
      <c r="J25" s="84"/>
      <c r="K25" s="25"/>
      <c r="L25" s="11"/>
      <c r="N25" s="27" t="s">
        <v>116</v>
      </c>
      <c r="O25" s="51">
        <f t="shared" si="5"/>
        <v>27110.28</v>
      </c>
      <c r="P25" s="82">
        <f t="shared" si="4"/>
        <v>1.8027405655966628E-2</v>
      </c>
      <c r="Q25" s="83" t="s">
        <v>105</v>
      </c>
    </row>
    <row r="26" spans="1:17" ht="15.75" customHeight="1" x14ac:dyDescent="0.3">
      <c r="A26" s="21" t="s">
        <v>117</v>
      </c>
      <c r="B26" s="33">
        <f>SUM(B22:B25)</f>
        <v>1107311.7599999998</v>
      </c>
      <c r="C26" s="34">
        <f ca="1">B26/F3</f>
        <v>0.71427678211954493</v>
      </c>
      <c r="E26" s="80" t="s">
        <v>103</v>
      </c>
      <c r="F26" s="30">
        <f>(B11)</f>
        <v>12753.71</v>
      </c>
      <c r="G26" s="20">
        <f t="shared" ca="1" si="6"/>
        <v>8.0921424753501604E-3</v>
      </c>
      <c r="I26" s="7"/>
      <c r="J26" s="49"/>
      <c r="K26" s="25"/>
      <c r="L26" s="11"/>
      <c r="N26" s="5" t="s">
        <v>119</v>
      </c>
      <c r="O26" s="72">
        <f>($B$22+$B$23)*0.2</f>
        <v>114627.66199999997</v>
      </c>
      <c r="P26" s="73">
        <f t="shared" si="4"/>
        <v>7.6223460704538296E-2</v>
      </c>
      <c r="Q26" s="74" t="s">
        <v>97</v>
      </c>
    </row>
    <row r="27" spans="1:17" ht="15.75" customHeight="1" x14ac:dyDescent="0.3">
      <c r="B27" s="7"/>
      <c r="C27" s="37"/>
      <c r="E27" s="80" t="s">
        <v>107</v>
      </c>
      <c r="F27" s="30">
        <f>B10</f>
        <v>95687.41</v>
      </c>
      <c r="G27" s="20">
        <f t="shared" ca="1" si="6"/>
        <v>6.0713012513005683E-2</v>
      </c>
      <c r="I27" s="7"/>
      <c r="J27" s="49"/>
      <c r="K27" s="25"/>
      <c r="L27" s="11"/>
      <c r="N27" s="13" t="s">
        <v>120</v>
      </c>
      <c r="O27" s="14">
        <f>($B$24+$B$25)*0.2</f>
        <v>106834.69</v>
      </c>
      <c r="P27" s="78">
        <f t="shared" si="4"/>
        <v>7.1041401813608768E-2</v>
      </c>
      <c r="Q27" s="79" t="s">
        <v>101</v>
      </c>
    </row>
    <row r="28" spans="1:17" ht="15.75" customHeight="1" x14ac:dyDescent="0.3">
      <c r="A28" s="550" t="s">
        <v>115</v>
      </c>
      <c r="B28" s="551"/>
      <c r="C28" s="552"/>
      <c r="E28" s="80" t="s">
        <v>110</v>
      </c>
      <c r="F28" s="30">
        <f>B12</f>
        <v>16970</v>
      </c>
      <c r="G28" s="20">
        <f t="shared" ca="1" si="6"/>
        <v>1.0767349877540905E-2</v>
      </c>
      <c r="I28" s="7"/>
      <c r="J28" s="49"/>
      <c r="K28" s="25"/>
      <c r="L28" s="11"/>
      <c r="N28" s="13" t="s">
        <v>121</v>
      </c>
      <c r="O28" s="14">
        <f t="shared" ref="O28:O29" si="7">($B$10+$B$11)*0.1</f>
        <v>10844.112000000001</v>
      </c>
      <c r="P28" s="78">
        <f t="shared" si="4"/>
        <v>7.2109622623866519E-3</v>
      </c>
      <c r="Q28" s="79" t="s">
        <v>105</v>
      </c>
    </row>
    <row r="29" spans="1:17" ht="15.75" customHeight="1" x14ac:dyDescent="0.3">
      <c r="A29" s="31" t="s">
        <v>122</v>
      </c>
      <c r="B29" s="14">
        <v>315000</v>
      </c>
      <c r="C29" s="15">
        <v>46174</v>
      </c>
      <c r="E29" s="80" t="s">
        <v>102</v>
      </c>
      <c r="F29" s="30">
        <f>B26</f>
        <v>1107311.7599999998</v>
      </c>
      <c r="G29" s="20">
        <f t="shared" ca="1" si="6"/>
        <v>0.70258179984888647</v>
      </c>
      <c r="H29" s="86"/>
      <c r="I29" s="7"/>
      <c r="J29" s="49"/>
      <c r="K29" s="25"/>
      <c r="L29" s="11"/>
      <c r="N29" s="27" t="s">
        <v>123</v>
      </c>
      <c r="O29" s="51">
        <f t="shared" si="7"/>
        <v>10844.112000000001</v>
      </c>
      <c r="P29" s="82">
        <f t="shared" si="4"/>
        <v>7.2109622623866519E-3</v>
      </c>
      <c r="Q29" s="83" t="s">
        <v>105</v>
      </c>
    </row>
    <row r="30" spans="1:17" ht="15.75" customHeight="1" x14ac:dyDescent="0.3">
      <c r="A30" s="31" t="s">
        <v>124</v>
      </c>
      <c r="B30" s="14">
        <v>92000</v>
      </c>
      <c r="C30" s="15">
        <v>46174</v>
      </c>
      <c r="E30" s="80" t="s">
        <v>115</v>
      </c>
      <c r="F30" s="30">
        <f>B31-F6</f>
        <v>271114.14</v>
      </c>
      <c r="G30" s="20">
        <f t="shared" ca="1" si="6"/>
        <v>0.1720200826239604</v>
      </c>
      <c r="H30" s="86"/>
      <c r="I30" s="7"/>
      <c r="J30" s="49"/>
      <c r="K30" s="25"/>
      <c r="L30" s="11"/>
      <c r="N30" s="5" t="s">
        <v>115</v>
      </c>
      <c r="O30" s="72">
        <f>B31-F6</f>
        <v>271114.14</v>
      </c>
      <c r="P30" s="73">
        <f t="shared" si="4"/>
        <v>0.18028159727042761</v>
      </c>
      <c r="Q30" s="74" t="s">
        <v>125</v>
      </c>
    </row>
    <row r="31" spans="1:17" ht="15.75" customHeight="1" x14ac:dyDescent="0.3">
      <c r="A31" s="21" t="s">
        <v>126</v>
      </c>
      <c r="B31" s="33">
        <f>SUM(B29:B30)</f>
        <v>407000</v>
      </c>
      <c r="C31" s="34">
        <f ca="1">(B31-F6)/F3</f>
        <v>0.17488348132987211</v>
      </c>
      <c r="E31" s="85" t="s">
        <v>118</v>
      </c>
      <c r="F31" s="44">
        <f>B39-F8-F7</f>
        <v>52965</v>
      </c>
      <c r="G31" s="34">
        <f t="shared" ca="1" si="6"/>
        <v>3.3605933191747442E-2</v>
      </c>
      <c r="I31" s="7"/>
      <c r="J31" s="49"/>
      <c r="K31" s="25"/>
      <c r="L31" s="11"/>
      <c r="N31" s="27" t="s">
        <v>127</v>
      </c>
      <c r="O31" s="51">
        <f>($B$10+$B$11)*0.05</f>
        <v>5422.0560000000005</v>
      </c>
      <c r="P31" s="82">
        <f t="shared" si="4"/>
        <v>3.605481131193326E-3</v>
      </c>
      <c r="Q31" s="83" t="s">
        <v>105</v>
      </c>
    </row>
    <row r="32" spans="1:17" ht="15" customHeight="1" x14ac:dyDescent="0.3">
      <c r="E32" s="7"/>
      <c r="G32" s="7"/>
      <c r="N32" s="41" t="s">
        <v>46</v>
      </c>
      <c r="O32" s="87">
        <f>B12</f>
        <v>16970</v>
      </c>
      <c r="P32" s="88">
        <f t="shared" si="4"/>
        <v>1.1284467514970472E-2</v>
      </c>
      <c r="Q32" s="89" t="s">
        <v>59</v>
      </c>
    </row>
    <row r="33" spans="1:16" ht="15.75" customHeight="1" x14ac:dyDescent="0.3">
      <c r="A33" s="550" t="s">
        <v>118</v>
      </c>
      <c r="B33" s="551"/>
      <c r="C33" s="552"/>
      <c r="D33" s="11"/>
      <c r="E33" s="7"/>
      <c r="G33" s="7"/>
      <c r="H33" s="11"/>
      <c r="I33" s="39"/>
      <c r="J33" s="86"/>
      <c r="P33" s="11"/>
    </row>
    <row r="34" spans="1:16" ht="15.75" customHeight="1" x14ac:dyDescent="0.3">
      <c r="A34" s="13" t="s">
        <v>128</v>
      </c>
      <c r="B34" s="14">
        <v>18500</v>
      </c>
      <c r="C34" s="15">
        <v>46174</v>
      </c>
      <c r="D34" s="25"/>
      <c r="E34" s="17"/>
      <c r="G34" s="7"/>
      <c r="H34" s="25"/>
      <c r="I34" s="25"/>
      <c r="J34" s="90"/>
      <c r="P34" s="11"/>
    </row>
    <row r="35" spans="1:16" ht="15.75" customHeight="1" x14ac:dyDescent="0.3">
      <c r="A35" s="13" t="s">
        <v>129</v>
      </c>
      <c r="B35" s="14">
        <v>19000</v>
      </c>
      <c r="C35" s="15">
        <v>46174</v>
      </c>
      <c r="D35" s="25"/>
      <c r="E35" s="17"/>
      <c r="F35" s="86"/>
      <c r="G35" s="7"/>
      <c r="H35" s="25"/>
      <c r="I35" s="25"/>
      <c r="J35" s="90"/>
      <c r="N35" s="5" t="s">
        <v>130</v>
      </c>
      <c r="O35" s="72">
        <f>SUM(O19:O21)</f>
        <v>580766.15999999992</v>
      </c>
      <c r="P35" s="59">
        <f t="shared" ref="P35:P39" si="8">O35/$O$18</f>
        <v>0.38618956195133425</v>
      </c>
    </row>
    <row r="36" spans="1:16" ht="15.75" customHeight="1" x14ac:dyDescent="0.3">
      <c r="A36" s="13" t="s">
        <v>131</v>
      </c>
      <c r="B36" s="14">
        <v>7000</v>
      </c>
      <c r="C36" s="15">
        <v>46174</v>
      </c>
      <c r="D36" s="25"/>
      <c r="E36" s="7"/>
      <c r="F36" s="86"/>
      <c r="G36" s="7"/>
      <c r="H36" s="25"/>
      <c r="I36" s="25"/>
      <c r="J36" s="90"/>
      <c r="N36" s="13" t="s">
        <v>132</v>
      </c>
      <c r="O36" s="14">
        <f>SUM(O22:O25)</f>
        <v>386414.08799999999</v>
      </c>
      <c r="P36" s="20">
        <f t="shared" si="8"/>
        <v>0.25695210508915389</v>
      </c>
    </row>
    <row r="37" spans="1:16" ht="15.75" customHeight="1" x14ac:dyDescent="0.3">
      <c r="A37" s="13" t="s">
        <v>893</v>
      </c>
      <c r="B37" s="14">
        <v>2000</v>
      </c>
      <c r="C37" s="15">
        <v>46174</v>
      </c>
      <c r="D37" s="86"/>
      <c r="I37" s="7"/>
      <c r="N37" s="13" t="s">
        <v>134</v>
      </c>
      <c r="O37" s="14">
        <f>SUM(O26:O29)</f>
        <v>243150.57599999994</v>
      </c>
      <c r="P37" s="20">
        <f t="shared" si="8"/>
        <v>0.16168678704292033</v>
      </c>
    </row>
    <row r="38" spans="1:16" ht="15.75" customHeight="1" x14ac:dyDescent="0.3">
      <c r="A38" s="13" t="s">
        <v>133</v>
      </c>
      <c r="B38" s="14">
        <v>25000</v>
      </c>
      <c r="C38" s="15">
        <v>46174</v>
      </c>
      <c r="D38" s="86"/>
      <c r="E38" s="39"/>
      <c r="F38" s="11"/>
      <c r="G38" s="39"/>
      <c r="I38" s="7"/>
      <c r="N38" s="13" t="s">
        <v>115</v>
      </c>
      <c r="O38" s="14">
        <f>O30+O31</f>
        <v>276536.196</v>
      </c>
      <c r="P38" s="20">
        <f t="shared" si="8"/>
        <v>0.18388707840162094</v>
      </c>
    </row>
    <row r="39" spans="1:16" ht="15" customHeight="1" x14ac:dyDescent="0.3">
      <c r="A39" s="21" t="s">
        <v>135</v>
      </c>
      <c r="B39" s="33">
        <f>SUM(B34:B38)</f>
        <v>71500</v>
      </c>
      <c r="C39" s="34">
        <f ca="1">(B39-F8-F7)/F3</f>
        <v>3.41653282585581E-2</v>
      </c>
      <c r="E39" s="25"/>
      <c r="F39" s="25"/>
      <c r="G39" s="25"/>
      <c r="N39" s="27" t="s">
        <v>46</v>
      </c>
      <c r="O39" s="51">
        <f>O32</f>
        <v>16970</v>
      </c>
      <c r="P39" s="91">
        <f t="shared" si="8"/>
        <v>1.1284467514970472E-2</v>
      </c>
    </row>
    <row r="40" spans="1:16" ht="15" customHeight="1" x14ac:dyDescent="0.3">
      <c r="E40" s="25"/>
      <c r="F40" s="25"/>
      <c r="G40" s="25"/>
      <c r="N40" s="93" t="s">
        <v>137</v>
      </c>
      <c r="O40" s="94">
        <f t="shared" ref="O40:P40" si="9">SUM(O35:O39)</f>
        <v>1503837.0199999998</v>
      </c>
      <c r="P40" s="95">
        <f t="shared" si="9"/>
        <v>0.99999999999999989</v>
      </c>
    </row>
    <row r="41" spans="1:16" ht="15" customHeight="1" x14ac:dyDescent="0.3">
      <c r="A41" s="92" t="s">
        <v>136</v>
      </c>
      <c r="E41" s="25"/>
      <c r="F41" s="25"/>
      <c r="G41" s="25"/>
      <c r="P41" s="11"/>
    </row>
    <row r="42" spans="1:16" ht="15" customHeight="1" x14ac:dyDescent="0.3">
      <c r="A42" s="92" t="s">
        <v>138</v>
      </c>
      <c r="E42" s="7"/>
      <c r="G42" s="7"/>
      <c r="P42" s="11"/>
    </row>
    <row r="43" spans="1:16" ht="15.75" customHeight="1" x14ac:dyDescent="0.3">
      <c r="A43" s="92" t="s">
        <v>139</v>
      </c>
      <c r="E43" s="7"/>
      <c r="G43" s="7"/>
      <c r="P43" s="11"/>
    </row>
    <row r="44" spans="1:16" ht="15.75" customHeight="1" x14ac:dyDescent="0.3">
      <c r="P44" s="11"/>
    </row>
    <row r="45" spans="1:16" ht="15.75" customHeight="1" x14ac:dyDescent="0.3">
      <c r="P45" s="11"/>
    </row>
    <row r="46" spans="1:16" ht="15.75" customHeight="1" x14ac:dyDescent="0.3">
      <c r="P46" s="11"/>
    </row>
    <row r="47" spans="1:16" ht="15.75" customHeight="1" x14ac:dyDescent="0.3">
      <c r="P47" s="11"/>
    </row>
    <row r="48" spans="1:16" ht="15.75" customHeight="1" x14ac:dyDescent="0.3">
      <c r="P48" s="11"/>
    </row>
    <row r="49" spans="16:16" ht="15.75" customHeight="1" x14ac:dyDescent="0.3">
      <c r="P49" s="11"/>
    </row>
    <row r="50" spans="16:16" ht="15.75" customHeight="1" x14ac:dyDescent="0.3">
      <c r="P50" s="11"/>
    </row>
    <row r="51" spans="16:16" ht="15.75" customHeight="1" x14ac:dyDescent="0.3">
      <c r="P51" s="11"/>
    </row>
    <row r="52" spans="16:16" ht="15.75" customHeight="1" x14ac:dyDescent="0.3">
      <c r="P52" s="11"/>
    </row>
    <row r="53" spans="16:16" ht="15.75" customHeight="1" x14ac:dyDescent="0.3">
      <c r="P53" s="11"/>
    </row>
    <row r="54" spans="16:16" ht="15.75" customHeight="1" x14ac:dyDescent="0.3">
      <c r="P54" s="11"/>
    </row>
    <row r="55" spans="16:16" ht="15.75" customHeight="1" x14ac:dyDescent="0.3">
      <c r="P55" s="11"/>
    </row>
    <row r="56" spans="16:16" ht="15.75" customHeight="1" x14ac:dyDescent="0.3">
      <c r="P56" s="11"/>
    </row>
    <row r="57" spans="16:16" ht="15.75" customHeight="1" x14ac:dyDescent="0.3">
      <c r="P57" s="11"/>
    </row>
    <row r="58" spans="16:16" ht="15.75" customHeight="1" x14ac:dyDescent="0.3">
      <c r="P58" s="11"/>
    </row>
    <row r="59" spans="16:16" ht="15.75" customHeight="1" x14ac:dyDescent="0.3">
      <c r="P59" s="11"/>
    </row>
    <row r="60" spans="16:16" ht="15.75" customHeight="1" x14ac:dyDescent="0.3">
      <c r="P60" s="11"/>
    </row>
    <row r="61" spans="16:16" ht="15.75" customHeight="1" x14ac:dyDescent="0.3">
      <c r="P61" s="11"/>
    </row>
    <row r="62" spans="16:16" ht="15.75" customHeight="1" x14ac:dyDescent="0.3">
      <c r="P62" s="11"/>
    </row>
    <row r="63" spans="16:16" ht="15.75" customHeight="1" x14ac:dyDescent="0.3">
      <c r="P63" s="11"/>
    </row>
    <row r="64" spans="16:16" ht="15.75" customHeight="1" x14ac:dyDescent="0.3">
      <c r="P64" s="11"/>
    </row>
    <row r="65" spans="16:16" ht="15.75" customHeight="1" x14ac:dyDescent="0.3">
      <c r="P65" s="11"/>
    </row>
    <row r="66" spans="16:16" ht="15.75" customHeight="1" x14ac:dyDescent="0.3">
      <c r="P66" s="11"/>
    </row>
    <row r="67" spans="16:16" ht="15.75" customHeight="1" x14ac:dyDescent="0.3">
      <c r="P67" s="11"/>
    </row>
    <row r="68" spans="16:16" ht="15.75" customHeight="1" x14ac:dyDescent="0.3">
      <c r="P68" s="11"/>
    </row>
    <row r="69" spans="16:16" ht="15.75" customHeight="1" x14ac:dyDescent="0.3">
      <c r="P69" s="11"/>
    </row>
    <row r="70" spans="16:16" ht="15.75" customHeight="1" x14ac:dyDescent="0.3">
      <c r="P70" s="11"/>
    </row>
    <row r="71" spans="16:16" ht="15.75" customHeight="1" x14ac:dyDescent="0.3">
      <c r="P71" s="11"/>
    </row>
    <row r="72" spans="16:16" ht="15.75" customHeight="1" x14ac:dyDescent="0.3">
      <c r="P72" s="11"/>
    </row>
    <row r="73" spans="16:16" ht="15.75" customHeight="1" x14ac:dyDescent="0.3">
      <c r="P73" s="11"/>
    </row>
    <row r="74" spans="16:16" ht="15.75" customHeight="1" x14ac:dyDescent="0.3">
      <c r="P74" s="11"/>
    </row>
    <row r="75" spans="16:16" ht="15.75" customHeight="1" x14ac:dyDescent="0.3">
      <c r="P75" s="11"/>
    </row>
    <row r="76" spans="16:16" ht="15.75" customHeight="1" x14ac:dyDescent="0.3">
      <c r="P76" s="11"/>
    </row>
    <row r="77" spans="16:16" ht="15.75" customHeight="1" x14ac:dyDescent="0.3">
      <c r="P77" s="11"/>
    </row>
    <row r="78" spans="16:16" ht="15.75" customHeight="1" x14ac:dyDescent="0.3">
      <c r="P78" s="11"/>
    </row>
    <row r="79" spans="16:16" ht="15.75" customHeight="1" x14ac:dyDescent="0.3">
      <c r="P79" s="11"/>
    </row>
    <row r="80" spans="16:16" ht="15.75" customHeight="1" x14ac:dyDescent="0.3">
      <c r="P80" s="11"/>
    </row>
    <row r="81" spans="16:16" ht="15.75" customHeight="1" x14ac:dyDescent="0.3">
      <c r="P81" s="11"/>
    </row>
    <row r="82" spans="16:16" ht="15.75" customHeight="1" x14ac:dyDescent="0.3">
      <c r="P82" s="11"/>
    </row>
    <row r="83" spans="16:16" ht="15.75" customHeight="1" x14ac:dyDescent="0.3">
      <c r="P83" s="11"/>
    </row>
    <row r="84" spans="16:16" ht="15.75" customHeight="1" x14ac:dyDescent="0.3">
      <c r="P84" s="11"/>
    </row>
    <row r="85" spans="16:16" ht="15.75" customHeight="1" x14ac:dyDescent="0.3">
      <c r="P85" s="11"/>
    </row>
    <row r="86" spans="16:16" ht="15.75" customHeight="1" x14ac:dyDescent="0.3">
      <c r="P86" s="11"/>
    </row>
    <row r="87" spans="16:16" ht="15.75" customHeight="1" x14ac:dyDescent="0.3">
      <c r="P87" s="11"/>
    </row>
    <row r="88" spans="16:16" ht="15.75" customHeight="1" x14ac:dyDescent="0.3">
      <c r="P88" s="11"/>
    </row>
    <row r="89" spans="16:16" ht="15.75" customHeight="1" x14ac:dyDescent="0.3">
      <c r="P89" s="11"/>
    </row>
    <row r="90" spans="16:16" ht="15.75" customHeight="1" x14ac:dyDescent="0.3">
      <c r="P90" s="11"/>
    </row>
    <row r="91" spans="16:16" ht="15.75" customHeight="1" x14ac:dyDescent="0.3">
      <c r="P91" s="11"/>
    </row>
    <row r="92" spans="16:16" ht="15.75" customHeight="1" x14ac:dyDescent="0.3">
      <c r="P92" s="11"/>
    </row>
    <row r="93" spans="16:16" ht="15.75" customHeight="1" x14ac:dyDescent="0.3">
      <c r="P93" s="11"/>
    </row>
    <row r="94" spans="16:16" ht="15.75" customHeight="1" x14ac:dyDescent="0.3">
      <c r="P94" s="11"/>
    </row>
    <row r="95" spans="16:16" ht="15.75" customHeight="1" x14ac:dyDescent="0.3">
      <c r="P95" s="11"/>
    </row>
    <row r="96" spans="16:16" ht="15.75" customHeight="1" x14ac:dyDescent="0.3">
      <c r="P96" s="11"/>
    </row>
    <row r="97" spans="16:16" ht="15.75" customHeight="1" x14ac:dyDescent="0.3">
      <c r="P97" s="11"/>
    </row>
    <row r="98" spans="16:16" ht="15.75" customHeight="1" x14ac:dyDescent="0.3">
      <c r="P98" s="11"/>
    </row>
    <row r="99" spans="16:16" ht="15.75" customHeight="1" x14ac:dyDescent="0.3">
      <c r="P99" s="11"/>
    </row>
    <row r="100" spans="16:16" ht="15.75" customHeight="1" x14ac:dyDescent="0.3">
      <c r="P100" s="11"/>
    </row>
    <row r="101" spans="16:16" ht="15.75" customHeight="1" x14ac:dyDescent="0.3">
      <c r="P101" s="11"/>
    </row>
    <row r="102" spans="16:16" ht="15.75" customHeight="1" x14ac:dyDescent="0.3">
      <c r="P102" s="11"/>
    </row>
    <row r="103" spans="16:16" ht="15.75" customHeight="1" x14ac:dyDescent="0.3">
      <c r="P103" s="11"/>
    </row>
    <row r="104" spans="16:16" ht="15.75" customHeight="1" x14ac:dyDescent="0.3">
      <c r="P104" s="11"/>
    </row>
    <row r="105" spans="16:16" ht="15.75" customHeight="1" x14ac:dyDescent="0.3">
      <c r="P105" s="11"/>
    </row>
    <row r="106" spans="16:16" ht="15.75" customHeight="1" x14ac:dyDescent="0.3">
      <c r="P106" s="11"/>
    </row>
    <row r="107" spans="16:16" ht="15.75" customHeight="1" x14ac:dyDescent="0.3">
      <c r="P107" s="11"/>
    </row>
    <row r="108" spans="16:16" ht="15.75" customHeight="1" x14ac:dyDescent="0.3">
      <c r="P108" s="11"/>
    </row>
    <row r="109" spans="16:16" ht="15.75" customHeight="1" x14ac:dyDescent="0.3">
      <c r="P109" s="11"/>
    </row>
    <row r="110" spans="16:16" ht="15.75" customHeight="1" x14ac:dyDescent="0.3">
      <c r="P110" s="11"/>
    </row>
    <row r="111" spans="16:16" ht="15.75" customHeight="1" x14ac:dyDescent="0.3">
      <c r="P111" s="11"/>
    </row>
    <row r="112" spans="16:16" ht="15.75" customHeight="1" x14ac:dyDescent="0.3">
      <c r="P112" s="11"/>
    </row>
    <row r="113" spans="16:16" ht="15.75" customHeight="1" x14ac:dyDescent="0.3">
      <c r="P113" s="11"/>
    </row>
    <row r="114" spans="16:16" ht="15.75" customHeight="1" x14ac:dyDescent="0.3">
      <c r="P114" s="11"/>
    </row>
    <row r="115" spans="16:16" ht="15.75" customHeight="1" x14ac:dyDescent="0.3">
      <c r="P115" s="11"/>
    </row>
    <row r="116" spans="16:16" ht="15.75" customHeight="1" x14ac:dyDescent="0.3">
      <c r="P116" s="11"/>
    </row>
    <row r="117" spans="16:16" ht="15.75" customHeight="1" x14ac:dyDescent="0.3">
      <c r="P117" s="11"/>
    </row>
    <row r="118" spans="16:16" ht="15.75" customHeight="1" x14ac:dyDescent="0.3">
      <c r="P118" s="11"/>
    </row>
    <row r="119" spans="16:16" ht="15.75" customHeight="1" x14ac:dyDescent="0.3">
      <c r="P119" s="11"/>
    </row>
    <row r="120" spans="16:16" ht="15.75" customHeight="1" x14ac:dyDescent="0.3">
      <c r="P120" s="11"/>
    </row>
    <row r="121" spans="16:16" ht="15.75" customHeight="1" x14ac:dyDescent="0.3">
      <c r="P121" s="11"/>
    </row>
    <row r="122" spans="16:16" ht="15.75" customHeight="1" x14ac:dyDescent="0.3">
      <c r="P122" s="11"/>
    </row>
    <row r="123" spans="16:16" ht="15.75" customHeight="1" x14ac:dyDescent="0.3">
      <c r="P123" s="11"/>
    </row>
    <row r="124" spans="16:16" ht="15.75" customHeight="1" x14ac:dyDescent="0.3">
      <c r="P124" s="11"/>
    </row>
    <row r="125" spans="16:16" ht="15.75" customHeight="1" x14ac:dyDescent="0.3">
      <c r="P125" s="11"/>
    </row>
    <row r="126" spans="16:16" ht="15.75" customHeight="1" x14ac:dyDescent="0.3">
      <c r="P126" s="11"/>
    </row>
    <row r="127" spans="16:16" ht="15.75" customHeight="1" x14ac:dyDescent="0.3">
      <c r="P127" s="11"/>
    </row>
    <row r="128" spans="16:16" ht="15.75" customHeight="1" x14ac:dyDescent="0.3">
      <c r="P128" s="11"/>
    </row>
    <row r="129" spans="16:16" ht="15.75" customHeight="1" x14ac:dyDescent="0.3">
      <c r="P129" s="11"/>
    </row>
    <row r="130" spans="16:16" ht="15.75" customHeight="1" x14ac:dyDescent="0.3">
      <c r="P130" s="11"/>
    </row>
    <row r="131" spans="16:16" ht="15.75" customHeight="1" x14ac:dyDescent="0.3">
      <c r="P131" s="11"/>
    </row>
    <row r="132" spans="16:16" ht="15.75" customHeight="1" x14ac:dyDescent="0.3">
      <c r="P132" s="11"/>
    </row>
    <row r="133" spans="16:16" ht="15.75" customHeight="1" x14ac:dyDescent="0.3">
      <c r="P133" s="11"/>
    </row>
    <row r="134" spans="16:16" ht="15.75" customHeight="1" x14ac:dyDescent="0.3">
      <c r="P134" s="11"/>
    </row>
    <row r="135" spans="16:16" ht="15.75" customHeight="1" x14ac:dyDescent="0.3">
      <c r="P135" s="11"/>
    </row>
    <row r="136" spans="16:16" ht="15.75" customHeight="1" x14ac:dyDescent="0.3">
      <c r="P136" s="11"/>
    </row>
    <row r="137" spans="16:16" ht="15.75" customHeight="1" x14ac:dyDescent="0.3">
      <c r="P137" s="11"/>
    </row>
    <row r="138" spans="16:16" ht="15.75" customHeight="1" x14ac:dyDescent="0.3">
      <c r="P138" s="11"/>
    </row>
    <row r="139" spans="16:16" ht="15.75" customHeight="1" x14ac:dyDescent="0.3">
      <c r="P139" s="11"/>
    </row>
    <row r="140" spans="16:16" ht="15.75" customHeight="1" x14ac:dyDescent="0.3">
      <c r="P140" s="11"/>
    </row>
    <row r="141" spans="16:16" ht="15.75" customHeight="1" x14ac:dyDescent="0.3">
      <c r="P141" s="11"/>
    </row>
    <row r="142" spans="16:16" ht="15.75" customHeight="1" x14ac:dyDescent="0.3">
      <c r="P142" s="11"/>
    </row>
    <row r="143" spans="16:16" ht="15.75" customHeight="1" x14ac:dyDescent="0.3">
      <c r="P143" s="11"/>
    </row>
    <row r="144" spans="16:16" ht="15.75" customHeight="1" x14ac:dyDescent="0.3">
      <c r="P144" s="11"/>
    </row>
    <row r="145" spans="16:16" ht="15.75" customHeight="1" x14ac:dyDescent="0.3">
      <c r="P145" s="11"/>
    </row>
    <row r="146" spans="16:16" ht="15.75" customHeight="1" x14ac:dyDescent="0.3">
      <c r="P146" s="11"/>
    </row>
    <row r="147" spans="16:16" ht="15.75" customHeight="1" x14ac:dyDescent="0.3">
      <c r="P147" s="11"/>
    </row>
    <row r="148" spans="16:16" ht="15.75" customHeight="1" x14ac:dyDescent="0.3">
      <c r="P148" s="11"/>
    </row>
    <row r="149" spans="16:16" ht="15.75" customHeight="1" x14ac:dyDescent="0.3">
      <c r="P149" s="11"/>
    </row>
    <row r="150" spans="16:16" ht="15.75" customHeight="1" x14ac:dyDescent="0.3">
      <c r="P150" s="11"/>
    </row>
    <row r="151" spans="16:16" ht="15.75" customHeight="1" x14ac:dyDescent="0.3">
      <c r="P151" s="11"/>
    </row>
    <row r="152" spans="16:16" ht="15.75" customHeight="1" x14ac:dyDescent="0.3">
      <c r="P152" s="11"/>
    </row>
    <row r="153" spans="16:16" ht="15.75" customHeight="1" x14ac:dyDescent="0.3">
      <c r="P153" s="11"/>
    </row>
    <row r="154" spans="16:16" ht="15.75" customHeight="1" x14ac:dyDescent="0.3">
      <c r="P154" s="11"/>
    </row>
    <row r="155" spans="16:16" ht="15.75" customHeight="1" x14ac:dyDescent="0.3">
      <c r="P155" s="11"/>
    </row>
    <row r="156" spans="16:16" ht="15.75" customHeight="1" x14ac:dyDescent="0.3">
      <c r="P156" s="11"/>
    </row>
    <row r="157" spans="16:16" ht="15.75" customHeight="1" x14ac:dyDescent="0.3">
      <c r="P157" s="11"/>
    </row>
    <row r="158" spans="16:16" ht="15.75" customHeight="1" x14ac:dyDescent="0.3">
      <c r="P158" s="11"/>
    </row>
    <row r="159" spans="16:16" ht="15.75" customHeight="1" x14ac:dyDescent="0.3">
      <c r="P159" s="11"/>
    </row>
    <row r="160" spans="16:16" ht="15.75" customHeight="1" x14ac:dyDescent="0.3">
      <c r="P160" s="11"/>
    </row>
    <row r="161" spans="16:16" ht="15.75" customHeight="1" x14ac:dyDescent="0.3">
      <c r="P161" s="11"/>
    </row>
    <row r="162" spans="16:16" ht="15.75" customHeight="1" x14ac:dyDescent="0.3">
      <c r="P162" s="11"/>
    </row>
    <row r="163" spans="16:16" ht="15.75" customHeight="1" x14ac:dyDescent="0.3">
      <c r="P163" s="11"/>
    </row>
    <row r="164" spans="16:16" ht="15.75" customHeight="1" x14ac:dyDescent="0.3">
      <c r="P164" s="11"/>
    </row>
    <row r="165" spans="16:16" ht="15.75" customHeight="1" x14ac:dyDescent="0.3">
      <c r="P165" s="11"/>
    </row>
    <row r="166" spans="16:16" ht="15.75" customHeight="1" x14ac:dyDescent="0.3">
      <c r="P166" s="11"/>
    </row>
    <row r="167" spans="16:16" ht="15.75" customHeight="1" x14ac:dyDescent="0.3">
      <c r="P167" s="11"/>
    </row>
    <row r="168" spans="16:16" ht="15.75" customHeight="1" x14ac:dyDescent="0.3">
      <c r="P168" s="11"/>
    </row>
    <row r="169" spans="16:16" ht="15.75" customHeight="1" x14ac:dyDescent="0.3">
      <c r="P169" s="11"/>
    </row>
    <row r="170" spans="16:16" ht="15.75" customHeight="1" x14ac:dyDescent="0.3">
      <c r="P170" s="11"/>
    </row>
    <row r="171" spans="16:16" ht="15.75" customHeight="1" x14ac:dyDescent="0.3">
      <c r="P171" s="11"/>
    </row>
    <row r="172" spans="16:16" ht="15.75" customHeight="1" x14ac:dyDescent="0.3">
      <c r="P172" s="11"/>
    </row>
    <row r="173" spans="16:16" ht="15.75" customHeight="1" x14ac:dyDescent="0.3">
      <c r="P173" s="11"/>
    </row>
    <row r="174" spans="16:16" ht="15.75" customHeight="1" x14ac:dyDescent="0.3">
      <c r="P174" s="11"/>
    </row>
    <row r="175" spans="16:16" ht="15.75" customHeight="1" x14ac:dyDescent="0.3">
      <c r="P175" s="11"/>
    </row>
    <row r="176" spans="16:16" ht="15.75" customHeight="1" x14ac:dyDescent="0.3">
      <c r="P176" s="11"/>
    </row>
    <row r="177" spans="16:16" ht="15.75" customHeight="1" x14ac:dyDescent="0.3">
      <c r="P177" s="11"/>
    </row>
    <row r="178" spans="16:16" ht="15.75" customHeight="1" x14ac:dyDescent="0.3">
      <c r="P178" s="11"/>
    </row>
    <row r="179" spans="16:16" ht="15.75" customHeight="1" x14ac:dyDescent="0.3">
      <c r="P179" s="11"/>
    </row>
    <row r="180" spans="16:16" ht="15.75" customHeight="1" x14ac:dyDescent="0.3">
      <c r="P180" s="11"/>
    </row>
    <row r="181" spans="16:16" ht="15.75" customHeight="1" x14ac:dyDescent="0.3">
      <c r="P181" s="11"/>
    </row>
    <row r="182" spans="16:16" ht="15.75" customHeight="1" x14ac:dyDescent="0.3">
      <c r="P182" s="11"/>
    </row>
    <row r="183" spans="16:16" ht="15.75" customHeight="1" x14ac:dyDescent="0.3">
      <c r="P183" s="11"/>
    </row>
    <row r="184" spans="16:16" ht="15.75" customHeight="1" x14ac:dyDescent="0.3">
      <c r="P184" s="11"/>
    </row>
    <row r="185" spans="16:16" ht="15.75" customHeight="1" x14ac:dyDescent="0.3">
      <c r="P185" s="11"/>
    </row>
    <row r="186" spans="16:16" ht="15.75" customHeight="1" x14ac:dyDescent="0.3">
      <c r="P186" s="11"/>
    </row>
    <row r="187" spans="16:16" ht="15.75" customHeight="1" x14ac:dyDescent="0.3">
      <c r="P187" s="11"/>
    </row>
    <row r="188" spans="16:16" ht="15.75" customHeight="1" x14ac:dyDescent="0.3">
      <c r="P188" s="11"/>
    </row>
    <row r="189" spans="16:16" ht="15.75" customHeight="1" x14ac:dyDescent="0.3">
      <c r="P189" s="11"/>
    </row>
    <row r="190" spans="16:16" ht="15.75" customHeight="1" x14ac:dyDescent="0.3">
      <c r="P190" s="11"/>
    </row>
    <row r="191" spans="16:16" ht="15.75" customHeight="1" x14ac:dyDescent="0.3">
      <c r="P191" s="11"/>
    </row>
    <row r="192" spans="16:16" ht="15.75" customHeight="1" x14ac:dyDescent="0.3">
      <c r="P192" s="11"/>
    </row>
    <row r="193" spans="16:16" ht="15.75" customHeight="1" x14ac:dyDescent="0.3">
      <c r="P193" s="11"/>
    </row>
    <row r="194" spans="16:16" ht="15.75" customHeight="1" x14ac:dyDescent="0.3">
      <c r="P194" s="11"/>
    </row>
    <row r="195" spans="16:16" ht="15.75" customHeight="1" x14ac:dyDescent="0.3">
      <c r="P195" s="11"/>
    </row>
    <row r="196" spans="16:16" ht="15.75" customHeight="1" x14ac:dyDescent="0.3">
      <c r="P196" s="11"/>
    </row>
    <row r="197" spans="16:16" ht="15.75" customHeight="1" x14ac:dyDescent="0.3">
      <c r="P197" s="11"/>
    </row>
    <row r="198" spans="16:16" ht="15.75" customHeight="1" x14ac:dyDescent="0.3">
      <c r="P198" s="11"/>
    </row>
    <row r="199" spans="16:16" ht="15.75" customHeight="1" x14ac:dyDescent="0.3">
      <c r="P199" s="11"/>
    </row>
    <row r="200" spans="16:16" ht="15.75" customHeight="1" x14ac:dyDescent="0.3">
      <c r="P200" s="11"/>
    </row>
    <row r="201" spans="16:16" ht="15.75" customHeight="1" x14ac:dyDescent="0.3">
      <c r="P201" s="11"/>
    </row>
    <row r="202" spans="16:16" ht="15.75" customHeight="1" x14ac:dyDescent="0.3">
      <c r="P202" s="11"/>
    </row>
    <row r="203" spans="16:16" ht="15.75" customHeight="1" x14ac:dyDescent="0.3">
      <c r="P203" s="11"/>
    </row>
    <row r="204" spans="16:16" ht="15.75" customHeight="1" x14ac:dyDescent="0.3">
      <c r="P204" s="11"/>
    </row>
    <row r="205" spans="16:16" ht="15.75" customHeight="1" x14ac:dyDescent="0.3">
      <c r="P205" s="11"/>
    </row>
    <row r="206" spans="16:16" ht="15.75" customHeight="1" x14ac:dyDescent="0.3">
      <c r="P206" s="11"/>
    </row>
    <row r="207" spans="16:16" ht="15.75" customHeight="1" x14ac:dyDescent="0.3">
      <c r="P207" s="11"/>
    </row>
    <row r="208" spans="16:16" ht="15.75" customHeight="1" x14ac:dyDescent="0.3">
      <c r="P208" s="11"/>
    </row>
    <row r="209" spans="16:16" ht="15.75" customHeight="1" x14ac:dyDescent="0.3">
      <c r="P209" s="11"/>
    </row>
    <row r="210" spans="16:16" ht="15.75" customHeight="1" x14ac:dyDescent="0.3">
      <c r="P210" s="11"/>
    </row>
    <row r="211" spans="16:16" ht="15.75" customHeight="1" x14ac:dyDescent="0.3">
      <c r="P211" s="11"/>
    </row>
    <row r="212" spans="16:16" ht="15.75" customHeight="1" x14ac:dyDescent="0.3">
      <c r="P212" s="11"/>
    </row>
    <row r="213" spans="16:16" ht="15.75" customHeight="1" x14ac:dyDescent="0.3">
      <c r="P213" s="11"/>
    </row>
    <row r="214" spans="16:16" ht="15.75" customHeight="1" x14ac:dyDescent="0.3">
      <c r="P214" s="11"/>
    </row>
    <row r="215" spans="16:16" ht="15.75" customHeight="1" x14ac:dyDescent="0.3">
      <c r="P215" s="11"/>
    </row>
    <row r="216" spans="16:16" ht="15.75" customHeight="1" x14ac:dyDescent="0.3">
      <c r="P216" s="11"/>
    </row>
    <row r="217" spans="16:16" ht="15.75" customHeight="1" x14ac:dyDescent="0.3">
      <c r="P217" s="11"/>
    </row>
    <row r="218" spans="16:16" ht="15.75" customHeight="1" x14ac:dyDescent="0.3">
      <c r="P218" s="11"/>
    </row>
    <row r="219" spans="16:16" ht="15.75" customHeight="1" x14ac:dyDescent="0.3">
      <c r="P219" s="11"/>
    </row>
    <row r="220" spans="16:16" ht="15.75" customHeight="1" x14ac:dyDescent="0.3">
      <c r="P220" s="11"/>
    </row>
    <row r="221" spans="16:16" ht="15.75" customHeight="1" x14ac:dyDescent="0.3">
      <c r="P221" s="11"/>
    </row>
    <row r="222" spans="16:16" ht="15.75" customHeight="1" x14ac:dyDescent="0.3">
      <c r="P222" s="11"/>
    </row>
    <row r="223" spans="16:16" ht="15.75" customHeight="1" x14ac:dyDescent="0.3">
      <c r="P223" s="11"/>
    </row>
    <row r="224" spans="16:16" ht="15.75" customHeight="1" x14ac:dyDescent="0.3">
      <c r="P224" s="11"/>
    </row>
    <row r="225" spans="16:16" ht="15.75" customHeight="1" x14ac:dyDescent="0.3">
      <c r="P225" s="11"/>
    </row>
    <row r="226" spans="16:16" ht="15.75" customHeight="1" x14ac:dyDescent="0.3">
      <c r="P226" s="11"/>
    </row>
    <row r="227" spans="16:16" ht="15.75" customHeight="1" x14ac:dyDescent="0.3">
      <c r="P227" s="11"/>
    </row>
    <row r="228" spans="16:16" ht="15.75" customHeight="1" x14ac:dyDescent="0.3">
      <c r="P228" s="11"/>
    </row>
    <row r="229" spans="16:16" ht="15.75" customHeight="1" x14ac:dyDescent="0.3">
      <c r="P229" s="11"/>
    </row>
    <row r="230" spans="16:16" ht="15.75" customHeight="1" x14ac:dyDescent="0.3">
      <c r="P230" s="11"/>
    </row>
    <row r="231" spans="16:16" ht="15.75" customHeight="1" x14ac:dyDescent="0.3">
      <c r="P231" s="11"/>
    </row>
    <row r="232" spans="16:16" ht="15.75" customHeight="1" x14ac:dyDescent="0.3">
      <c r="P232" s="11"/>
    </row>
    <row r="233" spans="16:16" ht="15.75" customHeight="1" x14ac:dyDescent="0.3">
      <c r="P233" s="11"/>
    </row>
    <row r="234" spans="16:16" ht="15.75" customHeight="1" x14ac:dyDescent="0.3">
      <c r="P234" s="11"/>
    </row>
    <row r="235" spans="16:16" ht="15.75" customHeight="1" x14ac:dyDescent="0.3">
      <c r="P235" s="11"/>
    </row>
    <row r="236" spans="16:16" ht="15.75" customHeight="1" x14ac:dyDescent="0.3">
      <c r="P236" s="11"/>
    </row>
    <row r="237" spans="16:16" ht="15.75" customHeight="1" x14ac:dyDescent="0.3">
      <c r="P237" s="11"/>
    </row>
    <row r="238" spans="16:16" ht="15.75" customHeight="1" x14ac:dyDescent="0.3">
      <c r="P238" s="11"/>
    </row>
    <row r="239" spans="16:16" ht="15.75" customHeight="1" x14ac:dyDescent="0.3">
      <c r="P239" s="11"/>
    </row>
    <row r="240" spans="16:16" ht="15.75" customHeight="1" x14ac:dyDescent="0.3">
      <c r="P240" s="11"/>
    </row>
    <row r="241" spans="16:16" ht="15.75" customHeight="1" x14ac:dyDescent="0.3">
      <c r="P241" s="11"/>
    </row>
    <row r="242" spans="16:16" ht="15.75" customHeight="1" x14ac:dyDescent="0.3">
      <c r="P242" s="11"/>
    </row>
    <row r="243" spans="16:16" ht="15.75" customHeight="1" x14ac:dyDescent="0.3">
      <c r="P243" s="11"/>
    </row>
    <row r="244" spans="16:16" ht="15.75" customHeight="1" x14ac:dyDescent="0.3">
      <c r="P244" s="11"/>
    </row>
    <row r="245" spans="16:16" ht="15.75" customHeight="1" x14ac:dyDescent="0.3">
      <c r="P245" s="11"/>
    </row>
    <row r="246" spans="16:16" ht="15.75" customHeight="1" x14ac:dyDescent="0.3">
      <c r="P246" s="11"/>
    </row>
    <row r="247" spans="16:16" ht="15.75" customHeight="1" x14ac:dyDescent="0.3">
      <c r="P247" s="11"/>
    </row>
    <row r="248" spans="16:16" ht="15.75" customHeight="1" x14ac:dyDescent="0.3">
      <c r="P248" s="11"/>
    </row>
    <row r="249" spans="16:16" ht="15.75" customHeight="1" x14ac:dyDescent="0.3">
      <c r="P249" s="11"/>
    </row>
    <row r="250" spans="16:16" ht="15.75" customHeight="1" x14ac:dyDescent="0.3">
      <c r="P250" s="11"/>
    </row>
    <row r="251" spans="16:16" ht="15.75" customHeight="1" x14ac:dyDescent="0.3">
      <c r="P251" s="11"/>
    </row>
    <row r="252" spans="16:16" ht="15.75" customHeight="1" x14ac:dyDescent="0.3">
      <c r="P252" s="11"/>
    </row>
    <row r="253" spans="16:16" ht="15.75" customHeight="1" x14ac:dyDescent="0.3">
      <c r="P253" s="11"/>
    </row>
    <row r="254" spans="16:16" ht="15.75" customHeight="1" x14ac:dyDescent="0.3">
      <c r="P254" s="11"/>
    </row>
    <row r="255" spans="16:16" ht="15.75" customHeight="1" x14ac:dyDescent="0.3">
      <c r="P255" s="11"/>
    </row>
    <row r="256" spans="16:16" ht="15.75" customHeight="1" x14ac:dyDescent="0.3">
      <c r="P256" s="11"/>
    </row>
    <row r="257" spans="16:16" ht="15.75" customHeight="1" x14ac:dyDescent="0.3">
      <c r="P257" s="11"/>
    </row>
    <row r="258" spans="16:16" ht="15.75" customHeight="1" x14ac:dyDescent="0.3">
      <c r="P258" s="11"/>
    </row>
    <row r="259" spans="16:16" ht="15.75" customHeight="1" x14ac:dyDescent="0.3">
      <c r="P259" s="11"/>
    </row>
    <row r="260" spans="16:16" ht="15.75" customHeight="1" x14ac:dyDescent="0.3">
      <c r="P260" s="11"/>
    </row>
    <row r="261" spans="16:16" ht="15.75" customHeight="1" x14ac:dyDescent="0.3">
      <c r="P261" s="11"/>
    </row>
    <row r="262" spans="16:16" ht="15.75" customHeight="1" x14ac:dyDescent="0.3">
      <c r="P262" s="11"/>
    </row>
    <row r="263" spans="16:16" ht="15.75" customHeight="1" x14ac:dyDescent="0.3">
      <c r="P263" s="11"/>
    </row>
    <row r="264" spans="16:16" ht="15.75" customHeight="1" x14ac:dyDescent="0.3">
      <c r="P264" s="11"/>
    </row>
    <row r="265" spans="16:16" ht="15.75" customHeight="1" x14ac:dyDescent="0.3">
      <c r="P265" s="11"/>
    </row>
    <row r="266" spans="16:16" ht="15.75" customHeight="1" x14ac:dyDescent="0.3">
      <c r="P266" s="11"/>
    </row>
    <row r="267" spans="16:16" ht="15.75" customHeight="1" x14ac:dyDescent="0.3">
      <c r="P267" s="11"/>
    </row>
    <row r="268" spans="16:16" ht="15.75" customHeight="1" x14ac:dyDescent="0.3">
      <c r="P268" s="11"/>
    </row>
    <row r="269" spans="16:16" ht="15.75" customHeight="1" x14ac:dyDescent="0.3">
      <c r="P269" s="11"/>
    </row>
    <row r="270" spans="16:16" ht="15.75" customHeight="1" x14ac:dyDescent="0.3">
      <c r="P270" s="11"/>
    </row>
    <row r="271" spans="16:16" ht="15.75" customHeight="1" x14ac:dyDescent="0.3">
      <c r="P271" s="11"/>
    </row>
    <row r="272" spans="16:16" ht="15.75" customHeight="1" x14ac:dyDescent="0.3">
      <c r="P272" s="11"/>
    </row>
    <row r="273" spans="16:16" ht="15.75" customHeight="1" x14ac:dyDescent="0.3">
      <c r="P273" s="11"/>
    </row>
    <row r="274" spans="16:16" ht="15.75" customHeight="1" x14ac:dyDescent="0.3">
      <c r="P274" s="11"/>
    </row>
    <row r="275" spans="16:16" ht="15.75" customHeight="1" x14ac:dyDescent="0.3">
      <c r="P275" s="11"/>
    </row>
    <row r="276" spans="16:16" ht="15.75" customHeight="1" x14ac:dyDescent="0.3">
      <c r="P276" s="11"/>
    </row>
    <row r="277" spans="16:16" ht="15.75" customHeight="1" x14ac:dyDescent="0.3">
      <c r="P277" s="11"/>
    </row>
    <row r="278" spans="16:16" ht="15.75" customHeight="1" x14ac:dyDescent="0.3">
      <c r="P278" s="11"/>
    </row>
    <row r="279" spans="16:16" ht="15.75" customHeight="1" x14ac:dyDescent="0.3">
      <c r="P279" s="11"/>
    </row>
    <row r="280" spans="16:16" ht="15.75" customHeight="1" x14ac:dyDescent="0.3">
      <c r="P280" s="11"/>
    </row>
    <row r="281" spans="16:16" ht="15.75" customHeight="1" x14ac:dyDescent="0.3">
      <c r="P281" s="11"/>
    </row>
    <row r="282" spans="16:16" ht="15.75" customHeight="1" x14ac:dyDescent="0.3">
      <c r="P282" s="11"/>
    </row>
    <row r="283" spans="16:16" ht="15.75" customHeight="1" x14ac:dyDescent="0.3">
      <c r="P283" s="11"/>
    </row>
    <row r="284" spans="16:16" ht="15.75" customHeight="1" x14ac:dyDescent="0.3">
      <c r="P284" s="11"/>
    </row>
    <row r="285" spans="16:16" ht="15.75" customHeight="1" x14ac:dyDescent="0.3">
      <c r="P285" s="11"/>
    </row>
    <row r="286" spans="16:16" ht="15.75" customHeight="1" x14ac:dyDescent="0.3">
      <c r="P286" s="11"/>
    </row>
    <row r="287" spans="16:16" ht="15.75" customHeight="1" x14ac:dyDescent="0.3">
      <c r="P287" s="11"/>
    </row>
    <row r="288" spans="16:16" ht="15.75" customHeight="1" x14ac:dyDescent="0.3">
      <c r="P288" s="11"/>
    </row>
    <row r="289" spans="16:16" ht="15.75" customHeight="1" x14ac:dyDescent="0.3">
      <c r="P289" s="11"/>
    </row>
    <row r="290" spans="16:16" ht="15.75" customHeight="1" x14ac:dyDescent="0.3">
      <c r="P290" s="11"/>
    </row>
    <row r="291" spans="16:16" ht="15.75" customHeight="1" x14ac:dyDescent="0.3">
      <c r="P291" s="11"/>
    </row>
    <row r="292" spans="16:16" ht="15.75" customHeight="1" x14ac:dyDescent="0.3">
      <c r="P292" s="11"/>
    </row>
    <row r="293" spans="16:16" ht="15.75" customHeight="1" x14ac:dyDescent="0.3">
      <c r="P293" s="11"/>
    </row>
    <row r="294" spans="16:16" ht="15.75" customHeight="1" x14ac:dyDescent="0.3">
      <c r="P294" s="11"/>
    </row>
    <row r="295" spans="16:16" ht="15.75" customHeight="1" x14ac:dyDescent="0.3">
      <c r="P295" s="11"/>
    </row>
    <row r="296" spans="16:16" ht="15.75" customHeight="1" x14ac:dyDescent="0.3">
      <c r="P296" s="11"/>
    </row>
    <row r="297" spans="16:16" ht="15.75" customHeight="1" x14ac:dyDescent="0.3">
      <c r="P297" s="11"/>
    </row>
    <row r="298" spans="16:16" ht="15.75" customHeight="1" x14ac:dyDescent="0.3">
      <c r="P298" s="11"/>
    </row>
    <row r="299" spans="16:16" ht="15.75" customHeight="1" x14ac:dyDescent="0.3">
      <c r="P299" s="11"/>
    </row>
    <row r="300" spans="16:16" ht="15.75" customHeight="1" x14ac:dyDescent="0.3">
      <c r="P300" s="11"/>
    </row>
    <row r="301" spans="16:16" ht="15.75" customHeight="1" x14ac:dyDescent="0.3">
      <c r="P301" s="11"/>
    </row>
    <row r="302" spans="16:16" ht="15.75" customHeight="1" x14ac:dyDescent="0.3">
      <c r="P302" s="11"/>
    </row>
    <row r="303" spans="16:16" ht="15.75" customHeight="1" x14ac:dyDescent="0.3">
      <c r="P303" s="11"/>
    </row>
    <row r="304" spans="16:16" ht="15.75" customHeight="1" x14ac:dyDescent="0.3">
      <c r="P304" s="11"/>
    </row>
    <row r="305" spans="16:16" ht="15.75" customHeight="1" x14ac:dyDescent="0.3">
      <c r="P305" s="11"/>
    </row>
    <row r="306" spans="16:16" ht="15.75" customHeight="1" x14ac:dyDescent="0.3">
      <c r="P306" s="11"/>
    </row>
    <row r="307" spans="16:16" ht="15.75" customHeight="1" x14ac:dyDescent="0.3">
      <c r="P307" s="11"/>
    </row>
    <row r="308" spans="16:16" ht="15.75" customHeight="1" x14ac:dyDescent="0.3">
      <c r="P308" s="11"/>
    </row>
    <row r="309" spans="16:16" ht="15.75" customHeight="1" x14ac:dyDescent="0.3">
      <c r="P309" s="11"/>
    </row>
    <row r="310" spans="16:16" ht="15.75" customHeight="1" x14ac:dyDescent="0.3">
      <c r="P310" s="11"/>
    </row>
    <row r="311" spans="16:16" ht="15.75" customHeight="1" x14ac:dyDescent="0.3">
      <c r="P311" s="11"/>
    </row>
    <row r="312" spans="16:16" ht="15.75" customHeight="1" x14ac:dyDescent="0.3">
      <c r="P312" s="11"/>
    </row>
    <row r="313" spans="16:16" ht="15.75" customHeight="1" x14ac:dyDescent="0.3">
      <c r="P313" s="11"/>
    </row>
    <row r="314" spans="16:16" ht="15.75" customHeight="1" x14ac:dyDescent="0.3">
      <c r="P314" s="11"/>
    </row>
    <row r="315" spans="16:16" ht="15.75" customHeight="1" x14ac:dyDescent="0.3">
      <c r="P315" s="11"/>
    </row>
    <row r="316" spans="16:16" ht="15.75" customHeight="1" x14ac:dyDescent="0.3">
      <c r="P316" s="11"/>
    </row>
    <row r="317" spans="16:16" ht="15.75" customHeight="1" x14ac:dyDescent="0.3">
      <c r="P317" s="11"/>
    </row>
    <row r="318" spans="16:16" ht="15.75" customHeight="1" x14ac:dyDescent="0.3">
      <c r="P318" s="11"/>
    </row>
    <row r="319" spans="16:16" ht="15.75" customHeight="1" x14ac:dyDescent="0.3">
      <c r="P319" s="11"/>
    </row>
    <row r="320" spans="16:16" ht="15.75" customHeight="1" x14ac:dyDescent="0.3">
      <c r="P320" s="11"/>
    </row>
    <row r="321" spans="16:16" ht="15.75" customHeight="1" x14ac:dyDescent="0.3">
      <c r="P321" s="11"/>
    </row>
    <row r="322" spans="16:16" ht="15.75" customHeight="1" x14ac:dyDescent="0.3">
      <c r="P322" s="11"/>
    </row>
    <row r="323" spans="16:16" ht="15.75" customHeight="1" x14ac:dyDescent="0.3">
      <c r="P323" s="11"/>
    </row>
    <row r="324" spans="16:16" ht="15.75" customHeight="1" x14ac:dyDescent="0.3">
      <c r="P324" s="11"/>
    </row>
    <row r="325" spans="16:16" ht="15.75" customHeight="1" x14ac:dyDescent="0.3">
      <c r="P325" s="11"/>
    </row>
    <row r="326" spans="16:16" ht="15.75" customHeight="1" x14ac:dyDescent="0.3">
      <c r="P326" s="11"/>
    </row>
    <row r="327" spans="16:16" ht="15.75" customHeight="1" x14ac:dyDescent="0.3">
      <c r="P327" s="11"/>
    </row>
    <row r="328" spans="16:16" ht="15.75" customHeight="1" x14ac:dyDescent="0.3">
      <c r="P328" s="11"/>
    </row>
    <row r="329" spans="16:16" ht="15.75" customHeight="1" x14ac:dyDescent="0.3">
      <c r="P329" s="11"/>
    </row>
    <row r="330" spans="16:16" ht="15.75" customHeight="1" x14ac:dyDescent="0.3">
      <c r="P330" s="11"/>
    </row>
    <row r="331" spans="16:16" ht="15.75" customHeight="1" x14ac:dyDescent="0.3">
      <c r="P331" s="11"/>
    </row>
    <row r="332" spans="16:16" ht="15.75" customHeight="1" x14ac:dyDescent="0.3">
      <c r="P332" s="11"/>
    </row>
    <row r="333" spans="16:16" ht="15.75" customHeight="1" x14ac:dyDescent="0.3">
      <c r="P333" s="11"/>
    </row>
    <row r="334" spans="16:16" ht="15.75" customHeight="1" x14ac:dyDescent="0.3">
      <c r="P334" s="11"/>
    </row>
    <row r="335" spans="16:16" ht="15.75" customHeight="1" x14ac:dyDescent="0.3">
      <c r="P335" s="11"/>
    </row>
    <row r="336" spans="16:16" ht="15.75" customHeight="1" x14ac:dyDescent="0.3">
      <c r="P336" s="11"/>
    </row>
    <row r="337" spans="16:16" ht="15.75" customHeight="1" x14ac:dyDescent="0.3">
      <c r="P337" s="11"/>
    </row>
    <row r="338" spans="16:16" ht="15.75" customHeight="1" x14ac:dyDescent="0.3">
      <c r="P338" s="11"/>
    </row>
    <row r="339" spans="16:16" ht="15.75" customHeight="1" x14ac:dyDescent="0.3">
      <c r="P339" s="11"/>
    </row>
    <row r="340" spans="16:16" ht="15.75" customHeight="1" x14ac:dyDescent="0.3">
      <c r="P340" s="11"/>
    </row>
    <row r="341" spans="16:16" ht="15.75" customHeight="1" x14ac:dyDescent="0.3">
      <c r="P341" s="11"/>
    </row>
    <row r="342" spans="16:16" ht="15.75" customHeight="1" x14ac:dyDescent="0.3">
      <c r="P342" s="11"/>
    </row>
    <row r="343" spans="16:16" ht="15.75" customHeight="1" x14ac:dyDescent="0.3">
      <c r="P343" s="11"/>
    </row>
    <row r="344" spans="16:16" ht="15.75" customHeight="1" x14ac:dyDescent="0.3">
      <c r="P344" s="11"/>
    </row>
    <row r="345" spans="16:16" ht="15.75" customHeight="1" x14ac:dyDescent="0.3">
      <c r="P345" s="11"/>
    </row>
    <row r="346" spans="16:16" ht="15.75" customHeight="1" x14ac:dyDescent="0.3">
      <c r="P346" s="11"/>
    </row>
    <row r="347" spans="16:16" ht="15.75" customHeight="1" x14ac:dyDescent="0.3">
      <c r="P347" s="11"/>
    </row>
    <row r="348" spans="16:16" ht="15.75" customHeight="1" x14ac:dyDescent="0.3">
      <c r="P348" s="11"/>
    </row>
    <row r="349" spans="16:16" ht="15.75" customHeight="1" x14ac:dyDescent="0.3">
      <c r="P349" s="11"/>
    </row>
    <row r="350" spans="16:16" ht="15.75" customHeight="1" x14ac:dyDescent="0.3">
      <c r="P350" s="11"/>
    </row>
    <row r="351" spans="16:16" ht="15.75" customHeight="1" x14ac:dyDescent="0.3">
      <c r="P351" s="11"/>
    </row>
    <row r="352" spans="16:16" ht="15.75" customHeight="1" x14ac:dyDescent="0.3">
      <c r="P352" s="11"/>
    </row>
    <row r="353" spans="16:16" ht="15.75" customHeight="1" x14ac:dyDescent="0.3">
      <c r="P353" s="11"/>
    </row>
    <row r="354" spans="16:16" ht="15.75" customHeight="1" x14ac:dyDescent="0.3">
      <c r="P354" s="11"/>
    </row>
    <row r="355" spans="16:16" ht="15.75" customHeight="1" x14ac:dyDescent="0.3">
      <c r="P355" s="11"/>
    </row>
    <row r="356" spans="16:16" ht="15.75" customHeight="1" x14ac:dyDescent="0.3">
      <c r="P356" s="11"/>
    </row>
    <row r="357" spans="16:16" ht="15.75" customHeight="1" x14ac:dyDescent="0.3">
      <c r="P357" s="11"/>
    </row>
    <row r="358" spans="16:16" ht="15.75" customHeight="1" x14ac:dyDescent="0.3">
      <c r="P358" s="11"/>
    </row>
    <row r="359" spans="16:16" ht="15.75" customHeight="1" x14ac:dyDescent="0.3">
      <c r="P359" s="11"/>
    </row>
    <row r="360" spans="16:16" ht="15.75" customHeight="1" x14ac:dyDescent="0.3">
      <c r="P360" s="11"/>
    </row>
    <row r="361" spans="16:16" ht="15.75" customHeight="1" x14ac:dyDescent="0.3">
      <c r="P361" s="11"/>
    </row>
    <row r="362" spans="16:16" ht="15.75" customHeight="1" x14ac:dyDescent="0.3">
      <c r="P362" s="11"/>
    </row>
    <row r="363" spans="16:16" ht="15.75" customHeight="1" x14ac:dyDescent="0.3">
      <c r="P363" s="11"/>
    </row>
    <row r="364" spans="16:16" ht="15.75" customHeight="1" x14ac:dyDescent="0.3">
      <c r="P364" s="11"/>
    </row>
    <row r="365" spans="16:16" ht="15.75" customHeight="1" x14ac:dyDescent="0.3">
      <c r="P365" s="11"/>
    </row>
    <row r="366" spans="16:16" ht="15.75" customHeight="1" x14ac:dyDescent="0.3">
      <c r="P366" s="11"/>
    </row>
    <row r="367" spans="16:16" ht="15.75" customHeight="1" x14ac:dyDescent="0.3">
      <c r="P367" s="11"/>
    </row>
    <row r="368" spans="16:16" ht="15.75" customHeight="1" x14ac:dyDescent="0.3">
      <c r="P368" s="11"/>
    </row>
    <row r="369" spans="16:16" ht="15.75" customHeight="1" x14ac:dyDescent="0.3">
      <c r="P369" s="11"/>
    </row>
    <row r="370" spans="16:16" ht="15.75" customHeight="1" x14ac:dyDescent="0.3">
      <c r="P370" s="11"/>
    </row>
    <row r="371" spans="16:16" ht="15.75" customHeight="1" x14ac:dyDescent="0.3">
      <c r="P371" s="11"/>
    </row>
    <row r="372" spans="16:16" ht="15.75" customHeight="1" x14ac:dyDescent="0.3">
      <c r="P372" s="11"/>
    </row>
    <row r="373" spans="16:16" ht="15.75" customHeight="1" x14ac:dyDescent="0.3">
      <c r="P373" s="11"/>
    </row>
    <row r="374" spans="16:16" ht="15.75" customHeight="1" x14ac:dyDescent="0.3">
      <c r="P374" s="11"/>
    </row>
    <row r="375" spans="16:16" ht="15.75" customHeight="1" x14ac:dyDescent="0.3">
      <c r="P375" s="11"/>
    </row>
    <row r="376" spans="16:16" ht="15.75" customHeight="1" x14ac:dyDescent="0.3">
      <c r="P376" s="11"/>
    </row>
    <row r="377" spans="16:16" ht="15.75" customHeight="1" x14ac:dyDescent="0.3">
      <c r="P377" s="11"/>
    </row>
    <row r="378" spans="16:16" ht="15.75" customHeight="1" x14ac:dyDescent="0.3">
      <c r="P378" s="11"/>
    </row>
    <row r="379" spans="16:16" ht="15.75" customHeight="1" x14ac:dyDescent="0.3">
      <c r="P379" s="11"/>
    </row>
    <row r="380" spans="16:16" ht="15.75" customHeight="1" x14ac:dyDescent="0.3">
      <c r="P380" s="11"/>
    </row>
    <row r="381" spans="16:16" ht="15.75" customHeight="1" x14ac:dyDescent="0.3">
      <c r="P381" s="11"/>
    </row>
    <row r="382" spans="16:16" ht="15.75" customHeight="1" x14ac:dyDescent="0.3">
      <c r="P382" s="11"/>
    </row>
    <row r="383" spans="16:16" ht="15.75" customHeight="1" x14ac:dyDescent="0.3">
      <c r="P383" s="11"/>
    </row>
    <row r="384" spans="16:16" ht="15.75" customHeight="1" x14ac:dyDescent="0.3">
      <c r="P384" s="11"/>
    </row>
    <row r="385" spans="16:16" ht="15.75" customHeight="1" x14ac:dyDescent="0.3">
      <c r="P385" s="11"/>
    </row>
    <row r="386" spans="16:16" ht="15.75" customHeight="1" x14ac:dyDescent="0.3">
      <c r="P386" s="11"/>
    </row>
    <row r="387" spans="16:16" ht="15.75" customHeight="1" x14ac:dyDescent="0.3">
      <c r="P387" s="11"/>
    </row>
    <row r="388" spans="16:16" ht="15.75" customHeight="1" x14ac:dyDescent="0.3">
      <c r="P388" s="11"/>
    </row>
    <row r="389" spans="16:16" ht="15.75" customHeight="1" x14ac:dyDescent="0.3">
      <c r="P389" s="11"/>
    </row>
    <row r="390" spans="16:16" ht="15.75" customHeight="1" x14ac:dyDescent="0.3">
      <c r="P390" s="11"/>
    </row>
    <row r="391" spans="16:16" ht="15.75" customHeight="1" x14ac:dyDescent="0.3">
      <c r="P391" s="11"/>
    </row>
    <row r="392" spans="16:16" ht="15.75" customHeight="1" x14ac:dyDescent="0.3">
      <c r="P392" s="11"/>
    </row>
    <row r="393" spans="16:16" ht="15.75" customHeight="1" x14ac:dyDescent="0.3">
      <c r="P393" s="11"/>
    </row>
    <row r="394" spans="16:16" ht="15.75" customHeight="1" x14ac:dyDescent="0.3">
      <c r="P394" s="11"/>
    </row>
    <row r="395" spans="16:16" ht="15.75" customHeight="1" x14ac:dyDescent="0.3">
      <c r="P395" s="11"/>
    </row>
    <row r="396" spans="16:16" ht="15.75" customHeight="1" x14ac:dyDescent="0.3">
      <c r="P396" s="11"/>
    </row>
    <row r="397" spans="16:16" ht="15.75" customHeight="1" x14ac:dyDescent="0.3">
      <c r="P397" s="11"/>
    </row>
    <row r="398" spans="16:16" ht="15.75" customHeight="1" x14ac:dyDescent="0.3">
      <c r="P398" s="11"/>
    </row>
    <row r="399" spans="16:16" ht="15.75" customHeight="1" x14ac:dyDescent="0.3">
      <c r="P399" s="11"/>
    </row>
    <row r="400" spans="16:16" ht="15.75" customHeight="1" x14ac:dyDescent="0.3">
      <c r="P400" s="11"/>
    </row>
    <row r="401" spans="16:16" ht="15.75" customHeight="1" x14ac:dyDescent="0.3">
      <c r="P401" s="11"/>
    </row>
    <row r="402" spans="16:16" ht="15.75" customHeight="1" x14ac:dyDescent="0.3">
      <c r="P402" s="11"/>
    </row>
    <row r="403" spans="16:16" ht="15.75" customHeight="1" x14ac:dyDescent="0.3">
      <c r="P403" s="11"/>
    </row>
    <row r="404" spans="16:16" ht="15.75" customHeight="1" x14ac:dyDescent="0.3">
      <c r="P404" s="11"/>
    </row>
    <row r="405" spans="16:16" ht="15.75" customHeight="1" x14ac:dyDescent="0.3">
      <c r="P405" s="11"/>
    </row>
    <row r="406" spans="16:16" ht="15.75" customHeight="1" x14ac:dyDescent="0.3">
      <c r="P406" s="11"/>
    </row>
    <row r="407" spans="16:16" ht="15.75" customHeight="1" x14ac:dyDescent="0.3">
      <c r="P407" s="11"/>
    </row>
    <row r="408" spans="16:16" ht="15.75" customHeight="1" x14ac:dyDescent="0.3">
      <c r="P408" s="11"/>
    </row>
    <row r="409" spans="16:16" ht="15.75" customHeight="1" x14ac:dyDescent="0.3">
      <c r="P409" s="11"/>
    </row>
    <row r="410" spans="16:16" ht="15.75" customHeight="1" x14ac:dyDescent="0.3">
      <c r="P410" s="11"/>
    </row>
    <row r="411" spans="16:16" ht="15.75" customHeight="1" x14ac:dyDescent="0.3">
      <c r="P411" s="11"/>
    </row>
    <row r="412" spans="16:16" ht="15.75" customHeight="1" x14ac:dyDescent="0.3">
      <c r="P412" s="11"/>
    </row>
    <row r="413" spans="16:16" ht="15.75" customHeight="1" x14ac:dyDescent="0.3">
      <c r="P413" s="11"/>
    </row>
    <row r="414" spans="16:16" ht="15.75" customHeight="1" x14ac:dyDescent="0.3">
      <c r="P414" s="11"/>
    </row>
    <row r="415" spans="16:16" ht="15.75" customHeight="1" x14ac:dyDescent="0.3">
      <c r="P415" s="11"/>
    </row>
    <row r="416" spans="16:16" ht="15.75" customHeight="1" x14ac:dyDescent="0.3">
      <c r="P416" s="11"/>
    </row>
    <row r="417" spans="16:16" ht="15.75" customHeight="1" x14ac:dyDescent="0.3">
      <c r="P417" s="11"/>
    </row>
    <row r="418" spans="16:16" ht="15.75" customHeight="1" x14ac:dyDescent="0.3">
      <c r="P418" s="11"/>
    </row>
    <row r="419" spans="16:16" ht="15.75" customHeight="1" x14ac:dyDescent="0.3">
      <c r="P419" s="11"/>
    </row>
    <row r="420" spans="16:16" ht="15.75" customHeight="1" x14ac:dyDescent="0.3">
      <c r="P420" s="11"/>
    </row>
    <row r="421" spans="16:16" ht="15.75" customHeight="1" x14ac:dyDescent="0.3">
      <c r="P421" s="11"/>
    </row>
    <row r="422" spans="16:16" ht="15.75" customHeight="1" x14ac:dyDescent="0.3">
      <c r="P422" s="11"/>
    </row>
    <row r="423" spans="16:16" ht="15.75" customHeight="1" x14ac:dyDescent="0.3">
      <c r="P423" s="11"/>
    </row>
    <row r="424" spans="16:16" ht="15.75" customHeight="1" x14ac:dyDescent="0.3">
      <c r="P424" s="11"/>
    </row>
    <row r="425" spans="16:16" ht="15.75" customHeight="1" x14ac:dyDescent="0.3">
      <c r="P425" s="11"/>
    </row>
    <row r="426" spans="16:16" ht="15.75" customHeight="1" x14ac:dyDescent="0.3">
      <c r="P426" s="11"/>
    </row>
    <row r="427" spans="16:16" ht="15.75" customHeight="1" x14ac:dyDescent="0.3">
      <c r="P427" s="11"/>
    </row>
    <row r="428" spans="16:16" ht="15.75" customHeight="1" x14ac:dyDescent="0.3">
      <c r="P428" s="11"/>
    </row>
    <row r="429" spans="16:16" ht="15.75" customHeight="1" x14ac:dyDescent="0.3">
      <c r="P429" s="11"/>
    </row>
    <row r="430" spans="16:16" ht="15.75" customHeight="1" x14ac:dyDescent="0.3">
      <c r="P430" s="11"/>
    </row>
    <row r="431" spans="16:16" ht="15.75" customHeight="1" x14ac:dyDescent="0.3">
      <c r="P431" s="11"/>
    </row>
    <row r="432" spans="16:16" ht="15.75" customHeight="1" x14ac:dyDescent="0.3">
      <c r="P432" s="11"/>
    </row>
    <row r="433" spans="16:16" ht="15.75" customHeight="1" x14ac:dyDescent="0.3">
      <c r="P433" s="11"/>
    </row>
    <row r="434" spans="16:16" ht="15.75" customHeight="1" x14ac:dyDescent="0.3">
      <c r="P434" s="11"/>
    </row>
    <row r="435" spans="16:16" ht="15.75" customHeight="1" x14ac:dyDescent="0.3">
      <c r="P435" s="11"/>
    </row>
    <row r="436" spans="16:16" ht="15.75" customHeight="1" x14ac:dyDescent="0.3">
      <c r="P436" s="11"/>
    </row>
    <row r="437" spans="16:16" ht="15.75" customHeight="1" x14ac:dyDescent="0.3">
      <c r="P437" s="11"/>
    </row>
    <row r="438" spans="16:16" ht="15.75" customHeight="1" x14ac:dyDescent="0.3">
      <c r="P438" s="11"/>
    </row>
    <row r="439" spans="16:16" ht="15.75" customHeight="1" x14ac:dyDescent="0.3">
      <c r="P439" s="11"/>
    </row>
    <row r="440" spans="16:16" ht="15.75" customHeight="1" x14ac:dyDescent="0.3">
      <c r="P440" s="11"/>
    </row>
    <row r="441" spans="16:16" ht="15.75" customHeight="1" x14ac:dyDescent="0.3">
      <c r="P441" s="11"/>
    </row>
    <row r="442" spans="16:16" ht="15.75" customHeight="1" x14ac:dyDescent="0.3">
      <c r="P442" s="11"/>
    </row>
    <row r="443" spans="16:16" ht="15.75" customHeight="1" x14ac:dyDescent="0.3">
      <c r="P443" s="11"/>
    </row>
    <row r="444" spans="16:16" ht="15.75" customHeight="1" x14ac:dyDescent="0.3">
      <c r="P444" s="11"/>
    </row>
    <row r="445" spans="16:16" ht="15.75" customHeight="1" x14ac:dyDescent="0.3">
      <c r="P445" s="11"/>
    </row>
    <row r="446" spans="16:16" ht="15.75" customHeight="1" x14ac:dyDescent="0.3">
      <c r="P446" s="11"/>
    </row>
    <row r="447" spans="16:16" ht="15.75" customHeight="1" x14ac:dyDescent="0.3">
      <c r="P447" s="11"/>
    </row>
    <row r="448" spans="16:16" ht="15.75" customHeight="1" x14ac:dyDescent="0.3">
      <c r="P448" s="11"/>
    </row>
    <row r="449" spans="16:16" ht="15.75" customHeight="1" x14ac:dyDescent="0.3">
      <c r="P449" s="11"/>
    </row>
    <row r="450" spans="16:16" ht="15.75" customHeight="1" x14ac:dyDescent="0.3">
      <c r="P450" s="11"/>
    </row>
    <row r="451" spans="16:16" ht="15.75" customHeight="1" x14ac:dyDescent="0.3">
      <c r="P451" s="11"/>
    </row>
    <row r="452" spans="16:16" ht="15.75" customHeight="1" x14ac:dyDescent="0.3">
      <c r="P452" s="11"/>
    </row>
    <row r="453" spans="16:16" ht="15.75" customHeight="1" x14ac:dyDescent="0.3">
      <c r="P453" s="11"/>
    </row>
    <row r="454" spans="16:16" ht="15.75" customHeight="1" x14ac:dyDescent="0.3">
      <c r="P454" s="11"/>
    </row>
    <row r="455" spans="16:16" ht="15.75" customHeight="1" x14ac:dyDescent="0.3">
      <c r="P455" s="11"/>
    </row>
    <row r="456" spans="16:16" ht="15.75" customHeight="1" x14ac:dyDescent="0.3">
      <c r="P456" s="11"/>
    </row>
    <row r="457" spans="16:16" ht="15.75" customHeight="1" x14ac:dyDescent="0.3">
      <c r="P457" s="11"/>
    </row>
    <row r="458" spans="16:16" ht="15.75" customHeight="1" x14ac:dyDescent="0.3">
      <c r="P458" s="11"/>
    </row>
    <row r="459" spans="16:16" ht="15.75" customHeight="1" x14ac:dyDescent="0.3">
      <c r="P459" s="11"/>
    </row>
    <row r="460" spans="16:16" ht="15.75" customHeight="1" x14ac:dyDescent="0.3">
      <c r="P460" s="11"/>
    </row>
    <row r="461" spans="16:16" ht="15.75" customHeight="1" x14ac:dyDescent="0.3">
      <c r="P461" s="11"/>
    </row>
    <row r="462" spans="16:16" ht="15.75" customHeight="1" x14ac:dyDescent="0.3">
      <c r="P462" s="11"/>
    </row>
    <row r="463" spans="16:16" ht="15.75" customHeight="1" x14ac:dyDescent="0.3">
      <c r="P463" s="11"/>
    </row>
    <row r="464" spans="16:16" ht="15.75" customHeight="1" x14ac:dyDescent="0.3">
      <c r="P464" s="11"/>
    </row>
    <row r="465" spans="16:16" ht="15.75" customHeight="1" x14ac:dyDescent="0.3">
      <c r="P465" s="11"/>
    </row>
    <row r="466" spans="16:16" ht="15.75" customHeight="1" x14ac:dyDescent="0.3">
      <c r="P466" s="11"/>
    </row>
    <row r="467" spans="16:16" ht="15.75" customHeight="1" x14ac:dyDescent="0.3">
      <c r="P467" s="11"/>
    </row>
    <row r="468" spans="16:16" ht="15.75" customHeight="1" x14ac:dyDescent="0.3">
      <c r="P468" s="11"/>
    </row>
    <row r="469" spans="16:16" ht="15.75" customHeight="1" x14ac:dyDescent="0.3">
      <c r="P469" s="11"/>
    </row>
    <row r="470" spans="16:16" ht="15.75" customHeight="1" x14ac:dyDescent="0.3">
      <c r="P470" s="11"/>
    </row>
    <row r="471" spans="16:16" ht="15.75" customHeight="1" x14ac:dyDescent="0.3">
      <c r="P471" s="11"/>
    </row>
    <row r="472" spans="16:16" ht="15.75" customHeight="1" x14ac:dyDescent="0.3">
      <c r="P472" s="11"/>
    </row>
    <row r="473" spans="16:16" ht="15.75" customHeight="1" x14ac:dyDescent="0.3">
      <c r="P473" s="11"/>
    </row>
    <row r="474" spans="16:16" ht="15.75" customHeight="1" x14ac:dyDescent="0.3">
      <c r="P474" s="11"/>
    </row>
    <row r="475" spans="16:16" ht="15.75" customHeight="1" x14ac:dyDescent="0.3">
      <c r="P475" s="11"/>
    </row>
    <row r="476" spans="16:16" ht="15.75" customHeight="1" x14ac:dyDescent="0.3">
      <c r="P476" s="11"/>
    </row>
    <row r="477" spans="16:16" ht="15.75" customHeight="1" x14ac:dyDescent="0.3">
      <c r="P477" s="11"/>
    </row>
    <row r="478" spans="16:16" ht="15.75" customHeight="1" x14ac:dyDescent="0.3">
      <c r="P478" s="11"/>
    </row>
    <row r="479" spans="16:16" ht="15.75" customHeight="1" x14ac:dyDescent="0.3">
      <c r="P479" s="11"/>
    </row>
    <row r="480" spans="16:16" ht="15.75" customHeight="1" x14ac:dyDescent="0.3">
      <c r="P480" s="11"/>
    </row>
    <row r="481" spans="16:16" ht="15.75" customHeight="1" x14ac:dyDescent="0.3">
      <c r="P481" s="11"/>
    </row>
    <row r="482" spans="16:16" ht="15.75" customHeight="1" x14ac:dyDescent="0.3">
      <c r="P482" s="11"/>
    </row>
    <row r="483" spans="16:16" ht="15.75" customHeight="1" x14ac:dyDescent="0.3">
      <c r="P483" s="11"/>
    </row>
    <row r="484" spans="16:16" ht="15.75" customHeight="1" x14ac:dyDescent="0.3">
      <c r="P484" s="11"/>
    </row>
    <row r="485" spans="16:16" ht="15.75" customHeight="1" x14ac:dyDescent="0.3">
      <c r="P485" s="11"/>
    </row>
    <row r="486" spans="16:16" ht="15.75" customHeight="1" x14ac:dyDescent="0.3">
      <c r="P486" s="11"/>
    </row>
    <row r="487" spans="16:16" ht="15.75" customHeight="1" x14ac:dyDescent="0.3">
      <c r="P487" s="11"/>
    </row>
    <row r="488" spans="16:16" ht="15.75" customHeight="1" x14ac:dyDescent="0.3">
      <c r="P488" s="11"/>
    </row>
    <row r="489" spans="16:16" ht="15.75" customHeight="1" x14ac:dyDescent="0.3">
      <c r="P489" s="11"/>
    </row>
    <row r="490" spans="16:16" ht="15.75" customHeight="1" x14ac:dyDescent="0.3">
      <c r="P490" s="11"/>
    </row>
    <row r="491" spans="16:16" ht="15.75" customHeight="1" x14ac:dyDescent="0.3">
      <c r="P491" s="11"/>
    </row>
    <row r="492" spans="16:16" ht="15.75" customHeight="1" x14ac:dyDescent="0.3">
      <c r="P492" s="11"/>
    </row>
    <row r="493" spans="16:16" ht="15.75" customHeight="1" x14ac:dyDescent="0.3">
      <c r="P493" s="11"/>
    </row>
    <row r="494" spans="16:16" ht="15.75" customHeight="1" x14ac:dyDescent="0.3">
      <c r="P494" s="11"/>
    </row>
    <row r="495" spans="16:16" ht="15.75" customHeight="1" x14ac:dyDescent="0.3">
      <c r="P495" s="11"/>
    </row>
    <row r="496" spans="16:16" ht="15.75" customHeight="1" x14ac:dyDescent="0.3">
      <c r="P496" s="11"/>
    </row>
    <row r="497" spans="16:16" ht="15.75" customHeight="1" x14ac:dyDescent="0.3">
      <c r="P497" s="11"/>
    </row>
    <row r="498" spans="16:16" ht="15.75" customHeight="1" x14ac:dyDescent="0.3">
      <c r="P498" s="11"/>
    </row>
    <row r="499" spans="16:16" ht="15.75" customHeight="1" x14ac:dyDescent="0.3">
      <c r="P499" s="11"/>
    </row>
    <row r="500" spans="16:16" ht="15.75" customHeight="1" x14ac:dyDescent="0.3">
      <c r="P500" s="11"/>
    </row>
    <row r="501" spans="16:16" ht="15.75" customHeight="1" x14ac:dyDescent="0.3">
      <c r="P501" s="11"/>
    </row>
    <row r="502" spans="16:16" ht="15.75" customHeight="1" x14ac:dyDescent="0.3">
      <c r="P502" s="11"/>
    </row>
    <row r="503" spans="16:16" ht="15.75" customHeight="1" x14ac:dyDescent="0.3">
      <c r="P503" s="11"/>
    </row>
    <row r="504" spans="16:16" ht="15.75" customHeight="1" x14ac:dyDescent="0.3">
      <c r="P504" s="11"/>
    </row>
    <row r="505" spans="16:16" ht="15.75" customHeight="1" x14ac:dyDescent="0.3">
      <c r="P505" s="11"/>
    </row>
    <row r="506" spans="16:16" ht="15.75" customHeight="1" x14ac:dyDescent="0.3">
      <c r="P506" s="11"/>
    </row>
    <row r="507" spans="16:16" ht="15.75" customHeight="1" x14ac:dyDescent="0.3">
      <c r="P507" s="11"/>
    </row>
    <row r="508" spans="16:16" ht="15.75" customHeight="1" x14ac:dyDescent="0.3">
      <c r="P508" s="11"/>
    </row>
    <row r="509" spans="16:16" ht="15.75" customHeight="1" x14ac:dyDescent="0.3">
      <c r="P509" s="11"/>
    </row>
    <row r="510" spans="16:16" ht="15.75" customHeight="1" x14ac:dyDescent="0.3">
      <c r="P510" s="11"/>
    </row>
    <row r="511" spans="16:16" ht="15.75" customHeight="1" x14ac:dyDescent="0.3">
      <c r="P511" s="11"/>
    </row>
    <row r="512" spans="16:16" ht="15.75" customHeight="1" x14ac:dyDescent="0.3">
      <c r="P512" s="11"/>
    </row>
    <row r="513" spans="16:16" ht="15.75" customHeight="1" x14ac:dyDescent="0.3">
      <c r="P513" s="11"/>
    </row>
    <row r="514" spans="16:16" ht="15.75" customHeight="1" x14ac:dyDescent="0.3">
      <c r="P514" s="11"/>
    </row>
    <row r="515" spans="16:16" ht="15.75" customHeight="1" x14ac:dyDescent="0.3">
      <c r="P515" s="11"/>
    </row>
    <row r="516" spans="16:16" ht="15.75" customHeight="1" x14ac:dyDescent="0.3">
      <c r="P516" s="11"/>
    </row>
    <row r="517" spans="16:16" ht="15.75" customHeight="1" x14ac:dyDescent="0.3">
      <c r="P517" s="11"/>
    </row>
    <row r="518" spans="16:16" ht="15.75" customHeight="1" x14ac:dyDescent="0.3">
      <c r="P518" s="11"/>
    </row>
    <row r="519" spans="16:16" ht="15.75" customHeight="1" x14ac:dyDescent="0.3">
      <c r="P519" s="11"/>
    </row>
    <row r="520" spans="16:16" ht="15.75" customHeight="1" x14ac:dyDescent="0.3">
      <c r="P520" s="11"/>
    </row>
    <row r="521" spans="16:16" ht="15.75" customHeight="1" x14ac:dyDescent="0.3">
      <c r="P521" s="11"/>
    </row>
    <row r="522" spans="16:16" ht="15.75" customHeight="1" x14ac:dyDescent="0.3">
      <c r="P522" s="11"/>
    </row>
    <row r="523" spans="16:16" ht="15.75" customHeight="1" x14ac:dyDescent="0.3">
      <c r="P523" s="11"/>
    </row>
    <row r="524" spans="16:16" ht="15.75" customHeight="1" x14ac:dyDescent="0.3">
      <c r="P524" s="11"/>
    </row>
    <row r="525" spans="16:16" ht="15.75" customHeight="1" x14ac:dyDescent="0.3">
      <c r="P525" s="11"/>
    </row>
    <row r="526" spans="16:16" ht="15.75" customHeight="1" x14ac:dyDescent="0.3">
      <c r="P526" s="11"/>
    </row>
    <row r="527" spans="16:16" ht="15.75" customHeight="1" x14ac:dyDescent="0.3">
      <c r="P527" s="11"/>
    </row>
    <row r="528" spans="16:16" ht="15.75" customHeight="1" x14ac:dyDescent="0.3">
      <c r="P528" s="11"/>
    </row>
    <row r="529" spans="16:16" ht="15.75" customHeight="1" x14ac:dyDescent="0.3">
      <c r="P529" s="11"/>
    </row>
    <row r="530" spans="16:16" ht="15.75" customHeight="1" x14ac:dyDescent="0.3">
      <c r="P530" s="11"/>
    </row>
    <row r="531" spans="16:16" ht="15.75" customHeight="1" x14ac:dyDescent="0.3">
      <c r="P531" s="11"/>
    </row>
    <row r="532" spans="16:16" ht="15.75" customHeight="1" x14ac:dyDescent="0.3">
      <c r="P532" s="11"/>
    </row>
    <row r="533" spans="16:16" ht="15.75" customHeight="1" x14ac:dyDescent="0.3">
      <c r="P533" s="11"/>
    </row>
    <row r="534" spans="16:16" ht="15.75" customHeight="1" x14ac:dyDescent="0.3">
      <c r="P534" s="11"/>
    </row>
    <row r="535" spans="16:16" ht="15.75" customHeight="1" x14ac:dyDescent="0.3">
      <c r="P535" s="11"/>
    </row>
    <row r="536" spans="16:16" ht="15.75" customHeight="1" x14ac:dyDescent="0.3">
      <c r="P536" s="11"/>
    </row>
    <row r="537" spans="16:16" ht="15.75" customHeight="1" x14ac:dyDescent="0.3">
      <c r="P537" s="11"/>
    </row>
    <row r="538" spans="16:16" ht="15.75" customHeight="1" x14ac:dyDescent="0.3">
      <c r="P538" s="11"/>
    </row>
    <row r="539" spans="16:16" ht="15.75" customHeight="1" x14ac:dyDescent="0.3">
      <c r="P539" s="11"/>
    </row>
    <row r="540" spans="16:16" ht="15.75" customHeight="1" x14ac:dyDescent="0.3">
      <c r="P540" s="11"/>
    </row>
    <row r="541" spans="16:16" ht="15.75" customHeight="1" x14ac:dyDescent="0.3">
      <c r="P541" s="11"/>
    </row>
    <row r="542" spans="16:16" ht="15.75" customHeight="1" x14ac:dyDescent="0.3">
      <c r="P542" s="11"/>
    </row>
    <row r="543" spans="16:16" ht="15.75" customHeight="1" x14ac:dyDescent="0.3">
      <c r="P543" s="11"/>
    </row>
    <row r="544" spans="16:16" ht="15.75" customHeight="1" x14ac:dyDescent="0.3">
      <c r="P544" s="11"/>
    </row>
    <row r="545" spans="16:16" ht="15.75" customHeight="1" x14ac:dyDescent="0.3">
      <c r="P545" s="11"/>
    </row>
    <row r="546" spans="16:16" ht="15.75" customHeight="1" x14ac:dyDescent="0.3">
      <c r="P546" s="11"/>
    </row>
    <row r="547" spans="16:16" ht="15.75" customHeight="1" x14ac:dyDescent="0.3">
      <c r="P547" s="11"/>
    </row>
    <row r="548" spans="16:16" ht="15.75" customHeight="1" x14ac:dyDescent="0.3">
      <c r="P548" s="11"/>
    </row>
    <row r="549" spans="16:16" ht="15.75" customHeight="1" x14ac:dyDescent="0.3">
      <c r="P549" s="11"/>
    </row>
    <row r="550" spans="16:16" ht="15.75" customHeight="1" x14ac:dyDescent="0.3">
      <c r="P550" s="11"/>
    </row>
    <row r="551" spans="16:16" ht="15.75" customHeight="1" x14ac:dyDescent="0.3">
      <c r="P551" s="11"/>
    </row>
    <row r="552" spans="16:16" ht="15.75" customHeight="1" x14ac:dyDescent="0.3">
      <c r="P552" s="11"/>
    </row>
    <row r="553" spans="16:16" ht="15.75" customHeight="1" x14ac:dyDescent="0.3">
      <c r="P553" s="11"/>
    </row>
    <row r="554" spans="16:16" ht="15.75" customHeight="1" x14ac:dyDescent="0.3">
      <c r="P554" s="11"/>
    </row>
    <row r="555" spans="16:16" ht="15.75" customHeight="1" x14ac:dyDescent="0.3">
      <c r="P555" s="11"/>
    </row>
    <row r="556" spans="16:16" ht="15.75" customHeight="1" x14ac:dyDescent="0.3">
      <c r="P556" s="11"/>
    </row>
    <row r="557" spans="16:16" ht="15.75" customHeight="1" x14ac:dyDescent="0.3">
      <c r="P557" s="11"/>
    </row>
    <row r="558" spans="16:16" ht="15.75" customHeight="1" x14ac:dyDescent="0.3">
      <c r="P558" s="11"/>
    </row>
    <row r="559" spans="16:16" ht="15.75" customHeight="1" x14ac:dyDescent="0.3">
      <c r="P559" s="11"/>
    </row>
    <row r="560" spans="16:16" ht="15.75" customHeight="1" x14ac:dyDescent="0.3">
      <c r="P560" s="11"/>
    </row>
    <row r="561" spans="16:16" ht="15.75" customHeight="1" x14ac:dyDescent="0.3">
      <c r="P561" s="11"/>
    </row>
    <row r="562" spans="16:16" ht="15.75" customHeight="1" x14ac:dyDescent="0.3">
      <c r="P562" s="11"/>
    </row>
    <row r="563" spans="16:16" ht="15.75" customHeight="1" x14ac:dyDescent="0.3">
      <c r="P563" s="11"/>
    </row>
    <row r="564" spans="16:16" ht="15.75" customHeight="1" x14ac:dyDescent="0.3">
      <c r="P564" s="11"/>
    </row>
    <row r="565" spans="16:16" ht="15.75" customHeight="1" x14ac:dyDescent="0.3">
      <c r="P565" s="11"/>
    </row>
    <row r="566" spans="16:16" ht="15.75" customHeight="1" x14ac:dyDescent="0.3">
      <c r="P566" s="11"/>
    </row>
    <row r="567" spans="16:16" ht="15.75" customHeight="1" x14ac:dyDescent="0.3">
      <c r="P567" s="11"/>
    </row>
    <row r="568" spans="16:16" ht="15.75" customHeight="1" x14ac:dyDescent="0.3">
      <c r="P568" s="11"/>
    </row>
    <row r="569" spans="16:16" ht="15.75" customHeight="1" x14ac:dyDescent="0.3">
      <c r="P569" s="11"/>
    </row>
    <row r="570" spans="16:16" ht="15.75" customHeight="1" x14ac:dyDescent="0.3">
      <c r="P570" s="11"/>
    </row>
    <row r="571" spans="16:16" ht="15.75" customHeight="1" x14ac:dyDescent="0.3">
      <c r="P571" s="11"/>
    </row>
    <row r="572" spans="16:16" ht="15.75" customHeight="1" x14ac:dyDescent="0.3">
      <c r="P572" s="11"/>
    </row>
    <row r="573" spans="16:16" ht="15.75" customHeight="1" x14ac:dyDescent="0.3">
      <c r="P573" s="11"/>
    </row>
    <row r="574" spans="16:16" ht="15.75" customHeight="1" x14ac:dyDescent="0.3">
      <c r="P574" s="11"/>
    </row>
    <row r="575" spans="16:16" ht="15.75" customHeight="1" x14ac:dyDescent="0.3">
      <c r="P575" s="11"/>
    </row>
    <row r="576" spans="16:16" ht="15.75" customHeight="1" x14ac:dyDescent="0.3">
      <c r="P576" s="11"/>
    </row>
    <row r="577" spans="16:16" ht="15.75" customHeight="1" x14ac:dyDescent="0.3">
      <c r="P577" s="11"/>
    </row>
    <row r="578" spans="16:16" ht="15.75" customHeight="1" x14ac:dyDescent="0.3">
      <c r="P578" s="11"/>
    </row>
    <row r="579" spans="16:16" ht="15.75" customHeight="1" x14ac:dyDescent="0.3">
      <c r="P579" s="11"/>
    </row>
    <row r="580" spans="16:16" ht="15.75" customHeight="1" x14ac:dyDescent="0.3">
      <c r="P580" s="11"/>
    </row>
    <row r="581" spans="16:16" ht="15.75" customHeight="1" x14ac:dyDescent="0.3">
      <c r="P581" s="11"/>
    </row>
    <row r="582" spans="16:16" ht="15.75" customHeight="1" x14ac:dyDescent="0.3">
      <c r="P582" s="11"/>
    </row>
    <row r="583" spans="16:16" ht="15.75" customHeight="1" x14ac:dyDescent="0.3">
      <c r="P583" s="11"/>
    </row>
    <row r="584" spans="16:16" ht="15.75" customHeight="1" x14ac:dyDescent="0.3">
      <c r="P584" s="11"/>
    </row>
    <row r="585" spans="16:16" ht="15.75" customHeight="1" x14ac:dyDescent="0.3">
      <c r="P585" s="11"/>
    </row>
    <row r="586" spans="16:16" ht="15.75" customHeight="1" x14ac:dyDescent="0.3">
      <c r="P586" s="11"/>
    </row>
    <row r="587" spans="16:16" ht="15.75" customHeight="1" x14ac:dyDescent="0.3">
      <c r="P587" s="11"/>
    </row>
    <row r="588" spans="16:16" ht="15.75" customHeight="1" x14ac:dyDescent="0.3">
      <c r="P588" s="11"/>
    </row>
    <row r="589" spans="16:16" ht="15.75" customHeight="1" x14ac:dyDescent="0.3">
      <c r="P589" s="11"/>
    </row>
    <row r="590" spans="16:16" ht="15.75" customHeight="1" x14ac:dyDescent="0.3">
      <c r="P590" s="11"/>
    </row>
    <row r="591" spans="16:16" ht="15.75" customHeight="1" x14ac:dyDescent="0.3">
      <c r="P591" s="11"/>
    </row>
    <row r="592" spans="16:16" ht="15.75" customHeight="1" x14ac:dyDescent="0.3">
      <c r="P592" s="11"/>
    </row>
    <row r="593" spans="16:16" ht="15.75" customHeight="1" x14ac:dyDescent="0.3">
      <c r="P593" s="11"/>
    </row>
    <row r="594" spans="16:16" ht="15.75" customHeight="1" x14ac:dyDescent="0.3">
      <c r="P594" s="11"/>
    </row>
    <row r="595" spans="16:16" ht="15.75" customHeight="1" x14ac:dyDescent="0.3">
      <c r="P595" s="11"/>
    </row>
    <row r="596" spans="16:16" ht="15.75" customHeight="1" x14ac:dyDescent="0.3">
      <c r="P596" s="11"/>
    </row>
    <row r="597" spans="16:16" ht="15.75" customHeight="1" x14ac:dyDescent="0.3">
      <c r="P597" s="11"/>
    </row>
    <row r="598" spans="16:16" ht="15.75" customHeight="1" x14ac:dyDescent="0.3">
      <c r="P598" s="11"/>
    </row>
    <row r="599" spans="16:16" ht="15.75" customHeight="1" x14ac:dyDescent="0.3">
      <c r="P599" s="11"/>
    </row>
    <row r="600" spans="16:16" ht="15.75" customHeight="1" x14ac:dyDescent="0.3">
      <c r="P600" s="11"/>
    </row>
    <row r="601" spans="16:16" ht="15.75" customHeight="1" x14ac:dyDescent="0.3">
      <c r="P601" s="11"/>
    </row>
    <row r="602" spans="16:16" ht="15.75" customHeight="1" x14ac:dyDescent="0.3">
      <c r="P602" s="11"/>
    </row>
    <row r="603" spans="16:16" ht="15.75" customHeight="1" x14ac:dyDescent="0.3">
      <c r="P603" s="11"/>
    </row>
    <row r="604" spans="16:16" ht="15.75" customHeight="1" x14ac:dyDescent="0.3">
      <c r="P604" s="11"/>
    </row>
    <row r="605" spans="16:16" ht="15.75" customHeight="1" x14ac:dyDescent="0.3">
      <c r="P605" s="11"/>
    </row>
    <row r="606" spans="16:16" ht="15.75" customHeight="1" x14ac:dyDescent="0.3">
      <c r="P606" s="11"/>
    </row>
    <row r="607" spans="16:16" ht="15.75" customHeight="1" x14ac:dyDescent="0.3">
      <c r="P607" s="11"/>
    </row>
    <row r="608" spans="16:16" ht="15.75" customHeight="1" x14ac:dyDescent="0.3">
      <c r="P608" s="11"/>
    </row>
    <row r="609" spans="16:16" ht="15.75" customHeight="1" x14ac:dyDescent="0.3">
      <c r="P609" s="11"/>
    </row>
    <row r="610" spans="16:16" ht="15.75" customHeight="1" x14ac:dyDescent="0.3">
      <c r="P610" s="11"/>
    </row>
    <row r="611" spans="16:16" ht="15.75" customHeight="1" x14ac:dyDescent="0.3">
      <c r="P611" s="11"/>
    </row>
    <row r="612" spans="16:16" ht="15.75" customHeight="1" x14ac:dyDescent="0.3">
      <c r="P612" s="11"/>
    </row>
    <row r="613" spans="16:16" ht="15.75" customHeight="1" x14ac:dyDescent="0.3">
      <c r="P613" s="11"/>
    </row>
    <row r="614" spans="16:16" ht="15.75" customHeight="1" x14ac:dyDescent="0.3">
      <c r="P614" s="11"/>
    </row>
    <row r="615" spans="16:16" ht="15.75" customHeight="1" x14ac:dyDescent="0.3">
      <c r="P615" s="11"/>
    </row>
    <row r="616" spans="16:16" ht="15.75" customHeight="1" x14ac:dyDescent="0.3">
      <c r="P616" s="11"/>
    </row>
    <row r="617" spans="16:16" ht="15.75" customHeight="1" x14ac:dyDescent="0.3">
      <c r="P617" s="11"/>
    </row>
    <row r="618" spans="16:16" ht="15.75" customHeight="1" x14ac:dyDescent="0.3">
      <c r="P618" s="11"/>
    </row>
    <row r="619" spans="16:16" ht="15.75" customHeight="1" x14ac:dyDescent="0.3">
      <c r="P619" s="11"/>
    </row>
    <row r="620" spans="16:16" ht="15.75" customHeight="1" x14ac:dyDescent="0.3">
      <c r="P620" s="11"/>
    </row>
    <row r="621" spans="16:16" ht="15.75" customHeight="1" x14ac:dyDescent="0.3">
      <c r="P621" s="11"/>
    </row>
    <row r="622" spans="16:16" ht="15.75" customHeight="1" x14ac:dyDescent="0.3">
      <c r="P622" s="11"/>
    </row>
    <row r="623" spans="16:16" ht="15.75" customHeight="1" x14ac:dyDescent="0.3">
      <c r="P623" s="11"/>
    </row>
    <row r="624" spans="16:16" ht="15.75" customHeight="1" x14ac:dyDescent="0.3">
      <c r="P624" s="11"/>
    </row>
    <row r="625" spans="16:16" ht="15.75" customHeight="1" x14ac:dyDescent="0.3">
      <c r="P625" s="11"/>
    </row>
    <row r="626" spans="16:16" ht="15.75" customHeight="1" x14ac:dyDescent="0.3">
      <c r="P626" s="11"/>
    </row>
    <row r="627" spans="16:16" ht="15.75" customHeight="1" x14ac:dyDescent="0.3">
      <c r="P627" s="11"/>
    </row>
    <row r="628" spans="16:16" ht="15.75" customHeight="1" x14ac:dyDescent="0.3">
      <c r="P628" s="11"/>
    </row>
    <row r="629" spans="16:16" ht="15.75" customHeight="1" x14ac:dyDescent="0.3">
      <c r="P629" s="11"/>
    </row>
    <row r="630" spans="16:16" ht="15.75" customHeight="1" x14ac:dyDescent="0.3">
      <c r="P630" s="11"/>
    </row>
    <row r="631" spans="16:16" ht="15.75" customHeight="1" x14ac:dyDescent="0.3">
      <c r="P631" s="11"/>
    </row>
    <row r="632" spans="16:16" ht="15.75" customHeight="1" x14ac:dyDescent="0.3">
      <c r="P632" s="11"/>
    </row>
    <row r="633" spans="16:16" ht="15.75" customHeight="1" x14ac:dyDescent="0.3">
      <c r="P633" s="11"/>
    </row>
    <row r="634" spans="16:16" ht="15.75" customHeight="1" x14ac:dyDescent="0.3">
      <c r="P634" s="11"/>
    </row>
    <row r="635" spans="16:16" ht="15.75" customHeight="1" x14ac:dyDescent="0.3">
      <c r="P635" s="11"/>
    </row>
    <row r="636" spans="16:16" ht="15.75" customHeight="1" x14ac:dyDescent="0.3">
      <c r="P636" s="11"/>
    </row>
    <row r="637" spans="16:16" ht="15.75" customHeight="1" x14ac:dyDescent="0.3">
      <c r="P637" s="11"/>
    </row>
    <row r="638" spans="16:16" ht="15.75" customHeight="1" x14ac:dyDescent="0.3">
      <c r="P638" s="11"/>
    </row>
    <row r="639" spans="16:16" ht="15.75" customHeight="1" x14ac:dyDescent="0.3">
      <c r="P639" s="11"/>
    </row>
    <row r="640" spans="16:16" ht="15.75" customHeight="1" x14ac:dyDescent="0.3">
      <c r="P640" s="11"/>
    </row>
    <row r="641" spans="16:16" ht="15.75" customHeight="1" x14ac:dyDescent="0.3">
      <c r="P641" s="11"/>
    </row>
    <row r="642" spans="16:16" ht="15.75" customHeight="1" x14ac:dyDescent="0.3">
      <c r="P642" s="11"/>
    </row>
    <row r="643" spans="16:16" ht="15.75" customHeight="1" x14ac:dyDescent="0.3">
      <c r="P643" s="11"/>
    </row>
    <row r="644" spans="16:16" ht="15.75" customHeight="1" x14ac:dyDescent="0.3">
      <c r="P644" s="11"/>
    </row>
    <row r="645" spans="16:16" ht="15.75" customHeight="1" x14ac:dyDescent="0.3">
      <c r="P645" s="11"/>
    </row>
    <row r="646" spans="16:16" ht="15.75" customHeight="1" x14ac:dyDescent="0.3">
      <c r="P646" s="11"/>
    </row>
    <row r="647" spans="16:16" ht="15.75" customHeight="1" x14ac:dyDescent="0.3">
      <c r="P647" s="11"/>
    </row>
    <row r="648" spans="16:16" ht="15.75" customHeight="1" x14ac:dyDescent="0.3">
      <c r="P648" s="11"/>
    </row>
    <row r="649" spans="16:16" ht="15.75" customHeight="1" x14ac:dyDescent="0.3">
      <c r="P649" s="11"/>
    </row>
    <row r="650" spans="16:16" ht="15.75" customHeight="1" x14ac:dyDescent="0.3">
      <c r="P650" s="11"/>
    </row>
    <row r="651" spans="16:16" ht="15.75" customHeight="1" x14ac:dyDescent="0.3">
      <c r="P651" s="11"/>
    </row>
    <row r="652" spans="16:16" ht="15.75" customHeight="1" x14ac:dyDescent="0.3">
      <c r="P652" s="11"/>
    </row>
    <row r="653" spans="16:16" ht="15.75" customHeight="1" x14ac:dyDescent="0.3">
      <c r="P653" s="11"/>
    </row>
    <row r="654" spans="16:16" ht="15.75" customHeight="1" x14ac:dyDescent="0.3">
      <c r="P654" s="11"/>
    </row>
    <row r="655" spans="16:16" ht="15.75" customHeight="1" x14ac:dyDescent="0.3">
      <c r="P655" s="11"/>
    </row>
    <row r="656" spans="16:16" ht="15.75" customHeight="1" x14ac:dyDescent="0.3">
      <c r="P656" s="11"/>
    </row>
    <row r="657" spans="16:16" ht="15.75" customHeight="1" x14ac:dyDescent="0.3">
      <c r="P657" s="11"/>
    </row>
    <row r="658" spans="16:16" ht="15.75" customHeight="1" x14ac:dyDescent="0.3">
      <c r="P658" s="11"/>
    </row>
    <row r="659" spans="16:16" ht="15.75" customHeight="1" x14ac:dyDescent="0.3">
      <c r="P659" s="11"/>
    </row>
    <row r="660" spans="16:16" ht="15.75" customHeight="1" x14ac:dyDescent="0.3">
      <c r="P660" s="11"/>
    </row>
    <row r="661" spans="16:16" ht="15.75" customHeight="1" x14ac:dyDescent="0.3">
      <c r="P661" s="11"/>
    </row>
    <row r="662" spans="16:16" ht="15.75" customHeight="1" x14ac:dyDescent="0.3">
      <c r="P662" s="11"/>
    </row>
    <row r="663" spans="16:16" ht="15.75" customHeight="1" x14ac:dyDescent="0.3">
      <c r="P663" s="11"/>
    </row>
    <row r="664" spans="16:16" ht="15.75" customHeight="1" x14ac:dyDescent="0.3">
      <c r="P664" s="11"/>
    </row>
    <row r="665" spans="16:16" ht="15.75" customHeight="1" x14ac:dyDescent="0.3">
      <c r="P665" s="11"/>
    </row>
    <row r="666" spans="16:16" ht="15.75" customHeight="1" x14ac:dyDescent="0.3">
      <c r="P666" s="11"/>
    </row>
    <row r="667" spans="16:16" ht="15.75" customHeight="1" x14ac:dyDescent="0.3">
      <c r="P667" s="11"/>
    </row>
    <row r="668" spans="16:16" ht="15.75" customHeight="1" x14ac:dyDescent="0.3">
      <c r="P668" s="11"/>
    </row>
    <row r="669" spans="16:16" ht="15.75" customHeight="1" x14ac:dyDescent="0.3">
      <c r="P669" s="11"/>
    </row>
    <row r="670" spans="16:16" ht="15.75" customHeight="1" x14ac:dyDescent="0.3">
      <c r="P670" s="11"/>
    </row>
    <row r="671" spans="16:16" ht="15.75" customHeight="1" x14ac:dyDescent="0.3">
      <c r="P671" s="11"/>
    </row>
    <row r="672" spans="16:16" ht="15.75" customHeight="1" x14ac:dyDescent="0.3">
      <c r="P672" s="11"/>
    </row>
    <row r="673" spans="16:16" ht="15.75" customHeight="1" x14ac:dyDescent="0.3">
      <c r="P673" s="11"/>
    </row>
    <row r="674" spans="16:16" ht="15.75" customHeight="1" x14ac:dyDescent="0.3">
      <c r="P674" s="11"/>
    </row>
    <row r="675" spans="16:16" ht="15.75" customHeight="1" x14ac:dyDescent="0.3">
      <c r="P675" s="11"/>
    </row>
    <row r="676" spans="16:16" ht="15.75" customHeight="1" x14ac:dyDescent="0.3">
      <c r="P676" s="11"/>
    </row>
    <row r="677" spans="16:16" ht="15.75" customHeight="1" x14ac:dyDescent="0.3">
      <c r="P677" s="11"/>
    </row>
    <row r="678" spans="16:16" ht="15.75" customHeight="1" x14ac:dyDescent="0.3">
      <c r="P678" s="11"/>
    </row>
    <row r="679" spans="16:16" ht="15.75" customHeight="1" x14ac:dyDescent="0.3">
      <c r="P679" s="11"/>
    </row>
    <row r="680" spans="16:16" ht="15.75" customHeight="1" x14ac:dyDescent="0.3">
      <c r="P680" s="11"/>
    </row>
    <row r="681" spans="16:16" ht="15.75" customHeight="1" x14ac:dyDescent="0.3">
      <c r="P681" s="11"/>
    </row>
    <row r="682" spans="16:16" ht="15.75" customHeight="1" x14ac:dyDescent="0.3">
      <c r="P682" s="11"/>
    </row>
    <row r="683" spans="16:16" ht="15.75" customHeight="1" x14ac:dyDescent="0.3">
      <c r="P683" s="11"/>
    </row>
    <row r="684" spans="16:16" ht="15.75" customHeight="1" x14ac:dyDescent="0.3">
      <c r="P684" s="11"/>
    </row>
    <row r="685" spans="16:16" ht="15.75" customHeight="1" x14ac:dyDescent="0.3">
      <c r="P685" s="11"/>
    </row>
    <row r="686" spans="16:16" ht="15.75" customHeight="1" x14ac:dyDescent="0.3">
      <c r="P686" s="11"/>
    </row>
    <row r="687" spans="16:16" ht="15.75" customHeight="1" x14ac:dyDescent="0.3">
      <c r="P687" s="11"/>
    </row>
    <row r="688" spans="16:16" ht="15.75" customHeight="1" x14ac:dyDescent="0.3">
      <c r="P688" s="11"/>
    </row>
    <row r="689" spans="16:16" ht="15.75" customHeight="1" x14ac:dyDescent="0.3">
      <c r="P689" s="11"/>
    </row>
    <row r="690" spans="16:16" ht="15.75" customHeight="1" x14ac:dyDescent="0.3">
      <c r="P690" s="11"/>
    </row>
    <row r="691" spans="16:16" ht="15.75" customHeight="1" x14ac:dyDescent="0.3">
      <c r="P691" s="11"/>
    </row>
    <row r="692" spans="16:16" ht="15.75" customHeight="1" x14ac:dyDescent="0.3">
      <c r="P692" s="11"/>
    </row>
    <row r="693" spans="16:16" ht="15.75" customHeight="1" x14ac:dyDescent="0.3">
      <c r="P693" s="11"/>
    </row>
    <row r="694" spans="16:16" ht="15.75" customHeight="1" x14ac:dyDescent="0.3">
      <c r="P694" s="11"/>
    </row>
    <row r="695" spans="16:16" ht="15.75" customHeight="1" x14ac:dyDescent="0.3">
      <c r="P695" s="11"/>
    </row>
    <row r="696" spans="16:16" ht="15.75" customHeight="1" x14ac:dyDescent="0.3">
      <c r="P696" s="11"/>
    </row>
    <row r="697" spans="16:16" ht="15.75" customHeight="1" x14ac:dyDescent="0.3">
      <c r="P697" s="11"/>
    </row>
    <row r="698" spans="16:16" ht="15.75" customHeight="1" x14ac:dyDescent="0.3">
      <c r="P698" s="11"/>
    </row>
    <row r="699" spans="16:16" ht="15.75" customHeight="1" x14ac:dyDescent="0.3">
      <c r="P699" s="11"/>
    </row>
    <row r="700" spans="16:16" ht="15.75" customHeight="1" x14ac:dyDescent="0.3">
      <c r="P700" s="11"/>
    </row>
    <row r="701" spans="16:16" ht="15.75" customHeight="1" x14ac:dyDescent="0.3">
      <c r="P701" s="11"/>
    </row>
    <row r="702" spans="16:16" ht="15.75" customHeight="1" x14ac:dyDescent="0.3">
      <c r="P702" s="11"/>
    </row>
    <row r="703" spans="16:16" ht="15.75" customHeight="1" x14ac:dyDescent="0.3">
      <c r="P703" s="11"/>
    </row>
    <row r="704" spans="16:16" ht="15.75" customHeight="1" x14ac:dyDescent="0.3">
      <c r="P704" s="11"/>
    </row>
    <row r="705" spans="16:16" ht="15.75" customHeight="1" x14ac:dyDescent="0.3">
      <c r="P705" s="11"/>
    </row>
    <row r="706" spans="16:16" ht="15.75" customHeight="1" x14ac:dyDescent="0.3">
      <c r="P706" s="11"/>
    </row>
    <row r="707" spans="16:16" ht="15.75" customHeight="1" x14ac:dyDescent="0.3">
      <c r="P707" s="11"/>
    </row>
    <row r="708" spans="16:16" ht="15.75" customHeight="1" x14ac:dyDescent="0.3">
      <c r="P708" s="11"/>
    </row>
    <row r="709" spans="16:16" ht="15.75" customHeight="1" x14ac:dyDescent="0.3">
      <c r="P709" s="11"/>
    </row>
    <row r="710" spans="16:16" ht="15.75" customHeight="1" x14ac:dyDescent="0.3">
      <c r="P710" s="11"/>
    </row>
    <row r="711" spans="16:16" ht="15.75" customHeight="1" x14ac:dyDescent="0.3">
      <c r="P711" s="11"/>
    </row>
    <row r="712" spans="16:16" ht="15.75" customHeight="1" x14ac:dyDescent="0.3">
      <c r="P712" s="11"/>
    </row>
    <row r="713" spans="16:16" ht="15.75" customHeight="1" x14ac:dyDescent="0.3">
      <c r="P713" s="11"/>
    </row>
    <row r="714" spans="16:16" ht="15.75" customHeight="1" x14ac:dyDescent="0.3">
      <c r="P714" s="11"/>
    </row>
    <row r="715" spans="16:16" ht="15.75" customHeight="1" x14ac:dyDescent="0.3">
      <c r="P715" s="11"/>
    </row>
    <row r="716" spans="16:16" ht="15.75" customHeight="1" x14ac:dyDescent="0.3">
      <c r="P716" s="11"/>
    </row>
    <row r="717" spans="16:16" ht="15.75" customHeight="1" x14ac:dyDescent="0.3">
      <c r="P717" s="11"/>
    </row>
    <row r="718" spans="16:16" ht="15.75" customHeight="1" x14ac:dyDescent="0.3">
      <c r="P718" s="11"/>
    </row>
    <row r="719" spans="16:16" ht="15.75" customHeight="1" x14ac:dyDescent="0.3">
      <c r="P719" s="11"/>
    </row>
    <row r="720" spans="16:16" ht="15.75" customHeight="1" x14ac:dyDescent="0.3">
      <c r="P720" s="11"/>
    </row>
    <row r="721" spans="16:16" ht="15.75" customHeight="1" x14ac:dyDescent="0.3">
      <c r="P721" s="11"/>
    </row>
    <row r="722" spans="16:16" ht="15.75" customHeight="1" x14ac:dyDescent="0.3">
      <c r="P722" s="11"/>
    </row>
    <row r="723" spans="16:16" ht="15.75" customHeight="1" x14ac:dyDescent="0.3">
      <c r="P723" s="11"/>
    </row>
    <row r="724" spans="16:16" ht="15.75" customHeight="1" x14ac:dyDescent="0.3">
      <c r="P724" s="11"/>
    </row>
    <row r="725" spans="16:16" ht="15.75" customHeight="1" x14ac:dyDescent="0.3">
      <c r="P725" s="11"/>
    </row>
    <row r="726" spans="16:16" ht="15.75" customHeight="1" x14ac:dyDescent="0.3">
      <c r="P726" s="11"/>
    </row>
    <row r="727" spans="16:16" ht="15.75" customHeight="1" x14ac:dyDescent="0.3">
      <c r="P727" s="11"/>
    </row>
    <row r="728" spans="16:16" ht="15.75" customHeight="1" x14ac:dyDescent="0.3">
      <c r="P728" s="11"/>
    </row>
    <row r="729" spans="16:16" ht="15.75" customHeight="1" x14ac:dyDescent="0.3">
      <c r="P729" s="11"/>
    </row>
    <row r="730" spans="16:16" ht="15.75" customHeight="1" x14ac:dyDescent="0.3">
      <c r="P730" s="11"/>
    </row>
    <row r="731" spans="16:16" ht="15.75" customHeight="1" x14ac:dyDescent="0.3">
      <c r="P731" s="11"/>
    </row>
    <row r="732" spans="16:16" ht="15.75" customHeight="1" x14ac:dyDescent="0.3">
      <c r="P732" s="11"/>
    </row>
    <row r="733" spans="16:16" ht="15.75" customHeight="1" x14ac:dyDescent="0.3">
      <c r="P733" s="11"/>
    </row>
    <row r="734" spans="16:16" ht="15.75" customHeight="1" x14ac:dyDescent="0.3">
      <c r="P734" s="11"/>
    </row>
    <row r="735" spans="16:16" ht="15.75" customHeight="1" x14ac:dyDescent="0.3">
      <c r="P735" s="11"/>
    </row>
    <row r="736" spans="16:16" ht="15.75" customHeight="1" x14ac:dyDescent="0.3">
      <c r="P736" s="11"/>
    </row>
    <row r="737" spans="16:16" ht="15.75" customHeight="1" x14ac:dyDescent="0.3">
      <c r="P737" s="11"/>
    </row>
    <row r="738" spans="16:16" ht="15.75" customHeight="1" x14ac:dyDescent="0.3">
      <c r="P738" s="11"/>
    </row>
    <row r="739" spans="16:16" ht="15.75" customHeight="1" x14ac:dyDescent="0.3">
      <c r="P739" s="11"/>
    </row>
    <row r="740" spans="16:16" ht="15.75" customHeight="1" x14ac:dyDescent="0.3">
      <c r="P740" s="11"/>
    </row>
    <row r="741" spans="16:16" ht="15.75" customHeight="1" x14ac:dyDescent="0.3">
      <c r="P741" s="11"/>
    </row>
    <row r="742" spans="16:16" ht="15.75" customHeight="1" x14ac:dyDescent="0.3">
      <c r="P742" s="11"/>
    </row>
    <row r="743" spans="16:16" ht="15.75" customHeight="1" x14ac:dyDescent="0.3">
      <c r="P743" s="11"/>
    </row>
    <row r="744" spans="16:16" ht="15.75" customHeight="1" x14ac:dyDescent="0.3">
      <c r="P744" s="11"/>
    </row>
    <row r="745" spans="16:16" ht="15.75" customHeight="1" x14ac:dyDescent="0.3">
      <c r="P745" s="11"/>
    </row>
    <row r="746" spans="16:16" ht="15.75" customHeight="1" x14ac:dyDescent="0.3">
      <c r="P746" s="11"/>
    </row>
    <row r="747" spans="16:16" ht="15.75" customHeight="1" x14ac:dyDescent="0.3">
      <c r="P747" s="11"/>
    </row>
    <row r="748" spans="16:16" ht="15.75" customHeight="1" x14ac:dyDescent="0.3">
      <c r="P748" s="11"/>
    </row>
    <row r="749" spans="16:16" ht="15.75" customHeight="1" x14ac:dyDescent="0.3">
      <c r="P749" s="11"/>
    </row>
    <row r="750" spans="16:16" ht="15.75" customHeight="1" x14ac:dyDescent="0.3">
      <c r="P750" s="11"/>
    </row>
    <row r="751" spans="16:16" ht="15.75" customHeight="1" x14ac:dyDescent="0.3">
      <c r="P751" s="11"/>
    </row>
    <row r="752" spans="16:16" ht="15.75" customHeight="1" x14ac:dyDescent="0.3">
      <c r="P752" s="11"/>
    </row>
    <row r="753" spans="16:16" ht="15.75" customHeight="1" x14ac:dyDescent="0.3">
      <c r="P753" s="11"/>
    </row>
    <row r="754" spans="16:16" ht="15.75" customHeight="1" x14ac:dyDescent="0.3">
      <c r="P754" s="11"/>
    </row>
    <row r="755" spans="16:16" ht="15.75" customHeight="1" x14ac:dyDescent="0.3">
      <c r="P755" s="11"/>
    </row>
    <row r="756" spans="16:16" ht="15.75" customHeight="1" x14ac:dyDescent="0.3">
      <c r="P756" s="11"/>
    </row>
    <row r="757" spans="16:16" ht="15.75" customHeight="1" x14ac:dyDescent="0.3">
      <c r="P757" s="11"/>
    </row>
    <row r="758" spans="16:16" ht="15.75" customHeight="1" x14ac:dyDescent="0.3">
      <c r="P758" s="11"/>
    </row>
    <row r="759" spans="16:16" ht="15.75" customHeight="1" x14ac:dyDescent="0.3">
      <c r="P759" s="11"/>
    </row>
    <row r="760" spans="16:16" ht="15.75" customHeight="1" x14ac:dyDescent="0.3">
      <c r="P760" s="11"/>
    </row>
    <row r="761" spans="16:16" ht="15.75" customHeight="1" x14ac:dyDescent="0.3">
      <c r="P761" s="11"/>
    </row>
    <row r="762" spans="16:16" ht="15.75" customHeight="1" x14ac:dyDescent="0.3">
      <c r="P762" s="11"/>
    </row>
    <row r="763" spans="16:16" ht="15.75" customHeight="1" x14ac:dyDescent="0.3">
      <c r="P763" s="11"/>
    </row>
    <row r="764" spans="16:16" ht="15.75" customHeight="1" x14ac:dyDescent="0.3">
      <c r="P764" s="11"/>
    </row>
    <row r="765" spans="16:16" ht="15.75" customHeight="1" x14ac:dyDescent="0.3">
      <c r="P765" s="11"/>
    </row>
    <row r="766" spans="16:16" ht="15.75" customHeight="1" x14ac:dyDescent="0.3">
      <c r="P766" s="11"/>
    </row>
    <row r="767" spans="16:16" ht="15.75" customHeight="1" x14ac:dyDescent="0.3">
      <c r="P767" s="11"/>
    </row>
    <row r="768" spans="16:16" ht="15.75" customHeight="1" x14ac:dyDescent="0.3">
      <c r="P768" s="11"/>
    </row>
    <row r="769" spans="16:16" ht="15.75" customHeight="1" x14ac:dyDescent="0.3">
      <c r="P769" s="11"/>
    </row>
    <row r="770" spans="16:16" ht="15.75" customHeight="1" x14ac:dyDescent="0.3">
      <c r="P770" s="11"/>
    </row>
    <row r="771" spans="16:16" ht="15.75" customHeight="1" x14ac:dyDescent="0.3">
      <c r="P771" s="11"/>
    </row>
    <row r="772" spans="16:16" ht="15.75" customHeight="1" x14ac:dyDescent="0.3">
      <c r="P772" s="11"/>
    </row>
    <row r="773" spans="16:16" ht="15.75" customHeight="1" x14ac:dyDescent="0.3">
      <c r="P773" s="11"/>
    </row>
    <row r="774" spans="16:16" ht="15.75" customHeight="1" x14ac:dyDescent="0.3">
      <c r="P774" s="11"/>
    </row>
    <row r="775" spans="16:16" ht="15.75" customHeight="1" x14ac:dyDescent="0.3">
      <c r="P775" s="11"/>
    </row>
    <row r="776" spans="16:16" ht="15.75" customHeight="1" x14ac:dyDescent="0.3">
      <c r="P776" s="11"/>
    </row>
    <row r="777" spans="16:16" ht="15.75" customHeight="1" x14ac:dyDescent="0.3">
      <c r="P777" s="11"/>
    </row>
    <row r="778" spans="16:16" ht="15.75" customHeight="1" x14ac:dyDescent="0.3">
      <c r="P778" s="11"/>
    </row>
    <row r="779" spans="16:16" ht="15.75" customHeight="1" x14ac:dyDescent="0.3">
      <c r="P779" s="11"/>
    </row>
    <row r="780" spans="16:16" ht="15.75" customHeight="1" x14ac:dyDescent="0.3">
      <c r="P780" s="11"/>
    </row>
    <row r="781" spans="16:16" ht="15.75" customHeight="1" x14ac:dyDescent="0.3">
      <c r="P781" s="11"/>
    </row>
    <row r="782" spans="16:16" ht="15.75" customHeight="1" x14ac:dyDescent="0.3">
      <c r="P782" s="11"/>
    </row>
    <row r="783" spans="16:16" ht="15.75" customHeight="1" x14ac:dyDescent="0.3">
      <c r="P783" s="11"/>
    </row>
    <row r="784" spans="16:16" ht="15.75" customHeight="1" x14ac:dyDescent="0.3">
      <c r="P784" s="11"/>
    </row>
    <row r="785" spans="16:16" ht="15.75" customHeight="1" x14ac:dyDescent="0.3">
      <c r="P785" s="11"/>
    </row>
    <row r="786" spans="16:16" ht="15.75" customHeight="1" x14ac:dyDescent="0.3">
      <c r="P786" s="11"/>
    </row>
    <row r="787" spans="16:16" ht="15.75" customHeight="1" x14ac:dyDescent="0.3">
      <c r="P787" s="11"/>
    </row>
    <row r="788" spans="16:16" ht="15.75" customHeight="1" x14ac:dyDescent="0.3">
      <c r="P788" s="11"/>
    </row>
    <row r="789" spans="16:16" ht="15.75" customHeight="1" x14ac:dyDescent="0.3">
      <c r="P789" s="11"/>
    </row>
    <row r="790" spans="16:16" ht="15.75" customHeight="1" x14ac:dyDescent="0.3">
      <c r="P790" s="11"/>
    </row>
    <row r="791" spans="16:16" ht="15.75" customHeight="1" x14ac:dyDescent="0.3">
      <c r="P791" s="11"/>
    </row>
    <row r="792" spans="16:16" ht="15.75" customHeight="1" x14ac:dyDescent="0.3">
      <c r="P792" s="11"/>
    </row>
    <row r="793" spans="16:16" ht="15.75" customHeight="1" x14ac:dyDescent="0.3">
      <c r="P793" s="11"/>
    </row>
    <row r="794" spans="16:16" ht="15.75" customHeight="1" x14ac:dyDescent="0.3">
      <c r="P794" s="11"/>
    </row>
    <row r="795" spans="16:16" ht="15.75" customHeight="1" x14ac:dyDescent="0.3">
      <c r="P795" s="11"/>
    </row>
    <row r="796" spans="16:16" ht="15.75" customHeight="1" x14ac:dyDescent="0.3">
      <c r="P796" s="11"/>
    </row>
    <row r="797" spans="16:16" ht="15.75" customHeight="1" x14ac:dyDescent="0.3">
      <c r="P797" s="11"/>
    </row>
    <row r="798" spans="16:16" ht="15.75" customHeight="1" x14ac:dyDescent="0.3">
      <c r="P798" s="11"/>
    </row>
    <row r="799" spans="16:16" ht="15.75" customHeight="1" x14ac:dyDescent="0.3">
      <c r="P799" s="11"/>
    </row>
    <row r="800" spans="16:16" ht="15.75" customHeight="1" x14ac:dyDescent="0.3">
      <c r="P800" s="11"/>
    </row>
    <row r="801" spans="16:16" ht="15.75" customHeight="1" x14ac:dyDescent="0.3">
      <c r="P801" s="11"/>
    </row>
    <row r="802" spans="16:16" ht="15.75" customHeight="1" x14ac:dyDescent="0.3">
      <c r="P802" s="11"/>
    </row>
    <row r="803" spans="16:16" ht="15.75" customHeight="1" x14ac:dyDescent="0.3">
      <c r="P803" s="11"/>
    </row>
    <row r="804" spans="16:16" ht="15.75" customHeight="1" x14ac:dyDescent="0.3">
      <c r="P804" s="11"/>
    </row>
    <row r="805" spans="16:16" ht="15.75" customHeight="1" x14ac:dyDescent="0.3">
      <c r="P805" s="11"/>
    </row>
    <row r="806" spans="16:16" ht="15.75" customHeight="1" x14ac:dyDescent="0.3">
      <c r="P806" s="11"/>
    </row>
    <row r="807" spans="16:16" ht="15.75" customHeight="1" x14ac:dyDescent="0.3">
      <c r="P807" s="11"/>
    </row>
    <row r="808" spans="16:16" ht="15.75" customHeight="1" x14ac:dyDescent="0.3">
      <c r="P808" s="11"/>
    </row>
    <row r="809" spans="16:16" ht="15.75" customHeight="1" x14ac:dyDescent="0.3">
      <c r="P809" s="11"/>
    </row>
    <row r="810" spans="16:16" ht="15.75" customHeight="1" x14ac:dyDescent="0.3">
      <c r="P810" s="11"/>
    </row>
    <row r="811" spans="16:16" ht="15.75" customHeight="1" x14ac:dyDescent="0.3">
      <c r="P811" s="11"/>
    </row>
    <row r="812" spans="16:16" ht="15.75" customHeight="1" x14ac:dyDescent="0.3">
      <c r="P812" s="11"/>
    </row>
    <row r="813" spans="16:16" ht="15.75" customHeight="1" x14ac:dyDescent="0.3">
      <c r="P813" s="11"/>
    </row>
    <row r="814" spans="16:16" ht="15.75" customHeight="1" x14ac:dyDescent="0.3">
      <c r="P814" s="11"/>
    </row>
    <row r="815" spans="16:16" ht="15.75" customHeight="1" x14ac:dyDescent="0.3">
      <c r="P815" s="11"/>
    </row>
    <row r="816" spans="16:16" ht="15.75" customHeight="1" x14ac:dyDescent="0.3">
      <c r="P816" s="11"/>
    </row>
    <row r="817" spans="16:16" ht="15.75" customHeight="1" x14ac:dyDescent="0.3">
      <c r="P817" s="11"/>
    </row>
    <row r="818" spans="16:16" ht="15.75" customHeight="1" x14ac:dyDescent="0.3">
      <c r="P818" s="11"/>
    </row>
    <row r="819" spans="16:16" ht="15.75" customHeight="1" x14ac:dyDescent="0.3">
      <c r="P819" s="11"/>
    </row>
    <row r="820" spans="16:16" ht="15.75" customHeight="1" x14ac:dyDescent="0.3">
      <c r="P820" s="11"/>
    </row>
    <row r="821" spans="16:16" ht="15.75" customHeight="1" x14ac:dyDescent="0.3">
      <c r="P821" s="11"/>
    </row>
    <row r="822" spans="16:16" ht="15.75" customHeight="1" x14ac:dyDescent="0.3">
      <c r="P822" s="11"/>
    </row>
    <row r="823" spans="16:16" ht="15.75" customHeight="1" x14ac:dyDescent="0.3">
      <c r="P823" s="11"/>
    </row>
    <row r="824" spans="16:16" ht="15.75" customHeight="1" x14ac:dyDescent="0.3">
      <c r="P824" s="11"/>
    </row>
    <row r="825" spans="16:16" ht="15.75" customHeight="1" x14ac:dyDescent="0.3">
      <c r="P825" s="11"/>
    </row>
    <row r="826" spans="16:16" ht="15.75" customHeight="1" x14ac:dyDescent="0.3">
      <c r="P826" s="11"/>
    </row>
    <row r="827" spans="16:16" ht="15.75" customHeight="1" x14ac:dyDescent="0.3">
      <c r="P827" s="11"/>
    </row>
    <row r="828" spans="16:16" ht="15.75" customHeight="1" x14ac:dyDescent="0.3">
      <c r="P828" s="11"/>
    </row>
    <row r="829" spans="16:16" ht="15.75" customHeight="1" x14ac:dyDescent="0.3">
      <c r="P829" s="11"/>
    </row>
    <row r="830" spans="16:16" ht="15.75" customHeight="1" x14ac:dyDescent="0.3">
      <c r="P830" s="11"/>
    </row>
    <row r="831" spans="16:16" ht="15.75" customHeight="1" x14ac:dyDescent="0.3">
      <c r="P831" s="11"/>
    </row>
    <row r="832" spans="16:16" ht="15.75" customHeight="1" x14ac:dyDescent="0.3">
      <c r="P832" s="11"/>
    </row>
    <row r="833" spans="16:16" ht="15.75" customHeight="1" x14ac:dyDescent="0.3">
      <c r="P833" s="11"/>
    </row>
    <row r="834" spans="16:16" ht="15.75" customHeight="1" x14ac:dyDescent="0.3">
      <c r="P834" s="11"/>
    </row>
    <row r="835" spans="16:16" ht="15.75" customHeight="1" x14ac:dyDescent="0.3">
      <c r="P835" s="11"/>
    </row>
    <row r="836" spans="16:16" ht="15.75" customHeight="1" x14ac:dyDescent="0.3">
      <c r="P836" s="11"/>
    </row>
    <row r="837" spans="16:16" ht="15.75" customHeight="1" x14ac:dyDescent="0.3">
      <c r="P837" s="11"/>
    </row>
    <row r="838" spans="16:16" ht="15.75" customHeight="1" x14ac:dyDescent="0.3">
      <c r="P838" s="11"/>
    </row>
    <row r="839" spans="16:16" ht="15.75" customHeight="1" x14ac:dyDescent="0.3">
      <c r="P839" s="11"/>
    </row>
    <row r="840" spans="16:16" ht="15.75" customHeight="1" x14ac:dyDescent="0.3">
      <c r="P840" s="11"/>
    </row>
    <row r="841" spans="16:16" ht="15.75" customHeight="1" x14ac:dyDescent="0.3">
      <c r="P841" s="11"/>
    </row>
    <row r="842" spans="16:16" ht="15.75" customHeight="1" x14ac:dyDescent="0.3">
      <c r="P842" s="11"/>
    </row>
    <row r="843" spans="16:16" ht="15.75" customHeight="1" x14ac:dyDescent="0.3">
      <c r="P843" s="11"/>
    </row>
    <row r="844" spans="16:16" ht="15.75" customHeight="1" x14ac:dyDescent="0.3">
      <c r="P844" s="11"/>
    </row>
    <row r="845" spans="16:16" ht="15.75" customHeight="1" x14ac:dyDescent="0.3">
      <c r="P845" s="11"/>
    </row>
    <row r="846" spans="16:16" ht="15.75" customHeight="1" x14ac:dyDescent="0.3">
      <c r="P846" s="11"/>
    </row>
    <row r="847" spans="16:16" ht="15.75" customHeight="1" x14ac:dyDescent="0.3">
      <c r="P847" s="11"/>
    </row>
    <row r="848" spans="16:16" ht="15.75" customHeight="1" x14ac:dyDescent="0.3">
      <c r="P848" s="11"/>
    </row>
    <row r="849" spans="16:16" ht="15.75" customHeight="1" x14ac:dyDescent="0.3">
      <c r="P849" s="11"/>
    </row>
    <row r="850" spans="16:16" ht="15.75" customHeight="1" x14ac:dyDescent="0.3">
      <c r="P850" s="11"/>
    </row>
    <row r="851" spans="16:16" ht="15.75" customHeight="1" x14ac:dyDescent="0.3">
      <c r="P851" s="11"/>
    </row>
    <row r="852" spans="16:16" ht="15.75" customHeight="1" x14ac:dyDescent="0.3">
      <c r="P852" s="11"/>
    </row>
    <row r="853" spans="16:16" ht="15.75" customHeight="1" x14ac:dyDescent="0.3">
      <c r="P853" s="11"/>
    </row>
    <row r="854" spans="16:16" ht="15.75" customHeight="1" x14ac:dyDescent="0.3">
      <c r="P854" s="11"/>
    </row>
    <row r="855" spans="16:16" ht="15.75" customHeight="1" x14ac:dyDescent="0.3">
      <c r="P855" s="11"/>
    </row>
    <row r="856" spans="16:16" ht="15.75" customHeight="1" x14ac:dyDescent="0.3">
      <c r="P856" s="11"/>
    </row>
    <row r="857" spans="16:16" ht="15.75" customHeight="1" x14ac:dyDescent="0.3">
      <c r="P857" s="11"/>
    </row>
    <row r="858" spans="16:16" ht="15.75" customHeight="1" x14ac:dyDescent="0.3">
      <c r="P858" s="11"/>
    </row>
    <row r="859" spans="16:16" ht="15.75" customHeight="1" x14ac:dyDescent="0.3">
      <c r="P859" s="11"/>
    </row>
    <row r="860" spans="16:16" ht="15.75" customHeight="1" x14ac:dyDescent="0.3">
      <c r="P860" s="11"/>
    </row>
    <row r="861" spans="16:16" ht="15.75" customHeight="1" x14ac:dyDescent="0.3">
      <c r="P861" s="11"/>
    </row>
    <row r="862" spans="16:16" ht="15.75" customHeight="1" x14ac:dyDescent="0.3">
      <c r="P862" s="11"/>
    </row>
    <row r="863" spans="16:16" ht="15.75" customHeight="1" x14ac:dyDescent="0.3">
      <c r="P863" s="11"/>
    </row>
    <row r="864" spans="16:16" ht="15.75" customHeight="1" x14ac:dyDescent="0.3">
      <c r="P864" s="11"/>
    </row>
    <row r="865" spans="16:16" ht="15.75" customHeight="1" x14ac:dyDescent="0.3">
      <c r="P865" s="11"/>
    </row>
    <row r="866" spans="16:16" ht="15.75" customHeight="1" x14ac:dyDescent="0.3">
      <c r="P866" s="11"/>
    </row>
    <row r="867" spans="16:16" ht="15.75" customHeight="1" x14ac:dyDescent="0.3">
      <c r="P867" s="11"/>
    </row>
    <row r="868" spans="16:16" ht="15.75" customHeight="1" x14ac:dyDescent="0.3">
      <c r="P868" s="11"/>
    </row>
    <row r="869" spans="16:16" ht="15.75" customHeight="1" x14ac:dyDescent="0.3">
      <c r="P869" s="11"/>
    </row>
    <row r="870" spans="16:16" ht="15.75" customHeight="1" x14ac:dyDescent="0.3">
      <c r="P870" s="11"/>
    </row>
    <row r="871" spans="16:16" ht="15.75" customHeight="1" x14ac:dyDescent="0.3">
      <c r="P871" s="11"/>
    </row>
    <row r="872" spans="16:16" ht="15.75" customHeight="1" x14ac:dyDescent="0.3">
      <c r="P872" s="11"/>
    </row>
    <row r="873" spans="16:16" ht="15.75" customHeight="1" x14ac:dyDescent="0.3">
      <c r="P873" s="11"/>
    </row>
    <row r="874" spans="16:16" ht="15.75" customHeight="1" x14ac:dyDescent="0.3">
      <c r="P874" s="11"/>
    </row>
    <row r="875" spans="16:16" ht="15.75" customHeight="1" x14ac:dyDescent="0.3">
      <c r="P875" s="11"/>
    </row>
    <row r="876" spans="16:16" ht="15.75" customHeight="1" x14ac:dyDescent="0.3">
      <c r="P876" s="11"/>
    </row>
    <row r="877" spans="16:16" ht="15.75" customHeight="1" x14ac:dyDescent="0.3">
      <c r="P877" s="11"/>
    </row>
    <row r="878" spans="16:16" ht="15.75" customHeight="1" x14ac:dyDescent="0.3">
      <c r="P878" s="11"/>
    </row>
    <row r="879" spans="16:16" ht="15.75" customHeight="1" x14ac:dyDescent="0.3">
      <c r="P879" s="11"/>
    </row>
    <row r="880" spans="16:16" ht="15.75" customHeight="1" x14ac:dyDescent="0.3">
      <c r="P880" s="11"/>
    </row>
    <row r="881" spans="16:16" ht="15.75" customHeight="1" x14ac:dyDescent="0.3">
      <c r="P881" s="11"/>
    </row>
    <row r="882" spans="16:16" ht="15.75" customHeight="1" x14ac:dyDescent="0.3">
      <c r="P882" s="11"/>
    </row>
    <row r="883" spans="16:16" ht="15.75" customHeight="1" x14ac:dyDescent="0.3">
      <c r="P883" s="11"/>
    </row>
    <row r="884" spans="16:16" ht="15.75" customHeight="1" x14ac:dyDescent="0.3">
      <c r="P884" s="11"/>
    </row>
    <row r="885" spans="16:16" ht="15.75" customHeight="1" x14ac:dyDescent="0.3">
      <c r="P885" s="11"/>
    </row>
    <row r="886" spans="16:16" ht="15.75" customHeight="1" x14ac:dyDescent="0.3">
      <c r="P886" s="11"/>
    </row>
    <row r="887" spans="16:16" ht="15.75" customHeight="1" x14ac:dyDescent="0.3">
      <c r="P887" s="11"/>
    </row>
    <row r="888" spans="16:16" ht="15.75" customHeight="1" x14ac:dyDescent="0.3">
      <c r="P888" s="11"/>
    </row>
    <row r="889" spans="16:16" ht="15.75" customHeight="1" x14ac:dyDescent="0.3">
      <c r="P889" s="11"/>
    </row>
    <row r="890" spans="16:16" ht="15.75" customHeight="1" x14ac:dyDescent="0.3">
      <c r="P890" s="11"/>
    </row>
    <row r="891" spans="16:16" ht="15.75" customHeight="1" x14ac:dyDescent="0.3">
      <c r="P891" s="11"/>
    </row>
    <row r="892" spans="16:16" ht="15.75" customHeight="1" x14ac:dyDescent="0.3">
      <c r="P892" s="11"/>
    </row>
    <row r="893" spans="16:16" ht="15.75" customHeight="1" x14ac:dyDescent="0.3">
      <c r="P893" s="11"/>
    </row>
    <row r="894" spans="16:16" ht="15.75" customHeight="1" x14ac:dyDescent="0.3">
      <c r="P894" s="11"/>
    </row>
    <row r="895" spans="16:16" ht="15.75" customHeight="1" x14ac:dyDescent="0.3">
      <c r="P895" s="11"/>
    </row>
    <row r="896" spans="16:16" ht="15.75" customHeight="1" x14ac:dyDescent="0.3">
      <c r="P896" s="11"/>
    </row>
    <row r="897" spans="16:16" ht="15.75" customHeight="1" x14ac:dyDescent="0.3">
      <c r="P897" s="11"/>
    </row>
    <row r="898" spans="16:16" ht="15.75" customHeight="1" x14ac:dyDescent="0.3">
      <c r="P898" s="11"/>
    </row>
    <row r="899" spans="16:16" ht="15.75" customHeight="1" x14ac:dyDescent="0.3">
      <c r="P899" s="11"/>
    </row>
    <row r="900" spans="16:16" ht="15.75" customHeight="1" x14ac:dyDescent="0.3">
      <c r="P900" s="11"/>
    </row>
    <row r="901" spans="16:16" ht="15.75" customHeight="1" x14ac:dyDescent="0.3">
      <c r="P901" s="11"/>
    </row>
    <row r="902" spans="16:16" ht="15.75" customHeight="1" x14ac:dyDescent="0.3">
      <c r="P902" s="11"/>
    </row>
    <row r="903" spans="16:16" ht="15.75" customHeight="1" x14ac:dyDescent="0.3">
      <c r="P903" s="11"/>
    </row>
    <row r="904" spans="16:16" ht="15.75" customHeight="1" x14ac:dyDescent="0.3">
      <c r="P904" s="11"/>
    </row>
    <row r="905" spans="16:16" ht="15.75" customHeight="1" x14ac:dyDescent="0.3">
      <c r="P905" s="11"/>
    </row>
    <row r="906" spans="16:16" ht="15.75" customHeight="1" x14ac:dyDescent="0.3">
      <c r="P906" s="11"/>
    </row>
    <row r="907" spans="16:16" ht="15.75" customHeight="1" x14ac:dyDescent="0.3">
      <c r="P907" s="11"/>
    </row>
    <row r="908" spans="16:16" ht="15.75" customHeight="1" x14ac:dyDescent="0.3">
      <c r="P908" s="11"/>
    </row>
    <row r="909" spans="16:16" ht="15.75" customHeight="1" x14ac:dyDescent="0.3">
      <c r="P909" s="11"/>
    </row>
    <row r="910" spans="16:16" ht="15.75" customHeight="1" x14ac:dyDescent="0.3">
      <c r="P910" s="11"/>
    </row>
    <row r="911" spans="16:16" ht="15.75" customHeight="1" x14ac:dyDescent="0.3">
      <c r="P911" s="11"/>
    </row>
    <row r="912" spans="16:16" ht="15.75" customHeight="1" x14ac:dyDescent="0.3">
      <c r="P912" s="11"/>
    </row>
    <row r="913" spans="16:16" ht="15.75" customHeight="1" x14ac:dyDescent="0.3">
      <c r="P913" s="11"/>
    </row>
    <row r="914" spans="16:16" ht="15.75" customHeight="1" x14ac:dyDescent="0.3">
      <c r="P914" s="11"/>
    </row>
    <row r="915" spans="16:16" ht="15.75" customHeight="1" x14ac:dyDescent="0.3">
      <c r="P915" s="11"/>
    </row>
    <row r="916" spans="16:16" ht="15.75" customHeight="1" x14ac:dyDescent="0.3">
      <c r="P916" s="11"/>
    </row>
    <row r="917" spans="16:16" ht="15.75" customHeight="1" x14ac:dyDescent="0.3">
      <c r="P917" s="11"/>
    </row>
    <row r="918" spans="16:16" ht="15.75" customHeight="1" x14ac:dyDescent="0.3">
      <c r="P918" s="11"/>
    </row>
    <row r="919" spans="16:16" ht="15.75" customHeight="1" x14ac:dyDescent="0.3">
      <c r="P919" s="11"/>
    </row>
    <row r="920" spans="16:16" ht="15.75" customHeight="1" x14ac:dyDescent="0.3">
      <c r="P920" s="11"/>
    </row>
    <row r="921" spans="16:16" ht="15.75" customHeight="1" x14ac:dyDescent="0.3">
      <c r="P921" s="11"/>
    </row>
    <row r="922" spans="16:16" ht="15.75" customHeight="1" x14ac:dyDescent="0.3">
      <c r="P922" s="11"/>
    </row>
    <row r="923" spans="16:16" ht="15.75" customHeight="1" x14ac:dyDescent="0.3">
      <c r="P923" s="11"/>
    </row>
    <row r="924" spans="16:16" ht="15.75" customHeight="1" x14ac:dyDescent="0.3">
      <c r="P924" s="11"/>
    </row>
    <row r="925" spans="16:16" ht="15.75" customHeight="1" x14ac:dyDescent="0.3">
      <c r="P925" s="11"/>
    </row>
    <row r="926" spans="16:16" ht="15.75" customHeight="1" x14ac:dyDescent="0.3">
      <c r="P926" s="11"/>
    </row>
    <row r="927" spans="16:16" ht="15.75" customHeight="1" x14ac:dyDescent="0.3">
      <c r="P927" s="11"/>
    </row>
    <row r="928" spans="16:16" ht="15.75" customHeight="1" x14ac:dyDescent="0.3">
      <c r="P928" s="11"/>
    </row>
    <row r="929" spans="16:16" ht="15.75" customHeight="1" x14ac:dyDescent="0.3">
      <c r="P929" s="11"/>
    </row>
    <row r="930" spans="16:16" ht="15.75" customHeight="1" x14ac:dyDescent="0.3">
      <c r="P930" s="11"/>
    </row>
    <row r="931" spans="16:16" ht="15.75" customHeight="1" x14ac:dyDescent="0.3">
      <c r="P931" s="11"/>
    </row>
    <row r="932" spans="16:16" ht="15.75" customHeight="1" x14ac:dyDescent="0.3">
      <c r="P932" s="11"/>
    </row>
    <row r="933" spans="16:16" ht="15.75" customHeight="1" x14ac:dyDescent="0.3">
      <c r="P933" s="11"/>
    </row>
    <row r="934" spans="16:16" ht="15.75" customHeight="1" x14ac:dyDescent="0.3">
      <c r="P934" s="11"/>
    </row>
    <row r="935" spans="16:16" ht="15.75" customHeight="1" x14ac:dyDescent="0.3">
      <c r="P935" s="11"/>
    </row>
    <row r="936" spans="16:16" ht="15.75" customHeight="1" x14ac:dyDescent="0.3">
      <c r="P936" s="11"/>
    </row>
    <row r="937" spans="16:16" ht="15.75" customHeight="1" x14ac:dyDescent="0.3">
      <c r="P937" s="11"/>
    </row>
    <row r="938" spans="16:16" ht="15.75" customHeight="1" x14ac:dyDescent="0.3">
      <c r="P938" s="11"/>
    </row>
    <row r="939" spans="16:16" ht="15.75" customHeight="1" x14ac:dyDescent="0.3">
      <c r="P939" s="11"/>
    </row>
    <row r="940" spans="16:16" ht="15.75" customHeight="1" x14ac:dyDescent="0.3">
      <c r="P940" s="11"/>
    </row>
    <row r="941" spans="16:16" ht="15.75" customHeight="1" x14ac:dyDescent="0.3">
      <c r="P941" s="11"/>
    </row>
    <row r="942" spans="16:16" ht="15.75" customHeight="1" x14ac:dyDescent="0.3">
      <c r="P942" s="11"/>
    </row>
    <row r="943" spans="16:16" ht="15.75" customHeight="1" x14ac:dyDescent="0.3">
      <c r="P943" s="11"/>
    </row>
    <row r="944" spans="16:16" ht="15.75" customHeight="1" x14ac:dyDescent="0.3">
      <c r="P944" s="11"/>
    </row>
    <row r="945" spans="16:16" ht="15.75" customHeight="1" x14ac:dyDescent="0.3">
      <c r="P945" s="11"/>
    </row>
    <row r="946" spans="16:16" ht="15.75" customHeight="1" x14ac:dyDescent="0.3">
      <c r="P946" s="11"/>
    </row>
    <row r="947" spans="16:16" ht="15.75" customHeight="1" x14ac:dyDescent="0.3">
      <c r="P947" s="11"/>
    </row>
    <row r="948" spans="16:16" ht="15.75" customHeight="1" x14ac:dyDescent="0.3">
      <c r="P948" s="11"/>
    </row>
    <row r="949" spans="16:16" ht="15.75" customHeight="1" x14ac:dyDescent="0.3">
      <c r="P949" s="11"/>
    </row>
    <row r="950" spans="16:16" ht="15.75" customHeight="1" x14ac:dyDescent="0.3">
      <c r="P950" s="11"/>
    </row>
    <row r="951" spans="16:16" ht="15.75" customHeight="1" x14ac:dyDescent="0.3">
      <c r="P951" s="11"/>
    </row>
    <row r="952" spans="16:16" ht="15.75" customHeight="1" x14ac:dyDescent="0.3">
      <c r="P952" s="11"/>
    </row>
    <row r="953" spans="16:16" ht="15.75" customHeight="1" x14ac:dyDescent="0.3">
      <c r="P953" s="11"/>
    </row>
    <row r="954" spans="16:16" ht="15.75" customHeight="1" x14ac:dyDescent="0.3">
      <c r="P954" s="11"/>
    </row>
    <row r="955" spans="16:16" ht="15.75" customHeight="1" x14ac:dyDescent="0.3">
      <c r="P955" s="11"/>
    </row>
    <row r="956" spans="16:16" ht="15.75" customHeight="1" x14ac:dyDescent="0.3">
      <c r="P956" s="11"/>
    </row>
    <row r="957" spans="16:16" ht="15.75" customHeight="1" x14ac:dyDescent="0.3">
      <c r="P957" s="11"/>
    </row>
    <row r="958" spans="16:16" ht="15.75" customHeight="1" x14ac:dyDescent="0.3">
      <c r="P958" s="11"/>
    </row>
    <row r="959" spans="16:16" ht="15.75" customHeight="1" x14ac:dyDescent="0.3">
      <c r="P959" s="11"/>
    </row>
    <row r="960" spans="16:16" ht="15.75" customHeight="1" x14ac:dyDescent="0.3">
      <c r="P960" s="11"/>
    </row>
    <row r="961" spans="16:16" ht="15.75" customHeight="1" x14ac:dyDescent="0.3">
      <c r="P961" s="11"/>
    </row>
    <row r="962" spans="16:16" ht="15.75" customHeight="1" x14ac:dyDescent="0.3">
      <c r="P962" s="11"/>
    </row>
    <row r="963" spans="16:16" ht="15.75" customHeight="1" x14ac:dyDescent="0.3">
      <c r="P963" s="11"/>
    </row>
    <row r="964" spans="16:16" ht="15.75" customHeight="1" x14ac:dyDescent="0.3">
      <c r="P964" s="11"/>
    </row>
    <row r="965" spans="16:16" ht="15.75" customHeight="1" x14ac:dyDescent="0.3">
      <c r="P965" s="11"/>
    </row>
    <row r="966" spans="16:16" ht="15.75" customHeight="1" x14ac:dyDescent="0.3">
      <c r="P966" s="11"/>
    </row>
    <row r="967" spans="16:16" ht="15.75" customHeight="1" x14ac:dyDescent="0.3">
      <c r="P967" s="11"/>
    </row>
    <row r="968" spans="16:16" ht="15.75" customHeight="1" x14ac:dyDescent="0.3">
      <c r="P968" s="11"/>
    </row>
    <row r="969" spans="16:16" ht="15.75" customHeight="1" x14ac:dyDescent="0.3">
      <c r="P969" s="11"/>
    </row>
    <row r="970" spans="16:16" ht="15.75" customHeight="1" x14ac:dyDescent="0.3">
      <c r="P970" s="11"/>
    </row>
    <row r="971" spans="16:16" ht="15.75" customHeight="1" x14ac:dyDescent="0.3">
      <c r="P971" s="11"/>
    </row>
    <row r="972" spans="16:16" ht="15.75" customHeight="1" x14ac:dyDescent="0.3">
      <c r="P972" s="11"/>
    </row>
    <row r="973" spans="16:16" ht="15.75" customHeight="1" x14ac:dyDescent="0.3">
      <c r="P973" s="11"/>
    </row>
    <row r="974" spans="16:16" ht="15.75" customHeight="1" x14ac:dyDescent="0.3">
      <c r="P974" s="11"/>
    </row>
    <row r="975" spans="16:16" ht="15.75" customHeight="1" x14ac:dyDescent="0.3">
      <c r="P975" s="11"/>
    </row>
    <row r="976" spans="16:16" ht="15.75" customHeight="1" x14ac:dyDescent="0.3">
      <c r="P976" s="11"/>
    </row>
    <row r="977" spans="16:16" ht="15.75" customHeight="1" x14ac:dyDescent="0.3">
      <c r="P977" s="11"/>
    </row>
    <row r="978" spans="16:16" ht="15.75" customHeight="1" x14ac:dyDescent="0.3">
      <c r="P978" s="11"/>
    </row>
    <row r="979" spans="16:16" ht="15.75" customHeight="1" x14ac:dyDescent="0.3">
      <c r="P979" s="11"/>
    </row>
    <row r="980" spans="16:16" ht="15.75" customHeight="1" x14ac:dyDescent="0.3">
      <c r="P980" s="11"/>
    </row>
    <row r="981" spans="16:16" ht="15.75" customHeight="1" x14ac:dyDescent="0.3">
      <c r="P981" s="11"/>
    </row>
    <row r="982" spans="16:16" ht="15.75" customHeight="1" x14ac:dyDescent="0.3">
      <c r="P982" s="11"/>
    </row>
    <row r="983" spans="16:16" ht="15.75" customHeight="1" x14ac:dyDescent="0.3">
      <c r="P983" s="11"/>
    </row>
    <row r="984" spans="16:16" ht="15.75" customHeight="1" x14ac:dyDescent="0.3">
      <c r="P984" s="11"/>
    </row>
    <row r="985" spans="16:16" ht="15.75" customHeight="1" x14ac:dyDescent="0.3">
      <c r="P985" s="11"/>
    </row>
    <row r="986" spans="16:16" ht="15.75" customHeight="1" x14ac:dyDescent="0.3">
      <c r="P986" s="11"/>
    </row>
    <row r="987" spans="16:16" ht="15.75" customHeight="1" x14ac:dyDescent="0.3">
      <c r="P987" s="11"/>
    </row>
    <row r="988" spans="16:16" ht="15.75" customHeight="1" x14ac:dyDescent="0.3">
      <c r="P988" s="11"/>
    </row>
    <row r="989" spans="16:16" ht="15.75" customHeight="1" x14ac:dyDescent="0.3">
      <c r="P989" s="11"/>
    </row>
    <row r="990" spans="16:16" ht="15.75" customHeight="1" x14ac:dyDescent="0.3">
      <c r="P990" s="11"/>
    </row>
    <row r="991" spans="16:16" ht="15.75" customHeight="1" x14ac:dyDescent="0.3">
      <c r="P991" s="11"/>
    </row>
    <row r="992" spans="16:16" ht="15.75" customHeight="1" x14ac:dyDescent="0.3">
      <c r="P992" s="11"/>
    </row>
    <row r="993" spans="16:16" ht="15.75" customHeight="1" x14ac:dyDescent="0.3">
      <c r="P993" s="11"/>
    </row>
    <row r="994" spans="16:16" ht="15.75" customHeight="1" x14ac:dyDescent="0.3">
      <c r="P994" s="11"/>
    </row>
    <row r="995" spans="16:16" ht="15.75" customHeight="1" x14ac:dyDescent="0.3">
      <c r="P995" s="11"/>
    </row>
    <row r="996" spans="16:16" ht="15.75" customHeight="1" x14ac:dyDescent="0.3">
      <c r="P996" s="11"/>
    </row>
    <row r="997" spans="16:16" ht="15.75" customHeight="1" x14ac:dyDescent="0.3">
      <c r="P997" s="11"/>
    </row>
    <row r="998" spans="16:16" ht="15.75" customHeight="1" x14ac:dyDescent="0.3">
      <c r="P998" s="11"/>
    </row>
    <row r="999" spans="16:16" ht="15.75" customHeight="1" x14ac:dyDescent="0.3">
      <c r="P999" s="11"/>
    </row>
    <row r="1000" spans="16:16" ht="15.75" customHeight="1" x14ac:dyDescent="0.3">
      <c r="P1000" s="11"/>
    </row>
  </sheetData>
  <mergeCells count="6">
    <mergeCell ref="A33:C33"/>
    <mergeCell ref="A1:C1"/>
    <mergeCell ref="E5:G5"/>
    <mergeCell ref="A9:C9"/>
    <mergeCell ref="A21:C21"/>
    <mergeCell ref="A28:C28"/>
  </mergeCells>
  <hyperlinks>
    <hyperlink ref="E6" r:id="rId1" xr:uid="{00000000-0004-0000-0100-000000000000}"/>
    <hyperlink ref="E8" r:id="rId2" xr:uid="{00000000-0004-0000-0100-000001000000}"/>
    <hyperlink ref="A10" r:id="rId3" xr:uid="{00000000-0004-0000-0100-000002000000}"/>
    <hyperlink ref="A11" r:id="rId4" xr:uid="{00000000-0004-0000-0100-000003000000}"/>
    <hyperlink ref="A22" r:id="rId5" xr:uid="{00000000-0004-0000-0100-000004000000}"/>
    <hyperlink ref="A23" r:id="rId6" xr:uid="{00000000-0004-0000-0100-000005000000}"/>
    <hyperlink ref="A24" r:id="rId7" xr:uid="{00000000-0004-0000-0100-000006000000}"/>
    <hyperlink ref="A25" r:id="rId8" xr:uid="{00000000-0004-0000-0100-000007000000}"/>
    <hyperlink ref="A29" r:id="rId9" xr:uid="{00000000-0004-0000-0100-000008000000}"/>
    <hyperlink ref="A30" r:id="rId10" xr:uid="{00000000-0004-0000-0100-000009000000}"/>
    <hyperlink ref="E9" r:id="rId11" display="Wells Fargo - Pool" xr:uid="{447F31EB-DDF6-4407-9696-065E03C7FE91}"/>
    <hyperlink ref="E7" r:id="rId12" display="Lormet" xr:uid="{115BBF13-F01D-41E6-B0EF-46A6ACD8A052}"/>
    <hyperlink ref="E10" r:id="rId13" display="Wells Fargo - Deck" xr:uid="{176CD373-BD22-41C1-83E4-FE88E9626C26}"/>
    <hyperlink ref="E11" r:id="rId14" xr:uid="{BD51C313-7641-4E5E-8F0C-3820B93045B1}"/>
  </hyperlinks>
  <pageMargins left="0.7" right="0.7" top="0.75" bottom="0.75" header="0" footer="0"/>
  <pageSetup orientation="portrait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W1000"/>
  <sheetViews>
    <sheetView zoomScale="90" zoomScaleNormal="90" workbookViewId="0">
      <selection activeCell="M32" sqref="M32"/>
    </sheetView>
  </sheetViews>
  <sheetFormatPr defaultColWidth="14.44140625" defaultRowHeight="15" customHeight="1" x14ac:dyDescent="0.3"/>
  <cols>
    <col min="1" max="1" width="12.88671875" customWidth="1"/>
    <col min="2" max="2" width="13.44140625" customWidth="1"/>
    <col min="3" max="3" width="7.6640625" customWidth="1"/>
    <col min="4" max="4" width="13.44140625" customWidth="1"/>
    <col min="5" max="5" width="8.6640625" customWidth="1"/>
    <col min="6" max="6" width="7.33203125" customWidth="1"/>
    <col min="7" max="7" width="25.88671875" customWidth="1"/>
    <col min="8" max="8" width="12.33203125" customWidth="1"/>
    <col min="9" max="9" width="7.6640625" customWidth="1"/>
    <col min="10" max="10" width="12.33203125" customWidth="1"/>
    <col min="11" max="11" width="8.44140625" customWidth="1"/>
    <col min="12" max="12" width="8.6640625" customWidth="1"/>
    <col min="13" max="13" width="28.44140625" customWidth="1"/>
    <col min="14" max="14" width="12.33203125" customWidth="1"/>
    <col min="15" max="15" width="7.6640625" customWidth="1"/>
    <col min="16" max="16" width="12.33203125" customWidth="1"/>
    <col min="17" max="17" width="8.44140625" customWidth="1"/>
    <col min="18" max="18" width="8.6640625" customWidth="1"/>
    <col min="19" max="19" width="22.6640625" customWidth="1"/>
    <col min="20" max="20" width="12.33203125" customWidth="1"/>
    <col min="21" max="21" width="7.6640625" customWidth="1"/>
    <col min="22" max="22" width="12.44140625" customWidth="1"/>
    <col min="23" max="23" width="9.44140625" customWidth="1"/>
  </cols>
  <sheetData>
    <row r="1" spans="1:23" ht="14.4" x14ac:dyDescent="0.3">
      <c r="A1" s="5"/>
      <c r="B1" s="557" t="s">
        <v>36</v>
      </c>
      <c r="C1" s="556"/>
      <c r="D1" s="558" t="s">
        <v>140</v>
      </c>
      <c r="E1" s="552"/>
      <c r="G1" s="96"/>
      <c r="H1" s="555" t="s">
        <v>36</v>
      </c>
      <c r="I1" s="556"/>
      <c r="J1" s="554" t="s">
        <v>140</v>
      </c>
      <c r="K1" s="552"/>
      <c r="M1" s="96"/>
      <c r="N1" s="555" t="s">
        <v>36</v>
      </c>
      <c r="O1" s="556"/>
      <c r="P1" s="554" t="s">
        <v>140</v>
      </c>
      <c r="Q1" s="552"/>
      <c r="S1" s="96"/>
      <c r="T1" s="555" t="s">
        <v>36</v>
      </c>
      <c r="U1" s="556"/>
      <c r="V1" s="554" t="s">
        <v>140</v>
      </c>
      <c r="W1" s="552"/>
    </row>
    <row r="2" spans="1:23" ht="14.4" x14ac:dyDescent="0.3">
      <c r="A2" s="13" t="s">
        <v>141</v>
      </c>
      <c r="B2" s="14">
        <f>SUM(B4:B7)</f>
        <v>204806.20206191996</v>
      </c>
      <c r="C2" s="97"/>
      <c r="D2" s="30">
        <f>SUM(D4:D7)</f>
        <v>92486.91</v>
      </c>
      <c r="E2" s="20"/>
      <c r="G2" s="98" t="s">
        <v>142</v>
      </c>
      <c r="H2" s="99">
        <f>SUM(H4:H30)</f>
        <v>88260</v>
      </c>
      <c r="I2" s="100">
        <f>H2/B2</f>
        <v>0.43094398075560214</v>
      </c>
      <c r="J2" s="101">
        <f>SUM(J4:J30)</f>
        <v>46545.084999999992</v>
      </c>
      <c r="K2" s="102">
        <f>J2/D2</f>
        <v>0.50326132638662047</v>
      </c>
      <c r="M2" s="98" t="s">
        <v>143</v>
      </c>
      <c r="N2" s="99">
        <f>SUM(N4:N19)</f>
        <v>67740</v>
      </c>
      <c r="O2" s="100">
        <f>N2/B2</f>
        <v>0.33075170242901075</v>
      </c>
      <c r="P2" s="101">
        <f>SUM(P4:P19)</f>
        <v>38190.134999999995</v>
      </c>
      <c r="Q2" s="102">
        <f>P2/D2</f>
        <v>0.41292475875775281</v>
      </c>
      <c r="S2" s="98" t="s">
        <v>144</v>
      </c>
      <c r="T2" s="103">
        <f>SUM(T4:T7)</f>
        <v>48806.202061919961</v>
      </c>
      <c r="U2" s="100">
        <f>T2/B2</f>
        <v>0.23830431681538711</v>
      </c>
      <c r="V2" s="104">
        <f>SUM(V4:V7)</f>
        <v>7751.6900000000078</v>
      </c>
      <c r="W2" s="102">
        <f>V2/D2</f>
        <v>8.3813914855626684E-2</v>
      </c>
    </row>
    <row r="3" spans="1:23" ht="14.4" x14ac:dyDescent="0.3">
      <c r="A3" s="13"/>
      <c r="B3" s="14"/>
      <c r="C3" s="97"/>
      <c r="D3" s="30"/>
      <c r="E3" s="20"/>
      <c r="G3" s="105"/>
      <c r="H3" s="106"/>
      <c r="I3" s="107"/>
      <c r="J3" s="108"/>
      <c r="K3" s="109"/>
      <c r="M3" s="105"/>
      <c r="N3" s="106"/>
      <c r="O3" s="107"/>
      <c r="P3" s="108"/>
      <c r="Q3" s="109"/>
      <c r="S3" s="98"/>
      <c r="T3" s="103"/>
      <c r="U3" s="110"/>
      <c r="V3" s="104"/>
      <c r="W3" s="102"/>
    </row>
    <row r="4" spans="1:23" ht="14.4" x14ac:dyDescent="0.3">
      <c r="A4" s="13" t="s">
        <v>145</v>
      </c>
      <c r="B4" s="14">
        <f>'Proposed Budget'!N68</f>
        <v>110347.83093191999</v>
      </c>
      <c r="C4" s="97">
        <f t="shared" ref="C4:C7" si="0">B4/$B$2</f>
        <v>0.53879145172839071</v>
      </c>
      <c r="D4" s="30">
        <f>'Monthly Breakdown'!E49</f>
        <v>49281.78</v>
      </c>
      <c r="E4" s="20">
        <f t="shared" ref="E4:E7" si="1">D4/$D$2</f>
        <v>0.53285140567459754</v>
      </c>
      <c r="G4" s="541" t="str">
        <f>'Proposed Budget'!C5</f>
        <v>Groceries/Household</v>
      </c>
      <c r="H4" s="542">
        <f>'Proposed Budget'!F5</f>
        <v>14400</v>
      </c>
      <c r="I4" s="543">
        <f>H4/$B$2</f>
        <v>7.0310370755502727E-2</v>
      </c>
      <c r="J4" s="544">
        <f>'Monthly Breakdown'!E5</f>
        <v>6447.75</v>
      </c>
      <c r="K4" s="545">
        <f>J4/$D$2</f>
        <v>6.9715271058358425E-2</v>
      </c>
      <c r="M4" s="541" t="str">
        <f>'Proposed Budget'!C6</f>
        <v>Dining Out</v>
      </c>
      <c r="N4" s="542">
        <f>'Proposed Budget'!F6</f>
        <v>14400</v>
      </c>
      <c r="O4" s="543">
        <f t="shared" ref="O4:O12" si="2">N4/$B$2</f>
        <v>7.0310370755502727E-2</v>
      </c>
      <c r="P4" s="544">
        <f>'Monthly Breakdown'!E6</f>
        <v>6127.7999999999993</v>
      </c>
      <c r="Q4" s="545">
        <f t="shared" ref="Q4:Q12" si="3">P4/$D$2</f>
        <v>6.6255862586391948E-2</v>
      </c>
      <c r="S4" s="98" t="str">
        <f>'Proposed Budget'!C46</f>
        <v>Our Savings</v>
      </c>
      <c r="T4" s="103">
        <f>'Proposed Budget'!F46</f>
        <v>48206.202061919961</v>
      </c>
      <c r="U4" s="100">
        <f t="shared" ref="U4:U5" si="4">T4/$B$2</f>
        <v>0.23537471803390783</v>
      </c>
      <c r="V4" s="104">
        <f>'Monthly Breakdown'!E46</f>
        <v>18046.309999999998</v>
      </c>
      <c r="W4" s="102">
        <f t="shared" ref="W4:W7" si="5">V4/$D$2</f>
        <v>0.19512285576412919</v>
      </c>
    </row>
    <row r="5" spans="1:23" ht="14.4" x14ac:dyDescent="0.3">
      <c r="A5" s="13" t="s">
        <v>146</v>
      </c>
      <c r="B5" s="14">
        <f>'Proposed Budget'!N44</f>
        <v>71858.371129999985</v>
      </c>
      <c r="C5" s="97">
        <f t="shared" si="0"/>
        <v>0.35086032750255641</v>
      </c>
      <c r="D5" s="30">
        <f>'Monthly Breakdown'!E50</f>
        <v>33745.85</v>
      </c>
      <c r="E5" s="20">
        <f t="shared" si="1"/>
        <v>0.36487163426694652</v>
      </c>
      <c r="G5" s="541" t="str">
        <f>'Proposed Budget'!C7</f>
        <v>Misc Food</v>
      </c>
      <c r="H5" s="542">
        <f>'Proposed Budget'!F7*0.5</f>
        <v>900</v>
      </c>
      <c r="I5" s="543">
        <f>H5/$B$2</f>
        <v>4.3943981722189204E-3</v>
      </c>
      <c r="J5" s="544">
        <f>'Monthly Breakdown'!E7*0.5</f>
        <v>353.72499999999997</v>
      </c>
      <c r="K5" s="545">
        <f t="shared" ref="K5:K30" si="6">J5/$D$2</f>
        <v>3.8245952859707385E-3</v>
      </c>
      <c r="M5" s="541" t="str">
        <f>'Proposed Budget'!C7</f>
        <v>Misc Food</v>
      </c>
      <c r="N5" s="542">
        <f>'Proposed Budget'!F7*0.5</f>
        <v>900</v>
      </c>
      <c r="O5" s="543">
        <f>N5/$B$2</f>
        <v>4.3943981722189204E-3</v>
      </c>
      <c r="P5" s="544">
        <f>'Monthly Breakdown'!E7*0.5</f>
        <v>353.72499999999997</v>
      </c>
      <c r="Q5" s="545">
        <f>P5/$D$2</f>
        <v>3.8245952859707385E-3</v>
      </c>
      <c r="S5" s="98" t="str">
        <f>'Proposed Budget'!C45</f>
        <v>Kids Savings</v>
      </c>
      <c r="T5" s="103">
        <f>'Proposed Budget'!F45</f>
        <v>600</v>
      </c>
      <c r="U5" s="100">
        <f t="shared" si="4"/>
        <v>2.9295987814792804E-3</v>
      </c>
      <c r="V5" s="104">
        <f>'Monthly Breakdown'!E45</f>
        <v>300</v>
      </c>
      <c r="W5" s="102">
        <f t="shared" si="5"/>
        <v>3.2437022709483967E-3</v>
      </c>
    </row>
    <row r="6" spans="1:23" ht="14.4" x14ac:dyDescent="0.3">
      <c r="A6" s="13" t="s">
        <v>147</v>
      </c>
      <c r="B6" s="14">
        <f>'Proposed Budget'!J21</f>
        <v>13000</v>
      </c>
      <c r="C6" s="97">
        <f t="shared" si="0"/>
        <v>6.3474640265384408E-2</v>
      </c>
      <c r="D6" s="30">
        <f>'Monthly Breakdown'!E51</f>
        <v>5459.2800000000007</v>
      </c>
      <c r="E6" s="20">
        <f t="shared" si="1"/>
        <v>5.902759644581055E-2</v>
      </c>
      <c r="G6" s="541" t="str">
        <f>'Proposed Budget'!C8</f>
        <v>Gasoline</v>
      </c>
      <c r="H6" s="542">
        <f>'Proposed Budget'!F8</f>
        <v>7200</v>
      </c>
      <c r="I6" s="543">
        <f>H6/$B$2</f>
        <v>3.5155185377751363E-2</v>
      </c>
      <c r="J6" s="544">
        <f>'Monthly Breakdown'!E8</f>
        <v>3563.09</v>
      </c>
      <c r="K6" s="545">
        <f>J6/$D$2</f>
        <v>3.852534374864508E-2</v>
      </c>
      <c r="M6" s="541" t="str">
        <f>'Proposed Budget'!C9</f>
        <v>Family Entertainment</v>
      </c>
      <c r="N6" s="542">
        <f>'Proposed Budget'!F9</f>
        <v>8400</v>
      </c>
      <c r="O6" s="543">
        <f t="shared" si="2"/>
        <v>4.1014382940709929E-2</v>
      </c>
      <c r="P6" s="544">
        <f>'Monthly Breakdown'!E9</f>
        <v>3912.2999999999997</v>
      </c>
      <c r="Q6" s="545">
        <f t="shared" si="3"/>
        <v>4.2301121315438041E-2</v>
      </c>
      <c r="S6" s="98" t="s">
        <v>148</v>
      </c>
      <c r="T6" s="103"/>
      <c r="U6" s="100"/>
      <c r="V6" s="104">
        <f>'Budget Breakdown'!T16</f>
        <v>5427.4300000000076</v>
      </c>
      <c r="W6" s="102">
        <f t="shared" si="5"/>
        <v>5.8683223388044936E-2</v>
      </c>
    </row>
    <row r="7" spans="1:23" ht="14.4" x14ac:dyDescent="0.3">
      <c r="A7" s="21" t="s">
        <v>149</v>
      </c>
      <c r="B7" s="33">
        <f>'Proposed Budget'!J22</f>
        <v>9600</v>
      </c>
      <c r="C7" s="111">
        <f t="shared" si="0"/>
        <v>4.6873580503668487E-2</v>
      </c>
      <c r="D7" s="44">
        <f>'Monthly Breakdown'!E52</f>
        <v>4000</v>
      </c>
      <c r="E7" s="34">
        <f t="shared" si="1"/>
        <v>4.3249363612645288E-2</v>
      </c>
      <c r="G7" s="541" t="str">
        <f>'Proposed Budget'!C14</f>
        <v>Rocket Mortgage</v>
      </c>
      <c r="H7" s="542">
        <f>'Proposed Budget'!F14</f>
        <v>15420</v>
      </c>
      <c r="I7" s="543">
        <f t="shared" ref="I7:I30" si="7">H7/$B$2</f>
        <v>7.5290688684017504E-2</v>
      </c>
      <c r="J7" s="544">
        <f>'Monthly Breakdown'!E14</f>
        <v>7589.48</v>
      </c>
      <c r="K7" s="545">
        <f t="shared" si="6"/>
        <v>8.2060045037724794E-2</v>
      </c>
      <c r="M7" s="541" t="str">
        <f>'Proposed Budget'!C10</f>
        <v>Miscellaneous Spending</v>
      </c>
      <c r="N7" s="542">
        <f>'Proposed Budget'!F10</f>
        <v>10800</v>
      </c>
      <c r="O7" s="543">
        <f>N7/$B$2</f>
        <v>5.2732778066627045E-2</v>
      </c>
      <c r="P7" s="544">
        <f>'Monthly Breakdown'!E10</f>
        <v>4313.04</v>
      </c>
      <c r="Q7" s="545">
        <f>P7/$D$2</f>
        <v>4.663405880897091E-2</v>
      </c>
      <c r="S7" s="112" t="s">
        <v>150</v>
      </c>
      <c r="T7" s="113"/>
      <c r="U7" s="114"/>
      <c r="V7" s="115">
        <f>'Savings Transaction Log'!I2+'Savings Transaction Log'!K2+'Savings Transaction Log'!M2+'Savings Transaction Log'!O2+'Savings Transaction Log'!Q2+'Savings Transaction Log'!S2+'Savings Transaction Log'!U2+'Savings Transaction Log'!W2+'Savings Transaction Log'!Y2+'Savings Transaction Log'!AA2+'Savings Transaction Log'!AC2</f>
        <v>-16022.049999999997</v>
      </c>
      <c r="W7" s="116">
        <f t="shared" si="5"/>
        <v>-0.17323586656749584</v>
      </c>
    </row>
    <row r="8" spans="1:23" ht="14.4" x14ac:dyDescent="0.3">
      <c r="B8" s="7"/>
      <c r="C8" s="117"/>
      <c r="D8" s="39"/>
      <c r="E8" s="50"/>
      <c r="G8" s="541" t="str">
        <f>'Proposed Budget'!C15</f>
        <v>EH Roberts</v>
      </c>
      <c r="H8" s="542">
        <f>'Proposed Budget'!F15</f>
        <v>240</v>
      </c>
      <c r="I8" s="543">
        <f t="shared" ref="I8:I16" si="8">H8/$B$2</f>
        <v>1.1718395125917122E-3</v>
      </c>
      <c r="J8" s="544">
        <f>'Monthly Breakdown'!E15</f>
        <v>89.5</v>
      </c>
      <c r="K8" s="545">
        <f t="shared" ref="K8:K16" si="9">J8/$D$2</f>
        <v>9.6770451083293834E-4</v>
      </c>
      <c r="M8" s="541" t="str">
        <f>'Proposed Budget'!C11</f>
        <v>Department Stores/Clothes</v>
      </c>
      <c r="N8" s="542">
        <f>'Proposed Budget'!F11</f>
        <v>4200</v>
      </c>
      <c r="O8" s="543">
        <f>N8/$B$2</f>
        <v>2.0507191470354964E-2</v>
      </c>
      <c r="P8" s="544">
        <f>'Monthly Breakdown'!E11</f>
        <v>2164.16</v>
      </c>
      <c r="Q8" s="545">
        <f>P8/$D$2</f>
        <v>2.3399635688985607E-2</v>
      </c>
      <c r="T8" s="7"/>
      <c r="U8" s="11"/>
      <c r="V8" s="7"/>
      <c r="W8" s="50"/>
    </row>
    <row r="9" spans="1:23" ht="14.4" x14ac:dyDescent="0.3">
      <c r="D9" s="39"/>
      <c r="E9" s="50"/>
      <c r="G9" s="541" t="str">
        <f>'Proposed Budget'!C16</f>
        <v>Verizon Wireless</v>
      </c>
      <c r="H9" s="542">
        <f>'Proposed Budget'!F16</f>
        <v>3240</v>
      </c>
      <c r="I9" s="543">
        <f t="shared" si="8"/>
        <v>1.5819833419988116E-2</v>
      </c>
      <c r="J9" s="544">
        <f>'Monthly Breakdown'!E16</f>
        <v>1552.3700000000001</v>
      </c>
      <c r="K9" s="545">
        <f t="shared" si="9"/>
        <v>1.6784753647840545E-2</v>
      </c>
      <c r="M9" s="541" t="str">
        <f>'Proposed Budget'!C12</f>
        <v>Alcohol/Bars</v>
      </c>
      <c r="N9" s="542">
        <f>'Proposed Budget'!F12</f>
        <v>8400</v>
      </c>
      <c r="O9" s="543">
        <f t="shared" si="2"/>
        <v>4.1014382940709929E-2</v>
      </c>
      <c r="P9" s="544">
        <f>'Monthly Breakdown'!E12</f>
        <v>4210.6100000000006</v>
      </c>
      <c r="Q9" s="545">
        <f t="shared" si="3"/>
        <v>4.5526550730260101E-2</v>
      </c>
      <c r="T9" s="7"/>
      <c r="U9" s="11"/>
      <c r="V9" s="7"/>
      <c r="W9" s="50"/>
    </row>
    <row r="10" spans="1:23" ht="14.4" x14ac:dyDescent="0.3">
      <c r="A10" s="65"/>
      <c r="D10" s="39"/>
      <c r="E10" s="50"/>
      <c r="G10" s="541" t="str">
        <f>'Proposed Budget'!C17</f>
        <v>Spectrum TV/Internet</v>
      </c>
      <c r="H10" s="542">
        <f>'Proposed Budget'!F17*0.5</f>
        <v>1230</v>
      </c>
      <c r="I10" s="543">
        <f t="shared" si="8"/>
        <v>6.005677502032525E-3</v>
      </c>
      <c r="J10" s="544">
        <f>'Monthly Breakdown'!E17*0.5</f>
        <v>516.495</v>
      </c>
      <c r="K10" s="545">
        <f t="shared" si="9"/>
        <v>5.584520014778307E-3</v>
      </c>
      <c r="M10" s="541" t="str">
        <f>'Proposed Budget'!C17</f>
        <v>Spectrum TV/Internet</v>
      </c>
      <c r="N10" s="542">
        <f>'Proposed Budget'!F17*0.5</f>
        <v>1230</v>
      </c>
      <c r="O10" s="543">
        <f>N10/$B$2</f>
        <v>6.005677502032525E-3</v>
      </c>
      <c r="P10" s="544">
        <f>'Monthly Breakdown'!E17*0.5</f>
        <v>516.495</v>
      </c>
      <c r="Q10" s="545">
        <f>P10/$D$2</f>
        <v>5.584520014778307E-3</v>
      </c>
      <c r="T10" s="7"/>
      <c r="U10" s="11"/>
      <c r="V10" s="7"/>
      <c r="W10" s="50"/>
    </row>
    <row r="11" spans="1:23" ht="14.4" x14ac:dyDescent="0.3">
      <c r="A11" s="65"/>
      <c r="D11" s="39"/>
      <c r="E11" s="50"/>
      <c r="G11" s="541" t="str">
        <f>'Proposed Budget'!C18</f>
        <v>First Energy</v>
      </c>
      <c r="H11" s="542">
        <f>'Proposed Budget'!F18</f>
        <v>2160</v>
      </c>
      <c r="I11" s="543">
        <f t="shared" si="8"/>
        <v>1.0546555613325409E-2</v>
      </c>
      <c r="J11" s="544">
        <f>'Monthly Breakdown'!E18</f>
        <v>811.31999999999994</v>
      </c>
      <c r="K11" s="545">
        <f t="shared" si="9"/>
        <v>8.7722684215528444E-3</v>
      </c>
      <c r="M11" s="541" t="str">
        <f>'Proposed Budget'!C22</f>
        <v>Planet Fitness</v>
      </c>
      <c r="N11" s="542">
        <f>'Proposed Budget'!F22</f>
        <v>1740</v>
      </c>
      <c r="O11" s="543">
        <f>N11/$B$2</f>
        <v>8.4958364662899126E-3</v>
      </c>
      <c r="P11" s="544">
        <f>'Monthly Breakdown'!E22</f>
        <v>1029.83</v>
      </c>
      <c r="Q11" s="545">
        <f>P11/$D$2</f>
        <v>1.1134873032302624E-2</v>
      </c>
      <c r="T11" s="7"/>
      <c r="U11" s="11"/>
      <c r="V11" s="7"/>
      <c r="W11" s="50"/>
    </row>
    <row r="12" spans="1:23" ht="14.4" x14ac:dyDescent="0.3">
      <c r="D12" s="39"/>
      <c r="E12" s="50"/>
      <c r="G12" s="541" t="str">
        <f>'Proposed Budget'!C19</f>
        <v>Vivint Home Security</v>
      </c>
      <c r="H12" s="542">
        <f>'Proposed Budget'!F19</f>
        <v>1680</v>
      </c>
      <c r="I12" s="543">
        <f t="shared" si="8"/>
        <v>8.2028765881419843E-3</v>
      </c>
      <c r="J12" s="544">
        <f>'Monthly Breakdown'!E19</f>
        <v>816.99</v>
      </c>
      <c r="K12" s="545">
        <f t="shared" si="9"/>
        <v>8.8335743944737699E-3</v>
      </c>
      <c r="M12" s="541" t="str">
        <f>'Proposed Budget'!C23</f>
        <v>Lowes Rewards</v>
      </c>
      <c r="N12" s="542">
        <f>'Proposed Budget'!F23*0.5</f>
        <v>2400</v>
      </c>
      <c r="O12" s="543">
        <f t="shared" si="2"/>
        <v>1.1718395125917122E-2</v>
      </c>
      <c r="P12" s="544">
        <f>'Monthly Breakdown'!E23*0.5</f>
        <v>1000</v>
      </c>
      <c r="Q12" s="545">
        <f t="shared" si="3"/>
        <v>1.0812340903161322E-2</v>
      </c>
      <c r="T12" s="7"/>
      <c r="U12" s="11"/>
      <c r="V12" s="7"/>
      <c r="W12" s="50"/>
    </row>
    <row r="13" spans="1:23" ht="14.4" x14ac:dyDescent="0.3">
      <c r="A13" s="118"/>
      <c r="D13" s="39"/>
      <c r="E13" s="50"/>
      <c r="G13" s="541" t="str">
        <f>'Proposed Budget'!C20</f>
        <v>Columbia Gas</v>
      </c>
      <c r="H13" s="542">
        <f>'Proposed Budget'!F20</f>
        <v>1200</v>
      </c>
      <c r="I13" s="543">
        <f t="shared" si="8"/>
        <v>5.8591975629585609E-3</v>
      </c>
      <c r="J13" s="544">
        <f>'Monthly Breakdown'!E20</f>
        <v>728.25</v>
      </c>
      <c r="K13" s="545">
        <f t="shared" si="9"/>
        <v>7.8740872627272324E-3</v>
      </c>
      <c r="M13" s="541" t="str">
        <f>'Proposed Budget'!C24</f>
        <v>Wells Fargo - Pool</v>
      </c>
      <c r="N13" s="542">
        <f>'Proposed Budget'!F24</f>
        <v>2400</v>
      </c>
      <c r="O13" s="543">
        <f t="shared" ref="O13:O18" si="10">N13/$B$2</f>
        <v>1.1718395125917122E-2</v>
      </c>
      <c r="P13" s="544">
        <f>'Monthly Breakdown'!E24</f>
        <v>1200</v>
      </c>
      <c r="Q13" s="545">
        <f t="shared" ref="Q13:Q18" si="11">P13/$D$2</f>
        <v>1.2974809083793587E-2</v>
      </c>
      <c r="T13" s="7"/>
      <c r="U13" s="11"/>
      <c r="V13" s="7"/>
      <c r="W13" s="50"/>
    </row>
    <row r="14" spans="1:23" ht="14.4" x14ac:dyDescent="0.3">
      <c r="D14" s="39"/>
      <c r="E14" s="50"/>
      <c r="G14" s="541" t="str">
        <f>'Proposed Budget'!C21</f>
        <v>Medical Bills</v>
      </c>
      <c r="H14" s="542">
        <f>'Proposed Budget'!F21</f>
        <v>0</v>
      </c>
      <c r="I14" s="543">
        <f t="shared" si="8"/>
        <v>0</v>
      </c>
      <c r="J14" s="544">
        <f>'Monthly Breakdown'!E21</f>
        <v>897.36999999999989</v>
      </c>
      <c r="K14" s="545">
        <f t="shared" si="9"/>
        <v>9.7026703562698748E-3</v>
      </c>
      <c r="M14" s="541" t="str">
        <f>'Proposed Budget'!C25</f>
        <v>Wells Fargo - Deck</v>
      </c>
      <c r="N14" s="542">
        <f>'Proposed Budget'!F25*0.5</f>
        <v>3600</v>
      </c>
      <c r="O14" s="543">
        <f t="shared" si="10"/>
        <v>1.7577592688875682E-2</v>
      </c>
      <c r="P14" s="544">
        <f>'Monthly Breakdown'!E25*0.5</f>
        <v>300</v>
      </c>
      <c r="Q14" s="545">
        <f t="shared" si="11"/>
        <v>3.2437022709483967E-3</v>
      </c>
      <c r="T14" s="7"/>
      <c r="U14" s="11"/>
      <c r="V14" s="7"/>
      <c r="W14" s="50"/>
    </row>
    <row r="15" spans="1:23" ht="14.4" x14ac:dyDescent="0.3">
      <c r="D15" s="39"/>
      <c r="E15" s="50"/>
      <c r="G15" s="541" t="str">
        <f>'Proposed Budget'!C23</f>
        <v>Lowes Rewards</v>
      </c>
      <c r="H15" s="542">
        <f>'Proposed Budget'!F23*0.5</f>
        <v>2400</v>
      </c>
      <c r="I15" s="543">
        <f t="shared" si="8"/>
        <v>1.1718395125917122E-2</v>
      </c>
      <c r="J15" s="544">
        <f>'Monthly Breakdown'!E23*0.5</f>
        <v>1000</v>
      </c>
      <c r="K15" s="545">
        <f t="shared" si="9"/>
        <v>1.0812340903161322E-2</v>
      </c>
      <c r="M15" s="541" t="str">
        <f>'Proposed Budget'!C26</f>
        <v>Massage Envy</v>
      </c>
      <c r="N15" s="542">
        <f>'Proposed Budget'!F26</f>
        <v>1020</v>
      </c>
      <c r="O15" s="543">
        <f t="shared" si="10"/>
        <v>4.9803179285147769E-3</v>
      </c>
      <c r="P15" s="544">
        <f>'Monthly Breakdown'!E26</f>
        <v>482.05999999999995</v>
      </c>
      <c r="Q15" s="545">
        <f t="shared" si="11"/>
        <v>5.2121970557779465E-3</v>
      </c>
      <c r="T15" s="7"/>
      <c r="U15" s="11"/>
      <c r="V15" s="7"/>
      <c r="W15" s="50"/>
    </row>
    <row r="16" spans="1:23" ht="14.4" x14ac:dyDescent="0.3">
      <c r="D16" s="39"/>
      <c r="E16" s="50"/>
      <c r="G16" s="541" t="str">
        <f>'Proposed Budget'!C25</f>
        <v>Wells Fargo - Deck</v>
      </c>
      <c r="H16" s="542">
        <f>'Proposed Budget'!F25*0.5</f>
        <v>3600</v>
      </c>
      <c r="I16" s="543">
        <f t="shared" si="8"/>
        <v>1.7577592688875682E-2</v>
      </c>
      <c r="J16" s="544">
        <f>'Monthly Breakdown'!E25*0.5</f>
        <v>300</v>
      </c>
      <c r="K16" s="545">
        <f t="shared" si="9"/>
        <v>3.2437022709483967E-3</v>
      </c>
      <c r="M16" s="541" t="str">
        <f>'Proposed Budget'!C27</f>
        <v>Streaming/Music</v>
      </c>
      <c r="N16" s="542">
        <f>'Proposed Budget'!F27</f>
        <v>1200</v>
      </c>
      <c r="O16" s="543">
        <f t="shared" si="10"/>
        <v>5.8591975629585609E-3</v>
      </c>
      <c r="P16" s="544">
        <f>'Monthly Breakdown'!E27</f>
        <v>609.87</v>
      </c>
      <c r="Q16" s="545">
        <f t="shared" si="11"/>
        <v>6.594122346610996E-3</v>
      </c>
      <c r="T16" s="7"/>
      <c r="U16" s="11"/>
      <c r="V16" s="7"/>
      <c r="W16" s="50"/>
    </row>
    <row r="17" spans="7:17" ht="14.4" x14ac:dyDescent="0.3">
      <c r="G17" s="541" t="str">
        <f>'Proposed Budget'!C28</f>
        <v>GM Financial/Toyota</v>
      </c>
      <c r="H17" s="542">
        <f>'Proposed Budget'!F28</f>
        <v>14400</v>
      </c>
      <c r="I17" s="543">
        <f t="shared" si="7"/>
        <v>7.0310370755502727E-2</v>
      </c>
      <c r="J17" s="544">
        <f>'Monthly Breakdown'!E28</f>
        <v>6501.5600000000013</v>
      </c>
      <c r="K17" s="545">
        <f t="shared" si="6"/>
        <v>7.0297083122357537E-2</v>
      </c>
      <c r="M17" s="541" t="str">
        <f>'Proposed Budget'!C38</f>
        <v>Camping/Vacation</v>
      </c>
      <c r="N17" s="542">
        <f>'Proposed Budget'!F38</f>
        <v>4800</v>
      </c>
      <c r="O17" s="543">
        <f t="shared" si="10"/>
        <v>2.3436790251834243E-2</v>
      </c>
      <c r="P17" s="544">
        <f>'Savings Transaction Log'!R5</f>
        <v>3824.78</v>
      </c>
      <c r="Q17" s="545">
        <f t="shared" si="11"/>
        <v>4.1354825239593364E-2</v>
      </c>
    </row>
    <row r="18" spans="7:17" ht="14.4" x14ac:dyDescent="0.3">
      <c r="G18" s="541" t="str">
        <f>'Proposed Budget'!C29</f>
        <v>Ohio Turnpike</v>
      </c>
      <c r="H18" s="542">
        <f>'Proposed Budget'!F29</f>
        <v>1440</v>
      </c>
      <c r="I18" s="543">
        <f t="shared" ref="I18:I25" si="12">H18/$B$2</f>
        <v>7.031037075550273E-3</v>
      </c>
      <c r="J18" s="544">
        <f>'Monthly Breakdown'!E29</f>
        <v>553.66</v>
      </c>
      <c r="K18" s="545">
        <f t="shared" ref="K18:K25" si="13">J18/$D$2</f>
        <v>5.9863606644442978E-3</v>
      </c>
      <c r="M18" s="541" t="str">
        <f>'Proposed Budget'!C39</f>
        <v>Home Maintenance</v>
      </c>
      <c r="N18" s="542">
        <f>'Proposed Budget'!F39*0.5</f>
        <v>2250</v>
      </c>
      <c r="O18" s="543">
        <f t="shared" si="10"/>
        <v>1.0985995430547301E-2</v>
      </c>
      <c r="P18" s="544">
        <f>'Savings Transaction Log'!T5*0.5</f>
        <v>8145.4649999999992</v>
      </c>
      <c r="Q18" s="545">
        <f t="shared" si="11"/>
        <v>8.8071544394768941E-2</v>
      </c>
    </row>
    <row r="19" spans="7:17" ht="14.4" x14ac:dyDescent="0.3">
      <c r="G19" s="541" t="str">
        <f>'Proposed Budget'!C30</f>
        <v>Water Bill - Main</v>
      </c>
      <c r="H19" s="542">
        <f>'Proposed Budget'!F30</f>
        <v>900</v>
      </c>
      <c r="I19" s="543">
        <f t="shared" si="12"/>
        <v>4.3943981722189204E-3</v>
      </c>
      <c r="J19" s="544">
        <f>'Monthly Breakdown'!E30</f>
        <v>434.57</v>
      </c>
      <c r="K19" s="545">
        <f t="shared" si="13"/>
        <v>4.6987189862868163E-3</v>
      </c>
      <c r="N19" s="11"/>
      <c r="O19" s="11"/>
      <c r="P19" s="11"/>
      <c r="Q19" s="11"/>
    </row>
    <row r="20" spans="7:17" ht="14.4" x14ac:dyDescent="0.3">
      <c r="G20" s="541" t="str">
        <f>'Proposed Budget'!C31</f>
        <v>Water Bill - Rental</v>
      </c>
      <c r="H20" s="542">
        <f>'Proposed Budget'!F31</f>
        <v>900</v>
      </c>
      <c r="I20" s="543">
        <f t="shared" si="12"/>
        <v>4.3943981722189204E-3</v>
      </c>
      <c r="J20" s="544">
        <f>'Monthly Breakdown'!E31</f>
        <v>337.15</v>
      </c>
      <c r="K20" s="545">
        <f t="shared" si="13"/>
        <v>3.6453807355008396E-3</v>
      </c>
      <c r="N20" s="39"/>
      <c r="O20" s="50"/>
      <c r="P20" s="39"/>
      <c r="Q20" s="50"/>
    </row>
    <row r="21" spans="7:17" ht="15.75" customHeight="1" x14ac:dyDescent="0.3">
      <c r="G21" s="541" t="str">
        <f>'Proposed Budget'!C33</f>
        <v>Vehicle Maintenance</v>
      </c>
      <c r="H21" s="542">
        <f>'Proposed Budget'!F33</f>
        <v>4200</v>
      </c>
      <c r="I21" s="543">
        <f t="shared" si="12"/>
        <v>2.0507191470354964E-2</v>
      </c>
      <c r="J21" s="544">
        <f>'Savings Transaction Log'!H5</f>
        <v>1345.2400000000002</v>
      </c>
      <c r="K21" s="545">
        <f t="shared" si="13"/>
        <v>1.4545193476568741E-2</v>
      </c>
      <c r="N21" s="39"/>
      <c r="O21" s="50"/>
      <c r="P21" s="39"/>
      <c r="Q21" s="50"/>
    </row>
    <row r="22" spans="7:17" ht="15.75" customHeight="1" x14ac:dyDescent="0.3">
      <c r="G22" s="541" t="str">
        <f>'Proposed Budget'!C34</f>
        <v>Car Insurance</v>
      </c>
      <c r="H22" s="542">
        <f>'Proposed Budget'!F34</f>
        <v>3840</v>
      </c>
      <c r="I22" s="543">
        <f t="shared" si="12"/>
        <v>1.8749432201467395E-2</v>
      </c>
      <c r="J22" s="544">
        <f>'Savings Transaction Log'!J5</f>
        <v>2159</v>
      </c>
      <c r="K22" s="545">
        <f t="shared" si="13"/>
        <v>2.3343844009925296E-2</v>
      </c>
      <c r="N22" s="39"/>
      <c r="O22" s="11"/>
      <c r="P22" s="39"/>
      <c r="Q22" s="50"/>
    </row>
    <row r="23" spans="7:17" ht="15.75" customHeight="1" x14ac:dyDescent="0.3">
      <c r="G23" s="541" t="str">
        <f>'Proposed Budget'!C35</f>
        <v>Rental Garbage</v>
      </c>
      <c r="H23" s="542">
        <f>'Proposed Budget'!F35</f>
        <v>300</v>
      </c>
      <c r="I23" s="543">
        <f t="shared" si="12"/>
        <v>1.4647993907396402E-3</v>
      </c>
      <c r="J23" s="544">
        <f>'Savings Transaction Log'!L5</f>
        <v>126.96000000000001</v>
      </c>
      <c r="K23" s="545">
        <f t="shared" si="13"/>
        <v>1.3727348010653616E-3</v>
      </c>
      <c r="N23" s="39"/>
      <c r="O23" s="11"/>
      <c r="P23" s="39"/>
      <c r="Q23" s="50"/>
    </row>
    <row r="24" spans="7:17" ht="15.75" customHeight="1" x14ac:dyDescent="0.3">
      <c r="G24" s="541" t="str">
        <f>'Proposed Budget'!C36</f>
        <v>Garbage</v>
      </c>
      <c r="H24" s="542">
        <f>'Proposed Budget'!F36</f>
        <v>300</v>
      </c>
      <c r="I24" s="543">
        <f t="shared" si="12"/>
        <v>1.4647993907396402E-3</v>
      </c>
      <c r="J24" s="544">
        <f>'Savings Transaction Log'!N5</f>
        <v>126.96000000000001</v>
      </c>
      <c r="K24" s="545">
        <f t="shared" si="13"/>
        <v>1.3727348010653616E-3</v>
      </c>
      <c r="N24" s="11"/>
      <c r="O24" s="11"/>
      <c r="P24" s="11"/>
      <c r="Q24" s="11"/>
    </row>
    <row r="25" spans="7:17" ht="15.75" customHeight="1" x14ac:dyDescent="0.3">
      <c r="G25" s="541" t="str">
        <f>'Proposed Budget'!C37</f>
        <v>Sanitation - Main</v>
      </c>
      <c r="H25" s="542">
        <f>'Proposed Budget'!F37</f>
        <v>540</v>
      </c>
      <c r="I25" s="543">
        <f t="shared" si="12"/>
        <v>2.6366389033313522E-3</v>
      </c>
      <c r="J25" s="544">
        <f>'Savings Transaction Log'!P5</f>
        <v>185.64</v>
      </c>
      <c r="K25" s="545">
        <f t="shared" si="13"/>
        <v>2.0072029652628679E-3</v>
      </c>
      <c r="N25" s="11"/>
      <c r="O25" s="11"/>
      <c r="P25" s="11"/>
      <c r="Q25" s="11"/>
    </row>
    <row r="26" spans="7:17" ht="15.75" customHeight="1" x14ac:dyDescent="0.3">
      <c r="G26" s="541" t="str">
        <f>'Proposed Budget'!C39</f>
        <v>Home Maintenance</v>
      </c>
      <c r="H26" s="542">
        <f>'Proposed Budget'!F39*0.5</f>
        <v>2250</v>
      </c>
      <c r="I26" s="543">
        <f t="shared" si="7"/>
        <v>1.0985995430547301E-2</v>
      </c>
      <c r="J26" s="544">
        <f>'Savings Transaction Log'!T5*0.5</f>
        <v>8145.4649999999992</v>
      </c>
      <c r="K26" s="545">
        <f t="shared" si="6"/>
        <v>8.8071544394768941E-2</v>
      </c>
      <c r="N26" s="11"/>
      <c r="O26" s="11"/>
      <c r="P26" s="11"/>
      <c r="Q26" s="11"/>
    </row>
    <row r="27" spans="7:17" ht="15.75" customHeight="1" x14ac:dyDescent="0.3">
      <c r="G27" s="541" t="str">
        <f>'Proposed Budget'!C40</f>
        <v>Rental Repairs</v>
      </c>
      <c r="H27" s="542">
        <f>'Proposed Budget'!F40</f>
        <v>1200</v>
      </c>
      <c r="I27" s="543">
        <f>H27/$B$2</f>
        <v>5.8591975629585609E-3</v>
      </c>
      <c r="J27" s="544">
        <f>'Savings Transaction Log'!V5</f>
        <v>0</v>
      </c>
      <c r="K27" s="545">
        <f>J27/$D$2</f>
        <v>0</v>
      </c>
      <c r="N27" s="11"/>
      <c r="O27" s="11"/>
      <c r="P27" s="11"/>
      <c r="Q27" s="11"/>
    </row>
    <row r="28" spans="7:17" ht="15.75" customHeight="1" x14ac:dyDescent="0.3">
      <c r="G28" s="541" t="str">
        <f>'Proposed Budget'!C41</f>
        <v>Rental Insurance</v>
      </c>
      <c r="H28" s="542">
        <f>'Proposed Budget'!F41</f>
        <v>1020</v>
      </c>
      <c r="I28" s="543">
        <f>H28/$B$2</f>
        <v>4.9803179285147769E-3</v>
      </c>
      <c r="J28" s="544">
        <f>'Savings Transaction Log'!X5</f>
        <v>500.5</v>
      </c>
      <c r="K28" s="545">
        <f>J28/$D$2</f>
        <v>5.4115766220322421E-3</v>
      </c>
      <c r="N28" s="11"/>
      <c r="O28" s="11"/>
      <c r="P28" s="11"/>
      <c r="Q28" s="11"/>
    </row>
    <row r="29" spans="7:17" ht="15.75" customHeight="1" x14ac:dyDescent="0.3">
      <c r="G29" s="541" t="str">
        <f>'Proposed Budget'!C42</f>
        <v>Rental Property Taxes</v>
      </c>
      <c r="H29" s="542">
        <f>'Proposed Budget'!F42</f>
        <v>2760</v>
      </c>
      <c r="I29" s="543">
        <f t="shared" si="7"/>
        <v>1.347615439480469E-2</v>
      </c>
      <c r="J29" s="544">
        <f>'Savings Transaction Log'!Z5</f>
        <v>1276.4000000000001</v>
      </c>
      <c r="K29" s="545">
        <f t="shared" si="6"/>
        <v>1.3800871928795113E-2</v>
      </c>
      <c r="N29" s="11"/>
      <c r="O29" s="11"/>
      <c r="P29" s="11"/>
      <c r="Q29" s="11"/>
    </row>
    <row r="30" spans="7:17" ht="15.75" customHeight="1" x14ac:dyDescent="0.3">
      <c r="G30" s="541" t="str">
        <f>'Proposed Budget'!C43</f>
        <v>Rental Sanitation</v>
      </c>
      <c r="H30" s="542">
        <f>'Proposed Budget'!F43</f>
        <v>540</v>
      </c>
      <c r="I30" s="543">
        <f t="shared" si="7"/>
        <v>2.6366389033313522E-3</v>
      </c>
      <c r="J30" s="544">
        <f>'Savings Transaction Log'!AB5</f>
        <v>185.64</v>
      </c>
      <c r="K30" s="545">
        <f t="shared" si="6"/>
        <v>2.0072029652628679E-3</v>
      </c>
      <c r="N30" s="11"/>
      <c r="O30" s="11"/>
      <c r="P30" s="11"/>
      <c r="Q30" s="11"/>
    </row>
    <row r="31" spans="7:17" ht="15.75" customHeight="1" x14ac:dyDescent="0.3">
      <c r="N31" s="11"/>
      <c r="O31" s="11"/>
      <c r="P31" s="11"/>
      <c r="Q31" s="11"/>
    </row>
    <row r="32" spans="7:17" ht="15.75" customHeight="1" x14ac:dyDescent="0.3">
      <c r="N32" s="11"/>
      <c r="O32" s="11"/>
      <c r="P32" s="11"/>
      <c r="Q32" s="11"/>
    </row>
    <row r="33" spans="14:17" ht="15.75" customHeight="1" x14ac:dyDescent="0.3">
      <c r="N33" s="11"/>
      <c r="O33" s="11"/>
      <c r="P33" s="11"/>
      <c r="Q33" s="11"/>
    </row>
    <row r="34" spans="14:17" ht="15.75" customHeight="1" x14ac:dyDescent="0.3">
      <c r="N34" s="11"/>
      <c r="O34" s="11"/>
      <c r="P34" s="11"/>
      <c r="Q34" s="11"/>
    </row>
    <row r="35" spans="14:17" ht="15.75" customHeight="1" x14ac:dyDescent="0.3">
      <c r="N35" s="11"/>
      <c r="O35" s="11"/>
      <c r="P35" s="11"/>
      <c r="Q35" s="11"/>
    </row>
    <row r="36" spans="14:17" ht="15.75" customHeight="1" x14ac:dyDescent="0.3">
      <c r="N36" s="11"/>
      <c r="O36" s="11"/>
      <c r="P36" s="11"/>
      <c r="Q36" s="11"/>
    </row>
    <row r="37" spans="14:17" ht="15.75" customHeight="1" x14ac:dyDescent="0.3">
      <c r="N37" s="11"/>
      <c r="O37" s="11"/>
      <c r="P37" s="11"/>
      <c r="Q37" s="11"/>
    </row>
    <row r="38" spans="14:17" ht="15.75" customHeight="1" x14ac:dyDescent="0.3">
      <c r="N38" s="11"/>
      <c r="O38" s="11"/>
      <c r="P38" s="11"/>
      <c r="Q38" s="11"/>
    </row>
    <row r="39" spans="14:17" ht="15.75" customHeight="1" x14ac:dyDescent="0.3">
      <c r="N39" s="11"/>
      <c r="O39" s="11"/>
      <c r="P39" s="11"/>
      <c r="Q39" s="11"/>
    </row>
    <row r="40" spans="14:17" ht="15.75" customHeight="1" x14ac:dyDescent="0.3">
      <c r="N40" s="11"/>
      <c r="O40" s="11"/>
      <c r="P40" s="11"/>
      <c r="Q40" s="11"/>
    </row>
    <row r="41" spans="14:17" ht="15.75" customHeight="1" x14ac:dyDescent="0.3">
      <c r="N41" s="11"/>
      <c r="O41" s="11"/>
      <c r="P41" s="11"/>
      <c r="Q41" s="11"/>
    </row>
    <row r="42" spans="14:17" ht="15.75" customHeight="1" x14ac:dyDescent="0.3">
      <c r="N42" s="11"/>
      <c r="O42" s="11"/>
      <c r="P42" s="11"/>
      <c r="Q42" s="11"/>
    </row>
    <row r="43" spans="14:17" ht="15.75" customHeight="1" x14ac:dyDescent="0.3">
      <c r="N43" s="11"/>
      <c r="O43" s="11"/>
      <c r="P43" s="11"/>
      <c r="Q43" s="11"/>
    </row>
    <row r="44" spans="14:17" ht="15.75" customHeight="1" x14ac:dyDescent="0.3">
      <c r="N44" s="11"/>
      <c r="O44" s="11"/>
      <c r="P44" s="11"/>
      <c r="Q44" s="11"/>
    </row>
    <row r="45" spans="14:17" ht="15.75" customHeight="1" x14ac:dyDescent="0.3">
      <c r="N45" s="11"/>
      <c r="O45" s="11"/>
      <c r="P45" s="11"/>
      <c r="Q45" s="11"/>
    </row>
    <row r="46" spans="14:17" ht="15.75" customHeight="1" x14ac:dyDescent="0.3">
      <c r="N46" s="11"/>
      <c r="O46" s="11"/>
      <c r="P46" s="11"/>
      <c r="Q46" s="11"/>
    </row>
    <row r="47" spans="14:17" ht="15.75" customHeight="1" x14ac:dyDescent="0.3">
      <c r="N47" s="11"/>
      <c r="O47" s="11"/>
      <c r="P47" s="11"/>
      <c r="Q47" s="11"/>
    </row>
    <row r="48" spans="14:17" ht="15.75" customHeight="1" x14ac:dyDescent="0.3">
      <c r="N48" s="11"/>
      <c r="O48" s="11"/>
      <c r="P48" s="11"/>
      <c r="Q48" s="11"/>
    </row>
    <row r="49" spans="14:17" ht="15.75" customHeight="1" x14ac:dyDescent="0.3">
      <c r="N49" s="11"/>
      <c r="O49" s="11"/>
      <c r="P49" s="11"/>
      <c r="Q49" s="11"/>
    </row>
    <row r="50" spans="14:17" ht="15.75" customHeight="1" x14ac:dyDescent="0.3">
      <c r="N50" s="11"/>
      <c r="O50" s="11"/>
      <c r="P50" s="11"/>
      <c r="Q50" s="11"/>
    </row>
    <row r="51" spans="14:17" ht="15.75" customHeight="1" x14ac:dyDescent="0.3">
      <c r="N51" s="11"/>
      <c r="O51" s="11"/>
      <c r="P51" s="11"/>
      <c r="Q51" s="11"/>
    </row>
    <row r="52" spans="14:17" ht="15.75" customHeight="1" x14ac:dyDescent="0.3">
      <c r="N52" s="11"/>
      <c r="O52" s="11"/>
      <c r="P52" s="11"/>
      <c r="Q52" s="11"/>
    </row>
    <row r="53" spans="14:17" ht="15.75" customHeight="1" x14ac:dyDescent="0.3">
      <c r="N53" s="11"/>
      <c r="O53" s="11"/>
      <c r="P53" s="11"/>
      <c r="Q53" s="11"/>
    </row>
    <row r="54" spans="14:17" ht="15.75" customHeight="1" x14ac:dyDescent="0.3">
      <c r="N54" s="11"/>
      <c r="O54" s="11"/>
      <c r="P54" s="11"/>
      <c r="Q54" s="11"/>
    </row>
    <row r="55" spans="14:17" ht="15.75" customHeight="1" x14ac:dyDescent="0.3">
      <c r="N55" s="11"/>
      <c r="O55" s="11"/>
      <c r="P55" s="11"/>
      <c r="Q55" s="11"/>
    </row>
    <row r="56" spans="14:17" ht="15.75" customHeight="1" x14ac:dyDescent="0.3">
      <c r="N56" s="11"/>
      <c r="O56" s="11"/>
      <c r="P56" s="11"/>
      <c r="Q56" s="11"/>
    </row>
    <row r="57" spans="14:17" ht="15.75" customHeight="1" x14ac:dyDescent="0.3">
      <c r="N57" s="11"/>
      <c r="O57" s="11"/>
      <c r="P57" s="11"/>
      <c r="Q57" s="11"/>
    </row>
    <row r="58" spans="14:17" ht="15.75" customHeight="1" x14ac:dyDescent="0.3">
      <c r="N58" s="11"/>
      <c r="O58" s="11"/>
      <c r="P58" s="11"/>
      <c r="Q58" s="11"/>
    </row>
    <row r="59" spans="14:17" ht="15.75" customHeight="1" x14ac:dyDescent="0.3">
      <c r="N59" s="11"/>
      <c r="O59" s="11"/>
      <c r="P59" s="11"/>
      <c r="Q59" s="11"/>
    </row>
    <row r="60" spans="14:17" ht="15.75" customHeight="1" x14ac:dyDescent="0.3">
      <c r="N60" s="11"/>
      <c r="O60" s="11"/>
      <c r="P60" s="11"/>
      <c r="Q60" s="11"/>
    </row>
    <row r="61" spans="14:17" ht="15.75" customHeight="1" x14ac:dyDescent="0.3">
      <c r="N61" s="11"/>
      <c r="O61" s="11"/>
      <c r="P61" s="11"/>
      <c r="Q61" s="11"/>
    </row>
    <row r="62" spans="14:17" ht="15.75" customHeight="1" x14ac:dyDescent="0.3">
      <c r="N62" s="11"/>
      <c r="O62" s="11"/>
      <c r="P62" s="11"/>
      <c r="Q62" s="11"/>
    </row>
    <row r="63" spans="14:17" ht="15.75" customHeight="1" x14ac:dyDescent="0.3">
      <c r="N63" s="11"/>
      <c r="O63" s="11"/>
      <c r="P63" s="11"/>
      <c r="Q63" s="11"/>
    </row>
    <row r="64" spans="14:17" ht="15.75" customHeight="1" x14ac:dyDescent="0.3">
      <c r="N64" s="11"/>
      <c r="O64" s="11"/>
      <c r="P64" s="11"/>
      <c r="Q64" s="11"/>
    </row>
    <row r="65" spans="14:17" ht="15.75" customHeight="1" x14ac:dyDescent="0.3">
      <c r="N65" s="11"/>
      <c r="O65" s="11"/>
      <c r="P65" s="11"/>
      <c r="Q65" s="11"/>
    </row>
    <row r="66" spans="14:17" ht="15.75" customHeight="1" x14ac:dyDescent="0.3">
      <c r="N66" s="11"/>
      <c r="O66" s="11"/>
      <c r="P66" s="11"/>
      <c r="Q66" s="11"/>
    </row>
    <row r="67" spans="14:17" ht="15.75" customHeight="1" x14ac:dyDescent="0.3">
      <c r="N67" s="11"/>
      <c r="O67" s="11"/>
      <c r="P67" s="11"/>
      <c r="Q67" s="11"/>
    </row>
    <row r="68" spans="14:17" ht="15.75" customHeight="1" x14ac:dyDescent="0.3">
      <c r="N68" s="11"/>
      <c r="O68" s="11"/>
      <c r="P68" s="11"/>
      <c r="Q68" s="11"/>
    </row>
    <row r="69" spans="14:17" ht="15.75" customHeight="1" x14ac:dyDescent="0.3">
      <c r="N69" s="11"/>
      <c r="O69" s="11"/>
      <c r="P69" s="11"/>
      <c r="Q69" s="11"/>
    </row>
    <row r="70" spans="14:17" ht="15.75" customHeight="1" x14ac:dyDescent="0.3">
      <c r="N70" s="11"/>
      <c r="O70" s="11"/>
      <c r="P70" s="11"/>
      <c r="Q70" s="11"/>
    </row>
    <row r="71" spans="14:17" ht="15.75" customHeight="1" x14ac:dyDescent="0.3">
      <c r="N71" s="11"/>
      <c r="O71" s="11"/>
      <c r="P71" s="11"/>
      <c r="Q71" s="11"/>
    </row>
    <row r="72" spans="14:17" ht="15.75" customHeight="1" x14ac:dyDescent="0.3">
      <c r="N72" s="11"/>
      <c r="O72" s="11"/>
      <c r="P72" s="11"/>
      <c r="Q72" s="11"/>
    </row>
    <row r="73" spans="14:17" ht="15.75" customHeight="1" x14ac:dyDescent="0.3">
      <c r="N73" s="11"/>
      <c r="O73" s="11"/>
      <c r="P73" s="11"/>
      <c r="Q73" s="11"/>
    </row>
    <row r="74" spans="14:17" ht="15.75" customHeight="1" x14ac:dyDescent="0.3">
      <c r="N74" s="11"/>
      <c r="O74" s="11"/>
      <c r="P74" s="11"/>
      <c r="Q74" s="11"/>
    </row>
    <row r="75" spans="14:17" ht="15.75" customHeight="1" x14ac:dyDescent="0.3">
      <c r="N75" s="11"/>
      <c r="O75" s="11"/>
      <c r="P75" s="11"/>
      <c r="Q75" s="11"/>
    </row>
    <row r="76" spans="14:17" ht="15.75" customHeight="1" x14ac:dyDescent="0.3">
      <c r="N76" s="11"/>
      <c r="O76" s="11"/>
      <c r="P76" s="11"/>
      <c r="Q76" s="11"/>
    </row>
    <row r="77" spans="14:17" ht="15.75" customHeight="1" x14ac:dyDescent="0.3">
      <c r="N77" s="11"/>
      <c r="O77" s="11"/>
      <c r="P77" s="11"/>
      <c r="Q77" s="11"/>
    </row>
    <row r="78" spans="14:17" ht="15.75" customHeight="1" x14ac:dyDescent="0.3">
      <c r="N78" s="11"/>
      <c r="O78" s="11"/>
      <c r="P78" s="11"/>
      <c r="Q78" s="11"/>
    </row>
    <row r="79" spans="14:17" ht="15.75" customHeight="1" x14ac:dyDescent="0.3">
      <c r="N79" s="11"/>
      <c r="O79" s="11"/>
      <c r="P79" s="11"/>
      <c r="Q79" s="11"/>
    </row>
    <row r="80" spans="14:17" ht="15.75" customHeight="1" x14ac:dyDescent="0.3">
      <c r="N80" s="11"/>
      <c r="O80" s="11"/>
      <c r="P80" s="11"/>
      <c r="Q80" s="11"/>
    </row>
    <row r="81" spans="14:17" ht="15.75" customHeight="1" x14ac:dyDescent="0.3">
      <c r="N81" s="11"/>
      <c r="O81" s="11"/>
      <c r="P81" s="11"/>
      <c r="Q81" s="11"/>
    </row>
    <row r="82" spans="14:17" ht="15.75" customHeight="1" x14ac:dyDescent="0.3">
      <c r="N82" s="11"/>
      <c r="O82" s="11"/>
      <c r="P82" s="11"/>
      <c r="Q82" s="11"/>
    </row>
    <row r="83" spans="14:17" ht="15.75" customHeight="1" x14ac:dyDescent="0.3">
      <c r="N83" s="11"/>
      <c r="O83" s="11"/>
      <c r="P83" s="11"/>
      <c r="Q83" s="11"/>
    </row>
    <row r="84" spans="14:17" ht="15.75" customHeight="1" x14ac:dyDescent="0.3">
      <c r="N84" s="11"/>
      <c r="O84" s="11"/>
      <c r="P84" s="11"/>
      <c r="Q84" s="11"/>
    </row>
    <row r="85" spans="14:17" ht="15.75" customHeight="1" x14ac:dyDescent="0.3">
      <c r="N85" s="11"/>
      <c r="O85" s="11"/>
      <c r="P85" s="11"/>
      <c r="Q85" s="11"/>
    </row>
    <row r="86" spans="14:17" ht="15.75" customHeight="1" x14ac:dyDescent="0.3">
      <c r="N86" s="11"/>
      <c r="O86" s="11"/>
      <c r="P86" s="11"/>
      <c r="Q86" s="11"/>
    </row>
    <row r="87" spans="14:17" ht="15.75" customHeight="1" x14ac:dyDescent="0.3">
      <c r="N87" s="11"/>
      <c r="O87" s="11"/>
      <c r="P87" s="11"/>
      <c r="Q87" s="11"/>
    </row>
    <row r="88" spans="14:17" ht="15.75" customHeight="1" x14ac:dyDescent="0.3">
      <c r="N88" s="11"/>
      <c r="O88" s="11"/>
      <c r="P88" s="11"/>
      <c r="Q88" s="11"/>
    </row>
    <row r="89" spans="14:17" ht="15.75" customHeight="1" x14ac:dyDescent="0.3">
      <c r="N89" s="11"/>
      <c r="O89" s="11"/>
      <c r="P89" s="11"/>
      <c r="Q89" s="11"/>
    </row>
    <row r="90" spans="14:17" ht="15.75" customHeight="1" x14ac:dyDescent="0.3">
      <c r="N90" s="11"/>
      <c r="O90" s="11"/>
      <c r="P90" s="11"/>
      <c r="Q90" s="11"/>
    </row>
    <row r="91" spans="14:17" ht="15.75" customHeight="1" x14ac:dyDescent="0.3">
      <c r="N91" s="11"/>
      <c r="O91" s="11"/>
      <c r="P91" s="11"/>
      <c r="Q91" s="11"/>
    </row>
    <row r="92" spans="14:17" ht="15.75" customHeight="1" x14ac:dyDescent="0.3">
      <c r="N92" s="11"/>
      <c r="O92" s="11"/>
      <c r="P92" s="11"/>
      <c r="Q92" s="11"/>
    </row>
    <row r="93" spans="14:17" ht="15.75" customHeight="1" x14ac:dyDescent="0.3">
      <c r="N93" s="11"/>
      <c r="O93" s="11"/>
      <c r="P93" s="11"/>
      <c r="Q93" s="11"/>
    </row>
    <row r="94" spans="14:17" ht="15.75" customHeight="1" x14ac:dyDescent="0.3">
      <c r="N94" s="11"/>
      <c r="O94" s="11"/>
      <c r="P94" s="11"/>
      <c r="Q94" s="11"/>
    </row>
    <row r="95" spans="14:17" ht="15.75" customHeight="1" x14ac:dyDescent="0.3">
      <c r="N95" s="11"/>
      <c r="O95" s="11"/>
      <c r="P95" s="11"/>
      <c r="Q95" s="11"/>
    </row>
    <row r="96" spans="14:17" ht="15.75" customHeight="1" x14ac:dyDescent="0.3">
      <c r="N96" s="11"/>
      <c r="O96" s="11"/>
      <c r="P96" s="11"/>
      <c r="Q96" s="11"/>
    </row>
    <row r="97" spans="14:17" ht="15.75" customHeight="1" x14ac:dyDescent="0.3">
      <c r="N97" s="11"/>
      <c r="O97" s="11"/>
      <c r="P97" s="11"/>
      <c r="Q97" s="11"/>
    </row>
    <row r="98" spans="14:17" ht="15.75" customHeight="1" x14ac:dyDescent="0.3">
      <c r="N98" s="11"/>
      <c r="O98" s="11"/>
      <c r="P98" s="11"/>
      <c r="Q98" s="11"/>
    </row>
    <row r="99" spans="14:17" ht="15.75" customHeight="1" x14ac:dyDescent="0.3">
      <c r="N99" s="11"/>
      <c r="O99" s="11"/>
      <c r="P99" s="11"/>
      <c r="Q99" s="11"/>
    </row>
    <row r="100" spans="14:17" ht="15.75" customHeight="1" x14ac:dyDescent="0.3">
      <c r="N100" s="11"/>
      <c r="O100" s="11"/>
      <c r="P100" s="11"/>
      <c r="Q100" s="11"/>
    </row>
    <row r="101" spans="14:17" ht="15.75" customHeight="1" x14ac:dyDescent="0.3">
      <c r="N101" s="11"/>
      <c r="O101" s="11"/>
      <c r="P101" s="11"/>
      <c r="Q101" s="11"/>
    </row>
    <row r="102" spans="14:17" ht="15.75" customHeight="1" x14ac:dyDescent="0.3">
      <c r="N102" s="11"/>
      <c r="O102" s="11"/>
      <c r="P102" s="11"/>
      <c r="Q102" s="11"/>
    </row>
    <row r="103" spans="14:17" ht="15.75" customHeight="1" x14ac:dyDescent="0.3">
      <c r="N103" s="11"/>
      <c r="O103" s="11"/>
      <c r="P103" s="11"/>
      <c r="Q103" s="11"/>
    </row>
    <row r="104" spans="14:17" ht="15.75" customHeight="1" x14ac:dyDescent="0.3">
      <c r="N104" s="11"/>
      <c r="O104" s="11"/>
      <c r="P104" s="11"/>
      <c r="Q104" s="11"/>
    </row>
    <row r="105" spans="14:17" ht="15.75" customHeight="1" x14ac:dyDescent="0.3">
      <c r="N105" s="11"/>
      <c r="O105" s="11"/>
      <c r="P105" s="11"/>
      <c r="Q105" s="11"/>
    </row>
    <row r="106" spans="14:17" ht="15.75" customHeight="1" x14ac:dyDescent="0.3">
      <c r="N106" s="11"/>
      <c r="O106" s="11"/>
      <c r="P106" s="11"/>
      <c r="Q106" s="11"/>
    </row>
    <row r="107" spans="14:17" ht="15.75" customHeight="1" x14ac:dyDescent="0.3">
      <c r="N107" s="11"/>
      <c r="O107" s="11"/>
      <c r="P107" s="11"/>
      <c r="Q107" s="11"/>
    </row>
    <row r="108" spans="14:17" ht="15.75" customHeight="1" x14ac:dyDescent="0.3">
      <c r="N108" s="11"/>
      <c r="O108" s="11"/>
      <c r="P108" s="11"/>
      <c r="Q108" s="11"/>
    </row>
    <row r="109" spans="14:17" ht="15.75" customHeight="1" x14ac:dyDescent="0.3">
      <c r="N109" s="11"/>
      <c r="O109" s="11"/>
      <c r="P109" s="11"/>
      <c r="Q109" s="11"/>
    </row>
    <row r="110" spans="14:17" ht="15.75" customHeight="1" x14ac:dyDescent="0.3">
      <c r="N110" s="11"/>
      <c r="O110" s="11"/>
      <c r="P110" s="11"/>
      <c r="Q110" s="11"/>
    </row>
    <row r="111" spans="14:17" ht="15.75" customHeight="1" x14ac:dyDescent="0.3">
      <c r="N111" s="11"/>
      <c r="O111" s="11"/>
      <c r="P111" s="11"/>
      <c r="Q111" s="11"/>
    </row>
    <row r="112" spans="14:17" ht="15.75" customHeight="1" x14ac:dyDescent="0.3">
      <c r="N112" s="11"/>
      <c r="O112" s="11"/>
      <c r="P112" s="11"/>
      <c r="Q112" s="11"/>
    </row>
    <row r="113" spans="14:17" ht="15.75" customHeight="1" x14ac:dyDescent="0.3">
      <c r="N113" s="11"/>
      <c r="O113" s="11"/>
      <c r="P113" s="11"/>
      <c r="Q113" s="11"/>
    </row>
    <row r="114" spans="14:17" ht="15.75" customHeight="1" x14ac:dyDescent="0.3">
      <c r="N114" s="11"/>
      <c r="O114" s="11"/>
      <c r="P114" s="11"/>
      <c r="Q114" s="11"/>
    </row>
    <row r="115" spans="14:17" ht="15.75" customHeight="1" x14ac:dyDescent="0.3">
      <c r="N115" s="11"/>
      <c r="O115" s="11"/>
      <c r="P115" s="11"/>
      <c r="Q115" s="11"/>
    </row>
    <row r="116" spans="14:17" ht="15.75" customHeight="1" x14ac:dyDescent="0.3">
      <c r="N116" s="11"/>
      <c r="O116" s="11"/>
      <c r="P116" s="11"/>
      <c r="Q116" s="11"/>
    </row>
    <row r="117" spans="14:17" ht="15.75" customHeight="1" x14ac:dyDescent="0.3">
      <c r="N117" s="11"/>
      <c r="O117" s="11"/>
      <c r="P117" s="11"/>
      <c r="Q117" s="11"/>
    </row>
    <row r="118" spans="14:17" ht="15.75" customHeight="1" x14ac:dyDescent="0.3">
      <c r="N118" s="11"/>
      <c r="O118" s="11"/>
      <c r="P118" s="11"/>
      <c r="Q118" s="11"/>
    </row>
    <row r="119" spans="14:17" ht="15.75" customHeight="1" x14ac:dyDescent="0.3">
      <c r="N119" s="11"/>
      <c r="O119" s="11"/>
      <c r="P119" s="11"/>
      <c r="Q119" s="11"/>
    </row>
    <row r="120" spans="14:17" ht="15.75" customHeight="1" x14ac:dyDescent="0.3">
      <c r="N120" s="11"/>
      <c r="O120" s="11"/>
      <c r="P120" s="11"/>
      <c r="Q120" s="11"/>
    </row>
    <row r="121" spans="14:17" ht="15.75" customHeight="1" x14ac:dyDescent="0.3">
      <c r="N121" s="11"/>
      <c r="O121" s="11"/>
      <c r="P121" s="11"/>
      <c r="Q121" s="11"/>
    </row>
    <row r="122" spans="14:17" ht="15.75" customHeight="1" x14ac:dyDescent="0.3">
      <c r="N122" s="11"/>
      <c r="O122" s="11"/>
      <c r="P122" s="11"/>
      <c r="Q122" s="11"/>
    </row>
    <row r="123" spans="14:17" ht="15.75" customHeight="1" x14ac:dyDescent="0.3">
      <c r="N123" s="11"/>
      <c r="O123" s="11"/>
      <c r="P123" s="11"/>
      <c r="Q123" s="11"/>
    </row>
    <row r="124" spans="14:17" ht="15.75" customHeight="1" x14ac:dyDescent="0.3">
      <c r="N124" s="11"/>
      <c r="O124" s="11"/>
      <c r="P124" s="11"/>
      <c r="Q124" s="11"/>
    </row>
    <row r="125" spans="14:17" ht="15.75" customHeight="1" x14ac:dyDescent="0.3">
      <c r="N125" s="11"/>
      <c r="O125" s="11"/>
      <c r="P125" s="11"/>
      <c r="Q125" s="11"/>
    </row>
    <row r="126" spans="14:17" ht="15.75" customHeight="1" x14ac:dyDescent="0.3">
      <c r="N126" s="11"/>
      <c r="O126" s="11"/>
      <c r="P126" s="11"/>
      <c r="Q126" s="11"/>
    </row>
    <row r="127" spans="14:17" ht="15.75" customHeight="1" x14ac:dyDescent="0.3">
      <c r="N127" s="11"/>
      <c r="O127" s="11"/>
      <c r="P127" s="11"/>
      <c r="Q127" s="11"/>
    </row>
    <row r="128" spans="14:17" ht="15.75" customHeight="1" x14ac:dyDescent="0.3">
      <c r="N128" s="11"/>
      <c r="O128" s="11"/>
      <c r="P128" s="11"/>
      <c r="Q128" s="11"/>
    </row>
    <row r="129" spans="14:17" ht="15.75" customHeight="1" x14ac:dyDescent="0.3">
      <c r="N129" s="11"/>
      <c r="O129" s="11"/>
      <c r="P129" s="11"/>
      <c r="Q129" s="11"/>
    </row>
    <row r="130" spans="14:17" ht="15.75" customHeight="1" x14ac:dyDescent="0.3">
      <c r="N130" s="11"/>
      <c r="O130" s="11"/>
      <c r="P130" s="11"/>
      <c r="Q130" s="11"/>
    </row>
    <row r="131" spans="14:17" ht="15.75" customHeight="1" x14ac:dyDescent="0.3">
      <c r="N131" s="11"/>
      <c r="O131" s="11"/>
      <c r="P131" s="11"/>
      <c r="Q131" s="11"/>
    </row>
    <row r="132" spans="14:17" ht="15.75" customHeight="1" x14ac:dyDescent="0.3">
      <c r="N132" s="11"/>
      <c r="O132" s="11"/>
      <c r="P132" s="11"/>
      <c r="Q132" s="11"/>
    </row>
    <row r="133" spans="14:17" ht="15.75" customHeight="1" x14ac:dyDescent="0.3">
      <c r="N133" s="11"/>
      <c r="O133" s="11"/>
      <c r="P133" s="11"/>
      <c r="Q133" s="11"/>
    </row>
    <row r="134" spans="14:17" ht="15.75" customHeight="1" x14ac:dyDescent="0.3">
      <c r="N134" s="11"/>
      <c r="O134" s="11"/>
      <c r="P134" s="11"/>
      <c r="Q134" s="11"/>
    </row>
    <row r="135" spans="14:17" ht="15.75" customHeight="1" x14ac:dyDescent="0.3">
      <c r="N135" s="11"/>
      <c r="O135" s="11"/>
      <c r="P135" s="11"/>
      <c r="Q135" s="11"/>
    </row>
    <row r="136" spans="14:17" ht="15.75" customHeight="1" x14ac:dyDescent="0.3">
      <c r="N136" s="11"/>
      <c r="O136" s="11"/>
      <c r="P136" s="11"/>
      <c r="Q136" s="11"/>
    </row>
    <row r="137" spans="14:17" ht="15.75" customHeight="1" x14ac:dyDescent="0.3">
      <c r="N137" s="11"/>
      <c r="O137" s="11"/>
      <c r="P137" s="11"/>
      <c r="Q137" s="11"/>
    </row>
    <row r="138" spans="14:17" ht="15.75" customHeight="1" x14ac:dyDescent="0.3">
      <c r="N138" s="11"/>
      <c r="O138" s="11"/>
      <c r="P138" s="11"/>
      <c r="Q138" s="11"/>
    </row>
    <row r="139" spans="14:17" ht="15.75" customHeight="1" x14ac:dyDescent="0.3">
      <c r="N139" s="11"/>
      <c r="O139" s="11"/>
      <c r="P139" s="11"/>
      <c r="Q139" s="11"/>
    </row>
    <row r="140" spans="14:17" ht="15.75" customHeight="1" x14ac:dyDescent="0.3">
      <c r="N140" s="11"/>
      <c r="O140" s="11"/>
      <c r="P140" s="11"/>
      <c r="Q140" s="11"/>
    </row>
    <row r="141" spans="14:17" ht="15.75" customHeight="1" x14ac:dyDescent="0.3">
      <c r="N141" s="11"/>
      <c r="O141" s="11"/>
      <c r="P141" s="11"/>
      <c r="Q141" s="11"/>
    </row>
    <row r="142" spans="14:17" ht="15.75" customHeight="1" x14ac:dyDescent="0.3">
      <c r="N142" s="11"/>
      <c r="O142" s="11"/>
      <c r="P142" s="11"/>
      <c r="Q142" s="11"/>
    </row>
    <row r="143" spans="14:17" ht="15.75" customHeight="1" x14ac:dyDescent="0.3">
      <c r="N143" s="11"/>
      <c r="O143" s="11"/>
      <c r="P143" s="11"/>
      <c r="Q143" s="11"/>
    </row>
    <row r="144" spans="14:17" ht="15.75" customHeight="1" x14ac:dyDescent="0.3">
      <c r="N144" s="11"/>
      <c r="O144" s="11"/>
      <c r="P144" s="11"/>
      <c r="Q144" s="11"/>
    </row>
    <row r="145" spans="14:17" ht="15.75" customHeight="1" x14ac:dyDescent="0.3">
      <c r="N145" s="11"/>
      <c r="O145" s="11"/>
      <c r="P145" s="11"/>
      <c r="Q145" s="11"/>
    </row>
    <row r="146" spans="14:17" ht="15.75" customHeight="1" x14ac:dyDescent="0.3">
      <c r="N146" s="11"/>
      <c r="O146" s="11"/>
      <c r="P146" s="11"/>
      <c r="Q146" s="11"/>
    </row>
    <row r="147" spans="14:17" ht="15.75" customHeight="1" x14ac:dyDescent="0.3">
      <c r="N147" s="11"/>
      <c r="O147" s="11"/>
      <c r="P147" s="11"/>
      <c r="Q147" s="11"/>
    </row>
    <row r="148" spans="14:17" ht="15.75" customHeight="1" x14ac:dyDescent="0.3">
      <c r="N148" s="11"/>
      <c r="O148" s="11"/>
      <c r="P148" s="11"/>
      <c r="Q148" s="11"/>
    </row>
    <row r="149" spans="14:17" ht="15.75" customHeight="1" x14ac:dyDescent="0.3">
      <c r="N149" s="11"/>
      <c r="O149" s="11"/>
      <c r="P149" s="11"/>
      <c r="Q149" s="11"/>
    </row>
    <row r="150" spans="14:17" ht="15.75" customHeight="1" x14ac:dyDescent="0.3">
      <c r="N150" s="11"/>
      <c r="O150" s="11"/>
      <c r="P150" s="11"/>
      <c r="Q150" s="11"/>
    </row>
    <row r="151" spans="14:17" ht="15.75" customHeight="1" x14ac:dyDescent="0.3">
      <c r="N151" s="11"/>
      <c r="O151" s="11"/>
      <c r="P151" s="11"/>
      <c r="Q151" s="11"/>
    </row>
    <row r="152" spans="14:17" ht="15.75" customHeight="1" x14ac:dyDescent="0.3">
      <c r="N152" s="11"/>
      <c r="O152" s="11"/>
      <c r="P152" s="11"/>
      <c r="Q152" s="11"/>
    </row>
    <row r="153" spans="14:17" ht="15.75" customHeight="1" x14ac:dyDescent="0.3">
      <c r="N153" s="11"/>
      <c r="O153" s="11"/>
      <c r="P153" s="11"/>
      <c r="Q153" s="11"/>
    </row>
    <row r="154" spans="14:17" ht="15.75" customHeight="1" x14ac:dyDescent="0.3">
      <c r="N154" s="11"/>
      <c r="O154" s="11"/>
      <c r="P154" s="11"/>
      <c r="Q154" s="11"/>
    </row>
    <row r="155" spans="14:17" ht="15.75" customHeight="1" x14ac:dyDescent="0.3">
      <c r="N155" s="11"/>
      <c r="O155" s="11"/>
      <c r="P155" s="11"/>
      <c r="Q155" s="11"/>
    </row>
    <row r="156" spans="14:17" ht="15.75" customHeight="1" x14ac:dyDescent="0.3">
      <c r="N156" s="11"/>
      <c r="O156" s="11"/>
      <c r="P156" s="11"/>
      <c r="Q156" s="11"/>
    </row>
    <row r="157" spans="14:17" ht="15.75" customHeight="1" x14ac:dyDescent="0.3">
      <c r="N157" s="11"/>
      <c r="O157" s="11"/>
      <c r="P157" s="11"/>
      <c r="Q157" s="11"/>
    </row>
    <row r="158" spans="14:17" ht="15.75" customHeight="1" x14ac:dyDescent="0.3">
      <c r="N158" s="11"/>
      <c r="O158" s="11"/>
      <c r="P158" s="11"/>
      <c r="Q158" s="11"/>
    </row>
    <row r="159" spans="14:17" ht="15.75" customHeight="1" x14ac:dyDescent="0.3">
      <c r="N159" s="11"/>
      <c r="O159" s="11"/>
      <c r="P159" s="11"/>
      <c r="Q159" s="11"/>
    </row>
    <row r="160" spans="14:17" ht="15.75" customHeight="1" x14ac:dyDescent="0.3">
      <c r="N160" s="11"/>
      <c r="O160" s="11"/>
      <c r="P160" s="11"/>
      <c r="Q160" s="11"/>
    </row>
    <row r="161" spans="14:17" ht="15.75" customHeight="1" x14ac:dyDescent="0.3">
      <c r="N161" s="11"/>
      <c r="O161" s="11"/>
      <c r="P161" s="11"/>
      <c r="Q161" s="11"/>
    </row>
    <row r="162" spans="14:17" ht="15.75" customHeight="1" x14ac:dyDescent="0.3">
      <c r="N162" s="11"/>
      <c r="O162" s="11"/>
      <c r="P162" s="11"/>
      <c r="Q162" s="11"/>
    </row>
    <row r="163" spans="14:17" ht="15.75" customHeight="1" x14ac:dyDescent="0.3">
      <c r="N163" s="11"/>
      <c r="O163" s="11"/>
      <c r="P163" s="11"/>
      <c r="Q163" s="11"/>
    </row>
    <row r="164" spans="14:17" ht="15.75" customHeight="1" x14ac:dyDescent="0.3">
      <c r="N164" s="11"/>
      <c r="O164" s="11"/>
      <c r="P164" s="11"/>
      <c r="Q164" s="11"/>
    </row>
    <row r="165" spans="14:17" ht="15.75" customHeight="1" x14ac:dyDescent="0.3">
      <c r="N165" s="11"/>
      <c r="O165" s="11"/>
      <c r="P165" s="11"/>
      <c r="Q165" s="11"/>
    </row>
    <row r="166" spans="14:17" ht="15.75" customHeight="1" x14ac:dyDescent="0.3">
      <c r="N166" s="11"/>
      <c r="O166" s="11"/>
      <c r="P166" s="11"/>
      <c r="Q166" s="11"/>
    </row>
    <row r="167" spans="14:17" ht="15.75" customHeight="1" x14ac:dyDescent="0.3">
      <c r="N167" s="11"/>
      <c r="O167" s="11"/>
      <c r="P167" s="11"/>
      <c r="Q167" s="11"/>
    </row>
    <row r="168" spans="14:17" ht="15.75" customHeight="1" x14ac:dyDescent="0.3">
      <c r="N168" s="11"/>
      <c r="O168" s="11"/>
      <c r="P168" s="11"/>
      <c r="Q168" s="11"/>
    </row>
    <row r="169" spans="14:17" ht="15.75" customHeight="1" x14ac:dyDescent="0.3">
      <c r="N169" s="11"/>
      <c r="O169" s="11"/>
      <c r="P169" s="11"/>
      <c r="Q169" s="11"/>
    </row>
    <row r="170" spans="14:17" ht="15.75" customHeight="1" x14ac:dyDescent="0.3">
      <c r="N170" s="11"/>
      <c r="O170" s="11"/>
      <c r="P170" s="11"/>
      <c r="Q170" s="11"/>
    </row>
    <row r="171" spans="14:17" ht="15.75" customHeight="1" x14ac:dyDescent="0.3">
      <c r="N171" s="11"/>
      <c r="O171" s="11"/>
      <c r="P171" s="11"/>
      <c r="Q171" s="11"/>
    </row>
    <row r="172" spans="14:17" ht="15.75" customHeight="1" x14ac:dyDescent="0.3">
      <c r="N172" s="11"/>
      <c r="O172" s="11"/>
      <c r="P172" s="11"/>
      <c r="Q172" s="11"/>
    </row>
    <row r="173" spans="14:17" ht="15.75" customHeight="1" x14ac:dyDescent="0.3">
      <c r="N173" s="11"/>
      <c r="O173" s="11"/>
      <c r="P173" s="11"/>
      <c r="Q173" s="11"/>
    </row>
    <row r="174" spans="14:17" ht="15.75" customHeight="1" x14ac:dyDescent="0.3">
      <c r="N174" s="11"/>
      <c r="O174" s="11"/>
      <c r="P174" s="11"/>
      <c r="Q174" s="11"/>
    </row>
    <row r="175" spans="14:17" ht="15.75" customHeight="1" x14ac:dyDescent="0.3">
      <c r="N175" s="11"/>
      <c r="O175" s="11"/>
      <c r="P175" s="11"/>
      <c r="Q175" s="11"/>
    </row>
    <row r="176" spans="14:17" ht="15.75" customHeight="1" x14ac:dyDescent="0.3">
      <c r="N176" s="11"/>
      <c r="O176" s="11"/>
      <c r="P176" s="11"/>
      <c r="Q176" s="11"/>
    </row>
    <row r="177" spans="14:17" ht="15.75" customHeight="1" x14ac:dyDescent="0.3">
      <c r="N177" s="11"/>
      <c r="O177" s="11"/>
      <c r="P177" s="11"/>
      <c r="Q177" s="11"/>
    </row>
    <row r="178" spans="14:17" ht="15.75" customHeight="1" x14ac:dyDescent="0.3">
      <c r="N178" s="11"/>
      <c r="O178" s="11"/>
      <c r="P178" s="11"/>
      <c r="Q178" s="11"/>
    </row>
    <row r="179" spans="14:17" ht="15.75" customHeight="1" x14ac:dyDescent="0.3">
      <c r="N179" s="11"/>
      <c r="O179" s="11"/>
      <c r="P179" s="11"/>
      <c r="Q179" s="11"/>
    </row>
    <row r="180" spans="14:17" ht="15.75" customHeight="1" x14ac:dyDescent="0.3">
      <c r="N180" s="11"/>
      <c r="O180" s="11"/>
      <c r="P180" s="11"/>
      <c r="Q180" s="11"/>
    </row>
    <row r="181" spans="14:17" ht="15.75" customHeight="1" x14ac:dyDescent="0.3">
      <c r="N181" s="11"/>
      <c r="O181" s="11"/>
      <c r="P181" s="11"/>
      <c r="Q181" s="11"/>
    </row>
    <row r="182" spans="14:17" ht="15.75" customHeight="1" x14ac:dyDescent="0.3">
      <c r="N182" s="11"/>
      <c r="O182" s="11"/>
      <c r="P182" s="11"/>
      <c r="Q182" s="11"/>
    </row>
    <row r="183" spans="14:17" ht="15.75" customHeight="1" x14ac:dyDescent="0.3">
      <c r="N183" s="11"/>
      <c r="O183" s="11"/>
      <c r="P183" s="11"/>
      <c r="Q183" s="11"/>
    </row>
    <row r="184" spans="14:17" ht="15.75" customHeight="1" x14ac:dyDescent="0.3">
      <c r="N184" s="11"/>
      <c r="O184" s="11"/>
      <c r="P184" s="11"/>
      <c r="Q184" s="11"/>
    </row>
    <row r="185" spans="14:17" ht="15.75" customHeight="1" x14ac:dyDescent="0.3">
      <c r="N185" s="11"/>
      <c r="O185" s="11"/>
      <c r="P185" s="11"/>
      <c r="Q185" s="11"/>
    </row>
    <row r="186" spans="14:17" ht="15.75" customHeight="1" x14ac:dyDescent="0.3">
      <c r="N186" s="11"/>
      <c r="O186" s="11"/>
      <c r="P186" s="11"/>
      <c r="Q186" s="11"/>
    </row>
    <row r="187" spans="14:17" ht="15.75" customHeight="1" x14ac:dyDescent="0.3">
      <c r="N187" s="11"/>
      <c r="O187" s="11"/>
      <c r="P187" s="11"/>
      <c r="Q187" s="11"/>
    </row>
    <row r="188" spans="14:17" ht="15.75" customHeight="1" x14ac:dyDescent="0.3">
      <c r="N188" s="11"/>
      <c r="O188" s="11"/>
      <c r="P188" s="11"/>
      <c r="Q188" s="11"/>
    </row>
    <row r="189" spans="14:17" ht="15.75" customHeight="1" x14ac:dyDescent="0.3">
      <c r="N189" s="11"/>
      <c r="O189" s="11"/>
      <c r="P189" s="11"/>
      <c r="Q189" s="11"/>
    </row>
    <row r="190" spans="14:17" ht="15.75" customHeight="1" x14ac:dyDescent="0.3">
      <c r="N190" s="11"/>
      <c r="O190" s="11"/>
      <c r="P190" s="11"/>
      <c r="Q190" s="11"/>
    </row>
    <row r="191" spans="14:17" ht="15.75" customHeight="1" x14ac:dyDescent="0.3">
      <c r="N191" s="11"/>
      <c r="O191" s="11"/>
      <c r="P191" s="11"/>
      <c r="Q191" s="11"/>
    </row>
    <row r="192" spans="14:17" ht="15.75" customHeight="1" x14ac:dyDescent="0.3">
      <c r="N192" s="11"/>
      <c r="O192" s="11"/>
      <c r="P192" s="11"/>
      <c r="Q192" s="11"/>
    </row>
    <row r="193" spans="14:17" ht="15.75" customHeight="1" x14ac:dyDescent="0.3">
      <c r="N193" s="11"/>
      <c r="O193" s="11"/>
      <c r="P193" s="11"/>
      <c r="Q193" s="11"/>
    </row>
    <row r="194" spans="14:17" ht="15.75" customHeight="1" x14ac:dyDescent="0.3">
      <c r="N194" s="11"/>
      <c r="O194" s="11"/>
      <c r="P194" s="11"/>
      <c r="Q194" s="11"/>
    </row>
    <row r="195" spans="14:17" ht="15.75" customHeight="1" x14ac:dyDescent="0.3">
      <c r="N195" s="11"/>
      <c r="O195" s="11"/>
      <c r="P195" s="11"/>
      <c r="Q195" s="11"/>
    </row>
    <row r="196" spans="14:17" ht="15.75" customHeight="1" x14ac:dyDescent="0.3">
      <c r="N196" s="11"/>
      <c r="O196" s="11"/>
      <c r="P196" s="11"/>
      <c r="Q196" s="11"/>
    </row>
    <row r="197" spans="14:17" ht="15.75" customHeight="1" x14ac:dyDescent="0.3">
      <c r="N197" s="11"/>
      <c r="O197" s="11"/>
      <c r="P197" s="11"/>
      <c r="Q197" s="11"/>
    </row>
    <row r="198" spans="14:17" ht="15.75" customHeight="1" x14ac:dyDescent="0.3">
      <c r="N198" s="11"/>
      <c r="O198" s="11"/>
      <c r="P198" s="11"/>
      <c r="Q198" s="11"/>
    </row>
    <row r="199" spans="14:17" ht="15.75" customHeight="1" x14ac:dyDescent="0.3">
      <c r="N199" s="11"/>
      <c r="O199" s="11"/>
      <c r="P199" s="11"/>
      <c r="Q199" s="11"/>
    </row>
    <row r="200" spans="14:17" ht="15.75" customHeight="1" x14ac:dyDescent="0.3">
      <c r="N200" s="11"/>
      <c r="O200" s="11"/>
      <c r="P200" s="11"/>
      <c r="Q200" s="11"/>
    </row>
    <row r="201" spans="14:17" ht="15.75" customHeight="1" x14ac:dyDescent="0.3">
      <c r="N201" s="11"/>
      <c r="O201" s="11"/>
      <c r="P201" s="11"/>
      <c r="Q201" s="11"/>
    </row>
    <row r="202" spans="14:17" ht="15.75" customHeight="1" x14ac:dyDescent="0.3">
      <c r="N202" s="11"/>
      <c r="O202" s="11"/>
      <c r="P202" s="11"/>
      <c r="Q202" s="11"/>
    </row>
    <row r="203" spans="14:17" ht="15.75" customHeight="1" x14ac:dyDescent="0.3">
      <c r="N203" s="11"/>
      <c r="O203" s="11"/>
      <c r="P203" s="11"/>
      <c r="Q203" s="11"/>
    </row>
    <row r="204" spans="14:17" ht="15.75" customHeight="1" x14ac:dyDescent="0.3">
      <c r="N204" s="11"/>
      <c r="O204" s="11"/>
      <c r="P204" s="11"/>
      <c r="Q204" s="11"/>
    </row>
    <row r="205" spans="14:17" ht="15.75" customHeight="1" x14ac:dyDescent="0.3">
      <c r="N205" s="11"/>
      <c r="O205" s="11"/>
      <c r="P205" s="11"/>
      <c r="Q205" s="11"/>
    </row>
    <row r="206" spans="14:17" ht="15.75" customHeight="1" x14ac:dyDescent="0.3">
      <c r="N206" s="11"/>
      <c r="O206" s="11"/>
      <c r="P206" s="11"/>
      <c r="Q206" s="11"/>
    </row>
    <row r="207" spans="14:17" ht="15.75" customHeight="1" x14ac:dyDescent="0.3">
      <c r="N207" s="11"/>
      <c r="O207" s="11"/>
      <c r="P207" s="11"/>
      <c r="Q207" s="11"/>
    </row>
    <row r="208" spans="14:17" ht="15.75" customHeight="1" x14ac:dyDescent="0.3">
      <c r="N208" s="11"/>
      <c r="O208" s="11"/>
      <c r="P208" s="11"/>
      <c r="Q208" s="11"/>
    </row>
    <row r="209" spans="14:17" ht="15.75" customHeight="1" x14ac:dyDescent="0.3">
      <c r="N209" s="11"/>
      <c r="O209" s="11"/>
      <c r="P209" s="11"/>
      <c r="Q209" s="11"/>
    </row>
    <row r="210" spans="14:17" ht="15.75" customHeight="1" x14ac:dyDescent="0.3">
      <c r="N210" s="11"/>
      <c r="O210" s="11"/>
      <c r="P210" s="11"/>
      <c r="Q210" s="11"/>
    </row>
    <row r="211" spans="14:17" ht="15.75" customHeight="1" x14ac:dyDescent="0.3">
      <c r="N211" s="11"/>
      <c r="O211" s="11"/>
      <c r="P211" s="11"/>
      <c r="Q211" s="11"/>
    </row>
    <row r="212" spans="14:17" ht="15.75" customHeight="1" x14ac:dyDescent="0.3">
      <c r="N212" s="11"/>
      <c r="O212" s="11"/>
      <c r="P212" s="11"/>
      <c r="Q212" s="11"/>
    </row>
    <row r="213" spans="14:17" ht="15.75" customHeight="1" x14ac:dyDescent="0.3">
      <c r="N213" s="11"/>
      <c r="O213" s="11"/>
      <c r="P213" s="11"/>
      <c r="Q213" s="11"/>
    </row>
    <row r="214" spans="14:17" ht="15.75" customHeight="1" x14ac:dyDescent="0.3">
      <c r="N214" s="11"/>
      <c r="O214" s="11"/>
      <c r="P214" s="11"/>
      <c r="Q214" s="11"/>
    </row>
    <row r="215" spans="14:17" ht="15.75" customHeight="1" x14ac:dyDescent="0.3">
      <c r="N215" s="11"/>
      <c r="O215" s="11"/>
      <c r="P215" s="11"/>
      <c r="Q215" s="11"/>
    </row>
    <row r="216" spans="14:17" ht="15.75" customHeight="1" x14ac:dyDescent="0.3">
      <c r="N216" s="11"/>
      <c r="O216" s="11"/>
      <c r="P216" s="11"/>
      <c r="Q216" s="11"/>
    </row>
    <row r="217" spans="14:17" ht="15.75" customHeight="1" x14ac:dyDescent="0.3">
      <c r="N217" s="11"/>
      <c r="O217" s="11"/>
      <c r="P217" s="11"/>
      <c r="Q217" s="11"/>
    </row>
    <row r="218" spans="14:17" ht="15.75" customHeight="1" x14ac:dyDescent="0.3">
      <c r="N218" s="11"/>
      <c r="O218" s="11"/>
      <c r="P218" s="11"/>
      <c r="Q218" s="11"/>
    </row>
    <row r="219" spans="14:17" ht="15.75" customHeight="1" x14ac:dyDescent="0.3">
      <c r="N219" s="11"/>
      <c r="O219" s="11"/>
      <c r="P219" s="11"/>
      <c r="Q219" s="11"/>
    </row>
    <row r="220" spans="14:17" ht="15.75" customHeight="1" x14ac:dyDescent="0.3">
      <c r="N220" s="11"/>
      <c r="O220" s="11"/>
      <c r="P220" s="11"/>
      <c r="Q220" s="11"/>
    </row>
    <row r="221" spans="14:17" ht="15.75" customHeight="1" x14ac:dyDescent="0.3">
      <c r="N221" s="11"/>
      <c r="O221" s="11"/>
      <c r="P221" s="11"/>
      <c r="Q221" s="11"/>
    </row>
    <row r="222" spans="14:17" ht="15.75" customHeight="1" x14ac:dyDescent="0.3">
      <c r="N222" s="11"/>
      <c r="O222" s="11"/>
      <c r="P222" s="11"/>
      <c r="Q222" s="11"/>
    </row>
    <row r="223" spans="14:17" ht="15.75" customHeight="1" x14ac:dyDescent="0.3">
      <c r="N223" s="11"/>
      <c r="O223" s="11"/>
      <c r="P223" s="11"/>
      <c r="Q223" s="11"/>
    </row>
    <row r="224" spans="14:17" ht="15.75" customHeight="1" x14ac:dyDescent="0.3">
      <c r="N224" s="11"/>
      <c r="O224" s="11"/>
      <c r="P224" s="11"/>
      <c r="Q224" s="11"/>
    </row>
    <row r="225" spans="14:17" ht="15.75" customHeight="1" x14ac:dyDescent="0.3">
      <c r="N225" s="11"/>
      <c r="O225" s="11"/>
      <c r="P225" s="11"/>
      <c r="Q225" s="11"/>
    </row>
    <row r="226" spans="14:17" ht="15.75" customHeight="1" x14ac:dyDescent="0.3">
      <c r="N226" s="11"/>
      <c r="O226" s="11"/>
      <c r="P226" s="11"/>
      <c r="Q226" s="11"/>
    </row>
    <row r="227" spans="14:17" ht="15.75" customHeight="1" x14ac:dyDescent="0.3">
      <c r="N227" s="11"/>
      <c r="O227" s="11"/>
      <c r="P227" s="11"/>
      <c r="Q227" s="11"/>
    </row>
    <row r="228" spans="14:17" ht="15.75" customHeight="1" x14ac:dyDescent="0.3">
      <c r="N228" s="11"/>
      <c r="O228" s="11"/>
      <c r="P228" s="11"/>
      <c r="Q228" s="11"/>
    </row>
    <row r="229" spans="14:17" ht="15.75" customHeight="1" x14ac:dyDescent="0.3">
      <c r="N229" s="11"/>
      <c r="O229" s="11"/>
      <c r="P229" s="11"/>
      <c r="Q229" s="11"/>
    </row>
    <row r="230" spans="14:17" ht="15.75" customHeight="1" x14ac:dyDescent="0.3">
      <c r="N230" s="11"/>
      <c r="O230" s="11"/>
      <c r="P230" s="11"/>
      <c r="Q230" s="11"/>
    </row>
    <row r="231" spans="14:17" ht="15.75" customHeight="1" x14ac:dyDescent="0.3">
      <c r="N231" s="11"/>
      <c r="O231" s="11"/>
      <c r="P231" s="11"/>
      <c r="Q231" s="11"/>
    </row>
    <row r="232" spans="14:17" ht="15.75" customHeight="1" x14ac:dyDescent="0.3">
      <c r="N232" s="11"/>
      <c r="O232" s="11"/>
      <c r="P232" s="11"/>
      <c r="Q232" s="11"/>
    </row>
    <row r="233" spans="14:17" ht="15.75" customHeight="1" x14ac:dyDescent="0.3">
      <c r="N233" s="11"/>
      <c r="O233" s="11"/>
      <c r="P233" s="11"/>
      <c r="Q233" s="11"/>
    </row>
    <row r="234" spans="14:17" ht="15.75" customHeight="1" x14ac:dyDescent="0.3">
      <c r="N234" s="11"/>
      <c r="O234" s="11"/>
      <c r="P234" s="11"/>
      <c r="Q234" s="11"/>
    </row>
    <row r="235" spans="14:17" ht="15.75" customHeight="1" x14ac:dyDescent="0.3">
      <c r="N235" s="11"/>
      <c r="O235" s="11"/>
      <c r="P235" s="11"/>
      <c r="Q235" s="11"/>
    </row>
    <row r="236" spans="14:17" ht="15.75" customHeight="1" x14ac:dyDescent="0.3">
      <c r="N236" s="11"/>
      <c r="O236" s="11"/>
      <c r="P236" s="11"/>
      <c r="Q236" s="11"/>
    </row>
    <row r="237" spans="14:17" ht="15.75" customHeight="1" x14ac:dyDescent="0.3">
      <c r="N237" s="11"/>
      <c r="O237" s="11"/>
      <c r="P237" s="11"/>
      <c r="Q237" s="11"/>
    </row>
    <row r="238" spans="14:17" ht="15.75" customHeight="1" x14ac:dyDescent="0.3">
      <c r="N238" s="11"/>
      <c r="O238" s="11"/>
      <c r="P238" s="11"/>
      <c r="Q238" s="11"/>
    </row>
    <row r="239" spans="14:17" ht="15.75" customHeight="1" x14ac:dyDescent="0.3">
      <c r="N239" s="11"/>
      <c r="O239" s="11"/>
      <c r="P239" s="11"/>
      <c r="Q239" s="11"/>
    </row>
    <row r="240" spans="14:17" ht="15.75" customHeight="1" x14ac:dyDescent="0.3">
      <c r="N240" s="11"/>
      <c r="O240" s="11"/>
      <c r="P240" s="11"/>
      <c r="Q240" s="11"/>
    </row>
    <row r="241" spans="14:17" ht="15.75" customHeight="1" x14ac:dyDescent="0.3">
      <c r="N241" s="11"/>
      <c r="O241" s="11"/>
      <c r="P241" s="11"/>
      <c r="Q241" s="11"/>
    </row>
    <row r="242" spans="14:17" ht="15.75" customHeight="1" x14ac:dyDescent="0.3">
      <c r="N242" s="11"/>
      <c r="O242" s="11"/>
      <c r="P242" s="11"/>
      <c r="Q242" s="11"/>
    </row>
    <row r="243" spans="14:17" ht="15.75" customHeight="1" x14ac:dyDescent="0.3">
      <c r="N243" s="11"/>
      <c r="O243" s="11"/>
      <c r="P243" s="11"/>
      <c r="Q243" s="11"/>
    </row>
    <row r="244" spans="14:17" ht="15.75" customHeight="1" x14ac:dyDescent="0.3">
      <c r="N244" s="11"/>
      <c r="O244" s="11"/>
      <c r="P244" s="11"/>
      <c r="Q244" s="11"/>
    </row>
    <row r="245" spans="14:17" ht="15.75" customHeight="1" x14ac:dyDescent="0.3">
      <c r="N245" s="11"/>
      <c r="O245" s="11"/>
      <c r="P245" s="11"/>
      <c r="Q245" s="11"/>
    </row>
    <row r="246" spans="14:17" ht="15.75" customHeight="1" x14ac:dyDescent="0.3">
      <c r="N246" s="11"/>
      <c r="O246" s="11"/>
      <c r="P246" s="11"/>
      <c r="Q246" s="11"/>
    </row>
    <row r="247" spans="14:17" ht="15.75" customHeight="1" x14ac:dyDescent="0.3">
      <c r="N247" s="11"/>
      <c r="O247" s="11"/>
      <c r="P247" s="11"/>
      <c r="Q247" s="11"/>
    </row>
    <row r="248" spans="14:17" ht="15.75" customHeight="1" x14ac:dyDescent="0.3">
      <c r="N248" s="11"/>
      <c r="O248" s="11"/>
      <c r="P248" s="11"/>
      <c r="Q248" s="11"/>
    </row>
    <row r="249" spans="14:17" ht="15.75" customHeight="1" x14ac:dyDescent="0.3">
      <c r="N249" s="11"/>
      <c r="O249" s="11"/>
      <c r="P249" s="11"/>
      <c r="Q249" s="11"/>
    </row>
    <row r="250" spans="14:17" ht="15.75" customHeight="1" x14ac:dyDescent="0.3">
      <c r="N250" s="11"/>
      <c r="O250" s="11"/>
      <c r="P250" s="11"/>
      <c r="Q250" s="11"/>
    </row>
    <row r="251" spans="14:17" ht="15.75" customHeight="1" x14ac:dyDescent="0.3">
      <c r="N251" s="11"/>
      <c r="O251" s="11"/>
      <c r="P251" s="11"/>
      <c r="Q251" s="11"/>
    </row>
    <row r="252" spans="14:17" ht="15.75" customHeight="1" x14ac:dyDescent="0.3">
      <c r="N252" s="11"/>
      <c r="O252" s="11"/>
      <c r="P252" s="11"/>
      <c r="Q252" s="11"/>
    </row>
    <row r="253" spans="14:17" ht="15.75" customHeight="1" x14ac:dyDescent="0.3">
      <c r="N253" s="11"/>
      <c r="O253" s="11"/>
      <c r="P253" s="11"/>
      <c r="Q253" s="11"/>
    </row>
    <row r="254" spans="14:17" ht="15.75" customHeight="1" x14ac:dyDescent="0.3">
      <c r="N254" s="11"/>
      <c r="O254" s="11"/>
      <c r="P254" s="11"/>
      <c r="Q254" s="11"/>
    </row>
    <row r="255" spans="14:17" ht="15.75" customHeight="1" x14ac:dyDescent="0.3">
      <c r="N255" s="11"/>
      <c r="O255" s="11"/>
      <c r="P255" s="11"/>
      <c r="Q255" s="11"/>
    </row>
    <row r="256" spans="14:17" ht="15.75" customHeight="1" x14ac:dyDescent="0.3">
      <c r="N256" s="11"/>
      <c r="O256" s="11"/>
      <c r="P256" s="11"/>
      <c r="Q256" s="11"/>
    </row>
    <row r="257" spans="14:17" ht="15.75" customHeight="1" x14ac:dyDescent="0.3">
      <c r="N257" s="11"/>
      <c r="O257" s="11"/>
      <c r="P257" s="11"/>
      <c r="Q257" s="11"/>
    </row>
    <row r="258" spans="14:17" ht="15.75" customHeight="1" x14ac:dyDescent="0.3">
      <c r="N258" s="11"/>
      <c r="O258" s="11"/>
      <c r="P258" s="11"/>
      <c r="Q258" s="11"/>
    </row>
    <row r="259" spans="14:17" ht="15.75" customHeight="1" x14ac:dyDescent="0.3">
      <c r="N259" s="11"/>
      <c r="O259" s="11"/>
      <c r="P259" s="11"/>
      <c r="Q259" s="11"/>
    </row>
    <row r="260" spans="14:17" ht="15.75" customHeight="1" x14ac:dyDescent="0.3">
      <c r="N260" s="11"/>
      <c r="O260" s="11"/>
      <c r="P260" s="11"/>
      <c r="Q260" s="11"/>
    </row>
    <row r="261" spans="14:17" ht="15.75" customHeight="1" x14ac:dyDescent="0.3">
      <c r="N261" s="11"/>
      <c r="O261" s="11"/>
      <c r="P261" s="11"/>
      <c r="Q261" s="11"/>
    </row>
    <row r="262" spans="14:17" ht="15.75" customHeight="1" x14ac:dyDescent="0.3">
      <c r="N262" s="11"/>
      <c r="O262" s="11"/>
      <c r="P262" s="11"/>
      <c r="Q262" s="11"/>
    </row>
    <row r="263" spans="14:17" ht="15.75" customHeight="1" x14ac:dyDescent="0.3">
      <c r="N263" s="11"/>
      <c r="O263" s="11"/>
      <c r="P263" s="11"/>
      <c r="Q263" s="11"/>
    </row>
    <row r="264" spans="14:17" ht="15.75" customHeight="1" x14ac:dyDescent="0.3">
      <c r="N264" s="11"/>
      <c r="O264" s="11"/>
      <c r="P264" s="11"/>
      <c r="Q264" s="11"/>
    </row>
    <row r="265" spans="14:17" ht="15.75" customHeight="1" x14ac:dyDescent="0.3">
      <c r="N265" s="11"/>
      <c r="O265" s="11"/>
      <c r="P265" s="11"/>
      <c r="Q265" s="11"/>
    </row>
    <row r="266" spans="14:17" ht="15.75" customHeight="1" x14ac:dyDescent="0.3">
      <c r="N266" s="11"/>
      <c r="O266" s="11"/>
      <c r="P266" s="11"/>
      <c r="Q266" s="11"/>
    </row>
    <row r="267" spans="14:17" ht="15.75" customHeight="1" x14ac:dyDescent="0.3">
      <c r="N267" s="11"/>
      <c r="O267" s="11"/>
      <c r="P267" s="11"/>
      <c r="Q267" s="11"/>
    </row>
    <row r="268" spans="14:17" ht="15.75" customHeight="1" x14ac:dyDescent="0.3">
      <c r="N268" s="11"/>
      <c r="O268" s="11"/>
      <c r="P268" s="11"/>
      <c r="Q268" s="11"/>
    </row>
    <row r="269" spans="14:17" ht="15.75" customHeight="1" x14ac:dyDescent="0.3">
      <c r="N269" s="11"/>
      <c r="O269" s="11"/>
      <c r="P269" s="11"/>
      <c r="Q269" s="11"/>
    </row>
    <row r="270" spans="14:17" ht="15.75" customHeight="1" x14ac:dyDescent="0.3">
      <c r="N270" s="11"/>
      <c r="O270" s="11"/>
      <c r="P270" s="11"/>
      <c r="Q270" s="11"/>
    </row>
    <row r="271" spans="14:17" ht="15.75" customHeight="1" x14ac:dyDescent="0.3">
      <c r="N271" s="11"/>
      <c r="O271" s="11"/>
      <c r="P271" s="11"/>
      <c r="Q271" s="11"/>
    </row>
    <row r="272" spans="14:17" ht="15.75" customHeight="1" x14ac:dyDescent="0.3">
      <c r="N272" s="11"/>
      <c r="O272" s="11"/>
      <c r="P272" s="11"/>
      <c r="Q272" s="11"/>
    </row>
    <row r="273" spans="14:17" ht="15.75" customHeight="1" x14ac:dyDescent="0.3">
      <c r="N273" s="11"/>
      <c r="O273" s="11"/>
      <c r="P273" s="11"/>
      <c r="Q273" s="11"/>
    </row>
    <row r="274" spans="14:17" ht="15.75" customHeight="1" x14ac:dyDescent="0.3">
      <c r="N274" s="11"/>
      <c r="O274" s="11"/>
      <c r="P274" s="11"/>
      <c r="Q274" s="11"/>
    </row>
    <row r="275" spans="14:17" ht="15.75" customHeight="1" x14ac:dyDescent="0.3">
      <c r="N275" s="11"/>
      <c r="O275" s="11"/>
      <c r="P275" s="11"/>
      <c r="Q275" s="11"/>
    </row>
    <row r="276" spans="14:17" ht="15.75" customHeight="1" x14ac:dyDescent="0.3">
      <c r="N276" s="11"/>
      <c r="O276" s="11"/>
      <c r="P276" s="11"/>
      <c r="Q276" s="11"/>
    </row>
    <row r="277" spans="14:17" ht="15.75" customHeight="1" x14ac:dyDescent="0.3">
      <c r="N277" s="11"/>
      <c r="O277" s="11"/>
      <c r="P277" s="11"/>
      <c r="Q277" s="11"/>
    </row>
    <row r="278" spans="14:17" ht="15.75" customHeight="1" x14ac:dyDescent="0.3">
      <c r="N278" s="11"/>
      <c r="O278" s="11"/>
      <c r="P278" s="11"/>
      <c r="Q278" s="11"/>
    </row>
    <row r="279" spans="14:17" ht="15.75" customHeight="1" x14ac:dyDescent="0.3">
      <c r="N279" s="11"/>
      <c r="O279" s="11"/>
      <c r="P279" s="11"/>
      <c r="Q279" s="11"/>
    </row>
    <row r="280" spans="14:17" ht="15.75" customHeight="1" x14ac:dyDescent="0.3">
      <c r="N280" s="11"/>
      <c r="O280" s="11"/>
      <c r="P280" s="11"/>
      <c r="Q280" s="11"/>
    </row>
    <row r="281" spans="14:17" ht="15.75" customHeight="1" x14ac:dyDescent="0.3">
      <c r="N281" s="11"/>
      <c r="O281" s="11"/>
      <c r="P281" s="11"/>
      <c r="Q281" s="11"/>
    </row>
    <row r="282" spans="14:17" ht="15.75" customHeight="1" x14ac:dyDescent="0.3">
      <c r="N282" s="11"/>
      <c r="O282" s="11"/>
      <c r="P282" s="11"/>
      <c r="Q282" s="11"/>
    </row>
    <row r="283" spans="14:17" ht="15.75" customHeight="1" x14ac:dyDescent="0.3">
      <c r="N283" s="11"/>
      <c r="O283" s="11"/>
      <c r="P283" s="11"/>
      <c r="Q283" s="11"/>
    </row>
    <row r="284" spans="14:17" ht="15.75" customHeight="1" x14ac:dyDescent="0.3">
      <c r="N284" s="11"/>
      <c r="O284" s="11"/>
      <c r="P284" s="11"/>
      <c r="Q284" s="11"/>
    </row>
    <row r="285" spans="14:17" ht="15.75" customHeight="1" x14ac:dyDescent="0.3">
      <c r="N285" s="11"/>
      <c r="O285" s="11"/>
      <c r="P285" s="11"/>
      <c r="Q285" s="11"/>
    </row>
    <row r="286" spans="14:17" ht="15.75" customHeight="1" x14ac:dyDescent="0.3">
      <c r="N286" s="11"/>
      <c r="O286" s="11"/>
      <c r="P286" s="11"/>
      <c r="Q286" s="11"/>
    </row>
    <row r="287" spans="14:17" ht="15.75" customHeight="1" x14ac:dyDescent="0.3">
      <c r="N287" s="11"/>
      <c r="O287" s="11"/>
      <c r="P287" s="11"/>
      <c r="Q287" s="11"/>
    </row>
    <row r="288" spans="14:17" ht="15.75" customHeight="1" x14ac:dyDescent="0.3">
      <c r="N288" s="11"/>
      <c r="O288" s="11"/>
      <c r="P288" s="11"/>
      <c r="Q288" s="11"/>
    </row>
    <row r="289" spans="14:17" ht="15.75" customHeight="1" x14ac:dyDescent="0.3">
      <c r="N289" s="11"/>
      <c r="O289" s="11"/>
      <c r="P289" s="11"/>
      <c r="Q289" s="11"/>
    </row>
    <row r="290" spans="14:17" ht="15.75" customHeight="1" x14ac:dyDescent="0.3">
      <c r="N290" s="11"/>
      <c r="O290" s="11"/>
      <c r="P290" s="11"/>
      <c r="Q290" s="11"/>
    </row>
    <row r="291" spans="14:17" ht="15.75" customHeight="1" x14ac:dyDescent="0.3">
      <c r="N291" s="11"/>
      <c r="O291" s="11"/>
      <c r="P291" s="11"/>
      <c r="Q291" s="11"/>
    </row>
    <row r="292" spans="14:17" ht="15.75" customHeight="1" x14ac:dyDescent="0.3">
      <c r="N292" s="11"/>
      <c r="O292" s="11"/>
      <c r="P292" s="11"/>
      <c r="Q292" s="11"/>
    </row>
    <row r="293" spans="14:17" ht="15.75" customHeight="1" x14ac:dyDescent="0.3">
      <c r="N293" s="11"/>
      <c r="O293" s="11"/>
      <c r="P293" s="11"/>
      <c r="Q293" s="11"/>
    </row>
    <row r="294" spans="14:17" ht="15.75" customHeight="1" x14ac:dyDescent="0.3">
      <c r="N294" s="11"/>
      <c r="O294" s="11"/>
      <c r="P294" s="11"/>
      <c r="Q294" s="11"/>
    </row>
    <row r="295" spans="14:17" ht="15.75" customHeight="1" x14ac:dyDescent="0.3">
      <c r="N295" s="11"/>
      <c r="O295" s="11"/>
      <c r="P295" s="11"/>
      <c r="Q295" s="11"/>
    </row>
    <row r="296" spans="14:17" ht="15.75" customHeight="1" x14ac:dyDescent="0.3">
      <c r="N296" s="11"/>
      <c r="O296" s="11"/>
      <c r="P296" s="11"/>
      <c r="Q296" s="11"/>
    </row>
    <row r="297" spans="14:17" ht="15.75" customHeight="1" x14ac:dyDescent="0.3">
      <c r="N297" s="11"/>
      <c r="O297" s="11"/>
      <c r="P297" s="11"/>
      <c r="Q297" s="11"/>
    </row>
    <row r="298" spans="14:17" ht="15.75" customHeight="1" x14ac:dyDescent="0.3">
      <c r="N298" s="11"/>
      <c r="O298" s="11"/>
      <c r="P298" s="11"/>
      <c r="Q298" s="11"/>
    </row>
    <row r="299" spans="14:17" ht="15.75" customHeight="1" x14ac:dyDescent="0.3">
      <c r="N299" s="11"/>
      <c r="O299" s="11"/>
      <c r="P299" s="11"/>
      <c r="Q299" s="11"/>
    </row>
    <row r="300" spans="14:17" ht="15.75" customHeight="1" x14ac:dyDescent="0.3">
      <c r="N300" s="11"/>
      <c r="O300" s="11"/>
      <c r="P300" s="11"/>
      <c r="Q300" s="11"/>
    </row>
    <row r="301" spans="14:17" ht="15.75" customHeight="1" x14ac:dyDescent="0.3">
      <c r="N301" s="11"/>
      <c r="O301" s="11"/>
      <c r="P301" s="11"/>
      <c r="Q301" s="11"/>
    </row>
    <row r="302" spans="14:17" ht="15.75" customHeight="1" x14ac:dyDescent="0.3">
      <c r="N302" s="11"/>
      <c r="O302" s="11"/>
      <c r="P302" s="11"/>
      <c r="Q302" s="11"/>
    </row>
    <row r="303" spans="14:17" ht="15.75" customHeight="1" x14ac:dyDescent="0.3">
      <c r="N303" s="11"/>
      <c r="O303" s="11"/>
      <c r="P303" s="11"/>
      <c r="Q303" s="11"/>
    </row>
    <row r="304" spans="14:17" ht="15.75" customHeight="1" x14ac:dyDescent="0.3">
      <c r="N304" s="11"/>
      <c r="O304" s="11"/>
      <c r="P304" s="11"/>
      <c r="Q304" s="11"/>
    </row>
    <row r="305" spans="14:17" ht="15.75" customHeight="1" x14ac:dyDescent="0.3">
      <c r="N305" s="11"/>
      <c r="O305" s="11"/>
      <c r="P305" s="11"/>
      <c r="Q305" s="11"/>
    </row>
    <row r="306" spans="14:17" ht="15.75" customHeight="1" x14ac:dyDescent="0.3">
      <c r="N306" s="11"/>
      <c r="O306" s="11"/>
      <c r="P306" s="11"/>
      <c r="Q306" s="11"/>
    </row>
    <row r="307" spans="14:17" ht="15.75" customHeight="1" x14ac:dyDescent="0.3">
      <c r="N307" s="11"/>
      <c r="O307" s="11"/>
      <c r="P307" s="11"/>
      <c r="Q307" s="11"/>
    </row>
    <row r="308" spans="14:17" ht="15.75" customHeight="1" x14ac:dyDescent="0.3">
      <c r="N308" s="11"/>
      <c r="O308" s="11"/>
      <c r="P308" s="11"/>
      <c r="Q308" s="11"/>
    </row>
    <row r="309" spans="14:17" ht="15.75" customHeight="1" x14ac:dyDescent="0.3">
      <c r="N309" s="11"/>
      <c r="O309" s="11"/>
      <c r="P309" s="11"/>
      <c r="Q309" s="11"/>
    </row>
    <row r="310" spans="14:17" ht="15.75" customHeight="1" x14ac:dyDescent="0.3">
      <c r="N310" s="11"/>
      <c r="O310" s="11"/>
      <c r="P310" s="11"/>
      <c r="Q310" s="11"/>
    </row>
    <row r="311" spans="14:17" ht="15.75" customHeight="1" x14ac:dyDescent="0.3">
      <c r="N311" s="11"/>
      <c r="O311" s="11"/>
      <c r="P311" s="11"/>
      <c r="Q311" s="11"/>
    </row>
    <row r="312" spans="14:17" ht="15.75" customHeight="1" x14ac:dyDescent="0.3">
      <c r="N312" s="11"/>
      <c r="O312" s="11"/>
      <c r="P312" s="11"/>
      <c r="Q312" s="11"/>
    </row>
    <row r="313" spans="14:17" ht="15.75" customHeight="1" x14ac:dyDescent="0.3">
      <c r="N313" s="11"/>
      <c r="O313" s="11"/>
      <c r="P313" s="11"/>
      <c r="Q313" s="11"/>
    </row>
    <row r="314" spans="14:17" ht="15.75" customHeight="1" x14ac:dyDescent="0.3">
      <c r="N314" s="11"/>
      <c r="O314" s="11"/>
      <c r="P314" s="11"/>
      <c r="Q314" s="11"/>
    </row>
    <row r="315" spans="14:17" ht="15.75" customHeight="1" x14ac:dyDescent="0.3">
      <c r="N315" s="11"/>
      <c r="O315" s="11"/>
      <c r="P315" s="11"/>
      <c r="Q315" s="11"/>
    </row>
    <row r="316" spans="14:17" ht="15.75" customHeight="1" x14ac:dyDescent="0.3">
      <c r="N316" s="11"/>
      <c r="O316" s="11"/>
      <c r="P316" s="11"/>
      <c r="Q316" s="11"/>
    </row>
    <row r="317" spans="14:17" ht="15.75" customHeight="1" x14ac:dyDescent="0.3">
      <c r="N317" s="11"/>
      <c r="O317" s="11"/>
      <c r="P317" s="11"/>
      <c r="Q317" s="11"/>
    </row>
    <row r="318" spans="14:17" ht="15.75" customHeight="1" x14ac:dyDescent="0.3">
      <c r="N318" s="11"/>
      <c r="O318" s="11"/>
      <c r="P318" s="11"/>
      <c r="Q318" s="11"/>
    </row>
    <row r="319" spans="14:17" ht="15.75" customHeight="1" x14ac:dyDescent="0.3">
      <c r="N319" s="11"/>
      <c r="O319" s="11"/>
      <c r="P319" s="11"/>
      <c r="Q319" s="11"/>
    </row>
    <row r="320" spans="14:17" ht="15.75" customHeight="1" x14ac:dyDescent="0.3">
      <c r="N320" s="11"/>
      <c r="O320" s="11"/>
      <c r="P320" s="11"/>
      <c r="Q320" s="11"/>
    </row>
    <row r="321" spans="14:17" ht="15.75" customHeight="1" x14ac:dyDescent="0.3">
      <c r="N321" s="11"/>
      <c r="O321" s="11"/>
      <c r="P321" s="11"/>
      <c r="Q321" s="11"/>
    </row>
    <row r="322" spans="14:17" ht="15.75" customHeight="1" x14ac:dyDescent="0.3">
      <c r="N322" s="11"/>
      <c r="O322" s="11"/>
      <c r="P322" s="11"/>
      <c r="Q322" s="11"/>
    </row>
    <row r="323" spans="14:17" ht="15.75" customHeight="1" x14ac:dyDescent="0.3">
      <c r="N323" s="11"/>
      <c r="O323" s="11"/>
      <c r="P323" s="11"/>
      <c r="Q323" s="11"/>
    </row>
    <row r="324" spans="14:17" ht="15.75" customHeight="1" x14ac:dyDescent="0.3">
      <c r="N324" s="11"/>
      <c r="O324" s="11"/>
      <c r="P324" s="11"/>
      <c r="Q324" s="11"/>
    </row>
    <row r="325" spans="14:17" ht="15.75" customHeight="1" x14ac:dyDescent="0.3">
      <c r="N325" s="11"/>
      <c r="O325" s="11"/>
      <c r="P325" s="11"/>
      <c r="Q325" s="11"/>
    </row>
    <row r="326" spans="14:17" ht="15.75" customHeight="1" x14ac:dyDescent="0.3">
      <c r="N326" s="11"/>
      <c r="O326" s="11"/>
      <c r="P326" s="11"/>
      <c r="Q326" s="11"/>
    </row>
    <row r="327" spans="14:17" ht="15.75" customHeight="1" x14ac:dyDescent="0.3">
      <c r="N327" s="11"/>
      <c r="O327" s="11"/>
      <c r="P327" s="11"/>
      <c r="Q327" s="11"/>
    </row>
    <row r="328" spans="14:17" ht="15.75" customHeight="1" x14ac:dyDescent="0.3">
      <c r="N328" s="11"/>
      <c r="O328" s="11"/>
      <c r="P328" s="11"/>
      <c r="Q328" s="11"/>
    </row>
    <row r="329" spans="14:17" ht="15.75" customHeight="1" x14ac:dyDescent="0.3">
      <c r="N329" s="11"/>
      <c r="O329" s="11"/>
      <c r="P329" s="11"/>
      <c r="Q329" s="11"/>
    </row>
    <row r="330" spans="14:17" ht="15.75" customHeight="1" x14ac:dyDescent="0.3">
      <c r="N330" s="11"/>
      <c r="O330" s="11"/>
      <c r="P330" s="11"/>
      <c r="Q330" s="11"/>
    </row>
    <row r="331" spans="14:17" ht="15.75" customHeight="1" x14ac:dyDescent="0.3">
      <c r="N331" s="11"/>
      <c r="O331" s="11"/>
      <c r="P331" s="11"/>
      <c r="Q331" s="11"/>
    </row>
    <row r="332" spans="14:17" ht="15.75" customHeight="1" x14ac:dyDescent="0.3">
      <c r="N332" s="11"/>
      <c r="O332" s="11"/>
      <c r="P332" s="11"/>
      <c r="Q332" s="11"/>
    </row>
    <row r="333" spans="14:17" ht="15.75" customHeight="1" x14ac:dyDescent="0.3">
      <c r="N333" s="11"/>
      <c r="O333" s="11"/>
      <c r="P333" s="11"/>
      <c r="Q333" s="11"/>
    </row>
    <row r="334" spans="14:17" ht="15.75" customHeight="1" x14ac:dyDescent="0.3">
      <c r="N334" s="11"/>
      <c r="O334" s="11"/>
      <c r="P334" s="11"/>
      <c r="Q334" s="11"/>
    </row>
    <row r="335" spans="14:17" ht="15.75" customHeight="1" x14ac:dyDescent="0.3">
      <c r="N335" s="11"/>
      <c r="O335" s="11"/>
      <c r="P335" s="11"/>
      <c r="Q335" s="11"/>
    </row>
    <row r="336" spans="14:17" ht="15.75" customHeight="1" x14ac:dyDescent="0.3">
      <c r="N336" s="11"/>
      <c r="O336" s="11"/>
      <c r="P336" s="11"/>
      <c r="Q336" s="11"/>
    </row>
    <row r="337" spans="14:17" ht="15.75" customHeight="1" x14ac:dyDescent="0.3">
      <c r="N337" s="11"/>
      <c r="O337" s="11"/>
      <c r="P337" s="11"/>
      <c r="Q337" s="11"/>
    </row>
    <row r="338" spans="14:17" ht="15.75" customHeight="1" x14ac:dyDescent="0.3">
      <c r="N338" s="11"/>
      <c r="O338" s="11"/>
      <c r="P338" s="11"/>
      <c r="Q338" s="11"/>
    </row>
    <row r="339" spans="14:17" ht="15.75" customHeight="1" x14ac:dyDescent="0.3">
      <c r="N339" s="11"/>
      <c r="O339" s="11"/>
      <c r="P339" s="11"/>
      <c r="Q339" s="11"/>
    </row>
    <row r="340" spans="14:17" ht="15.75" customHeight="1" x14ac:dyDescent="0.3">
      <c r="N340" s="11"/>
      <c r="O340" s="11"/>
      <c r="P340" s="11"/>
      <c r="Q340" s="11"/>
    </row>
    <row r="341" spans="14:17" ht="15.75" customHeight="1" x14ac:dyDescent="0.3">
      <c r="N341" s="11"/>
      <c r="O341" s="11"/>
      <c r="P341" s="11"/>
      <c r="Q341" s="11"/>
    </row>
    <row r="342" spans="14:17" ht="15.75" customHeight="1" x14ac:dyDescent="0.3">
      <c r="N342" s="11"/>
      <c r="O342" s="11"/>
      <c r="P342" s="11"/>
      <c r="Q342" s="11"/>
    </row>
    <row r="343" spans="14:17" ht="15.75" customHeight="1" x14ac:dyDescent="0.3">
      <c r="N343" s="11"/>
      <c r="O343" s="11"/>
      <c r="P343" s="11"/>
      <c r="Q343" s="11"/>
    </row>
    <row r="344" spans="14:17" ht="15.75" customHeight="1" x14ac:dyDescent="0.3">
      <c r="N344" s="11"/>
      <c r="O344" s="11"/>
      <c r="P344" s="11"/>
      <c r="Q344" s="11"/>
    </row>
    <row r="345" spans="14:17" ht="15.75" customHeight="1" x14ac:dyDescent="0.3">
      <c r="N345" s="11"/>
      <c r="O345" s="11"/>
      <c r="P345" s="11"/>
      <c r="Q345" s="11"/>
    </row>
    <row r="346" spans="14:17" ht="15.75" customHeight="1" x14ac:dyDescent="0.3">
      <c r="N346" s="11"/>
      <c r="O346" s="11"/>
      <c r="P346" s="11"/>
      <c r="Q346" s="11"/>
    </row>
    <row r="347" spans="14:17" ht="15.75" customHeight="1" x14ac:dyDescent="0.3">
      <c r="N347" s="11"/>
      <c r="O347" s="11"/>
      <c r="P347" s="11"/>
      <c r="Q347" s="11"/>
    </row>
    <row r="348" spans="14:17" ht="15.75" customHeight="1" x14ac:dyDescent="0.3">
      <c r="N348" s="11"/>
      <c r="O348" s="11"/>
      <c r="P348" s="11"/>
      <c r="Q348" s="11"/>
    </row>
    <row r="349" spans="14:17" ht="15.75" customHeight="1" x14ac:dyDescent="0.3">
      <c r="N349" s="11"/>
      <c r="O349" s="11"/>
      <c r="P349" s="11"/>
      <c r="Q349" s="11"/>
    </row>
    <row r="350" spans="14:17" ht="15.75" customHeight="1" x14ac:dyDescent="0.3">
      <c r="N350" s="11"/>
      <c r="O350" s="11"/>
      <c r="P350" s="11"/>
      <c r="Q350" s="11"/>
    </row>
    <row r="351" spans="14:17" ht="15.75" customHeight="1" x14ac:dyDescent="0.3">
      <c r="N351" s="11"/>
      <c r="O351" s="11"/>
      <c r="P351" s="11"/>
      <c r="Q351" s="11"/>
    </row>
    <row r="352" spans="14:17" ht="15.75" customHeight="1" x14ac:dyDescent="0.3">
      <c r="N352" s="11"/>
      <c r="O352" s="11"/>
      <c r="P352" s="11"/>
      <c r="Q352" s="11"/>
    </row>
    <row r="353" spans="14:17" ht="15.75" customHeight="1" x14ac:dyDescent="0.3">
      <c r="N353" s="11"/>
      <c r="O353" s="11"/>
      <c r="P353" s="11"/>
      <c r="Q353" s="11"/>
    </row>
    <row r="354" spans="14:17" ht="15.75" customHeight="1" x14ac:dyDescent="0.3">
      <c r="N354" s="11"/>
      <c r="O354" s="11"/>
      <c r="P354" s="11"/>
      <c r="Q354" s="11"/>
    </row>
    <row r="355" spans="14:17" ht="15.75" customHeight="1" x14ac:dyDescent="0.3">
      <c r="N355" s="11"/>
      <c r="O355" s="11"/>
      <c r="P355" s="11"/>
      <c r="Q355" s="11"/>
    </row>
    <row r="356" spans="14:17" ht="15.75" customHeight="1" x14ac:dyDescent="0.3">
      <c r="N356" s="11"/>
      <c r="O356" s="11"/>
      <c r="P356" s="11"/>
      <c r="Q356" s="11"/>
    </row>
    <row r="357" spans="14:17" ht="15.75" customHeight="1" x14ac:dyDescent="0.3">
      <c r="N357" s="11"/>
      <c r="O357" s="11"/>
      <c r="P357" s="11"/>
      <c r="Q357" s="11"/>
    </row>
    <row r="358" spans="14:17" ht="15.75" customHeight="1" x14ac:dyDescent="0.3">
      <c r="N358" s="11"/>
      <c r="O358" s="11"/>
      <c r="P358" s="11"/>
      <c r="Q358" s="11"/>
    </row>
    <row r="359" spans="14:17" ht="15.75" customHeight="1" x14ac:dyDescent="0.3">
      <c r="N359" s="11"/>
      <c r="O359" s="11"/>
      <c r="P359" s="11"/>
      <c r="Q359" s="11"/>
    </row>
    <row r="360" spans="14:17" ht="15.75" customHeight="1" x14ac:dyDescent="0.3">
      <c r="N360" s="11"/>
      <c r="O360" s="11"/>
      <c r="P360" s="11"/>
      <c r="Q360" s="11"/>
    </row>
    <row r="361" spans="14:17" ht="15.75" customHeight="1" x14ac:dyDescent="0.3">
      <c r="N361" s="11"/>
      <c r="O361" s="11"/>
      <c r="P361" s="11"/>
      <c r="Q361" s="11"/>
    </row>
    <row r="362" spans="14:17" ht="15.75" customHeight="1" x14ac:dyDescent="0.3">
      <c r="N362" s="11"/>
      <c r="O362" s="11"/>
      <c r="P362" s="11"/>
      <c r="Q362" s="11"/>
    </row>
    <row r="363" spans="14:17" ht="15.75" customHeight="1" x14ac:dyDescent="0.3">
      <c r="N363" s="11"/>
      <c r="O363" s="11"/>
      <c r="P363" s="11"/>
      <c r="Q363" s="11"/>
    </row>
    <row r="364" spans="14:17" ht="15.75" customHeight="1" x14ac:dyDescent="0.3">
      <c r="N364" s="11"/>
      <c r="O364" s="11"/>
      <c r="P364" s="11"/>
      <c r="Q364" s="11"/>
    </row>
    <row r="365" spans="14:17" ht="15.75" customHeight="1" x14ac:dyDescent="0.3">
      <c r="N365" s="11"/>
      <c r="O365" s="11"/>
      <c r="P365" s="11"/>
      <c r="Q365" s="11"/>
    </row>
    <row r="366" spans="14:17" ht="15.75" customHeight="1" x14ac:dyDescent="0.3">
      <c r="N366" s="11"/>
      <c r="O366" s="11"/>
      <c r="P366" s="11"/>
      <c r="Q366" s="11"/>
    </row>
    <row r="367" spans="14:17" ht="15.75" customHeight="1" x14ac:dyDescent="0.3">
      <c r="N367" s="11"/>
      <c r="O367" s="11"/>
      <c r="P367" s="11"/>
      <c r="Q367" s="11"/>
    </row>
    <row r="368" spans="14:17" ht="15.75" customHeight="1" x14ac:dyDescent="0.3">
      <c r="N368" s="11"/>
      <c r="O368" s="11"/>
      <c r="P368" s="11"/>
      <c r="Q368" s="11"/>
    </row>
    <row r="369" spans="14:17" ht="15.75" customHeight="1" x14ac:dyDescent="0.3">
      <c r="N369" s="11"/>
      <c r="O369" s="11"/>
      <c r="P369" s="11"/>
      <c r="Q369" s="11"/>
    </row>
    <row r="370" spans="14:17" ht="15.75" customHeight="1" x14ac:dyDescent="0.3">
      <c r="N370" s="11"/>
      <c r="O370" s="11"/>
      <c r="P370" s="11"/>
      <c r="Q370" s="11"/>
    </row>
    <row r="371" spans="14:17" ht="15.75" customHeight="1" x14ac:dyDescent="0.3">
      <c r="N371" s="11"/>
      <c r="O371" s="11"/>
      <c r="P371" s="11"/>
      <c r="Q371" s="11"/>
    </row>
    <row r="372" spans="14:17" ht="15.75" customHeight="1" x14ac:dyDescent="0.3">
      <c r="N372" s="11"/>
      <c r="O372" s="11"/>
      <c r="P372" s="11"/>
      <c r="Q372" s="11"/>
    </row>
    <row r="373" spans="14:17" ht="15.75" customHeight="1" x14ac:dyDescent="0.3">
      <c r="N373" s="11"/>
      <c r="O373" s="11"/>
      <c r="P373" s="11"/>
      <c r="Q373" s="11"/>
    </row>
    <row r="374" spans="14:17" ht="15.75" customHeight="1" x14ac:dyDescent="0.3">
      <c r="N374" s="11"/>
      <c r="O374" s="11"/>
      <c r="P374" s="11"/>
      <c r="Q374" s="11"/>
    </row>
    <row r="375" spans="14:17" ht="15.75" customHeight="1" x14ac:dyDescent="0.3">
      <c r="N375" s="11"/>
      <c r="O375" s="11"/>
      <c r="P375" s="11"/>
      <c r="Q375" s="11"/>
    </row>
    <row r="376" spans="14:17" ht="15.75" customHeight="1" x14ac:dyDescent="0.3">
      <c r="N376" s="11"/>
      <c r="O376" s="11"/>
      <c r="P376" s="11"/>
      <c r="Q376" s="11"/>
    </row>
    <row r="377" spans="14:17" ht="15.75" customHeight="1" x14ac:dyDescent="0.3">
      <c r="N377" s="11"/>
      <c r="O377" s="11"/>
      <c r="P377" s="11"/>
      <c r="Q377" s="11"/>
    </row>
    <row r="378" spans="14:17" ht="15.75" customHeight="1" x14ac:dyDescent="0.3">
      <c r="N378" s="11"/>
      <c r="O378" s="11"/>
      <c r="P378" s="11"/>
      <c r="Q378" s="11"/>
    </row>
    <row r="379" spans="14:17" ht="15.75" customHeight="1" x14ac:dyDescent="0.3">
      <c r="N379" s="11"/>
      <c r="O379" s="11"/>
      <c r="P379" s="11"/>
      <c r="Q379" s="11"/>
    </row>
    <row r="380" spans="14:17" ht="15.75" customHeight="1" x14ac:dyDescent="0.3">
      <c r="N380" s="11"/>
      <c r="O380" s="11"/>
      <c r="P380" s="11"/>
      <c r="Q380" s="11"/>
    </row>
    <row r="381" spans="14:17" ht="15.75" customHeight="1" x14ac:dyDescent="0.3">
      <c r="N381" s="11"/>
      <c r="O381" s="11"/>
      <c r="P381" s="11"/>
      <c r="Q381" s="11"/>
    </row>
    <row r="382" spans="14:17" ht="15.75" customHeight="1" x14ac:dyDescent="0.3">
      <c r="N382" s="11"/>
      <c r="O382" s="11"/>
      <c r="P382" s="11"/>
      <c r="Q382" s="11"/>
    </row>
    <row r="383" spans="14:17" ht="15.75" customHeight="1" x14ac:dyDescent="0.3">
      <c r="N383" s="11"/>
      <c r="O383" s="11"/>
      <c r="P383" s="11"/>
      <c r="Q383" s="11"/>
    </row>
    <row r="384" spans="14:17" ht="15.75" customHeight="1" x14ac:dyDescent="0.3">
      <c r="N384" s="11"/>
      <c r="O384" s="11"/>
      <c r="P384" s="11"/>
      <c r="Q384" s="11"/>
    </row>
    <row r="385" spans="14:17" ht="15.75" customHeight="1" x14ac:dyDescent="0.3">
      <c r="N385" s="11"/>
      <c r="O385" s="11"/>
      <c r="P385" s="11"/>
      <c r="Q385" s="11"/>
    </row>
    <row r="386" spans="14:17" ht="15.75" customHeight="1" x14ac:dyDescent="0.3">
      <c r="N386" s="11"/>
      <c r="O386" s="11"/>
      <c r="P386" s="11"/>
      <c r="Q386" s="11"/>
    </row>
    <row r="387" spans="14:17" ht="15.75" customHeight="1" x14ac:dyDescent="0.3">
      <c r="N387" s="11"/>
      <c r="O387" s="11"/>
      <c r="P387" s="11"/>
      <c r="Q387" s="11"/>
    </row>
    <row r="388" spans="14:17" ht="15.75" customHeight="1" x14ac:dyDescent="0.3">
      <c r="N388" s="11"/>
      <c r="O388" s="11"/>
      <c r="P388" s="11"/>
      <c r="Q388" s="11"/>
    </row>
    <row r="389" spans="14:17" ht="15.75" customHeight="1" x14ac:dyDescent="0.3">
      <c r="N389" s="11"/>
      <c r="O389" s="11"/>
      <c r="P389" s="11"/>
      <c r="Q389" s="11"/>
    </row>
    <row r="390" spans="14:17" ht="15.75" customHeight="1" x14ac:dyDescent="0.3">
      <c r="N390" s="11"/>
      <c r="O390" s="11"/>
      <c r="P390" s="11"/>
      <c r="Q390" s="11"/>
    </row>
    <row r="391" spans="14:17" ht="15.75" customHeight="1" x14ac:dyDescent="0.3">
      <c r="N391" s="11"/>
      <c r="O391" s="11"/>
      <c r="P391" s="11"/>
      <c r="Q391" s="11"/>
    </row>
    <row r="392" spans="14:17" ht="15.75" customHeight="1" x14ac:dyDescent="0.3">
      <c r="N392" s="11"/>
      <c r="O392" s="11"/>
      <c r="P392" s="11"/>
      <c r="Q392" s="11"/>
    </row>
    <row r="393" spans="14:17" ht="15.75" customHeight="1" x14ac:dyDescent="0.3">
      <c r="N393" s="11"/>
      <c r="O393" s="11"/>
      <c r="P393" s="11"/>
      <c r="Q393" s="11"/>
    </row>
    <row r="394" spans="14:17" ht="15.75" customHeight="1" x14ac:dyDescent="0.3">
      <c r="N394" s="11"/>
      <c r="O394" s="11"/>
      <c r="P394" s="11"/>
      <c r="Q394" s="11"/>
    </row>
    <row r="395" spans="14:17" ht="15.75" customHeight="1" x14ac:dyDescent="0.3">
      <c r="N395" s="11"/>
      <c r="O395" s="11"/>
      <c r="P395" s="11"/>
      <c r="Q395" s="11"/>
    </row>
    <row r="396" spans="14:17" ht="15.75" customHeight="1" x14ac:dyDescent="0.3">
      <c r="N396" s="11"/>
      <c r="O396" s="11"/>
      <c r="P396" s="11"/>
      <c r="Q396" s="11"/>
    </row>
    <row r="397" spans="14:17" ht="15.75" customHeight="1" x14ac:dyDescent="0.3">
      <c r="N397" s="11"/>
      <c r="O397" s="11"/>
      <c r="P397" s="11"/>
      <c r="Q397" s="11"/>
    </row>
    <row r="398" spans="14:17" ht="15.75" customHeight="1" x14ac:dyDescent="0.3">
      <c r="N398" s="11"/>
      <c r="O398" s="11"/>
      <c r="P398" s="11"/>
      <c r="Q398" s="11"/>
    </row>
    <row r="399" spans="14:17" ht="15.75" customHeight="1" x14ac:dyDescent="0.3">
      <c r="N399" s="11"/>
      <c r="O399" s="11"/>
      <c r="P399" s="11"/>
      <c r="Q399" s="11"/>
    </row>
    <row r="400" spans="14:17" ht="15.75" customHeight="1" x14ac:dyDescent="0.3">
      <c r="N400" s="11"/>
      <c r="O400" s="11"/>
      <c r="P400" s="11"/>
      <c r="Q400" s="11"/>
    </row>
    <row r="401" spans="14:17" ht="15.75" customHeight="1" x14ac:dyDescent="0.3">
      <c r="N401" s="11"/>
      <c r="O401" s="11"/>
      <c r="P401" s="11"/>
      <c r="Q401" s="11"/>
    </row>
    <row r="402" spans="14:17" ht="15.75" customHeight="1" x14ac:dyDescent="0.3">
      <c r="N402" s="11"/>
      <c r="O402" s="11"/>
      <c r="P402" s="11"/>
      <c r="Q402" s="11"/>
    </row>
    <row r="403" spans="14:17" ht="15.75" customHeight="1" x14ac:dyDescent="0.3">
      <c r="N403" s="11"/>
      <c r="O403" s="11"/>
      <c r="P403" s="11"/>
      <c r="Q403" s="11"/>
    </row>
    <row r="404" spans="14:17" ht="15.75" customHeight="1" x14ac:dyDescent="0.3">
      <c r="N404" s="11"/>
      <c r="O404" s="11"/>
      <c r="P404" s="11"/>
      <c r="Q404" s="11"/>
    </row>
    <row r="405" spans="14:17" ht="15.75" customHeight="1" x14ac:dyDescent="0.3">
      <c r="N405" s="11"/>
      <c r="O405" s="11"/>
      <c r="P405" s="11"/>
      <c r="Q405" s="11"/>
    </row>
    <row r="406" spans="14:17" ht="15.75" customHeight="1" x14ac:dyDescent="0.3">
      <c r="N406" s="11"/>
      <c r="O406" s="11"/>
      <c r="P406" s="11"/>
      <c r="Q406" s="11"/>
    </row>
    <row r="407" spans="14:17" ht="15.75" customHeight="1" x14ac:dyDescent="0.3">
      <c r="N407" s="11"/>
      <c r="O407" s="11"/>
      <c r="P407" s="11"/>
      <c r="Q407" s="11"/>
    </row>
    <row r="408" spans="14:17" ht="15.75" customHeight="1" x14ac:dyDescent="0.3">
      <c r="N408" s="11"/>
      <c r="O408" s="11"/>
      <c r="P408" s="11"/>
      <c r="Q408" s="11"/>
    </row>
    <row r="409" spans="14:17" ht="15.75" customHeight="1" x14ac:dyDescent="0.3">
      <c r="N409" s="11"/>
      <c r="O409" s="11"/>
      <c r="P409" s="11"/>
      <c r="Q409" s="11"/>
    </row>
    <row r="410" spans="14:17" ht="15.75" customHeight="1" x14ac:dyDescent="0.3">
      <c r="N410" s="11"/>
      <c r="O410" s="11"/>
      <c r="P410" s="11"/>
      <c r="Q410" s="11"/>
    </row>
    <row r="411" spans="14:17" ht="15.75" customHeight="1" x14ac:dyDescent="0.3">
      <c r="N411" s="11"/>
      <c r="O411" s="11"/>
      <c r="P411" s="11"/>
      <c r="Q411" s="11"/>
    </row>
    <row r="412" spans="14:17" ht="15.75" customHeight="1" x14ac:dyDescent="0.3">
      <c r="N412" s="11"/>
      <c r="O412" s="11"/>
      <c r="P412" s="11"/>
      <c r="Q412" s="11"/>
    </row>
    <row r="413" spans="14:17" ht="15.75" customHeight="1" x14ac:dyDescent="0.3">
      <c r="N413" s="11"/>
      <c r="O413" s="11"/>
      <c r="P413" s="11"/>
      <c r="Q413" s="11"/>
    </row>
    <row r="414" spans="14:17" ht="15.75" customHeight="1" x14ac:dyDescent="0.3">
      <c r="N414" s="11"/>
      <c r="O414" s="11"/>
      <c r="P414" s="11"/>
      <c r="Q414" s="11"/>
    </row>
    <row r="415" spans="14:17" ht="15.75" customHeight="1" x14ac:dyDescent="0.3">
      <c r="N415" s="11"/>
      <c r="O415" s="11"/>
      <c r="P415" s="11"/>
      <c r="Q415" s="11"/>
    </row>
    <row r="416" spans="14:17" ht="15.75" customHeight="1" x14ac:dyDescent="0.3">
      <c r="N416" s="11"/>
      <c r="O416" s="11"/>
      <c r="P416" s="11"/>
      <c r="Q416" s="11"/>
    </row>
    <row r="417" spans="14:17" ht="15.75" customHeight="1" x14ac:dyDescent="0.3">
      <c r="N417" s="11"/>
      <c r="O417" s="11"/>
      <c r="P417" s="11"/>
      <c r="Q417" s="11"/>
    </row>
    <row r="418" spans="14:17" ht="15.75" customHeight="1" x14ac:dyDescent="0.3">
      <c r="N418" s="11"/>
      <c r="O418" s="11"/>
      <c r="P418" s="11"/>
      <c r="Q418" s="11"/>
    </row>
    <row r="419" spans="14:17" ht="15.75" customHeight="1" x14ac:dyDescent="0.3">
      <c r="N419" s="11"/>
      <c r="O419" s="11"/>
      <c r="P419" s="11"/>
      <c r="Q419" s="11"/>
    </row>
    <row r="420" spans="14:17" ht="15.75" customHeight="1" x14ac:dyDescent="0.3">
      <c r="N420" s="11"/>
      <c r="O420" s="11"/>
      <c r="P420" s="11"/>
      <c r="Q420" s="11"/>
    </row>
    <row r="421" spans="14:17" ht="15.75" customHeight="1" x14ac:dyDescent="0.3">
      <c r="N421" s="11"/>
      <c r="O421" s="11"/>
      <c r="P421" s="11"/>
      <c r="Q421" s="11"/>
    </row>
    <row r="422" spans="14:17" ht="15.75" customHeight="1" x14ac:dyDescent="0.3">
      <c r="N422" s="11"/>
      <c r="O422" s="11"/>
      <c r="P422" s="11"/>
      <c r="Q422" s="11"/>
    </row>
    <row r="423" spans="14:17" ht="15.75" customHeight="1" x14ac:dyDescent="0.3">
      <c r="N423" s="11"/>
      <c r="O423" s="11"/>
      <c r="P423" s="11"/>
      <c r="Q423" s="11"/>
    </row>
    <row r="424" spans="14:17" ht="15.75" customHeight="1" x14ac:dyDescent="0.3">
      <c r="N424" s="11"/>
      <c r="O424" s="11"/>
      <c r="P424" s="11"/>
      <c r="Q424" s="11"/>
    </row>
    <row r="425" spans="14:17" ht="15.75" customHeight="1" x14ac:dyDescent="0.3">
      <c r="N425" s="11"/>
      <c r="O425" s="11"/>
      <c r="P425" s="11"/>
      <c r="Q425" s="11"/>
    </row>
    <row r="426" spans="14:17" ht="15.75" customHeight="1" x14ac:dyDescent="0.3">
      <c r="N426" s="11"/>
      <c r="O426" s="11"/>
      <c r="P426" s="11"/>
      <c r="Q426" s="11"/>
    </row>
    <row r="427" spans="14:17" ht="15.75" customHeight="1" x14ac:dyDescent="0.3">
      <c r="N427" s="11"/>
      <c r="O427" s="11"/>
      <c r="P427" s="11"/>
      <c r="Q427" s="11"/>
    </row>
    <row r="428" spans="14:17" ht="15.75" customHeight="1" x14ac:dyDescent="0.3">
      <c r="N428" s="11"/>
      <c r="O428" s="11"/>
      <c r="P428" s="11"/>
      <c r="Q428" s="11"/>
    </row>
    <row r="429" spans="14:17" ht="15.75" customHeight="1" x14ac:dyDescent="0.3">
      <c r="N429" s="11"/>
      <c r="O429" s="11"/>
      <c r="P429" s="11"/>
      <c r="Q429" s="11"/>
    </row>
    <row r="430" spans="14:17" ht="15.75" customHeight="1" x14ac:dyDescent="0.3">
      <c r="N430" s="11"/>
      <c r="O430" s="11"/>
      <c r="P430" s="11"/>
      <c r="Q430" s="11"/>
    </row>
    <row r="431" spans="14:17" ht="15.75" customHeight="1" x14ac:dyDescent="0.3">
      <c r="N431" s="11"/>
      <c r="O431" s="11"/>
      <c r="P431" s="11"/>
      <c r="Q431" s="11"/>
    </row>
    <row r="432" spans="14:17" ht="15.75" customHeight="1" x14ac:dyDescent="0.3">
      <c r="N432" s="11"/>
      <c r="O432" s="11"/>
      <c r="P432" s="11"/>
      <c r="Q432" s="11"/>
    </row>
    <row r="433" spans="14:17" ht="15.75" customHeight="1" x14ac:dyDescent="0.3">
      <c r="N433" s="11"/>
      <c r="O433" s="11"/>
      <c r="P433" s="11"/>
      <c r="Q433" s="11"/>
    </row>
    <row r="434" spans="14:17" ht="15.75" customHeight="1" x14ac:dyDescent="0.3">
      <c r="N434" s="11"/>
      <c r="O434" s="11"/>
      <c r="P434" s="11"/>
      <c r="Q434" s="11"/>
    </row>
    <row r="435" spans="14:17" ht="15.75" customHeight="1" x14ac:dyDescent="0.3">
      <c r="N435" s="11"/>
      <c r="O435" s="11"/>
      <c r="P435" s="11"/>
      <c r="Q435" s="11"/>
    </row>
    <row r="436" spans="14:17" ht="15.75" customHeight="1" x14ac:dyDescent="0.3">
      <c r="N436" s="11"/>
      <c r="O436" s="11"/>
      <c r="P436" s="11"/>
      <c r="Q436" s="11"/>
    </row>
    <row r="437" spans="14:17" ht="15.75" customHeight="1" x14ac:dyDescent="0.3">
      <c r="N437" s="11"/>
      <c r="O437" s="11"/>
      <c r="P437" s="11"/>
      <c r="Q437" s="11"/>
    </row>
    <row r="438" spans="14:17" ht="15.75" customHeight="1" x14ac:dyDescent="0.3">
      <c r="N438" s="11"/>
      <c r="O438" s="11"/>
      <c r="P438" s="11"/>
      <c r="Q438" s="11"/>
    </row>
    <row r="439" spans="14:17" ht="15.75" customHeight="1" x14ac:dyDescent="0.3">
      <c r="N439" s="11"/>
      <c r="O439" s="11"/>
      <c r="P439" s="11"/>
      <c r="Q439" s="11"/>
    </row>
    <row r="440" spans="14:17" ht="15.75" customHeight="1" x14ac:dyDescent="0.3">
      <c r="N440" s="11"/>
      <c r="O440" s="11"/>
      <c r="P440" s="11"/>
      <c r="Q440" s="11"/>
    </row>
    <row r="441" spans="14:17" ht="15.75" customHeight="1" x14ac:dyDescent="0.3">
      <c r="N441" s="11"/>
      <c r="O441" s="11"/>
      <c r="P441" s="11"/>
      <c r="Q441" s="11"/>
    </row>
    <row r="442" spans="14:17" ht="15.75" customHeight="1" x14ac:dyDescent="0.3">
      <c r="N442" s="11"/>
      <c r="O442" s="11"/>
      <c r="P442" s="11"/>
      <c r="Q442" s="11"/>
    </row>
    <row r="443" spans="14:17" ht="15.75" customHeight="1" x14ac:dyDescent="0.3">
      <c r="N443" s="11"/>
      <c r="O443" s="11"/>
      <c r="P443" s="11"/>
      <c r="Q443" s="11"/>
    </row>
    <row r="444" spans="14:17" ht="15.75" customHeight="1" x14ac:dyDescent="0.3">
      <c r="N444" s="11"/>
      <c r="O444" s="11"/>
      <c r="P444" s="11"/>
      <c r="Q444" s="11"/>
    </row>
    <row r="445" spans="14:17" ht="15.75" customHeight="1" x14ac:dyDescent="0.3">
      <c r="N445" s="11"/>
      <c r="O445" s="11"/>
      <c r="P445" s="11"/>
      <c r="Q445" s="11"/>
    </row>
    <row r="446" spans="14:17" ht="15.75" customHeight="1" x14ac:dyDescent="0.3">
      <c r="N446" s="11"/>
      <c r="O446" s="11"/>
      <c r="P446" s="11"/>
      <c r="Q446" s="11"/>
    </row>
    <row r="447" spans="14:17" ht="15.75" customHeight="1" x14ac:dyDescent="0.3">
      <c r="N447" s="11"/>
      <c r="O447" s="11"/>
      <c r="P447" s="11"/>
      <c r="Q447" s="11"/>
    </row>
    <row r="448" spans="14:17" ht="15.75" customHeight="1" x14ac:dyDescent="0.3">
      <c r="N448" s="11"/>
      <c r="O448" s="11"/>
      <c r="P448" s="11"/>
      <c r="Q448" s="11"/>
    </row>
    <row r="449" spans="14:17" ht="15.75" customHeight="1" x14ac:dyDescent="0.3">
      <c r="N449" s="11"/>
      <c r="O449" s="11"/>
      <c r="P449" s="11"/>
      <c r="Q449" s="11"/>
    </row>
    <row r="450" spans="14:17" ht="15.75" customHeight="1" x14ac:dyDescent="0.3">
      <c r="N450" s="11"/>
      <c r="O450" s="11"/>
      <c r="P450" s="11"/>
      <c r="Q450" s="11"/>
    </row>
    <row r="451" spans="14:17" ht="15.75" customHeight="1" x14ac:dyDescent="0.3">
      <c r="N451" s="11"/>
      <c r="O451" s="11"/>
      <c r="P451" s="11"/>
      <c r="Q451" s="11"/>
    </row>
    <row r="452" spans="14:17" ht="15.75" customHeight="1" x14ac:dyDescent="0.3">
      <c r="N452" s="11"/>
      <c r="O452" s="11"/>
      <c r="P452" s="11"/>
      <c r="Q452" s="11"/>
    </row>
    <row r="453" spans="14:17" ht="15.75" customHeight="1" x14ac:dyDescent="0.3">
      <c r="N453" s="11"/>
      <c r="O453" s="11"/>
      <c r="P453" s="11"/>
      <c r="Q453" s="11"/>
    </row>
    <row r="454" spans="14:17" ht="15.75" customHeight="1" x14ac:dyDescent="0.3">
      <c r="N454" s="11"/>
      <c r="O454" s="11"/>
      <c r="P454" s="11"/>
      <c r="Q454" s="11"/>
    </row>
    <row r="455" spans="14:17" ht="15.75" customHeight="1" x14ac:dyDescent="0.3">
      <c r="N455" s="11"/>
      <c r="O455" s="11"/>
      <c r="P455" s="11"/>
      <c r="Q455" s="11"/>
    </row>
    <row r="456" spans="14:17" ht="15.75" customHeight="1" x14ac:dyDescent="0.3">
      <c r="N456" s="11"/>
      <c r="O456" s="11"/>
      <c r="P456" s="11"/>
      <c r="Q456" s="11"/>
    </row>
    <row r="457" spans="14:17" ht="15.75" customHeight="1" x14ac:dyDescent="0.3">
      <c r="N457" s="11"/>
      <c r="O457" s="11"/>
      <c r="P457" s="11"/>
      <c r="Q457" s="11"/>
    </row>
    <row r="458" spans="14:17" ht="15.75" customHeight="1" x14ac:dyDescent="0.3">
      <c r="N458" s="11"/>
      <c r="O458" s="11"/>
      <c r="P458" s="11"/>
      <c r="Q458" s="11"/>
    </row>
    <row r="459" spans="14:17" ht="15.75" customHeight="1" x14ac:dyDescent="0.3">
      <c r="N459" s="11"/>
      <c r="O459" s="11"/>
      <c r="P459" s="11"/>
      <c r="Q459" s="11"/>
    </row>
    <row r="460" spans="14:17" ht="15.75" customHeight="1" x14ac:dyDescent="0.3">
      <c r="N460" s="11"/>
      <c r="O460" s="11"/>
      <c r="P460" s="11"/>
      <c r="Q460" s="11"/>
    </row>
    <row r="461" spans="14:17" ht="15.75" customHeight="1" x14ac:dyDescent="0.3">
      <c r="N461" s="11"/>
      <c r="O461" s="11"/>
      <c r="P461" s="11"/>
      <c r="Q461" s="11"/>
    </row>
    <row r="462" spans="14:17" ht="15.75" customHeight="1" x14ac:dyDescent="0.3">
      <c r="N462" s="11"/>
      <c r="O462" s="11"/>
      <c r="P462" s="11"/>
      <c r="Q462" s="11"/>
    </row>
    <row r="463" spans="14:17" ht="15.75" customHeight="1" x14ac:dyDescent="0.3">
      <c r="N463" s="11"/>
      <c r="O463" s="11"/>
      <c r="P463" s="11"/>
      <c r="Q463" s="11"/>
    </row>
    <row r="464" spans="14:17" ht="15.75" customHeight="1" x14ac:dyDescent="0.3">
      <c r="N464" s="11"/>
      <c r="O464" s="11"/>
      <c r="P464" s="11"/>
      <c r="Q464" s="11"/>
    </row>
    <row r="465" spans="14:17" ht="15.75" customHeight="1" x14ac:dyDescent="0.3">
      <c r="N465" s="11"/>
      <c r="O465" s="11"/>
      <c r="P465" s="11"/>
      <c r="Q465" s="11"/>
    </row>
    <row r="466" spans="14:17" ht="15.75" customHeight="1" x14ac:dyDescent="0.3">
      <c r="N466" s="11"/>
      <c r="O466" s="11"/>
      <c r="P466" s="11"/>
      <c r="Q466" s="11"/>
    </row>
    <row r="467" spans="14:17" ht="15.75" customHeight="1" x14ac:dyDescent="0.3">
      <c r="N467" s="11"/>
      <c r="O467" s="11"/>
      <c r="P467" s="11"/>
      <c r="Q467" s="11"/>
    </row>
    <row r="468" spans="14:17" ht="15.75" customHeight="1" x14ac:dyDescent="0.3">
      <c r="N468" s="11"/>
      <c r="O468" s="11"/>
      <c r="P468" s="11"/>
      <c r="Q468" s="11"/>
    </row>
    <row r="469" spans="14:17" ht="15.75" customHeight="1" x14ac:dyDescent="0.3">
      <c r="N469" s="11"/>
      <c r="O469" s="11"/>
      <c r="P469" s="11"/>
      <c r="Q469" s="11"/>
    </row>
    <row r="470" spans="14:17" ht="15.75" customHeight="1" x14ac:dyDescent="0.3">
      <c r="N470" s="11"/>
      <c r="O470" s="11"/>
      <c r="P470" s="11"/>
      <c r="Q470" s="11"/>
    </row>
    <row r="471" spans="14:17" ht="15.75" customHeight="1" x14ac:dyDescent="0.3">
      <c r="N471" s="11"/>
      <c r="O471" s="11"/>
      <c r="P471" s="11"/>
      <c r="Q471" s="11"/>
    </row>
    <row r="472" spans="14:17" ht="15.75" customHeight="1" x14ac:dyDescent="0.3">
      <c r="N472" s="11"/>
      <c r="O472" s="11"/>
      <c r="P472" s="11"/>
      <c r="Q472" s="11"/>
    </row>
    <row r="473" spans="14:17" ht="15.75" customHeight="1" x14ac:dyDescent="0.3">
      <c r="N473" s="11"/>
      <c r="O473" s="11"/>
      <c r="P473" s="11"/>
      <c r="Q473" s="11"/>
    </row>
    <row r="474" spans="14:17" ht="15.75" customHeight="1" x14ac:dyDescent="0.3">
      <c r="N474" s="11"/>
      <c r="O474" s="11"/>
      <c r="P474" s="11"/>
      <c r="Q474" s="11"/>
    </row>
    <row r="475" spans="14:17" ht="15.75" customHeight="1" x14ac:dyDescent="0.3">
      <c r="N475" s="11"/>
      <c r="O475" s="11"/>
      <c r="P475" s="11"/>
      <c r="Q475" s="11"/>
    </row>
    <row r="476" spans="14:17" ht="15.75" customHeight="1" x14ac:dyDescent="0.3">
      <c r="N476" s="11"/>
      <c r="O476" s="11"/>
      <c r="P476" s="11"/>
      <c r="Q476" s="11"/>
    </row>
    <row r="477" spans="14:17" ht="15.75" customHeight="1" x14ac:dyDescent="0.3">
      <c r="N477" s="11"/>
      <c r="O477" s="11"/>
      <c r="P477" s="11"/>
      <c r="Q477" s="11"/>
    </row>
    <row r="478" spans="14:17" ht="15.75" customHeight="1" x14ac:dyDescent="0.3">
      <c r="N478" s="11"/>
      <c r="O478" s="11"/>
      <c r="P478" s="11"/>
      <c r="Q478" s="11"/>
    </row>
    <row r="479" spans="14:17" ht="15.75" customHeight="1" x14ac:dyDescent="0.3">
      <c r="N479" s="11"/>
      <c r="O479" s="11"/>
      <c r="P479" s="11"/>
      <c r="Q479" s="11"/>
    </row>
    <row r="480" spans="14:17" ht="15.75" customHeight="1" x14ac:dyDescent="0.3">
      <c r="N480" s="11"/>
      <c r="O480" s="11"/>
      <c r="P480" s="11"/>
      <c r="Q480" s="11"/>
    </row>
    <row r="481" spans="14:17" ht="15.75" customHeight="1" x14ac:dyDescent="0.3">
      <c r="N481" s="11"/>
      <c r="O481" s="11"/>
      <c r="P481" s="11"/>
      <c r="Q481" s="11"/>
    </row>
    <row r="482" spans="14:17" ht="15.75" customHeight="1" x14ac:dyDescent="0.3">
      <c r="N482" s="11"/>
      <c r="O482" s="11"/>
      <c r="P482" s="11"/>
      <c r="Q482" s="11"/>
    </row>
    <row r="483" spans="14:17" ht="15.75" customHeight="1" x14ac:dyDescent="0.3">
      <c r="N483" s="11"/>
      <c r="O483" s="11"/>
      <c r="P483" s="11"/>
      <c r="Q483" s="11"/>
    </row>
    <row r="484" spans="14:17" ht="15.75" customHeight="1" x14ac:dyDescent="0.3">
      <c r="N484" s="11"/>
      <c r="O484" s="11"/>
      <c r="P484" s="11"/>
      <c r="Q484" s="11"/>
    </row>
    <row r="485" spans="14:17" ht="15.75" customHeight="1" x14ac:dyDescent="0.3">
      <c r="N485" s="11"/>
      <c r="O485" s="11"/>
      <c r="P485" s="11"/>
      <c r="Q485" s="11"/>
    </row>
    <row r="486" spans="14:17" ht="15.75" customHeight="1" x14ac:dyDescent="0.3">
      <c r="N486" s="11"/>
      <c r="O486" s="11"/>
      <c r="P486" s="11"/>
      <c r="Q486" s="11"/>
    </row>
    <row r="487" spans="14:17" ht="15.75" customHeight="1" x14ac:dyDescent="0.3">
      <c r="N487" s="11"/>
      <c r="O487" s="11"/>
      <c r="P487" s="11"/>
      <c r="Q487" s="11"/>
    </row>
    <row r="488" spans="14:17" ht="15.75" customHeight="1" x14ac:dyDescent="0.3">
      <c r="N488" s="11"/>
      <c r="O488" s="11"/>
      <c r="P488" s="11"/>
      <c r="Q488" s="11"/>
    </row>
    <row r="489" spans="14:17" ht="15.75" customHeight="1" x14ac:dyDescent="0.3">
      <c r="N489" s="11"/>
      <c r="O489" s="11"/>
      <c r="P489" s="11"/>
      <c r="Q489" s="11"/>
    </row>
    <row r="490" spans="14:17" ht="15.75" customHeight="1" x14ac:dyDescent="0.3">
      <c r="N490" s="11"/>
      <c r="O490" s="11"/>
      <c r="P490" s="11"/>
      <c r="Q490" s="11"/>
    </row>
    <row r="491" spans="14:17" ht="15.75" customHeight="1" x14ac:dyDescent="0.3">
      <c r="N491" s="11"/>
      <c r="O491" s="11"/>
      <c r="P491" s="11"/>
      <c r="Q491" s="11"/>
    </row>
    <row r="492" spans="14:17" ht="15.75" customHeight="1" x14ac:dyDescent="0.3">
      <c r="N492" s="11"/>
      <c r="O492" s="11"/>
      <c r="P492" s="11"/>
      <c r="Q492" s="11"/>
    </row>
    <row r="493" spans="14:17" ht="15.75" customHeight="1" x14ac:dyDescent="0.3">
      <c r="N493" s="11"/>
      <c r="O493" s="11"/>
      <c r="P493" s="11"/>
      <c r="Q493" s="11"/>
    </row>
    <row r="494" spans="14:17" ht="15.75" customHeight="1" x14ac:dyDescent="0.3">
      <c r="N494" s="11"/>
      <c r="O494" s="11"/>
      <c r="P494" s="11"/>
      <c r="Q494" s="11"/>
    </row>
    <row r="495" spans="14:17" ht="15.75" customHeight="1" x14ac:dyDescent="0.3">
      <c r="N495" s="11"/>
      <c r="O495" s="11"/>
      <c r="P495" s="11"/>
      <c r="Q495" s="11"/>
    </row>
    <row r="496" spans="14:17" ht="15.75" customHeight="1" x14ac:dyDescent="0.3">
      <c r="N496" s="11"/>
      <c r="O496" s="11"/>
      <c r="P496" s="11"/>
      <c r="Q496" s="11"/>
    </row>
    <row r="497" spans="14:17" ht="15.75" customHeight="1" x14ac:dyDescent="0.3">
      <c r="N497" s="11"/>
      <c r="O497" s="11"/>
      <c r="P497" s="11"/>
      <c r="Q497" s="11"/>
    </row>
    <row r="498" spans="14:17" ht="15.75" customHeight="1" x14ac:dyDescent="0.3">
      <c r="N498" s="11"/>
      <c r="O498" s="11"/>
      <c r="P498" s="11"/>
      <c r="Q498" s="11"/>
    </row>
    <row r="499" spans="14:17" ht="15.75" customHeight="1" x14ac:dyDescent="0.3">
      <c r="N499" s="11"/>
      <c r="O499" s="11"/>
      <c r="P499" s="11"/>
      <c r="Q499" s="11"/>
    </row>
    <row r="500" spans="14:17" ht="15.75" customHeight="1" x14ac:dyDescent="0.3">
      <c r="N500" s="11"/>
      <c r="O500" s="11"/>
      <c r="P500" s="11"/>
      <c r="Q500" s="11"/>
    </row>
    <row r="501" spans="14:17" ht="15.75" customHeight="1" x14ac:dyDescent="0.3">
      <c r="N501" s="11"/>
      <c r="O501" s="11"/>
      <c r="P501" s="11"/>
      <c r="Q501" s="11"/>
    </row>
    <row r="502" spans="14:17" ht="15.75" customHeight="1" x14ac:dyDescent="0.3">
      <c r="N502" s="11"/>
      <c r="O502" s="11"/>
      <c r="P502" s="11"/>
      <c r="Q502" s="11"/>
    </row>
    <row r="503" spans="14:17" ht="15.75" customHeight="1" x14ac:dyDescent="0.3">
      <c r="N503" s="11"/>
      <c r="O503" s="11"/>
      <c r="P503" s="11"/>
      <c r="Q503" s="11"/>
    </row>
    <row r="504" spans="14:17" ht="15.75" customHeight="1" x14ac:dyDescent="0.3">
      <c r="N504" s="11"/>
      <c r="O504" s="11"/>
      <c r="P504" s="11"/>
      <c r="Q504" s="11"/>
    </row>
    <row r="505" spans="14:17" ht="15.75" customHeight="1" x14ac:dyDescent="0.3">
      <c r="N505" s="11"/>
      <c r="O505" s="11"/>
      <c r="P505" s="11"/>
      <c r="Q505" s="11"/>
    </row>
    <row r="506" spans="14:17" ht="15.75" customHeight="1" x14ac:dyDescent="0.3">
      <c r="N506" s="11"/>
      <c r="O506" s="11"/>
      <c r="P506" s="11"/>
      <c r="Q506" s="11"/>
    </row>
    <row r="507" spans="14:17" ht="15.75" customHeight="1" x14ac:dyDescent="0.3">
      <c r="N507" s="11"/>
      <c r="O507" s="11"/>
      <c r="P507" s="11"/>
      <c r="Q507" s="11"/>
    </row>
    <row r="508" spans="14:17" ht="15.75" customHeight="1" x14ac:dyDescent="0.3">
      <c r="N508" s="11"/>
      <c r="O508" s="11"/>
      <c r="P508" s="11"/>
      <c r="Q508" s="11"/>
    </row>
    <row r="509" spans="14:17" ht="15.75" customHeight="1" x14ac:dyDescent="0.3">
      <c r="N509" s="11"/>
      <c r="O509" s="11"/>
      <c r="P509" s="11"/>
      <c r="Q509" s="11"/>
    </row>
    <row r="510" spans="14:17" ht="15.75" customHeight="1" x14ac:dyDescent="0.3">
      <c r="N510" s="11"/>
      <c r="O510" s="11"/>
      <c r="P510" s="11"/>
      <c r="Q510" s="11"/>
    </row>
    <row r="511" spans="14:17" ht="15.75" customHeight="1" x14ac:dyDescent="0.3">
      <c r="N511" s="11"/>
      <c r="O511" s="11"/>
      <c r="P511" s="11"/>
      <c r="Q511" s="11"/>
    </row>
    <row r="512" spans="14:17" ht="15.75" customHeight="1" x14ac:dyDescent="0.3">
      <c r="N512" s="11"/>
      <c r="O512" s="11"/>
      <c r="P512" s="11"/>
      <c r="Q512" s="11"/>
    </row>
    <row r="513" spans="14:17" ht="15.75" customHeight="1" x14ac:dyDescent="0.3">
      <c r="N513" s="11"/>
      <c r="O513" s="11"/>
      <c r="P513" s="11"/>
      <c r="Q513" s="11"/>
    </row>
    <row r="514" spans="14:17" ht="15.75" customHeight="1" x14ac:dyDescent="0.3">
      <c r="N514" s="11"/>
      <c r="O514" s="11"/>
      <c r="P514" s="11"/>
      <c r="Q514" s="11"/>
    </row>
    <row r="515" spans="14:17" ht="15.75" customHeight="1" x14ac:dyDescent="0.3">
      <c r="N515" s="11"/>
      <c r="O515" s="11"/>
      <c r="P515" s="11"/>
      <c r="Q515" s="11"/>
    </row>
    <row r="516" spans="14:17" ht="15.75" customHeight="1" x14ac:dyDescent="0.3">
      <c r="N516" s="11"/>
      <c r="O516" s="11"/>
      <c r="P516" s="11"/>
      <c r="Q516" s="11"/>
    </row>
    <row r="517" spans="14:17" ht="15.75" customHeight="1" x14ac:dyDescent="0.3">
      <c r="N517" s="11"/>
      <c r="O517" s="11"/>
      <c r="P517" s="11"/>
      <c r="Q517" s="11"/>
    </row>
    <row r="518" spans="14:17" ht="15.75" customHeight="1" x14ac:dyDescent="0.3">
      <c r="N518" s="11"/>
      <c r="O518" s="11"/>
      <c r="P518" s="11"/>
      <c r="Q518" s="11"/>
    </row>
    <row r="519" spans="14:17" ht="15.75" customHeight="1" x14ac:dyDescent="0.3">
      <c r="N519" s="11"/>
      <c r="O519" s="11"/>
      <c r="P519" s="11"/>
      <c r="Q519" s="11"/>
    </row>
    <row r="520" spans="14:17" ht="15.75" customHeight="1" x14ac:dyDescent="0.3">
      <c r="N520" s="11"/>
      <c r="O520" s="11"/>
      <c r="P520" s="11"/>
      <c r="Q520" s="11"/>
    </row>
    <row r="521" spans="14:17" ht="15.75" customHeight="1" x14ac:dyDescent="0.3">
      <c r="N521" s="11"/>
      <c r="O521" s="11"/>
      <c r="P521" s="11"/>
      <c r="Q521" s="11"/>
    </row>
    <row r="522" spans="14:17" ht="15.75" customHeight="1" x14ac:dyDescent="0.3">
      <c r="N522" s="11"/>
      <c r="O522" s="11"/>
      <c r="P522" s="11"/>
      <c r="Q522" s="11"/>
    </row>
    <row r="523" spans="14:17" ht="15.75" customHeight="1" x14ac:dyDescent="0.3">
      <c r="N523" s="11"/>
      <c r="O523" s="11"/>
      <c r="P523" s="11"/>
      <c r="Q523" s="11"/>
    </row>
    <row r="524" spans="14:17" ht="15.75" customHeight="1" x14ac:dyDescent="0.3">
      <c r="N524" s="11"/>
      <c r="O524" s="11"/>
      <c r="P524" s="11"/>
      <c r="Q524" s="11"/>
    </row>
    <row r="525" spans="14:17" ht="15.75" customHeight="1" x14ac:dyDescent="0.3">
      <c r="N525" s="11"/>
      <c r="O525" s="11"/>
      <c r="P525" s="11"/>
      <c r="Q525" s="11"/>
    </row>
    <row r="526" spans="14:17" ht="15.75" customHeight="1" x14ac:dyDescent="0.3">
      <c r="N526" s="11"/>
      <c r="O526" s="11"/>
      <c r="P526" s="11"/>
      <c r="Q526" s="11"/>
    </row>
    <row r="527" spans="14:17" ht="15.75" customHeight="1" x14ac:dyDescent="0.3">
      <c r="N527" s="11"/>
      <c r="O527" s="11"/>
      <c r="P527" s="11"/>
      <c r="Q527" s="11"/>
    </row>
    <row r="528" spans="14:17" ht="15.75" customHeight="1" x14ac:dyDescent="0.3">
      <c r="N528" s="11"/>
      <c r="O528" s="11"/>
      <c r="P528" s="11"/>
      <c r="Q528" s="11"/>
    </row>
    <row r="529" spans="14:17" ht="15.75" customHeight="1" x14ac:dyDescent="0.3">
      <c r="N529" s="11"/>
      <c r="O529" s="11"/>
      <c r="P529" s="11"/>
      <c r="Q529" s="11"/>
    </row>
    <row r="530" spans="14:17" ht="15.75" customHeight="1" x14ac:dyDescent="0.3">
      <c r="N530" s="11"/>
      <c r="O530" s="11"/>
      <c r="P530" s="11"/>
      <c r="Q530" s="11"/>
    </row>
    <row r="531" spans="14:17" ht="15.75" customHeight="1" x14ac:dyDescent="0.3">
      <c r="N531" s="11"/>
      <c r="O531" s="11"/>
      <c r="P531" s="11"/>
      <c r="Q531" s="11"/>
    </row>
    <row r="532" spans="14:17" ht="15.75" customHeight="1" x14ac:dyDescent="0.3">
      <c r="N532" s="11"/>
      <c r="O532" s="11"/>
      <c r="P532" s="11"/>
      <c r="Q532" s="11"/>
    </row>
    <row r="533" spans="14:17" ht="15.75" customHeight="1" x14ac:dyDescent="0.3">
      <c r="N533" s="11"/>
      <c r="O533" s="11"/>
      <c r="P533" s="11"/>
      <c r="Q533" s="11"/>
    </row>
    <row r="534" spans="14:17" ht="15.75" customHeight="1" x14ac:dyDescent="0.3">
      <c r="N534" s="11"/>
      <c r="O534" s="11"/>
      <c r="P534" s="11"/>
      <c r="Q534" s="11"/>
    </row>
    <row r="535" spans="14:17" ht="15.75" customHeight="1" x14ac:dyDescent="0.3">
      <c r="N535" s="11"/>
      <c r="O535" s="11"/>
      <c r="P535" s="11"/>
      <c r="Q535" s="11"/>
    </row>
    <row r="536" spans="14:17" ht="15.75" customHeight="1" x14ac:dyDescent="0.3">
      <c r="N536" s="11"/>
      <c r="O536" s="11"/>
      <c r="P536" s="11"/>
      <c r="Q536" s="11"/>
    </row>
    <row r="537" spans="14:17" ht="15.75" customHeight="1" x14ac:dyDescent="0.3">
      <c r="N537" s="11"/>
      <c r="O537" s="11"/>
      <c r="P537" s="11"/>
      <c r="Q537" s="11"/>
    </row>
    <row r="538" spans="14:17" ht="15.75" customHeight="1" x14ac:dyDescent="0.3">
      <c r="N538" s="11"/>
      <c r="O538" s="11"/>
      <c r="P538" s="11"/>
      <c r="Q538" s="11"/>
    </row>
    <row r="539" spans="14:17" ht="15.75" customHeight="1" x14ac:dyDescent="0.3">
      <c r="N539" s="11"/>
      <c r="O539" s="11"/>
      <c r="P539" s="11"/>
      <c r="Q539" s="11"/>
    </row>
    <row r="540" spans="14:17" ht="15.75" customHeight="1" x14ac:dyDescent="0.3">
      <c r="N540" s="11"/>
      <c r="O540" s="11"/>
      <c r="P540" s="11"/>
      <c r="Q540" s="11"/>
    </row>
    <row r="541" spans="14:17" ht="15.75" customHeight="1" x14ac:dyDescent="0.3">
      <c r="N541" s="11"/>
      <c r="O541" s="11"/>
      <c r="P541" s="11"/>
      <c r="Q541" s="11"/>
    </row>
    <row r="542" spans="14:17" ht="15.75" customHeight="1" x14ac:dyDescent="0.3">
      <c r="N542" s="11"/>
      <c r="O542" s="11"/>
      <c r="P542" s="11"/>
      <c r="Q542" s="11"/>
    </row>
    <row r="543" spans="14:17" ht="15.75" customHeight="1" x14ac:dyDescent="0.3">
      <c r="N543" s="11"/>
      <c r="O543" s="11"/>
      <c r="P543" s="11"/>
      <c r="Q543" s="11"/>
    </row>
    <row r="544" spans="14:17" ht="15.75" customHeight="1" x14ac:dyDescent="0.3">
      <c r="N544" s="11"/>
      <c r="O544" s="11"/>
      <c r="P544" s="11"/>
      <c r="Q544" s="11"/>
    </row>
    <row r="545" spans="14:17" ht="15.75" customHeight="1" x14ac:dyDescent="0.3">
      <c r="N545" s="11"/>
      <c r="O545" s="11"/>
      <c r="P545" s="11"/>
      <c r="Q545" s="11"/>
    </row>
    <row r="546" spans="14:17" ht="15.75" customHeight="1" x14ac:dyDescent="0.3">
      <c r="N546" s="11"/>
      <c r="O546" s="11"/>
      <c r="P546" s="11"/>
      <c r="Q546" s="11"/>
    </row>
    <row r="547" spans="14:17" ht="15.75" customHeight="1" x14ac:dyDescent="0.3">
      <c r="N547" s="11"/>
      <c r="O547" s="11"/>
      <c r="P547" s="11"/>
      <c r="Q547" s="11"/>
    </row>
    <row r="548" spans="14:17" ht="15.75" customHeight="1" x14ac:dyDescent="0.3">
      <c r="N548" s="11"/>
      <c r="O548" s="11"/>
      <c r="P548" s="11"/>
      <c r="Q548" s="11"/>
    </row>
    <row r="549" spans="14:17" ht="15.75" customHeight="1" x14ac:dyDescent="0.3">
      <c r="N549" s="11"/>
      <c r="O549" s="11"/>
      <c r="P549" s="11"/>
      <c r="Q549" s="11"/>
    </row>
    <row r="550" spans="14:17" ht="15.75" customHeight="1" x14ac:dyDescent="0.3">
      <c r="N550" s="11"/>
      <c r="O550" s="11"/>
      <c r="P550" s="11"/>
      <c r="Q550" s="11"/>
    </row>
    <row r="551" spans="14:17" ht="15.75" customHeight="1" x14ac:dyDescent="0.3">
      <c r="N551" s="11"/>
      <c r="O551" s="11"/>
      <c r="P551" s="11"/>
      <c r="Q551" s="11"/>
    </row>
    <row r="552" spans="14:17" ht="15.75" customHeight="1" x14ac:dyDescent="0.3">
      <c r="N552" s="11"/>
      <c r="O552" s="11"/>
      <c r="P552" s="11"/>
      <c r="Q552" s="11"/>
    </row>
    <row r="553" spans="14:17" ht="15.75" customHeight="1" x14ac:dyDescent="0.3">
      <c r="N553" s="11"/>
      <c r="O553" s="11"/>
      <c r="P553" s="11"/>
      <c r="Q553" s="11"/>
    </row>
    <row r="554" spans="14:17" ht="15.75" customHeight="1" x14ac:dyDescent="0.3">
      <c r="N554" s="11"/>
      <c r="O554" s="11"/>
      <c r="P554" s="11"/>
      <c r="Q554" s="11"/>
    </row>
    <row r="555" spans="14:17" ht="15.75" customHeight="1" x14ac:dyDescent="0.3">
      <c r="N555" s="11"/>
      <c r="O555" s="11"/>
      <c r="P555" s="11"/>
      <c r="Q555" s="11"/>
    </row>
    <row r="556" spans="14:17" ht="15.75" customHeight="1" x14ac:dyDescent="0.3">
      <c r="N556" s="11"/>
      <c r="O556" s="11"/>
      <c r="P556" s="11"/>
      <c r="Q556" s="11"/>
    </row>
    <row r="557" spans="14:17" ht="15.75" customHeight="1" x14ac:dyDescent="0.3">
      <c r="N557" s="11"/>
      <c r="O557" s="11"/>
      <c r="P557" s="11"/>
      <c r="Q557" s="11"/>
    </row>
    <row r="558" spans="14:17" ht="15.75" customHeight="1" x14ac:dyDescent="0.3">
      <c r="N558" s="11"/>
      <c r="O558" s="11"/>
      <c r="P558" s="11"/>
      <c r="Q558" s="11"/>
    </row>
    <row r="559" spans="14:17" ht="15.75" customHeight="1" x14ac:dyDescent="0.3">
      <c r="N559" s="11"/>
      <c r="O559" s="11"/>
      <c r="P559" s="11"/>
      <c r="Q559" s="11"/>
    </row>
    <row r="560" spans="14:17" ht="15.75" customHeight="1" x14ac:dyDescent="0.3">
      <c r="N560" s="11"/>
      <c r="O560" s="11"/>
      <c r="P560" s="11"/>
      <c r="Q560" s="11"/>
    </row>
    <row r="561" spans="14:17" ht="15.75" customHeight="1" x14ac:dyDescent="0.3">
      <c r="N561" s="11"/>
      <c r="O561" s="11"/>
      <c r="P561" s="11"/>
      <c r="Q561" s="11"/>
    </row>
    <row r="562" spans="14:17" ht="15.75" customHeight="1" x14ac:dyDescent="0.3">
      <c r="N562" s="11"/>
      <c r="O562" s="11"/>
      <c r="P562" s="11"/>
      <c r="Q562" s="11"/>
    </row>
    <row r="563" spans="14:17" ht="15.75" customHeight="1" x14ac:dyDescent="0.3">
      <c r="N563" s="11"/>
      <c r="O563" s="11"/>
      <c r="P563" s="11"/>
      <c r="Q563" s="11"/>
    </row>
    <row r="564" spans="14:17" ht="15.75" customHeight="1" x14ac:dyDescent="0.3">
      <c r="N564" s="11"/>
      <c r="O564" s="11"/>
      <c r="P564" s="11"/>
      <c r="Q564" s="11"/>
    </row>
    <row r="565" spans="14:17" ht="15.75" customHeight="1" x14ac:dyDescent="0.3">
      <c r="N565" s="11"/>
      <c r="O565" s="11"/>
      <c r="P565" s="11"/>
      <c r="Q565" s="11"/>
    </row>
    <row r="566" spans="14:17" ht="15.75" customHeight="1" x14ac:dyDescent="0.3">
      <c r="N566" s="11"/>
      <c r="O566" s="11"/>
      <c r="P566" s="11"/>
      <c r="Q566" s="11"/>
    </row>
    <row r="567" spans="14:17" ht="15.75" customHeight="1" x14ac:dyDescent="0.3">
      <c r="N567" s="11"/>
      <c r="O567" s="11"/>
      <c r="P567" s="11"/>
      <c r="Q567" s="11"/>
    </row>
    <row r="568" spans="14:17" ht="15.75" customHeight="1" x14ac:dyDescent="0.3">
      <c r="N568" s="11"/>
      <c r="O568" s="11"/>
      <c r="P568" s="11"/>
      <c r="Q568" s="11"/>
    </row>
    <row r="569" spans="14:17" ht="15.75" customHeight="1" x14ac:dyDescent="0.3">
      <c r="N569" s="11"/>
      <c r="O569" s="11"/>
      <c r="P569" s="11"/>
      <c r="Q569" s="11"/>
    </row>
    <row r="570" spans="14:17" ht="15.75" customHeight="1" x14ac:dyDescent="0.3">
      <c r="N570" s="11"/>
      <c r="O570" s="11"/>
      <c r="P570" s="11"/>
      <c r="Q570" s="11"/>
    </row>
    <row r="571" spans="14:17" ht="15.75" customHeight="1" x14ac:dyDescent="0.3">
      <c r="N571" s="11"/>
      <c r="O571" s="11"/>
      <c r="P571" s="11"/>
      <c r="Q571" s="11"/>
    </row>
    <row r="572" spans="14:17" ht="15.75" customHeight="1" x14ac:dyDescent="0.3">
      <c r="N572" s="11"/>
      <c r="O572" s="11"/>
      <c r="P572" s="11"/>
      <c r="Q572" s="11"/>
    </row>
    <row r="573" spans="14:17" ht="15.75" customHeight="1" x14ac:dyDescent="0.3">
      <c r="N573" s="11"/>
      <c r="O573" s="11"/>
      <c r="P573" s="11"/>
      <c r="Q573" s="11"/>
    </row>
    <row r="574" spans="14:17" ht="15.75" customHeight="1" x14ac:dyDescent="0.3">
      <c r="N574" s="11"/>
      <c r="O574" s="11"/>
      <c r="P574" s="11"/>
      <c r="Q574" s="11"/>
    </row>
    <row r="575" spans="14:17" ht="15.75" customHeight="1" x14ac:dyDescent="0.3">
      <c r="N575" s="11"/>
      <c r="O575" s="11"/>
      <c r="P575" s="11"/>
      <c r="Q575" s="11"/>
    </row>
    <row r="576" spans="14:17" ht="15.75" customHeight="1" x14ac:dyDescent="0.3">
      <c r="N576" s="11"/>
      <c r="O576" s="11"/>
      <c r="P576" s="11"/>
      <c r="Q576" s="11"/>
    </row>
    <row r="577" spans="14:17" ht="15.75" customHeight="1" x14ac:dyDescent="0.3">
      <c r="N577" s="11"/>
      <c r="O577" s="11"/>
      <c r="P577" s="11"/>
      <c r="Q577" s="11"/>
    </row>
    <row r="578" spans="14:17" ht="15.75" customHeight="1" x14ac:dyDescent="0.3">
      <c r="N578" s="11"/>
      <c r="O578" s="11"/>
      <c r="P578" s="11"/>
      <c r="Q578" s="11"/>
    </row>
    <row r="579" spans="14:17" ht="15.75" customHeight="1" x14ac:dyDescent="0.3">
      <c r="N579" s="11"/>
      <c r="O579" s="11"/>
      <c r="P579" s="11"/>
      <c r="Q579" s="11"/>
    </row>
    <row r="580" spans="14:17" ht="15.75" customHeight="1" x14ac:dyDescent="0.3">
      <c r="N580" s="11"/>
      <c r="O580" s="11"/>
      <c r="P580" s="11"/>
      <c r="Q580" s="11"/>
    </row>
    <row r="581" spans="14:17" ht="15.75" customHeight="1" x14ac:dyDescent="0.3">
      <c r="N581" s="11"/>
      <c r="O581" s="11"/>
      <c r="P581" s="11"/>
      <c r="Q581" s="11"/>
    </row>
    <row r="582" spans="14:17" ht="15.75" customHeight="1" x14ac:dyDescent="0.3">
      <c r="N582" s="11"/>
      <c r="O582" s="11"/>
      <c r="P582" s="11"/>
      <c r="Q582" s="11"/>
    </row>
    <row r="583" spans="14:17" ht="15.75" customHeight="1" x14ac:dyDescent="0.3">
      <c r="N583" s="11"/>
      <c r="O583" s="11"/>
      <c r="P583" s="11"/>
      <c r="Q583" s="11"/>
    </row>
    <row r="584" spans="14:17" ht="15.75" customHeight="1" x14ac:dyDescent="0.3">
      <c r="N584" s="11"/>
      <c r="O584" s="11"/>
      <c r="P584" s="11"/>
      <c r="Q584" s="11"/>
    </row>
    <row r="585" spans="14:17" ht="15.75" customHeight="1" x14ac:dyDescent="0.3">
      <c r="N585" s="11"/>
      <c r="O585" s="11"/>
      <c r="P585" s="11"/>
      <c r="Q585" s="11"/>
    </row>
    <row r="586" spans="14:17" ht="15.75" customHeight="1" x14ac:dyDescent="0.3">
      <c r="N586" s="11"/>
      <c r="O586" s="11"/>
      <c r="P586" s="11"/>
      <c r="Q586" s="11"/>
    </row>
    <row r="587" spans="14:17" ht="15.75" customHeight="1" x14ac:dyDescent="0.3">
      <c r="N587" s="11"/>
      <c r="O587" s="11"/>
      <c r="P587" s="11"/>
      <c r="Q587" s="11"/>
    </row>
    <row r="588" spans="14:17" ht="15.75" customHeight="1" x14ac:dyDescent="0.3">
      <c r="N588" s="11"/>
      <c r="O588" s="11"/>
      <c r="P588" s="11"/>
      <c r="Q588" s="11"/>
    </row>
    <row r="589" spans="14:17" ht="15.75" customHeight="1" x14ac:dyDescent="0.3">
      <c r="N589" s="11"/>
      <c r="O589" s="11"/>
      <c r="P589" s="11"/>
      <c r="Q589" s="11"/>
    </row>
    <row r="590" spans="14:17" ht="15.75" customHeight="1" x14ac:dyDescent="0.3">
      <c r="N590" s="11"/>
      <c r="O590" s="11"/>
      <c r="P590" s="11"/>
      <c r="Q590" s="11"/>
    </row>
    <row r="591" spans="14:17" ht="15.75" customHeight="1" x14ac:dyDescent="0.3">
      <c r="N591" s="11"/>
      <c r="O591" s="11"/>
      <c r="P591" s="11"/>
      <c r="Q591" s="11"/>
    </row>
    <row r="592" spans="14:17" ht="15.75" customHeight="1" x14ac:dyDescent="0.3">
      <c r="N592" s="11"/>
      <c r="O592" s="11"/>
      <c r="P592" s="11"/>
      <c r="Q592" s="11"/>
    </row>
    <row r="593" spans="14:17" ht="15.75" customHeight="1" x14ac:dyDescent="0.3">
      <c r="N593" s="11"/>
      <c r="O593" s="11"/>
      <c r="P593" s="11"/>
      <c r="Q593" s="11"/>
    </row>
    <row r="594" spans="14:17" ht="15.75" customHeight="1" x14ac:dyDescent="0.3">
      <c r="N594" s="11"/>
      <c r="O594" s="11"/>
      <c r="P594" s="11"/>
      <c r="Q594" s="11"/>
    </row>
    <row r="595" spans="14:17" ht="15.75" customHeight="1" x14ac:dyDescent="0.3">
      <c r="N595" s="11"/>
      <c r="O595" s="11"/>
      <c r="P595" s="11"/>
      <c r="Q595" s="11"/>
    </row>
    <row r="596" spans="14:17" ht="15.75" customHeight="1" x14ac:dyDescent="0.3">
      <c r="N596" s="11"/>
      <c r="O596" s="11"/>
      <c r="P596" s="11"/>
      <c r="Q596" s="11"/>
    </row>
    <row r="597" spans="14:17" ht="15.75" customHeight="1" x14ac:dyDescent="0.3">
      <c r="N597" s="11"/>
      <c r="O597" s="11"/>
      <c r="P597" s="11"/>
      <c r="Q597" s="11"/>
    </row>
    <row r="598" spans="14:17" ht="15.75" customHeight="1" x14ac:dyDescent="0.3">
      <c r="N598" s="11"/>
      <c r="O598" s="11"/>
      <c r="P598" s="11"/>
      <c r="Q598" s="11"/>
    </row>
    <row r="599" spans="14:17" ht="15.75" customHeight="1" x14ac:dyDescent="0.3">
      <c r="N599" s="11"/>
      <c r="O599" s="11"/>
      <c r="P599" s="11"/>
      <c r="Q599" s="11"/>
    </row>
    <row r="600" spans="14:17" ht="15.75" customHeight="1" x14ac:dyDescent="0.3">
      <c r="N600" s="11"/>
      <c r="O600" s="11"/>
      <c r="P600" s="11"/>
      <c r="Q600" s="11"/>
    </row>
    <row r="601" spans="14:17" ht="15.75" customHeight="1" x14ac:dyDescent="0.3">
      <c r="N601" s="11"/>
      <c r="O601" s="11"/>
      <c r="P601" s="11"/>
      <c r="Q601" s="11"/>
    </row>
    <row r="602" spans="14:17" ht="15.75" customHeight="1" x14ac:dyDescent="0.3">
      <c r="N602" s="11"/>
      <c r="O602" s="11"/>
      <c r="P602" s="11"/>
      <c r="Q602" s="11"/>
    </row>
    <row r="603" spans="14:17" ht="15.75" customHeight="1" x14ac:dyDescent="0.3">
      <c r="N603" s="11"/>
      <c r="O603" s="11"/>
      <c r="P603" s="11"/>
      <c r="Q603" s="11"/>
    </row>
    <row r="604" spans="14:17" ht="15.75" customHeight="1" x14ac:dyDescent="0.3">
      <c r="N604" s="11"/>
      <c r="O604" s="11"/>
      <c r="P604" s="11"/>
      <c r="Q604" s="11"/>
    </row>
    <row r="605" spans="14:17" ht="15.75" customHeight="1" x14ac:dyDescent="0.3">
      <c r="N605" s="11"/>
      <c r="O605" s="11"/>
      <c r="P605" s="11"/>
      <c r="Q605" s="11"/>
    </row>
    <row r="606" spans="14:17" ht="15.75" customHeight="1" x14ac:dyDescent="0.3">
      <c r="N606" s="11"/>
      <c r="O606" s="11"/>
      <c r="P606" s="11"/>
      <c r="Q606" s="11"/>
    </row>
    <row r="607" spans="14:17" ht="15.75" customHeight="1" x14ac:dyDescent="0.3">
      <c r="N607" s="11"/>
      <c r="O607" s="11"/>
      <c r="P607" s="11"/>
      <c r="Q607" s="11"/>
    </row>
    <row r="608" spans="14:17" ht="15.75" customHeight="1" x14ac:dyDescent="0.3">
      <c r="N608" s="11"/>
      <c r="O608" s="11"/>
      <c r="P608" s="11"/>
      <c r="Q608" s="11"/>
    </row>
    <row r="609" spans="14:17" ht="15.75" customHeight="1" x14ac:dyDescent="0.3">
      <c r="N609" s="11"/>
      <c r="O609" s="11"/>
      <c r="P609" s="11"/>
      <c r="Q609" s="11"/>
    </row>
    <row r="610" spans="14:17" ht="15.75" customHeight="1" x14ac:dyDescent="0.3">
      <c r="N610" s="11"/>
      <c r="O610" s="11"/>
      <c r="P610" s="11"/>
      <c r="Q610" s="11"/>
    </row>
    <row r="611" spans="14:17" ht="15.75" customHeight="1" x14ac:dyDescent="0.3">
      <c r="N611" s="11"/>
      <c r="O611" s="11"/>
      <c r="P611" s="11"/>
      <c r="Q611" s="11"/>
    </row>
    <row r="612" spans="14:17" ht="15.75" customHeight="1" x14ac:dyDescent="0.3">
      <c r="N612" s="11"/>
      <c r="O612" s="11"/>
      <c r="P612" s="11"/>
      <c r="Q612" s="11"/>
    </row>
    <row r="613" spans="14:17" ht="15.75" customHeight="1" x14ac:dyDescent="0.3">
      <c r="N613" s="11"/>
      <c r="O613" s="11"/>
      <c r="P613" s="11"/>
      <c r="Q613" s="11"/>
    </row>
    <row r="614" spans="14:17" ht="15.75" customHeight="1" x14ac:dyDescent="0.3">
      <c r="N614" s="11"/>
      <c r="O614" s="11"/>
      <c r="P614" s="11"/>
      <c r="Q614" s="11"/>
    </row>
    <row r="615" spans="14:17" ht="15.75" customHeight="1" x14ac:dyDescent="0.3">
      <c r="N615" s="11"/>
      <c r="O615" s="11"/>
      <c r="P615" s="11"/>
      <c r="Q615" s="11"/>
    </row>
    <row r="616" spans="14:17" ht="15.75" customHeight="1" x14ac:dyDescent="0.3">
      <c r="N616" s="11"/>
      <c r="O616" s="11"/>
      <c r="P616" s="11"/>
      <c r="Q616" s="11"/>
    </row>
    <row r="617" spans="14:17" ht="15.75" customHeight="1" x14ac:dyDescent="0.3">
      <c r="N617" s="11"/>
      <c r="O617" s="11"/>
      <c r="P617" s="11"/>
      <c r="Q617" s="11"/>
    </row>
    <row r="618" spans="14:17" ht="15.75" customHeight="1" x14ac:dyDescent="0.3">
      <c r="N618" s="11"/>
      <c r="O618" s="11"/>
      <c r="P618" s="11"/>
      <c r="Q618" s="11"/>
    </row>
    <row r="619" spans="14:17" ht="15.75" customHeight="1" x14ac:dyDescent="0.3">
      <c r="N619" s="11"/>
      <c r="O619" s="11"/>
      <c r="P619" s="11"/>
      <c r="Q619" s="11"/>
    </row>
    <row r="620" spans="14:17" ht="15.75" customHeight="1" x14ac:dyDescent="0.3">
      <c r="N620" s="11"/>
      <c r="O620" s="11"/>
      <c r="P620" s="11"/>
      <c r="Q620" s="11"/>
    </row>
    <row r="621" spans="14:17" ht="15.75" customHeight="1" x14ac:dyDescent="0.3">
      <c r="N621" s="11"/>
      <c r="O621" s="11"/>
      <c r="P621" s="11"/>
      <c r="Q621" s="11"/>
    </row>
    <row r="622" spans="14:17" ht="15.75" customHeight="1" x14ac:dyDescent="0.3">
      <c r="N622" s="11"/>
      <c r="O622" s="11"/>
      <c r="P622" s="11"/>
      <c r="Q622" s="11"/>
    </row>
    <row r="623" spans="14:17" ht="15.75" customHeight="1" x14ac:dyDescent="0.3">
      <c r="N623" s="11"/>
      <c r="O623" s="11"/>
      <c r="P623" s="11"/>
      <c r="Q623" s="11"/>
    </row>
    <row r="624" spans="14:17" ht="15.75" customHeight="1" x14ac:dyDescent="0.3">
      <c r="N624" s="11"/>
      <c r="O624" s="11"/>
      <c r="P624" s="11"/>
      <c r="Q624" s="11"/>
    </row>
    <row r="625" spans="14:17" ht="15.75" customHeight="1" x14ac:dyDescent="0.3">
      <c r="N625" s="11"/>
      <c r="O625" s="11"/>
      <c r="P625" s="11"/>
      <c r="Q625" s="11"/>
    </row>
    <row r="626" spans="14:17" ht="15.75" customHeight="1" x14ac:dyDescent="0.3">
      <c r="N626" s="11"/>
      <c r="O626" s="11"/>
      <c r="P626" s="11"/>
      <c r="Q626" s="11"/>
    </row>
    <row r="627" spans="14:17" ht="15.75" customHeight="1" x14ac:dyDescent="0.3">
      <c r="N627" s="11"/>
      <c r="O627" s="11"/>
      <c r="P627" s="11"/>
      <c r="Q627" s="11"/>
    </row>
    <row r="628" spans="14:17" ht="15.75" customHeight="1" x14ac:dyDescent="0.3">
      <c r="N628" s="11"/>
      <c r="O628" s="11"/>
      <c r="P628" s="11"/>
      <c r="Q628" s="11"/>
    </row>
    <row r="629" spans="14:17" ht="15.75" customHeight="1" x14ac:dyDescent="0.3">
      <c r="N629" s="11"/>
      <c r="O629" s="11"/>
      <c r="P629" s="11"/>
      <c r="Q629" s="11"/>
    </row>
    <row r="630" spans="14:17" ht="15.75" customHeight="1" x14ac:dyDescent="0.3">
      <c r="N630" s="11"/>
      <c r="O630" s="11"/>
      <c r="P630" s="11"/>
      <c r="Q630" s="11"/>
    </row>
    <row r="631" spans="14:17" ht="15.75" customHeight="1" x14ac:dyDescent="0.3">
      <c r="N631" s="11"/>
      <c r="O631" s="11"/>
      <c r="P631" s="11"/>
      <c r="Q631" s="11"/>
    </row>
    <row r="632" spans="14:17" ht="15.75" customHeight="1" x14ac:dyDescent="0.3">
      <c r="N632" s="11"/>
      <c r="O632" s="11"/>
      <c r="P632" s="11"/>
      <c r="Q632" s="11"/>
    </row>
    <row r="633" spans="14:17" ht="15.75" customHeight="1" x14ac:dyDescent="0.3">
      <c r="N633" s="11"/>
      <c r="O633" s="11"/>
      <c r="P633" s="11"/>
      <c r="Q633" s="11"/>
    </row>
    <row r="634" spans="14:17" ht="15.75" customHeight="1" x14ac:dyDescent="0.3">
      <c r="N634" s="11"/>
      <c r="O634" s="11"/>
      <c r="P634" s="11"/>
      <c r="Q634" s="11"/>
    </row>
    <row r="635" spans="14:17" ht="15.75" customHeight="1" x14ac:dyDescent="0.3">
      <c r="N635" s="11"/>
      <c r="O635" s="11"/>
      <c r="P635" s="11"/>
      <c r="Q635" s="11"/>
    </row>
    <row r="636" spans="14:17" ht="15.75" customHeight="1" x14ac:dyDescent="0.3">
      <c r="N636" s="11"/>
      <c r="O636" s="11"/>
      <c r="P636" s="11"/>
      <c r="Q636" s="11"/>
    </row>
    <row r="637" spans="14:17" ht="15.75" customHeight="1" x14ac:dyDescent="0.3">
      <c r="N637" s="11"/>
      <c r="O637" s="11"/>
      <c r="P637" s="11"/>
      <c r="Q637" s="11"/>
    </row>
    <row r="638" spans="14:17" ht="15.75" customHeight="1" x14ac:dyDescent="0.3">
      <c r="N638" s="11"/>
      <c r="O638" s="11"/>
      <c r="P638" s="11"/>
      <c r="Q638" s="11"/>
    </row>
    <row r="639" spans="14:17" ht="15.75" customHeight="1" x14ac:dyDescent="0.3">
      <c r="N639" s="11"/>
      <c r="O639" s="11"/>
      <c r="P639" s="11"/>
      <c r="Q639" s="11"/>
    </row>
    <row r="640" spans="14:17" ht="15.75" customHeight="1" x14ac:dyDescent="0.3">
      <c r="N640" s="11"/>
      <c r="O640" s="11"/>
      <c r="P640" s="11"/>
      <c r="Q640" s="11"/>
    </row>
    <row r="641" spans="14:17" ht="15.75" customHeight="1" x14ac:dyDescent="0.3">
      <c r="N641" s="11"/>
      <c r="O641" s="11"/>
      <c r="P641" s="11"/>
      <c r="Q641" s="11"/>
    </row>
    <row r="642" spans="14:17" ht="15.75" customHeight="1" x14ac:dyDescent="0.3">
      <c r="N642" s="11"/>
      <c r="O642" s="11"/>
      <c r="P642" s="11"/>
      <c r="Q642" s="11"/>
    </row>
    <row r="643" spans="14:17" ht="15.75" customHeight="1" x14ac:dyDescent="0.3">
      <c r="N643" s="11"/>
      <c r="O643" s="11"/>
      <c r="P643" s="11"/>
      <c r="Q643" s="11"/>
    </row>
    <row r="644" spans="14:17" ht="15.75" customHeight="1" x14ac:dyDescent="0.3">
      <c r="N644" s="11"/>
      <c r="O644" s="11"/>
      <c r="P644" s="11"/>
      <c r="Q644" s="11"/>
    </row>
    <row r="645" spans="14:17" ht="15.75" customHeight="1" x14ac:dyDescent="0.3">
      <c r="N645" s="11"/>
      <c r="O645" s="11"/>
      <c r="P645" s="11"/>
      <c r="Q645" s="11"/>
    </row>
    <row r="646" spans="14:17" ht="15.75" customHeight="1" x14ac:dyDescent="0.3">
      <c r="N646" s="11"/>
      <c r="O646" s="11"/>
      <c r="P646" s="11"/>
      <c r="Q646" s="11"/>
    </row>
    <row r="647" spans="14:17" ht="15.75" customHeight="1" x14ac:dyDescent="0.3">
      <c r="N647" s="11"/>
      <c r="O647" s="11"/>
      <c r="P647" s="11"/>
      <c r="Q647" s="11"/>
    </row>
    <row r="648" spans="14:17" ht="15.75" customHeight="1" x14ac:dyDescent="0.3">
      <c r="N648" s="11"/>
      <c r="O648" s="11"/>
      <c r="P648" s="11"/>
      <c r="Q648" s="11"/>
    </row>
    <row r="649" spans="14:17" ht="15.75" customHeight="1" x14ac:dyDescent="0.3">
      <c r="N649" s="11"/>
      <c r="O649" s="11"/>
      <c r="P649" s="11"/>
      <c r="Q649" s="11"/>
    </row>
    <row r="650" spans="14:17" ht="15.75" customHeight="1" x14ac:dyDescent="0.3">
      <c r="N650" s="11"/>
      <c r="O650" s="11"/>
      <c r="P650" s="11"/>
      <c r="Q650" s="11"/>
    </row>
    <row r="651" spans="14:17" ht="15.75" customHeight="1" x14ac:dyDescent="0.3">
      <c r="N651" s="11"/>
      <c r="O651" s="11"/>
      <c r="P651" s="11"/>
      <c r="Q651" s="11"/>
    </row>
    <row r="652" spans="14:17" ht="15.75" customHeight="1" x14ac:dyDescent="0.3">
      <c r="N652" s="11"/>
      <c r="O652" s="11"/>
      <c r="P652" s="11"/>
      <c r="Q652" s="11"/>
    </row>
    <row r="653" spans="14:17" ht="15.75" customHeight="1" x14ac:dyDescent="0.3">
      <c r="N653" s="11"/>
      <c r="O653" s="11"/>
      <c r="P653" s="11"/>
      <c r="Q653" s="11"/>
    </row>
    <row r="654" spans="14:17" ht="15.75" customHeight="1" x14ac:dyDescent="0.3">
      <c r="N654" s="11"/>
      <c r="O654" s="11"/>
      <c r="P654" s="11"/>
      <c r="Q654" s="11"/>
    </row>
    <row r="655" spans="14:17" ht="15.75" customHeight="1" x14ac:dyDescent="0.3">
      <c r="N655" s="11"/>
      <c r="O655" s="11"/>
      <c r="P655" s="11"/>
      <c r="Q655" s="11"/>
    </row>
    <row r="656" spans="14:17" ht="15.75" customHeight="1" x14ac:dyDescent="0.3">
      <c r="N656" s="11"/>
      <c r="O656" s="11"/>
      <c r="P656" s="11"/>
      <c r="Q656" s="11"/>
    </row>
    <row r="657" spans="14:17" ht="15.75" customHeight="1" x14ac:dyDescent="0.3">
      <c r="N657" s="11"/>
      <c r="O657" s="11"/>
      <c r="P657" s="11"/>
      <c r="Q657" s="11"/>
    </row>
    <row r="658" spans="14:17" ht="15.75" customHeight="1" x14ac:dyDescent="0.3">
      <c r="N658" s="11"/>
      <c r="O658" s="11"/>
      <c r="P658" s="11"/>
      <c r="Q658" s="11"/>
    </row>
    <row r="659" spans="14:17" ht="15.75" customHeight="1" x14ac:dyDescent="0.3">
      <c r="N659" s="11"/>
      <c r="O659" s="11"/>
      <c r="P659" s="11"/>
      <c r="Q659" s="11"/>
    </row>
    <row r="660" spans="14:17" ht="15.75" customHeight="1" x14ac:dyDescent="0.3">
      <c r="N660" s="11"/>
      <c r="O660" s="11"/>
      <c r="P660" s="11"/>
      <c r="Q660" s="11"/>
    </row>
    <row r="661" spans="14:17" ht="15.75" customHeight="1" x14ac:dyDescent="0.3">
      <c r="N661" s="11"/>
      <c r="O661" s="11"/>
      <c r="P661" s="11"/>
      <c r="Q661" s="11"/>
    </row>
    <row r="662" spans="14:17" ht="15.75" customHeight="1" x14ac:dyDescent="0.3">
      <c r="N662" s="11"/>
      <c r="O662" s="11"/>
      <c r="P662" s="11"/>
      <c r="Q662" s="11"/>
    </row>
    <row r="663" spans="14:17" ht="15.75" customHeight="1" x14ac:dyDescent="0.3">
      <c r="N663" s="11"/>
      <c r="O663" s="11"/>
      <c r="P663" s="11"/>
      <c r="Q663" s="11"/>
    </row>
    <row r="664" spans="14:17" ht="15.75" customHeight="1" x14ac:dyDescent="0.3">
      <c r="N664" s="11"/>
      <c r="O664" s="11"/>
      <c r="P664" s="11"/>
      <c r="Q664" s="11"/>
    </row>
    <row r="665" spans="14:17" ht="15.75" customHeight="1" x14ac:dyDescent="0.3">
      <c r="N665" s="11"/>
      <c r="O665" s="11"/>
      <c r="P665" s="11"/>
      <c r="Q665" s="11"/>
    </row>
    <row r="666" spans="14:17" ht="15.75" customHeight="1" x14ac:dyDescent="0.3">
      <c r="N666" s="11"/>
      <c r="O666" s="11"/>
      <c r="P666" s="11"/>
      <c r="Q666" s="11"/>
    </row>
    <row r="667" spans="14:17" ht="15.75" customHeight="1" x14ac:dyDescent="0.3">
      <c r="N667" s="11"/>
      <c r="O667" s="11"/>
      <c r="P667" s="11"/>
      <c r="Q667" s="11"/>
    </row>
    <row r="668" spans="14:17" ht="15.75" customHeight="1" x14ac:dyDescent="0.3">
      <c r="N668" s="11"/>
      <c r="O668" s="11"/>
      <c r="P668" s="11"/>
      <c r="Q668" s="11"/>
    </row>
    <row r="669" spans="14:17" ht="15.75" customHeight="1" x14ac:dyDescent="0.3">
      <c r="N669" s="11"/>
      <c r="O669" s="11"/>
      <c r="P669" s="11"/>
      <c r="Q669" s="11"/>
    </row>
    <row r="670" spans="14:17" ht="15.75" customHeight="1" x14ac:dyDescent="0.3">
      <c r="N670" s="11"/>
      <c r="O670" s="11"/>
      <c r="P670" s="11"/>
      <c r="Q670" s="11"/>
    </row>
    <row r="671" spans="14:17" ht="15.75" customHeight="1" x14ac:dyDescent="0.3">
      <c r="N671" s="11"/>
      <c r="O671" s="11"/>
      <c r="P671" s="11"/>
      <c r="Q671" s="11"/>
    </row>
    <row r="672" spans="14:17" ht="15.75" customHeight="1" x14ac:dyDescent="0.3">
      <c r="N672" s="11"/>
      <c r="O672" s="11"/>
      <c r="P672" s="11"/>
      <c r="Q672" s="11"/>
    </row>
    <row r="673" spans="14:17" ht="15.75" customHeight="1" x14ac:dyDescent="0.3">
      <c r="N673" s="11"/>
      <c r="O673" s="11"/>
      <c r="P673" s="11"/>
      <c r="Q673" s="11"/>
    </row>
    <row r="674" spans="14:17" ht="15.75" customHeight="1" x14ac:dyDescent="0.3">
      <c r="N674" s="11"/>
      <c r="O674" s="11"/>
      <c r="P674" s="11"/>
      <c r="Q674" s="11"/>
    </row>
    <row r="675" spans="14:17" ht="15.75" customHeight="1" x14ac:dyDescent="0.3">
      <c r="N675" s="11"/>
      <c r="O675" s="11"/>
      <c r="P675" s="11"/>
      <c r="Q675" s="11"/>
    </row>
    <row r="676" spans="14:17" ht="15.75" customHeight="1" x14ac:dyDescent="0.3">
      <c r="N676" s="11"/>
      <c r="O676" s="11"/>
      <c r="P676" s="11"/>
      <c r="Q676" s="11"/>
    </row>
    <row r="677" spans="14:17" ht="15.75" customHeight="1" x14ac:dyDescent="0.3">
      <c r="N677" s="11"/>
      <c r="O677" s="11"/>
      <c r="P677" s="11"/>
      <c r="Q677" s="11"/>
    </row>
    <row r="678" spans="14:17" ht="15.75" customHeight="1" x14ac:dyDescent="0.3">
      <c r="N678" s="11"/>
      <c r="O678" s="11"/>
      <c r="P678" s="11"/>
      <c r="Q678" s="11"/>
    </row>
    <row r="679" spans="14:17" ht="15.75" customHeight="1" x14ac:dyDescent="0.3">
      <c r="N679" s="11"/>
      <c r="O679" s="11"/>
      <c r="P679" s="11"/>
      <c r="Q679" s="11"/>
    </row>
    <row r="680" spans="14:17" ht="15.75" customHeight="1" x14ac:dyDescent="0.3">
      <c r="N680" s="11"/>
      <c r="O680" s="11"/>
      <c r="P680" s="11"/>
      <c r="Q680" s="11"/>
    </row>
    <row r="681" spans="14:17" ht="15.75" customHeight="1" x14ac:dyDescent="0.3">
      <c r="N681" s="11"/>
      <c r="O681" s="11"/>
      <c r="P681" s="11"/>
      <c r="Q681" s="11"/>
    </row>
    <row r="682" spans="14:17" ht="15.75" customHeight="1" x14ac:dyDescent="0.3">
      <c r="N682" s="11"/>
      <c r="O682" s="11"/>
      <c r="P682" s="11"/>
      <c r="Q682" s="11"/>
    </row>
    <row r="683" spans="14:17" ht="15.75" customHeight="1" x14ac:dyDescent="0.3">
      <c r="N683" s="11"/>
      <c r="O683" s="11"/>
      <c r="P683" s="11"/>
      <c r="Q683" s="11"/>
    </row>
    <row r="684" spans="14:17" ht="15.75" customHeight="1" x14ac:dyDescent="0.3">
      <c r="N684" s="11"/>
      <c r="O684" s="11"/>
      <c r="P684" s="11"/>
      <c r="Q684" s="11"/>
    </row>
    <row r="685" spans="14:17" ht="15.75" customHeight="1" x14ac:dyDescent="0.3">
      <c r="N685" s="11"/>
      <c r="O685" s="11"/>
      <c r="P685" s="11"/>
      <c r="Q685" s="11"/>
    </row>
    <row r="686" spans="14:17" ht="15.75" customHeight="1" x14ac:dyDescent="0.3">
      <c r="N686" s="11"/>
      <c r="O686" s="11"/>
      <c r="P686" s="11"/>
      <c r="Q686" s="11"/>
    </row>
    <row r="687" spans="14:17" ht="15.75" customHeight="1" x14ac:dyDescent="0.3">
      <c r="N687" s="11"/>
      <c r="O687" s="11"/>
      <c r="P687" s="11"/>
      <c r="Q687" s="11"/>
    </row>
    <row r="688" spans="14:17" ht="15.75" customHeight="1" x14ac:dyDescent="0.3">
      <c r="N688" s="11"/>
      <c r="O688" s="11"/>
      <c r="P688" s="11"/>
      <c r="Q688" s="11"/>
    </row>
    <row r="689" spans="14:17" ht="15.75" customHeight="1" x14ac:dyDescent="0.3">
      <c r="N689" s="11"/>
      <c r="O689" s="11"/>
      <c r="P689" s="11"/>
      <c r="Q689" s="11"/>
    </row>
    <row r="690" spans="14:17" ht="15.75" customHeight="1" x14ac:dyDescent="0.3">
      <c r="N690" s="11"/>
      <c r="O690" s="11"/>
      <c r="P690" s="11"/>
      <c r="Q690" s="11"/>
    </row>
    <row r="691" spans="14:17" ht="15.75" customHeight="1" x14ac:dyDescent="0.3">
      <c r="N691" s="11"/>
      <c r="O691" s="11"/>
      <c r="P691" s="11"/>
      <c r="Q691" s="11"/>
    </row>
    <row r="692" spans="14:17" ht="15.75" customHeight="1" x14ac:dyDescent="0.3">
      <c r="N692" s="11"/>
      <c r="O692" s="11"/>
      <c r="P692" s="11"/>
      <c r="Q692" s="11"/>
    </row>
    <row r="693" spans="14:17" ht="15.75" customHeight="1" x14ac:dyDescent="0.3">
      <c r="N693" s="11"/>
      <c r="O693" s="11"/>
      <c r="P693" s="11"/>
      <c r="Q693" s="11"/>
    </row>
    <row r="694" spans="14:17" ht="15.75" customHeight="1" x14ac:dyDescent="0.3">
      <c r="N694" s="11"/>
      <c r="O694" s="11"/>
      <c r="P694" s="11"/>
      <c r="Q694" s="11"/>
    </row>
    <row r="695" spans="14:17" ht="15.75" customHeight="1" x14ac:dyDescent="0.3">
      <c r="N695" s="11"/>
      <c r="O695" s="11"/>
      <c r="P695" s="11"/>
      <c r="Q695" s="11"/>
    </row>
    <row r="696" spans="14:17" ht="15.75" customHeight="1" x14ac:dyDescent="0.3">
      <c r="N696" s="11"/>
      <c r="O696" s="11"/>
      <c r="P696" s="11"/>
      <c r="Q696" s="11"/>
    </row>
    <row r="697" spans="14:17" ht="15.75" customHeight="1" x14ac:dyDescent="0.3">
      <c r="N697" s="11"/>
      <c r="O697" s="11"/>
      <c r="P697" s="11"/>
      <c r="Q697" s="11"/>
    </row>
    <row r="698" spans="14:17" ht="15.75" customHeight="1" x14ac:dyDescent="0.3">
      <c r="N698" s="11"/>
      <c r="O698" s="11"/>
      <c r="P698" s="11"/>
      <c r="Q698" s="11"/>
    </row>
    <row r="699" spans="14:17" ht="15.75" customHeight="1" x14ac:dyDescent="0.3">
      <c r="N699" s="11"/>
      <c r="O699" s="11"/>
      <c r="P699" s="11"/>
      <c r="Q699" s="11"/>
    </row>
    <row r="700" spans="14:17" ht="15.75" customHeight="1" x14ac:dyDescent="0.3">
      <c r="N700" s="11"/>
      <c r="O700" s="11"/>
      <c r="P700" s="11"/>
      <c r="Q700" s="11"/>
    </row>
    <row r="701" spans="14:17" ht="15.75" customHeight="1" x14ac:dyDescent="0.3">
      <c r="N701" s="11"/>
      <c r="O701" s="11"/>
      <c r="P701" s="11"/>
      <c r="Q701" s="11"/>
    </row>
    <row r="702" spans="14:17" ht="15.75" customHeight="1" x14ac:dyDescent="0.3">
      <c r="N702" s="11"/>
      <c r="O702" s="11"/>
      <c r="P702" s="11"/>
      <c r="Q702" s="11"/>
    </row>
    <row r="703" spans="14:17" ht="15.75" customHeight="1" x14ac:dyDescent="0.3">
      <c r="N703" s="11"/>
      <c r="O703" s="11"/>
      <c r="P703" s="11"/>
      <c r="Q703" s="11"/>
    </row>
    <row r="704" spans="14:17" ht="15.75" customHeight="1" x14ac:dyDescent="0.3">
      <c r="N704" s="11"/>
      <c r="O704" s="11"/>
      <c r="P704" s="11"/>
      <c r="Q704" s="11"/>
    </row>
    <row r="705" spans="14:17" ht="15.75" customHeight="1" x14ac:dyDescent="0.3">
      <c r="N705" s="11"/>
      <c r="O705" s="11"/>
      <c r="P705" s="11"/>
      <c r="Q705" s="11"/>
    </row>
    <row r="706" spans="14:17" ht="15.75" customHeight="1" x14ac:dyDescent="0.3">
      <c r="N706" s="11"/>
      <c r="O706" s="11"/>
      <c r="P706" s="11"/>
      <c r="Q706" s="11"/>
    </row>
    <row r="707" spans="14:17" ht="15.75" customHeight="1" x14ac:dyDescent="0.3">
      <c r="N707" s="11"/>
      <c r="O707" s="11"/>
      <c r="P707" s="11"/>
      <c r="Q707" s="11"/>
    </row>
    <row r="708" spans="14:17" ht="15.75" customHeight="1" x14ac:dyDescent="0.3">
      <c r="N708" s="11"/>
      <c r="O708" s="11"/>
      <c r="P708" s="11"/>
      <c r="Q708" s="11"/>
    </row>
    <row r="709" spans="14:17" ht="15.75" customHeight="1" x14ac:dyDescent="0.3">
      <c r="N709" s="11"/>
      <c r="O709" s="11"/>
      <c r="P709" s="11"/>
      <c r="Q709" s="11"/>
    </row>
    <row r="710" spans="14:17" ht="15.75" customHeight="1" x14ac:dyDescent="0.3">
      <c r="N710" s="11"/>
      <c r="O710" s="11"/>
      <c r="P710" s="11"/>
      <c r="Q710" s="11"/>
    </row>
    <row r="711" spans="14:17" ht="15.75" customHeight="1" x14ac:dyDescent="0.3">
      <c r="N711" s="11"/>
      <c r="O711" s="11"/>
      <c r="P711" s="11"/>
      <c r="Q711" s="11"/>
    </row>
    <row r="712" spans="14:17" ht="15.75" customHeight="1" x14ac:dyDescent="0.3">
      <c r="N712" s="11"/>
      <c r="O712" s="11"/>
      <c r="P712" s="11"/>
      <c r="Q712" s="11"/>
    </row>
    <row r="713" spans="14:17" ht="15.75" customHeight="1" x14ac:dyDescent="0.3">
      <c r="N713" s="11"/>
      <c r="O713" s="11"/>
      <c r="P713" s="11"/>
      <c r="Q713" s="11"/>
    </row>
    <row r="714" spans="14:17" ht="15.75" customHeight="1" x14ac:dyDescent="0.3">
      <c r="N714" s="11"/>
      <c r="O714" s="11"/>
      <c r="P714" s="11"/>
      <c r="Q714" s="11"/>
    </row>
    <row r="715" spans="14:17" ht="15.75" customHeight="1" x14ac:dyDescent="0.3">
      <c r="N715" s="11"/>
      <c r="O715" s="11"/>
      <c r="P715" s="11"/>
      <c r="Q715" s="11"/>
    </row>
    <row r="716" spans="14:17" ht="15.75" customHeight="1" x14ac:dyDescent="0.3">
      <c r="N716" s="11"/>
      <c r="O716" s="11"/>
      <c r="P716" s="11"/>
      <c r="Q716" s="11"/>
    </row>
    <row r="717" spans="14:17" ht="15.75" customHeight="1" x14ac:dyDescent="0.3">
      <c r="N717" s="11"/>
      <c r="O717" s="11"/>
      <c r="P717" s="11"/>
      <c r="Q717" s="11"/>
    </row>
    <row r="718" spans="14:17" ht="15.75" customHeight="1" x14ac:dyDescent="0.3">
      <c r="N718" s="11"/>
      <c r="O718" s="11"/>
      <c r="P718" s="11"/>
      <c r="Q718" s="11"/>
    </row>
    <row r="719" spans="14:17" ht="15.75" customHeight="1" x14ac:dyDescent="0.3">
      <c r="N719" s="11"/>
      <c r="O719" s="11"/>
      <c r="P719" s="11"/>
      <c r="Q719" s="11"/>
    </row>
    <row r="720" spans="14:17" ht="15.75" customHeight="1" x14ac:dyDescent="0.3">
      <c r="N720" s="11"/>
      <c r="O720" s="11"/>
      <c r="P720" s="11"/>
      <c r="Q720" s="11"/>
    </row>
    <row r="721" spans="14:17" ht="15.75" customHeight="1" x14ac:dyDescent="0.3">
      <c r="N721" s="11"/>
      <c r="O721" s="11"/>
      <c r="P721" s="11"/>
      <c r="Q721" s="11"/>
    </row>
    <row r="722" spans="14:17" ht="15.75" customHeight="1" x14ac:dyDescent="0.3">
      <c r="N722" s="11"/>
      <c r="O722" s="11"/>
      <c r="P722" s="11"/>
      <c r="Q722" s="11"/>
    </row>
    <row r="723" spans="14:17" ht="15.75" customHeight="1" x14ac:dyDescent="0.3">
      <c r="N723" s="11"/>
      <c r="O723" s="11"/>
      <c r="P723" s="11"/>
      <c r="Q723" s="11"/>
    </row>
    <row r="724" spans="14:17" ht="15.75" customHeight="1" x14ac:dyDescent="0.3">
      <c r="N724" s="11"/>
      <c r="O724" s="11"/>
      <c r="P724" s="11"/>
      <c r="Q724" s="11"/>
    </row>
    <row r="725" spans="14:17" ht="15.75" customHeight="1" x14ac:dyDescent="0.3">
      <c r="N725" s="11"/>
      <c r="O725" s="11"/>
      <c r="P725" s="11"/>
      <c r="Q725" s="11"/>
    </row>
    <row r="726" spans="14:17" ht="15.75" customHeight="1" x14ac:dyDescent="0.3">
      <c r="N726" s="11"/>
      <c r="O726" s="11"/>
      <c r="P726" s="11"/>
      <c r="Q726" s="11"/>
    </row>
    <row r="727" spans="14:17" ht="15.75" customHeight="1" x14ac:dyDescent="0.3">
      <c r="N727" s="11"/>
      <c r="O727" s="11"/>
      <c r="P727" s="11"/>
      <c r="Q727" s="11"/>
    </row>
    <row r="728" spans="14:17" ht="15.75" customHeight="1" x14ac:dyDescent="0.3">
      <c r="N728" s="11"/>
      <c r="O728" s="11"/>
      <c r="P728" s="11"/>
      <c r="Q728" s="11"/>
    </row>
    <row r="729" spans="14:17" ht="15.75" customHeight="1" x14ac:dyDescent="0.3">
      <c r="N729" s="11"/>
      <c r="O729" s="11"/>
      <c r="P729" s="11"/>
      <c r="Q729" s="11"/>
    </row>
    <row r="730" spans="14:17" ht="15.75" customHeight="1" x14ac:dyDescent="0.3">
      <c r="N730" s="11"/>
      <c r="O730" s="11"/>
      <c r="P730" s="11"/>
      <c r="Q730" s="11"/>
    </row>
    <row r="731" spans="14:17" ht="15.75" customHeight="1" x14ac:dyDescent="0.3">
      <c r="N731" s="11"/>
      <c r="O731" s="11"/>
      <c r="P731" s="11"/>
      <c r="Q731" s="11"/>
    </row>
    <row r="732" spans="14:17" ht="15.75" customHeight="1" x14ac:dyDescent="0.3">
      <c r="N732" s="11"/>
      <c r="O732" s="11"/>
      <c r="P732" s="11"/>
      <c r="Q732" s="11"/>
    </row>
    <row r="733" spans="14:17" ht="15.75" customHeight="1" x14ac:dyDescent="0.3">
      <c r="N733" s="11"/>
      <c r="O733" s="11"/>
      <c r="P733" s="11"/>
      <c r="Q733" s="11"/>
    </row>
    <row r="734" spans="14:17" ht="15.75" customHeight="1" x14ac:dyDescent="0.3">
      <c r="N734" s="11"/>
      <c r="O734" s="11"/>
      <c r="P734" s="11"/>
      <c r="Q734" s="11"/>
    </row>
    <row r="735" spans="14:17" ht="15.75" customHeight="1" x14ac:dyDescent="0.3">
      <c r="N735" s="11"/>
      <c r="O735" s="11"/>
      <c r="P735" s="11"/>
      <c r="Q735" s="11"/>
    </row>
    <row r="736" spans="14:17" ht="15.75" customHeight="1" x14ac:dyDescent="0.3">
      <c r="N736" s="11"/>
      <c r="O736" s="11"/>
      <c r="P736" s="11"/>
      <c r="Q736" s="11"/>
    </row>
    <row r="737" spans="14:17" ht="15.75" customHeight="1" x14ac:dyDescent="0.3">
      <c r="N737" s="11"/>
      <c r="O737" s="11"/>
      <c r="P737" s="11"/>
      <c r="Q737" s="11"/>
    </row>
    <row r="738" spans="14:17" ht="15.75" customHeight="1" x14ac:dyDescent="0.3">
      <c r="N738" s="11"/>
      <c r="O738" s="11"/>
      <c r="P738" s="11"/>
      <c r="Q738" s="11"/>
    </row>
    <row r="739" spans="14:17" ht="15.75" customHeight="1" x14ac:dyDescent="0.3">
      <c r="N739" s="11"/>
      <c r="O739" s="11"/>
      <c r="P739" s="11"/>
      <c r="Q739" s="11"/>
    </row>
    <row r="740" spans="14:17" ht="15.75" customHeight="1" x14ac:dyDescent="0.3">
      <c r="N740" s="11"/>
      <c r="O740" s="11"/>
      <c r="P740" s="11"/>
      <c r="Q740" s="11"/>
    </row>
    <row r="741" spans="14:17" ht="15.75" customHeight="1" x14ac:dyDescent="0.3">
      <c r="N741" s="11"/>
      <c r="O741" s="11"/>
      <c r="P741" s="11"/>
      <c r="Q741" s="11"/>
    </row>
    <row r="742" spans="14:17" ht="15.75" customHeight="1" x14ac:dyDescent="0.3">
      <c r="N742" s="11"/>
      <c r="O742" s="11"/>
      <c r="P742" s="11"/>
      <c r="Q742" s="11"/>
    </row>
    <row r="743" spans="14:17" ht="15.75" customHeight="1" x14ac:dyDescent="0.3">
      <c r="N743" s="11"/>
      <c r="O743" s="11"/>
      <c r="P743" s="11"/>
      <c r="Q743" s="11"/>
    </row>
    <row r="744" spans="14:17" ht="15.75" customHeight="1" x14ac:dyDescent="0.3">
      <c r="N744" s="11"/>
      <c r="O744" s="11"/>
      <c r="P744" s="11"/>
      <c r="Q744" s="11"/>
    </row>
    <row r="745" spans="14:17" ht="15.75" customHeight="1" x14ac:dyDescent="0.3">
      <c r="N745" s="11"/>
      <c r="O745" s="11"/>
      <c r="P745" s="11"/>
      <c r="Q745" s="11"/>
    </row>
    <row r="746" spans="14:17" ht="15.75" customHeight="1" x14ac:dyDescent="0.3">
      <c r="N746" s="11"/>
      <c r="O746" s="11"/>
      <c r="P746" s="11"/>
      <c r="Q746" s="11"/>
    </row>
    <row r="747" spans="14:17" ht="15.75" customHeight="1" x14ac:dyDescent="0.3">
      <c r="N747" s="11"/>
      <c r="O747" s="11"/>
      <c r="P747" s="11"/>
      <c r="Q747" s="11"/>
    </row>
    <row r="748" spans="14:17" ht="15.75" customHeight="1" x14ac:dyDescent="0.3">
      <c r="N748" s="11"/>
      <c r="O748" s="11"/>
      <c r="P748" s="11"/>
      <c r="Q748" s="11"/>
    </row>
    <row r="749" spans="14:17" ht="15.75" customHeight="1" x14ac:dyDescent="0.3">
      <c r="N749" s="11"/>
      <c r="O749" s="11"/>
      <c r="P749" s="11"/>
      <c r="Q749" s="11"/>
    </row>
    <row r="750" spans="14:17" ht="15.75" customHeight="1" x14ac:dyDescent="0.3">
      <c r="N750" s="11"/>
      <c r="O750" s="11"/>
      <c r="P750" s="11"/>
      <c r="Q750" s="11"/>
    </row>
    <row r="751" spans="14:17" ht="15.75" customHeight="1" x14ac:dyDescent="0.3">
      <c r="N751" s="11"/>
      <c r="O751" s="11"/>
      <c r="P751" s="11"/>
      <c r="Q751" s="11"/>
    </row>
    <row r="752" spans="14:17" ht="15.75" customHeight="1" x14ac:dyDescent="0.3">
      <c r="N752" s="11"/>
      <c r="O752" s="11"/>
      <c r="P752" s="11"/>
      <c r="Q752" s="11"/>
    </row>
    <row r="753" spans="14:17" ht="15.75" customHeight="1" x14ac:dyDescent="0.3">
      <c r="N753" s="11"/>
      <c r="O753" s="11"/>
      <c r="P753" s="11"/>
      <c r="Q753" s="11"/>
    </row>
    <row r="754" spans="14:17" ht="15.75" customHeight="1" x14ac:dyDescent="0.3">
      <c r="N754" s="11"/>
      <c r="O754" s="11"/>
      <c r="P754" s="11"/>
      <c r="Q754" s="11"/>
    </row>
    <row r="755" spans="14:17" ht="15.75" customHeight="1" x14ac:dyDescent="0.3">
      <c r="N755" s="11"/>
      <c r="O755" s="11"/>
      <c r="P755" s="11"/>
      <c r="Q755" s="11"/>
    </row>
    <row r="756" spans="14:17" ht="15.75" customHeight="1" x14ac:dyDescent="0.3">
      <c r="N756" s="11"/>
      <c r="O756" s="11"/>
      <c r="P756" s="11"/>
      <c r="Q756" s="11"/>
    </row>
    <row r="757" spans="14:17" ht="15.75" customHeight="1" x14ac:dyDescent="0.3">
      <c r="N757" s="11"/>
      <c r="O757" s="11"/>
      <c r="P757" s="11"/>
      <c r="Q757" s="11"/>
    </row>
    <row r="758" spans="14:17" ht="15.75" customHeight="1" x14ac:dyDescent="0.3">
      <c r="N758" s="11"/>
      <c r="O758" s="11"/>
      <c r="P758" s="11"/>
      <c r="Q758" s="11"/>
    </row>
    <row r="759" spans="14:17" ht="15.75" customHeight="1" x14ac:dyDescent="0.3">
      <c r="N759" s="11"/>
      <c r="O759" s="11"/>
      <c r="P759" s="11"/>
      <c r="Q759" s="11"/>
    </row>
    <row r="760" spans="14:17" ht="15.75" customHeight="1" x14ac:dyDescent="0.3">
      <c r="N760" s="11"/>
      <c r="O760" s="11"/>
      <c r="P760" s="11"/>
      <c r="Q760" s="11"/>
    </row>
    <row r="761" spans="14:17" ht="15.75" customHeight="1" x14ac:dyDescent="0.3">
      <c r="N761" s="11"/>
      <c r="O761" s="11"/>
      <c r="P761" s="11"/>
      <c r="Q761" s="11"/>
    </row>
    <row r="762" spans="14:17" ht="15.75" customHeight="1" x14ac:dyDescent="0.3">
      <c r="N762" s="11"/>
      <c r="O762" s="11"/>
      <c r="P762" s="11"/>
      <c r="Q762" s="11"/>
    </row>
    <row r="763" spans="14:17" ht="15.75" customHeight="1" x14ac:dyDescent="0.3">
      <c r="N763" s="11"/>
      <c r="O763" s="11"/>
      <c r="P763" s="11"/>
      <c r="Q763" s="11"/>
    </row>
    <row r="764" spans="14:17" ht="15.75" customHeight="1" x14ac:dyDescent="0.3">
      <c r="N764" s="11"/>
      <c r="O764" s="11"/>
      <c r="P764" s="11"/>
      <c r="Q764" s="11"/>
    </row>
    <row r="765" spans="14:17" ht="15.75" customHeight="1" x14ac:dyDescent="0.3">
      <c r="N765" s="11"/>
      <c r="O765" s="11"/>
      <c r="P765" s="11"/>
      <c r="Q765" s="11"/>
    </row>
    <row r="766" spans="14:17" ht="15.75" customHeight="1" x14ac:dyDescent="0.3">
      <c r="N766" s="11"/>
      <c r="O766" s="11"/>
      <c r="P766" s="11"/>
      <c r="Q766" s="11"/>
    </row>
    <row r="767" spans="14:17" ht="15.75" customHeight="1" x14ac:dyDescent="0.3">
      <c r="N767" s="11"/>
      <c r="O767" s="11"/>
      <c r="P767" s="11"/>
      <c r="Q767" s="11"/>
    </row>
    <row r="768" spans="14:17" ht="15.75" customHeight="1" x14ac:dyDescent="0.3">
      <c r="N768" s="11"/>
      <c r="O768" s="11"/>
      <c r="P768" s="11"/>
      <c r="Q768" s="11"/>
    </row>
    <row r="769" spans="14:17" ht="15.75" customHeight="1" x14ac:dyDescent="0.3">
      <c r="N769" s="11"/>
      <c r="O769" s="11"/>
      <c r="P769" s="11"/>
      <c r="Q769" s="11"/>
    </row>
    <row r="770" spans="14:17" ht="15.75" customHeight="1" x14ac:dyDescent="0.3">
      <c r="N770" s="11"/>
      <c r="O770" s="11"/>
      <c r="P770" s="11"/>
      <c r="Q770" s="11"/>
    </row>
    <row r="771" spans="14:17" ht="15.75" customHeight="1" x14ac:dyDescent="0.3">
      <c r="N771" s="11"/>
      <c r="O771" s="11"/>
      <c r="P771" s="11"/>
      <c r="Q771" s="11"/>
    </row>
    <row r="772" spans="14:17" ht="15.75" customHeight="1" x14ac:dyDescent="0.3">
      <c r="N772" s="11"/>
      <c r="O772" s="11"/>
      <c r="P772" s="11"/>
      <c r="Q772" s="11"/>
    </row>
    <row r="773" spans="14:17" ht="15.75" customHeight="1" x14ac:dyDescent="0.3">
      <c r="N773" s="11"/>
      <c r="O773" s="11"/>
      <c r="P773" s="11"/>
      <c r="Q773" s="11"/>
    </row>
    <row r="774" spans="14:17" ht="15.75" customHeight="1" x14ac:dyDescent="0.3">
      <c r="N774" s="11"/>
      <c r="O774" s="11"/>
      <c r="P774" s="11"/>
      <c r="Q774" s="11"/>
    </row>
    <row r="775" spans="14:17" ht="15.75" customHeight="1" x14ac:dyDescent="0.3">
      <c r="N775" s="11"/>
      <c r="O775" s="11"/>
      <c r="P775" s="11"/>
      <c r="Q775" s="11"/>
    </row>
    <row r="776" spans="14:17" ht="15.75" customHeight="1" x14ac:dyDescent="0.3">
      <c r="N776" s="11"/>
      <c r="O776" s="11"/>
      <c r="P776" s="11"/>
      <c r="Q776" s="11"/>
    </row>
    <row r="777" spans="14:17" ht="15.75" customHeight="1" x14ac:dyDescent="0.3">
      <c r="N777" s="11"/>
      <c r="O777" s="11"/>
      <c r="P777" s="11"/>
      <c r="Q777" s="11"/>
    </row>
    <row r="778" spans="14:17" ht="15.75" customHeight="1" x14ac:dyDescent="0.3">
      <c r="N778" s="11"/>
      <c r="O778" s="11"/>
      <c r="P778" s="11"/>
      <c r="Q778" s="11"/>
    </row>
    <row r="779" spans="14:17" ht="15.75" customHeight="1" x14ac:dyDescent="0.3">
      <c r="N779" s="11"/>
      <c r="O779" s="11"/>
      <c r="P779" s="11"/>
      <c r="Q779" s="11"/>
    </row>
    <row r="780" spans="14:17" ht="15.75" customHeight="1" x14ac:dyDescent="0.3">
      <c r="N780" s="11"/>
      <c r="O780" s="11"/>
      <c r="P780" s="11"/>
      <c r="Q780" s="11"/>
    </row>
    <row r="781" spans="14:17" ht="15.75" customHeight="1" x14ac:dyDescent="0.3">
      <c r="N781" s="11"/>
      <c r="O781" s="11"/>
      <c r="P781" s="11"/>
      <c r="Q781" s="11"/>
    </row>
    <row r="782" spans="14:17" ht="15.75" customHeight="1" x14ac:dyDescent="0.3">
      <c r="N782" s="11"/>
      <c r="O782" s="11"/>
      <c r="P782" s="11"/>
      <c r="Q782" s="11"/>
    </row>
    <row r="783" spans="14:17" ht="15.75" customHeight="1" x14ac:dyDescent="0.3">
      <c r="N783" s="11"/>
      <c r="O783" s="11"/>
      <c r="P783" s="11"/>
      <c r="Q783" s="11"/>
    </row>
    <row r="784" spans="14:17" ht="15.75" customHeight="1" x14ac:dyDescent="0.3">
      <c r="N784" s="11"/>
      <c r="O784" s="11"/>
      <c r="P784" s="11"/>
      <c r="Q784" s="11"/>
    </row>
    <row r="785" spans="14:17" ht="15.75" customHeight="1" x14ac:dyDescent="0.3">
      <c r="N785" s="11"/>
      <c r="O785" s="11"/>
      <c r="P785" s="11"/>
      <c r="Q785" s="11"/>
    </row>
    <row r="786" spans="14:17" ht="15.75" customHeight="1" x14ac:dyDescent="0.3">
      <c r="N786" s="11"/>
      <c r="O786" s="11"/>
      <c r="P786" s="11"/>
      <c r="Q786" s="11"/>
    </row>
    <row r="787" spans="14:17" ht="15.75" customHeight="1" x14ac:dyDescent="0.3">
      <c r="N787" s="11"/>
      <c r="O787" s="11"/>
      <c r="P787" s="11"/>
      <c r="Q787" s="11"/>
    </row>
    <row r="788" spans="14:17" ht="15.75" customHeight="1" x14ac:dyDescent="0.3">
      <c r="N788" s="11"/>
      <c r="O788" s="11"/>
      <c r="P788" s="11"/>
      <c r="Q788" s="11"/>
    </row>
    <row r="789" spans="14:17" ht="15.75" customHeight="1" x14ac:dyDescent="0.3">
      <c r="N789" s="11"/>
      <c r="O789" s="11"/>
      <c r="P789" s="11"/>
      <c r="Q789" s="11"/>
    </row>
    <row r="790" spans="14:17" ht="15.75" customHeight="1" x14ac:dyDescent="0.3">
      <c r="N790" s="11"/>
      <c r="O790" s="11"/>
      <c r="P790" s="11"/>
      <c r="Q790" s="11"/>
    </row>
    <row r="791" spans="14:17" ht="15.75" customHeight="1" x14ac:dyDescent="0.3">
      <c r="N791" s="11"/>
      <c r="O791" s="11"/>
      <c r="P791" s="11"/>
      <c r="Q791" s="11"/>
    </row>
    <row r="792" spans="14:17" ht="15.75" customHeight="1" x14ac:dyDescent="0.3">
      <c r="N792" s="11"/>
      <c r="O792" s="11"/>
      <c r="P792" s="11"/>
      <c r="Q792" s="11"/>
    </row>
    <row r="793" spans="14:17" ht="15.75" customHeight="1" x14ac:dyDescent="0.3">
      <c r="N793" s="11"/>
      <c r="O793" s="11"/>
      <c r="P793" s="11"/>
      <c r="Q793" s="11"/>
    </row>
    <row r="794" spans="14:17" ht="15.75" customHeight="1" x14ac:dyDescent="0.3">
      <c r="N794" s="11"/>
      <c r="O794" s="11"/>
      <c r="P794" s="11"/>
      <c r="Q794" s="11"/>
    </row>
    <row r="795" spans="14:17" ht="15.75" customHeight="1" x14ac:dyDescent="0.3">
      <c r="N795" s="11"/>
      <c r="O795" s="11"/>
      <c r="P795" s="11"/>
      <c r="Q795" s="11"/>
    </row>
    <row r="796" spans="14:17" ht="15.75" customHeight="1" x14ac:dyDescent="0.3">
      <c r="N796" s="11"/>
      <c r="O796" s="11"/>
      <c r="P796" s="11"/>
      <c r="Q796" s="11"/>
    </row>
    <row r="797" spans="14:17" ht="15.75" customHeight="1" x14ac:dyDescent="0.3">
      <c r="N797" s="11"/>
      <c r="O797" s="11"/>
      <c r="P797" s="11"/>
      <c r="Q797" s="11"/>
    </row>
    <row r="798" spans="14:17" ht="15.75" customHeight="1" x14ac:dyDescent="0.3">
      <c r="N798" s="11"/>
      <c r="O798" s="11"/>
      <c r="P798" s="11"/>
      <c r="Q798" s="11"/>
    </row>
    <row r="799" spans="14:17" ht="15.75" customHeight="1" x14ac:dyDescent="0.3">
      <c r="N799" s="11"/>
      <c r="O799" s="11"/>
      <c r="P799" s="11"/>
      <c r="Q799" s="11"/>
    </row>
    <row r="800" spans="14:17" ht="15.75" customHeight="1" x14ac:dyDescent="0.3">
      <c r="N800" s="11"/>
      <c r="O800" s="11"/>
      <c r="P800" s="11"/>
      <c r="Q800" s="11"/>
    </row>
    <row r="801" spans="14:17" ht="15.75" customHeight="1" x14ac:dyDescent="0.3">
      <c r="N801" s="11"/>
      <c r="O801" s="11"/>
      <c r="P801" s="11"/>
      <c r="Q801" s="11"/>
    </row>
    <row r="802" spans="14:17" ht="15.75" customHeight="1" x14ac:dyDescent="0.3">
      <c r="N802" s="11"/>
      <c r="O802" s="11"/>
      <c r="P802" s="11"/>
      <c r="Q802" s="11"/>
    </row>
    <row r="803" spans="14:17" ht="15.75" customHeight="1" x14ac:dyDescent="0.3">
      <c r="N803" s="11"/>
      <c r="O803" s="11"/>
      <c r="P803" s="11"/>
      <c r="Q803" s="11"/>
    </row>
    <row r="804" spans="14:17" ht="15.75" customHeight="1" x14ac:dyDescent="0.3">
      <c r="N804" s="11"/>
      <c r="O804" s="11"/>
      <c r="P804" s="11"/>
      <c r="Q804" s="11"/>
    </row>
    <row r="805" spans="14:17" ht="15.75" customHeight="1" x14ac:dyDescent="0.3">
      <c r="N805" s="11"/>
      <c r="O805" s="11"/>
      <c r="P805" s="11"/>
      <c r="Q805" s="11"/>
    </row>
    <row r="806" spans="14:17" ht="15.75" customHeight="1" x14ac:dyDescent="0.3">
      <c r="N806" s="11"/>
      <c r="O806" s="11"/>
      <c r="P806" s="11"/>
      <c r="Q806" s="11"/>
    </row>
    <row r="807" spans="14:17" ht="15.75" customHeight="1" x14ac:dyDescent="0.3">
      <c r="N807" s="11"/>
      <c r="O807" s="11"/>
      <c r="P807" s="11"/>
      <c r="Q807" s="11"/>
    </row>
    <row r="808" spans="14:17" ht="15.75" customHeight="1" x14ac:dyDescent="0.3">
      <c r="N808" s="11"/>
      <c r="O808" s="11"/>
      <c r="P808" s="11"/>
      <c r="Q808" s="11"/>
    </row>
    <row r="809" spans="14:17" ht="15.75" customHeight="1" x14ac:dyDescent="0.3">
      <c r="N809" s="11"/>
      <c r="O809" s="11"/>
      <c r="P809" s="11"/>
      <c r="Q809" s="11"/>
    </row>
    <row r="810" spans="14:17" ht="15.75" customHeight="1" x14ac:dyDescent="0.3">
      <c r="N810" s="11"/>
      <c r="O810" s="11"/>
      <c r="P810" s="11"/>
      <c r="Q810" s="11"/>
    </row>
    <row r="811" spans="14:17" ht="15.75" customHeight="1" x14ac:dyDescent="0.3">
      <c r="N811" s="11"/>
      <c r="O811" s="11"/>
      <c r="P811" s="11"/>
      <c r="Q811" s="11"/>
    </row>
    <row r="812" spans="14:17" ht="15.75" customHeight="1" x14ac:dyDescent="0.3">
      <c r="N812" s="11"/>
      <c r="O812" s="11"/>
      <c r="P812" s="11"/>
      <c r="Q812" s="11"/>
    </row>
    <row r="813" spans="14:17" ht="15.75" customHeight="1" x14ac:dyDescent="0.3">
      <c r="N813" s="11"/>
      <c r="O813" s="11"/>
      <c r="P813" s="11"/>
      <c r="Q813" s="11"/>
    </row>
    <row r="814" spans="14:17" ht="15.75" customHeight="1" x14ac:dyDescent="0.3">
      <c r="N814" s="11"/>
      <c r="O814" s="11"/>
      <c r="P814" s="11"/>
      <c r="Q814" s="11"/>
    </row>
    <row r="815" spans="14:17" ht="15.75" customHeight="1" x14ac:dyDescent="0.3">
      <c r="N815" s="11"/>
      <c r="O815" s="11"/>
      <c r="P815" s="11"/>
      <c r="Q815" s="11"/>
    </row>
    <row r="816" spans="14:17" ht="15.75" customHeight="1" x14ac:dyDescent="0.3">
      <c r="N816" s="11"/>
      <c r="O816" s="11"/>
      <c r="P816" s="11"/>
      <c r="Q816" s="11"/>
    </row>
    <row r="817" spans="14:17" ht="15.75" customHeight="1" x14ac:dyDescent="0.3">
      <c r="N817" s="11"/>
      <c r="O817" s="11"/>
      <c r="P817" s="11"/>
      <c r="Q817" s="11"/>
    </row>
    <row r="818" spans="14:17" ht="15.75" customHeight="1" x14ac:dyDescent="0.3">
      <c r="N818" s="11"/>
      <c r="O818" s="11"/>
      <c r="P818" s="11"/>
      <c r="Q818" s="11"/>
    </row>
    <row r="819" spans="14:17" ht="15.75" customHeight="1" x14ac:dyDescent="0.3">
      <c r="N819" s="11"/>
      <c r="O819" s="11"/>
      <c r="P819" s="11"/>
      <c r="Q819" s="11"/>
    </row>
    <row r="820" spans="14:17" ht="15.75" customHeight="1" x14ac:dyDescent="0.3">
      <c r="N820" s="11"/>
      <c r="O820" s="11"/>
      <c r="P820" s="11"/>
      <c r="Q820" s="11"/>
    </row>
    <row r="821" spans="14:17" ht="15.75" customHeight="1" x14ac:dyDescent="0.3">
      <c r="N821" s="11"/>
      <c r="O821" s="11"/>
      <c r="P821" s="11"/>
      <c r="Q821" s="11"/>
    </row>
    <row r="822" spans="14:17" ht="15.75" customHeight="1" x14ac:dyDescent="0.3">
      <c r="N822" s="11"/>
      <c r="O822" s="11"/>
      <c r="P822" s="11"/>
      <c r="Q822" s="11"/>
    </row>
    <row r="823" spans="14:17" ht="15.75" customHeight="1" x14ac:dyDescent="0.3">
      <c r="N823" s="11"/>
      <c r="O823" s="11"/>
      <c r="P823" s="11"/>
      <c r="Q823" s="11"/>
    </row>
    <row r="824" spans="14:17" ht="15.75" customHeight="1" x14ac:dyDescent="0.3">
      <c r="N824" s="11"/>
      <c r="O824" s="11"/>
      <c r="P824" s="11"/>
      <c r="Q824" s="11"/>
    </row>
    <row r="825" spans="14:17" ht="15.75" customHeight="1" x14ac:dyDescent="0.3">
      <c r="N825" s="11"/>
      <c r="O825" s="11"/>
      <c r="P825" s="11"/>
      <c r="Q825" s="11"/>
    </row>
    <row r="826" spans="14:17" ht="15.75" customHeight="1" x14ac:dyDescent="0.3">
      <c r="N826" s="11"/>
      <c r="O826" s="11"/>
      <c r="P826" s="11"/>
      <c r="Q826" s="11"/>
    </row>
    <row r="827" spans="14:17" ht="15.75" customHeight="1" x14ac:dyDescent="0.3">
      <c r="N827" s="11"/>
      <c r="O827" s="11"/>
      <c r="P827" s="11"/>
      <c r="Q827" s="11"/>
    </row>
    <row r="828" spans="14:17" ht="15.75" customHeight="1" x14ac:dyDescent="0.3">
      <c r="N828" s="11"/>
      <c r="O828" s="11"/>
      <c r="P828" s="11"/>
      <c r="Q828" s="11"/>
    </row>
    <row r="829" spans="14:17" ht="15.75" customHeight="1" x14ac:dyDescent="0.3">
      <c r="N829" s="11"/>
      <c r="O829" s="11"/>
      <c r="P829" s="11"/>
      <c r="Q829" s="11"/>
    </row>
    <row r="830" spans="14:17" ht="15.75" customHeight="1" x14ac:dyDescent="0.3">
      <c r="N830" s="11"/>
      <c r="O830" s="11"/>
      <c r="P830" s="11"/>
      <c r="Q830" s="11"/>
    </row>
    <row r="831" spans="14:17" ht="15.75" customHeight="1" x14ac:dyDescent="0.3">
      <c r="N831" s="11"/>
      <c r="O831" s="11"/>
      <c r="P831" s="11"/>
      <c r="Q831" s="11"/>
    </row>
    <row r="832" spans="14:17" ht="15.75" customHeight="1" x14ac:dyDescent="0.3">
      <c r="N832" s="11"/>
      <c r="O832" s="11"/>
      <c r="P832" s="11"/>
      <c r="Q832" s="11"/>
    </row>
    <row r="833" spans="14:17" ht="15.75" customHeight="1" x14ac:dyDescent="0.3">
      <c r="N833" s="11"/>
      <c r="O833" s="11"/>
      <c r="P833" s="11"/>
      <c r="Q833" s="11"/>
    </row>
    <row r="834" spans="14:17" ht="15.75" customHeight="1" x14ac:dyDescent="0.3">
      <c r="N834" s="11"/>
      <c r="O834" s="11"/>
      <c r="P834" s="11"/>
      <c r="Q834" s="11"/>
    </row>
    <row r="835" spans="14:17" ht="15.75" customHeight="1" x14ac:dyDescent="0.3">
      <c r="N835" s="11"/>
      <c r="O835" s="11"/>
      <c r="P835" s="11"/>
      <c r="Q835" s="11"/>
    </row>
    <row r="836" spans="14:17" ht="15.75" customHeight="1" x14ac:dyDescent="0.3">
      <c r="N836" s="11"/>
      <c r="O836" s="11"/>
      <c r="P836" s="11"/>
      <c r="Q836" s="11"/>
    </row>
    <row r="837" spans="14:17" ht="15.75" customHeight="1" x14ac:dyDescent="0.3">
      <c r="N837" s="11"/>
      <c r="O837" s="11"/>
      <c r="P837" s="11"/>
      <c r="Q837" s="11"/>
    </row>
    <row r="838" spans="14:17" ht="15.75" customHeight="1" x14ac:dyDescent="0.3">
      <c r="N838" s="11"/>
      <c r="O838" s="11"/>
      <c r="P838" s="11"/>
      <c r="Q838" s="11"/>
    </row>
    <row r="839" spans="14:17" ht="15.75" customHeight="1" x14ac:dyDescent="0.3">
      <c r="N839" s="11"/>
      <c r="O839" s="11"/>
      <c r="P839" s="11"/>
      <c r="Q839" s="11"/>
    </row>
    <row r="840" spans="14:17" ht="15.75" customHeight="1" x14ac:dyDescent="0.3">
      <c r="N840" s="11"/>
      <c r="O840" s="11"/>
      <c r="P840" s="11"/>
      <c r="Q840" s="11"/>
    </row>
    <row r="841" spans="14:17" ht="15.75" customHeight="1" x14ac:dyDescent="0.3">
      <c r="N841" s="11"/>
      <c r="O841" s="11"/>
      <c r="P841" s="11"/>
      <c r="Q841" s="11"/>
    </row>
    <row r="842" spans="14:17" ht="15.75" customHeight="1" x14ac:dyDescent="0.3">
      <c r="N842" s="11"/>
      <c r="O842" s="11"/>
      <c r="P842" s="11"/>
      <c r="Q842" s="11"/>
    </row>
    <row r="843" spans="14:17" ht="15.75" customHeight="1" x14ac:dyDescent="0.3">
      <c r="N843" s="11"/>
      <c r="O843" s="11"/>
      <c r="P843" s="11"/>
      <c r="Q843" s="11"/>
    </row>
    <row r="844" spans="14:17" ht="15.75" customHeight="1" x14ac:dyDescent="0.3">
      <c r="N844" s="11"/>
      <c r="O844" s="11"/>
      <c r="P844" s="11"/>
      <c r="Q844" s="11"/>
    </row>
    <row r="845" spans="14:17" ht="15.75" customHeight="1" x14ac:dyDescent="0.3">
      <c r="N845" s="11"/>
      <c r="O845" s="11"/>
      <c r="P845" s="11"/>
      <c r="Q845" s="11"/>
    </row>
    <row r="846" spans="14:17" ht="15.75" customHeight="1" x14ac:dyDescent="0.3">
      <c r="N846" s="11"/>
      <c r="O846" s="11"/>
      <c r="P846" s="11"/>
      <c r="Q846" s="11"/>
    </row>
    <row r="847" spans="14:17" ht="15.75" customHeight="1" x14ac:dyDescent="0.3">
      <c r="N847" s="11"/>
      <c r="O847" s="11"/>
      <c r="P847" s="11"/>
      <c r="Q847" s="11"/>
    </row>
    <row r="848" spans="14:17" ht="15.75" customHeight="1" x14ac:dyDescent="0.3">
      <c r="N848" s="11"/>
      <c r="O848" s="11"/>
      <c r="P848" s="11"/>
      <c r="Q848" s="11"/>
    </row>
    <row r="849" spans="14:17" ht="15.75" customHeight="1" x14ac:dyDescent="0.3">
      <c r="N849" s="11"/>
      <c r="O849" s="11"/>
      <c r="P849" s="11"/>
      <c r="Q849" s="11"/>
    </row>
    <row r="850" spans="14:17" ht="15.75" customHeight="1" x14ac:dyDescent="0.3">
      <c r="N850" s="11"/>
      <c r="O850" s="11"/>
      <c r="P850" s="11"/>
      <c r="Q850" s="11"/>
    </row>
    <row r="851" spans="14:17" ht="15.75" customHeight="1" x14ac:dyDescent="0.3">
      <c r="N851" s="11"/>
      <c r="O851" s="11"/>
      <c r="P851" s="11"/>
      <c r="Q851" s="11"/>
    </row>
    <row r="852" spans="14:17" ht="15.75" customHeight="1" x14ac:dyDescent="0.3">
      <c r="N852" s="11"/>
      <c r="O852" s="11"/>
      <c r="P852" s="11"/>
      <c r="Q852" s="11"/>
    </row>
    <row r="853" spans="14:17" ht="15.75" customHeight="1" x14ac:dyDescent="0.3">
      <c r="N853" s="11"/>
      <c r="O853" s="11"/>
      <c r="P853" s="11"/>
      <c r="Q853" s="11"/>
    </row>
    <row r="854" spans="14:17" ht="15.75" customHeight="1" x14ac:dyDescent="0.3">
      <c r="N854" s="11"/>
      <c r="O854" s="11"/>
      <c r="P854" s="11"/>
      <c r="Q854" s="11"/>
    </row>
    <row r="855" spans="14:17" ht="15.75" customHeight="1" x14ac:dyDescent="0.3">
      <c r="N855" s="11"/>
      <c r="O855" s="11"/>
      <c r="P855" s="11"/>
      <c r="Q855" s="11"/>
    </row>
    <row r="856" spans="14:17" ht="15.75" customHeight="1" x14ac:dyDescent="0.3">
      <c r="N856" s="11"/>
      <c r="O856" s="11"/>
      <c r="P856" s="11"/>
      <c r="Q856" s="11"/>
    </row>
    <row r="857" spans="14:17" ht="15.75" customHeight="1" x14ac:dyDescent="0.3">
      <c r="N857" s="11"/>
      <c r="O857" s="11"/>
      <c r="P857" s="11"/>
      <c r="Q857" s="11"/>
    </row>
    <row r="858" spans="14:17" ht="15.75" customHeight="1" x14ac:dyDescent="0.3">
      <c r="N858" s="11"/>
      <c r="O858" s="11"/>
      <c r="P858" s="11"/>
      <c r="Q858" s="11"/>
    </row>
    <row r="859" spans="14:17" ht="15.75" customHeight="1" x14ac:dyDescent="0.3">
      <c r="N859" s="11"/>
      <c r="O859" s="11"/>
      <c r="P859" s="11"/>
      <c r="Q859" s="11"/>
    </row>
    <row r="860" spans="14:17" ht="15.75" customHeight="1" x14ac:dyDescent="0.3">
      <c r="N860" s="11"/>
      <c r="O860" s="11"/>
      <c r="P860" s="11"/>
      <c r="Q860" s="11"/>
    </row>
    <row r="861" spans="14:17" ht="15.75" customHeight="1" x14ac:dyDescent="0.3">
      <c r="N861" s="11"/>
      <c r="O861" s="11"/>
      <c r="P861" s="11"/>
      <c r="Q861" s="11"/>
    </row>
    <row r="862" spans="14:17" ht="15.75" customHeight="1" x14ac:dyDescent="0.3">
      <c r="N862" s="11"/>
      <c r="O862" s="11"/>
      <c r="P862" s="11"/>
      <c r="Q862" s="11"/>
    </row>
    <row r="863" spans="14:17" ht="15.75" customHeight="1" x14ac:dyDescent="0.3">
      <c r="N863" s="11"/>
      <c r="O863" s="11"/>
      <c r="P863" s="11"/>
      <c r="Q863" s="11"/>
    </row>
    <row r="864" spans="14:17" ht="15.75" customHeight="1" x14ac:dyDescent="0.3">
      <c r="N864" s="11"/>
      <c r="O864" s="11"/>
      <c r="P864" s="11"/>
      <c r="Q864" s="11"/>
    </row>
    <row r="865" spans="14:17" ht="15.75" customHeight="1" x14ac:dyDescent="0.3">
      <c r="N865" s="11"/>
      <c r="O865" s="11"/>
      <c r="P865" s="11"/>
      <c r="Q865" s="11"/>
    </row>
    <row r="866" spans="14:17" ht="15.75" customHeight="1" x14ac:dyDescent="0.3">
      <c r="N866" s="11"/>
      <c r="O866" s="11"/>
      <c r="P866" s="11"/>
      <c r="Q866" s="11"/>
    </row>
    <row r="867" spans="14:17" ht="15.75" customHeight="1" x14ac:dyDescent="0.3">
      <c r="N867" s="11"/>
      <c r="O867" s="11"/>
      <c r="P867" s="11"/>
      <c r="Q867" s="11"/>
    </row>
    <row r="868" spans="14:17" ht="15.75" customHeight="1" x14ac:dyDescent="0.3">
      <c r="N868" s="11"/>
      <c r="O868" s="11"/>
      <c r="P868" s="11"/>
      <c r="Q868" s="11"/>
    </row>
    <row r="869" spans="14:17" ht="15.75" customHeight="1" x14ac:dyDescent="0.3">
      <c r="N869" s="11"/>
      <c r="O869" s="11"/>
      <c r="P869" s="11"/>
      <c r="Q869" s="11"/>
    </row>
    <row r="870" spans="14:17" ht="15.75" customHeight="1" x14ac:dyDescent="0.3">
      <c r="N870" s="11"/>
      <c r="O870" s="11"/>
      <c r="P870" s="11"/>
      <c r="Q870" s="11"/>
    </row>
    <row r="871" spans="14:17" ht="15.75" customHeight="1" x14ac:dyDescent="0.3">
      <c r="N871" s="11"/>
      <c r="O871" s="11"/>
      <c r="P871" s="11"/>
      <c r="Q871" s="11"/>
    </row>
    <row r="872" spans="14:17" ht="15.75" customHeight="1" x14ac:dyDescent="0.3">
      <c r="N872" s="11"/>
      <c r="O872" s="11"/>
      <c r="P872" s="11"/>
      <c r="Q872" s="11"/>
    </row>
    <row r="873" spans="14:17" ht="15.75" customHeight="1" x14ac:dyDescent="0.3">
      <c r="N873" s="11"/>
      <c r="O873" s="11"/>
      <c r="P873" s="11"/>
      <c r="Q873" s="11"/>
    </row>
    <row r="874" spans="14:17" ht="15.75" customHeight="1" x14ac:dyDescent="0.3">
      <c r="N874" s="11"/>
      <c r="O874" s="11"/>
      <c r="P874" s="11"/>
      <c r="Q874" s="11"/>
    </row>
    <row r="875" spans="14:17" ht="15.75" customHeight="1" x14ac:dyDescent="0.3">
      <c r="N875" s="11"/>
      <c r="O875" s="11"/>
      <c r="P875" s="11"/>
      <c r="Q875" s="11"/>
    </row>
    <row r="876" spans="14:17" ht="15.75" customHeight="1" x14ac:dyDescent="0.3">
      <c r="N876" s="11"/>
      <c r="O876" s="11"/>
      <c r="P876" s="11"/>
      <c r="Q876" s="11"/>
    </row>
    <row r="877" spans="14:17" ht="15.75" customHeight="1" x14ac:dyDescent="0.3">
      <c r="N877" s="11"/>
      <c r="O877" s="11"/>
      <c r="P877" s="11"/>
      <c r="Q877" s="11"/>
    </row>
    <row r="878" spans="14:17" ht="15.75" customHeight="1" x14ac:dyDescent="0.3">
      <c r="N878" s="11"/>
      <c r="O878" s="11"/>
      <c r="P878" s="11"/>
      <c r="Q878" s="11"/>
    </row>
    <row r="879" spans="14:17" ht="15.75" customHeight="1" x14ac:dyDescent="0.3">
      <c r="N879" s="11"/>
      <c r="O879" s="11"/>
      <c r="P879" s="11"/>
      <c r="Q879" s="11"/>
    </row>
    <row r="880" spans="14:17" ht="15.75" customHeight="1" x14ac:dyDescent="0.3">
      <c r="N880" s="11"/>
      <c r="O880" s="11"/>
      <c r="P880" s="11"/>
      <c r="Q880" s="11"/>
    </row>
    <row r="881" spans="14:17" ht="15.75" customHeight="1" x14ac:dyDescent="0.3">
      <c r="N881" s="11"/>
      <c r="O881" s="11"/>
      <c r="P881" s="11"/>
      <c r="Q881" s="11"/>
    </row>
    <row r="882" spans="14:17" ht="15.75" customHeight="1" x14ac:dyDescent="0.3">
      <c r="N882" s="11"/>
      <c r="O882" s="11"/>
      <c r="P882" s="11"/>
      <c r="Q882" s="11"/>
    </row>
    <row r="883" spans="14:17" ht="15.75" customHeight="1" x14ac:dyDescent="0.3">
      <c r="N883" s="11"/>
      <c r="O883" s="11"/>
      <c r="P883" s="11"/>
      <c r="Q883" s="11"/>
    </row>
    <row r="884" spans="14:17" ht="15.75" customHeight="1" x14ac:dyDescent="0.3">
      <c r="N884" s="11"/>
      <c r="O884" s="11"/>
      <c r="P884" s="11"/>
      <c r="Q884" s="11"/>
    </row>
    <row r="885" spans="14:17" ht="15.75" customHeight="1" x14ac:dyDescent="0.3">
      <c r="N885" s="11"/>
      <c r="O885" s="11"/>
      <c r="P885" s="11"/>
      <c r="Q885" s="11"/>
    </row>
    <row r="886" spans="14:17" ht="15.75" customHeight="1" x14ac:dyDescent="0.3">
      <c r="N886" s="11"/>
      <c r="O886" s="11"/>
      <c r="P886" s="11"/>
      <c r="Q886" s="11"/>
    </row>
    <row r="887" spans="14:17" ht="15.75" customHeight="1" x14ac:dyDescent="0.3">
      <c r="N887" s="11"/>
      <c r="O887" s="11"/>
      <c r="P887" s="11"/>
      <c r="Q887" s="11"/>
    </row>
    <row r="888" spans="14:17" ht="15.75" customHeight="1" x14ac:dyDescent="0.3">
      <c r="N888" s="11"/>
      <c r="O888" s="11"/>
      <c r="P888" s="11"/>
      <c r="Q888" s="11"/>
    </row>
    <row r="889" spans="14:17" ht="15.75" customHeight="1" x14ac:dyDescent="0.3">
      <c r="N889" s="11"/>
      <c r="O889" s="11"/>
      <c r="P889" s="11"/>
      <c r="Q889" s="11"/>
    </row>
    <row r="890" spans="14:17" ht="15.75" customHeight="1" x14ac:dyDescent="0.3">
      <c r="N890" s="11"/>
      <c r="O890" s="11"/>
      <c r="P890" s="11"/>
      <c r="Q890" s="11"/>
    </row>
    <row r="891" spans="14:17" ht="15.75" customHeight="1" x14ac:dyDescent="0.3">
      <c r="N891" s="11"/>
      <c r="O891" s="11"/>
      <c r="P891" s="11"/>
      <c r="Q891" s="11"/>
    </row>
    <row r="892" spans="14:17" ht="15.75" customHeight="1" x14ac:dyDescent="0.3">
      <c r="N892" s="11"/>
      <c r="O892" s="11"/>
      <c r="P892" s="11"/>
      <c r="Q892" s="11"/>
    </row>
    <row r="893" spans="14:17" ht="15.75" customHeight="1" x14ac:dyDescent="0.3">
      <c r="N893" s="11"/>
      <c r="O893" s="11"/>
      <c r="P893" s="11"/>
      <c r="Q893" s="11"/>
    </row>
    <row r="894" spans="14:17" ht="15.75" customHeight="1" x14ac:dyDescent="0.3">
      <c r="N894" s="11"/>
      <c r="O894" s="11"/>
      <c r="P894" s="11"/>
      <c r="Q894" s="11"/>
    </row>
    <row r="895" spans="14:17" ht="15.75" customHeight="1" x14ac:dyDescent="0.3">
      <c r="N895" s="11"/>
      <c r="O895" s="11"/>
      <c r="P895" s="11"/>
      <c r="Q895" s="11"/>
    </row>
    <row r="896" spans="14:17" ht="15.75" customHeight="1" x14ac:dyDescent="0.3">
      <c r="N896" s="11"/>
      <c r="O896" s="11"/>
      <c r="P896" s="11"/>
      <c r="Q896" s="11"/>
    </row>
    <row r="897" spans="14:17" ht="15.75" customHeight="1" x14ac:dyDescent="0.3">
      <c r="N897" s="11"/>
      <c r="O897" s="11"/>
      <c r="P897" s="11"/>
      <c r="Q897" s="11"/>
    </row>
    <row r="898" spans="14:17" ht="15.75" customHeight="1" x14ac:dyDescent="0.3">
      <c r="N898" s="11"/>
      <c r="O898" s="11"/>
      <c r="P898" s="11"/>
      <c r="Q898" s="11"/>
    </row>
    <row r="899" spans="14:17" ht="15.75" customHeight="1" x14ac:dyDescent="0.3">
      <c r="N899" s="11"/>
      <c r="O899" s="11"/>
      <c r="P899" s="11"/>
      <c r="Q899" s="11"/>
    </row>
    <row r="900" spans="14:17" ht="15.75" customHeight="1" x14ac:dyDescent="0.3">
      <c r="N900" s="11"/>
      <c r="O900" s="11"/>
      <c r="P900" s="11"/>
      <c r="Q900" s="11"/>
    </row>
    <row r="901" spans="14:17" ht="15.75" customHeight="1" x14ac:dyDescent="0.3">
      <c r="N901" s="11"/>
      <c r="O901" s="11"/>
      <c r="P901" s="11"/>
      <c r="Q901" s="11"/>
    </row>
    <row r="902" spans="14:17" ht="15.75" customHeight="1" x14ac:dyDescent="0.3">
      <c r="N902" s="11"/>
      <c r="O902" s="11"/>
      <c r="P902" s="11"/>
      <c r="Q902" s="11"/>
    </row>
    <row r="903" spans="14:17" ht="15.75" customHeight="1" x14ac:dyDescent="0.3">
      <c r="N903" s="11"/>
      <c r="O903" s="11"/>
      <c r="P903" s="11"/>
      <c r="Q903" s="11"/>
    </row>
    <row r="904" spans="14:17" ht="15.75" customHeight="1" x14ac:dyDescent="0.3">
      <c r="N904" s="11"/>
      <c r="O904" s="11"/>
      <c r="P904" s="11"/>
      <c r="Q904" s="11"/>
    </row>
    <row r="905" spans="14:17" ht="15.75" customHeight="1" x14ac:dyDescent="0.3">
      <c r="N905" s="11"/>
      <c r="O905" s="11"/>
      <c r="P905" s="11"/>
      <c r="Q905" s="11"/>
    </row>
    <row r="906" spans="14:17" ht="15.75" customHeight="1" x14ac:dyDescent="0.3">
      <c r="N906" s="11"/>
      <c r="O906" s="11"/>
      <c r="P906" s="11"/>
      <c r="Q906" s="11"/>
    </row>
    <row r="907" spans="14:17" ht="15.75" customHeight="1" x14ac:dyDescent="0.3">
      <c r="N907" s="11"/>
      <c r="O907" s="11"/>
      <c r="P907" s="11"/>
      <c r="Q907" s="11"/>
    </row>
    <row r="908" spans="14:17" ht="15.75" customHeight="1" x14ac:dyDescent="0.3">
      <c r="N908" s="11"/>
      <c r="O908" s="11"/>
      <c r="P908" s="11"/>
      <c r="Q908" s="11"/>
    </row>
    <row r="909" spans="14:17" ht="15.75" customHeight="1" x14ac:dyDescent="0.3">
      <c r="N909" s="11"/>
      <c r="O909" s="11"/>
      <c r="P909" s="11"/>
      <c r="Q909" s="11"/>
    </row>
    <row r="910" spans="14:17" ht="15.75" customHeight="1" x14ac:dyDescent="0.3">
      <c r="N910" s="11"/>
      <c r="O910" s="11"/>
      <c r="P910" s="11"/>
      <c r="Q910" s="11"/>
    </row>
    <row r="911" spans="14:17" ht="15.75" customHeight="1" x14ac:dyDescent="0.3">
      <c r="N911" s="11"/>
      <c r="O911" s="11"/>
      <c r="P911" s="11"/>
      <c r="Q911" s="11"/>
    </row>
    <row r="912" spans="14:17" ht="15.75" customHeight="1" x14ac:dyDescent="0.3">
      <c r="N912" s="11"/>
      <c r="O912" s="11"/>
      <c r="P912" s="11"/>
      <c r="Q912" s="11"/>
    </row>
    <row r="913" spans="14:17" ht="15.75" customHeight="1" x14ac:dyDescent="0.3">
      <c r="N913" s="11"/>
      <c r="O913" s="11"/>
      <c r="P913" s="11"/>
      <c r="Q913" s="11"/>
    </row>
    <row r="914" spans="14:17" ht="15.75" customHeight="1" x14ac:dyDescent="0.3">
      <c r="N914" s="11"/>
      <c r="O914" s="11"/>
      <c r="P914" s="11"/>
      <c r="Q914" s="11"/>
    </row>
    <row r="915" spans="14:17" ht="15.75" customHeight="1" x14ac:dyDescent="0.3">
      <c r="N915" s="11"/>
      <c r="O915" s="11"/>
      <c r="P915" s="11"/>
      <c r="Q915" s="11"/>
    </row>
    <row r="916" spans="14:17" ht="15.75" customHeight="1" x14ac:dyDescent="0.3">
      <c r="N916" s="11"/>
      <c r="O916" s="11"/>
      <c r="P916" s="11"/>
      <c r="Q916" s="11"/>
    </row>
    <row r="917" spans="14:17" ht="15.75" customHeight="1" x14ac:dyDescent="0.3">
      <c r="N917" s="11"/>
      <c r="O917" s="11"/>
      <c r="P917" s="11"/>
      <c r="Q917" s="11"/>
    </row>
    <row r="918" spans="14:17" ht="15.75" customHeight="1" x14ac:dyDescent="0.3">
      <c r="N918" s="11"/>
      <c r="O918" s="11"/>
      <c r="P918" s="11"/>
      <c r="Q918" s="11"/>
    </row>
    <row r="919" spans="14:17" ht="15.75" customHeight="1" x14ac:dyDescent="0.3">
      <c r="N919" s="11"/>
      <c r="O919" s="11"/>
      <c r="P919" s="11"/>
      <c r="Q919" s="11"/>
    </row>
    <row r="920" spans="14:17" ht="15.75" customHeight="1" x14ac:dyDescent="0.3">
      <c r="N920" s="11"/>
      <c r="O920" s="11"/>
      <c r="P920" s="11"/>
      <c r="Q920" s="11"/>
    </row>
    <row r="921" spans="14:17" ht="15.75" customHeight="1" x14ac:dyDescent="0.3">
      <c r="N921" s="11"/>
      <c r="O921" s="11"/>
      <c r="P921" s="11"/>
      <c r="Q921" s="11"/>
    </row>
    <row r="922" spans="14:17" ht="15.75" customHeight="1" x14ac:dyDescent="0.3">
      <c r="N922" s="11"/>
      <c r="O922" s="11"/>
      <c r="P922" s="11"/>
      <c r="Q922" s="11"/>
    </row>
    <row r="923" spans="14:17" ht="15.75" customHeight="1" x14ac:dyDescent="0.3">
      <c r="N923" s="11"/>
      <c r="O923" s="11"/>
      <c r="P923" s="11"/>
      <c r="Q923" s="11"/>
    </row>
    <row r="924" spans="14:17" ht="15.75" customHeight="1" x14ac:dyDescent="0.3">
      <c r="N924" s="11"/>
      <c r="O924" s="11"/>
      <c r="P924" s="11"/>
      <c r="Q924" s="11"/>
    </row>
    <row r="925" spans="14:17" ht="15.75" customHeight="1" x14ac:dyDescent="0.3">
      <c r="N925" s="11"/>
      <c r="O925" s="11"/>
      <c r="P925" s="11"/>
      <c r="Q925" s="11"/>
    </row>
    <row r="926" spans="14:17" ht="15.75" customHeight="1" x14ac:dyDescent="0.3">
      <c r="N926" s="11"/>
      <c r="O926" s="11"/>
      <c r="P926" s="11"/>
      <c r="Q926" s="11"/>
    </row>
    <row r="927" spans="14:17" ht="15.75" customHeight="1" x14ac:dyDescent="0.3">
      <c r="N927" s="11"/>
      <c r="O927" s="11"/>
      <c r="P927" s="11"/>
      <c r="Q927" s="11"/>
    </row>
    <row r="928" spans="14:17" ht="15.75" customHeight="1" x14ac:dyDescent="0.3">
      <c r="N928" s="11"/>
      <c r="O928" s="11"/>
      <c r="P928" s="11"/>
      <c r="Q928" s="11"/>
    </row>
    <row r="929" spans="14:17" ht="15.75" customHeight="1" x14ac:dyDescent="0.3">
      <c r="N929" s="11"/>
      <c r="O929" s="11"/>
      <c r="P929" s="11"/>
      <c r="Q929" s="11"/>
    </row>
    <row r="930" spans="14:17" ht="15.75" customHeight="1" x14ac:dyDescent="0.3">
      <c r="N930" s="11"/>
      <c r="O930" s="11"/>
      <c r="P930" s="11"/>
      <c r="Q930" s="11"/>
    </row>
    <row r="931" spans="14:17" ht="15.75" customHeight="1" x14ac:dyDescent="0.3">
      <c r="N931" s="11"/>
      <c r="O931" s="11"/>
      <c r="P931" s="11"/>
      <c r="Q931" s="11"/>
    </row>
    <row r="932" spans="14:17" ht="15.75" customHeight="1" x14ac:dyDescent="0.3">
      <c r="N932" s="11"/>
      <c r="O932" s="11"/>
      <c r="P932" s="11"/>
      <c r="Q932" s="11"/>
    </row>
    <row r="933" spans="14:17" ht="15.75" customHeight="1" x14ac:dyDescent="0.3">
      <c r="N933" s="11"/>
      <c r="O933" s="11"/>
      <c r="P933" s="11"/>
      <c r="Q933" s="11"/>
    </row>
    <row r="934" spans="14:17" ht="15.75" customHeight="1" x14ac:dyDescent="0.3">
      <c r="N934" s="11"/>
      <c r="O934" s="11"/>
      <c r="P934" s="11"/>
      <c r="Q934" s="11"/>
    </row>
    <row r="935" spans="14:17" ht="15.75" customHeight="1" x14ac:dyDescent="0.3">
      <c r="N935" s="11"/>
      <c r="O935" s="11"/>
      <c r="P935" s="11"/>
      <c r="Q935" s="11"/>
    </row>
    <row r="936" spans="14:17" ht="15.75" customHeight="1" x14ac:dyDescent="0.3">
      <c r="N936" s="11"/>
      <c r="O936" s="11"/>
      <c r="P936" s="11"/>
      <c r="Q936" s="11"/>
    </row>
    <row r="937" spans="14:17" ht="15.75" customHeight="1" x14ac:dyDescent="0.3">
      <c r="N937" s="11"/>
      <c r="O937" s="11"/>
      <c r="P937" s="11"/>
      <c r="Q937" s="11"/>
    </row>
    <row r="938" spans="14:17" ht="15.75" customHeight="1" x14ac:dyDescent="0.3">
      <c r="N938" s="11"/>
      <c r="O938" s="11"/>
      <c r="P938" s="11"/>
      <c r="Q938" s="11"/>
    </row>
    <row r="939" spans="14:17" ht="15.75" customHeight="1" x14ac:dyDescent="0.3">
      <c r="N939" s="11"/>
      <c r="O939" s="11"/>
      <c r="P939" s="11"/>
      <c r="Q939" s="11"/>
    </row>
    <row r="940" spans="14:17" ht="15.75" customHeight="1" x14ac:dyDescent="0.3">
      <c r="N940" s="11"/>
      <c r="O940" s="11"/>
      <c r="P940" s="11"/>
      <c r="Q940" s="11"/>
    </row>
    <row r="941" spans="14:17" ht="15.75" customHeight="1" x14ac:dyDescent="0.3">
      <c r="N941" s="11"/>
      <c r="O941" s="11"/>
      <c r="P941" s="11"/>
      <c r="Q941" s="11"/>
    </row>
    <row r="942" spans="14:17" ht="15.75" customHeight="1" x14ac:dyDescent="0.3">
      <c r="N942" s="11"/>
      <c r="O942" s="11"/>
      <c r="P942" s="11"/>
      <c r="Q942" s="11"/>
    </row>
    <row r="943" spans="14:17" ht="15.75" customHeight="1" x14ac:dyDescent="0.3">
      <c r="N943" s="11"/>
      <c r="O943" s="11"/>
      <c r="P943" s="11"/>
      <c r="Q943" s="11"/>
    </row>
    <row r="944" spans="14:17" ht="15.75" customHeight="1" x14ac:dyDescent="0.3">
      <c r="N944" s="11"/>
      <c r="O944" s="11"/>
      <c r="P944" s="11"/>
      <c r="Q944" s="11"/>
    </row>
    <row r="945" spans="14:17" ht="15.75" customHeight="1" x14ac:dyDescent="0.3">
      <c r="N945" s="11"/>
      <c r="O945" s="11"/>
      <c r="P945" s="11"/>
      <c r="Q945" s="11"/>
    </row>
    <row r="946" spans="14:17" ht="15.75" customHeight="1" x14ac:dyDescent="0.3">
      <c r="N946" s="11"/>
      <c r="O946" s="11"/>
      <c r="P946" s="11"/>
      <c r="Q946" s="11"/>
    </row>
    <row r="947" spans="14:17" ht="15.75" customHeight="1" x14ac:dyDescent="0.3">
      <c r="N947" s="11"/>
      <c r="O947" s="11"/>
      <c r="P947" s="11"/>
      <c r="Q947" s="11"/>
    </row>
    <row r="948" spans="14:17" ht="15.75" customHeight="1" x14ac:dyDescent="0.3">
      <c r="N948" s="11"/>
      <c r="O948" s="11"/>
      <c r="P948" s="11"/>
      <c r="Q948" s="11"/>
    </row>
    <row r="949" spans="14:17" ht="15.75" customHeight="1" x14ac:dyDescent="0.3">
      <c r="N949" s="11"/>
      <c r="O949" s="11"/>
      <c r="P949" s="11"/>
      <c r="Q949" s="11"/>
    </row>
    <row r="950" spans="14:17" ht="15.75" customHeight="1" x14ac:dyDescent="0.3">
      <c r="N950" s="11"/>
      <c r="O950" s="11"/>
      <c r="P950" s="11"/>
      <c r="Q950" s="11"/>
    </row>
    <row r="951" spans="14:17" ht="15.75" customHeight="1" x14ac:dyDescent="0.3">
      <c r="N951" s="11"/>
      <c r="O951" s="11"/>
      <c r="P951" s="11"/>
      <c r="Q951" s="11"/>
    </row>
    <row r="952" spans="14:17" ht="15.75" customHeight="1" x14ac:dyDescent="0.3">
      <c r="N952" s="11"/>
      <c r="O952" s="11"/>
      <c r="P952" s="11"/>
      <c r="Q952" s="11"/>
    </row>
    <row r="953" spans="14:17" ht="15.75" customHeight="1" x14ac:dyDescent="0.3">
      <c r="N953" s="11"/>
      <c r="O953" s="11"/>
      <c r="P953" s="11"/>
      <c r="Q953" s="11"/>
    </row>
    <row r="954" spans="14:17" ht="15.75" customHeight="1" x14ac:dyDescent="0.3">
      <c r="N954" s="11"/>
      <c r="O954" s="11"/>
      <c r="P954" s="11"/>
      <c r="Q954" s="11"/>
    </row>
    <row r="955" spans="14:17" ht="15.75" customHeight="1" x14ac:dyDescent="0.3">
      <c r="N955" s="11"/>
      <c r="O955" s="11"/>
      <c r="P955" s="11"/>
      <c r="Q955" s="11"/>
    </row>
    <row r="956" spans="14:17" ht="15.75" customHeight="1" x14ac:dyDescent="0.3">
      <c r="N956" s="11"/>
      <c r="O956" s="11"/>
      <c r="P956" s="11"/>
      <c r="Q956" s="11"/>
    </row>
    <row r="957" spans="14:17" ht="15.75" customHeight="1" x14ac:dyDescent="0.3">
      <c r="N957" s="11"/>
      <c r="O957" s="11"/>
      <c r="P957" s="11"/>
      <c r="Q957" s="11"/>
    </row>
    <row r="958" spans="14:17" ht="15.75" customHeight="1" x14ac:dyDescent="0.3">
      <c r="N958" s="11"/>
      <c r="O958" s="11"/>
      <c r="P958" s="11"/>
      <c r="Q958" s="11"/>
    </row>
    <row r="959" spans="14:17" ht="15.75" customHeight="1" x14ac:dyDescent="0.3">
      <c r="N959" s="11"/>
      <c r="O959" s="11"/>
      <c r="P959" s="11"/>
      <c r="Q959" s="11"/>
    </row>
    <row r="960" spans="14:17" ht="15.75" customHeight="1" x14ac:dyDescent="0.3">
      <c r="N960" s="11"/>
      <c r="O960" s="11"/>
      <c r="P960" s="11"/>
      <c r="Q960" s="11"/>
    </row>
    <row r="961" spans="14:17" ht="15.75" customHeight="1" x14ac:dyDescent="0.3">
      <c r="N961" s="11"/>
      <c r="O961" s="11"/>
      <c r="P961" s="11"/>
      <c r="Q961" s="11"/>
    </row>
    <row r="962" spans="14:17" ht="15.75" customHeight="1" x14ac:dyDescent="0.3">
      <c r="N962" s="11"/>
      <c r="O962" s="11"/>
      <c r="P962" s="11"/>
      <c r="Q962" s="11"/>
    </row>
    <row r="963" spans="14:17" ht="15.75" customHeight="1" x14ac:dyDescent="0.3">
      <c r="N963" s="11"/>
      <c r="O963" s="11"/>
      <c r="P963" s="11"/>
      <c r="Q963" s="11"/>
    </row>
    <row r="964" spans="14:17" ht="15.75" customHeight="1" x14ac:dyDescent="0.3">
      <c r="N964" s="11"/>
      <c r="O964" s="11"/>
      <c r="P964" s="11"/>
      <c r="Q964" s="11"/>
    </row>
    <row r="965" spans="14:17" ht="15.75" customHeight="1" x14ac:dyDescent="0.3">
      <c r="N965" s="11"/>
      <c r="O965" s="11"/>
      <c r="P965" s="11"/>
      <c r="Q965" s="11"/>
    </row>
    <row r="966" spans="14:17" ht="15.75" customHeight="1" x14ac:dyDescent="0.3">
      <c r="N966" s="11"/>
      <c r="O966" s="11"/>
      <c r="P966" s="11"/>
      <c r="Q966" s="11"/>
    </row>
    <row r="967" spans="14:17" ht="15.75" customHeight="1" x14ac:dyDescent="0.3">
      <c r="N967" s="11"/>
      <c r="O967" s="11"/>
      <c r="P967" s="11"/>
      <c r="Q967" s="11"/>
    </row>
    <row r="968" spans="14:17" ht="15.75" customHeight="1" x14ac:dyDescent="0.3">
      <c r="N968" s="11"/>
      <c r="O968" s="11"/>
      <c r="P968" s="11"/>
      <c r="Q968" s="11"/>
    </row>
    <row r="969" spans="14:17" ht="15.75" customHeight="1" x14ac:dyDescent="0.3">
      <c r="N969" s="11"/>
      <c r="O969" s="11"/>
      <c r="P969" s="11"/>
      <c r="Q969" s="11"/>
    </row>
    <row r="970" spans="14:17" ht="15.75" customHeight="1" x14ac:dyDescent="0.3">
      <c r="N970" s="11"/>
      <c r="O970" s="11"/>
      <c r="P970" s="11"/>
      <c r="Q970" s="11"/>
    </row>
    <row r="971" spans="14:17" ht="15.75" customHeight="1" x14ac:dyDescent="0.3">
      <c r="N971" s="11"/>
      <c r="O971" s="11"/>
      <c r="P971" s="11"/>
      <c r="Q971" s="11"/>
    </row>
    <row r="972" spans="14:17" ht="15.75" customHeight="1" x14ac:dyDescent="0.3">
      <c r="N972" s="11"/>
      <c r="O972" s="11"/>
      <c r="P972" s="11"/>
      <c r="Q972" s="11"/>
    </row>
    <row r="973" spans="14:17" ht="15.75" customHeight="1" x14ac:dyDescent="0.3">
      <c r="N973" s="11"/>
      <c r="O973" s="11"/>
      <c r="P973" s="11"/>
      <c r="Q973" s="11"/>
    </row>
    <row r="974" spans="14:17" ht="15.75" customHeight="1" x14ac:dyDescent="0.3">
      <c r="N974" s="11"/>
      <c r="O974" s="11"/>
      <c r="P974" s="11"/>
      <c r="Q974" s="11"/>
    </row>
    <row r="975" spans="14:17" ht="15.75" customHeight="1" x14ac:dyDescent="0.3">
      <c r="N975" s="11"/>
      <c r="O975" s="11"/>
      <c r="P975" s="11"/>
      <c r="Q975" s="11"/>
    </row>
    <row r="976" spans="14:17" ht="15.75" customHeight="1" x14ac:dyDescent="0.3">
      <c r="N976" s="11"/>
      <c r="O976" s="11"/>
      <c r="P976" s="11"/>
      <c r="Q976" s="11"/>
    </row>
    <row r="977" spans="14:17" ht="15.75" customHeight="1" x14ac:dyDescent="0.3">
      <c r="N977" s="11"/>
      <c r="O977" s="11"/>
      <c r="P977" s="11"/>
      <c r="Q977" s="11"/>
    </row>
    <row r="978" spans="14:17" ht="15.75" customHeight="1" x14ac:dyDescent="0.3">
      <c r="N978" s="11"/>
      <c r="O978" s="11"/>
      <c r="P978" s="11"/>
      <c r="Q978" s="11"/>
    </row>
    <row r="979" spans="14:17" ht="15.75" customHeight="1" x14ac:dyDescent="0.3">
      <c r="N979" s="11"/>
      <c r="O979" s="11"/>
      <c r="P979" s="11"/>
      <c r="Q979" s="11"/>
    </row>
    <row r="980" spans="14:17" ht="15.75" customHeight="1" x14ac:dyDescent="0.3">
      <c r="N980" s="11"/>
      <c r="O980" s="11"/>
      <c r="P980" s="11"/>
      <c r="Q980" s="11"/>
    </row>
    <row r="981" spans="14:17" ht="15.75" customHeight="1" x14ac:dyDescent="0.3">
      <c r="N981" s="11"/>
      <c r="O981" s="11"/>
      <c r="P981" s="11"/>
      <c r="Q981" s="11"/>
    </row>
    <row r="982" spans="14:17" ht="15.75" customHeight="1" x14ac:dyDescent="0.3">
      <c r="N982" s="11"/>
      <c r="O982" s="11"/>
      <c r="P982" s="11"/>
      <c r="Q982" s="11"/>
    </row>
    <row r="983" spans="14:17" ht="15.75" customHeight="1" x14ac:dyDescent="0.3">
      <c r="N983" s="11"/>
      <c r="O983" s="11"/>
      <c r="P983" s="11"/>
      <c r="Q983" s="11"/>
    </row>
    <row r="984" spans="14:17" ht="15.75" customHeight="1" x14ac:dyDescent="0.3">
      <c r="N984" s="11"/>
      <c r="O984" s="11"/>
      <c r="P984" s="11"/>
      <c r="Q984" s="11"/>
    </row>
    <row r="985" spans="14:17" ht="15.75" customHeight="1" x14ac:dyDescent="0.3">
      <c r="N985" s="11"/>
      <c r="O985" s="11"/>
      <c r="P985" s="11"/>
      <c r="Q985" s="11"/>
    </row>
    <row r="986" spans="14:17" ht="15.75" customHeight="1" x14ac:dyDescent="0.3">
      <c r="N986" s="11"/>
      <c r="O986" s="11"/>
      <c r="P986" s="11"/>
      <c r="Q986" s="11"/>
    </row>
    <row r="987" spans="14:17" ht="15.75" customHeight="1" x14ac:dyDescent="0.3">
      <c r="N987" s="11"/>
      <c r="O987" s="11"/>
      <c r="P987" s="11"/>
      <c r="Q987" s="11"/>
    </row>
    <row r="988" spans="14:17" ht="15.75" customHeight="1" x14ac:dyDescent="0.3">
      <c r="N988" s="11"/>
      <c r="O988" s="11"/>
      <c r="P988" s="11"/>
      <c r="Q988" s="11"/>
    </row>
    <row r="989" spans="14:17" ht="15.75" customHeight="1" x14ac:dyDescent="0.3">
      <c r="N989" s="11"/>
      <c r="O989" s="11"/>
      <c r="P989" s="11"/>
      <c r="Q989" s="11"/>
    </row>
    <row r="990" spans="14:17" ht="15.75" customHeight="1" x14ac:dyDescent="0.3">
      <c r="N990" s="11"/>
      <c r="O990" s="11"/>
      <c r="P990" s="11"/>
      <c r="Q990" s="11"/>
    </row>
    <row r="991" spans="14:17" ht="15.75" customHeight="1" x14ac:dyDescent="0.3">
      <c r="N991" s="11"/>
      <c r="O991" s="11"/>
      <c r="P991" s="11"/>
      <c r="Q991" s="11"/>
    </row>
    <row r="992" spans="14:17" ht="15.75" customHeight="1" x14ac:dyDescent="0.3">
      <c r="N992" s="11"/>
      <c r="O992" s="11"/>
      <c r="P992" s="11"/>
      <c r="Q992" s="11"/>
    </row>
    <row r="993" spans="14:17" ht="15.75" customHeight="1" x14ac:dyDescent="0.3">
      <c r="N993" s="11"/>
      <c r="O993" s="11"/>
      <c r="P993" s="11"/>
      <c r="Q993" s="11"/>
    </row>
    <row r="994" spans="14:17" ht="15.75" customHeight="1" x14ac:dyDescent="0.3">
      <c r="N994" s="11"/>
      <c r="O994" s="11"/>
      <c r="P994" s="11"/>
      <c r="Q994" s="11"/>
    </row>
    <row r="995" spans="14:17" ht="15.75" customHeight="1" x14ac:dyDescent="0.3">
      <c r="N995" s="11"/>
      <c r="O995" s="11"/>
      <c r="P995" s="11"/>
      <c r="Q995" s="11"/>
    </row>
    <row r="996" spans="14:17" ht="15.75" customHeight="1" x14ac:dyDescent="0.3">
      <c r="N996" s="11"/>
      <c r="O996" s="11"/>
      <c r="P996" s="11"/>
      <c r="Q996" s="11"/>
    </row>
    <row r="997" spans="14:17" ht="15.75" customHeight="1" x14ac:dyDescent="0.3">
      <c r="N997" s="11"/>
      <c r="O997" s="11"/>
      <c r="P997" s="11"/>
      <c r="Q997" s="11"/>
    </row>
    <row r="998" spans="14:17" ht="15.75" customHeight="1" x14ac:dyDescent="0.3">
      <c r="N998" s="11"/>
      <c r="O998" s="11"/>
      <c r="P998" s="11"/>
      <c r="Q998" s="11"/>
    </row>
    <row r="999" spans="14:17" ht="15.75" customHeight="1" x14ac:dyDescent="0.3">
      <c r="N999" s="11"/>
      <c r="O999" s="11"/>
      <c r="P999" s="11"/>
      <c r="Q999" s="11"/>
    </row>
    <row r="1000" spans="14:17" ht="15.75" customHeight="1" x14ac:dyDescent="0.3"/>
  </sheetData>
  <mergeCells count="8">
    <mergeCell ref="P1:Q1"/>
    <mergeCell ref="T1:U1"/>
    <mergeCell ref="V1:W1"/>
    <mergeCell ref="B1:C1"/>
    <mergeCell ref="D1:E1"/>
    <mergeCell ref="H1:I1"/>
    <mergeCell ref="J1:K1"/>
    <mergeCell ref="N1:O1"/>
  </mergeCells>
  <pageMargins left="0.7" right="0.7" top="0.75" bottom="0.75" header="0" footer="0"/>
  <pageSetup orientation="landscape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pageSetUpPr fitToPage="1"/>
  </sheetPr>
  <dimension ref="A1:Z1000"/>
  <sheetViews>
    <sheetView workbookViewId="0">
      <selection activeCell="F39" sqref="F39"/>
    </sheetView>
  </sheetViews>
  <sheetFormatPr defaultColWidth="14.44140625" defaultRowHeight="15" customHeight="1" x14ac:dyDescent="0.3"/>
  <cols>
    <col min="1" max="1" width="2" customWidth="1"/>
    <col min="2" max="2" width="3" customWidth="1"/>
    <col min="3" max="3" width="26.5546875" customWidth="1"/>
    <col min="4" max="4" width="13.109375" customWidth="1"/>
    <col min="5" max="5" width="8" customWidth="1"/>
    <col min="6" max="6" width="14.109375" customWidth="1"/>
    <col min="7" max="7" width="12" customWidth="1"/>
    <col min="8" max="8" width="1.6640625" customWidth="1"/>
    <col min="9" max="9" width="22.44140625" customWidth="1"/>
    <col min="10" max="10" width="14.109375" customWidth="1"/>
    <col min="11" max="11" width="8" customWidth="1"/>
    <col min="12" max="12" width="14.109375" customWidth="1"/>
    <col min="13" max="13" width="13.109375" customWidth="1"/>
    <col min="14" max="14" width="18.33203125" customWidth="1"/>
    <col min="15" max="15" width="13.109375" customWidth="1"/>
  </cols>
  <sheetData>
    <row r="1" spans="1:26" ht="11.25" customHeight="1" x14ac:dyDescent="0.3">
      <c r="A1" s="559" t="s">
        <v>151</v>
      </c>
      <c r="B1" s="560"/>
      <c r="C1" s="560"/>
      <c r="D1" s="560"/>
      <c r="E1" s="560"/>
      <c r="F1" s="560"/>
      <c r="G1" s="560"/>
      <c r="H1" s="560"/>
      <c r="I1" s="560"/>
      <c r="J1" s="560"/>
      <c r="K1" s="560"/>
      <c r="L1" s="560"/>
      <c r="M1" s="560"/>
      <c r="N1" s="119"/>
      <c r="O1" s="120"/>
      <c r="P1" s="121"/>
      <c r="Q1" s="121"/>
      <c r="R1" s="121"/>
      <c r="S1" s="121"/>
      <c r="T1" s="121"/>
      <c r="U1" s="121"/>
      <c r="V1" s="121"/>
      <c r="W1" s="121"/>
      <c r="X1" s="121"/>
      <c r="Y1" s="121"/>
      <c r="Z1" s="121"/>
    </row>
    <row r="2" spans="1:26" ht="11.25" customHeight="1" x14ac:dyDescent="0.3">
      <c r="A2" s="122"/>
      <c r="B2" s="123"/>
      <c r="C2" s="119"/>
      <c r="D2" s="124" t="s">
        <v>152</v>
      </c>
      <c r="E2" s="125" t="s">
        <v>153</v>
      </c>
      <c r="F2" s="125" t="s">
        <v>154</v>
      </c>
      <c r="G2" s="126" t="s">
        <v>155</v>
      </c>
      <c r="H2" s="119"/>
      <c r="I2" s="127"/>
      <c r="J2" s="125" t="s">
        <v>154</v>
      </c>
      <c r="K2" s="125" t="s">
        <v>153</v>
      </c>
      <c r="L2" s="126" t="s">
        <v>152</v>
      </c>
      <c r="M2" s="122"/>
      <c r="N2" s="119"/>
      <c r="O2" s="120"/>
      <c r="P2" s="121"/>
      <c r="Q2" s="121"/>
      <c r="R2" s="121"/>
      <c r="S2" s="121"/>
      <c r="T2" s="121"/>
      <c r="U2" s="121"/>
      <c r="V2" s="121"/>
      <c r="W2" s="121"/>
      <c r="X2" s="121"/>
      <c r="Y2" s="121"/>
      <c r="Z2" s="121"/>
    </row>
    <row r="3" spans="1:26" ht="11.25" customHeight="1" x14ac:dyDescent="0.3">
      <c r="A3" s="122"/>
      <c r="B3" s="123"/>
      <c r="C3" s="128" t="s">
        <v>156</v>
      </c>
      <c r="D3" s="129">
        <f t="shared" ref="D3:F3" si="0">SUM(D5:D61)</f>
        <v>17067.183505159996</v>
      </c>
      <c r="E3" s="130">
        <f t="shared" si="0"/>
        <v>1</v>
      </c>
      <c r="F3" s="131">
        <f t="shared" si="0"/>
        <v>204806.20206191996</v>
      </c>
      <c r="G3" s="132">
        <f>F3/52</f>
        <v>3938.5808088830763</v>
      </c>
      <c r="H3" s="119"/>
      <c r="I3" s="133" t="s">
        <v>157</v>
      </c>
      <c r="J3" s="134">
        <f>L29+L49</f>
        <v>276499.56874399999</v>
      </c>
      <c r="K3" s="135"/>
      <c r="L3" s="136">
        <f>J3/12</f>
        <v>23041.630728666667</v>
      </c>
      <c r="M3" s="122"/>
      <c r="N3" s="119"/>
      <c r="O3" s="120"/>
      <c r="P3" s="121"/>
      <c r="Q3" s="121"/>
      <c r="R3" s="121"/>
      <c r="S3" s="121"/>
      <c r="T3" s="121"/>
      <c r="U3" s="121"/>
      <c r="V3" s="121"/>
      <c r="W3" s="121"/>
      <c r="X3" s="121"/>
      <c r="Y3" s="121"/>
      <c r="Z3" s="121"/>
    </row>
    <row r="4" spans="1:26" ht="11.25" customHeight="1" x14ac:dyDescent="0.3">
      <c r="A4" s="122"/>
      <c r="B4" s="123"/>
      <c r="C4" s="119"/>
      <c r="D4" s="137"/>
      <c r="E4" s="138"/>
      <c r="F4" s="137"/>
      <c r="G4" s="137"/>
      <c r="H4" s="119"/>
      <c r="I4" s="139"/>
      <c r="J4" s="140"/>
      <c r="K4" s="141"/>
      <c r="L4" s="142"/>
      <c r="M4" s="122"/>
      <c r="N4" s="119"/>
      <c r="O4" s="120"/>
      <c r="P4" s="121"/>
      <c r="Q4" s="121"/>
      <c r="R4" s="121"/>
      <c r="S4" s="121"/>
      <c r="T4" s="121"/>
      <c r="U4" s="121"/>
      <c r="V4" s="121"/>
      <c r="W4" s="121"/>
      <c r="X4" s="121"/>
      <c r="Y4" s="121"/>
      <c r="Z4" s="121"/>
    </row>
    <row r="5" spans="1:26" ht="11.25" customHeight="1" x14ac:dyDescent="0.3">
      <c r="A5" s="124" t="s">
        <v>158</v>
      </c>
      <c r="B5" s="143">
        <v>1</v>
      </c>
      <c r="C5" s="144" t="s">
        <v>159</v>
      </c>
      <c r="D5" s="145">
        <v>1200</v>
      </c>
      <c r="E5" s="146">
        <f t="shared" ref="E5:E12" si="1">D5/$O$24</f>
        <v>7.0310370755502741E-2</v>
      </c>
      <c r="F5" s="145">
        <f t="shared" ref="F5:F12" si="2">D5*12</f>
        <v>14400</v>
      </c>
      <c r="G5" s="147">
        <f t="shared" ref="G5:G12" si="3">F5/52</f>
        <v>276.92307692307691</v>
      </c>
      <c r="H5" s="119"/>
      <c r="I5" s="139" t="s">
        <v>160</v>
      </c>
      <c r="J5" s="140">
        <f>L31+L53+L54+L55</f>
        <v>4120.8999999999996</v>
      </c>
      <c r="K5" s="148">
        <f>J5/J3</f>
        <v>1.4903820713787E-2</v>
      </c>
      <c r="L5" s="142">
        <f t="shared" ref="L5:L6" si="4">J5/12</f>
        <v>343.4083333333333</v>
      </c>
      <c r="M5" s="122"/>
      <c r="N5" s="119"/>
      <c r="O5" s="120"/>
      <c r="P5" s="121"/>
      <c r="Q5" s="121"/>
      <c r="R5" s="121"/>
      <c r="S5" s="121"/>
      <c r="T5" s="121"/>
      <c r="U5" s="121"/>
      <c r="V5" s="121"/>
      <c r="W5" s="121"/>
      <c r="X5" s="121"/>
      <c r="Y5" s="121"/>
      <c r="Z5" s="121"/>
    </row>
    <row r="6" spans="1:26" ht="11.25" customHeight="1" x14ac:dyDescent="0.3">
      <c r="A6" s="149" t="s">
        <v>158</v>
      </c>
      <c r="B6" s="150">
        <v>2</v>
      </c>
      <c r="C6" s="151" t="s">
        <v>161</v>
      </c>
      <c r="D6" s="140">
        <v>1200</v>
      </c>
      <c r="E6" s="148">
        <f t="shared" si="1"/>
        <v>7.0310370755502741E-2</v>
      </c>
      <c r="F6" s="140">
        <f t="shared" si="2"/>
        <v>14400</v>
      </c>
      <c r="G6" s="142">
        <f t="shared" si="3"/>
        <v>276.92307692307691</v>
      </c>
      <c r="H6" s="119"/>
      <c r="I6" s="139" t="s">
        <v>162</v>
      </c>
      <c r="J6" s="140">
        <f>L32+L56</f>
        <v>17269.97781208</v>
      </c>
      <c r="K6" s="148">
        <f>J6/J3</f>
        <v>6.2459330010997557E-2</v>
      </c>
      <c r="L6" s="142">
        <f t="shared" si="4"/>
        <v>1439.1648176733333</v>
      </c>
      <c r="M6" s="122"/>
      <c r="N6" s="119"/>
      <c r="O6" s="120"/>
      <c r="P6" s="121"/>
      <c r="Q6" s="121"/>
      <c r="R6" s="121"/>
      <c r="S6" s="121"/>
      <c r="T6" s="121"/>
      <c r="U6" s="121"/>
      <c r="V6" s="121"/>
      <c r="W6" s="121"/>
      <c r="X6" s="121"/>
      <c r="Y6" s="121"/>
      <c r="Z6" s="121"/>
    </row>
    <row r="7" spans="1:26" ht="11.25" customHeight="1" x14ac:dyDescent="0.3">
      <c r="A7" s="149" t="s">
        <v>158</v>
      </c>
      <c r="B7" s="150">
        <v>3</v>
      </c>
      <c r="C7" s="151" t="s">
        <v>163</v>
      </c>
      <c r="D7" s="140">
        <v>150</v>
      </c>
      <c r="E7" s="148">
        <f t="shared" si="1"/>
        <v>8.7887963444378426E-3</v>
      </c>
      <c r="F7" s="140">
        <f t="shared" si="2"/>
        <v>1800</v>
      </c>
      <c r="G7" s="142">
        <f t="shared" si="3"/>
        <v>34.615384615384613</v>
      </c>
      <c r="H7" s="119"/>
      <c r="I7" s="133" t="s">
        <v>164</v>
      </c>
      <c r="J7" s="134">
        <f>SUM(J5:J6)</f>
        <v>21390.877812079998</v>
      </c>
      <c r="K7" s="152">
        <f>J7/J3</f>
        <v>7.7363150724784543E-2</v>
      </c>
      <c r="L7" s="136">
        <f>SUM(L5:L6)</f>
        <v>1782.5731510066666</v>
      </c>
      <c r="M7" s="122"/>
      <c r="N7" s="119"/>
      <c r="O7" s="120"/>
      <c r="P7" s="121"/>
      <c r="Q7" s="121"/>
      <c r="R7" s="121"/>
      <c r="S7" s="121"/>
      <c r="T7" s="121"/>
      <c r="U7" s="121"/>
      <c r="V7" s="121"/>
      <c r="W7" s="121"/>
      <c r="X7" s="121"/>
      <c r="Y7" s="121"/>
      <c r="Z7" s="121"/>
    </row>
    <row r="8" spans="1:26" ht="11.25" customHeight="1" x14ac:dyDescent="0.3">
      <c r="A8" s="149" t="s">
        <v>158</v>
      </c>
      <c r="B8" s="150">
        <v>4</v>
      </c>
      <c r="C8" s="151" t="s">
        <v>165</v>
      </c>
      <c r="D8" s="140">
        <v>600</v>
      </c>
      <c r="E8" s="148">
        <f t="shared" si="1"/>
        <v>3.515518537775137E-2</v>
      </c>
      <c r="F8" s="140">
        <f t="shared" si="2"/>
        <v>7200</v>
      </c>
      <c r="G8" s="142">
        <f t="shared" si="3"/>
        <v>138.46153846153845</v>
      </c>
      <c r="H8" s="119"/>
      <c r="I8" s="139"/>
      <c r="J8" s="141"/>
      <c r="K8" s="148"/>
      <c r="L8" s="142"/>
      <c r="M8" s="122"/>
      <c r="N8" s="119"/>
      <c r="O8" s="120"/>
      <c r="P8" s="121"/>
      <c r="Q8" s="121"/>
      <c r="R8" s="121"/>
      <c r="S8" s="121"/>
      <c r="T8" s="121"/>
      <c r="U8" s="121"/>
      <c r="V8" s="121"/>
      <c r="W8" s="121"/>
      <c r="X8" s="121"/>
      <c r="Y8" s="121"/>
      <c r="Z8" s="121"/>
    </row>
    <row r="9" spans="1:26" ht="11.25" customHeight="1" x14ac:dyDescent="0.3">
      <c r="A9" s="149" t="s">
        <v>158</v>
      </c>
      <c r="B9" s="150">
        <v>5</v>
      </c>
      <c r="C9" s="151" t="s">
        <v>166</v>
      </c>
      <c r="D9" s="140">
        <v>700</v>
      </c>
      <c r="E9" s="148">
        <f t="shared" si="1"/>
        <v>4.1014382940709929E-2</v>
      </c>
      <c r="F9" s="140">
        <f t="shared" si="2"/>
        <v>8400</v>
      </c>
      <c r="G9" s="142">
        <f t="shared" si="3"/>
        <v>161.53846153846155</v>
      </c>
      <c r="H9" s="119"/>
      <c r="I9" s="133" t="s">
        <v>167</v>
      </c>
      <c r="J9" s="134">
        <f>L35+L59</f>
        <v>255924.69093192002</v>
      </c>
      <c r="K9" s="152"/>
      <c r="L9" s="136">
        <f>J9/12</f>
        <v>21327.057577660002</v>
      </c>
      <c r="M9" s="137"/>
      <c r="N9" s="119"/>
      <c r="O9" s="120"/>
      <c r="P9" s="121"/>
      <c r="Q9" s="121"/>
      <c r="R9" s="121"/>
      <c r="S9" s="121"/>
      <c r="T9" s="121"/>
      <c r="U9" s="121"/>
      <c r="V9" s="121"/>
      <c r="W9" s="121"/>
      <c r="X9" s="121"/>
      <c r="Y9" s="121"/>
      <c r="Z9" s="121"/>
    </row>
    <row r="10" spans="1:26" ht="11.25" customHeight="1" x14ac:dyDescent="0.3">
      <c r="A10" s="149" t="s">
        <v>158</v>
      </c>
      <c r="B10" s="150">
        <v>6</v>
      </c>
      <c r="C10" s="151" t="s">
        <v>168</v>
      </c>
      <c r="D10" s="140">
        <v>900</v>
      </c>
      <c r="E10" s="148">
        <f t="shared" si="1"/>
        <v>5.2732778066627052E-2</v>
      </c>
      <c r="F10" s="140">
        <f t="shared" si="2"/>
        <v>10800</v>
      </c>
      <c r="G10" s="142">
        <f t="shared" si="3"/>
        <v>207.69230769230768</v>
      </c>
      <c r="H10" s="119"/>
      <c r="I10" s="139"/>
      <c r="J10" s="140"/>
      <c r="K10" s="148"/>
      <c r="L10" s="142"/>
      <c r="M10" s="137"/>
      <c r="N10" s="119"/>
      <c r="O10" s="120"/>
      <c r="P10" s="121"/>
      <c r="Q10" s="121"/>
      <c r="R10" s="121"/>
      <c r="S10" s="121"/>
      <c r="T10" s="121"/>
      <c r="U10" s="121"/>
      <c r="V10" s="121"/>
      <c r="W10" s="121"/>
      <c r="X10" s="121"/>
      <c r="Y10" s="121"/>
      <c r="Z10" s="121"/>
    </row>
    <row r="11" spans="1:26" ht="11.25" customHeight="1" x14ac:dyDescent="0.3">
      <c r="A11" s="153" t="s">
        <v>158</v>
      </c>
      <c r="B11" s="154">
        <v>7</v>
      </c>
      <c r="C11" s="155" t="s">
        <v>169</v>
      </c>
      <c r="D11" s="156">
        <v>350</v>
      </c>
      <c r="E11" s="157">
        <f t="shared" si="1"/>
        <v>2.0507191470354964E-2</v>
      </c>
      <c r="F11" s="156">
        <f t="shared" si="2"/>
        <v>4200</v>
      </c>
      <c r="G11" s="158">
        <f t="shared" si="3"/>
        <v>80.769230769230774</v>
      </c>
      <c r="H11" s="119"/>
      <c r="I11" s="139" t="s">
        <v>170</v>
      </c>
      <c r="J11" s="140">
        <f t="shared" ref="J11:J14" si="5">L37+L61</f>
        <v>39427.360000000001</v>
      </c>
      <c r="K11" s="148">
        <f>J11/J9</f>
        <v>0.15405844530447552</v>
      </c>
      <c r="L11" s="142">
        <f t="shared" ref="L11:L16" si="6">J11/12</f>
        <v>3285.6133333333332</v>
      </c>
      <c r="M11" s="122"/>
      <c r="N11" s="119"/>
      <c r="O11" s="120"/>
      <c r="P11" s="121"/>
      <c r="Q11" s="121"/>
      <c r="R11" s="121"/>
      <c r="S11" s="121"/>
      <c r="T11" s="121"/>
      <c r="U11" s="121"/>
      <c r="V11" s="121"/>
      <c r="W11" s="121"/>
      <c r="X11" s="121"/>
      <c r="Y11" s="121"/>
      <c r="Z11" s="121"/>
    </row>
    <row r="12" spans="1:26" ht="11.25" customHeight="1" x14ac:dyDescent="0.3">
      <c r="A12" s="159" t="s">
        <v>158</v>
      </c>
      <c r="B12" s="160">
        <v>8</v>
      </c>
      <c r="C12" s="161" t="s">
        <v>171</v>
      </c>
      <c r="D12" s="131">
        <v>700</v>
      </c>
      <c r="E12" s="130">
        <f t="shared" si="1"/>
        <v>4.1014382940709929E-2</v>
      </c>
      <c r="F12" s="131">
        <f t="shared" si="2"/>
        <v>8400</v>
      </c>
      <c r="G12" s="132">
        <f t="shared" si="3"/>
        <v>161.53846153846155</v>
      </c>
      <c r="H12" s="119"/>
      <c r="I12" s="139" t="s">
        <v>172</v>
      </c>
      <c r="J12" s="140">
        <f t="shared" si="5"/>
        <v>7415.6</v>
      </c>
      <c r="K12" s="148">
        <f>J12/J9</f>
        <v>2.8975711460261823E-2</v>
      </c>
      <c r="L12" s="142">
        <f t="shared" si="6"/>
        <v>617.9666666666667</v>
      </c>
      <c r="M12" s="122"/>
      <c r="N12" s="119"/>
      <c r="O12" s="120"/>
      <c r="P12" s="121"/>
      <c r="Q12" s="121"/>
      <c r="R12" s="121"/>
      <c r="S12" s="121"/>
      <c r="T12" s="121"/>
      <c r="U12" s="121"/>
      <c r="V12" s="121"/>
      <c r="W12" s="121"/>
      <c r="X12" s="121"/>
      <c r="Y12" s="121"/>
      <c r="Z12" s="121"/>
    </row>
    <row r="13" spans="1:26" ht="11.25" customHeight="1" x14ac:dyDescent="0.3">
      <c r="A13" s="122"/>
      <c r="B13" s="123"/>
      <c r="C13" s="162"/>
      <c r="D13" s="137"/>
      <c r="E13" s="138"/>
      <c r="F13" s="137"/>
      <c r="G13" s="137"/>
      <c r="H13" s="119"/>
      <c r="I13" s="139" t="s">
        <v>173</v>
      </c>
      <c r="J13" s="140">
        <f t="shared" si="5"/>
        <v>3961.26451</v>
      </c>
      <c r="K13" s="148">
        <f>J13/(J9+J6)</f>
        <v>1.4499787013457225E-2</v>
      </c>
      <c r="L13" s="142">
        <f t="shared" si="6"/>
        <v>330.10537583333331</v>
      </c>
      <c r="M13" s="122"/>
      <c r="N13" s="119"/>
      <c r="O13" s="120"/>
      <c r="P13" s="121"/>
      <c r="Q13" s="121"/>
      <c r="R13" s="121"/>
      <c r="S13" s="121"/>
      <c r="T13" s="121"/>
      <c r="U13" s="121"/>
      <c r="V13" s="121"/>
      <c r="W13" s="121"/>
      <c r="X13" s="121"/>
      <c r="Y13" s="121"/>
      <c r="Z13" s="121"/>
    </row>
    <row r="14" spans="1:26" ht="11.25" customHeight="1" x14ac:dyDescent="0.3">
      <c r="A14" s="124" t="s">
        <v>174</v>
      </c>
      <c r="B14" s="143">
        <v>9</v>
      </c>
      <c r="C14" s="163" t="s">
        <v>58</v>
      </c>
      <c r="D14" s="145">
        <v>1285</v>
      </c>
      <c r="E14" s="146">
        <f t="shared" ref="E14:E31" si="7">D14/$O$24</f>
        <v>7.5290688684017518E-2</v>
      </c>
      <c r="F14" s="145">
        <f t="shared" ref="F14:F31" si="8">D14*12</f>
        <v>15420</v>
      </c>
      <c r="G14" s="147">
        <f t="shared" ref="G14:G31" si="9">F14/52</f>
        <v>296.53846153846155</v>
      </c>
      <c r="H14" s="119"/>
      <c r="I14" s="139" t="s">
        <v>175</v>
      </c>
      <c r="J14" s="140">
        <f t="shared" si="5"/>
        <v>16938.027560000002</v>
      </c>
      <c r="K14" s="148">
        <f>J14/(J9+J6)</f>
        <v>6.1999846621721456E-2</v>
      </c>
      <c r="L14" s="142">
        <f t="shared" si="6"/>
        <v>1411.5022966666668</v>
      </c>
      <c r="M14" s="122"/>
      <c r="N14" s="119"/>
      <c r="O14" s="120"/>
      <c r="P14" s="121"/>
      <c r="Q14" s="121"/>
      <c r="R14" s="121"/>
      <c r="S14" s="121"/>
      <c r="T14" s="121"/>
      <c r="U14" s="121"/>
      <c r="V14" s="121"/>
      <c r="W14" s="121"/>
      <c r="X14" s="121"/>
      <c r="Y14" s="121"/>
      <c r="Z14" s="121"/>
    </row>
    <row r="15" spans="1:26" ht="11.25" customHeight="1" x14ac:dyDescent="0.3">
      <c r="A15" s="149" t="s">
        <v>174</v>
      </c>
      <c r="B15" s="150">
        <v>10</v>
      </c>
      <c r="C15" s="164" t="s">
        <v>176</v>
      </c>
      <c r="D15" s="140">
        <v>20</v>
      </c>
      <c r="E15" s="148">
        <f t="shared" si="7"/>
        <v>1.1718395125917122E-3</v>
      </c>
      <c r="F15" s="140">
        <f t="shared" si="8"/>
        <v>240</v>
      </c>
      <c r="G15" s="142">
        <f t="shared" si="9"/>
        <v>4.615384615384615</v>
      </c>
      <c r="H15" s="119"/>
      <c r="I15" s="139" t="s">
        <v>177</v>
      </c>
      <c r="J15" s="140">
        <f>L41</f>
        <v>833.99680000000001</v>
      </c>
      <c r="K15" s="148">
        <f>J15/J3</f>
        <v>3.0162679956009793E-3</v>
      </c>
      <c r="L15" s="142">
        <f t="shared" si="6"/>
        <v>69.499733333333339</v>
      </c>
      <c r="M15" s="122"/>
      <c r="N15" s="119"/>
      <c r="O15" s="120"/>
      <c r="P15" s="121"/>
      <c r="Q15" s="121"/>
      <c r="R15" s="121"/>
      <c r="S15" s="121"/>
      <c r="T15" s="121"/>
      <c r="U15" s="121"/>
      <c r="V15" s="121"/>
      <c r="W15" s="121"/>
      <c r="X15" s="121"/>
      <c r="Y15" s="121"/>
      <c r="Z15" s="121"/>
    </row>
    <row r="16" spans="1:26" ht="11.25" customHeight="1" x14ac:dyDescent="0.3">
      <c r="A16" s="149" t="s">
        <v>174</v>
      </c>
      <c r="B16" s="150">
        <v>11</v>
      </c>
      <c r="C16" s="164" t="s">
        <v>178</v>
      </c>
      <c r="D16" s="140">
        <v>270</v>
      </c>
      <c r="E16" s="148">
        <f t="shared" si="7"/>
        <v>1.5819833419988116E-2</v>
      </c>
      <c r="F16" s="140">
        <f t="shared" si="8"/>
        <v>3240</v>
      </c>
      <c r="G16" s="142">
        <f t="shared" si="9"/>
        <v>62.307692307692307</v>
      </c>
      <c r="H16" s="119"/>
      <c r="I16" s="139" t="s">
        <v>179</v>
      </c>
      <c r="J16" s="140">
        <f>L65</f>
        <v>4326.24</v>
      </c>
      <c r="K16" s="148">
        <f>J16/J9</f>
        <v>1.6904347854232039E-2</v>
      </c>
      <c r="L16" s="142">
        <f t="shared" si="6"/>
        <v>360.52</v>
      </c>
      <c r="M16" s="122"/>
      <c r="N16" s="119"/>
      <c r="O16" s="120"/>
      <c r="P16" s="121"/>
      <c r="Q16" s="121"/>
      <c r="R16" s="121"/>
      <c r="S16" s="121"/>
      <c r="T16" s="121"/>
      <c r="U16" s="121"/>
      <c r="V16" s="121"/>
      <c r="W16" s="121"/>
      <c r="X16" s="121"/>
      <c r="Y16" s="121"/>
      <c r="Z16" s="121"/>
    </row>
    <row r="17" spans="1:26" ht="11.25" customHeight="1" x14ac:dyDescent="0.3">
      <c r="A17" s="149" t="s">
        <v>174</v>
      </c>
      <c r="B17" s="150">
        <v>12</v>
      </c>
      <c r="C17" s="151" t="s">
        <v>180</v>
      </c>
      <c r="D17" s="140">
        <v>205</v>
      </c>
      <c r="E17" s="148">
        <f t="shared" si="7"/>
        <v>1.201135500406505E-2</v>
      </c>
      <c r="F17" s="140">
        <f t="shared" si="8"/>
        <v>2460</v>
      </c>
      <c r="G17" s="142">
        <f t="shared" si="9"/>
        <v>47.307692307692307</v>
      </c>
      <c r="H17" s="119"/>
      <c r="I17" s="133" t="s">
        <v>181</v>
      </c>
      <c r="J17" s="134">
        <f>SUM(J11:J16)</f>
        <v>72902.488870000001</v>
      </c>
      <c r="K17" s="152">
        <f>J17/J3</f>
        <v>0.26366221546442098</v>
      </c>
      <c r="L17" s="136">
        <f>SUM(L11:L16)</f>
        <v>6075.2074058333328</v>
      </c>
      <c r="M17" s="122"/>
      <c r="N17" s="119"/>
      <c r="O17" s="120"/>
      <c r="P17" s="121"/>
      <c r="Q17" s="121"/>
      <c r="R17" s="121"/>
      <c r="S17" s="121"/>
      <c r="T17" s="121"/>
      <c r="U17" s="121"/>
      <c r="V17" s="121"/>
      <c r="W17" s="121"/>
      <c r="X17" s="121"/>
      <c r="Y17" s="121"/>
      <c r="Z17" s="121"/>
    </row>
    <row r="18" spans="1:26" ht="11.25" customHeight="1" x14ac:dyDescent="0.3">
      <c r="A18" s="149" t="s">
        <v>174</v>
      </c>
      <c r="B18" s="150">
        <v>13</v>
      </c>
      <c r="C18" s="151" t="s">
        <v>182</v>
      </c>
      <c r="D18" s="140">
        <v>180</v>
      </c>
      <c r="E18" s="148">
        <f t="shared" si="7"/>
        <v>1.054655561332541E-2</v>
      </c>
      <c r="F18" s="140">
        <f t="shared" si="8"/>
        <v>2160</v>
      </c>
      <c r="G18" s="142">
        <f t="shared" si="9"/>
        <v>41.53846153846154</v>
      </c>
      <c r="H18" s="119"/>
      <c r="I18" s="139"/>
      <c r="J18" s="140"/>
      <c r="K18" s="148"/>
      <c r="L18" s="142"/>
      <c r="M18" s="122"/>
      <c r="N18" s="119"/>
      <c r="O18" s="120"/>
      <c r="P18" s="121"/>
      <c r="Q18" s="121"/>
      <c r="R18" s="121"/>
      <c r="S18" s="121"/>
      <c r="T18" s="121"/>
      <c r="U18" s="121"/>
      <c r="V18" s="121"/>
      <c r="W18" s="121"/>
      <c r="X18" s="121"/>
      <c r="Y18" s="121"/>
      <c r="Z18" s="121"/>
    </row>
    <row r="19" spans="1:26" ht="11.25" customHeight="1" x14ac:dyDescent="0.3">
      <c r="A19" s="149" t="s">
        <v>174</v>
      </c>
      <c r="B19" s="150">
        <v>14</v>
      </c>
      <c r="C19" s="165" t="s">
        <v>183</v>
      </c>
      <c r="D19" s="140">
        <v>140</v>
      </c>
      <c r="E19" s="148">
        <f t="shared" si="7"/>
        <v>8.2028765881419861E-3</v>
      </c>
      <c r="F19" s="140">
        <f t="shared" si="8"/>
        <v>1680</v>
      </c>
      <c r="G19" s="142">
        <f t="shared" si="9"/>
        <v>32.307692307692307</v>
      </c>
      <c r="H19" s="119"/>
      <c r="I19" s="166" t="s">
        <v>184</v>
      </c>
      <c r="J19" s="167">
        <f>L44+L68</f>
        <v>182206.20206191996</v>
      </c>
      <c r="K19" s="168">
        <f>J19/J3</f>
        <v>0.65897463381079435</v>
      </c>
      <c r="L19" s="169"/>
      <c r="M19" s="122"/>
      <c r="N19" s="119"/>
      <c r="O19" s="120"/>
      <c r="P19" s="121"/>
      <c r="Q19" s="121"/>
      <c r="R19" s="121"/>
      <c r="S19" s="121"/>
      <c r="T19" s="121"/>
      <c r="U19" s="121"/>
      <c r="V19" s="121"/>
      <c r="W19" s="121"/>
      <c r="X19" s="121"/>
      <c r="Y19" s="121"/>
      <c r="Z19" s="121"/>
    </row>
    <row r="20" spans="1:26" ht="11.25" customHeight="1" x14ac:dyDescent="0.3">
      <c r="A20" s="149" t="s">
        <v>174</v>
      </c>
      <c r="B20" s="150">
        <v>15</v>
      </c>
      <c r="C20" s="151" t="s">
        <v>185</v>
      </c>
      <c r="D20" s="140">
        <v>100</v>
      </c>
      <c r="E20" s="148">
        <f t="shared" si="7"/>
        <v>5.8591975629585609E-3</v>
      </c>
      <c r="F20" s="140">
        <f t="shared" si="8"/>
        <v>1200</v>
      </c>
      <c r="G20" s="142">
        <f t="shared" si="9"/>
        <v>23.076923076923077</v>
      </c>
      <c r="H20" s="119"/>
      <c r="I20" s="139"/>
      <c r="J20" s="140"/>
      <c r="K20" s="148"/>
      <c r="L20" s="142"/>
      <c r="M20" s="122"/>
      <c r="N20" s="119"/>
      <c r="O20" s="120"/>
      <c r="P20" s="121"/>
      <c r="Q20" s="121"/>
      <c r="R20" s="121"/>
      <c r="S20" s="121"/>
      <c r="T20" s="121"/>
      <c r="U20" s="121"/>
      <c r="V20" s="121"/>
      <c r="W20" s="121"/>
      <c r="X20" s="121"/>
      <c r="Y20" s="121"/>
      <c r="Z20" s="121"/>
    </row>
    <row r="21" spans="1:26" ht="11.25" customHeight="1" x14ac:dyDescent="0.3">
      <c r="A21" s="149" t="s">
        <v>174</v>
      </c>
      <c r="B21" s="150">
        <v>16</v>
      </c>
      <c r="C21" s="164" t="s">
        <v>186</v>
      </c>
      <c r="D21" s="140">
        <v>0</v>
      </c>
      <c r="E21" s="148">
        <f t="shared" si="7"/>
        <v>0</v>
      </c>
      <c r="F21" s="140">
        <f t="shared" si="8"/>
        <v>0</v>
      </c>
      <c r="G21" s="142">
        <f t="shared" si="9"/>
        <v>0</v>
      </c>
      <c r="H21" s="119"/>
      <c r="I21" s="139" t="s">
        <v>187</v>
      </c>
      <c r="J21" s="140">
        <v>13000</v>
      </c>
      <c r="K21" s="148"/>
      <c r="L21" s="142">
        <f t="shared" ref="L21:L22" si="10">J21/12</f>
        <v>1083.3333333333333</v>
      </c>
      <c r="M21" s="122"/>
      <c r="N21" s="119"/>
      <c r="O21" s="120"/>
      <c r="P21" s="121"/>
      <c r="Q21" s="121"/>
      <c r="R21" s="121"/>
      <c r="S21" s="121"/>
      <c r="T21" s="121"/>
      <c r="U21" s="121"/>
      <c r="V21" s="121"/>
      <c r="W21" s="121"/>
      <c r="X21" s="121"/>
      <c r="Y21" s="121"/>
      <c r="Z21" s="121"/>
    </row>
    <row r="22" spans="1:26" ht="11.25" customHeight="1" x14ac:dyDescent="0.3">
      <c r="A22" s="149" t="s">
        <v>174</v>
      </c>
      <c r="B22" s="150">
        <v>17</v>
      </c>
      <c r="C22" s="151" t="s">
        <v>188</v>
      </c>
      <c r="D22" s="140">
        <v>145</v>
      </c>
      <c r="E22" s="148">
        <f t="shared" si="7"/>
        <v>8.4958364662899143E-3</v>
      </c>
      <c r="F22" s="140">
        <f t="shared" si="8"/>
        <v>1740</v>
      </c>
      <c r="G22" s="142">
        <f t="shared" si="9"/>
        <v>33.46153846153846</v>
      </c>
      <c r="H22" s="119"/>
      <c r="I22" s="139" t="s">
        <v>189</v>
      </c>
      <c r="J22" s="140">
        <v>9600</v>
      </c>
      <c r="K22" s="148"/>
      <c r="L22" s="142">
        <f t="shared" si="10"/>
        <v>800</v>
      </c>
      <c r="M22" s="137">
        <f>L22-D31-D35-D40-D41-D42-D43</f>
        <v>240</v>
      </c>
      <c r="N22" s="120">
        <f>M22*12</f>
        <v>2880</v>
      </c>
      <c r="O22" s="120"/>
      <c r="P22" s="121"/>
      <c r="Q22" s="121"/>
      <c r="R22" s="121"/>
      <c r="S22" s="121"/>
      <c r="T22" s="121"/>
      <c r="U22" s="121"/>
      <c r="V22" s="121"/>
      <c r="W22" s="121"/>
      <c r="X22" s="121"/>
      <c r="Y22" s="121"/>
      <c r="Z22" s="121"/>
    </row>
    <row r="23" spans="1:26" ht="11.25" customHeight="1" x14ac:dyDescent="0.3">
      <c r="A23" s="149" t="s">
        <v>174</v>
      </c>
      <c r="B23" s="150">
        <v>18</v>
      </c>
      <c r="C23" s="165" t="s">
        <v>190</v>
      </c>
      <c r="D23" s="140">
        <v>400</v>
      </c>
      <c r="E23" s="148">
        <f t="shared" si="7"/>
        <v>2.3436790251834243E-2</v>
      </c>
      <c r="F23" s="140">
        <f t="shared" si="8"/>
        <v>4800</v>
      </c>
      <c r="G23" s="142">
        <f t="shared" si="9"/>
        <v>92.307692307692307</v>
      </c>
      <c r="H23" s="119"/>
      <c r="I23" s="139"/>
      <c r="J23" s="141"/>
      <c r="K23" s="141"/>
      <c r="L23" s="142"/>
      <c r="M23" s="122"/>
      <c r="N23" s="119"/>
      <c r="O23" s="120"/>
      <c r="P23" s="121"/>
      <c r="Q23" s="121"/>
      <c r="R23" s="121"/>
      <c r="S23" s="121"/>
      <c r="T23" s="121"/>
      <c r="U23" s="121"/>
      <c r="V23" s="121"/>
      <c r="W23" s="121"/>
      <c r="X23" s="121"/>
      <c r="Y23" s="121"/>
      <c r="Z23" s="121"/>
    </row>
    <row r="24" spans="1:26" ht="11.25" customHeight="1" x14ac:dyDescent="0.3">
      <c r="A24" s="149" t="s">
        <v>174</v>
      </c>
      <c r="B24" s="150">
        <v>19</v>
      </c>
      <c r="C24" s="165" t="s">
        <v>191</v>
      </c>
      <c r="D24" s="140">
        <v>200</v>
      </c>
      <c r="E24" s="148">
        <f t="shared" si="7"/>
        <v>1.1718395125917122E-2</v>
      </c>
      <c r="F24" s="140">
        <f t="shared" si="8"/>
        <v>2400</v>
      </c>
      <c r="G24" s="142">
        <f t="shared" si="9"/>
        <v>46.153846153846153</v>
      </c>
      <c r="H24" s="119"/>
      <c r="I24" s="170" t="s">
        <v>192</v>
      </c>
      <c r="J24" s="171">
        <f>J19+J22+J21</f>
        <v>204806.20206191996</v>
      </c>
      <c r="K24" s="172">
        <f>(J24+J6)/J3</f>
        <v>0.80317007683875097</v>
      </c>
      <c r="L24" s="173">
        <f>J24/12</f>
        <v>17067.183505159996</v>
      </c>
      <c r="M24" s="122"/>
      <c r="N24" s="174">
        <f>J21+J22+N44+N68</f>
        <v>204806.20206191996</v>
      </c>
      <c r="O24" s="120">
        <f>N24/12</f>
        <v>17067.183505159996</v>
      </c>
      <c r="P24" s="121"/>
      <c r="Q24" s="121"/>
      <c r="R24" s="121"/>
      <c r="S24" s="121"/>
      <c r="T24" s="121"/>
      <c r="U24" s="121"/>
      <c r="V24" s="121"/>
      <c r="W24" s="121"/>
      <c r="X24" s="121"/>
      <c r="Y24" s="121"/>
      <c r="Z24" s="121"/>
    </row>
    <row r="25" spans="1:26" ht="11.25" customHeight="1" x14ac:dyDescent="0.3">
      <c r="A25" s="149" t="s">
        <v>174</v>
      </c>
      <c r="B25" s="150">
        <v>20</v>
      </c>
      <c r="C25" s="165" t="s">
        <v>193</v>
      </c>
      <c r="D25" s="140">
        <v>600</v>
      </c>
      <c r="E25" s="148">
        <f t="shared" si="7"/>
        <v>3.515518537775137E-2</v>
      </c>
      <c r="F25" s="140">
        <f t="shared" si="8"/>
        <v>7200</v>
      </c>
      <c r="G25" s="142">
        <f t="shared" si="9"/>
        <v>138.46153846153845</v>
      </c>
      <c r="H25" s="119"/>
      <c r="I25" s="119"/>
      <c r="J25" s="137"/>
      <c r="K25" s="138"/>
      <c r="L25" s="137"/>
      <c r="M25" s="122"/>
      <c r="N25" s="119"/>
      <c r="O25" s="120"/>
      <c r="P25" s="121"/>
      <c r="Q25" s="121"/>
      <c r="R25" s="121"/>
      <c r="S25" s="121"/>
      <c r="T25" s="121"/>
      <c r="U25" s="121"/>
      <c r="V25" s="121"/>
      <c r="W25" s="121"/>
      <c r="X25" s="121"/>
      <c r="Y25" s="121"/>
      <c r="Z25" s="121"/>
    </row>
    <row r="26" spans="1:26" ht="11.25" customHeight="1" x14ac:dyDescent="0.3">
      <c r="A26" s="149" t="s">
        <v>174</v>
      </c>
      <c r="B26" s="150">
        <v>21</v>
      </c>
      <c r="C26" s="164" t="s">
        <v>194</v>
      </c>
      <c r="D26" s="140">
        <v>85</v>
      </c>
      <c r="E26" s="148">
        <f t="shared" si="7"/>
        <v>4.9803179285147769E-3</v>
      </c>
      <c r="F26" s="140">
        <f t="shared" si="8"/>
        <v>1020</v>
      </c>
      <c r="G26" s="142">
        <f t="shared" si="9"/>
        <v>19.615384615384617</v>
      </c>
      <c r="H26" s="119"/>
      <c r="I26" s="119"/>
      <c r="J26" s="137"/>
      <c r="K26" s="138"/>
      <c r="L26" s="137"/>
      <c r="M26" s="122"/>
      <c r="N26" s="119"/>
      <c r="O26" s="120"/>
      <c r="P26" s="121"/>
      <c r="Q26" s="121"/>
      <c r="R26" s="121"/>
      <c r="S26" s="121"/>
      <c r="T26" s="121"/>
      <c r="U26" s="121"/>
      <c r="V26" s="121"/>
      <c r="W26" s="121"/>
      <c r="X26" s="121"/>
      <c r="Y26" s="121"/>
      <c r="Z26" s="121"/>
    </row>
    <row r="27" spans="1:26" ht="11.25" customHeight="1" x14ac:dyDescent="0.3">
      <c r="A27" s="149" t="s">
        <v>174</v>
      </c>
      <c r="B27" s="150">
        <v>22</v>
      </c>
      <c r="C27" s="164" t="s">
        <v>195</v>
      </c>
      <c r="D27" s="140">
        <v>100</v>
      </c>
      <c r="E27" s="148">
        <f t="shared" si="7"/>
        <v>5.8591975629585609E-3</v>
      </c>
      <c r="F27" s="140">
        <f t="shared" si="8"/>
        <v>1200</v>
      </c>
      <c r="G27" s="142">
        <f t="shared" si="9"/>
        <v>23.076923076923077</v>
      </c>
      <c r="H27" s="119"/>
      <c r="I27" s="127" t="s">
        <v>196</v>
      </c>
      <c r="J27" s="175">
        <v>50.12</v>
      </c>
      <c r="K27" s="163"/>
      <c r="L27" s="163"/>
      <c r="M27" s="176"/>
      <c r="N27" s="119"/>
      <c r="O27" s="120"/>
      <c r="P27" s="121"/>
      <c r="Q27" s="121"/>
      <c r="R27" s="121"/>
      <c r="S27" s="121"/>
      <c r="T27" s="121"/>
      <c r="U27" s="121"/>
      <c r="V27" s="121"/>
      <c r="W27" s="121"/>
      <c r="X27" s="121"/>
      <c r="Y27" s="121"/>
      <c r="Z27" s="121"/>
    </row>
    <row r="28" spans="1:26" ht="11.25" customHeight="1" x14ac:dyDescent="0.3">
      <c r="A28" s="149" t="s">
        <v>174</v>
      </c>
      <c r="B28" s="150">
        <v>23</v>
      </c>
      <c r="C28" s="165" t="s">
        <v>197</v>
      </c>
      <c r="D28" s="140">
        <v>1200</v>
      </c>
      <c r="E28" s="148">
        <f t="shared" si="7"/>
        <v>7.0310370755502741E-2</v>
      </c>
      <c r="F28" s="140">
        <f t="shared" si="8"/>
        <v>14400</v>
      </c>
      <c r="G28" s="142">
        <f t="shared" si="9"/>
        <v>276.92307692307691</v>
      </c>
      <c r="H28" s="119"/>
      <c r="I28" s="139"/>
      <c r="J28" s="141" t="s">
        <v>198</v>
      </c>
      <c r="K28" s="141" t="s">
        <v>153</v>
      </c>
      <c r="L28" s="141" t="s">
        <v>154</v>
      </c>
      <c r="M28" s="177" t="s">
        <v>152</v>
      </c>
      <c r="N28" s="119"/>
      <c r="O28" s="120"/>
      <c r="P28" s="121"/>
      <c r="Q28" s="121"/>
      <c r="R28" s="121"/>
      <c r="S28" s="121"/>
      <c r="T28" s="121"/>
      <c r="U28" s="121"/>
      <c r="V28" s="121"/>
      <c r="W28" s="121"/>
      <c r="X28" s="121"/>
      <c r="Y28" s="121"/>
      <c r="Z28" s="121"/>
    </row>
    <row r="29" spans="1:26" ht="11.25" customHeight="1" x14ac:dyDescent="0.3">
      <c r="A29" s="149" t="s">
        <v>174</v>
      </c>
      <c r="B29" s="150">
        <v>24</v>
      </c>
      <c r="C29" s="164" t="s">
        <v>199</v>
      </c>
      <c r="D29" s="140">
        <v>120</v>
      </c>
      <c r="E29" s="148">
        <f t="shared" si="7"/>
        <v>7.031037075550273E-3</v>
      </c>
      <c r="F29" s="140">
        <f t="shared" si="8"/>
        <v>1440</v>
      </c>
      <c r="G29" s="142">
        <f t="shared" si="9"/>
        <v>27.692307692307693</v>
      </c>
      <c r="H29" s="119"/>
      <c r="I29" s="133" t="s">
        <v>157</v>
      </c>
      <c r="J29" s="134">
        <f>J27*80</f>
        <v>4009.6</v>
      </c>
      <c r="K29" s="135"/>
      <c r="L29" s="134">
        <f>J29*26</f>
        <v>104249.59999999999</v>
      </c>
      <c r="M29" s="136">
        <f>L29/12</f>
        <v>8687.4666666666653</v>
      </c>
      <c r="N29" s="119"/>
      <c r="O29" s="120"/>
      <c r="P29" s="121"/>
      <c r="Q29" s="121"/>
      <c r="R29" s="121"/>
      <c r="S29" s="121"/>
      <c r="T29" s="121"/>
      <c r="U29" s="121"/>
      <c r="V29" s="121"/>
      <c r="W29" s="121"/>
      <c r="X29" s="121"/>
      <c r="Y29" s="121"/>
      <c r="Z29" s="121"/>
    </row>
    <row r="30" spans="1:26" ht="11.25" customHeight="1" x14ac:dyDescent="0.3">
      <c r="A30" s="149" t="s">
        <v>174</v>
      </c>
      <c r="B30" s="150">
        <v>42</v>
      </c>
      <c r="C30" s="164" t="s">
        <v>200</v>
      </c>
      <c r="D30" s="140">
        <v>75</v>
      </c>
      <c r="E30" s="148">
        <f t="shared" si="7"/>
        <v>4.3943981722189213E-3</v>
      </c>
      <c r="F30" s="140">
        <f t="shared" si="8"/>
        <v>900</v>
      </c>
      <c r="G30" s="142">
        <f t="shared" si="9"/>
        <v>17.307692307692307</v>
      </c>
      <c r="H30" s="119"/>
      <c r="I30" s="139"/>
      <c r="J30" s="140"/>
      <c r="K30" s="141"/>
      <c r="L30" s="140"/>
      <c r="M30" s="142"/>
      <c r="N30" s="119"/>
      <c r="O30" s="120"/>
      <c r="P30" s="121"/>
      <c r="Q30" s="121"/>
      <c r="R30" s="121"/>
      <c r="S30" s="121"/>
      <c r="T30" s="121"/>
      <c r="U30" s="121"/>
      <c r="V30" s="121"/>
      <c r="W30" s="121"/>
      <c r="X30" s="121"/>
      <c r="Y30" s="121"/>
      <c r="Z30" s="121"/>
    </row>
    <row r="31" spans="1:26" ht="11.25" customHeight="1" x14ac:dyDescent="0.3">
      <c r="A31" s="159" t="s">
        <v>174</v>
      </c>
      <c r="B31" s="160">
        <v>43</v>
      </c>
      <c r="C31" s="178" t="s">
        <v>201</v>
      </c>
      <c r="D31" s="131">
        <v>75</v>
      </c>
      <c r="E31" s="130">
        <f t="shared" si="7"/>
        <v>4.3943981722189213E-3</v>
      </c>
      <c r="F31" s="131">
        <f t="shared" si="8"/>
        <v>900</v>
      </c>
      <c r="G31" s="132">
        <f t="shared" si="9"/>
        <v>17.307692307692307</v>
      </c>
      <c r="H31" s="119"/>
      <c r="I31" s="139" t="s">
        <v>202</v>
      </c>
      <c r="J31" s="140">
        <v>157.97</v>
      </c>
      <c r="K31" s="148">
        <f>J31/J29</f>
        <v>3.9397944932162809E-2</v>
      </c>
      <c r="L31" s="140">
        <f t="shared" ref="L31:L32" si="11">J31*26</f>
        <v>4107.22</v>
      </c>
      <c r="M31" s="142">
        <f t="shared" ref="M31:M32" si="12">L31/12</f>
        <v>342.26833333333337</v>
      </c>
      <c r="N31" s="119"/>
      <c r="O31" s="120"/>
      <c r="P31" s="121"/>
      <c r="Q31" s="121"/>
      <c r="R31" s="121"/>
      <c r="S31" s="121"/>
      <c r="T31" s="121"/>
      <c r="U31" s="121"/>
      <c r="V31" s="121"/>
      <c r="W31" s="121"/>
      <c r="X31" s="121"/>
      <c r="Y31" s="121"/>
      <c r="Z31" s="121"/>
    </row>
    <row r="32" spans="1:26" ht="11.25" customHeight="1" x14ac:dyDescent="0.3">
      <c r="A32" s="122"/>
      <c r="B32" s="123"/>
      <c r="C32" s="119"/>
      <c r="D32" s="137"/>
      <c r="E32" s="138"/>
      <c r="F32" s="137"/>
      <c r="G32" s="137"/>
      <c r="H32" s="119"/>
      <c r="I32" s="139" t="s">
        <v>97</v>
      </c>
      <c r="J32" s="140">
        <f>K32*J29</f>
        <v>200.48000000000002</v>
      </c>
      <c r="K32" s="148">
        <v>0.05</v>
      </c>
      <c r="L32" s="140">
        <f t="shared" si="11"/>
        <v>5212.4800000000005</v>
      </c>
      <c r="M32" s="142">
        <f t="shared" si="12"/>
        <v>434.37333333333339</v>
      </c>
      <c r="N32" s="119"/>
      <c r="O32" s="120"/>
      <c r="P32" s="121"/>
      <c r="Q32" s="121"/>
      <c r="R32" s="121"/>
      <c r="S32" s="121"/>
      <c r="T32" s="121"/>
      <c r="U32" s="121"/>
      <c r="V32" s="121"/>
      <c r="W32" s="121"/>
      <c r="X32" s="121"/>
      <c r="Y32" s="121"/>
      <c r="Z32" s="121"/>
    </row>
    <row r="33" spans="1:26" ht="11.25" customHeight="1" x14ac:dyDescent="0.3">
      <c r="A33" s="124" t="s">
        <v>203</v>
      </c>
      <c r="B33" s="143">
        <v>25</v>
      </c>
      <c r="C33" s="144" t="s">
        <v>204</v>
      </c>
      <c r="D33" s="145">
        <v>350</v>
      </c>
      <c r="E33" s="146">
        <f t="shared" ref="E33:E43" si="13">D33/$O$24</f>
        <v>2.0507191470354964E-2</v>
      </c>
      <c r="F33" s="145">
        <f t="shared" ref="F33:F43" si="14">D33*12</f>
        <v>4200</v>
      </c>
      <c r="G33" s="147">
        <f t="shared" ref="G33:G43" si="15">F33/52</f>
        <v>80.769230769230774</v>
      </c>
      <c r="H33" s="119"/>
      <c r="I33" s="133" t="s">
        <v>164</v>
      </c>
      <c r="J33" s="134">
        <f>SUM(J31:J32)</f>
        <v>358.45000000000005</v>
      </c>
      <c r="K33" s="152"/>
      <c r="L33" s="134"/>
      <c r="M33" s="136"/>
      <c r="N33" s="119"/>
      <c r="O33" s="120"/>
      <c r="P33" s="121"/>
      <c r="Q33" s="121"/>
      <c r="R33" s="121"/>
      <c r="S33" s="121"/>
      <c r="T33" s="121"/>
      <c r="U33" s="121"/>
      <c r="V33" s="121"/>
      <c r="W33" s="121"/>
      <c r="X33" s="121"/>
      <c r="Y33" s="121"/>
      <c r="Z33" s="121"/>
    </row>
    <row r="34" spans="1:26" ht="11.25" customHeight="1" x14ac:dyDescent="0.3">
      <c r="A34" s="149" t="s">
        <v>203</v>
      </c>
      <c r="B34" s="150">
        <v>26</v>
      </c>
      <c r="C34" s="164" t="s">
        <v>205</v>
      </c>
      <c r="D34" s="140">
        <v>320</v>
      </c>
      <c r="E34" s="148">
        <f t="shared" si="13"/>
        <v>1.8749432201467395E-2</v>
      </c>
      <c r="F34" s="140">
        <f t="shared" si="14"/>
        <v>3840</v>
      </c>
      <c r="G34" s="142">
        <f t="shared" si="15"/>
        <v>73.84615384615384</v>
      </c>
      <c r="H34" s="119"/>
      <c r="I34" s="139"/>
      <c r="J34" s="140"/>
      <c r="K34" s="148"/>
      <c r="L34" s="140"/>
      <c r="M34" s="142"/>
      <c r="N34" s="119"/>
      <c r="O34" s="120"/>
      <c r="P34" s="121"/>
      <c r="Q34" s="121"/>
      <c r="R34" s="121"/>
      <c r="S34" s="121"/>
      <c r="T34" s="121"/>
      <c r="U34" s="121"/>
      <c r="V34" s="121"/>
      <c r="W34" s="121"/>
      <c r="X34" s="121"/>
      <c r="Y34" s="121"/>
      <c r="Z34" s="121"/>
    </row>
    <row r="35" spans="1:26" ht="11.25" customHeight="1" x14ac:dyDescent="0.3">
      <c r="A35" s="149" t="s">
        <v>203</v>
      </c>
      <c r="B35" s="150">
        <v>27</v>
      </c>
      <c r="C35" s="164" t="s">
        <v>206</v>
      </c>
      <c r="D35" s="140">
        <v>25</v>
      </c>
      <c r="E35" s="148">
        <f t="shared" si="13"/>
        <v>1.4647993907396402E-3</v>
      </c>
      <c r="F35" s="140">
        <f t="shared" si="14"/>
        <v>300</v>
      </c>
      <c r="G35" s="142">
        <f t="shared" si="15"/>
        <v>5.7692307692307692</v>
      </c>
      <c r="H35" s="119"/>
      <c r="I35" s="133" t="s">
        <v>167</v>
      </c>
      <c r="J35" s="134">
        <f>J29+J30-J31-J32</f>
        <v>3651.15</v>
      </c>
      <c r="K35" s="152">
        <f>J35/J29</f>
        <v>0.9106020550678372</v>
      </c>
      <c r="L35" s="134">
        <f>J35*26</f>
        <v>94929.900000000009</v>
      </c>
      <c r="M35" s="136">
        <f>L35/12</f>
        <v>7910.8250000000007</v>
      </c>
      <c r="N35" s="119"/>
      <c r="O35" s="120"/>
      <c r="P35" s="121"/>
      <c r="Q35" s="121"/>
      <c r="R35" s="121"/>
      <c r="S35" s="121"/>
      <c r="T35" s="121"/>
      <c r="U35" s="121"/>
      <c r="V35" s="121"/>
      <c r="W35" s="121"/>
      <c r="X35" s="121"/>
      <c r="Y35" s="121"/>
      <c r="Z35" s="121"/>
    </row>
    <row r="36" spans="1:26" ht="11.25" customHeight="1" x14ac:dyDescent="0.3">
      <c r="A36" s="149" t="s">
        <v>203</v>
      </c>
      <c r="B36" s="150">
        <v>28</v>
      </c>
      <c r="C36" s="164" t="s">
        <v>207</v>
      </c>
      <c r="D36" s="140">
        <v>25</v>
      </c>
      <c r="E36" s="148">
        <f t="shared" si="13"/>
        <v>1.4647993907396402E-3</v>
      </c>
      <c r="F36" s="140">
        <f t="shared" si="14"/>
        <v>300</v>
      </c>
      <c r="G36" s="142">
        <f t="shared" si="15"/>
        <v>5.7692307692307692</v>
      </c>
      <c r="H36" s="119"/>
      <c r="I36" s="139"/>
      <c r="J36" s="140"/>
      <c r="K36" s="148"/>
      <c r="L36" s="140"/>
      <c r="M36" s="142"/>
      <c r="N36" s="119"/>
      <c r="O36" s="120"/>
      <c r="P36" s="121"/>
      <c r="Q36" s="121"/>
      <c r="R36" s="121"/>
      <c r="S36" s="121"/>
      <c r="T36" s="121"/>
      <c r="U36" s="121"/>
      <c r="V36" s="121"/>
      <c r="W36" s="121"/>
      <c r="X36" s="121"/>
      <c r="Y36" s="121"/>
      <c r="Z36" s="121"/>
    </row>
    <row r="37" spans="1:26" ht="11.25" customHeight="1" x14ac:dyDescent="0.3">
      <c r="A37" s="149" t="s">
        <v>203</v>
      </c>
      <c r="B37" s="150">
        <v>29</v>
      </c>
      <c r="C37" s="164" t="s">
        <v>208</v>
      </c>
      <c r="D37" s="140">
        <v>45</v>
      </c>
      <c r="E37" s="148">
        <f t="shared" si="13"/>
        <v>2.6366389033313526E-3</v>
      </c>
      <c r="F37" s="140">
        <f t="shared" si="14"/>
        <v>540</v>
      </c>
      <c r="G37" s="142">
        <f t="shared" si="15"/>
        <v>10.384615384615385</v>
      </c>
      <c r="H37" s="119"/>
      <c r="I37" s="139" t="s">
        <v>170</v>
      </c>
      <c r="J37" s="140">
        <v>463.64</v>
      </c>
      <c r="K37" s="148">
        <f>J37/J35</f>
        <v>0.12698464867233611</v>
      </c>
      <c r="L37" s="140">
        <f t="shared" ref="L37:L41" si="16">J37*26</f>
        <v>12054.64</v>
      </c>
      <c r="M37" s="142">
        <f t="shared" ref="M37:M41" si="17">L37/12</f>
        <v>1004.5533333333333</v>
      </c>
      <c r="N37" s="119"/>
      <c r="O37" s="120"/>
      <c r="P37" s="121"/>
      <c r="Q37" s="121"/>
      <c r="R37" s="121"/>
      <c r="S37" s="121"/>
      <c r="T37" s="121"/>
      <c r="U37" s="121"/>
      <c r="V37" s="121"/>
      <c r="W37" s="121"/>
      <c r="X37" s="121"/>
      <c r="Y37" s="121"/>
      <c r="Z37" s="121"/>
    </row>
    <row r="38" spans="1:26" ht="11.25" customHeight="1" x14ac:dyDescent="0.3">
      <c r="A38" s="149" t="s">
        <v>203</v>
      </c>
      <c r="B38" s="150">
        <v>30</v>
      </c>
      <c r="C38" s="164" t="s">
        <v>209</v>
      </c>
      <c r="D38" s="140">
        <v>400</v>
      </c>
      <c r="E38" s="148">
        <f t="shared" si="13"/>
        <v>2.3436790251834243E-2</v>
      </c>
      <c r="F38" s="140">
        <f t="shared" si="14"/>
        <v>4800</v>
      </c>
      <c r="G38" s="142">
        <f t="shared" si="15"/>
        <v>92.307692307692307</v>
      </c>
      <c r="H38" s="119"/>
      <c r="I38" s="139" t="s">
        <v>172</v>
      </c>
      <c r="J38" s="140">
        <v>97</v>
      </c>
      <c r="K38" s="148">
        <f>J38/J35</f>
        <v>2.6566972049902084E-2</v>
      </c>
      <c r="L38" s="140">
        <f t="shared" si="16"/>
        <v>2522</v>
      </c>
      <c r="M38" s="142">
        <f t="shared" si="17"/>
        <v>210.16666666666666</v>
      </c>
      <c r="N38" s="119"/>
      <c r="O38" s="120"/>
      <c r="P38" s="121"/>
      <c r="Q38" s="121"/>
      <c r="R38" s="121"/>
      <c r="S38" s="121"/>
      <c r="T38" s="121"/>
      <c r="U38" s="121"/>
      <c r="V38" s="121"/>
      <c r="W38" s="121"/>
      <c r="X38" s="121"/>
      <c r="Y38" s="121"/>
      <c r="Z38" s="121"/>
    </row>
    <row r="39" spans="1:26" ht="11.25" customHeight="1" x14ac:dyDescent="0.3">
      <c r="A39" s="149" t="s">
        <v>203</v>
      </c>
      <c r="B39" s="150">
        <v>31</v>
      </c>
      <c r="C39" s="164" t="s">
        <v>210</v>
      </c>
      <c r="D39" s="140">
        <v>375</v>
      </c>
      <c r="E39" s="148">
        <f t="shared" si="13"/>
        <v>2.1971990861094606E-2</v>
      </c>
      <c r="F39" s="140">
        <f t="shared" si="14"/>
        <v>4500</v>
      </c>
      <c r="G39" s="142">
        <f t="shared" si="15"/>
        <v>86.538461538461533</v>
      </c>
      <c r="H39" s="119"/>
      <c r="I39" s="139" t="s">
        <v>173</v>
      </c>
      <c r="J39" s="140">
        <f>(J35+J32)*K39</f>
        <v>55.848635000000002</v>
      </c>
      <c r="K39" s="148">
        <v>1.4500000000000001E-2</v>
      </c>
      <c r="L39" s="140">
        <f t="shared" si="16"/>
        <v>1452.0645100000002</v>
      </c>
      <c r="M39" s="142">
        <f t="shared" si="17"/>
        <v>121.00537583333335</v>
      </c>
      <c r="N39" s="119"/>
      <c r="O39" s="120"/>
      <c r="P39" s="121"/>
      <c r="Q39" s="121"/>
      <c r="R39" s="121"/>
      <c r="S39" s="121"/>
      <c r="T39" s="121"/>
      <c r="U39" s="121"/>
      <c r="V39" s="121"/>
      <c r="W39" s="121"/>
      <c r="X39" s="121"/>
      <c r="Y39" s="121"/>
      <c r="Z39" s="121"/>
    </row>
    <row r="40" spans="1:26" ht="11.25" customHeight="1" x14ac:dyDescent="0.3">
      <c r="A40" s="149" t="s">
        <v>203</v>
      </c>
      <c r="B40" s="150">
        <v>32</v>
      </c>
      <c r="C40" s="164" t="s">
        <v>211</v>
      </c>
      <c r="D40" s="140">
        <v>100</v>
      </c>
      <c r="E40" s="148">
        <f t="shared" si="13"/>
        <v>5.8591975629585609E-3</v>
      </c>
      <c r="F40" s="140">
        <f t="shared" si="14"/>
        <v>1200</v>
      </c>
      <c r="G40" s="142">
        <f t="shared" si="15"/>
        <v>23.076923076923077</v>
      </c>
      <c r="H40" s="119"/>
      <c r="I40" s="139" t="s">
        <v>175</v>
      </c>
      <c r="J40" s="140">
        <f>(J35+J32)*K40</f>
        <v>238.80106000000001</v>
      </c>
      <c r="K40" s="148">
        <v>6.2E-2</v>
      </c>
      <c r="L40" s="140">
        <f t="shared" si="16"/>
        <v>6208.8275599999997</v>
      </c>
      <c r="M40" s="142">
        <f t="shared" si="17"/>
        <v>517.40229666666664</v>
      </c>
      <c r="N40" s="119"/>
      <c r="O40" s="120"/>
      <c r="P40" s="121"/>
      <c r="Q40" s="121"/>
      <c r="R40" s="121"/>
      <c r="S40" s="121"/>
      <c r="T40" s="121"/>
      <c r="U40" s="121"/>
      <c r="V40" s="121"/>
      <c r="W40" s="121"/>
      <c r="X40" s="121"/>
      <c r="Y40" s="121"/>
      <c r="Z40" s="121"/>
    </row>
    <row r="41" spans="1:26" ht="11.25" customHeight="1" x14ac:dyDescent="0.3">
      <c r="A41" s="149" t="s">
        <v>203</v>
      </c>
      <c r="B41" s="150">
        <v>33</v>
      </c>
      <c r="C41" s="164" t="s">
        <v>212</v>
      </c>
      <c r="D41" s="140">
        <v>85</v>
      </c>
      <c r="E41" s="148">
        <f t="shared" si="13"/>
        <v>4.9803179285147769E-3</v>
      </c>
      <c r="F41" s="140">
        <f t="shared" si="14"/>
        <v>1020</v>
      </c>
      <c r="G41" s="142">
        <f t="shared" si="15"/>
        <v>19.615384615384617</v>
      </c>
      <c r="H41" s="119"/>
      <c r="I41" s="139" t="s">
        <v>177</v>
      </c>
      <c r="J41" s="140">
        <f>K41*J29</f>
        <v>32.076799999999999</v>
      </c>
      <c r="K41" s="148">
        <v>8.0000000000000002E-3</v>
      </c>
      <c r="L41" s="140">
        <f t="shared" si="16"/>
        <v>833.99680000000001</v>
      </c>
      <c r="M41" s="142">
        <f t="shared" si="17"/>
        <v>69.499733333333339</v>
      </c>
      <c r="N41" s="119"/>
      <c r="O41" s="122"/>
      <c r="P41" s="121"/>
      <c r="Q41" s="121"/>
      <c r="R41" s="121"/>
      <c r="S41" s="121"/>
      <c r="T41" s="121"/>
      <c r="U41" s="121"/>
      <c r="V41" s="121"/>
      <c r="W41" s="121"/>
      <c r="X41" s="121"/>
      <c r="Y41" s="121"/>
      <c r="Z41" s="121"/>
    </row>
    <row r="42" spans="1:26" ht="11.25" customHeight="1" x14ac:dyDescent="0.3">
      <c r="A42" s="149" t="s">
        <v>203</v>
      </c>
      <c r="B42" s="150">
        <v>34</v>
      </c>
      <c r="C42" s="164" t="s">
        <v>213</v>
      </c>
      <c r="D42" s="140">
        <v>230</v>
      </c>
      <c r="E42" s="148">
        <f t="shared" si="13"/>
        <v>1.3476154394804691E-2</v>
      </c>
      <c r="F42" s="140">
        <f t="shared" si="14"/>
        <v>2760</v>
      </c>
      <c r="G42" s="142">
        <f t="shared" si="15"/>
        <v>53.07692307692308</v>
      </c>
      <c r="H42" s="119"/>
      <c r="I42" s="133" t="s">
        <v>181</v>
      </c>
      <c r="J42" s="134">
        <f>SUM(J37:J41)</f>
        <v>887.36649499999999</v>
      </c>
      <c r="K42" s="152">
        <f>J42/J29</f>
        <v>0.22131047860135675</v>
      </c>
      <c r="L42" s="134"/>
      <c r="M42" s="136"/>
      <c r="N42" s="119"/>
      <c r="O42" s="122"/>
      <c r="P42" s="121"/>
      <c r="Q42" s="121"/>
      <c r="R42" s="121"/>
      <c r="S42" s="121"/>
      <c r="T42" s="121"/>
      <c r="U42" s="121"/>
      <c r="V42" s="121"/>
      <c r="W42" s="121"/>
      <c r="X42" s="121"/>
      <c r="Y42" s="121"/>
      <c r="Z42" s="121"/>
    </row>
    <row r="43" spans="1:26" ht="11.25" customHeight="1" x14ac:dyDescent="0.3">
      <c r="A43" s="159" t="s">
        <v>203</v>
      </c>
      <c r="B43" s="160">
        <v>35</v>
      </c>
      <c r="C43" s="178" t="s">
        <v>214</v>
      </c>
      <c r="D43" s="131">
        <v>45</v>
      </c>
      <c r="E43" s="130">
        <f t="shared" si="13"/>
        <v>2.6366389033313526E-3</v>
      </c>
      <c r="F43" s="131">
        <f t="shared" si="14"/>
        <v>540</v>
      </c>
      <c r="G43" s="132">
        <f t="shared" si="15"/>
        <v>10.384615384615385</v>
      </c>
      <c r="H43" s="119"/>
      <c r="I43" s="139"/>
      <c r="J43" s="140"/>
      <c r="K43" s="148"/>
      <c r="L43" s="140"/>
      <c r="M43" s="142"/>
      <c r="N43" s="119"/>
      <c r="O43" s="122"/>
      <c r="P43" s="121"/>
      <c r="Q43" s="121"/>
      <c r="R43" s="121"/>
      <c r="S43" s="121"/>
      <c r="T43" s="121"/>
      <c r="U43" s="121"/>
      <c r="V43" s="121"/>
      <c r="W43" s="121"/>
      <c r="X43" s="121"/>
      <c r="Y43" s="121"/>
      <c r="Z43" s="121"/>
    </row>
    <row r="44" spans="1:26" ht="11.25" customHeight="1" x14ac:dyDescent="0.3">
      <c r="A44" s="122"/>
      <c r="B44" s="123"/>
      <c r="C44" s="119"/>
      <c r="D44" s="122"/>
      <c r="E44" s="137"/>
      <c r="F44" s="137"/>
      <c r="G44" s="137"/>
      <c r="H44" s="119"/>
      <c r="I44" s="179" t="s">
        <v>215</v>
      </c>
      <c r="J44" s="180">
        <f>J29-J33-J42</f>
        <v>2763.7835049999994</v>
      </c>
      <c r="K44" s="181">
        <f>(J44+J32)/J29</f>
        <v>0.73929157646648036</v>
      </c>
      <c r="L44" s="180">
        <f>J44*26</f>
        <v>71858.371129999985</v>
      </c>
      <c r="M44" s="182">
        <f>L44/12</f>
        <v>5988.1975941666651</v>
      </c>
      <c r="N44" s="174">
        <f>L44</f>
        <v>71858.371129999985</v>
      </c>
      <c r="O44" s="120">
        <f>N44/26</f>
        <v>2763.7835049999994</v>
      </c>
      <c r="P44" s="121"/>
      <c r="Q44" s="121"/>
      <c r="R44" s="121"/>
      <c r="S44" s="121"/>
      <c r="T44" s="121"/>
      <c r="U44" s="121"/>
      <c r="V44" s="121"/>
      <c r="W44" s="121"/>
      <c r="X44" s="121"/>
      <c r="Y44" s="121"/>
      <c r="Z44" s="121"/>
    </row>
    <row r="45" spans="1:26" ht="11.25" customHeight="1" x14ac:dyDescent="0.3">
      <c r="A45" s="124" t="s">
        <v>216</v>
      </c>
      <c r="B45" s="143">
        <v>36</v>
      </c>
      <c r="C45" s="163" t="s">
        <v>103</v>
      </c>
      <c r="D45" s="145">
        <f t="shared" ref="D45:D46" si="18">F45/12</f>
        <v>50</v>
      </c>
      <c r="E45" s="146">
        <f t="shared" ref="E45:E46" si="19">D45/$O$24</f>
        <v>2.9295987814792804E-3</v>
      </c>
      <c r="F45" s="145">
        <f>50*12</f>
        <v>600</v>
      </c>
      <c r="G45" s="147">
        <f t="shared" ref="G45:G46" si="20">F45/52</f>
        <v>11.538461538461538</v>
      </c>
      <c r="H45" s="119"/>
      <c r="I45" s="119"/>
      <c r="J45" s="122"/>
      <c r="K45" s="122"/>
      <c r="L45" s="122"/>
      <c r="M45" s="137"/>
      <c r="N45" s="119"/>
      <c r="O45" s="120"/>
      <c r="P45" s="121"/>
      <c r="Q45" s="121"/>
      <c r="R45" s="121"/>
      <c r="S45" s="121"/>
      <c r="T45" s="121"/>
      <c r="U45" s="121"/>
      <c r="V45" s="121"/>
      <c r="W45" s="121"/>
      <c r="X45" s="121"/>
      <c r="Y45" s="121"/>
      <c r="Z45" s="121"/>
    </row>
    <row r="46" spans="1:26" ht="11.25" customHeight="1" x14ac:dyDescent="0.3">
      <c r="A46" s="159" t="s">
        <v>216</v>
      </c>
      <c r="B46" s="160">
        <v>37</v>
      </c>
      <c r="C46" s="178" t="s">
        <v>217</v>
      </c>
      <c r="D46" s="131">
        <f t="shared" si="18"/>
        <v>4017.1835051599969</v>
      </c>
      <c r="E46" s="130">
        <f t="shared" si="19"/>
        <v>0.23537471803390783</v>
      </c>
      <c r="F46" s="183">
        <f>(N24-SUM(F5:F45))</f>
        <v>48206.202061919961</v>
      </c>
      <c r="G46" s="132">
        <f t="shared" si="20"/>
        <v>927.04234734461465</v>
      </c>
      <c r="H46" s="119"/>
      <c r="I46" s="119"/>
      <c r="J46" s="122"/>
      <c r="K46" s="122"/>
      <c r="L46" s="122"/>
      <c r="M46" s="137"/>
      <c r="N46" s="119"/>
      <c r="O46" s="120"/>
      <c r="P46" s="121"/>
      <c r="Q46" s="121"/>
      <c r="R46" s="121"/>
      <c r="S46" s="121"/>
      <c r="T46" s="121"/>
      <c r="U46" s="121"/>
      <c r="V46" s="121"/>
      <c r="W46" s="121"/>
      <c r="X46" s="121"/>
      <c r="Y46" s="121"/>
      <c r="Z46" s="121"/>
    </row>
    <row r="47" spans="1:26" ht="11.25" customHeight="1" x14ac:dyDescent="0.3">
      <c r="A47" s="122"/>
      <c r="B47" s="123"/>
      <c r="C47" s="119"/>
      <c r="D47" s="137"/>
      <c r="E47" s="138"/>
      <c r="F47" s="137"/>
      <c r="G47" s="137"/>
      <c r="H47" s="119"/>
      <c r="I47" s="127" t="s">
        <v>218</v>
      </c>
      <c r="J47" s="175">
        <v>82.809299999999993</v>
      </c>
      <c r="K47" s="163"/>
      <c r="L47" s="163"/>
      <c r="M47" s="176"/>
      <c r="N47" s="119"/>
      <c r="O47" s="120"/>
      <c r="P47" s="121"/>
      <c r="Q47" s="121"/>
      <c r="R47" s="121"/>
      <c r="S47" s="121"/>
      <c r="T47" s="121"/>
      <c r="U47" s="121"/>
      <c r="V47" s="121"/>
      <c r="W47" s="121"/>
      <c r="X47" s="121"/>
      <c r="Y47" s="121"/>
      <c r="Z47" s="121"/>
    </row>
    <row r="48" spans="1:26" ht="11.25" customHeight="1" x14ac:dyDescent="0.3">
      <c r="A48" s="122"/>
      <c r="B48" s="123"/>
      <c r="C48" s="119"/>
      <c r="D48" s="122"/>
      <c r="E48" s="122"/>
      <c r="F48" s="122"/>
      <c r="G48" s="122"/>
      <c r="H48" s="119"/>
      <c r="I48" s="139"/>
      <c r="J48" s="141" t="s">
        <v>198</v>
      </c>
      <c r="K48" s="141" t="s">
        <v>153</v>
      </c>
      <c r="L48" s="141" t="s">
        <v>154</v>
      </c>
      <c r="M48" s="177" t="s">
        <v>152</v>
      </c>
      <c r="N48" s="119"/>
      <c r="O48" s="120"/>
      <c r="P48" s="121"/>
      <c r="Q48" s="121"/>
      <c r="R48" s="121"/>
      <c r="S48" s="121"/>
      <c r="T48" s="121"/>
      <c r="U48" s="121"/>
      <c r="V48" s="121"/>
      <c r="W48" s="121"/>
      <c r="X48" s="121"/>
      <c r="Y48" s="121"/>
      <c r="Z48" s="121"/>
    </row>
    <row r="49" spans="1:26" ht="11.25" customHeight="1" x14ac:dyDescent="0.3">
      <c r="A49" s="122"/>
      <c r="B49" s="123"/>
      <c r="C49" s="119"/>
      <c r="D49" s="122"/>
      <c r="E49" s="122"/>
      <c r="F49" s="122"/>
      <c r="G49" s="122"/>
      <c r="H49" s="119"/>
      <c r="I49" s="139" t="s">
        <v>157</v>
      </c>
      <c r="J49" s="140">
        <f>J47*86.67</f>
        <v>7177.0820309999999</v>
      </c>
      <c r="K49" s="141"/>
      <c r="L49" s="140">
        <f>J49*24</f>
        <v>172249.96874400001</v>
      </c>
      <c r="M49" s="142">
        <f>L49/12</f>
        <v>14354.164062000002</v>
      </c>
      <c r="N49" s="119"/>
      <c r="O49" s="120"/>
      <c r="P49" s="121"/>
      <c r="Q49" s="121"/>
      <c r="R49" s="121"/>
      <c r="S49" s="121"/>
      <c r="T49" s="121"/>
      <c r="U49" s="121"/>
      <c r="V49" s="121"/>
      <c r="W49" s="121"/>
      <c r="X49" s="121"/>
      <c r="Y49" s="121"/>
      <c r="Z49" s="121"/>
    </row>
    <row r="50" spans="1:26" ht="11.25" customHeight="1" x14ac:dyDescent="0.3">
      <c r="A50" s="122"/>
      <c r="B50" s="123"/>
      <c r="C50" s="119"/>
      <c r="D50" s="122"/>
      <c r="E50" s="122"/>
      <c r="F50" s="122"/>
      <c r="G50" s="122"/>
      <c r="H50" s="119"/>
      <c r="I50" s="139" t="s">
        <v>219</v>
      </c>
      <c r="J50" s="140">
        <v>34</v>
      </c>
      <c r="K50" s="141"/>
      <c r="L50" s="140"/>
      <c r="M50" s="142"/>
      <c r="N50" s="119"/>
      <c r="O50" s="120"/>
      <c r="P50" s="121"/>
      <c r="Q50" s="121"/>
      <c r="R50" s="121"/>
      <c r="S50" s="121"/>
      <c r="T50" s="121"/>
      <c r="U50" s="121"/>
      <c r="V50" s="121"/>
      <c r="W50" s="121"/>
      <c r="X50" s="121"/>
      <c r="Y50" s="121"/>
      <c r="Z50" s="121"/>
    </row>
    <row r="51" spans="1:26" ht="11.25" customHeight="1" x14ac:dyDescent="0.3">
      <c r="A51" s="122"/>
      <c r="B51" s="123"/>
      <c r="C51" s="119"/>
      <c r="D51" s="122"/>
      <c r="E51" s="122"/>
      <c r="F51" s="122"/>
      <c r="G51" s="122"/>
      <c r="H51" s="119"/>
      <c r="I51" s="133" t="s">
        <v>220</v>
      </c>
      <c r="J51" s="134">
        <f>J49+J50</f>
        <v>7211.0820309999999</v>
      </c>
      <c r="K51" s="135"/>
      <c r="L51" s="134"/>
      <c r="M51" s="136"/>
      <c r="N51" s="119"/>
      <c r="O51" s="120"/>
      <c r="P51" s="121"/>
      <c r="Q51" s="121"/>
      <c r="R51" s="121"/>
      <c r="S51" s="121"/>
      <c r="T51" s="121"/>
      <c r="U51" s="121"/>
      <c r="V51" s="121"/>
      <c r="W51" s="121"/>
      <c r="X51" s="121"/>
      <c r="Y51" s="121"/>
      <c r="Z51" s="121"/>
    </row>
    <row r="52" spans="1:26" ht="11.25" customHeight="1" x14ac:dyDescent="0.3">
      <c r="A52" s="122"/>
      <c r="B52" s="123"/>
      <c r="C52" s="119"/>
      <c r="D52" s="184"/>
      <c r="E52" s="122"/>
      <c r="F52" s="122"/>
      <c r="G52" s="122"/>
      <c r="H52" s="119"/>
      <c r="I52" s="139"/>
      <c r="J52" s="140"/>
      <c r="K52" s="141"/>
      <c r="L52" s="140"/>
      <c r="M52" s="142"/>
      <c r="N52" s="119"/>
      <c r="O52" s="120"/>
      <c r="P52" s="121"/>
      <c r="Q52" s="121"/>
      <c r="R52" s="121"/>
      <c r="S52" s="121"/>
      <c r="T52" s="121"/>
      <c r="U52" s="121"/>
      <c r="V52" s="121"/>
      <c r="W52" s="121"/>
      <c r="X52" s="121"/>
      <c r="Y52" s="121"/>
      <c r="Z52" s="121"/>
    </row>
    <row r="53" spans="1:26" ht="11.25" customHeight="1" x14ac:dyDescent="0.3">
      <c r="A53" s="121"/>
      <c r="B53" s="121"/>
      <c r="C53" s="121"/>
      <c r="D53" s="121"/>
      <c r="E53" s="121"/>
      <c r="F53" s="121"/>
      <c r="G53" s="121"/>
      <c r="H53" s="121"/>
      <c r="I53" s="139" t="s">
        <v>221</v>
      </c>
      <c r="J53" s="140">
        <v>9.0500000000000007</v>
      </c>
      <c r="K53" s="148">
        <f>J53/J49</f>
        <v>1.2609581388244274E-3</v>
      </c>
      <c r="L53" s="140">
        <f t="shared" ref="L53:L56" si="21">J53*24</f>
        <v>217.20000000000002</v>
      </c>
      <c r="M53" s="142">
        <f t="shared" ref="M53:M56" si="22">L53/12</f>
        <v>18.100000000000001</v>
      </c>
      <c r="N53" s="119"/>
      <c r="O53" s="120"/>
      <c r="P53" s="121"/>
      <c r="Q53" s="121"/>
      <c r="R53" s="121"/>
      <c r="S53" s="121"/>
      <c r="T53" s="121"/>
      <c r="U53" s="121"/>
      <c r="V53" s="121"/>
      <c r="W53" s="121"/>
      <c r="X53" s="121"/>
      <c r="Y53" s="121"/>
      <c r="Z53" s="121"/>
    </row>
    <row r="54" spans="1:26" ht="11.25" customHeight="1" x14ac:dyDescent="0.3">
      <c r="A54" s="121"/>
      <c r="B54" s="121"/>
      <c r="C54" s="121"/>
      <c r="D54" s="121"/>
      <c r="E54" s="121"/>
      <c r="F54" s="121"/>
      <c r="G54" s="121"/>
      <c r="H54" s="121"/>
      <c r="I54" s="139" t="s">
        <v>222</v>
      </c>
      <c r="J54" s="140">
        <v>23.67</v>
      </c>
      <c r="K54" s="148">
        <f>J54/J49</f>
        <v>3.2979976956877561E-3</v>
      </c>
      <c r="L54" s="140">
        <f t="shared" si="21"/>
        <v>568.08000000000004</v>
      </c>
      <c r="M54" s="142">
        <f t="shared" si="22"/>
        <v>47.34</v>
      </c>
      <c r="N54" s="119"/>
      <c r="O54" s="120"/>
      <c r="P54" s="121"/>
      <c r="Q54" s="121"/>
      <c r="R54" s="121"/>
      <c r="S54" s="121"/>
      <c r="T54" s="121"/>
      <c r="U54" s="121"/>
      <c r="V54" s="121"/>
      <c r="W54" s="121"/>
      <c r="X54" s="121"/>
      <c r="Y54" s="121"/>
      <c r="Z54" s="121"/>
    </row>
    <row r="55" spans="1:26" ht="11.25" customHeight="1" x14ac:dyDescent="0.3">
      <c r="A55" s="121"/>
      <c r="B55" s="121"/>
      <c r="C55" s="121"/>
      <c r="D55" s="121"/>
      <c r="E55" s="121"/>
      <c r="F55" s="121"/>
      <c r="G55" s="121"/>
      <c r="H55" s="121"/>
      <c r="I55" s="139" t="s">
        <v>223</v>
      </c>
      <c r="J55" s="140">
        <v>-32.15</v>
      </c>
      <c r="K55" s="148">
        <f>J55/J49</f>
        <v>-4.4795363716248985E-3</v>
      </c>
      <c r="L55" s="140">
        <f t="shared" si="21"/>
        <v>-771.59999999999991</v>
      </c>
      <c r="M55" s="142">
        <f t="shared" si="22"/>
        <v>-64.3</v>
      </c>
      <c r="N55" s="119"/>
      <c r="O55" s="120"/>
      <c r="P55" s="121"/>
      <c r="Q55" s="121"/>
      <c r="R55" s="121"/>
      <c r="S55" s="121"/>
      <c r="T55" s="121"/>
      <c r="U55" s="121"/>
      <c r="V55" s="121"/>
      <c r="W55" s="121"/>
      <c r="X55" s="121"/>
      <c r="Y55" s="121"/>
      <c r="Z55" s="121"/>
    </row>
    <row r="56" spans="1:26" ht="11.25" customHeight="1" x14ac:dyDescent="0.3">
      <c r="A56" s="121"/>
      <c r="B56" s="121"/>
      <c r="C56" s="121"/>
      <c r="D56" s="121"/>
      <c r="E56" s="121"/>
      <c r="F56" s="121"/>
      <c r="G56" s="121"/>
      <c r="H56" s="121"/>
      <c r="I56" s="139" t="s">
        <v>162</v>
      </c>
      <c r="J56" s="140">
        <f>J49*K56</f>
        <v>502.39574217000006</v>
      </c>
      <c r="K56" s="148">
        <v>7.0000000000000007E-2</v>
      </c>
      <c r="L56" s="140">
        <f t="shared" si="21"/>
        <v>12057.497812080001</v>
      </c>
      <c r="M56" s="142">
        <f t="shared" si="22"/>
        <v>1004.79148434</v>
      </c>
      <c r="N56" s="119"/>
      <c r="O56" s="120"/>
      <c r="P56" s="121"/>
      <c r="Q56" s="121"/>
      <c r="R56" s="121"/>
      <c r="S56" s="121"/>
      <c r="T56" s="121"/>
      <c r="U56" s="121"/>
      <c r="V56" s="121"/>
      <c r="W56" s="121"/>
      <c r="X56" s="121"/>
      <c r="Y56" s="121"/>
      <c r="Z56" s="121"/>
    </row>
    <row r="57" spans="1:26" ht="11.25" customHeight="1" x14ac:dyDescent="0.3">
      <c r="A57" s="121"/>
      <c r="B57" s="121"/>
      <c r="C57" s="121"/>
      <c r="D57" s="121"/>
      <c r="E57" s="121"/>
      <c r="F57" s="121"/>
      <c r="G57" s="121"/>
      <c r="H57" s="121"/>
      <c r="I57" s="133" t="s">
        <v>164</v>
      </c>
      <c r="J57" s="134">
        <f>SUM(J53:J56)</f>
        <v>502.96574217000006</v>
      </c>
      <c r="K57" s="135"/>
      <c r="L57" s="134"/>
      <c r="M57" s="136"/>
      <c r="N57" s="120"/>
      <c r="O57" s="120"/>
      <c r="P57" s="121"/>
      <c r="Q57" s="121"/>
      <c r="R57" s="121"/>
      <c r="S57" s="121"/>
      <c r="T57" s="121"/>
      <c r="U57" s="121"/>
      <c r="V57" s="121"/>
      <c r="W57" s="121"/>
      <c r="X57" s="121"/>
      <c r="Y57" s="121"/>
      <c r="Z57" s="121"/>
    </row>
    <row r="58" spans="1:26" ht="11.25" customHeight="1" x14ac:dyDescent="0.3">
      <c r="A58" s="121"/>
      <c r="B58" s="121"/>
      <c r="C58" s="121"/>
      <c r="D58" s="121"/>
      <c r="E58" s="121"/>
      <c r="F58" s="121"/>
      <c r="G58" s="121"/>
      <c r="H58" s="121"/>
      <c r="I58" s="139"/>
      <c r="J58" s="140"/>
      <c r="K58" s="141"/>
      <c r="L58" s="140"/>
      <c r="M58" s="142"/>
      <c r="N58" s="120"/>
      <c r="O58" s="120"/>
      <c r="P58" s="121"/>
      <c r="Q58" s="121"/>
      <c r="R58" s="121"/>
      <c r="S58" s="121"/>
      <c r="T58" s="121"/>
      <c r="U58" s="121"/>
      <c r="V58" s="121"/>
      <c r="W58" s="121"/>
      <c r="X58" s="121"/>
      <c r="Y58" s="121"/>
      <c r="Z58" s="121"/>
    </row>
    <row r="59" spans="1:26" ht="11.25" customHeight="1" x14ac:dyDescent="0.3">
      <c r="A59" s="121"/>
      <c r="B59" s="121"/>
      <c r="C59" s="121"/>
      <c r="D59" s="121"/>
      <c r="E59" s="121"/>
      <c r="F59" s="121"/>
      <c r="G59" s="121"/>
      <c r="H59" s="121"/>
      <c r="I59" s="133" t="s">
        <v>167</v>
      </c>
      <c r="J59" s="134">
        <f>J51-J57</f>
        <v>6708.1162888299996</v>
      </c>
      <c r="K59" s="135"/>
      <c r="L59" s="134">
        <f>J59*24</f>
        <v>160994.79093192</v>
      </c>
      <c r="M59" s="136">
        <f>L59/12</f>
        <v>13416.232577659999</v>
      </c>
      <c r="N59" s="119"/>
      <c r="O59" s="120"/>
      <c r="P59" s="121"/>
      <c r="Q59" s="121"/>
      <c r="R59" s="121"/>
      <c r="S59" s="121"/>
      <c r="T59" s="121"/>
      <c r="U59" s="121"/>
      <c r="V59" s="121"/>
      <c r="W59" s="121"/>
      <c r="X59" s="121"/>
      <c r="Y59" s="121"/>
      <c r="Z59" s="121"/>
    </row>
    <row r="60" spans="1:26" ht="11.25" customHeight="1" x14ac:dyDescent="0.3">
      <c r="A60" s="121"/>
      <c r="B60" s="121"/>
      <c r="C60" s="121"/>
      <c r="D60" s="121"/>
      <c r="E60" s="121"/>
      <c r="F60" s="121"/>
      <c r="G60" s="121"/>
      <c r="H60" s="121"/>
      <c r="I60" s="139"/>
      <c r="J60" s="140"/>
      <c r="K60" s="141"/>
      <c r="L60" s="140"/>
      <c r="M60" s="142"/>
      <c r="N60" s="119"/>
      <c r="O60" s="120"/>
      <c r="P60" s="121"/>
      <c r="Q60" s="121"/>
      <c r="R60" s="121"/>
      <c r="S60" s="121"/>
      <c r="T60" s="121"/>
      <c r="U60" s="121"/>
      <c r="V60" s="121"/>
      <c r="W60" s="121"/>
      <c r="X60" s="121"/>
      <c r="Y60" s="121"/>
      <c r="Z60" s="121"/>
    </row>
    <row r="61" spans="1:26" ht="11.25" customHeight="1" x14ac:dyDescent="0.3">
      <c r="A61" s="121"/>
      <c r="B61" s="121"/>
      <c r="C61" s="121"/>
      <c r="D61" s="121"/>
      <c r="E61" s="121"/>
      <c r="F61" s="121"/>
      <c r="G61" s="121"/>
      <c r="H61" s="121"/>
      <c r="I61" s="139" t="s">
        <v>170</v>
      </c>
      <c r="J61" s="140">
        <v>1140.53</v>
      </c>
      <c r="K61" s="148">
        <f>J61/J59</f>
        <v>0.17002239539274985</v>
      </c>
      <c r="L61" s="140">
        <f t="shared" ref="L61:L65" si="23">J61*24</f>
        <v>27372.720000000001</v>
      </c>
      <c r="M61" s="142">
        <f t="shared" ref="M61:M65" si="24">L61/12</f>
        <v>2281.06</v>
      </c>
      <c r="N61" s="119"/>
      <c r="O61" s="120"/>
      <c r="P61" s="121"/>
      <c r="Q61" s="121"/>
      <c r="R61" s="121"/>
      <c r="S61" s="121"/>
      <c r="T61" s="121"/>
      <c r="U61" s="121"/>
      <c r="V61" s="121"/>
      <c r="W61" s="121"/>
      <c r="X61" s="121"/>
      <c r="Y61" s="121"/>
      <c r="Z61" s="121"/>
    </row>
    <row r="62" spans="1:26" ht="11.25" customHeight="1" x14ac:dyDescent="0.3">
      <c r="A62" s="121"/>
      <c r="B62" s="121"/>
      <c r="C62" s="121"/>
      <c r="D62" s="121"/>
      <c r="E62" s="121"/>
      <c r="F62" s="121"/>
      <c r="G62" s="121"/>
      <c r="H62" s="121"/>
      <c r="I62" s="139" t="s">
        <v>172</v>
      </c>
      <c r="J62" s="140">
        <v>203.9</v>
      </c>
      <c r="K62" s="148">
        <f>J62/J59</f>
        <v>3.0396014502539783E-2</v>
      </c>
      <c r="L62" s="140">
        <f t="shared" si="23"/>
        <v>4893.6000000000004</v>
      </c>
      <c r="M62" s="142">
        <f t="shared" si="24"/>
        <v>407.8</v>
      </c>
      <c r="N62" s="119"/>
      <c r="O62" s="120"/>
      <c r="P62" s="121"/>
      <c r="Q62" s="121"/>
      <c r="R62" s="121"/>
      <c r="S62" s="121"/>
      <c r="T62" s="121"/>
      <c r="U62" s="121"/>
      <c r="V62" s="121"/>
      <c r="W62" s="121"/>
      <c r="X62" s="121"/>
      <c r="Y62" s="121"/>
      <c r="Z62" s="121"/>
    </row>
    <row r="63" spans="1:26" ht="11.25" customHeight="1" x14ac:dyDescent="0.3">
      <c r="A63" s="121"/>
      <c r="B63" s="121"/>
      <c r="C63" s="121"/>
      <c r="D63" s="121"/>
      <c r="E63" s="121"/>
      <c r="F63" s="121"/>
      <c r="G63" s="121"/>
      <c r="H63" s="121"/>
      <c r="I63" s="139" t="s">
        <v>173</v>
      </c>
      <c r="J63" s="140">
        <v>104.55</v>
      </c>
      <c r="K63" s="148">
        <f>J63/J51</f>
        <v>1.4498517635847984E-2</v>
      </c>
      <c r="L63" s="140">
        <f t="shared" si="23"/>
        <v>2509.1999999999998</v>
      </c>
      <c r="M63" s="142">
        <f t="shared" si="24"/>
        <v>209.1</v>
      </c>
      <c r="N63" s="119"/>
      <c r="O63" s="120"/>
      <c r="P63" s="121"/>
      <c r="Q63" s="121"/>
      <c r="R63" s="121"/>
      <c r="S63" s="121"/>
      <c r="T63" s="121"/>
      <c r="U63" s="121"/>
      <c r="V63" s="121"/>
      <c r="W63" s="121"/>
      <c r="X63" s="121"/>
      <c r="Y63" s="121"/>
      <c r="Z63" s="121"/>
    </row>
    <row r="64" spans="1:26" ht="11.25" customHeight="1" x14ac:dyDescent="0.3">
      <c r="A64" s="121"/>
      <c r="B64" s="121"/>
      <c r="C64" s="121"/>
      <c r="D64" s="121"/>
      <c r="E64" s="121"/>
      <c r="F64" s="121"/>
      <c r="G64" s="121"/>
      <c r="H64" s="121"/>
      <c r="I64" s="139" t="s">
        <v>175</v>
      </c>
      <c r="J64" s="140">
        <v>447.05</v>
      </c>
      <c r="K64" s="148">
        <f>J64/J51</f>
        <v>6.1994857093312691E-2</v>
      </c>
      <c r="L64" s="140">
        <f t="shared" si="23"/>
        <v>10729.2</v>
      </c>
      <c r="M64" s="142">
        <f t="shared" si="24"/>
        <v>894.1</v>
      </c>
      <c r="N64" s="119"/>
      <c r="O64" s="120"/>
      <c r="P64" s="121"/>
      <c r="Q64" s="121"/>
      <c r="R64" s="121"/>
      <c r="S64" s="121"/>
      <c r="T64" s="121"/>
      <c r="U64" s="121"/>
      <c r="V64" s="121"/>
      <c r="W64" s="121"/>
      <c r="X64" s="121"/>
      <c r="Y64" s="121"/>
      <c r="Z64" s="121"/>
    </row>
    <row r="65" spans="1:26" ht="11.25" customHeight="1" x14ac:dyDescent="0.3">
      <c r="A65" s="121"/>
      <c r="B65" s="121"/>
      <c r="C65" s="121"/>
      <c r="D65" s="121"/>
      <c r="E65" s="121"/>
      <c r="F65" s="121"/>
      <c r="G65" s="121"/>
      <c r="H65" s="121"/>
      <c r="I65" s="139" t="s">
        <v>179</v>
      </c>
      <c r="J65" s="140">
        <v>180.26</v>
      </c>
      <c r="K65" s="148">
        <f>J65/J51</f>
        <v>2.4997635476211932E-2</v>
      </c>
      <c r="L65" s="140">
        <f t="shared" si="23"/>
        <v>4326.24</v>
      </c>
      <c r="M65" s="142">
        <f t="shared" si="24"/>
        <v>360.52</v>
      </c>
      <c r="N65" s="119"/>
      <c r="O65" s="120"/>
      <c r="P65" s="121"/>
      <c r="Q65" s="121"/>
      <c r="R65" s="121"/>
      <c r="S65" s="121"/>
      <c r="T65" s="121"/>
      <c r="U65" s="121"/>
      <c r="V65" s="121"/>
      <c r="W65" s="121"/>
      <c r="X65" s="121"/>
      <c r="Y65" s="121"/>
      <c r="Z65" s="121"/>
    </row>
    <row r="66" spans="1:26" ht="11.25" customHeight="1" x14ac:dyDescent="0.3">
      <c r="A66" s="121"/>
      <c r="B66" s="121"/>
      <c r="C66" s="121"/>
      <c r="D66" s="121"/>
      <c r="E66" s="121"/>
      <c r="F66" s="121"/>
      <c r="G66" s="121"/>
      <c r="H66" s="121"/>
      <c r="I66" s="133" t="s">
        <v>181</v>
      </c>
      <c r="J66" s="134">
        <f>SUM(J61:J65)</f>
        <v>2076.29</v>
      </c>
      <c r="K66" s="152">
        <f>J66/J49</f>
        <v>0.28929445017235028</v>
      </c>
      <c r="L66" s="134"/>
      <c r="M66" s="136"/>
      <c r="N66" s="119"/>
      <c r="O66" s="120"/>
      <c r="P66" s="121"/>
      <c r="Q66" s="121"/>
      <c r="R66" s="121"/>
      <c r="S66" s="121"/>
      <c r="T66" s="121"/>
      <c r="U66" s="121"/>
      <c r="V66" s="121"/>
      <c r="W66" s="121"/>
      <c r="X66" s="121"/>
      <c r="Y66" s="121"/>
      <c r="Z66" s="121"/>
    </row>
    <row r="67" spans="1:26" ht="11.25" customHeight="1" x14ac:dyDescent="0.3">
      <c r="A67" s="121"/>
      <c r="B67" s="121"/>
      <c r="C67" s="121"/>
      <c r="D67" s="121"/>
      <c r="E67" s="121"/>
      <c r="F67" s="121"/>
      <c r="G67" s="121"/>
      <c r="H67" s="121"/>
      <c r="I67" s="139"/>
      <c r="J67" s="140"/>
      <c r="K67" s="141"/>
      <c r="L67" s="140"/>
      <c r="M67" s="142"/>
      <c r="N67" s="119"/>
      <c r="O67" s="120"/>
      <c r="P67" s="121"/>
      <c r="Q67" s="121"/>
      <c r="R67" s="121"/>
      <c r="S67" s="121"/>
      <c r="T67" s="121"/>
      <c r="U67" s="121"/>
      <c r="V67" s="121"/>
      <c r="W67" s="121"/>
      <c r="X67" s="121"/>
      <c r="Y67" s="121"/>
      <c r="Z67" s="121"/>
    </row>
    <row r="68" spans="1:26" ht="11.25" customHeight="1" x14ac:dyDescent="0.3">
      <c r="A68" s="121"/>
      <c r="B68" s="121"/>
      <c r="C68" s="121"/>
      <c r="D68" s="121"/>
      <c r="E68" s="121"/>
      <c r="F68" s="121"/>
      <c r="G68" s="121"/>
      <c r="H68" s="121"/>
      <c r="I68" s="179" t="s">
        <v>215</v>
      </c>
      <c r="J68" s="180">
        <f>J49-J57-J66</f>
        <v>4597.8262888299996</v>
      </c>
      <c r="K68" s="181">
        <f>(J68+J56)/J49</f>
        <v>0.71062613036476241</v>
      </c>
      <c r="L68" s="180">
        <f>J68*24</f>
        <v>110347.83093191999</v>
      </c>
      <c r="M68" s="182">
        <f>L68/12</f>
        <v>9195.6525776599992</v>
      </c>
      <c r="N68" s="174">
        <f>L68</f>
        <v>110347.83093191999</v>
      </c>
      <c r="O68" s="120">
        <f>N68/24</f>
        <v>4597.8262888299996</v>
      </c>
      <c r="P68" s="121"/>
      <c r="Q68" s="121"/>
      <c r="R68" s="121"/>
      <c r="S68" s="121"/>
      <c r="T68" s="121"/>
      <c r="U68" s="121"/>
      <c r="V68" s="121"/>
      <c r="W68" s="121"/>
      <c r="X68" s="121"/>
      <c r="Y68" s="121"/>
      <c r="Z68" s="121"/>
    </row>
    <row r="69" spans="1:26" ht="11.25" customHeight="1" x14ac:dyDescent="0.3">
      <c r="A69" s="121"/>
      <c r="B69" s="121"/>
      <c r="C69" s="121"/>
      <c r="D69" s="121"/>
      <c r="E69" s="121"/>
      <c r="F69" s="121"/>
      <c r="G69" s="121"/>
      <c r="H69" s="121"/>
      <c r="I69" s="121"/>
      <c r="J69" s="121"/>
      <c r="K69" s="121"/>
      <c r="L69" s="121"/>
      <c r="M69" s="121"/>
      <c r="N69" s="121"/>
      <c r="O69" s="121"/>
      <c r="P69" s="121"/>
      <c r="Q69" s="121"/>
      <c r="R69" s="121"/>
      <c r="S69" s="121"/>
      <c r="T69" s="121"/>
      <c r="U69" s="121"/>
      <c r="V69" s="121"/>
      <c r="W69" s="121"/>
      <c r="X69" s="121"/>
      <c r="Y69" s="121"/>
      <c r="Z69" s="121"/>
    </row>
    <row r="70" spans="1:26" ht="11.25" customHeight="1" x14ac:dyDescent="0.3">
      <c r="A70" s="121"/>
      <c r="B70" s="121"/>
      <c r="C70" s="121"/>
      <c r="D70" s="121"/>
      <c r="E70" s="121"/>
      <c r="F70" s="121"/>
      <c r="G70" s="121"/>
      <c r="H70" s="121"/>
      <c r="I70" s="121"/>
      <c r="J70" s="121"/>
      <c r="K70" s="121"/>
      <c r="L70" s="121"/>
      <c r="M70" s="121"/>
      <c r="N70" s="121"/>
      <c r="O70" s="121"/>
      <c r="P70" s="121"/>
      <c r="Q70" s="121"/>
      <c r="R70" s="121"/>
      <c r="S70" s="121"/>
      <c r="T70" s="121"/>
      <c r="U70" s="121"/>
      <c r="V70" s="121"/>
      <c r="W70" s="121"/>
      <c r="X70" s="121"/>
      <c r="Y70" s="121"/>
      <c r="Z70" s="121"/>
    </row>
    <row r="71" spans="1:26" ht="11.25" customHeight="1" x14ac:dyDescent="0.3">
      <c r="A71" s="121"/>
      <c r="B71" s="121"/>
      <c r="C71" s="121"/>
      <c r="D71" s="121"/>
      <c r="E71" s="121"/>
      <c r="F71" s="121"/>
      <c r="G71" s="121"/>
      <c r="H71" s="121"/>
      <c r="I71" s="121"/>
      <c r="J71" s="121"/>
      <c r="K71" s="121"/>
      <c r="L71" s="121"/>
      <c r="M71" s="121"/>
      <c r="N71" s="121"/>
      <c r="O71" s="121"/>
      <c r="P71" s="121"/>
      <c r="Q71" s="121"/>
      <c r="R71" s="121"/>
      <c r="S71" s="121"/>
      <c r="T71" s="121"/>
      <c r="U71" s="121"/>
      <c r="V71" s="121"/>
      <c r="W71" s="121"/>
      <c r="X71" s="121"/>
      <c r="Y71" s="121"/>
      <c r="Z71" s="121"/>
    </row>
    <row r="72" spans="1:26" ht="11.25" customHeight="1" x14ac:dyDescent="0.3">
      <c r="A72" s="121"/>
      <c r="B72" s="121"/>
      <c r="C72" s="121"/>
      <c r="D72" s="121"/>
      <c r="E72" s="121"/>
      <c r="F72" s="121"/>
      <c r="G72" s="121"/>
      <c r="H72" s="121"/>
      <c r="I72" s="121"/>
      <c r="J72" s="121"/>
      <c r="K72" s="121"/>
      <c r="L72" s="121"/>
      <c r="M72" s="121"/>
      <c r="N72" s="121"/>
      <c r="O72" s="121"/>
      <c r="P72" s="121"/>
      <c r="Q72" s="121"/>
      <c r="R72" s="121"/>
      <c r="S72" s="121"/>
      <c r="T72" s="121"/>
      <c r="U72" s="121"/>
      <c r="V72" s="121"/>
      <c r="W72" s="121"/>
      <c r="X72" s="121"/>
      <c r="Y72" s="121"/>
      <c r="Z72" s="121"/>
    </row>
    <row r="73" spans="1:26" ht="11.25" customHeight="1" x14ac:dyDescent="0.3">
      <c r="A73" s="121"/>
      <c r="B73" s="121"/>
      <c r="C73" s="121"/>
      <c r="D73" s="121"/>
      <c r="E73" s="121"/>
      <c r="F73" s="121"/>
      <c r="G73" s="121"/>
      <c r="H73" s="121"/>
      <c r="I73" s="121"/>
      <c r="J73" s="121"/>
      <c r="K73" s="121"/>
      <c r="L73" s="121"/>
      <c r="M73" s="121"/>
      <c r="N73" s="121"/>
      <c r="O73" s="121"/>
      <c r="P73" s="121"/>
      <c r="Q73" s="121"/>
      <c r="R73" s="121"/>
      <c r="S73" s="121"/>
      <c r="T73" s="121"/>
      <c r="U73" s="121"/>
      <c r="V73" s="121"/>
      <c r="W73" s="121"/>
      <c r="X73" s="121"/>
      <c r="Y73" s="121"/>
      <c r="Z73" s="121"/>
    </row>
    <row r="74" spans="1:26" ht="11.25" customHeight="1" x14ac:dyDescent="0.3">
      <c r="A74" s="121"/>
      <c r="B74" s="121"/>
      <c r="C74" s="121"/>
      <c r="D74" s="121"/>
      <c r="E74" s="121"/>
      <c r="F74" s="121"/>
      <c r="G74" s="121"/>
      <c r="H74" s="121"/>
      <c r="I74" s="121"/>
      <c r="J74" s="121"/>
      <c r="K74" s="121"/>
      <c r="L74" s="121"/>
      <c r="M74" s="121"/>
      <c r="N74" s="121"/>
      <c r="O74" s="121"/>
      <c r="P74" s="121"/>
      <c r="Q74" s="121"/>
      <c r="R74" s="121"/>
      <c r="S74" s="121"/>
      <c r="T74" s="121"/>
      <c r="U74" s="121"/>
      <c r="V74" s="121"/>
      <c r="W74" s="121"/>
      <c r="X74" s="121"/>
      <c r="Y74" s="121"/>
      <c r="Z74" s="121"/>
    </row>
    <row r="75" spans="1:26" ht="11.25" customHeight="1" x14ac:dyDescent="0.3">
      <c r="A75" s="121"/>
      <c r="B75" s="121"/>
      <c r="C75" s="121"/>
      <c r="D75" s="121"/>
      <c r="E75" s="121"/>
      <c r="F75" s="121"/>
      <c r="G75" s="121"/>
      <c r="H75" s="121"/>
      <c r="I75" s="121"/>
      <c r="J75" s="121"/>
      <c r="K75" s="121"/>
      <c r="L75" s="121"/>
      <c r="M75" s="121"/>
      <c r="N75" s="121"/>
      <c r="O75" s="121"/>
      <c r="P75" s="121"/>
      <c r="Q75" s="121"/>
      <c r="R75" s="121"/>
      <c r="S75" s="121"/>
      <c r="T75" s="121"/>
      <c r="U75" s="121"/>
      <c r="V75" s="121"/>
      <c r="W75" s="121"/>
      <c r="X75" s="121"/>
      <c r="Y75" s="121"/>
      <c r="Z75" s="121"/>
    </row>
    <row r="76" spans="1:26" ht="11.25" customHeight="1" x14ac:dyDescent="0.3">
      <c r="A76" s="121"/>
      <c r="B76" s="121"/>
      <c r="C76" s="121"/>
      <c r="D76" s="121"/>
      <c r="E76" s="121"/>
      <c r="F76" s="121"/>
      <c r="G76" s="121"/>
      <c r="H76" s="121"/>
      <c r="I76" s="121"/>
      <c r="J76" s="121"/>
      <c r="K76" s="121"/>
      <c r="L76" s="121"/>
      <c r="M76" s="121"/>
      <c r="N76" s="121"/>
      <c r="O76" s="121"/>
      <c r="P76" s="121"/>
      <c r="Q76" s="121"/>
      <c r="R76" s="121"/>
      <c r="S76" s="121"/>
      <c r="T76" s="121"/>
      <c r="U76" s="121"/>
      <c r="V76" s="121"/>
      <c r="W76" s="121"/>
      <c r="X76" s="121"/>
      <c r="Y76" s="121"/>
      <c r="Z76" s="121"/>
    </row>
    <row r="77" spans="1:26" ht="11.25" customHeight="1" x14ac:dyDescent="0.3">
      <c r="A77" s="121"/>
      <c r="B77" s="121"/>
      <c r="C77" s="121"/>
      <c r="D77" s="121"/>
      <c r="E77" s="121"/>
      <c r="F77" s="121"/>
      <c r="G77" s="121"/>
      <c r="H77" s="121"/>
      <c r="I77" s="121"/>
      <c r="J77" s="121"/>
      <c r="K77" s="121"/>
      <c r="L77" s="121"/>
      <c r="M77" s="121"/>
      <c r="N77" s="121"/>
      <c r="O77" s="121"/>
      <c r="P77" s="121"/>
      <c r="Q77" s="121"/>
      <c r="R77" s="121"/>
      <c r="S77" s="121"/>
      <c r="T77" s="121"/>
      <c r="U77" s="121"/>
      <c r="V77" s="121"/>
      <c r="W77" s="121"/>
      <c r="X77" s="121"/>
      <c r="Y77" s="121"/>
      <c r="Z77" s="121"/>
    </row>
    <row r="78" spans="1:26" ht="11.25" customHeight="1" x14ac:dyDescent="0.3">
      <c r="A78" s="121"/>
      <c r="B78" s="121"/>
      <c r="C78" s="121"/>
      <c r="D78" s="121"/>
      <c r="E78" s="121"/>
      <c r="F78" s="121"/>
      <c r="G78" s="121"/>
      <c r="H78" s="121"/>
      <c r="I78" s="121"/>
      <c r="J78" s="121"/>
      <c r="K78" s="121"/>
      <c r="L78" s="121"/>
      <c r="M78" s="121"/>
      <c r="N78" s="121"/>
      <c r="O78" s="121"/>
      <c r="P78" s="121"/>
      <c r="Q78" s="121"/>
      <c r="R78" s="121"/>
      <c r="S78" s="121"/>
      <c r="T78" s="121"/>
      <c r="U78" s="121"/>
      <c r="V78" s="121"/>
      <c r="W78" s="121"/>
      <c r="X78" s="121"/>
      <c r="Y78" s="121"/>
      <c r="Z78" s="121"/>
    </row>
    <row r="79" spans="1:26" ht="11.25" customHeight="1" x14ac:dyDescent="0.3">
      <c r="A79" s="121"/>
      <c r="B79" s="121"/>
      <c r="C79" s="121"/>
      <c r="D79" s="121"/>
      <c r="E79" s="121"/>
      <c r="F79" s="121"/>
      <c r="G79" s="121"/>
      <c r="H79" s="121"/>
      <c r="I79" s="121"/>
      <c r="J79" s="121"/>
      <c r="K79" s="121"/>
      <c r="L79" s="121"/>
      <c r="M79" s="121"/>
      <c r="N79" s="121"/>
      <c r="O79" s="121"/>
      <c r="P79" s="121"/>
      <c r="Q79" s="121"/>
      <c r="R79" s="121"/>
      <c r="S79" s="121"/>
      <c r="T79" s="121"/>
      <c r="U79" s="121"/>
      <c r="V79" s="121"/>
      <c r="W79" s="121"/>
      <c r="X79" s="121"/>
      <c r="Y79" s="121"/>
      <c r="Z79" s="121"/>
    </row>
    <row r="80" spans="1:26" ht="11.25" customHeight="1" x14ac:dyDescent="0.3">
      <c r="A80" s="121"/>
      <c r="B80" s="121"/>
      <c r="C80" s="121"/>
      <c r="D80" s="121"/>
      <c r="E80" s="121"/>
      <c r="F80" s="121"/>
      <c r="G80" s="121"/>
      <c r="H80" s="121"/>
      <c r="I80" s="121"/>
      <c r="J80" s="121"/>
      <c r="K80" s="121"/>
      <c r="L80" s="121"/>
      <c r="M80" s="121"/>
      <c r="N80" s="121"/>
      <c r="O80" s="121"/>
      <c r="P80" s="121"/>
      <c r="Q80" s="121"/>
      <c r="R80" s="121"/>
      <c r="S80" s="121"/>
      <c r="T80" s="121"/>
      <c r="U80" s="121"/>
      <c r="V80" s="121"/>
      <c r="W80" s="121"/>
      <c r="X80" s="121"/>
      <c r="Y80" s="121"/>
      <c r="Z80" s="121"/>
    </row>
    <row r="81" spans="1:26" ht="11.25" customHeight="1" x14ac:dyDescent="0.3">
      <c r="A81" s="121"/>
      <c r="B81" s="121"/>
      <c r="C81" s="121"/>
      <c r="D81" s="121"/>
      <c r="E81" s="121"/>
      <c r="F81" s="121"/>
      <c r="G81" s="121"/>
      <c r="H81" s="121"/>
      <c r="I81" s="121"/>
      <c r="J81" s="121"/>
      <c r="K81" s="121"/>
      <c r="L81" s="121"/>
      <c r="M81" s="121"/>
      <c r="N81" s="121"/>
      <c r="O81" s="121"/>
      <c r="P81" s="121"/>
      <c r="Q81" s="121"/>
      <c r="R81" s="121"/>
      <c r="S81" s="121"/>
      <c r="T81" s="121"/>
      <c r="U81" s="121"/>
      <c r="V81" s="121"/>
      <c r="W81" s="121"/>
      <c r="X81" s="121"/>
      <c r="Y81" s="121"/>
      <c r="Z81" s="121"/>
    </row>
    <row r="82" spans="1:26" ht="11.25" customHeight="1" x14ac:dyDescent="0.3">
      <c r="A82" s="121"/>
      <c r="B82" s="121"/>
      <c r="C82" s="121"/>
      <c r="D82" s="121"/>
      <c r="E82" s="121"/>
      <c r="F82" s="121"/>
      <c r="G82" s="121"/>
      <c r="H82" s="121"/>
      <c r="I82" s="121"/>
      <c r="J82" s="121"/>
      <c r="K82" s="121"/>
      <c r="L82" s="121"/>
      <c r="M82" s="121"/>
      <c r="N82" s="121"/>
      <c r="O82" s="121"/>
      <c r="P82" s="121"/>
      <c r="Q82" s="121"/>
      <c r="R82" s="121"/>
      <c r="S82" s="121"/>
      <c r="T82" s="121"/>
      <c r="U82" s="121"/>
      <c r="V82" s="121"/>
      <c r="W82" s="121"/>
      <c r="X82" s="121"/>
      <c r="Y82" s="121"/>
      <c r="Z82" s="121"/>
    </row>
    <row r="83" spans="1:26" ht="11.25" customHeight="1" x14ac:dyDescent="0.3">
      <c r="A83" s="121"/>
      <c r="B83" s="121"/>
      <c r="C83" s="121"/>
      <c r="D83" s="121"/>
      <c r="E83" s="121"/>
      <c r="F83" s="121"/>
      <c r="G83" s="121"/>
      <c r="H83" s="121"/>
      <c r="I83" s="121"/>
      <c r="J83" s="121"/>
      <c r="K83" s="121"/>
      <c r="L83" s="121"/>
      <c r="M83" s="121"/>
      <c r="N83" s="121"/>
      <c r="O83" s="121"/>
      <c r="P83" s="121"/>
      <c r="Q83" s="121"/>
      <c r="R83" s="121"/>
      <c r="S83" s="121"/>
      <c r="T83" s="121"/>
      <c r="U83" s="121"/>
      <c r="V83" s="121"/>
      <c r="W83" s="121"/>
      <c r="X83" s="121"/>
      <c r="Y83" s="121"/>
      <c r="Z83" s="121"/>
    </row>
    <row r="84" spans="1:26" ht="11.25" customHeight="1" x14ac:dyDescent="0.3">
      <c r="A84" s="121"/>
      <c r="B84" s="121"/>
      <c r="C84" s="121"/>
      <c r="D84" s="121"/>
      <c r="E84" s="121"/>
      <c r="F84" s="121"/>
      <c r="G84" s="121"/>
      <c r="H84" s="121"/>
      <c r="I84" s="121"/>
      <c r="J84" s="121"/>
      <c r="K84" s="121"/>
      <c r="L84" s="121"/>
      <c r="M84" s="121"/>
      <c r="N84" s="121"/>
      <c r="O84" s="121"/>
      <c r="P84" s="121"/>
      <c r="Q84" s="121"/>
      <c r="R84" s="121"/>
      <c r="S84" s="121"/>
      <c r="T84" s="121"/>
      <c r="U84" s="121"/>
      <c r="V84" s="121"/>
      <c r="W84" s="121"/>
      <c r="X84" s="121"/>
      <c r="Y84" s="121"/>
      <c r="Z84" s="121"/>
    </row>
    <row r="85" spans="1:26" ht="11.25" customHeight="1" x14ac:dyDescent="0.3">
      <c r="A85" s="121"/>
      <c r="B85" s="121"/>
      <c r="C85" s="121"/>
      <c r="D85" s="121"/>
      <c r="E85" s="121"/>
      <c r="F85" s="121"/>
      <c r="G85" s="121"/>
      <c r="H85" s="121"/>
      <c r="I85" s="121"/>
      <c r="J85" s="121"/>
      <c r="K85" s="121"/>
      <c r="L85" s="121"/>
      <c r="M85" s="121"/>
      <c r="N85" s="121"/>
      <c r="O85" s="121"/>
      <c r="P85" s="121"/>
      <c r="Q85" s="121"/>
      <c r="R85" s="121"/>
      <c r="S85" s="121"/>
      <c r="T85" s="121"/>
      <c r="U85" s="121"/>
      <c r="V85" s="121"/>
      <c r="W85" s="121"/>
      <c r="X85" s="121"/>
      <c r="Y85" s="121"/>
      <c r="Z85" s="121"/>
    </row>
    <row r="86" spans="1:26" ht="11.25" customHeight="1" x14ac:dyDescent="0.3">
      <c r="A86" s="121"/>
      <c r="B86" s="121"/>
      <c r="C86" s="121"/>
      <c r="D86" s="121"/>
      <c r="E86" s="121"/>
      <c r="F86" s="121"/>
      <c r="G86" s="121"/>
      <c r="H86" s="121"/>
      <c r="I86" s="121"/>
      <c r="J86" s="121"/>
      <c r="K86" s="121"/>
      <c r="L86" s="121"/>
      <c r="M86" s="121"/>
      <c r="N86" s="121"/>
      <c r="O86" s="121"/>
      <c r="P86" s="121"/>
      <c r="Q86" s="121"/>
      <c r="R86" s="121"/>
      <c r="S86" s="121"/>
      <c r="T86" s="121"/>
      <c r="U86" s="121"/>
      <c r="V86" s="121"/>
      <c r="W86" s="121"/>
      <c r="X86" s="121"/>
      <c r="Y86" s="121"/>
      <c r="Z86" s="121"/>
    </row>
    <row r="87" spans="1:26" ht="11.25" customHeight="1" x14ac:dyDescent="0.3">
      <c r="A87" s="121"/>
      <c r="B87" s="121"/>
      <c r="C87" s="121"/>
      <c r="D87" s="121"/>
      <c r="E87" s="121"/>
      <c r="F87" s="121"/>
      <c r="G87" s="121"/>
      <c r="H87" s="121"/>
      <c r="I87" s="121"/>
      <c r="J87" s="121"/>
      <c r="K87" s="121"/>
      <c r="L87" s="121"/>
      <c r="M87" s="121"/>
      <c r="N87" s="121"/>
      <c r="O87" s="121"/>
      <c r="P87" s="121"/>
      <c r="Q87" s="121"/>
      <c r="R87" s="121"/>
      <c r="S87" s="121"/>
      <c r="T87" s="121"/>
      <c r="U87" s="121"/>
      <c r="V87" s="121"/>
      <c r="W87" s="121"/>
      <c r="X87" s="121"/>
      <c r="Y87" s="121"/>
      <c r="Z87" s="121"/>
    </row>
    <row r="88" spans="1:26" ht="11.25" customHeight="1" x14ac:dyDescent="0.3">
      <c r="A88" s="121"/>
      <c r="B88" s="121"/>
      <c r="C88" s="121"/>
      <c r="D88" s="121"/>
      <c r="E88" s="121"/>
      <c r="F88" s="121"/>
      <c r="G88" s="121"/>
      <c r="H88" s="121"/>
      <c r="I88" s="121"/>
      <c r="J88" s="121"/>
      <c r="K88" s="121"/>
      <c r="L88" s="121"/>
      <c r="M88" s="121"/>
      <c r="N88" s="121"/>
      <c r="O88" s="121"/>
      <c r="P88" s="121"/>
      <c r="Q88" s="121"/>
      <c r="R88" s="121"/>
      <c r="S88" s="121"/>
      <c r="T88" s="121"/>
      <c r="U88" s="121"/>
      <c r="V88" s="121"/>
      <c r="W88" s="121"/>
      <c r="X88" s="121"/>
      <c r="Y88" s="121"/>
      <c r="Z88" s="121"/>
    </row>
    <row r="89" spans="1:26" ht="11.25" customHeight="1" x14ac:dyDescent="0.3">
      <c r="A89" s="121"/>
      <c r="B89" s="121"/>
      <c r="C89" s="121"/>
      <c r="D89" s="121"/>
      <c r="E89" s="121"/>
      <c r="F89" s="121"/>
      <c r="G89" s="121"/>
      <c r="H89" s="121"/>
      <c r="I89" s="121"/>
      <c r="J89" s="121"/>
      <c r="K89" s="121"/>
      <c r="L89" s="121"/>
      <c r="M89" s="121"/>
      <c r="N89" s="121"/>
      <c r="O89" s="121"/>
      <c r="P89" s="121"/>
      <c r="Q89" s="121"/>
      <c r="R89" s="121"/>
      <c r="S89" s="121"/>
      <c r="T89" s="121"/>
      <c r="U89" s="121"/>
      <c r="V89" s="121"/>
      <c r="W89" s="121"/>
      <c r="X89" s="121"/>
      <c r="Y89" s="121"/>
      <c r="Z89" s="121"/>
    </row>
    <row r="90" spans="1:26" ht="11.25" customHeight="1" x14ac:dyDescent="0.3">
      <c r="A90" s="121"/>
      <c r="B90" s="121"/>
      <c r="C90" s="121"/>
      <c r="D90" s="121"/>
      <c r="E90" s="121"/>
      <c r="F90" s="121"/>
      <c r="G90" s="121"/>
      <c r="H90" s="121"/>
      <c r="I90" s="121"/>
      <c r="J90" s="121"/>
      <c r="K90" s="121"/>
      <c r="L90" s="121"/>
      <c r="M90" s="121"/>
      <c r="N90" s="121"/>
      <c r="O90" s="121"/>
      <c r="P90" s="121"/>
      <c r="Q90" s="121"/>
      <c r="R90" s="121"/>
      <c r="S90" s="121"/>
      <c r="T90" s="121"/>
      <c r="U90" s="121"/>
      <c r="V90" s="121"/>
      <c r="W90" s="121"/>
      <c r="X90" s="121"/>
      <c r="Y90" s="121"/>
      <c r="Z90" s="121"/>
    </row>
    <row r="91" spans="1:26" ht="11.25" customHeight="1" x14ac:dyDescent="0.3">
      <c r="A91" s="121"/>
      <c r="B91" s="121"/>
      <c r="C91" s="121"/>
      <c r="D91" s="121"/>
      <c r="E91" s="121"/>
      <c r="F91" s="121"/>
      <c r="G91" s="121"/>
      <c r="H91" s="121"/>
      <c r="I91" s="121"/>
      <c r="J91" s="121"/>
      <c r="K91" s="121"/>
      <c r="L91" s="121"/>
      <c r="M91" s="121"/>
      <c r="N91" s="121"/>
      <c r="O91" s="121"/>
      <c r="P91" s="121"/>
      <c r="Q91" s="121"/>
      <c r="R91" s="121"/>
      <c r="S91" s="121"/>
      <c r="T91" s="121"/>
      <c r="U91" s="121"/>
      <c r="V91" s="121"/>
      <c r="W91" s="121"/>
      <c r="X91" s="121"/>
      <c r="Y91" s="121"/>
      <c r="Z91" s="121"/>
    </row>
    <row r="92" spans="1:26" ht="11.25" customHeight="1" x14ac:dyDescent="0.3">
      <c r="A92" s="121"/>
      <c r="B92" s="121"/>
      <c r="C92" s="121"/>
      <c r="D92" s="121"/>
      <c r="E92" s="121"/>
      <c r="F92" s="121"/>
      <c r="G92" s="121"/>
      <c r="H92" s="121"/>
      <c r="I92" s="121"/>
      <c r="J92" s="121"/>
      <c r="K92" s="121"/>
      <c r="L92" s="121"/>
      <c r="M92" s="121"/>
      <c r="N92" s="121"/>
      <c r="O92" s="121"/>
      <c r="P92" s="121"/>
      <c r="Q92" s="121"/>
      <c r="R92" s="121"/>
      <c r="S92" s="121"/>
      <c r="T92" s="121"/>
      <c r="U92" s="121"/>
      <c r="V92" s="121"/>
      <c r="W92" s="121"/>
      <c r="X92" s="121"/>
      <c r="Y92" s="121"/>
      <c r="Z92" s="121"/>
    </row>
    <row r="93" spans="1:26" ht="11.25" customHeight="1" x14ac:dyDescent="0.3">
      <c r="A93" s="121"/>
      <c r="B93" s="121"/>
      <c r="C93" s="121"/>
      <c r="D93" s="121"/>
      <c r="E93" s="121"/>
      <c r="F93" s="121"/>
      <c r="G93" s="121"/>
      <c r="H93" s="121"/>
      <c r="I93" s="121"/>
      <c r="J93" s="121"/>
      <c r="K93" s="121"/>
      <c r="L93" s="121"/>
      <c r="M93" s="121"/>
      <c r="N93" s="121"/>
      <c r="O93" s="121"/>
      <c r="P93" s="121"/>
      <c r="Q93" s="121"/>
      <c r="R93" s="121"/>
      <c r="S93" s="121"/>
      <c r="T93" s="121"/>
      <c r="U93" s="121"/>
      <c r="V93" s="121"/>
      <c r="W93" s="121"/>
      <c r="X93" s="121"/>
      <c r="Y93" s="121"/>
      <c r="Z93" s="121"/>
    </row>
    <row r="94" spans="1:26" ht="11.25" customHeight="1" x14ac:dyDescent="0.3">
      <c r="A94" s="121"/>
      <c r="B94" s="121"/>
      <c r="C94" s="121"/>
      <c r="D94" s="121"/>
      <c r="E94" s="121"/>
      <c r="F94" s="121"/>
      <c r="G94" s="121"/>
      <c r="H94" s="121"/>
      <c r="I94" s="121"/>
      <c r="J94" s="121"/>
      <c r="K94" s="121"/>
      <c r="L94" s="121"/>
      <c r="M94" s="121"/>
      <c r="N94" s="121"/>
      <c r="O94" s="121"/>
      <c r="P94" s="121"/>
      <c r="Q94" s="121"/>
      <c r="R94" s="121"/>
      <c r="S94" s="121"/>
      <c r="T94" s="121"/>
      <c r="U94" s="121"/>
      <c r="V94" s="121"/>
      <c r="W94" s="121"/>
      <c r="X94" s="121"/>
      <c r="Y94" s="121"/>
      <c r="Z94" s="121"/>
    </row>
    <row r="95" spans="1:26" ht="11.25" customHeight="1" x14ac:dyDescent="0.3">
      <c r="A95" s="121"/>
      <c r="B95" s="121"/>
      <c r="C95" s="121"/>
      <c r="D95" s="121"/>
      <c r="E95" s="121"/>
      <c r="F95" s="121"/>
      <c r="G95" s="121"/>
      <c r="H95" s="121"/>
      <c r="I95" s="121"/>
      <c r="J95" s="121"/>
      <c r="K95" s="121"/>
      <c r="L95" s="121"/>
      <c r="M95" s="121"/>
      <c r="N95" s="121"/>
      <c r="O95" s="121"/>
      <c r="P95" s="121"/>
      <c r="Q95" s="121"/>
      <c r="R95" s="121"/>
      <c r="S95" s="121"/>
      <c r="T95" s="121"/>
      <c r="U95" s="121"/>
      <c r="V95" s="121"/>
      <c r="W95" s="121"/>
      <c r="X95" s="121"/>
      <c r="Y95" s="121"/>
      <c r="Z95" s="121"/>
    </row>
    <row r="96" spans="1:26" ht="11.25" customHeight="1" x14ac:dyDescent="0.3">
      <c r="A96" s="121"/>
      <c r="B96" s="121"/>
      <c r="C96" s="121"/>
      <c r="D96" s="121"/>
      <c r="E96" s="121"/>
      <c r="F96" s="121"/>
      <c r="G96" s="121"/>
      <c r="H96" s="121"/>
      <c r="I96" s="121"/>
      <c r="J96" s="121"/>
      <c r="K96" s="121"/>
      <c r="L96" s="121"/>
      <c r="M96" s="121"/>
      <c r="N96" s="121"/>
      <c r="O96" s="121"/>
      <c r="P96" s="121"/>
      <c r="Q96" s="121"/>
      <c r="R96" s="121"/>
      <c r="S96" s="121"/>
      <c r="T96" s="121"/>
      <c r="U96" s="121"/>
      <c r="V96" s="121"/>
      <c r="W96" s="121"/>
      <c r="X96" s="121"/>
      <c r="Y96" s="121"/>
      <c r="Z96" s="121"/>
    </row>
    <row r="97" spans="1:26" ht="11.25" customHeight="1" x14ac:dyDescent="0.3">
      <c r="A97" s="121"/>
      <c r="B97" s="121"/>
      <c r="C97" s="121"/>
      <c r="D97" s="121"/>
      <c r="E97" s="121"/>
      <c r="F97" s="121"/>
      <c r="G97" s="121"/>
      <c r="H97" s="121"/>
      <c r="I97" s="121"/>
      <c r="J97" s="121"/>
      <c r="K97" s="121"/>
      <c r="L97" s="121"/>
      <c r="M97" s="121"/>
      <c r="N97" s="121"/>
      <c r="O97" s="121"/>
      <c r="P97" s="121"/>
      <c r="Q97" s="121"/>
      <c r="R97" s="121"/>
      <c r="S97" s="121"/>
      <c r="T97" s="121"/>
      <c r="U97" s="121"/>
      <c r="V97" s="121"/>
      <c r="W97" s="121"/>
      <c r="X97" s="121"/>
      <c r="Y97" s="121"/>
      <c r="Z97" s="121"/>
    </row>
    <row r="98" spans="1:26" ht="11.25" customHeight="1" x14ac:dyDescent="0.3">
      <c r="A98" s="121"/>
      <c r="B98" s="121"/>
      <c r="C98" s="121"/>
      <c r="D98" s="121"/>
      <c r="E98" s="121"/>
      <c r="F98" s="121"/>
      <c r="G98" s="121"/>
      <c r="H98" s="121"/>
      <c r="I98" s="121"/>
      <c r="J98" s="121"/>
      <c r="K98" s="121"/>
      <c r="L98" s="121"/>
      <c r="M98" s="121"/>
      <c r="N98" s="121"/>
      <c r="O98" s="121"/>
      <c r="P98" s="121"/>
      <c r="Q98" s="121"/>
      <c r="R98" s="121"/>
      <c r="S98" s="121"/>
      <c r="T98" s="121"/>
      <c r="U98" s="121"/>
      <c r="V98" s="121"/>
      <c r="W98" s="121"/>
      <c r="X98" s="121"/>
      <c r="Y98" s="121"/>
      <c r="Z98" s="121"/>
    </row>
    <row r="99" spans="1:26" ht="11.25" customHeight="1" x14ac:dyDescent="0.3">
      <c r="A99" s="121"/>
      <c r="B99" s="121"/>
      <c r="C99" s="121"/>
      <c r="D99" s="121"/>
      <c r="E99" s="121"/>
      <c r="F99" s="121"/>
      <c r="G99" s="121"/>
      <c r="H99" s="121"/>
      <c r="I99" s="121"/>
      <c r="J99" s="121"/>
      <c r="K99" s="121"/>
      <c r="L99" s="121"/>
      <c r="M99" s="121"/>
      <c r="N99" s="121"/>
      <c r="O99" s="121"/>
      <c r="P99" s="121"/>
      <c r="Q99" s="121"/>
      <c r="R99" s="121"/>
      <c r="S99" s="121"/>
      <c r="T99" s="121"/>
      <c r="U99" s="121"/>
      <c r="V99" s="121"/>
      <c r="W99" s="121"/>
      <c r="X99" s="121"/>
      <c r="Y99" s="121"/>
      <c r="Z99" s="121"/>
    </row>
    <row r="100" spans="1:26" ht="11.25" customHeight="1" x14ac:dyDescent="0.3">
      <c r="A100" s="121"/>
      <c r="B100" s="121"/>
      <c r="C100" s="121"/>
      <c r="D100" s="121"/>
      <c r="E100" s="121"/>
      <c r="F100" s="121"/>
      <c r="G100" s="121"/>
      <c r="H100" s="121"/>
      <c r="I100" s="121"/>
      <c r="J100" s="121"/>
      <c r="K100" s="121"/>
      <c r="L100" s="121"/>
      <c r="M100" s="121"/>
      <c r="N100" s="121"/>
      <c r="O100" s="121"/>
      <c r="P100" s="121"/>
      <c r="Q100" s="121"/>
      <c r="R100" s="121"/>
      <c r="S100" s="121"/>
      <c r="T100" s="121"/>
      <c r="U100" s="121"/>
      <c r="V100" s="121"/>
      <c r="W100" s="121"/>
      <c r="X100" s="121"/>
      <c r="Y100" s="121"/>
      <c r="Z100" s="121"/>
    </row>
    <row r="101" spans="1:26" ht="11.25" customHeight="1" x14ac:dyDescent="0.3">
      <c r="A101" s="121"/>
      <c r="B101" s="121"/>
      <c r="C101" s="121"/>
      <c r="D101" s="121"/>
      <c r="E101" s="121"/>
      <c r="F101" s="121"/>
      <c r="G101" s="121"/>
      <c r="H101" s="121"/>
      <c r="I101" s="121"/>
      <c r="J101" s="121"/>
      <c r="K101" s="121"/>
      <c r="L101" s="121"/>
      <c r="M101" s="121"/>
      <c r="N101" s="121"/>
      <c r="O101" s="121"/>
      <c r="P101" s="121"/>
      <c r="Q101" s="121"/>
      <c r="R101" s="121"/>
      <c r="S101" s="121"/>
      <c r="T101" s="121"/>
      <c r="U101" s="121"/>
      <c r="V101" s="121"/>
      <c r="W101" s="121"/>
      <c r="X101" s="121"/>
      <c r="Y101" s="121"/>
      <c r="Z101" s="121"/>
    </row>
    <row r="102" spans="1:26" ht="11.25" customHeight="1" x14ac:dyDescent="0.3">
      <c r="A102" s="121"/>
      <c r="B102" s="121"/>
      <c r="C102" s="121"/>
      <c r="D102" s="121"/>
      <c r="E102" s="121"/>
      <c r="F102" s="121"/>
      <c r="G102" s="121"/>
      <c r="H102" s="121"/>
      <c r="I102" s="121"/>
      <c r="J102" s="121"/>
      <c r="K102" s="121"/>
      <c r="L102" s="121"/>
      <c r="M102" s="121"/>
      <c r="N102" s="121"/>
      <c r="O102" s="121"/>
      <c r="P102" s="121"/>
      <c r="Q102" s="121"/>
      <c r="R102" s="121"/>
      <c r="S102" s="121"/>
      <c r="T102" s="121"/>
      <c r="U102" s="121"/>
      <c r="V102" s="121"/>
      <c r="W102" s="121"/>
      <c r="X102" s="121"/>
      <c r="Y102" s="121"/>
      <c r="Z102" s="121"/>
    </row>
    <row r="103" spans="1:26" ht="11.25" customHeight="1" x14ac:dyDescent="0.3">
      <c r="A103" s="121"/>
      <c r="B103" s="121"/>
      <c r="C103" s="121"/>
      <c r="D103" s="121"/>
      <c r="E103" s="121"/>
      <c r="F103" s="121"/>
      <c r="G103" s="121"/>
      <c r="H103" s="121"/>
      <c r="I103" s="121"/>
      <c r="J103" s="121"/>
      <c r="K103" s="121"/>
      <c r="L103" s="121"/>
      <c r="M103" s="121"/>
      <c r="N103" s="121"/>
      <c r="O103" s="121"/>
      <c r="P103" s="121"/>
      <c r="Q103" s="121"/>
      <c r="R103" s="121"/>
      <c r="S103" s="121"/>
      <c r="T103" s="121"/>
      <c r="U103" s="121"/>
      <c r="V103" s="121"/>
      <c r="W103" s="121"/>
      <c r="X103" s="121"/>
      <c r="Y103" s="121"/>
      <c r="Z103" s="121"/>
    </row>
    <row r="104" spans="1:26" ht="11.25" customHeight="1" x14ac:dyDescent="0.3">
      <c r="A104" s="121"/>
      <c r="B104" s="121"/>
      <c r="C104" s="121"/>
      <c r="D104" s="121"/>
      <c r="E104" s="121"/>
      <c r="F104" s="121"/>
      <c r="G104" s="121"/>
      <c r="H104" s="121"/>
      <c r="I104" s="121"/>
      <c r="J104" s="121"/>
      <c r="K104" s="121"/>
      <c r="L104" s="121"/>
      <c r="M104" s="121"/>
      <c r="N104" s="121"/>
      <c r="O104" s="121"/>
      <c r="P104" s="121"/>
      <c r="Q104" s="121"/>
      <c r="R104" s="121"/>
      <c r="S104" s="121"/>
      <c r="T104" s="121"/>
      <c r="U104" s="121"/>
      <c r="V104" s="121"/>
      <c r="W104" s="121"/>
      <c r="X104" s="121"/>
      <c r="Y104" s="121"/>
      <c r="Z104" s="121"/>
    </row>
    <row r="105" spans="1:26" ht="11.25" customHeight="1" x14ac:dyDescent="0.3">
      <c r="A105" s="121"/>
      <c r="B105" s="121"/>
      <c r="C105" s="121"/>
      <c r="D105" s="121"/>
      <c r="E105" s="121"/>
      <c r="F105" s="121"/>
      <c r="G105" s="121"/>
      <c r="H105" s="121"/>
      <c r="I105" s="121"/>
      <c r="J105" s="121"/>
      <c r="K105" s="121"/>
      <c r="L105" s="121"/>
      <c r="M105" s="121"/>
      <c r="N105" s="121"/>
      <c r="O105" s="121"/>
      <c r="P105" s="121"/>
      <c r="Q105" s="121"/>
      <c r="R105" s="121"/>
      <c r="S105" s="121"/>
      <c r="T105" s="121"/>
      <c r="U105" s="121"/>
      <c r="V105" s="121"/>
      <c r="W105" s="121"/>
      <c r="X105" s="121"/>
      <c r="Y105" s="121"/>
      <c r="Z105" s="121"/>
    </row>
    <row r="106" spans="1:26" ht="11.25" customHeight="1" x14ac:dyDescent="0.3">
      <c r="A106" s="121"/>
      <c r="B106" s="121"/>
      <c r="C106" s="121"/>
      <c r="D106" s="121"/>
      <c r="E106" s="121"/>
      <c r="F106" s="121"/>
      <c r="G106" s="121"/>
      <c r="H106" s="121"/>
      <c r="I106" s="121"/>
      <c r="J106" s="121"/>
      <c r="K106" s="121"/>
      <c r="L106" s="121"/>
      <c r="M106" s="121"/>
      <c r="N106" s="121"/>
      <c r="O106" s="121"/>
      <c r="P106" s="121"/>
      <c r="Q106" s="121"/>
      <c r="R106" s="121"/>
      <c r="S106" s="121"/>
      <c r="T106" s="121"/>
      <c r="U106" s="121"/>
      <c r="V106" s="121"/>
      <c r="W106" s="121"/>
      <c r="X106" s="121"/>
      <c r="Y106" s="121"/>
      <c r="Z106" s="121"/>
    </row>
    <row r="107" spans="1:26" ht="11.25" customHeight="1" x14ac:dyDescent="0.3">
      <c r="A107" s="121"/>
      <c r="B107" s="121"/>
      <c r="C107" s="121"/>
      <c r="D107" s="121"/>
      <c r="E107" s="121"/>
      <c r="F107" s="121"/>
      <c r="G107" s="121"/>
      <c r="H107" s="121"/>
      <c r="I107" s="121"/>
      <c r="J107" s="121"/>
      <c r="K107" s="121"/>
      <c r="L107" s="121"/>
      <c r="M107" s="121"/>
      <c r="N107" s="121"/>
      <c r="O107" s="121"/>
      <c r="P107" s="121"/>
      <c r="Q107" s="121"/>
      <c r="R107" s="121"/>
      <c r="S107" s="121"/>
      <c r="T107" s="121"/>
      <c r="U107" s="121"/>
      <c r="V107" s="121"/>
      <c r="W107" s="121"/>
      <c r="X107" s="121"/>
      <c r="Y107" s="121"/>
      <c r="Z107" s="121"/>
    </row>
    <row r="108" spans="1:26" ht="11.25" customHeight="1" x14ac:dyDescent="0.3">
      <c r="A108" s="121"/>
      <c r="B108" s="121"/>
      <c r="C108" s="121"/>
      <c r="D108" s="121"/>
      <c r="E108" s="121"/>
      <c r="F108" s="121"/>
      <c r="G108" s="121"/>
      <c r="H108" s="121"/>
      <c r="I108" s="121"/>
      <c r="J108" s="121"/>
      <c r="K108" s="121"/>
      <c r="L108" s="121"/>
      <c r="M108" s="121"/>
      <c r="N108" s="121"/>
      <c r="O108" s="121"/>
      <c r="P108" s="121"/>
      <c r="Q108" s="121"/>
      <c r="R108" s="121"/>
      <c r="S108" s="121"/>
      <c r="T108" s="121"/>
      <c r="U108" s="121"/>
      <c r="V108" s="121"/>
      <c r="W108" s="121"/>
      <c r="X108" s="121"/>
      <c r="Y108" s="121"/>
      <c r="Z108" s="121"/>
    </row>
    <row r="109" spans="1:26" ht="11.25" customHeight="1" x14ac:dyDescent="0.3">
      <c r="A109" s="121"/>
      <c r="B109" s="121"/>
      <c r="C109" s="121"/>
      <c r="D109" s="121"/>
      <c r="E109" s="121"/>
      <c r="F109" s="121"/>
      <c r="G109" s="121"/>
      <c r="H109" s="121"/>
      <c r="I109" s="121"/>
      <c r="J109" s="121"/>
      <c r="K109" s="121"/>
      <c r="L109" s="121"/>
      <c r="M109" s="121"/>
      <c r="N109" s="121"/>
      <c r="O109" s="121"/>
      <c r="P109" s="121"/>
      <c r="Q109" s="121"/>
      <c r="R109" s="121"/>
      <c r="S109" s="121"/>
      <c r="T109" s="121"/>
      <c r="U109" s="121"/>
      <c r="V109" s="121"/>
      <c r="W109" s="121"/>
      <c r="X109" s="121"/>
      <c r="Y109" s="121"/>
      <c r="Z109" s="121"/>
    </row>
    <row r="110" spans="1:26" ht="11.25" customHeight="1" x14ac:dyDescent="0.3">
      <c r="A110" s="121"/>
      <c r="B110" s="121"/>
      <c r="C110" s="121"/>
      <c r="D110" s="121"/>
      <c r="E110" s="121"/>
      <c r="F110" s="121"/>
      <c r="G110" s="121"/>
      <c r="H110" s="121"/>
      <c r="I110" s="121"/>
      <c r="J110" s="121"/>
      <c r="K110" s="121"/>
      <c r="L110" s="121"/>
      <c r="M110" s="121"/>
      <c r="N110" s="121"/>
      <c r="O110" s="121"/>
      <c r="P110" s="121"/>
      <c r="Q110" s="121"/>
      <c r="R110" s="121"/>
      <c r="S110" s="121"/>
      <c r="T110" s="121"/>
      <c r="U110" s="121"/>
      <c r="V110" s="121"/>
      <c r="W110" s="121"/>
      <c r="X110" s="121"/>
      <c r="Y110" s="121"/>
      <c r="Z110" s="121"/>
    </row>
    <row r="111" spans="1:26" ht="11.25" customHeight="1" x14ac:dyDescent="0.3">
      <c r="A111" s="121"/>
      <c r="B111" s="121"/>
      <c r="C111" s="121"/>
      <c r="D111" s="121"/>
      <c r="E111" s="121"/>
      <c r="F111" s="121"/>
      <c r="G111" s="121"/>
      <c r="H111" s="121"/>
      <c r="I111" s="121"/>
      <c r="J111" s="121"/>
      <c r="K111" s="121"/>
      <c r="L111" s="121"/>
      <c r="M111" s="121"/>
      <c r="N111" s="121"/>
      <c r="O111" s="121"/>
      <c r="P111" s="121"/>
      <c r="Q111" s="121"/>
      <c r="R111" s="121"/>
      <c r="S111" s="121"/>
      <c r="T111" s="121"/>
      <c r="U111" s="121"/>
      <c r="V111" s="121"/>
      <c r="W111" s="121"/>
      <c r="X111" s="121"/>
      <c r="Y111" s="121"/>
      <c r="Z111" s="121"/>
    </row>
    <row r="112" spans="1:26" ht="11.25" customHeight="1" x14ac:dyDescent="0.3">
      <c r="A112" s="121"/>
      <c r="B112" s="121"/>
      <c r="C112" s="121"/>
      <c r="D112" s="121"/>
      <c r="E112" s="121"/>
      <c r="F112" s="121"/>
      <c r="G112" s="121"/>
      <c r="H112" s="121"/>
      <c r="I112" s="121"/>
      <c r="J112" s="121"/>
      <c r="K112" s="121"/>
      <c r="L112" s="121"/>
      <c r="M112" s="121"/>
      <c r="N112" s="121"/>
      <c r="O112" s="121"/>
      <c r="P112" s="121"/>
      <c r="Q112" s="121"/>
      <c r="R112" s="121"/>
      <c r="S112" s="121"/>
      <c r="T112" s="121"/>
      <c r="U112" s="121"/>
      <c r="V112" s="121"/>
      <c r="W112" s="121"/>
      <c r="X112" s="121"/>
      <c r="Y112" s="121"/>
      <c r="Z112" s="121"/>
    </row>
    <row r="113" spans="1:26" ht="11.25" customHeight="1" x14ac:dyDescent="0.3">
      <c r="A113" s="121"/>
      <c r="B113" s="121"/>
      <c r="C113" s="121"/>
      <c r="D113" s="121"/>
      <c r="E113" s="121"/>
      <c r="F113" s="121"/>
      <c r="G113" s="121"/>
      <c r="H113" s="121"/>
      <c r="I113" s="121"/>
      <c r="J113" s="121"/>
      <c r="K113" s="121"/>
      <c r="L113" s="121"/>
      <c r="M113" s="121"/>
      <c r="N113" s="121"/>
      <c r="O113" s="121"/>
      <c r="P113" s="121"/>
      <c r="Q113" s="121"/>
      <c r="R113" s="121"/>
      <c r="S113" s="121"/>
      <c r="T113" s="121"/>
      <c r="U113" s="121"/>
      <c r="V113" s="121"/>
      <c r="W113" s="121"/>
      <c r="X113" s="121"/>
      <c r="Y113" s="121"/>
      <c r="Z113" s="121"/>
    </row>
    <row r="114" spans="1:26" ht="11.25" customHeight="1" x14ac:dyDescent="0.3">
      <c r="A114" s="121"/>
      <c r="B114" s="121"/>
      <c r="C114" s="121"/>
      <c r="D114" s="121"/>
      <c r="E114" s="121"/>
      <c r="F114" s="121"/>
      <c r="G114" s="121"/>
      <c r="H114" s="121"/>
      <c r="I114" s="121"/>
      <c r="J114" s="121"/>
      <c r="K114" s="121"/>
      <c r="L114" s="121"/>
      <c r="M114" s="121"/>
      <c r="N114" s="121"/>
      <c r="O114" s="121"/>
      <c r="P114" s="121"/>
      <c r="Q114" s="121"/>
      <c r="R114" s="121"/>
      <c r="S114" s="121"/>
      <c r="T114" s="121"/>
      <c r="U114" s="121"/>
      <c r="V114" s="121"/>
      <c r="W114" s="121"/>
      <c r="X114" s="121"/>
      <c r="Y114" s="121"/>
      <c r="Z114" s="121"/>
    </row>
    <row r="115" spans="1:26" ht="11.25" customHeight="1" x14ac:dyDescent="0.3">
      <c r="A115" s="121"/>
      <c r="B115" s="121"/>
      <c r="C115" s="121"/>
      <c r="D115" s="121"/>
      <c r="E115" s="121"/>
      <c r="F115" s="121"/>
      <c r="G115" s="121"/>
      <c r="H115" s="121"/>
      <c r="I115" s="121"/>
      <c r="J115" s="121"/>
      <c r="K115" s="121"/>
      <c r="L115" s="121"/>
      <c r="M115" s="121"/>
      <c r="N115" s="121"/>
      <c r="O115" s="121"/>
      <c r="P115" s="121"/>
      <c r="Q115" s="121"/>
      <c r="R115" s="121"/>
      <c r="S115" s="121"/>
      <c r="T115" s="121"/>
      <c r="U115" s="121"/>
      <c r="V115" s="121"/>
      <c r="W115" s="121"/>
      <c r="X115" s="121"/>
      <c r="Y115" s="121"/>
      <c r="Z115" s="121"/>
    </row>
    <row r="116" spans="1:26" ht="11.25" customHeight="1" x14ac:dyDescent="0.3">
      <c r="A116" s="121"/>
      <c r="B116" s="121"/>
      <c r="C116" s="121"/>
      <c r="D116" s="121"/>
      <c r="E116" s="121"/>
      <c r="F116" s="121"/>
      <c r="G116" s="121"/>
      <c r="H116" s="121"/>
      <c r="I116" s="121"/>
      <c r="J116" s="121"/>
      <c r="K116" s="121"/>
      <c r="L116" s="121"/>
      <c r="M116" s="121"/>
      <c r="N116" s="121"/>
      <c r="O116" s="121"/>
      <c r="P116" s="121"/>
      <c r="Q116" s="121"/>
      <c r="R116" s="121"/>
      <c r="S116" s="121"/>
      <c r="T116" s="121"/>
      <c r="U116" s="121"/>
      <c r="V116" s="121"/>
      <c r="W116" s="121"/>
      <c r="X116" s="121"/>
      <c r="Y116" s="121"/>
      <c r="Z116" s="121"/>
    </row>
    <row r="117" spans="1:26" ht="11.25" customHeight="1" x14ac:dyDescent="0.3">
      <c r="A117" s="121"/>
      <c r="B117" s="121"/>
      <c r="C117" s="121"/>
      <c r="D117" s="121"/>
      <c r="E117" s="121"/>
      <c r="F117" s="121"/>
      <c r="G117" s="121"/>
      <c r="H117" s="121"/>
      <c r="I117" s="121"/>
      <c r="J117" s="121"/>
      <c r="K117" s="121"/>
      <c r="L117" s="121"/>
      <c r="M117" s="121"/>
      <c r="N117" s="121"/>
      <c r="O117" s="121"/>
      <c r="P117" s="121"/>
      <c r="Q117" s="121"/>
      <c r="R117" s="121"/>
      <c r="S117" s="121"/>
      <c r="T117" s="121"/>
      <c r="U117" s="121"/>
      <c r="V117" s="121"/>
      <c r="W117" s="121"/>
      <c r="X117" s="121"/>
      <c r="Y117" s="121"/>
      <c r="Z117" s="121"/>
    </row>
    <row r="118" spans="1:26" ht="11.25" customHeight="1" x14ac:dyDescent="0.3">
      <c r="A118" s="121"/>
      <c r="B118" s="121"/>
      <c r="C118" s="121"/>
      <c r="D118" s="121"/>
      <c r="E118" s="121"/>
      <c r="F118" s="121"/>
      <c r="G118" s="121"/>
      <c r="H118" s="121"/>
      <c r="I118" s="121"/>
      <c r="J118" s="121"/>
      <c r="K118" s="121"/>
      <c r="L118" s="121"/>
      <c r="M118" s="121"/>
      <c r="N118" s="121"/>
      <c r="O118" s="121"/>
      <c r="P118" s="121"/>
      <c r="Q118" s="121"/>
      <c r="R118" s="121"/>
      <c r="S118" s="121"/>
      <c r="T118" s="121"/>
      <c r="U118" s="121"/>
      <c r="V118" s="121"/>
      <c r="W118" s="121"/>
      <c r="X118" s="121"/>
      <c r="Y118" s="121"/>
      <c r="Z118" s="121"/>
    </row>
    <row r="119" spans="1:26" ht="11.25" customHeight="1" x14ac:dyDescent="0.3">
      <c r="A119" s="121"/>
      <c r="B119" s="121"/>
      <c r="C119" s="121"/>
      <c r="D119" s="121"/>
      <c r="E119" s="121"/>
      <c r="F119" s="121"/>
      <c r="G119" s="121"/>
      <c r="H119" s="121"/>
      <c r="I119" s="121"/>
      <c r="J119" s="121"/>
      <c r="K119" s="121"/>
      <c r="L119" s="121"/>
      <c r="M119" s="121"/>
      <c r="N119" s="121"/>
      <c r="O119" s="121"/>
      <c r="P119" s="121"/>
      <c r="Q119" s="121"/>
      <c r="R119" s="121"/>
      <c r="S119" s="121"/>
      <c r="T119" s="121"/>
      <c r="U119" s="121"/>
      <c r="V119" s="121"/>
      <c r="W119" s="121"/>
      <c r="X119" s="121"/>
      <c r="Y119" s="121"/>
      <c r="Z119" s="121"/>
    </row>
    <row r="120" spans="1:26" ht="11.25" customHeight="1" x14ac:dyDescent="0.3">
      <c r="A120" s="121"/>
      <c r="B120" s="121"/>
      <c r="C120" s="121"/>
      <c r="D120" s="121"/>
      <c r="E120" s="121"/>
      <c r="F120" s="121"/>
      <c r="G120" s="121"/>
      <c r="H120" s="121"/>
      <c r="I120" s="121"/>
      <c r="J120" s="121"/>
      <c r="K120" s="121"/>
      <c r="L120" s="121"/>
      <c r="M120" s="121"/>
      <c r="N120" s="121"/>
      <c r="O120" s="121"/>
      <c r="P120" s="121"/>
      <c r="Q120" s="121"/>
      <c r="R120" s="121"/>
      <c r="S120" s="121"/>
      <c r="T120" s="121"/>
      <c r="U120" s="121"/>
      <c r="V120" s="121"/>
      <c r="W120" s="121"/>
      <c r="X120" s="121"/>
      <c r="Y120" s="121"/>
      <c r="Z120" s="121"/>
    </row>
    <row r="121" spans="1:26" ht="11.25" customHeight="1" x14ac:dyDescent="0.3">
      <c r="A121" s="121"/>
      <c r="B121" s="121"/>
      <c r="C121" s="121"/>
      <c r="D121" s="121"/>
      <c r="E121" s="121"/>
      <c r="F121" s="121"/>
      <c r="G121" s="121"/>
      <c r="H121" s="121"/>
      <c r="I121" s="121"/>
      <c r="J121" s="121"/>
      <c r="K121" s="121"/>
      <c r="L121" s="121"/>
      <c r="M121" s="121"/>
      <c r="N121" s="121"/>
      <c r="O121" s="121"/>
      <c r="P121" s="121"/>
      <c r="Q121" s="121"/>
      <c r="R121" s="121"/>
      <c r="S121" s="121"/>
      <c r="T121" s="121"/>
      <c r="U121" s="121"/>
      <c r="V121" s="121"/>
      <c r="W121" s="121"/>
      <c r="X121" s="121"/>
      <c r="Y121" s="121"/>
      <c r="Z121" s="121"/>
    </row>
    <row r="122" spans="1:26" ht="11.25" customHeight="1" x14ac:dyDescent="0.3">
      <c r="A122" s="121"/>
      <c r="B122" s="121"/>
      <c r="C122" s="121"/>
      <c r="D122" s="121"/>
      <c r="E122" s="121"/>
      <c r="F122" s="121"/>
      <c r="G122" s="121"/>
      <c r="H122" s="121"/>
      <c r="I122" s="121"/>
      <c r="J122" s="121"/>
      <c r="K122" s="121"/>
      <c r="L122" s="121"/>
      <c r="M122" s="121"/>
      <c r="N122" s="121"/>
      <c r="O122" s="121"/>
      <c r="P122" s="121"/>
      <c r="Q122" s="121"/>
      <c r="R122" s="121"/>
      <c r="S122" s="121"/>
      <c r="T122" s="121"/>
      <c r="U122" s="121"/>
      <c r="V122" s="121"/>
      <c r="W122" s="121"/>
      <c r="X122" s="121"/>
      <c r="Y122" s="121"/>
      <c r="Z122" s="121"/>
    </row>
    <row r="123" spans="1:26" ht="11.25" customHeight="1" x14ac:dyDescent="0.3">
      <c r="A123" s="121"/>
      <c r="B123" s="121"/>
      <c r="C123" s="121"/>
      <c r="D123" s="121"/>
      <c r="E123" s="121"/>
      <c r="F123" s="121"/>
      <c r="G123" s="121"/>
      <c r="H123" s="121"/>
      <c r="I123" s="121"/>
      <c r="J123" s="121"/>
      <c r="K123" s="121"/>
      <c r="L123" s="121"/>
      <c r="M123" s="121"/>
      <c r="N123" s="121"/>
      <c r="O123" s="121"/>
      <c r="P123" s="121"/>
      <c r="Q123" s="121"/>
      <c r="R123" s="121"/>
      <c r="S123" s="121"/>
      <c r="T123" s="121"/>
      <c r="U123" s="121"/>
      <c r="V123" s="121"/>
      <c r="W123" s="121"/>
      <c r="X123" s="121"/>
      <c r="Y123" s="121"/>
      <c r="Z123" s="121"/>
    </row>
    <row r="124" spans="1:26" ht="11.25" customHeight="1" x14ac:dyDescent="0.3">
      <c r="A124" s="121"/>
      <c r="B124" s="121"/>
      <c r="C124" s="121"/>
      <c r="D124" s="121"/>
      <c r="E124" s="121"/>
      <c r="F124" s="121"/>
      <c r="G124" s="121"/>
      <c r="H124" s="121"/>
      <c r="I124" s="121"/>
      <c r="J124" s="121"/>
      <c r="K124" s="121"/>
      <c r="L124" s="121"/>
      <c r="M124" s="121"/>
      <c r="N124" s="121"/>
      <c r="O124" s="121"/>
      <c r="P124" s="121"/>
      <c r="Q124" s="121"/>
      <c r="R124" s="121"/>
      <c r="S124" s="121"/>
      <c r="T124" s="121"/>
      <c r="U124" s="121"/>
      <c r="V124" s="121"/>
      <c r="W124" s="121"/>
      <c r="X124" s="121"/>
      <c r="Y124" s="121"/>
      <c r="Z124" s="121"/>
    </row>
    <row r="125" spans="1:26" ht="11.25" customHeight="1" x14ac:dyDescent="0.3">
      <c r="A125" s="121"/>
      <c r="B125" s="121"/>
      <c r="C125" s="121"/>
      <c r="D125" s="121"/>
      <c r="E125" s="121"/>
      <c r="F125" s="121"/>
      <c r="G125" s="121"/>
      <c r="H125" s="121"/>
      <c r="I125" s="121"/>
      <c r="J125" s="121"/>
      <c r="K125" s="121"/>
      <c r="L125" s="121"/>
      <c r="M125" s="121"/>
      <c r="N125" s="121"/>
      <c r="O125" s="121"/>
      <c r="P125" s="121"/>
      <c r="Q125" s="121"/>
      <c r="R125" s="121"/>
      <c r="S125" s="121"/>
      <c r="T125" s="121"/>
      <c r="U125" s="121"/>
      <c r="V125" s="121"/>
      <c r="W125" s="121"/>
      <c r="X125" s="121"/>
      <c r="Y125" s="121"/>
      <c r="Z125" s="121"/>
    </row>
    <row r="126" spans="1:26" ht="11.25" customHeight="1" x14ac:dyDescent="0.3">
      <c r="A126" s="121"/>
      <c r="B126" s="121"/>
      <c r="C126" s="121"/>
      <c r="D126" s="121"/>
      <c r="E126" s="121"/>
      <c r="F126" s="121"/>
      <c r="G126" s="121"/>
      <c r="H126" s="121"/>
      <c r="I126" s="121"/>
      <c r="J126" s="121"/>
      <c r="K126" s="121"/>
      <c r="L126" s="121"/>
      <c r="M126" s="121"/>
      <c r="N126" s="121"/>
      <c r="O126" s="121"/>
      <c r="P126" s="121"/>
      <c r="Q126" s="121"/>
      <c r="R126" s="121"/>
      <c r="S126" s="121"/>
      <c r="T126" s="121"/>
      <c r="U126" s="121"/>
      <c r="V126" s="121"/>
      <c r="W126" s="121"/>
      <c r="X126" s="121"/>
      <c r="Y126" s="121"/>
      <c r="Z126" s="121"/>
    </row>
    <row r="127" spans="1:26" ht="11.25" customHeight="1" x14ac:dyDescent="0.3">
      <c r="A127" s="121"/>
      <c r="B127" s="121"/>
      <c r="C127" s="121"/>
      <c r="D127" s="121"/>
      <c r="E127" s="121"/>
      <c r="F127" s="121"/>
      <c r="G127" s="121"/>
      <c r="H127" s="121"/>
      <c r="I127" s="121"/>
      <c r="J127" s="121"/>
      <c r="K127" s="121"/>
      <c r="L127" s="121"/>
      <c r="M127" s="121"/>
      <c r="N127" s="121"/>
      <c r="O127" s="121"/>
      <c r="P127" s="121"/>
      <c r="Q127" s="121"/>
      <c r="R127" s="121"/>
      <c r="S127" s="121"/>
      <c r="T127" s="121"/>
      <c r="U127" s="121"/>
      <c r="V127" s="121"/>
      <c r="W127" s="121"/>
      <c r="X127" s="121"/>
      <c r="Y127" s="121"/>
      <c r="Z127" s="121"/>
    </row>
    <row r="128" spans="1:26" ht="11.25" customHeight="1" x14ac:dyDescent="0.3">
      <c r="A128" s="121"/>
      <c r="B128" s="121"/>
      <c r="C128" s="121"/>
      <c r="D128" s="121"/>
      <c r="E128" s="121"/>
      <c r="F128" s="121"/>
      <c r="G128" s="121"/>
      <c r="H128" s="121"/>
      <c r="I128" s="121"/>
      <c r="J128" s="121"/>
      <c r="K128" s="121"/>
      <c r="L128" s="121"/>
      <c r="M128" s="121"/>
      <c r="N128" s="121"/>
      <c r="O128" s="121"/>
      <c r="P128" s="121"/>
      <c r="Q128" s="121"/>
      <c r="R128" s="121"/>
      <c r="S128" s="121"/>
      <c r="T128" s="121"/>
      <c r="U128" s="121"/>
      <c r="V128" s="121"/>
      <c r="W128" s="121"/>
      <c r="X128" s="121"/>
      <c r="Y128" s="121"/>
      <c r="Z128" s="121"/>
    </row>
    <row r="129" spans="1:26" ht="11.25" customHeight="1" x14ac:dyDescent="0.3">
      <c r="A129" s="121"/>
      <c r="B129" s="121"/>
      <c r="C129" s="121"/>
      <c r="D129" s="121"/>
      <c r="E129" s="121"/>
      <c r="F129" s="121"/>
      <c r="G129" s="121"/>
      <c r="H129" s="121"/>
      <c r="I129" s="121"/>
      <c r="J129" s="121"/>
      <c r="K129" s="121"/>
      <c r="L129" s="121"/>
      <c r="M129" s="121"/>
      <c r="N129" s="121"/>
      <c r="O129" s="121"/>
      <c r="P129" s="121"/>
      <c r="Q129" s="121"/>
      <c r="R129" s="121"/>
      <c r="S129" s="121"/>
      <c r="T129" s="121"/>
      <c r="U129" s="121"/>
      <c r="V129" s="121"/>
      <c r="W129" s="121"/>
      <c r="X129" s="121"/>
      <c r="Y129" s="121"/>
      <c r="Z129" s="121"/>
    </row>
    <row r="130" spans="1:26" ht="11.25" customHeight="1" x14ac:dyDescent="0.3">
      <c r="A130" s="121"/>
      <c r="B130" s="121"/>
      <c r="C130" s="121"/>
      <c r="D130" s="121"/>
      <c r="E130" s="121"/>
      <c r="F130" s="121"/>
      <c r="G130" s="121"/>
      <c r="H130" s="121"/>
      <c r="I130" s="121"/>
      <c r="J130" s="121"/>
      <c r="K130" s="121"/>
      <c r="L130" s="121"/>
      <c r="M130" s="121"/>
      <c r="N130" s="121"/>
      <c r="O130" s="121"/>
      <c r="P130" s="121"/>
      <c r="Q130" s="121"/>
      <c r="R130" s="121"/>
      <c r="S130" s="121"/>
      <c r="T130" s="121"/>
      <c r="U130" s="121"/>
      <c r="V130" s="121"/>
      <c r="W130" s="121"/>
      <c r="X130" s="121"/>
      <c r="Y130" s="121"/>
      <c r="Z130" s="121"/>
    </row>
    <row r="131" spans="1:26" ht="11.25" customHeight="1" x14ac:dyDescent="0.3">
      <c r="A131" s="121"/>
      <c r="B131" s="121"/>
      <c r="C131" s="121"/>
      <c r="D131" s="121"/>
      <c r="E131" s="121"/>
      <c r="F131" s="121"/>
      <c r="G131" s="121"/>
      <c r="H131" s="121"/>
      <c r="I131" s="121"/>
      <c r="J131" s="121"/>
      <c r="K131" s="121"/>
      <c r="L131" s="121"/>
      <c r="M131" s="121"/>
      <c r="N131" s="121"/>
      <c r="O131" s="121"/>
      <c r="P131" s="121"/>
      <c r="Q131" s="121"/>
      <c r="R131" s="121"/>
      <c r="S131" s="121"/>
      <c r="T131" s="121"/>
      <c r="U131" s="121"/>
      <c r="V131" s="121"/>
      <c r="W131" s="121"/>
      <c r="X131" s="121"/>
      <c r="Y131" s="121"/>
      <c r="Z131" s="121"/>
    </row>
    <row r="132" spans="1:26" ht="11.25" customHeight="1" x14ac:dyDescent="0.3">
      <c r="A132" s="121"/>
      <c r="B132" s="121"/>
      <c r="C132" s="121"/>
      <c r="D132" s="121"/>
      <c r="E132" s="121"/>
      <c r="F132" s="121"/>
      <c r="G132" s="121"/>
      <c r="H132" s="121"/>
      <c r="I132" s="121"/>
      <c r="J132" s="121"/>
      <c r="K132" s="121"/>
      <c r="L132" s="121"/>
      <c r="M132" s="121"/>
      <c r="N132" s="121"/>
      <c r="O132" s="121"/>
      <c r="P132" s="121"/>
      <c r="Q132" s="121"/>
      <c r="R132" s="121"/>
      <c r="S132" s="121"/>
      <c r="T132" s="121"/>
      <c r="U132" s="121"/>
      <c r="V132" s="121"/>
      <c r="W132" s="121"/>
      <c r="X132" s="121"/>
      <c r="Y132" s="121"/>
      <c r="Z132" s="121"/>
    </row>
    <row r="133" spans="1:26" ht="11.25" customHeight="1" x14ac:dyDescent="0.3">
      <c r="A133" s="121"/>
      <c r="B133" s="121"/>
      <c r="C133" s="121"/>
      <c r="D133" s="121"/>
      <c r="E133" s="121"/>
      <c r="F133" s="121"/>
      <c r="G133" s="121"/>
      <c r="H133" s="121"/>
      <c r="I133" s="121"/>
      <c r="J133" s="121"/>
      <c r="K133" s="121"/>
      <c r="L133" s="121"/>
      <c r="M133" s="121"/>
      <c r="N133" s="121"/>
      <c r="O133" s="121"/>
      <c r="P133" s="121"/>
      <c r="Q133" s="121"/>
      <c r="R133" s="121"/>
      <c r="S133" s="121"/>
      <c r="T133" s="121"/>
      <c r="U133" s="121"/>
      <c r="V133" s="121"/>
      <c r="W133" s="121"/>
      <c r="X133" s="121"/>
      <c r="Y133" s="121"/>
      <c r="Z133" s="121"/>
    </row>
    <row r="134" spans="1:26" ht="11.25" customHeight="1" x14ac:dyDescent="0.3">
      <c r="A134" s="121"/>
      <c r="B134" s="121"/>
      <c r="C134" s="121"/>
      <c r="D134" s="121"/>
      <c r="E134" s="121"/>
      <c r="F134" s="121"/>
      <c r="G134" s="121"/>
      <c r="H134" s="121"/>
      <c r="I134" s="121"/>
      <c r="J134" s="121"/>
      <c r="K134" s="121"/>
      <c r="L134" s="121"/>
      <c r="M134" s="121"/>
      <c r="N134" s="121"/>
      <c r="O134" s="121"/>
      <c r="P134" s="121"/>
      <c r="Q134" s="121"/>
      <c r="R134" s="121"/>
      <c r="S134" s="121"/>
      <c r="T134" s="121"/>
      <c r="U134" s="121"/>
      <c r="V134" s="121"/>
      <c r="W134" s="121"/>
      <c r="X134" s="121"/>
      <c r="Y134" s="121"/>
      <c r="Z134" s="121"/>
    </row>
    <row r="135" spans="1:26" ht="11.25" customHeight="1" x14ac:dyDescent="0.3">
      <c r="A135" s="121"/>
      <c r="B135" s="121"/>
      <c r="C135" s="121"/>
      <c r="D135" s="121"/>
      <c r="E135" s="121"/>
      <c r="F135" s="121"/>
      <c r="G135" s="121"/>
      <c r="H135" s="121"/>
      <c r="I135" s="121"/>
      <c r="J135" s="121"/>
      <c r="K135" s="121"/>
      <c r="L135" s="121"/>
      <c r="M135" s="121"/>
      <c r="N135" s="121"/>
      <c r="O135" s="121"/>
      <c r="P135" s="121"/>
      <c r="Q135" s="121"/>
      <c r="R135" s="121"/>
      <c r="S135" s="121"/>
      <c r="T135" s="121"/>
      <c r="U135" s="121"/>
      <c r="V135" s="121"/>
      <c r="W135" s="121"/>
      <c r="X135" s="121"/>
      <c r="Y135" s="121"/>
      <c r="Z135" s="121"/>
    </row>
    <row r="136" spans="1:26" ht="11.25" customHeight="1" x14ac:dyDescent="0.3">
      <c r="A136" s="121"/>
      <c r="B136" s="121"/>
      <c r="C136" s="121"/>
      <c r="D136" s="121"/>
      <c r="E136" s="121"/>
      <c r="F136" s="121"/>
      <c r="G136" s="121"/>
      <c r="H136" s="121"/>
      <c r="I136" s="121"/>
      <c r="J136" s="121"/>
      <c r="K136" s="121"/>
      <c r="L136" s="121"/>
      <c r="M136" s="121"/>
      <c r="N136" s="121"/>
      <c r="O136" s="121"/>
      <c r="P136" s="121"/>
      <c r="Q136" s="121"/>
      <c r="R136" s="121"/>
      <c r="S136" s="121"/>
      <c r="T136" s="121"/>
      <c r="U136" s="121"/>
      <c r="V136" s="121"/>
      <c r="W136" s="121"/>
      <c r="X136" s="121"/>
      <c r="Y136" s="121"/>
      <c r="Z136" s="121"/>
    </row>
    <row r="137" spans="1:26" ht="11.25" customHeight="1" x14ac:dyDescent="0.3">
      <c r="A137" s="121"/>
      <c r="B137" s="121"/>
      <c r="C137" s="121"/>
      <c r="D137" s="121"/>
      <c r="E137" s="121"/>
      <c r="F137" s="121"/>
      <c r="G137" s="121"/>
      <c r="H137" s="121"/>
      <c r="I137" s="121"/>
      <c r="J137" s="121"/>
      <c r="K137" s="121"/>
      <c r="L137" s="121"/>
      <c r="M137" s="121"/>
      <c r="N137" s="121"/>
      <c r="O137" s="121"/>
      <c r="P137" s="121"/>
      <c r="Q137" s="121"/>
      <c r="R137" s="121"/>
      <c r="S137" s="121"/>
      <c r="T137" s="121"/>
      <c r="U137" s="121"/>
      <c r="V137" s="121"/>
      <c r="W137" s="121"/>
      <c r="X137" s="121"/>
      <c r="Y137" s="121"/>
      <c r="Z137" s="121"/>
    </row>
    <row r="138" spans="1:26" ht="11.25" customHeight="1" x14ac:dyDescent="0.3">
      <c r="A138" s="121"/>
      <c r="B138" s="121"/>
      <c r="C138" s="121"/>
      <c r="D138" s="121"/>
      <c r="E138" s="121"/>
      <c r="F138" s="121"/>
      <c r="G138" s="121"/>
      <c r="H138" s="121"/>
      <c r="I138" s="121"/>
      <c r="J138" s="121"/>
      <c r="K138" s="121"/>
      <c r="L138" s="121"/>
      <c r="M138" s="121"/>
      <c r="N138" s="121"/>
      <c r="O138" s="121"/>
      <c r="P138" s="121"/>
      <c r="Q138" s="121"/>
      <c r="R138" s="121"/>
      <c r="S138" s="121"/>
      <c r="T138" s="121"/>
      <c r="U138" s="121"/>
      <c r="V138" s="121"/>
      <c r="W138" s="121"/>
      <c r="X138" s="121"/>
      <c r="Y138" s="121"/>
      <c r="Z138" s="121"/>
    </row>
    <row r="139" spans="1:26" ht="11.25" customHeight="1" x14ac:dyDescent="0.3">
      <c r="A139" s="121"/>
      <c r="B139" s="121"/>
      <c r="C139" s="121"/>
      <c r="D139" s="121"/>
      <c r="E139" s="121"/>
      <c r="F139" s="121"/>
      <c r="G139" s="121"/>
      <c r="H139" s="121"/>
      <c r="I139" s="121"/>
      <c r="J139" s="121"/>
      <c r="K139" s="121"/>
      <c r="L139" s="121"/>
      <c r="M139" s="121"/>
      <c r="N139" s="121"/>
      <c r="O139" s="121"/>
      <c r="P139" s="121"/>
      <c r="Q139" s="121"/>
      <c r="R139" s="121"/>
      <c r="S139" s="121"/>
      <c r="T139" s="121"/>
      <c r="U139" s="121"/>
      <c r="V139" s="121"/>
      <c r="W139" s="121"/>
      <c r="X139" s="121"/>
      <c r="Y139" s="121"/>
      <c r="Z139" s="121"/>
    </row>
    <row r="140" spans="1:26" ht="11.25" customHeight="1" x14ac:dyDescent="0.3">
      <c r="A140" s="121"/>
      <c r="B140" s="121"/>
      <c r="C140" s="121"/>
      <c r="D140" s="121"/>
      <c r="E140" s="121"/>
      <c r="F140" s="121"/>
      <c r="G140" s="121"/>
      <c r="H140" s="121"/>
      <c r="I140" s="121"/>
      <c r="J140" s="121"/>
      <c r="K140" s="121"/>
      <c r="L140" s="121"/>
      <c r="M140" s="121"/>
      <c r="N140" s="121"/>
      <c r="O140" s="121"/>
      <c r="P140" s="121"/>
      <c r="Q140" s="121"/>
      <c r="R140" s="121"/>
      <c r="S140" s="121"/>
      <c r="T140" s="121"/>
      <c r="U140" s="121"/>
      <c r="V140" s="121"/>
      <c r="W140" s="121"/>
      <c r="X140" s="121"/>
      <c r="Y140" s="121"/>
      <c r="Z140" s="121"/>
    </row>
    <row r="141" spans="1:26" ht="11.25" customHeight="1" x14ac:dyDescent="0.3">
      <c r="A141" s="121"/>
      <c r="B141" s="121"/>
      <c r="C141" s="121"/>
      <c r="D141" s="121"/>
      <c r="E141" s="121"/>
      <c r="F141" s="121"/>
      <c r="G141" s="121"/>
      <c r="H141" s="121"/>
      <c r="I141" s="121"/>
      <c r="J141" s="121"/>
      <c r="K141" s="121"/>
      <c r="L141" s="121"/>
      <c r="M141" s="121"/>
      <c r="N141" s="121"/>
      <c r="O141" s="121"/>
      <c r="P141" s="121"/>
      <c r="Q141" s="121"/>
      <c r="R141" s="121"/>
      <c r="S141" s="121"/>
      <c r="T141" s="121"/>
      <c r="U141" s="121"/>
      <c r="V141" s="121"/>
      <c r="W141" s="121"/>
      <c r="X141" s="121"/>
      <c r="Y141" s="121"/>
      <c r="Z141" s="121"/>
    </row>
    <row r="142" spans="1:26" ht="11.25" customHeight="1" x14ac:dyDescent="0.3">
      <c r="A142" s="121"/>
      <c r="B142" s="121"/>
      <c r="C142" s="121"/>
      <c r="D142" s="121"/>
      <c r="E142" s="121"/>
      <c r="F142" s="121"/>
      <c r="G142" s="121"/>
      <c r="H142" s="121"/>
      <c r="I142" s="121"/>
      <c r="J142" s="121"/>
      <c r="K142" s="121"/>
      <c r="L142" s="121"/>
      <c r="M142" s="121"/>
      <c r="N142" s="121"/>
      <c r="O142" s="121"/>
      <c r="P142" s="121"/>
      <c r="Q142" s="121"/>
      <c r="R142" s="121"/>
      <c r="S142" s="121"/>
      <c r="T142" s="121"/>
      <c r="U142" s="121"/>
      <c r="V142" s="121"/>
      <c r="W142" s="121"/>
      <c r="X142" s="121"/>
      <c r="Y142" s="121"/>
      <c r="Z142" s="121"/>
    </row>
    <row r="143" spans="1:26" ht="11.25" customHeight="1" x14ac:dyDescent="0.3">
      <c r="A143" s="121"/>
      <c r="B143" s="121"/>
      <c r="C143" s="121"/>
      <c r="D143" s="121"/>
      <c r="E143" s="121"/>
      <c r="F143" s="121"/>
      <c r="G143" s="121"/>
      <c r="H143" s="121"/>
      <c r="I143" s="121"/>
      <c r="J143" s="121"/>
      <c r="K143" s="121"/>
      <c r="L143" s="121"/>
      <c r="M143" s="121"/>
      <c r="N143" s="121"/>
      <c r="O143" s="121"/>
      <c r="P143" s="121"/>
      <c r="Q143" s="121"/>
      <c r="R143" s="121"/>
      <c r="S143" s="121"/>
      <c r="T143" s="121"/>
      <c r="U143" s="121"/>
      <c r="V143" s="121"/>
      <c r="W143" s="121"/>
      <c r="X143" s="121"/>
      <c r="Y143" s="121"/>
      <c r="Z143" s="121"/>
    </row>
    <row r="144" spans="1:26" ht="11.25" customHeight="1" x14ac:dyDescent="0.3">
      <c r="A144" s="121"/>
      <c r="B144" s="121"/>
      <c r="C144" s="121"/>
      <c r="D144" s="121"/>
      <c r="E144" s="121"/>
      <c r="F144" s="121"/>
      <c r="G144" s="121"/>
      <c r="H144" s="121"/>
      <c r="I144" s="121"/>
      <c r="J144" s="121"/>
      <c r="K144" s="121"/>
      <c r="L144" s="121"/>
      <c r="M144" s="121"/>
      <c r="N144" s="121"/>
      <c r="O144" s="121"/>
      <c r="P144" s="121"/>
      <c r="Q144" s="121"/>
      <c r="R144" s="121"/>
      <c r="S144" s="121"/>
      <c r="T144" s="121"/>
      <c r="U144" s="121"/>
      <c r="V144" s="121"/>
      <c r="W144" s="121"/>
      <c r="X144" s="121"/>
      <c r="Y144" s="121"/>
      <c r="Z144" s="121"/>
    </row>
    <row r="145" spans="1:26" ht="11.25" customHeight="1" x14ac:dyDescent="0.3">
      <c r="A145" s="121"/>
      <c r="B145" s="121"/>
      <c r="C145" s="121"/>
      <c r="D145" s="121"/>
      <c r="E145" s="121"/>
      <c r="F145" s="121"/>
      <c r="G145" s="121"/>
      <c r="H145" s="121"/>
      <c r="I145" s="121"/>
      <c r="J145" s="121"/>
      <c r="K145" s="121"/>
      <c r="L145" s="121"/>
      <c r="M145" s="121"/>
      <c r="N145" s="121"/>
      <c r="O145" s="121"/>
      <c r="P145" s="121"/>
      <c r="Q145" s="121"/>
      <c r="R145" s="121"/>
      <c r="S145" s="121"/>
      <c r="T145" s="121"/>
      <c r="U145" s="121"/>
      <c r="V145" s="121"/>
      <c r="W145" s="121"/>
      <c r="X145" s="121"/>
      <c r="Y145" s="121"/>
      <c r="Z145" s="121"/>
    </row>
    <row r="146" spans="1:26" ht="11.25" customHeight="1" x14ac:dyDescent="0.3">
      <c r="A146" s="121"/>
      <c r="B146" s="121"/>
      <c r="C146" s="121"/>
      <c r="D146" s="121"/>
      <c r="E146" s="121"/>
      <c r="F146" s="121"/>
      <c r="G146" s="121"/>
      <c r="H146" s="121"/>
      <c r="I146" s="121"/>
      <c r="J146" s="121"/>
      <c r="K146" s="121"/>
      <c r="L146" s="121"/>
      <c r="M146" s="121"/>
      <c r="N146" s="121"/>
      <c r="O146" s="121"/>
      <c r="P146" s="121"/>
      <c r="Q146" s="121"/>
      <c r="R146" s="121"/>
      <c r="S146" s="121"/>
      <c r="T146" s="121"/>
      <c r="U146" s="121"/>
      <c r="V146" s="121"/>
      <c r="W146" s="121"/>
      <c r="X146" s="121"/>
      <c r="Y146" s="121"/>
      <c r="Z146" s="121"/>
    </row>
    <row r="147" spans="1:26" ht="11.25" customHeight="1" x14ac:dyDescent="0.3">
      <c r="A147" s="121"/>
      <c r="B147" s="121"/>
      <c r="C147" s="121"/>
      <c r="D147" s="121"/>
      <c r="E147" s="121"/>
      <c r="F147" s="121"/>
      <c r="G147" s="121"/>
      <c r="H147" s="121"/>
      <c r="I147" s="121"/>
      <c r="J147" s="121"/>
      <c r="K147" s="121"/>
      <c r="L147" s="121"/>
      <c r="M147" s="121"/>
      <c r="N147" s="121"/>
      <c r="O147" s="121"/>
      <c r="P147" s="121"/>
      <c r="Q147" s="121"/>
      <c r="R147" s="121"/>
      <c r="S147" s="121"/>
      <c r="T147" s="121"/>
      <c r="U147" s="121"/>
      <c r="V147" s="121"/>
      <c r="W147" s="121"/>
      <c r="X147" s="121"/>
      <c r="Y147" s="121"/>
      <c r="Z147" s="121"/>
    </row>
    <row r="148" spans="1:26" ht="11.25" customHeight="1" x14ac:dyDescent="0.3">
      <c r="A148" s="121"/>
      <c r="B148" s="121"/>
      <c r="C148" s="121"/>
      <c r="D148" s="121"/>
      <c r="E148" s="121"/>
      <c r="F148" s="121"/>
      <c r="G148" s="121"/>
      <c r="H148" s="121"/>
      <c r="I148" s="121"/>
      <c r="J148" s="121"/>
      <c r="K148" s="121"/>
      <c r="L148" s="121"/>
      <c r="M148" s="121"/>
      <c r="N148" s="121"/>
      <c r="O148" s="121"/>
      <c r="P148" s="121"/>
      <c r="Q148" s="121"/>
      <c r="R148" s="121"/>
      <c r="S148" s="121"/>
      <c r="T148" s="121"/>
      <c r="U148" s="121"/>
      <c r="V148" s="121"/>
      <c r="W148" s="121"/>
      <c r="X148" s="121"/>
      <c r="Y148" s="121"/>
      <c r="Z148" s="121"/>
    </row>
    <row r="149" spans="1:26" ht="11.25" customHeight="1" x14ac:dyDescent="0.3">
      <c r="A149" s="121"/>
      <c r="B149" s="121"/>
      <c r="C149" s="121"/>
      <c r="D149" s="121"/>
      <c r="E149" s="121"/>
      <c r="F149" s="121"/>
      <c r="G149" s="121"/>
      <c r="H149" s="121"/>
      <c r="I149" s="121"/>
      <c r="J149" s="121"/>
      <c r="K149" s="121"/>
      <c r="L149" s="121"/>
      <c r="M149" s="121"/>
      <c r="N149" s="121"/>
      <c r="O149" s="121"/>
      <c r="P149" s="121"/>
      <c r="Q149" s="121"/>
      <c r="R149" s="121"/>
      <c r="S149" s="121"/>
      <c r="T149" s="121"/>
      <c r="U149" s="121"/>
      <c r="V149" s="121"/>
      <c r="W149" s="121"/>
      <c r="X149" s="121"/>
      <c r="Y149" s="121"/>
      <c r="Z149" s="121"/>
    </row>
    <row r="150" spans="1:26" ht="11.25" customHeight="1" x14ac:dyDescent="0.3">
      <c r="A150" s="121"/>
      <c r="B150" s="121"/>
      <c r="C150" s="121"/>
      <c r="D150" s="121"/>
      <c r="E150" s="121"/>
      <c r="F150" s="121"/>
      <c r="G150" s="121"/>
      <c r="H150" s="121"/>
      <c r="I150" s="121"/>
      <c r="J150" s="121"/>
      <c r="K150" s="121"/>
      <c r="L150" s="121"/>
      <c r="M150" s="121"/>
      <c r="N150" s="121"/>
      <c r="O150" s="121"/>
      <c r="P150" s="121"/>
      <c r="Q150" s="121"/>
      <c r="R150" s="121"/>
      <c r="S150" s="121"/>
      <c r="T150" s="121"/>
      <c r="U150" s="121"/>
      <c r="V150" s="121"/>
      <c r="W150" s="121"/>
      <c r="X150" s="121"/>
      <c r="Y150" s="121"/>
      <c r="Z150" s="121"/>
    </row>
    <row r="151" spans="1:26" ht="11.25" customHeight="1" x14ac:dyDescent="0.3">
      <c r="A151" s="121"/>
      <c r="B151" s="121"/>
      <c r="C151" s="121"/>
      <c r="D151" s="121"/>
      <c r="E151" s="121"/>
      <c r="F151" s="121"/>
      <c r="G151" s="121"/>
      <c r="H151" s="121"/>
      <c r="I151" s="121"/>
      <c r="J151" s="121"/>
      <c r="K151" s="121"/>
      <c r="L151" s="121"/>
      <c r="M151" s="121"/>
      <c r="N151" s="121"/>
      <c r="O151" s="121"/>
      <c r="P151" s="121"/>
      <c r="Q151" s="121"/>
      <c r="R151" s="121"/>
      <c r="S151" s="121"/>
      <c r="T151" s="121"/>
      <c r="U151" s="121"/>
      <c r="V151" s="121"/>
      <c r="W151" s="121"/>
      <c r="X151" s="121"/>
      <c r="Y151" s="121"/>
      <c r="Z151" s="121"/>
    </row>
    <row r="152" spans="1:26" ht="11.25" customHeight="1" x14ac:dyDescent="0.3">
      <c r="A152" s="121"/>
      <c r="B152" s="121"/>
      <c r="C152" s="121"/>
      <c r="D152" s="121"/>
      <c r="E152" s="121"/>
      <c r="F152" s="121"/>
      <c r="G152" s="121"/>
      <c r="H152" s="121"/>
      <c r="I152" s="121"/>
      <c r="J152" s="121"/>
      <c r="K152" s="121"/>
      <c r="L152" s="121"/>
      <c r="M152" s="121"/>
      <c r="N152" s="121"/>
      <c r="O152" s="121"/>
      <c r="P152" s="121"/>
      <c r="Q152" s="121"/>
      <c r="R152" s="121"/>
      <c r="S152" s="121"/>
      <c r="T152" s="121"/>
      <c r="U152" s="121"/>
      <c r="V152" s="121"/>
      <c r="W152" s="121"/>
      <c r="X152" s="121"/>
      <c r="Y152" s="121"/>
      <c r="Z152" s="121"/>
    </row>
    <row r="153" spans="1:26" ht="11.25" customHeight="1" x14ac:dyDescent="0.3">
      <c r="A153" s="121"/>
      <c r="B153" s="121"/>
      <c r="C153" s="121"/>
      <c r="D153" s="121"/>
      <c r="E153" s="121"/>
      <c r="F153" s="121"/>
      <c r="G153" s="121"/>
      <c r="H153" s="121"/>
      <c r="I153" s="121"/>
      <c r="J153" s="121"/>
      <c r="K153" s="121"/>
      <c r="L153" s="121"/>
      <c r="M153" s="121"/>
      <c r="N153" s="121"/>
      <c r="O153" s="121"/>
      <c r="P153" s="121"/>
      <c r="Q153" s="121"/>
      <c r="R153" s="121"/>
      <c r="S153" s="121"/>
      <c r="T153" s="121"/>
      <c r="U153" s="121"/>
      <c r="V153" s="121"/>
      <c r="W153" s="121"/>
      <c r="X153" s="121"/>
      <c r="Y153" s="121"/>
      <c r="Z153" s="121"/>
    </row>
    <row r="154" spans="1:26" ht="11.25" customHeight="1" x14ac:dyDescent="0.3">
      <c r="A154" s="121"/>
      <c r="B154" s="121"/>
      <c r="C154" s="121"/>
      <c r="D154" s="121"/>
      <c r="E154" s="121"/>
      <c r="F154" s="121"/>
      <c r="G154" s="121"/>
      <c r="H154" s="121"/>
      <c r="I154" s="121"/>
      <c r="J154" s="121"/>
      <c r="K154" s="121"/>
      <c r="L154" s="121"/>
      <c r="M154" s="121"/>
      <c r="N154" s="121"/>
      <c r="O154" s="121"/>
      <c r="P154" s="121"/>
      <c r="Q154" s="121"/>
      <c r="R154" s="121"/>
      <c r="S154" s="121"/>
      <c r="T154" s="121"/>
      <c r="U154" s="121"/>
      <c r="V154" s="121"/>
      <c r="W154" s="121"/>
      <c r="X154" s="121"/>
      <c r="Y154" s="121"/>
      <c r="Z154" s="121"/>
    </row>
    <row r="155" spans="1:26" ht="11.25" customHeight="1" x14ac:dyDescent="0.3">
      <c r="A155" s="121"/>
      <c r="B155" s="121"/>
      <c r="C155" s="121"/>
      <c r="D155" s="121"/>
      <c r="E155" s="121"/>
      <c r="F155" s="121"/>
      <c r="G155" s="121"/>
      <c r="H155" s="121"/>
      <c r="I155" s="121"/>
      <c r="J155" s="121"/>
      <c r="K155" s="121"/>
      <c r="L155" s="121"/>
      <c r="M155" s="121"/>
      <c r="N155" s="121"/>
      <c r="O155" s="121"/>
      <c r="P155" s="121"/>
      <c r="Q155" s="121"/>
      <c r="R155" s="121"/>
      <c r="S155" s="121"/>
      <c r="T155" s="121"/>
      <c r="U155" s="121"/>
      <c r="V155" s="121"/>
      <c r="W155" s="121"/>
      <c r="X155" s="121"/>
      <c r="Y155" s="121"/>
      <c r="Z155" s="121"/>
    </row>
    <row r="156" spans="1:26" ht="11.25" customHeight="1" x14ac:dyDescent="0.3">
      <c r="A156" s="121"/>
      <c r="B156" s="121"/>
      <c r="C156" s="121"/>
      <c r="D156" s="121"/>
      <c r="E156" s="121"/>
      <c r="F156" s="121"/>
      <c r="G156" s="121"/>
      <c r="H156" s="121"/>
      <c r="I156" s="121"/>
      <c r="J156" s="121"/>
      <c r="K156" s="121"/>
      <c r="L156" s="121"/>
      <c r="M156" s="121"/>
      <c r="N156" s="121"/>
      <c r="O156" s="121"/>
      <c r="P156" s="121"/>
      <c r="Q156" s="121"/>
      <c r="R156" s="121"/>
      <c r="S156" s="121"/>
      <c r="T156" s="121"/>
      <c r="U156" s="121"/>
      <c r="V156" s="121"/>
      <c r="W156" s="121"/>
      <c r="X156" s="121"/>
      <c r="Y156" s="121"/>
      <c r="Z156" s="121"/>
    </row>
    <row r="157" spans="1:26" ht="11.25" customHeight="1" x14ac:dyDescent="0.3">
      <c r="A157" s="121"/>
      <c r="B157" s="121"/>
      <c r="C157" s="121"/>
      <c r="D157" s="121"/>
      <c r="E157" s="121"/>
      <c r="F157" s="121"/>
      <c r="G157" s="121"/>
      <c r="H157" s="121"/>
      <c r="I157" s="121"/>
      <c r="J157" s="121"/>
      <c r="K157" s="121"/>
      <c r="L157" s="121"/>
      <c r="M157" s="121"/>
      <c r="N157" s="121"/>
      <c r="O157" s="121"/>
      <c r="P157" s="121"/>
      <c r="Q157" s="121"/>
      <c r="R157" s="121"/>
      <c r="S157" s="121"/>
      <c r="T157" s="121"/>
      <c r="U157" s="121"/>
      <c r="V157" s="121"/>
      <c r="W157" s="121"/>
      <c r="X157" s="121"/>
      <c r="Y157" s="121"/>
      <c r="Z157" s="121"/>
    </row>
    <row r="158" spans="1:26" ht="11.25" customHeight="1" x14ac:dyDescent="0.3">
      <c r="A158" s="121"/>
      <c r="B158" s="121"/>
      <c r="C158" s="121"/>
      <c r="D158" s="121"/>
      <c r="E158" s="121"/>
      <c r="F158" s="121"/>
      <c r="G158" s="121"/>
      <c r="H158" s="121"/>
      <c r="I158" s="121"/>
      <c r="J158" s="121"/>
      <c r="K158" s="121"/>
      <c r="L158" s="121"/>
      <c r="M158" s="121"/>
      <c r="N158" s="121"/>
      <c r="O158" s="121"/>
      <c r="P158" s="121"/>
      <c r="Q158" s="121"/>
      <c r="R158" s="121"/>
      <c r="S158" s="121"/>
      <c r="T158" s="121"/>
      <c r="U158" s="121"/>
      <c r="V158" s="121"/>
      <c r="W158" s="121"/>
      <c r="X158" s="121"/>
      <c r="Y158" s="121"/>
      <c r="Z158" s="121"/>
    </row>
    <row r="159" spans="1:26" ht="11.25" customHeight="1" x14ac:dyDescent="0.3">
      <c r="A159" s="121"/>
      <c r="B159" s="121"/>
      <c r="C159" s="121"/>
      <c r="D159" s="121"/>
      <c r="E159" s="121"/>
      <c r="F159" s="121"/>
      <c r="G159" s="121"/>
      <c r="H159" s="121"/>
      <c r="I159" s="121"/>
      <c r="J159" s="121"/>
      <c r="K159" s="121"/>
      <c r="L159" s="121"/>
      <c r="M159" s="121"/>
      <c r="N159" s="121"/>
      <c r="O159" s="121"/>
      <c r="P159" s="121"/>
      <c r="Q159" s="121"/>
      <c r="R159" s="121"/>
      <c r="S159" s="121"/>
      <c r="T159" s="121"/>
      <c r="U159" s="121"/>
      <c r="V159" s="121"/>
      <c r="W159" s="121"/>
      <c r="X159" s="121"/>
      <c r="Y159" s="121"/>
      <c r="Z159" s="121"/>
    </row>
    <row r="160" spans="1:26" ht="11.25" customHeight="1" x14ac:dyDescent="0.3">
      <c r="A160" s="121"/>
      <c r="B160" s="121"/>
      <c r="C160" s="121"/>
      <c r="D160" s="121"/>
      <c r="E160" s="121"/>
      <c r="F160" s="121"/>
      <c r="G160" s="121"/>
      <c r="H160" s="121"/>
      <c r="I160" s="121"/>
      <c r="J160" s="121"/>
      <c r="K160" s="121"/>
      <c r="L160" s="121"/>
      <c r="M160" s="121"/>
      <c r="N160" s="121"/>
      <c r="O160" s="121"/>
      <c r="P160" s="121"/>
      <c r="Q160" s="121"/>
      <c r="R160" s="121"/>
      <c r="S160" s="121"/>
      <c r="T160" s="121"/>
      <c r="U160" s="121"/>
      <c r="V160" s="121"/>
      <c r="W160" s="121"/>
      <c r="X160" s="121"/>
      <c r="Y160" s="121"/>
      <c r="Z160" s="121"/>
    </row>
    <row r="161" spans="1:26" ht="11.25" customHeight="1" x14ac:dyDescent="0.3">
      <c r="A161" s="121"/>
      <c r="B161" s="121"/>
      <c r="C161" s="121"/>
      <c r="D161" s="121"/>
      <c r="E161" s="121"/>
      <c r="F161" s="121"/>
      <c r="G161" s="121"/>
      <c r="H161" s="121"/>
      <c r="I161" s="121"/>
      <c r="J161" s="121"/>
      <c r="K161" s="121"/>
      <c r="L161" s="121"/>
      <c r="M161" s="121"/>
      <c r="N161" s="121"/>
      <c r="O161" s="121"/>
      <c r="P161" s="121"/>
      <c r="Q161" s="121"/>
      <c r="R161" s="121"/>
      <c r="S161" s="121"/>
      <c r="T161" s="121"/>
      <c r="U161" s="121"/>
      <c r="V161" s="121"/>
      <c r="W161" s="121"/>
      <c r="X161" s="121"/>
      <c r="Y161" s="121"/>
      <c r="Z161" s="121"/>
    </row>
    <row r="162" spans="1:26" ht="11.25" customHeight="1" x14ac:dyDescent="0.3">
      <c r="A162" s="121"/>
      <c r="B162" s="121"/>
      <c r="C162" s="121"/>
      <c r="D162" s="121"/>
      <c r="E162" s="121"/>
      <c r="F162" s="121"/>
      <c r="G162" s="121"/>
      <c r="H162" s="121"/>
      <c r="I162" s="121"/>
      <c r="J162" s="121"/>
      <c r="K162" s="121"/>
      <c r="L162" s="121"/>
      <c r="M162" s="121"/>
      <c r="N162" s="121"/>
      <c r="O162" s="121"/>
      <c r="P162" s="121"/>
      <c r="Q162" s="121"/>
      <c r="R162" s="121"/>
      <c r="S162" s="121"/>
      <c r="T162" s="121"/>
      <c r="U162" s="121"/>
      <c r="V162" s="121"/>
      <c r="W162" s="121"/>
      <c r="X162" s="121"/>
      <c r="Y162" s="121"/>
      <c r="Z162" s="121"/>
    </row>
    <row r="163" spans="1:26" ht="11.25" customHeight="1" x14ac:dyDescent="0.3">
      <c r="A163" s="121"/>
      <c r="B163" s="121"/>
      <c r="C163" s="121"/>
      <c r="D163" s="121"/>
      <c r="E163" s="121"/>
      <c r="F163" s="121"/>
      <c r="G163" s="121"/>
      <c r="H163" s="121"/>
      <c r="I163" s="121"/>
      <c r="J163" s="121"/>
      <c r="K163" s="121"/>
      <c r="L163" s="121"/>
      <c r="M163" s="121"/>
      <c r="N163" s="121"/>
      <c r="O163" s="121"/>
      <c r="P163" s="121"/>
      <c r="Q163" s="121"/>
      <c r="R163" s="121"/>
      <c r="S163" s="121"/>
      <c r="T163" s="121"/>
      <c r="U163" s="121"/>
      <c r="V163" s="121"/>
      <c r="W163" s="121"/>
      <c r="X163" s="121"/>
      <c r="Y163" s="121"/>
      <c r="Z163" s="121"/>
    </row>
    <row r="164" spans="1:26" ht="11.25" customHeight="1" x14ac:dyDescent="0.3">
      <c r="A164" s="121"/>
      <c r="B164" s="121"/>
      <c r="C164" s="121"/>
      <c r="D164" s="121"/>
      <c r="E164" s="121"/>
      <c r="F164" s="121"/>
      <c r="G164" s="121"/>
      <c r="H164" s="121"/>
      <c r="I164" s="121"/>
      <c r="J164" s="121"/>
      <c r="K164" s="121"/>
      <c r="L164" s="121"/>
      <c r="M164" s="121"/>
      <c r="N164" s="121"/>
      <c r="O164" s="121"/>
      <c r="P164" s="121"/>
      <c r="Q164" s="121"/>
      <c r="R164" s="121"/>
      <c r="S164" s="121"/>
      <c r="T164" s="121"/>
      <c r="U164" s="121"/>
      <c r="V164" s="121"/>
      <c r="W164" s="121"/>
      <c r="X164" s="121"/>
      <c r="Y164" s="121"/>
      <c r="Z164" s="121"/>
    </row>
    <row r="165" spans="1:26" ht="11.25" customHeight="1" x14ac:dyDescent="0.3">
      <c r="A165" s="121"/>
      <c r="B165" s="121"/>
      <c r="C165" s="121"/>
      <c r="D165" s="121"/>
      <c r="E165" s="121"/>
      <c r="F165" s="121"/>
      <c r="G165" s="121"/>
      <c r="H165" s="121"/>
      <c r="I165" s="121"/>
      <c r="J165" s="121"/>
      <c r="K165" s="121"/>
      <c r="L165" s="121"/>
      <c r="M165" s="121"/>
      <c r="N165" s="121"/>
      <c r="O165" s="121"/>
      <c r="P165" s="121"/>
      <c r="Q165" s="121"/>
      <c r="R165" s="121"/>
      <c r="S165" s="121"/>
      <c r="T165" s="121"/>
      <c r="U165" s="121"/>
      <c r="V165" s="121"/>
      <c r="W165" s="121"/>
      <c r="X165" s="121"/>
      <c r="Y165" s="121"/>
      <c r="Z165" s="121"/>
    </row>
    <row r="166" spans="1:26" ht="11.25" customHeight="1" x14ac:dyDescent="0.3">
      <c r="A166" s="121"/>
      <c r="B166" s="121"/>
      <c r="C166" s="121"/>
      <c r="D166" s="121"/>
      <c r="E166" s="121"/>
      <c r="F166" s="121"/>
      <c r="G166" s="121"/>
      <c r="H166" s="121"/>
      <c r="I166" s="121"/>
      <c r="J166" s="121"/>
      <c r="K166" s="121"/>
      <c r="L166" s="121"/>
      <c r="M166" s="121"/>
      <c r="N166" s="121"/>
      <c r="O166" s="121"/>
      <c r="P166" s="121"/>
      <c r="Q166" s="121"/>
      <c r="R166" s="121"/>
      <c r="S166" s="121"/>
      <c r="T166" s="121"/>
      <c r="U166" s="121"/>
      <c r="V166" s="121"/>
      <c r="W166" s="121"/>
      <c r="X166" s="121"/>
      <c r="Y166" s="121"/>
      <c r="Z166" s="121"/>
    </row>
    <row r="167" spans="1:26" ht="11.25" customHeight="1" x14ac:dyDescent="0.3">
      <c r="A167" s="121"/>
      <c r="B167" s="121"/>
      <c r="C167" s="121"/>
      <c r="D167" s="121"/>
      <c r="E167" s="121"/>
      <c r="F167" s="121"/>
      <c r="G167" s="121"/>
      <c r="H167" s="121"/>
      <c r="I167" s="121"/>
      <c r="J167" s="121"/>
      <c r="K167" s="121"/>
      <c r="L167" s="121"/>
      <c r="M167" s="121"/>
      <c r="N167" s="121"/>
      <c r="O167" s="121"/>
      <c r="P167" s="121"/>
      <c r="Q167" s="121"/>
      <c r="R167" s="121"/>
      <c r="S167" s="121"/>
      <c r="T167" s="121"/>
      <c r="U167" s="121"/>
      <c r="V167" s="121"/>
      <c r="W167" s="121"/>
      <c r="X167" s="121"/>
      <c r="Y167" s="121"/>
      <c r="Z167" s="121"/>
    </row>
    <row r="168" spans="1:26" ht="11.25" customHeight="1" x14ac:dyDescent="0.3">
      <c r="A168" s="121"/>
      <c r="B168" s="121"/>
      <c r="C168" s="121"/>
      <c r="D168" s="121"/>
      <c r="E168" s="121"/>
      <c r="F168" s="121"/>
      <c r="G168" s="121"/>
      <c r="H168" s="121"/>
      <c r="I168" s="121"/>
      <c r="J168" s="121"/>
      <c r="K168" s="121"/>
      <c r="L168" s="121"/>
      <c r="M168" s="121"/>
      <c r="N168" s="121"/>
      <c r="O168" s="121"/>
      <c r="P168" s="121"/>
      <c r="Q168" s="121"/>
      <c r="R168" s="121"/>
      <c r="S168" s="121"/>
      <c r="T168" s="121"/>
      <c r="U168" s="121"/>
      <c r="V168" s="121"/>
      <c r="W168" s="121"/>
      <c r="X168" s="121"/>
      <c r="Y168" s="121"/>
      <c r="Z168" s="121"/>
    </row>
    <row r="169" spans="1:26" ht="11.25" customHeight="1" x14ac:dyDescent="0.3">
      <c r="A169" s="121"/>
      <c r="B169" s="121"/>
      <c r="C169" s="121"/>
      <c r="D169" s="121"/>
      <c r="E169" s="121"/>
      <c r="F169" s="121"/>
      <c r="G169" s="121"/>
      <c r="H169" s="121"/>
      <c r="I169" s="121"/>
      <c r="J169" s="121"/>
      <c r="K169" s="121"/>
      <c r="L169" s="121"/>
      <c r="M169" s="121"/>
      <c r="N169" s="121"/>
      <c r="O169" s="121"/>
      <c r="P169" s="121"/>
      <c r="Q169" s="121"/>
      <c r="R169" s="121"/>
      <c r="S169" s="121"/>
      <c r="T169" s="121"/>
      <c r="U169" s="121"/>
      <c r="V169" s="121"/>
      <c r="W169" s="121"/>
      <c r="X169" s="121"/>
      <c r="Y169" s="121"/>
      <c r="Z169" s="121"/>
    </row>
    <row r="170" spans="1:26" ht="11.25" customHeight="1" x14ac:dyDescent="0.3">
      <c r="A170" s="121"/>
      <c r="B170" s="121"/>
      <c r="C170" s="121"/>
      <c r="D170" s="121"/>
      <c r="E170" s="121"/>
      <c r="F170" s="121"/>
      <c r="G170" s="121"/>
      <c r="H170" s="121"/>
      <c r="I170" s="121"/>
      <c r="J170" s="121"/>
      <c r="K170" s="121"/>
      <c r="L170" s="121"/>
      <c r="M170" s="121"/>
      <c r="N170" s="121"/>
      <c r="O170" s="121"/>
      <c r="P170" s="121"/>
      <c r="Q170" s="121"/>
      <c r="R170" s="121"/>
      <c r="S170" s="121"/>
      <c r="T170" s="121"/>
      <c r="U170" s="121"/>
      <c r="V170" s="121"/>
      <c r="W170" s="121"/>
      <c r="X170" s="121"/>
      <c r="Y170" s="121"/>
      <c r="Z170" s="121"/>
    </row>
    <row r="171" spans="1:26" ht="11.25" customHeight="1" x14ac:dyDescent="0.3">
      <c r="A171" s="121"/>
      <c r="B171" s="121"/>
      <c r="C171" s="121"/>
      <c r="D171" s="121"/>
      <c r="E171" s="121"/>
      <c r="F171" s="121"/>
      <c r="G171" s="121"/>
      <c r="H171" s="121"/>
      <c r="I171" s="121"/>
      <c r="J171" s="121"/>
      <c r="K171" s="121"/>
      <c r="L171" s="121"/>
      <c r="M171" s="121"/>
      <c r="N171" s="121"/>
      <c r="O171" s="121"/>
      <c r="P171" s="121"/>
      <c r="Q171" s="121"/>
      <c r="R171" s="121"/>
      <c r="S171" s="121"/>
      <c r="T171" s="121"/>
      <c r="U171" s="121"/>
      <c r="V171" s="121"/>
      <c r="W171" s="121"/>
      <c r="X171" s="121"/>
      <c r="Y171" s="121"/>
      <c r="Z171" s="121"/>
    </row>
    <row r="172" spans="1:26" ht="11.25" customHeight="1" x14ac:dyDescent="0.3">
      <c r="A172" s="121"/>
      <c r="B172" s="121"/>
      <c r="C172" s="121"/>
      <c r="D172" s="121"/>
      <c r="E172" s="121"/>
      <c r="F172" s="121"/>
      <c r="G172" s="121"/>
      <c r="H172" s="121"/>
      <c r="I172" s="121"/>
      <c r="J172" s="121"/>
      <c r="K172" s="121"/>
      <c r="L172" s="121"/>
      <c r="M172" s="121"/>
      <c r="N172" s="121"/>
      <c r="O172" s="121"/>
      <c r="P172" s="121"/>
      <c r="Q172" s="121"/>
      <c r="R172" s="121"/>
      <c r="S172" s="121"/>
      <c r="T172" s="121"/>
      <c r="U172" s="121"/>
      <c r="V172" s="121"/>
      <c r="W172" s="121"/>
      <c r="X172" s="121"/>
      <c r="Y172" s="121"/>
      <c r="Z172" s="121"/>
    </row>
    <row r="173" spans="1:26" ht="11.25" customHeight="1" x14ac:dyDescent="0.3">
      <c r="A173" s="121"/>
      <c r="B173" s="121"/>
      <c r="C173" s="121"/>
      <c r="D173" s="121"/>
      <c r="E173" s="121"/>
      <c r="F173" s="121"/>
      <c r="G173" s="121"/>
      <c r="H173" s="121"/>
      <c r="I173" s="121"/>
      <c r="J173" s="121"/>
      <c r="K173" s="121"/>
      <c r="L173" s="121"/>
      <c r="M173" s="121"/>
      <c r="N173" s="121"/>
      <c r="O173" s="121"/>
      <c r="P173" s="121"/>
      <c r="Q173" s="121"/>
      <c r="R173" s="121"/>
      <c r="S173" s="121"/>
      <c r="T173" s="121"/>
      <c r="U173" s="121"/>
      <c r="V173" s="121"/>
      <c r="W173" s="121"/>
      <c r="X173" s="121"/>
      <c r="Y173" s="121"/>
      <c r="Z173" s="121"/>
    </row>
    <row r="174" spans="1:26" ht="11.25" customHeight="1" x14ac:dyDescent="0.3">
      <c r="A174" s="121"/>
      <c r="B174" s="121"/>
      <c r="C174" s="121"/>
      <c r="D174" s="121"/>
      <c r="E174" s="121"/>
      <c r="F174" s="121"/>
      <c r="G174" s="121"/>
      <c r="H174" s="121"/>
      <c r="I174" s="121"/>
      <c r="J174" s="121"/>
      <c r="K174" s="121"/>
      <c r="L174" s="121"/>
      <c r="M174" s="121"/>
      <c r="N174" s="121"/>
      <c r="O174" s="121"/>
      <c r="P174" s="121"/>
      <c r="Q174" s="121"/>
      <c r="R174" s="121"/>
      <c r="S174" s="121"/>
      <c r="T174" s="121"/>
      <c r="U174" s="121"/>
      <c r="V174" s="121"/>
      <c r="W174" s="121"/>
      <c r="X174" s="121"/>
      <c r="Y174" s="121"/>
      <c r="Z174" s="121"/>
    </row>
    <row r="175" spans="1:26" ht="11.25" customHeight="1" x14ac:dyDescent="0.3">
      <c r="A175" s="121"/>
      <c r="B175" s="121"/>
      <c r="C175" s="121"/>
      <c r="D175" s="121"/>
      <c r="E175" s="121"/>
      <c r="F175" s="121"/>
      <c r="G175" s="121"/>
      <c r="H175" s="121"/>
      <c r="I175" s="121"/>
      <c r="J175" s="121"/>
      <c r="K175" s="121"/>
      <c r="L175" s="121"/>
      <c r="M175" s="121"/>
      <c r="N175" s="121"/>
      <c r="O175" s="121"/>
      <c r="P175" s="121"/>
      <c r="Q175" s="121"/>
      <c r="R175" s="121"/>
      <c r="S175" s="121"/>
      <c r="T175" s="121"/>
      <c r="U175" s="121"/>
      <c r="V175" s="121"/>
      <c r="W175" s="121"/>
      <c r="X175" s="121"/>
      <c r="Y175" s="121"/>
      <c r="Z175" s="121"/>
    </row>
    <row r="176" spans="1:26" ht="11.25" customHeight="1" x14ac:dyDescent="0.3">
      <c r="A176" s="121"/>
      <c r="B176" s="121"/>
      <c r="C176" s="121"/>
      <c r="D176" s="121"/>
      <c r="E176" s="121"/>
      <c r="F176" s="121"/>
      <c r="G176" s="121"/>
      <c r="H176" s="121"/>
      <c r="I176" s="121"/>
      <c r="J176" s="121"/>
      <c r="K176" s="121"/>
      <c r="L176" s="121"/>
      <c r="M176" s="121"/>
      <c r="N176" s="121"/>
      <c r="O176" s="121"/>
      <c r="P176" s="121"/>
      <c r="Q176" s="121"/>
      <c r="R176" s="121"/>
      <c r="S176" s="121"/>
      <c r="T176" s="121"/>
      <c r="U176" s="121"/>
      <c r="V176" s="121"/>
      <c r="W176" s="121"/>
      <c r="X176" s="121"/>
      <c r="Y176" s="121"/>
      <c r="Z176" s="121"/>
    </row>
    <row r="177" spans="1:26" ht="11.25" customHeight="1" x14ac:dyDescent="0.3">
      <c r="A177" s="121"/>
      <c r="B177" s="121"/>
      <c r="C177" s="121"/>
      <c r="D177" s="121"/>
      <c r="E177" s="121"/>
      <c r="F177" s="121"/>
      <c r="G177" s="121"/>
      <c r="H177" s="121"/>
      <c r="I177" s="121"/>
      <c r="J177" s="121"/>
      <c r="K177" s="121"/>
      <c r="L177" s="121"/>
      <c r="M177" s="121"/>
      <c r="N177" s="121"/>
      <c r="O177" s="121"/>
      <c r="P177" s="121"/>
      <c r="Q177" s="121"/>
      <c r="R177" s="121"/>
      <c r="S177" s="121"/>
      <c r="T177" s="121"/>
      <c r="U177" s="121"/>
      <c r="V177" s="121"/>
      <c r="W177" s="121"/>
      <c r="X177" s="121"/>
      <c r="Y177" s="121"/>
      <c r="Z177" s="121"/>
    </row>
    <row r="178" spans="1:26" ht="11.25" customHeight="1" x14ac:dyDescent="0.3">
      <c r="A178" s="121"/>
      <c r="B178" s="121"/>
      <c r="C178" s="121"/>
      <c r="D178" s="121"/>
      <c r="E178" s="121"/>
      <c r="F178" s="121"/>
      <c r="G178" s="121"/>
      <c r="H178" s="121"/>
      <c r="I178" s="121"/>
      <c r="J178" s="121"/>
      <c r="K178" s="121"/>
      <c r="L178" s="121"/>
      <c r="M178" s="121"/>
      <c r="N178" s="121"/>
      <c r="O178" s="121"/>
      <c r="P178" s="121"/>
      <c r="Q178" s="121"/>
      <c r="R178" s="121"/>
      <c r="S178" s="121"/>
      <c r="T178" s="121"/>
      <c r="U178" s="121"/>
      <c r="V178" s="121"/>
      <c r="W178" s="121"/>
      <c r="X178" s="121"/>
      <c r="Y178" s="121"/>
      <c r="Z178" s="121"/>
    </row>
    <row r="179" spans="1:26" ht="11.25" customHeight="1" x14ac:dyDescent="0.3">
      <c r="A179" s="121"/>
      <c r="B179" s="121"/>
      <c r="C179" s="121"/>
      <c r="D179" s="121"/>
      <c r="E179" s="121"/>
      <c r="F179" s="121"/>
      <c r="G179" s="121"/>
      <c r="H179" s="121"/>
      <c r="I179" s="121"/>
      <c r="J179" s="121"/>
      <c r="K179" s="121"/>
      <c r="L179" s="121"/>
      <c r="M179" s="121"/>
      <c r="N179" s="121"/>
      <c r="O179" s="121"/>
      <c r="P179" s="121"/>
      <c r="Q179" s="121"/>
      <c r="R179" s="121"/>
      <c r="S179" s="121"/>
      <c r="T179" s="121"/>
      <c r="U179" s="121"/>
      <c r="V179" s="121"/>
      <c r="W179" s="121"/>
      <c r="X179" s="121"/>
      <c r="Y179" s="121"/>
      <c r="Z179" s="121"/>
    </row>
    <row r="180" spans="1:26" ht="11.25" customHeight="1" x14ac:dyDescent="0.3">
      <c r="A180" s="121"/>
      <c r="B180" s="121"/>
      <c r="C180" s="121"/>
      <c r="D180" s="121"/>
      <c r="E180" s="121"/>
      <c r="F180" s="121"/>
      <c r="G180" s="121"/>
      <c r="H180" s="121"/>
      <c r="I180" s="121"/>
      <c r="J180" s="121"/>
      <c r="K180" s="121"/>
      <c r="L180" s="121"/>
      <c r="M180" s="121"/>
      <c r="N180" s="121"/>
      <c r="O180" s="121"/>
      <c r="P180" s="121"/>
      <c r="Q180" s="121"/>
      <c r="R180" s="121"/>
      <c r="S180" s="121"/>
      <c r="T180" s="121"/>
      <c r="U180" s="121"/>
      <c r="V180" s="121"/>
      <c r="W180" s="121"/>
      <c r="X180" s="121"/>
      <c r="Y180" s="121"/>
      <c r="Z180" s="121"/>
    </row>
    <row r="181" spans="1:26" ht="11.25" customHeight="1" x14ac:dyDescent="0.3">
      <c r="A181" s="121"/>
      <c r="B181" s="121"/>
      <c r="C181" s="121"/>
      <c r="D181" s="121"/>
      <c r="E181" s="121"/>
      <c r="F181" s="121"/>
      <c r="G181" s="121"/>
      <c r="H181" s="121"/>
      <c r="I181" s="121"/>
      <c r="J181" s="121"/>
      <c r="K181" s="121"/>
      <c r="L181" s="121"/>
      <c r="M181" s="121"/>
      <c r="N181" s="121"/>
      <c r="O181" s="121"/>
      <c r="P181" s="121"/>
      <c r="Q181" s="121"/>
      <c r="R181" s="121"/>
      <c r="S181" s="121"/>
      <c r="T181" s="121"/>
      <c r="U181" s="121"/>
      <c r="V181" s="121"/>
      <c r="W181" s="121"/>
      <c r="X181" s="121"/>
      <c r="Y181" s="121"/>
      <c r="Z181" s="121"/>
    </row>
    <row r="182" spans="1:26" ht="11.25" customHeight="1" x14ac:dyDescent="0.3">
      <c r="A182" s="121"/>
      <c r="B182" s="121"/>
      <c r="C182" s="121"/>
      <c r="D182" s="121"/>
      <c r="E182" s="121"/>
      <c r="F182" s="121"/>
      <c r="G182" s="121"/>
      <c r="H182" s="121"/>
      <c r="I182" s="121"/>
      <c r="J182" s="121"/>
      <c r="K182" s="121"/>
      <c r="L182" s="121"/>
      <c r="M182" s="121"/>
      <c r="N182" s="121"/>
      <c r="O182" s="121"/>
      <c r="P182" s="121"/>
      <c r="Q182" s="121"/>
      <c r="R182" s="121"/>
      <c r="S182" s="121"/>
      <c r="T182" s="121"/>
      <c r="U182" s="121"/>
      <c r="V182" s="121"/>
      <c r="W182" s="121"/>
      <c r="X182" s="121"/>
      <c r="Y182" s="121"/>
      <c r="Z182" s="121"/>
    </row>
    <row r="183" spans="1:26" ht="11.25" customHeight="1" x14ac:dyDescent="0.3">
      <c r="A183" s="121"/>
      <c r="B183" s="121"/>
      <c r="C183" s="121"/>
      <c r="D183" s="121"/>
      <c r="E183" s="121"/>
      <c r="F183" s="121"/>
      <c r="G183" s="121"/>
      <c r="H183" s="121"/>
      <c r="I183" s="121"/>
      <c r="J183" s="121"/>
      <c r="K183" s="121"/>
      <c r="L183" s="121"/>
      <c r="M183" s="121"/>
      <c r="N183" s="121"/>
      <c r="O183" s="121"/>
      <c r="P183" s="121"/>
      <c r="Q183" s="121"/>
      <c r="R183" s="121"/>
      <c r="S183" s="121"/>
      <c r="T183" s="121"/>
      <c r="U183" s="121"/>
      <c r="V183" s="121"/>
      <c r="W183" s="121"/>
      <c r="X183" s="121"/>
      <c r="Y183" s="121"/>
      <c r="Z183" s="121"/>
    </row>
    <row r="184" spans="1:26" ht="11.25" customHeight="1" x14ac:dyDescent="0.3">
      <c r="A184" s="121"/>
      <c r="B184" s="121"/>
      <c r="C184" s="121"/>
      <c r="D184" s="121"/>
      <c r="E184" s="121"/>
      <c r="F184" s="121"/>
      <c r="G184" s="121"/>
      <c r="H184" s="121"/>
      <c r="I184" s="121"/>
      <c r="J184" s="121"/>
      <c r="K184" s="121"/>
      <c r="L184" s="121"/>
      <c r="M184" s="121"/>
      <c r="N184" s="121"/>
      <c r="O184" s="121"/>
      <c r="P184" s="121"/>
      <c r="Q184" s="121"/>
      <c r="R184" s="121"/>
      <c r="S184" s="121"/>
      <c r="T184" s="121"/>
      <c r="U184" s="121"/>
      <c r="V184" s="121"/>
      <c r="W184" s="121"/>
      <c r="X184" s="121"/>
      <c r="Y184" s="121"/>
      <c r="Z184" s="121"/>
    </row>
    <row r="185" spans="1:26" ht="11.25" customHeight="1" x14ac:dyDescent="0.3">
      <c r="A185" s="121"/>
      <c r="B185" s="121"/>
      <c r="C185" s="121"/>
      <c r="D185" s="121"/>
      <c r="E185" s="121"/>
      <c r="F185" s="121"/>
      <c r="G185" s="121"/>
      <c r="H185" s="121"/>
      <c r="I185" s="121"/>
      <c r="J185" s="121"/>
      <c r="K185" s="121"/>
      <c r="L185" s="121"/>
      <c r="M185" s="121"/>
      <c r="N185" s="121"/>
      <c r="O185" s="121"/>
      <c r="P185" s="121"/>
      <c r="Q185" s="121"/>
      <c r="R185" s="121"/>
      <c r="S185" s="121"/>
      <c r="T185" s="121"/>
      <c r="U185" s="121"/>
      <c r="V185" s="121"/>
      <c r="W185" s="121"/>
      <c r="X185" s="121"/>
      <c r="Y185" s="121"/>
      <c r="Z185" s="121"/>
    </row>
    <row r="186" spans="1:26" ht="11.25" customHeight="1" x14ac:dyDescent="0.3">
      <c r="A186" s="121"/>
      <c r="B186" s="121"/>
      <c r="C186" s="121"/>
      <c r="D186" s="121"/>
      <c r="E186" s="121"/>
      <c r="F186" s="121"/>
      <c r="G186" s="121"/>
      <c r="H186" s="121"/>
      <c r="I186" s="121"/>
      <c r="J186" s="121"/>
      <c r="K186" s="121"/>
      <c r="L186" s="121"/>
      <c r="M186" s="121"/>
      <c r="N186" s="121"/>
      <c r="O186" s="121"/>
      <c r="P186" s="121"/>
      <c r="Q186" s="121"/>
      <c r="R186" s="121"/>
      <c r="S186" s="121"/>
      <c r="T186" s="121"/>
      <c r="U186" s="121"/>
      <c r="V186" s="121"/>
      <c r="W186" s="121"/>
      <c r="X186" s="121"/>
      <c r="Y186" s="121"/>
      <c r="Z186" s="121"/>
    </row>
    <row r="187" spans="1:26" ht="11.25" customHeight="1" x14ac:dyDescent="0.3">
      <c r="A187" s="121"/>
      <c r="B187" s="121"/>
      <c r="C187" s="121"/>
      <c r="D187" s="121"/>
      <c r="E187" s="121"/>
      <c r="F187" s="121"/>
      <c r="G187" s="121"/>
      <c r="H187" s="121"/>
      <c r="I187" s="121"/>
      <c r="J187" s="121"/>
      <c r="K187" s="121"/>
      <c r="L187" s="121"/>
      <c r="M187" s="121"/>
      <c r="N187" s="121"/>
      <c r="O187" s="121"/>
      <c r="P187" s="121"/>
      <c r="Q187" s="121"/>
      <c r="R187" s="121"/>
      <c r="S187" s="121"/>
      <c r="T187" s="121"/>
      <c r="U187" s="121"/>
      <c r="V187" s="121"/>
      <c r="W187" s="121"/>
      <c r="X187" s="121"/>
      <c r="Y187" s="121"/>
      <c r="Z187" s="121"/>
    </row>
    <row r="188" spans="1:26" ht="11.25" customHeight="1" x14ac:dyDescent="0.3">
      <c r="A188" s="121"/>
      <c r="B188" s="121"/>
      <c r="C188" s="121"/>
      <c r="D188" s="121"/>
      <c r="E188" s="121"/>
      <c r="F188" s="121"/>
      <c r="G188" s="121"/>
      <c r="H188" s="121"/>
      <c r="I188" s="121"/>
      <c r="J188" s="121"/>
      <c r="K188" s="121"/>
      <c r="L188" s="121"/>
      <c r="M188" s="121"/>
      <c r="N188" s="121"/>
      <c r="O188" s="121"/>
      <c r="P188" s="121"/>
      <c r="Q188" s="121"/>
      <c r="R188" s="121"/>
      <c r="S188" s="121"/>
      <c r="T188" s="121"/>
      <c r="U188" s="121"/>
      <c r="V188" s="121"/>
      <c r="W188" s="121"/>
      <c r="X188" s="121"/>
      <c r="Y188" s="121"/>
      <c r="Z188" s="121"/>
    </row>
    <row r="189" spans="1:26" ht="11.25" customHeight="1" x14ac:dyDescent="0.3">
      <c r="A189" s="121"/>
      <c r="B189" s="121"/>
      <c r="C189" s="121"/>
      <c r="D189" s="121"/>
      <c r="E189" s="121"/>
      <c r="F189" s="121"/>
      <c r="G189" s="121"/>
      <c r="H189" s="121"/>
      <c r="I189" s="121"/>
      <c r="J189" s="121"/>
      <c r="K189" s="121"/>
      <c r="L189" s="121"/>
      <c r="M189" s="121"/>
      <c r="N189" s="121"/>
      <c r="O189" s="121"/>
      <c r="P189" s="121"/>
      <c r="Q189" s="121"/>
      <c r="R189" s="121"/>
      <c r="S189" s="121"/>
      <c r="T189" s="121"/>
      <c r="U189" s="121"/>
      <c r="V189" s="121"/>
      <c r="W189" s="121"/>
      <c r="X189" s="121"/>
      <c r="Y189" s="121"/>
      <c r="Z189" s="121"/>
    </row>
    <row r="190" spans="1:26" ht="11.25" customHeight="1" x14ac:dyDescent="0.3">
      <c r="A190" s="121"/>
      <c r="B190" s="121"/>
      <c r="C190" s="121"/>
      <c r="D190" s="121"/>
      <c r="E190" s="121"/>
      <c r="F190" s="121"/>
      <c r="G190" s="121"/>
      <c r="H190" s="121"/>
      <c r="I190" s="121"/>
      <c r="J190" s="121"/>
      <c r="K190" s="121"/>
      <c r="L190" s="121"/>
      <c r="M190" s="121"/>
      <c r="N190" s="121"/>
      <c r="O190" s="121"/>
      <c r="P190" s="121"/>
      <c r="Q190" s="121"/>
      <c r="R190" s="121"/>
      <c r="S190" s="121"/>
      <c r="T190" s="121"/>
      <c r="U190" s="121"/>
      <c r="V190" s="121"/>
      <c r="W190" s="121"/>
      <c r="X190" s="121"/>
      <c r="Y190" s="121"/>
      <c r="Z190" s="121"/>
    </row>
    <row r="191" spans="1:26" ht="11.25" customHeight="1" x14ac:dyDescent="0.3">
      <c r="A191" s="121"/>
      <c r="B191" s="121"/>
      <c r="C191" s="121"/>
      <c r="D191" s="121"/>
      <c r="E191" s="121"/>
      <c r="F191" s="121"/>
      <c r="G191" s="121"/>
      <c r="H191" s="121"/>
      <c r="I191" s="121"/>
      <c r="J191" s="121"/>
      <c r="K191" s="121"/>
      <c r="L191" s="121"/>
      <c r="M191" s="121"/>
      <c r="N191" s="121"/>
      <c r="O191" s="121"/>
      <c r="P191" s="121"/>
      <c r="Q191" s="121"/>
      <c r="R191" s="121"/>
      <c r="S191" s="121"/>
      <c r="T191" s="121"/>
      <c r="U191" s="121"/>
      <c r="V191" s="121"/>
      <c r="W191" s="121"/>
      <c r="X191" s="121"/>
      <c r="Y191" s="121"/>
      <c r="Z191" s="121"/>
    </row>
    <row r="192" spans="1:26" ht="11.25" customHeight="1" x14ac:dyDescent="0.3">
      <c r="A192" s="121"/>
      <c r="B192" s="121"/>
      <c r="C192" s="121"/>
      <c r="D192" s="121"/>
      <c r="E192" s="121"/>
      <c r="F192" s="121"/>
      <c r="G192" s="121"/>
      <c r="H192" s="121"/>
      <c r="I192" s="121"/>
      <c r="J192" s="121"/>
      <c r="K192" s="121"/>
      <c r="L192" s="121"/>
      <c r="M192" s="121"/>
      <c r="N192" s="121"/>
      <c r="O192" s="121"/>
      <c r="P192" s="121"/>
      <c r="Q192" s="121"/>
      <c r="R192" s="121"/>
      <c r="S192" s="121"/>
      <c r="T192" s="121"/>
      <c r="U192" s="121"/>
      <c r="V192" s="121"/>
      <c r="W192" s="121"/>
      <c r="X192" s="121"/>
      <c r="Y192" s="121"/>
      <c r="Z192" s="121"/>
    </row>
    <row r="193" spans="1:26" ht="11.25" customHeight="1" x14ac:dyDescent="0.3">
      <c r="A193" s="121"/>
      <c r="B193" s="121"/>
      <c r="C193" s="121"/>
      <c r="D193" s="121"/>
      <c r="E193" s="121"/>
      <c r="F193" s="121"/>
      <c r="G193" s="121"/>
      <c r="H193" s="121"/>
      <c r="I193" s="121"/>
      <c r="J193" s="121"/>
      <c r="K193" s="121"/>
      <c r="L193" s="121"/>
      <c r="M193" s="121"/>
      <c r="N193" s="121"/>
      <c r="O193" s="121"/>
      <c r="P193" s="121"/>
      <c r="Q193" s="121"/>
      <c r="R193" s="121"/>
      <c r="S193" s="121"/>
      <c r="T193" s="121"/>
      <c r="U193" s="121"/>
      <c r="V193" s="121"/>
      <c r="W193" s="121"/>
      <c r="X193" s="121"/>
      <c r="Y193" s="121"/>
      <c r="Z193" s="121"/>
    </row>
    <row r="194" spans="1:26" ht="11.25" customHeight="1" x14ac:dyDescent="0.3">
      <c r="A194" s="121"/>
      <c r="B194" s="121"/>
      <c r="C194" s="121"/>
      <c r="D194" s="121"/>
      <c r="E194" s="121"/>
      <c r="F194" s="121"/>
      <c r="G194" s="121"/>
      <c r="H194" s="121"/>
      <c r="I194" s="121"/>
      <c r="J194" s="121"/>
      <c r="K194" s="121"/>
      <c r="L194" s="121"/>
      <c r="M194" s="121"/>
      <c r="N194" s="121"/>
      <c r="O194" s="121"/>
      <c r="P194" s="121"/>
      <c r="Q194" s="121"/>
      <c r="R194" s="121"/>
      <c r="S194" s="121"/>
      <c r="T194" s="121"/>
      <c r="U194" s="121"/>
      <c r="V194" s="121"/>
      <c r="W194" s="121"/>
      <c r="X194" s="121"/>
      <c r="Y194" s="121"/>
      <c r="Z194" s="121"/>
    </row>
    <row r="195" spans="1:26" ht="11.25" customHeight="1" x14ac:dyDescent="0.3">
      <c r="A195" s="121"/>
      <c r="B195" s="121"/>
      <c r="C195" s="121"/>
      <c r="D195" s="121"/>
      <c r="E195" s="121"/>
      <c r="F195" s="121"/>
      <c r="G195" s="121"/>
      <c r="H195" s="121"/>
      <c r="I195" s="121"/>
      <c r="J195" s="121"/>
      <c r="K195" s="121"/>
      <c r="L195" s="121"/>
      <c r="M195" s="121"/>
      <c r="N195" s="121"/>
      <c r="O195" s="121"/>
      <c r="P195" s="121"/>
      <c r="Q195" s="121"/>
      <c r="R195" s="121"/>
      <c r="S195" s="121"/>
      <c r="T195" s="121"/>
      <c r="U195" s="121"/>
      <c r="V195" s="121"/>
      <c r="W195" s="121"/>
      <c r="X195" s="121"/>
      <c r="Y195" s="121"/>
      <c r="Z195" s="121"/>
    </row>
    <row r="196" spans="1:26" ht="11.25" customHeight="1" x14ac:dyDescent="0.3">
      <c r="A196" s="121"/>
      <c r="B196" s="121"/>
      <c r="C196" s="121"/>
      <c r="D196" s="121"/>
      <c r="E196" s="121"/>
      <c r="F196" s="121"/>
      <c r="G196" s="121"/>
      <c r="H196" s="121"/>
      <c r="I196" s="121"/>
      <c r="J196" s="121"/>
      <c r="K196" s="121"/>
      <c r="L196" s="121"/>
      <c r="M196" s="121"/>
      <c r="N196" s="121"/>
      <c r="O196" s="121"/>
      <c r="P196" s="121"/>
      <c r="Q196" s="121"/>
      <c r="R196" s="121"/>
      <c r="S196" s="121"/>
      <c r="T196" s="121"/>
      <c r="U196" s="121"/>
      <c r="V196" s="121"/>
      <c r="W196" s="121"/>
      <c r="X196" s="121"/>
      <c r="Y196" s="121"/>
      <c r="Z196" s="121"/>
    </row>
    <row r="197" spans="1:26" ht="11.25" customHeight="1" x14ac:dyDescent="0.3">
      <c r="A197" s="121"/>
      <c r="B197" s="121"/>
      <c r="C197" s="121"/>
      <c r="D197" s="121"/>
      <c r="E197" s="121"/>
      <c r="F197" s="121"/>
      <c r="G197" s="121"/>
      <c r="H197" s="121"/>
      <c r="I197" s="121"/>
      <c r="J197" s="121"/>
      <c r="K197" s="121"/>
      <c r="L197" s="121"/>
      <c r="M197" s="121"/>
      <c r="N197" s="121"/>
      <c r="O197" s="121"/>
      <c r="P197" s="121"/>
      <c r="Q197" s="121"/>
      <c r="R197" s="121"/>
      <c r="S197" s="121"/>
      <c r="T197" s="121"/>
      <c r="U197" s="121"/>
      <c r="V197" s="121"/>
      <c r="W197" s="121"/>
      <c r="X197" s="121"/>
      <c r="Y197" s="121"/>
      <c r="Z197" s="121"/>
    </row>
    <row r="198" spans="1:26" ht="11.25" customHeight="1" x14ac:dyDescent="0.3">
      <c r="A198" s="121"/>
      <c r="B198" s="121"/>
      <c r="C198" s="121"/>
      <c r="D198" s="121"/>
      <c r="E198" s="121"/>
      <c r="F198" s="121"/>
      <c r="G198" s="121"/>
      <c r="H198" s="121"/>
      <c r="I198" s="121"/>
      <c r="J198" s="121"/>
      <c r="K198" s="121"/>
      <c r="L198" s="121"/>
      <c r="M198" s="121"/>
      <c r="N198" s="121"/>
      <c r="O198" s="121"/>
      <c r="P198" s="121"/>
      <c r="Q198" s="121"/>
      <c r="R198" s="121"/>
      <c r="S198" s="121"/>
      <c r="T198" s="121"/>
      <c r="U198" s="121"/>
      <c r="V198" s="121"/>
      <c r="W198" s="121"/>
      <c r="X198" s="121"/>
      <c r="Y198" s="121"/>
      <c r="Z198" s="121"/>
    </row>
    <row r="199" spans="1:26" ht="11.25" customHeight="1" x14ac:dyDescent="0.3">
      <c r="A199" s="121"/>
      <c r="B199" s="121"/>
      <c r="C199" s="121"/>
      <c r="D199" s="121"/>
      <c r="E199" s="121"/>
      <c r="F199" s="121"/>
      <c r="G199" s="121"/>
      <c r="H199" s="121"/>
      <c r="I199" s="121"/>
      <c r="J199" s="121"/>
      <c r="K199" s="121"/>
      <c r="L199" s="121"/>
      <c r="M199" s="121"/>
      <c r="N199" s="121"/>
      <c r="O199" s="121"/>
      <c r="P199" s="121"/>
      <c r="Q199" s="121"/>
      <c r="R199" s="121"/>
      <c r="S199" s="121"/>
      <c r="T199" s="121"/>
      <c r="U199" s="121"/>
      <c r="V199" s="121"/>
      <c r="W199" s="121"/>
      <c r="X199" s="121"/>
      <c r="Y199" s="121"/>
      <c r="Z199" s="121"/>
    </row>
    <row r="200" spans="1:26" ht="11.25" customHeight="1" x14ac:dyDescent="0.3">
      <c r="A200" s="121"/>
      <c r="B200" s="121"/>
      <c r="C200" s="121"/>
      <c r="D200" s="121"/>
      <c r="E200" s="121"/>
      <c r="F200" s="121"/>
      <c r="G200" s="121"/>
      <c r="H200" s="121"/>
      <c r="I200" s="121"/>
      <c r="J200" s="121"/>
      <c r="K200" s="121"/>
      <c r="L200" s="121"/>
      <c r="M200" s="121"/>
      <c r="N200" s="121"/>
      <c r="O200" s="121"/>
      <c r="P200" s="121"/>
      <c r="Q200" s="121"/>
      <c r="R200" s="121"/>
      <c r="S200" s="121"/>
      <c r="T200" s="121"/>
      <c r="U200" s="121"/>
      <c r="V200" s="121"/>
      <c r="W200" s="121"/>
      <c r="X200" s="121"/>
      <c r="Y200" s="121"/>
      <c r="Z200" s="121"/>
    </row>
    <row r="201" spans="1:26" ht="11.25" customHeight="1" x14ac:dyDescent="0.3">
      <c r="A201" s="121"/>
      <c r="B201" s="121"/>
      <c r="C201" s="121"/>
      <c r="D201" s="121"/>
      <c r="E201" s="121"/>
      <c r="F201" s="121"/>
      <c r="G201" s="121"/>
      <c r="H201" s="121"/>
      <c r="I201" s="121"/>
      <c r="J201" s="121"/>
      <c r="K201" s="121"/>
      <c r="L201" s="121"/>
      <c r="M201" s="121"/>
      <c r="N201" s="121"/>
      <c r="O201" s="121"/>
      <c r="P201" s="121"/>
      <c r="Q201" s="121"/>
      <c r="R201" s="121"/>
      <c r="S201" s="121"/>
      <c r="T201" s="121"/>
      <c r="U201" s="121"/>
      <c r="V201" s="121"/>
      <c r="W201" s="121"/>
      <c r="X201" s="121"/>
      <c r="Y201" s="121"/>
      <c r="Z201" s="121"/>
    </row>
    <row r="202" spans="1:26" ht="11.25" customHeight="1" x14ac:dyDescent="0.3">
      <c r="A202" s="121"/>
      <c r="B202" s="121"/>
      <c r="C202" s="121"/>
      <c r="D202" s="121"/>
      <c r="E202" s="121"/>
      <c r="F202" s="121"/>
      <c r="G202" s="121"/>
      <c r="H202" s="121"/>
      <c r="I202" s="121"/>
      <c r="J202" s="121"/>
      <c r="K202" s="121"/>
      <c r="L202" s="121"/>
      <c r="M202" s="121"/>
      <c r="N202" s="121"/>
      <c r="O202" s="121"/>
      <c r="P202" s="121"/>
      <c r="Q202" s="121"/>
      <c r="R202" s="121"/>
      <c r="S202" s="121"/>
      <c r="T202" s="121"/>
      <c r="U202" s="121"/>
      <c r="V202" s="121"/>
      <c r="W202" s="121"/>
      <c r="X202" s="121"/>
      <c r="Y202" s="121"/>
      <c r="Z202" s="121"/>
    </row>
    <row r="203" spans="1:26" ht="11.25" customHeight="1" x14ac:dyDescent="0.3">
      <c r="A203" s="121"/>
      <c r="B203" s="121"/>
      <c r="C203" s="121"/>
      <c r="D203" s="121"/>
      <c r="E203" s="121"/>
      <c r="F203" s="121"/>
      <c r="G203" s="121"/>
      <c r="H203" s="121"/>
      <c r="I203" s="121"/>
      <c r="J203" s="121"/>
      <c r="K203" s="121"/>
      <c r="L203" s="121"/>
      <c r="M203" s="121"/>
      <c r="N203" s="121"/>
      <c r="O203" s="121"/>
      <c r="P203" s="121"/>
      <c r="Q203" s="121"/>
      <c r="R203" s="121"/>
      <c r="S203" s="121"/>
      <c r="T203" s="121"/>
      <c r="U203" s="121"/>
      <c r="V203" s="121"/>
      <c r="W203" s="121"/>
      <c r="X203" s="121"/>
      <c r="Y203" s="121"/>
      <c r="Z203" s="121"/>
    </row>
    <row r="204" spans="1:26" ht="11.25" customHeight="1" x14ac:dyDescent="0.3">
      <c r="A204" s="121"/>
      <c r="B204" s="121"/>
      <c r="C204" s="121"/>
      <c r="D204" s="121"/>
      <c r="E204" s="121"/>
      <c r="F204" s="121"/>
      <c r="G204" s="121"/>
      <c r="H204" s="121"/>
      <c r="I204" s="121"/>
      <c r="J204" s="121"/>
      <c r="K204" s="121"/>
      <c r="L204" s="121"/>
      <c r="M204" s="121"/>
      <c r="N204" s="121"/>
      <c r="O204" s="121"/>
      <c r="P204" s="121"/>
      <c r="Q204" s="121"/>
      <c r="R204" s="121"/>
      <c r="S204" s="121"/>
      <c r="T204" s="121"/>
      <c r="U204" s="121"/>
      <c r="V204" s="121"/>
      <c r="W204" s="121"/>
      <c r="X204" s="121"/>
      <c r="Y204" s="121"/>
      <c r="Z204" s="121"/>
    </row>
    <row r="205" spans="1:26" ht="11.25" customHeight="1" x14ac:dyDescent="0.3">
      <c r="A205" s="121"/>
      <c r="B205" s="121"/>
      <c r="C205" s="121"/>
      <c r="D205" s="121"/>
      <c r="E205" s="121"/>
      <c r="F205" s="121"/>
      <c r="G205" s="121"/>
      <c r="H205" s="121"/>
      <c r="I205" s="121"/>
      <c r="J205" s="121"/>
      <c r="K205" s="121"/>
      <c r="L205" s="121"/>
      <c r="M205" s="121"/>
      <c r="N205" s="121"/>
      <c r="O205" s="121"/>
      <c r="P205" s="121"/>
      <c r="Q205" s="121"/>
      <c r="R205" s="121"/>
      <c r="S205" s="121"/>
      <c r="T205" s="121"/>
      <c r="U205" s="121"/>
      <c r="V205" s="121"/>
      <c r="W205" s="121"/>
      <c r="X205" s="121"/>
      <c r="Y205" s="121"/>
      <c r="Z205" s="121"/>
    </row>
    <row r="206" spans="1:26" ht="11.25" customHeight="1" x14ac:dyDescent="0.3">
      <c r="A206" s="121"/>
      <c r="B206" s="121"/>
      <c r="C206" s="121"/>
      <c r="D206" s="121"/>
      <c r="E206" s="121"/>
      <c r="F206" s="121"/>
      <c r="G206" s="121"/>
      <c r="H206" s="121"/>
      <c r="I206" s="121"/>
      <c r="J206" s="121"/>
      <c r="K206" s="121"/>
      <c r="L206" s="121"/>
      <c r="M206" s="121"/>
      <c r="N206" s="121"/>
      <c r="O206" s="121"/>
      <c r="P206" s="121"/>
      <c r="Q206" s="121"/>
      <c r="R206" s="121"/>
      <c r="S206" s="121"/>
      <c r="T206" s="121"/>
      <c r="U206" s="121"/>
      <c r="V206" s="121"/>
      <c r="W206" s="121"/>
      <c r="X206" s="121"/>
      <c r="Y206" s="121"/>
      <c r="Z206" s="121"/>
    </row>
    <row r="207" spans="1:26" ht="11.25" customHeight="1" x14ac:dyDescent="0.3">
      <c r="A207" s="121"/>
      <c r="B207" s="121"/>
      <c r="C207" s="121"/>
      <c r="D207" s="121"/>
      <c r="E207" s="121"/>
      <c r="F207" s="121"/>
      <c r="G207" s="121"/>
      <c r="H207" s="121"/>
      <c r="I207" s="121"/>
      <c r="J207" s="121"/>
      <c r="K207" s="121"/>
      <c r="L207" s="121"/>
      <c r="M207" s="121"/>
      <c r="N207" s="121"/>
      <c r="O207" s="121"/>
      <c r="P207" s="121"/>
      <c r="Q207" s="121"/>
      <c r="R207" s="121"/>
      <c r="S207" s="121"/>
      <c r="T207" s="121"/>
      <c r="U207" s="121"/>
      <c r="V207" s="121"/>
      <c r="W207" s="121"/>
      <c r="X207" s="121"/>
      <c r="Y207" s="121"/>
      <c r="Z207" s="121"/>
    </row>
    <row r="208" spans="1:26" ht="11.25" customHeight="1" x14ac:dyDescent="0.3">
      <c r="A208" s="121"/>
      <c r="B208" s="121"/>
      <c r="C208" s="121"/>
      <c r="D208" s="121"/>
      <c r="E208" s="121"/>
      <c r="F208" s="121"/>
      <c r="G208" s="121"/>
      <c r="H208" s="121"/>
      <c r="I208" s="121"/>
      <c r="J208" s="121"/>
      <c r="K208" s="121"/>
      <c r="L208" s="121"/>
      <c r="M208" s="121"/>
      <c r="N208" s="121"/>
      <c r="O208" s="121"/>
      <c r="P208" s="121"/>
      <c r="Q208" s="121"/>
      <c r="R208" s="121"/>
      <c r="S208" s="121"/>
      <c r="T208" s="121"/>
      <c r="U208" s="121"/>
      <c r="V208" s="121"/>
      <c r="W208" s="121"/>
      <c r="X208" s="121"/>
      <c r="Y208" s="121"/>
      <c r="Z208" s="121"/>
    </row>
    <row r="209" spans="1:26" ht="11.25" customHeight="1" x14ac:dyDescent="0.3">
      <c r="A209" s="121"/>
      <c r="B209" s="121"/>
      <c r="C209" s="121"/>
      <c r="D209" s="121"/>
      <c r="E209" s="121"/>
      <c r="F209" s="121"/>
      <c r="G209" s="121"/>
      <c r="H209" s="121"/>
      <c r="I209" s="121"/>
      <c r="J209" s="121"/>
      <c r="K209" s="121"/>
      <c r="L209" s="121"/>
      <c r="M209" s="121"/>
      <c r="N209" s="121"/>
      <c r="O209" s="121"/>
      <c r="P209" s="121"/>
      <c r="Q209" s="121"/>
      <c r="R209" s="121"/>
      <c r="S209" s="121"/>
      <c r="T209" s="121"/>
      <c r="U209" s="121"/>
      <c r="V209" s="121"/>
      <c r="W209" s="121"/>
      <c r="X209" s="121"/>
      <c r="Y209" s="121"/>
      <c r="Z209" s="121"/>
    </row>
    <row r="210" spans="1:26" ht="11.25" customHeight="1" x14ac:dyDescent="0.3">
      <c r="A210" s="121"/>
      <c r="B210" s="121"/>
      <c r="C210" s="121"/>
      <c r="D210" s="121"/>
      <c r="E210" s="121"/>
      <c r="F210" s="121"/>
      <c r="G210" s="121"/>
      <c r="H210" s="121"/>
      <c r="I210" s="121"/>
      <c r="J210" s="121"/>
      <c r="K210" s="121"/>
      <c r="L210" s="121"/>
      <c r="M210" s="121"/>
      <c r="N210" s="121"/>
      <c r="O210" s="121"/>
      <c r="P210" s="121"/>
      <c r="Q210" s="121"/>
      <c r="R210" s="121"/>
      <c r="S210" s="121"/>
      <c r="T210" s="121"/>
      <c r="U210" s="121"/>
      <c r="V210" s="121"/>
      <c r="W210" s="121"/>
      <c r="X210" s="121"/>
      <c r="Y210" s="121"/>
      <c r="Z210" s="121"/>
    </row>
    <row r="211" spans="1:26" ht="11.25" customHeight="1" x14ac:dyDescent="0.3">
      <c r="A211" s="121"/>
      <c r="B211" s="121"/>
      <c r="C211" s="121"/>
      <c r="D211" s="121"/>
      <c r="E211" s="121"/>
      <c r="F211" s="121"/>
      <c r="G211" s="121"/>
      <c r="H211" s="121"/>
      <c r="I211" s="121"/>
      <c r="J211" s="121"/>
      <c r="K211" s="121"/>
      <c r="L211" s="121"/>
      <c r="M211" s="121"/>
      <c r="N211" s="121"/>
      <c r="O211" s="121"/>
      <c r="P211" s="121"/>
      <c r="Q211" s="121"/>
      <c r="R211" s="121"/>
      <c r="S211" s="121"/>
      <c r="T211" s="121"/>
      <c r="U211" s="121"/>
      <c r="V211" s="121"/>
      <c r="W211" s="121"/>
      <c r="X211" s="121"/>
      <c r="Y211" s="121"/>
      <c r="Z211" s="121"/>
    </row>
    <row r="212" spans="1:26" ht="11.25" customHeight="1" x14ac:dyDescent="0.3">
      <c r="A212" s="121"/>
      <c r="B212" s="121"/>
      <c r="C212" s="121"/>
      <c r="D212" s="121"/>
      <c r="E212" s="121"/>
      <c r="F212" s="121"/>
      <c r="G212" s="121"/>
      <c r="H212" s="121"/>
      <c r="I212" s="121"/>
      <c r="J212" s="121"/>
      <c r="K212" s="121"/>
      <c r="L212" s="121"/>
      <c r="M212" s="121"/>
      <c r="N212" s="121"/>
      <c r="O212" s="121"/>
      <c r="P212" s="121"/>
      <c r="Q212" s="121"/>
      <c r="R212" s="121"/>
      <c r="S212" s="121"/>
      <c r="T212" s="121"/>
      <c r="U212" s="121"/>
      <c r="V212" s="121"/>
      <c r="W212" s="121"/>
      <c r="X212" s="121"/>
      <c r="Y212" s="121"/>
      <c r="Z212" s="121"/>
    </row>
    <row r="213" spans="1:26" ht="11.25" customHeight="1" x14ac:dyDescent="0.3">
      <c r="A213" s="121"/>
      <c r="B213" s="121"/>
      <c r="C213" s="121"/>
      <c r="D213" s="121"/>
      <c r="E213" s="121"/>
      <c r="F213" s="121"/>
      <c r="G213" s="121"/>
      <c r="H213" s="121"/>
      <c r="I213" s="121"/>
      <c r="J213" s="121"/>
      <c r="K213" s="121"/>
      <c r="L213" s="121"/>
      <c r="M213" s="121"/>
      <c r="N213" s="121"/>
      <c r="O213" s="121"/>
      <c r="P213" s="121"/>
      <c r="Q213" s="121"/>
      <c r="R213" s="121"/>
      <c r="S213" s="121"/>
      <c r="T213" s="121"/>
      <c r="U213" s="121"/>
      <c r="V213" s="121"/>
      <c r="W213" s="121"/>
      <c r="X213" s="121"/>
      <c r="Y213" s="121"/>
      <c r="Z213" s="121"/>
    </row>
    <row r="214" spans="1:26" ht="11.25" customHeight="1" x14ac:dyDescent="0.3">
      <c r="A214" s="121"/>
      <c r="B214" s="121"/>
      <c r="C214" s="121"/>
      <c r="D214" s="121"/>
      <c r="E214" s="121"/>
      <c r="F214" s="121"/>
      <c r="G214" s="121"/>
      <c r="H214" s="121"/>
      <c r="I214" s="121"/>
      <c r="J214" s="121"/>
      <c r="K214" s="121"/>
      <c r="L214" s="121"/>
      <c r="M214" s="121"/>
      <c r="N214" s="121"/>
      <c r="O214" s="121"/>
      <c r="P214" s="121"/>
      <c r="Q214" s="121"/>
      <c r="R214" s="121"/>
      <c r="S214" s="121"/>
      <c r="T214" s="121"/>
      <c r="U214" s="121"/>
      <c r="V214" s="121"/>
      <c r="W214" s="121"/>
      <c r="X214" s="121"/>
      <c r="Y214" s="121"/>
      <c r="Z214" s="121"/>
    </row>
    <row r="215" spans="1:26" ht="11.25" customHeight="1" x14ac:dyDescent="0.3">
      <c r="A215" s="121"/>
      <c r="B215" s="121"/>
      <c r="C215" s="121"/>
      <c r="D215" s="121"/>
      <c r="E215" s="121"/>
      <c r="F215" s="121"/>
      <c r="G215" s="121"/>
      <c r="H215" s="121"/>
      <c r="I215" s="121"/>
      <c r="J215" s="121"/>
      <c r="K215" s="121"/>
      <c r="L215" s="121"/>
      <c r="M215" s="121"/>
      <c r="N215" s="121"/>
      <c r="O215" s="121"/>
      <c r="P215" s="121"/>
      <c r="Q215" s="121"/>
      <c r="R215" s="121"/>
      <c r="S215" s="121"/>
      <c r="T215" s="121"/>
      <c r="U215" s="121"/>
      <c r="V215" s="121"/>
      <c r="W215" s="121"/>
      <c r="X215" s="121"/>
      <c r="Y215" s="121"/>
      <c r="Z215" s="121"/>
    </row>
    <row r="216" spans="1:26" ht="11.25" customHeight="1" x14ac:dyDescent="0.3">
      <c r="A216" s="121"/>
      <c r="B216" s="121"/>
      <c r="C216" s="121"/>
      <c r="D216" s="121"/>
      <c r="E216" s="121"/>
      <c r="F216" s="121"/>
      <c r="G216" s="121"/>
      <c r="H216" s="121"/>
      <c r="I216" s="121"/>
      <c r="J216" s="121"/>
      <c r="K216" s="121"/>
      <c r="L216" s="121"/>
      <c r="M216" s="121"/>
      <c r="N216" s="121"/>
      <c r="O216" s="121"/>
      <c r="P216" s="121"/>
      <c r="Q216" s="121"/>
      <c r="R216" s="121"/>
      <c r="S216" s="121"/>
      <c r="T216" s="121"/>
      <c r="U216" s="121"/>
      <c r="V216" s="121"/>
      <c r="W216" s="121"/>
      <c r="X216" s="121"/>
      <c r="Y216" s="121"/>
      <c r="Z216" s="121"/>
    </row>
    <row r="217" spans="1:26" ht="11.25" customHeight="1" x14ac:dyDescent="0.3">
      <c r="A217" s="121"/>
      <c r="B217" s="121"/>
      <c r="C217" s="121"/>
      <c r="D217" s="121"/>
      <c r="E217" s="121"/>
      <c r="F217" s="121"/>
      <c r="G217" s="121"/>
      <c r="H217" s="121"/>
      <c r="I217" s="121"/>
      <c r="J217" s="121"/>
      <c r="K217" s="121"/>
      <c r="L217" s="121"/>
      <c r="M217" s="121"/>
      <c r="N217" s="121"/>
      <c r="O217" s="121"/>
      <c r="P217" s="121"/>
      <c r="Q217" s="121"/>
      <c r="R217" s="121"/>
      <c r="S217" s="121"/>
      <c r="T217" s="121"/>
      <c r="U217" s="121"/>
      <c r="V217" s="121"/>
      <c r="W217" s="121"/>
      <c r="X217" s="121"/>
      <c r="Y217" s="121"/>
      <c r="Z217" s="121"/>
    </row>
    <row r="218" spans="1:26" ht="11.25" customHeight="1" x14ac:dyDescent="0.3">
      <c r="A218" s="121"/>
      <c r="B218" s="121"/>
      <c r="C218" s="121"/>
      <c r="D218" s="121"/>
      <c r="E218" s="121"/>
      <c r="F218" s="121"/>
      <c r="G218" s="121"/>
      <c r="H218" s="121"/>
      <c r="I218" s="121"/>
      <c r="J218" s="121"/>
      <c r="K218" s="121"/>
      <c r="L218" s="121"/>
      <c r="M218" s="121"/>
      <c r="N218" s="121"/>
      <c r="O218" s="121"/>
      <c r="P218" s="121"/>
      <c r="Q218" s="121"/>
      <c r="R218" s="121"/>
      <c r="S218" s="121"/>
      <c r="T218" s="121"/>
      <c r="U218" s="121"/>
      <c r="V218" s="121"/>
      <c r="W218" s="121"/>
      <c r="X218" s="121"/>
      <c r="Y218" s="121"/>
      <c r="Z218" s="121"/>
    </row>
    <row r="219" spans="1:26" ht="11.25" customHeight="1" x14ac:dyDescent="0.3">
      <c r="A219" s="121"/>
      <c r="B219" s="121"/>
      <c r="C219" s="121"/>
      <c r="D219" s="121"/>
      <c r="E219" s="121"/>
      <c r="F219" s="121"/>
      <c r="G219" s="121"/>
      <c r="H219" s="121"/>
      <c r="I219" s="121"/>
      <c r="J219" s="121"/>
      <c r="K219" s="121"/>
      <c r="L219" s="121"/>
      <c r="M219" s="121"/>
      <c r="N219" s="121"/>
      <c r="O219" s="121"/>
      <c r="P219" s="121"/>
      <c r="Q219" s="121"/>
      <c r="R219" s="121"/>
      <c r="S219" s="121"/>
      <c r="T219" s="121"/>
      <c r="U219" s="121"/>
      <c r="V219" s="121"/>
      <c r="W219" s="121"/>
      <c r="X219" s="121"/>
      <c r="Y219" s="121"/>
      <c r="Z219" s="121"/>
    </row>
    <row r="220" spans="1:26" ht="11.25" customHeight="1" x14ac:dyDescent="0.3">
      <c r="A220" s="121"/>
      <c r="B220" s="121"/>
      <c r="C220" s="121"/>
      <c r="D220" s="121"/>
      <c r="E220" s="121"/>
      <c r="F220" s="121"/>
      <c r="G220" s="121"/>
      <c r="H220" s="121"/>
      <c r="I220" s="121"/>
      <c r="J220" s="121"/>
      <c r="K220" s="121"/>
      <c r="L220" s="121"/>
      <c r="M220" s="121"/>
      <c r="N220" s="121"/>
      <c r="O220" s="121"/>
      <c r="P220" s="121"/>
      <c r="Q220" s="121"/>
      <c r="R220" s="121"/>
      <c r="S220" s="121"/>
      <c r="T220" s="121"/>
      <c r="U220" s="121"/>
      <c r="V220" s="121"/>
      <c r="W220" s="121"/>
      <c r="X220" s="121"/>
      <c r="Y220" s="121"/>
      <c r="Z220" s="121"/>
    </row>
    <row r="221" spans="1:26" ht="11.25" customHeight="1" x14ac:dyDescent="0.3">
      <c r="A221" s="121"/>
      <c r="B221" s="121"/>
      <c r="C221" s="121"/>
      <c r="D221" s="121"/>
      <c r="E221" s="121"/>
      <c r="F221" s="121"/>
      <c r="G221" s="121"/>
      <c r="H221" s="121"/>
      <c r="I221" s="121"/>
      <c r="J221" s="121"/>
      <c r="K221" s="121"/>
      <c r="L221" s="121"/>
      <c r="M221" s="121"/>
      <c r="N221" s="121"/>
      <c r="O221" s="121"/>
      <c r="P221" s="121"/>
      <c r="Q221" s="121"/>
      <c r="R221" s="121"/>
      <c r="S221" s="121"/>
      <c r="T221" s="121"/>
      <c r="U221" s="121"/>
      <c r="V221" s="121"/>
      <c r="W221" s="121"/>
      <c r="X221" s="121"/>
      <c r="Y221" s="121"/>
      <c r="Z221" s="121"/>
    </row>
    <row r="222" spans="1:26" ht="11.25" customHeight="1" x14ac:dyDescent="0.3">
      <c r="A222" s="121"/>
      <c r="B222" s="121"/>
      <c r="C222" s="121"/>
      <c r="D222" s="121"/>
      <c r="E222" s="121"/>
      <c r="F222" s="121"/>
      <c r="G222" s="121"/>
      <c r="H222" s="121"/>
      <c r="I222" s="121"/>
      <c r="J222" s="121"/>
      <c r="K222" s="121"/>
      <c r="L222" s="121"/>
      <c r="M222" s="121"/>
      <c r="N222" s="121"/>
      <c r="O222" s="121"/>
      <c r="P222" s="121"/>
      <c r="Q222" s="121"/>
      <c r="R222" s="121"/>
      <c r="S222" s="121"/>
      <c r="T222" s="121"/>
      <c r="U222" s="121"/>
      <c r="V222" s="121"/>
      <c r="W222" s="121"/>
      <c r="X222" s="121"/>
      <c r="Y222" s="121"/>
      <c r="Z222" s="121"/>
    </row>
    <row r="223" spans="1:26" ht="11.25" customHeight="1" x14ac:dyDescent="0.3">
      <c r="A223" s="121"/>
      <c r="B223" s="121"/>
      <c r="C223" s="121"/>
      <c r="D223" s="121"/>
      <c r="E223" s="121"/>
      <c r="F223" s="121"/>
      <c r="G223" s="121"/>
      <c r="H223" s="121"/>
      <c r="I223" s="121"/>
      <c r="J223" s="121"/>
      <c r="K223" s="121"/>
      <c r="L223" s="121"/>
      <c r="M223" s="121"/>
      <c r="N223" s="121"/>
      <c r="O223" s="121"/>
      <c r="P223" s="121"/>
      <c r="Q223" s="121"/>
      <c r="R223" s="121"/>
      <c r="S223" s="121"/>
      <c r="T223" s="121"/>
      <c r="U223" s="121"/>
      <c r="V223" s="121"/>
      <c r="W223" s="121"/>
      <c r="X223" s="121"/>
      <c r="Y223" s="121"/>
      <c r="Z223" s="121"/>
    </row>
    <row r="224" spans="1:26" ht="11.25" customHeight="1" x14ac:dyDescent="0.3">
      <c r="A224" s="121"/>
      <c r="B224" s="121"/>
      <c r="C224" s="121"/>
      <c r="D224" s="121"/>
      <c r="E224" s="121"/>
      <c r="F224" s="121"/>
      <c r="G224" s="121"/>
      <c r="H224" s="121"/>
      <c r="I224" s="121"/>
      <c r="J224" s="121"/>
      <c r="K224" s="121"/>
      <c r="L224" s="121"/>
      <c r="M224" s="121"/>
      <c r="N224" s="121"/>
      <c r="O224" s="121"/>
      <c r="P224" s="121"/>
      <c r="Q224" s="121"/>
      <c r="R224" s="121"/>
      <c r="S224" s="121"/>
      <c r="T224" s="121"/>
      <c r="U224" s="121"/>
      <c r="V224" s="121"/>
      <c r="W224" s="121"/>
      <c r="X224" s="121"/>
      <c r="Y224" s="121"/>
      <c r="Z224" s="121"/>
    </row>
    <row r="225" spans="1:26" ht="11.25" customHeight="1" x14ac:dyDescent="0.3">
      <c r="A225" s="121"/>
      <c r="B225" s="121"/>
      <c r="C225" s="121"/>
      <c r="D225" s="121"/>
      <c r="E225" s="121"/>
      <c r="F225" s="121"/>
      <c r="G225" s="121"/>
      <c r="H225" s="121"/>
      <c r="I225" s="121"/>
      <c r="J225" s="121"/>
      <c r="K225" s="121"/>
      <c r="L225" s="121"/>
      <c r="M225" s="121"/>
      <c r="N225" s="121"/>
      <c r="O225" s="121"/>
      <c r="P225" s="121"/>
      <c r="Q225" s="121"/>
      <c r="R225" s="121"/>
      <c r="S225" s="121"/>
      <c r="T225" s="121"/>
      <c r="U225" s="121"/>
      <c r="V225" s="121"/>
      <c r="W225" s="121"/>
      <c r="X225" s="121"/>
      <c r="Y225" s="121"/>
      <c r="Z225" s="121"/>
    </row>
    <row r="226" spans="1:26" ht="11.25" customHeight="1" x14ac:dyDescent="0.3">
      <c r="A226" s="121"/>
      <c r="B226" s="121"/>
      <c r="C226" s="121"/>
      <c r="D226" s="121"/>
      <c r="E226" s="121"/>
      <c r="F226" s="121"/>
      <c r="G226" s="121"/>
      <c r="H226" s="121"/>
      <c r="I226" s="121"/>
      <c r="J226" s="121"/>
      <c r="K226" s="121"/>
      <c r="L226" s="121"/>
      <c r="M226" s="121"/>
      <c r="N226" s="121"/>
      <c r="O226" s="121"/>
      <c r="P226" s="121"/>
      <c r="Q226" s="121"/>
      <c r="R226" s="121"/>
      <c r="S226" s="121"/>
      <c r="T226" s="121"/>
      <c r="U226" s="121"/>
      <c r="V226" s="121"/>
      <c r="W226" s="121"/>
      <c r="X226" s="121"/>
      <c r="Y226" s="121"/>
      <c r="Z226" s="121"/>
    </row>
    <row r="227" spans="1:26" ht="11.25" customHeight="1" x14ac:dyDescent="0.3">
      <c r="A227" s="121"/>
      <c r="B227" s="121"/>
      <c r="C227" s="121"/>
      <c r="D227" s="121"/>
      <c r="E227" s="121"/>
      <c r="F227" s="121"/>
      <c r="G227" s="121"/>
      <c r="H227" s="121"/>
      <c r="I227" s="121"/>
      <c r="J227" s="121"/>
      <c r="K227" s="121"/>
      <c r="L227" s="121"/>
      <c r="M227" s="121"/>
      <c r="N227" s="121"/>
      <c r="O227" s="121"/>
      <c r="P227" s="121"/>
      <c r="Q227" s="121"/>
      <c r="R227" s="121"/>
      <c r="S227" s="121"/>
      <c r="T227" s="121"/>
      <c r="U227" s="121"/>
      <c r="V227" s="121"/>
      <c r="W227" s="121"/>
      <c r="X227" s="121"/>
      <c r="Y227" s="121"/>
      <c r="Z227" s="121"/>
    </row>
    <row r="228" spans="1:26" ht="11.25" customHeight="1" x14ac:dyDescent="0.3">
      <c r="A228" s="121"/>
      <c r="B228" s="121"/>
      <c r="C228" s="121"/>
      <c r="D228" s="121"/>
      <c r="E228" s="121"/>
      <c r="F228" s="121"/>
      <c r="G228" s="121"/>
      <c r="H228" s="121"/>
      <c r="I228" s="121"/>
      <c r="J228" s="121"/>
      <c r="K228" s="121"/>
      <c r="L228" s="121"/>
      <c r="M228" s="121"/>
      <c r="N228" s="121"/>
      <c r="O228" s="121"/>
      <c r="P228" s="121"/>
      <c r="Q228" s="121"/>
      <c r="R228" s="121"/>
      <c r="S228" s="121"/>
      <c r="T228" s="121"/>
      <c r="U228" s="121"/>
      <c r="V228" s="121"/>
      <c r="W228" s="121"/>
      <c r="X228" s="121"/>
      <c r="Y228" s="121"/>
      <c r="Z228" s="121"/>
    </row>
    <row r="229" spans="1:26" ht="11.25" customHeight="1" x14ac:dyDescent="0.3">
      <c r="A229" s="121"/>
      <c r="B229" s="121"/>
      <c r="C229" s="121"/>
      <c r="D229" s="121"/>
      <c r="E229" s="121"/>
      <c r="F229" s="121"/>
      <c r="G229" s="121"/>
      <c r="H229" s="121"/>
      <c r="I229" s="121"/>
      <c r="J229" s="121"/>
      <c r="K229" s="121"/>
      <c r="L229" s="121"/>
      <c r="M229" s="121"/>
      <c r="N229" s="121"/>
      <c r="O229" s="121"/>
      <c r="P229" s="121"/>
      <c r="Q229" s="121"/>
      <c r="R229" s="121"/>
      <c r="S229" s="121"/>
      <c r="T229" s="121"/>
      <c r="U229" s="121"/>
      <c r="V229" s="121"/>
      <c r="W229" s="121"/>
      <c r="X229" s="121"/>
      <c r="Y229" s="121"/>
      <c r="Z229" s="121"/>
    </row>
    <row r="230" spans="1:26" ht="11.25" customHeight="1" x14ac:dyDescent="0.3">
      <c r="A230" s="121"/>
      <c r="B230" s="121"/>
      <c r="C230" s="121"/>
      <c r="D230" s="121"/>
      <c r="E230" s="121"/>
      <c r="F230" s="121"/>
      <c r="G230" s="121"/>
      <c r="H230" s="121"/>
      <c r="I230" s="121"/>
      <c r="J230" s="121"/>
      <c r="K230" s="121"/>
      <c r="L230" s="121"/>
      <c r="M230" s="121"/>
      <c r="N230" s="121"/>
      <c r="O230" s="121"/>
      <c r="P230" s="121"/>
      <c r="Q230" s="121"/>
      <c r="R230" s="121"/>
      <c r="S230" s="121"/>
      <c r="T230" s="121"/>
      <c r="U230" s="121"/>
      <c r="V230" s="121"/>
      <c r="W230" s="121"/>
      <c r="X230" s="121"/>
      <c r="Y230" s="121"/>
      <c r="Z230" s="121"/>
    </row>
    <row r="231" spans="1:26" ht="11.25" customHeight="1" x14ac:dyDescent="0.3">
      <c r="A231" s="121"/>
      <c r="B231" s="121"/>
      <c r="C231" s="121"/>
      <c r="D231" s="121"/>
      <c r="E231" s="121"/>
      <c r="F231" s="121"/>
      <c r="G231" s="121"/>
      <c r="H231" s="121"/>
      <c r="I231" s="121"/>
      <c r="J231" s="121"/>
      <c r="K231" s="121"/>
      <c r="L231" s="121"/>
      <c r="M231" s="121"/>
      <c r="N231" s="121"/>
      <c r="O231" s="121"/>
      <c r="P231" s="121"/>
      <c r="Q231" s="121"/>
      <c r="R231" s="121"/>
      <c r="S231" s="121"/>
      <c r="T231" s="121"/>
      <c r="U231" s="121"/>
      <c r="V231" s="121"/>
      <c r="W231" s="121"/>
      <c r="X231" s="121"/>
      <c r="Y231" s="121"/>
      <c r="Z231" s="121"/>
    </row>
    <row r="232" spans="1:26" ht="11.25" customHeight="1" x14ac:dyDescent="0.3">
      <c r="A232" s="121"/>
      <c r="B232" s="121"/>
      <c r="C232" s="121"/>
      <c r="D232" s="121"/>
      <c r="E232" s="121"/>
      <c r="F232" s="121"/>
      <c r="G232" s="121"/>
      <c r="H232" s="121"/>
      <c r="I232" s="121"/>
      <c r="J232" s="121"/>
      <c r="K232" s="121"/>
      <c r="L232" s="121"/>
      <c r="M232" s="121"/>
      <c r="N232" s="121"/>
      <c r="O232" s="121"/>
      <c r="P232" s="121"/>
      <c r="Q232" s="121"/>
      <c r="R232" s="121"/>
      <c r="S232" s="121"/>
      <c r="T232" s="121"/>
      <c r="U232" s="121"/>
      <c r="V232" s="121"/>
      <c r="W232" s="121"/>
      <c r="X232" s="121"/>
      <c r="Y232" s="121"/>
      <c r="Z232" s="121"/>
    </row>
    <row r="233" spans="1:26" ht="11.25" customHeight="1" x14ac:dyDescent="0.3">
      <c r="A233" s="121"/>
      <c r="B233" s="121"/>
      <c r="C233" s="121"/>
      <c r="D233" s="121"/>
      <c r="E233" s="121"/>
      <c r="F233" s="121"/>
      <c r="G233" s="121"/>
      <c r="H233" s="121"/>
      <c r="I233" s="121"/>
      <c r="J233" s="121"/>
      <c r="K233" s="121"/>
      <c r="L233" s="121"/>
      <c r="M233" s="121"/>
      <c r="N233" s="121"/>
      <c r="O233" s="121"/>
      <c r="P233" s="121"/>
      <c r="Q233" s="121"/>
      <c r="R233" s="121"/>
      <c r="S233" s="121"/>
      <c r="T233" s="121"/>
      <c r="U233" s="121"/>
      <c r="V233" s="121"/>
      <c r="W233" s="121"/>
      <c r="X233" s="121"/>
      <c r="Y233" s="121"/>
      <c r="Z233" s="121"/>
    </row>
    <row r="234" spans="1:26" ht="11.25" customHeight="1" x14ac:dyDescent="0.3">
      <c r="A234" s="121"/>
      <c r="B234" s="121"/>
      <c r="C234" s="121"/>
      <c r="D234" s="121"/>
      <c r="E234" s="121"/>
      <c r="F234" s="121"/>
      <c r="G234" s="121"/>
      <c r="H234" s="121"/>
      <c r="I234" s="121"/>
      <c r="J234" s="121"/>
      <c r="K234" s="121"/>
      <c r="L234" s="121"/>
      <c r="M234" s="121"/>
      <c r="N234" s="121"/>
      <c r="O234" s="121"/>
      <c r="P234" s="121"/>
      <c r="Q234" s="121"/>
      <c r="R234" s="121"/>
      <c r="S234" s="121"/>
      <c r="T234" s="121"/>
      <c r="U234" s="121"/>
      <c r="V234" s="121"/>
      <c r="W234" s="121"/>
      <c r="X234" s="121"/>
      <c r="Y234" s="121"/>
      <c r="Z234" s="121"/>
    </row>
    <row r="235" spans="1:26" ht="11.25" customHeight="1" x14ac:dyDescent="0.3">
      <c r="A235" s="121"/>
      <c r="B235" s="121"/>
      <c r="C235" s="121"/>
      <c r="D235" s="121"/>
      <c r="E235" s="121"/>
      <c r="F235" s="121"/>
      <c r="G235" s="121"/>
      <c r="H235" s="121"/>
      <c r="I235" s="121"/>
      <c r="J235" s="121"/>
      <c r="K235" s="121"/>
      <c r="L235" s="121"/>
      <c r="M235" s="121"/>
      <c r="N235" s="121"/>
      <c r="O235" s="121"/>
      <c r="P235" s="121"/>
      <c r="Q235" s="121"/>
      <c r="R235" s="121"/>
      <c r="S235" s="121"/>
      <c r="T235" s="121"/>
      <c r="U235" s="121"/>
      <c r="V235" s="121"/>
      <c r="W235" s="121"/>
      <c r="X235" s="121"/>
      <c r="Y235" s="121"/>
      <c r="Z235" s="121"/>
    </row>
    <row r="236" spans="1:26" ht="11.25" customHeight="1" x14ac:dyDescent="0.3">
      <c r="A236" s="121"/>
      <c r="B236" s="121"/>
      <c r="C236" s="121"/>
      <c r="D236" s="121"/>
      <c r="E236" s="121"/>
      <c r="F236" s="121"/>
      <c r="G236" s="121"/>
      <c r="H236" s="121"/>
      <c r="I236" s="121"/>
      <c r="J236" s="121"/>
      <c r="K236" s="121"/>
      <c r="L236" s="121"/>
      <c r="M236" s="121"/>
      <c r="N236" s="121"/>
      <c r="O236" s="121"/>
      <c r="P236" s="121"/>
      <c r="Q236" s="121"/>
      <c r="R236" s="121"/>
      <c r="S236" s="121"/>
      <c r="T236" s="121"/>
      <c r="U236" s="121"/>
      <c r="V236" s="121"/>
      <c r="W236" s="121"/>
      <c r="X236" s="121"/>
      <c r="Y236" s="121"/>
      <c r="Z236" s="121"/>
    </row>
    <row r="237" spans="1:26" ht="11.25" customHeight="1" x14ac:dyDescent="0.3">
      <c r="A237" s="121"/>
      <c r="B237" s="121"/>
      <c r="C237" s="121"/>
      <c r="D237" s="121"/>
      <c r="E237" s="121"/>
      <c r="F237" s="121"/>
      <c r="G237" s="121"/>
      <c r="H237" s="121"/>
      <c r="I237" s="121"/>
      <c r="J237" s="121"/>
      <c r="K237" s="121"/>
      <c r="L237" s="121"/>
      <c r="M237" s="121"/>
      <c r="N237" s="121"/>
      <c r="O237" s="121"/>
      <c r="P237" s="121"/>
      <c r="Q237" s="121"/>
      <c r="R237" s="121"/>
      <c r="S237" s="121"/>
      <c r="T237" s="121"/>
      <c r="U237" s="121"/>
      <c r="V237" s="121"/>
      <c r="W237" s="121"/>
      <c r="X237" s="121"/>
      <c r="Y237" s="121"/>
      <c r="Z237" s="121"/>
    </row>
    <row r="238" spans="1:26" ht="11.25" customHeight="1" x14ac:dyDescent="0.3">
      <c r="A238" s="121"/>
      <c r="B238" s="121"/>
      <c r="C238" s="121"/>
      <c r="D238" s="121"/>
      <c r="E238" s="121"/>
      <c r="F238" s="121"/>
      <c r="G238" s="121"/>
      <c r="H238" s="121"/>
      <c r="I238" s="121"/>
      <c r="J238" s="121"/>
      <c r="K238" s="121"/>
      <c r="L238" s="121"/>
      <c r="M238" s="121"/>
      <c r="N238" s="121"/>
      <c r="O238" s="121"/>
      <c r="P238" s="121"/>
      <c r="Q238" s="121"/>
      <c r="R238" s="121"/>
      <c r="S238" s="121"/>
      <c r="T238" s="121"/>
      <c r="U238" s="121"/>
      <c r="V238" s="121"/>
      <c r="W238" s="121"/>
      <c r="X238" s="121"/>
      <c r="Y238" s="121"/>
      <c r="Z238" s="121"/>
    </row>
    <row r="239" spans="1:26" ht="11.25" customHeight="1" x14ac:dyDescent="0.3">
      <c r="A239" s="121"/>
      <c r="B239" s="121"/>
      <c r="C239" s="121"/>
      <c r="D239" s="121"/>
      <c r="E239" s="121"/>
      <c r="F239" s="121"/>
      <c r="G239" s="121"/>
      <c r="H239" s="121"/>
      <c r="I239" s="121"/>
      <c r="J239" s="121"/>
      <c r="K239" s="121"/>
      <c r="L239" s="121"/>
      <c r="M239" s="121"/>
      <c r="N239" s="121"/>
      <c r="O239" s="121"/>
      <c r="P239" s="121"/>
      <c r="Q239" s="121"/>
      <c r="R239" s="121"/>
      <c r="S239" s="121"/>
      <c r="T239" s="121"/>
      <c r="U239" s="121"/>
      <c r="V239" s="121"/>
      <c r="W239" s="121"/>
      <c r="X239" s="121"/>
      <c r="Y239" s="121"/>
      <c r="Z239" s="121"/>
    </row>
    <row r="240" spans="1:26" ht="11.25" customHeight="1" x14ac:dyDescent="0.3">
      <c r="A240" s="121"/>
      <c r="B240" s="121"/>
      <c r="C240" s="121"/>
      <c r="D240" s="121"/>
      <c r="E240" s="121"/>
      <c r="F240" s="121"/>
      <c r="G240" s="121"/>
      <c r="H240" s="121"/>
      <c r="I240" s="121"/>
      <c r="J240" s="121"/>
      <c r="K240" s="121"/>
      <c r="L240" s="121"/>
      <c r="M240" s="121"/>
      <c r="N240" s="121"/>
      <c r="O240" s="121"/>
      <c r="P240" s="121"/>
      <c r="Q240" s="121"/>
      <c r="R240" s="121"/>
      <c r="S240" s="121"/>
      <c r="T240" s="121"/>
      <c r="U240" s="121"/>
      <c r="V240" s="121"/>
      <c r="W240" s="121"/>
      <c r="X240" s="121"/>
      <c r="Y240" s="121"/>
      <c r="Z240" s="121"/>
    </row>
    <row r="241" spans="1:26" ht="11.25" customHeight="1" x14ac:dyDescent="0.3">
      <c r="A241" s="121"/>
      <c r="B241" s="121"/>
      <c r="C241" s="121"/>
      <c r="D241" s="121"/>
      <c r="E241" s="121"/>
      <c r="F241" s="121"/>
      <c r="G241" s="121"/>
      <c r="H241" s="121"/>
      <c r="I241" s="121"/>
      <c r="J241" s="121"/>
      <c r="K241" s="121"/>
      <c r="L241" s="121"/>
      <c r="M241" s="121"/>
      <c r="N241" s="121"/>
      <c r="O241" s="121"/>
      <c r="P241" s="121"/>
      <c r="Q241" s="121"/>
      <c r="R241" s="121"/>
      <c r="S241" s="121"/>
      <c r="T241" s="121"/>
      <c r="U241" s="121"/>
      <c r="V241" s="121"/>
      <c r="W241" s="121"/>
      <c r="X241" s="121"/>
      <c r="Y241" s="121"/>
      <c r="Z241" s="121"/>
    </row>
    <row r="242" spans="1:26" ht="11.25" customHeight="1" x14ac:dyDescent="0.3">
      <c r="A242" s="121"/>
      <c r="B242" s="121"/>
      <c r="C242" s="121"/>
      <c r="D242" s="121"/>
      <c r="E242" s="121"/>
      <c r="F242" s="121"/>
      <c r="G242" s="121"/>
      <c r="H242" s="121"/>
      <c r="I242" s="121"/>
      <c r="J242" s="121"/>
      <c r="K242" s="121"/>
      <c r="L242" s="121"/>
      <c r="M242" s="121"/>
      <c r="N242" s="121"/>
      <c r="O242" s="121"/>
      <c r="P242" s="121"/>
      <c r="Q242" s="121"/>
      <c r="R242" s="121"/>
      <c r="S242" s="121"/>
      <c r="T242" s="121"/>
      <c r="U242" s="121"/>
      <c r="V242" s="121"/>
      <c r="W242" s="121"/>
      <c r="X242" s="121"/>
      <c r="Y242" s="121"/>
      <c r="Z242" s="121"/>
    </row>
    <row r="243" spans="1:26" ht="11.25" customHeight="1" x14ac:dyDescent="0.3">
      <c r="A243" s="121"/>
      <c r="B243" s="121"/>
      <c r="C243" s="121"/>
      <c r="D243" s="121"/>
      <c r="E243" s="121"/>
      <c r="F243" s="121"/>
      <c r="G243" s="121"/>
      <c r="H243" s="121"/>
      <c r="I243" s="121"/>
      <c r="J243" s="121"/>
      <c r="K243" s="121"/>
      <c r="L243" s="121"/>
      <c r="M243" s="121"/>
      <c r="N243" s="121"/>
      <c r="O243" s="121"/>
      <c r="P243" s="121"/>
      <c r="Q243" s="121"/>
      <c r="R243" s="121"/>
      <c r="S243" s="121"/>
      <c r="T243" s="121"/>
      <c r="U243" s="121"/>
      <c r="V243" s="121"/>
      <c r="W243" s="121"/>
      <c r="X243" s="121"/>
      <c r="Y243" s="121"/>
      <c r="Z243" s="121"/>
    </row>
    <row r="244" spans="1:26" ht="11.25" customHeight="1" x14ac:dyDescent="0.3">
      <c r="A244" s="121"/>
      <c r="B244" s="121"/>
      <c r="C244" s="121"/>
      <c r="D244" s="121"/>
      <c r="E244" s="121"/>
      <c r="F244" s="121"/>
      <c r="G244" s="121"/>
      <c r="H244" s="121"/>
      <c r="I244" s="121"/>
      <c r="J244" s="121"/>
      <c r="K244" s="121"/>
      <c r="L244" s="121"/>
      <c r="M244" s="121"/>
      <c r="N244" s="121"/>
      <c r="O244" s="121"/>
      <c r="P244" s="121"/>
      <c r="Q244" s="121"/>
      <c r="R244" s="121"/>
      <c r="S244" s="121"/>
      <c r="T244" s="121"/>
      <c r="U244" s="121"/>
      <c r="V244" s="121"/>
      <c r="W244" s="121"/>
      <c r="X244" s="121"/>
      <c r="Y244" s="121"/>
      <c r="Z244" s="121"/>
    </row>
    <row r="245" spans="1:26" ht="11.25" customHeight="1" x14ac:dyDescent="0.3">
      <c r="A245" s="121"/>
      <c r="B245" s="121"/>
      <c r="C245" s="121"/>
      <c r="D245" s="121"/>
      <c r="E245" s="121"/>
      <c r="F245" s="121"/>
      <c r="G245" s="121"/>
      <c r="H245" s="121"/>
      <c r="I245" s="121"/>
      <c r="J245" s="121"/>
      <c r="K245" s="121"/>
      <c r="L245" s="121"/>
      <c r="M245" s="121"/>
      <c r="N245" s="121"/>
      <c r="O245" s="121"/>
      <c r="P245" s="121"/>
      <c r="Q245" s="121"/>
      <c r="R245" s="121"/>
      <c r="S245" s="121"/>
      <c r="T245" s="121"/>
      <c r="U245" s="121"/>
      <c r="V245" s="121"/>
      <c r="W245" s="121"/>
      <c r="X245" s="121"/>
      <c r="Y245" s="121"/>
      <c r="Z245" s="121"/>
    </row>
    <row r="246" spans="1:26" ht="11.25" customHeight="1" x14ac:dyDescent="0.3">
      <c r="A246" s="121"/>
      <c r="B246" s="121"/>
      <c r="C246" s="121"/>
      <c r="D246" s="121"/>
      <c r="E246" s="121"/>
      <c r="F246" s="121"/>
      <c r="G246" s="121"/>
      <c r="H246" s="121"/>
      <c r="I246" s="121"/>
      <c r="J246" s="121"/>
      <c r="K246" s="121"/>
      <c r="L246" s="121"/>
      <c r="M246" s="121"/>
      <c r="N246" s="121"/>
      <c r="O246" s="121"/>
      <c r="P246" s="121"/>
      <c r="Q246" s="121"/>
      <c r="R246" s="121"/>
      <c r="S246" s="121"/>
      <c r="T246" s="121"/>
      <c r="U246" s="121"/>
      <c r="V246" s="121"/>
      <c r="W246" s="121"/>
      <c r="X246" s="121"/>
      <c r="Y246" s="121"/>
      <c r="Z246" s="121"/>
    </row>
    <row r="247" spans="1:26" ht="11.25" customHeight="1" x14ac:dyDescent="0.3">
      <c r="A247" s="121"/>
      <c r="B247" s="121"/>
      <c r="C247" s="121"/>
      <c r="D247" s="121"/>
      <c r="E247" s="121"/>
      <c r="F247" s="121"/>
      <c r="G247" s="121"/>
      <c r="H247" s="121"/>
      <c r="I247" s="121"/>
      <c r="J247" s="121"/>
      <c r="K247" s="121"/>
      <c r="L247" s="121"/>
      <c r="M247" s="121"/>
      <c r="N247" s="121"/>
      <c r="O247" s="121"/>
      <c r="P247" s="121"/>
      <c r="Q247" s="121"/>
      <c r="R247" s="121"/>
      <c r="S247" s="121"/>
      <c r="T247" s="121"/>
      <c r="U247" s="121"/>
      <c r="V247" s="121"/>
      <c r="W247" s="121"/>
      <c r="X247" s="121"/>
      <c r="Y247" s="121"/>
      <c r="Z247" s="121"/>
    </row>
    <row r="248" spans="1:26" ht="11.25" customHeight="1" x14ac:dyDescent="0.3">
      <c r="A248" s="121"/>
      <c r="B248" s="121"/>
      <c r="C248" s="121"/>
      <c r="D248" s="121"/>
      <c r="E248" s="121"/>
      <c r="F248" s="121"/>
      <c r="G248" s="121"/>
      <c r="H248" s="121"/>
      <c r="I248" s="121"/>
      <c r="J248" s="121"/>
      <c r="K248" s="121"/>
      <c r="L248" s="121"/>
      <c r="M248" s="121"/>
      <c r="N248" s="121"/>
      <c r="O248" s="121"/>
      <c r="P248" s="121"/>
      <c r="Q248" s="121"/>
      <c r="R248" s="121"/>
      <c r="S248" s="121"/>
      <c r="T248" s="121"/>
      <c r="U248" s="121"/>
      <c r="V248" s="121"/>
      <c r="W248" s="121"/>
      <c r="X248" s="121"/>
      <c r="Y248" s="121"/>
      <c r="Z248" s="121"/>
    </row>
    <row r="249" spans="1:26" ht="11.25" customHeight="1" x14ac:dyDescent="0.3">
      <c r="A249" s="121"/>
      <c r="B249" s="121"/>
      <c r="C249" s="121"/>
      <c r="D249" s="121"/>
      <c r="E249" s="121"/>
      <c r="F249" s="121"/>
      <c r="G249" s="121"/>
      <c r="H249" s="121"/>
      <c r="I249" s="121"/>
      <c r="J249" s="121"/>
      <c r="K249" s="121"/>
      <c r="L249" s="121"/>
      <c r="M249" s="121"/>
      <c r="N249" s="121"/>
      <c r="O249" s="121"/>
      <c r="P249" s="121"/>
      <c r="Q249" s="121"/>
      <c r="R249" s="121"/>
      <c r="S249" s="121"/>
      <c r="T249" s="121"/>
      <c r="U249" s="121"/>
      <c r="V249" s="121"/>
      <c r="W249" s="121"/>
      <c r="X249" s="121"/>
      <c r="Y249" s="121"/>
      <c r="Z249" s="121"/>
    </row>
    <row r="250" spans="1:26" ht="11.25" customHeight="1" x14ac:dyDescent="0.3">
      <c r="A250" s="121"/>
      <c r="B250" s="121"/>
      <c r="C250" s="121"/>
      <c r="D250" s="121"/>
      <c r="E250" s="121"/>
      <c r="F250" s="121"/>
      <c r="G250" s="121"/>
      <c r="H250" s="121"/>
      <c r="I250" s="121"/>
      <c r="J250" s="121"/>
      <c r="K250" s="121"/>
      <c r="L250" s="121"/>
      <c r="M250" s="121"/>
      <c r="N250" s="121"/>
      <c r="O250" s="121"/>
      <c r="P250" s="121"/>
      <c r="Q250" s="121"/>
      <c r="R250" s="121"/>
      <c r="S250" s="121"/>
      <c r="T250" s="121"/>
      <c r="U250" s="121"/>
      <c r="V250" s="121"/>
      <c r="W250" s="121"/>
      <c r="X250" s="121"/>
      <c r="Y250" s="121"/>
      <c r="Z250" s="121"/>
    </row>
    <row r="251" spans="1:26" ht="11.25" customHeight="1" x14ac:dyDescent="0.3">
      <c r="A251" s="121"/>
      <c r="B251" s="121"/>
      <c r="C251" s="121"/>
      <c r="D251" s="121"/>
      <c r="E251" s="121"/>
      <c r="F251" s="121"/>
      <c r="G251" s="121"/>
      <c r="H251" s="121"/>
      <c r="I251" s="121"/>
      <c r="J251" s="121"/>
      <c r="K251" s="121"/>
      <c r="L251" s="121"/>
      <c r="M251" s="121"/>
      <c r="N251" s="121"/>
      <c r="O251" s="121"/>
      <c r="P251" s="121"/>
      <c r="Q251" s="121"/>
      <c r="R251" s="121"/>
      <c r="S251" s="121"/>
      <c r="T251" s="121"/>
      <c r="U251" s="121"/>
      <c r="V251" s="121"/>
      <c r="W251" s="121"/>
      <c r="X251" s="121"/>
      <c r="Y251" s="121"/>
      <c r="Z251" s="121"/>
    </row>
    <row r="252" spans="1:26" ht="11.25" customHeight="1" x14ac:dyDescent="0.3">
      <c r="A252" s="121"/>
      <c r="B252" s="121"/>
      <c r="C252" s="121"/>
      <c r="D252" s="121"/>
      <c r="E252" s="121"/>
      <c r="F252" s="121"/>
      <c r="G252" s="121"/>
      <c r="H252" s="121"/>
      <c r="I252" s="121"/>
      <c r="J252" s="121"/>
      <c r="K252" s="121"/>
      <c r="L252" s="121"/>
      <c r="M252" s="121"/>
      <c r="N252" s="121"/>
      <c r="O252" s="121"/>
      <c r="P252" s="121"/>
      <c r="Q252" s="121"/>
      <c r="R252" s="121"/>
      <c r="S252" s="121"/>
      <c r="T252" s="121"/>
      <c r="U252" s="121"/>
      <c r="V252" s="121"/>
      <c r="W252" s="121"/>
      <c r="X252" s="121"/>
      <c r="Y252" s="121"/>
      <c r="Z252" s="121"/>
    </row>
    <row r="253" spans="1:26" ht="11.25" customHeight="1" x14ac:dyDescent="0.3">
      <c r="A253" s="121"/>
      <c r="B253" s="121"/>
      <c r="C253" s="121"/>
      <c r="D253" s="121"/>
      <c r="E253" s="121"/>
      <c r="F253" s="121"/>
      <c r="G253" s="121"/>
      <c r="H253" s="121"/>
      <c r="I253" s="121"/>
      <c r="J253" s="121"/>
      <c r="K253" s="121"/>
      <c r="L253" s="121"/>
      <c r="M253" s="121"/>
      <c r="N253" s="121"/>
      <c r="O253" s="121"/>
      <c r="P253" s="121"/>
      <c r="Q253" s="121"/>
      <c r="R253" s="121"/>
      <c r="S253" s="121"/>
      <c r="T253" s="121"/>
      <c r="U253" s="121"/>
      <c r="V253" s="121"/>
      <c r="W253" s="121"/>
      <c r="X253" s="121"/>
      <c r="Y253" s="121"/>
      <c r="Z253" s="121"/>
    </row>
    <row r="254" spans="1:26" ht="11.25" customHeight="1" x14ac:dyDescent="0.3">
      <c r="A254" s="121"/>
      <c r="B254" s="121"/>
      <c r="C254" s="121"/>
      <c r="D254" s="121"/>
      <c r="E254" s="121"/>
      <c r="F254" s="121"/>
      <c r="G254" s="121"/>
      <c r="H254" s="121"/>
      <c r="I254" s="121"/>
      <c r="J254" s="121"/>
      <c r="K254" s="121"/>
      <c r="L254" s="121"/>
      <c r="M254" s="121"/>
      <c r="N254" s="121"/>
      <c r="O254" s="121"/>
      <c r="P254" s="121"/>
      <c r="Q254" s="121"/>
      <c r="R254" s="121"/>
      <c r="S254" s="121"/>
      <c r="T254" s="121"/>
      <c r="U254" s="121"/>
      <c r="V254" s="121"/>
      <c r="W254" s="121"/>
      <c r="X254" s="121"/>
      <c r="Y254" s="121"/>
      <c r="Z254" s="121"/>
    </row>
    <row r="255" spans="1:26" ht="11.25" customHeight="1" x14ac:dyDescent="0.3">
      <c r="A255" s="121"/>
      <c r="B255" s="121"/>
      <c r="C255" s="121"/>
      <c r="D255" s="121"/>
      <c r="E255" s="121"/>
      <c r="F255" s="121"/>
      <c r="G255" s="121"/>
      <c r="H255" s="121"/>
      <c r="I255" s="121"/>
      <c r="J255" s="121"/>
      <c r="K255" s="121"/>
      <c r="L255" s="121"/>
      <c r="M255" s="121"/>
      <c r="N255" s="121"/>
      <c r="O255" s="121"/>
      <c r="P255" s="121"/>
      <c r="Q255" s="121"/>
      <c r="R255" s="121"/>
      <c r="S255" s="121"/>
      <c r="T255" s="121"/>
      <c r="U255" s="121"/>
      <c r="V255" s="121"/>
      <c r="W255" s="121"/>
      <c r="X255" s="121"/>
      <c r="Y255" s="121"/>
      <c r="Z255" s="121"/>
    </row>
    <row r="256" spans="1:26" ht="11.25" customHeight="1" x14ac:dyDescent="0.3">
      <c r="A256" s="121"/>
      <c r="B256" s="121"/>
      <c r="C256" s="121"/>
      <c r="D256" s="121"/>
      <c r="E256" s="121"/>
      <c r="F256" s="121"/>
      <c r="G256" s="121"/>
      <c r="H256" s="121"/>
      <c r="I256" s="121"/>
      <c r="J256" s="121"/>
      <c r="K256" s="121"/>
      <c r="L256" s="121"/>
      <c r="M256" s="121"/>
      <c r="N256" s="121"/>
      <c r="O256" s="121"/>
      <c r="P256" s="121"/>
      <c r="Q256" s="121"/>
      <c r="R256" s="121"/>
      <c r="S256" s="121"/>
      <c r="T256" s="121"/>
      <c r="U256" s="121"/>
      <c r="V256" s="121"/>
      <c r="W256" s="121"/>
      <c r="X256" s="121"/>
      <c r="Y256" s="121"/>
      <c r="Z256" s="121"/>
    </row>
    <row r="257" spans="1:26" ht="11.25" customHeight="1" x14ac:dyDescent="0.3">
      <c r="A257" s="121"/>
      <c r="B257" s="121"/>
      <c r="C257" s="121"/>
      <c r="D257" s="121"/>
      <c r="E257" s="121"/>
      <c r="F257" s="121"/>
      <c r="G257" s="121"/>
      <c r="H257" s="121"/>
      <c r="I257" s="121"/>
      <c r="J257" s="121"/>
      <c r="K257" s="121"/>
      <c r="L257" s="121"/>
      <c r="M257" s="121"/>
      <c r="N257" s="121"/>
      <c r="O257" s="121"/>
      <c r="P257" s="121"/>
      <c r="Q257" s="121"/>
      <c r="R257" s="121"/>
      <c r="S257" s="121"/>
      <c r="T257" s="121"/>
      <c r="U257" s="121"/>
      <c r="V257" s="121"/>
      <c r="W257" s="121"/>
      <c r="X257" s="121"/>
      <c r="Y257" s="121"/>
      <c r="Z257" s="121"/>
    </row>
    <row r="258" spans="1:26" ht="11.25" customHeight="1" x14ac:dyDescent="0.3">
      <c r="A258" s="121"/>
      <c r="B258" s="121"/>
      <c r="C258" s="121"/>
      <c r="D258" s="121"/>
      <c r="E258" s="121"/>
      <c r="F258" s="121"/>
      <c r="G258" s="121"/>
      <c r="H258" s="121"/>
      <c r="I258" s="121"/>
      <c r="J258" s="121"/>
      <c r="K258" s="121"/>
      <c r="L258" s="121"/>
      <c r="M258" s="121"/>
      <c r="N258" s="121"/>
      <c r="O258" s="121"/>
      <c r="P258" s="121"/>
      <c r="Q258" s="121"/>
      <c r="R258" s="121"/>
      <c r="S258" s="121"/>
      <c r="T258" s="121"/>
      <c r="U258" s="121"/>
      <c r="V258" s="121"/>
      <c r="W258" s="121"/>
      <c r="X258" s="121"/>
      <c r="Y258" s="121"/>
      <c r="Z258" s="121"/>
    </row>
    <row r="259" spans="1:26" ht="11.25" customHeight="1" x14ac:dyDescent="0.3">
      <c r="A259" s="121"/>
      <c r="B259" s="121"/>
      <c r="C259" s="121"/>
      <c r="D259" s="121"/>
      <c r="E259" s="121"/>
      <c r="F259" s="121"/>
      <c r="G259" s="121"/>
      <c r="H259" s="121"/>
      <c r="I259" s="121"/>
      <c r="J259" s="121"/>
      <c r="K259" s="121"/>
      <c r="L259" s="121"/>
      <c r="M259" s="121"/>
      <c r="N259" s="121"/>
      <c r="O259" s="121"/>
      <c r="P259" s="121"/>
      <c r="Q259" s="121"/>
      <c r="R259" s="121"/>
      <c r="S259" s="121"/>
      <c r="T259" s="121"/>
      <c r="U259" s="121"/>
      <c r="V259" s="121"/>
      <c r="W259" s="121"/>
      <c r="X259" s="121"/>
      <c r="Y259" s="121"/>
      <c r="Z259" s="121"/>
    </row>
    <row r="260" spans="1:26" ht="11.25" customHeight="1" x14ac:dyDescent="0.3">
      <c r="A260" s="121"/>
      <c r="B260" s="121"/>
      <c r="C260" s="121"/>
      <c r="D260" s="121"/>
      <c r="E260" s="121"/>
      <c r="F260" s="121"/>
      <c r="G260" s="121"/>
      <c r="H260" s="121"/>
      <c r="I260" s="121"/>
      <c r="J260" s="121"/>
      <c r="K260" s="121"/>
      <c r="L260" s="121"/>
      <c r="M260" s="121"/>
      <c r="N260" s="121"/>
      <c r="O260" s="121"/>
      <c r="P260" s="121"/>
      <c r="Q260" s="121"/>
      <c r="R260" s="121"/>
      <c r="S260" s="121"/>
      <c r="T260" s="121"/>
      <c r="U260" s="121"/>
      <c r="V260" s="121"/>
      <c r="W260" s="121"/>
      <c r="X260" s="121"/>
      <c r="Y260" s="121"/>
      <c r="Z260" s="121"/>
    </row>
    <row r="261" spans="1:26" ht="11.25" customHeight="1" x14ac:dyDescent="0.3">
      <c r="A261" s="121"/>
      <c r="B261" s="121"/>
      <c r="C261" s="121"/>
      <c r="D261" s="121"/>
      <c r="E261" s="121"/>
      <c r="F261" s="121"/>
      <c r="G261" s="121"/>
      <c r="H261" s="121"/>
      <c r="I261" s="121"/>
      <c r="J261" s="121"/>
      <c r="K261" s="121"/>
      <c r="L261" s="121"/>
      <c r="M261" s="121"/>
      <c r="N261" s="121"/>
      <c r="O261" s="121"/>
      <c r="P261" s="121"/>
      <c r="Q261" s="121"/>
      <c r="R261" s="121"/>
      <c r="S261" s="121"/>
      <c r="T261" s="121"/>
      <c r="U261" s="121"/>
      <c r="V261" s="121"/>
      <c r="W261" s="121"/>
      <c r="X261" s="121"/>
      <c r="Y261" s="121"/>
      <c r="Z261" s="121"/>
    </row>
    <row r="262" spans="1:26" ht="11.25" customHeight="1" x14ac:dyDescent="0.3">
      <c r="A262" s="121"/>
      <c r="B262" s="121"/>
      <c r="C262" s="121"/>
      <c r="D262" s="121"/>
      <c r="E262" s="121"/>
      <c r="F262" s="121"/>
      <c r="G262" s="121"/>
      <c r="H262" s="121"/>
      <c r="I262" s="121"/>
      <c r="J262" s="121"/>
      <c r="K262" s="121"/>
      <c r="L262" s="121"/>
      <c r="M262" s="121"/>
      <c r="N262" s="121"/>
      <c r="O262" s="121"/>
      <c r="P262" s="121"/>
      <c r="Q262" s="121"/>
      <c r="R262" s="121"/>
      <c r="S262" s="121"/>
      <c r="T262" s="121"/>
      <c r="U262" s="121"/>
      <c r="V262" s="121"/>
      <c r="W262" s="121"/>
      <c r="X262" s="121"/>
      <c r="Y262" s="121"/>
      <c r="Z262" s="121"/>
    </row>
    <row r="263" spans="1:26" ht="11.25" customHeight="1" x14ac:dyDescent="0.3">
      <c r="A263" s="121"/>
      <c r="B263" s="121"/>
      <c r="C263" s="121"/>
      <c r="D263" s="121"/>
      <c r="E263" s="121"/>
      <c r="F263" s="121"/>
      <c r="G263" s="121"/>
      <c r="H263" s="121"/>
      <c r="I263" s="121"/>
      <c r="J263" s="121"/>
      <c r="K263" s="121"/>
      <c r="L263" s="121"/>
      <c r="M263" s="121"/>
      <c r="N263" s="121"/>
      <c r="O263" s="121"/>
      <c r="P263" s="121"/>
      <c r="Q263" s="121"/>
      <c r="R263" s="121"/>
      <c r="S263" s="121"/>
      <c r="T263" s="121"/>
      <c r="U263" s="121"/>
      <c r="V263" s="121"/>
      <c r="W263" s="121"/>
      <c r="X263" s="121"/>
      <c r="Y263" s="121"/>
      <c r="Z263" s="121"/>
    </row>
    <row r="264" spans="1:26" ht="11.25" customHeight="1" x14ac:dyDescent="0.3">
      <c r="A264" s="121"/>
      <c r="B264" s="121"/>
      <c r="C264" s="121"/>
      <c r="D264" s="121"/>
      <c r="E264" s="121"/>
      <c r="F264" s="121"/>
      <c r="G264" s="121"/>
      <c r="H264" s="121"/>
      <c r="I264" s="121"/>
      <c r="J264" s="121"/>
      <c r="K264" s="121"/>
      <c r="L264" s="121"/>
      <c r="M264" s="121"/>
      <c r="N264" s="121"/>
      <c r="O264" s="121"/>
      <c r="P264" s="121"/>
      <c r="Q264" s="121"/>
      <c r="R264" s="121"/>
      <c r="S264" s="121"/>
      <c r="T264" s="121"/>
      <c r="U264" s="121"/>
      <c r="V264" s="121"/>
      <c r="W264" s="121"/>
      <c r="X264" s="121"/>
      <c r="Y264" s="121"/>
      <c r="Z264" s="121"/>
    </row>
    <row r="265" spans="1:26" ht="11.25" customHeight="1" x14ac:dyDescent="0.3">
      <c r="A265" s="121"/>
      <c r="B265" s="121"/>
      <c r="C265" s="121"/>
      <c r="D265" s="121"/>
      <c r="E265" s="121"/>
      <c r="F265" s="121"/>
      <c r="G265" s="121"/>
      <c r="H265" s="121"/>
      <c r="I265" s="121"/>
      <c r="J265" s="121"/>
      <c r="K265" s="121"/>
      <c r="L265" s="121"/>
      <c r="M265" s="121"/>
      <c r="N265" s="121"/>
      <c r="O265" s="121"/>
      <c r="P265" s="121"/>
      <c r="Q265" s="121"/>
      <c r="R265" s="121"/>
      <c r="S265" s="121"/>
      <c r="T265" s="121"/>
      <c r="U265" s="121"/>
      <c r="V265" s="121"/>
      <c r="W265" s="121"/>
      <c r="X265" s="121"/>
      <c r="Y265" s="121"/>
      <c r="Z265" s="121"/>
    </row>
    <row r="266" spans="1:26" ht="11.25" customHeight="1" x14ac:dyDescent="0.3">
      <c r="A266" s="121"/>
      <c r="B266" s="121"/>
      <c r="C266" s="121"/>
      <c r="D266" s="121"/>
      <c r="E266" s="121"/>
      <c r="F266" s="121"/>
      <c r="G266" s="121"/>
      <c r="H266" s="121"/>
      <c r="I266" s="121"/>
      <c r="J266" s="121"/>
      <c r="K266" s="121"/>
      <c r="L266" s="121"/>
      <c r="M266" s="121"/>
      <c r="N266" s="121"/>
      <c r="O266" s="121"/>
      <c r="P266" s="121"/>
      <c r="Q266" s="121"/>
      <c r="R266" s="121"/>
      <c r="S266" s="121"/>
      <c r="T266" s="121"/>
      <c r="U266" s="121"/>
      <c r="V266" s="121"/>
      <c r="W266" s="121"/>
      <c r="X266" s="121"/>
      <c r="Y266" s="121"/>
      <c r="Z266" s="121"/>
    </row>
    <row r="267" spans="1:26" ht="11.25" customHeight="1" x14ac:dyDescent="0.3">
      <c r="A267" s="121"/>
      <c r="B267" s="121"/>
      <c r="C267" s="121"/>
      <c r="D267" s="121"/>
      <c r="E267" s="121"/>
      <c r="F267" s="121"/>
      <c r="G267" s="121"/>
      <c r="H267" s="121"/>
      <c r="I267" s="121"/>
      <c r="J267" s="121"/>
      <c r="K267" s="121"/>
      <c r="L267" s="121"/>
      <c r="M267" s="121"/>
      <c r="N267" s="121"/>
      <c r="O267" s="121"/>
      <c r="P267" s="121"/>
      <c r="Q267" s="121"/>
      <c r="R267" s="121"/>
      <c r="S267" s="121"/>
      <c r="T267" s="121"/>
      <c r="U267" s="121"/>
      <c r="V267" s="121"/>
      <c r="W267" s="121"/>
      <c r="X267" s="121"/>
      <c r="Y267" s="121"/>
      <c r="Z267" s="121"/>
    </row>
    <row r="268" spans="1:26" ht="11.25" customHeight="1" x14ac:dyDescent="0.3">
      <c r="A268" s="121"/>
      <c r="B268" s="121"/>
      <c r="C268" s="121"/>
      <c r="D268" s="121"/>
      <c r="E268" s="121"/>
      <c r="F268" s="121"/>
      <c r="G268" s="121"/>
      <c r="H268" s="121"/>
      <c r="I268" s="121"/>
      <c r="J268" s="121"/>
      <c r="K268" s="121"/>
      <c r="L268" s="121"/>
      <c r="M268" s="121"/>
      <c r="N268" s="121"/>
      <c r="O268" s="121"/>
      <c r="P268" s="121"/>
      <c r="Q268" s="121"/>
      <c r="R268" s="121"/>
      <c r="S268" s="121"/>
      <c r="T268" s="121"/>
      <c r="U268" s="121"/>
      <c r="V268" s="121"/>
      <c r="W268" s="121"/>
      <c r="X268" s="121"/>
      <c r="Y268" s="121"/>
      <c r="Z268" s="121"/>
    </row>
    <row r="269" spans="1:26" ht="11.25" customHeight="1" x14ac:dyDescent="0.3">
      <c r="A269" s="121"/>
      <c r="B269" s="121"/>
      <c r="C269" s="121"/>
      <c r="D269" s="121"/>
      <c r="E269" s="121"/>
      <c r="F269" s="121"/>
      <c r="G269" s="121"/>
      <c r="H269" s="121"/>
      <c r="I269" s="121"/>
      <c r="J269" s="121"/>
      <c r="K269" s="121"/>
      <c r="L269" s="121"/>
      <c r="M269" s="121"/>
      <c r="N269" s="121"/>
      <c r="O269" s="121"/>
      <c r="P269" s="121"/>
      <c r="Q269" s="121"/>
      <c r="R269" s="121"/>
      <c r="S269" s="121"/>
      <c r="T269" s="121"/>
      <c r="U269" s="121"/>
      <c r="V269" s="121"/>
      <c r="W269" s="121"/>
      <c r="X269" s="121"/>
      <c r="Y269" s="121"/>
      <c r="Z269" s="121"/>
    </row>
    <row r="270" spans="1:26" ht="11.25" customHeight="1" x14ac:dyDescent="0.3">
      <c r="A270" s="121"/>
      <c r="B270" s="121"/>
      <c r="C270" s="121"/>
      <c r="D270" s="121"/>
      <c r="E270" s="121"/>
      <c r="F270" s="121"/>
      <c r="G270" s="121"/>
      <c r="H270" s="121"/>
      <c r="I270" s="121"/>
      <c r="J270" s="121"/>
      <c r="K270" s="121"/>
      <c r="L270" s="121"/>
      <c r="M270" s="121"/>
      <c r="N270" s="121"/>
      <c r="O270" s="121"/>
      <c r="P270" s="121"/>
      <c r="Q270" s="121"/>
      <c r="R270" s="121"/>
      <c r="S270" s="121"/>
      <c r="T270" s="121"/>
      <c r="U270" s="121"/>
      <c r="V270" s="121"/>
      <c r="W270" s="121"/>
      <c r="X270" s="121"/>
      <c r="Y270" s="121"/>
      <c r="Z270" s="121"/>
    </row>
    <row r="271" spans="1:26" ht="11.25" customHeight="1" x14ac:dyDescent="0.3">
      <c r="A271" s="121"/>
      <c r="B271" s="121"/>
      <c r="C271" s="121"/>
      <c r="D271" s="121"/>
      <c r="E271" s="121"/>
      <c r="F271" s="121"/>
      <c r="G271" s="121"/>
      <c r="H271" s="121"/>
      <c r="I271" s="121"/>
      <c r="J271" s="121"/>
      <c r="K271" s="121"/>
      <c r="L271" s="121"/>
      <c r="M271" s="121"/>
      <c r="N271" s="121"/>
      <c r="O271" s="121"/>
      <c r="P271" s="121"/>
      <c r="Q271" s="121"/>
      <c r="R271" s="121"/>
      <c r="S271" s="121"/>
      <c r="T271" s="121"/>
      <c r="U271" s="121"/>
      <c r="V271" s="121"/>
      <c r="W271" s="121"/>
      <c r="X271" s="121"/>
      <c r="Y271" s="121"/>
      <c r="Z271" s="121"/>
    </row>
    <row r="272" spans="1:26" ht="11.25" customHeight="1" x14ac:dyDescent="0.3">
      <c r="A272" s="121"/>
      <c r="B272" s="121"/>
      <c r="C272" s="121"/>
      <c r="D272" s="121"/>
      <c r="E272" s="121"/>
      <c r="F272" s="121"/>
      <c r="G272" s="121"/>
      <c r="H272" s="121"/>
      <c r="I272" s="121"/>
      <c r="J272" s="121"/>
      <c r="K272" s="121"/>
      <c r="L272" s="121"/>
      <c r="M272" s="121"/>
      <c r="N272" s="121"/>
      <c r="O272" s="121"/>
      <c r="P272" s="121"/>
      <c r="Q272" s="121"/>
      <c r="R272" s="121"/>
      <c r="S272" s="121"/>
      <c r="T272" s="121"/>
      <c r="U272" s="121"/>
      <c r="V272" s="121"/>
      <c r="W272" s="121"/>
      <c r="X272" s="121"/>
      <c r="Y272" s="121"/>
      <c r="Z272" s="121"/>
    </row>
    <row r="273" spans="1:26" ht="11.25" customHeight="1" x14ac:dyDescent="0.3">
      <c r="A273" s="121"/>
      <c r="B273" s="121"/>
      <c r="C273" s="121"/>
      <c r="D273" s="121"/>
      <c r="E273" s="121"/>
      <c r="F273" s="121"/>
      <c r="G273" s="121"/>
      <c r="H273" s="121"/>
      <c r="I273" s="121"/>
      <c r="J273" s="121"/>
      <c r="K273" s="121"/>
      <c r="L273" s="121"/>
      <c r="M273" s="121"/>
      <c r="N273" s="121"/>
      <c r="O273" s="121"/>
      <c r="P273" s="121"/>
      <c r="Q273" s="121"/>
      <c r="R273" s="121"/>
      <c r="S273" s="121"/>
      <c r="T273" s="121"/>
      <c r="U273" s="121"/>
      <c r="V273" s="121"/>
      <c r="W273" s="121"/>
      <c r="X273" s="121"/>
      <c r="Y273" s="121"/>
      <c r="Z273" s="121"/>
    </row>
    <row r="274" spans="1:26" ht="11.25" customHeight="1" x14ac:dyDescent="0.3">
      <c r="A274" s="121"/>
      <c r="B274" s="121"/>
      <c r="C274" s="121"/>
      <c r="D274" s="121"/>
      <c r="E274" s="121"/>
      <c r="F274" s="121"/>
      <c r="G274" s="121"/>
      <c r="H274" s="121"/>
      <c r="I274" s="121"/>
      <c r="J274" s="121"/>
      <c r="K274" s="121"/>
      <c r="L274" s="121"/>
      <c r="M274" s="121"/>
      <c r="N274" s="121"/>
      <c r="O274" s="121"/>
      <c r="P274" s="121"/>
      <c r="Q274" s="121"/>
      <c r="R274" s="121"/>
      <c r="S274" s="121"/>
      <c r="T274" s="121"/>
      <c r="U274" s="121"/>
      <c r="V274" s="121"/>
      <c r="W274" s="121"/>
      <c r="X274" s="121"/>
      <c r="Y274" s="121"/>
      <c r="Z274" s="121"/>
    </row>
    <row r="275" spans="1:26" ht="11.25" customHeight="1" x14ac:dyDescent="0.3">
      <c r="A275" s="121"/>
      <c r="B275" s="121"/>
      <c r="C275" s="121"/>
      <c r="D275" s="121"/>
      <c r="E275" s="121"/>
      <c r="F275" s="121"/>
      <c r="G275" s="121"/>
      <c r="H275" s="121"/>
      <c r="I275" s="121"/>
      <c r="J275" s="121"/>
      <c r="K275" s="121"/>
      <c r="L275" s="121"/>
      <c r="M275" s="121"/>
      <c r="N275" s="121"/>
      <c r="O275" s="121"/>
      <c r="P275" s="121"/>
      <c r="Q275" s="121"/>
      <c r="R275" s="121"/>
      <c r="S275" s="121"/>
      <c r="T275" s="121"/>
      <c r="U275" s="121"/>
      <c r="V275" s="121"/>
      <c r="W275" s="121"/>
      <c r="X275" s="121"/>
      <c r="Y275" s="121"/>
      <c r="Z275" s="121"/>
    </row>
    <row r="276" spans="1:26" ht="11.25" customHeight="1" x14ac:dyDescent="0.3">
      <c r="A276" s="121"/>
      <c r="B276" s="121"/>
      <c r="C276" s="121"/>
      <c r="D276" s="121"/>
      <c r="E276" s="121"/>
      <c r="F276" s="121"/>
      <c r="G276" s="121"/>
      <c r="H276" s="121"/>
      <c r="I276" s="121"/>
      <c r="J276" s="121"/>
      <c r="K276" s="121"/>
      <c r="L276" s="121"/>
      <c r="M276" s="121"/>
      <c r="N276" s="121"/>
      <c r="O276" s="121"/>
      <c r="P276" s="121"/>
      <c r="Q276" s="121"/>
      <c r="R276" s="121"/>
      <c r="S276" s="121"/>
      <c r="T276" s="121"/>
      <c r="U276" s="121"/>
      <c r="V276" s="121"/>
      <c r="W276" s="121"/>
      <c r="X276" s="121"/>
      <c r="Y276" s="121"/>
      <c r="Z276" s="121"/>
    </row>
    <row r="277" spans="1:26" ht="11.25" customHeight="1" x14ac:dyDescent="0.3">
      <c r="A277" s="121"/>
      <c r="B277" s="121"/>
      <c r="C277" s="121"/>
      <c r="D277" s="121"/>
      <c r="E277" s="121"/>
      <c r="F277" s="121"/>
      <c r="G277" s="121"/>
      <c r="H277" s="121"/>
      <c r="I277" s="121"/>
      <c r="J277" s="121"/>
      <c r="K277" s="121"/>
      <c r="L277" s="121"/>
      <c r="M277" s="121"/>
      <c r="N277" s="121"/>
      <c r="O277" s="121"/>
      <c r="P277" s="121"/>
      <c r="Q277" s="121"/>
      <c r="R277" s="121"/>
      <c r="S277" s="121"/>
      <c r="T277" s="121"/>
      <c r="U277" s="121"/>
      <c r="V277" s="121"/>
      <c r="W277" s="121"/>
      <c r="X277" s="121"/>
      <c r="Y277" s="121"/>
      <c r="Z277" s="121"/>
    </row>
    <row r="278" spans="1:26" ht="11.25" customHeight="1" x14ac:dyDescent="0.3">
      <c r="A278" s="121"/>
      <c r="B278" s="121"/>
      <c r="C278" s="121"/>
      <c r="D278" s="121"/>
      <c r="E278" s="121"/>
      <c r="F278" s="121"/>
      <c r="G278" s="121"/>
      <c r="H278" s="121"/>
      <c r="I278" s="121"/>
      <c r="J278" s="121"/>
      <c r="K278" s="121"/>
      <c r="L278" s="121"/>
      <c r="M278" s="121"/>
      <c r="N278" s="121"/>
      <c r="O278" s="121"/>
      <c r="P278" s="121"/>
      <c r="Q278" s="121"/>
      <c r="R278" s="121"/>
      <c r="S278" s="121"/>
      <c r="T278" s="121"/>
      <c r="U278" s="121"/>
      <c r="V278" s="121"/>
      <c r="W278" s="121"/>
      <c r="X278" s="121"/>
      <c r="Y278" s="121"/>
      <c r="Z278" s="121"/>
    </row>
    <row r="279" spans="1:26" ht="11.25" customHeight="1" x14ac:dyDescent="0.3">
      <c r="A279" s="121"/>
      <c r="B279" s="121"/>
      <c r="C279" s="121"/>
      <c r="D279" s="121"/>
      <c r="E279" s="121"/>
      <c r="F279" s="121"/>
      <c r="G279" s="121"/>
      <c r="H279" s="121"/>
      <c r="I279" s="121"/>
      <c r="J279" s="121"/>
      <c r="K279" s="121"/>
      <c r="L279" s="121"/>
      <c r="M279" s="121"/>
      <c r="N279" s="121"/>
      <c r="O279" s="121"/>
      <c r="P279" s="121"/>
      <c r="Q279" s="121"/>
      <c r="R279" s="121"/>
      <c r="S279" s="121"/>
      <c r="T279" s="121"/>
      <c r="U279" s="121"/>
      <c r="V279" s="121"/>
      <c r="W279" s="121"/>
      <c r="X279" s="121"/>
      <c r="Y279" s="121"/>
      <c r="Z279" s="121"/>
    </row>
    <row r="280" spans="1:26" ht="11.25" customHeight="1" x14ac:dyDescent="0.3">
      <c r="A280" s="121"/>
      <c r="B280" s="121"/>
      <c r="C280" s="121"/>
      <c r="D280" s="121"/>
      <c r="E280" s="121"/>
      <c r="F280" s="121"/>
      <c r="G280" s="121"/>
      <c r="H280" s="121"/>
      <c r="I280" s="121"/>
      <c r="J280" s="121"/>
      <c r="K280" s="121"/>
      <c r="L280" s="121"/>
      <c r="M280" s="121"/>
      <c r="N280" s="121"/>
      <c r="O280" s="121"/>
      <c r="P280" s="121"/>
      <c r="Q280" s="121"/>
      <c r="R280" s="121"/>
      <c r="S280" s="121"/>
      <c r="T280" s="121"/>
      <c r="U280" s="121"/>
      <c r="V280" s="121"/>
      <c r="W280" s="121"/>
      <c r="X280" s="121"/>
      <c r="Y280" s="121"/>
      <c r="Z280" s="121"/>
    </row>
    <row r="281" spans="1:26" ht="11.25" customHeight="1" x14ac:dyDescent="0.3">
      <c r="A281" s="121"/>
      <c r="B281" s="121"/>
      <c r="C281" s="121"/>
      <c r="D281" s="121"/>
      <c r="E281" s="121"/>
      <c r="F281" s="121"/>
      <c r="G281" s="121"/>
      <c r="H281" s="121"/>
      <c r="I281" s="121"/>
      <c r="J281" s="121"/>
      <c r="K281" s="121"/>
      <c r="L281" s="121"/>
      <c r="M281" s="121"/>
      <c r="N281" s="121"/>
      <c r="O281" s="121"/>
      <c r="P281" s="121"/>
      <c r="Q281" s="121"/>
      <c r="R281" s="121"/>
      <c r="S281" s="121"/>
      <c r="T281" s="121"/>
      <c r="U281" s="121"/>
      <c r="V281" s="121"/>
      <c r="W281" s="121"/>
      <c r="X281" s="121"/>
      <c r="Y281" s="121"/>
      <c r="Z281" s="121"/>
    </row>
    <row r="282" spans="1:26" ht="11.25" customHeight="1" x14ac:dyDescent="0.3">
      <c r="A282" s="121"/>
      <c r="B282" s="121"/>
      <c r="C282" s="121"/>
      <c r="D282" s="121"/>
      <c r="E282" s="121"/>
      <c r="F282" s="121"/>
      <c r="G282" s="121"/>
      <c r="H282" s="121"/>
      <c r="I282" s="121"/>
      <c r="J282" s="121"/>
      <c r="K282" s="121"/>
      <c r="L282" s="121"/>
      <c r="M282" s="121"/>
      <c r="N282" s="121"/>
      <c r="O282" s="121"/>
      <c r="P282" s="121"/>
      <c r="Q282" s="121"/>
      <c r="R282" s="121"/>
      <c r="S282" s="121"/>
      <c r="T282" s="121"/>
      <c r="U282" s="121"/>
      <c r="V282" s="121"/>
      <c r="W282" s="121"/>
      <c r="X282" s="121"/>
      <c r="Y282" s="121"/>
      <c r="Z282" s="121"/>
    </row>
    <row r="283" spans="1:26" ht="11.25" customHeight="1" x14ac:dyDescent="0.3">
      <c r="A283" s="121"/>
      <c r="B283" s="121"/>
      <c r="C283" s="121"/>
      <c r="D283" s="121"/>
      <c r="E283" s="121"/>
      <c r="F283" s="121"/>
      <c r="G283" s="121"/>
      <c r="H283" s="121"/>
      <c r="I283" s="121"/>
      <c r="J283" s="121"/>
      <c r="K283" s="121"/>
      <c r="L283" s="121"/>
      <c r="M283" s="121"/>
      <c r="N283" s="121"/>
      <c r="O283" s="121"/>
      <c r="P283" s="121"/>
      <c r="Q283" s="121"/>
      <c r="R283" s="121"/>
      <c r="S283" s="121"/>
      <c r="T283" s="121"/>
      <c r="U283" s="121"/>
      <c r="V283" s="121"/>
      <c r="W283" s="121"/>
      <c r="X283" s="121"/>
      <c r="Y283" s="121"/>
      <c r="Z283" s="121"/>
    </row>
    <row r="284" spans="1:26" ht="11.25" customHeight="1" x14ac:dyDescent="0.3">
      <c r="A284" s="121"/>
      <c r="B284" s="121"/>
      <c r="C284" s="121"/>
      <c r="D284" s="121"/>
      <c r="E284" s="121"/>
      <c r="F284" s="121"/>
      <c r="G284" s="121"/>
      <c r="H284" s="121"/>
      <c r="I284" s="121"/>
      <c r="J284" s="121"/>
      <c r="K284" s="121"/>
      <c r="L284" s="121"/>
      <c r="M284" s="121"/>
      <c r="N284" s="121"/>
      <c r="O284" s="121"/>
      <c r="P284" s="121"/>
      <c r="Q284" s="121"/>
      <c r="R284" s="121"/>
      <c r="S284" s="121"/>
      <c r="T284" s="121"/>
      <c r="U284" s="121"/>
      <c r="V284" s="121"/>
      <c r="W284" s="121"/>
      <c r="X284" s="121"/>
      <c r="Y284" s="121"/>
      <c r="Z284" s="121"/>
    </row>
    <row r="285" spans="1:26" ht="11.25" customHeight="1" x14ac:dyDescent="0.3">
      <c r="A285" s="121"/>
      <c r="B285" s="121"/>
      <c r="C285" s="121"/>
      <c r="D285" s="121"/>
      <c r="E285" s="121"/>
      <c r="F285" s="121"/>
      <c r="G285" s="121"/>
      <c r="H285" s="121"/>
      <c r="I285" s="121"/>
      <c r="J285" s="121"/>
      <c r="K285" s="121"/>
      <c r="L285" s="121"/>
      <c r="M285" s="121"/>
      <c r="N285" s="121"/>
      <c r="O285" s="121"/>
      <c r="P285" s="121"/>
      <c r="Q285" s="121"/>
      <c r="R285" s="121"/>
      <c r="S285" s="121"/>
      <c r="T285" s="121"/>
      <c r="U285" s="121"/>
      <c r="V285" s="121"/>
      <c r="W285" s="121"/>
      <c r="X285" s="121"/>
      <c r="Y285" s="121"/>
      <c r="Z285" s="121"/>
    </row>
    <row r="286" spans="1:26" ht="11.25" customHeight="1" x14ac:dyDescent="0.3">
      <c r="A286" s="121"/>
      <c r="B286" s="121"/>
      <c r="C286" s="121"/>
      <c r="D286" s="121"/>
      <c r="E286" s="121"/>
      <c r="F286" s="121"/>
      <c r="G286" s="121"/>
      <c r="H286" s="121"/>
      <c r="I286" s="121"/>
      <c r="J286" s="121"/>
      <c r="K286" s="121"/>
      <c r="L286" s="121"/>
      <c r="M286" s="121"/>
      <c r="N286" s="121"/>
      <c r="O286" s="121"/>
      <c r="P286" s="121"/>
      <c r="Q286" s="121"/>
      <c r="R286" s="121"/>
      <c r="S286" s="121"/>
      <c r="T286" s="121"/>
      <c r="U286" s="121"/>
      <c r="V286" s="121"/>
      <c r="W286" s="121"/>
      <c r="X286" s="121"/>
      <c r="Y286" s="121"/>
      <c r="Z286" s="121"/>
    </row>
    <row r="287" spans="1:26" ht="11.25" customHeight="1" x14ac:dyDescent="0.3">
      <c r="A287" s="121"/>
      <c r="B287" s="121"/>
      <c r="C287" s="121"/>
      <c r="D287" s="121"/>
      <c r="E287" s="121"/>
      <c r="F287" s="121"/>
      <c r="G287" s="121"/>
      <c r="H287" s="121"/>
      <c r="I287" s="121"/>
      <c r="J287" s="121"/>
      <c r="K287" s="121"/>
      <c r="L287" s="121"/>
      <c r="M287" s="121"/>
      <c r="N287" s="121"/>
      <c r="O287" s="121"/>
      <c r="P287" s="121"/>
      <c r="Q287" s="121"/>
      <c r="R287" s="121"/>
      <c r="S287" s="121"/>
      <c r="T287" s="121"/>
      <c r="U287" s="121"/>
      <c r="V287" s="121"/>
      <c r="W287" s="121"/>
      <c r="X287" s="121"/>
      <c r="Y287" s="121"/>
      <c r="Z287" s="121"/>
    </row>
    <row r="288" spans="1:26" ht="11.25" customHeight="1" x14ac:dyDescent="0.3">
      <c r="A288" s="121"/>
      <c r="B288" s="121"/>
      <c r="C288" s="121"/>
      <c r="D288" s="121"/>
      <c r="E288" s="121"/>
      <c r="F288" s="121"/>
      <c r="G288" s="121"/>
      <c r="H288" s="121"/>
      <c r="I288" s="121"/>
      <c r="J288" s="121"/>
      <c r="K288" s="121"/>
      <c r="L288" s="121"/>
      <c r="M288" s="121"/>
      <c r="N288" s="121"/>
      <c r="O288" s="121"/>
      <c r="P288" s="121"/>
      <c r="Q288" s="121"/>
      <c r="R288" s="121"/>
      <c r="S288" s="121"/>
      <c r="T288" s="121"/>
      <c r="U288" s="121"/>
      <c r="V288" s="121"/>
      <c r="W288" s="121"/>
      <c r="X288" s="121"/>
      <c r="Y288" s="121"/>
      <c r="Z288" s="121"/>
    </row>
    <row r="289" spans="1:26" ht="11.25" customHeight="1" x14ac:dyDescent="0.3">
      <c r="A289" s="121"/>
      <c r="B289" s="121"/>
      <c r="C289" s="121"/>
      <c r="D289" s="121"/>
      <c r="E289" s="121"/>
      <c r="F289" s="121"/>
      <c r="G289" s="121"/>
      <c r="H289" s="121"/>
      <c r="I289" s="121"/>
      <c r="J289" s="121"/>
      <c r="K289" s="121"/>
      <c r="L289" s="121"/>
      <c r="M289" s="121"/>
      <c r="N289" s="121"/>
      <c r="O289" s="121"/>
      <c r="P289" s="121"/>
      <c r="Q289" s="121"/>
      <c r="R289" s="121"/>
      <c r="S289" s="121"/>
      <c r="T289" s="121"/>
      <c r="U289" s="121"/>
      <c r="V289" s="121"/>
      <c r="W289" s="121"/>
      <c r="X289" s="121"/>
      <c r="Y289" s="121"/>
      <c r="Z289" s="121"/>
    </row>
    <row r="290" spans="1:26" ht="11.25" customHeight="1" x14ac:dyDescent="0.3">
      <c r="A290" s="121"/>
      <c r="B290" s="121"/>
      <c r="C290" s="121"/>
      <c r="D290" s="121"/>
      <c r="E290" s="121"/>
      <c r="F290" s="121"/>
      <c r="G290" s="121"/>
      <c r="H290" s="121"/>
      <c r="I290" s="121"/>
      <c r="J290" s="121"/>
      <c r="K290" s="121"/>
      <c r="L290" s="121"/>
      <c r="M290" s="121"/>
      <c r="N290" s="121"/>
      <c r="O290" s="121"/>
      <c r="P290" s="121"/>
      <c r="Q290" s="121"/>
      <c r="R290" s="121"/>
      <c r="S290" s="121"/>
      <c r="T290" s="121"/>
      <c r="U290" s="121"/>
      <c r="V290" s="121"/>
      <c r="W290" s="121"/>
      <c r="X290" s="121"/>
      <c r="Y290" s="121"/>
      <c r="Z290" s="121"/>
    </row>
    <row r="291" spans="1:26" ht="11.25" customHeight="1" x14ac:dyDescent="0.3">
      <c r="A291" s="121"/>
      <c r="B291" s="121"/>
      <c r="C291" s="121"/>
      <c r="D291" s="121"/>
      <c r="E291" s="121"/>
      <c r="F291" s="121"/>
      <c r="G291" s="121"/>
      <c r="H291" s="121"/>
      <c r="I291" s="121"/>
      <c r="J291" s="121"/>
      <c r="K291" s="121"/>
      <c r="L291" s="121"/>
      <c r="M291" s="121"/>
      <c r="N291" s="121"/>
      <c r="O291" s="121"/>
      <c r="P291" s="121"/>
      <c r="Q291" s="121"/>
      <c r="R291" s="121"/>
      <c r="S291" s="121"/>
      <c r="T291" s="121"/>
      <c r="U291" s="121"/>
      <c r="V291" s="121"/>
      <c r="W291" s="121"/>
      <c r="X291" s="121"/>
      <c r="Y291" s="121"/>
      <c r="Z291" s="121"/>
    </row>
    <row r="292" spans="1:26" ht="11.25" customHeight="1" x14ac:dyDescent="0.3">
      <c r="A292" s="121"/>
      <c r="B292" s="121"/>
      <c r="C292" s="121"/>
      <c r="D292" s="121"/>
      <c r="E292" s="121"/>
      <c r="F292" s="121"/>
      <c r="G292" s="121"/>
      <c r="H292" s="121"/>
      <c r="I292" s="121"/>
      <c r="J292" s="121"/>
      <c r="K292" s="121"/>
      <c r="L292" s="121"/>
      <c r="M292" s="121"/>
      <c r="N292" s="121"/>
      <c r="O292" s="121"/>
      <c r="P292" s="121"/>
      <c r="Q292" s="121"/>
      <c r="R292" s="121"/>
      <c r="S292" s="121"/>
      <c r="T292" s="121"/>
      <c r="U292" s="121"/>
      <c r="V292" s="121"/>
      <c r="W292" s="121"/>
      <c r="X292" s="121"/>
      <c r="Y292" s="121"/>
      <c r="Z292" s="121"/>
    </row>
    <row r="293" spans="1:26" ht="11.25" customHeight="1" x14ac:dyDescent="0.3">
      <c r="A293" s="121"/>
      <c r="B293" s="121"/>
      <c r="C293" s="121"/>
      <c r="D293" s="121"/>
      <c r="E293" s="121"/>
      <c r="F293" s="121"/>
      <c r="G293" s="121"/>
      <c r="H293" s="121"/>
      <c r="I293" s="121"/>
      <c r="J293" s="121"/>
      <c r="K293" s="121"/>
      <c r="L293" s="121"/>
      <c r="M293" s="121"/>
      <c r="N293" s="121"/>
      <c r="O293" s="121"/>
      <c r="P293" s="121"/>
      <c r="Q293" s="121"/>
      <c r="R293" s="121"/>
      <c r="S293" s="121"/>
      <c r="T293" s="121"/>
      <c r="U293" s="121"/>
      <c r="V293" s="121"/>
      <c r="W293" s="121"/>
      <c r="X293" s="121"/>
      <c r="Y293" s="121"/>
      <c r="Z293" s="121"/>
    </row>
    <row r="294" spans="1:26" ht="11.25" customHeight="1" x14ac:dyDescent="0.3">
      <c r="A294" s="121"/>
      <c r="B294" s="121"/>
      <c r="C294" s="121"/>
      <c r="D294" s="121"/>
      <c r="E294" s="121"/>
      <c r="F294" s="121"/>
      <c r="G294" s="121"/>
      <c r="H294" s="121"/>
      <c r="I294" s="121"/>
      <c r="J294" s="121"/>
      <c r="K294" s="121"/>
      <c r="L294" s="121"/>
      <c r="M294" s="121"/>
      <c r="N294" s="121"/>
      <c r="O294" s="121"/>
      <c r="P294" s="121"/>
      <c r="Q294" s="121"/>
      <c r="R294" s="121"/>
      <c r="S294" s="121"/>
      <c r="T294" s="121"/>
      <c r="U294" s="121"/>
      <c r="V294" s="121"/>
      <c r="W294" s="121"/>
      <c r="X294" s="121"/>
      <c r="Y294" s="121"/>
      <c r="Z294" s="121"/>
    </row>
    <row r="295" spans="1:26" ht="11.25" customHeight="1" x14ac:dyDescent="0.3">
      <c r="A295" s="121"/>
      <c r="B295" s="121"/>
      <c r="C295" s="121"/>
      <c r="D295" s="121"/>
      <c r="E295" s="121"/>
      <c r="F295" s="121"/>
      <c r="G295" s="121"/>
      <c r="H295" s="121"/>
      <c r="I295" s="121"/>
      <c r="J295" s="121"/>
      <c r="K295" s="121"/>
      <c r="L295" s="121"/>
      <c r="M295" s="121"/>
      <c r="N295" s="121"/>
      <c r="O295" s="121"/>
      <c r="P295" s="121"/>
      <c r="Q295" s="121"/>
      <c r="R295" s="121"/>
      <c r="S295" s="121"/>
      <c r="T295" s="121"/>
      <c r="U295" s="121"/>
      <c r="V295" s="121"/>
      <c r="W295" s="121"/>
      <c r="X295" s="121"/>
      <c r="Y295" s="121"/>
      <c r="Z295" s="121"/>
    </row>
    <row r="296" spans="1:26" ht="11.25" customHeight="1" x14ac:dyDescent="0.3">
      <c r="A296" s="121"/>
      <c r="B296" s="121"/>
      <c r="C296" s="121"/>
      <c r="D296" s="121"/>
      <c r="E296" s="121"/>
      <c r="F296" s="121"/>
      <c r="G296" s="121"/>
      <c r="H296" s="121"/>
      <c r="I296" s="121"/>
      <c r="J296" s="121"/>
      <c r="K296" s="121"/>
      <c r="L296" s="121"/>
      <c r="M296" s="121"/>
      <c r="N296" s="121"/>
      <c r="O296" s="121"/>
      <c r="P296" s="121"/>
      <c r="Q296" s="121"/>
      <c r="R296" s="121"/>
      <c r="S296" s="121"/>
      <c r="T296" s="121"/>
      <c r="U296" s="121"/>
      <c r="V296" s="121"/>
      <c r="W296" s="121"/>
      <c r="X296" s="121"/>
      <c r="Y296" s="121"/>
      <c r="Z296" s="121"/>
    </row>
    <row r="297" spans="1:26" ht="11.25" customHeight="1" x14ac:dyDescent="0.3">
      <c r="A297" s="121"/>
      <c r="B297" s="121"/>
      <c r="C297" s="121"/>
      <c r="D297" s="121"/>
      <c r="E297" s="121"/>
      <c r="F297" s="121"/>
      <c r="G297" s="121"/>
      <c r="H297" s="121"/>
      <c r="I297" s="121"/>
      <c r="J297" s="121"/>
      <c r="K297" s="121"/>
      <c r="L297" s="121"/>
      <c r="M297" s="121"/>
      <c r="N297" s="121"/>
      <c r="O297" s="121"/>
      <c r="P297" s="121"/>
      <c r="Q297" s="121"/>
      <c r="R297" s="121"/>
      <c r="S297" s="121"/>
      <c r="T297" s="121"/>
      <c r="U297" s="121"/>
      <c r="V297" s="121"/>
      <c r="W297" s="121"/>
      <c r="X297" s="121"/>
      <c r="Y297" s="121"/>
      <c r="Z297" s="121"/>
    </row>
    <row r="298" spans="1:26" ht="11.25" customHeight="1" x14ac:dyDescent="0.3">
      <c r="A298" s="121"/>
      <c r="B298" s="121"/>
      <c r="C298" s="121"/>
      <c r="D298" s="121"/>
      <c r="E298" s="121"/>
      <c r="F298" s="121"/>
      <c r="G298" s="121"/>
      <c r="H298" s="121"/>
      <c r="I298" s="121"/>
      <c r="J298" s="121"/>
      <c r="K298" s="121"/>
      <c r="L298" s="121"/>
      <c r="M298" s="121"/>
      <c r="N298" s="121"/>
      <c r="O298" s="121"/>
      <c r="P298" s="121"/>
      <c r="Q298" s="121"/>
      <c r="R298" s="121"/>
      <c r="S298" s="121"/>
      <c r="T298" s="121"/>
      <c r="U298" s="121"/>
      <c r="V298" s="121"/>
      <c r="W298" s="121"/>
      <c r="X298" s="121"/>
      <c r="Y298" s="121"/>
      <c r="Z298" s="121"/>
    </row>
    <row r="299" spans="1:26" ht="11.25" customHeight="1" x14ac:dyDescent="0.3">
      <c r="A299" s="121"/>
      <c r="B299" s="121"/>
      <c r="C299" s="121"/>
      <c r="D299" s="121"/>
      <c r="E299" s="121"/>
      <c r="F299" s="121"/>
      <c r="G299" s="121"/>
      <c r="H299" s="121"/>
      <c r="I299" s="121"/>
      <c r="J299" s="121"/>
      <c r="K299" s="121"/>
      <c r="L299" s="121"/>
      <c r="M299" s="121"/>
      <c r="N299" s="121"/>
      <c r="O299" s="121"/>
      <c r="P299" s="121"/>
      <c r="Q299" s="121"/>
      <c r="R299" s="121"/>
      <c r="S299" s="121"/>
      <c r="T299" s="121"/>
      <c r="U299" s="121"/>
      <c r="V299" s="121"/>
      <c r="W299" s="121"/>
      <c r="X299" s="121"/>
      <c r="Y299" s="121"/>
      <c r="Z299" s="121"/>
    </row>
    <row r="300" spans="1:26" ht="11.25" customHeight="1" x14ac:dyDescent="0.3">
      <c r="A300" s="121"/>
      <c r="B300" s="121"/>
      <c r="C300" s="121"/>
      <c r="D300" s="121"/>
      <c r="E300" s="121"/>
      <c r="F300" s="121"/>
      <c r="G300" s="121"/>
      <c r="H300" s="121"/>
      <c r="I300" s="121"/>
      <c r="J300" s="121"/>
      <c r="K300" s="121"/>
      <c r="L300" s="121"/>
      <c r="M300" s="121"/>
      <c r="N300" s="121"/>
      <c r="O300" s="121"/>
      <c r="P300" s="121"/>
      <c r="Q300" s="121"/>
      <c r="R300" s="121"/>
      <c r="S300" s="121"/>
      <c r="T300" s="121"/>
      <c r="U300" s="121"/>
      <c r="V300" s="121"/>
      <c r="W300" s="121"/>
      <c r="X300" s="121"/>
      <c r="Y300" s="121"/>
      <c r="Z300" s="121"/>
    </row>
    <row r="301" spans="1:26" ht="11.25" customHeight="1" x14ac:dyDescent="0.3">
      <c r="A301" s="121"/>
      <c r="B301" s="121"/>
      <c r="C301" s="121"/>
      <c r="D301" s="121"/>
      <c r="E301" s="121"/>
      <c r="F301" s="121"/>
      <c r="G301" s="121"/>
      <c r="H301" s="121"/>
      <c r="I301" s="121"/>
      <c r="J301" s="121"/>
      <c r="K301" s="121"/>
      <c r="L301" s="121"/>
      <c r="M301" s="121"/>
      <c r="N301" s="121"/>
      <c r="O301" s="121"/>
      <c r="P301" s="121"/>
      <c r="Q301" s="121"/>
      <c r="R301" s="121"/>
      <c r="S301" s="121"/>
      <c r="T301" s="121"/>
      <c r="U301" s="121"/>
      <c r="V301" s="121"/>
      <c r="W301" s="121"/>
      <c r="X301" s="121"/>
      <c r="Y301" s="121"/>
      <c r="Z301" s="121"/>
    </row>
    <row r="302" spans="1:26" ht="11.25" customHeight="1" x14ac:dyDescent="0.3">
      <c r="A302" s="121"/>
      <c r="B302" s="121"/>
      <c r="C302" s="121"/>
      <c r="D302" s="121"/>
      <c r="E302" s="121"/>
      <c r="F302" s="121"/>
      <c r="G302" s="121"/>
      <c r="H302" s="121"/>
      <c r="I302" s="121"/>
      <c r="J302" s="121"/>
      <c r="K302" s="121"/>
      <c r="L302" s="121"/>
      <c r="M302" s="121"/>
      <c r="N302" s="121"/>
      <c r="O302" s="121"/>
      <c r="P302" s="121"/>
      <c r="Q302" s="121"/>
      <c r="R302" s="121"/>
      <c r="S302" s="121"/>
      <c r="T302" s="121"/>
      <c r="U302" s="121"/>
      <c r="V302" s="121"/>
      <c r="W302" s="121"/>
      <c r="X302" s="121"/>
      <c r="Y302" s="121"/>
      <c r="Z302" s="121"/>
    </row>
    <row r="303" spans="1:26" ht="11.25" customHeight="1" x14ac:dyDescent="0.3">
      <c r="A303" s="121"/>
      <c r="B303" s="121"/>
      <c r="C303" s="121"/>
      <c r="D303" s="121"/>
      <c r="E303" s="121"/>
      <c r="F303" s="121"/>
      <c r="G303" s="121"/>
      <c r="H303" s="121"/>
      <c r="I303" s="121"/>
      <c r="J303" s="121"/>
      <c r="K303" s="121"/>
      <c r="L303" s="121"/>
      <c r="M303" s="121"/>
      <c r="N303" s="121"/>
      <c r="O303" s="121"/>
      <c r="P303" s="121"/>
      <c r="Q303" s="121"/>
      <c r="R303" s="121"/>
      <c r="S303" s="121"/>
      <c r="T303" s="121"/>
      <c r="U303" s="121"/>
      <c r="V303" s="121"/>
      <c r="W303" s="121"/>
      <c r="X303" s="121"/>
      <c r="Y303" s="121"/>
      <c r="Z303" s="121"/>
    </row>
    <row r="304" spans="1:26" ht="11.25" customHeight="1" x14ac:dyDescent="0.3">
      <c r="A304" s="121"/>
      <c r="B304" s="121"/>
      <c r="C304" s="121"/>
      <c r="D304" s="121"/>
      <c r="E304" s="121"/>
      <c r="F304" s="121"/>
      <c r="G304" s="121"/>
      <c r="H304" s="121"/>
      <c r="I304" s="121"/>
      <c r="J304" s="121"/>
      <c r="K304" s="121"/>
      <c r="L304" s="121"/>
      <c r="M304" s="121"/>
      <c r="N304" s="121"/>
      <c r="O304" s="121"/>
      <c r="P304" s="121"/>
      <c r="Q304" s="121"/>
      <c r="R304" s="121"/>
      <c r="S304" s="121"/>
      <c r="T304" s="121"/>
      <c r="U304" s="121"/>
      <c r="V304" s="121"/>
      <c r="W304" s="121"/>
      <c r="X304" s="121"/>
      <c r="Y304" s="121"/>
      <c r="Z304" s="121"/>
    </row>
    <row r="305" spans="1:26" ht="11.25" customHeight="1" x14ac:dyDescent="0.3">
      <c r="A305" s="121"/>
      <c r="B305" s="121"/>
      <c r="C305" s="121"/>
      <c r="D305" s="121"/>
      <c r="E305" s="121"/>
      <c r="F305" s="121"/>
      <c r="G305" s="121"/>
      <c r="H305" s="121"/>
      <c r="I305" s="121"/>
      <c r="J305" s="121"/>
      <c r="K305" s="121"/>
      <c r="L305" s="121"/>
      <c r="M305" s="121"/>
      <c r="N305" s="121"/>
      <c r="O305" s="121"/>
      <c r="P305" s="121"/>
      <c r="Q305" s="121"/>
      <c r="R305" s="121"/>
      <c r="S305" s="121"/>
      <c r="T305" s="121"/>
      <c r="U305" s="121"/>
      <c r="V305" s="121"/>
      <c r="W305" s="121"/>
      <c r="X305" s="121"/>
      <c r="Y305" s="121"/>
      <c r="Z305" s="121"/>
    </row>
    <row r="306" spans="1:26" ht="11.25" customHeight="1" x14ac:dyDescent="0.3">
      <c r="A306" s="121"/>
      <c r="B306" s="121"/>
      <c r="C306" s="121"/>
      <c r="D306" s="121"/>
      <c r="E306" s="121"/>
      <c r="F306" s="121"/>
      <c r="G306" s="121"/>
      <c r="H306" s="121"/>
      <c r="I306" s="121"/>
      <c r="J306" s="121"/>
      <c r="K306" s="121"/>
      <c r="L306" s="121"/>
      <c r="M306" s="121"/>
      <c r="N306" s="121"/>
      <c r="O306" s="121"/>
      <c r="P306" s="121"/>
      <c r="Q306" s="121"/>
      <c r="R306" s="121"/>
      <c r="S306" s="121"/>
      <c r="T306" s="121"/>
      <c r="U306" s="121"/>
      <c r="V306" s="121"/>
      <c r="W306" s="121"/>
      <c r="X306" s="121"/>
      <c r="Y306" s="121"/>
      <c r="Z306" s="121"/>
    </row>
    <row r="307" spans="1:26" ht="11.25" customHeight="1" x14ac:dyDescent="0.3">
      <c r="A307" s="121"/>
      <c r="B307" s="121"/>
      <c r="C307" s="121"/>
      <c r="D307" s="121"/>
      <c r="E307" s="121"/>
      <c r="F307" s="121"/>
      <c r="G307" s="121"/>
      <c r="H307" s="121"/>
      <c r="I307" s="121"/>
      <c r="J307" s="121"/>
      <c r="K307" s="121"/>
      <c r="L307" s="121"/>
      <c r="M307" s="121"/>
      <c r="N307" s="121"/>
      <c r="O307" s="121"/>
      <c r="P307" s="121"/>
      <c r="Q307" s="121"/>
      <c r="R307" s="121"/>
      <c r="S307" s="121"/>
      <c r="T307" s="121"/>
      <c r="U307" s="121"/>
      <c r="V307" s="121"/>
      <c r="W307" s="121"/>
      <c r="X307" s="121"/>
      <c r="Y307" s="121"/>
      <c r="Z307" s="121"/>
    </row>
    <row r="308" spans="1:26" ht="11.25" customHeight="1" x14ac:dyDescent="0.3">
      <c r="A308" s="121"/>
      <c r="B308" s="121"/>
      <c r="C308" s="121"/>
      <c r="D308" s="121"/>
      <c r="E308" s="121"/>
      <c r="F308" s="121"/>
      <c r="G308" s="121"/>
      <c r="H308" s="121"/>
      <c r="I308" s="121"/>
      <c r="J308" s="121"/>
      <c r="K308" s="121"/>
      <c r="L308" s="121"/>
      <c r="M308" s="121"/>
      <c r="N308" s="121"/>
      <c r="O308" s="121"/>
      <c r="P308" s="121"/>
      <c r="Q308" s="121"/>
      <c r="R308" s="121"/>
      <c r="S308" s="121"/>
      <c r="T308" s="121"/>
      <c r="U308" s="121"/>
      <c r="V308" s="121"/>
      <c r="W308" s="121"/>
      <c r="X308" s="121"/>
      <c r="Y308" s="121"/>
      <c r="Z308" s="121"/>
    </row>
    <row r="309" spans="1:26" ht="11.25" customHeight="1" x14ac:dyDescent="0.3">
      <c r="A309" s="121"/>
      <c r="B309" s="121"/>
      <c r="C309" s="121"/>
      <c r="D309" s="121"/>
      <c r="E309" s="121"/>
      <c r="F309" s="121"/>
      <c r="G309" s="121"/>
      <c r="H309" s="121"/>
      <c r="I309" s="121"/>
      <c r="J309" s="121"/>
      <c r="K309" s="121"/>
      <c r="L309" s="121"/>
      <c r="M309" s="121"/>
      <c r="N309" s="121"/>
      <c r="O309" s="121"/>
      <c r="P309" s="121"/>
      <c r="Q309" s="121"/>
      <c r="R309" s="121"/>
      <c r="S309" s="121"/>
      <c r="T309" s="121"/>
      <c r="U309" s="121"/>
      <c r="V309" s="121"/>
      <c r="W309" s="121"/>
      <c r="X309" s="121"/>
      <c r="Y309" s="121"/>
      <c r="Z309" s="121"/>
    </row>
    <row r="310" spans="1:26" ht="11.25" customHeight="1" x14ac:dyDescent="0.3">
      <c r="A310" s="121"/>
      <c r="B310" s="121"/>
      <c r="C310" s="121"/>
      <c r="D310" s="121"/>
      <c r="E310" s="121"/>
      <c r="F310" s="121"/>
      <c r="G310" s="121"/>
      <c r="H310" s="121"/>
      <c r="I310" s="121"/>
      <c r="J310" s="121"/>
      <c r="K310" s="121"/>
      <c r="L310" s="121"/>
      <c r="M310" s="121"/>
      <c r="N310" s="121"/>
      <c r="O310" s="121"/>
      <c r="P310" s="121"/>
      <c r="Q310" s="121"/>
      <c r="R310" s="121"/>
      <c r="S310" s="121"/>
      <c r="T310" s="121"/>
      <c r="U310" s="121"/>
      <c r="V310" s="121"/>
      <c r="W310" s="121"/>
      <c r="X310" s="121"/>
      <c r="Y310" s="121"/>
      <c r="Z310" s="121"/>
    </row>
    <row r="311" spans="1:26" ht="11.25" customHeight="1" x14ac:dyDescent="0.3">
      <c r="A311" s="121"/>
      <c r="B311" s="121"/>
      <c r="C311" s="121"/>
      <c r="D311" s="121"/>
      <c r="E311" s="121"/>
      <c r="F311" s="121"/>
      <c r="G311" s="121"/>
      <c r="H311" s="121"/>
      <c r="I311" s="121"/>
      <c r="J311" s="121"/>
      <c r="K311" s="121"/>
      <c r="L311" s="121"/>
      <c r="M311" s="121"/>
      <c r="N311" s="121"/>
      <c r="O311" s="121"/>
      <c r="P311" s="121"/>
      <c r="Q311" s="121"/>
      <c r="R311" s="121"/>
      <c r="S311" s="121"/>
      <c r="T311" s="121"/>
      <c r="U311" s="121"/>
      <c r="V311" s="121"/>
      <c r="W311" s="121"/>
      <c r="X311" s="121"/>
      <c r="Y311" s="121"/>
      <c r="Z311" s="121"/>
    </row>
    <row r="312" spans="1:26" ht="11.25" customHeight="1" x14ac:dyDescent="0.3">
      <c r="A312" s="121"/>
      <c r="B312" s="121"/>
      <c r="C312" s="121"/>
      <c r="D312" s="121"/>
      <c r="E312" s="121"/>
      <c r="F312" s="121"/>
      <c r="G312" s="121"/>
      <c r="H312" s="121"/>
      <c r="I312" s="121"/>
      <c r="J312" s="121"/>
      <c r="K312" s="121"/>
      <c r="L312" s="121"/>
      <c r="M312" s="121"/>
      <c r="N312" s="121"/>
      <c r="O312" s="121"/>
      <c r="P312" s="121"/>
      <c r="Q312" s="121"/>
      <c r="R312" s="121"/>
      <c r="S312" s="121"/>
      <c r="T312" s="121"/>
      <c r="U312" s="121"/>
      <c r="V312" s="121"/>
      <c r="W312" s="121"/>
      <c r="X312" s="121"/>
      <c r="Y312" s="121"/>
      <c r="Z312" s="121"/>
    </row>
    <row r="313" spans="1:26" ht="11.25" customHeight="1" x14ac:dyDescent="0.3">
      <c r="A313" s="121"/>
      <c r="B313" s="121"/>
      <c r="C313" s="121"/>
      <c r="D313" s="121"/>
      <c r="E313" s="121"/>
      <c r="F313" s="121"/>
      <c r="G313" s="121"/>
      <c r="H313" s="121"/>
      <c r="I313" s="121"/>
      <c r="J313" s="121"/>
      <c r="K313" s="121"/>
      <c r="L313" s="121"/>
      <c r="M313" s="121"/>
      <c r="N313" s="121"/>
      <c r="O313" s="121"/>
      <c r="P313" s="121"/>
      <c r="Q313" s="121"/>
      <c r="R313" s="121"/>
      <c r="S313" s="121"/>
      <c r="T313" s="121"/>
      <c r="U313" s="121"/>
      <c r="V313" s="121"/>
      <c r="W313" s="121"/>
      <c r="X313" s="121"/>
      <c r="Y313" s="121"/>
      <c r="Z313" s="121"/>
    </row>
    <row r="314" spans="1:26" ht="11.25" customHeight="1" x14ac:dyDescent="0.3">
      <c r="A314" s="121"/>
      <c r="B314" s="121"/>
      <c r="C314" s="121"/>
      <c r="D314" s="121"/>
      <c r="E314" s="121"/>
      <c r="F314" s="121"/>
      <c r="G314" s="121"/>
      <c r="H314" s="121"/>
      <c r="I314" s="121"/>
      <c r="J314" s="121"/>
      <c r="K314" s="121"/>
      <c r="L314" s="121"/>
      <c r="M314" s="121"/>
      <c r="N314" s="121"/>
      <c r="O314" s="121"/>
      <c r="P314" s="121"/>
      <c r="Q314" s="121"/>
      <c r="R314" s="121"/>
      <c r="S314" s="121"/>
      <c r="T314" s="121"/>
      <c r="U314" s="121"/>
      <c r="V314" s="121"/>
      <c r="W314" s="121"/>
      <c r="X314" s="121"/>
      <c r="Y314" s="121"/>
      <c r="Z314" s="121"/>
    </row>
    <row r="315" spans="1:26" ht="11.25" customHeight="1" x14ac:dyDescent="0.3">
      <c r="A315" s="121"/>
      <c r="B315" s="121"/>
      <c r="C315" s="121"/>
      <c r="D315" s="121"/>
      <c r="E315" s="121"/>
      <c r="F315" s="121"/>
      <c r="G315" s="121"/>
      <c r="H315" s="121"/>
      <c r="I315" s="121"/>
      <c r="J315" s="121"/>
      <c r="K315" s="121"/>
      <c r="L315" s="121"/>
      <c r="M315" s="121"/>
      <c r="N315" s="121"/>
      <c r="O315" s="121"/>
      <c r="P315" s="121"/>
      <c r="Q315" s="121"/>
      <c r="R315" s="121"/>
      <c r="S315" s="121"/>
      <c r="T315" s="121"/>
      <c r="U315" s="121"/>
      <c r="V315" s="121"/>
      <c r="W315" s="121"/>
      <c r="X315" s="121"/>
      <c r="Y315" s="121"/>
      <c r="Z315" s="121"/>
    </row>
    <row r="316" spans="1:26" ht="11.25" customHeight="1" x14ac:dyDescent="0.3">
      <c r="A316" s="121"/>
      <c r="B316" s="121"/>
      <c r="C316" s="121"/>
      <c r="D316" s="121"/>
      <c r="E316" s="121"/>
      <c r="F316" s="121"/>
      <c r="G316" s="121"/>
      <c r="H316" s="121"/>
      <c r="I316" s="121"/>
      <c r="J316" s="121"/>
      <c r="K316" s="121"/>
      <c r="L316" s="121"/>
      <c r="M316" s="121"/>
      <c r="N316" s="121"/>
      <c r="O316" s="121"/>
      <c r="P316" s="121"/>
      <c r="Q316" s="121"/>
      <c r="R316" s="121"/>
      <c r="S316" s="121"/>
      <c r="T316" s="121"/>
      <c r="U316" s="121"/>
      <c r="V316" s="121"/>
      <c r="W316" s="121"/>
      <c r="X316" s="121"/>
      <c r="Y316" s="121"/>
      <c r="Z316" s="121"/>
    </row>
    <row r="317" spans="1:26" ht="11.25" customHeight="1" x14ac:dyDescent="0.3">
      <c r="A317" s="121"/>
      <c r="B317" s="121"/>
      <c r="C317" s="121"/>
      <c r="D317" s="121"/>
      <c r="E317" s="121"/>
      <c r="F317" s="121"/>
      <c r="G317" s="121"/>
      <c r="H317" s="121"/>
      <c r="I317" s="121"/>
      <c r="J317" s="121"/>
      <c r="K317" s="121"/>
      <c r="L317" s="121"/>
      <c r="M317" s="121"/>
      <c r="N317" s="121"/>
      <c r="O317" s="121"/>
      <c r="P317" s="121"/>
      <c r="Q317" s="121"/>
      <c r="R317" s="121"/>
      <c r="S317" s="121"/>
      <c r="T317" s="121"/>
      <c r="U317" s="121"/>
      <c r="V317" s="121"/>
      <c r="W317" s="121"/>
      <c r="X317" s="121"/>
      <c r="Y317" s="121"/>
      <c r="Z317" s="121"/>
    </row>
    <row r="318" spans="1:26" ht="11.25" customHeight="1" x14ac:dyDescent="0.3">
      <c r="A318" s="121"/>
      <c r="B318" s="121"/>
      <c r="C318" s="121"/>
      <c r="D318" s="121"/>
      <c r="E318" s="121"/>
      <c r="F318" s="121"/>
      <c r="G318" s="121"/>
      <c r="H318" s="121"/>
      <c r="I318" s="121"/>
      <c r="J318" s="121"/>
      <c r="K318" s="121"/>
      <c r="L318" s="121"/>
      <c r="M318" s="121"/>
      <c r="N318" s="121"/>
      <c r="O318" s="121"/>
      <c r="P318" s="121"/>
      <c r="Q318" s="121"/>
      <c r="R318" s="121"/>
      <c r="S318" s="121"/>
      <c r="T318" s="121"/>
      <c r="U318" s="121"/>
      <c r="V318" s="121"/>
      <c r="W318" s="121"/>
      <c r="X318" s="121"/>
      <c r="Y318" s="121"/>
      <c r="Z318" s="121"/>
    </row>
    <row r="319" spans="1:26" ht="11.25" customHeight="1" x14ac:dyDescent="0.3">
      <c r="A319" s="121"/>
      <c r="B319" s="121"/>
      <c r="C319" s="121"/>
      <c r="D319" s="121"/>
      <c r="E319" s="121"/>
      <c r="F319" s="121"/>
      <c r="G319" s="121"/>
      <c r="H319" s="121"/>
      <c r="I319" s="121"/>
      <c r="J319" s="121"/>
      <c r="K319" s="121"/>
      <c r="L319" s="121"/>
      <c r="M319" s="121"/>
      <c r="N319" s="121"/>
      <c r="O319" s="121"/>
      <c r="P319" s="121"/>
      <c r="Q319" s="121"/>
      <c r="R319" s="121"/>
      <c r="S319" s="121"/>
      <c r="T319" s="121"/>
      <c r="U319" s="121"/>
      <c r="V319" s="121"/>
      <c r="W319" s="121"/>
      <c r="X319" s="121"/>
      <c r="Y319" s="121"/>
      <c r="Z319" s="121"/>
    </row>
    <row r="320" spans="1:26" ht="11.25" customHeight="1" x14ac:dyDescent="0.3">
      <c r="A320" s="121"/>
      <c r="B320" s="121"/>
      <c r="C320" s="121"/>
      <c r="D320" s="121"/>
      <c r="E320" s="121"/>
      <c r="F320" s="121"/>
      <c r="G320" s="121"/>
      <c r="H320" s="121"/>
      <c r="I320" s="121"/>
      <c r="J320" s="121"/>
      <c r="K320" s="121"/>
      <c r="L320" s="121"/>
      <c r="M320" s="121"/>
      <c r="N320" s="121"/>
      <c r="O320" s="121"/>
      <c r="P320" s="121"/>
      <c r="Q320" s="121"/>
      <c r="R320" s="121"/>
      <c r="S320" s="121"/>
      <c r="T320" s="121"/>
      <c r="U320" s="121"/>
      <c r="V320" s="121"/>
      <c r="W320" s="121"/>
      <c r="X320" s="121"/>
      <c r="Y320" s="121"/>
      <c r="Z320" s="121"/>
    </row>
    <row r="321" spans="1:26" ht="11.25" customHeight="1" x14ac:dyDescent="0.3">
      <c r="A321" s="121"/>
      <c r="B321" s="121"/>
      <c r="C321" s="121"/>
      <c r="D321" s="121"/>
      <c r="E321" s="121"/>
      <c r="F321" s="121"/>
      <c r="G321" s="121"/>
      <c r="H321" s="121"/>
      <c r="I321" s="121"/>
      <c r="J321" s="121"/>
      <c r="K321" s="121"/>
      <c r="L321" s="121"/>
      <c r="M321" s="121"/>
      <c r="N321" s="121"/>
      <c r="O321" s="121"/>
      <c r="P321" s="121"/>
      <c r="Q321" s="121"/>
      <c r="R321" s="121"/>
      <c r="S321" s="121"/>
      <c r="T321" s="121"/>
      <c r="U321" s="121"/>
      <c r="V321" s="121"/>
      <c r="W321" s="121"/>
      <c r="X321" s="121"/>
      <c r="Y321" s="121"/>
      <c r="Z321" s="121"/>
    </row>
    <row r="322" spans="1:26" ht="11.25" customHeight="1" x14ac:dyDescent="0.3">
      <c r="A322" s="121"/>
      <c r="B322" s="121"/>
      <c r="C322" s="121"/>
      <c r="D322" s="121"/>
      <c r="E322" s="121"/>
      <c r="F322" s="121"/>
      <c r="G322" s="121"/>
      <c r="H322" s="121"/>
      <c r="I322" s="121"/>
      <c r="J322" s="121"/>
      <c r="K322" s="121"/>
      <c r="L322" s="121"/>
      <c r="M322" s="121"/>
      <c r="N322" s="121"/>
      <c r="O322" s="121"/>
      <c r="P322" s="121"/>
      <c r="Q322" s="121"/>
      <c r="R322" s="121"/>
      <c r="S322" s="121"/>
      <c r="T322" s="121"/>
      <c r="U322" s="121"/>
      <c r="V322" s="121"/>
      <c r="W322" s="121"/>
      <c r="X322" s="121"/>
      <c r="Y322" s="121"/>
      <c r="Z322" s="121"/>
    </row>
    <row r="323" spans="1:26" ht="11.25" customHeight="1" x14ac:dyDescent="0.3">
      <c r="A323" s="121"/>
      <c r="B323" s="121"/>
      <c r="C323" s="121"/>
      <c r="D323" s="121"/>
      <c r="E323" s="121"/>
      <c r="F323" s="121"/>
      <c r="G323" s="121"/>
      <c r="H323" s="121"/>
      <c r="I323" s="121"/>
      <c r="J323" s="121"/>
      <c r="K323" s="121"/>
      <c r="L323" s="121"/>
      <c r="M323" s="121"/>
      <c r="N323" s="121"/>
      <c r="O323" s="121"/>
      <c r="P323" s="121"/>
      <c r="Q323" s="121"/>
      <c r="R323" s="121"/>
      <c r="S323" s="121"/>
      <c r="T323" s="121"/>
      <c r="U323" s="121"/>
      <c r="V323" s="121"/>
      <c r="W323" s="121"/>
      <c r="X323" s="121"/>
      <c r="Y323" s="121"/>
      <c r="Z323" s="121"/>
    </row>
    <row r="324" spans="1:26" ht="11.25" customHeight="1" x14ac:dyDescent="0.3">
      <c r="A324" s="121"/>
      <c r="B324" s="121"/>
      <c r="C324" s="121"/>
      <c r="D324" s="121"/>
      <c r="E324" s="121"/>
      <c r="F324" s="121"/>
      <c r="G324" s="121"/>
      <c r="H324" s="121"/>
      <c r="I324" s="121"/>
      <c r="J324" s="121"/>
      <c r="K324" s="121"/>
      <c r="L324" s="121"/>
      <c r="M324" s="121"/>
      <c r="N324" s="121"/>
      <c r="O324" s="121"/>
      <c r="P324" s="121"/>
      <c r="Q324" s="121"/>
      <c r="R324" s="121"/>
      <c r="S324" s="121"/>
      <c r="T324" s="121"/>
      <c r="U324" s="121"/>
      <c r="V324" s="121"/>
      <c r="W324" s="121"/>
      <c r="X324" s="121"/>
      <c r="Y324" s="121"/>
      <c r="Z324" s="121"/>
    </row>
    <row r="325" spans="1:26" ht="11.25" customHeight="1" x14ac:dyDescent="0.3">
      <c r="A325" s="121"/>
      <c r="B325" s="121"/>
      <c r="C325" s="121"/>
      <c r="D325" s="121"/>
      <c r="E325" s="121"/>
      <c r="F325" s="121"/>
      <c r="G325" s="121"/>
      <c r="H325" s="121"/>
      <c r="I325" s="121"/>
      <c r="J325" s="121"/>
      <c r="K325" s="121"/>
      <c r="L325" s="121"/>
      <c r="M325" s="121"/>
      <c r="N325" s="121"/>
      <c r="O325" s="121"/>
      <c r="P325" s="121"/>
      <c r="Q325" s="121"/>
      <c r="R325" s="121"/>
      <c r="S325" s="121"/>
      <c r="T325" s="121"/>
      <c r="U325" s="121"/>
      <c r="V325" s="121"/>
      <c r="W325" s="121"/>
      <c r="X325" s="121"/>
      <c r="Y325" s="121"/>
      <c r="Z325" s="121"/>
    </row>
    <row r="326" spans="1:26" ht="11.25" customHeight="1" x14ac:dyDescent="0.3">
      <c r="A326" s="121"/>
      <c r="B326" s="121"/>
      <c r="C326" s="121"/>
      <c r="D326" s="121"/>
      <c r="E326" s="121"/>
      <c r="F326" s="121"/>
      <c r="G326" s="121"/>
      <c r="H326" s="121"/>
      <c r="I326" s="121"/>
      <c r="J326" s="121"/>
      <c r="K326" s="121"/>
      <c r="L326" s="121"/>
      <c r="M326" s="121"/>
      <c r="N326" s="121"/>
      <c r="O326" s="121"/>
      <c r="P326" s="121"/>
      <c r="Q326" s="121"/>
      <c r="R326" s="121"/>
      <c r="S326" s="121"/>
      <c r="T326" s="121"/>
      <c r="U326" s="121"/>
      <c r="V326" s="121"/>
      <c r="W326" s="121"/>
      <c r="X326" s="121"/>
      <c r="Y326" s="121"/>
      <c r="Z326" s="121"/>
    </row>
    <row r="327" spans="1:26" ht="11.25" customHeight="1" x14ac:dyDescent="0.3">
      <c r="A327" s="121"/>
      <c r="B327" s="121"/>
      <c r="C327" s="121"/>
      <c r="D327" s="121"/>
      <c r="E327" s="121"/>
      <c r="F327" s="121"/>
      <c r="G327" s="121"/>
      <c r="H327" s="121"/>
      <c r="I327" s="121"/>
      <c r="J327" s="121"/>
      <c r="K327" s="121"/>
      <c r="L327" s="121"/>
      <c r="M327" s="121"/>
      <c r="N327" s="121"/>
      <c r="O327" s="121"/>
      <c r="P327" s="121"/>
      <c r="Q327" s="121"/>
      <c r="R327" s="121"/>
      <c r="S327" s="121"/>
      <c r="T327" s="121"/>
      <c r="U327" s="121"/>
      <c r="V327" s="121"/>
      <c r="W327" s="121"/>
      <c r="X327" s="121"/>
      <c r="Y327" s="121"/>
      <c r="Z327" s="121"/>
    </row>
    <row r="328" spans="1:26" ht="11.25" customHeight="1" x14ac:dyDescent="0.3">
      <c r="A328" s="121"/>
      <c r="B328" s="121"/>
      <c r="C328" s="121"/>
      <c r="D328" s="121"/>
      <c r="E328" s="121"/>
      <c r="F328" s="121"/>
      <c r="G328" s="121"/>
      <c r="H328" s="121"/>
      <c r="I328" s="121"/>
      <c r="J328" s="121"/>
      <c r="K328" s="121"/>
      <c r="L328" s="121"/>
      <c r="M328" s="121"/>
      <c r="N328" s="121"/>
      <c r="O328" s="121"/>
      <c r="P328" s="121"/>
      <c r="Q328" s="121"/>
      <c r="R328" s="121"/>
      <c r="S328" s="121"/>
      <c r="T328" s="121"/>
      <c r="U328" s="121"/>
      <c r="V328" s="121"/>
      <c r="W328" s="121"/>
      <c r="X328" s="121"/>
      <c r="Y328" s="121"/>
      <c r="Z328" s="121"/>
    </row>
    <row r="329" spans="1:26" ht="11.25" customHeight="1" x14ac:dyDescent="0.3">
      <c r="A329" s="121"/>
      <c r="B329" s="121"/>
      <c r="C329" s="121"/>
      <c r="D329" s="121"/>
      <c r="E329" s="121"/>
      <c r="F329" s="121"/>
      <c r="G329" s="121"/>
      <c r="H329" s="121"/>
      <c r="I329" s="121"/>
      <c r="J329" s="121"/>
      <c r="K329" s="121"/>
      <c r="L329" s="121"/>
      <c r="M329" s="121"/>
      <c r="N329" s="121"/>
      <c r="O329" s="121"/>
      <c r="P329" s="121"/>
      <c r="Q329" s="121"/>
      <c r="R329" s="121"/>
      <c r="S329" s="121"/>
      <c r="T329" s="121"/>
      <c r="U329" s="121"/>
      <c r="V329" s="121"/>
      <c r="W329" s="121"/>
      <c r="X329" s="121"/>
      <c r="Y329" s="121"/>
      <c r="Z329" s="121"/>
    </row>
    <row r="330" spans="1:26" ht="11.25" customHeight="1" x14ac:dyDescent="0.3">
      <c r="A330" s="121"/>
      <c r="B330" s="121"/>
      <c r="C330" s="121"/>
      <c r="D330" s="121"/>
      <c r="E330" s="121"/>
      <c r="F330" s="121"/>
      <c r="G330" s="121"/>
      <c r="H330" s="121"/>
      <c r="I330" s="121"/>
      <c r="J330" s="121"/>
      <c r="K330" s="121"/>
      <c r="L330" s="121"/>
      <c r="M330" s="121"/>
      <c r="N330" s="121"/>
      <c r="O330" s="121"/>
      <c r="P330" s="121"/>
      <c r="Q330" s="121"/>
      <c r="R330" s="121"/>
      <c r="S330" s="121"/>
      <c r="T330" s="121"/>
      <c r="U330" s="121"/>
      <c r="V330" s="121"/>
      <c r="W330" s="121"/>
      <c r="X330" s="121"/>
      <c r="Y330" s="121"/>
      <c r="Z330" s="121"/>
    </row>
    <row r="331" spans="1:26" ht="11.25" customHeight="1" x14ac:dyDescent="0.3">
      <c r="A331" s="121"/>
      <c r="B331" s="121"/>
      <c r="C331" s="121"/>
      <c r="D331" s="121"/>
      <c r="E331" s="121"/>
      <c r="F331" s="121"/>
      <c r="G331" s="121"/>
      <c r="H331" s="121"/>
      <c r="I331" s="121"/>
      <c r="J331" s="121"/>
      <c r="K331" s="121"/>
      <c r="L331" s="121"/>
      <c r="M331" s="121"/>
      <c r="N331" s="121"/>
      <c r="O331" s="121"/>
      <c r="P331" s="121"/>
      <c r="Q331" s="121"/>
      <c r="R331" s="121"/>
      <c r="S331" s="121"/>
      <c r="T331" s="121"/>
      <c r="U331" s="121"/>
      <c r="V331" s="121"/>
      <c r="W331" s="121"/>
      <c r="X331" s="121"/>
      <c r="Y331" s="121"/>
      <c r="Z331" s="121"/>
    </row>
    <row r="332" spans="1:26" ht="11.25" customHeight="1" x14ac:dyDescent="0.3">
      <c r="A332" s="121"/>
      <c r="B332" s="121"/>
      <c r="C332" s="121"/>
      <c r="D332" s="121"/>
      <c r="E332" s="121"/>
      <c r="F332" s="121"/>
      <c r="G332" s="121"/>
      <c r="H332" s="121"/>
      <c r="I332" s="121"/>
      <c r="J332" s="121"/>
      <c r="K332" s="121"/>
      <c r="L332" s="121"/>
      <c r="M332" s="121"/>
      <c r="N332" s="121"/>
      <c r="O332" s="121"/>
      <c r="P332" s="121"/>
      <c r="Q332" s="121"/>
      <c r="R332" s="121"/>
      <c r="S332" s="121"/>
      <c r="T332" s="121"/>
      <c r="U332" s="121"/>
      <c r="V332" s="121"/>
      <c r="W332" s="121"/>
      <c r="X332" s="121"/>
      <c r="Y332" s="121"/>
      <c r="Z332" s="121"/>
    </row>
    <row r="333" spans="1:26" ht="11.25" customHeight="1" x14ac:dyDescent="0.3">
      <c r="A333" s="121"/>
      <c r="B333" s="121"/>
      <c r="C333" s="121"/>
      <c r="D333" s="121"/>
      <c r="E333" s="121"/>
      <c r="F333" s="121"/>
      <c r="G333" s="121"/>
      <c r="H333" s="121"/>
      <c r="I333" s="121"/>
      <c r="J333" s="121"/>
      <c r="K333" s="121"/>
      <c r="L333" s="121"/>
      <c r="M333" s="121"/>
      <c r="N333" s="121"/>
      <c r="O333" s="121"/>
      <c r="P333" s="121"/>
      <c r="Q333" s="121"/>
      <c r="R333" s="121"/>
      <c r="S333" s="121"/>
      <c r="T333" s="121"/>
      <c r="U333" s="121"/>
      <c r="V333" s="121"/>
      <c r="W333" s="121"/>
      <c r="X333" s="121"/>
      <c r="Y333" s="121"/>
      <c r="Z333" s="121"/>
    </row>
    <row r="334" spans="1:26" ht="11.25" customHeight="1" x14ac:dyDescent="0.3">
      <c r="A334" s="121"/>
      <c r="B334" s="121"/>
      <c r="C334" s="121"/>
      <c r="D334" s="121"/>
      <c r="E334" s="121"/>
      <c r="F334" s="121"/>
      <c r="G334" s="121"/>
      <c r="H334" s="121"/>
      <c r="I334" s="121"/>
      <c r="J334" s="121"/>
      <c r="K334" s="121"/>
      <c r="L334" s="121"/>
      <c r="M334" s="121"/>
      <c r="N334" s="121"/>
      <c r="O334" s="121"/>
      <c r="P334" s="121"/>
      <c r="Q334" s="121"/>
      <c r="R334" s="121"/>
      <c r="S334" s="121"/>
      <c r="T334" s="121"/>
      <c r="U334" s="121"/>
      <c r="V334" s="121"/>
      <c r="W334" s="121"/>
      <c r="X334" s="121"/>
      <c r="Y334" s="121"/>
      <c r="Z334" s="121"/>
    </row>
    <row r="335" spans="1:26" ht="11.25" customHeight="1" x14ac:dyDescent="0.3">
      <c r="A335" s="121"/>
      <c r="B335" s="121"/>
      <c r="C335" s="121"/>
      <c r="D335" s="121"/>
      <c r="E335" s="121"/>
      <c r="F335" s="121"/>
      <c r="G335" s="121"/>
      <c r="H335" s="121"/>
      <c r="I335" s="121"/>
      <c r="J335" s="121"/>
      <c r="K335" s="121"/>
      <c r="L335" s="121"/>
      <c r="M335" s="121"/>
      <c r="N335" s="121"/>
      <c r="O335" s="121"/>
      <c r="P335" s="121"/>
      <c r="Q335" s="121"/>
      <c r="R335" s="121"/>
      <c r="S335" s="121"/>
      <c r="T335" s="121"/>
      <c r="U335" s="121"/>
      <c r="V335" s="121"/>
      <c r="W335" s="121"/>
      <c r="X335" s="121"/>
      <c r="Y335" s="121"/>
      <c r="Z335" s="121"/>
    </row>
    <row r="336" spans="1:26" ht="11.25" customHeight="1" x14ac:dyDescent="0.3">
      <c r="A336" s="121"/>
      <c r="B336" s="121"/>
      <c r="C336" s="121"/>
      <c r="D336" s="121"/>
      <c r="E336" s="121"/>
      <c r="F336" s="121"/>
      <c r="G336" s="121"/>
      <c r="H336" s="121"/>
      <c r="I336" s="121"/>
      <c r="J336" s="121"/>
      <c r="K336" s="121"/>
      <c r="L336" s="121"/>
      <c r="M336" s="121"/>
      <c r="N336" s="121"/>
      <c r="O336" s="121"/>
      <c r="P336" s="121"/>
      <c r="Q336" s="121"/>
      <c r="R336" s="121"/>
      <c r="S336" s="121"/>
      <c r="T336" s="121"/>
      <c r="U336" s="121"/>
      <c r="V336" s="121"/>
      <c r="W336" s="121"/>
      <c r="X336" s="121"/>
      <c r="Y336" s="121"/>
      <c r="Z336" s="121"/>
    </row>
    <row r="337" spans="1:26" ht="11.25" customHeight="1" x14ac:dyDescent="0.3">
      <c r="A337" s="121"/>
      <c r="B337" s="121"/>
      <c r="C337" s="121"/>
      <c r="D337" s="121"/>
      <c r="E337" s="121"/>
      <c r="F337" s="121"/>
      <c r="G337" s="121"/>
      <c r="H337" s="121"/>
      <c r="I337" s="121"/>
      <c r="J337" s="121"/>
      <c r="K337" s="121"/>
      <c r="L337" s="121"/>
      <c r="M337" s="121"/>
      <c r="N337" s="121"/>
      <c r="O337" s="121"/>
      <c r="P337" s="121"/>
      <c r="Q337" s="121"/>
      <c r="R337" s="121"/>
      <c r="S337" s="121"/>
      <c r="T337" s="121"/>
      <c r="U337" s="121"/>
      <c r="V337" s="121"/>
      <c r="W337" s="121"/>
      <c r="X337" s="121"/>
      <c r="Y337" s="121"/>
      <c r="Z337" s="121"/>
    </row>
    <row r="338" spans="1:26" ht="11.25" customHeight="1" x14ac:dyDescent="0.3">
      <c r="A338" s="121"/>
      <c r="B338" s="121"/>
      <c r="C338" s="121"/>
      <c r="D338" s="121"/>
      <c r="E338" s="121"/>
      <c r="F338" s="121"/>
      <c r="G338" s="121"/>
      <c r="H338" s="121"/>
      <c r="I338" s="121"/>
      <c r="J338" s="121"/>
      <c r="K338" s="121"/>
      <c r="L338" s="121"/>
      <c r="M338" s="121"/>
      <c r="N338" s="121"/>
      <c r="O338" s="121"/>
      <c r="P338" s="121"/>
      <c r="Q338" s="121"/>
      <c r="R338" s="121"/>
      <c r="S338" s="121"/>
      <c r="T338" s="121"/>
      <c r="U338" s="121"/>
      <c r="V338" s="121"/>
      <c r="W338" s="121"/>
      <c r="X338" s="121"/>
      <c r="Y338" s="121"/>
      <c r="Z338" s="121"/>
    </row>
    <row r="339" spans="1:26" ht="11.25" customHeight="1" x14ac:dyDescent="0.3">
      <c r="A339" s="121"/>
      <c r="B339" s="121"/>
      <c r="C339" s="121"/>
      <c r="D339" s="121"/>
      <c r="E339" s="121"/>
      <c r="F339" s="121"/>
      <c r="G339" s="121"/>
      <c r="H339" s="121"/>
      <c r="I339" s="121"/>
      <c r="J339" s="121"/>
      <c r="K339" s="121"/>
      <c r="L339" s="121"/>
      <c r="M339" s="121"/>
      <c r="N339" s="121"/>
      <c r="O339" s="121"/>
      <c r="P339" s="121"/>
      <c r="Q339" s="121"/>
      <c r="R339" s="121"/>
      <c r="S339" s="121"/>
      <c r="T339" s="121"/>
      <c r="U339" s="121"/>
      <c r="V339" s="121"/>
      <c r="W339" s="121"/>
      <c r="X339" s="121"/>
      <c r="Y339" s="121"/>
      <c r="Z339" s="121"/>
    </row>
    <row r="340" spans="1:26" ht="11.25" customHeight="1" x14ac:dyDescent="0.3">
      <c r="A340" s="121"/>
      <c r="B340" s="121"/>
      <c r="C340" s="121"/>
      <c r="D340" s="121"/>
      <c r="E340" s="121"/>
      <c r="F340" s="121"/>
      <c r="G340" s="121"/>
      <c r="H340" s="121"/>
      <c r="I340" s="121"/>
      <c r="J340" s="121"/>
      <c r="K340" s="121"/>
      <c r="L340" s="121"/>
      <c r="M340" s="121"/>
      <c r="N340" s="121"/>
      <c r="O340" s="121"/>
      <c r="P340" s="121"/>
      <c r="Q340" s="121"/>
      <c r="R340" s="121"/>
      <c r="S340" s="121"/>
      <c r="T340" s="121"/>
      <c r="U340" s="121"/>
      <c r="V340" s="121"/>
      <c r="W340" s="121"/>
      <c r="X340" s="121"/>
      <c r="Y340" s="121"/>
      <c r="Z340" s="121"/>
    </row>
    <row r="341" spans="1:26" ht="11.25" customHeight="1" x14ac:dyDescent="0.3">
      <c r="A341" s="121"/>
      <c r="B341" s="121"/>
      <c r="C341" s="121"/>
      <c r="D341" s="121"/>
      <c r="E341" s="121"/>
      <c r="F341" s="121"/>
      <c r="G341" s="121"/>
      <c r="H341" s="121"/>
      <c r="I341" s="121"/>
      <c r="J341" s="121"/>
      <c r="K341" s="121"/>
      <c r="L341" s="121"/>
      <c r="M341" s="121"/>
      <c r="N341" s="121"/>
      <c r="O341" s="121"/>
      <c r="P341" s="121"/>
      <c r="Q341" s="121"/>
      <c r="R341" s="121"/>
      <c r="S341" s="121"/>
      <c r="T341" s="121"/>
      <c r="U341" s="121"/>
      <c r="V341" s="121"/>
      <c r="W341" s="121"/>
      <c r="X341" s="121"/>
      <c r="Y341" s="121"/>
      <c r="Z341" s="121"/>
    </row>
    <row r="342" spans="1:26" ht="11.25" customHeight="1" x14ac:dyDescent="0.3">
      <c r="A342" s="121"/>
      <c r="B342" s="121"/>
      <c r="C342" s="121"/>
      <c r="D342" s="121"/>
      <c r="E342" s="121"/>
      <c r="F342" s="121"/>
      <c r="G342" s="121"/>
      <c r="H342" s="121"/>
      <c r="I342" s="121"/>
      <c r="J342" s="121"/>
      <c r="K342" s="121"/>
      <c r="L342" s="121"/>
      <c r="M342" s="121"/>
      <c r="N342" s="121"/>
      <c r="O342" s="121"/>
      <c r="P342" s="121"/>
      <c r="Q342" s="121"/>
      <c r="R342" s="121"/>
      <c r="S342" s="121"/>
      <c r="T342" s="121"/>
      <c r="U342" s="121"/>
      <c r="V342" s="121"/>
      <c r="W342" s="121"/>
      <c r="X342" s="121"/>
      <c r="Y342" s="121"/>
      <c r="Z342" s="121"/>
    </row>
    <row r="343" spans="1:26" ht="11.25" customHeight="1" x14ac:dyDescent="0.3">
      <c r="A343" s="121"/>
      <c r="B343" s="121"/>
      <c r="C343" s="121"/>
      <c r="D343" s="121"/>
      <c r="E343" s="121"/>
      <c r="F343" s="121"/>
      <c r="G343" s="121"/>
      <c r="H343" s="121"/>
      <c r="I343" s="121"/>
      <c r="J343" s="121"/>
      <c r="K343" s="121"/>
      <c r="L343" s="121"/>
      <c r="M343" s="121"/>
      <c r="N343" s="121"/>
      <c r="O343" s="121"/>
      <c r="P343" s="121"/>
      <c r="Q343" s="121"/>
      <c r="R343" s="121"/>
      <c r="S343" s="121"/>
      <c r="T343" s="121"/>
      <c r="U343" s="121"/>
      <c r="V343" s="121"/>
      <c r="W343" s="121"/>
      <c r="X343" s="121"/>
      <c r="Y343" s="121"/>
      <c r="Z343" s="121"/>
    </row>
    <row r="344" spans="1:26" ht="11.25" customHeight="1" x14ac:dyDescent="0.3">
      <c r="A344" s="121"/>
      <c r="B344" s="121"/>
      <c r="C344" s="121"/>
      <c r="D344" s="121"/>
      <c r="E344" s="121"/>
      <c r="F344" s="121"/>
      <c r="G344" s="121"/>
      <c r="H344" s="121"/>
      <c r="I344" s="121"/>
      <c r="J344" s="121"/>
      <c r="K344" s="121"/>
      <c r="L344" s="121"/>
      <c r="M344" s="121"/>
      <c r="N344" s="121"/>
      <c r="O344" s="121"/>
      <c r="P344" s="121"/>
      <c r="Q344" s="121"/>
      <c r="R344" s="121"/>
      <c r="S344" s="121"/>
      <c r="T344" s="121"/>
      <c r="U344" s="121"/>
      <c r="V344" s="121"/>
      <c r="W344" s="121"/>
      <c r="X344" s="121"/>
      <c r="Y344" s="121"/>
      <c r="Z344" s="121"/>
    </row>
    <row r="345" spans="1:26" ht="11.25" customHeight="1" x14ac:dyDescent="0.3">
      <c r="A345" s="121"/>
      <c r="B345" s="121"/>
      <c r="C345" s="121"/>
      <c r="D345" s="121"/>
      <c r="E345" s="121"/>
      <c r="F345" s="121"/>
      <c r="G345" s="121"/>
      <c r="H345" s="121"/>
      <c r="I345" s="121"/>
      <c r="J345" s="121"/>
      <c r="K345" s="121"/>
      <c r="L345" s="121"/>
      <c r="M345" s="121"/>
      <c r="N345" s="121"/>
      <c r="O345" s="121"/>
      <c r="P345" s="121"/>
      <c r="Q345" s="121"/>
      <c r="R345" s="121"/>
      <c r="S345" s="121"/>
      <c r="T345" s="121"/>
      <c r="U345" s="121"/>
      <c r="V345" s="121"/>
      <c r="W345" s="121"/>
      <c r="X345" s="121"/>
      <c r="Y345" s="121"/>
      <c r="Z345" s="121"/>
    </row>
    <row r="346" spans="1:26" ht="11.25" customHeight="1" x14ac:dyDescent="0.3">
      <c r="A346" s="121"/>
      <c r="B346" s="121"/>
      <c r="C346" s="121"/>
      <c r="D346" s="121"/>
      <c r="E346" s="121"/>
      <c r="F346" s="121"/>
      <c r="G346" s="121"/>
      <c r="H346" s="121"/>
      <c r="I346" s="121"/>
      <c r="J346" s="121"/>
      <c r="K346" s="121"/>
      <c r="L346" s="121"/>
      <c r="M346" s="121"/>
      <c r="N346" s="121"/>
      <c r="O346" s="121"/>
      <c r="P346" s="121"/>
      <c r="Q346" s="121"/>
      <c r="R346" s="121"/>
      <c r="S346" s="121"/>
      <c r="T346" s="121"/>
      <c r="U346" s="121"/>
      <c r="V346" s="121"/>
      <c r="W346" s="121"/>
      <c r="X346" s="121"/>
      <c r="Y346" s="121"/>
      <c r="Z346" s="121"/>
    </row>
    <row r="347" spans="1:26" ht="11.25" customHeight="1" x14ac:dyDescent="0.3">
      <c r="A347" s="121"/>
      <c r="B347" s="121"/>
      <c r="C347" s="121"/>
      <c r="D347" s="121"/>
      <c r="E347" s="121"/>
      <c r="F347" s="121"/>
      <c r="G347" s="121"/>
      <c r="H347" s="121"/>
      <c r="I347" s="121"/>
      <c r="J347" s="121"/>
      <c r="K347" s="121"/>
      <c r="L347" s="121"/>
      <c r="M347" s="121"/>
      <c r="N347" s="121"/>
      <c r="O347" s="121"/>
      <c r="P347" s="121"/>
      <c r="Q347" s="121"/>
      <c r="R347" s="121"/>
      <c r="S347" s="121"/>
      <c r="T347" s="121"/>
      <c r="U347" s="121"/>
      <c r="V347" s="121"/>
      <c r="W347" s="121"/>
      <c r="X347" s="121"/>
      <c r="Y347" s="121"/>
      <c r="Z347" s="121"/>
    </row>
    <row r="348" spans="1:26" ht="11.25" customHeight="1" x14ac:dyDescent="0.3">
      <c r="A348" s="121"/>
      <c r="B348" s="121"/>
      <c r="C348" s="121"/>
      <c r="D348" s="121"/>
      <c r="E348" s="121"/>
      <c r="F348" s="121"/>
      <c r="G348" s="121"/>
      <c r="H348" s="121"/>
      <c r="I348" s="121"/>
      <c r="J348" s="121"/>
      <c r="K348" s="121"/>
      <c r="L348" s="121"/>
      <c r="M348" s="121"/>
      <c r="N348" s="121"/>
      <c r="O348" s="121"/>
      <c r="P348" s="121"/>
      <c r="Q348" s="121"/>
      <c r="R348" s="121"/>
      <c r="S348" s="121"/>
      <c r="T348" s="121"/>
      <c r="U348" s="121"/>
      <c r="V348" s="121"/>
      <c r="W348" s="121"/>
      <c r="X348" s="121"/>
      <c r="Y348" s="121"/>
      <c r="Z348" s="121"/>
    </row>
    <row r="349" spans="1:26" ht="11.25" customHeight="1" x14ac:dyDescent="0.3">
      <c r="A349" s="121"/>
      <c r="B349" s="121"/>
      <c r="C349" s="121"/>
      <c r="D349" s="121"/>
      <c r="E349" s="121"/>
      <c r="F349" s="121"/>
      <c r="G349" s="121"/>
      <c r="H349" s="121"/>
      <c r="I349" s="121"/>
      <c r="J349" s="121"/>
      <c r="K349" s="121"/>
      <c r="L349" s="121"/>
      <c r="M349" s="121"/>
      <c r="N349" s="121"/>
      <c r="O349" s="121"/>
      <c r="P349" s="121"/>
      <c r="Q349" s="121"/>
      <c r="R349" s="121"/>
      <c r="S349" s="121"/>
      <c r="T349" s="121"/>
      <c r="U349" s="121"/>
      <c r="V349" s="121"/>
      <c r="W349" s="121"/>
      <c r="X349" s="121"/>
      <c r="Y349" s="121"/>
      <c r="Z349" s="121"/>
    </row>
    <row r="350" spans="1:26" ht="11.25" customHeight="1" x14ac:dyDescent="0.3">
      <c r="A350" s="121"/>
      <c r="B350" s="121"/>
      <c r="C350" s="121"/>
      <c r="D350" s="121"/>
      <c r="E350" s="121"/>
      <c r="F350" s="121"/>
      <c r="G350" s="121"/>
      <c r="H350" s="121"/>
      <c r="I350" s="121"/>
      <c r="J350" s="121"/>
      <c r="K350" s="121"/>
      <c r="L350" s="121"/>
      <c r="M350" s="121"/>
      <c r="N350" s="121"/>
      <c r="O350" s="121"/>
      <c r="P350" s="121"/>
      <c r="Q350" s="121"/>
      <c r="R350" s="121"/>
      <c r="S350" s="121"/>
      <c r="T350" s="121"/>
      <c r="U350" s="121"/>
      <c r="V350" s="121"/>
      <c r="W350" s="121"/>
      <c r="X350" s="121"/>
      <c r="Y350" s="121"/>
      <c r="Z350" s="121"/>
    </row>
    <row r="351" spans="1:26" ht="11.25" customHeight="1" x14ac:dyDescent="0.3">
      <c r="A351" s="121"/>
      <c r="B351" s="121"/>
      <c r="C351" s="121"/>
      <c r="D351" s="121"/>
      <c r="E351" s="121"/>
      <c r="F351" s="121"/>
      <c r="G351" s="121"/>
      <c r="H351" s="121"/>
      <c r="I351" s="121"/>
      <c r="J351" s="121"/>
      <c r="K351" s="121"/>
      <c r="L351" s="121"/>
      <c r="M351" s="121"/>
      <c r="N351" s="121"/>
      <c r="O351" s="121"/>
      <c r="P351" s="121"/>
      <c r="Q351" s="121"/>
      <c r="R351" s="121"/>
      <c r="S351" s="121"/>
      <c r="T351" s="121"/>
      <c r="U351" s="121"/>
      <c r="V351" s="121"/>
      <c r="W351" s="121"/>
      <c r="X351" s="121"/>
      <c r="Y351" s="121"/>
      <c r="Z351" s="121"/>
    </row>
    <row r="352" spans="1:26" ht="11.25" customHeight="1" x14ac:dyDescent="0.3">
      <c r="A352" s="121"/>
      <c r="B352" s="121"/>
      <c r="C352" s="121"/>
      <c r="D352" s="121"/>
      <c r="E352" s="121"/>
      <c r="F352" s="121"/>
      <c r="G352" s="121"/>
      <c r="H352" s="121"/>
      <c r="I352" s="121"/>
      <c r="J352" s="121"/>
      <c r="K352" s="121"/>
      <c r="L352" s="121"/>
      <c r="M352" s="121"/>
      <c r="N352" s="121"/>
      <c r="O352" s="121"/>
      <c r="P352" s="121"/>
      <c r="Q352" s="121"/>
      <c r="R352" s="121"/>
      <c r="S352" s="121"/>
      <c r="T352" s="121"/>
      <c r="U352" s="121"/>
      <c r="V352" s="121"/>
      <c r="W352" s="121"/>
      <c r="X352" s="121"/>
      <c r="Y352" s="121"/>
      <c r="Z352" s="121"/>
    </row>
    <row r="353" spans="1:26" ht="11.25" customHeight="1" x14ac:dyDescent="0.3">
      <c r="A353" s="121"/>
      <c r="B353" s="121"/>
      <c r="C353" s="121"/>
      <c r="D353" s="121"/>
      <c r="E353" s="121"/>
      <c r="F353" s="121"/>
      <c r="G353" s="121"/>
      <c r="H353" s="121"/>
      <c r="I353" s="121"/>
      <c r="J353" s="121"/>
      <c r="K353" s="121"/>
      <c r="L353" s="121"/>
      <c r="M353" s="121"/>
      <c r="N353" s="121"/>
      <c r="O353" s="121"/>
      <c r="P353" s="121"/>
      <c r="Q353" s="121"/>
      <c r="R353" s="121"/>
      <c r="S353" s="121"/>
      <c r="T353" s="121"/>
      <c r="U353" s="121"/>
      <c r="V353" s="121"/>
      <c r="W353" s="121"/>
      <c r="X353" s="121"/>
      <c r="Y353" s="121"/>
      <c r="Z353" s="121"/>
    </row>
    <row r="354" spans="1:26" ht="11.25" customHeight="1" x14ac:dyDescent="0.3">
      <c r="A354" s="121"/>
      <c r="B354" s="121"/>
      <c r="C354" s="121"/>
      <c r="D354" s="121"/>
      <c r="E354" s="121"/>
      <c r="F354" s="121"/>
      <c r="G354" s="121"/>
      <c r="H354" s="121"/>
      <c r="I354" s="121"/>
      <c r="J354" s="121"/>
      <c r="K354" s="121"/>
      <c r="L354" s="121"/>
      <c r="M354" s="121"/>
      <c r="N354" s="121"/>
      <c r="O354" s="121"/>
      <c r="P354" s="121"/>
      <c r="Q354" s="121"/>
      <c r="R354" s="121"/>
      <c r="S354" s="121"/>
      <c r="T354" s="121"/>
      <c r="U354" s="121"/>
      <c r="V354" s="121"/>
      <c r="W354" s="121"/>
      <c r="X354" s="121"/>
      <c r="Y354" s="121"/>
      <c r="Z354" s="121"/>
    </row>
    <row r="355" spans="1:26" ht="11.25" customHeight="1" x14ac:dyDescent="0.3">
      <c r="A355" s="121"/>
      <c r="B355" s="121"/>
      <c r="C355" s="121"/>
      <c r="D355" s="121"/>
      <c r="E355" s="121"/>
      <c r="F355" s="121"/>
      <c r="G355" s="121"/>
      <c r="H355" s="121"/>
      <c r="I355" s="121"/>
      <c r="J355" s="121"/>
      <c r="K355" s="121"/>
      <c r="L355" s="121"/>
      <c r="M355" s="121"/>
      <c r="N355" s="121"/>
      <c r="O355" s="121"/>
      <c r="P355" s="121"/>
      <c r="Q355" s="121"/>
      <c r="R355" s="121"/>
      <c r="S355" s="121"/>
      <c r="T355" s="121"/>
      <c r="U355" s="121"/>
      <c r="V355" s="121"/>
      <c r="W355" s="121"/>
      <c r="X355" s="121"/>
      <c r="Y355" s="121"/>
      <c r="Z355" s="121"/>
    </row>
    <row r="356" spans="1:26" ht="11.25" customHeight="1" x14ac:dyDescent="0.3">
      <c r="A356" s="121"/>
      <c r="B356" s="121"/>
      <c r="C356" s="121"/>
      <c r="D356" s="121"/>
      <c r="E356" s="121"/>
      <c r="F356" s="121"/>
      <c r="G356" s="121"/>
      <c r="H356" s="121"/>
      <c r="I356" s="121"/>
      <c r="J356" s="121"/>
      <c r="K356" s="121"/>
      <c r="L356" s="121"/>
      <c r="M356" s="121"/>
      <c r="N356" s="121"/>
      <c r="O356" s="121"/>
      <c r="P356" s="121"/>
      <c r="Q356" s="121"/>
      <c r="R356" s="121"/>
      <c r="S356" s="121"/>
      <c r="T356" s="121"/>
      <c r="U356" s="121"/>
      <c r="V356" s="121"/>
      <c r="W356" s="121"/>
      <c r="X356" s="121"/>
      <c r="Y356" s="121"/>
      <c r="Z356" s="121"/>
    </row>
    <row r="357" spans="1:26" ht="11.25" customHeight="1" x14ac:dyDescent="0.3">
      <c r="A357" s="121"/>
      <c r="B357" s="121"/>
      <c r="C357" s="121"/>
      <c r="D357" s="121"/>
      <c r="E357" s="121"/>
      <c r="F357" s="121"/>
      <c r="G357" s="121"/>
      <c r="H357" s="121"/>
      <c r="I357" s="121"/>
      <c r="J357" s="121"/>
      <c r="K357" s="121"/>
      <c r="L357" s="121"/>
      <c r="M357" s="121"/>
      <c r="N357" s="121"/>
      <c r="O357" s="121"/>
      <c r="P357" s="121"/>
      <c r="Q357" s="121"/>
      <c r="R357" s="121"/>
      <c r="S357" s="121"/>
      <c r="T357" s="121"/>
      <c r="U357" s="121"/>
      <c r="V357" s="121"/>
      <c r="W357" s="121"/>
      <c r="X357" s="121"/>
      <c r="Y357" s="121"/>
      <c r="Z357" s="121"/>
    </row>
    <row r="358" spans="1:26" ht="11.25" customHeight="1" x14ac:dyDescent="0.3">
      <c r="A358" s="121"/>
      <c r="B358" s="121"/>
      <c r="C358" s="121"/>
      <c r="D358" s="121"/>
      <c r="E358" s="121"/>
      <c r="F358" s="121"/>
      <c r="G358" s="121"/>
      <c r="H358" s="121"/>
      <c r="I358" s="121"/>
      <c r="J358" s="121"/>
      <c r="K358" s="121"/>
      <c r="L358" s="121"/>
      <c r="M358" s="121"/>
      <c r="N358" s="121"/>
      <c r="O358" s="121"/>
      <c r="P358" s="121"/>
      <c r="Q358" s="121"/>
      <c r="R358" s="121"/>
      <c r="S358" s="121"/>
      <c r="T358" s="121"/>
      <c r="U358" s="121"/>
      <c r="V358" s="121"/>
      <c r="W358" s="121"/>
      <c r="X358" s="121"/>
      <c r="Y358" s="121"/>
      <c r="Z358" s="121"/>
    </row>
    <row r="359" spans="1:26" ht="11.25" customHeight="1" x14ac:dyDescent="0.3">
      <c r="A359" s="121"/>
      <c r="B359" s="121"/>
      <c r="C359" s="121"/>
      <c r="D359" s="121"/>
      <c r="E359" s="121"/>
      <c r="F359" s="121"/>
      <c r="G359" s="121"/>
      <c r="H359" s="121"/>
      <c r="I359" s="121"/>
      <c r="J359" s="121"/>
      <c r="K359" s="121"/>
      <c r="L359" s="121"/>
      <c r="M359" s="121"/>
      <c r="N359" s="121"/>
      <c r="O359" s="121"/>
      <c r="P359" s="121"/>
      <c r="Q359" s="121"/>
      <c r="R359" s="121"/>
      <c r="S359" s="121"/>
      <c r="T359" s="121"/>
      <c r="U359" s="121"/>
      <c r="V359" s="121"/>
      <c r="W359" s="121"/>
      <c r="X359" s="121"/>
      <c r="Y359" s="121"/>
      <c r="Z359" s="121"/>
    </row>
    <row r="360" spans="1:26" ht="11.25" customHeight="1" x14ac:dyDescent="0.3">
      <c r="A360" s="121"/>
      <c r="B360" s="121"/>
      <c r="C360" s="121"/>
      <c r="D360" s="121"/>
      <c r="E360" s="121"/>
      <c r="F360" s="121"/>
      <c r="G360" s="121"/>
      <c r="H360" s="121"/>
      <c r="I360" s="121"/>
      <c r="J360" s="121"/>
      <c r="K360" s="121"/>
      <c r="L360" s="121"/>
      <c r="M360" s="121"/>
      <c r="N360" s="121"/>
      <c r="O360" s="121"/>
      <c r="P360" s="121"/>
      <c r="Q360" s="121"/>
      <c r="R360" s="121"/>
      <c r="S360" s="121"/>
      <c r="T360" s="121"/>
      <c r="U360" s="121"/>
      <c r="V360" s="121"/>
      <c r="W360" s="121"/>
      <c r="X360" s="121"/>
      <c r="Y360" s="121"/>
      <c r="Z360" s="121"/>
    </row>
    <row r="361" spans="1:26" ht="11.25" customHeight="1" x14ac:dyDescent="0.3">
      <c r="A361" s="121"/>
      <c r="B361" s="121"/>
      <c r="C361" s="121"/>
      <c r="D361" s="121"/>
      <c r="E361" s="121"/>
      <c r="F361" s="121"/>
      <c r="G361" s="121"/>
      <c r="H361" s="121"/>
      <c r="I361" s="121"/>
      <c r="J361" s="121"/>
      <c r="K361" s="121"/>
      <c r="L361" s="121"/>
      <c r="M361" s="121"/>
      <c r="N361" s="121"/>
      <c r="O361" s="121"/>
      <c r="P361" s="121"/>
      <c r="Q361" s="121"/>
      <c r="R361" s="121"/>
      <c r="S361" s="121"/>
      <c r="T361" s="121"/>
      <c r="U361" s="121"/>
      <c r="V361" s="121"/>
      <c r="W361" s="121"/>
      <c r="X361" s="121"/>
      <c r="Y361" s="121"/>
      <c r="Z361" s="121"/>
    </row>
    <row r="362" spans="1:26" ht="11.25" customHeight="1" x14ac:dyDescent="0.3">
      <c r="A362" s="121"/>
      <c r="B362" s="121"/>
      <c r="C362" s="121"/>
      <c r="D362" s="121"/>
      <c r="E362" s="121"/>
      <c r="F362" s="121"/>
      <c r="G362" s="121"/>
      <c r="H362" s="121"/>
      <c r="I362" s="121"/>
      <c r="J362" s="121"/>
      <c r="K362" s="121"/>
      <c r="L362" s="121"/>
      <c r="M362" s="121"/>
      <c r="N362" s="121"/>
      <c r="O362" s="121"/>
      <c r="P362" s="121"/>
      <c r="Q362" s="121"/>
      <c r="R362" s="121"/>
      <c r="S362" s="121"/>
      <c r="T362" s="121"/>
      <c r="U362" s="121"/>
      <c r="V362" s="121"/>
      <c r="W362" s="121"/>
      <c r="X362" s="121"/>
      <c r="Y362" s="121"/>
      <c r="Z362" s="121"/>
    </row>
    <row r="363" spans="1:26" ht="11.25" customHeight="1" x14ac:dyDescent="0.3">
      <c r="A363" s="121"/>
      <c r="B363" s="121"/>
      <c r="C363" s="121"/>
      <c r="D363" s="121"/>
      <c r="E363" s="121"/>
      <c r="F363" s="121"/>
      <c r="G363" s="121"/>
      <c r="H363" s="121"/>
      <c r="I363" s="121"/>
      <c r="J363" s="121"/>
      <c r="K363" s="121"/>
      <c r="L363" s="121"/>
      <c r="M363" s="121"/>
      <c r="N363" s="121"/>
      <c r="O363" s="121"/>
      <c r="P363" s="121"/>
      <c r="Q363" s="121"/>
      <c r="R363" s="121"/>
      <c r="S363" s="121"/>
      <c r="T363" s="121"/>
      <c r="U363" s="121"/>
      <c r="V363" s="121"/>
      <c r="W363" s="121"/>
      <c r="X363" s="121"/>
      <c r="Y363" s="121"/>
      <c r="Z363" s="121"/>
    </row>
    <row r="364" spans="1:26" ht="11.25" customHeight="1" x14ac:dyDescent="0.3">
      <c r="A364" s="121"/>
      <c r="B364" s="121"/>
      <c r="C364" s="121"/>
      <c r="D364" s="121"/>
      <c r="E364" s="121"/>
      <c r="F364" s="121"/>
      <c r="G364" s="121"/>
      <c r="H364" s="121"/>
      <c r="I364" s="121"/>
      <c r="J364" s="121"/>
      <c r="K364" s="121"/>
      <c r="L364" s="121"/>
      <c r="M364" s="121"/>
      <c r="N364" s="121"/>
      <c r="O364" s="121"/>
      <c r="P364" s="121"/>
      <c r="Q364" s="121"/>
      <c r="R364" s="121"/>
      <c r="S364" s="121"/>
      <c r="T364" s="121"/>
      <c r="U364" s="121"/>
      <c r="V364" s="121"/>
      <c r="W364" s="121"/>
      <c r="X364" s="121"/>
      <c r="Y364" s="121"/>
      <c r="Z364" s="121"/>
    </row>
    <row r="365" spans="1:26" ht="11.25" customHeight="1" x14ac:dyDescent="0.3">
      <c r="A365" s="121"/>
      <c r="B365" s="121"/>
      <c r="C365" s="121"/>
      <c r="D365" s="121"/>
      <c r="E365" s="121"/>
      <c r="F365" s="121"/>
      <c r="G365" s="121"/>
      <c r="H365" s="121"/>
      <c r="I365" s="121"/>
      <c r="J365" s="121"/>
      <c r="K365" s="121"/>
      <c r="L365" s="121"/>
      <c r="M365" s="121"/>
      <c r="N365" s="121"/>
      <c r="O365" s="121"/>
      <c r="P365" s="121"/>
      <c r="Q365" s="121"/>
      <c r="R365" s="121"/>
      <c r="S365" s="121"/>
      <c r="T365" s="121"/>
      <c r="U365" s="121"/>
      <c r="V365" s="121"/>
      <c r="W365" s="121"/>
      <c r="X365" s="121"/>
      <c r="Y365" s="121"/>
      <c r="Z365" s="121"/>
    </row>
    <row r="366" spans="1:26" ht="11.25" customHeight="1" x14ac:dyDescent="0.3">
      <c r="A366" s="121"/>
      <c r="B366" s="121"/>
      <c r="C366" s="121"/>
      <c r="D366" s="121"/>
      <c r="E366" s="121"/>
      <c r="F366" s="121"/>
      <c r="G366" s="121"/>
      <c r="H366" s="121"/>
      <c r="I366" s="121"/>
      <c r="J366" s="121"/>
      <c r="K366" s="121"/>
      <c r="L366" s="121"/>
      <c r="M366" s="121"/>
      <c r="N366" s="121"/>
      <c r="O366" s="121"/>
      <c r="P366" s="121"/>
      <c r="Q366" s="121"/>
      <c r="R366" s="121"/>
      <c r="S366" s="121"/>
      <c r="T366" s="121"/>
      <c r="U366" s="121"/>
      <c r="V366" s="121"/>
      <c r="W366" s="121"/>
      <c r="X366" s="121"/>
      <c r="Y366" s="121"/>
      <c r="Z366" s="121"/>
    </row>
    <row r="367" spans="1:26" ht="11.25" customHeight="1" x14ac:dyDescent="0.3">
      <c r="A367" s="121"/>
      <c r="B367" s="121"/>
      <c r="C367" s="121"/>
      <c r="D367" s="121"/>
      <c r="E367" s="121"/>
      <c r="F367" s="121"/>
      <c r="G367" s="121"/>
      <c r="H367" s="121"/>
      <c r="I367" s="121"/>
      <c r="J367" s="121"/>
      <c r="K367" s="121"/>
      <c r="L367" s="121"/>
      <c r="M367" s="121"/>
      <c r="N367" s="121"/>
      <c r="O367" s="121"/>
      <c r="P367" s="121"/>
      <c r="Q367" s="121"/>
      <c r="R367" s="121"/>
      <c r="S367" s="121"/>
      <c r="T367" s="121"/>
      <c r="U367" s="121"/>
      <c r="V367" s="121"/>
      <c r="W367" s="121"/>
      <c r="X367" s="121"/>
      <c r="Y367" s="121"/>
      <c r="Z367" s="121"/>
    </row>
    <row r="368" spans="1:26" ht="11.25" customHeight="1" x14ac:dyDescent="0.3">
      <c r="A368" s="121"/>
      <c r="B368" s="121"/>
      <c r="C368" s="121"/>
      <c r="D368" s="121"/>
      <c r="E368" s="121"/>
      <c r="F368" s="121"/>
      <c r="G368" s="121"/>
      <c r="H368" s="121"/>
      <c r="I368" s="121"/>
      <c r="J368" s="121"/>
      <c r="K368" s="121"/>
      <c r="L368" s="121"/>
      <c r="M368" s="121"/>
      <c r="N368" s="121"/>
      <c r="O368" s="121"/>
      <c r="P368" s="121"/>
      <c r="Q368" s="121"/>
      <c r="R368" s="121"/>
      <c r="S368" s="121"/>
      <c r="T368" s="121"/>
      <c r="U368" s="121"/>
      <c r="V368" s="121"/>
      <c r="W368" s="121"/>
      <c r="X368" s="121"/>
      <c r="Y368" s="121"/>
      <c r="Z368" s="121"/>
    </row>
    <row r="369" spans="1:26" ht="11.25" customHeight="1" x14ac:dyDescent="0.3">
      <c r="A369" s="121"/>
      <c r="B369" s="121"/>
      <c r="C369" s="121"/>
      <c r="D369" s="121"/>
      <c r="E369" s="121"/>
      <c r="F369" s="121"/>
      <c r="G369" s="121"/>
      <c r="H369" s="121"/>
      <c r="I369" s="121"/>
      <c r="J369" s="121"/>
      <c r="K369" s="121"/>
      <c r="L369" s="121"/>
      <c r="M369" s="121"/>
      <c r="N369" s="121"/>
      <c r="O369" s="121"/>
      <c r="P369" s="121"/>
      <c r="Q369" s="121"/>
      <c r="R369" s="121"/>
      <c r="S369" s="121"/>
      <c r="T369" s="121"/>
      <c r="U369" s="121"/>
      <c r="V369" s="121"/>
      <c r="W369" s="121"/>
      <c r="X369" s="121"/>
      <c r="Y369" s="121"/>
      <c r="Z369" s="121"/>
    </row>
    <row r="370" spans="1:26" ht="11.25" customHeight="1" x14ac:dyDescent="0.3">
      <c r="A370" s="121"/>
      <c r="B370" s="121"/>
      <c r="C370" s="121"/>
      <c r="D370" s="121"/>
      <c r="E370" s="121"/>
      <c r="F370" s="121"/>
      <c r="G370" s="121"/>
      <c r="H370" s="121"/>
      <c r="I370" s="121"/>
      <c r="J370" s="121"/>
      <c r="K370" s="121"/>
      <c r="L370" s="121"/>
      <c r="M370" s="121"/>
      <c r="N370" s="121"/>
      <c r="O370" s="121"/>
      <c r="P370" s="121"/>
      <c r="Q370" s="121"/>
      <c r="R370" s="121"/>
      <c r="S370" s="121"/>
      <c r="T370" s="121"/>
      <c r="U370" s="121"/>
      <c r="V370" s="121"/>
      <c r="W370" s="121"/>
      <c r="X370" s="121"/>
      <c r="Y370" s="121"/>
      <c r="Z370" s="121"/>
    </row>
    <row r="371" spans="1:26" ht="11.25" customHeight="1" x14ac:dyDescent="0.3">
      <c r="A371" s="121"/>
      <c r="B371" s="121"/>
      <c r="C371" s="121"/>
      <c r="D371" s="121"/>
      <c r="E371" s="121"/>
      <c r="F371" s="121"/>
      <c r="G371" s="121"/>
      <c r="H371" s="121"/>
      <c r="I371" s="121"/>
      <c r="J371" s="121"/>
      <c r="K371" s="121"/>
      <c r="L371" s="121"/>
      <c r="M371" s="121"/>
      <c r="N371" s="121"/>
      <c r="O371" s="121"/>
      <c r="P371" s="121"/>
      <c r="Q371" s="121"/>
      <c r="R371" s="121"/>
      <c r="S371" s="121"/>
      <c r="T371" s="121"/>
      <c r="U371" s="121"/>
      <c r="V371" s="121"/>
      <c r="W371" s="121"/>
      <c r="X371" s="121"/>
      <c r="Y371" s="121"/>
      <c r="Z371" s="121"/>
    </row>
    <row r="372" spans="1:26" ht="11.25" customHeight="1" x14ac:dyDescent="0.3">
      <c r="A372" s="121"/>
      <c r="B372" s="121"/>
      <c r="C372" s="121"/>
      <c r="D372" s="121"/>
      <c r="E372" s="121"/>
      <c r="F372" s="121"/>
      <c r="G372" s="121"/>
      <c r="H372" s="121"/>
      <c r="I372" s="121"/>
      <c r="J372" s="121"/>
      <c r="K372" s="121"/>
      <c r="L372" s="121"/>
      <c r="M372" s="121"/>
      <c r="N372" s="121"/>
      <c r="O372" s="121"/>
      <c r="P372" s="121"/>
      <c r="Q372" s="121"/>
      <c r="R372" s="121"/>
      <c r="S372" s="121"/>
      <c r="T372" s="121"/>
      <c r="U372" s="121"/>
      <c r="V372" s="121"/>
      <c r="W372" s="121"/>
      <c r="X372" s="121"/>
      <c r="Y372" s="121"/>
      <c r="Z372" s="121"/>
    </row>
    <row r="373" spans="1:26" ht="11.25" customHeight="1" x14ac:dyDescent="0.3">
      <c r="A373" s="121"/>
      <c r="B373" s="121"/>
      <c r="C373" s="121"/>
      <c r="D373" s="121"/>
      <c r="E373" s="121"/>
      <c r="F373" s="121"/>
      <c r="G373" s="121"/>
      <c r="H373" s="121"/>
      <c r="I373" s="121"/>
      <c r="J373" s="121"/>
      <c r="K373" s="121"/>
      <c r="L373" s="121"/>
      <c r="M373" s="121"/>
      <c r="N373" s="121"/>
      <c r="O373" s="121"/>
      <c r="P373" s="121"/>
      <c r="Q373" s="121"/>
      <c r="R373" s="121"/>
      <c r="S373" s="121"/>
      <c r="T373" s="121"/>
      <c r="U373" s="121"/>
      <c r="V373" s="121"/>
      <c r="W373" s="121"/>
      <c r="X373" s="121"/>
      <c r="Y373" s="121"/>
      <c r="Z373" s="121"/>
    </row>
    <row r="374" spans="1:26" ht="11.25" customHeight="1" x14ac:dyDescent="0.3">
      <c r="A374" s="121"/>
      <c r="B374" s="121"/>
      <c r="C374" s="121"/>
      <c r="D374" s="121"/>
      <c r="E374" s="121"/>
      <c r="F374" s="121"/>
      <c r="G374" s="121"/>
      <c r="H374" s="121"/>
      <c r="I374" s="121"/>
      <c r="J374" s="121"/>
      <c r="K374" s="121"/>
      <c r="L374" s="121"/>
      <c r="M374" s="121"/>
      <c r="N374" s="121"/>
      <c r="O374" s="121"/>
      <c r="P374" s="121"/>
      <c r="Q374" s="121"/>
      <c r="R374" s="121"/>
      <c r="S374" s="121"/>
      <c r="T374" s="121"/>
      <c r="U374" s="121"/>
      <c r="V374" s="121"/>
      <c r="W374" s="121"/>
      <c r="X374" s="121"/>
      <c r="Y374" s="121"/>
      <c r="Z374" s="121"/>
    </row>
    <row r="375" spans="1:26" ht="11.25" customHeight="1" x14ac:dyDescent="0.3">
      <c r="A375" s="121"/>
      <c r="B375" s="121"/>
      <c r="C375" s="121"/>
      <c r="D375" s="121"/>
      <c r="E375" s="121"/>
      <c r="F375" s="121"/>
      <c r="G375" s="121"/>
      <c r="H375" s="121"/>
      <c r="I375" s="121"/>
      <c r="J375" s="121"/>
      <c r="K375" s="121"/>
      <c r="L375" s="121"/>
      <c r="M375" s="121"/>
      <c r="N375" s="121"/>
      <c r="O375" s="121"/>
      <c r="P375" s="121"/>
      <c r="Q375" s="121"/>
      <c r="R375" s="121"/>
      <c r="S375" s="121"/>
      <c r="T375" s="121"/>
      <c r="U375" s="121"/>
      <c r="V375" s="121"/>
      <c r="W375" s="121"/>
      <c r="X375" s="121"/>
      <c r="Y375" s="121"/>
      <c r="Z375" s="121"/>
    </row>
    <row r="376" spans="1:26" ht="11.25" customHeight="1" x14ac:dyDescent="0.3">
      <c r="A376" s="121"/>
      <c r="B376" s="121"/>
      <c r="C376" s="121"/>
      <c r="D376" s="121"/>
      <c r="E376" s="121"/>
      <c r="F376" s="121"/>
      <c r="G376" s="121"/>
      <c r="H376" s="121"/>
      <c r="I376" s="121"/>
      <c r="J376" s="121"/>
      <c r="K376" s="121"/>
      <c r="L376" s="121"/>
      <c r="M376" s="121"/>
      <c r="N376" s="121"/>
      <c r="O376" s="121"/>
      <c r="P376" s="121"/>
      <c r="Q376" s="121"/>
      <c r="R376" s="121"/>
      <c r="S376" s="121"/>
      <c r="T376" s="121"/>
      <c r="U376" s="121"/>
      <c r="V376" s="121"/>
      <c r="W376" s="121"/>
      <c r="X376" s="121"/>
      <c r="Y376" s="121"/>
      <c r="Z376" s="121"/>
    </row>
    <row r="377" spans="1:26" ht="11.25" customHeight="1" x14ac:dyDescent="0.3">
      <c r="A377" s="121"/>
      <c r="B377" s="121"/>
      <c r="C377" s="121"/>
      <c r="D377" s="121"/>
      <c r="E377" s="121"/>
      <c r="F377" s="121"/>
      <c r="G377" s="121"/>
      <c r="H377" s="121"/>
      <c r="I377" s="121"/>
      <c r="J377" s="121"/>
      <c r="K377" s="121"/>
      <c r="L377" s="121"/>
      <c r="M377" s="121"/>
      <c r="N377" s="121"/>
      <c r="O377" s="121"/>
      <c r="P377" s="121"/>
      <c r="Q377" s="121"/>
      <c r="R377" s="121"/>
      <c r="S377" s="121"/>
      <c r="T377" s="121"/>
      <c r="U377" s="121"/>
      <c r="V377" s="121"/>
      <c r="W377" s="121"/>
      <c r="X377" s="121"/>
      <c r="Y377" s="121"/>
      <c r="Z377" s="121"/>
    </row>
    <row r="378" spans="1:26" ht="11.25" customHeight="1" x14ac:dyDescent="0.3">
      <c r="A378" s="121"/>
      <c r="B378" s="121"/>
      <c r="C378" s="121"/>
      <c r="D378" s="121"/>
      <c r="E378" s="121"/>
      <c r="F378" s="121"/>
      <c r="G378" s="121"/>
      <c r="H378" s="121"/>
      <c r="I378" s="121"/>
      <c r="J378" s="121"/>
      <c r="K378" s="121"/>
      <c r="L378" s="121"/>
      <c r="M378" s="121"/>
      <c r="N378" s="121"/>
      <c r="O378" s="121"/>
      <c r="P378" s="121"/>
      <c r="Q378" s="121"/>
      <c r="R378" s="121"/>
      <c r="S378" s="121"/>
      <c r="T378" s="121"/>
      <c r="U378" s="121"/>
      <c r="V378" s="121"/>
      <c r="W378" s="121"/>
      <c r="X378" s="121"/>
      <c r="Y378" s="121"/>
      <c r="Z378" s="121"/>
    </row>
    <row r="379" spans="1:26" ht="11.25" customHeight="1" x14ac:dyDescent="0.3">
      <c r="A379" s="121"/>
      <c r="B379" s="121"/>
      <c r="C379" s="121"/>
      <c r="D379" s="121"/>
      <c r="E379" s="121"/>
      <c r="F379" s="121"/>
      <c r="G379" s="121"/>
      <c r="H379" s="121"/>
      <c r="I379" s="121"/>
      <c r="J379" s="121"/>
      <c r="K379" s="121"/>
      <c r="L379" s="121"/>
      <c r="M379" s="121"/>
      <c r="N379" s="121"/>
      <c r="O379" s="121"/>
      <c r="P379" s="121"/>
      <c r="Q379" s="121"/>
      <c r="R379" s="121"/>
      <c r="S379" s="121"/>
      <c r="T379" s="121"/>
      <c r="U379" s="121"/>
      <c r="V379" s="121"/>
      <c r="W379" s="121"/>
      <c r="X379" s="121"/>
      <c r="Y379" s="121"/>
      <c r="Z379" s="121"/>
    </row>
    <row r="380" spans="1:26" ht="11.25" customHeight="1" x14ac:dyDescent="0.3">
      <c r="A380" s="121"/>
      <c r="B380" s="121"/>
      <c r="C380" s="121"/>
      <c r="D380" s="121"/>
      <c r="E380" s="121"/>
      <c r="F380" s="121"/>
      <c r="G380" s="121"/>
      <c r="H380" s="121"/>
      <c r="I380" s="121"/>
      <c r="J380" s="121"/>
      <c r="K380" s="121"/>
      <c r="L380" s="121"/>
      <c r="M380" s="121"/>
      <c r="N380" s="121"/>
      <c r="O380" s="121"/>
      <c r="P380" s="121"/>
      <c r="Q380" s="121"/>
      <c r="R380" s="121"/>
      <c r="S380" s="121"/>
      <c r="T380" s="121"/>
      <c r="U380" s="121"/>
      <c r="V380" s="121"/>
      <c r="W380" s="121"/>
      <c r="X380" s="121"/>
      <c r="Y380" s="121"/>
      <c r="Z380" s="121"/>
    </row>
    <row r="381" spans="1:26" ht="11.25" customHeight="1" x14ac:dyDescent="0.3">
      <c r="A381" s="121"/>
      <c r="B381" s="121"/>
      <c r="C381" s="121"/>
      <c r="D381" s="121"/>
      <c r="E381" s="121"/>
      <c r="F381" s="121"/>
      <c r="G381" s="121"/>
      <c r="H381" s="121"/>
      <c r="I381" s="121"/>
      <c r="J381" s="121"/>
      <c r="K381" s="121"/>
      <c r="L381" s="121"/>
      <c r="M381" s="121"/>
      <c r="N381" s="121"/>
      <c r="O381" s="121"/>
      <c r="P381" s="121"/>
      <c r="Q381" s="121"/>
      <c r="R381" s="121"/>
      <c r="S381" s="121"/>
      <c r="T381" s="121"/>
      <c r="U381" s="121"/>
      <c r="V381" s="121"/>
      <c r="W381" s="121"/>
      <c r="X381" s="121"/>
      <c r="Y381" s="121"/>
      <c r="Z381" s="121"/>
    </row>
    <row r="382" spans="1:26" ht="11.25" customHeight="1" x14ac:dyDescent="0.3">
      <c r="A382" s="121"/>
      <c r="B382" s="121"/>
      <c r="C382" s="121"/>
      <c r="D382" s="121"/>
      <c r="E382" s="121"/>
      <c r="F382" s="121"/>
      <c r="G382" s="121"/>
      <c r="H382" s="121"/>
      <c r="I382" s="121"/>
      <c r="J382" s="121"/>
      <c r="K382" s="121"/>
      <c r="L382" s="121"/>
      <c r="M382" s="121"/>
      <c r="N382" s="121"/>
      <c r="O382" s="121"/>
      <c r="P382" s="121"/>
      <c r="Q382" s="121"/>
      <c r="R382" s="121"/>
      <c r="S382" s="121"/>
      <c r="T382" s="121"/>
      <c r="U382" s="121"/>
      <c r="V382" s="121"/>
      <c r="W382" s="121"/>
      <c r="X382" s="121"/>
      <c r="Y382" s="121"/>
      <c r="Z382" s="121"/>
    </row>
    <row r="383" spans="1:26" ht="11.25" customHeight="1" x14ac:dyDescent="0.3">
      <c r="A383" s="121"/>
      <c r="B383" s="121"/>
      <c r="C383" s="121"/>
      <c r="D383" s="121"/>
      <c r="E383" s="121"/>
      <c r="F383" s="121"/>
      <c r="G383" s="121"/>
      <c r="H383" s="121"/>
      <c r="I383" s="121"/>
      <c r="J383" s="121"/>
      <c r="K383" s="121"/>
      <c r="L383" s="121"/>
      <c r="M383" s="121"/>
      <c r="N383" s="121"/>
      <c r="O383" s="121"/>
      <c r="P383" s="121"/>
      <c r="Q383" s="121"/>
      <c r="R383" s="121"/>
      <c r="S383" s="121"/>
      <c r="T383" s="121"/>
      <c r="U383" s="121"/>
      <c r="V383" s="121"/>
      <c r="W383" s="121"/>
      <c r="X383" s="121"/>
      <c r="Y383" s="121"/>
      <c r="Z383" s="121"/>
    </row>
    <row r="384" spans="1:26" ht="11.25" customHeight="1" x14ac:dyDescent="0.3">
      <c r="A384" s="121"/>
      <c r="B384" s="121"/>
      <c r="C384" s="121"/>
      <c r="D384" s="121"/>
      <c r="E384" s="121"/>
      <c r="F384" s="121"/>
      <c r="G384" s="121"/>
      <c r="H384" s="121"/>
      <c r="I384" s="121"/>
      <c r="J384" s="121"/>
      <c r="K384" s="121"/>
      <c r="L384" s="121"/>
      <c r="M384" s="121"/>
      <c r="N384" s="121"/>
      <c r="O384" s="121"/>
      <c r="P384" s="121"/>
      <c r="Q384" s="121"/>
      <c r="R384" s="121"/>
      <c r="S384" s="121"/>
      <c r="T384" s="121"/>
      <c r="U384" s="121"/>
      <c r="V384" s="121"/>
      <c r="W384" s="121"/>
      <c r="X384" s="121"/>
      <c r="Y384" s="121"/>
      <c r="Z384" s="121"/>
    </row>
    <row r="385" spans="1:26" ht="11.25" customHeight="1" x14ac:dyDescent="0.3">
      <c r="A385" s="121"/>
      <c r="B385" s="121"/>
      <c r="C385" s="121"/>
      <c r="D385" s="121"/>
      <c r="E385" s="121"/>
      <c r="F385" s="121"/>
      <c r="G385" s="121"/>
      <c r="H385" s="121"/>
      <c r="I385" s="121"/>
      <c r="J385" s="121"/>
      <c r="K385" s="121"/>
      <c r="L385" s="121"/>
      <c r="M385" s="121"/>
      <c r="N385" s="121"/>
      <c r="O385" s="121"/>
      <c r="P385" s="121"/>
      <c r="Q385" s="121"/>
      <c r="R385" s="121"/>
      <c r="S385" s="121"/>
      <c r="T385" s="121"/>
      <c r="U385" s="121"/>
      <c r="V385" s="121"/>
      <c r="W385" s="121"/>
      <c r="X385" s="121"/>
      <c r="Y385" s="121"/>
      <c r="Z385" s="121"/>
    </row>
    <row r="386" spans="1:26" ht="11.25" customHeight="1" x14ac:dyDescent="0.3">
      <c r="A386" s="121"/>
      <c r="B386" s="121"/>
      <c r="C386" s="121"/>
      <c r="D386" s="121"/>
      <c r="E386" s="121"/>
      <c r="F386" s="121"/>
      <c r="G386" s="121"/>
      <c r="H386" s="121"/>
      <c r="I386" s="121"/>
      <c r="J386" s="121"/>
      <c r="K386" s="121"/>
      <c r="L386" s="121"/>
      <c r="M386" s="121"/>
      <c r="N386" s="121"/>
      <c r="O386" s="121"/>
      <c r="P386" s="121"/>
      <c r="Q386" s="121"/>
      <c r="R386" s="121"/>
      <c r="S386" s="121"/>
      <c r="T386" s="121"/>
      <c r="U386" s="121"/>
      <c r="V386" s="121"/>
      <c r="W386" s="121"/>
      <c r="X386" s="121"/>
      <c r="Y386" s="121"/>
      <c r="Z386" s="121"/>
    </row>
    <row r="387" spans="1:26" ht="11.25" customHeight="1" x14ac:dyDescent="0.3">
      <c r="A387" s="121"/>
      <c r="B387" s="121"/>
      <c r="C387" s="121"/>
      <c r="D387" s="121"/>
      <c r="E387" s="121"/>
      <c r="F387" s="121"/>
      <c r="G387" s="121"/>
      <c r="H387" s="121"/>
      <c r="I387" s="121"/>
      <c r="J387" s="121"/>
      <c r="K387" s="121"/>
      <c r="L387" s="121"/>
      <c r="M387" s="121"/>
      <c r="N387" s="121"/>
      <c r="O387" s="121"/>
      <c r="P387" s="121"/>
      <c r="Q387" s="121"/>
      <c r="R387" s="121"/>
      <c r="S387" s="121"/>
      <c r="T387" s="121"/>
      <c r="U387" s="121"/>
      <c r="V387" s="121"/>
      <c r="W387" s="121"/>
      <c r="X387" s="121"/>
      <c r="Y387" s="121"/>
      <c r="Z387" s="121"/>
    </row>
    <row r="388" spans="1:26" ht="11.25" customHeight="1" x14ac:dyDescent="0.3">
      <c r="A388" s="121"/>
      <c r="B388" s="121"/>
      <c r="C388" s="121"/>
      <c r="D388" s="121"/>
      <c r="E388" s="121"/>
      <c r="F388" s="121"/>
      <c r="G388" s="121"/>
      <c r="H388" s="121"/>
      <c r="I388" s="121"/>
      <c r="J388" s="121"/>
      <c r="K388" s="121"/>
      <c r="L388" s="121"/>
      <c r="M388" s="121"/>
      <c r="N388" s="121"/>
      <c r="O388" s="121"/>
      <c r="P388" s="121"/>
      <c r="Q388" s="121"/>
      <c r="R388" s="121"/>
      <c r="S388" s="121"/>
      <c r="T388" s="121"/>
      <c r="U388" s="121"/>
      <c r="V388" s="121"/>
      <c r="W388" s="121"/>
      <c r="X388" s="121"/>
      <c r="Y388" s="121"/>
      <c r="Z388" s="121"/>
    </row>
    <row r="389" spans="1:26" ht="11.25" customHeight="1" x14ac:dyDescent="0.3">
      <c r="A389" s="121"/>
      <c r="B389" s="121"/>
      <c r="C389" s="121"/>
      <c r="D389" s="121"/>
      <c r="E389" s="121"/>
      <c r="F389" s="121"/>
      <c r="G389" s="121"/>
      <c r="H389" s="121"/>
      <c r="I389" s="121"/>
      <c r="J389" s="121"/>
      <c r="K389" s="121"/>
      <c r="L389" s="121"/>
      <c r="M389" s="121"/>
      <c r="N389" s="121"/>
      <c r="O389" s="121"/>
      <c r="P389" s="121"/>
      <c r="Q389" s="121"/>
      <c r="R389" s="121"/>
      <c r="S389" s="121"/>
      <c r="T389" s="121"/>
      <c r="U389" s="121"/>
      <c r="V389" s="121"/>
      <c r="W389" s="121"/>
      <c r="X389" s="121"/>
      <c r="Y389" s="121"/>
      <c r="Z389" s="121"/>
    </row>
    <row r="390" spans="1:26" ht="11.25" customHeight="1" x14ac:dyDescent="0.3">
      <c r="A390" s="121"/>
      <c r="B390" s="121"/>
      <c r="C390" s="121"/>
      <c r="D390" s="121"/>
      <c r="E390" s="121"/>
      <c r="F390" s="121"/>
      <c r="G390" s="121"/>
      <c r="H390" s="121"/>
      <c r="I390" s="121"/>
      <c r="J390" s="121"/>
      <c r="K390" s="121"/>
      <c r="L390" s="121"/>
      <c r="M390" s="121"/>
      <c r="N390" s="121"/>
      <c r="O390" s="121"/>
      <c r="P390" s="121"/>
      <c r="Q390" s="121"/>
      <c r="R390" s="121"/>
      <c r="S390" s="121"/>
      <c r="T390" s="121"/>
      <c r="U390" s="121"/>
      <c r="V390" s="121"/>
      <c r="W390" s="121"/>
      <c r="X390" s="121"/>
      <c r="Y390" s="121"/>
      <c r="Z390" s="121"/>
    </row>
    <row r="391" spans="1:26" ht="11.25" customHeight="1" x14ac:dyDescent="0.3">
      <c r="A391" s="121"/>
      <c r="B391" s="121"/>
      <c r="C391" s="121"/>
      <c r="D391" s="121"/>
      <c r="E391" s="121"/>
      <c r="F391" s="121"/>
      <c r="G391" s="121"/>
      <c r="H391" s="121"/>
      <c r="I391" s="121"/>
      <c r="J391" s="121"/>
      <c r="K391" s="121"/>
      <c r="L391" s="121"/>
      <c r="M391" s="121"/>
      <c r="N391" s="121"/>
      <c r="O391" s="121"/>
      <c r="P391" s="121"/>
      <c r="Q391" s="121"/>
      <c r="R391" s="121"/>
      <c r="S391" s="121"/>
      <c r="T391" s="121"/>
      <c r="U391" s="121"/>
      <c r="V391" s="121"/>
      <c r="W391" s="121"/>
      <c r="X391" s="121"/>
      <c r="Y391" s="121"/>
      <c r="Z391" s="121"/>
    </row>
    <row r="392" spans="1:26" ht="11.25" customHeight="1" x14ac:dyDescent="0.3">
      <c r="A392" s="121"/>
      <c r="B392" s="121"/>
      <c r="C392" s="121"/>
      <c r="D392" s="121"/>
      <c r="E392" s="121"/>
      <c r="F392" s="121"/>
      <c r="G392" s="121"/>
      <c r="H392" s="121"/>
      <c r="I392" s="121"/>
      <c r="J392" s="121"/>
      <c r="K392" s="121"/>
      <c r="L392" s="121"/>
      <c r="M392" s="121"/>
      <c r="N392" s="121"/>
      <c r="O392" s="121"/>
      <c r="P392" s="121"/>
      <c r="Q392" s="121"/>
      <c r="R392" s="121"/>
      <c r="S392" s="121"/>
      <c r="T392" s="121"/>
      <c r="U392" s="121"/>
      <c r="V392" s="121"/>
      <c r="W392" s="121"/>
      <c r="X392" s="121"/>
      <c r="Y392" s="121"/>
      <c r="Z392" s="121"/>
    </row>
    <row r="393" spans="1:26" ht="11.25" customHeight="1" x14ac:dyDescent="0.3">
      <c r="A393" s="121"/>
      <c r="B393" s="121"/>
      <c r="C393" s="121"/>
      <c r="D393" s="121"/>
      <c r="E393" s="121"/>
      <c r="F393" s="121"/>
      <c r="G393" s="121"/>
      <c r="H393" s="121"/>
      <c r="I393" s="121"/>
      <c r="J393" s="121"/>
      <c r="K393" s="121"/>
      <c r="L393" s="121"/>
      <c r="M393" s="121"/>
      <c r="N393" s="121"/>
      <c r="O393" s="121"/>
      <c r="P393" s="121"/>
      <c r="Q393" s="121"/>
      <c r="R393" s="121"/>
      <c r="S393" s="121"/>
      <c r="T393" s="121"/>
      <c r="U393" s="121"/>
      <c r="V393" s="121"/>
      <c r="W393" s="121"/>
      <c r="X393" s="121"/>
      <c r="Y393" s="121"/>
      <c r="Z393" s="121"/>
    </row>
    <row r="394" spans="1:26" ht="11.25" customHeight="1" x14ac:dyDescent="0.3">
      <c r="A394" s="121"/>
      <c r="B394" s="121"/>
      <c r="C394" s="121"/>
      <c r="D394" s="121"/>
      <c r="E394" s="121"/>
      <c r="F394" s="121"/>
      <c r="G394" s="121"/>
      <c r="H394" s="121"/>
      <c r="I394" s="121"/>
      <c r="J394" s="121"/>
      <c r="K394" s="121"/>
      <c r="L394" s="121"/>
      <c r="M394" s="121"/>
      <c r="N394" s="121"/>
      <c r="O394" s="121"/>
      <c r="P394" s="121"/>
      <c r="Q394" s="121"/>
      <c r="R394" s="121"/>
      <c r="S394" s="121"/>
      <c r="T394" s="121"/>
      <c r="U394" s="121"/>
      <c r="V394" s="121"/>
      <c r="W394" s="121"/>
      <c r="X394" s="121"/>
      <c r="Y394" s="121"/>
      <c r="Z394" s="121"/>
    </row>
    <row r="395" spans="1:26" ht="11.25" customHeight="1" x14ac:dyDescent="0.3">
      <c r="A395" s="121"/>
      <c r="B395" s="121"/>
      <c r="C395" s="121"/>
      <c r="D395" s="121"/>
      <c r="E395" s="121"/>
      <c r="F395" s="121"/>
      <c r="G395" s="121"/>
      <c r="H395" s="121"/>
      <c r="I395" s="121"/>
      <c r="J395" s="121"/>
      <c r="K395" s="121"/>
      <c r="L395" s="121"/>
      <c r="M395" s="121"/>
      <c r="N395" s="121"/>
      <c r="O395" s="121"/>
      <c r="P395" s="121"/>
      <c r="Q395" s="121"/>
      <c r="R395" s="121"/>
      <c r="S395" s="121"/>
      <c r="T395" s="121"/>
      <c r="U395" s="121"/>
      <c r="V395" s="121"/>
      <c r="W395" s="121"/>
      <c r="X395" s="121"/>
      <c r="Y395" s="121"/>
      <c r="Z395" s="121"/>
    </row>
    <row r="396" spans="1:26" ht="11.25" customHeight="1" x14ac:dyDescent="0.3">
      <c r="A396" s="121"/>
      <c r="B396" s="121"/>
      <c r="C396" s="121"/>
      <c r="D396" s="121"/>
      <c r="E396" s="121"/>
      <c r="F396" s="121"/>
      <c r="G396" s="121"/>
      <c r="H396" s="121"/>
      <c r="I396" s="121"/>
      <c r="J396" s="121"/>
      <c r="K396" s="121"/>
      <c r="L396" s="121"/>
      <c r="M396" s="121"/>
      <c r="N396" s="121"/>
      <c r="O396" s="121"/>
      <c r="P396" s="121"/>
      <c r="Q396" s="121"/>
      <c r="R396" s="121"/>
      <c r="S396" s="121"/>
      <c r="T396" s="121"/>
      <c r="U396" s="121"/>
      <c r="V396" s="121"/>
      <c r="W396" s="121"/>
      <c r="X396" s="121"/>
      <c r="Y396" s="121"/>
      <c r="Z396" s="121"/>
    </row>
    <row r="397" spans="1:26" ht="11.25" customHeight="1" x14ac:dyDescent="0.3">
      <c r="A397" s="121"/>
      <c r="B397" s="121"/>
      <c r="C397" s="121"/>
      <c r="D397" s="121"/>
      <c r="E397" s="121"/>
      <c r="F397" s="121"/>
      <c r="G397" s="121"/>
      <c r="H397" s="121"/>
      <c r="I397" s="121"/>
      <c r="J397" s="121"/>
      <c r="K397" s="121"/>
      <c r="L397" s="121"/>
      <c r="M397" s="121"/>
      <c r="N397" s="121"/>
      <c r="O397" s="121"/>
      <c r="P397" s="121"/>
      <c r="Q397" s="121"/>
      <c r="R397" s="121"/>
      <c r="S397" s="121"/>
      <c r="T397" s="121"/>
      <c r="U397" s="121"/>
      <c r="V397" s="121"/>
      <c r="W397" s="121"/>
      <c r="X397" s="121"/>
      <c r="Y397" s="121"/>
      <c r="Z397" s="121"/>
    </row>
    <row r="398" spans="1:26" ht="11.25" customHeight="1" x14ac:dyDescent="0.3">
      <c r="A398" s="121"/>
      <c r="B398" s="121"/>
      <c r="C398" s="121"/>
      <c r="D398" s="121"/>
      <c r="E398" s="121"/>
      <c r="F398" s="121"/>
      <c r="G398" s="121"/>
      <c r="H398" s="121"/>
      <c r="I398" s="121"/>
      <c r="J398" s="121"/>
      <c r="K398" s="121"/>
      <c r="L398" s="121"/>
      <c r="M398" s="121"/>
      <c r="N398" s="121"/>
      <c r="O398" s="121"/>
      <c r="P398" s="121"/>
      <c r="Q398" s="121"/>
      <c r="R398" s="121"/>
      <c r="S398" s="121"/>
      <c r="T398" s="121"/>
      <c r="U398" s="121"/>
      <c r="V398" s="121"/>
      <c r="W398" s="121"/>
      <c r="X398" s="121"/>
      <c r="Y398" s="121"/>
      <c r="Z398" s="121"/>
    </row>
    <row r="399" spans="1:26" ht="11.25" customHeight="1" x14ac:dyDescent="0.3">
      <c r="A399" s="121"/>
      <c r="B399" s="121"/>
      <c r="C399" s="121"/>
      <c r="D399" s="121"/>
      <c r="E399" s="121"/>
      <c r="F399" s="121"/>
      <c r="G399" s="121"/>
      <c r="H399" s="121"/>
      <c r="I399" s="121"/>
      <c r="J399" s="121"/>
      <c r="K399" s="121"/>
      <c r="L399" s="121"/>
      <c r="M399" s="121"/>
      <c r="N399" s="121"/>
      <c r="O399" s="121"/>
      <c r="P399" s="121"/>
      <c r="Q399" s="121"/>
      <c r="R399" s="121"/>
      <c r="S399" s="121"/>
      <c r="T399" s="121"/>
      <c r="U399" s="121"/>
      <c r="V399" s="121"/>
      <c r="W399" s="121"/>
      <c r="X399" s="121"/>
      <c r="Y399" s="121"/>
      <c r="Z399" s="121"/>
    </row>
    <row r="400" spans="1:26" ht="11.25" customHeight="1" x14ac:dyDescent="0.3">
      <c r="A400" s="121"/>
      <c r="B400" s="121"/>
      <c r="C400" s="121"/>
      <c r="D400" s="121"/>
      <c r="E400" s="121"/>
      <c r="F400" s="121"/>
      <c r="G400" s="121"/>
      <c r="H400" s="121"/>
      <c r="I400" s="121"/>
      <c r="J400" s="121"/>
      <c r="K400" s="121"/>
      <c r="L400" s="121"/>
      <c r="M400" s="121"/>
      <c r="N400" s="121"/>
      <c r="O400" s="121"/>
      <c r="P400" s="121"/>
      <c r="Q400" s="121"/>
      <c r="R400" s="121"/>
      <c r="S400" s="121"/>
      <c r="T400" s="121"/>
      <c r="U400" s="121"/>
      <c r="V400" s="121"/>
      <c r="W400" s="121"/>
      <c r="X400" s="121"/>
      <c r="Y400" s="121"/>
      <c r="Z400" s="121"/>
    </row>
    <row r="401" spans="1:26" ht="11.25" customHeight="1" x14ac:dyDescent="0.3">
      <c r="A401" s="121"/>
      <c r="B401" s="121"/>
      <c r="C401" s="121"/>
      <c r="D401" s="121"/>
      <c r="E401" s="121"/>
      <c r="F401" s="121"/>
      <c r="G401" s="121"/>
      <c r="H401" s="121"/>
      <c r="I401" s="121"/>
      <c r="J401" s="121"/>
      <c r="K401" s="121"/>
      <c r="L401" s="121"/>
      <c r="M401" s="121"/>
      <c r="N401" s="121"/>
      <c r="O401" s="121"/>
      <c r="P401" s="121"/>
      <c r="Q401" s="121"/>
      <c r="R401" s="121"/>
      <c r="S401" s="121"/>
      <c r="T401" s="121"/>
      <c r="U401" s="121"/>
      <c r="V401" s="121"/>
      <c r="W401" s="121"/>
      <c r="X401" s="121"/>
      <c r="Y401" s="121"/>
      <c r="Z401" s="121"/>
    </row>
    <row r="402" spans="1:26" ht="11.25" customHeight="1" x14ac:dyDescent="0.3">
      <c r="A402" s="121"/>
      <c r="B402" s="121"/>
      <c r="C402" s="121"/>
      <c r="D402" s="121"/>
      <c r="E402" s="121"/>
      <c r="F402" s="121"/>
      <c r="G402" s="121"/>
      <c r="H402" s="121"/>
      <c r="I402" s="121"/>
      <c r="J402" s="121"/>
      <c r="K402" s="121"/>
      <c r="L402" s="121"/>
      <c r="M402" s="121"/>
      <c r="N402" s="121"/>
      <c r="O402" s="121"/>
      <c r="P402" s="121"/>
      <c r="Q402" s="121"/>
      <c r="R402" s="121"/>
      <c r="S402" s="121"/>
      <c r="T402" s="121"/>
      <c r="U402" s="121"/>
      <c r="V402" s="121"/>
      <c r="W402" s="121"/>
      <c r="X402" s="121"/>
      <c r="Y402" s="121"/>
      <c r="Z402" s="121"/>
    </row>
    <row r="403" spans="1:26" ht="11.25" customHeight="1" x14ac:dyDescent="0.3">
      <c r="A403" s="121"/>
      <c r="B403" s="121"/>
      <c r="C403" s="121"/>
      <c r="D403" s="121"/>
      <c r="E403" s="121"/>
      <c r="F403" s="121"/>
      <c r="G403" s="121"/>
      <c r="H403" s="121"/>
      <c r="I403" s="121"/>
      <c r="J403" s="121"/>
      <c r="K403" s="121"/>
      <c r="L403" s="121"/>
      <c r="M403" s="121"/>
      <c r="N403" s="121"/>
      <c r="O403" s="121"/>
      <c r="P403" s="121"/>
      <c r="Q403" s="121"/>
      <c r="R403" s="121"/>
      <c r="S403" s="121"/>
      <c r="T403" s="121"/>
      <c r="U403" s="121"/>
      <c r="V403" s="121"/>
      <c r="W403" s="121"/>
      <c r="X403" s="121"/>
      <c r="Y403" s="121"/>
      <c r="Z403" s="121"/>
    </row>
    <row r="404" spans="1:26" ht="11.25" customHeight="1" x14ac:dyDescent="0.3">
      <c r="A404" s="121"/>
      <c r="B404" s="121"/>
      <c r="C404" s="121"/>
      <c r="D404" s="121"/>
      <c r="E404" s="121"/>
      <c r="F404" s="121"/>
      <c r="G404" s="121"/>
      <c r="H404" s="121"/>
      <c r="I404" s="121"/>
      <c r="J404" s="121"/>
      <c r="K404" s="121"/>
      <c r="L404" s="121"/>
      <c r="M404" s="121"/>
      <c r="N404" s="121"/>
      <c r="O404" s="121"/>
      <c r="P404" s="121"/>
      <c r="Q404" s="121"/>
      <c r="R404" s="121"/>
      <c r="S404" s="121"/>
      <c r="T404" s="121"/>
      <c r="U404" s="121"/>
      <c r="V404" s="121"/>
      <c r="W404" s="121"/>
      <c r="X404" s="121"/>
      <c r="Y404" s="121"/>
      <c r="Z404" s="121"/>
    </row>
    <row r="405" spans="1:26" ht="11.25" customHeight="1" x14ac:dyDescent="0.3">
      <c r="A405" s="121"/>
      <c r="B405" s="121"/>
      <c r="C405" s="121"/>
      <c r="D405" s="121"/>
      <c r="E405" s="121"/>
      <c r="F405" s="121"/>
      <c r="G405" s="121"/>
      <c r="H405" s="121"/>
      <c r="I405" s="121"/>
      <c r="J405" s="121"/>
      <c r="K405" s="121"/>
      <c r="L405" s="121"/>
      <c r="M405" s="121"/>
      <c r="N405" s="121"/>
      <c r="O405" s="121"/>
      <c r="P405" s="121"/>
      <c r="Q405" s="121"/>
      <c r="R405" s="121"/>
      <c r="S405" s="121"/>
      <c r="T405" s="121"/>
      <c r="U405" s="121"/>
      <c r="V405" s="121"/>
      <c r="W405" s="121"/>
      <c r="X405" s="121"/>
      <c r="Y405" s="121"/>
      <c r="Z405" s="121"/>
    </row>
    <row r="406" spans="1:26" ht="11.25" customHeight="1" x14ac:dyDescent="0.3">
      <c r="A406" s="121"/>
      <c r="B406" s="121"/>
      <c r="C406" s="121"/>
      <c r="D406" s="121"/>
      <c r="E406" s="121"/>
      <c r="F406" s="121"/>
      <c r="G406" s="121"/>
      <c r="H406" s="121"/>
      <c r="I406" s="121"/>
      <c r="J406" s="121"/>
      <c r="K406" s="121"/>
      <c r="L406" s="121"/>
      <c r="M406" s="121"/>
      <c r="N406" s="121"/>
      <c r="O406" s="121"/>
      <c r="P406" s="121"/>
      <c r="Q406" s="121"/>
      <c r="R406" s="121"/>
      <c r="S406" s="121"/>
      <c r="T406" s="121"/>
      <c r="U406" s="121"/>
      <c r="V406" s="121"/>
      <c r="W406" s="121"/>
      <c r="X406" s="121"/>
      <c r="Y406" s="121"/>
      <c r="Z406" s="121"/>
    </row>
    <row r="407" spans="1:26" ht="11.25" customHeight="1" x14ac:dyDescent="0.3">
      <c r="A407" s="121"/>
      <c r="B407" s="121"/>
      <c r="C407" s="121"/>
      <c r="D407" s="121"/>
      <c r="E407" s="121"/>
      <c r="F407" s="121"/>
      <c r="G407" s="121"/>
      <c r="H407" s="121"/>
      <c r="I407" s="121"/>
      <c r="J407" s="121"/>
      <c r="K407" s="121"/>
      <c r="L407" s="121"/>
      <c r="M407" s="121"/>
      <c r="N407" s="121"/>
      <c r="O407" s="121"/>
      <c r="P407" s="121"/>
      <c r="Q407" s="121"/>
      <c r="R407" s="121"/>
      <c r="S407" s="121"/>
      <c r="T407" s="121"/>
      <c r="U407" s="121"/>
      <c r="V407" s="121"/>
      <c r="W407" s="121"/>
      <c r="X407" s="121"/>
      <c r="Y407" s="121"/>
      <c r="Z407" s="121"/>
    </row>
    <row r="408" spans="1:26" ht="11.25" customHeight="1" x14ac:dyDescent="0.3">
      <c r="A408" s="121"/>
      <c r="B408" s="121"/>
      <c r="C408" s="121"/>
      <c r="D408" s="121"/>
      <c r="E408" s="121"/>
      <c r="F408" s="121"/>
      <c r="G408" s="121"/>
      <c r="H408" s="121"/>
      <c r="I408" s="121"/>
      <c r="J408" s="121"/>
      <c r="K408" s="121"/>
      <c r="L408" s="121"/>
      <c r="M408" s="121"/>
      <c r="N408" s="121"/>
      <c r="O408" s="121"/>
      <c r="P408" s="121"/>
      <c r="Q408" s="121"/>
      <c r="R408" s="121"/>
      <c r="S408" s="121"/>
      <c r="T408" s="121"/>
      <c r="U408" s="121"/>
      <c r="V408" s="121"/>
      <c r="W408" s="121"/>
      <c r="X408" s="121"/>
      <c r="Y408" s="121"/>
      <c r="Z408" s="121"/>
    </row>
    <row r="409" spans="1:26" ht="11.25" customHeight="1" x14ac:dyDescent="0.3">
      <c r="A409" s="121"/>
      <c r="B409" s="121"/>
      <c r="C409" s="121"/>
      <c r="D409" s="121"/>
      <c r="E409" s="121"/>
      <c r="F409" s="121"/>
      <c r="G409" s="121"/>
      <c r="H409" s="121"/>
      <c r="I409" s="121"/>
      <c r="J409" s="121"/>
      <c r="K409" s="121"/>
      <c r="L409" s="121"/>
      <c r="M409" s="121"/>
      <c r="N409" s="121"/>
      <c r="O409" s="121"/>
      <c r="P409" s="121"/>
      <c r="Q409" s="121"/>
      <c r="R409" s="121"/>
      <c r="S409" s="121"/>
      <c r="T409" s="121"/>
      <c r="U409" s="121"/>
      <c r="V409" s="121"/>
      <c r="W409" s="121"/>
      <c r="X409" s="121"/>
      <c r="Y409" s="121"/>
      <c r="Z409" s="121"/>
    </row>
    <row r="410" spans="1:26" ht="11.25" customHeight="1" x14ac:dyDescent="0.3">
      <c r="A410" s="121"/>
      <c r="B410" s="121"/>
      <c r="C410" s="121"/>
      <c r="D410" s="121"/>
      <c r="E410" s="121"/>
      <c r="F410" s="121"/>
      <c r="G410" s="121"/>
      <c r="H410" s="121"/>
      <c r="I410" s="121"/>
      <c r="J410" s="121"/>
      <c r="K410" s="121"/>
      <c r="L410" s="121"/>
      <c r="M410" s="121"/>
      <c r="N410" s="121"/>
      <c r="O410" s="121"/>
      <c r="P410" s="121"/>
      <c r="Q410" s="121"/>
      <c r="R410" s="121"/>
      <c r="S410" s="121"/>
      <c r="T410" s="121"/>
      <c r="U410" s="121"/>
      <c r="V410" s="121"/>
      <c r="W410" s="121"/>
      <c r="X410" s="121"/>
      <c r="Y410" s="121"/>
      <c r="Z410" s="121"/>
    </row>
    <row r="411" spans="1:26" ht="11.25" customHeight="1" x14ac:dyDescent="0.3">
      <c r="A411" s="121"/>
      <c r="B411" s="121"/>
      <c r="C411" s="121"/>
      <c r="D411" s="121"/>
      <c r="E411" s="121"/>
      <c r="F411" s="121"/>
      <c r="G411" s="121"/>
      <c r="H411" s="121"/>
      <c r="I411" s="121"/>
      <c r="J411" s="121"/>
      <c r="K411" s="121"/>
      <c r="L411" s="121"/>
      <c r="M411" s="121"/>
      <c r="N411" s="121"/>
      <c r="O411" s="121"/>
      <c r="P411" s="121"/>
      <c r="Q411" s="121"/>
      <c r="R411" s="121"/>
      <c r="S411" s="121"/>
      <c r="T411" s="121"/>
      <c r="U411" s="121"/>
      <c r="V411" s="121"/>
      <c r="W411" s="121"/>
      <c r="X411" s="121"/>
      <c r="Y411" s="121"/>
      <c r="Z411" s="121"/>
    </row>
    <row r="412" spans="1:26" ht="11.25" customHeight="1" x14ac:dyDescent="0.3">
      <c r="A412" s="121"/>
      <c r="B412" s="121"/>
      <c r="C412" s="121"/>
      <c r="D412" s="121"/>
      <c r="E412" s="121"/>
      <c r="F412" s="121"/>
      <c r="G412" s="121"/>
      <c r="H412" s="121"/>
      <c r="I412" s="121"/>
      <c r="J412" s="121"/>
      <c r="K412" s="121"/>
      <c r="L412" s="121"/>
      <c r="M412" s="121"/>
      <c r="N412" s="121"/>
      <c r="O412" s="121"/>
      <c r="P412" s="121"/>
      <c r="Q412" s="121"/>
      <c r="R412" s="121"/>
      <c r="S412" s="121"/>
      <c r="T412" s="121"/>
      <c r="U412" s="121"/>
      <c r="V412" s="121"/>
      <c r="W412" s="121"/>
      <c r="X412" s="121"/>
      <c r="Y412" s="121"/>
      <c r="Z412" s="121"/>
    </row>
    <row r="413" spans="1:26" ht="11.25" customHeight="1" x14ac:dyDescent="0.3">
      <c r="A413" s="121"/>
      <c r="B413" s="121"/>
      <c r="C413" s="121"/>
      <c r="D413" s="121"/>
      <c r="E413" s="121"/>
      <c r="F413" s="121"/>
      <c r="G413" s="121"/>
      <c r="H413" s="121"/>
      <c r="I413" s="121"/>
      <c r="J413" s="121"/>
      <c r="K413" s="121"/>
      <c r="L413" s="121"/>
      <c r="M413" s="121"/>
      <c r="N413" s="121"/>
      <c r="O413" s="121"/>
      <c r="P413" s="121"/>
      <c r="Q413" s="121"/>
      <c r="R413" s="121"/>
      <c r="S413" s="121"/>
      <c r="T413" s="121"/>
      <c r="U413" s="121"/>
      <c r="V413" s="121"/>
      <c r="W413" s="121"/>
      <c r="X413" s="121"/>
      <c r="Y413" s="121"/>
      <c r="Z413" s="121"/>
    </row>
    <row r="414" spans="1:26" ht="11.25" customHeight="1" x14ac:dyDescent="0.3">
      <c r="A414" s="121"/>
      <c r="B414" s="121"/>
      <c r="C414" s="121"/>
      <c r="D414" s="121"/>
      <c r="E414" s="121"/>
      <c r="F414" s="121"/>
      <c r="G414" s="121"/>
      <c r="H414" s="121"/>
      <c r="I414" s="121"/>
      <c r="J414" s="121"/>
      <c r="K414" s="121"/>
      <c r="L414" s="121"/>
      <c r="M414" s="121"/>
      <c r="N414" s="121"/>
      <c r="O414" s="121"/>
      <c r="P414" s="121"/>
      <c r="Q414" s="121"/>
      <c r="R414" s="121"/>
      <c r="S414" s="121"/>
      <c r="T414" s="121"/>
      <c r="U414" s="121"/>
      <c r="V414" s="121"/>
      <c r="W414" s="121"/>
      <c r="X414" s="121"/>
      <c r="Y414" s="121"/>
      <c r="Z414" s="121"/>
    </row>
    <row r="415" spans="1:26" ht="11.25" customHeight="1" x14ac:dyDescent="0.3">
      <c r="A415" s="121"/>
      <c r="B415" s="121"/>
      <c r="C415" s="121"/>
      <c r="D415" s="121"/>
      <c r="E415" s="121"/>
      <c r="F415" s="121"/>
      <c r="G415" s="121"/>
      <c r="H415" s="121"/>
      <c r="I415" s="121"/>
      <c r="J415" s="121"/>
      <c r="K415" s="121"/>
      <c r="L415" s="121"/>
      <c r="M415" s="121"/>
      <c r="N415" s="121"/>
      <c r="O415" s="121"/>
      <c r="P415" s="121"/>
      <c r="Q415" s="121"/>
      <c r="R415" s="121"/>
      <c r="S415" s="121"/>
      <c r="T415" s="121"/>
      <c r="U415" s="121"/>
      <c r="V415" s="121"/>
      <c r="W415" s="121"/>
      <c r="X415" s="121"/>
      <c r="Y415" s="121"/>
      <c r="Z415" s="121"/>
    </row>
    <row r="416" spans="1:26" ht="11.25" customHeight="1" x14ac:dyDescent="0.3">
      <c r="A416" s="121"/>
      <c r="B416" s="121"/>
      <c r="C416" s="121"/>
      <c r="D416" s="121"/>
      <c r="E416" s="121"/>
      <c r="F416" s="121"/>
      <c r="G416" s="121"/>
      <c r="H416" s="121"/>
      <c r="I416" s="121"/>
      <c r="J416" s="121"/>
      <c r="K416" s="121"/>
      <c r="L416" s="121"/>
      <c r="M416" s="121"/>
      <c r="N416" s="121"/>
      <c r="O416" s="121"/>
      <c r="P416" s="121"/>
      <c r="Q416" s="121"/>
      <c r="R416" s="121"/>
      <c r="S416" s="121"/>
      <c r="T416" s="121"/>
      <c r="U416" s="121"/>
      <c r="V416" s="121"/>
      <c r="W416" s="121"/>
      <c r="X416" s="121"/>
      <c r="Y416" s="121"/>
      <c r="Z416" s="121"/>
    </row>
    <row r="417" spans="1:26" ht="11.25" customHeight="1" x14ac:dyDescent="0.3">
      <c r="A417" s="121"/>
      <c r="B417" s="121"/>
      <c r="C417" s="121"/>
      <c r="D417" s="121"/>
      <c r="E417" s="121"/>
      <c r="F417" s="121"/>
      <c r="G417" s="121"/>
      <c r="H417" s="121"/>
      <c r="I417" s="121"/>
      <c r="J417" s="121"/>
      <c r="K417" s="121"/>
      <c r="L417" s="121"/>
      <c r="M417" s="121"/>
      <c r="N417" s="121"/>
      <c r="O417" s="121"/>
      <c r="P417" s="121"/>
      <c r="Q417" s="121"/>
      <c r="R417" s="121"/>
      <c r="S417" s="121"/>
      <c r="T417" s="121"/>
      <c r="U417" s="121"/>
      <c r="V417" s="121"/>
      <c r="W417" s="121"/>
      <c r="X417" s="121"/>
      <c r="Y417" s="121"/>
      <c r="Z417" s="121"/>
    </row>
    <row r="418" spans="1:26" ht="11.25" customHeight="1" x14ac:dyDescent="0.3">
      <c r="A418" s="121"/>
      <c r="B418" s="121"/>
      <c r="C418" s="121"/>
      <c r="D418" s="121"/>
      <c r="E418" s="121"/>
      <c r="F418" s="121"/>
      <c r="G418" s="121"/>
      <c r="H418" s="121"/>
      <c r="I418" s="121"/>
      <c r="J418" s="121"/>
      <c r="K418" s="121"/>
      <c r="L418" s="121"/>
      <c r="M418" s="121"/>
      <c r="N418" s="121"/>
      <c r="O418" s="121"/>
      <c r="P418" s="121"/>
      <c r="Q418" s="121"/>
      <c r="R418" s="121"/>
      <c r="S418" s="121"/>
      <c r="T418" s="121"/>
      <c r="U418" s="121"/>
      <c r="V418" s="121"/>
      <c r="W418" s="121"/>
      <c r="X418" s="121"/>
      <c r="Y418" s="121"/>
      <c r="Z418" s="121"/>
    </row>
    <row r="419" spans="1:26" ht="11.25" customHeight="1" x14ac:dyDescent="0.3">
      <c r="A419" s="121"/>
      <c r="B419" s="121"/>
      <c r="C419" s="121"/>
      <c r="D419" s="121"/>
      <c r="E419" s="121"/>
      <c r="F419" s="121"/>
      <c r="G419" s="121"/>
      <c r="H419" s="121"/>
      <c r="I419" s="121"/>
      <c r="J419" s="121"/>
      <c r="K419" s="121"/>
      <c r="L419" s="121"/>
      <c r="M419" s="121"/>
      <c r="N419" s="121"/>
      <c r="O419" s="121"/>
      <c r="P419" s="121"/>
      <c r="Q419" s="121"/>
      <c r="R419" s="121"/>
      <c r="S419" s="121"/>
      <c r="T419" s="121"/>
      <c r="U419" s="121"/>
      <c r="V419" s="121"/>
      <c r="W419" s="121"/>
      <c r="X419" s="121"/>
      <c r="Y419" s="121"/>
      <c r="Z419" s="121"/>
    </row>
    <row r="420" spans="1:26" ht="11.25" customHeight="1" x14ac:dyDescent="0.3">
      <c r="A420" s="121"/>
      <c r="B420" s="121"/>
      <c r="C420" s="121"/>
      <c r="D420" s="121"/>
      <c r="E420" s="121"/>
      <c r="F420" s="121"/>
      <c r="G420" s="121"/>
      <c r="H420" s="121"/>
      <c r="I420" s="121"/>
      <c r="J420" s="121"/>
      <c r="K420" s="121"/>
      <c r="L420" s="121"/>
      <c r="M420" s="121"/>
      <c r="N420" s="121"/>
      <c r="O420" s="121"/>
      <c r="P420" s="121"/>
      <c r="Q420" s="121"/>
      <c r="R420" s="121"/>
      <c r="S420" s="121"/>
      <c r="T420" s="121"/>
      <c r="U420" s="121"/>
      <c r="V420" s="121"/>
      <c r="W420" s="121"/>
      <c r="X420" s="121"/>
      <c r="Y420" s="121"/>
      <c r="Z420" s="121"/>
    </row>
    <row r="421" spans="1:26" ht="11.25" customHeight="1" x14ac:dyDescent="0.3">
      <c r="A421" s="121"/>
      <c r="B421" s="121"/>
      <c r="C421" s="121"/>
      <c r="D421" s="121"/>
      <c r="E421" s="121"/>
      <c r="F421" s="121"/>
      <c r="G421" s="121"/>
      <c r="H421" s="121"/>
      <c r="I421" s="121"/>
      <c r="J421" s="121"/>
      <c r="K421" s="121"/>
      <c r="L421" s="121"/>
      <c r="M421" s="121"/>
      <c r="N421" s="121"/>
      <c r="O421" s="121"/>
      <c r="P421" s="121"/>
      <c r="Q421" s="121"/>
      <c r="R421" s="121"/>
      <c r="S421" s="121"/>
      <c r="T421" s="121"/>
      <c r="U421" s="121"/>
      <c r="V421" s="121"/>
      <c r="W421" s="121"/>
      <c r="X421" s="121"/>
      <c r="Y421" s="121"/>
      <c r="Z421" s="121"/>
    </row>
    <row r="422" spans="1:26" ht="11.25" customHeight="1" x14ac:dyDescent="0.3">
      <c r="A422" s="121"/>
      <c r="B422" s="121"/>
      <c r="C422" s="121"/>
      <c r="D422" s="121"/>
      <c r="E422" s="121"/>
      <c r="F422" s="121"/>
      <c r="G422" s="121"/>
      <c r="H422" s="121"/>
      <c r="I422" s="121"/>
      <c r="J422" s="121"/>
      <c r="K422" s="121"/>
      <c r="L422" s="121"/>
      <c r="M422" s="121"/>
      <c r="N422" s="121"/>
      <c r="O422" s="121"/>
      <c r="P422" s="121"/>
      <c r="Q422" s="121"/>
      <c r="R422" s="121"/>
      <c r="S422" s="121"/>
      <c r="T422" s="121"/>
      <c r="U422" s="121"/>
      <c r="V422" s="121"/>
      <c r="W422" s="121"/>
      <c r="X422" s="121"/>
      <c r="Y422" s="121"/>
      <c r="Z422" s="121"/>
    </row>
    <row r="423" spans="1:26" ht="11.25" customHeight="1" x14ac:dyDescent="0.3">
      <c r="A423" s="121"/>
      <c r="B423" s="121"/>
      <c r="C423" s="121"/>
      <c r="D423" s="121"/>
      <c r="E423" s="121"/>
      <c r="F423" s="121"/>
      <c r="G423" s="121"/>
      <c r="H423" s="121"/>
      <c r="I423" s="121"/>
      <c r="J423" s="121"/>
      <c r="K423" s="121"/>
      <c r="L423" s="121"/>
      <c r="M423" s="121"/>
      <c r="N423" s="121"/>
      <c r="O423" s="121"/>
      <c r="P423" s="121"/>
      <c r="Q423" s="121"/>
      <c r="R423" s="121"/>
      <c r="S423" s="121"/>
      <c r="T423" s="121"/>
      <c r="U423" s="121"/>
      <c r="V423" s="121"/>
      <c r="W423" s="121"/>
      <c r="X423" s="121"/>
      <c r="Y423" s="121"/>
      <c r="Z423" s="121"/>
    </row>
    <row r="424" spans="1:26" ht="11.25" customHeight="1" x14ac:dyDescent="0.3">
      <c r="A424" s="121"/>
      <c r="B424" s="121"/>
      <c r="C424" s="121"/>
      <c r="D424" s="121"/>
      <c r="E424" s="121"/>
      <c r="F424" s="121"/>
      <c r="G424" s="121"/>
      <c r="H424" s="121"/>
      <c r="I424" s="121"/>
      <c r="J424" s="121"/>
      <c r="K424" s="121"/>
      <c r="L424" s="121"/>
      <c r="M424" s="121"/>
      <c r="N424" s="121"/>
      <c r="O424" s="121"/>
      <c r="P424" s="121"/>
      <c r="Q424" s="121"/>
      <c r="R424" s="121"/>
      <c r="S424" s="121"/>
      <c r="T424" s="121"/>
      <c r="U424" s="121"/>
      <c r="V424" s="121"/>
      <c r="W424" s="121"/>
      <c r="X424" s="121"/>
      <c r="Y424" s="121"/>
      <c r="Z424" s="121"/>
    </row>
    <row r="425" spans="1:26" ht="11.25" customHeight="1" x14ac:dyDescent="0.3">
      <c r="A425" s="121"/>
      <c r="B425" s="121"/>
      <c r="C425" s="121"/>
      <c r="D425" s="121"/>
      <c r="E425" s="121"/>
      <c r="F425" s="121"/>
      <c r="G425" s="121"/>
      <c r="H425" s="121"/>
      <c r="I425" s="121"/>
      <c r="J425" s="121"/>
      <c r="K425" s="121"/>
      <c r="L425" s="121"/>
      <c r="M425" s="121"/>
      <c r="N425" s="121"/>
      <c r="O425" s="121"/>
      <c r="P425" s="121"/>
      <c r="Q425" s="121"/>
      <c r="R425" s="121"/>
      <c r="S425" s="121"/>
      <c r="T425" s="121"/>
      <c r="U425" s="121"/>
      <c r="V425" s="121"/>
      <c r="W425" s="121"/>
      <c r="X425" s="121"/>
      <c r="Y425" s="121"/>
      <c r="Z425" s="121"/>
    </row>
    <row r="426" spans="1:26" ht="11.25" customHeight="1" x14ac:dyDescent="0.3">
      <c r="A426" s="121"/>
      <c r="B426" s="121"/>
      <c r="C426" s="121"/>
      <c r="D426" s="121"/>
      <c r="E426" s="121"/>
      <c r="F426" s="121"/>
      <c r="G426" s="121"/>
      <c r="H426" s="121"/>
      <c r="I426" s="121"/>
      <c r="J426" s="121"/>
      <c r="K426" s="121"/>
      <c r="L426" s="121"/>
      <c r="M426" s="121"/>
      <c r="N426" s="121"/>
      <c r="O426" s="121"/>
      <c r="P426" s="121"/>
      <c r="Q426" s="121"/>
      <c r="R426" s="121"/>
      <c r="S426" s="121"/>
      <c r="T426" s="121"/>
      <c r="U426" s="121"/>
      <c r="V426" s="121"/>
      <c r="W426" s="121"/>
      <c r="X426" s="121"/>
      <c r="Y426" s="121"/>
      <c r="Z426" s="121"/>
    </row>
    <row r="427" spans="1:26" ht="11.25" customHeight="1" x14ac:dyDescent="0.3">
      <c r="A427" s="121"/>
      <c r="B427" s="121"/>
      <c r="C427" s="121"/>
      <c r="D427" s="121"/>
      <c r="E427" s="121"/>
      <c r="F427" s="121"/>
      <c r="G427" s="121"/>
      <c r="H427" s="121"/>
      <c r="I427" s="121"/>
      <c r="J427" s="121"/>
      <c r="K427" s="121"/>
      <c r="L427" s="121"/>
      <c r="M427" s="121"/>
      <c r="N427" s="121"/>
      <c r="O427" s="121"/>
      <c r="P427" s="121"/>
      <c r="Q427" s="121"/>
      <c r="R427" s="121"/>
      <c r="S427" s="121"/>
      <c r="T427" s="121"/>
      <c r="U427" s="121"/>
      <c r="V427" s="121"/>
      <c r="W427" s="121"/>
      <c r="X427" s="121"/>
      <c r="Y427" s="121"/>
      <c r="Z427" s="121"/>
    </row>
    <row r="428" spans="1:26" ht="11.25" customHeight="1" x14ac:dyDescent="0.3">
      <c r="A428" s="121"/>
      <c r="B428" s="121"/>
      <c r="C428" s="121"/>
      <c r="D428" s="121"/>
      <c r="E428" s="121"/>
      <c r="F428" s="121"/>
      <c r="G428" s="121"/>
      <c r="H428" s="121"/>
      <c r="I428" s="121"/>
      <c r="J428" s="121"/>
      <c r="K428" s="121"/>
      <c r="L428" s="121"/>
      <c r="M428" s="121"/>
      <c r="N428" s="121"/>
      <c r="O428" s="121"/>
      <c r="P428" s="121"/>
      <c r="Q428" s="121"/>
      <c r="R428" s="121"/>
      <c r="S428" s="121"/>
      <c r="T428" s="121"/>
      <c r="U428" s="121"/>
      <c r="V428" s="121"/>
      <c r="W428" s="121"/>
      <c r="X428" s="121"/>
      <c r="Y428" s="121"/>
      <c r="Z428" s="121"/>
    </row>
    <row r="429" spans="1:26" ht="11.25" customHeight="1" x14ac:dyDescent="0.3">
      <c r="A429" s="121"/>
      <c r="B429" s="121"/>
      <c r="C429" s="121"/>
      <c r="D429" s="121"/>
      <c r="E429" s="121"/>
      <c r="F429" s="121"/>
      <c r="G429" s="121"/>
      <c r="H429" s="121"/>
      <c r="I429" s="121"/>
      <c r="J429" s="121"/>
      <c r="K429" s="121"/>
      <c r="L429" s="121"/>
      <c r="M429" s="121"/>
      <c r="N429" s="121"/>
      <c r="O429" s="121"/>
      <c r="P429" s="121"/>
      <c r="Q429" s="121"/>
      <c r="R429" s="121"/>
      <c r="S429" s="121"/>
      <c r="T429" s="121"/>
      <c r="U429" s="121"/>
      <c r="V429" s="121"/>
      <c r="W429" s="121"/>
      <c r="X429" s="121"/>
      <c r="Y429" s="121"/>
      <c r="Z429" s="121"/>
    </row>
    <row r="430" spans="1:26" ht="11.25" customHeight="1" x14ac:dyDescent="0.3">
      <c r="A430" s="121"/>
      <c r="B430" s="121"/>
      <c r="C430" s="121"/>
      <c r="D430" s="121"/>
      <c r="E430" s="121"/>
      <c r="F430" s="121"/>
      <c r="G430" s="121"/>
      <c r="H430" s="121"/>
      <c r="I430" s="121"/>
      <c r="J430" s="121"/>
      <c r="K430" s="121"/>
      <c r="L430" s="121"/>
      <c r="M430" s="121"/>
      <c r="N430" s="121"/>
      <c r="O430" s="121"/>
      <c r="P430" s="121"/>
      <c r="Q430" s="121"/>
      <c r="R430" s="121"/>
      <c r="S430" s="121"/>
      <c r="T430" s="121"/>
      <c r="U430" s="121"/>
      <c r="V430" s="121"/>
      <c r="W430" s="121"/>
      <c r="X430" s="121"/>
      <c r="Y430" s="121"/>
      <c r="Z430" s="121"/>
    </row>
    <row r="431" spans="1:26" ht="11.25" customHeight="1" x14ac:dyDescent="0.3">
      <c r="A431" s="121"/>
      <c r="B431" s="121"/>
      <c r="C431" s="121"/>
      <c r="D431" s="121"/>
      <c r="E431" s="121"/>
      <c r="F431" s="121"/>
      <c r="G431" s="121"/>
      <c r="H431" s="121"/>
      <c r="I431" s="121"/>
      <c r="J431" s="121"/>
      <c r="K431" s="121"/>
      <c r="L431" s="121"/>
      <c r="M431" s="121"/>
      <c r="N431" s="121"/>
      <c r="O431" s="121"/>
      <c r="P431" s="121"/>
      <c r="Q431" s="121"/>
      <c r="R431" s="121"/>
      <c r="S431" s="121"/>
      <c r="T431" s="121"/>
      <c r="U431" s="121"/>
      <c r="V431" s="121"/>
      <c r="W431" s="121"/>
      <c r="X431" s="121"/>
      <c r="Y431" s="121"/>
      <c r="Z431" s="121"/>
    </row>
    <row r="432" spans="1:26" ht="11.25" customHeight="1" x14ac:dyDescent="0.3">
      <c r="A432" s="121"/>
      <c r="B432" s="121"/>
      <c r="C432" s="121"/>
      <c r="D432" s="121"/>
      <c r="E432" s="121"/>
      <c r="F432" s="121"/>
      <c r="G432" s="121"/>
      <c r="H432" s="121"/>
      <c r="I432" s="121"/>
      <c r="J432" s="121"/>
      <c r="K432" s="121"/>
      <c r="L432" s="121"/>
      <c r="M432" s="121"/>
      <c r="N432" s="121"/>
      <c r="O432" s="121"/>
      <c r="P432" s="121"/>
      <c r="Q432" s="121"/>
      <c r="R432" s="121"/>
      <c r="S432" s="121"/>
      <c r="T432" s="121"/>
      <c r="U432" s="121"/>
      <c r="V432" s="121"/>
      <c r="W432" s="121"/>
      <c r="X432" s="121"/>
      <c r="Y432" s="121"/>
      <c r="Z432" s="121"/>
    </row>
    <row r="433" spans="1:26" ht="11.25" customHeight="1" x14ac:dyDescent="0.3">
      <c r="A433" s="121"/>
      <c r="B433" s="121"/>
      <c r="C433" s="121"/>
      <c r="D433" s="121"/>
      <c r="E433" s="121"/>
      <c r="F433" s="121"/>
      <c r="G433" s="121"/>
      <c r="H433" s="121"/>
      <c r="I433" s="121"/>
      <c r="J433" s="121"/>
      <c r="K433" s="121"/>
      <c r="L433" s="121"/>
      <c r="M433" s="121"/>
      <c r="N433" s="121"/>
      <c r="O433" s="121"/>
      <c r="P433" s="121"/>
      <c r="Q433" s="121"/>
      <c r="R433" s="121"/>
      <c r="S433" s="121"/>
      <c r="T433" s="121"/>
      <c r="U433" s="121"/>
      <c r="V433" s="121"/>
      <c r="W433" s="121"/>
      <c r="X433" s="121"/>
      <c r="Y433" s="121"/>
      <c r="Z433" s="121"/>
    </row>
    <row r="434" spans="1:26" ht="11.25" customHeight="1" x14ac:dyDescent="0.3">
      <c r="A434" s="121"/>
      <c r="B434" s="121"/>
      <c r="C434" s="121"/>
      <c r="D434" s="121"/>
      <c r="E434" s="121"/>
      <c r="F434" s="121"/>
      <c r="G434" s="121"/>
      <c r="H434" s="121"/>
      <c r="I434" s="121"/>
      <c r="J434" s="121"/>
      <c r="K434" s="121"/>
      <c r="L434" s="121"/>
      <c r="M434" s="121"/>
      <c r="N434" s="121"/>
      <c r="O434" s="121"/>
      <c r="P434" s="121"/>
      <c r="Q434" s="121"/>
      <c r="R434" s="121"/>
      <c r="S434" s="121"/>
      <c r="T434" s="121"/>
      <c r="U434" s="121"/>
      <c r="V434" s="121"/>
      <c r="W434" s="121"/>
      <c r="X434" s="121"/>
      <c r="Y434" s="121"/>
      <c r="Z434" s="121"/>
    </row>
    <row r="435" spans="1:26" ht="11.25" customHeight="1" x14ac:dyDescent="0.3">
      <c r="A435" s="121"/>
      <c r="B435" s="121"/>
      <c r="C435" s="121"/>
      <c r="D435" s="121"/>
      <c r="E435" s="121"/>
      <c r="F435" s="121"/>
      <c r="G435" s="121"/>
      <c r="H435" s="121"/>
      <c r="I435" s="121"/>
      <c r="J435" s="121"/>
      <c r="K435" s="121"/>
      <c r="L435" s="121"/>
      <c r="M435" s="121"/>
      <c r="N435" s="121"/>
      <c r="O435" s="121"/>
      <c r="P435" s="121"/>
      <c r="Q435" s="121"/>
      <c r="R435" s="121"/>
      <c r="S435" s="121"/>
      <c r="T435" s="121"/>
      <c r="U435" s="121"/>
      <c r="V435" s="121"/>
      <c r="W435" s="121"/>
      <c r="X435" s="121"/>
      <c r="Y435" s="121"/>
      <c r="Z435" s="121"/>
    </row>
    <row r="436" spans="1:26" ht="11.25" customHeight="1" x14ac:dyDescent="0.3">
      <c r="A436" s="121"/>
      <c r="B436" s="121"/>
      <c r="C436" s="121"/>
      <c r="D436" s="121"/>
      <c r="E436" s="121"/>
      <c r="F436" s="121"/>
      <c r="G436" s="121"/>
      <c r="H436" s="121"/>
      <c r="I436" s="121"/>
      <c r="J436" s="121"/>
      <c r="K436" s="121"/>
      <c r="L436" s="121"/>
      <c r="M436" s="121"/>
      <c r="N436" s="121"/>
      <c r="O436" s="121"/>
      <c r="P436" s="121"/>
      <c r="Q436" s="121"/>
      <c r="R436" s="121"/>
      <c r="S436" s="121"/>
      <c r="T436" s="121"/>
      <c r="U436" s="121"/>
      <c r="V436" s="121"/>
      <c r="W436" s="121"/>
      <c r="X436" s="121"/>
      <c r="Y436" s="121"/>
      <c r="Z436" s="121"/>
    </row>
    <row r="437" spans="1:26" ht="11.25" customHeight="1" x14ac:dyDescent="0.3">
      <c r="A437" s="121"/>
      <c r="B437" s="121"/>
      <c r="C437" s="121"/>
      <c r="D437" s="121"/>
      <c r="E437" s="121"/>
      <c r="F437" s="121"/>
      <c r="G437" s="121"/>
      <c r="H437" s="121"/>
      <c r="I437" s="121"/>
      <c r="J437" s="121"/>
      <c r="K437" s="121"/>
      <c r="L437" s="121"/>
      <c r="M437" s="121"/>
      <c r="N437" s="121"/>
      <c r="O437" s="121"/>
      <c r="P437" s="121"/>
      <c r="Q437" s="121"/>
      <c r="R437" s="121"/>
      <c r="S437" s="121"/>
      <c r="T437" s="121"/>
      <c r="U437" s="121"/>
      <c r="V437" s="121"/>
      <c r="W437" s="121"/>
      <c r="X437" s="121"/>
      <c r="Y437" s="121"/>
      <c r="Z437" s="121"/>
    </row>
    <row r="438" spans="1:26" ht="11.25" customHeight="1" x14ac:dyDescent="0.3">
      <c r="A438" s="121"/>
      <c r="B438" s="121"/>
      <c r="C438" s="121"/>
      <c r="D438" s="121"/>
      <c r="E438" s="121"/>
      <c r="F438" s="121"/>
      <c r="G438" s="121"/>
      <c r="H438" s="121"/>
      <c r="I438" s="121"/>
      <c r="J438" s="121"/>
      <c r="K438" s="121"/>
      <c r="L438" s="121"/>
      <c r="M438" s="121"/>
      <c r="N438" s="121"/>
      <c r="O438" s="121"/>
      <c r="P438" s="121"/>
      <c r="Q438" s="121"/>
      <c r="R438" s="121"/>
      <c r="S438" s="121"/>
      <c r="T438" s="121"/>
      <c r="U438" s="121"/>
      <c r="V438" s="121"/>
      <c r="W438" s="121"/>
      <c r="X438" s="121"/>
      <c r="Y438" s="121"/>
      <c r="Z438" s="121"/>
    </row>
    <row r="439" spans="1:26" ht="11.25" customHeight="1" x14ac:dyDescent="0.3">
      <c r="A439" s="121"/>
      <c r="B439" s="121"/>
      <c r="C439" s="121"/>
      <c r="D439" s="121"/>
      <c r="E439" s="121"/>
      <c r="F439" s="121"/>
      <c r="G439" s="121"/>
      <c r="H439" s="121"/>
      <c r="I439" s="121"/>
      <c r="J439" s="121"/>
      <c r="K439" s="121"/>
      <c r="L439" s="121"/>
      <c r="M439" s="121"/>
      <c r="N439" s="121"/>
      <c r="O439" s="121"/>
      <c r="P439" s="121"/>
      <c r="Q439" s="121"/>
      <c r="R439" s="121"/>
      <c r="S439" s="121"/>
      <c r="T439" s="121"/>
      <c r="U439" s="121"/>
      <c r="V439" s="121"/>
      <c r="W439" s="121"/>
      <c r="X439" s="121"/>
      <c r="Y439" s="121"/>
      <c r="Z439" s="121"/>
    </row>
    <row r="440" spans="1:26" ht="11.25" customHeight="1" x14ac:dyDescent="0.3">
      <c r="A440" s="121"/>
      <c r="B440" s="121"/>
      <c r="C440" s="121"/>
      <c r="D440" s="121"/>
      <c r="E440" s="121"/>
      <c r="F440" s="121"/>
      <c r="G440" s="121"/>
      <c r="H440" s="121"/>
      <c r="I440" s="121"/>
      <c r="J440" s="121"/>
      <c r="K440" s="121"/>
      <c r="L440" s="121"/>
      <c r="M440" s="121"/>
      <c r="N440" s="121"/>
      <c r="O440" s="121"/>
      <c r="P440" s="121"/>
      <c r="Q440" s="121"/>
      <c r="R440" s="121"/>
      <c r="S440" s="121"/>
      <c r="T440" s="121"/>
      <c r="U440" s="121"/>
      <c r="V440" s="121"/>
      <c r="W440" s="121"/>
      <c r="X440" s="121"/>
      <c r="Y440" s="121"/>
      <c r="Z440" s="121"/>
    </row>
    <row r="441" spans="1:26" ht="11.25" customHeight="1" x14ac:dyDescent="0.3">
      <c r="A441" s="121"/>
      <c r="B441" s="121"/>
      <c r="C441" s="121"/>
      <c r="D441" s="121"/>
      <c r="E441" s="121"/>
      <c r="F441" s="121"/>
      <c r="G441" s="121"/>
      <c r="H441" s="121"/>
      <c r="I441" s="121"/>
      <c r="J441" s="121"/>
      <c r="K441" s="121"/>
      <c r="L441" s="121"/>
      <c r="M441" s="121"/>
      <c r="N441" s="121"/>
      <c r="O441" s="121"/>
      <c r="P441" s="121"/>
      <c r="Q441" s="121"/>
      <c r="R441" s="121"/>
      <c r="S441" s="121"/>
      <c r="T441" s="121"/>
      <c r="U441" s="121"/>
      <c r="V441" s="121"/>
      <c r="W441" s="121"/>
      <c r="X441" s="121"/>
      <c r="Y441" s="121"/>
      <c r="Z441" s="121"/>
    </row>
    <row r="442" spans="1:26" ht="11.25" customHeight="1" x14ac:dyDescent="0.3">
      <c r="A442" s="121"/>
      <c r="B442" s="121"/>
      <c r="C442" s="121"/>
      <c r="D442" s="121"/>
      <c r="E442" s="121"/>
      <c r="F442" s="121"/>
      <c r="G442" s="121"/>
      <c r="H442" s="121"/>
      <c r="I442" s="121"/>
      <c r="J442" s="121"/>
      <c r="K442" s="121"/>
      <c r="L442" s="121"/>
      <c r="M442" s="121"/>
      <c r="N442" s="121"/>
      <c r="O442" s="121"/>
      <c r="P442" s="121"/>
      <c r="Q442" s="121"/>
      <c r="R442" s="121"/>
      <c r="S442" s="121"/>
      <c r="T442" s="121"/>
      <c r="U442" s="121"/>
      <c r="V442" s="121"/>
      <c r="W442" s="121"/>
      <c r="X442" s="121"/>
      <c r="Y442" s="121"/>
      <c r="Z442" s="121"/>
    </row>
    <row r="443" spans="1:26" ht="11.25" customHeight="1" x14ac:dyDescent="0.3">
      <c r="A443" s="121"/>
      <c r="B443" s="121"/>
      <c r="C443" s="121"/>
      <c r="D443" s="121"/>
      <c r="E443" s="121"/>
      <c r="F443" s="121"/>
      <c r="G443" s="121"/>
      <c r="H443" s="121"/>
      <c r="I443" s="121"/>
      <c r="J443" s="121"/>
      <c r="K443" s="121"/>
      <c r="L443" s="121"/>
      <c r="M443" s="121"/>
      <c r="N443" s="121"/>
      <c r="O443" s="121"/>
      <c r="P443" s="121"/>
      <c r="Q443" s="121"/>
      <c r="R443" s="121"/>
      <c r="S443" s="121"/>
      <c r="T443" s="121"/>
      <c r="U443" s="121"/>
      <c r="V443" s="121"/>
      <c r="W443" s="121"/>
      <c r="X443" s="121"/>
      <c r="Y443" s="121"/>
      <c r="Z443" s="121"/>
    </row>
    <row r="444" spans="1:26" ht="11.25" customHeight="1" x14ac:dyDescent="0.3">
      <c r="A444" s="121"/>
      <c r="B444" s="121"/>
      <c r="C444" s="121"/>
      <c r="D444" s="121"/>
      <c r="E444" s="121"/>
      <c r="F444" s="121"/>
      <c r="G444" s="121"/>
      <c r="H444" s="121"/>
      <c r="I444" s="121"/>
      <c r="J444" s="121"/>
      <c r="K444" s="121"/>
      <c r="L444" s="121"/>
      <c r="M444" s="121"/>
      <c r="N444" s="121"/>
      <c r="O444" s="121"/>
      <c r="P444" s="121"/>
      <c r="Q444" s="121"/>
      <c r="R444" s="121"/>
      <c r="S444" s="121"/>
      <c r="T444" s="121"/>
      <c r="U444" s="121"/>
      <c r="V444" s="121"/>
      <c r="W444" s="121"/>
      <c r="X444" s="121"/>
      <c r="Y444" s="121"/>
      <c r="Z444" s="121"/>
    </row>
    <row r="445" spans="1:26" ht="11.25" customHeight="1" x14ac:dyDescent="0.3">
      <c r="A445" s="121"/>
      <c r="B445" s="121"/>
      <c r="C445" s="121"/>
      <c r="D445" s="121"/>
      <c r="E445" s="121"/>
      <c r="F445" s="121"/>
      <c r="G445" s="121"/>
      <c r="H445" s="121"/>
      <c r="I445" s="121"/>
      <c r="J445" s="121"/>
      <c r="K445" s="121"/>
      <c r="L445" s="121"/>
      <c r="M445" s="121"/>
      <c r="N445" s="121"/>
      <c r="O445" s="121"/>
      <c r="P445" s="121"/>
      <c r="Q445" s="121"/>
      <c r="R445" s="121"/>
      <c r="S445" s="121"/>
      <c r="T445" s="121"/>
      <c r="U445" s="121"/>
      <c r="V445" s="121"/>
      <c r="W445" s="121"/>
      <c r="X445" s="121"/>
      <c r="Y445" s="121"/>
      <c r="Z445" s="121"/>
    </row>
    <row r="446" spans="1:26" ht="11.25" customHeight="1" x14ac:dyDescent="0.3">
      <c r="A446" s="121"/>
      <c r="B446" s="121"/>
      <c r="C446" s="121"/>
      <c r="D446" s="121"/>
      <c r="E446" s="121"/>
      <c r="F446" s="121"/>
      <c r="G446" s="121"/>
      <c r="H446" s="121"/>
      <c r="I446" s="121"/>
      <c r="J446" s="121"/>
      <c r="K446" s="121"/>
      <c r="L446" s="121"/>
      <c r="M446" s="121"/>
      <c r="N446" s="121"/>
      <c r="O446" s="121"/>
      <c r="P446" s="121"/>
      <c r="Q446" s="121"/>
      <c r="R446" s="121"/>
      <c r="S446" s="121"/>
      <c r="T446" s="121"/>
      <c r="U446" s="121"/>
      <c r="V446" s="121"/>
      <c r="W446" s="121"/>
      <c r="X446" s="121"/>
      <c r="Y446" s="121"/>
      <c r="Z446" s="121"/>
    </row>
    <row r="447" spans="1:26" ht="11.25" customHeight="1" x14ac:dyDescent="0.3">
      <c r="A447" s="121"/>
      <c r="B447" s="121"/>
      <c r="C447" s="121"/>
      <c r="D447" s="121"/>
      <c r="E447" s="121"/>
      <c r="F447" s="121"/>
      <c r="G447" s="121"/>
      <c r="H447" s="121"/>
      <c r="I447" s="121"/>
      <c r="J447" s="121"/>
      <c r="K447" s="121"/>
      <c r="L447" s="121"/>
      <c r="M447" s="121"/>
      <c r="N447" s="121"/>
      <c r="O447" s="121"/>
      <c r="P447" s="121"/>
      <c r="Q447" s="121"/>
      <c r="R447" s="121"/>
      <c r="S447" s="121"/>
      <c r="T447" s="121"/>
      <c r="U447" s="121"/>
      <c r="V447" s="121"/>
      <c r="W447" s="121"/>
      <c r="X447" s="121"/>
      <c r="Y447" s="121"/>
      <c r="Z447" s="121"/>
    </row>
    <row r="448" spans="1:26" ht="11.25" customHeight="1" x14ac:dyDescent="0.3">
      <c r="A448" s="121"/>
      <c r="B448" s="121"/>
      <c r="C448" s="121"/>
      <c r="D448" s="121"/>
      <c r="E448" s="121"/>
      <c r="F448" s="121"/>
      <c r="G448" s="121"/>
      <c r="H448" s="121"/>
      <c r="I448" s="121"/>
      <c r="J448" s="121"/>
      <c r="K448" s="121"/>
      <c r="L448" s="121"/>
      <c r="M448" s="121"/>
      <c r="N448" s="121"/>
      <c r="O448" s="121"/>
      <c r="P448" s="121"/>
      <c r="Q448" s="121"/>
      <c r="R448" s="121"/>
      <c r="S448" s="121"/>
      <c r="T448" s="121"/>
      <c r="U448" s="121"/>
      <c r="V448" s="121"/>
      <c r="W448" s="121"/>
      <c r="X448" s="121"/>
      <c r="Y448" s="121"/>
      <c r="Z448" s="121"/>
    </row>
    <row r="449" spans="1:26" ht="11.25" customHeight="1" x14ac:dyDescent="0.3">
      <c r="A449" s="121"/>
      <c r="B449" s="121"/>
      <c r="C449" s="121"/>
      <c r="D449" s="121"/>
      <c r="E449" s="121"/>
      <c r="F449" s="121"/>
      <c r="G449" s="121"/>
      <c r="H449" s="121"/>
      <c r="I449" s="121"/>
      <c r="J449" s="121"/>
      <c r="K449" s="121"/>
      <c r="L449" s="121"/>
      <c r="M449" s="121"/>
      <c r="N449" s="121"/>
      <c r="O449" s="121"/>
      <c r="P449" s="121"/>
      <c r="Q449" s="121"/>
      <c r="R449" s="121"/>
      <c r="S449" s="121"/>
      <c r="T449" s="121"/>
      <c r="U449" s="121"/>
      <c r="V449" s="121"/>
      <c r="W449" s="121"/>
      <c r="X449" s="121"/>
      <c r="Y449" s="121"/>
      <c r="Z449" s="121"/>
    </row>
    <row r="450" spans="1:26" ht="11.25" customHeight="1" x14ac:dyDescent="0.3">
      <c r="A450" s="121"/>
      <c r="B450" s="121"/>
      <c r="C450" s="121"/>
      <c r="D450" s="121"/>
      <c r="E450" s="121"/>
      <c r="F450" s="121"/>
      <c r="G450" s="121"/>
      <c r="H450" s="121"/>
      <c r="I450" s="121"/>
      <c r="J450" s="121"/>
      <c r="K450" s="121"/>
      <c r="L450" s="121"/>
      <c r="M450" s="121"/>
      <c r="N450" s="121"/>
      <c r="O450" s="121"/>
      <c r="P450" s="121"/>
      <c r="Q450" s="121"/>
      <c r="R450" s="121"/>
      <c r="S450" s="121"/>
      <c r="T450" s="121"/>
      <c r="U450" s="121"/>
      <c r="V450" s="121"/>
      <c r="W450" s="121"/>
      <c r="X450" s="121"/>
      <c r="Y450" s="121"/>
      <c r="Z450" s="121"/>
    </row>
    <row r="451" spans="1:26" ht="11.25" customHeight="1" x14ac:dyDescent="0.3">
      <c r="A451" s="121"/>
      <c r="B451" s="121"/>
      <c r="C451" s="121"/>
      <c r="D451" s="121"/>
      <c r="E451" s="121"/>
      <c r="F451" s="121"/>
      <c r="G451" s="121"/>
      <c r="H451" s="121"/>
      <c r="I451" s="121"/>
      <c r="J451" s="121"/>
      <c r="K451" s="121"/>
      <c r="L451" s="121"/>
      <c r="M451" s="121"/>
      <c r="N451" s="121"/>
      <c r="O451" s="121"/>
      <c r="P451" s="121"/>
      <c r="Q451" s="121"/>
      <c r="R451" s="121"/>
      <c r="S451" s="121"/>
      <c r="T451" s="121"/>
      <c r="U451" s="121"/>
      <c r="V451" s="121"/>
      <c r="W451" s="121"/>
      <c r="X451" s="121"/>
      <c r="Y451" s="121"/>
      <c r="Z451" s="121"/>
    </row>
    <row r="452" spans="1:26" ht="11.25" customHeight="1" x14ac:dyDescent="0.3">
      <c r="A452" s="121"/>
      <c r="B452" s="121"/>
      <c r="C452" s="121"/>
      <c r="D452" s="121"/>
      <c r="E452" s="121"/>
      <c r="F452" s="121"/>
      <c r="G452" s="121"/>
      <c r="H452" s="121"/>
      <c r="I452" s="121"/>
      <c r="J452" s="121"/>
      <c r="K452" s="121"/>
      <c r="L452" s="121"/>
      <c r="M452" s="121"/>
      <c r="N452" s="121"/>
      <c r="O452" s="121"/>
      <c r="P452" s="121"/>
      <c r="Q452" s="121"/>
      <c r="R452" s="121"/>
      <c r="S452" s="121"/>
      <c r="T452" s="121"/>
      <c r="U452" s="121"/>
      <c r="V452" s="121"/>
      <c r="W452" s="121"/>
      <c r="X452" s="121"/>
      <c r="Y452" s="121"/>
      <c r="Z452" s="121"/>
    </row>
    <row r="453" spans="1:26" ht="11.25" customHeight="1" x14ac:dyDescent="0.3">
      <c r="A453" s="121"/>
      <c r="B453" s="121"/>
      <c r="C453" s="121"/>
      <c r="D453" s="121"/>
      <c r="E453" s="121"/>
      <c r="F453" s="121"/>
      <c r="G453" s="121"/>
      <c r="H453" s="121"/>
      <c r="I453" s="121"/>
      <c r="J453" s="121"/>
      <c r="K453" s="121"/>
      <c r="L453" s="121"/>
      <c r="M453" s="121"/>
      <c r="N453" s="121"/>
      <c r="O453" s="121"/>
      <c r="P453" s="121"/>
      <c r="Q453" s="121"/>
      <c r="R453" s="121"/>
      <c r="S453" s="121"/>
      <c r="T453" s="121"/>
      <c r="U453" s="121"/>
      <c r="V453" s="121"/>
      <c r="W453" s="121"/>
      <c r="X453" s="121"/>
      <c r="Y453" s="121"/>
      <c r="Z453" s="121"/>
    </row>
    <row r="454" spans="1:26" ht="11.25" customHeight="1" x14ac:dyDescent="0.3">
      <c r="A454" s="121"/>
      <c r="B454" s="121"/>
      <c r="C454" s="121"/>
      <c r="D454" s="121"/>
      <c r="E454" s="121"/>
      <c r="F454" s="121"/>
      <c r="G454" s="121"/>
      <c r="H454" s="121"/>
      <c r="I454" s="121"/>
      <c r="J454" s="121"/>
      <c r="K454" s="121"/>
      <c r="L454" s="121"/>
      <c r="M454" s="121"/>
      <c r="N454" s="121"/>
      <c r="O454" s="121"/>
      <c r="P454" s="121"/>
      <c r="Q454" s="121"/>
      <c r="R454" s="121"/>
      <c r="S454" s="121"/>
      <c r="T454" s="121"/>
      <c r="U454" s="121"/>
      <c r="V454" s="121"/>
      <c r="W454" s="121"/>
      <c r="X454" s="121"/>
      <c r="Y454" s="121"/>
      <c r="Z454" s="121"/>
    </row>
    <row r="455" spans="1:26" ht="11.25" customHeight="1" x14ac:dyDescent="0.3">
      <c r="A455" s="121"/>
      <c r="B455" s="121"/>
      <c r="C455" s="121"/>
      <c r="D455" s="121"/>
      <c r="E455" s="121"/>
      <c r="F455" s="121"/>
      <c r="G455" s="121"/>
      <c r="H455" s="121"/>
      <c r="I455" s="121"/>
      <c r="J455" s="121"/>
      <c r="K455" s="121"/>
      <c r="L455" s="121"/>
      <c r="M455" s="121"/>
      <c r="N455" s="121"/>
      <c r="O455" s="121"/>
      <c r="P455" s="121"/>
      <c r="Q455" s="121"/>
      <c r="R455" s="121"/>
      <c r="S455" s="121"/>
      <c r="T455" s="121"/>
      <c r="U455" s="121"/>
      <c r="V455" s="121"/>
      <c r="W455" s="121"/>
      <c r="X455" s="121"/>
      <c r="Y455" s="121"/>
      <c r="Z455" s="121"/>
    </row>
    <row r="456" spans="1:26" ht="11.25" customHeight="1" x14ac:dyDescent="0.3">
      <c r="A456" s="121"/>
      <c r="B456" s="121"/>
      <c r="C456" s="121"/>
      <c r="D456" s="121"/>
      <c r="E456" s="121"/>
      <c r="F456" s="121"/>
      <c r="G456" s="121"/>
      <c r="H456" s="121"/>
      <c r="I456" s="121"/>
      <c r="J456" s="121"/>
      <c r="K456" s="121"/>
      <c r="L456" s="121"/>
      <c r="M456" s="121"/>
      <c r="N456" s="121"/>
      <c r="O456" s="121"/>
      <c r="P456" s="121"/>
      <c r="Q456" s="121"/>
      <c r="R456" s="121"/>
      <c r="S456" s="121"/>
      <c r="T456" s="121"/>
      <c r="U456" s="121"/>
      <c r="V456" s="121"/>
      <c r="W456" s="121"/>
      <c r="X456" s="121"/>
      <c r="Y456" s="121"/>
      <c r="Z456" s="121"/>
    </row>
    <row r="457" spans="1:26" ht="11.25" customHeight="1" x14ac:dyDescent="0.3">
      <c r="A457" s="121"/>
      <c r="B457" s="121"/>
      <c r="C457" s="121"/>
      <c r="D457" s="121"/>
      <c r="E457" s="121"/>
      <c r="F457" s="121"/>
      <c r="G457" s="121"/>
      <c r="H457" s="121"/>
      <c r="I457" s="121"/>
      <c r="J457" s="121"/>
      <c r="K457" s="121"/>
      <c r="L457" s="121"/>
      <c r="M457" s="121"/>
      <c r="N457" s="121"/>
      <c r="O457" s="121"/>
      <c r="P457" s="121"/>
      <c r="Q457" s="121"/>
      <c r="R457" s="121"/>
      <c r="S457" s="121"/>
      <c r="T457" s="121"/>
      <c r="U457" s="121"/>
      <c r="V457" s="121"/>
      <c r="W457" s="121"/>
      <c r="X457" s="121"/>
      <c r="Y457" s="121"/>
      <c r="Z457" s="121"/>
    </row>
    <row r="458" spans="1:26" ht="11.25" customHeight="1" x14ac:dyDescent="0.3">
      <c r="A458" s="121"/>
      <c r="B458" s="121"/>
      <c r="C458" s="121"/>
      <c r="D458" s="121"/>
      <c r="E458" s="121"/>
      <c r="F458" s="121"/>
      <c r="G458" s="121"/>
      <c r="H458" s="121"/>
      <c r="I458" s="121"/>
      <c r="J458" s="121"/>
      <c r="K458" s="121"/>
      <c r="L458" s="121"/>
      <c r="M458" s="121"/>
      <c r="N458" s="121"/>
      <c r="O458" s="121"/>
      <c r="P458" s="121"/>
      <c r="Q458" s="121"/>
      <c r="R458" s="121"/>
      <c r="S458" s="121"/>
      <c r="T458" s="121"/>
      <c r="U458" s="121"/>
      <c r="V458" s="121"/>
      <c r="W458" s="121"/>
      <c r="X458" s="121"/>
      <c r="Y458" s="121"/>
      <c r="Z458" s="121"/>
    </row>
    <row r="459" spans="1:26" ht="11.25" customHeight="1" x14ac:dyDescent="0.3">
      <c r="A459" s="121"/>
      <c r="B459" s="121"/>
      <c r="C459" s="121"/>
      <c r="D459" s="121"/>
      <c r="E459" s="121"/>
      <c r="F459" s="121"/>
      <c r="G459" s="121"/>
      <c r="H459" s="121"/>
      <c r="I459" s="121"/>
      <c r="J459" s="121"/>
      <c r="K459" s="121"/>
      <c r="L459" s="121"/>
      <c r="M459" s="121"/>
      <c r="N459" s="121"/>
      <c r="O459" s="121"/>
      <c r="P459" s="121"/>
      <c r="Q459" s="121"/>
      <c r="R459" s="121"/>
      <c r="S459" s="121"/>
      <c r="T459" s="121"/>
      <c r="U459" s="121"/>
      <c r="V459" s="121"/>
      <c r="W459" s="121"/>
      <c r="X459" s="121"/>
      <c r="Y459" s="121"/>
      <c r="Z459" s="121"/>
    </row>
    <row r="460" spans="1:26" ht="11.25" customHeight="1" x14ac:dyDescent="0.3">
      <c r="A460" s="121"/>
      <c r="B460" s="121"/>
      <c r="C460" s="121"/>
      <c r="D460" s="121"/>
      <c r="E460" s="121"/>
      <c r="F460" s="121"/>
      <c r="G460" s="121"/>
      <c r="H460" s="121"/>
      <c r="I460" s="121"/>
      <c r="J460" s="121"/>
      <c r="K460" s="121"/>
      <c r="L460" s="121"/>
      <c r="M460" s="121"/>
      <c r="N460" s="121"/>
      <c r="O460" s="121"/>
      <c r="P460" s="121"/>
      <c r="Q460" s="121"/>
      <c r="R460" s="121"/>
      <c r="S460" s="121"/>
      <c r="T460" s="121"/>
      <c r="U460" s="121"/>
      <c r="V460" s="121"/>
      <c r="W460" s="121"/>
      <c r="X460" s="121"/>
      <c r="Y460" s="121"/>
      <c r="Z460" s="121"/>
    </row>
    <row r="461" spans="1:26" ht="11.25" customHeight="1" x14ac:dyDescent="0.3">
      <c r="A461" s="121"/>
      <c r="B461" s="121"/>
      <c r="C461" s="121"/>
      <c r="D461" s="121"/>
      <c r="E461" s="121"/>
      <c r="F461" s="121"/>
      <c r="G461" s="121"/>
      <c r="H461" s="121"/>
      <c r="I461" s="121"/>
      <c r="J461" s="121"/>
      <c r="K461" s="121"/>
      <c r="L461" s="121"/>
      <c r="M461" s="121"/>
      <c r="N461" s="121"/>
      <c r="O461" s="121"/>
      <c r="P461" s="121"/>
      <c r="Q461" s="121"/>
      <c r="R461" s="121"/>
      <c r="S461" s="121"/>
      <c r="T461" s="121"/>
      <c r="U461" s="121"/>
      <c r="V461" s="121"/>
      <c r="W461" s="121"/>
      <c r="X461" s="121"/>
      <c r="Y461" s="121"/>
      <c r="Z461" s="121"/>
    </row>
    <row r="462" spans="1:26" ht="11.25" customHeight="1" x14ac:dyDescent="0.3">
      <c r="A462" s="121"/>
      <c r="B462" s="121"/>
      <c r="C462" s="121"/>
      <c r="D462" s="121"/>
      <c r="E462" s="121"/>
      <c r="F462" s="121"/>
      <c r="G462" s="121"/>
      <c r="H462" s="121"/>
      <c r="I462" s="121"/>
      <c r="J462" s="121"/>
      <c r="K462" s="121"/>
      <c r="L462" s="121"/>
      <c r="M462" s="121"/>
      <c r="N462" s="121"/>
      <c r="O462" s="121"/>
      <c r="P462" s="121"/>
      <c r="Q462" s="121"/>
      <c r="R462" s="121"/>
      <c r="S462" s="121"/>
      <c r="T462" s="121"/>
      <c r="U462" s="121"/>
      <c r="V462" s="121"/>
      <c r="W462" s="121"/>
      <c r="X462" s="121"/>
      <c r="Y462" s="121"/>
      <c r="Z462" s="121"/>
    </row>
    <row r="463" spans="1:26" ht="11.25" customHeight="1" x14ac:dyDescent="0.3">
      <c r="A463" s="121"/>
      <c r="B463" s="121"/>
      <c r="C463" s="121"/>
      <c r="D463" s="121"/>
      <c r="E463" s="121"/>
      <c r="F463" s="121"/>
      <c r="G463" s="121"/>
      <c r="H463" s="121"/>
      <c r="I463" s="121"/>
      <c r="J463" s="121"/>
      <c r="K463" s="121"/>
      <c r="L463" s="121"/>
      <c r="M463" s="121"/>
      <c r="N463" s="121"/>
      <c r="O463" s="121"/>
      <c r="P463" s="121"/>
      <c r="Q463" s="121"/>
      <c r="R463" s="121"/>
      <c r="S463" s="121"/>
      <c r="T463" s="121"/>
      <c r="U463" s="121"/>
      <c r="V463" s="121"/>
      <c r="W463" s="121"/>
      <c r="X463" s="121"/>
      <c r="Y463" s="121"/>
      <c r="Z463" s="121"/>
    </row>
    <row r="464" spans="1:26" ht="11.25" customHeight="1" x14ac:dyDescent="0.3">
      <c r="A464" s="121"/>
      <c r="B464" s="121"/>
      <c r="C464" s="121"/>
      <c r="D464" s="121"/>
      <c r="E464" s="121"/>
      <c r="F464" s="121"/>
      <c r="G464" s="121"/>
      <c r="H464" s="121"/>
      <c r="I464" s="121"/>
      <c r="J464" s="121"/>
      <c r="K464" s="121"/>
      <c r="L464" s="121"/>
      <c r="M464" s="121"/>
      <c r="N464" s="121"/>
      <c r="O464" s="121"/>
      <c r="P464" s="121"/>
      <c r="Q464" s="121"/>
      <c r="R464" s="121"/>
      <c r="S464" s="121"/>
      <c r="T464" s="121"/>
      <c r="U464" s="121"/>
      <c r="V464" s="121"/>
      <c r="W464" s="121"/>
      <c r="X464" s="121"/>
      <c r="Y464" s="121"/>
      <c r="Z464" s="121"/>
    </row>
    <row r="465" spans="1:26" ht="11.25" customHeight="1" x14ac:dyDescent="0.3">
      <c r="A465" s="121"/>
      <c r="B465" s="121"/>
      <c r="C465" s="121"/>
      <c r="D465" s="121"/>
      <c r="E465" s="121"/>
      <c r="F465" s="121"/>
      <c r="G465" s="121"/>
      <c r="H465" s="121"/>
      <c r="I465" s="121"/>
      <c r="J465" s="121"/>
      <c r="K465" s="121"/>
      <c r="L465" s="121"/>
      <c r="M465" s="121"/>
      <c r="N465" s="121"/>
      <c r="O465" s="121"/>
      <c r="P465" s="121"/>
      <c r="Q465" s="121"/>
      <c r="R465" s="121"/>
      <c r="S465" s="121"/>
      <c r="T465" s="121"/>
      <c r="U465" s="121"/>
      <c r="V465" s="121"/>
      <c r="W465" s="121"/>
      <c r="X465" s="121"/>
      <c r="Y465" s="121"/>
      <c r="Z465" s="121"/>
    </row>
    <row r="466" spans="1:26" ht="11.25" customHeight="1" x14ac:dyDescent="0.3">
      <c r="A466" s="121"/>
      <c r="B466" s="121"/>
      <c r="C466" s="121"/>
      <c r="D466" s="121"/>
      <c r="E466" s="121"/>
      <c r="F466" s="121"/>
      <c r="G466" s="121"/>
      <c r="H466" s="121"/>
      <c r="I466" s="121"/>
      <c r="J466" s="121"/>
      <c r="K466" s="121"/>
      <c r="L466" s="121"/>
      <c r="M466" s="121"/>
      <c r="N466" s="121"/>
      <c r="O466" s="121"/>
      <c r="P466" s="121"/>
      <c r="Q466" s="121"/>
      <c r="R466" s="121"/>
      <c r="S466" s="121"/>
      <c r="T466" s="121"/>
      <c r="U466" s="121"/>
      <c r="V466" s="121"/>
      <c r="W466" s="121"/>
      <c r="X466" s="121"/>
      <c r="Y466" s="121"/>
      <c r="Z466" s="121"/>
    </row>
    <row r="467" spans="1:26" ht="11.25" customHeight="1" x14ac:dyDescent="0.3">
      <c r="A467" s="121"/>
      <c r="B467" s="121"/>
      <c r="C467" s="121"/>
      <c r="D467" s="121"/>
      <c r="E467" s="121"/>
      <c r="F467" s="121"/>
      <c r="G467" s="121"/>
      <c r="H467" s="121"/>
      <c r="I467" s="121"/>
      <c r="J467" s="121"/>
      <c r="K467" s="121"/>
      <c r="L467" s="121"/>
      <c r="M467" s="121"/>
      <c r="N467" s="121"/>
      <c r="O467" s="121"/>
      <c r="P467" s="121"/>
      <c r="Q467" s="121"/>
      <c r="R467" s="121"/>
      <c r="S467" s="121"/>
      <c r="T467" s="121"/>
      <c r="U467" s="121"/>
      <c r="V467" s="121"/>
      <c r="W467" s="121"/>
      <c r="X467" s="121"/>
      <c r="Y467" s="121"/>
      <c r="Z467" s="121"/>
    </row>
    <row r="468" spans="1:26" ht="11.25" customHeight="1" x14ac:dyDescent="0.3">
      <c r="A468" s="121"/>
      <c r="B468" s="121"/>
      <c r="C468" s="121"/>
      <c r="D468" s="121"/>
      <c r="E468" s="121"/>
      <c r="F468" s="121"/>
      <c r="G468" s="121"/>
      <c r="H468" s="121"/>
      <c r="I468" s="121"/>
      <c r="J468" s="121"/>
      <c r="K468" s="121"/>
      <c r="L468" s="121"/>
      <c r="M468" s="121"/>
      <c r="N468" s="121"/>
      <c r="O468" s="121"/>
      <c r="P468" s="121"/>
      <c r="Q468" s="121"/>
      <c r="R468" s="121"/>
      <c r="S468" s="121"/>
      <c r="T468" s="121"/>
      <c r="U468" s="121"/>
      <c r="V468" s="121"/>
      <c r="W468" s="121"/>
      <c r="X468" s="121"/>
      <c r="Y468" s="121"/>
      <c r="Z468" s="121"/>
    </row>
    <row r="469" spans="1:26" ht="11.25" customHeight="1" x14ac:dyDescent="0.3">
      <c r="A469" s="121"/>
      <c r="B469" s="121"/>
      <c r="C469" s="121"/>
      <c r="D469" s="121"/>
      <c r="E469" s="121"/>
      <c r="F469" s="121"/>
      <c r="G469" s="121"/>
      <c r="H469" s="121"/>
      <c r="I469" s="121"/>
      <c r="J469" s="121"/>
      <c r="K469" s="121"/>
      <c r="L469" s="121"/>
      <c r="M469" s="121"/>
      <c r="N469" s="121"/>
      <c r="O469" s="121"/>
      <c r="P469" s="121"/>
      <c r="Q469" s="121"/>
      <c r="R469" s="121"/>
      <c r="S469" s="121"/>
      <c r="T469" s="121"/>
      <c r="U469" s="121"/>
      <c r="V469" s="121"/>
      <c r="W469" s="121"/>
      <c r="X469" s="121"/>
      <c r="Y469" s="121"/>
      <c r="Z469" s="121"/>
    </row>
    <row r="470" spans="1:26" ht="11.25" customHeight="1" x14ac:dyDescent="0.3">
      <c r="A470" s="121"/>
      <c r="B470" s="121"/>
      <c r="C470" s="121"/>
      <c r="D470" s="121"/>
      <c r="E470" s="121"/>
      <c r="F470" s="121"/>
      <c r="G470" s="121"/>
      <c r="H470" s="121"/>
      <c r="I470" s="121"/>
      <c r="J470" s="121"/>
      <c r="K470" s="121"/>
      <c r="L470" s="121"/>
      <c r="M470" s="121"/>
      <c r="N470" s="121"/>
      <c r="O470" s="121"/>
      <c r="P470" s="121"/>
      <c r="Q470" s="121"/>
      <c r="R470" s="121"/>
      <c r="S470" s="121"/>
      <c r="T470" s="121"/>
      <c r="U470" s="121"/>
      <c r="V470" s="121"/>
      <c r="W470" s="121"/>
      <c r="X470" s="121"/>
      <c r="Y470" s="121"/>
      <c r="Z470" s="121"/>
    </row>
    <row r="471" spans="1:26" ht="11.25" customHeight="1" x14ac:dyDescent="0.3">
      <c r="A471" s="121"/>
      <c r="B471" s="121"/>
      <c r="C471" s="121"/>
      <c r="D471" s="121"/>
      <c r="E471" s="121"/>
      <c r="F471" s="121"/>
      <c r="G471" s="121"/>
      <c r="H471" s="121"/>
      <c r="I471" s="121"/>
      <c r="J471" s="121"/>
      <c r="K471" s="121"/>
      <c r="L471" s="121"/>
      <c r="M471" s="121"/>
      <c r="N471" s="121"/>
      <c r="O471" s="121"/>
      <c r="P471" s="121"/>
      <c r="Q471" s="121"/>
      <c r="R471" s="121"/>
      <c r="S471" s="121"/>
      <c r="T471" s="121"/>
      <c r="U471" s="121"/>
      <c r="V471" s="121"/>
      <c r="W471" s="121"/>
      <c r="X471" s="121"/>
      <c r="Y471" s="121"/>
      <c r="Z471" s="121"/>
    </row>
    <row r="472" spans="1:26" ht="11.25" customHeight="1" x14ac:dyDescent="0.3">
      <c r="A472" s="121"/>
      <c r="B472" s="121"/>
      <c r="C472" s="121"/>
      <c r="D472" s="121"/>
      <c r="E472" s="121"/>
      <c r="F472" s="121"/>
      <c r="G472" s="121"/>
      <c r="H472" s="121"/>
      <c r="I472" s="121"/>
      <c r="J472" s="121"/>
      <c r="K472" s="121"/>
      <c r="L472" s="121"/>
      <c r="M472" s="121"/>
      <c r="N472" s="121"/>
      <c r="O472" s="121"/>
      <c r="P472" s="121"/>
      <c r="Q472" s="121"/>
      <c r="R472" s="121"/>
      <c r="S472" s="121"/>
      <c r="T472" s="121"/>
      <c r="U472" s="121"/>
      <c r="V472" s="121"/>
      <c r="W472" s="121"/>
      <c r="X472" s="121"/>
      <c r="Y472" s="121"/>
      <c r="Z472" s="121"/>
    </row>
    <row r="473" spans="1:26" ht="11.25" customHeight="1" x14ac:dyDescent="0.3">
      <c r="A473" s="121"/>
      <c r="B473" s="121"/>
      <c r="C473" s="121"/>
      <c r="D473" s="121"/>
      <c r="E473" s="121"/>
      <c r="F473" s="121"/>
      <c r="G473" s="121"/>
      <c r="H473" s="121"/>
      <c r="I473" s="121"/>
      <c r="J473" s="121"/>
      <c r="K473" s="121"/>
      <c r="L473" s="121"/>
      <c r="M473" s="121"/>
      <c r="N473" s="121"/>
      <c r="O473" s="121"/>
      <c r="P473" s="121"/>
      <c r="Q473" s="121"/>
      <c r="R473" s="121"/>
      <c r="S473" s="121"/>
      <c r="T473" s="121"/>
      <c r="U473" s="121"/>
      <c r="V473" s="121"/>
      <c r="W473" s="121"/>
      <c r="X473" s="121"/>
      <c r="Y473" s="121"/>
      <c r="Z473" s="121"/>
    </row>
    <row r="474" spans="1:26" ht="11.25" customHeight="1" x14ac:dyDescent="0.3">
      <c r="A474" s="121"/>
      <c r="B474" s="121"/>
      <c r="C474" s="121"/>
      <c r="D474" s="121"/>
      <c r="E474" s="121"/>
      <c r="F474" s="121"/>
      <c r="G474" s="121"/>
      <c r="H474" s="121"/>
      <c r="I474" s="121"/>
      <c r="J474" s="121"/>
      <c r="K474" s="121"/>
      <c r="L474" s="121"/>
      <c r="M474" s="121"/>
      <c r="N474" s="121"/>
      <c r="O474" s="121"/>
      <c r="P474" s="121"/>
      <c r="Q474" s="121"/>
      <c r="R474" s="121"/>
      <c r="S474" s="121"/>
      <c r="T474" s="121"/>
      <c r="U474" s="121"/>
      <c r="V474" s="121"/>
      <c r="W474" s="121"/>
      <c r="X474" s="121"/>
      <c r="Y474" s="121"/>
      <c r="Z474" s="121"/>
    </row>
    <row r="475" spans="1:26" ht="11.25" customHeight="1" x14ac:dyDescent="0.3">
      <c r="A475" s="121"/>
      <c r="B475" s="121"/>
      <c r="C475" s="121"/>
      <c r="D475" s="121"/>
      <c r="E475" s="121"/>
      <c r="F475" s="121"/>
      <c r="G475" s="121"/>
      <c r="H475" s="121"/>
      <c r="I475" s="121"/>
      <c r="J475" s="121"/>
      <c r="K475" s="121"/>
      <c r="L475" s="121"/>
      <c r="M475" s="121"/>
      <c r="N475" s="121"/>
      <c r="O475" s="121"/>
      <c r="P475" s="121"/>
      <c r="Q475" s="121"/>
      <c r="R475" s="121"/>
      <c r="S475" s="121"/>
      <c r="T475" s="121"/>
      <c r="U475" s="121"/>
      <c r="V475" s="121"/>
      <c r="W475" s="121"/>
      <c r="X475" s="121"/>
      <c r="Y475" s="121"/>
      <c r="Z475" s="121"/>
    </row>
    <row r="476" spans="1:26" ht="11.25" customHeight="1" x14ac:dyDescent="0.3">
      <c r="A476" s="121"/>
      <c r="B476" s="121"/>
      <c r="C476" s="121"/>
      <c r="D476" s="121"/>
      <c r="E476" s="121"/>
      <c r="F476" s="121"/>
      <c r="G476" s="121"/>
      <c r="H476" s="121"/>
      <c r="I476" s="121"/>
      <c r="J476" s="121"/>
      <c r="K476" s="121"/>
      <c r="L476" s="121"/>
      <c r="M476" s="121"/>
      <c r="N476" s="121"/>
      <c r="O476" s="121"/>
      <c r="P476" s="121"/>
      <c r="Q476" s="121"/>
      <c r="R476" s="121"/>
      <c r="S476" s="121"/>
      <c r="T476" s="121"/>
      <c r="U476" s="121"/>
      <c r="V476" s="121"/>
      <c r="W476" s="121"/>
      <c r="X476" s="121"/>
      <c r="Y476" s="121"/>
      <c r="Z476" s="121"/>
    </row>
    <row r="477" spans="1:26" ht="11.25" customHeight="1" x14ac:dyDescent="0.3">
      <c r="A477" s="121"/>
      <c r="B477" s="121"/>
      <c r="C477" s="121"/>
      <c r="D477" s="121"/>
      <c r="E477" s="121"/>
      <c r="F477" s="121"/>
      <c r="G477" s="121"/>
      <c r="H477" s="121"/>
      <c r="I477" s="121"/>
      <c r="J477" s="121"/>
      <c r="K477" s="121"/>
      <c r="L477" s="121"/>
      <c r="M477" s="121"/>
      <c r="N477" s="121"/>
      <c r="O477" s="121"/>
      <c r="P477" s="121"/>
      <c r="Q477" s="121"/>
      <c r="R477" s="121"/>
      <c r="S477" s="121"/>
      <c r="T477" s="121"/>
      <c r="U477" s="121"/>
      <c r="V477" s="121"/>
      <c r="W477" s="121"/>
      <c r="X477" s="121"/>
      <c r="Y477" s="121"/>
      <c r="Z477" s="121"/>
    </row>
    <row r="478" spans="1:26" ht="11.25" customHeight="1" x14ac:dyDescent="0.3">
      <c r="A478" s="121"/>
      <c r="B478" s="121"/>
      <c r="C478" s="121"/>
      <c r="D478" s="121"/>
      <c r="E478" s="121"/>
      <c r="F478" s="121"/>
      <c r="G478" s="121"/>
      <c r="H478" s="121"/>
      <c r="I478" s="121"/>
      <c r="J478" s="121"/>
      <c r="K478" s="121"/>
      <c r="L478" s="121"/>
      <c r="M478" s="121"/>
      <c r="N478" s="121"/>
      <c r="O478" s="121"/>
      <c r="P478" s="121"/>
      <c r="Q478" s="121"/>
      <c r="R478" s="121"/>
      <c r="S478" s="121"/>
      <c r="T478" s="121"/>
      <c r="U478" s="121"/>
      <c r="V478" s="121"/>
      <c r="W478" s="121"/>
      <c r="X478" s="121"/>
      <c r="Y478" s="121"/>
      <c r="Z478" s="121"/>
    </row>
    <row r="479" spans="1:26" ht="11.25" customHeight="1" x14ac:dyDescent="0.3">
      <c r="A479" s="121"/>
      <c r="B479" s="121"/>
      <c r="C479" s="121"/>
      <c r="D479" s="121"/>
      <c r="E479" s="121"/>
      <c r="F479" s="121"/>
      <c r="G479" s="121"/>
      <c r="H479" s="121"/>
      <c r="I479" s="121"/>
      <c r="J479" s="121"/>
      <c r="K479" s="121"/>
      <c r="L479" s="121"/>
      <c r="M479" s="121"/>
      <c r="N479" s="121"/>
      <c r="O479" s="121"/>
      <c r="P479" s="121"/>
      <c r="Q479" s="121"/>
      <c r="R479" s="121"/>
      <c r="S479" s="121"/>
      <c r="T479" s="121"/>
      <c r="U479" s="121"/>
      <c r="V479" s="121"/>
      <c r="W479" s="121"/>
      <c r="X479" s="121"/>
      <c r="Y479" s="121"/>
      <c r="Z479" s="121"/>
    </row>
    <row r="480" spans="1:26" ht="11.25" customHeight="1" x14ac:dyDescent="0.3">
      <c r="A480" s="121"/>
      <c r="B480" s="121"/>
      <c r="C480" s="121"/>
      <c r="D480" s="121"/>
      <c r="E480" s="121"/>
      <c r="F480" s="121"/>
      <c r="G480" s="121"/>
      <c r="H480" s="121"/>
      <c r="I480" s="121"/>
      <c r="J480" s="121"/>
      <c r="K480" s="121"/>
      <c r="L480" s="121"/>
      <c r="M480" s="121"/>
      <c r="N480" s="121"/>
      <c r="O480" s="121"/>
      <c r="P480" s="121"/>
      <c r="Q480" s="121"/>
      <c r="R480" s="121"/>
      <c r="S480" s="121"/>
      <c r="T480" s="121"/>
      <c r="U480" s="121"/>
      <c r="V480" s="121"/>
      <c r="W480" s="121"/>
      <c r="X480" s="121"/>
      <c r="Y480" s="121"/>
      <c r="Z480" s="121"/>
    </row>
    <row r="481" spans="1:26" ht="11.25" customHeight="1" x14ac:dyDescent="0.3">
      <c r="A481" s="121"/>
      <c r="B481" s="121"/>
      <c r="C481" s="121"/>
      <c r="D481" s="121"/>
      <c r="E481" s="121"/>
      <c r="F481" s="121"/>
      <c r="G481" s="121"/>
      <c r="H481" s="121"/>
      <c r="I481" s="121"/>
      <c r="J481" s="121"/>
      <c r="K481" s="121"/>
      <c r="L481" s="121"/>
      <c r="M481" s="121"/>
      <c r="N481" s="121"/>
      <c r="O481" s="121"/>
      <c r="P481" s="121"/>
      <c r="Q481" s="121"/>
      <c r="R481" s="121"/>
      <c r="S481" s="121"/>
      <c r="T481" s="121"/>
      <c r="U481" s="121"/>
      <c r="V481" s="121"/>
      <c r="W481" s="121"/>
      <c r="X481" s="121"/>
      <c r="Y481" s="121"/>
      <c r="Z481" s="121"/>
    </row>
    <row r="482" spans="1:26" ht="11.25" customHeight="1" x14ac:dyDescent="0.3">
      <c r="A482" s="121"/>
      <c r="B482" s="121"/>
      <c r="C482" s="121"/>
      <c r="D482" s="121"/>
      <c r="E482" s="121"/>
      <c r="F482" s="121"/>
      <c r="G482" s="121"/>
      <c r="H482" s="121"/>
      <c r="I482" s="121"/>
      <c r="J482" s="121"/>
      <c r="K482" s="121"/>
      <c r="L482" s="121"/>
      <c r="M482" s="121"/>
      <c r="N482" s="121"/>
      <c r="O482" s="121"/>
      <c r="P482" s="121"/>
      <c r="Q482" s="121"/>
      <c r="R482" s="121"/>
      <c r="S482" s="121"/>
      <c r="T482" s="121"/>
      <c r="U482" s="121"/>
      <c r="V482" s="121"/>
      <c r="W482" s="121"/>
      <c r="X482" s="121"/>
      <c r="Y482" s="121"/>
      <c r="Z482" s="121"/>
    </row>
    <row r="483" spans="1:26" ht="11.25" customHeight="1" x14ac:dyDescent="0.3">
      <c r="A483" s="121"/>
      <c r="B483" s="121"/>
      <c r="C483" s="121"/>
      <c r="D483" s="121"/>
      <c r="E483" s="121"/>
      <c r="F483" s="121"/>
      <c r="G483" s="121"/>
      <c r="H483" s="121"/>
      <c r="I483" s="121"/>
      <c r="J483" s="121"/>
      <c r="K483" s="121"/>
      <c r="L483" s="121"/>
      <c r="M483" s="121"/>
      <c r="N483" s="121"/>
      <c r="O483" s="121"/>
      <c r="P483" s="121"/>
      <c r="Q483" s="121"/>
      <c r="R483" s="121"/>
      <c r="S483" s="121"/>
      <c r="T483" s="121"/>
      <c r="U483" s="121"/>
      <c r="V483" s="121"/>
      <c r="W483" s="121"/>
      <c r="X483" s="121"/>
      <c r="Y483" s="121"/>
      <c r="Z483" s="121"/>
    </row>
    <row r="484" spans="1:26" ht="11.25" customHeight="1" x14ac:dyDescent="0.3">
      <c r="A484" s="121"/>
      <c r="B484" s="121"/>
      <c r="C484" s="121"/>
      <c r="D484" s="121"/>
      <c r="E484" s="121"/>
      <c r="F484" s="121"/>
      <c r="G484" s="121"/>
      <c r="H484" s="121"/>
      <c r="I484" s="121"/>
      <c r="J484" s="121"/>
      <c r="K484" s="121"/>
      <c r="L484" s="121"/>
      <c r="M484" s="121"/>
      <c r="N484" s="121"/>
      <c r="O484" s="121"/>
      <c r="P484" s="121"/>
      <c r="Q484" s="121"/>
      <c r="R484" s="121"/>
      <c r="S484" s="121"/>
      <c r="T484" s="121"/>
      <c r="U484" s="121"/>
      <c r="V484" s="121"/>
      <c r="W484" s="121"/>
      <c r="X484" s="121"/>
      <c r="Y484" s="121"/>
      <c r="Z484" s="121"/>
    </row>
    <row r="485" spans="1:26" ht="11.25" customHeight="1" x14ac:dyDescent="0.3">
      <c r="A485" s="121"/>
      <c r="B485" s="121"/>
      <c r="C485" s="121"/>
      <c r="D485" s="121"/>
      <c r="E485" s="121"/>
      <c r="F485" s="121"/>
      <c r="G485" s="121"/>
      <c r="H485" s="121"/>
      <c r="I485" s="121"/>
      <c r="J485" s="121"/>
      <c r="K485" s="121"/>
      <c r="L485" s="121"/>
      <c r="M485" s="121"/>
      <c r="N485" s="121"/>
      <c r="O485" s="121"/>
      <c r="P485" s="121"/>
      <c r="Q485" s="121"/>
      <c r="R485" s="121"/>
      <c r="S485" s="121"/>
      <c r="T485" s="121"/>
      <c r="U485" s="121"/>
      <c r="V485" s="121"/>
      <c r="W485" s="121"/>
      <c r="X485" s="121"/>
      <c r="Y485" s="121"/>
      <c r="Z485" s="121"/>
    </row>
    <row r="486" spans="1:26" ht="11.25" customHeight="1" x14ac:dyDescent="0.3">
      <c r="A486" s="121"/>
      <c r="B486" s="121"/>
      <c r="C486" s="121"/>
      <c r="D486" s="121"/>
      <c r="E486" s="121"/>
      <c r="F486" s="121"/>
      <c r="G486" s="121"/>
      <c r="H486" s="121"/>
      <c r="I486" s="121"/>
      <c r="J486" s="121"/>
      <c r="K486" s="121"/>
      <c r="L486" s="121"/>
      <c r="M486" s="121"/>
      <c r="N486" s="121"/>
      <c r="O486" s="121"/>
      <c r="P486" s="121"/>
      <c r="Q486" s="121"/>
      <c r="R486" s="121"/>
      <c r="S486" s="121"/>
      <c r="T486" s="121"/>
      <c r="U486" s="121"/>
      <c r="V486" s="121"/>
      <c r="W486" s="121"/>
      <c r="X486" s="121"/>
      <c r="Y486" s="121"/>
      <c r="Z486" s="121"/>
    </row>
    <row r="487" spans="1:26" ht="11.25" customHeight="1" x14ac:dyDescent="0.3">
      <c r="A487" s="121"/>
      <c r="B487" s="121"/>
      <c r="C487" s="121"/>
      <c r="D487" s="121"/>
      <c r="E487" s="121"/>
      <c r="F487" s="121"/>
      <c r="G487" s="121"/>
      <c r="H487" s="121"/>
      <c r="I487" s="121"/>
      <c r="J487" s="121"/>
      <c r="K487" s="121"/>
      <c r="L487" s="121"/>
      <c r="M487" s="121"/>
      <c r="N487" s="121"/>
      <c r="O487" s="121"/>
      <c r="P487" s="121"/>
      <c r="Q487" s="121"/>
      <c r="R487" s="121"/>
      <c r="S487" s="121"/>
      <c r="T487" s="121"/>
      <c r="U487" s="121"/>
      <c r="V487" s="121"/>
      <c r="W487" s="121"/>
      <c r="X487" s="121"/>
      <c r="Y487" s="121"/>
      <c r="Z487" s="121"/>
    </row>
    <row r="488" spans="1:26" ht="11.25" customHeight="1" x14ac:dyDescent="0.3">
      <c r="A488" s="121"/>
      <c r="B488" s="121"/>
      <c r="C488" s="121"/>
      <c r="D488" s="121"/>
      <c r="E488" s="121"/>
      <c r="F488" s="121"/>
      <c r="G488" s="121"/>
      <c r="H488" s="121"/>
      <c r="I488" s="121"/>
      <c r="J488" s="121"/>
      <c r="K488" s="121"/>
      <c r="L488" s="121"/>
      <c r="M488" s="121"/>
      <c r="N488" s="121"/>
      <c r="O488" s="121"/>
      <c r="P488" s="121"/>
      <c r="Q488" s="121"/>
      <c r="R488" s="121"/>
      <c r="S488" s="121"/>
      <c r="T488" s="121"/>
      <c r="U488" s="121"/>
      <c r="V488" s="121"/>
      <c r="W488" s="121"/>
      <c r="X488" s="121"/>
      <c r="Y488" s="121"/>
      <c r="Z488" s="121"/>
    </row>
    <row r="489" spans="1:26" ht="11.25" customHeight="1" x14ac:dyDescent="0.3">
      <c r="A489" s="121"/>
      <c r="B489" s="121"/>
      <c r="C489" s="121"/>
      <c r="D489" s="121"/>
      <c r="E489" s="121"/>
      <c r="F489" s="121"/>
      <c r="G489" s="121"/>
      <c r="H489" s="121"/>
      <c r="I489" s="121"/>
      <c r="J489" s="121"/>
      <c r="K489" s="121"/>
      <c r="L489" s="121"/>
      <c r="M489" s="121"/>
      <c r="N489" s="121"/>
      <c r="O489" s="121"/>
      <c r="P489" s="121"/>
      <c r="Q489" s="121"/>
      <c r="R489" s="121"/>
      <c r="S489" s="121"/>
      <c r="T489" s="121"/>
      <c r="U489" s="121"/>
      <c r="V489" s="121"/>
      <c r="W489" s="121"/>
      <c r="X489" s="121"/>
      <c r="Y489" s="121"/>
      <c r="Z489" s="121"/>
    </row>
    <row r="490" spans="1:26" ht="11.25" customHeight="1" x14ac:dyDescent="0.3">
      <c r="A490" s="121"/>
      <c r="B490" s="121"/>
      <c r="C490" s="121"/>
      <c r="D490" s="121"/>
      <c r="E490" s="121"/>
      <c r="F490" s="121"/>
      <c r="G490" s="121"/>
      <c r="H490" s="121"/>
      <c r="I490" s="121"/>
      <c r="J490" s="121"/>
      <c r="K490" s="121"/>
      <c r="L490" s="121"/>
      <c r="M490" s="121"/>
      <c r="N490" s="121"/>
      <c r="O490" s="121"/>
      <c r="P490" s="121"/>
      <c r="Q490" s="121"/>
      <c r="R490" s="121"/>
      <c r="S490" s="121"/>
      <c r="T490" s="121"/>
      <c r="U490" s="121"/>
      <c r="V490" s="121"/>
      <c r="W490" s="121"/>
      <c r="X490" s="121"/>
      <c r="Y490" s="121"/>
      <c r="Z490" s="121"/>
    </row>
    <row r="491" spans="1:26" ht="11.25" customHeight="1" x14ac:dyDescent="0.3">
      <c r="A491" s="121"/>
      <c r="B491" s="121"/>
      <c r="C491" s="121"/>
      <c r="D491" s="121"/>
      <c r="E491" s="121"/>
      <c r="F491" s="121"/>
      <c r="G491" s="121"/>
      <c r="H491" s="121"/>
      <c r="I491" s="121"/>
      <c r="J491" s="121"/>
      <c r="K491" s="121"/>
      <c r="L491" s="121"/>
      <c r="M491" s="121"/>
      <c r="N491" s="121"/>
      <c r="O491" s="121"/>
      <c r="P491" s="121"/>
      <c r="Q491" s="121"/>
      <c r="R491" s="121"/>
      <c r="S491" s="121"/>
      <c r="T491" s="121"/>
      <c r="U491" s="121"/>
      <c r="V491" s="121"/>
      <c r="W491" s="121"/>
      <c r="X491" s="121"/>
      <c r="Y491" s="121"/>
      <c r="Z491" s="121"/>
    </row>
    <row r="492" spans="1:26" ht="11.25" customHeight="1" x14ac:dyDescent="0.3">
      <c r="A492" s="121"/>
      <c r="B492" s="121"/>
      <c r="C492" s="121"/>
      <c r="D492" s="121"/>
      <c r="E492" s="121"/>
      <c r="F492" s="121"/>
      <c r="G492" s="121"/>
      <c r="H492" s="121"/>
      <c r="I492" s="121"/>
      <c r="J492" s="121"/>
      <c r="K492" s="121"/>
      <c r="L492" s="121"/>
      <c r="M492" s="121"/>
      <c r="N492" s="121"/>
      <c r="O492" s="121"/>
      <c r="P492" s="121"/>
      <c r="Q492" s="121"/>
      <c r="R492" s="121"/>
      <c r="S492" s="121"/>
      <c r="T492" s="121"/>
      <c r="U492" s="121"/>
      <c r="V492" s="121"/>
      <c r="W492" s="121"/>
      <c r="X492" s="121"/>
      <c r="Y492" s="121"/>
      <c r="Z492" s="121"/>
    </row>
    <row r="493" spans="1:26" ht="11.25" customHeight="1" x14ac:dyDescent="0.3">
      <c r="A493" s="121"/>
      <c r="B493" s="121"/>
      <c r="C493" s="121"/>
      <c r="D493" s="121"/>
      <c r="E493" s="121"/>
      <c r="F493" s="121"/>
      <c r="G493" s="121"/>
      <c r="H493" s="121"/>
      <c r="I493" s="121"/>
      <c r="J493" s="121"/>
      <c r="K493" s="121"/>
      <c r="L493" s="121"/>
      <c r="M493" s="121"/>
      <c r="N493" s="121"/>
      <c r="O493" s="121"/>
      <c r="P493" s="121"/>
      <c r="Q493" s="121"/>
      <c r="R493" s="121"/>
      <c r="S493" s="121"/>
      <c r="T493" s="121"/>
      <c r="U493" s="121"/>
      <c r="V493" s="121"/>
      <c r="W493" s="121"/>
      <c r="X493" s="121"/>
      <c r="Y493" s="121"/>
      <c r="Z493" s="121"/>
    </row>
    <row r="494" spans="1:26" ht="11.25" customHeight="1" x14ac:dyDescent="0.3">
      <c r="A494" s="121"/>
      <c r="B494" s="121"/>
      <c r="C494" s="121"/>
      <c r="D494" s="121"/>
      <c r="E494" s="121"/>
      <c r="F494" s="121"/>
      <c r="G494" s="121"/>
      <c r="H494" s="121"/>
      <c r="I494" s="121"/>
      <c r="J494" s="121"/>
      <c r="K494" s="121"/>
      <c r="L494" s="121"/>
      <c r="M494" s="121"/>
      <c r="N494" s="121"/>
      <c r="O494" s="121"/>
      <c r="P494" s="121"/>
      <c r="Q494" s="121"/>
      <c r="R494" s="121"/>
      <c r="S494" s="121"/>
      <c r="T494" s="121"/>
      <c r="U494" s="121"/>
      <c r="V494" s="121"/>
      <c r="W494" s="121"/>
      <c r="X494" s="121"/>
      <c r="Y494" s="121"/>
      <c r="Z494" s="121"/>
    </row>
    <row r="495" spans="1:26" ht="11.25" customHeight="1" x14ac:dyDescent="0.3">
      <c r="A495" s="121"/>
      <c r="B495" s="121"/>
      <c r="C495" s="121"/>
      <c r="D495" s="121"/>
      <c r="E495" s="121"/>
      <c r="F495" s="121"/>
      <c r="G495" s="121"/>
      <c r="H495" s="121"/>
      <c r="I495" s="121"/>
      <c r="J495" s="121"/>
      <c r="K495" s="121"/>
      <c r="L495" s="121"/>
      <c r="M495" s="121"/>
      <c r="N495" s="121"/>
      <c r="O495" s="121"/>
      <c r="P495" s="121"/>
      <c r="Q495" s="121"/>
      <c r="R495" s="121"/>
      <c r="S495" s="121"/>
      <c r="T495" s="121"/>
      <c r="U495" s="121"/>
      <c r="V495" s="121"/>
      <c r="W495" s="121"/>
      <c r="X495" s="121"/>
      <c r="Y495" s="121"/>
      <c r="Z495" s="121"/>
    </row>
    <row r="496" spans="1:26" ht="11.25" customHeight="1" x14ac:dyDescent="0.3">
      <c r="A496" s="121"/>
      <c r="B496" s="121"/>
      <c r="C496" s="121"/>
      <c r="D496" s="121"/>
      <c r="E496" s="121"/>
      <c r="F496" s="121"/>
      <c r="G496" s="121"/>
      <c r="H496" s="121"/>
      <c r="I496" s="121"/>
      <c r="J496" s="121"/>
      <c r="K496" s="121"/>
      <c r="L496" s="121"/>
      <c r="M496" s="121"/>
      <c r="N496" s="121"/>
      <c r="O496" s="121"/>
      <c r="P496" s="121"/>
      <c r="Q496" s="121"/>
      <c r="R496" s="121"/>
      <c r="S496" s="121"/>
      <c r="T496" s="121"/>
      <c r="U496" s="121"/>
      <c r="V496" s="121"/>
      <c r="W496" s="121"/>
      <c r="X496" s="121"/>
      <c r="Y496" s="121"/>
      <c r="Z496" s="121"/>
    </row>
    <row r="497" spans="1:26" ht="11.25" customHeight="1" x14ac:dyDescent="0.3">
      <c r="A497" s="121"/>
      <c r="B497" s="121"/>
      <c r="C497" s="121"/>
      <c r="D497" s="121"/>
      <c r="E497" s="121"/>
      <c r="F497" s="121"/>
      <c r="G497" s="121"/>
      <c r="H497" s="121"/>
      <c r="I497" s="121"/>
      <c r="J497" s="121"/>
      <c r="K497" s="121"/>
      <c r="L497" s="121"/>
      <c r="M497" s="121"/>
      <c r="N497" s="121"/>
      <c r="O497" s="121"/>
      <c r="P497" s="121"/>
      <c r="Q497" s="121"/>
      <c r="R497" s="121"/>
      <c r="S497" s="121"/>
      <c r="T497" s="121"/>
      <c r="U497" s="121"/>
      <c r="V497" s="121"/>
      <c r="W497" s="121"/>
      <c r="X497" s="121"/>
      <c r="Y497" s="121"/>
      <c r="Z497" s="121"/>
    </row>
    <row r="498" spans="1:26" ht="11.25" customHeight="1" x14ac:dyDescent="0.3">
      <c r="A498" s="121"/>
      <c r="B498" s="121"/>
      <c r="C498" s="121"/>
      <c r="D498" s="121"/>
      <c r="E498" s="121"/>
      <c r="F498" s="121"/>
      <c r="G498" s="121"/>
      <c r="H498" s="121"/>
      <c r="I498" s="121"/>
      <c r="J498" s="121"/>
      <c r="K498" s="121"/>
      <c r="L498" s="121"/>
      <c r="M498" s="121"/>
      <c r="N498" s="121"/>
      <c r="O498" s="121"/>
      <c r="P498" s="121"/>
      <c r="Q498" s="121"/>
      <c r="R498" s="121"/>
      <c r="S498" s="121"/>
      <c r="T498" s="121"/>
      <c r="U498" s="121"/>
      <c r="V498" s="121"/>
      <c r="W498" s="121"/>
      <c r="X498" s="121"/>
      <c r="Y498" s="121"/>
      <c r="Z498" s="121"/>
    </row>
    <row r="499" spans="1:26" ht="11.25" customHeight="1" x14ac:dyDescent="0.3">
      <c r="A499" s="121"/>
      <c r="B499" s="121"/>
      <c r="C499" s="121"/>
      <c r="D499" s="121"/>
      <c r="E499" s="121"/>
      <c r="F499" s="121"/>
      <c r="G499" s="121"/>
      <c r="H499" s="121"/>
      <c r="I499" s="121"/>
      <c r="J499" s="121"/>
      <c r="K499" s="121"/>
      <c r="L499" s="121"/>
      <c r="M499" s="121"/>
      <c r="N499" s="121"/>
      <c r="O499" s="121"/>
      <c r="P499" s="121"/>
      <c r="Q499" s="121"/>
      <c r="R499" s="121"/>
      <c r="S499" s="121"/>
      <c r="T499" s="121"/>
      <c r="U499" s="121"/>
      <c r="V499" s="121"/>
      <c r="W499" s="121"/>
      <c r="X499" s="121"/>
      <c r="Y499" s="121"/>
      <c r="Z499" s="121"/>
    </row>
    <row r="500" spans="1:26" ht="11.25" customHeight="1" x14ac:dyDescent="0.3">
      <c r="A500" s="121"/>
      <c r="B500" s="121"/>
      <c r="C500" s="121"/>
      <c r="D500" s="121"/>
      <c r="E500" s="121"/>
      <c r="F500" s="121"/>
      <c r="G500" s="121"/>
      <c r="H500" s="121"/>
      <c r="I500" s="121"/>
      <c r="J500" s="121"/>
      <c r="K500" s="121"/>
      <c r="L500" s="121"/>
      <c r="M500" s="121"/>
      <c r="N500" s="121"/>
      <c r="O500" s="121"/>
      <c r="P500" s="121"/>
      <c r="Q500" s="121"/>
      <c r="R500" s="121"/>
      <c r="S500" s="121"/>
      <c r="T500" s="121"/>
      <c r="U500" s="121"/>
      <c r="V500" s="121"/>
      <c r="W500" s="121"/>
      <c r="X500" s="121"/>
      <c r="Y500" s="121"/>
      <c r="Z500" s="121"/>
    </row>
    <row r="501" spans="1:26" ht="11.25" customHeight="1" x14ac:dyDescent="0.3">
      <c r="A501" s="121"/>
      <c r="B501" s="121"/>
      <c r="C501" s="121"/>
      <c r="D501" s="121"/>
      <c r="E501" s="121"/>
      <c r="F501" s="121"/>
      <c r="G501" s="121"/>
      <c r="H501" s="121"/>
      <c r="I501" s="121"/>
      <c r="J501" s="121"/>
      <c r="K501" s="121"/>
      <c r="L501" s="121"/>
      <c r="M501" s="121"/>
      <c r="N501" s="121"/>
      <c r="O501" s="121"/>
      <c r="P501" s="121"/>
      <c r="Q501" s="121"/>
      <c r="R501" s="121"/>
      <c r="S501" s="121"/>
      <c r="T501" s="121"/>
      <c r="U501" s="121"/>
      <c r="V501" s="121"/>
      <c r="W501" s="121"/>
      <c r="X501" s="121"/>
      <c r="Y501" s="121"/>
      <c r="Z501" s="121"/>
    </row>
    <row r="502" spans="1:26" ht="11.25" customHeight="1" x14ac:dyDescent="0.3">
      <c r="A502" s="121"/>
      <c r="B502" s="121"/>
      <c r="C502" s="121"/>
      <c r="D502" s="121"/>
      <c r="E502" s="121"/>
      <c r="F502" s="121"/>
      <c r="G502" s="121"/>
      <c r="H502" s="121"/>
      <c r="I502" s="121"/>
      <c r="J502" s="121"/>
      <c r="K502" s="121"/>
      <c r="L502" s="121"/>
      <c r="M502" s="121"/>
      <c r="N502" s="121"/>
      <c r="O502" s="121"/>
      <c r="P502" s="121"/>
      <c r="Q502" s="121"/>
      <c r="R502" s="121"/>
      <c r="S502" s="121"/>
      <c r="T502" s="121"/>
      <c r="U502" s="121"/>
      <c r="V502" s="121"/>
      <c r="W502" s="121"/>
      <c r="X502" s="121"/>
      <c r="Y502" s="121"/>
      <c r="Z502" s="121"/>
    </row>
    <row r="503" spans="1:26" ht="11.25" customHeight="1" x14ac:dyDescent="0.3">
      <c r="A503" s="121"/>
      <c r="B503" s="121"/>
      <c r="C503" s="121"/>
      <c r="D503" s="121"/>
      <c r="E503" s="121"/>
      <c r="F503" s="121"/>
      <c r="G503" s="121"/>
      <c r="H503" s="121"/>
      <c r="I503" s="121"/>
      <c r="J503" s="121"/>
      <c r="K503" s="121"/>
      <c r="L503" s="121"/>
      <c r="M503" s="121"/>
      <c r="N503" s="121"/>
      <c r="O503" s="121"/>
      <c r="P503" s="121"/>
      <c r="Q503" s="121"/>
      <c r="R503" s="121"/>
      <c r="S503" s="121"/>
      <c r="T503" s="121"/>
      <c r="U503" s="121"/>
      <c r="V503" s="121"/>
      <c r="W503" s="121"/>
      <c r="X503" s="121"/>
      <c r="Y503" s="121"/>
      <c r="Z503" s="121"/>
    </row>
    <row r="504" spans="1:26" ht="11.25" customHeight="1" x14ac:dyDescent="0.3">
      <c r="A504" s="121"/>
      <c r="B504" s="121"/>
      <c r="C504" s="121"/>
      <c r="D504" s="121"/>
      <c r="E504" s="121"/>
      <c r="F504" s="121"/>
      <c r="G504" s="121"/>
      <c r="H504" s="121"/>
      <c r="I504" s="121"/>
      <c r="J504" s="121"/>
      <c r="K504" s="121"/>
      <c r="L504" s="121"/>
      <c r="M504" s="121"/>
      <c r="N504" s="121"/>
      <c r="O504" s="121"/>
      <c r="P504" s="121"/>
      <c r="Q504" s="121"/>
      <c r="R504" s="121"/>
      <c r="S504" s="121"/>
      <c r="T504" s="121"/>
      <c r="U504" s="121"/>
      <c r="V504" s="121"/>
      <c r="W504" s="121"/>
      <c r="X504" s="121"/>
      <c r="Y504" s="121"/>
      <c r="Z504" s="121"/>
    </row>
    <row r="505" spans="1:26" ht="11.25" customHeight="1" x14ac:dyDescent="0.3">
      <c r="A505" s="121"/>
      <c r="B505" s="121"/>
      <c r="C505" s="121"/>
      <c r="D505" s="121"/>
      <c r="E505" s="121"/>
      <c r="F505" s="121"/>
      <c r="G505" s="121"/>
      <c r="H505" s="121"/>
      <c r="I505" s="121"/>
      <c r="J505" s="121"/>
      <c r="K505" s="121"/>
      <c r="L505" s="121"/>
      <c r="M505" s="121"/>
      <c r="N505" s="121"/>
      <c r="O505" s="121"/>
      <c r="P505" s="121"/>
      <c r="Q505" s="121"/>
      <c r="R505" s="121"/>
      <c r="S505" s="121"/>
      <c r="T505" s="121"/>
      <c r="U505" s="121"/>
      <c r="V505" s="121"/>
      <c r="W505" s="121"/>
      <c r="X505" s="121"/>
      <c r="Y505" s="121"/>
      <c r="Z505" s="121"/>
    </row>
    <row r="506" spans="1:26" ht="11.25" customHeight="1" x14ac:dyDescent="0.3">
      <c r="A506" s="121"/>
      <c r="B506" s="121"/>
      <c r="C506" s="121"/>
      <c r="D506" s="121"/>
      <c r="E506" s="121"/>
      <c r="F506" s="121"/>
      <c r="G506" s="121"/>
      <c r="H506" s="121"/>
      <c r="I506" s="121"/>
      <c r="J506" s="121"/>
      <c r="K506" s="121"/>
      <c r="L506" s="121"/>
      <c r="M506" s="121"/>
      <c r="N506" s="121"/>
      <c r="O506" s="121"/>
      <c r="P506" s="121"/>
      <c r="Q506" s="121"/>
      <c r="R506" s="121"/>
      <c r="S506" s="121"/>
      <c r="T506" s="121"/>
      <c r="U506" s="121"/>
      <c r="V506" s="121"/>
      <c r="W506" s="121"/>
      <c r="X506" s="121"/>
      <c r="Y506" s="121"/>
      <c r="Z506" s="121"/>
    </row>
    <row r="507" spans="1:26" ht="11.25" customHeight="1" x14ac:dyDescent="0.3">
      <c r="A507" s="121"/>
      <c r="B507" s="121"/>
      <c r="C507" s="121"/>
      <c r="D507" s="121"/>
      <c r="E507" s="121"/>
      <c r="F507" s="121"/>
      <c r="G507" s="121"/>
      <c r="H507" s="121"/>
      <c r="I507" s="121"/>
      <c r="J507" s="121"/>
      <c r="K507" s="121"/>
      <c r="L507" s="121"/>
      <c r="M507" s="121"/>
      <c r="N507" s="121"/>
      <c r="O507" s="121"/>
      <c r="P507" s="121"/>
      <c r="Q507" s="121"/>
      <c r="R507" s="121"/>
      <c r="S507" s="121"/>
      <c r="T507" s="121"/>
      <c r="U507" s="121"/>
      <c r="V507" s="121"/>
      <c r="W507" s="121"/>
      <c r="X507" s="121"/>
      <c r="Y507" s="121"/>
      <c r="Z507" s="121"/>
    </row>
    <row r="508" spans="1:26" ht="11.25" customHeight="1" x14ac:dyDescent="0.3">
      <c r="A508" s="121"/>
      <c r="B508" s="121"/>
      <c r="C508" s="121"/>
      <c r="D508" s="121"/>
      <c r="E508" s="121"/>
      <c r="F508" s="121"/>
      <c r="G508" s="121"/>
      <c r="H508" s="121"/>
      <c r="I508" s="121"/>
      <c r="J508" s="121"/>
      <c r="K508" s="121"/>
      <c r="L508" s="121"/>
      <c r="M508" s="121"/>
      <c r="N508" s="121"/>
      <c r="O508" s="121"/>
      <c r="P508" s="121"/>
      <c r="Q508" s="121"/>
      <c r="R508" s="121"/>
      <c r="S508" s="121"/>
      <c r="T508" s="121"/>
      <c r="U508" s="121"/>
      <c r="V508" s="121"/>
      <c r="W508" s="121"/>
      <c r="X508" s="121"/>
      <c r="Y508" s="121"/>
      <c r="Z508" s="121"/>
    </row>
    <row r="509" spans="1:26" ht="11.25" customHeight="1" x14ac:dyDescent="0.3">
      <c r="A509" s="121"/>
      <c r="B509" s="121"/>
      <c r="C509" s="121"/>
      <c r="D509" s="121"/>
      <c r="E509" s="121"/>
      <c r="F509" s="121"/>
      <c r="G509" s="121"/>
      <c r="H509" s="121"/>
      <c r="I509" s="121"/>
      <c r="J509" s="121"/>
      <c r="K509" s="121"/>
      <c r="L509" s="121"/>
      <c r="M509" s="121"/>
      <c r="N509" s="121"/>
      <c r="O509" s="121"/>
      <c r="P509" s="121"/>
      <c r="Q509" s="121"/>
      <c r="R509" s="121"/>
      <c r="S509" s="121"/>
      <c r="T509" s="121"/>
      <c r="U509" s="121"/>
      <c r="V509" s="121"/>
      <c r="W509" s="121"/>
      <c r="X509" s="121"/>
      <c r="Y509" s="121"/>
      <c r="Z509" s="121"/>
    </row>
    <row r="510" spans="1:26" ht="11.25" customHeight="1" x14ac:dyDescent="0.3">
      <c r="A510" s="121"/>
      <c r="B510" s="121"/>
      <c r="C510" s="121"/>
      <c r="D510" s="121"/>
      <c r="E510" s="121"/>
      <c r="F510" s="121"/>
      <c r="G510" s="121"/>
      <c r="H510" s="121"/>
      <c r="I510" s="121"/>
      <c r="J510" s="121"/>
      <c r="K510" s="121"/>
      <c r="L510" s="121"/>
      <c r="M510" s="121"/>
      <c r="N510" s="121"/>
      <c r="O510" s="121"/>
      <c r="P510" s="121"/>
      <c r="Q510" s="121"/>
      <c r="R510" s="121"/>
      <c r="S510" s="121"/>
      <c r="T510" s="121"/>
      <c r="U510" s="121"/>
      <c r="V510" s="121"/>
      <c r="W510" s="121"/>
      <c r="X510" s="121"/>
      <c r="Y510" s="121"/>
      <c r="Z510" s="121"/>
    </row>
    <row r="511" spans="1:26" ht="11.25" customHeight="1" x14ac:dyDescent="0.3">
      <c r="A511" s="121"/>
      <c r="B511" s="121"/>
      <c r="C511" s="121"/>
      <c r="D511" s="121"/>
      <c r="E511" s="121"/>
      <c r="F511" s="121"/>
      <c r="G511" s="121"/>
      <c r="H511" s="121"/>
      <c r="I511" s="121"/>
      <c r="J511" s="121"/>
      <c r="K511" s="121"/>
      <c r="L511" s="121"/>
      <c r="M511" s="121"/>
      <c r="N511" s="121"/>
      <c r="O511" s="121"/>
      <c r="P511" s="121"/>
      <c r="Q511" s="121"/>
      <c r="R511" s="121"/>
      <c r="S511" s="121"/>
      <c r="T511" s="121"/>
      <c r="U511" s="121"/>
      <c r="V511" s="121"/>
      <c r="W511" s="121"/>
      <c r="X511" s="121"/>
      <c r="Y511" s="121"/>
      <c r="Z511" s="121"/>
    </row>
    <row r="512" spans="1:26" ht="11.25" customHeight="1" x14ac:dyDescent="0.3">
      <c r="A512" s="121"/>
      <c r="B512" s="121"/>
      <c r="C512" s="121"/>
      <c r="D512" s="121"/>
      <c r="E512" s="121"/>
      <c r="F512" s="121"/>
      <c r="G512" s="121"/>
      <c r="H512" s="121"/>
      <c r="I512" s="121"/>
      <c r="J512" s="121"/>
      <c r="K512" s="121"/>
      <c r="L512" s="121"/>
      <c r="M512" s="121"/>
      <c r="N512" s="121"/>
      <c r="O512" s="121"/>
      <c r="P512" s="121"/>
      <c r="Q512" s="121"/>
      <c r="R512" s="121"/>
      <c r="S512" s="121"/>
      <c r="T512" s="121"/>
      <c r="U512" s="121"/>
      <c r="V512" s="121"/>
      <c r="W512" s="121"/>
      <c r="X512" s="121"/>
      <c r="Y512" s="121"/>
      <c r="Z512" s="121"/>
    </row>
    <row r="513" spans="1:26" ht="11.25" customHeight="1" x14ac:dyDescent="0.3">
      <c r="A513" s="121"/>
      <c r="B513" s="121"/>
      <c r="C513" s="121"/>
      <c r="D513" s="121"/>
      <c r="E513" s="121"/>
      <c r="F513" s="121"/>
      <c r="G513" s="121"/>
      <c r="H513" s="121"/>
      <c r="I513" s="121"/>
      <c r="J513" s="121"/>
      <c r="K513" s="121"/>
      <c r="L513" s="121"/>
      <c r="M513" s="121"/>
      <c r="N513" s="121"/>
      <c r="O513" s="121"/>
      <c r="P513" s="121"/>
      <c r="Q513" s="121"/>
      <c r="R513" s="121"/>
      <c r="S513" s="121"/>
      <c r="T513" s="121"/>
      <c r="U513" s="121"/>
      <c r="V513" s="121"/>
      <c r="W513" s="121"/>
      <c r="X513" s="121"/>
      <c r="Y513" s="121"/>
      <c r="Z513" s="121"/>
    </row>
    <row r="514" spans="1:26" ht="11.25" customHeight="1" x14ac:dyDescent="0.3">
      <c r="A514" s="121"/>
      <c r="B514" s="121"/>
      <c r="C514" s="121"/>
      <c r="D514" s="121"/>
      <c r="E514" s="121"/>
      <c r="F514" s="121"/>
      <c r="G514" s="121"/>
      <c r="H514" s="121"/>
      <c r="I514" s="121"/>
      <c r="J514" s="121"/>
      <c r="K514" s="121"/>
      <c r="L514" s="121"/>
      <c r="M514" s="121"/>
      <c r="N514" s="121"/>
      <c r="O514" s="121"/>
      <c r="P514" s="121"/>
      <c r="Q514" s="121"/>
      <c r="R514" s="121"/>
      <c r="S514" s="121"/>
      <c r="T514" s="121"/>
      <c r="U514" s="121"/>
      <c r="V514" s="121"/>
      <c r="W514" s="121"/>
      <c r="X514" s="121"/>
      <c r="Y514" s="121"/>
      <c r="Z514" s="121"/>
    </row>
    <row r="515" spans="1:26" ht="11.25" customHeight="1" x14ac:dyDescent="0.3">
      <c r="A515" s="121"/>
      <c r="B515" s="121"/>
      <c r="C515" s="121"/>
      <c r="D515" s="121"/>
      <c r="E515" s="121"/>
      <c r="F515" s="121"/>
      <c r="G515" s="121"/>
      <c r="H515" s="121"/>
      <c r="I515" s="121"/>
      <c r="J515" s="121"/>
      <c r="K515" s="121"/>
      <c r="L515" s="121"/>
      <c r="M515" s="121"/>
      <c r="N515" s="121"/>
      <c r="O515" s="121"/>
      <c r="P515" s="121"/>
      <c r="Q515" s="121"/>
      <c r="R515" s="121"/>
      <c r="S515" s="121"/>
      <c r="T515" s="121"/>
      <c r="U515" s="121"/>
      <c r="V515" s="121"/>
      <c r="W515" s="121"/>
      <c r="X515" s="121"/>
      <c r="Y515" s="121"/>
      <c r="Z515" s="121"/>
    </row>
    <row r="516" spans="1:26" ht="11.25" customHeight="1" x14ac:dyDescent="0.3">
      <c r="A516" s="121"/>
      <c r="B516" s="121"/>
      <c r="C516" s="121"/>
      <c r="D516" s="121"/>
      <c r="E516" s="121"/>
      <c r="F516" s="121"/>
      <c r="G516" s="121"/>
      <c r="H516" s="121"/>
      <c r="I516" s="121"/>
      <c r="J516" s="121"/>
      <c r="K516" s="121"/>
      <c r="L516" s="121"/>
      <c r="M516" s="121"/>
      <c r="N516" s="121"/>
      <c r="O516" s="121"/>
      <c r="P516" s="121"/>
      <c r="Q516" s="121"/>
      <c r="R516" s="121"/>
      <c r="S516" s="121"/>
      <c r="T516" s="121"/>
      <c r="U516" s="121"/>
      <c r="V516" s="121"/>
      <c r="W516" s="121"/>
      <c r="X516" s="121"/>
      <c r="Y516" s="121"/>
      <c r="Z516" s="121"/>
    </row>
    <row r="517" spans="1:26" ht="11.25" customHeight="1" x14ac:dyDescent="0.3">
      <c r="A517" s="121"/>
      <c r="B517" s="121"/>
      <c r="C517" s="121"/>
      <c r="D517" s="121"/>
      <c r="E517" s="121"/>
      <c r="F517" s="121"/>
      <c r="G517" s="121"/>
      <c r="H517" s="121"/>
      <c r="I517" s="121"/>
      <c r="J517" s="121"/>
      <c r="K517" s="121"/>
      <c r="L517" s="121"/>
      <c r="M517" s="121"/>
      <c r="N517" s="121"/>
      <c r="O517" s="121"/>
      <c r="P517" s="121"/>
      <c r="Q517" s="121"/>
      <c r="R517" s="121"/>
      <c r="S517" s="121"/>
      <c r="T517" s="121"/>
      <c r="U517" s="121"/>
      <c r="V517" s="121"/>
      <c r="W517" s="121"/>
      <c r="X517" s="121"/>
      <c r="Y517" s="121"/>
      <c r="Z517" s="121"/>
    </row>
    <row r="518" spans="1:26" ht="11.25" customHeight="1" x14ac:dyDescent="0.3">
      <c r="A518" s="121"/>
      <c r="B518" s="121"/>
      <c r="C518" s="121"/>
      <c r="D518" s="121"/>
      <c r="E518" s="121"/>
      <c r="F518" s="121"/>
      <c r="G518" s="121"/>
      <c r="H518" s="121"/>
      <c r="I518" s="121"/>
      <c r="J518" s="121"/>
      <c r="K518" s="121"/>
      <c r="L518" s="121"/>
      <c r="M518" s="121"/>
      <c r="N518" s="121"/>
      <c r="O518" s="121"/>
      <c r="P518" s="121"/>
      <c r="Q518" s="121"/>
      <c r="R518" s="121"/>
      <c r="S518" s="121"/>
      <c r="T518" s="121"/>
      <c r="U518" s="121"/>
      <c r="V518" s="121"/>
      <c r="W518" s="121"/>
      <c r="X518" s="121"/>
      <c r="Y518" s="121"/>
      <c r="Z518" s="121"/>
    </row>
    <row r="519" spans="1:26" ht="11.25" customHeight="1" x14ac:dyDescent="0.3">
      <c r="A519" s="121"/>
      <c r="B519" s="121"/>
      <c r="C519" s="121"/>
      <c r="D519" s="121"/>
      <c r="E519" s="121"/>
      <c r="F519" s="121"/>
      <c r="G519" s="121"/>
      <c r="H519" s="121"/>
      <c r="I519" s="121"/>
      <c r="J519" s="121"/>
      <c r="K519" s="121"/>
      <c r="L519" s="121"/>
      <c r="M519" s="121"/>
      <c r="N519" s="121"/>
      <c r="O519" s="121"/>
      <c r="P519" s="121"/>
      <c r="Q519" s="121"/>
      <c r="R519" s="121"/>
      <c r="S519" s="121"/>
      <c r="T519" s="121"/>
      <c r="U519" s="121"/>
      <c r="V519" s="121"/>
      <c r="W519" s="121"/>
      <c r="X519" s="121"/>
      <c r="Y519" s="121"/>
      <c r="Z519" s="121"/>
    </row>
    <row r="520" spans="1:26" ht="11.25" customHeight="1" x14ac:dyDescent="0.3">
      <c r="A520" s="121"/>
      <c r="B520" s="121"/>
      <c r="C520" s="121"/>
      <c r="D520" s="121"/>
      <c r="E520" s="121"/>
      <c r="F520" s="121"/>
      <c r="G520" s="121"/>
      <c r="H520" s="121"/>
      <c r="I520" s="121"/>
      <c r="J520" s="121"/>
      <c r="K520" s="121"/>
      <c r="L520" s="121"/>
      <c r="M520" s="121"/>
      <c r="N520" s="121"/>
      <c r="O520" s="121"/>
      <c r="P520" s="121"/>
      <c r="Q520" s="121"/>
      <c r="R520" s="121"/>
      <c r="S520" s="121"/>
      <c r="T520" s="121"/>
      <c r="U520" s="121"/>
      <c r="V520" s="121"/>
      <c r="W520" s="121"/>
      <c r="X520" s="121"/>
      <c r="Y520" s="121"/>
      <c r="Z520" s="121"/>
    </row>
    <row r="521" spans="1:26" ht="11.25" customHeight="1" x14ac:dyDescent="0.3">
      <c r="A521" s="121"/>
      <c r="B521" s="121"/>
      <c r="C521" s="121"/>
      <c r="D521" s="121"/>
      <c r="E521" s="121"/>
      <c r="F521" s="121"/>
      <c r="G521" s="121"/>
      <c r="H521" s="121"/>
      <c r="I521" s="121"/>
      <c r="J521" s="121"/>
      <c r="K521" s="121"/>
      <c r="L521" s="121"/>
      <c r="M521" s="121"/>
      <c r="N521" s="121"/>
      <c r="O521" s="121"/>
      <c r="P521" s="121"/>
      <c r="Q521" s="121"/>
      <c r="R521" s="121"/>
      <c r="S521" s="121"/>
      <c r="T521" s="121"/>
      <c r="U521" s="121"/>
      <c r="V521" s="121"/>
      <c r="W521" s="121"/>
      <c r="X521" s="121"/>
      <c r="Y521" s="121"/>
      <c r="Z521" s="121"/>
    </row>
    <row r="522" spans="1:26" ht="11.25" customHeight="1" x14ac:dyDescent="0.3">
      <c r="A522" s="121"/>
      <c r="B522" s="121"/>
      <c r="C522" s="121"/>
      <c r="D522" s="121"/>
      <c r="E522" s="121"/>
      <c r="F522" s="121"/>
      <c r="G522" s="121"/>
      <c r="H522" s="121"/>
      <c r="I522" s="121"/>
      <c r="J522" s="121"/>
      <c r="K522" s="121"/>
      <c r="L522" s="121"/>
      <c r="M522" s="121"/>
      <c r="N522" s="121"/>
      <c r="O522" s="121"/>
      <c r="P522" s="121"/>
      <c r="Q522" s="121"/>
      <c r="R522" s="121"/>
      <c r="S522" s="121"/>
      <c r="T522" s="121"/>
      <c r="U522" s="121"/>
      <c r="V522" s="121"/>
      <c r="W522" s="121"/>
      <c r="X522" s="121"/>
      <c r="Y522" s="121"/>
      <c r="Z522" s="121"/>
    </row>
    <row r="523" spans="1:26" ht="11.25" customHeight="1" x14ac:dyDescent="0.3">
      <c r="A523" s="121"/>
      <c r="B523" s="121"/>
      <c r="C523" s="121"/>
      <c r="D523" s="121"/>
      <c r="E523" s="121"/>
      <c r="F523" s="121"/>
      <c r="G523" s="121"/>
      <c r="H523" s="121"/>
      <c r="I523" s="121"/>
      <c r="J523" s="121"/>
      <c r="K523" s="121"/>
      <c r="L523" s="121"/>
      <c r="M523" s="121"/>
      <c r="N523" s="121"/>
      <c r="O523" s="121"/>
      <c r="P523" s="121"/>
      <c r="Q523" s="121"/>
      <c r="R523" s="121"/>
      <c r="S523" s="121"/>
      <c r="T523" s="121"/>
      <c r="U523" s="121"/>
      <c r="V523" s="121"/>
      <c r="W523" s="121"/>
      <c r="X523" s="121"/>
      <c r="Y523" s="121"/>
      <c r="Z523" s="121"/>
    </row>
    <row r="524" spans="1:26" ht="11.25" customHeight="1" x14ac:dyDescent="0.3">
      <c r="A524" s="121"/>
      <c r="B524" s="121"/>
      <c r="C524" s="121"/>
      <c r="D524" s="121"/>
      <c r="E524" s="121"/>
      <c r="F524" s="121"/>
      <c r="G524" s="121"/>
      <c r="H524" s="121"/>
      <c r="I524" s="121"/>
      <c r="J524" s="121"/>
      <c r="K524" s="121"/>
      <c r="L524" s="121"/>
      <c r="M524" s="121"/>
      <c r="N524" s="121"/>
      <c r="O524" s="121"/>
      <c r="P524" s="121"/>
      <c r="Q524" s="121"/>
      <c r="R524" s="121"/>
      <c r="S524" s="121"/>
      <c r="T524" s="121"/>
      <c r="U524" s="121"/>
      <c r="V524" s="121"/>
      <c r="W524" s="121"/>
      <c r="X524" s="121"/>
      <c r="Y524" s="121"/>
      <c r="Z524" s="121"/>
    </row>
    <row r="525" spans="1:26" ht="11.25" customHeight="1" x14ac:dyDescent="0.3">
      <c r="A525" s="121"/>
      <c r="B525" s="121"/>
      <c r="C525" s="121"/>
      <c r="D525" s="121"/>
      <c r="E525" s="121"/>
      <c r="F525" s="121"/>
      <c r="G525" s="121"/>
      <c r="H525" s="121"/>
      <c r="I525" s="121"/>
      <c r="J525" s="121"/>
      <c r="K525" s="121"/>
      <c r="L525" s="121"/>
      <c r="M525" s="121"/>
      <c r="N525" s="121"/>
      <c r="O525" s="121"/>
      <c r="P525" s="121"/>
      <c r="Q525" s="121"/>
      <c r="R525" s="121"/>
      <c r="S525" s="121"/>
      <c r="T525" s="121"/>
      <c r="U525" s="121"/>
      <c r="V525" s="121"/>
      <c r="W525" s="121"/>
      <c r="X525" s="121"/>
      <c r="Y525" s="121"/>
      <c r="Z525" s="121"/>
    </row>
    <row r="526" spans="1:26" ht="11.25" customHeight="1" x14ac:dyDescent="0.3">
      <c r="A526" s="121"/>
      <c r="B526" s="121"/>
      <c r="C526" s="121"/>
      <c r="D526" s="121"/>
      <c r="E526" s="121"/>
      <c r="F526" s="121"/>
      <c r="G526" s="121"/>
      <c r="H526" s="121"/>
      <c r="I526" s="121"/>
      <c r="J526" s="121"/>
      <c r="K526" s="121"/>
      <c r="L526" s="121"/>
      <c r="M526" s="121"/>
      <c r="N526" s="121"/>
      <c r="O526" s="121"/>
      <c r="P526" s="121"/>
      <c r="Q526" s="121"/>
      <c r="R526" s="121"/>
      <c r="S526" s="121"/>
      <c r="T526" s="121"/>
      <c r="U526" s="121"/>
      <c r="V526" s="121"/>
      <c r="W526" s="121"/>
      <c r="X526" s="121"/>
      <c r="Y526" s="121"/>
      <c r="Z526" s="121"/>
    </row>
    <row r="527" spans="1:26" ht="11.25" customHeight="1" x14ac:dyDescent="0.3">
      <c r="A527" s="121"/>
      <c r="B527" s="121"/>
      <c r="C527" s="121"/>
      <c r="D527" s="121"/>
      <c r="E527" s="121"/>
      <c r="F527" s="121"/>
      <c r="G527" s="121"/>
      <c r="H527" s="121"/>
      <c r="I527" s="121"/>
      <c r="J527" s="121"/>
      <c r="K527" s="121"/>
      <c r="L527" s="121"/>
      <c r="M527" s="121"/>
      <c r="N527" s="121"/>
      <c r="O527" s="121"/>
      <c r="P527" s="121"/>
      <c r="Q527" s="121"/>
      <c r="R527" s="121"/>
      <c r="S527" s="121"/>
      <c r="T527" s="121"/>
      <c r="U527" s="121"/>
      <c r="V527" s="121"/>
      <c r="W527" s="121"/>
      <c r="X527" s="121"/>
      <c r="Y527" s="121"/>
      <c r="Z527" s="121"/>
    </row>
    <row r="528" spans="1:26" ht="11.25" customHeight="1" x14ac:dyDescent="0.3">
      <c r="A528" s="121"/>
      <c r="B528" s="121"/>
      <c r="C528" s="121"/>
      <c r="D528" s="121"/>
      <c r="E528" s="121"/>
      <c r="F528" s="121"/>
      <c r="G528" s="121"/>
      <c r="H528" s="121"/>
      <c r="I528" s="121"/>
      <c r="J528" s="121"/>
      <c r="K528" s="121"/>
      <c r="L528" s="121"/>
      <c r="M528" s="121"/>
      <c r="N528" s="121"/>
      <c r="O528" s="121"/>
      <c r="P528" s="121"/>
      <c r="Q528" s="121"/>
      <c r="R528" s="121"/>
      <c r="S528" s="121"/>
      <c r="T528" s="121"/>
      <c r="U528" s="121"/>
      <c r="V528" s="121"/>
      <c r="W528" s="121"/>
      <c r="X528" s="121"/>
      <c r="Y528" s="121"/>
      <c r="Z528" s="121"/>
    </row>
    <row r="529" spans="1:26" ht="11.25" customHeight="1" x14ac:dyDescent="0.3">
      <c r="A529" s="121"/>
      <c r="B529" s="121"/>
      <c r="C529" s="121"/>
      <c r="D529" s="121"/>
      <c r="E529" s="121"/>
      <c r="F529" s="121"/>
      <c r="G529" s="121"/>
      <c r="H529" s="121"/>
      <c r="I529" s="121"/>
      <c r="J529" s="121"/>
      <c r="K529" s="121"/>
      <c r="L529" s="121"/>
      <c r="M529" s="121"/>
      <c r="N529" s="121"/>
      <c r="O529" s="121"/>
      <c r="P529" s="121"/>
      <c r="Q529" s="121"/>
      <c r="R529" s="121"/>
      <c r="S529" s="121"/>
      <c r="T529" s="121"/>
      <c r="U529" s="121"/>
      <c r="V529" s="121"/>
      <c r="W529" s="121"/>
      <c r="X529" s="121"/>
      <c r="Y529" s="121"/>
      <c r="Z529" s="121"/>
    </row>
    <row r="530" spans="1:26" ht="11.25" customHeight="1" x14ac:dyDescent="0.3">
      <c r="A530" s="121"/>
      <c r="B530" s="121"/>
      <c r="C530" s="121"/>
      <c r="D530" s="121"/>
      <c r="E530" s="121"/>
      <c r="F530" s="121"/>
      <c r="G530" s="121"/>
      <c r="H530" s="121"/>
      <c r="I530" s="121"/>
      <c r="J530" s="121"/>
      <c r="K530" s="121"/>
      <c r="L530" s="121"/>
      <c r="M530" s="121"/>
      <c r="N530" s="121"/>
      <c r="O530" s="121"/>
      <c r="P530" s="121"/>
      <c r="Q530" s="121"/>
      <c r="R530" s="121"/>
      <c r="S530" s="121"/>
      <c r="T530" s="121"/>
      <c r="U530" s="121"/>
      <c r="V530" s="121"/>
      <c r="W530" s="121"/>
      <c r="X530" s="121"/>
      <c r="Y530" s="121"/>
      <c r="Z530" s="121"/>
    </row>
    <row r="531" spans="1:26" ht="11.25" customHeight="1" x14ac:dyDescent="0.3">
      <c r="A531" s="121"/>
      <c r="B531" s="121"/>
      <c r="C531" s="121"/>
      <c r="D531" s="121"/>
      <c r="E531" s="121"/>
      <c r="F531" s="121"/>
      <c r="G531" s="121"/>
      <c r="H531" s="121"/>
      <c r="I531" s="121"/>
      <c r="J531" s="121"/>
      <c r="K531" s="121"/>
      <c r="L531" s="121"/>
      <c r="M531" s="121"/>
      <c r="N531" s="121"/>
      <c r="O531" s="121"/>
      <c r="P531" s="121"/>
      <c r="Q531" s="121"/>
      <c r="R531" s="121"/>
      <c r="S531" s="121"/>
      <c r="T531" s="121"/>
      <c r="U531" s="121"/>
      <c r="V531" s="121"/>
      <c r="W531" s="121"/>
      <c r="X531" s="121"/>
      <c r="Y531" s="121"/>
      <c r="Z531" s="121"/>
    </row>
    <row r="532" spans="1:26" ht="11.25" customHeight="1" x14ac:dyDescent="0.3">
      <c r="A532" s="121"/>
      <c r="B532" s="121"/>
      <c r="C532" s="121"/>
      <c r="D532" s="121"/>
      <c r="E532" s="121"/>
      <c r="F532" s="121"/>
      <c r="G532" s="121"/>
      <c r="H532" s="121"/>
      <c r="I532" s="121"/>
      <c r="J532" s="121"/>
      <c r="K532" s="121"/>
      <c r="L532" s="121"/>
      <c r="M532" s="121"/>
      <c r="N532" s="121"/>
      <c r="O532" s="121"/>
      <c r="P532" s="121"/>
      <c r="Q532" s="121"/>
      <c r="R532" s="121"/>
      <c r="S532" s="121"/>
      <c r="T532" s="121"/>
      <c r="U532" s="121"/>
      <c r="V532" s="121"/>
      <c r="W532" s="121"/>
      <c r="X532" s="121"/>
      <c r="Y532" s="121"/>
      <c r="Z532" s="121"/>
    </row>
    <row r="533" spans="1:26" ht="11.25" customHeight="1" x14ac:dyDescent="0.3">
      <c r="A533" s="121"/>
      <c r="B533" s="121"/>
      <c r="C533" s="121"/>
      <c r="D533" s="121"/>
      <c r="E533" s="121"/>
      <c r="F533" s="121"/>
      <c r="G533" s="121"/>
      <c r="H533" s="121"/>
      <c r="I533" s="121"/>
      <c r="J533" s="121"/>
      <c r="K533" s="121"/>
      <c r="L533" s="121"/>
      <c r="M533" s="121"/>
      <c r="N533" s="121"/>
      <c r="O533" s="121"/>
      <c r="P533" s="121"/>
      <c r="Q533" s="121"/>
      <c r="R533" s="121"/>
      <c r="S533" s="121"/>
      <c r="T533" s="121"/>
      <c r="U533" s="121"/>
      <c r="V533" s="121"/>
      <c r="W533" s="121"/>
      <c r="X533" s="121"/>
      <c r="Y533" s="121"/>
      <c r="Z533" s="121"/>
    </row>
    <row r="534" spans="1:26" ht="11.25" customHeight="1" x14ac:dyDescent="0.3">
      <c r="A534" s="121"/>
      <c r="B534" s="121"/>
      <c r="C534" s="121"/>
      <c r="D534" s="121"/>
      <c r="E534" s="121"/>
      <c r="F534" s="121"/>
      <c r="G534" s="121"/>
      <c r="H534" s="121"/>
      <c r="I534" s="121"/>
      <c r="J534" s="121"/>
      <c r="K534" s="121"/>
      <c r="L534" s="121"/>
      <c r="M534" s="121"/>
      <c r="N534" s="121"/>
      <c r="O534" s="121"/>
      <c r="P534" s="121"/>
      <c r="Q534" s="121"/>
      <c r="R534" s="121"/>
      <c r="S534" s="121"/>
      <c r="T534" s="121"/>
      <c r="U534" s="121"/>
      <c r="V534" s="121"/>
      <c r="W534" s="121"/>
      <c r="X534" s="121"/>
      <c r="Y534" s="121"/>
      <c r="Z534" s="121"/>
    </row>
    <row r="535" spans="1:26" ht="11.25" customHeight="1" x14ac:dyDescent="0.3">
      <c r="A535" s="121"/>
      <c r="B535" s="121"/>
      <c r="C535" s="121"/>
      <c r="D535" s="121"/>
      <c r="E535" s="121"/>
      <c r="F535" s="121"/>
      <c r="G535" s="121"/>
      <c r="H535" s="121"/>
      <c r="I535" s="121"/>
      <c r="J535" s="121"/>
      <c r="K535" s="121"/>
      <c r="L535" s="121"/>
      <c r="M535" s="121"/>
      <c r="N535" s="121"/>
      <c r="O535" s="121"/>
      <c r="P535" s="121"/>
      <c r="Q535" s="121"/>
      <c r="R535" s="121"/>
      <c r="S535" s="121"/>
      <c r="T535" s="121"/>
      <c r="U535" s="121"/>
      <c r="V535" s="121"/>
      <c r="W535" s="121"/>
      <c r="X535" s="121"/>
      <c r="Y535" s="121"/>
      <c r="Z535" s="121"/>
    </row>
    <row r="536" spans="1:26" ht="11.25" customHeight="1" x14ac:dyDescent="0.3">
      <c r="A536" s="121"/>
      <c r="B536" s="121"/>
      <c r="C536" s="121"/>
      <c r="D536" s="121"/>
      <c r="E536" s="121"/>
      <c r="F536" s="121"/>
      <c r="G536" s="121"/>
      <c r="H536" s="121"/>
      <c r="I536" s="121"/>
      <c r="J536" s="121"/>
      <c r="K536" s="121"/>
      <c r="L536" s="121"/>
      <c r="M536" s="121"/>
      <c r="N536" s="121"/>
      <c r="O536" s="121"/>
      <c r="P536" s="121"/>
      <c r="Q536" s="121"/>
      <c r="R536" s="121"/>
      <c r="S536" s="121"/>
      <c r="T536" s="121"/>
      <c r="U536" s="121"/>
      <c r="V536" s="121"/>
      <c r="W536" s="121"/>
      <c r="X536" s="121"/>
      <c r="Y536" s="121"/>
      <c r="Z536" s="121"/>
    </row>
    <row r="537" spans="1:26" ht="11.25" customHeight="1" x14ac:dyDescent="0.3">
      <c r="A537" s="121"/>
      <c r="B537" s="121"/>
      <c r="C537" s="121"/>
      <c r="D537" s="121"/>
      <c r="E537" s="121"/>
      <c r="F537" s="121"/>
      <c r="G537" s="121"/>
      <c r="H537" s="121"/>
      <c r="I537" s="121"/>
      <c r="J537" s="121"/>
      <c r="K537" s="121"/>
      <c r="L537" s="121"/>
      <c r="M537" s="121"/>
      <c r="N537" s="121"/>
      <c r="O537" s="121"/>
      <c r="P537" s="121"/>
      <c r="Q537" s="121"/>
      <c r="R537" s="121"/>
      <c r="S537" s="121"/>
      <c r="T537" s="121"/>
      <c r="U537" s="121"/>
      <c r="V537" s="121"/>
      <c r="W537" s="121"/>
      <c r="X537" s="121"/>
      <c r="Y537" s="121"/>
      <c r="Z537" s="121"/>
    </row>
    <row r="538" spans="1:26" ht="11.25" customHeight="1" x14ac:dyDescent="0.3">
      <c r="A538" s="121"/>
      <c r="B538" s="121"/>
      <c r="C538" s="121"/>
      <c r="D538" s="121"/>
      <c r="E538" s="121"/>
      <c r="F538" s="121"/>
      <c r="G538" s="121"/>
      <c r="H538" s="121"/>
      <c r="I538" s="121"/>
      <c r="J538" s="121"/>
      <c r="K538" s="121"/>
      <c r="L538" s="121"/>
      <c r="M538" s="121"/>
      <c r="N538" s="121"/>
      <c r="O538" s="121"/>
      <c r="P538" s="121"/>
      <c r="Q538" s="121"/>
      <c r="R538" s="121"/>
      <c r="S538" s="121"/>
      <c r="T538" s="121"/>
      <c r="U538" s="121"/>
      <c r="V538" s="121"/>
      <c r="W538" s="121"/>
      <c r="X538" s="121"/>
      <c r="Y538" s="121"/>
      <c r="Z538" s="121"/>
    </row>
    <row r="539" spans="1:26" ht="11.25" customHeight="1" x14ac:dyDescent="0.3">
      <c r="A539" s="121"/>
      <c r="B539" s="121"/>
      <c r="C539" s="121"/>
      <c r="D539" s="121"/>
      <c r="E539" s="121"/>
      <c r="F539" s="121"/>
      <c r="G539" s="121"/>
      <c r="H539" s="121"/>
      <c r="I539" s="121"/>
      <c r="J539" s="121"/>
      <c r="K539" s="121"/>
      <c r="L539" s="121"/>
      <c r="M539" s="121"/>
      <c r="N539" s="121"/>
      <c r="O539" s="121"/>
      <c r="P539" s="121"/>
      <c r="Q539" s="121"/>
      <c r="R539" s="121"/>
      <c r="S539" s="121"/>
      <c r="T539" s="121"/>
      <c r="U539" s="121"/>
      <c r="V539" s="121"/>
      <c r="W539" s="121"/>
      <c r="X539" s="121"/>
      <c r="Y539" s="121"/>
      <c r="Z539" s="121"/>
    </row>
    <row r="540" spans="1:26" ht="11.25" customHeight="1" x14ac:dyDescent="0.3">
      <c r="A540" s="121"/>
      <c r="B540" s="121"/>
      <c r="C540" s="121"/>
      <c r="D540" s="121"/>
      <c r="E540" s="121"/>
      <c r="F540" s="121"/>
      <c r="G540" s="121"/>
      <c r="H540" s="121"/>
      <c r="I540" s="121"/>
      <c r="J540" s="121"/>
      <c r="K540" s="121"/>
      <c r="L540" s="121"/>
      <c r="M540" s="121"/>
      <c r="N540" s="121"/>
      <c r="O540" s="121"/>
      <c r="P540" s="121"/>
      <c r="Q540" s="121"/>
      <c r="R540" s="121"/>
      <c r="S540" s="121"/>
      <c r="T540" s="121"/>
      <c r="U540" s="121"/>
      <c r="V540" s="121"/>
      <c r="W540" s="121"/>
      <c r="X540" s="121"/>
      <c r="Y540" s="121"/>
      <c r="Z540" s="121"/>
    </row>
    <row r="541" spans="1:26" ht="11.25" customHeight="1" x14ac:dyDescent="0.3">
      <c r="A541" s="121"/>
      <c r="B541" s="121"/>
      <c r="C541" s="121"/>
      <c r="D541" s="121"/>
      <c r="E541" s="121"/>
      <c r="F541" s="121"/>
      <c r="G541" s="121"/>
      <c r="H541" s="121"/>
      <c r="I541" s="121"/>
      <c r="J541" s="121"/>
      <c r="K541" s="121"/>
      <c r="L541" s="121"/>
      <c r="M541" s="121"/>
      <c r="N541" s="121"/>
      <c r="O541" s="121"/>
      <c r="P541" s="121"/>
      <c r="Q541" s="121"/>
      <c r="R541" s="121"/>
      <c r="S541" s="121"/>
      <c r="T541" s="121"/>
      <c r="U541" s="121"/>
      <c r="V541" s="121"/>
      <c r="W541" s="121"/>
      <c r="X541" s="121"/>
      <c r="Y541" s="121"/>
      <c r="Z541" s="121"/>
    </row>
    <row r="542" spans="1:26" ht="11.25" customHeight="1" x14ac:dyDescent="0.3">
      <c r="A542" s="121"/>
      <c r="B542" s="121"/>
      <c r="C542" s="121"/>
      <c r="D542" s="121"/>
      <c r="E542" s="121"/>
      <c r="F542" s="121"/>
      <c r="G542" s="121"/>
      <c r="H542" s="121"/>
      <c r="I542" s="121"/>
      <c r="J542" s="121"/>
      <c r="K542" s="121"/>
      <c r="L542" s="121"/>
      <c r="M542" s="121"/>
      <c r="N542" s="121"/>
      <c r="O542" s="121"/>
      <c r="P542" s="121"/>
      <c r="Q542" s="121"/>
      <c r="R542" s="121"/>
      <c r="S542" s="121"/>
      <c r="T542" s="121"/>
      <c r="U542" s="121"/>
      <c r="V542" s="121"/>
      <c r="W542" s="121"/>
      <c r="X542" s="121"/>
      <c r="Y542" s="121"/>
      <c r="Z542" s="121"/>
    </row>
    <row r="543" spans="1:26" ht="11.25" customHeight="1" x14ac:dyDescent="0.3">
      <c r="A543" s="121"/>
      <c r="B543" s="121"/>
      <c r="C543" s="121"/>
      <c r="D543" s="121"/>
      <c r="E543" s="121"/>
      <c r="F543" s="121"/>
      <c r="G543" s="121"/>
      <c r="H543" s="121"/>
      <c r="I543" s="121"/>
      <c r="J543" s="121"/>
      <c r="K543" s="121"/>
      <c r="L543" s="121"/>
      <c r="M543" s="121"/>
      <c r="N543" s="121"/>
      <c r="O543" s="121"/>
      <c r="P543" s="121"/>
      <c r="Q543" s="121"/>
      <c r="R543" s="121"/>
      <c r="S543" s="121"/>
      <c r="T543" s="121"/>
      <c r="U543" s="121"/>
      <c r="V543" s="121"/>
      <c r="W543" s="121"/>
      <c r="X543" s="121"/>
      <c r="Y543" s="121"/>
      <c r="Z543" s="121"/>
    </row>
    <row r="544" spans="1:26" ht="11.25" customHeight="1" x14ac:dyDescent="0.3">
      <c r="A544" s="121"/>
      <c r="B544" s="121"/>
      <c r="C544" s="121"/>
      <c r="D544" s="121"/>
      <c r="E544" s="121"/>
      <c r="F544" s="121"/>
      <c r="G544" s="121"/>
      <c r="H544" s="121"/>
      <c r="I544" s="121"/>
      <c r="J544" s="121"/>
      <c r="K544" s="121"/>
      <c r="L544" s="121"/>
      <c r="M544" s="121"/>
      <c r="N544" s="121"/>
      <c r="O544" s="121"/>
      <c r="P544" s="121"/>
      <c r="Q544" s="121"/>
      <c r="R544" s="121"/>
      <c r="S544" s="121"/>
      <c r="T544" s="121"/>
      <c r="U544" s="121"/>
      <c r="V544" s="121"/>
      <c r="W544" s="121"/>
      <c r="X544" s="121"/>
      <c r="Y544" s="121"/>
      <c r="Z544" s="121"/>
    </row>
    <row r="545" spans="1:26" ht="11.25" customHeight="1" x14ac:dyDescent="0.3">
      <c r="A545" s="121"/>
      <c r="B545" s="121"/>
      <c r="C545" s="121"/>
      <c r="D545" s="121"/>
      <c r="E545" s="121"/>
      <c r="F545" s="121"/>
      <c r="G545" s="121"/>
      <c r="H545" s="121"/>
      <c r="I545" s="121"/>
      <c r="J545" s="121"/>
      <c r="K545" s="121"/>
      <c r="L545" s="121"/>
      <c r="M545" s="121"/>
      <c r="N545" s="121"/>
      <c r="O545" s="121"/>
      <c r="P545" s="121"/>
      <c r="Q545" s="121"/>
      <c r="R545" s="121"/>
      <c r="S545" s="121"/>
      <c r="T545" s="121"/>
      <c r="U545" s="121"/>
      <c r="V545" s="121"/>
      <c r="W545" s="121"/>
      <c r="X545" s="121"/>
      <c r="Y545" s="121"/>
      <c r="Z545" s="121"/>
    </row>
    <row r="546" spans="1:26" ht="11.25" customHeight="1" x14ac:dyDescent="0.3">
      <c r="A546" s="121"/>
      <c r="B546" s="121"/>
      <c r="C546" s="121"/>
      <c r="D546" s="121"/>
      <c r="E546" s="121"/>
      <c r="F546" s="121"/>
      <c r="G546" s="121"/>
      <c r="H546" s="121"/>
      <c r="I546" s="121"/>
      <c r="J546" s="121"/>
      <c r="K546" s="121"/>
      <c r="L546" s="121"/>
      <c r="M546" s="121"/>
      <c r="N546" s="121"/>
      <c r="O546" s="121"/>
      <c r="P546" s="121"/>
      <c r="Q546" s="121"/>
      <c r="R546" s="121"/>
      <c r="S546" s="121"/>
      <c r="T546" s="121"/>
      <c r="U546" s="121"/>
      <c r="V546" s="121"/>
      <c r="W546" s="121"/>
      <c r="X546" s="121"/>
      <c r="Y546" s="121"/>
      <c r="Z546" s="121"/>
    </row>
    <row r="547" spans="1:26" ht="11.25" customHeight="1" x14ac:dyDescent="0.3">
      <c r="A547" s="121"/>
      <c r="B547" s="121"/>
      <c r="C547" s="121"/>
      <c r="D547" s="121"/>
      <c r="E547" s="121"/>
      <c r="F547" s="121"/>
      <c r="G547" s="121"/>
      <c r="H547" s="121"/>
      <c r="I547" s="121"/>
      <c r="J547" s="121"/>
      <c r="K547" s="121"/>
      <c r="L547" s="121"/>
      <c r="M547" s="121"/>
      <c r="N547" s="121"/>
      <c r="O547" s="121"/>
      <c r="P547" s="121"/>
      <c r="Q547" s="121"/>
      <c r="R547" s="121"/>
      <c r="S547" s="121"/>
      <c r="T547" s="121"/>
      <c r="U547" s="121"/>
      <c r="V547" s="121"/>
      <c r="W547" s="121"/>
      <c r="X547" s="121"/>
      <c r="Y547" s="121"/>
      <c r="Z547" s="121"/>
    </row>
    <row r="548" spans="1:26" ht="11.25" customHeight="1" x14ac:dyDescent="0.3">
      <c r="A548" s="121"/>
      <c r="B548" s="121"/>
      <c r="C548" s="121"/>
      <c r="D548" s="121"/>
      <c r="E548" s="121"/>
      <c r="F548" s="121"/>
      <c r="G548" s="121"/>
      <c r="H548" s="121"/>
      <c r="I548" s="121"/>
      <c r="J548" s="121"/>
      <c r="K548" s="121"/>
      <c r="L548" s="121"/>
      <c r="M548" s="121"/>
      <c r="N548" s="121"/>
      <c r="O548" s="121"/>
      <c r="P548" s="121"/>
      <c r="Q548" s="121"/>
      <c r="R548" s="121"/>
      <c r="S548" s="121"/>
      <c r="T548" s="121"/>
      <c r="U548" s="121"/>
      <c r="V548" s="121"/>
      <c r="W548" s="121"/>
      <c r="X548" s="121"/>
      <c r="Y548" s="121"/>
      <c r="Z548" s="121"/>
    </row>
    <row r="549" spans="1:26" ht="11.25" customHeight="1" x14ac:dyDescent="0.3">
      <c r="A549" s="121"/>
      <c r="B549" s="121"/>
      <c r="C549" s="121"/>
      <c r="D549" s="121"/>
      <c r="E549" s="121"/>
      <c r="F549" s="121"/>
      <c r="G549" s="121"/>
      <c r="H549" s="121"/>
      <c r="I549" s="121"/>
      <c r="J549" s="121"/>
      <c r="K549" s="121"/>
      <c r="L549" s="121"/>
      <c r="M549" s="121"/>
      <c r="N549" s="121"/>
      <c r="O549" s="121"/>
      <c r="P549" s="121"/>
      <c r="Q549" s="121"/>
      <c r="R549" s="121"/>
      <c r="S549" s="121"/>
      <c r="T549" s="121"/>
      <c r="U549" s="121"/>
      <c r="V549" s="121"/>
      <c r="W549" s="121"/>
      <c r="X549" s="121"/>
      <c r="Y549" s="121"/>
      <c r="Z549" s="121"/>
    </row>
    <row r="550" spans="1:26" ht="11.25" customHeight="1" x14ac:dyDescent="0.3">
      <c r="A550" s="121"/>
      <c r="B550" s="121"/>
      <c r="C550" s="121"/>
      <c r="D550" s="121"/>
      <c r="E550" s="121"/>
      <c r="F550" s="121"/>
      <c r="G550" s="121"/>
      <c r="H550" s="121"/>
      <c r="I550" s="121"/>
      <c r="J550" s="121"/>
      <c r="K550" s="121"/>
      <c r="L550" s="121"/>
      <c r="M550" s="121"/>
      <c r="N550" s="121"/>
      <c r="O550" s="121"/>
      <c r="P550" s="121"/>
      <c r="Q550" s="121"/>
      <c r="R550" s="121"/>
      <c r="S550" s="121"/>
      <c r="T550" s="121"/>
      <c r="U550" s="121"/>
      <c r="V550" s="121"/>
      <c r="W550" s="121"/>
      <c r="X550" s="121"/>
      <c r="Y550" s="121"/>
      <c r="Z550" s="121"/>
    </row>
    <row r="551" spans="1:26" ht="11.25" customHeight="1" x14ac:dyDescent="0.3">
      <c r="A551" s="121"/>
      <c r="B551" s="121"/>
      <c r="C551" s="121"/>
      <c r="D551" s="121"/>
      <c r="E551" s="121"/>
      <c r="F551" s="121"/>
      <c r="G551" s="121"/>
      <c r="H551" s="121"/>
      <c r="I551" s="121"/>
      <c r="J551" s="121"/>
      <c r="K551" s="121"/>
      <c r="L551" s="121"/>
      <c r="M551" s="121"/>
      <c r="N551" s="121"/>
      <c r="O551" s="121"/>
      <c r="P551" s="121"/>
      <c r="Q551" s="121"/>
      <c r="R551" s="121"/>
      <c r="S551" s="121"/>
      <c r="T551" s="121"/>
      <c r="U551" s="121"/>
      <c r="V551" s="121"/>
      <c r="W551" s="121"/>
      <c r="X551" s="121"/>
      <c r="Y551" s="121"/>
      <c r="Z551" s="121"/>
    </row>
    <row r="552" spans="1:26" ht="11.25" customHeight="1" x14ac:dyDescent="0.3">
      <c r="A552" s="121"/>
      <c r="B552" s="121"/>
      <c r="C552" s="121"/>
      <c r="D552" s="121"/>
      <c r="E552" s="121"/>
      <c r="F552" s="121"/>
      <c r="G552" s="121"/>
      <c r="H552" s="121"/>
      <c r="I552" s="121"/>
      <c r="J552" s="121"/>
      <c r="K552" s="121"/>
      <c r="L552" s="121"/>
      <c r="M552" s="121"/>
      <c r="N552" s="121"/>
      <c r="O552" s="121"/>
      <c r="P552" s="121"/>
      <c r="Q552" s="121"/>
      <c r="R552" s="121"/>
      <c r="S552" s="121"/>
      <c r="T552" s="121"/>
      <c r="U552" s="121"/>
      <c r="V552" s="121"/>
      <c r="W552" s="121"/>
      <c r="X552" s="121"/>
      <c r="Y552" s="121"/>
      <c r="Z552" s="121"/>
    </row>
    <row r="553" spans="1:26" ht="11.25" customHeight="1" x14ac:dyDescent="0.3">
      <c r="A553" s="121"/>
      <c r="B553" s="121"/>
      <c r="C553" s="121"/>
      <c r="D553" s="121"/>
      <c r="E553" s="121"/>
      <c r="F553" s="121"/>
      <c r="G553" s="121"/>
      <c r="H553" s="121"/>
      <c r="I553" s="121"/>
      <c r="J553" s="121"/>
      <c r="K553" s="121"/>
      <c r="L553" s="121"/>
      <c r="M553" s="121"/>
      <c r="N553" s="121"/>
      <c r="O553" s="121"/>
      <c r="P553" s="121"/>
      <c r="Q553" s="121"/>
      <c r="R553" s="121"/>
      <c r="S553" s="121"/>
      <c r="T553" s="121"/>
      <c r="U553" s="121"/>
      <c r="V553" s="121"/>
      <c r="W553" s="121"/>
      <c r="X553" s="121"/>
      <c r="Y553" s="121"/>
      <c r="Z553" s="121"/>
    </row>
    <row r="554" spans="1:26" ht="11.25" customHeight="1" x14ac:dyDescent="0.3">
      <c r="A554" s="121"/>
      <c r="B554" s="121"/>
      <c r="C554" s="121"/>
      <c r="D554" s="121"/>
      <c r="E554" s="121"/>
      <c r="F554" s="121"/>
      <c r="G554" s="121"/>
      <c r="H554" s="121"/>
      <c r="I554" s="121"/>
      <c r="J554" s="121"/>
      <c r="K554" s="121"/>
      <c r="L554" s="121"/>
      <c r="M554" s="121"/>
      <c r="N554" s="121"/>
      <c r="O554" s="121"/>
      <c r="P554" s="121"/>
      <c r="Q554" s="121"/>
      <c r="R554" s="121"/>
      <c r="S554" s="121"/>
      <c r="T554" s="121"/>
      <c r="U554" s="121"/>
      <c r="V554" s="121"/>
      <c r="W554" s="121"/>
      <c r="X554" s="121"/>
      <c r="Y554" s="121"/>
      <c r="Z554" s="121"/>
    </row>
    <row r="555" spans="1:26" ht="11.25" customHeight="1" x14ac:dyDescent="0.3">
      <c r="A555" s="121"/>
      <c r="B555" s="121"/>
      <c r="C555" s="121"/>
      <c r="D555" s="121"/>
      <c r="E555" s="121"/>
      <c r="F555" s="121"/>
      <c r="G555" s="121"/>
      <c r="H555" s="121"/>
      <c r="I555" s="121"/>
      <c r="J555" s="121"/>
      <c r="K555" s="121"/>
      <c r="L555" s="121"/>
      <c r="M555" s="121"/>
      <c r="N555" s="121"/>
      <c r="O555" s="121"/>
      <c r="P555" s="121"/>
      <c r="Q555" s="121"/>
      <c r="R555" s="121"/>
      <c r="S555" s="121"/>
      <c r="T555" s="121"/>
      <c r="U555" s="121"/>
      <c r="V555" s="121"/>
      <c r="W555" s="121"/>
      <c r="X555" s="121"/>
      <c r="Y555" s="121"/>
      <c r="Z555" s="121"/>
    </row>
    <row r="556" spans="1:26" ht="11.25" customHeight="1" x14ac:dyDescent="0.3">
      <c r="A556" s="121"/>
      <c r="B556" s="121"/>
      <c r="C556" s="121"/>
      <c r="D556" s="121"/>
      <c r="E556" s="121"/>
      <c r="F556" s="121"/>
      <c r="G556" s="121"/>
      <c r="H556" s="121"/>
      <c r="I556" s="121"/>
      <c r="J556" s="121"/>
      <c r="K556" s="121"/>
      <c r="L556" s="121"/>
      <c r="M556" s="121"/>
      <c r="N556" s="121"/>
      <c r="O556" s="121"/>
      <c r="P556" s="121"/>
      <c r="Q556" s="121"/>
      <c r="R556" s="121"/>
      <c r="S556" s="121"/>
      <c r="T556" s="121"/>
      <c r="U556" s="121"/>
      <c r="V556" s="121"/>
      <c r="W556" s="121"/>
      <c r="X556" s="121"/>
      <c r="Y556" s="121"/>
      <c r="Z556" s="121"/>
    </row>
    <row r="557" spans="1:26" ht="11.25" customHeight="1" x14ac:dyDescent="0.3">
      <c r="A557" s="121"/>
      <c r="B557" s="121"/>
      <c r="C557" s="121"/>
      <c r="D557" s="121"/>
      <c r="E557" s="121"/>
      <c r="F557" s="121"/>
      <c r="G557" s="121"/>
      <c r="H557" s="121"/>
      <c r="I557" s="121"/>
      <c r="J557" s="121"/>
      <c r="K557" s="121"/>
      <c r="L557" s="121"/>
      <c r="M557" s="121"/>
      <c r="N557" s="121"/>
      <c r="O557" s="121"/>
      <c r="P557" s="121"/>
      <c r="Q557" s="121"/>
      <c r="R557" s="121"/>
      <c r="S557" s="121"/>
      <c r="T557" s="121"/>
      <c r="U557" s="121"/>
      <c r="V557" s="121"/>
      <c r="W557" s="121"/>
      <c r="X557" s="121"/>
      <c r="Y557" s="121"/>
      <c r="Z557" s="121"/>
    </row>
    <row r="558" spans="1:26" ht="11.25" customHeight="1" x14ac:dyDescent="0.3">
      <c r="A558" s="121"/>
      <c r="B558" s="121"/>
      <c r="C558" s="121"/>
      <c r="D558" s="121"/>
      <c r="E558" s="121"/>
      <c r="F558" s="121"/>
      <c r="G558" s="121"/>
      <c r="H558" s="121"/>
      <c r="I558" s="121"/>
      <c r="J558" s="121"/>
      <c r="K558" s="121"/>
      <c r="L558" s="121"/>
      <c r="M558" s="121"/>
      <c r="N558" s="121"/>
      <c r="O558" s="121"/>
      <c r="P558" s="121"/>
      <c r="Q558" s="121"/>
      <c r="R558" s="121"/>
      <c r="S558" s="121"/>
      <c r="T558" s="121"/>
      <c r="U558" s="121"/>
      <c r="V558" s="121"/>
      <c r="W558" s="121"/>
      <c r="X558" s="121"/>
      <c r="Y558" s="121"/>
      <c r="Z558" s="121"/>
    </row>
    <row r="559" spans="1:26" ht="11.25" customHeight="1" x14ac:dyDescent="0.3">
      <c r="A559" s="121"/>
      <c r="B559" s="121"/>
      <c r="C559" s="121"/>
      <c r="D559" s="121"/>
      <c r="E559" s="121"/>
      <c r="F559" s="121"/>
      <c r="G559" s="121"/>
      <c r="H559" s="121"/>
      <c r="I559" s="121"/>
      <c r="J559" s="121"/>
      <c r="K559" s="121"/>
      <c r="L559" s="121"/>
      <c r="M559" s="121"/>
      <c r="N559" s="121"/>
      <c r="O559" s="121"/>
      <c r="P559" s="121"/>
      <c r="Q559" s="121"/>
      <c r="R559" s="121"/>
      <c r="S559" s="121"/>
      <c r="T559" s="121"/>
      <c r="U559" s="121"/>
      <c r="V559" s="121"/>
      <c r="W559" s="121"/>
      <c r="X559" s="121"/>
      <c r="Y559" s="121"/>
      <c r="Z559" s="121"/>
    </row>
    <row r="560" spans="1:26" ht="11.25" customHeight="1" x14ac:dyDescent="0.3">
      <c r="A560" s="121"/>
      <c r="B560" s="121"/>
      <c r="C560" s="121"/>
      <c r="D560" s="121"/>
      <c r="E560" s="121"/>
      <c r="F560" s="121"/>
      <c r="G560" s="121"/>
      <c r="H560" s="121"/>
      <c r="I560" s="121"/>
      <c r="J560" s="121"/>
      <c r="K560" s="121"/>
      <c r="L560" s="121"/>
      <c r="M560" s="121"/>
      <c r="N560" s="121"/>
      <c r="O560" s="121"/>
      <c r="P560" s="121"/>
      <c r="Q560" s="121"/>
      <c r="R560" s="121"/>
      <c r="S560" s="121"/>
      <c r="T560" s="121"/>
      <c r="U560" s="121"/>
      <c r="V560" s="121"/>
      <c r="W560" s="121"/>
      <c r="X560" s="121"/>
      <c r="Y560" s="121"/>
      <c r="Z560" s="121"/>
    </row>
    <row r="561" spans="1:26" ht="11.25" customHeight="1" x14ac:dyDescent="0.3">
      <c r="A561" s="121"/>
      <c r="B561" s="121"/>
      <c r="C561" s="121"/>
      <c r="D561" s="121"/>
      <c r="E561" s="121"/>
      <c r="F561" s="121"/>
      <c r="G561" s="121"/>
      <c r="H561" s="121"/>
      <c r="I561" s="121"/>
      <c r="J561" s="121"/>
      <c r="K561" s="121"/>
      <c r="L561" s="121"/>
      <c r="M561" s="121"/>
      <c r="N561" s="121"/>
      <c r="O561" s="121"/>
      <c r="P561" s="121"/>
      <c r="Q561" s="121"/>
      <c r="R561" s="121"/>
      <c r="S561" s="121"/>
      <c r="T561" s="121"/>
      <c r="U561" s="121"/>
      <c r="V561" s="121"/>
      <c r="W561" s="121"/>
      <c r="X561" s="121"/>
      <c r="Y561" s="121"/>
      <c r="Z561" s="121"/>
    </row>
    <row r="562" spans="1:26" ht="11.25" customHeight="1" x14ac:dyDescent="0.3">
      <c r="A562" s="121"/>
      <c r="B562" s="121"/>
      <c r="C562" s="121"/>
      <c r="D562" s="121"/>
      <c r="E562" s="121"/>
      <c r="F562" s="121"/>
      <c r="G562" s="121"/>
      <c r="H562" s="121"/>
      <c r="I562" s="121"/>
      <c r="J562" s="121"/>
      <c r="K562" s="121"/>
      <c r="L562" s="121"/>
      <c r="M562" s="121"/>
      <c r="N562" s="121"/>
      <c r="O562" s="121"/>
      <c r="P562" s="121"/>
      <c r="Q562" s="121"/>
      <c r="R562" s="121"/>
      <c r="S562" s="121"/>
      <c r="T562" s="121"/>
      <c r="U562" s="121"/>
      <c r="V562" s="121"/>
      <c r="W562" s="121"/>
      <c r="X562" s="121"/>
      <c r="Y562" s="121"/>
      <c r="Z562" s="121"/>
    </row>
    <row r="563" spans="1:26" ht="11.25" customHeight="1" x14ac:dyDescent="0.3">
      <c r="A563" s="121"/>
      <c r="B563" s="121"/>
      <c r="C563" s="121"/>
      <c r="D563" s="121"/>
      <c r="E563" s="121"/>
      <c r="F563" s="121"/>
      <c r="G563" s="121"/>
      <c r="H563" s="121"/>
      <c r="I563" s="121"/>
      <c r="J563" s="121"/>
      <c r="K563" s="121"/>
      <c r="L563" s="121"/>
      <c r="M563" s="121"/>
      <c r="N563" s="121"/>
      <c r="O563" s="121"/>
      <c r="P563" s="121"/>
      <c r="Q563" s="121"/>
      <c r="R563" s="121"/>
      <c r="S563" s="121"/>
      <c r="T563" s="121"/>
      <c r="U563" s="121"/>
      <c r="V563" s="121"/>
      <c r="W563" s="121"/>
      <c r="X563" s="121"/>
      <c r="Y563" s="121"/>
      <c r="Z563" s="121"/>
    </row>
    <row r="564" spans="1:26" ht="11.25" customHeight="1" x14ac:dyDescent="0.3">
      <c r="A564" s="121"/>
      <c r="B564" s="121"/>
      <c r="C564" s="121"/>
      <c r="D564" s="121"/>
      <c r="E564" s="121"/>
      <c r="F564" s="121"/>
      <c r="G564" s="121"/>
      <c r="H564" s="121"/>
      <c r="I564" s="121"/>
      <c r="J564" s="121"/>
      <c r="K564" s="121"/>
      <c r="L564" s="121"/>
      <c r="M564" s="121"/>
      <c r="N564" s="121"/>
      <c r="O564" s="121"/>
      <c r="P564" s="121"/>
      <c r="Q564" s="121"/>
      <c r="R564" s="121"/>
      <c r="S564" s="121"/>
      <c r="T564" s="121"/>
      <c r="U564" s="121"/>
      <c r="V564" s="121"/>
      <c r="W564" s="121"/>
      <c r="X564" s="121"/>
      <c r="Y564" s="121"/>
      <c r="Z564" s="121"/>
    </row>
    <row r="565" spans="1:26" ht="11.25" customHeight="1" x14ac:dyDescent="0.3">
      <c r="A565" s="121"/>
      <c r="B565" s="121"/>
      <c r="C565" s="121"/>
      <c r="D565" s="121"/>
      <c r="E565" s="121"/>
      <c r="F565" s="121"/>
      <c r="G565" s="121"/>
      <c r="H565" s="121"/>
      <c r="I565" s="121"/>
      <c r="J565" s="121"/>
      <c r="K565" s="121"/>
      <c r="L565" s="121"/>
      <c r="M565" s="121"/>
      <c r="N565" s="121"/>
      <c r="O565" s="121"/>
      <c r="P565" s="121"/>
      <c r="Q565" s="121"/>
      <c r="R565" s="121"/>
      <c r="S565" s="121"/>
      <c r="T565" s="121"/>
      <c r="U565" s="121"/>
      <c r="V565" s="121"/>
      <c r="W565" s="121"/>
      <c r="X565" s="121"/>
      <c r="Y565" s="121"/>
      <c r="Z565" s="121"/>
    </row>
    <row r="566" spans="1:26" ht="11.25" customHeight="1" x14ac:dyDescent="0.3">
      <c r="A566" s="121"/>
      <c r="B566" s="121"/>
      <c r="C566" s="121"/>
      <c r="D566" s="121"/>
      <c r="E566" s="121"/>
      <c r="F566" s="121"/>
      <c r="G566" s="121"/>
      <c r="H566" s="121"/>
      <c r="I566" s="121"/>
      <c r="J566" s="121"/>
      <c r="K566" s="121"/>
      <c r="L566" s="121"/>
      <c r="M566" s="121"/>
      <c r="N566" s="121"/>
      <c r="O566" s="121"/>
      <c r="P566" s="121"/>
      <c r="Q566" s="121"/>
      <c r="R566" s="121"/>
      <c r="S566" s="121"/>
      <c r="T566" s="121"/>
      <c r="U566" s="121"/>
      <c r="V566" s="121"/>
      <c r="W566" s="121"/>
      <c r="X566" s="121"/>
      <c r="Y566" s="121"/>
      <c r="Z566" s="121"/>
    </row>
    <row r="567" spans="1:26" ht="11.25" customHeight="1" x14ac:dyDescent="0.3">
      <c r="A567" s="121"/>
      <c r="B567" s="121"/>
      <c r="C567" s="121"/>
      <c r="D567" s="121"/>
      <c r="E567" s="121"/>
      <c r="F567" s="121"/>
      <c r="G567" s="121"/>
      <c r="H567" s="121"/>
      <c r="I567" s="121"/>
      <c r="J567" s="121"/>
      <c r="K567" s="121"/>
      <c r="L567" s="121"/>
      <c r="M567" s="121"/>
      <c r="N567" s="121"/>
      <c r="O567" s="121"/>
      <c r="P567" s="121"/>
      <c r="Q567" s="121"/>
      <c r="R567" s="121"/>
      <c r="S567" s="121"/>
      <c r="T567" s="121"/>
      <c r="U567" s="121"/>
      <c r="V567" s="121"/>
      <c r="W567" s="121"/>
      <c r="X567" s="121"/>
      <c r="Y567" s="121"/>
      <c r="Z567" s="121"/>
    </row>
    <row r="568" spans="1:26" ht="11.25" customHeight="1" x14ac:dyDescent="0.3">
      <c r="A568" s="121"/>
      <c r="B568" s="121"/>
      <c r="C568" s="121"/>
      <c r="D568" s="121"/>
      <c r="E568" s="121"/>
      <c r="F568" s="121"/>
      <c r="G568" s="121"/>
      <c r="H568" s="121"/>
      <c r="I568" s="121"/>
      <c r="J568" s="121"/>
      <c r="K568" s="121"/>
      <c r="L568" s="121"/>
      <c r="M568" s="121"/>
      <c r="N568" s="121"/>
      <c r="O568" s="121"/>
      <c r="P568" s="121"/>
      <c r="Q568" s="121"/>
      <c r="R568" s="121"/>
      <c r="S568" s="121"/>
      <c r="T568" s="121"/>
      <c r="U568" s="121"/>
      <c r="V568" s="121"/>
      <c r="W568" s="121"/>
      <c r="X568" s="121"/>
      <c r="Y568" s="121"/>
      <c r="Z568" s="121"/>
    </row>
    <row r="569" spans="1:26" ht="11.25" customHeight="1" x14ac:dyDescent="0.3">
      <c r="A569" s="121"/>
      <c r="B569" s="121"/>
      <c r="C569" s="121"/>
      <c r="D569" s="121"/>
      <c r="E569" s="121"/>
      <c r="F569" s="121"/>
      <c r="G569" s="121"/>
      <c r="H569" s="121"/>
      <c r="I569" s="121"/>
      <c r="J569" s="121"/>
      <c r="K569" s="121"/>
      <c r="L569" s="121"/>
      <c r="M569" s="121"/>
      <c r="N569" s="121"/>
      <c r="O569" s="121"/>
      <c r="P569" s="121"/>
      <c r="Q569" s="121"/>
      <c r="R569" s="121"/>
      <c r="S569" s="121"/>
      <c r="T569" s="121"/>
      <c r="U569" s="121"/>
      <c r="V569" s="121"/>
      <c r="W569" s="121"/>
      <c r="X569" s="121"/>
      <c r="Y569" s="121"/>
      <c r="Z569" s="121"/>
    </row>
    <row r="570" spans="1:26" ht="11.25" customHeight="1" x14ac:dyDescent="0.3">
      <c r="A570" s="121"/>
      <c r="B570" s="121"/>
      <c r="C570" s="121"/>
      <c r="D570" s="121"/>
      <c r="E570" s="121"/>
      <c r="F570" s="121"/>
      <c r="G570" s="121"/>
      <c r="H570" s="121"/>
      <c r="I570" s="121"/>
      <c r="J570" s="121"/>
      <c r="K570" s="121"/>
      <c r="L570" s="121"/>
      <c r="M570" s="121"/>
      <c r="N570" s="121"/>
      <c r="O570" s="121"/>
      <c r="P570" s="121"/>
      <c r="Q570" s="121"/>
      <c r="R570" s="121"/>
      <c r="S570" s="121"/>
      <c r="T570" s="121"/>
      <c r="U570" s="121"/>
      <c r="V570" s="121"/>
      <c r="W570" s="121"/>
      <c r="X570" s="121"/>
      <c r="Y570" s="121"/>
      <c r="Z570" s="121"/>
    </row>
    <row r="571" spans="1:26" ht="11.25" customHeight="1" x14ac:dyDescent="0.3">
      <c r="A571" s="121"/>
      <c r="B571" s="121"/>
      <c r="C571" s="121"/>
      <c r="D571" s="121"/>
      <c r="E571" s="121"/>
      <c r="F571" s="121"/>
      <c r="G571" s="121"/>
      <c r="H571" s="121"/>
      <c r="I571" s="121"/>
      <c r="J571" s="121"/>
      <c r="K571" s="121"/>
      <c r="L571" s="121"/>
      <c r="M571" s="121"/>
      <c r="N571" s="121"/>
      <c r="O571" s="121"/>
      <c r="P571" s="121"/>
      <c r="Q571" s="121"/>
      <c r="R571" s="121"/>
      <c r="S571" s="121"/>
      <c r="T571" s="121"/>
      <c r="U571" s="121"/>
      <c r="V571" s="121"/>
      <c r="W571" s="121"/>
      <c r="X571" s="121"/>
      <c r="Y571" s="121"/>
      <c r="Z571" s="121"/>
    </row>
    <row r="572" spans="1:26" ht="11.25" customHeight="1" x14ac:dyDescent="0.3">
      <c r="A572" s="121"/>
      <c r="B572" s="121"/>
      <c r="C572" s="121"/>
      <c r="D572" s="121"/>
      <c r="E572" s="121"/>
      <c r="F572" s="121"/>
      <c r="G572" s="121"/>
      <c r="H572" s="121"/>
      <c r="I572" s="121"/>
      <c r="J572" s="121"/>
      <c r="K572" s="121"/>
      <c r="L572" s="121"/>
      <c r="M572" s="121"/>
      <c r="N572" s="121"/>
      <c r="O572" s="121"/>
      <c r="P572" s="121"/>
      <c r="Q572" s="121"/>
      <c r="R572" s="121"/>
      <c r="S572" s="121"/>
      <c r="T572" s="121"/>
      <c r="U572" s="121"/>
      <c r="V572" s="121"/>
      <c r="W572" s="121"/>
      <c r="X572" s="121"/>
      <c r="Y572" s="121"/>
      <c r="Z572" s="121"/>
    </row>
    <row r="573" spans="1:26" ht="11.25" customHeight="1" x14ac:dyDescent="0.3">
      <c r="A573" s="121"/>
      <c r="B573" s="121"/>
      <c r="C573" s="121"/>
      <c r="D573" s="121"/>
      <c r="E573" s="121"/>
      <c r="F573" s="121"/>
      <c r="G573" s="121"/>
      <c r="H573" s="121"/>
      <c r="I573" s="121"/>
      <c r="J573" s="121"/>
      <c r="K573" s="121"/>
      <c r="L573" s="121"/>
      <c r="M573" s="121"/>
      <c r="N573" s="121"/>
      <c r="O573" s="121"/>
      <c r="P573" s="121"/>
      <c r="Q573" s="121"/>
      <c r="R573" s="121"/>
      <c r="S573" s="121"/>
      <c r="T573" s="121"/>
      <c r="U573" s="121"/>
      <c r="V573" s="121"/>
      <c r="W573" s="121"/>
      <c r="X573" s="121"/>
      <c r="Y573" s="121"/>
      <c r="Z573" s="121"/>
    </row>
    <row r="574" spans="1:26" ht="11.25" customHeight="1" x14ac:dyDescent="0.3">
      <c r="A574" s="121"/>
      <c r="B574" s="121"/>
      <c r="C574" s="121"/>
      <c r="D574" s="121"/>
      <c r="E574" s="121"/>
      <c r="F574" s="121"/>
      <c r="G574" s="121"/>
      <c r="H574" s="121"/>
      <c r="I574" s="121"/>
      <c r="J574" s="121"/>
      <c r="K574" s="121"/>
      <c r="L574" s="121"/>
      <c r="M574" s="121"/>
      <c r="N574" s="121"/>
      <c r="O574" s="121"/>
      <c r="P574" s="121"/>
      <c r="Q574" s="121"/>
      <c r="R574" s="121"/>
      <c r="S574" s="121"/>
      <c r="T574" s="121"/>
      <c r="U574" s="121"/>
      <c r="V574" s="121"/>
      <c r="W574" s="121"/>
      <c r="X574" s="121"/>
      <c r="Y574" s="121"/>
      <c r="Z574" s="121"/>
    </row>
    <row r="575" spans="1:26" ht="11.25" customHeight="1" x14ac:dyDescent="0.3">
      <c r="A575" s="121"/>
      <c r="B575" s="121"/>
      <c r="C575" s="121"/>
      <c r="D575" s="121"/>
      <c r="E575" s="121"/>
      <c r="F575" s="121"/>
      <c r="G575" s="121"/>
      <c r="H575" s="121"/>
      <c r="I575" s="121"/>
      <c r="J575" s="121"/>
      <c r="K575" s="121"/>
      <c r="L575" s="121"/>
      <c r="M575" s="121"/>
      <c r="N575" s="121"/>
      <c r="O575" s="121"/>
      <c r="P575" s="121"/>
      <c r="Q575" s="121"/>
      <c r="R575" s="121"/>
      <c r="S575" s="121"/>
      <c r="T575" s="121"/>
      <c r="U575" s="121"/>
      <c r="V575" s="121"/>
      <c r="W575" s="121"/>
      <c r="X575" s="121"/>
      <c r="Y575" s="121"/>
      <c r="Z575" s="121"/>
    </row>
    <row r="576" spans="1:26" ht="11.25" customHeight="1" x14ac:dyDescent="0.3">
      <c r="A576" s="121"/>
      <c r="B576" s="121"/>
      <c r="C576" s="121"/>
      <c r="D576" s="121"/>
      <c r="E576" s="121"/>
      <c r="F576" s="121"/>
      <c r="G576" s="121"/>
      <c r="H576" s="121"/>
      <c r="I576" s="121"/>
      <c r="J576" s="121"/>
      <c r="K576" s="121"/>
      <c r="L576" s="121"/>
      <c r="M576" s="121"/>
      <c r="N576" s="121"/>
      <c r="O576" s="121"/>
      <c r="P576" s="121"/>
      <c r="Q576" s="121"/>
      <c r="R576" s="121"/>
      <c r="S576" s="121"/>
      <c r="T576" s="121"/>
      <c r="U576" s="121"/>
      <c r="V576" s="121"/>
      <c r="W576" s="121"/>
      <c r="X576" s="121"/>
      <c r="Y576" s="121"/>
      <c r="Z576" s="121"/>
    </row>
    <row r="577" spans="1:26" ht="11.25" customHeight="1" x14ac:dyDescent="0.3">
      <c r="A577" s="121"/>
      <c r="B577" s="121"/>
      <c r="C577" s="121"/>
      <c r="D577" s="121"/>
      <c r="E577" s="121"/>
      <c r="F577" s="121"/>
      <c r="G577" s="121"/>
      <c r="H577" s="121"/>
      <c r="I577" s="121"/>
      <c r="J577" s="121"/>
      <c r="K577" s="121"/>
      <c r="L577" s="121"/>
      <c r="M577" s="121"/>
      <c r="N577" s="121"/>
      <c r="O577" s="121"/>
      <c r="P577" s="121"/>
      <c r="Q577" s="121"/>
      <c r="R577" s="121"/>
      <c r="S577" s="121"/>
      <c r="T577" s="121"/>
      <c r="U577" s="121"/>
      <c r="V577" s="121"/>
      <c r="W577" s="121"/>
      <c r="X577" s="121"/>
      <c r="Y577" s="121"/>
      <c r="Z577" s="121"/>
    </row>
    <row r="578" spans="1:26" ht="11.25" customHeight="1" x14ac:dyDescent="0.3">
      <c r="A578" s="121"/>
      <c r="B578" s="121"/>
      <c r="C578" s="121"/>
      <c r="D578" s="121"/>
      <c r="E578" s="121"/>
      <c r="F578" s="121"/>
      <c r="G578" s="121"/>
      <c r="H578" s="121"/>
      <c r="I578" s="121"/>
      <c r="J578" s="121"/>
      <c r="K578" s="121"/>
      <c r="L578" s="121"/>
      <c r="M578" s="121"/>
      <c r="N578" s="121"/>
      <c r="O578" s="121"/>
      <c r="P578" s="121"/>
      <c r="Q578" s="121"/>
      <c r="R578" s="121"/>
      <c r="S578" s="121"/>
      <c r="T578" s="121"/>
      <c r="U578" s="121"/>
      <c r="V578" s="121"/>
      <c r="W578" s="121"/>
      <c r="X578" s="121"/>
      <c r="Y578" s="121"/>
      <c r="Z578" s="121"/>
    </row>
    <row r="579" spans="1:26" ht="11.25" customHeight="1" x14ac:dyDescent="0.3">
      <c r="A579" s="121"/>
      <c r="B579" s="121"/>
      <c r="C579" s="121"/>
      <c r="D579" s="121"/>
      <c r="E579" s="121"/>
      <c r="F579" s="121"/>
      <c r="G579" s="121"/>
      <c r="H579" s="121"/>
      <c r="I579" s="121"/>
      <c r="J579" s="121"/>
      <c r="K579" s="121"/>
      <c r="L579" s="121"/>
      <c r="M579" s="121"/>
      <c r="N579" s="121"/>
      <c r="O579" s="121"/>
      <c r="P579" s="121"/>
      <c r="Q579" s="121"/>
      <c r="R579" s="121"/>
      <c r="S579" s="121"/>
      <c r="T579" s="121"/>
      <c r="U579" s="121"/>
      <c r="V579" s="121"/>
      <c r="W579" s="121"/>
      <c r="X579" s="121"/>
      <c r="Y579" s="121"/>
      <c r="Z579" s="121"/>
    </row>
    <row r="580" spans="1:26" ht="11.25" customHeight="1" x14ac:dyDescent="0.3">
      <c r="A580" s="121"/>
      <c r="B580" s="121"/>
      <c r="C580" s="121"/>
      <c r="D580" s="121"/>
      <c r="E580" s="121"/>
      <c r="F580" s="121"/>
      <c r="G580" s="121"/>
      <c r="H580" s="121"/>
      <c r="I580" s="121"/>
      <c r="J580" s="121"/>
      <c r="K580" s="121"/>
      <c r="L580" s="121"/>
      <c r="M580" s="121"/>
      <c r="N580" s="121"/>
      <c r="O580" s="121"/>
      <c r="P580" s="121"/>
      <c r="Q580" s="121"/>
      <c r="R580" s="121"/>
      <c r="S580" s="121"/>
      <c r="T580" s="121"/>
      <c r="U580" s="121"/>
      <c r="V580" s="121"/>
      <c r="W580" s="121"/>
      <c r="X580" s="121"/>
      <c r="Y580" s="121"/>
      <c r="Z580" s="121"/>
    </row>
    <row r="581" spans="1:26" ht="11.25" customHeight="1" x14ac:dyDescent="0.3">
      <c r="A581" s="121"/>
      <c r="B581" s="121"/>
      <c r="C581" s="121"/>
      <c r="D581" s="121"/>
      <c r="E581" s="121"/>
      <c r="F581" s="121"/>
      <c r="G581" s="121"/>
      <c r="H581" s="121"/>
      <c r="I581" s="121"/>
      <c r="J581" s="121"/>
      <c r="K581" s="121"/>
      <c r="L581" s="121"/>
      <c r="M581" s="121"/>
      <c r="N581" s="121"/>
      <c r="O581" s="121"/>
      <c r="P581" s="121"/>
      <c r="Q581" s="121"/>
      <c r="R581" s="121"/>
      <c r="S581" s="121"/>
      <c r="T581" s="121"/>
      <c r="U581" s="121"/>
      <c r="V581" s="121"/>
      <c r="W581" s="121"/>
      <c r="X581" s="121"/>
      <c r="Y581" s="121"/>
      <c r="Z581" s="121"/>
    </row>
    <row r="582" spans="1:26" ht="11.25" customHeight="1" x14ac:dyDescent="0.3">
      <c r="A582" s="121"/>
      <c r="B582" s="121"/>
      <c r="C582" s="121"/>
      <c r="D582" s="121"/>
      <c r="E582" s="121"/>
      <c r="F582" s="121"/>
      <c r="G582" s="121"/>
      <c r="H582" s="121"/>
      <c r="I582" s="121"/>
      <c r="J582" s="121"/>
      <c r="K582" s="121"/>
      <c r="L582" s="121"/>
      <c r="M582" s="121"/>
      <c r="N582" s="121"/>
      <c r="O582" s="121"/>
      <c r="P582" s="121"/>
      <c r="Q582" s="121"/>
      <c r="R582" s="121"/>
      <c r="S582" s="121"/>
      <c r="T582" s="121"/>
      <c r="U582" s="121"/>
      <c r="V582" s="121"/>
      <c r="W582" s="121"/>
      <c r="X582" s="121"/>
      <c r="Y582" s="121"/>
      <c r="Z582" s="121"/>
    </row>
    <row r="583" spans="1:26" ht="11.25" customHeight="1" x14ac:dyDescent="0.3">
      <c r="A583" s="121"/>
      <c r="B583" s="121"/>
      <c r="C583" s="121"/>
      <c r="D583" s="121"/>
      <c r="E583" s="121"/>
      <c r="F583" s="121"/>
      <c r="G583" s="121"/>
      <c r="H583" s="121"/>
      <c r="I583" s="121"/>
      <c r="J583" s="121"/>
      <c r="K583" s="121"/>
      <c r="L583" s="121"/>
      <c r="M583" s="121"/>
      <c r="N583" s="121"/>
      <c r="O583" s="121"/>
      <c r="P583" s="121"/>
      <c r="Q583" s="121"/>
      <c r="R583" s="121"/>
      <c r="S583" s="121"/>
      <c r="T583" s="121"/>
      <c r="U583" s="121"/>
      <c r="V583" s="121"/>
      <c r="W583" s="121"/>
      <c r="X583" s="121"/>
      <c r="Y583" s="121"/>
      <c r="Z583" s="121"/>
    </row>
    <row r="584" spans="1:26" ht="11.25" customHeight="1" x14ac:dyDescent="0.3">
      <c r="A584" s="121"/>
      <c r="B584" s="121"/>
      <c r="C584" s="121"/>
      <c r="D584" s="121"/>
      <c r="E584" s="121"/>
      <c r="F584" s="121"/>
      <c r="G584" s="121"/>
      <c r="H584" s="121"/>
      <c r="I584" s="121"/>
      <c r="J584" s="121"/>
      <c r="K584" s="121"/>
      <c r="L584" s="121"/>
      <c r="M584" s="121"/>
      <c r="N584" s="121"/>
      <c r="O584" s="121"/>
      <c r="P584" s="121"/>
      <c r="Q584" s="121"/>
      <c r="R584" s="121"/>
      <c r="S584" s="121"/>
      <c r="T584" s="121"/>
      <c r="U584" s="121"/>
      <c r="V584" s="121"/>
      <c r="W584" s="121"/>
      <c r="X584" s="121"/>
      <c r="Y584" s="121"/>
      <c r="Z584" s="121"/>
    </row>
    <row r="585" spans="1:26" ht="11.25" customHeight="1" x14ac:dyDescent="0.3">
      <c r="A585" s="121"/>
      <c r="B585" s="121"/>
      <c r="C585" s="121"/>
      <c r="D585" s="121"/>
      <c r="E585" s="121"/>
      <c r="F585" s="121"/>
      <c r="G585" s="121"/>
      <c r="H585" s="121"/>
      <c r="I585" s="121"/>
      <c r="J585" s="121"/>
      <c r="K585" s="121"/>
      <c r="L585" s="121"/>
      <c r="M585" s="121"/>
      <c r="N585" s="121"/>
      <c r="O585" s="121"/>
      <c r="P585" s="121"/>
      <c r="Q585" s="121"/>
      <c r="R585" s="121"/>
      <c r="S585" s="121"/>
      <c r="T585" s="121"/>
      <c r="U585" s="121"/>
      <c r="V585" s="121"/>
      <c r="W585" s="121"/>
      <c r="X585" s="121"/>
      <c r="Y585" s="121"/>
      <c r="Z585" s="121"/>
    </row>
    <row r="586" spans="1:26" ht="11.25" customHeight="1" x14ac:dyDescent="0.3">
      <c r="A586" s="121"/>
      <c r="B586" s="121"/>
      <c r="C586" s="121"/>
      <c r="D586" s="121"/>
      <c r="E586" s="121"/>
      <c r="F586" s="121"/>
      <c r="G586" s="121"/>
      <c r="H586" s="121"/>
      <c r="I586" s="121"/>
      <c r="J586" s="121"/>
      <c r="K586" s="121"/>
      <c r="L586" s="121"/>
      <c r="M586" s="121"/>
      <c r="N586" s="121"/>
      <c r="O586" s="121"/>
      <c r="P586" s="121"/>
      <c r="Q586" s="121"/>
      <c r="R586" s="121"/>
      <c r="S586" s="121"/>
      <c r="T586" s="121"/>
      <c r="U586" s="121"/>
      <c r="V586" s="121"/>
      <c r="W586" s="121"/>
      <c r="X586" s="121"/>
      <c r="Y586" s="121"/>
      <c r="Z586" s="121"/>
    </row>
    <row r="587" spans="1:26" ht="11.25" customHeight="1" x14ac:dyDescent="0.3">
      <c r="A587" s="121"/>
      <c r="B587" s="121"/>
      <c r="C587" s="121"/>
      <c r="D587" s="121"/>
      <c r="E587" s="121"/>
      <c r="F587" s="121"/>
      <c r="G587" s="121"/>
      <c r="H587" s="121"/>
      <c r="I587" s="121"/>
      <c r="J587" s="121"/>
      <c r="K587" s="121"/>
      <c r="L587" s="121"/>
      <c r="M587" s="121"/>
      <c r="N587" s="121"/>
      <c r="O587" s="121"/>
      <c r="P587" s="121"/>
      <c r="Q587" s="121"/>
      <c r="R587" s="121"/>
      <c r="S587" s="121"/>
      <c r="T587" s="121"/>
      <c r="U587" s="121"/>
      <c r="V587" s="121"/>
      <c r="W587" s="121"/>
      <c r="X587" s="121"/>
      <c r="Y587" s="121"/>
      <c r="Z587" s="121"/>
    </row>
    <row r="588" spans="1:26" ht="11.25" customHeight="1" x14ac:dyDescent="0.3">
      <c r="A588" s="121"/>
      <c r="B588" s="121"/>
      <c r="C588" s="121"/>
      <c r="D588" s="121"/>
      <c r="E588" s="121"/>
      <c r="F588" s="121"/>
      <c r="G588" s="121"/>
      <c r="H588" s="121"/>
      <c r="I588" s="121"/>
      <c r="J588" s="121"/>
      <c r="K588" s="121"/>
      <c r="L588" s="121"/>
      <c r="M588" s="121"/>
      <c r="N588" s="121"/>
      <c r="O588" s="121"/>
      <c r="P588" s="121"/>
      <c r="Q588" s="121"/>
      <c r="R588" s="121"/>
      <c r="S588" s="121"/>
      <c r="T588" s="121"/>
      <c r="U588" s="121"/>
      <c r="V588" s="121"/>
      <c r="W588" s="121"/>
      <c r="X588" s="121"/>
      <c r="Y588" s="121"/>
      <c r="Z588" s="121"/>
    </row>
    <row r="589" spans="1:26" ht="11.25" customHeight="1" x14ac:dyDescent="0.3">
      <c r="A589" s="121"/>
      <c r="B589" s="121"/>
      <c r="C589" s="121"/>
      <c r="D589" s="121"/>
      <c r="E589" s="121"/>
      <c r="F589" s="121"/>
      <c r="G589" s="121"/>
      <c r="H589" s="121"/>
      <c r="I589" s="121"/>
      <c r="J589" s="121"/>
      <c r="K589" s="121"/>
      <c r="L589" s="121"/>
      <c r="M589" s="121"/>
      <c r="N589" s="121"/>
      <c r="O589" s="121"/>
      <c r="P589" s="121"/>
      <c r="Q589" s="121"/>
      <c r="R589" s="121"/>
      <c r="S589" s="121"/>
      <c r="T589" s="121"/>
      <c r="U589" s="121"/>
      <c r="V589" s="121"/>
      <c r="W589" s="121"/>
      <c r="X589" s="121"/>
      <c r="Y589" s="121"/>
      <c r="Z589" s="121"/>
    </row>
    <row r="590" spans="1:26" ht="11.25" customHeight="1" x14ac:dyDescent="0.3">
      <c r="A590" s="121"/>
      <c r="B590" s="121"/>
      <c r="C590" s="121"/>
      <c r="D590" s="121"/>
      <c r="E590" s="121"/>
      <c r="F590" s="121"/>
      <c r="G590" s="121"/>
      <c r="H590" s="121"/>
      <c r="I590" s="121"/>
      <c r="J590" s="121"/>
      <c r="K590" s="121"/>
      <c r="L590" s="121"/>
      <c r="M590" s="121"/>
      <c r="N590" s="121"/>
      <c r="O590" s="121"/>
      <c r="P590" s="121"/>
      <c r="Q590" s="121"/>
      <c r="R590" s="121"/>
      <c r="S590" s="121"/>
      <c r="T590" s="121"/>
      <c r="U590" s="121"/>
      <c r="V590" s="121"/>
      <c r="W590" s="121"/>
      <c r="X590" s="121"/>
      <c r="Y590" s="121"/>
      <c r="Z590" s="121"/>
    </row>
    <row r="591" spans="1:26" ht="11.25" customHeight="1" x14ac:dyDescent="0.3">
      <c r="A591" s="121"/>
      <c r="B591" s="121"/>
      <c r="C591" s="121"/>
      <c r="D591" s="121"/>
      <c r="E591" s="121"/>
      <c r="F591" s="121"/>
      <c r="G591" s="121"/>
      <c r="H591" s="121"/>
      <c r="I591" s="121"/>
      <c r="J591" s="121"/>
      <c r="K591" s="121"/>
      <c r="L591" s="121"/>
      <c r="M591" s="121"/>
      <c r="N591" s="121"/>
      <c r="O591" s="121"/>
      <c r="P591" s="121"/>
      <c r="Q591" s="121"/>
      <c r="R591" s="121"/>
      <c r="S591" s="121"/>
      <c r="T591" s="121"/>
      <c r="U591" s="121"/>
      <c r="V591" s="121"/>
      <c r="W591" s="121"/>
      <c r="X591" s="121"/>
      <c r="Y591" s="121"/>
      <c r="Z591" s="121"/>
    </row>
    <row r="592" spans="1:26" ht="11.25" customHeight="1" x14ac:dyDescent="0.3">
      <c r="A592" s="121"/>
      <c r="B592" s="121"/>
      <c r="C592" s="121"/>
      <c r="D592" s="121"/>
      <c r="E592" s="121"/>
      <c r="F592" s="121"/>
      <c r="G592" s="121"/>
      <c r="H592" s="121"/>
      <c r="I592" s="121"/>
      <c r="J592" s="121"/>
      <c r="K592" s="121"/>
      <c r="L592" s="121"/>
      <c r="M592" s="121"/>
      <c r="N592" s="121"/>
      <c r="O592" s="121"/>
      <c r="P592" s="121"/>
      <c r="Q592" s="121"/>
      <c r="R592" s="121"/>
      <c r="S592" s="121"/>
      <c r="T592" s="121"/>
      <c r="U592" s="121"/>
      <c r="V592" s="121"/>
      <c r="W592" s="121"/>
      <c r="X592" s="121"/>
      <c r="Y592" s="121"/>
      <c r="Z592" s="121"/>
    </row>
    <row r="593" spans="1:26" ht="11.25" customHeight="1" x14ac:dyDescent="0.3">
      <c r="A593" s="121"/>
      <c r="B593" s="121"/>
      <c r="C593" s="121"/>
      <c r="D593" s="121"/>
      <c r="E593" s="121"/>
      <c r="F593" s="121"/>
      <c r="G593" s="121"/>
      <c r="H593" s="121"/>
      <c r="I593" s="121"/>
      <c r="J593" s="121"/>
      <c r="K593" s="121"/>
      <c r="L593" s="121"/>
      <c r="M593" s="121"/>
      <c r="N593" s="121"/>
      <c r="O593" s="121"/>
      <c r="P593" s="121"/>
      <c r="Q593" s="121"/>
      <c r="R593" s="121"/>
      <c r="S593" s="121"/>
      <c r="T593" s="121"/>
      <c r="U593" s="121"/>
      <c r="V593" s="121"/>
      <c r="W593" s="121"/>
      <c r="X593" s="121"/>
      <c r="Y593" s="121"/>
      <c r="Z593" s="121"/>
    </row>
    <row r="594" spans="1:26" ht="11.25" customHeight="1" x14ac:dyDescent="0.3">
      <c r="A594" s="121"/>
      <c r="B594" s="121"/>
      <c r="C594" s="121"/>
      <c r="D594" s="121"/>
      <c r="E594" s="121"/>
      <c r="F594" s="121"/>
      <c r="G594" s="121"/>
      <c r="H594" s="121"/>
      <c r="I594" s="121"/>
      <c r="J594" s="121"/>
      <c r="K594" s="121"/>
      <c r="L594" s="121"/>
      <c r="M594" s="121"/>
      <c r="N594" s="121"/>
      <c r="O594" s="121"/>
      <c r="P594" s="121"/>
      <c r="Q594" s="121"/>
      <c r="R594" s="121"/>
      <c r="S594" s="121"/>
      <c r="T594" s="121"/>
      <c r="U594" s="121"/>
      <c r="V594" s="121"/>
      <c r="W594" s="121"/>
      <c r="X594" s="121"/>
      <c r="Y594" s="121"/>
      <c r="Z594" s="121"/>
    </row>
    <row r="595" spans="1:26" ht="11.25" customHeight="1" x14ac:dyDescent="0.3">
      <c r="A595" s="121"/>
      <c r="B595" s="121"/>
      <c r="C595" s="121"/>
      <c r="D595" s="121"/>
      <c r="E595" s="121"/>
      <c r="F595" s="121"/>
      <c r="G595" s="121"/>
      <c r="H595" s="121"/>
      <c r="I595" s="121"/>
      <c r="J595" s="121"/>
      <c r="K595" s="121"/>
      <c r="L595" s="121"/>
      <c r="M595" s="121"/>
      <c r="N595" s="121"/>
      <c r="O595" s="121"/>
      <c r="P595" s="121"/>
      <c r="Q595" s="121"/>
      <c r="R595" s="121"/>
      <c r="S595" s="121"/>
      <c r="T595" s="121"/>
      <c r="U595" s="121"/>
      <c r="V595" s="121"/>
      <c r="W595" s="121"/>
      <c r="X595" s="121"/>
      <c r="Y595" s="121"/>
      <c r="Z595" s="121"/>
    </row>
    <row r="596" spans="1:26" ht="11.25" customHeight="1" x14ac:dyDescent="0.3">
      <c r="A596" s="121"/>
      <c r="B596" s="121"/>
      <c r="C596" s="121"/>
      <c r="D596" s="121"/>
      <c r="E596" s="121"/>
      <c r="F596" s="121"/>
      <c r="G596" s="121"/>
      <c r="H596" s="121"/>
      <c r="I596" s="121"/>
      <c r="J596" s="121"/>
      <c r="K596" s="121"/>
      <c r="L596" s="121"/>
      <c r="M596" s="121"/>
      <c r="N596" s="121"/>
      <c r="O596" s="121"/>
      <c r="P596" s="121"/>
      <c r="Q596" s="121"/>
      <c r="R596" s="121"/>
      <c r="S596" s="121"/>
      <c r="T596" s="121"/>
      <c r="U596" s="121"/>
      <c r="V596" s="121"/>
      <c r="W596" s="121"/>
      <c r="X596" s="121"/>
      <c r="Y596" s="121"/>
      <c r="Z596" s="121"/>
    </row>
    <row r="597" spans="1:26" ht="11.25" customHeight="1" x14ac:dyDescent="0.3">
      <c r="A597" s="121"/>
      <c r="B597" s="121"/>
      <c r="C597" s="121"/>
      <c r="D597" s="121"/>
      <c r="E597" s="121"/>
      <c r="F597" s="121"/>
      <c r="G597" s="121"/>
      <c r="H597" s="121"/>
      <c r="I597" s="121"/>
      <c r="J597" s="121"/>
      <c r="K597" s="121"/>
      <c r="L597" s="121"/>
      <c r="M597" s="121"/>
      <c r="N597" s="121"/>
      <c r="O597" s="121"/>
      <c r="P597" s="121"/>
      <c r="Q597" s="121"/>
      <c r="R597" s="121"/>
      <c r="S597" s="121"/>
      <c r="T597" s="121"/>
      <c r="U597" s="121"/>
      <c r="V597" s="121"/>
      <c r="W597" s="121"/>
      <c r="X597" s="121"/>
      <c r="Y597" s="121"/>
      <c r="Z597" s="121"/>
    </row>
    <row r="598" spans="1:26" ht="11.25" customHeight="1" x14ac:dyDescent="0.3">
      <c r="A598" s="121"/>
      <c r="B598" s="121"/>
      <c r="C598" s="121"/>
      <c r="D598" s="121"/>
      <c r="E598" s="121"/>
      <c r="F598" s="121"/>
      <c r="G598" s="121"/>
      <c r="H598" s="121"/>
      <c r="I598" s="121"/>
      <c r="J598" s="121"/>
      <c r="K598" s="121"/>
      <c r="L598" s="121"/>
      <c r="M598" s="121"/>
      <c r="N598" s="121"/>
      <c r="O598" s="121"/>
      <c r="P598" s="121"/>
      <c r="Q598" s="121"/>
      <c r="R598" s="121"/>
      <c r="S598" s="121"/>
      <c r="T598" s="121"/>
      <c r="U598" s="121"/>
      <c r="V598" s="121"/>
      <c r="W598" s="121"/>
      <c r="X598" s="121"/>
      <c r="Y598" s="121"/>
      <c r="Z598" s="121"/>
    </row>
    <row r="599" spans="1:26" ht="11.25" customHeight="1" x14ac:dyDescent="0.3">
      <c r="A599" s="121"/>
      <c r="B599" s="121"/>
      <c r="C599" s="121"/>
      <c r="D599" s="121"/>
      <c r="E599" s="121"/>
      <c r="F599" s="121"/>
      <c r="G599" s="121"/>
      <c r="H599" s="121"/>
      <c r="I599" s="121"/>
      <c r="J599" s="121"/>
      <c r="K599" s="121"/>
      <c r="L599" s="121"/>
      <c r="M599" s="121"/>
      <c r="N599" s="121"/>
      <c r="O599" s="121"/>
      <c r="P599" s="121"/>
      <c r="Q599" s="121"/>
      <c r="R599" s="121"/>
      <c r="S599" s="121"/>
      <c r="T599" s="121"/>
      <c r="U599" s="121"/>
      <c r="V599" s="121"/>
      <c r="W599" s="121"/>
      <c r="X599" s="121"/>
      <c r="Y599" s="121"/>
      <c r="Z599" s="121"/>
    </row>
    <row r="600" spans="1:26" ht="11.25" customHeight="1" x14ac:dyDescent="0.3">
      <c r="A600" s="121"/>
      <c r="B600" s="121"/>
      <c r="C600" s="121"/>
      <c r="D600" s="121"/>
      <c r="E600" s="121"/>
      <c r="F600" s="121"/>
      <c r="G600" s="121"/>
      <c r="H600" s="121"/>
      <c r="I600" s="121"/>
      <c r="J600" s="121"/>
      <c r="K600" s="121"/>
      <c r="L600" s="121"/>
      <c r="M600" s="121"/>
      <c r="N600" s="121"/>
      <c r="O600" s="121"/>
      <c r="P600" s="121"/>
      <c r="Q600" s="121"/>
      <c r="R600" s="121"/>
      <c r="S600" s="121"/>
      <c r="T600" s="121"/>
      <c r="U600" s="121"/>
      <c r="V600" s="121"/>
      <c r="W600" s="121"/>
      <c r="X600" s="121"/>
      <c r="Y600" s="121"/>
      <c r="Z600" s="121"/>
    </row>
    <row r="601" spans="1:26" ht="11.25" customHeight="1" x14ac:dyDescent="0.3">
      <c r="A601" s="121"/>
      <c r="B601" s="121"/>
      <c r="C601" s="121"/>
      <c r="D601" s="121"/>
      <c r="E601" s="121"/>
      <c r="F601" s="121"/>
      <c r="G601" s="121"/>
      <c r="H601" s="121"/>
      <c r="I601" s="121"/>
      <c r="J601" s="121"/>
      <c r="K601" s="121"/>
      <c r="L601" s="121"/>
      <c r="M601" s="121"/>
      <c r="N601" s="121"/>
      <c r="O601" s="121"/>
      <c r="P601" s="121"/>
      <c r="Q601" s="121"/>
      <c r="R601" s="121"/>
      <c r="S601" s="121"/>
      <c r="T601" s="121"/>
      <c r="U601" s="121"/>
      <c r="V601" s="121"/>
      <c r="W601" s="121"/>
      <c r="X601" s="121"/>
      <c r="Y601" s="121"/>
      <c r="Z601" s="121"/>
    </row>
    <row r="602" spans="1:26" ht="11.25" customHeight="1" x14ac:dyDescent="0.3">
      <c r="A602" s="121"/>
      <c r="B602" s="121"/>
      <c r="C602" s="121"/>
      <c r="D602" s="121"/>
      <c r="E602" s="121"/>
      <c r="F602" s="121"/>
      <c r="G602" s="121"/>
      <c r="H602" s="121"/>
      <c r="I602" s="121"/>
      <c r="J602" s="121"/>
      <c r="K602" s="121"/>
      <c r="L602" s="121"/>
      <c r="M602" s="121"/>
      <c r="N602" s="121"/>
      <c r="O602" s="121"/>
      <c r="P602" s="121"/>
      <c r="Q602" s="121"/>
      <c r="R602" s="121"/>
      <c r="S602" s="121"/>
      <c r="T602" s="121"/>
      <c r="U602" s="121"/>
      <c r="V602" s="121"/>
      <c r="W602" s="121"/>
      <c r="X602" s="121"/>
      <c r="Y602" s="121"/>
      <c r="Z602" s="121"/>
    </row>
    <row r="603" spans="1:26" ht="11.25" customHeight="1" x14ac:dyDescent="0.3">
      <c r="A603" s="121"/>
      <c r="B603" s="121"/>
      <c r="C603" s="121"/>
      <c r="D603" s="121"/>
      <c r="E603" s="121"/>
      <c r="F603" s="121"/>
      <c r="G603" s="121"/>
      <c r="H603" s="121"/>
      <c r="I603" s="121"/>
      <c r="J603" s="121"/>
      <c r="K603" s="121"/>
      <c r="L603" s="121"/>
      <c r="M603" s="121"/>
      <c r="N603" s="121"/>
      <c r="O603" s="121"/>
      <c r="P603" s="121"/>
      <c r="Q603" s="121"/>
      <c r="R603" s="121"/>
      <c r="S603" s="121"/>
      <c r="T603" s="121"/>
      <c r="U603" s="121"/>
      <c r="V603" s="121"/>
      <c r="W603" s="121"/>
      <c r="X603" s="121"/>
      <c r="Y603" s="121"/>
      <c r="Z603" s="121"/>
    </row>
    <row r="604" spans="1:26" ht="11.25" customHeight="1" x14ac:dyDescent="0.3">
      <c r="A604" s="121"/>
      <c r="B604" s="121"/>
      <c r="C604" s="121"/>
      <c r="D604" s="121"/>
      <c r="E604" s="121"/>
      <c r="F604" s="121"/>
      <c r="G604" s="121"/>
      <c r="H604" s="121"/>
      <c r="I604" s="121"/>
      <c r="J604" s="121"/>
      <c r="K604" s="121"/>
      <c r="L604" s="121"/>
      <c r="M604" s="121"/>
      <c r="N604" s="121"/>
      <c r="O604" s="121"/>
      <c r="P604" s="121"/>
      <c r="Q604" s="121"/>
      <c r="R604" s="121"/>
      <c r="S604" s="121"/>
      <c r="T604" s="121"/>
      <c r="U604" s="121"/>
      <c r="V604" s="121"/>
      <c r="W604" s="121"/>
      <c r="X604" s="121"/>
      <c r="Y604" s="121"/>
      <c r="Z604" s="121"/>
    </row>
    <row r="605" spans="1:26" ht="11.25" customHeight="1" x14ac:dyDescent="0.3">
      <c r="A605" s="121"/>
      <c r="B605" s="121"/>
      <c r="C605" s="121"/>
      <c r="D605" s="121"/>
      <c r="E605" s="121"/>
      <c r="F605" s="121"/>
      <c r="G605" s="121"/>
      <c r="H605" s="121"/>
      <c r="I605" s="121"/>
      <c r="J605" s="121"/>
      <c r="K605" s="121"/>
      <c r="L605" s="121"/>
      <c r="M605" s="121"/>
      <c r="N605" s="121"/>
      <c r="O605" s="121"/>
      <c r="P605" s="121"/>
      <c r="Q605" s="121"/>
      <c r="R605" s="121"/>
      <c r="S605" s="121"/>
      <c r="T605" s="121"/>
      <c r="U605" s="121"/>
      <c r="V605" s="121"/>
      <c r="W605" s="121"/>
      <c r="X605" s="121"/>
      <c r="Y605" s="121"/>
      <c r="Z605" s="121"/>
    </row>
    <row r="606" spans="1:26" ht="11.25" customHeight="1" x14ac:dyDescent="0.3">
      <c r="A606" s="121"/>
      <c r="B606" s="121"/>
      <c r="C606" s="121"/>
      <c r="D606" s="121"/>
      <c r="E606" s="121"/>
      <c r="F606" s="121"/>
      <c r="G606" s="121"/>
      <c r="H606" s="121"/>
      <c r="I606" s="121"/>
      <c r="J606" s="121"/>
      <c r="K606" s="121"/>
      <c r="L606" s="121"/>
      <c r="M606" s="121"/>
      <c r="N606" s="121"/>
      <c r="O606" s="121"/>
      <c r="P606" s="121"/>
      <c r="Q606" s="121"/>
      <c r="R606" s="121"/>
      <c r="S606" s="121"/>
      <c r="T606" s="121"/>
      <c r="U606" s="121"/>
      <c r="V606" s="121"/>
      <c r="W606" s="121"/>
      <c r="X606" s="121"/>
      <c r="Y606" s="121"/>
      <c r="Z606" s="121"/>
    </row>
    <row r="607" spans="1:26" ht="11.25" customHeight="1" x14ac:dyDescent="0.3">
      <c r="A607" s="121"/>
      <c r="B607" s="121"/>
      <c r="C607" s="121"/>
      <c r="D607" s="121"/>
      <c r="E607" s="121"/>
      <c r="F607" s="121"/>
      <c r="G607" s="121"/>
      <c r="H607" s="121"/>
      <c r="I607" s="121"/>
      <c r="J607" s="121"/>
      <c r="K607" s="121"/>
      <c r="L607" s="121"/>
      <c r="M607" s="121"/>
      <c r="N607" s="121"/>
      <c r="O607" s="121"/>
      <c r="P607" s="121"/>
      <c r="Q607" s="121"/>
      <c r="R607" s="121"/>
      <c r="S607" s="121"/>
      <c r="T607" s="121"/>
      <c r="U607" s="121"/>
      <c r="V607" s="121"/>
      <c r="W607" s="121"/>
      <c r="X607" s="121"/>
      <c r="Y607" s="121"/>
      <c r="Z607" s="121"/>
    </row>
    <row r="608" spans="1:26" ht="11.25" customHeight="1" x14ac:dyDescent="0.3">
      <c r="A608" s="121"/>
      <c r="B608" s="121"/>
      <c r="C608" s="121"/>
      <c r="D608" s="121"/>
      <c r="E608" s="121"/>
      <c r="F608" s="121"/>
      <c r="G608" s="121"/>
      <c r="H608" s="121"/>
      <c r="I608" s="121"/>
      <c r="J608" s="121"/>
      <c r="K608" s="121"/>
      <c r="L608" s="121"/>
      <c r="M608" s="121"/>
      <c r="N608" s="121"/>
      <c r="O608" s="121"/>
      <c r="P608" s="121"/>
      <c r="Q608" s="121"/>
      <c r="R608" s="121"/>
      <c r="S608" s="121"/>
      <c r="T608" s="121"/>
      <c r="U608" s="121"/>
      <c r="V608" s="121"/>
      <c r="W608" s="121"/>
      <c r="X608" s="121"/>
      <c r="Y608" s="121"/>
      <c r="Z608" s="121"/>
    </row>
    <row r="609" spans="1:26" ht="11.25" customHeight="1" x14ac:dyDescent="0.3">
      <c r="A609" s="121"/>
      <c r="B609" s="121"/>
      <c r="C609" s="121"/>
      <c r="D609" s="121"/>
      <c r="E609" s="121"/>
      <c r="F609" s="121"/>
      <c r="G609" s="121"/>
      <c r="H609" s="121"/>
      <c r="I609" s="121"/>
      <c r="J609" s="121"/>
      <c r="K609" s="121"/>
      <c r="L609" s="121"/>
      <c r="M609" s="121"/>
      <c r="N609" s="121"/>
      <c r="O609" s="121"/>
      <c r="P609" s="121"/>
      <c r="Q609" s="121"/>
      <c r="R609" s="121"/>
      <c r="S609" s="121"/>
      <c r="T609" s="121"/>
      <c r="U609" s="121"/>
      <c r="V609" s="121"/>
      <c r="W609" s="121"/>
      <c r="X609" s="121"/>
      <c r="Y609" s="121"/>
      <c r="Z609" s="121"/>
    </row>
    <row r="610" spans="1:26" ht="11.25" customHeight="1" x14ac:dyDescent="0.3">
      <c r="A610" s="121"/>
      <c r="B610" s="121"/>
      <c r="C610" s="121"/>
      <c r="D610" s="121"/>
      <c r="E610" s="121"/>
      <c r="F610" s="121"/>
      <c r="G610" s="121"/>
      <c r="H610" s="121"/>
      <c r="I610" s="121"/>
      <c r="J610" s="121"/>
      <c r="K610" s="121"/>
      <c r="L610" s="121"/>
      <c r="M610" s="121"/>
      <c r="N610" s="121"/>
      <c r="O610" s="121"/>
      <c r="P610" s="121"/>
      <c r="Q610" s="121"/>
      <c r="R610" s="121"/>
      <c r="S610" s="121"/>
      <c r="T610" s="121"/>
      <c r="U610" s="121"/>
      <c r="V610" s="121"/>
      <c r="W610" s="121"/>
      <c r="X610" s="121"/>
      <c r="Y610" s="121"/>
      <c r="Z610" s="121"/>
    </row>
    <row r="611" spans="1:26" ht="11.25" customHeight="1" x14ac:dyDescent="0.3">
      <c r="A611" s="121"/>
      <c r="B611" s="121"/>
      <c r="C611" s="121"/>
      <c r="D611" s="121"/>
      <c r="E611" s="121"/>
      <c r="F611" s="121"/>
      <c r="G611" s="121"/>
      <c r="H611" s="121"/>
      <c r="I611" s="121"/>
      <c r="J611" s="121"/>
      <c r="K611" s="121"/>
      <c r="L611" s="121"/>
      <c r="M611" s="121"/>
      <c r="N611" s="121"/>
      <c r="O611" s="121"/>
      <c r="P611" s="121"/>
      <c r="Q611" s="121"/>
      <c r="R611" s="121"/>
      <c r="S611" s="121"/>
      <c r="T611" s="121"/>
      <c r="U611" s="121"/>
      <c r="V611" s="121"/>
      <c r="W611" s="121"/>
      <c r="X611" s="121"/>
      <c r="Y611" s="121"/>
      <c r="Z611" s="121"/>
    </row>
    <row r="612" spans="1:26" ht="11.25" customHeight="1" x14ac:dyDescent="0.3">
      <c r="A612" s="121"/>
      <c r="B612" s="121"/>
      <c r="C612" s="121"/>
      <c r="D612" s="121"/>
      <c r="E612" s="121"/>
      <c r="F612" s="121"/>
      <c r="G612" s="121"/>
      <c r="H612" s="121"/>
      <c r="I612" s="121"/>
      <c r="J612" s="121"/>
      <c r="K612" s="121"/>
      <c r="L612" s="121"/>
      <c r="M612" s="121"/>
      <c r="N612" s="121"/>
      <c r="O612" s="121"/>
      <c r="P612" s="121"/>
      <c r="Q612" s="121"/>
      <c r="R612" s="121"/>
      <c r="S612" s="121"/>
      <c r="T612" s="121"/>
      <c r="U612" s="121"/>
      <c r="V612" s="121"/>
      <c r="W612" s="121"/>
      <c r="X612" s="121"/>
      <c r="Y612" s="121"/>
      <c r="Z612" s="121"/>
    </row>
    <row r="613" spans="1:26" ht="11.25" customHeight="1" x14ac:dyDescent="0.3">
      <c r="A613" s="121"/>
      <c r="B613" s="121"/>
      <c r="C613" s="121"/>
      <c r="D613" s="121"/>
      <c r="E613" s="121"/>
      <c r="F613" s="121"/>
      <c r="G613" s="121"/>
      <c r="H613" s="121"/>
      <c r="I613" s="121"/>
      <c r="J613" s="121"/>
      <c r="K613" s="121"/>
      <c r="L613" s="121"/>
      <c r="M613" s="121"/>
      <c r="N613" s="121"/>
      <c r="O613" s="121"/>
      <c r="P613" s="121"/>
      <c r="Q613" s="121"/>
      <c r="R613" s="121"/>
      <c r="S613" s="121"/>
      <c r="T613" s="121"/>
      <c r="U613" s="121"/>
      <c r="V613" s="121"/>
      <c r="W613" s="121"/>
      <c r="X613" s="121"/>
      <c r="Y613" s="121"/>
      <c r="Z613" s="121"/>
    </row>
    <row r="614" spans="1:26" ht="11.25" customHeight="1" x14ac:dyDescent="0.3">
      <c r="A614" s="121"/>
      <c r="B614" s="121"/>
      <c r="C614" s="121"/>
      <c r="D614" s="121"/>
      <c r="E614" s="121"/>
      <c r="F614" s="121"/>
      <c r="G614" s="121"/>
      <c r="H614" s="121"/>
      <c r="I614" s="121"/>
      <c r="J614" s="121"/>
      <c r="K614" s="121"/>
      <c r="L614" s="121"/>
      <c r="M614" s="121"/>
      <c r="N614" s="121"/>
      <c r="O614" s="121"/>
      <c r="P614" s="121"/>
      <c r="Q614" s="121"/>
      <c r="R614" s="121"/>
      <c r="S614" s="121"/>
      <c r="T614" s="121"/>
      <c r="U614" s="121"/>
      <c r="V614" s="121"/>
      <c r="W614" s="121"/>
      <c r="X614" s="121"/>
      <c r="Y614" s="121"/>
      <c r="Z614" s="121"/>
    </row>
    <row r="615" spans="1:26" ht="11.25" customHeight="1" x14ac:dyDescent="0.3">
      <c r="A615" s="121"/>
      <c r="B615" s="121"/>
      <c r="C615" s="121"/>
      <c r="D615" s="121"/>
      <c r="E615" s="121"/>
      <c r="F615" s="121"/>
      <c r="G615" s="121"/>
      <c r="H615" s="121"/>
      <c r="I615" s="121"/>
      <c r="J615" s="121"/>
      <c r="K615" s="121"/>
      <c r="L615" s="121"/>
      <c r="M615" s="121"/>
      <c r="N615" s="121"/>
      <c r="O615" s="121"/>
      <c r="P615" s="121"/>
      <c r="Q615" s="121"/>
      <c r="R615" s="121"/>
      <c r="S615" s="121"/>
      <c r="T615" s="121"/>
      <c r="U615" s="121"/>
      <c r="V615" s="121"/>
      <c r="W615" s="121"/>
      <c r="X615" s="121"/>
      <c r="Y615" s="121"/>
      <c r="Z615" s="121"/>
    </row>
    <row r="616" spans="1:26" ht="11.25" customHeight="1" x14ac:dyDescent="0.3">
      <c r="A616" s="121"/>
      <c r="B616" s="121"/>
      <c r="C616" s="121"/>
      <c r="D616" s="121"/>
      <c r="E616" s="121"/>
      <c r="F616" s="121"/>
      <c r="G616" s="121"/>
      <c r="H616" s="121"/>
      <c r="I616" s="121"/>
      <c r="J616" s="121"/>
      <c r="K616" s="121"/>
      <c r="L616" s="121"/>
      <c r="M616" s="121"/>
      <c r="N616" s="121"/>
      <c r="O616" s="121"/>
      <c r="P616" s="121"/>
      <c r="Q616" s="121"/>
      <c r="R616" s="121"/>
      <c r="S616" s="121"/>
      <c r="T616" s="121"/>
      <c r="U616" s="121"/>
      <c r="V616" s="121"/>
      <c r="W616" s="121"/>
      <c r="X616" s="121"/>
      <c r="Y616" s="121"/>
      <c r="Z616" s="121"/>
    </row>
    <row r="617" spans="1:26" ht="11.25" customHeight="1" x14ac:dyDescent="0.3">
      <c r="A617" s="121"/>
      <c r="B617" s="121"/>
      <c r="C617" s="121"/>
      <c r="D617" s="121"/>
      <c r="E617" s="121"/>
      <c r="F617" s="121"/>
      <c r="G617" s="121"/>
      <c r="H617" s="121"/>
      <c r="I617" s="121"/>
      <c r="J617" s="121"/>
      <c r="K617" s="121"/>
      <c r="L617" s="121"/>
      <c r="M617" s="121"/>
      <c r="N617" s="121"/>
      <c r="O617" s="121"/>
      <c r="P617" s="121"/>
      <c r="Q617" s="121"/>
      <c r="R617" s="121"/>
      <c r="S617" s="121"/>
      <c r="T617" s="121"/>
      <c r="U617" s="121"/>
      <c r="V617" s="121"/>
      <c r="W617" s="121"/>
      <c r="X617" s="121"/>
      <c r="Y617" s="121"/>
      <c r="Z617" s="121"/>
    </row>
    <row r="618" spans="1:26" ht="11.25" customHeight="1" x14ac:dyDescent="0.3">
      <c r="A618" s="121"/>
      <c r="B618" s="121"/>
      <c r="C618" s="121"/>
      <c r="D618" s="121"/>
      <c r="E618" s="121"/>
      <c r="F618" s="121"/>
      <c r="G618" s="121"/>
      <c r="H618" s="121"/>
      <c r="I618" s="121"/>
      <c r="J618" s="121"/>
      <c r="K618" s="121"/>
      <c r="L618" s="121"/>
      <c r="M618" s="121"/>
      <c r="N618" s="121"/>
      <c r="O618" s="121"/>
      <c r="P618" s="121"/>
      <c r="Q618" s="121"/>
      <c r="R618" s="121"/>
      <c r="S618" s="121"/>
      <c r="T618" s="121"/>
      <c r="U618" s="121"/>
      <c r="V618" s="121"/>
      <c r="W618" s="121"/>
      <c r="X618" s="121"/>
      <c r="Y618" s="121"/>
      <c r="Z618" s="121"/>
    </row>
    <row r="619" spans="1:26" ht="11.25" customHeight="1" x14ac:dyDescent="0.3">
      <c r="A619" s="121"/>
      <c r="B619" s="121"/>
      <c r="C619" s="121"/>
      <c r="D619" s="121"/>
      <c r="E619" s="121"/>
      <c r="F619" s="121"/>
      <c r="G619" s="121"/>
      <c r="H619" s="121"/>
      <c r="I619" s="121"/>
      <c r="J619" s="121"/>
      <c r="K619" s="121"/>
      <c r="L619" s="121"/>
      <c r="M619" s="121"/>
      <c r="N619" s="121"/>
      <c r="O619" s="121"/>
      <c r="P619" s="121"/>
      <c r="Q619" s="121"/>
      <c r="R619" s="121"/>
      <c r="S619" s="121"/>
      <c r="T619" s="121"/>
      <c r="U619" s="121"/>
      <c r="V619" s="121"/>
      <c r="W619" s="121"/>
      <c r="X619" s="121"/>
      <c r="Y619" s="121"/>
      <c r="Z619" s="121"/>
    </row>
    <row r="620" spans="1:26" ht="11.25" customHeight="1" x14ac:dyDescent="0.3">
      <c r="A620" s="121"/>
      <c r="B620" s="121"/>
      <c r="C620" s="121"/>
      <c r="D620" s="121"/>
      <c r="E620" s="121"/>
      <c r="F620" s="121"/>
      <c r="G620" s="121"/>
      <c r="H620" s="121"/>
      <c r="I620" s="121"/>
      <c r="J620" s="121"/>
      <c r="K620" s="121"/>
      <c r="L620" s="121"/>
      <c r="M620" s="121"/>
      <c r="N620" s="121"/>
      <c r="O620" s="121"/>
      <c r="P620" s="121"/>
      <c r="Q620" s="121"/>
      <c r="R620" s="121"/>
      <c r="S620" s="121"/>
      <c r="T620" s="121"/>
      <c r="U620" s="121"/>
      <c r="V620" s="121"/>
      <c r="W620" s="121"/>
      <c r="X620" s="121"/>
      <c r="Y620" s="121"/>
      <c r="Z620" s="121"/>
    </row>
    <row r="621" spans="1:26" ht="11.25" customHeight="1" x14ac:dyDescent="0.3">
      <c r="A621" s="121"/>
      <c r="B621" s="121"/>
      <c r="C621" s="121"/>
      <c r="D621" s="121"/>
      <c r="E621" s="121"/>
      <c r="F621" s="121"/>
      <c r="G621" s="121"/>
      <c r="H621" s="121"/>
      <c r="I621" s="121"/>
      <c r="J621" s="121"/>
      <c r="K621" s="121"/>
      <c r="L621" s="121"/>
      <c r="M621" s="121"/>
      <c r="N621" s="121"/>
      <c r="O621" s="121"/>
      <c r="P621" s="121"/>
      <c r="Q621" s="121"/>
      <c r="R621" s="121"/>
      <c r="S621" s="121"/>
      <c r="T621" s="121"/>
      <c r="U621" s="121"/>
      <c r="V621" s="121"/>
      <c r="W621" s="121"/>
      <c r="X621" s="121"/>
      <c r="Y621" s="121"/>
      <c r="Z621" s="121"/>
    </row>
    <row r="622" spans="1:26" ht="11.25" customHeight="1" x14ac:dyDescent="0.3">
      <c r="A622" s="121"/>
      <c r="B622" s="121"/>
      <c r="C622" s="121"/>
      <c r="D622" s="121"/>
      <c r="E622" s="121"/>
      <c r="F622" s="121"/>
      <c r="G622" s="121"/>
      <c r="H622" s="121"/>
      <c r="I622" s="121"/>
      <c r="J622" s="121"/>
      <c r="K622" s="121"/>
      <c r="L622" s="121"/>
      <c r="M622" s="121"/>
      <c r="N622" s="121"/>
      <c r="O622" s="121"/>
      <c r="P622" s="121"/>
      <c r="Q622" s="121"/>
      <c r="R622" s="121"/>
      <c r="S622" s="121"/>
      <c r="T622" s="121"/>
      <c r="U622" s="121"/>
      <c r="V622" s="121"/>
      <c r="W622" s="121"/>
      <c r="X622" s="121"/>
      <c r="Y622" s="121"/>
      <c r="Z622" s="121"/>
    </row>
    <row r="623" spans="1:26" ht="11.25" customHeight="1" x14ac:dyDescent="0.3">
      <c r="A623" s="121"/>
      <c r="B623" s="121"/>
      <c r="C623" s="121"/>
      <c r="D623" s="121"/>
      <c r="E623" s="121"/>
      <c r="F623" s="121"/>
      <c r="G623" s="121"/>
      <c r="H623" s="121"/>
      <c r="I623" s="121"/>
      <c r="J623" s="121"/>
      <c r="K623" s="121"/>
      <c r="L623" s="121"/>
      <c r="M623" s="121"/>
      <c r="N623" s="121"/>
      <c r="O623" s="121"/>
      <c r="P623" s="121"/>
      <c r="Q623" s="121"/>
      <c r="R623" s="121"/>
      <c r="S623" s="121"/>
      <c r="T623" s="121"/>
      <c r="U623" s="121"/>
      <c r="V623" s="121"/>
      <c r="W623" s="121"/>
      <c r="X623" s="121"/>
      <c r="Y623" s="121"/>
      <c r="Z623" s="121"/>
    </row>
    <row r="624" spans="1:26" ht="11.25" customHeight="1" x14ac:dyDescent="0.3">
      <c r="A624" s="121"/>
      <c r="B624" s="121"/>
      <c r="C624" s="121"/>
      <c r="D624" s="121"/>
      <c r="E624" s="121"/>
      <c r="F624" s="121"/>
      <c r="G624" s="121"/>
      <c r="H624" s="121"/>
      <c r="I624" s="121"/>
      <c r="J624" s="121"/>
      <c r="K624" s="121"/>
      <c r="L624" s="121"/>
      <c r="M624" s="121"/>
      <c r="N624" s="121"/>
      <c r="O624" s="121"/>
      <c r="P624" s="121"/>
      <c r="Q624" s="121"/>
      <c r="R624" s="121"/>
      <c r="S624" s="121"/>
      <c r="T624" s="121"/>
      <c r="U624" s="121"/>
      <c r="V624" s="121"/>
      <c r="W624" s="121"/>
      <c r="X624" s="121"/>
      <c r="Y624" s="121"/>
      <c r="Z624" s="121"/>
    </row>
    <row r="625" spans="1:26" ht="11.25" customHeight="1" x14ac:dyDescent="0.3">
      <c r="A625" s="121"/>
      <c r="B625" s="121"/>
      <c r="C625" s="121"/>
      <c r="D625" s="121"/>
      <c r="E625" s="121"/>
      <c r="F625" s="121"/>
      <c r="G625" s="121"/>
      <c r="H625" s="121"/>
      <c r="I625" s="121"/>
      <c r="J625" s="121"/>
      <c r="K625" s="121"/>
      <c r="L625" s="121"/>
      <c r="M625" s="121"/>
      <c r="N625" s="121"/>
      <c r="O625" s="121"/>
      <c r="P625" s="121"/>
      <c r="Q625" s="121"/>
      <c r="R625" s="121"/>
      <c r="S625" s="121"/>
      <c r="T625" s="121"/>
      <c r="U625" s="121"/>
      <c r="V625" s="121"/>
      <c r="W625" s="121"/>
      <c r="X625" s="121"/>
      <c r="Y625" s="121"/>
      <c r="Z625" s="121"/>
    </row>
    <row r="626" spans="1:26" ht="11.25" customHeight="1" x14ac:dyDescent="0.3">
      <c r="A626" s="121"/>
      <c r="B626" s="121"/>
      <c r="C626" s="121"/>
      <c r="D626" s="121"/>
      <c r="E626" s="121"/>
      <c r="F626" s="121"/>
      <c r="G626" s="121"/>
      <c r="H626" s="121"/>
      <c r="I626" s="121"/>
      <c r="J626" s="121"/>
      <c r="K626" s="121"/>
      <c r="L626" s="121"/>
      <c r="M626" s="121"/>
      <c r="N626" s="121"/>
      <c r="O626" s="121"/>
      <c r="P626" s="121"/>
      <c r="Q626" s="121"/>
      <c r="R626" s="121"/>
      <c r="S626" s="121"/>
      <c r="T626" s="121"/>
      <c r="U626" s="121"/>
      <c r="V626" s="121"/>
      <c r="W626" s="121"/>
      <c r="X626" s="121"/>
      <c r="Y626" s="121"/>
      <c r="Z626" s="121"/>
    </row>
    <row r="627" spans="1:26" ht="11.25" customHeight="1" x14ac:dyDescent="0.3">
      <c r="A627" s="121"/>
      <c r="B627" s="121"/>
      <c r="C627" s="121"/>
      <c r="D627" s="121"/>
      <c r="E627" s="121"/>
      <c r="F627" s="121"/>
      <c r="G627" s="121"/>
      <c r="H627" s="121"/>
      <c r="I627" s="121"/>
      <c r="J627" s="121"/>
      <c r="K627" s="121"/>
      <c r="L627" s="121"/>
      <c r="M627" s="121"/>
      <c r="N627" s="121"/>
      <c r="O627" s="121"/>
      <c r="P627" s="121"/>
      <c r="Q627" s="121"/>
      <c r="R627" s="121"/>
      <c r="S627" s="121"/>
      <c r="T627" s="121"/>
      <c r="U627" s="121"/>
      <c r="V627" s="121"/>
      <c r="W627" s="121"/>
      <c r="X627" s="121"/>
      <c r="Y627" s="121"/>
      <c r="Z627" s="121"/>
    </row>
    <row r="628" spans="1:26" ht="11.25" customHeight="1" x14ac:dyDescent="0.3">
      <c r="A628" s="121"/>
      <c r="B628" s="121"/>
      <c r="C628" s="121"/>
      <c r="D628" s="121"/>
      <c r="E628" s="121"/>
      <c r="F628" s="121"/>
      <c r="G628" s="121"/>
      <c r="H628" s="121"/>
      <c r="I628" s="121"/>
      <c r="J628" s="121"/>
      <c r="K628" s="121"/>
      <c r="L628" s="121"/>
      <c r="M628" s="121"/>
      <c r="N628" s="121"/>
      <c r="O628" s="121"/>
      <c r="P628" s="121"/>
      <c r="Q628" s="121"/>
      <c r="R628" s="121"/>
      <c r="S628" s="121"/>
      <c r="T628" s="121"/>
      <c r="U628" s="121"/>
      <c r="V628" s="121"/>
      <c r="W628" s="121"/>
      <c r="X628" s="121"/>
      <c r="Y628" s="121"/>
      <c r="Z628" s="121"/>
    </row>
    <row r="629" spans="1:26" ht="11.25" customHeight="1" x14ac:dyDescent="0.3">
      <c r="A629" s="121"/>
      <c r="B629" s="121"/>
      <c r="C629" s="121"/>
      <c r="D629" s="121"/>
      <c r="E629" s="121"/>
      <c r="F629" s="121"/>
      <c r="G629" s="121"/>
      <c r="H629" s="121"/>
      <c r="I629" s="121"/>
      <c r="J629" s="121"/>
      <c r="K629" s="121"/>
      <c r="L629" s="121"/>
      <c r="M629" s="121"/>
      <c r="N629" s="121"/>
      <c r="O629" s="121"/>
      <c r="P629" s="121"/>
      <c r="Q629" s="121"/>
      <c r="R629" s="121"/>
      <c r="S629" s="121"/>
      <c r="T629" s="121"/>
      <c r="U629" s="121"/>
      <c r="V629" s="121"/>
      <c r="W629" s="121"/>
      <c r="X629" s="121"/>
      <c r="Y629" s="121"/>
      <c r="Z629" s="121"/>
    </row>
    <row r="630" spans="1:26" ht="11.25" customHeight="1" x14ac:dyDescent="0.3">
      <c r="A630" s="121"/>
      <c r="B630" s="121"/>
      <c r="C630" s="121"/>
      <c r="D630" s="121"/>
      <c r="E630" s="121"/>
      <c r="F630" s="121"/>
      <c r="G630" s="121"/>
      <c r="H630" s="121"/>
      <c r="I630" s="121"/>
      <c r="J630" s="121"/>
      <c r="K630" s="121"/>
      <c r="L630" s="121"/>
      <c r="M630" s="121"/>
      <c r="N630" s="121"/>
      <c r="O630" s="121"/>
      <c r="P630" s="121"/>
      <c r="Q630" s="121"/>
      <c r="R630" s="121"/>
      <c r="S630" s="121"/>
      <c r="T630" s="121"/>
      <c r="U630" s="121"/>
      <c r="V630" s="121"/>
      <c r="W630" s="121"/>
      <c r="X630" s="121"/>
      <c r="Y630" s="121"/>
      <c r="Z630" s="121"/>
    </row>
    <row r="631" spans="1:26" ht="11.25" customHeight="1" x14ac:dyDescent="0.3">
      <c r="A631" s="121"/>
      <c r="B631" s="121"/>
      <c r="C631" s="121"/>
      <c r="D631" s="121"/>
      <c r="E631" s="121"/>
      <c r="F631" s="121"/>
      <c r="G631" s="121"/>
      <c r="H631" s="121"/>
      <c r="I631" s="121"/>
      <c r="J631" s="121"/>
      <c r="K631" s="121"/>
      <c r="L631" s="121"/>
      <c r="M631" s="121"/>
      <c r="N631" s="121"/>
      <c r="O631" s="121"/>
      <c r="P631" s="121"/>
      <c r="Q631" s="121"/>
      <c r="R631" s="121"/>
      <c r="S631" s="121"/>
      <c r="T631" s="121"/>
      <c r="U631" s="121"/>
      <c r="V631" s="121"/>
      <c r="W631" s="121"/>
      <c r="X631" s="121"/>
      <c r="Y631" s="121"/>
      <c r="Z631" s="121"/>
    </row>
    <row r="632" spans="1:26" ht="11.25" customHeight="1" x14ac:dyDescent="0.3">
      <c r="A632" s="121"/>
      <c r="B632" s="121"/>
      <c r="C632" s="121"/>
      <c r="D632" s="121"/>
      <c r="E632" s="121"/>
      <c r="F632" s="121"/>
      <c r="G632" s="121"/>
      <c r="H632" s="121"/>
      <c r="I632" s="121"/>
      <c r="J632" s="121"/>
      <c r="K632" s="121"/>
      <c r="L632" s="121"/>
      <c r="M632" s="121"/>
      <c r="N632" s="121"/>
      <c r="O632" s="121"/>
      <c r="P632" s="121"/>
      <c r="Q632" s="121"/>
      <c r="R632" s="121"/>
      <c r="S632" s="121"/>
      <c r="T632" s="121"/>
      <c r="U632" s="121"/>
      <c r="V632" s="121"/>
      <c r="W632" s="121"/>
      <c r="X632" s="121"/>
      <c r="Y632" s="121"/>
      <c r="Z632" s="121"/>
    </row>
    <row r="633" spans="1:26" ht="11.25" customHeight="1" x14ac:dyDescent="0.3">
      <c r="A633" s="121"/>
      <c r="B633" s="121"/>
      <c r="C633" s="121"/>
      <c r="D633" s="121"/>
      <c r="E633" s="121"/>
      <c r="F633" s="121"/>
      <c r="G633" s="121"/>
      <c r="H633" s="121"/>
      <c r="I633" s="121"/>
      <c r="J633" s="121"/>
      <c r="K633" s="121"/>
      <c r="L633" s="121"/>
      <c r="M633" s="121"/>
      <c r="N633" s="121"/>
      <c r="O633" s="121"/>
      <c r="P633" s="121"/>
      <c r="Q633" s="121"/>
      <c r="R633" s="121"/>
      <c r="S633" s="121"/>
      <c r="T633" s="121"/>
      <c r="U633" s="121"/>
      <c r="V633" s="121"/>
      <c r="W633" s="121"/>
      <c r="X633" s="121"/>
      <c r="Y633" s="121"/>
      <c r="Z633" s="121"/>
    </row>
    <row r="634" spans="1:26" ht="11.25" customHeight="1" x14ac:dyDescent="0.3">
      <c r="A634" s="121"/>
      <c r="B634" s="121"/>
      <c r="C634" s="121"/>
      <c r="D634" s="121"/>
      <c r="E634" s="121"/>
      <c r="F634" s="121"/>
      <c r="G634" s="121"/>
      <c r="H634" s="121"/>
      <c r="I634" s="121"/>
      <c r="J634" s="121"/>
      <c r="K634" s="121"/>
      <c r="L634" s="121"/>
      <c r="M634" s="121"/>
      <c r="N634" s="121"/>
      <c r="O634" s="121"/>
      <c r="P634" s="121"/>
      <c r="Q634" s="121"/>
      <c r="R634" s="121"/>
      <c r="S634" s="121"/>
      <c r="T634" s="121"/>
      <c r="U634" s="121"/>
      <c r="V634" s="121"/>
      <c r="W634" s="121"/>
      <c r="X634" s="121"/>
      <c r="Y634" s="121"/>
      <c r="Z634" s="121"/>
    </row>
    <row r="635" spans="1:26" ht="11.25" customHeight="1" x14ac:dyDescent="0.3">
      <c r="A635" s="121"/>
      <c r="B635" s="121"/>
      <c r="C635" s="121"/>
      <c r="D635" s="121"/>
      <c r="E635" s="121"/>
      <c r="F635" s="121"/>
      <c r="G635" s="121"/>
      <c r="H635" s="121"/>
      <c r="I635" s="121"/>
      <c r="J635" s="121"/>
      <c r="K635" s="121"/>
      <c r="L635" s="121"/>
      <c r="M635" s="121"/>
      <c r="N635" s="121"/>
      <c r="O635" s="121"/>
      <c r="P635" s="121"/>
      <c r="Q635" s="121"/>
      <c r="R635" s="121"/>
      <c r="S635" s="121"/>
      <c r="T635" s="121"/>
      <c r="U635" s="121"/>
      <c r="V635" s="121"/>
      <c r="W635" s="121"/>
      <c r="X635" s="121"/>
      <c r="Y635" s="121"/>
      <c r="Z635" s="121"/>
    </row>
    <row r="636" spans="1:26" ht="11.25" customHeight="1" x14ac:dyDescent="0.3">
      <c r="A636" s="121"/>
      <c r="B636" s="121"/>
      <c r="C636" s="121"/>
      <c r="D636" s="121"/>
      <c r="E636" s="121"/>
      <c r="F636" s="121"/>
      <c r="G636" s="121"/>
      <c r="H636" s="121"/>
      <c r="I636" s="121"/>
      <c r="J636" s="121"/>
      <c r="K636" s="121"/>
      <c r="L636" s="121"/>
      <c r="M636" s="121"/>
      <c r="N636" s="121"/>
      <c r="O636" s="121"/>
      <c r="P636" s="121"/>
      <c r="Q636" s="121"/>
      <c r="R636" s="121"/>
      <c r="S636" s="121"/>
      <c r="T636" s="121"/>
      <c r="U636" s="121"/>
      <c r="V636" s="121"/>
      <c r="W636" s="121"/>
      <c r="X636" s="121"/>
      <c r="Y636" s="121"/>
      <c r="Z636" s="121"/>
    </row>
    <row r="637" spans="1:26" ht="11.25" customHeight="1" x14ac:dyDescent="0.3">
      <c r="A637" s="121"/>
      <c r="B637" s="121"/>
      <c r="C637" s="121"/>
      <c r="D637" s="121"/>
      <c r="E637" s="121"/>
      <c r="F637" s="121"/>
      <c r="G637" s="121"/>
      <c r="H637" s="121"/>
      <c r="I637" s="121"/>
      <c r="J637" s="121"/>
      <c r="K637" s="121"/>
      <c r="L637" s="121"/>
      <c r="M637" s="121"/>
      <c r="N637" s="121"/>
      <c r="O637" s="121"/>
      <c r="P637" s="121"/>
      <c r="Q637" s="121"/>
      <c r="R637" s="121"/>
      <c r="S637" s="121"/>
      <c r="T637" s="121"/>
      <c r="U637" s="121"/>
      <c r="V637" s="121"/>
      <c r="W637" s="121"/>
      <c r="X637" s="121"/>
      <c r="Y637" s="121"/>
      <c r="Z637" s="121"/>
    </row>
    <row r="638" spans="1:26" ht="11.25" customHeight="1" x14ac:dyDescent="0.3">
      <c r="A638" s="121"/>
      <c r="B638" s="121"/>
      <c r="C638" s="121"/>
      <c r="D638" s="121"/>
      <c r="E638" s="121"/>
      <c r="F638" s="121"/>
      <c r="G638" s="121"/>
      <c r="H638" s="121"/>
      <c r="I638" s="121"/>
      <c r="J638" s="121"/>
      <c r="K638" s="121"/>
      <c r="L638" s="121"/>
      <c r="M638" s="121"/>
      <c r="N638" s="121"/>
      <c r="O638" s="121"/>
      <c r="P638" s="121"/>
      <c r="Q638" s="121"/>
      <c r="R638" s="121"/>
      <c r="S638" s="121"/>
      <c r="T638" s="121"/>
      <c r="U638" s="121"/>
      <c r="V638" s="121"/>
      <c r="W638" s="121"/>
      <c r="X638" s="121"/>
      <c r="Y638" s="121"/>
      <c r="Z638" s="121"/>
    </row>
    <row r="639" spans="1:26" ht="11.25" customHeight="1" x14ac:dyDescent="0.3">
      <c r="A639" s="121"/>
      <c r="B639" s="121"/>
      <c r="C639" s="121"/>
      <c r="D639" s="121"/>
      <c r="E639" s="121"/>
      <c r="F639" s="121"/>
      <c r="G639" s="121"/>
      <c r="H639" s="121"/>
      <c r="I639" s="121"/>
      <c r="J639" s="121"/>
      <c r="K639" s="121"/>
      <c r="L639" s="121"/>
      <c r="M639" s="121"/>
      <c r="N639" s="121"/>
      <c r="O639" s="121"/>
      <c r="P639" s="121"/>
      <c r="Q639" s="121"/>
      <c r="R639" s="121"/>
      <c r="S639" s="121"/>
      <c r="T639" s="121"/>
      <c r="U639" s="121"/>
      <c r="V639" s="121"/>
      <c r="W639" s="121"/>
      <c r="X639" s="121"/>
      <c r="Y639" s="121"/>
      <c r="Z639" s="121"/>
    </row>
    <row r="640" spans="1:26" ht="11.25" customHeight="1" x14ac:dyDescent="0.3">
      <c r="A640" s="121"/>
      <c r="B640" s="121"/>
      <c r="C640" s="121"/>
      <c r="D640" s="121"/>
      <c r="E640" s="121"/>
      <c r="F640" s="121"/>
      <c r="G640" s="121"/>
      <c r="H640" s="121"/>
      <c r="I640" s="121"/>
      <c r="J640" s="121"/>
      <c r="K640" s="121"/>
      <c r="L640" s="121"/>
      <c r="M640" s="121"/>
      <c r="N640" s="121"/>
      <c r="O640" s="121"/>
      <c r="P640" s="121"/>
      <c r="Q640" s="121"/>
      <c r="R640" s="121"/>
      <c r="S640" s="121"/>
      <c r="T640" s="121"/>
      <c r="U640" s="121"/>
      <c r="V640" s="121"/>
      <c r="W640" s="121"/>
      <c r="X640" s="121"/>
      <c r="Y640" s="121"/>
      <c r="Z640" s="121"/>
    </row>
    <row r="641" spans="1:26" ht="11.25" customHeight="1" x14ac:dyDescent="0.3">
      <c r="A641" s="121"/>
      <c r="B641" s="121"/>
      <c r="C641" s="121"/>
      <c r="D641" s="121"/>
      <c r="E641" s="121"/>
      <c r="F641" s="121"/>
      <c r="G641" s="121"/>
      <c r="H641" s="121"/>
      <c r="I641" s="121"/>
      <c r="J641" s="121"/>
      <c r="K641" s="121"/>
      <c r="L641" s="121"/>
      <c r="M641" s="121"/>
      <c r="N641" s="121"/>
      <c r="O641" s="121"/>
      <c r="P641" s="121"/>
      <c r="Q641" s="121"/>
      <c r="R641" s="121"/>
      <c r="S641" s="121"/>
      <c r="T641" s="121"/>
      <c r="U641" s="121"/>
      <c r="V641" s="121"/>
      <c r="W641" s="121"/>
      <c r="X641" s="121"/>
      <c r="Y641" s="121"/>
      <c r="Z641" s="121"/>
    </row>
    <row r="642" spans="1:26" ht="11.25" customHeight="1" x14ac:dyDescent="0.3">
      <c r="A642" s="121"/>
      <c r="B642" s="121"/>
      <c r="C642" s="121"/>
      <c r="D642" s="121"/>
      <c r="E642" s="121"/>
      <c r="F642" s="121"/>
      <c r="G642" s="121"/>
      <c r="H642" s="121"/>
      <c r="I642" s="121"/>
      <c r="J642" s="121"/>
      <c r="K642" s="121"/>
      <c r="L642" s="121"/>
      <c r="M642" s="121"/>
      <c r="N642" s="121"/>
      <c r="O642" s="121"/>
      <c r="P642" s="121"/>
      <c r="Q642" s="121"/>
      <c r="R642" s="121"/>
      <c r="S642" s="121"/>
      <c r="T642" s="121"/>
      <c r="U642" s="121"/>
      <c r="V642" s="121"/>
      <c r="W642" s="121"/>
      <c r="X642" s="121"/>
      <c r="Y642" s="121"/>
      <c r="Z642" s="121"/>
    </row>
    <row r="643" spans="1:26" ht="11.25" customHeight="1" x14ac:dyDescent="0.3">
      <c r="A643" s="121"/>
      <c r="B643" s="121"/>
      <c r="C643" s="121"/>
      <c r="D643" s="121"/>
      <c r="E643" s="121"/>
      <c r="F643" s="121"/>
      <c r="G643" s="121"/>
      <c r="H643" s="121"/>
      <c r="I643" s="121"/>
      <c r="J643" s="121"/>
      <c r="K643" s="121"/>
      <c r="L643" s="121"/>
      <c r="M643" s="121"/>
      <c r="N643" s="121"/>
      <c r="O643" s="121"/>
      <c r="P643" s="121"/>
      <c r="Q643" s="121"/>
      <c r="R643" s="121"/>
      <c r="S643" s="121"/>
      <c r="T643" s="121"/>
      <c r="U643" s="121"/>
      <c r="V643" s="121"/>
      <c r="W643" s="121"/>
      <c r="X643" s="121"/>
      <c r="Y643" s="121"/>
      <c r="Z643" s="121"/>
    </row>
    <row r="644" spans="1:26" ht="11.25" customHeight="1" x14ac:dyDescent="0.3">
      <c r="A644" s="121"/>
      <c r="B644" s="121"/>
      <c r="C644" s="121"/>
      <c r="D644" s="121"/>
      <c r="E644" s="121"/>
      <c r="F644" s="121"/>
      <c r="G644" s="121"/>
      <c r="H644" s="121"/>
      <c r="I644" s="121"/>
      <c r="J644" s="121"/>
      <c r="K644" s="121"/>
      <c r="L644" s="121"/>
      <c r="M644" s="121"/>
      <c r="N644" s="121"/>
      <c r="O644" s="121"/>
      <c r="P644" s="121"/>
      <c r="Q644" s="121"/>
      <c r="R644" s="121"/>
      <c r="S644" s="121"/>
      <c r="T644" s="121"/>
      <c r="U644" s="121"/>
      <c r="V644" s="121"/>
      <c r="W644" s="121"/>
      <c r="X644" s="121"/>
      <c r="Y644" s="121"/>
      <c r="Z644" s="121"/>
    </row>
    <row r="645" spans="1:26" ht="11.25" customHeight="1" x14ac:dyDescent="0.3">
      <c r="A645" s="121"/>
      <c r="B645" s="121"/>
      <c r="C645" s="121"/>
      <c r="D645" s="121"/>
      <c r="E645" s="121"/>
      <c r="F645" s="121"/>
      <c r="G645" s="121"/>
      <c r="H645" s="121"/>
      <c r="I645" s="121"/>
      <c r="J645" s="121"/>
      <c r="K645" s="121"/>
      <c r="L645" s="121"/>
      <c r="M645" s="121"/>
      <c r="N645" s="121"/>
      <c r="O645" s="121"/>
      <c r="P645" s="121"/>
      <c r="Q645" s="121"/>
      <c r="R645" s="121"/>
      <c r="S645" s="121"/>
      <c r="T645" s="121"/>
      <c r="U645" s="121"/>
      <c r="V645" s="121"/>
      <c r="W645" s="121"/>
      <c r="X645" s="121"/>
      <c r="Y645" s="121"/>
      <c r="Z645" s="121"/>
    </row>
    <row r="646" spans="1:26" ht="11.25" customHeight="1" x14ac:dyDescent="0.3">
      <c r="A646" s="121"/>
      <c r="B646" s="121"/>
      <c r="C646" s="121"/>
      <c r="D646" s="121"/>
      <c r="E646" s="121"/>
      <c r="F646" s="121"/>
      <c r="G646" s="121"/>
      <c r="H646" s="121"/>
      <c r="I646" s="121"/>
      <c r="J646" s="121"/>
      <c r="K646" s="121"/>
      <c r="L646" s="121"/>
      <c r="M646" s="121"/>
      <c r="N646" s="121"/>
      <c r="O646" s="121"/>
      <c r="P646" s="121"/>
      <c r="Q646" s="121"/>
      <c r="R646" s="121"/>
      <c r="S646" s="121"/>
      <c r="T646" s="121"/>
      <c r="U646" s="121"/>
      <c r="V646" s="121"/>
      <c r="W646" s="121"/>
      <c r="X646" s="121"/>
      <c r="Y646" s="121"/>
      <c r="Z646" s="121"/>
    </row>
    <row r="647" spans="1:26" ht="11.25" customHeight="1" x14ac:dyDescent="0.3">
      <c r="A647" s="121"/>
      <c r="B647" s="121"/>
      <c r="C647" s="121"/>
      <c r="D647" s="121"/>
      <c r="E647" s="121"/>
      <c r="F647" s="121"/>
      <c r="G647" s="121"/>
      <c r="H647" s="121"/>
      <c r="I647" s="121"/>
      <c r="J647" s="121"/>
      <c r="K647" s="121"/>
      <c r="L647" s="121"/>
      <c r="M647" s="121"/>
      <c r="N647" s="121"/>
      <c r="O647" s="121"/>
      <c r="P647" s="121"/>
      <c r="Q647" s="121"/>
      <c r="R647" s="121"/>
      <c r="S647" s="121"/>
      <c r="T647" s="121"/>
      <c r="U647" s="121"/>
      <c r="V647" s="121"/>
      <c r="W647" s="121"/>
      <c r="X647" s="121"/>
      <c r="Y647" s="121"/>
      <c r="Z647" s="121"/>
    </row>
    <row r="648" spans="1:26" ht="11.25" customHeight="1" x14ac:dyDescent="0.3">
      <c r="A648" s="121"/>
      <c r="B648" s="121"/>
      <c r="C648" s="121"/>
      <c r="D648" s="121"/>
      <c r="E648" s="121"/>
      <c r="F648" s="121"/>
      <c r="G648" s="121"/>
      <c r="H648" s="121"/>
      <c r="I648" s="121"/>
      <c r="J648" s="121"/>
      <c r="K648" s="121"/>
      <c r="L648" s="121"/>
      <c r="M648" s="121"/>
      <c r="N648" s="121"/>
      <c r="O648" s="121"/>
      <c r="P648" s="121"/>
      <c r="Q648" s="121"/>
      <c r="R648" s="121"/>
      <c r="S648" s="121"/>
      <c r="T648" s="121"/>
      <c r="U648" s="121"/>
      <c r="V648" s="121"/>
      <c r="W648" s="121"/>
      <c r="X648" s="121"/>
      <c r="Y648" s="121"/>
      <c r="Z648" s="121"/>
    </row>
    <row r="649" spans="1:26" ht="11.25" customHeight="1" x14ac:dyDescent="0.3">
      <c r="A649" s="121"/>
      <c r="B649" s="121"/>
      <c r="C649" s="121"/>
      <c r="D649" s="121"/>
      <c r="E649" s="121"/>
      <c r="F649" s="121"/>
      <c r="G649" s="121"/>
      <c r="H649" s="121"/>
      <c r="I649" s="121"/>
      <c r="J649" s="121"/>
      <c r="K649" s="121"/>
      <c r="L649" s="121"/>
      <c r="M649" s="121"/>
      <c r="N649" s="121"/>
      <c r="O649" s="121"/>
      <c r="P649" s="121"/>
      <c r="Q649" s="121"/>
      <c r="R649" s="121"/>
      <c r="S649" s="121"/>
      <c r="T649" s="121"/>
      <c r="U649" s="121"/>
      <c r="V649" s="121"/>
      <c r="W649" s="121"/>
      <c r="X649" s="121"/>
      <c r="Y649" s="121"/>
      <c r="Z649" s="121"/>
    </row>
    <row r="650" spans="1:26" ht="11.25" customHeight="1" x14ac:dyDescent="0.3">
      <c r="A650" s="121"/>
      <c r="B650" s="121"/>
      <c r="C650" s="121"/>
      <c r="D650" s="121"/>
      <c r="E650" s="121"/>
      <c r="F650" s="121"/>
      <c r="G650" s="121"/>
      <c r="H650" s="121"/>
      <c r="I650" s="121"/>
      <c r="J650" s="121"/>
      <c r="K650" s="121"/>
      <c r="L650" s="121"/>
      <c r="M650" s="121"/>
      <c r="N650" s="121"/>
      <c r="O650" s="121"/>
      <c r="P650" s="121"/>
      <c r="Q650" s="121"/>
      <c r="R650" s="121"/>
      <c r="S650" s="121"/>
      <c r="T650" s="121"/>
      <c r="U650" s="121"/>
      <c r="V650" s="121"/>
      <c r="W650" s="121"/>
      <c r="X650" s="121"/>
      <c r="Y650" s="121"/>
      <c r="Z650" s="121"/>
    </row>
    <row r="651" spans="1:26" ht="11.25" customHeight="1" x14ac:dyDescent="0.3">
      <c r="A651" s="121"/>
      <c r="B651" s="121"/>
      <c r="C651" s="121"/>
      <c r="D651" s="121"/>
      <c r="E651" s="121"/>
      <c r="F651" s="121"/>
      <c r="G651" s="121"/>
      <c r="H651" s="121"/>
      <c r="I651" s="121"/>
      <c r="J651" s="121"/>
      <c r="K651" s="121"/>
      <c r="L651" s="121"/>
      <c r="M651" s="121"/>
      <c r="N651" s="121"/>
      <c r="O651" s="121"/>
      <c r="P651" s="121"/>
      <c r="Q651" s="121"/>
      <c r="R651" s="121"/>
      <c r="S651" s="121"/>
      <c r="T651" s="121"/>
      <c r="U651" s="121"/>
      <c r="V651" s="121"/>
      <c r="W651" s="121"/>
      <c r="X651" s="121"/>
      <c r="Y651" s="121"/>
      <c r="Z651" s="121"/>
    </row>
    <row r="652" spans="1:26" ht="11.25" customHeight="1" x14ac:dyDescent="0.3">
      <c r="A652" s="121"/>
      <c r="B652" s="121"/>
      <c r="C652" s="121"/>
      <c r="D652" s="121"/>
      <c r="E652" s="121"/>
      <c r="F652" s="121"/>
      <c r="G652" s="121"/>
      <c r="H652" s="121"/>
      <c r="I652" s="121"/>
      <c r="J652" s="121"/>
      <c r="K652" s="121"/>
      <c r="L652" s="121"/>
      <c r="M652" s="121"/>
      <c r="N652" s="121"/>
      <c r="O652" s="121"/>
      <c r="P652" s="121"/>
      <c r="Q652" s="121"/>
      <c r="R652" s="121"/>
      <c r="S652" s="121"/>
      <c r="T652" s="121"/>
      <c r="U652" s="121"/>
      <c r="V652" s="121"/>
      <c r="W652" s="121"/>
      <c r="X652" s="121"/>
      <c r="Y652" s="121"/>
      <c r="Z652" s="121"/>
    </row>
    <row r="653" spans="1:26" ht="11.25" customHeight="1" x14ac:dyDescent="0.3">
      <c r="A653" s="121"/>
      <c r="B653" s="121"/>
      <c r="C653" s="121"/>
      <c r="D653" s="121"/>
      <c r="E653" s="121"/>
      <c r="F653" s="121"/>
      <c r="G653" s="121"/>
      <c r="H653" s="121"/>
      <c r="I653" s="121"/>
      <c r="J653" s="121"/>
      <c r="K653" s="121"/>
      <c r="L653" s="121"/>
      <c r="M653" s="121"/>
      <c r="N653" s="121"/>
      <c r="O653" s="121"/>
      <c r="P653" s="121"/>
      <c r="Q653" s="121"/>
      <c r="R653" s="121"/>
      <c r="S653" s="121"/>
      <c r="T653" s="121"/>
      <c r="U653" s="121"/>
      <c r="V653" s="121"/>
      <c r="W653" s="121"/>
      <c r="X653" s="121"/>
      <c r="Y653" s="121"/>
      <c r="Z653" s="121"/>
    </row>
    <row r="654" spans="1:26" ht="11.25" customHeight="1" x14ac:dyDescent="0.3">
      <c r="A654" s="121"/>
      <c r="B654" s="121"/>
      <c r="C654" s="121"/>
      <c r="D654" s="121"/>
      <c r="E654" s="121"/>
      <c r="F654" s="121"/>
      <c r="G654" s="121"/>
      <c r="H654" s="121"/>
      <c r="I654" s="121"/>
      <c r="J654" s="121"/>
      <c r="K654" s="121"/>
      <c r="L654" s="121"/>
      <c r="M654" s="121"/>
      <c r="N654" s="121"/>
      <c r="O654" s="121"/>
      <c r="P654" s="121"/>
      <c r="Q654" s="121"/>
      <c r="R654" s="121"/>
      <c r="S654" s="121"/>
      <c r="T654" s="121"/>
      <c r="U654" s="121"/>
      <c r="V654" s="121"/>
      <c r="W654" s="121"/>
      <c r="X654" s="121"/>
      <c r="Y654" s="121"/>
      <c r="Z654" s="121"/>
    </row>
    <row r="655" spans="1:26" ht="11.25" customHeight="1" x14ac:dyDescent="0.3">
      <c r="A655" s="121"/>
      <c r="B655" s="121"/>
      <c r="C655" s="121"/>
      <c r="D655" s="121"/>
      <c r="E655" s="121"/>
      <c r="F655" s="121"/>
      <c r="G655" s="121"/>
      <c r="H655" s="121"/>
      <c r="I655" s="121"/>
      <c r="J655" s="121"/>
      <c r="K655" s="121"/>
      <c r="L655" s="121"/>
      <c r="M655" s="121"/>
      <c r="N655" s="121"/>
      <c r="O655" s="121"/>
      <c r="P655" s="121"/>
      <c r="Q655" s="121"/>
      <c r="R655" s="121"/>
      <c r="S655" s="121"/>
      <c r="T655" s="121"/>
      <c r="U655" s="121"/>
      <c r="V655" s="121"/>
      <c r="W655" s="121"/>
      <c r="X655" s="121"/>
      <c r="Y655" s="121"/>
      <c r="Z655" s="121"/>
    </row>
    <row r="656" spans="1:26" ht="11.25" customHeight="1" x14ac:dyDescent="0.3">
      <c r="A656" s="121"/>
      <c r="B656" s="121"/>
      <c r="C656" s="121"/>
      <c r="D656" s="121"/>
      <c r="E656" s="121"/>
      <c r="F656" s="121"/>
      <c r="G656" s="121"/>
      <c r="H656" s="121"/>
      <c r="I656" s="121"/>
      <c r="J656" s="121"/>
      <c r="K656" s="121"/>
      <c r="L656" s="121"/>
      <c r="M656" s="121"/>
      <c r="N656" s="121"/>
      <c r="O656" s="121"/>
      <c r="P656" s="121"/>
      <c r="Q656" s="121"/>
      <c r="R656" s="121"/>
      <c r="S656" s="121"/>
      <c r="T656" s="121"/>
      <c r="U656" s="121"/>
      <c r="V656" s="121"/>
      <c r="W656" s="121"/>
      <c r="X656" s="121"/>
      <c r="Y656" s="121"/>
      <c r="Z656" s="121"/>
    </row>
    <row r="657" spans="1:26" ht="11.25" customHeight="1" x14ac:dyDescent="0.3">
      <c r="A657" s="121"/>
      <c r="B657" s="121"/>
      <c r="C657" s="121"/>
      <c r="D657" s="121"/>
      <c r="E657" s="121"/>
      <c r="F657" s="121"/>
      <c r="G657" s="121"/>
      <c r="H657" s="121"/>
      <c r="I657" s="121"/>
      <c r="J657" s="121"/>
      <c r="K657" s="121"/>
      <c r="L657" s="121"/>
      <c r="M657" s="121"/>
      <c r="N657" s="121"/>
      <c r="O657" s="121"/>
      <c r="P657" s="121"/>
      <c r="Q657" s="121"/>
      <c r="R657" s="121"/>
      <c r="S657" s="121"/>
      <c r="T657" s="121"/>
      <c r="U657" s="121"/>
      <c r="V657" s="121"/>
      <c r="W657" s="121"/>
      <c r="X657" s="121"/>
      <c r="Y657" s="121"/>
      <c r="Z657" s="121"/>
    </row>
    <row r="658" spans="1:26" ht="11.25" customHeight="1" x14ac:dyDescent="0.3">
      <c r="A658" s="121"/>
      <c r="B658" s="121"/>
      <c r="C658" s="121"/>
      <c r="D658" s="121"/>
      <c r="E658" s="121"/>
      <c r="F658" s="121"/>
      <c r="G658" s="121"/>
      <c r="H658" s="121"/>
      <c r="I658" s="121"/>
      <c r="J658" s="121"/>
      <c r="K658" s="121"/>
      <c r="L658" s="121"/>
      <c r="M658" s="121"/>
      <c r="N658" s="121"/>
      <c r="O658" s="121"/>
      <c r="P658" s="121"/>
      <c r="Q658" s="121"/>
      <c r="R658" s="121"/>
      <c r="S658" s="121"/>
      <c r="T658" s="121"/>
      <c r="U658" s="121"/>
      <c r="V658" s="121"/>
      <c r="W658" s="121"/>
      <c r="X658" s="121"/>
      <c r="Y658" s="121"/>
      <c r="Z658" s="121"/>
    </row>
    <row r="659" spans="1:26" ht="11.25" customHeight="1" x14ac:dyDescent="0.3">
      <c r="A659" s="121"/>
      <c r="B659" s="121"/>
      <c r="C659" s="121"/>
      <c r="D659" s="121"/>
      <c r="E659" s="121"/>
      <c r="F659" s="121"/>
      <c r="G659" s="121"/>
      <c r="H659" s="121"/>
      <c r="I659" s="121"/>
      <c r="J659" s="121"/>
      <c r="K659" s="121"/>
      <c r="L659" s="121"/>
      <c r="M659" s="121"/>
      <c r="N659" s="121"/>
      <c r="O659" s="121"/>
      <c r="P659" s="121"/>
      <c r="Q659" s="121"/>
      <c r="R659" s="121"/>
      <c r="S659" s="121"/>
      <c r="T659" s="121"/>
      <c r="U659" s="121"/>
      <c r="V659" s="121"/>
      <c r="W659" s="121"/>
      <c r="X659" s="121"/>
      <c r="Y659" s="121"/>
      <c r="Z659" s="121"/>
    </row>
    <row r="660" spans="1:26" ht="11.25" customHeight="1" x14ac:dyDescent="0.3">
      <c r="A660" s="121"/>
      <c r="B660" s="121"/>
      <c r="C660" s="121"/>
      <c r="D660" s="121"/>
      <c r="E660" s="121"/>
      <c r="F660" s="121"/>
      <c r="G660" s="121"/>
      <c r="H660" s="121"/>
      <c r="I660" s="121"/>
      <c r="J660" s="121"/>
      <c r="K660" s="121"/>
      <c r="L660" s="121"/>
      <c r="M660" s="121"/>
      <c r="N660" s="121"/>
      <c r="O660" s="121"/>
      <c r="P660" s="121"/>
      <c r="Q660" s="121"/>
      <c r="R660" s="121"/>
      <c r="S660" s="121"/>
      <c r="T660" s="121"/>
      <c r="U660" s="121"/>
      <c r="V660" s="121"/>
      <c r="W660" s="121"/>
      <c r="X660" s="121"/>
      <c r="Y660" s="121"/>
      <c r="Z660" s="121"/>
    </row>
    <row r="661" spans="1:26" ht="11.25" customHeight="1" x14ac:dyDescent="0.3">
      <c r="A661" s="121"/>
      <c r="B661" s="121"/>
      <c r="C661" s="121"/>
      <c r="D661" s="121"/>
      <c r="E661" s="121"/>
      <c r="F661" s="121"/>
      <c r="G661" s="121"/>
      <c r="H661" s="121"/>
      <c r="I661" s="121"/>
      <c r="J661" s="121"/>
      <c r="K661" s="121"/>
      <c r="L661" s="121"/>
      <c r="M661" s="121"/>
      <c r="N661" s="121"/>
      <c r="O661" s="121"/>
      <c r="P661" s="121"/>
      <c r="Q661" s="121"/>
      <c r="R661" s="121"/>
      <c r="S661" s="121"/>
      <c r="T661" s="121"/>
      <c r="U661" s="121"/>
      <c r="V661" s="121"/>
      <c r="W661" s="121"/>
      <c r="X661" s="121"/>
      <c r="Y661" s="121"/>
      <c r="Z661" s="121"/>
    </row>
    <row r="662" spans="1:26" ht="11.25" customHeight="1" x14ac:dyDescent="0.3">
      <c r="A662" s="121"/>
      <c r="B662" s="121"/>
      <c r="C662" s="121"/>
      <c r="D662" s="121"/>
      <c r="E662" s="121"/>
      <c r="F662" s="121"/>
      <c r="G662" s="121"/>
      <c r="H662" s="121"/>
      <c r="I662" s="121"/>
      <c r="J662" s="121"/>
      <c r="K662" s="121"/>
      <c r="L662" s="121"/>
      <c r="M662" s="121"/>
      <c r="N662" s="121"/>
      <c r="O662" s="121"/>
      <c r="P662" s="121"/>
      <c r="Q662" s="121"/>
      <c r="R662" s="121"/>
      <c r="S662" s="121"/>
      <c r="T662" s="121"/>
      <c r="U662" s="121"/>
      <c r="V662" s="121"/>
      <c r="W662" s="121"/>
      <c r="X662" s="121"/>
      <c r="Y662" s="121"/>
      <c r="Z662" s="121"/>
    </row>
    <row r="663" spans="1:26" ht="11.25" customHeight="1" x14ac:dyDescent="0.3">
      <c r="A663" s="121"/>
      <c r="B663" s="121"/>
      <c r="C663" s="121"/>
      <c r="D663" s="121"/>
      <c r="E663" s="121"/>
      <c r="F663" s="121"/>
      <c r="G663" s="121"/>
      <c r="H663" s="121"/>
      <c r="I663" s="121"/>
      <c r="J663" s="121"/>
      <c r="K663" s="121"/>
      <c r="L663" s="121"/>
      <c r="M663" s="121"/>
      <c r="N663" s="121"/>
      <c r="O663" s="121"/>
      <c r="P663" s="121"/>
      <c r="Q663" s="121"/>
      <c r="R663" s="121"/>
      <c r="S663" s="121"/>
      <c r="T663" s="121"/>
      <c r="U663" s="121"/>
      <c r="V663" s="121"/>
      <c r="W663" s="121"/>
      <c r="X663" s="121"/>
      <c r="Y663" s="121"/>
      <c r="Z663" s="121"/>
    </row>
    <row r="664" spans="1:26" ht="11.25" customHeight="1" x14ac:dyDescent="0.3">
      <c r="A664" s="121"/>
      <c r="B664" s="121"/>
      <c r="C664" s="121"/>
      <c r="D664" s="121"/>
      <c r="E664" s="121"/>
      <c r="F664" s="121"/>
      <c r="G664" s="121"/>
      <c r="H664" s="121"/>
      <c r="I664" s="121"/>
      <c r="J664" s="121"/>
      <c r="K664" s="121"/>
      <c r="L664" s="121"/>
      <c r="M664" s="121"/>
      <c r="N664" s="121"/>
      <c r="O664" s="121"/>
      <c r="P664" s="121"/>
      <c r="Q664" s="121"/>
      <c r="R664" s="121"/>
      <c r="S664" s="121"/>
      <c r="T664" s="121"/>
      <c r="U664" s="121"/>
      <c r="V664" s="121"/>
      <c r="W664" s="121"/>
      <c r="X664" s="121"/>
      <c r="Y664" s="121"/>
      <c r="Z664" s="121"/>
    </row>
    <row r="665" spans="1:26" ht="11.25" customHeight="1" x14ac:dyDescent="0.3">
      <c r="A665" s="121"/>
      <c r="B665" s="121"/>
      <c r="C665" s="121"/>
      <c r="D665" s="121"/>
      <c r="E665" s="121"/>
      <c r="F665" s="121"/>
      <c r="G665" s="121"/>
      <c r="H665" s="121"/>
      <c r="I665" s="121"/>
      <c r="J665" s="121"/>
      <c r="K665" s="121"/>
      <c r="L665" s="121"/>
      <c r="M665" s="121"/>
      <c r="N665" s="121"/>
      <c r="O665" s="121"/>
      <c r="P665" s="121"/>
      <c r="Q665" s="121"/>
      <c r="R665" s="121"/>
      <c r="S665" s="121"/>
      <c r="T665" s="121"/>
      <c r="U665" s="121"/>
      <c r="V665" s="121"/>
      <c r="W665" s="121"/>
      <c r="X665" s="121"/>
      <c r="Y665" s="121"/>
      <c r="Z665" s="121"/>
    </row>
    <row r="666" spans="1:26" ht="11.25" customHeight="1" x14ac:dyDescent="0.3">
      <c r="A666" s="121"/>
      <c r="B666" s="121"/>
      <c r="C666" s="121"/>
      <c r="D666" s="121"/>
      <c r="E666" s="121"/>
      <c r="F666" s="121"/>
      <c r="G666" s="121"/>
      <c r="H666" s="121"/>
      <c r="I666" s="121"/>
      <c r="J666" s="121"/>
      <c r="K666" s="121"/>
      <c r="L666" s="121"/>
      <c r="M666" s="121"/>
      <c r="N666" s="121"/>
      <c r="O666" s="121"/>
      <c r="P666" s="121"/>
      <c r="Q666" s="121"/>
      <c r="R666" s="121"/>
      <c r="S666" s="121"/>
      <c r="T666" s="121"/>
      <c r="U666" s="121"/>
      <c r="V666" s="121"/>
      <c r="W666" s="121"/>
      <c r="X666" s="121"/>
      <c r="Y666" s="121"/>
      <c r="Z666" s="121"/>
    </row>
    <row r="667" spans="1:26" ht="11.25" customHeight="1" x14ac:dyDescent="0.3">
      <c r="A667" s="121"/>
      <c r="B667" s="121"/>
      <c r="C667" s="121"/>
      <c r="D667" s="121"/>
      <c r="E667" s="121"/>
      <c r="F667" s="121"/>
      <c r="G667" s="121"/>
      <c r="H667" s="121"/>
      <c r="I667" s="121"/>
      <c r="J667" s="121"/>
      <c r="K667" s="121"/>
      <c r="L667" s="121"/>
      <c r="M667" s="121"/>
      <c r="N667" s="121"/>
      <c r="O667" s="121"/>
      <c r="P667" s="121"/>
      <c r="Q667" s="121"/>
      <c r="R667" s="121"/>
      <c r="S667" s="121"/>
      <c r="T667" s="121"/>
      <c r="U667" s="121"/>
      <c r="V667" s="121"/>
      <c r="W667" s="121"/>
      <c r="X667" s="121"/>
      <c r="Y667" s="121"/>
      <c r="Z667" s="121"/>
    </row>
    <row r="668" spans="1:26" ht="11.25" customHeight="1" x14ac:dyDescent="0.3">
      <c r="A668" s="121"/>
      <c r="B668" s="121"/>
      <c r="C668" s="121"/>
      <c r="D668" s="121"/>
      <c r="E668" s="121"/>
      <c r="F668" s="121"/>
      <c r="G668" s="121"/>
      <c r="H668" s="121"/>
      <c r="I668" s="121"/>
      <c r="J668" s="121"/>
      <c r="K668" s="121"/>
      <c r="L668" s="121"/>
      <c r="M668" s="121"/>
      <c r="N668" s="121"/>
      <c r="O668" s="121"/>
      <c r="P668" s="121"/>
      <c r="Q668" s="121"/>
      <c r="R668" s="121"/>
      <c r="S668" s="121"/>
      <c r="T668" s="121"/>
      <c r="U668" s="121"/>
      <c r="V668" s="121"/>
      <c r="W668" s="121"/>
      <c r="X668" s="121"/>
      <c r="Y668" s="121"/>
      <c r="Z668" s="121"/>
    </row>
    <row r="669" spans="1:26" ht="11.25" customHeight="1" x14ac:dyDescent="0.3">
      <c r="A669" s="121"/>
      <c r="B669" s="121"/>
      <c r="C669" s="121"/>
      <c r="D669" s="121"/>
      <c r="E669" s="121"/>
      <c r="F669" s="121"/>
      <c r="G669" s="121"/>
      <c r="H669" s="121"/>
      <c r="I669" s="121"/>
      <c r="J669" s="121"/>
      <c r="K669" s="121"/>
      <c r="L669" s="121"/>
      <c r="M669" s="121"/>
      <c r="N669" s="121"/>
      <c r="O669" s="121"/>
      <c r="P669" s="121"/>
      <c r="Q669" s="121"/>
      <c r="R669" s="121"/>
      <c r="S669" s="121"/>
      <c r="T669" s="121"/>
      <c r="U669" s="121"/>
      <c r="V669" s="121"/>
      <c r="W669" s="121"/>
      <c r="X669" s="121"/>
      <c r="Y669" s="121"/>
      <c r="Z669" s="121"/>
    </row>
    <row r="670" spans="1:26" ht="11.25" customHeight="1" x14ac:dyDescent="0.3">
      <c r="A670" s="121"/>
      <c r="B670" s="121"/>
      <c r="C670" s="121"/>
      <c r="D670" s="121"/>
      <c r="E670" s="121"/>
      <c r="F670" s="121"/>
      <c r="G670" s="121"/>
      <c r="H670" s="121"/>
      <c r="I670" s="121"/>
      <c r="J670" s="121"/>
      <c r="K670" s="121"/>
      <c r="L670" s="121"/>
      <c r="M670" s="121"/>
      <c r="N670" s="121"/>
      <c r="O670" s="121"/>
      <c r="P670" s="121"/>
      <c r="Q670" s="121"/>
      <c r="R670" s="121"/>
      <c r="S670" s="121"/>
      <c r="T670" s="121"/>
      <c r="U670" s="121"/>
      <c r="V670" s="121"/>
      <c r="W670" s="121"/>
      <c r="X670" s="121"/>
      <c r="Y670" s="121"/>
      <c r="Z670" s="121"/>
    </row>
    <row r="671" spans="1:26" ht="11.25" customHeight="1" x14ac:dyDescent="0.3">
      <c r="A671" s="121"/>
      <c r="B671" s="121"/>
      <c r="C671" s="121"/>
      <c r="D671" s="121"/>
      <c r="E671" s="121"/>
      <c r="F671" s="121"/>
      <c r="G671" s="121"/>
      <c r="H671" s="121"/>
      <c r="I671" s="121"/>
      <c r="J671" s="121"/>
      <c r="K671" s="121"/>
      <c r="L671" s="121"/>
      <c r="M671" s="121"/>
      <c r="N671" s="121"/>
      <c r="O671" s="121"/>
      <c r="P671" s="121"/>
      <c r="Q671" s="121"/>
      <c r="R671" s="121"/>
      <c r="S671" s="121"/>
      <c r="T671" s="121"/>
      <c r="U671" s="121"/>
      <c r="V671" s="121"/>
      <c r="W671" s="121"/>
      <c r="X671" s="121"/>
      <c r="Y671" s="121"/>
      <c r="Z671" s="121"/>
    </row>
    <row r="672" spans="1:26" ht="11.25" customHeight="1" x14ac:dyDescent="0.3">
      <c r="A672" s="121"/>
      <c r="B672" s="121"/>
      <c r="C672" s="121"/>
      <c r="D672" s="121"/>
      <c r="E672" s="121"/>
      <c r="F672" s="121"/>
      <c r="G672" s="121"/>
      <c r="H672" s="121"/>
      <c r="I672" s="121"/>
      <c r="J672" s="121"/>
      <c r="K672" s="121"/>
      <c r="L672" s="121"/>
      <c r="M672" s="121"/>
      <c r="N672" s="121"/>
      <c r="O672" s="121"/>
      <c r="P672" s="121"/>
      <c r="Q672" s="121"/>
      <c r="R672" s="121"/>
      <c r="S672" s="121"/>
      <c r="T672" s="121"/>
      <c r="U672" s="121"/>
      <c r="V672" s="121"/>
      <c r="W672" s="121"/>
      <c r="X672" s="121"/>
      <c r="Y672" s="121"/>
      <c r="Z672" s="121"/>
    </row>
    <row r="673" spans="1:26" ht="11.25" customHeight="1" x14ac:dyDescent="0.3">
      <c r="A673" s="121"/>
      <c r="B673" s="121"/>
      <c r="C673" s="121"/>
      <c r="D673" s="121"/>
      <c r="E673" s="121"/>
      <c r="F673" s="121"/>
      <c r="G673" s="121"/>
      <c r="H673" s="121"/>
      <c r="I673" s="121"/>
      <c r="J673" s="121"/>
      <c r="K673" s="121"/>
      <c r="L673" s="121"/>
      <c r="M673" s="121"/>
      <c r="N673" s="121"/>
      <c r="O673" s="121"/>
      <c r="P673" s="121"/>
      <c r="Q673" s="121"/>
      <c r="R673" s="121"/>
      <c r="S673" s="121"/>
      <c r="T673" s="121"/>
      <c r="U673" s="121"/>
      <c r="V673" s="121"/>
      <c r="W673" s="121"/>
      <c r="X673" s="121"/>
      <c r="Y673" s="121"/>
      <c r="Z673" s="121"/>
    </row>
    <row r="674" spans="1:26" ht="11.25" customHeight="1" x14ac:dyDescent="0.3">
      <c r="A674" s="121"/>
      <c r="B674" s="121"/>
      <c r="C674" s="121"/>
      <c r="D674" s="121"/>
      <c r="E674" s="121"/>
      <c r="F674" s="121"/>
      <c r="G674" s="121"/>
      <c r="H674" s="121"/>
      <c r="I674" s="121"/>
      <c r="J674" s="121"/>
      <c r="K674" s="121"/>
      <c r="L674" s="121"/>
      <c r="M674" s="121"/>
      <c r="N674" s="121"/>
      <c r="O674" s="121"/>
      <c r="P674" s="121"/>
      <c r="Q674" s="121"/>
      <c r="R674" s="121"/>
      <c r="S674" s="121"/>
      <c r="T674" s="121"/>
      <c r="U674" s="121"/>
      <c r="V674" s="121"/>
      <c r="W674" s="121"/>
      <c r="X674" s="121"/>
      <c r="Y674" s="121"/>
      <c r="Z674" s="121"/>
    </row>
    <row r="675" spans="1:26" ht="11.25" customHeight="1" x14ac:dyDescent="0.3">
      <c r="A675" s="121"/>
      <c r="B675" s="121"/>
      <c r="C675" s="121"/>
      <c r="D675" s="121"/>
      <c r="E675" s="121"/>
      <c r="F675" s="121"/>
      <c r="G675" s="121"/>
      <c r="H675" s="121"/>
      <c r="I675" s="121"/>
      <c r="J675" s="121"/>
      <c r="K675" s="121"/>
      <c r="L675" s="121"/>
      <c r="M675" s="121"/>
      <c r="N675" s="121"/>
      <c r="O675" s="121"/>
      <c r="P675" s="121"/>
      <c r="Q675" s="121"/>
      <c r="R675" s="121"/>
      <c r="S675" s="121"/>
      <c r="T675" s="121"/>
      <c r="U675" s="121"/>
      <c r="V675" s="121"/>
      <c r="W675" s="121"/>
      <c r="X675" s="121"/>
      <c r="Y675" s="121"/>
      <c r="Z675" s="121"/>
    </row>
    <row r="676" spans="1:26" ht="11.25" customHeight="1" x14ac:dyDescent="0.3">
      <c r="A676" s="121"/>
      <c r="B676" s="121"/>
      <c r="C676" s="121"/>
      <c r="D676" s="121"/>
      <c r="E676" s="121"/>
      <c r="F676" s="121"/>
      <c r="G676" s="121"/>
      <c r="H676" s="121"/>
      <c r="I676" s="121"/>
      <c r="J676" s="121"/>
      <c r="K676" s="121"/>
      <c r="L676" s="121"/>
      <c r="M676" s="121"/>
      <c r="N676" s="121"/>
      <c r="O676" s="121"/>
      <c r="P676" s="121"/>
      <c r="Q676" s="121"/>
      <c r="R676" s="121"/>
      <c r="S676" s="121"/>
      <c r="T676" s="121"/>
      <c r="U676" s="121"/>
      <c r="V676" s="121"/>
      <c r="W676" s="121"/>
      <c r="X676" s="121"/>
      <c r="Y676" s="121"/>
      <c r="Z676" s="121"/>
    </row>
    <row r="677" spans="1:26" ht="11.25" customHeight="1" x14ac:dyDescent="0.3">
      <c r="A677" s="121"/>
      <c r="B677" s="121"/>
      <c r="C677" s="121"/>
      <c r="D677" s="121"/>
      <c r="E677" s="121"/>
      <c r="F677" s="121"/>
      <c r="G677" s="121"/>
      <c r="H677" s="121"/>
      <c r="I677" s="121"/>
      <c r="J677" s="121"/>
      <c r="K677" s="121"/>
      <c r="L677" s="121"/>
      <c r="M677" s="121"/>
      <c r="N677" s="121"/>
      <c r="O677" s="121"/>
      <c r="P677" s="121"/>
      <c r="Q677" s="121"/>
      <c r="R677" s="121"/>
      <c r="S677" s="121"/>
      <c r="T677" s="121"/>
      <c r="U677" s="121"/>
      <c r="V677" s="121"/>
      <c r="W677" s="121"/>
      <c r="X677" s="121"/>
      <c r="Y677" s="121"/>
      <c r="Z677" s="121"/>
    </row>
    <row r="678" spans="1:26" ht="11.25" customHeight="1" x14ac:dyDescent="0.3">
      <c r="A678" s="121"/>
      <c r="B678" s="121"/>
      <c r="C678" s="121"/>
      <c r="D678" s="121"/>
      <c r="E678" s="121"/>
      <c r="F678" s="121"/>
      <c r="G678" s="121"/>
      <c r="H678" s="121"/>
      <c r="I678" s="121"/>
      <c r="J678" s="121"/>
      <c r="K678" s="121"/>
      <c r="L678" s="121"/>
      <c r="M678" s="121"/>
      <c r="N678" s="121"/>
      <c r="O678" s="121"/>
      <c r="P678" s="121"/>
      <c r="Q678" s="121"/>
      <c r="R678" s="121"/>
      <c r="S678" s="121"/>
      <c r="T678" s="121"/>
      <c r="U678" s="121"/>
      <c r="V678" s="121"/>
      <c r="W678" s="121"/>
      <c r="X678" s="121"/>
      <c r="Y678" s="121"/>
      <c r="Z678" s="121"/>
    </row>
    <row r="679" spans="1:26" ht="11.25" customHeight="1" x14ac:dyDescent="0.3">
      <c r="A679" s="121"/>
      <c r="B679" s="121"/>
      <c r="C679" s="121"/>
      <c r="D679" s="121"/>
      <c r="E679" s="121"/>
      <c r="F679" s="121"/>
      <c r="G679" s="121"/>
      <c r="H679" s="121"/>
      <c r="I679" s="121"/>
      <c r="J679" s="121"/>
      <c r="K679" s="121"/>
      <c r="L679" s="121"/>
      <c r="M679" s="121"/>
      <c r="N679" s="121"/>
      <c r="O679" s="121"/>
      <c r="P679" s="121"/>
      <c r="Q679" s="121"/>
      <c r="R679" s="121"/>
      <c r="S679" s="121"/>
      <c r="T679" s="121"/>
      <c r="U679" s="121"/>
      <c r="V679" s="121"/>
      <c r="W679" s="121"/>
      <c r="X679" s="121"/>
      <c r="Y679" s="121"/>
      <c r="Z679" s="121"/>
    </row>
    <row r="680" spans="1:26" ht="11.25" customHeight="1" x14ac:dyDescent="0.3">
      <c r="A680" s="121"/>
      <c r="B680" s="121"/>
      <c r="C680" s="121"/>
      <c r="D680" s="121"/>
      <c r="E680" s="121"/>
      <c r="F680" s="121"/>
      <c r="G680" s="121"/>
      <c r="H680" s="121"/>
      <c r="I680" s="121"/>
      <c r="J680" s="121"/>
      <c r="K680" s="121"/>
      <c r="L680" s="121"/>
      <c r="M680" s="121"/>
      <c r="N680" s="121"/>
      <c r="O680" s="121"/>
      <c r="P680" s="121"/>
      <c r="Q680" s="121"/>
      <c r="R680" s="121"/>
      <c r="S680" s="121"/>
      <c r="T680" s="121"/>
      <c r="U680" s="121"/>
      <c r="V680" s="121"/>
      <c r="W680" s="121"/>
      <c r="X680" s="121"/>
      <c r="Y680" s="121"/>
      <c r="Z680" s="121"/>
    </row>
    <row r="681" spans="1:26" ht="11.25" customHeight="1" x14ac:dyDescent="0.3">
      <c r="A681" s="121"/>
      <c r="B681" s="121"/>
      <c r="C681" s="121"/>
      <c r="D681" s="121"/>
      <c r="E681" s="121"/>
      <c r="F681" s="121"/>
      <c r="G681" s="121"/>
      <c r="H681" s="121"/>
      <c r="I681" s="121"/>
      <c r="J681" s="121"/>
      <c r="K681" s="121"/>
      <c r="L681" s="121"/>
      <c r="M681" s="121"/>
      <c r="N681" s="121"/>
      <c r="O681" s="121"/>
      <c r="P681" s="121"/>
      <c r="Q681" s="121"/>
      <c r="R681" s="121"/>
      <c r="S681" s="121"/>
      <c r="T681" s="121"/>
      <c r="U681" s="121"/>
      <c r="V681" s="121"/>
      <c r="W681" s="121"/>
      <c r="X681" s="121"/>
      <c r="Y681" s="121"/>
      <c r="Z681" s="121"/>
    </row>
    <row r="682" spans="1:26" ht="11.25" customHeight="1" x14ac:dyDescent="0.3">
      <c r="A682" s="121"/>
      <c r="B682" s="121"/>
      <c r="C682" s="121"/>
      <c r="D682" s="121"/>
      <c r="E682" s="121"/>
      <c r="F682" s="121"/>
      <c r="G682" s="121"/>
      <c r="H682" s="121"/>
      <c r="I682" s="121"/>
      <c r="J682" s="121"/>
      <c r="K682" s="121"/>
      <c r="L682" s="121"/>
      <c r="M682" s="121"/>
      <c r="N682" s="121"/>
      <c r="O682" s="121"/>
      <c r="P682" s="121"/>
      <c r="Q682" s="121"/>
      <c r="R682" s="121"/>
      <c r="S682" s="121"/>
      <c r="T682" s="121"/>
      <c r="U682" s="121"/>
      <c r="V682" s="121"/>
      <c r="W682" s="121"/>
      <c r="X682" s="121"/>
      <c r="Y682" s="121"/>
      <c r="Z682" s="121"/>
    </row>
    <row r="683" spans="1:26" ht="11.25" customHeight="1" x14ac:dyDescent="0.3">
      <c r="A683" s="121"/>
      <c r="B683" s="121"/>
      <c r="C683" s="121"/>
      <c r="D683" s="121"/>
      <c r="E683" s="121"/>
      <c r="F683" s="121"/>
      <c r="G683" s="121"/>
      <c r="H683" s="121"/>
      <c r="I683" s="121"/>
      <c r="J683" s="121"/>
      <c r="K683" s="121"/>
      <c r="L683" s="121"/>
      <c r="M683" s="121"/>
      <c r="N683" s="121"/>
      <c r="O683" s="121"/>
      <c r="P683" s="121"/>
      <c r="Q683" s="121"/>
      <c r="R683" s="121"/>
      <c r="S683" s="121"/>
      <c r="T683" s="121"/>
      <c r="U683" s="121"/>
      <c r="V683" s="121"/>
      <c r="W683" s="121"/>
      <c r="X683" s="121"/>
      <c r="Y683" s="121"/>
      <c r="Z683" s="121"/>
    </row>
    <row r="684" spans="1:26" ht="11.25" customHeight="1" x14ac:dyDescent="0.3">
      <c r="A684" s="121"/>
      <c r="B684" s="121"/>
      <c r="C684" s="121"/>
      <c r="D684" s="121"/>
      <c r="E684" s="121"/>
      <c r="F684" s="121"/>
      <c r="G684" s="121"/>
      <c r="H684" s="121"/>
      <c r="I684" s="121"/>
      <c r="J684" s="121"/>
      <c r="K684" s="121"/>
      <c r="L684" s="121"/>
      <c r="M684" s="121"/>
      <c r="N684" s="121"/>
      <c r="O684" s="121"/>
      <c r="P684" s="121"/>
      <c r="Q684" s="121"/>
      <c r="R684" s="121"/>
      <c r="S684" s="121"/>
      <c r="T684" s="121"/>
      <c r="U684" s="121"/>
      <c r="V684" s="121"/>
      <c r="W684" s="121"/>
      <c r="X684" s="121"/>
      <c r="Y684" s="121"/>
      <c r="Z684" s="121"/>
    </row>
    <row r="685" spans="1:26" ht="11.25" customHeight="1" x14ac:dyDescent="0.3">
      <c r="A685" s="121"/>
      <c r="B685" s="121"/>
      <c r="C685" s="121"/>
      <c r="D685" s="121"/>
      <c r="E685" s="121"/>
      <c r="F685" s="121"/>
      <c r="G685" s="121"/>
      <c r="H685" s="121"/>
      <c r="I685" s="121"/>
      <c r="J685" s="121"/>
      <c r="K685" s="121"/>
      <c r="L685" s="121"/>
      <c r="M685" s="121"/>
      <c r="N685" s="121"/>
      <c r="O685" s="121"/>
      <c r="P685" s="121"/>
      <c r="Q685" s="121"/>
      <c r="R685" s="121"/>
      <c r="S685" s="121"/>
      <c r="T685" s="121"/>
      <c r="U685" s="121"/>
      <c r="V685" s="121"/>
      <c r="W685" s="121"/>
      <c r="X685" s="121"/>
      <c r="Y685" s="121"/>
      <c r="Z685" s="121"/>
    </row>
    <row r="686" spans="1:26" ht="11.25" customHeight="1" x14ac:dyDescent="0.3">
      <c r="A686" s="121"/>
      <c r="B686" s="121"/>
      <c r="C686" s="121"/>
      <c r="D686" s="121"/>
      <c r="E686" s="121"/>
      <c r="F686" s="121"/>
      <c r="G686" s="121"/>
      <c r="H686" s="121"/>
      <c r="I686" s="121"/>
      <c r="J686" s="121"/>
      <c r="K686" s="121"/>
      <c r="L686" s="121"/>
      <c r="M686" s="121"/>
      <c r="N686" s="121"/>
      <c r="O686" s="121"/>
      <c r="P686" s="121"/>
      <c r="Q686" s="121"/>
      <c r="R686" s="121"/>
      <c r="S686" s="121"/>
      <c r="T686" s="121"/>
      <c r="U686" s="121"/>
      <c r="V686" s="121"/>
      <c r="W686" s="121"/>
      <c r="X686" s="121"/>
      <c r="Y686" s="121"/>
      <c r="Z686" s="121"/>
    </row>
    <row r="687" spans="1:26" ht="11.25" customHeight="1" x14ac:dyDescent="0.3">
      <c r="A687" s="121"/>
      <c r="B687" s="121"/>
      <c r="C687" s="121"/>
      <c r="D687" s="121"/>
      <c r="E687" s="121"/>
      <c r="F687" s="121"/>
      <c r="G687" s="121"/>
      <c r="H687" s="121"/>
      <c r="I687" s="121"/>
      <c r="J687" s="121"/>
      <c r="K687" s="121"/>
      <c r="L687" s="121"/>
      <c r="M687" s="121"/>
      <c r="N687" s="121"/>
      <c r="O687" s="121"/>
      <c r="P687" s="121"/>
      <c r="Q687" s="121"/>
      <c r="R687" s="121"/>
      <c r="S687" s="121"/>
      <c r="T687" s="121"/>
      <c r="U687" s="121"/>
      <c r="V687" s="121"/>
      <c r="W687" s="121"/>
      <c r="X687" s="121"/>
      <c r="Y687" s="121"/>
      <c r="Z687" s="121"/>
    </row>
    <row r="688" spans="1:26" ht="11.25" customHeight="1" x14ac:dyDescent="0.3">
      <c r="A688" s="121"/>
      <c r="B688" s="121"/>
      <c r="C688" s="121"/>
      <c r="D688" s="121"/>
      <c r="E688" s="121"/>
      <c r="F688" s="121"/>
      <c r="G688" s="121"/>
      <c r="H688" s="121"/>
      <c r="I688" s="121"/>
      <c r="J688" s="121"/>
      <c r="K688" s="121"/>
      <c r="L688" s="121"/>
      <c r="M688" s="121"/>
      <c r="N688" s="121"/>
      <c r="O688" s="121"/>
      <c r="P688" s="121"/>
      <c r="Q688" s="121"/>
      <c r="R688" s="121"/>
      <c r="S688" s="121"/>
      <c r="T688" s="121"/>
      <c r="U688" s="121"/>
      <c r="V688" s="121"/>
      <c r="W688" s="121"/>
      <c r="X688" s="121"/>
      <c r="Y688" s="121"/>
      <c r="Z688" s="121"/>
    </row>
    <row r="689" spans="1:26" ht="11.25" customHeight="1" x14ac:dyDescent="0.3">
      <c r="A689" s="121"/>
      <c r="B689" s="121"/>
      <c r="C689" s="121"/>
      <c r="D689" s="121"/>
      <c r="E689" s="121"/>
      <c r="F689" s="121"/>
      <c r="G689" s="121"/>
      <c r="H689" s="121"/>
      <c r="I689" s="121"/>
      <c r="J689" s="121"/>
      <c r="K689" s="121"/>
      <c r="L689" s="121"/>
      <c r="M689" s="121"/>
      <c r="N689" s="121"/>
      <c r="O689" s="121"/>
      <c r="P689" s="121"/>
      <c r="Q689" s="121"/>
      <c r="R689" s="121"/>
      <c r="S689" s="121"/>
      <c r="T689" s="121"/>
      <c r="U689" s="121"/>
      <c r="V689" s="121"/>
      <c r="W689" s="121"/>
      <c r="X689" s="121"/>
      <c r="Y689" s="121"/>
      <c r="Z689" s="121"/>
    </row>
    <row r="690" spans="1:26" ht="11.25" customHeight="1" x14ac:dyDescent="0.3">
      <c r="A690" s="121"/>
      <c r="B690" s="121"/>
      <c r="C690" s="121"/>
      <c r="D690" s="121"/>
      <c r="E690" s="121"/>
      <c r="F690" s="121"/>
      <c r="G690" s="121"/>
      <c r="H690" s="121"/>
      <c r="I690" s="121"/>
      <c r="J690" s="121"/>
      <c r="K690" s="121"/>
      <c r="L690" s="121"/>
      <c r="M690" s="121"/>
      <c r="N690" s="121"/>
      <c r="O690" s="121"/>
      <c r="P690" s="121"/>
      <c r="Q690" s="121"/>
      <c r="R690" s="121"/>
      <c r="S690" s="121"/>
      <c r="T690" s="121"/>
      <c r="U690" s="121"/>
      <c r="V690" s="121"/>
      <c r="W690" s="121"/>
      <c r="X690" s="121"/>
      <c r="Y690" s="121"/>
      <c r="Z690" s="121"/>
    </row>
    <row r="691" spans="1:26" ht="11.25" customHeight="1" x14ac:dyDescent="0.3">
      <c r="A691" s="121"/>
      <c r="B691" s="121"/>
      <c r="C691" s="121"/>
      <c r="D691" s="121"/>
      <c r="E691" s="121"/>
      <c r="F691" s="121"/>
      <c r="G691" s="121"/>
      <c r="H691" s="121"/>
      <c r="I691" s="121"/>
      <c r="J691" s="121"/>
      <c r="K691" s="121"/>
      <c r="L691" s="121"/>
      <c r="M691" s="121"/>
      <c r="N691" s="121"/>
      <c r="O691" s="121"/>
      <c r="P691" s="121"/>
      <c r="Q691" s="121"/>
      <c r="R691" s="121"/>
      <c r="S691" s="121"/>
      <c r="T691" s="121"/>
      <c r="U691" s="121"/>
      <c r="V691" s="121"/>
      <c r="W691" s="121"/>
      <c r="X691" s="121"/>
      <c r="Y691" s="121"/>
      <c r="Z691" s="121"/>
    </row>
    <row r="692" spans="1:26" ht="11.25" customHeight="1" x14ac:dyDescent="0.3">
      <c r="A692" s="121"/>
      <c r="B692" s="121"/>
      <c r="C692" s="121"/>
      <c r="D692" s="121"/>
      <c r="E692" s="121"/>
      <c r="F692" s="121"/>
      <c r="G692" s="121"/>
      <c r="H692" s="121"/>
      <c r="I692" s="121"/>
      <c r="J692" s="121"/>
      <c r="K692" s="121"/>
      <c r="L692" s="121"/>
      <c r="M692" s="121"/>
      <c r="N692" s="121"/>
      <c r="O692" s="121"/>
      <c r="P692" s="121"/>
      <c r="Q692" s="121"/>
      <c r="R692" s="121"/>
      <c r="S692" s="121"/>
      <c r="T692" s="121"/>
      <c r="U692" s="121"/>
      <c r="V692" s="121"/>
      <c r="W692" s="121"/>
      <c r="X692" s="121"/>
      <c r="Y692" s="121"/>
      <c r="Z692" s="121"/>
    </row>
    <row r="693" spans="1:26" ht="11.25" customHeight="1" x14ac:dyDescent="0.3">
      <c r="A693" s="121"/>
      <c r="B693" s="121"/>
      <c r="C693" s="121"/>
      <c r="D693" s="121"/>
      <c r="E693" s="121"/>
      <c r="F693" s="121"/>
      <c r="G693" s="121"/>
      <c r="H693" s="121"/>
      <c r="I693" s="121"/>
      <c r="J693" s="121"/>
      <c r="K693" s="121"/>
      <c r="L693" s="121"/>
      <c r="M693" s="121"/>
      <c r="N693" s="121"/>
      <c r="O693" s="121"/>
      <c r="P693" s="121"/>
      <c r="Q693" s="121"/>
      <c r="R693" s="121"/>
      <c r="S693" s="121"/>
      <c r="T693" s="121"/>
      <c r="U693" s="121"/>
      <c r="V693" s="121"/>
      <c r="W693" s="121"/>
      <c r="X693" s="121"/>
      <c r="Y693" s="121"/>
      <c r="Z693" s="121"/>
    </row>
    <row r="694" spans="1:26" ht="11.25" customHeight="1" x14ac:dyDescent="0.3">
      <c r="A694" s="121"/>
      <c r="B694" s="121"/>
      <c r="C694" s="121"/>
      <c r="D694" s="121"/>
      <c r="E694" s="121"/>
      <c r="F694" s="121"/>
      <c r="G694" s="121"/>
      <c r="H694" s="121"/>
      <c r="I694" s="121"/>
      <c r="J694" s="121"/>
      <c r="K694" s="121"/>
      <c r="L694" s="121"/>
      <c r="M694" s="121"/>
      <c r="N694" s="121"/>
      <c r="O694" s="121"/>
      <c r="P694" s="121"/>
      <c r="Q694" s="121"/>
      <c r="R694" s="121"/>
      <c r="S694" s="121"/>
      <c r="T694" s="121"/>
      <c r="U694" s="121"/>
      <c r="V694" s="121"/>
      <c r="W694" s="121"/>
      <c r="X694" s="121"/>
      <c r="Y694" s="121"/>
      <c r="Z694" s="121"/>
    </row>
    <row r="695" spans="1:26" ht="11.25" customHeight="1" x14ac:dyDescent="0.3">
      <c r="A695" s="121"/>
      <c r="B695" s="121"/>
      <c r="C695" s="121"/>
      <c r="D695" s="121"/>
      <c r="E695" s="121"/>
      <c r="F695" s="121"/>
      <c r="G695" s="121"/>
      <c r="H695" s="121"/>
      <c r="I695" s="121"/>
      <c r="J695" s="121"/>
      <c r="K695" s="121"/>
      <c r="L695" s="121"/>
      <c r="M695" s="121"/>
      <c r="N695" s="121"/>
      <c r="O695" s="121"/>
      <c r="P695" s="121"/>
      <c r="Q695" s="121"/>
      <c r="R695" s="121"/>
      <c r="S695" s="121"/>
      <c r="T695" s="121"/>
      <c r="U695" s="121"/>
      <c r="V695" s="121"/>
      <c r="W695" s="121"/>
      <c r="X695" s="121"/>
      <c r="Y695" s="121"/>
      <c r="Z695" s="121"/>
    </row>
    <row r="696" spans="1:26" ht="11.25" customHeight="1" x14ac:dyDescent="0.3">
      <c r="A696" s="121"/>
      <c r="B696" s="121"/>
      <c r="C696" s="121"/>
      <c r="D696" s="121"/>
      <c r="E696" s="121"/>
      <c r="F696" s="121"/>
      <c r="G696" s="121"/>
      <c r="H696" s="121"/>
      <c r="I696" s="121"/>
      <c r="J696" s="121"/>
      <c r="K696" s="121"/>
      <c r="L696" s="121"/>
      <c r="M696" s="121"/>
      <c r="N696" s="121"/>
      <c r="O696" s="121"/>
      <c r="P696" s="121"/>
      <c r="Q696" s="121"/>
      <c r="R696" s="121"/>
      <c r="S696" s="121"/>
      <c r="T696" s="121"/>
      <c r="U696" s="121"/>
      <c r="V696" s="121"/>
      <c r="W696" s="121"/>
      <c r="X696" s="121"/>
      <c r="Y696" s="121"/>
      <c r="Z696" s="121"/>
    </row>
    <row r="697" spans="1:26" ht="11.25" customHeight="1" x14ac:dyDescent="0.3">
      <c r="A697" s="121"/>
      <c r="B697" s="121"/>
      <c r="C697" s="121"/>
      <c r="D697" s="121"/>
      <c r="E697" s="121"/>
      <c r="F697" s="121"/>
      <c r="G697" s="121"/>
      <c r="H697" s="121"/>
      <c r="I697" s="121"/>
      <c r="J697" s="121"/>
      <c r="K697" s="121"/>
      <c r="L697" s="121"/>
      <c r="M697" s="121"/>
      <c r="N697" s="121"/>
      <c r="O697" s="121"/>
      <c r="P697" s="121"/>
      <c r="Q697" s="121"/>
      <c r="R697" s="121"/>
      <c r="S697" s="121"/>
      <c r="T697" s="121"/>
      <c r="U697" s="121"/>
      <c r="V697" s="121"/>
      <c r="W697" s="121"/>
      <c r="X697" s="121"/>
      <c r="Y697" s="121"/>
      <c r="Z697" s="121"/>
    </row>
    <row r="698" spans="1:26" ht="11.25" customHeight="1" x14ac:dyDescent="0.3">
      <c r="A698" s="121"/>
      <c r="B698" s="121"/>
      <c r="C698" s="121"/>
      <c r="D698" s="121"/>
      <c r="E698" s="121"/>
      <c r="F698" s="121"/>
      <c r="G698" s="121"/>
      <c r="H698" s="121"/>
      <c r="I698" s="121"/>
      <c r="J698" s="121"/>
      <c r="K698" s="121"/>
      <c r="L698" s="121"/>
      <c r="M698" s="121"/>
      <c r="N698" s="121"/>
      <c r="O698" s="121"/>
      <c r="P698" s="121"/>
      <c r="Q698" s="121"/>
      <c r="R698" s="121"/>
      <c r="S698" s="121"/>
      <c r="T698" s="121"/>
      <c r="U698" s="121"/>
      <c r="V698" s="121"/>
      <c r="W698" s="121"/>
      <c r="X698" s="121"/>
      <c r="Y698" s="121"/>
      <c r="Z698" s="121"/>
    </row>
    <row r="699" spans="1:26" ht="11.25" customHeight="1" x14ac:dyDescent="0.3">
      <c r="A699" s="121"/>
      <c r="B699" s="121"/>
      <c r="C699" s="121"/>
      <c r="D699" s="121"/>
      <c r="E699" s="121"/>
      <c r="F699" s="121"/>
      <c r="G699" s="121"/>
      <c r="H699" s="121"/>
      <c r="I699" s="121"/>
      <c r="J699" s="121"/>
      <c r="K699" s="121"/>
      <c r="L699" s="121"/>
      <c r="M699" s="121"/>
      <c r="N699" s="121"/>
      <c r="O699" s="121"/>
      <c r="P699" s="121"/>
      <c r="Q699" s="121"/>
      <c r="R699" s="121"/>
      <c r="S699" s="121"/>
      <c r="T699" s="121"/>
      <c r="U699" s="121"/>
      <c r="V699" s="121"/>
      <c r="W699" s="121"/>
      <c r="X699" s="121"/>
      <c r="Y699" s="121"/>
      <c r="Z699" s="121"/>
    </row>
    <row r="700" spans="1:26" ht="11.25" customHeight="1" x14ac:dyDescent="0.3">
      <c r="A700" s="121"/>
      <c r="B700" s="121"/>
      <c r="C700" s="121"/>
      <c r="D700" s="121"/>
      <c r="E700" s="121"/>
      <c r="F700" s="121"/>
      <c r="G700" s="121"/>
      <c r="H700" s="121"/>
      <c r="I700" s="121"/>
      <c r="J700" s="121"/>
      <c r="K700" s="121"/>
      <c r="L700" s="121"/>
      <c r="M700" s="121"/>
      <c r="N700" s="121"/>
      <c r="O700" s="121"/>
      <c r="P700" s="121"/>
      <c r="Q700" s="121"/>
      <c r="R700" s="121"/>
      <c r="S700" s="121"/>
      <c r="T700" s="121"/>
      <c r="U700" s="121"/>
      <c r="V700" s="121"/>
      <c r="W700" s="121"/>
      <c r="X700" s="121"/>
      <c r="Y700" s="121"/>
      <c r="Z700" s="121"/>
    </row>
    <row r="701" spans="1:26" ht="11.25" customHeight="1" x14ac:dyDescent="0.3">
      <c r="A701" s="121"/>
      <c r="B701" s="121"/>
      <c r="C701" s="121"/>
      <c r="D701" s="121"/>
      <c r="E701" s="121"/>
      <c r="F701" s="121"/>
      <c r="G701" s="121"/>
      <c r="H701" s="121"/>
      <c r="I701" s="121"/>
      <c r="J701" s="121"/>
      <c r="K701" s="121"/>
      <c r="L701" s="121"/>
      <c r="M701" s="121"/>
      <c r="N701" s="121"/>
      <c r="O701" s="121"/>
      <c r="P701" s="121"/>
      <c r="Q701" s="121"/>
      <c r="R701" s="121"/>
      <c r="S701" s="121"/>
      <c r="T701" s="121"/>
      <c r="U701" s="121"/>
      <c r="V701" s="121"/>
      <c r="W701" s="121"/>
      <c r="X701" s="121"/>
      <c r="Y701" s="121"/>
      <c r="Z701" s="121"/>
    </row>
    <row r="702" spans="1:26" ht="11.25" customHeight="1" x14ac:dyDescent="0.3">
      <c r="A702" s="121"/>
      <c r="B702" s="121"/>
      <c r="C702" s="121"/>
      <c r="D702" s="121"/>
      <c r="E702" s="121"/>
      <c r="F702" s="121"/>
      <c r="G702" s="121"/>
      <c r="H702" s="121"/>
      <c r="I702" s="121"/>
      <c r="J702" s="121"/>
      <c r="K702" s="121"/>
      <c r="L702" s="121"/>
      <c r="M702" s="121"/>
      <c r="N702" s="121"/>
      <c r="O702" s="121"/>
      <c r="P702" s="121"/>
      <c r="Q702" s="121"/>
      <c r="R702" s="121"/>
      <c r="S702" s="121"/>
      <c r="T702" s="121"/>
      <c r="U702" s="121"/>
      <c r="V702" s="121"/>
      <c r="W702" s="121"/>
      <c r="X702" s="121"/>
      <c r="Y702" s="121"/>
      <c r="Z702" s="121"/>
    </row>
    <row r="703" spans="1:26" ht="11.25" customHeight="1" x14ac:dyDescent="0.3">
      <c r="A703" s="121"/>
      <c r="B703" s="121"/>
      <c r="C703" s="121"/>
      <c r="D703" s="121"/>
      <c r="E703" s="121"/>
      <c r="F703" s="121"/>
      <c r="G703" s="121"/>
      <c r="H703" s="121"/>
      <c r="I703" s="121"/>
      <c r="J703" s="121"/>
      <c r="K703" s="121"/>
      <c r="L703" s="121"/>
      <c r="M703" s="121"/>
      <c r="N703" s="121"/>
      <c r="O703" s="121"/>
      <c r="P703" s="121"/>
      <c r="Q703" s="121"/>
      <c r="R703" s="121"/>
      <c r="S703" s="121"/>
      <c r="T703" s="121"/>
      <c r="U703" s="121"/>
      <c r="V703" s="121"/>
      <c r="W703" s="121"/>
      <c r="X703" s="121"/>
      <c r="Y703" s="121"/>
      <c r="Z703" s="121"/>
    </row>
    <row r="704" spans="1:26" ht="11.25" customHeight="1" x14ac:dyDescent="0.3">
      <c r="A704" s="121"/>
      <c r="B704" s="121"/>
      <c r="C704" s="121"/>
      <c r="D704" s="121"/>
      <c r="E704" s="121"/>
      <c r="F704" s="121"/>
      <c r="G704" s="121"/>
      <c r="H704" s="121"/>
      <c r="I704" s="121"/>
      <c r="J704" s="121"/>
      <c r="K704" s="121"/>
      <c r="L704" s="121"/>
      <c r="M704" s="121"/>
      <c r="N704" s="121"/>
      <c r="O704" s="121"/>
      <c r="P704" s="121"/>
      <c r="Q704" s="121"/>
      <c r="R704" s="121"/>
      <c r="S704" s="121"/>
      <c r="T704" s="121"/>
      <c r="U704" s="121"/>
      <c r="V704" s="121"/>
      <c r="W704" s="121"/>
      <c r="X704" s="121"/>
      <c r="Y704" s="121"/>
      <c r="Z704" s="121"/>
    </row>
    <row r="705" spans="1:26" ht="11.25" customHeight="1" x14ac:dyDescent="0.3">
      <c r="A705" s="121"/>
      <c r="B705" s="121"/>
      <c r="C705" s="121"/>
      <c r="D705" s="121"/>
      <c r="E705" s="121"/>
      <c r="F705" s="121"/>
      <c r="G705" s="121"/>
      <c r="H705" s="121"/>
      <c r="I705" s="121"/>
      <c r="J705" s="121"/>
      <c r="K705" s="121"/>
      <c r="L705" s="121"/>
      <c r="M705" s="121"/>
      <c r="N705" s="121"/>
      <c r="O705" s="121"/>
      <c r="P705" s="121"/>
      <c r="Q705" s="121"/>
      <c r="R705" s="121"/>
      <c r="S705" s="121"/>
      <c r="T705" s="121"/>
      <c r="U705" s="121"/>
      <c r="V705" s="121"/>
      <c r="W705" s="121"/>
      <c r="X705" s="121"/>
      <c r="Y705" s="121"/>
      <c r="Z705" s="121"/>
    </row>
    <row r="706" spans="1:26" ht="11.25" customHeight="1" x14ac:dyDescent="0.3">
      <c r="A706" s="121"/>
      <c r="B706" s="121"/>
      <c r="C706" s="121"/>
      <c r="D706" s="121"/>
      <c r="E706" s="121"/>
      <c r="F706" s="121"/>
      <c r="G706" s="121"/>
      <c r="H706" s="121"/>
      <c r="I706" s="121"/>
      <c r="J706" s="121"/>
      <c r="K706" s="121"/>
      <c r="L706" s="121"/>
      <c r="M706" s="121"/>
      <c r="N706" s="121"/>
      <c r="O706" s="121"/>
      <c r="P706" s="121"/>
      <c r="Q706" s="121"/>
      <c r="R706" s="121"/>
      <c r="S706" s="121"/>
      <c r="T706" s="121"/>
      <c r="U706" s="121"/>
      <c r="V706" s="121"/>
      <c r="W706" s="121"/>
      <c r="X706" s="121"/>
      <c r="Y706" s="121"/>
      <c r="Z706" s="121"/>
    </row>
    <row r="707" spans="1:26" ht="11.25" customHeight="1" x14ac:dyDescent="0.3">
      <c r="A707" s="121"/>
      <c r="B707" s="121"/>
      <c r="C707" s="121"/>
      <c r="D707" s="121"/>
      <c r="E707" s="121"/>
      <c r="F707" s="121"/>
      <c r="G707" s="121"/>
      <c r="H707" s="121"/>
      <c r="I707" s="121"/>
      <c r="J707" s="121"/>
      <c r="K707" s="121"/>
      <c r="L707" s="121"/>
      <c r="M707" s="121"/>
      <c r="N707" s="121"/>
      <c r="O707" s="121"/>
      <c r="P707" s="121"/>
      <c r="Q707" s="121"/>
      <c r="R707" s="121"/>
      <c r="S707" s="121"/>
      <c r="T707" s="121"/>
      <c r="U707" s="121"/>
      <c r="V707" s="121"/>
      <c r="W707" s="121"/>
      <c r="X707" s="121"/>
      <c r="Y707" s="121"/>
      <c r="Z707" s="121"/>
    </row>
    <row r="708" spans="1:26" ht="11.25" customHeight="1" x14ac:dyDescent="0.3">
      <c r="A708" s="121"/>
      <c r="B708" s="121"/>
      <c r="C708" s="121"/>
      <c r="D708" s="121"/>
      <c r="E708" s="121"/>
      <c r="F708" s="121"/>
      <c r="G708" s="121"/>
      <c r="H708" s="121"/>
      <c r="I708" s="121"/>
      <c r="J708" s="121"/>
      <c r="K708" s="121"/>
      <c r="L708" s="121"/>
      <c r="M708" s="121"/>
      <c r="N708" s="121"/>
      <c r="O708" s="121"/>
      <c r="P708" s="121"/>
      <c r="Q708" s="121"/>
      <c r="R708" s="121"/>
      <c r="S708" s="121"/>
      <c r="T708" s="121"/>
      <c r="U708" s="121"/>
      <c r="V708" s="121"/>
      <c r="W708" s="121"/>
      <c r="X708" s="121"/>
      <c r="Y708" s="121"/>
      <c r="Z708" s="121"/>
    </row>
    <row r="709" spans="1:26" ht="11.25" customHeight="1" x14ac:dyDescent="0.3">
      <c r="A709" s="121"/>
      <c r="B709" s="121"/>
      <c r="C709" s="121"/>
      <c r="D709" s="121"/>
      <c r="E709" s="121"/>
      <c r="F709" s="121"/>
      <c r="G709" s="121"/>
      <c r="H709" s="121"/>
      <c r="I709" s="121"/>
      <c r="J709" s="121"/>
      <c r="K709" s="121"/>
      <c r="L709" s="121"/>
      <c r="M709" s="121"/>
      <c r="N709" s="121"/>
      <c r="O709" s="121"/>
      <c r="P709" s="121"/>
      <c r="Q709" s="121"/>
      <c r="R709" s="121"/>
      <c r="S709" s="121"/>
      <c r="T709" s="121"/>
      <c r="U709" s="121"/>
      <c r="V709" s="121"/>
      <c r="W709" s="121"/>
      <c r="X709" s="121"/>
      <c r="Y709" s="121"/>
      <c r="Z709" s="121"/>
    </row>
    <row r="710" spans="1:26" ht="11.25" customHeight="1" x14ac:dyDescent="0.3">
      <c r="A710" s="121"/>
      <c r="B710" s="121"/>
      <c r="C710" s="121"/>
      <c r="D710" s="121"/>
      <c r="E710" s="121"/>
      <c r="F710" s="121"/>
      <c r="G710" s="121"/>
      <c r="H710" s="121"/>
      <c r="I710" s="121"/>
      <c r="J710" s="121"/>
      <c r="K710" s="121"/>
      <c r="L710" s="121"/>
      <c r="M710" s="121"/>
      <c r="N710" s="121"/>
      <c r="O710" s="121"/>
      <c r="P710" s="121"/>
      <c r="Q710" s="121"/>
      <c r="R710" s="121"/>
      <c r="S710" s="121"/>
      <c r="T710" s="121"/>
      <c r="U710" s="121"/>
      <c r="V710" s="121"/>
      <c r="W710" s="121"/>
      <c r="X710" s="121"/>
      <c r="Y710" s="121"/>
      <c r="Z710" s="121"/>
    </row>
    <row r="711" spans="1:26" ht="11.25" customHeight="1" x14ac:dyDescent="0.3">
      <c r="A711" s="121"/>
      <c r="B711" s="121"/>
      <c r="C711" s="121"/>
      <c r="D711" s="121"/>
      <c r="E711" s="121"/>
      <c r="F711" s="121"/>
      <c r="G711" s="121"/>
      <c r="H711" s="121"/>
      <c r="I711" s="121"/>
      <c r="J711" s="121"/>
      <c r="K711" s="121"/>
      <c r="L711" s="121"/>
      <c r="M711" s="121"/>
      <c r="N711" s="121"/>
      <c r="O711" s="121"/>
      <c r="P711" s="121"/>
      <c r="Q711" s="121"/>
      <c r="R711" s="121"/>
      <c r="S711" s="121"/>
      <c r="T711" s="121"/>
      <c r="U711" s="121"/>
      <c r="V711" s="121"/>
      <c r="W711" s="121"/>
      <c r="X711" s="121"/>
      <c r="Y711" s="121"/>
      <c r="Z711" s="121"/>
    </row>
    <row r="712" spans="1:26" ht="11.25" customHeight="1" x14ac:dyDescent="0.3">
      <c r="A712" s="121"/>
      <c r="B712" s="121"/>
      <c r="C712" s="121"/>
      <c r="D712" s="121"/>
      <c r="E712" s="121"/>
      <c r="F712" s="121"/>
      <c r="G712" s="121"/>
      <c r="H712" s="121"/>
      <c r="I712" s="121"/>
      <c r="J712" s="121"/>
      <c r="K712" s="121"/>
      <c r="L712" s="121"/>
      <c r="M712" s="121"/>
      <c r="N712" s="121"/>
      <c r="O712" s="121"/>
      <c r="P712" s="121"/>
      <c r="Q712" s="121"/>
      <c r="R712" s="121"/>
      <c r="S712" s="121"/>
      <c r="T712" s="121"/>
      <c r="U712" s="121"/>
      <c r="V712" s="121"/>
      <c r="W712" s="121"/>
      <c r="X712" s="121"/>
      <c r="Y712" s="121"/>
      <c r="Z712" s="121"/>
    </row>
    <row r="713" spans="1:26" ht="11.25" customHeight="1" x14ac:dyDescent="0.3">
      <c r="A713" s="121"/>
      <c r="B713" s="121"/>
      <c r="C713" s="121"/>
      <c r="D713" s="121"/>
      <c r="E713" s="121"/>
      <c r="F713" s="121"/>
      <c r="G713" s="121"/>
      <c r="H713" s="121"/>
      <c r="I713" s="121"/>
      <c r="J713" s="121"/>
      <c r="K713" s="121"/>
      <c r="L713" s="121"/>
      <c r="M713" s="121"/>
      <c r="N713" s="121"/>
      <c r="O713" s="121"/>
      <c r="P713" s="121"/>
      <c r="Q713" s="121"/>
      <c r="R713" s="121"/>
      <c r="S713" s="121"/>
      <c r="T713" s="121"/>
      <c r="U713" s="121"/>
      <c r="V713" s="121"/>
      <c r="W713" s="121"/>
      <c r="X713" s="121"/>
      <c r="Y713" s="121"/>
      <c r="Z713" s="121"/>
    </row>
    <row r="714" spans="1:26" ht="11.25" customHeight="1" x14ac:dyDescent="0.3">
      <c r="A714" s="121"/>
      <c r="B714" s="121"/>
      <c r="C714" s="121"/>
      <c r="D714" s="121"/>
      <c r="E714" s="121"/>
      <c r="F714" s="121"/>
      <c r="G714" s="121"/>
      <c r="H714" s="121"/>
      <c r="I714" s="121"/>
      <c r="J714" s="121"/>
      <c r="K714" s="121"/>
      <c r="L714" s="121"/>
      <c r="M714" s="121"/>
      <c r="N714" s="121"/>
      <c r="O714" s="121"/>
      <c r="P714" s="121"/>
      <c r="Q714" s="121"/>
      <c r="R714" s="121"/>
      <c r="S714" s="121"/>
      <c r="T714" s="121"/>
      <c r="U714" s="121"/>
      <c r="V714" s="121"/>
      <c r="W714" s="121"/>
      <c r="X714" s="121"/>
      <c r="Y714" s="121"/>
      <c r="Z714" s="121"/>
    </row>
    <row r="715" spans="1:26" ht="11.25" customHeight="1" x14ac:dyDescent="0.3">
      <c r="A715" s="121"/>
      <c r="B715" s="121"/>
      <c r="C715" s="121"/>
      <c r="D715" s="121"/>
      <c r="E715" s="121"/>
      <c r="F715" s="121"/>
      <c r="G715" s="121"/>
      <c r="H715" s="121"/>
      <c r="I715" s="121"/>
      <c r="J715" s="121"/>
      <c r="K715" s="121"/>
      <c r="L715" s="121"/>
      <c r="M715" s="121"/>
      <c r="N715" s="121"/>
      <c r="O715" s="121"/>
      <c r="P715" s="121"/>
      <c r="Q715" s="121"/>
      <c r="R715" s="121"/>
      <c r="S715" s="121"/>
      <c r="T715" s="121"/>
      <c r="U715" s="121"/>
      <c r="V715" s="121"/>
      <c r="W715" s="121"/>
      <c r="X715" s="121"/>
      <c r="Y715" s="121"/>
      <c r="Z715" s="121"/>
    </row>
    <row r="716" spans="1:26" ht="11.25" customHeight="1" x14ac:dyDescent="0.3">
      <c r="A716" s="121"/>
      <c r="B716" s="121"/>
      <c r="C716" s="121"/>
      <c r="D716" s="121"/>
      <c r="E716" s="121"/>
      <c r="F716" s="121"/>
      <c r="G716" s="121"/>
      <c r="H716" s="121"/>
      <c r="I716" s="121"/>
      <c r="J716" s="121"/>
      <c r="K716" s="121"/>
      <c r="L716" s="121"/>
      <c r="M716" s="121"/>
      <c r="N716" s="121"/>
      <c r="O716" s="121"/>
      <c r="P716" s="121"/>
      <c r="Q716" s="121"/>
      <c r="R716" s="121"/>
      <c r="S716" s="121"/>
      <c r="T716" s="121"/>
      <c r="U716" s="121"/>
      <c r="V716" s="121"/>
      <c r="W716" s="121"/>
      <c r="X716" s="121"/>
      <c r="Y716" s="121"/>
      <c r="Z716" s="121"/>
    </row>
    <row r="717" spans="1:26" ht="11.25" customHeight="1" x14ac:dyDescent="0.3">
      <c r="A717" s="121"/>
      <c r="B717" s="121"/>
      <c r="C717" s="121"/>
      <c r="D717" s="121"/>
      <c r="E717" s="121"/>
      <c r="F717" s="121"/>
      <c r="G717" s="121"/>
      <c r="H717" s="121"/>
      <c r="I717" s="121"/>
      <c r="J717" s="121"/>
      <c r="K717" s="121"/>
      <c r="L717" s="121"/>
      <c r="M717" s="121"/>
      <c r="N717" s="121"/>
      <c r="O717" s="121"/>
      <c r="P717" s="121"/>
      <c r="Q717" s="121"/>
      <c r="R717" s="121"/>
      <c r="S717" s="121"/>
      <c r="T717" s="121"/>
      <c r="U717" s="121"/>
      <c r="V717" s="121"/>
      <c r="W717" s="121"/>
      <c r="X717" s="121"/>
      <c r="Y717" s="121"/>
      <c r="Z717" s="121"/>
    </row>
    <row r="718" spans="1:26" ht="11.25" customHeight="1" x14ac:dyDescent="0.3">
      <c r="A718" s="121"/>
      <c r="B718" s="121"/>
      <c r="C718" s="121"/>
      <c r="D718" s="121"/>
      <c r="E718" s="121"/>
      <c r="F718" s="121"/>
      <c r="G718" s="121"/>
      <c r="H718" s="121"/>
      <c r="I718" s="121"/>
      <c r="J718" s="121"/>
      <c r="K718" s="121"/>
      <c r="L718" s="121"/>
      <c r="M718" s="121"/>
      <c r="N718" s="121"/>
      <c r="O718" s="121"/>
      <c r="P718" s="121"/>
      <c r="Q718" s="121"/>
      <c r="R718" s="121"/>
      <c r="S718" s="121"/>
      <c r="T718" s="121"/>
      <c r="U718" s="121"/>
      <c r="V718" s="121"/>
      <c r="W718" s="121"/>
      <c r="X718" s="121"/>
      <c r="Y718" s="121"/>
      <c r="Z718" s="121"/>
    </row>
    <row r="719" spans="1:26" ht="11.25" customHeight="1" x14ac:dyDescent="0.3">
      <c r="A719" s="121"/>
      <c r="B719" s="121"/>
      <c r="C719" s="121"/>
      <c r="D719" s="121"/>
      <c r="E719" s="121"/>
      <c r="F719" s="121"/>
      <c r="G719" s="121"/>
      <c r="H719" s="121"/>
      <c r="I719" s="121"/>
      <c r="J719" s="121"/>
      <c r="K719" s="121"/>
      <c r="L719" s="121"/>
      <c r="M719" s="121"/>
      <c r="N719" s="121"/>
      <c r="O719" s="121"/>
      <c r="P719" s="121"/>
      <c r="Q719" s="121"/>
      <c r="R719" s="121"/>
      <c r="S719" s="121"/>
      <c r="T719" s="121"/>
      <c r="U719" s="121"/>
      <c r="V719" s="121"/>
      <c r="W719" s="121"/>
      <c r="X719" s="121"/>
      <c r="Y719" s="121"/>
      <c r="Z719" s="121"/>
    </row>
    <row r="720" spans="1:26" ht="11.25" customHeight="1" x14ac:dyDescent="0.3">
      <c r="A720" s="121"/>
      <c r="B720" s="121"/>
      <c r="C720" s="121"/>
      <c r="D720" s="121"/>
      <c r="E720" s="121"/>
      <c r="F720" s="121"/>
      <c r="G720" s="121"/>
      <c r="H720" s="121"/>
      <c r="I720" s="121"/>
      <c r="J720" s="121"/>
      <c r="K720" s="121"/>
      <c r="L720" s="121"/>
      <c r="M720" s="121"/>
      <c r="N720" s="121"/>
      <c r="O720" s="121"/>
      <c r="P720" s="121"/>
      <c r="Q720" s="121"/>
      <c r="R720" s="121"/>
      <c r="S720" s="121"/>
      <c r="T720" s="121"/>
      <c r="U720" s="121"/>
      <c r="V720" s="121"/>
      <c r="W720" s="121"/>
      <c r="X720" s="121"/>
      <c r="Y720" s="121"/>
      <c r="Z720" s="121"/>
    </row>
    <row r="721" spans="1:26" ht="11.25" customHeight="1" x14ac:dyDescent="0.3">
      <c r="A721" s="121"/>
      <c r="B721" s="121"/>
      <c r="C721" s="121"/>
      <c r="D721" s="121"/>
      <c r="E721" s="121"/>
      <c r="F721" s="121"/>
      <c r="G721" s="121"/>
      <c r="H721" s="121"/>
      <c r="I721" s="121"/>
      <c r="J721" s="121"/>
      <c r="K721" s="121"/>
      <c r="L721" s="121"/>
      <c r="M721" s="121"/>
      <c r="N721" s="121"/>
      <c r="O721" s="121"/>
      <c r="P721" s="121"/>
      <c r="Q721" s="121"/>
      <c r="R721" s="121"/>
      <c r="S721" s="121"/>
      <c r="T721" s="121"/>
      <c r="U721" s="121"/>
      <c r="V721" s="121"/>
      <c r="W721" s="121"/>
      <c r="X721" s="121"/>
      <c r="Y721" s="121"/>
      <c r="Z721" s="121"/>
    </row>
    <row r="722" spans="1:26" ht="11.25" customHeight="1" x14ac:dyDescent="0.3">
      <c r="A722" s="121"/>
      <c r="B722" s="121"/>
      <c r="C722" s="121"/>
      <c r="D722" s="121"/>
      <c r="E722" s="121"/>
      <c r="F722" s="121"/>
      <c r="G722" s="121"/>
      <c r="H722" s="121"/>
      <c r="I722" s="121"/>
      <c r="J722" s="121"/>
      <c r="K722" s="121"/>
      <c r="L722" s="121"/>
      <c r="M722" s="121"/>
      <c r="N722" s="121"/>
      <c r="O722" s="121"/>
      <c r="P722" s="121"/>
      <c r="Q722" s="121"/>
      <c r="R722" s="121"/>
      <c r="S722" s="121"/>
      <c r="T722" s="121"/>
      <c r="U722" s="121"/>
      <c r="V722" s="121"/>
      <c r="W722" s="121"/>
      <c r="X722" s="121"/>
      <c r="Y722" s="121"/>
      <c r="Z722" s="121"/>
    </row>
    <row r="723" spans="1:26" ht="11.25" customHeight="1" x14ac:dyDescent="0.3">
      <c r="A723" s="121"/>
      <c r="B723" s="121"/>
      <c r="C723" s="121"/>
      <c r="D723" s="121"/>
      <c r="E723" s="121"/>
      <c r="F723" s="121"/>
      <c r="G723" s="121"/>
      <c r="H723" s="121"/>
      <c r="I723" s="121"/>
      <c r="J723" s="121"/>
      <c r="K723" s="121"/>
      <c r="L723" s="121"/>
      <c r="M723" s="121"/>
      <c r="N723" s="121"/>
      <c r="O723" s="121"/>
      <c r="P723" s="121"/>
      <c r="Q723" s="121"/>
      <c r="R723" s="121"/>
      <c r="S723" s="121"/>
      <c r="T723" s="121"/>
      <c r="U723" s="121"/>
      <c r="V723" s="121"/>
      <c r="W723" s="121"/>
      <c r="X723" s="121"/>
      <c r="Y723" s="121"/>
      <c r="Z723" s="121"/>
    </row>
    <row r="724" spans="1:26" ht="11.25" customHeight="1" x14ac:dyDescent="0.3">
      <c r="A724" s="121"/>
      <c r="B724" s="121"/>
      <c r="C724" s="121"/>
      <c r="D724" s="121"/>
      <c r="E724" s="121"/>
      <c r="F724" s="121"/>
      <c r="G724" s="121"/>
      <c r="H724" s="121"/>
      <c r="I724" s="121"/>
      <c r="J724" s="121"/>
      <c r="K724" s="121"/>
      <c r="L724" s="121"/>
      <c r="M724" s="121"/>
      <c r="N724" s="121"/>
      <c r="O724" s="121"/>
      <c r="P724" s="121"/>
      <c r="Q724" s="121"/>
      <c r="R724" s="121"/>
      <c r="S724" s="121"/>
      <c r="T724" s="121"/>
      <c r="U724" s="121"/>
      <c r="V724" s="121"/>
      <c r="W724" s="121"/>
      <c r="X724" s="121"/>
      <c r="Y724" s="121"/>
      <c r="Z724" s="121"/>
    </row>
    <row r="725" spans="1:26" ht="11.25" customHeight="1" x14ac:dyDescent="0.3">
      <c r="A725" s="121"/>
      <c r="B725" s="121"/>
      <c r="C725" s="121"/>
      <c r="D725" s="121"/>
      <c r="E725" s="121"/>
      <c r="F725" s="121"/>
      <c r="G725" s="121"/>
      <c r="H725" s="121"/>
      <c r="I725" s="121"/>
      <c r="J725" s="121"/>
      <c r="K725" s="121"/>
      <c r="L725" s="121"/>
      <c r="M725" s="121"/>
      <c r="N725" s="121"/>
      <c r="O725" s="121"/>
      <c r="P725" s="121"/>
      <c r="Q725" s="121"/>
      <c r="R725" s="121"/>
      <c r="S725" s="121"/>
      <c r="T725" s="121"/>
      <c r="U725" s="121"/>
      <c r="V725" s="121"/>
      <c r="W725" s="121"/>
      <c r="X725" s="121"/>
      <c r="Y725" s="121"/>
      <c r="Z725" s="121"/>
    </row>
    <row r="726" spans="1:26" ht="11.25" customHeight="1" x14ac:dyDescent="0.3">
      <c r="A726" s="121"/>
      <c r="B726" s="121"/>
      <c r="C726" s="121"/>
      <c r="D726" s="121"/>
      <c r="E726" s="121"/>
      <c r="F726" s="121"/>
      <c r="G726" s="121"/>
      <c r="H726" s="121"/>
      <c r="I726" s="121"/>
      <c r="J726" s="121"/>
      <c r="K726" s="121"/>
      <c r="L726" s="121"/>
      <c r="M726" s="121"/>
      <c r="N726" s="121"/>
      <c r="O726" s="121"/>
      <c r="P726" s="121"/>
      <c r="Q726" s="121"/>
      <c r="R726" s="121"/>
      <c r="S726" s="121"/>
      <c r="T726" s="121"/>
      <c r="U726" s="121"/>
      <c r="V726" s="121"/>
      <c r="W726" s="121"/>
      <c r="X726" s="121"/>
      <c r="Y726" s="121"/>
      <c r="Z726" s="121"/>
    </row>
    <row r="727" spans="1:26" ht="11.25" customHeight="1" x14ac:dyDescent="0.3">
      <c r="A727" s="121"/>
      <c r="B727" s="121"/>
      <c r="C727" s="121"/>
      <c r="D727" s="121"/>
      <c r="E727" s="121"/>
      <c r="F727" s="121"/>
      <c r="G727" s="121"/>
      <c r="H727" s="121"/>
      <c r="I727" s="121"/>
      <c r="J727" s="121"/>
      <c r="K727" s="121"/>
      <c r="L727" s="121"/>
      <c r="M727" s="121"/>
      <c r="N727" s="121"/>
      <c r="O727" s="121"/>
      <c r="P727" s="121"/>
      <c r="Q727" s="121"/>
      <c r="R727" s="121"/>
      <c r="S727" s="121"/>
      <c r="T727" s="121"/>
      <c r="U727" s="121"/>
      <c r="V727" s="121"/>
      <c r="W727" s="121"/>
      <c r="X727" s="121"/>
      <c r="Y727" s="121"/>
      <c r="Z727" s="121"/>
    </row>
    <row r="728" spans="1:26" ht="11.25" customHeight="1" x14ac:dyDescent="0.3">
      <c r="A728" s="121"/>
      <c r="B728" s="121"/>
      <c r="C728" s="121"/>
      <c r="D728" s="121"/>
      <c r="E728" s="121"/>
      <c r="F728" s="121"/>
      <c r="G728" s="121"/>
      <c r="H728" s="121"/>
      <c r="I728" s="121"/>
      <c r="J728" s="121"/>
      <c r="K728" s="121"/>
      <c r="L728" s="121"/>
      <c r="M728" s="121"/>
      <c r="N728" s="121"/>
      <c r="O728" s="121"/>
      <c r="P728" s="121"/>
      <c r="Q728" s="121"/>
      <c r="R728" s="121"/>
      <c r="S728" s="121"/>
      <c r="T728" s="121"/>
      <c r="U728" s="121"/>
      <c r="V728" s="121"/>
      <c r="W728" s="121"/>
      <c r="X728" s="121"/>
      <c r="Y728" s="121"/>
      <c r="Z728" s="121"/>
    </row>
    <row r="729" spans="1:26" ht="11.25" customHeight="1" x14ac:dyDescent="0.3">
      <c r="A729" s="121"/>
      <c r="B729" s="121"/>
      <c r="C729" s="121"/>
      <c r="D729" s="121"/>
      <c r="E729" s="121"/>
      <c r="F729" s="121"/>
      <c r="G729" s="121"/>
      <c r="H729" s="121"/>
      <c r="I729" s="121"/>
      <c r="J729" s="121"/>
      <c r="K729" s="121"/>
      <c r="L729" s="121"/>
      <c r="M729" s="121"/>
      <c r="N729" s="121"/>
      <c r="O729" s="121"/>
      <c r="P729" s="121"/>
      <c r="Q729" s="121"/>
      <c r="R729" s="121"/>
      <c r="S729" s="121"/>
      <c r="T729" s="121"/>
      <c r="U729" s="121"/>
      <c r="V729" s="121"/>
      <c r="W729" s="121"/>
      <c r="X729" s="121"/>
      <c r="Y729" s="121"/>
      <c r="Z729" s="121"/>
    </row>
    <row r="730" spans="1:26" ht="11.25" customHeight="1" x14ac:dyDescent="0.3">
      <c r="A730" s="121"/>
      <c r="B730" s="121"/>
      <c r="C730" s="121"/>
      <c r="D730" s="121"/>
      <c r="E730" s="121"/>
      <c r="F730" s="121"/>
      <c r="G730" s="121"/>
      <c r="H730" s="121"/>
      <c r="I730" s="121"/>
      <c r="J730" s="121"/>
      <c r="K730" s="121"/>
      <c r="L730" s="121"/>
      <c r="M730" s="121"/>
      <c r="N730" s="121"/>
      <c r="O730" s="121"/>
      <c r="P730" s="121"/>
      <c r="Q730" s="121"/>
      <c r="R730" s="121"/>
      <c r="S730" s="121"/>
      <c r="T730" s="121"/>
      <c r="U730" s="121"/>
      <c r="V730" s="121"/>
      <c r="W730" s="121"/>
      <c r="X730" s="121"/>
      <c r="Y730" s="121"/>
      <c r="Z730" s="121"/>
    </row>
    <row r="731" spans="1:26" ht="11.25" customHeight="1" x14ac:dyDescent="0.3">
      <c r="A731" s="121"/>
      <c r="B731" s="121"/>
      <c r="C731" s="121"/>
      <c r="D731" s="121"/>
      <c r="E731" s="121"/>
      <c r="F731" s="121"/>
      <c r="G731" s="121"/>
      <c r="H731" s="121"/>
      <c r="I731" s="121"/>
      <c r="J731" s="121"/>
      <c r="K731" s="121"/>
      <c r="L731" s="121"/>
      <c r="M731" s="121"/>
      <c r="N731" s="121"/>
      <c r="O731" s="121"/>
      <c r="P731" s="121"/>
      <c r="Q731" s="121"/>
      <c r="R731" s="121"/>
      <c r="S731" s="121"/>
      <c r="T731" s="121"/>
      <c r="U731" s="121"/>
      <c r="V731" s="121"/>
      <c r="W731" s="121"/>
      <c r="X731" s="121"/>
      <c r="Y731" s="121"/>
      <c r="Z731" s="121"/>
    </row>
    <row r="732" spans="1:26" ht="11.25" customHeight="1" x14ac:dyDescent="0.3">
      <c r="A732" s="121"/>
      <c r="B732" s="121"/>
      <c r="C732" s="121"/>
      <c r="D732" s="121"/>
      <c r="E732" s="121"/>
      <c r="F732" s="121"/>
      <c r="G732" s="121"/>
      <c r="H732" s="121"/>
      <c r="I732" s="121"/>
      <c r="J732" s="121"/>
      <c r="K732" s="121"/>
      <c r="L732" s="121"/>
      <c r="M732" s="121"/>
      <c r="N732" s="121"/>
      <c r="O732" s="121"/>
      <c r="P732" s="121"/>
      <c r="Q732" s="121"/>
      <c r="R732" s="121"/>
      <c r="S732" s="121"/>
      <c r="T732" s="121"/>
      <c r="U732" s="121"/>
      <c r="V732" s="121"/>
      <c r="W732" s="121"/>
      <c r="X732" s="121"/>
      <c r="Y732" s="121"/>
      <c r="Z732" s="121"/>
    </row>
    <row r="733" spans="1:26" ht="11.25" customHeight="1" x14ac:dyDescent="0.3">
      <c r="A733" s="121"/>
      <c r="B733" s="121"/>
      <c r="C733" s="121"/>
      <c r="D733" s="121"/>
      <c r="E733" s="121"/>
      <c r="F733" s="121"/>
      <c r="G733" s="121"/>
      <c r="H733" s="121"/>
      <c r="I733" s="121"/>
      <c r="J733" s="121"/>
      <c r="K733" s="121"/>
      <c r="L733" s="121"/>
      <c r="M733" s="121"/>
      <c r="N733" s="121"/>
      <c r="O733" s="121"/>
      <c r="P733" s="121"/>
      <c r="Q733" s="121"/>
      <c r="R733" s="121"/>
      <c r="S733" s="121"/>
      <c r="T733" s="121"/>
      <c r="U733" s="121"/>
      <c r="V733" s="121"/>
      <c r="W733" s="121"/>
      <c r="X733" s="121"/>
      <c r="Y733" s="121"/>
      <c r="Z733" s="121"/>
    </row>
    <row r="734" spans="1:26" ht="11.25" customHeight="1" x14ac:dyDescent="0.3">
      <c r="A734" s="121"/>
      <c r="B734" s="121"/>
      <c r="C734" s="121"/>
      <c r="D734" s="121"/>
      <c r="E734" s="121"/>
      <c r="F734" s="121"/>
      <c r="G734" s="121"/>
      <c r="H734" s="121"/>
      <c r="I734" s="121"/>
      <c r="J734" s="121"/>
      <c r="K734" s="121"/>
      <c r="L734" s="121"/>
      <c r="M734" s="121"/>
      <c r="N734" s="121"/>
      <c r="O734" s="121"/>
      <c r="P734" s="121"/>
      <c r="Q734" s="121"/>
      <c r="R734" s="121"/>
      <c r="S734" s="121"/>
      <c r="T734" s="121"/>
      <c r="U734" s="121"/>
      <c r="V734" s="121"/>
      <c r="W734" s="121"/>
      <c r="X734" s="121"/>
      <c r="Y734" s="121"/>
      <c r="Z734" s="121"/>
    </row>
    <row r="735" spans="1:26" ht="11.25" customHeight="1" x14ac:dyDescent="0.3">
      <c r="A735" s="121"/>
      <c r="B735" s="121"/>
      <c r="C735" s="121"/>
      <c r="D735" s="121"/>
      <c r="E735" s="121"/>
      <c r="F735" s="121"/>
      <c r="G735" s="121"/>
      <c r="H735" s="121"/>
      <c r="I735" s="121"/>
      <c r="J735" s="121"/>
      <c r="K735" s="121"/>
      <c r="L735" s="121"/>
      <c r="M735" s="121"/>
      <c r="N735" s="121"/>
      <c r="O735" s="121"/>
      <c r="P735" s="121"/>
      <c r="Q735" s="121"/>
      <c r="R735" s="121"/>
      <c r="S735" s="121"/>
      <c r="T735" s="121"/>
      <c r="U735" s="121"/>
      <c r="V735" s="121"/>
      <c r="W735" s="121"/>
      <c r="X735" s="121"/>
      <c r="Y735" s="121"/>
      <c r="Z735" s="121"/>
    </row>
    <row r="736" spans="1:26" ht="11.25" customHeight="1" x14ac:dyDescent="0.3">
      <c r="A736" s="121"/>
      <c r="B736" s="121"/>
      <c r="C736" s="121"/>
      <c r="D736" s="121"/>
      <c r="E736" s="121"/>
      <c r="F736" s="121"/>
      <c r="G736" s="121"/>
      <c r="H736" s="121"/>
      <c r="I736" s="121"/>
      <c r="J736" s="121"/>
      <c r="K736" s="121"/>
      <c r="L736" s="121"/>
      <c r="M736" s="121"/>
      <c r="N736" s="121"/>
      <c r="O736" s="121"/>
      <c r="P736" s="121"/>
      <c r="Q736" s="121"/>
      <c r="R736" s="121"/>
      <c r="S736" s="121"/>
      <c r="T736" s="121"/>
      <c r="U736" s="121"/>
      <c r="V736" s="121"/>
      <c r="W736" s="121"/>
      <c r="X736" s="121"/>
      <c r="Y736" s="121"/>
      <c r="Z736" s="121"/>
    </row>
    <row r="737" spans="1:26" ht="11.25" customHeight="1" x14ac:dyDescent="0.3">
      <c r="A737" s="121"/>
      <c r="B737" s="121"/>
      <c r="C737" s="121"/>
      <c r="D737" s="121"/>
      <c r="E737" s="121"/>
      <c r="F737" s="121"/>
      <c r="G737" s="121"/>
      <c r="H737" s="121"/>
      <c r="I737" s="121"/>
      <c r="J737" s="121"/>
      <c r="K737" s="121"/>
      <c r="L737" s="121"/>
      <c r="M737" s="121"/>
      <c r="N737" s="121"/>
      <c r="O737" s="121"/>
      <c r="P737" s="121"/>
      <c r="Q737" s="121"/>
      <c r="R737" s="121"/>
      <c r="S737" s="121"/>
      <c r="T737" s="121"/>
      <c r="U737" s="121"/>
      <c r="V737" s="121"/>
      <c r="W737" s="121"/>
      <c r="X737" s="121"/>
      <c r="Y737" s="121"/>
      <c r="Z737" s="121"/>
    </row>
    <row r="738" spans="1:26" ht="11.25" customHeight="1" x14ac:dyDescent="0.3">
      <c r="A738" s="121"/>
      <c r="B738" s="121"/>
      <c r="C738" s="121"/>
      <c r="D738" s="121"/>
      <c r="E738" s="121"/>
      <c r="F738" s="121"/>
      <c r="G738" s="121"/>
      <c r="H738" s="121"/>
      <c r="I738" s="121"/>
      <c r="J738" s="121"/>
      <c r="K738" s="121"/>
      <c r="L738" s="121"/>
      <c r="M738" s="121"/>
      <c r="N738" s="121"/>
      <c r="O738" s="121"/>
      <c r="P738" s="121"/>
      <c r="Q738" s="121"/>
      <c r="R738" s="121"/>
      <c r="S738" s="121"/>
      <c r="T738" s="121"/>
      <c r="U738" s="121"/>
      <c r="V738" s="121"/>
      <c r="W738" s="121"/>
      <c r="X738" s="121"/>
      <c r="Y738" s="121"/>
      <c r="Z738" s="121"/>
    </row>
    <row r="739" spans="1:26" ht="11.25" customHeight="1" x14ac:dyDescent="0.3">
      <c r="A739" s="121"/>
      <c r="B739" s="121"/>
      <c r="C739" s="121"/>
      <c r="D739" s="121"/>
      <c r="E739" s="121"/>
      <c r="F739" s="121"/>
      <c r="G739" s="121"/>
      <c r="H739" s="121"/>
      <c r="I739" s="121"/>
      <c r="J739" s="121"/>
      <c r="K739" s="121"/>
      <c r="L739" s="121"/>
      <c r="M739" s="121"/>
      <c r="N739" s="121"/>
      <c r="O739" s="121"/>
      <c r="P739" s="121"/>
      <c r="Q739" s="121"/>
      <c r="R739" s="121"/>
      <c r="S739" s="121"/>
      <c r="T739" s="121"/>
      <c r="U739" s="121"/>
      <c r="V739" s="121"/>
      <c r="W739" s="121"/>
      <c r="X739" s="121"/>
      <c r="Y739" s="121"/>
      <c r="Z739" s="121"/>
    </row>
    <row r="740" spans="1:26" ht="11.25" customHeight="1" x14ac:dyDescent="0.3">
      <c r="A740" s="121"/>
      <c r="B740" s="121"/>
      <c r="C740" s="121"/>
      <c r="D740" s="121"/>
      <c r="E740" s="121"/>
      <c r="F740" s="121"/>
      <c r="G740" s="121"/>
      <c r="H740" s="121"/>
      <c r="I740" s="121"/>
      <c r="J740" s="121"/>
      <c r="K740" s="121"/>
      <c r="L740" s="121"/>
      <c r="M740" s="121"/>
      <c r="N740" s="121"/>
      <c r="O740" s="121"/>
      <c r="P740" s="121"/>
      <c r="Q740" s="121"/>
      <c r="R740" s="121"/>
      <c r="S740" s="121"/>
      <c r="T740" s="121"/>
      <c r="U740" s="121"/>
      <c r="V740" s="121"/>
      <c r="W740" s="121"/>
      <c r="X740" s="121"/>
      <c r="Y740" s="121"/>
      <c r="Z740" s="121"/>
    </row>
    <row r="741" spans="1:26" ht="11.25" customHeight="1" x14ac:dyDescent="0.3">
      <c r="A741" s="121"/>
      <c r="B741" s="121"/>
      <c r="C741" s="121"/>
      <c r="D741" s="121"/>
      <c r="E741" s="121"/>
      <c r="F741" s="121"/>
      <c r="G741" s="121"/>
      <c r="H741" s="121"/>
      <c r="I741" s="121"/>
      <c r="J741" s="121"/>
      <c r="K741" s="121"/>
      <c r="L741" s="121"/>
      <c r="M741" s="121"/>
      <c r="N741" s="121"/>
      <c r="O741" s="121"/>
      <c r="P741" s="121"/>
      <c r="Q741" s="121"/>
      <c r="R741" s="121"/>
      <c r="S741" s="121"/>
      <c r="T741" s="121"/>
      <c r="U741" s="121"/>
      <c r="V741" s="121"/>
      <c r="W741" s="121"/>
      <c r="X741" s="121"/>
      <c r="Y741" s="121"/>
      <c r="Z741" s="121"/>
    </row>
    <row r="742" spans="1:26" ht="11.25" customHeight="1" x14ac:dyDescent="0.3">
      <c r="A742" s="121"/>
      <c r="B742" s="121"/>
      <c r="C742" s="121"/>
      <c r="D742" s="121"/>
      <c r="E742" s="121"/>
      <c r="F742" s="121"/>
      <c r="G742" s="121"/>
      <c r="H742" s="121"/>
      <c r="I742" s="121"/>
      <c r="J742" s="121"/>
      <c r="K742" s="121"/>
      <c r="L742" s="121"/>
      <c r="M742" s="121"/>
      <c r="N742" s="121"/>
      <c r="O742" s="121"/>
      <c r="P742" s="121"/>
      <c r="Q742" s="121"/>
      <c r="R742" s="121"/>
      <c r="S742" s="121"/>
      <c r="T742" s="121"/>
      <c r="U742" s="121"/>
      <c r="V742" s="121"/>
      <c r="W742" s="121"/>
      <c r="X742" s="121"/>
      <c r="Y742" s="121"/>
      <c r="Z742" s="121"/>
    </row>
    <row r="743" spans="1:26" ht="11.25" customHeight="1" x14ac:dyDescent="0.3">
      <c r="A743" s="121"/>
      <c r="B743" s="121"/>
      <c r="C743" s="121"/>
      <c r="D743" s="121"/>
      <c r="E743" s="121"/>
      <c r="F743" s="121"/>
      <c r="G743" s="121"/>
      <c r="H743" s="121"/>
      <c r="I743" s="121"/>
      <c r="J743" s="121"/>
      <c r="K743" s="121"/>
      <c r="L743" s="121"/>
      <c r="M743" s="121"/>
      <c r="N743" s="121"/>
      <c r="O743" s="121"/>
      <c r="P743" s="121"/>
      <c r="Q743" s="121"/>
      <c r="R743" s="121"/>
      <c r="S743" s="121"/>
      <c r="T743" s="121"/>
      <c r="U743" s="121"/>
      <c r="V743" s="121"/>
      <c r="W743" s="121"/>
      <c r="X743" s="121"/>
      <c r="Y743" s="121"/>
      <c r="Z743" s="121"/>
    </row>
    <row r="744" spans="1:26" ht="11.25" customHeight="1" x14ac:dyDescent="0.3">
      <c r="A744" s="121"/>
      <c r="B744" s="121"/>
      <c r="C744" s="121"/>
      <c r="D744" s="121"/>
      <c r="E744" s="121"/>
      <c r="F744" s="121"/>
      <c r="G744" s="121"/>
      <c r="H744" s="121"/>
      <c r="I744" s="121"/>
      <c r="J744" s="121"/>
      <c r="K744" s="121"/>
      <c r="L744" s="121"/>
      <c r="M744" s="121"/>
      <c r="N744" s="121"/>
      <c r="O744" s="121"/>
      <c r="P744" s="121"/>
      <c r="Q744" s="121"/>
      <c r="R744" s="121"/>
      <c r="S744" s="121"/>
      <c r="T744" s="121"/>
      <c r="U744" s="121"/>
      <c r="V744" s="121"/>
      <c r="W744" s="121"/>
      <c r="X744" s="121"/>
      <c r="Y744" s="121"/>
      <c r="Z744" s="121"/>
    </row>
    <row r="745" spans="1:26" ht="11.25" customHeight="1" x14ac:dyDescent="0.3">
      <c r="A745" s="121"/>
      <c r="B745" s="121"/>
      <c r="C745" s="121"/>
      <c r="D745" s="121"/>
      <c r="E745" s="121"/>
      <c r="F745" s="121"/>
      <c r="G745" s="121"/>
      <c r="H745" s="121"/>
      <c r="I745" s="121"/>
      <c r="J745" s="121"/>
      <c r="K745" s="121"/>
      <c r="L745" s="121"/>
      <c r="M745" s="121"/>
      <c r="N745" s="121"/>
      <c r="O745" s="121"/>
      <c r="P745" s="121"/>
      <c r="Q745" s="121"/>
      <c r="R745" s="121"/>
      <c r="S745" s="121"/>
      <c r="T745" s="121"/>
      <c r="U745" s="121"/>
      <c r="V745" s="121"/>
      <c r="W745" s="121"/>
      <c r="X745" s="121"/>
      <c r="Y745" s="121"/>
      <c r="Z745" s="121"/>
    </row>
    <row r="746" spans="1:26" ht="11.25" customHeight="1" x14ac:dyDescent="0.3">
      <c r="A746" s="121"/>
      <c r="B746" s="121"/>
      <c r="C746" s="121"/>
      <c r="D746" s="121"/>
      <c r="E746" s="121"/>
      <c r="F746" s="121"/>
      <c r="G746" s="121"/>
      <c r="H746" s="121"/>
      <c r="I746" s="121"/>
      <c r="J746" s="121"/>
      <c r="K746" s="121"/>
      <c r="L746" s="121"/>
      <c r="M746" s="121"/>
      <c r="N746" s="121"/>
      <c r="O746" s="121"/>
      <c r="P746" s="121"/>
      <c r="Q746" s="121"/>
      <c r="R746" s="121"/>
      <c r="S746" s="121"/>
      <c r="T746" s="121"/>
      <c r="U746" s="121"/>
      <c r="V746" s="121"/>
      <c r="W746" s="121"/>
      <c r="X746" s="121"/>
      <c r="Y746" s="121"/>
      <c r="Z746" s="121"/>
    </row>
    <row r="747" spans="1:26" ht="11.25" customHeight="1" x14ac:dyDescent="0.3">
      <c r="A747" s="121"/>
      <c r="B747" s="121"/>
      <c r="C747" s="121"/>
      <c r="D747" s="121"/>
      <c r="E747" s="121"/>
      <c r="F747" s="121"/>
      <c r="G747" s="121"/>
      <c r="H747" s="121"/>
      <c r="I747" s="121"/>
      <c r="J747" s="121"/>
      <c r="K747" s="121"/>
      <c r="L747" s="121"/>
      <c r="M747" s="121"/>
      <c r="N747" s="121"/>
      <c r="O747" s="121"/>
      <c r="P747" s="121"/>
      <c r="Q747" s="121"/>
      <c r="R747" s="121"/>
      <c r="S747" s="121"/>
      <c r="T747" s="121"/>
      <c r="U747" s="121"/>
      <c r="V747" s="121"/>
      <c r="W747" s="121"/>
      <c r="X747" s="121"/>
      <c r="Y747" s="121"/>
      <c r="Z747" s="121"/>
    </row>
    <row r="748" spans="1:26" ht="11.25" customHeight="1" x14ac:dyDescent="0.3">
      <c r="A748" s="121"/>
      <c r="B748" s="121"/>
      <c r="C748" s="121"/>
      <c r="D748" s="121"/>
      <c r="E748" s="121"/>
      <c r="F748" s="121"/>
      <c r="G748" s="121"/>
      <c r="H748" s="121"/>
      <c r="I748" s="121"/>
      <c r="J748" s="121"/>
      <c r="K748" s="121"/>
      <c r="L748" s="121"/>
      <c r="M748" s="121"/>
      <c r="N748" s="121"/>
      <c r="O748" s="121"/>
      <c r="P748" s="121"/>
      <c r="Q748" s="121"/>
      <c r="R748" s="121"/>
      <c r="S748" s="121"/>
      <c r="T748" s="121"/>
      <c r="U748" s="121"/>
      <c r="V748" s="121"/>
      <c r="W748" s="121"/>
      <c r="X748" s="121"/>
      <c r="Y748" s="121"/>
      <c r="Z748" s="121"/>
    </row>
    <row r="749" spans="1:26" ht="11.25" customHeight="1" x14ac:dyDescent="0.3">
      <c r="A749" s="121"/>
      <c r="B749" s="121"/>
      <c r="C749" s="121"/>
      <c r="D749" s="121"/>
      <c r="E749" s="121"/>
      <c r="F749" s="121"/>
      <c r="G749" s="121"/>
      <c r="H749" s="121"/>
      <c r="I749" s="121"/>
      <c r="J749" s="121"/>
      <c r="K749" s="121"/>
      <c r="L749" s="121"/>
      <c r="M749" s="121"/>
      <c r="N749" s="121"/>
      <c r="O749" s="121"/>
      <c r="P749" s="121"/>
      <c r="Q749" s="121"/>
      <c r="R749" s="121"/>
      <c r="S749" s="121"/>
      <c r="T749" s="121"/>
      <c r="U749" s="121"/>
      <c r="V749" s="121"/>
      <c r="W749" s="121"/>
      <c r="X749" s="121"/>
      <c r="Y749" s="121"/>
      <c r="Z749" s="121"/>
    </row>
    <row r="750" spans="1:26" ht="11.25" customHeight="1" x14ac:dyDescent="0.3">
      <c r="A750" s="121"/>
      <c r="B750" s="121"/>
      <c r="C750" s="121"/>
      <c r="D750" s="121"/>
      <c r="E750" s="121"/>
      <c r="F750" s="121"/>
      <c r="G750" s="121"/>
      <c r="H750" s="121"/>
      <c r="I750" s="121"/>
      <c r="J750" s="121"/>
      <c r="K750" s="121"/>
      <c r="L750" s="121"/>
      <c r="M750" s="121"/>
      <c r="N750" s="121"/>
      <c r="O750" s="121"/>
      <c r="P750" s="121"/>
      <c r="Q750" s="121"/>
      <c r="R750" s="121"/>
      <c r="S750" s="121"/>
      <c r="T750" s="121"/>
      <c r="U750" s="121"/>
      <c r="V750" s="121"/>
      <c r="W750" s="121"/>
      <c r="X750" s="121"/>
      <c r="Y750" s="121"/>
      <c r="Z750" s="121"/>
    </row>
    <row r="751" spans="1:26" ht="11.25" customHeight="1" x14ac:dyDescent="0.3">
      <c r="A751" s="121"/>
      <c r="B751" s="121"/>
      <c r="C751" s="121"/>
      <c r="D751" s="121"/>
      <c r="E751" s="121"/>
      <c r="F751" s="121"/>
      <c r="G751" s="121"/>
      <c r="H751" s="121"/>
      <c r="I751" s="121"/>
      <c r="J751" s="121"/>
      <c r="K751" s="121"/>
      <c r="L751" s="121"/>
      <c r="M751" s="121"/>
      <c r="N751" s="121"/>
      <c r="O751" s="121"/>
      <c r="P751" s="121"/>
      <c r="Q751" s="121"/>
      <c r="R751" s="121"/>
      <c r="S751" s="121"/>
      <c r="T751" s="121"/>
      <c r="U751" s="121"/>
      <c r="V751" s="121"/>
      <c r="W751" s="121"/>
      <c r="X751" s="121"/>
      <c r="Y751" s="121"/>
      <c r="Z751" s="121"/>
    </row>
    <row r="752" spans="1:26" ht="11.25" customHeight="1" x14ac:dyDescent="0.3">
      <c r="A752" s="121"/>
      <c r="B752" s="121"/>
      <c r="C752" s="121"/>
      <c r="D752" s="121"/>
      <c r="E752" s="121"/>
      <c r="F752" s="121"/>
      <c r="G752" s="121"/>
      <c r="H752" s="121"/>
      <c r="I752" s="121"/>
      <c r="J752" s="121"/>
      <c r="K752" s="121"/>
      <c r="L752" s="121"/>
      <c r="M752" s="121"/>
      <c r="N752" s="121"/>
      <c r="O752" s="121"/>
      <c r="P752" s="121"/>
      <c r="Q752" s="121"/>
      <c r="R752" s="121"/>
      <c r="S752" s="121"/>
      <c r="T752" s="121"/>
      <c r="U752" s="121"/>
      <c r="V752" s="121"/>
      <c r="W752" s="121"/>
      <c r="X752" s="121"/>
      <c r="Y752" s="121"/>
      <c r="Z752" s="121"/>
    </row>
    <row r="753" spans="1:26" ht="11.25" customHeight="1" x14ac:dyDescent="0.3">
      <c r="A753" s="121"/>
      <c r="B753" s="121"/>
      <c r="C753" s="121"/>
      <c r="D753" s="121"/>
      <c r="E753" s="121"/>
      <c r="F753" s="121"/>
      <c r="G753" s="121"/>
      <c r="H753" s="121"/>
      <c r="I753" s="121"/>
      <c r="J753" s="121"/>
      <c r="K753" s="121"/>
      <c r="L753" s="121"/>
      <c r="M753" s="121"/>
      <c r="N753" s="121"/>
      <c r="O753" s="121"/>
      <c r="P753" s="121"/>
      <c r="Q753" s="121"/>
      <c r="R753" s="121"/>
      <c r="S753" s="121"/>
      <c r="T753" s="121"/>
      <c r="U753" s="121"/>
      <c r="V753" s="121"/>
      <c r="W753" s="121"/>
      <c r="X753" s="121"/>
      <c r="Y753" s="121"/>
      <c r="Z753" s="121"/>
    </row>
    <row r="754" spans="1:26" ht="11.25" customHeight="1" x14ac:dyDescent="0.3">
      <c r="A754" s="121"/>
      <c r="B754" s="121"/>
      <c r="C754" s="121"/>
      <c r="D754" s="121"/>
      <c r="E754" s="121"/>
      <c r="F754" s="121"/>
      <c r="G754" s="121"/>
      <c r="H754" s="121"/>
      <c r="I754" s="121"/>
      <c r="J754" s="121"/>
      <c r="K754" s="121"/>
      <c r="L754" s="121"/>
      <c r="M754" s="121"/>
      <c r="N754" s="121"/>
      <c r="O754" s="121"/>
      <c r="P754" s="121"/>
      <c r="Q754" s="121"/>
      <c r="R754" s="121"/>
      <c r="S754" s="121"/>
      <c r="T754" s="121"/>
      <c r="U754" s="121"/>
      <c r="V754" s="121"/>
      <c r="W754" s="121"/>
      <c r="X754" s="121"/>
      <c r="Y754" s="121"/>
      <c r="Z754" s="121"/>
    </row>
    <row r="755" spans="1:26" ht="11.25" customHeight="1" x14ac:dyDescent="0.3">
      <c r="A755" s="121"/>
      <c r="B755" s="121"/>
      <c r="C755" s="121"/>
      <c r="D755" s="121"/>
      <c r="E755" s="121"/>
      <c r="F755" s="121"/>
      <c r="G755" s="121"/>
      <c r="H755" s="121"/>
      <c r="I755" s="121"/>
      <c r="J755" s="121"/>
      <c r="K755" s="121"/>
      <c r="L755" s="121"/>
      <c r="M755" s="121"/>
      <c r="N755" s="121"/>
      <c r="O755" s="121"/>
      <c r="P755" s="121"/>
      <c r="Q755" s="121"/>
      <c r="R755" s="121"/>
      <c r="S755" s="121"/>
      <c r="T755" s="121"/>
      <c r="U755" s="121"/>
      <c r="V755" s="121"/>
      <c r="W755" s="121"/>
      <c r="X755" s="121"/>
      <c r="Y755" s="121"/>
      <c r="Z755" s="121"/>
    </row>
    <row r="756" spans="1:26" ht="11.25" customHeight="1" x14ac:dyDescent="0.3">
      <c r="A756" s="121"/>
      <c r="B756" s="121"/>
      <c r="C756" s="121"/>
      <c r="D756" s="121"/>
      <c r="E756" s="121"/>
      <c r="F756" s="121"/>
      <c r="G756" s="121"/>
      <c r="H756" s="121"/>
      <c r="I756" s="121"/>
      <c r="J756" s="121"/>
      <c r="K756" s="121"/>
      <c r="L756" s="121"/>
      <c r="M756" s="121"/>
      <c r="N756" s="121"/>
      <c r="O756" s="121"/>
      <c r="P756" s="121"/>
      <c r="Q756" s="121"/>
      <c r="R756" s="121"/>
      <c r="S756" s="121"/>
      <c r="T756" s="121"/>
      <c r="U756" s="121"/>
      <c r="V756" s="121"/>
      <c r="W756" s="121"/>
      <c r="X756" s="121"/>
      <c r="Y756" s="121"/>
      <c r="Z756" s="121"/>
    </row>
    <row r="757" spans="1:26" ht="11.25" customHeight="1" x14ac:dyDescent="0.3">
      <c r="A757" s="121"/>
      <c r="B757" s="121"/>
      <c r="C757" s="121"/>
      <c r="D757" s="121"/>
      <c r="E757" s="121"/>
      <c r="F757" s="121"/>
      <c r="G757" s="121"/>
      <c r="H757" s="121"/>
      <c r="I757" s="121"/>
      <c r="J757" s="121"/>
      <c r="K757" s="121"/>
      <c r="L757" s="121"/>
      <c r="M757" s="121"/>
      <c r="N757" s="121"/>
      <c r="O757" s="121"/>
      <c r="P757" s="121"/>
      <c r="Q757" s="121"/>
      <c r="R757" s="121"/>
      <c r="S757" s="121"/>
      <c r="T757" s="121"/>
      <c r="U757" s="121"/>
      <c r="V757" s="121"/>
      <c r="W757" s="121"/>
      <c r="X757" s="121"/>
      <c r="Y757" s="121"/>
      <c r="Z757" s="121"/>
    </row>
    <row r="758" spans="1:26" ht="11.25" customHeight="1" x14ac:dyDescent="0.3">
      <c r="A758" s="121"/>
      <c r="B758" s="121"/>
      <c r="C758" s="121"/>
      <c r="D758" s="121"/>
      <c r="E758" s="121"/>
      <c r="F758" s="121"/>
      <c r="G758" s="121"/>
      <c r="H758" s="121"/>
      <c r="I758" s="121"/>
      <c r="J758" s="121"/>
      <c r="K758" s="121"/>
      <c r="L758" s="121"/>
      <c r="M758" s="121"/>
      <c r="N758" s="121"/>
      <c r="O758" s="121"/>
      <c r="P758" s="121"/>
      <c r="Q758" s="121"/>
      <c r="R758" s="121"/>
      <c r="S758" s="121"/>
      <c r="T758" s="121"/>
      <c r="U758" s="121"/>
      <c r="V758" s="121"/>
      <c r="W758" s="121"/>
      <c r="X758" s="121"/>
      <c r="Y758" s="121"/>
      <c r="Z758" s="121"/>
    </row>
    <row r="759" spans="1:26" ht="11.25" customHeight="1" x14ac:dyDescent="0.3">
      <c r="A759" s="121"/>
      <c r="B759" s="121"/>
      <c r="C759" s="121"/>
      <c r="D759" s="121"/>
      <c r="E759" s="121"/>
      <c r="F759" s="121"/>
      <c r="G759" s="121"/>
      <c r="H759" s="121"/>
      <c r="I759" s="121"/>
      <c r="J759" s="121"/>
      <c r="K759" s="121"/>
      <c r="L759" s="121"/>
      <c r="M759" s="121"/>
      <c r="N759" s="121"/>
      <c r="O759" s="121"/>
      <c r="P759" s="121"/>
      <c r="Q759" s="121"/>
      <c r="R759" s="121"/>
      <c r="S759" s="121"/>
      <c r="T759" s="121"/>
      <c r="U759" s="121"/>
      <c r="V759" s="121"/>
      <c r="W759" s="121"/>
      <c r="X759" s="121"/>
      <c r="Y759" s="121"/>
      <c r="Z759" s="121"/>
    </row>
    <row r="760" spans="1:26" ht="11.25" customHeight="1" x14ac:dyDescent="0.3">
      <c r="A760" s="121"/>
      <c r="B760" s="121"/>
      <c r="C760" s="121"/>
      <c r="D760" s="121"/>
      <c r="E760" s="121"/>
      <c r="F760" s="121"/>
      <c r="G760" s="121"/>
      <c r="H760" s="121"/>
      <c r="I760" s="121"/>
      <c r="J760" s="121"/>
      <c r="K760" s="121"/>
      <c r="L760" s="121"/>
      <c r="M760" s="121"/>
      <c r="N760" s="121"/>
      <c r="O760" s="121"/>
      <c r="P760" s="121"/>
      <c r="Q760" s="121"/>
      <c r="R760" s="121"/>
      <c r="S760" s="121"/>
      <c r="T760" s="121"/>
      <c r="U760" s="121"/>
      <c r="V760" s="121"/>
      <c r="W760" s="121"/>
      <c r="X760" s="121"/>
      <c r="Y760" s="121"/>
      <c r="Z760" s="121"/>
    </row>
    <row r="761" spans="1:26" ht="11.25" customHeight="1" x14ac:dyDescent="0.3">
      <c r="A761" s="121"/>
      <c r="B761" s="121"/>
      <c r="C761" s="121"/>
      <c r="D761" s="121"/>
      <c r="E761" s="121"/>
      <c r="F761" s="121"/>
      <c r="G761" s="121"/>
      <c r="H761" s="121"/>
      <c r="I761" s="121"/>
      <c r="J761" s="121"/>
      <c r="K761" s="121"/>
      <c r="L761" s="121"/>
      <c r="M761" s="121"/>
      <c r="N761" s="121"/>
      <c r="O761" s="121"/>
      <c r="P761" s="121"/>
      <c r="Q761" s="121"/>
      <c r="R761" s="121"/>
      <c r="S761" s="121"/>
      <c r="T761" s="121"/>
      <c r="U761" s="121"/>
      <c r="V761" s="121"/>
      <c r="W761" s="121"/>
      <c r="X761" s="121"/>
      <c r="Y761" s="121"/>
      <c r="Z761" s="121"/>
    </row>
    <row r="762" spans="1:26" ht="11.25" customHeight="1" x14ac:dyDescent="0.3">
      <c r="A762" s="121"/>
      <c r="B762" s="121"/>
      <c r="C762" s="121"/>
      <c r="D762" s="121"/>
      <c r="E762" s="121"/>
      <c r="F762" s="121"/>
      <c r="G762" s="121"/>
      <c r="H762" s="121"/>
      <c r="I762" s="121"/>
      <c r="J762" s="121"/>
      <c r="K762" s="121"/>
      <c r="L762" s="121"/>
      <c r="M762" s="121"/>
      <c r="N762" s="121"/>
      <c r="O762" s="121"/>
      <c r="P762" s="121"/>
      <c r="Q762" s="121"/>
      <c r="R762" s="121"/>
      <c r="S762" s="121"/>
      <c r="T762" s="121"/>
      <c r="U762" s="121"/>
      <c r="V762" s="121"/>
      <c r="W762" s="121"/>
      <c r="X762" s="121"/>
      <c r="Y762" s="121"/>
      <c r="Z762" s="121"/>
    </row>
    <row r="763" spans="1:26" ht="11.25" customHeight="1" x14ac:dyDescent="0.3">
      <c r="A763" s="121"/>
      <c r="B763" s="121"/>
      <c r="C763" s="121"/>
      <c r="D763" s="121"/>
      <c r="E763" s="121"/>
      <c r="F763" s="121"/>
      <c r="G763" s="121"/>
      <c r="H763" s="121"/>
      <c r="I763" s="121"/>
      <c r="J763" s="121"/>
      <c r="K763" s="121"/>
      <c r="L763" s="121"/>
      <c r="M763" s="121"/>
      <c r="N763" s="121"/>
      <c r="O763" s="121"/>
      <c r="P763" s="121"/>
      <c r="Q763" s="121"/>
      <c r="R763" s="121"/>
      <c r="S763" s="121"/>
      <c r="T763" s="121"/>
      <c r="U763" s="121"/>
      <c r="V763" s="121"/>
      <c r="W763" s="121"/>
      <c r="X763" s="121"/>
      <c r="Y763" s="121"/>
      <c r="Z763" s="121"/>
    </row>
    <row r="764" spans="1:26" ht="11.25" customHeight="1" x14ac:dyDescent="0.3">
      <c r="A764" s="121"/>
      <c r="B764" s="121"/>
      <c r="C764" s="121"/>
      <c r="D764" s="121"/>
      <c r="E764" s="121"/>
      <c r="F764" s="121"/>
      <c r="G764" s="121"/>
      <c r="H764" s="121"/>
      <c r="I764" s="121"/>
      <c r="J764" s="121"/>
      <c r="K764" s="121"/>
      <c r="L764" s="121"/>
      <c r="M764" s="121"/>
      <c r="N764" s="121"/>
      <c r="O764" s="121"/>
      <c r="P764" s="121"/>
      <c r="Q764" s="121"/>
      <c r="R764" s="121"/>
      <c r="S764" s="121"/>
      <c r="T764" s="121"/>
      <c r="U764" s="121"/>
      <c r="V764" s="121"/>
      <c r="W764" s="121"/>
      <c r="X764" s="121"/>
      <c r="Y764" s="121"/>
      <c r="Z764" s="121"/>
    </row>
    <row r="765" spans="1:26" ht="11.25" customHeight="1" x14ac:dyDescent="0.3">
      <c r="A765" s="121"/>
      <c r="B765" s="121"/>
      <c r="C765" s="121"/>
      <c r="D765" s="121"/>
      <c r="E765" s="121"/>
      <c r="F765" s="121"/>
      <c r="G765" s="121"/>
      <c r="H765" s="121"/>
      <c r="I765" s="121"/>
      <c r="J765" s="121"/>
      <c r="K765" s="121"/>
      <c r="L765" s="121"/>
      <c r="M765" s="121"/>
      <c r="N765" s="121"/>
      <c r="O765" s="121"/>
      <c r="P765" s="121"/>
      <c r="Q765" s="121"/>
      <c r="R765" s="121"/>
      <c r="S765" s="121"/>
      <c r="T765" s="121"/>
      <c r="U765" s="121"/>
      <c r="V765" s="121"/>
      <c r="W765" s="121"/>
      <c r="X765" s="121"/>
      <c r="Y765" s="121"/>
      <c r="Z765" s="121"/>
    </row>
    <row r="766" spans="1:26" ht="11.25" customHeight="1" x14ac:dyDescent="0.3">
      <c r="A766" s="121"/>
      <c r="B766" s="121"/>
      <c r="C766" s="121"/>
      <c r="D766" s="121"/>
      <c r="E766" s="121"/>
      <c r="F766" s="121"/>
      <c r="G766" s="121"/>
      <c r="H766" s="121"/>
      <c r="I766" s="121"/>
      <c r="J766" s="121"/>
      <c r="K766" s="121"/>
      <c r="L766" s="121"/>
      <c r="M766" s="121"/>
      <c r="N766" s="121"/>
      <c r="O766" s="121"/>
      <c r="P766" s="121"/>
      <c r="Q766" s="121"/>
      <c r="R766" s="121"/>
      <c r="S766" s="121"/>
      <c r="T766" s="121"/>
      <c r="U766" s="121"/>
      <c r="V766" s="121"/>
      <c r="W766" s="121"/>
      <c r="X766" s="121"/>
      <c r="Y766" s="121"/>
      <c r="Z766" s="121"/>
    </row>
    <row r="767" spans="1:26" ht="11.25" customHeight="1" x14ac:dyDescent="0.3">
      <c r="A767" s="121"/>
      <c r="B767" s="121"/>
      <c r="C767" s="121"/>
      <c r="D767" s="121"/>
      <c r="E767" s="121"/>
      <c r="F767" s="121"/>
      <c r="G767" s="121"/>
      <c r="H767" s="121"/>
      <c r="I767" s="121"/>
      <c r="J767" s="121"/>
      <c r="K767" s="121"/>
      <c r="L767" s="121"/>
      <c r="M767" s="121"/>
      <c r="N767" s="121"/>
      <c r="O767" s="121"/>
      <c r="P767" s="121"/>
      <c r="Q767" s="121"/>
      <c r="R767" s="121"/>
      <c r="S767" s="121"/>
      <c r="T767" s="121"/>
      <c r="U767" s="121"/>
      <c r="V767" s="121"/>
      <c r="W767" s="121"/>
      <c r="X767" s="121"/>
      <c r="Y767" s="121"/>
      <c r="Z767" s="121"/>
    </row>
    <row r="768" spans="1:26" ht="11.25" customHeight="1" x14ac:dyDescent="0.3">
      <c r="A768" s="121"/>
      <c r="B768" s="121"/>
      <c r="C768" s="121"/>
      <c r="D768" s="121"/>
      <c r="E768" s="121"/>
      <c r="F768" s="121"/>
      <c r="G768" s="121"/>
      <c r="H768" s="121"/>
      <c r="I768" s="121"/>
      <c r="J768" s="121"/>
      <c r="K768" s="121"/>
      <c r="L768" s="121"/>
      <c r="M768" s="121"/>
      <c r="N768" s="121"/>
      <c r="O768" s="121"/>
      <c r="P768" s="121"/>
      <c r="Q768" s="121"/>
      <c r="R768" s="121"/>
      <c r="S768" s="121"/>
      <c r="T768" s="121"/>
      <c r="U768" s="121"/>
      <c r="V768" s="121"/>
      <c r="W768" s="121"/>
      <c r="X768" s="121"/>
      <c r="Y768" s="121"/>
      <c r="Z768" s="121"/>
    </row>
    <row r="769" spans="1:26" ht="11.25" customHeight="1" x14ac:dyDescent="0.3">
      <c r="A769" s="121"/>
      <c r="B769" s="121"/>
      <c r="C769" s="121"/>
      <c r="D769" s="121"/>
      <c r="E769" s="121"/>
      <c r="F769" s="121"/>
      <c r="G769" s="121"/>
      <c r="H769" s="121"/>
      <c r="I769" s="121"/>
      <c r="J769" s="121"/>
      <c r="K769" s="121"/>
      <c r="L769" s="121"/>
      <c r="M769" s="121"/>
      <c r="N769" s="121"/>
      <c r="O769" s="121"/>
      <c r="P769" s="121"/>
      <c r="Q769" s="121"/>
      <c r="R769" s="121"/>
      <c r="S769" s="121"/>
      <c r="T769" s="121"/>
      <c r="U769" s="121"/>
      <c r="V769" s="121"/>
      <c r="W769" s="121"/>
      <c r="X769" s="121"/>
      <c r="Y769" s="121"/>
      <c r="Z769" s="121"/>
    </row>
    <row r="770" spans="1:26" ht="11.25" customHeight="1" x14ac:dyDescent="0.3">
      <c r="A770" s="121"/>
      <c r="B770" s="121"/>
      <c r="C770" s="121"/>
      <c r="D770" s="121"/>
      <c r="E770" s="121"/>
      <c r="F770" s="121"/>
      <c r="G770" s="121"/>
      <c r="H770" s="121"/>
      <c r="I770" s="121"/>
      <c r="J770" s="121"/>
      <c r="K770" s="121"/>
      <c r="L770" s="121"/>
      <c r="M770" s="121"/>
      <c r="N770" s="121"/>
      <c r="O770" s="121"/>
      <c r="P770" s="121"/>
      <c r="Q770" s="121"/>
      <c r="R770" s="121"/>
      <c r="S770" s="121"/>
      <c r="T770" s="121"/>
      <c r="U770" s="121"/>
      <c r="V770" s="121"/>
      <c r="W770" s="121"/>
      <c r="X770" s="121"/>
      <c r="Y770" s="121"/>
      <c r="Z770" s="121"/>
    </row>
    <row r="771" spans="1:26" ht="11.25" customHeight="1" x14ac:dyDescent="0.3">
      <c r="A771" s="121"/>
      <c r="B771" s="121"/>
      <c r="C771" s="121"/>
      <c r="D771" s="121"/>
      <c r="E771" s="121"/>
      <c r="F771" s="121"/>
      <c r="G771" s="121"/>
      <c r="H771" s="121"/>
      <c r="I771" s="121"/>
      <c r="J771" s="121"/>
      <c r="K771" s="121"/>
      <c r="L771" s="121"/>
      <c r="M771" s="121"/>
      <c r="N771" s="121"/>
      <c r="O771" s="121"/>
      <c r="P771" s="121"/>
      <c r="Q771" s="121"/>
      <c r="R771" s="121"/>
      <c r="S771" s="121"/>
      <c r="T771" s="121"/>
      <c r="U771" s="121"/>
      <c r="V771" s="121"/>
      <c r="W771" s="121"/>
      <c r="X771" s="121"/>
      <c r="Y771" s="121"/>
      <c r="Z771" s="121"/>
    </row>
    <row r="772" spans="1:26" ht="11.25" customHeight="1" x14ac:dyDescent="0.3">
      <c r="A772" s="121"/>
      <c r="B772" s="121"/>
      <c r="C772" s="121"/>
      <c r="D772" s="121"/>
      <c r="E772" s="121"/>
      <c r="F772" s="121"/>
      <c r="G772" s="121"/>
      <c r="H772" s="121"/>
      <c r="I772" s="121"/>
      <c r="J772" s="121"/>
      <c r="K772" s="121"/>
      <c r="L772" s="121"/>
      <c r="M772" s="121"/>
      <c r="N772" s="121"/>
      <c r="O772" s="121"/>
      <c r="P772" s="121"/>
      <c r="Q772" s="121"/>
      <c r="R772" s="121"/>
      <c r="S772" s="121"/>
      <c r="T772" s="121"/>
      <c r="U772" s="121"/>
      <c r="V772" s="121"/>
      <c r="W772" s="121"/>
      <c r="X772" s="121"/>
      <c r="Y772" s="121"/>
      <c r="Z772" s="121"/>
    </row>
    <row r="773" spans="1:26" ht="11.25" customHeight="1" x14ac:dyDescent="0.3">
      <c r="A773" s="121"/>
      <c r="B773" s="121"/>
      <c r="C773" s="121"/>
      <c r="D773" s="121"/>
      <c r="E773" s="121"/>
      <c r="F773" s="121"/>
      <c r="G773" s="121"/>
      <c r="H773" s="121"/>
      <c r="I773" s="121"/>
      <c r="J773" s="121"/>
      <c r="K773" s="121"/>
      <c r="L773" s="121"/>
      <c r="M773" s="121"/>
      <c r="N773" s="121"/>
      <c r="O773" s="121"/>
      <c r="P773" s="121"/>
      <c r="Q773" s="121"/>
      <c r="R773" s="121"/>
      <c r="S773" s="121"/>
      <c r="T773" s="121"/>
      <c r="U773" s="121"/>
      <c r="V773" s="121"/>
      <c r="W773" s="121"/>
      <c r="X773" s="121"/>
      <c r="Y773" s="121"/>
      <c r="Z773" s="121"/>
    </row>
    <row r="774" spans="1:26" ht="11.25" customHeight="1" x14ac:dyDescent="0.3">
      <c r="A774" s="121"/>
      <c r="B774" s="121"/>
      <c r="C774" s="121"/>
      <c r="D774" s="121"/>
      <c r="E774" s="121"/>
      <c r="F774" s="121"/>
      <c r="G774" s="121"/>
      <c r="H774" s="121"/>
      <c r="I774" s="121"/>
      <c r="J774" s="121"/>
      <c r="K774" s="121"/>
      <c r="L774" s="121"/>
      <c r="M774" s="121"/>
      <c r="N774" s="121"/>
      <c r="O774" s="121"/>
      <c r="P774" s="121"/>
      <c r="Q774" s="121"/>
      <c r="R774" s="121"/>
      <c r="S774" s="121"/>
      <c r="T774" s="121"/>
      <c r="U774" s="121"/>
      <c r="V774" s="121"/>
      <c r="W774" s="121"/>
      <c r="X774" s="121"/>
      <c r="Y774" s="121"/>
      <c r="Z774" s="121"/>
    </row>
    <row r="775" spans="1:26" ht="11.25" customHeight="1" x14ac:dyDescent="0.3">
      <c r="A775" s="121"/>
      <c r="B775" s="121"/>
      <c r="C775" s="121"/>
      <c r="D775" s="121"/>
      <c r="E775" s="121"/>
      <c r="F775" s="121"/>
      <c r="G775" s="121"/>
      <c r="H775" s="121"/>
      <c r="I775" s="121"/>
      <c r="J775" s="121"/>
      <c r="K775" s="121"/>
      <c r="L775" s="121"/>
      <c r="M775" s="121"/>
      <c r="N775" s="121"/>
      <c r="O775" s="121"/>
      <c r="P775" s="121"/>
      <c r="Q775" s="121"/>
      <c r="R775" s="121"/>
      <c r="S775" s="121"/>
      <c r="T775" s="121"/>
      <c r="U775" s="121"/>
      <c r="V775" s="121"/>
      <c r="W775" s="121"/>
      <c r="X775" s="121"/>
      <c r="Y775" s="121"/>
      <c r="Z775" s="121"/>
    </row>
    <row r="776" spans="1:26" ht="11.25" customHeight="1" x14ac:dyDescent="0.3">
      <c r="A776" s="121"/>
      <c r="B776" s="121"/>
      <c r="C776" s="121"/>
      <c r="D776" s="121"/>
      <c r="E776" s="121"/>
      <c r="F776" s="121"/>
      <c r="G776" s="121"/>
      <c r="H776" s="121"/>
      <c r="I776" s="121"/>
      <c r="J776" s="121"/>
      <c r="K776" s="121"/>
      <c r="L776" s="121"/>
      <c r="M776" s="121"/>
      <c r="N776" s="121"/>
      <c r="O776" s="121"/>
      <c r="P776" s="121"/>
      <c r="Q776" s="121"/>
      <c r="R776" s="121"/>
      <c r="S776" s="121"/>
      <c r="T776" s="121"/>
      <c r="U776" s="121"/>
      <c r="V776" s="121"/>
      <c r="W776" s="121"/>
      <c r="X776" s="121"/>
      <c r="Y776" s="121"/>
      <c r="Z776" s="121"/>
    </row>
    <row r="777" spans="1:26" ht="11.25" customHeight="1" x14ac:dyDescent="0.3">
      <c r="A777" s="121"/>
      <c r="B777" s="121"/>
      <c r="C777" s="121"/>
      <c r="D777" s="121"/>
      <c r="E777" s="121"/>
      <c r="F777" s="121"/>
      <c r="G777" s="121"/>
      <c r="H777" s="121"/>
      <c r="I777" s="121"/>
      <c r="J777" s="121"/>
      <c r="K777" s="121"/>
      <c r="L777" s="121"/>
      <c r="M777" s="121"/>
      <c r="N777" s="121"/>
      <c r="O777" s="121"/>
      <c r="P777" s="121"/>
      <c r="Q777" s="121"/>
      <c r="R777" s="121"/>
      <c r="S777" s="121"/>
      <c r="T777" s="121"/>
      <c r="U777" s="121"/>
      <c r="V777" s="121"/>
      <c r="W777" s="121"/>
      <c r="X777" s="121"/>
      <c r="Y777" s="121"/>
      <c r="Z777" s="121"/>
    </row>
    <row r="778" spans="1:26" ht="11.25" customHeight="1" x14ac:dyDescent="0.3">
      <c r="A778" s="121"/>
      <c r="B778" s="121"/>
      <c r="C778" s="121"/>
      <c r="D778" s="121"/>
      <c r="E778" s="121"/>
      <c r="F778" s="121"/>
      <c r="G778" s="121"/>
      <c r="H778" s="121"/>
      <c r="I778" s="121"/>
      <c r="J778" s="121"/>
      <c r="K778" s="121"/>
      <c r="L778" s="121"/>
      <c r="M778" s="121"/>
      <c r="N778" s="121"/>
      <c r="O778" s="121"/>
      <c r="P778" s="121"/>
      <c r="Q778" s="121"/>
      <c r="R778" s="121"/>
      <c r="S778" s="121"/>
      <c r="T778" s="121"/>
      <c r="U778" s="121"/>
      <c r="V778" s="121"/>
      <c r="W778" s="121"/>
      <c r="X778" s="121"/>
      <c r="Y778" s="121"/>
      <c r="Z778" s="121"/>
    </row>
    <row r="779" spans="1:26" ht="11.25" customHeight="1" x14ac:dyDescent="0.3">
      <c r="A779" s="121"/>
      <c r="B779" s="121"/>
      <c r="C779" s="121"/>
      <c r="D779" s="121"/>
      <c r="E779" s="121"/>
      <c r="F779" s="121"/>
      <c r="G779" s="121"/>
      <c r="H779" s="121"/>
      <c r="I779" s="121"/>
      <c r="J779" s="121"/>
      <c r="K779" s="121"/>
      <c r="L779" s="121"/>
      <c r="M779" s="121"/>
      <c r="N779" s="121"/>
      <c r="O779" s="121"/>
      <c r="P779" s="121"/>
      <c r="Q779" s="121"/>
      <c r="R779" s="121"/>
      <c r="S779" s="121"/>
      <c r="T779" s="121"/>
      <c r="U779" s="121"/>
      <c r="V779" s="121"/>
      <c r="W779" s="121"/>
      <c r="X779" s="121"/>
      <c r="Y779" s="121"/>
      <c r="Z779" s="121"/>
    </row>
    <row r="780" spans="1:26" ht="11.25" customHeight="1" x14ac:dyDescent="0.3">
      <c r="A780" s="121"/>
      <c r="B780" s="121"/>
      <c r="C780" s="121"/>
      <c r="D780" s="121"/>
      <c r="E780" s="121"/>
      <c r="F780" s="121"/>
      <c r="G780" s="121"/>
      <c r="H780" s="121"/>
      <c r="I780" s="121"/>
      <c r="J780" s="121"/>
      <c r="K780" s="121"/>
      <c r="L780" s="121"/>
      <c r="M780" s="121"/>
      <c r="N780" s="121"/>
      <c r="O780" s="121"/>
      <c r="P780" s="121"/>
      <c r="Q780" s="121"/>
      <c r="R780" s="121"/>
      <c r="S780" s="121"/>
      <c r="T780" s="121"/>
      <c r="U780" s="121"/>
      <c r="V780" s="121"/>
      <c r="W780" s="121"/>
      <c r="X780" s="121"/>
      <c r="Y780" s="121"/>
      <c r="Z780" s="121"/>
    </row>
    <row r="781" spans="1:26" ht="11.25" customHeight="1" x14ac:dyDescent="0.3">
      <c r="A781" s="121"/>
      <c r="B781" s="121"/>
      <c r="C781" s="121"/>
      <c r="D781" s="121"/>
      <c r="E781" s="121"/>
      <c r="F781" s="121"/>
      <c r="G781" s="121"/>
      <c r="H781" s="121"/>
      <c r="I781" s="121"/>
      <c r="J781" s="121"/>
      <c r="K781" s="121"/>
      <c r="L781" s="121"/>
      <c r="M781" s="121"/>
      <c r="N781" s="121"/>
      <c r="O781" s="121"/>
      <c r="P781" s="121"/>
      <c r="Q781" s="121"/>
      <c r="R781" s="121"/>
      <c r="S781" s="121"/>
      <c r="T781" s="121"/>
      <c r="U781" s="121"/>
      <c r="V781" s="121"/>
      <c r="W781" s="121"/>
      <c r="X781" s="121"/>
      <c r="Y781" s="121"/>
      <c r="Z781" s="121"/>
    </row>
    <row r="782" spans="1:26" ht="11.25" customHeight="1" x14ac:dyDescent="0.3">
      <c r="A782" s="121"/>
      <c r="B782" s="121"/>
      <c r="C782" s="121"/>
      <c r="D782" s="121"/>
      <c r="E782" s="121"/>
      <c r="F782" s="121"/>
      <c r="G782" s="121"/>
      <c r="H782" s="121"/>
      <c r="I782" s="121"/>
      <c r="J782" s="121"/>
      <c r="K782" s="121"/>
      <c r="L782" s="121"/>
      <c r="M782" s="121"/>
      <c r="N782" s="121"/>
      <c r="O782" s="121"/>
      <c r="P782" s="121"/>
      <c r="Q782" s="121"/>
      <c r="R782" s="121"/>
      <c r="S782" s="121"/>
      <c r="T782" s="121"/>
      <c r="U782" s="121"/>
      <c r="V782" s="121"/>
      <c r="W782" s="121"/>
      <c r="X782" s="121"/>
      <c r="Y782" s="121"/>
      <c r="Z782" s="121"/>
    </row>
    <row r="783" spans="1:26" ht="11.25" customHeight="1" x14ac:dyDescent="0.3">
      <c r="A783" s="121"/>
      <c r="B783" s="121"/>
      <c r="C783" s="121"/>
      <c r="D783" s="121"/>
      <c r="E783" s="121"/>
      <c r="F783" s="121"/>
      <c r="G783" s="121"/>
      <c r="H783" s="121"/>
      <c r="I783" s="121"/>
      <c r="J783" s="121"/>
      <c r="K783" s="121"/>
      <c r="L783" s="121"/>
      <c r="M783" s="121"/>
      <c r="N783" s="121"/>
      <c r="O783" s="121"/>
      <c r="P783" s="121"/>
      <c r="Q783" s="121"/>
      <c r="R783" s="121"/>
      <c r="S783" s="121"/>
      <c r="T783" s="121"/>
      <c r="U783" s="121"/>
      <c r="V783" s="121"/>
      <c r="W783" s="121"/>
      <c r="X783" s="121"/>
      <c r="Y783" s="121"/>
      <c r="Z783" s="121"/>
    </row>
    <row r="784" spans="1:26" ht="11.25" customHeight="1" x14ac:dyDescent="0.3">
      <c r="A784" s="121"/>
      <c r="B784" s="121"/>
      <c r="C784" s="121"/>
      <c r="D784" s="121"/>
      <c r="E784" s="121"/>
      <c r="F784" s="121"/>
      <c r="G784" s="121"/>
      <c r="H784" s="121"/>
      <c r="I784" s="121"/>
      <c r="J784" s="121"/>
      <c r="K784" s="121"/>
      <c r="L784" s="121"/>
      <c r="M784" s="121"/>
      <c r="N784" s="121"/>
      <c r="O784" s="121"/>
      <c r="P784" s="121"/>
      <c r="Q784" s="121"/>
      <c r="R784" s="121"/>
      <c r="S784" s="121"/>
      <c r="T784" s="121"/>
      <c r="U784" s="121"/>
      <c r="V784" s="121"/>
      <c r="W784" s="121"/>
      <c r="X784" s="121"/>
      <c r="Y784" s="121"/>
      <c r="Z784" s="121"/>
    </row>
    <row r="785" spans="1:26" ht="11.25" customHeight="1" x14ac:dyDescent="0.3">
      <c r="A785" s="121"/>
      <c r="B785" s="121"/>
      <c r="C785" s="121"/>
      <c r="D785" s="121"/>
      <c r="E785" s="121"/>
      <c r="F785" s="121"/>
      <c r="G785" s="121"/>
      <c r="H785" s="121"/>
      <c r="I785" s="121"/>
      <c r="J785" s="121"/>
      <c r="K785" s="121"/>
      <c r="L785" s="121"/>
      <c r="M785" s="121"/>
      <c r="N785" s="121"/>
      <c r="O785" s="121"/>
      <c r="P785" s="121"/>
      <c r="Q785" s="121"/>
      <c r="R785" s="121"/>
      <c r="S785" s="121"/>
      <c r="T785" s="121"/>
      <c r="U785" s="121"/>
      <c r="V785" s="121"/>
      <c r="W785" s="121"/>
      <c r="X785" s="121"/>
      <c r="Y785" s="121"/>
      <c r="Z785" s="121"/>
    </row>
    <row r="786" spans="1:26" ht="11.25" customHeight="1" x14ac:dyDescent="0.3">
      <c r="A786" s="121"/>
      <c r="B786" s="121"/>
      <c r="C786" s="121"/>
      <c r="D786" s="121"/>
      <c r="E786" s="121"/>
      <c r="F786" s="121"/>
      <c r="G786" s="121"/>
      <c r="H786" s="121"/>
      <c r="I786" s="121"/>
      <c r="J786" s="121"/>
      <c r="K786" s="121"/>
      <c r="L786" s="121"/>
      <c r="M786" s="121"/>
      <c r="N786" s="121"/>
      <c r="O786" s="121"/>
      <c r="P786" s="121"/>
      <c r="Q786" s="121"/>
      <c r="R786" s="121"/>
      <c r="S786" s="121"/>
      <c r="T786" s="121"/>
      <c r="U786" s="121"/>
      <c r="V786" s="121"/>
      <c r="W786" s="121"/>
      <c r="X786" s="121"/>
      <c r="Y786" s="121"/>
      <c r="Z786" s="121"/>
    </row>
    <row r="787" spans="1:26" ht="11.25" customHeight="1" x14ac:dyDescent="0.3">
      <c r="A787" s="121"/>
      <c r="B787" s="121"/>
      <c r="C787" s="121"/>
      <c r="D787" s="121"/>
      <c r="E787" s="121"/>
      <c r="F787" s="121"/>
      <c r="G787" s="121"/>
      <c r="H787" s="121"/>
      <c r="I787" s="121"/>
      <c r="J787" s="121"/>
      <c r="K787" s="121"/>
      <c r="L787" s="121"/>
      <c r="M787" s="121"/>
      <c r="N787" s="121"/>
      <c r="O787" s="121"/>
      <c r="P787" s="121"/>
      <c r="Q787" s="121"/>
      <c r="R787" s="121"/>
      <c r="S787" s="121"/>
      <c r="T787" s="121"/>
      <c r="U787" s="121"/>
      <c r="V787" s="121"/>
      <c r="W787" s="121"/>
      <c r="X787" s="121"/>
      <c r="Y787" s="121"/>
      <c r="Z787" s="121"/>
    </row>
    <row r="788" spans="1:26" ht="11.25" customHeight="1" x14ac:dyDescent="0.3">
      <c r="A788" s="121"/>
      <c r="B788" s="121"/>
      <c r="C788" s="121"/>
      <c r="D788" s="121"/>
      <c r="E788" s="121"/>
      <c r="F788" s="121"/>
      <c r="G788" s="121"/>
      <c r="H788" s="121"/>
      <c r="I788" s="121"/>
      <c r="J788" s="121"/>
      <c r="K788" s="121"/>
      <c r="L788" s="121"/>
      <c r="M788" s="121"/>
      <c r="N788" s="121"/>
      <c r="O788" s="121"/>
      <c r="P788" s="121"/>
      <c r="Q788" s="121"/>
      <c r="R788" s="121"/>
      <c r="S788" s="121"/>
      <c r="T788" s="121"/>
      <c r="U788" s="121"/>
      <c r="V788" s="121"/>
      <c r="W788" s="121"/>
      <c r="X788" s="121"/>
      <c r="Y788" s="121"/>
      <c r="Z788" s="121"/>
    </row>
    <row r="789" spans="1:26" ht="11.25" customHeight="1" x14ac:dyDescent="0.3">
      <c r="A789" s="121"/>
      <c r="B789" s="121"/>
      <c r="C789" s="121"/>
      <c r="D789" s="121"/>
      <c r="E789" s="121"/>
      <c r="F789" s="121"/>
      <c r="G789" s="121"/>
      <c r="H789" s="121"/>
      <c r="I789" s="121"/>
      <c r="J789" s="121"/>
      <c r="K789" s="121"/>
      <c r="L789" s="121"/>
      <c r="M789" s="121"/>
      <c r="N789" s="121"/>
      <c r="O789" s="121"/>
      <c r="P789" s="121"/>
      <c r="Q789" s="121"/>
      <c r="R789" s="121"/>
      <c r="S789" s="121"/>
      <c r="T789" s="121"/>
      <c r="U789" s="121"/>
      <c r="V789" s="121"/>
      <c r="W789" s="121"/>
      <c r="X789" s="121"/>
      <c r="Y789" s="121"/>
      <c r="Z789" s="121"/>
    </row>
    <row r="790" spans="1:26" ht="11.25" customHeight="1" x14ac:dyDescent="0.3">
      <c r="A790" s="121"/>
      <c r="B790" s="121"/>
      <c r="C790" s="121"/>
      <c r="D790" s="121"/>
      <c r="E790" s="121"/>
      <c r="F790" s="121"/>
      <c r="G790" s="121"/>
      <c r="H790" s="121"/>
      <c r="I790" s="121"/>
      <c r="J790" s="121"/>
      <c r="K790" s="121"/>
      <c r="L790" s="121"/>
      <c r="M790" s="121"/>
      <c r="N790" s="121"/>
      <c r="O790" s="121"/>
      <c r="P790" s="121"/>
      <c r="Q790" s="121"/>
      <c r="R790" s="121"/>
      <c r="S790" s="121"/>
      <c r="T790" s="121"/>
      <c r="U790" s="121"/>
      <c r="V790" s="121"/>
      <c r="W790" s="121"/>
      <c r="X790" s="121"/>
      <c r="Y790" s="121"/>
      <c r="Z790" s="121"/>
    </row>
    <row r="791" spans="1:26" ht="11.25" customHeight="1" x14ac:dyDescent="0.3">
      <c r="A791" s="121"/>
      <c r="B791" s="121"/>
      <c r="C791" s="121"/>
      <c r="D791" s="121"/>
      <c r="E791" s="121"/>
      <c r="F791" s="121"/>
      <c r="G791" s="121"/>
      <c r="H791" s="121"/>
      <c r="I791" s="121"/>
      <c r="J791" s="121"/>
      <c r="K791" s="121"/>
      <c r="L791" s="121"/>
      <c r="M791" s="121"/>
      <c r="N791" s="121"/>
      <c r="O791" s="121"/>
      <c r="P791" s="121"/>
      <c r="Q791" s="121"/>
      <c r="R791" s="121"/>
      <c r="S791" s="121"/>
      <c r="T791" s="121"/>
      <c r="U791" s="121"/>
      <c r="V791" s="121"/>
      <c r="W791" s="121"/>
      <c r="X791" s="121"/>
      <c r="Y791" s="121"/>
      <c r="Z791" s="121"/>
    </row>
    <row r="792" spans="1:26" ht="11.25" customHeight="1" x14ac:dyDescent="0.3">
      <c r="A792" s="121"/>
      <c r="B792" s="121"/>
      <c r="C792" s="121"/>
      <c r="D792" s="121"/>
      <c r="E792" s="121"/>
      <c r="F792" s="121"/>
      <c r="G792" s="121"/>
      <c r="H792" s="121"/>
      <c r="I792" s="121"/>
      <c r="J792" s="121"/>
      <c r="K792" s="121"/>
      <c r="L792" s="121"/>
      <c r="M792" s="121"/>
      <c r="N792" s="121"/>
      <c r="O792" s="121"/>
      <c r="P792" s="121"/>
      <c r="Q792" s="121"/>
      <c r="R792" s="121"/>
      <c r="S792" s="121"/>
      <c r="T792" s="121"/>
      <c r="U792" s="121"/>
      <c r="V792" s="121"/>
      <c r="W792" s="121"/>
      <c r="X792" s="121"/>
      <c r="Y792" s="121"/>
      <c r="Z792" s="121"/>
    </row>
    <row r="793" spans="1:26" ht="11.25" customHeight="1" x14ac:dyDescent="0.3">
      <c r="A793" s="121"/>
      <c r="B793" s="121"/>
      <c r="C793" s="121"/>
      <c r="D793" s="121"/>
      <c r="E793" s="121"/>
      <c r="F793" s="121"/>
      <c r="G793" s="121"/>
      <c r="H793" s="121"/>
      <c r="I793" s="121"/>
      <c r="J793" s="121"/>
      <c r="K793" s="121"/>
      <c r="L793" s="121"/>
      <c r="M793" s="121"/>
      <c r="N793" s="121"/>
      <c r="O793" s="121"/>
      <c r="P793" s="121"/>
      <c r="Q793" s="121"/>
      <c r="R793" s="121"/>
      <c r="S793" s="121"/>
      <c r="T793" s="121"/>
      <c r="U793" s="121"/>
      <c r="V793" s="121"/>
      <c r="W793" s="121"/>
      <c r="X793" s="121"/>
      <c r="Y793" s="121"/>
      <c r="Z793" s="121"/>
    </row>
    <row r="794" spans="1:26" ht="11.25" customHeight="1" x14ac:dyDescent="0.3">
      <c r="A794" s="121"/>
      <c r="B794" s="121"/>
      <c r="C794" s="121"/>
      <c r="D794" s="121"/>
      <c r="E794" s="121"/>
      <c r="F794" s="121"/>
      <c r="G794" s="121"/>
      <c r="H794" s="121"/>
      <c r="I794" s="121"/>
      <c r="J794" s="121"/>
      <c r="K794" s="121"/>
      <c r="L794" s="121"/>
      <c r="M794" s="121"/>
      <c r="N794" s="121"/>
      <c r="O794" s="121"/>
      <c r="P794" s="121"/>
      <c r="Q794" s="121"/>
      <c r="R794" s="121"/>
      <c r="S794" s="121"/>
      <c r="T794" s="121"/>
      <c r="U794" s="121"/>
      <c r="V794" s="121"/>
      <c r="W794" s="121"/>
      <c r="X794" s="121"/>
      <c r="Y794" s="121"/>
      <c r="Z794" s="121"/>
    </row>
    <row r="795" spans="1:26" ht="11.25" customHeight="1" x14ac:dyDescent="0.3">
      <c r="A795" s="121"/>
      <c r="B795" s="121"/>
      <c r="C795" s="121"/>
      <c r="D795" s="121"/>
      <c r="E795" s="121"/>
      <c r="F795" s="121"/>
      <c r="G795" s="121"/>
      <c r="H795" s="121"/>
      <c r="I795" s="121"/>
      <c r="J795" s="121"/>
      <c r="K795" s="121"/>
      <c r="L795" s="121"/>
      <c r="M795" s="121"/>
      <c r="N795" s="121"/>
      <c r="O795" s="121"/>
      <c r="P795" s="121"/>
      <c r="Q795" s="121"/>
      <c r="R795" s="121"/>
      <c r="S795" s="121"/>
      <c r="T795" s="121"/>
      <c r="U795" s="121"/>
      <c r="V795" s="121"/>
      <c r="W795" s="121"/>
      <c r="X795" s="121"/>
      <c r="Y795" s="121"/>
      <c r="Z795" s="121"/>
    </row>
    <row r="796" spans="1:26" ht="11.25" customHeight="1" x14ac:dyDescent="0.3">
      <c r="A796" s="121"/>
      <c r="B796" s="121"/>
      <c r="C796" s="121"/>
      <c r="D796" s="121"/>
      <c r="E796" s="121"/>
      <c r="F796" s="121"/>
      <c r="G796" s="121"/>
      <c r="H796" s="121"/>
      <c r="I796" s="121"/>
      <c r="J796" s="121"/>
      <c r="K796" s="121"/>
      <c r="L796" s="121"/>
      <c r="M796" s="121"/>
      <c r="N796" s="121"/>
      <c r="O796" s="121"/>
      <c r="P796" s="121"/>
      <c r="Q796" s="121"/>
      <c r="R796" s="121"/>
      <c r="S796" s="121"/>
      <c r="T796" s="121"/>
      <c r="U796" s="121"/>
      <c r="V796" s="121"/>
      <c r="W796" s="121"/>
      <c r="X796" s="121"/>
      <c r="Y796" s="121"/>
      <c r="Z796" s="121"/>
    </row>
    <row r="797" spans="1:26" ht="11.25" customHeight="1" x14ac:dyDescent="0.3">
      <c r="A797" s="121"/>
      <c r="B797" s="121"/>
      <c r="C797" s="121"/>
      <c r="D797" s="121"/>
      <c r="E797" s="121"/>
      <c r="F797" s="121"/>
      <c r="G797" s="121"/>
      <c r="H797" s="121"/>
      <c r="I797" s="121"/>
      <c r="J797" s="121"/>
      <c r="K797" s="121"/>
      <c r="L797" s="121"/>
      <c r="M797" s="121"/>
      <c r="N797" s="121"/>
      <c r="O797" s="121"/>
      <c r="P797" s="121"/>
      <c r="Q797" s="121"/>
      <c r="R797" s="121"/>
      <c r="S797" s="121"/>
      <c r="T797" s="121"/>
      <c r="U797" s="121"/>
      <c r="V797" s="121"/>
      <c r="W797" s="121"/>
      <c r="X797" s="121"/>
      <c r="Y797" s="121"/>
      <c r="Z797" s="121"/>
    </row>
    <row r="798" spans="1:26" ht="11.25" customHeight="1" x14ac:dyDescent="0.3">
      <c r="A798" s="121"/>
      <c r="B798" s="121"/>
      <c r="C798" s="121"/>
      <c r="D798" s="121"/>
      <c r="E798" s="121"/>
      <c r="F798" s="121"/>
      <c r="G798" s="121"/>
      <c r="H798" s="121"/>
      <c r="I798" s="121"/>
      <c r="J798" s="121"/>
      <c r="K798" s="121"/>
      <c r="L798" s="121"/>
      <c r="M798" s="121"/>
      <c r="N798" s="121"/>
      <c r="O798" s="121"/>
      <c r="P798" s="121"/>
      <c r="Q798" s="121"/>
      <c r="R798" s="121"/>
      <c r="S798" s="121"/>
      <c r="T798" s="121"/>
      <c r="U798" s="121"/>
      <c r="V798" s="121"/>
      <c r="W798" s="121"/>
      <c r="X798" s="121"/>
      <c r="Y798" s="121"/>
      <c r="Z798" s="121"/>
    </row>
    <row r="799" spans="1:26" ht="11.25" customHeight="1" x14ac:dyDescent="0.3">
      <c r="A799" s="121"/>
      <c r="B799" s="121"/>
      <c r="C799" s="121"/>
      <c r="D799" s="121"/>
      <c r="E799" s="121"/>
      <c r="F799" s="121"/>
      <c r="G799" s="121"/>
      <c r="H799" s="121"/>
      <c r="I799" s="121"/>
      <c r="J799" s="121"/>
      <c r="K799" s="121"/>
      <c r="L799" s="121"/>
      <c r="M799" s="121"/>
      <c r="N799" s="121"/>
      <c r="O799" s="121"/>
      <c r="P799" s="121"/>
      <c r="Q799" s="121"/>
      <c r="R799" s="121"/>
      <c r="S799" s="121"/>
      <c r="T799" s="121"/>
      <c r="U799" s="121"/>
      <c r="V799" s="121"/>
      <c r="W799" s="121"/>
      <c r="X799" s="121"/>
      <c r="Y799" s="121"/>
      <c r="Z799" s="121"/>
    </row>
    <row r="800" spans="1:26" ht="11.25" customHeight="1" x14ac:dyDescent="0.3">
      <c r="A800" s="121"/>
      <c r="B800" s="121"/>
      <c r="C800" s="121"/>
      <c r="D800" s="121"/>
      <c r="E800" s="121"/>
      <c r="F800" s="121"/>
      <c r="G800" s="121"/>
      <c r="H800" s="121"/>
      <c r="I800" s="121"/>
      <c r="J800" s="121"/>
      <c r="K800" s="121"/>
      <c r="L800" s="121"/>
      <c r="M800" s="121"/>
      <c r="N800" s="121"/>
      <c r="O800" s="121"/>
      <c r="P800" s="121"/>
      <c r="Q800" s="121"/>
      <c r="R800" s="121"/>
      <c r="S800" s="121"/>
      <c r="T800" s="121"/>
      <c r="U800" s="121"/>
      <c r="V800" s="121"/>
      <c r="W800" s="121"/>
      <c r="X800" s="121"/>
      <c r="Y800" s="121"/>
      <c r="Z800" s="121"/>
    </row>
    <row r="801" spans="1:26" ht="11.25" customHeight="1" x14ac:dyDescent="0.3">
      <c r="A801" s="121"/>
      <c r="B801" s="121"/>
      <c r="C801" s="121"/>
      <c r="D801" s="121"/>
      <c r="E801" s="121"/>
      <c r="F801" s="121"/>
      <c r="G801" s="121"/>
      <c r="H801" s="121"/>
      <c r="I801" s="121"/>
      <c r="J801" s="121"/>
      <c r="K801" s="121"/>
      <c r="L801" s="121"/>
      <c r="M801" s="121"/>
      <c r="N801" s="121"/>
      <c r="O801" s="121"/>
      <c r="P801" s="121"/>
      <c r="Q801" s="121"/>
      <c r="R801" s="121"/>
      <c r="S801" s="121"/>
      <c r="T801" s="121"/>
      <c r="U801" s="121"/>
      <c r="V801" s="121"/>
      <c r="W801" s="121"/>
      <c r="X801" s="121"/>
      <c r="Y801" s="121"/>
      <c r="Z801" s="121"/>
    </row>
    <row r="802" spans="1:26" ht="11.25" customHeight="1" x14ac:dyDescent="0.3">
      <c r="A802" s="121"/>
      <c r="B802" s="121"/>
      <c r="C802" s="121"/>
      <c r="D802" s="121"/>
      <c r="E802" s="121"/>
      <c r="F802" s="121"/>
      <c r="G802" s="121"/>
      <c r="H802" s="121"/>
      <c r="I802" s="121"/>
      <c r="J802" s="121"/>
      <c r="K802" s="121"/>
      <c r="L802" s="121"/>
      <c r="M802" s="121"/>
      <c r="N802" s="121"/>
      <c r="O802" s="121"/>
      <c r="P802" s="121"/>
      <c r="Q802" s="121"/>
      <c r="R802" s="121"/>
      <c r="S802" s="121"/>
      <c r="T802" s="121"/>
      <c r="U802" s="121"/>
      <c r="V802" s="121"/>
      <c r="W802" s="121"/>
      <c r="X802" s="121"/>
      <c r="Y802" s="121"/>
      <c r="Z802" s="121"/>
    </row>
    <row r="803" spans="1:26" ht="11.25" customHeight="1" x14ac:dyDescent="0.3">
      <c r="A803" s="121"/>
      <c r="B803" s="121"/>
      <c r="C803" s="121"/>
      <c r="D803" s="121"/>
      <c r="E803" s="121"/>
      <c r="F803" s="121"/>
      <c r="G803" s="121"/>
      <c r="H803" s="121"/>
      <c r="I803" s="121"/>
      <c r="J803" s="121"/>
      <c r="K803" s="121"/>
      <c r="L803" s="121"/>
      <c r="M803" s="121"/>
      <c r="N803" s="121"/>
      <c r="O803" s="121"/>
      <c r="P803" s="121"/>
      <c r="Q803" s="121"/>
      <c r="R803" s="121"/>
      <c r="S803" s="121"/>
      <c r="T803" s="121"/>
      <c r="U803" s="121"/>
      <c r="V803" s="121"/>
      <c r="W803" s="121"/>
      <c r="X803" s="121"/>
      <c r="Y803" s="121"/>
      <c r="Z803" s="121"/>
    </row>
    <row r="804" spans="1:26" ht="11.25" customHeight="1" x14ac:dyDescent="0.3">
      <c r="A804" s="121"/>
      <c r="B804" s="121"/>
      <c r="C804" s="121"/>
      <c r="D804" s="121"/>
      <c r="E804" s="121"/>
      <c r="F804" s="121"/>
      <c r="G804" s="121"/>
      <c r="H804" s="121"/>
      <c r="I804" s="121"/>
      <c r="J804" s="121"/>
      <c r="K804" s="121"/>
      <c r="L804" s="121"/>
      <c r="M804" s="121"/>
      <c r="N804" s="121"/>
      <c r="O804" s="121"/>
      <c r="P804" s="121"/>
      <c r="Q804" s="121"/>
      <c r="R804" s="121"/>
      <c r="S804" s="121"/>
      <c r="T804" s="121"/>
      <c r="U804" s="121"/>
      <c r="V804" s="121"/>
      <c r="W804" s="121"/>
      <c r="X804" s="121"/>
      <c r="Y804" s="121"/>
      <c r="Z804" s="121"/>
    </row>
    <row r="805" spans="1:26" ht="11.25" customHeight="1" x14ac:dyDescent="0.3">
      <c r="A805" s="121"/>
      <c r="B805" s="121"/>
      <c r="C805" s="121"/>
      <c r="D805" s="121"/>
      <c r="E805" s="121"/>
      <c r="F805" s="121"/>
      <c r="G805" s="121"/>
      <c r="H805" s="121"/>
      <c r="I805" s="121"/>
      <c r="J805" s="121"/>
      <c r="K805" s="121"/>
      <c r="L805" s="121"/>
      <c r="M805" s="121"/>
      <c r="N805" s="121"/>
      <c r="O805" s="121"/>
      <c r="P805" s="121"/>
      <c r="Q805" s="121"/>
      <c r="R805" s="121"/>
      <c r="S805" s="121"/>
      <c r="T805" s="121"/>
      <c r="U805" s="121"/>
      <c r="V805" s="121"/>
      <c r="W805" s="121"/>
      <c r="X805" s="121"/>
      <c r="Y805" s="121"/>
      <c r="Z805" s="121"/>
    </row>
    <row r="806" spans="1:26" ht="11.25" customHeight="1" x14ac:dyDescent="0.3">
      <c r="A806" s="121"/>
      <c r="B806" s="121"/>
      <c r="C806" s="121"/>
      <c r="D806" s="121"/>
      <c r="E806" s="121"/>
      <c r="F806" s="121"/>
      <c r="G806" s="121"/>
      <c r="H806" s="121"/>
      <c r="I806" s="121"/>
      <c r="J806" s="121"/>
      <c r="K806" s="121"/>
      <c r="L806" s="121"/>
      <c r="M806" s="121"/>
      <c r="N806" s="121"/>
      <c r="O806" s="121"/>
      <c r="P806" s="121"/>
      <c r="Q806" s="121"/>
      <c r="R806" s="121"/>
      <c r="S806" s="121"/>
      <c r="T806" s="121"/>
      <c r="U806" s="121"/>
      <c r="V806" s="121"/>
      <c r="W806" s="121"/>
      <c r="X806" s="121"/>
      <c r="Y806" s="121"/>
      <c r="Z806" s="121"/>
    </row>
    <row r="807" spans="1:26" ht="11.25" customHeight="1" x14ac:dyDescent="0.3">
      <c r="A807" s="121"/>
      <c r="B807" s="121"/>
      <c r="C807" s="121"/>
      <c r="D807" s="121"/>
      <c r="E807" s="121"/>
      <c r="F807" s="121"/>
      <c r="G807" s="121"/>
      <c r="H807" s="121"/>
      <c r="I807" s="121"/>
      <c r="J807" s="121"/>
      <c r="K807" s="121"/>
      <c r="L807" s="121"/>
      <c r="M807" s="121"/>
      <c r="N807" s="121"/>
      <c r="O807" s="121"/>
      <c r="P807" s="121"/>
      <c r="Q807" s="121"/>
      <c r="R807" s="121"/>
      <c r="S807" s="121"/>
      <c r="T807" s="121"/>
      <c r="U807" s="121"/>
      <c r="V807" s="121"/>
      <c r="W807" s="121"/>
      <c r="X807" s="121"/>
      <c r="Y807" s="121"/>
      <c r="Z807" s="121"/>
    </row>
    <row r="808" spans="1:26" ht="11.25" customHeight="1" x14ac:dyDescent="0.3">
      <c r="A808" s="121"/>
      <c r="B808" s="121"/>
      <c r="C808" s="121"/>
      <c r="D808" s="121"/>
      <c r="E808" s="121"/>
      <c r="F808" s="121"/>
      <c r="G808" s="121"/>
      <c r="H808" s="121"/>
      <c r="I808" s="121"/>
      <c r="J808" s="121"/>
      <c r="K808" s="121"/>
      <c r="L808" s="121"/>
      <c r="M808" s="121"/>
      <c r="N808" s="121"/>
      <c r="O808" s="121"/>
      <c r="P808" s="121"/>
      <c r="Q808" s="121"/>
      <c r="R808" s="121"/>
      <c r="S808" s="121"/>
      <c r="T808" s="121"/>
      <c r="U808" s="121"/>
      <c r="V808" s="121"/>
      <c r="W808" s="121"/>
      <c r="X808" s="121"/>
      <c r="Y808" s="121"/>
      <c r="Z808" s="121"/>
    </row>
    <row r="809" spans="1:26" ht="11.25" customHeight="1" x14ac:dyDescent="0.3">
      <c r="A809" s="121"/>
      <c r="B809" s="121"/>
      <c r="C809" s="121"/>
      <c r="D809" s="121"/>
      <c r="E809" s="121"/>
      <c r="F809" s="121"/>
      <c r="G809" s="121"/>
      <c r="H809" s="121"/>
      <c r="I809" s="121"/>
      <c r="J809" s="121"/>
      <c r="K809" s="121"/>
      <c r="L809" s="121"/>
      <c r="M809" s="121"/>
      <c r="N809" s="121"/>
      <c r="O809" s="121"/>
      <c r="P809" s="121"/>
      <c r="Q809" s="121"/>
      <c r="R809" s="121"/>
      <c r="S809" s="121"/>
      <c r="T809" s="121"/>
      <c r="U809" s="121"/>
      <c r="V809" s="121"/>
      <c r="W809" s="121"/>
      <c r="X809" s="121"/>
      <c r="Y809" s="121"/>
      <c r="Z809" s="121"/>
    </row>
    <row r="810" spans="1:26" ht="11.25" customHeight="1" x14ac:dyDescent="0.3">
      <c r="A810" s="121"/>
      <c r="B810" s="121"/>
      <c r="C810" s="121"/>
      <c r="D810" s="121"/>
      <c r="E810" s="121"/>
      <c r="F810" s="121"/>
      <c r="G810" s="121"/>
      <c r="H810" s="121"/>
      <c r="I810" s="121"/>
      <c r="J810" s="121"/>
      <c r="K810" s="121"/>
      <c r="L810" s="121"/>
      <c r="M810" s="121"/>
      <c r="N810" s="121"/>
      <c r="O810" s="121"/>
      <c r="P810" s="121"/>
      <c r="Q810" s="121"/>
      <c r="R810" s="121"/>
      <c r="S810" s="121"/>
      <c r="T810" s="121"/>
      <c r="U810" s="121"/>
      <c r="V810" s="121"/>
      <c r="W810" s="121"/>
      <c r="X810" s="121"/>
      <c r="Y810" s="121"/>
      <c r="Z810" s="121"/>
    </row>
    <row r="811" spans="1:26" ht="11.25" customHeight="1" x14ac:dyDescent="0.3">
      <c r="A811" s="121"/>
      <c r="B811" s="121"/>
      <c r="C811" s="121"/>
      <c r="D811" s="121"/>
      <c r="E811" s="121"/>
      <c r="F811" s="121"/>
      <c r="G811" s="121"/>
      <c r="H811" s="121"/>
      <c r="I811" s="121"/>
      <c r="J811" s="121"/>
      <c r="K811" s="121"/>
      <c r="L811" s="121"/>
      <c r="M811" s="121"/>
      <c r="N811" s="121"/>
      <c r="O811" s="121"/>
      <c r="P811" s="121"/>
      <c r="Q811" s="121"/>
      <c r="R811" s="121"/>
      <c r="S811" s="121"/>
      <c r="T811" s="121"/>
      <c r="U811" s="121"/>
      <c r="V811" s="121"/>
      <c r="W811" s="121"/>
      <c r="X811" s="121"/>
      <c r="Y811" s="121"/>
      <c r="Z811" s="121"/>
    </row>
    <row r="812" spans="1:26" ht="11.25" customHeight="1" x14ac:dyDescent="0.3">
      <c r="A812" s="121"/>
      <c r="B812" s="121"/>
      <c r="C812" s="121"/>
      <c r="D812" s="121"/>
      <c r="E812" s="121"/>
      <c r="F812" s="121"/>
      <c r="G812" s="121"/>
      <c r="H812" s="121"/>
      <c r="I812" s="121"/>
      <c r="J812" s="121"/>
      <c r="K812" s="121"/>
      <c r="L812" s="121"/>
      <c r="M812" s="121"/>
      <c r="N812" s="121"/>
      <c r="O812" s="121"/>
      <c r="P812" s="121"/>
      <c r="Q812" s="121"/>
      <c r="R812" s="121"/>
      <c r="S812" s="121"/>
      <c r="T812" s="121"/>
      <c r="U812" s="121"/>
      <c r="V812" s="121"/>
      <c r="W812" s="121"/>
      <c r="X812" s="121"/>
      <c r="Y812" s="121"/>
      <c r="Z812" s="121"/>
    </row>
    <row r="813" spans="1:26" ht="11.25" customHeight="1" x14ac:dyDescent="0.3">
      <c r="A813" s="121"/>
      <c r="B813" s="121"/>
      <c r="C813" s="121"/>
      <c r="D813" s="121"/>
      <c r="E813" s="121"/>
      <c r="F813" s="121"/>
      <c r="G813" s="121"/>
      <c r="H813" s="121"/>
      <c r="I813" s="121"/>
      <c r="J813" s="121"/>
      <c r="K813" s="121"/>
      <c r="L813" s="121"/>
      <c r="M813" s="121"/>
      <c r="N813" s="121"/>
      <c r="O813" s="121"/>
      <c r="P813" s="121"/>
      <c r="Q813" s="121"/>
      <c r="R813" s="121"/>
      <c r="S813" s="121"/>
      <c r="T813" s="121"/>
      <c r="U813" s="121"/>
      <c r="V813" s="121"/>
      <c r="W813" s="121"/>
      <c r="X813" s="121"/>
      <c r="Y813" s="121"/>
      <c r="Z813" s="121"/>
    </row>
    <row r="814" spans="1:26" ht="11.25" customHeight="1" x14ac:dyDescent="0.3">
      <c r="A814" s="121"/>
      <c r="B814" s="121"/>
      <c r="C814" s="121"/>
      <c r="D814" s="121"/>
      <c r="E814" s="121"/>
      <c r="F814" s="121"/>
      <c r="G814" s="121"/>
      <c r="H814" s="121"/>
      <c r="I814" s="121"/>
      <c r="J814" s="121"/>
      <c r="K814" s="121"/>
      <c r="L814" s="121"/>
      <c r="M814" s="121"/>
      <c r="N814" s="121"/>
      <c r="O814" s="121"/>
      <c r="P814" s="121"/>
      <c r="Q814" s="121"/>
      <c r="R814" s="121"/>
      <c r="S814" s="121"/>
      <c r="T814" s="121"/>
      <c r="U814" s="121"/>
      <c r="V814" s="121"/>
      <c r="W814" s="121"/>
      <c r="X814" s="121"/>
      <c r="Y814" s="121"/>
      <c r="Z814" s="121"/>
    </row>
    <row r="815" spans="1:26" ht="11.25" customHeight="1" x14ac:dyDescent="0.3">
      <c r="A815" s="121"/>
      <c r="B815" s="121"/>
      <c r="C815" s="121"/>
      <c r="D815" s="121"/>
      <c r="E815" s="121"/>
      <c r="F815" s="121"/>
      <c r="G815" s="121"/>
      <c r="H815" s="121"/>
      <c r="I815" s="121"/>
      <c r="J815" s="121"/>
      <c r="K815" s="121"/>
      <c r="L815" s="121"/>
      <c r="M815" s="121"/>
      <c r="N815" s="121"/>
      <c r="O815" s="121"/>
      <c r="P815" s="121"/>
      <c r="Q815" s="121"/>
      <c r="R815" s="121"/>
      <c r="S815" s="121"/>
      <c r="T815" s="121"/>
      <c r="U815" s="121"/>
      <c r="V815" s="121"/>
      <c r="W815" s="121"/>
      <c r="X815" s="121"/>
      <c r="Y815" s="121"/>
      <c r="Z815" s="121"/>
    </row>
    <row r="816" spans="1:26" ht="11.25" customHeight="1" x14ac:dyDescent="0.3">
      <c r="A816" s="121"/>
      <c r="B816" s="121"/>
      <c r="C816" s="121"/>
      <c r="D816" s="121"/>
      <c r="E816" s="121"/>
      <c r="F816" s="121"/>
      <c r="G816" s="121"/>
      <c r="H816" s="121"/>
      <c r="I816" s="121"/>
      <c r="J816" s="121"/>
      <c r="K816" s="121"/>
      <c r="L816" s="121"/>
      <c r="M816" s="121"/>
      <c r="N816" s="121"/>
      <c r="O816" s="121"/>
      <c r="P816" s="121"/>
      <c r="Q816" s="121"/>
      <c r="R816" s="121"/>
      <c r="S816" s="121"/>
      <c r="T816" s="121"/>
      <c r="U816" s="121"/>
      <c r="V816" s="121"/>
      <c r="W816" s="121"/>
      <c r="X816" s="121"/>
      <c r="Y816" s="121"/>
      <c r="Z816" s="121"/>
    </row>
    <row r="817" spans="1:26" ht="11.25" customHeight="1" x14ac:dyDescent="0.3">
      <c r="A817" s="121"/>
      <c r="B817" s="121"/>
      <c r="C817" s="121"/>
      <c r="D817" s="121"/>
      <c r="E817" s="121"/>
      <c r="F817" s="121"/>
      <c r="G817" s="121"/>
      <c r="H817" s="121"/>
      <c r="I817" s="121"/>
      <c r="J817" s="121"/>
      <c r="K817" s="121"/>
      <c r="L817" s="121"/>
      <c r="M817" s="121"/>
      <c r="N817" s="121"/>
      <c r="O817" s="121"/>
      <c r="P817" s="121"/>
      <c r="Q817" s="121"/>
      <c r="R817" s="121"/>
      <c r="S817" s="121"/>
      <c r="T817" s="121"/>
      <c r="U817" s="121"/>
      <c r="V817" s="121"/>
      <c r="W817" s="121"/>
      <c r="X817" s="121"/>
      <c r="Y817" s="121"/>
      <c r="Z817" s="121"/>
    </row>
    <row r="818" spans="1:26" ht="11.25" customHeight="1" x14ac:dyDescent="0.3">
      <c r="A818" s="121"/>
      <c r="B818" s="121"/>
      <c r="C818" s="121"/>
      <c r="D818" s="121"/>
      <c r="E818" s="121"/>
      <c r="F818" s="121"/>
      <c r="G818" s="121"/>
      <c r="H818" s="121"/>
      <c r="I818" s="121"/>
      <c r="J818" s="121"/>
      <c r="K818" s="121"/>
      <c r="L818" s="121"/>
      <c r="M818" s="121"/>
      <c r="N818" s="121"/>
      <c r="O818" s="121"/>
      <c r="P818" s="121"/>
      <c r="Q818" s="121"/>
      <c r="R818" s="121"/>
      <c r="S818" s="121"/>
      <c r="T818" s="121"/>
      <c r="U818" s="121"/>
      <c r="V818" s="121"/>
      <c r="W818" s="121"/>
      <c r="X818" s="121"/>
      <c r="Y818" s="121"/>
      <c r="Z818" s="121"/>
    </row>
    <row r="819" spans="1:26" ht="11.25" customHeight="1" x14ac:dyDescent="0.3">
      <c r="A819" s="121"/>
      <c r="B819" s="121"/>
      <c r="C819" s="121"/>
      <c r="D819" s="121"/>
      <c r="E819" s="121"/>
      <c r="F819" s="121"/>
      <c r="G819" s="121"/>
      <c r="H819" s="121"/>
      <c r="I819" s="121"/>
      <c r="J819" s="121"/>
      <c r="K819" s="121"/>
      <c r="L819" s="121"/>
      <c r="M819" s="121"/>
      <c r="N819" s="121"/>
      <c r="O819" s="121"/>
      <c r="P819" s="121"/>
      <c r="Q819" s="121"/>
      <c r="R819" s="121"/>
      <c r="S819" s="121"/>
      <c r="T819" s="121"/>
      <c r="U819" s="121"/>
      <c r="V819" s="121"/>
      <c r="W819" s="121"/>
      <c r="X819" s="121"/>
      <c r="Y819" s="121"/>
      <c r="Z819" s="121"/>
    </row>
    <row r="820" spans="1:26" ht="11.25" customHeight="1" x14ac:dyDescent="0.3">
      <c r="A820" s="121"/>
      <c r="B820" s="121"/>
      <c r="C820" s="121"/>
      <c r="D820" s="121"/>
      <c r="E820" s="121"/>
      <c r="F820" s="121"/>
      <c r="G820" s="121"/>
      <c r="H820" s="121"/>
      <c r="I820" s="121"/>
      <c r="J820" s="121"/>
      <c r="K820" s="121"/>
      <c r="L820" s="121"/>
      <c r="M820" s="121"/>
      <c r="N820" s="121"/>
      <c r="O820" s="121"/>
      <c r="P820" s="121"/>
      <c r="Q820" s="121"/>
      <c r="R820" s="121"/>
      <c r="S820" s="121"/>
      <c r="T820" s="121"/>
      <c r="U820" s="121"/>
      <c r="V820" s="121"/>
      <c r="W820" s="121"/>
      <c r="X820" s="121"/>
      <c r="Y820" s="121"/>
      <c r="Z820" s="121"/>
    </row>
    <row r="821" spans="1:26" ht="11.25" customHeight="1" x14ac:dyDescent="0.3">
      <c r="A821" s="121"/>
      <c r="B821" s="121"/>
      <c r="C821" s="121"/>
      <c r="D821" s="121"/>
      <c r="E821" s="121"/>
      <c r="F821" s="121"/>
      <c r="G821" s="121"/>
      <c r="H821" s="121"/>
      <c r="I821" s="121"/>
      <c r="J821" s="121"/>
      <c r="K821" s="121"/>
      <c r="L821" s="121"/>
      <c r="M821" s="121"/>
      <c r="N821" s="121"/>
      <c r="O821" s="121"/>
      <c r="P821" s="121"/>
      <c r="Q821" s="121"/>
      <c r="R821" s="121"/>
      <c r="S821" s="121"/>
      <c r="T821" s="121"/>
      <c r="U821" s="121"/>
      <c r="V821" s="121"/>
      <c r="W821" s="121"/>
      <c r="X821" s="121"/>
      <c r="Y821" s="121"/>
      <c r="Z821" s="121"/>
    </row>
    <row r="822" spans="1:26" ht="11.25" customHeight="1" x14ac:dyDescent="0.3">
      <c r="A822" s="121"/>
      <c r="B822" s="121"/>
      <c r="C822" s="121"/>
      <c r="D822" s="121"/>
      <c r="E822" s="121"/>
      <c r="F822" s="121"/>
      <c r="G822" s="121"/>
      <c r="H822" s="121"/>
      <c r="I822" s="121"/>
      <c r="J822" s="121"/>
      <c r="K822" s="121"/>
      <c r="L822" s="121"/>
      <c r="M822" s="121"/>
      <c r="N822" s="121"/>
      <c r="O822" s="121"/>
      <c r="P822" s="121"/>
      <c r="Q822" s="121"/>
      <c r="R822" s="121"/>
      <c r="S822" s="121"/>
      <c r="T822" s="121"/>
      <c r="U822" s="121"/>
      <c r="V822" s="121"/>
      <c r="W822" s="121"/>
      <c r="X822" s="121"/>
      <c r="Y822" s="121"/>
      <c r="Z822" s="121"/>
    </row>
    <row r="823" spans="1:26" ht="11.25" customHeight="1" x14ac:dyDescent="0.3">
      <c r="A823" s="121"/>
      <c r="B823" s="121"/>
      <c r="C823" s="121"/>
      <c r="D823" s="121"/>
      <c r="E823" s="121"/>
      <c r="F823" s="121"/>
      <c r="G823" s="121"/>
      <c r="H823" s="121"/>
      <c r="I823" s="121"/>
      <c r="J823" s="121"/>
      <c r="K823" s="121"/>
      <c r="L823" s="121"/>
      <c r="M823" s="121"/>
      <c r="N823" s="121"/>
      <c r="O823" s="121"/>
      <c r="P823" s="121"/>
      <c r="Q823" s="121"/>
      <c r="R823" s="121"/>
      <c r="S823" s="121"/>
      <c r="T823" s="121"/>
      <c r="U823" s="121"/>
      <c r="V823" s="121"/>
      <c r="W823" s="121"/>
      <c r="X823" s="121"/>
      <c r="Y823" s="121"/>
      <c r="Z823" s="121"/>
    </row>
    <row r="824" spans="1:26" ht="11.25" customHeight="1" x14ac:dyDescent="0.3">
      <c r="A824" s="121"/>
      <c r="B824" s="121"/>
      <c r="C824" s="121"/>
      <c r="D824" s="121"/>
      <c r="E824" s="121"/>
      <c r="F824" s="121"/>
      <c r="G824" s="121"/>
      <c r="H824" s="121"/>
      <c r="I824" s="121"/>
      <c r="J824" s="121"/>
      <c r="K824" s="121"/>
      <c r="L824" s="121"/>
      <c r="M824" s="121"/>
      <c r="N824" s="121"/>
      <c r="O824" s="121"/>
      <c r="P824" s="121"/>
      <c r="Q824" s="121"/>
      <c r="R824" s="121"/>
      <c r="S824" s="121"/>
      <c r="T824" s="121"/>
      <c r="U824" s="121"/>
      <c r="V824" s="121"/>
      <c r="W824" s="121"/>
      <c r="X824" s="121"/>
      <c r="Y824" s="121"/>
      <c r="Z824" s="121"/>
    </row>
    <row r="825" spans="1:26" ht="11.25" customHeight="1" x14ac:dyDescent="0.3">
      <c r="A825" s="121"/>
      <c r="B825" s="121"/>
      <c r="C825" s="121"/>
      <c r="D825" s="121"/>
      <c r="E825" s="121"/>
      <c r="F825" s="121"/>
      <c r="G825" s="121"/>
      <c r="H825" s="121"/>
      <c r="I825" s="121"/>
      <c r="J825" s="121"/>
      <c r="K825" s="121"/>
      <c r="L825" s="121"/>
      <c r="M825" s="121"/>
      <c r="N825" s="121"/>
      <c r="O825" s="121"/>
      <c r="P825" s="121"/>
      <c r="Q825" s="121"/>
      <c r="R825" s="121"/>
      <c r="S825" s="121"/>
      <c r="T825" s="121"/>
      <c r="U825" s="121"/>
      <c r="V825" s="121"/>
      <c r="W825" s="121"/>
      <c r="X825" s="121"/>
      <c r="Y825" s="121"/>
      <c r="Z825" s="121"/>
    </row>
    <row r="826" spans="1:26" ht="11.25" customHeight="1" x14ac:dyDescent="0.3">
      <c r="A826" s="121"/>
      <c r="B826" s="121"/>
      <c r="C826" s="121"/>
      <c r="D826" s="121"/>
      <c r="E826" s="121"/>
      <c r="F826" s="121"/>
      <c r="G826" s="121"/>
      <c r="H826" s="121"/>
      <c r="I826" s="121"/>
      <c r="J826" s="121"/>
      <c r="K826" s="121"/>
      <c r="L826" s="121"/>
      <c r="M826" s="121"/>
      <c r="N826" s="121"/>
      <c r="O826" s="121"/>
      <c r="P826" s="121"/>
      <c r="Q826" s="121"/>
      <c r="R826" s="121"/>
      <c r="S826" s="121"/>
      <c r="T826" s="121"/>
      <c r="U826" s="121"/>
      <c r="V826" s="121"/>
      <c r="W826" s="121"/>
      <c r="X826" s="121"/>
      <c r="Y826" s="121"/>
      <c r="Z826" s="121"/>
    </row>
    <row r="827" spans="1:26" ht="11.25" customHeight="1" x14ac:dyDescent="0.3">
      <c r="A827" s="121"/>
      <c r="B827" s="121"/>
      <c r="C827" s="121"/>
      <c r="D827" s="121"/>
      <c r="E827" s="121"/>
      <c r="F827" s="121"/>
      <c r="G827" s="121"/>
      <c r="H827" s="121"/>
      <c r="I827" s="121"/>
      <c r="J827" s="121"/>
      <c r="K827" s="121"/>
      <c r="L827" s="121"/>
      <c r="M827" s="121"/>
      <c r="N827" s="121"/>
      <c r="O827" s="121"/>
      <c r="P827" s="121"/>
      <c r="Q827" s="121"/>
      <c r="R827" s="121"/>
      <c r="S827" s="121"/>
      <c r="T827" s="121"/>
      <c r="U827" s="121"/>
      <c r="V827" s="121"/>
      <c r="W827" s="121"/>
      <c r="X827" s="121"/>
      <c r="Y827" s="121"/>
      <c r="Z827" s="121"/>
    </row>
    <row r="828" spans="1:26" ht="11.25" customHeight="1" x14ac:dyDescent="0.3">
      <c r="A828" s="121"/>
      <c r="B828" s="121"/>
      <c r="C828" s="121"/>
      <c r="D828" s="121"/>
      <c r="E828" s="121"/>
      <c r="F828" s="121"/>
      <c r="G828" s="121"/>
      <c r="H828" s="121"/>
      <c r="I828" s="121"/>
      <c r="J828" s="121"/>
      <c r="K828" s="121"/>
      <c r="L828" s="121"/>
      <c r="M828" s="121"/>
      <c r="N828" s="121"/>
      <c r="O828" s="121"/>
      <c r="P828" s="121"/>
      <c r="Q828" s="121"/>
      <c r="R828" s="121"/>
      <c r="S828" s="121"/>
      <c r="T828" s="121"/>
      <c r="U828" s="121"/>
      <c r="V828" s="121"/>
      <c r="W828" s="121"/>
      <c r="X828" s="121"/>
      <c r="Y828" s="121"/>
      <c r="Z828" s="121"/>
    </row>
    <row r="829" spans="1:26" ht="11.25" customHeight="1" x14ac:dyDescent="0.3">
      <c r="A829" s="121"/>
      <c r="B829" s="121"/>
      <c r="C829" s="121"/>
      <c r="D829" s="121"/>
      <c r="E829" s="121"/>
      <c r="F829" s="121"/>
      <c r="G829" s="121"/>
      <c r="H829" s="121"/>
      <c r="I829" s="121"/>
      <c r="J829" s="121"/>
      <c r="K829" s="121"/>
      <c r="L829" s="121"/>
      <c r="M829" s="121"/>
      <c r="N829" s="121"/>
      <c r="O829" s="121"/>
      <c r="P829" s="121"/>
      <c r="Q829" s="121"/>
      <c r="R829" s="121"/>
      <c r="S829" s="121"/>
      <c r="T829" s="121"/>
      <c r="U829" s="121"/>
      <c r="V829" s="121"/>
      <c r="W829" s="121"/>
      <c r="X829" s="121"/>
      <c r="Y829" s="121"/>
      <c r="Z829" s="121"/>
    </row>
    <row r="830" spans="1:26" ht="11.25" customHeight="1" x14ac:dyDescent="0.3">
      <c r="A830" s="121"/>
      <c r="B830" s="121"/>
      <c r="C830" s="121"/>
      <c r="D830" s="121"/>
      <c r="E830" s="121"/>
      <c r="F830" s="121"/>
      <c r="G830" s="121"/>
      <c r="H830" s="121"/>
      <c r="I830" s="121"/>
      <c r="J830" s="121"/>
      <c r="K830" s="121"/>
      <c r="L830" s="121"/>
      <c r="M830" s="121"/>
      <c r="N830" s="121"/>
      <c r="O830" s="121"/>
      <c r="P830" s="121"/>
      <c r="Q830" s="121"/>
      <c r="R830" s="121"/>
      <c r="S830" s="121"/>
      <c r="T830" s="121"/>
      <c r="U830" s="121"/>
      <c r="V830" s="121"/>
      <c r="W830" s="121"/>
      <c r="X830" s="121"/>
      <c r="Y830" s="121"/>
      <c r="Z830" s="121"/>
    </row>
    <row r="831" spans="1:26" ht="11.25" customHeight="1" x14ac:dyDescent="0.3">
      <c r="A831" s="121"/>
      <c r="B831" s="121"/>
      <c r="C831" s="121"/>
      <c r="D831" s="121"/>
      <c r="E831" s="121"/>
      <c r="F831" s="121"/>
      <c r="G831" s="121"/>
      <c r="H831" s="121"/>
      <c r="I831" s="121"/>
      <c r="J831" s="121"/>
      <c r="K831" s="121"/>
      <c r="L831" s="121"/>
      <c r="M831" s="121"/>
      <c r="N831" s="121"/>
      <c r="O831" s="121"/>
      <c r="P831" s="121"/>
      <c r="Q831" s="121"/>
      <c r="R831" s="121"/>
      <c r="S831" s="121"/>
      <c r="T831" s="121"/>
      <c r="U831" s="121"/>
      <c r="V831" s="121"/>
      <c r="W831" s="121"/>
      <c r="X831" s="121"/>
      <c r="Y831" s="121"/>
      <c r="Z831" s="121"/>
    </row>
    <row r="832" spans="1:26" ht="11.25" customHeight="1" x14ac:dyDescent="0.3">
      <c r="A832" s="121"/>
      <c r="B832" s="121"/>
      <c r="C832" s="121"/>
      <c r="D832" s="121"/>
      <c r="E832" s="121"/>
      <c r="F832" s="121"/>
      <c r="G832" s="121"/>
      <c r="H832" s="121"/>
      <c r="I832" s="121"/>
      <c r="J832" s="121"/>
      <c r="K832" s="121"/>
      <c r="L832" s="121"/>
      <c r="M832" s="121"/>
      <c r="N832" s="121"/>
      <c r="O832" s="121"/>
      <c r="P832" s="121"/>
      <c r="Q832" s="121"/>
      <c r="R832" s="121"/>
      <c r="S832" s="121"/>
      <c r="T832" s="121"/>
      <c r="U832" s="121"/>
      <c r="V832" s="121"/>
      <c r="W832" s="121"/>
      <c r="X832" s="121"/>
      <c r="Y832" s="121"/>
      <c r="Z832" s="121"/>
    </row>
    <row r="833" spans="1:26" ht="11.25" customHeight="1" x14ac:dyDescent="0.3">
      <c r="A833" s="121"/>
      <c r="B833" s="121"/>
      <c r="C833" s="121"/>
      <c r="D833" s="121"/>
      <c r="E833" s="121"/>
      <c r="F833" s="121"/>
      <c r="G833" s="121"/>
      <c r="H833" s="121"/>
      <c r="I833" s="121"/>
      <c r="J833" s="121"/>
      <c r="K833" s="121"/>
      <c r="L833" s="121"/>
      <c r="M833" s="121"/>
      <c r="N833" s="121"/>
      <c r="O833" s="121"/>
      <c r="P833" s="121"/>
      <c r="Q833" s="121"/>
      <c r="R833" s="121"/>
      <c r="S833" s="121"/>
      <c r="T833" s="121"/>
      <c r="U833" s="121"/>
      <c r="V833" s="121"/>
      <c r="W833" s="121"/>
      <c r="X833" s="121"/>
      <c r="Y833" s="121"/>
      <c r="Z833" s="121"/>
    </row>
    <row r="834" spans="1:26" ht="11.25" customHeight="1" x14ac:dyDescent="0.3">
      <c r="A834" s="121"/>
      <c r="B834" s="121"/>
      <c r="C834" s="121"/>
      <c r="D834" s="121"/>
      <c r="E834" s="121"/>
      <c r="F834" s="121"/>
      <c r="G834" s="121"/>
      <c r="H834" s="121"/>
      <c r="I834" s="121"/>
      <c r="J834" s="121"/>
      <c r="K834" s="121"/>
      <c r="L834" s="121"/>
      <c r="M834" s="121"/>
      <c r="N834" s="121"/>
      <c r="O834" s="121"/>
      <c r="P834" s="121"/>
      <c r="Q834" s="121"/>
      <c r="R834" s="121"/>
      <c r="S834" s="121"/>
      <c r="T834" s="121"/>
      <c r="U834" s="121"/>
      <c r="V834" s="121"/>
      <c r="W834" s="121"/>
      <c r="X834" s="121"/>
      <c r="Y834" s="121"/>
      <c r="Z834" s="121"/>
    </row>
    <row r="835" spans="1:26" ht="11.25" customHeight="1" x14ac:dyDescent="0.3">
      <c r="A835" s="121"/>
      <c r="B835" s="121"/>
      <c r="C835" s="121"/>
      <c r="D835" s="121"/>
      <c r="E835" s="121"/>
      <c r="F835" s="121"/>
      <c r="G835" s="121"/>
      <c r="H835" s="121"/>
      <c r="I835" s="121"/>
      <c r="J835" s="121"/>
      <c r="K835" s="121"/>
      <c r="L835" s="121"/>
      <c r="M835" s="121"/>
      <c r="N835" s="121"/>
      <c r="O835" s="121"/>
      <c r="P835" s="121"/>
      <c r="Q835" s="121"/>
      <c r="R835" s="121"/>
      <c r="S835" s="121"/>
      <c r="T835" s="121"/>
      <c r="U835" s="121"/>
      <c r="V835" s="121"/>
      <c r="W835" s="121"/>
      <c r="X835" s="121"/>
      <c r="Y835" s="121"/>
      <c r="Z835" s="121"/>
    </row>
    <row r="836" spans="1:26" ht="11.25" customHeight="1" x14ac:dyDescent="0.3">
      <c r="A836" s="121"/>
      <c r="B836" s="121"/>
      <c r="C836" s="121"/>
      <c r="D836" s="121"/>
      <c r="E836" s="121"/>
      <c r="F836" s="121"/>
      <c r="G836" s="121"/>
      <c r="H836" s="121"/>
      <c r="I836" s="121"/>
      <c r="J836" s="121"/>
      <c r="K836" s="121"/>
      <c r="L836" s="121"/>
      <c r="M836" s="121"/>
      <c r="N836" s="121"/>
      <c r="O836" s="121"/>
      <c r="P836" s="121"/>
      <c r="Q836" s="121"/>
      <c r="R836" s="121"/>
      <c r="S836" s="121"/>
      <c r="T836" s="121"/>
      <c r="U836" s="121"/>
      <c r="V836" s="121"/>
      <c r="W836" s="121"/>
      <c r="X836" s="121"/>
      <c r="Y836" s="121"/>
      <c r="Z836" s="121"/>
    </row>
    <row r="837" spans="1:26" ht="11.25" customHeight="1" x14ac:dyDescent="0.3">
      <c r="A837" s="121"/>
      <c r="B837" s="121"/>
      <c r="C837" s="121"/>
      <c r="D837" s="121"/>
      <c r="E837" s="121"/>
      <c r="F837" s="121"/>
      <c r="G837" s="121"/>
      <c r="H837" s="121"/>
      <c r="I837" s="121"/>
      <c r="J837" s="121"/>
      <c r="K837" s="121"/>
      <c r="L837" s="121"/>
      <c r="M837" s="121"/>
      <c r="N837" s="121"/>
      <c r="O837" s="121"/>
      <c r="P837" s="121"/>
      <c r="Q837" s="121"/>
      <c r="R837" s="121"/>
      <c r="S837" s="121"/>
      <c r="T837" s="121"/>
      <c r="U837" s="121"/>
      <c r="V837" s="121"/>
      <c r="W837" s="121"/>
      <c r="X837" s="121"/>
      <c r="Y837" s="121"/>
      <c r="Z837" s="121"/>
    </row>
    <row r="838" spans="1:26" ht="11.25" customHeight="1" x14ac:dyDescent="0.3">
      <c r="A838" s="121"/>
      <c r="B838" s="121"/>
      <c r="C838" s="121"/>
      <c r="D838" s="121"/>
      <c r="E838" s="121"/>
      <c r="F838" s="121"/>
      <c r="G838" s="121"/>
      <c r="H838" s="121"/>
      <c r="I838" s="121"/>
      <c r="J838" s="121"/>
      <c r="K838" s="121"/>
      <c r="L838" s="121"/>
      <c r="M838" s="121"/>
      <c r="N838" s="121"/>
      <c r="O838" s="121"/>
      <c r="P838" s="121"/>
      <c r="Q838" s="121"/>
      <c r="R838" s="121"/>
      <c r="S838" s="121"/>
      <c r="T838" s="121"/>
      <c r="U838" s="121"/>
      <c r="V838" s="121"/>
      <c r="W838" s="121"/>
      <c r="X838" s="121"/>
      <c r="Y838" s="121"/>
      <c r="Z838" s="121"/>
    </row>
    <row r="839" spans="1:26" ht="11.25" customHeight="1" x14ac:dyDescent="0.3">
      <c r="A839" s="121"/>
      <c r="B839" s="121"/>
      <c r="C839" s="121"/>
      <c r="D839" s="121"/>
      <c r="E839" s="121"/>
      <c r="F839" s="121"/>
      <c r="G839" s="121"/>
      <c r="H839" s="121"/>
      <c r="I839" s="121"/>
      <c r="J839" s="121"/>
      <c r="K839" s="121"/>
      <c r="L839" s="121"/>
      <c r="M839" s="121"/>
      <c r="N839" s="121"/>
      <c r="O839" s="121"/>
      <c r="P839" s="121"/>
      <c r="Q839" s="121"/>
      <c r="R839" s="121"/>
      <c r="S839" s="121"/>
      <c r="T839" s="121"/>
      <c r="U839" s="121"/>
      <c r="V839" s="121"/>
      <c r="W839" s="121"/>
      <c r="X839" s="121"/>
      <c r="Y839" s="121"/>
      <c r="Z839" s="121"/>
    </row>
    <row r="840" spans="1:26" ht="11.25" customHeight="1" x14ac:dyDescent="0.3">
      <c r="A840" s="121"/>
      <c r="B840" s="121"/>
      <c r="C840" s="121"/>
      <c r="D840" s="121"/>
      <c r="E840" s="121"/>
      <c r="F840" s="121"/>
      <c r="G840" s="121"/>
      <c r="H840" s="121"/>
      <c r="I840" s="121"/>
      <c r="J840" s="121"/>
      <c r="K840" s="121"/>
      <c r="L840" s="121"/>
      <c r="M840" s="121"/>
      <c r="N840" s="121"/>
      <c r="O840" s="121"/>
      <c r="P840" s="121"/>
      <c r="Q840" s="121"/>
      <c r="R840" s="121"/>
      <c r="S840" s="121"/>
      <c r="T840" s="121"/>
      <c r="U840" s="121"/>
      <c r="V840" s="121"/>
      <c r="W840" s="121"/>
      <c r="X840" s="121"/>
      <c r="Y840" s="121"/>
      <c r="Z840" s="121"/>
    </row>
    <row r="841" spans="1:26" ht="11.25" customHeight="1" x14ac:dyDescent="0.3">
      <c r="A841" s="121"/>
      <c r="B841" s="121"/>
      <c r="C841" s="121"/>
      <c r="D841" s="121"/>
      <c r="E841" s="121"/>
      <c r="F841" s="121"/>
      <c r="G841" s="121"/>
      <c r="H841" s="121"/>
      <c r="I841" s="121"/>
      <c r="J841" s="121"/>
      <c r="K841" s="121"/>
      <c r="L841" s="121"/>
      <c r="M841" s="121"/>
      <c r="N841" s="121"/>
      <c r="O841" s="121"/>
      <c r="P841" s="121"/>
      <c r="Q841" s="121"/>
      <c r="R841" s="121"/>
      <c r="S841" s="121"/>
      <c r="T841" s="121"/>
      <c r="U841" s="121"/>
      <c r="V841" s="121"/>
      <c r="W841" s="121"/>
      <c r="X841" s="121"/>
      <c r="Y841" s="121"/>
      <c r="Z841" s="121"/>
    </row>
    <row r="842" spans="1:26" ht="11.25" customHeight="1" x14ac:dyDescent="0.3">
      <c r="A842" s="121"/>
      <c r="B842" s="121"/>
      <c r="C842" s="121"/>
      <c r="D842" s="121"/>
      <c r="E842" s="121"/>
      <c r="F842" s="121"/>
      <c r="G842" s="121"/>
      <c r="H842" s="121"/>
      <c r="I842" s="121"/>
      <c r="J842" s="121"/>
      <c r="K842" s="121"/>
      <c r="L842" s="121"/>
      <c r="M842" s="121"/>
      <c r="N842" s="121"/>
      <c r="O842" s="121"/>
      <c r="P842" s="121"/>
      <c r="Q842" s="121"/>
      <c r="R842" s="121"/>
      <c r="S842" s="121"/>
      <c r="T842" s="121"/>
      <c r="U842" s="121"/>
      <c r="V842" s="121"/>
      <c r="W842" s="121"/>
      <c r="X842" s="121"/>
      <c r="Y842" s="121"/>
      <c r="Z842" s="121"/>
    </row>
    <row r="843" spans="1:26" ht="11.25" customHeight="1" x14ac:dyDescent="0.3">
      <c r="A843" s="121"/>
      <c r="B843" s="121"/>
      <c r="C843" s="121"/>
      <c r="D843" s="121"/>
      <c r="E843" s="121"/>
      <c r="F843" s="121"/>
      <c r="G843" s="121"/>
      <c r="H843" s="121"/>
      <c r="I843" s="121"/>
      <c r="J843" s="121"/>
      <c r="K843" s="121"/>
      <c r="L843" s="121"/>
      <c r="M843" s="121"/>
      <c r="N843" s="121"/>
      <c r="O843" s="121"/>
      <c r="P843" s="121"/>
      <c r="Q843" s="121"/>
      <c r="R843" s="121"/>
      <c r="S843" s="121"/>
      <c r="T843" s="121"/>
      <c r="U843" s="121"/>
      <c r="V843" s="121"/>
      <c r="W843" s="121"/>
      <c r="X843" s="121"/>
      <c r="Y843" s="121"/>
      <c r="Z843" s="121"/>
    </row>
    <row r="844" spans="1:26" ht="11.25" customHeight="1" x14ac:dyDescent="0.3">
      <c r="A844" s="121"/>
      <c r="B844" s="121"/>
      <c r="C844" s="121"/>
      <c r="D844" s="121"/>
      <c r="E844" s="121"/>
      <c r="F844" s="121"/>
      <c r="G844" s="121"/>
      <c r="H844" s="121"/>
      <c r="I844" s="121"/>
      <c r="J844" s="121"/>
      <c r="K844" s="121"/>
      <c r="L844" s="121"/>
      <c r="M844" s="121"/>
      <c r="N844" s="121"/>
      <c r="O844" s="121"/>
      <c r="P844" s="121"/>
      <c r="Q844" s="121"/>
      <c r="R844" s="121"/>
      <c r="S844" s="121"/>
      <c r="T844" s="121"/>
      <c r="U844" s="121"/>
      <c r="V844" s="121"/>
      <c r="W844" s="121"/>
      <c r="X844" s="121"/>
      <c r="Y844" s="121"/>
      <c r="Z844" s="121"/>
    </row>
    <row r="845" spans="1:26" ht="11.25" customHeight="1" x14ac:dyDescent="0.3">
      <c r="A845" s="121"/>
      <c r="B845" s="121"/>
      <c r="C845" s="121"/>
      <c r="D845" s="121"/>
      <c r="E845" s="121"/>
      <c r="F845" s="121"/>
      <c r="G845" s="121"/>
      <c r="H845" s="121"/>
      <c r="I845" s="121"/>
      <c r="J845" s="121"/>
      <c r="K845" s="121"/>
      <c r="L845" s="121"/>
      <c r="M845" s="121"/>
      <c r="N845" s="121"/>
      <c r="O845" s="121"/>
      <c r="P845" s="121"/>
      <c r="Q845" s="121"/>
      <c r="R845" s="121"/>
      <c r="S845" s="121"/>
      <c r="T845" s="121"/>
      <c r="U845" s="121"/>
      <c r="V845" s="121"/>
      <c r="W845" s="121"/>
      <c r="X845" s="121"/>
      <c r="Y845" s="121"/>
      <c r="Z845" s="121"/>
    </row>
    <row r="846" spans="1:26" ht="11.25" customHeight="1" x14ac:dyDescent="0.3">
      <c r="A846" s="121"/>
      <c r="B846" s="121"/>
      <c r="C846" s="121"/>
      <c r="D846" s="121"/>
      <c r="E846" s="121"/>
      <c r="F846" s="121"/>
      <c r="G846" s="121"/>
      <c r="H846" s="121"/>
      <c r="I846" s="121"/>
      <c r="J846" s="121"/>
      <c r="K846" s="121"/>
      <c r="L846" s="121"/>
      <c r="M846" s="121"/>
      <c r="N846" s="121"/>
      <c r="O846" s="121"/>
      <c r="P846" s="121"/>
      <c r="Q846" s="121"/>
      <c r="R846" s="121"/>
      <c r="S846" s="121"/>
      <c r="T846" s="121"/>
      <c r="U846" s="121"/>
      <c r="V846" s="121"/>
      <c r="W846" s="121"/>
      <c r="X846" s="121"/>
      <c r="Y846" s="121"/>
      <c r="Z846" s="121"/>
    </row>
    <row r="847" spans="1:26" ht="11.25" customHeight="1" x14ac:dyDescent="0.3">
      <c r="A847" s="121"/>
      <c r="B847" s="121"/>
      <c r="C847" s="121"/>
      <c r="D847" s="121"/>
      <c r="E847" s="121"/>
      <c r="F847" s="121"/>
      <c r="G847" s="121"/>
      <c r="H847" s="121"/>
      <c r="I847" s="121"/>
      <c r="J847" s="121"/>
      <c r="K847" s="121"/>
      <c r="L847" s="121"/>
      <c r="M847" s="121"/>
      <c r="N847" s="121"/>
      <c r="O847" s="121"/>
      <c r="P847" s="121"/>
      <c r="Q847" s="121"/>
      <c r="R847" s="121"/>
      <c r="S847" s="121"/>
      <c r="T847" s="121"/>
      <c r="U847" s="121"/>
      <c r="V847" s="121"/>
      <c r="W847" s="121"/>
      <c r="X847" s="121"/>
      <c r="Y847" s="121"/>
      <c r="Z847" s="121"/>
    </row>
    <row r="848" spans="1:26" ht="11.25" customHeight="1" x14ac:dyDescent="0.3">
      <c r="A848" s="121"/>
      <c r="B848" s="121"/>
      <c r="C848" s="121"/>
      <c r="D848" s="121"/>
      <c r="E848" s="121"/>
      <c r="F848" s="121"/>
      <c r="G848" s="121"/>
      <c r="H848" s="121"/>
      <c r="I848" s="121"/>
      <c r="J848" s="121"/>
      <c r="K848" s="121"/>
      <c r="L848" s="121"/>
      <c r="M848" s="121"/>
      <c r="N848" s="121"/>
      <c r="O848" s="121"/>
      <c r="P848" s="121"/>
      <c r="Q848" s="121"/>
      <c r="R848" s="121"/>
      <c r="S848" s="121"/>
      <c r="T848" s="121"/>
      <c r="U848" s="121"/>
      <c r="V848" s="121"/>
      <c r="W848" s="121"/>
      <c r="X848" s="121"/>
      <c r="Y848" s="121"/>
      <c r="Z848" s="121"/>
    </row>
    <row r="849" spans="1:26" ht="11.25" customHeight="1" x14ac:dyDescent="0.3">
      <c r="A849" s="121"/>
      <c r="B849" s="121"/>
      <c r="C849" s="121"/>
      <c r="D849" s="121"/>
      <c r="E849" s="121"/>
      <c r="F849" s="121"/>
      <c r="G849" s="121"/>
      <c r="H849" s="121"/>
      <c r="I849" s="121"/>
      <c r="J849" s="121"/>
      <c r="K849" s="121"/>
      <c r="L849" s="121"/>
      <c r="M849" s="121"/>
      <c r="N849" s="121"/>
      <c r="O849" s="121"/>
      <c r="P849" s="121"/>
      <c r="Q849" s="121"/>
      <c r="R849" s="121"/>
      <c r="S849" s="121"/>
      <c r="T849" s="121"/>
      <c r="U849" s="121"/>
      <c r="V849" s="121"/>
      <c r="W849" s="121"/>
      <c r="X849" s="121"/>
      <c r="Y849" s="121"/>
      <c r="Z849" s="121"/>
    </row>
    <row r="850" spans="1:26" ht="11.25" customHeight="1" x14ac:dyDescent="0.3">
      <c r="A850" s="121"/>
      <c r="B850" s="121"/>
      <c r="C850" s="121"/>
      <c r="D850" s="121"/>
      <c r="E850" s="121"/>
      <c r="F850" s="121"/>
      <c r="G850" s="121"/>
      <c r="H850" s="121"/>
      <c r="I850" s="121"/>
      <c r="J850" s="121"/>
      <c r="K850" s="121"/>
      <c r="L850" s="121"/>
      <c r="M850" s="121"/>
      <c r="N850" s="121"/>
      <c r="O850" s="121"/>
      <c r="P850" s="121"/>
      <c r="Q850" s="121"/>
      <c r="R850" s="121"/>
      <c r="S850" s="121"/>
      <c r="T850" s="121"/>
      <c r="U850" s="121"/>
      <c r="V850" s="121"/>
      <c r="W850" s="121"/>
      <c r="X850" s="121"/>
      <c r="Y850" s="121"/>
      <c r="Z850" s="121"/>
    </row>
    <row r="851" spans="1:26" ht="11.25" customHeight="1" x14ac:dyDescent="0.3">
      <c r="A851" s="121"/>
      <c r="B851" s="121"/>
      <c r="C851" s="121"/>
      <c r="D851" s="121"/>
      <c r="E851" s="121"/>
      <c r="F851" s="121"/>
      <c r="G851" s="121"/>
      <c r="H851" s="121"/>
      <c r="I851" s="121"/>
      <c r="J851" s="121"/>
      <c r="K851" s="121"/>
      <c r="L851" s="121"/>
      <c r="M851" s="121"/>
      <c r="N851" s="121"/>
      <c r="O851" s="121"/>
      <c r="P851" s="121"/>
      <c r="Q851" s="121"/>
      <c r="R851" s="121"/>
      <c r="S851" s="121"/>
      <c r="T851" s="121"/>
      <c r="U851" s="121"/>
      <c r="V851" s="121"/>
      <c r="W851" s="121"/>
      <c r="X851" s="121"/>
      <c r="Y851" s="121"/>
      <c r="Z851" s="121"/>
    </row>
    <row r="852" spans="1:26" ht="11.25" customHeight="1" x14ac:dyDescent="0.3">
      <c r="A852" s="121"/>
      <c r="B852" s="121"/>
      <c r="C852" s="121"/>
      <c r="D852" s="121"/>
      <c r="E852" s="121"/>
      <c r="F852" s="121"/>
      <c r="G852" s="121"/>
      <c r="H852" s="121"/>
      <c r="I852" s="121"/>
      <c r="J852" s="121"/>
      <c r="K852" s="121"/>
      <c r="L852" s="121"/>
      <c r="M852" s="121"/>
      <c r="N852" s="121"/>
      <c r="O852" s="121"/>
      <c r="P852" s="121"/>
      <c r="Q852" s="121"/>
      <c r="R852" s="121"/>
      <c r="S852" s="121"/>
      <c r="T852" s="121"/>
      <c r="U852" s="121"/>
      <c r="V852" s="121"/>
      <c r="W852" s="121"/>
      <c r="X852" s="121"/>
      <c r="Y852" s="121"/>
      <c r="Z852" s="121"/>
    </row>
    <row r="853" spans="1:26" ht="11.25" customHeight="1" x14ac:dyDescent="0.3">
      <c r="A853" s="121"/>
      <c r="B853" s="121"/>
      <c r="C853" s="121"/>
      <c r="D853" s="121"/>
      <c r="E853" s="121"/>
      <c r="F853" s="121"/>
      <c r="G853" s="121"/>
      <c r="H853" s="121"/>
      <c r="I853" s="121"/>
      <c r="J853" s="121"/>
      <c r="K853" s="121"/>
      <c r="L853" s="121"/>
      <c r="M853" s="121"/>
      <c r="N853" s="121"/>
      <c r="O853" s="121"/>
      <c r="P853" s="121"/>
      <c r="Q853" s="121"/>
      <c r="R853" s="121"/>
      <c r="S853" s="121"/>
      <c r="T853" s="121"/>
      <c r="U853" s="121"/>
      <c r="V853" s="121"/>
      <c r="W853" s="121"/>
      <c r="X853" s="121"/>
      <c r="Y853" s="121"/>
      <c r="Z853" s="121"/>
    </row>
    <row r="854" spans="1:26" ht="11.25" customHeight="1" x14ac:dyDescent="0.3">
      <c r="A854" s="121"/>
      <c r="B854" s="121"/>
      <c r="C854" s="121"/>
      <c r="D854" s="121"/>
      <c r="E854" s="121"/>
      <c r="F854" s="121"/>
      <c r="G854" s="121"/>
      <c r="H854" s="121"/>
      <c r="I854" s="121"/>
      <c r="J854" s="121"/>
      <c r="K854" s="121"/>
      <c r="L854" s="121"/>
      <c r="M854" s="121"/>
      <c r="N854" s="121"/>
      <c r="O854" s="121"/>
      <c r="P854" s="121"/>
      <c r="Q854" s="121"/>
      <c r="R854" s="121"/>
      <c r="S854" s="121"/>
      <c r="T854" s="121"/>
      <c r="U854" s="121"/>
      <c r="V854" s="121"/>
      <c r="W854" s="121"/>
      <c r="X854" s="121"/>
      <c r="Y854" s="121"/>
      <c r="Z854" s="121"/>
    </row>
    <row r="855" spans="1:26" ht="11.25" customHeight="1" x14ac:dyDescent="0.3">
      <c r="A855" s="121"/>
      <c r="B855" s="121"/>
      <c r="C855" s="121"/>
      <c r="D855" s="121"/>
      <c r="E855" s="121"/>
      <c r="F855" s="121"/>
      <c r="G855" s="121"/>
      <c r="H855" s="121"/>
      <c r="I855" s="121"/>
      <c r="J855" s="121"/>
      <c r="K855" s="121"/>
      <c r="L855" s="121"/>
      <c r="M855" s="121"/>
      <c r="N855" s="121"/>
      <c r="O855" s="121"/>
      <c r="P855" s="121"/>
      <c r="Q855" s="121"/>
      <c r="R855" s="121"/>
      <c r="S855" s="121"/>
      <c r="T855" s="121"/>
      <c r="U855" s="121"/>
      <c r="V855" s="121"/>
      <c r="W855" s="121"/>
      <c r="X855" s="121"/>
      <c r="Y855" s="121"/>
      <c r="Z855" s="121"/>
    </row>
    <row r="856" spans="1:26" ht="11.25" customHeight="1" x14ac:dyDescent="0.3">
      <c r="A856" s="121"/>
      <c r="B856" s="121"/>
      <c r="C856" s="121"/>
      <c r="D856" s="121"/>
      <c r="E856" s="121"/>
      <c r="F856" s="121"/>
      <c r="G856" s="121"/>
      <c r="H856" s="121"/>
      <c r="I856" s="121"/>
      <c r="J856" s="121"/>
      <c r="K856" s="121"/>
      <c r="L856" s="121"/>
      <c r="M856" s="121"/>
      <c r="N856" s="121"/>
      <c r="O856" s="121"/>
      <c r="P856" s="121"/>
      <c r="Q856" s="121"/>
      <c r="R856" s="121"/>
      <c r="S856" s="121"/>
      <c r="T856" s="121"/>
      <c r="U856" s="121"/>
      <c r="V856" s="121"/>
      <c r="W856" s="121"/>
      <c r="X856" s="121"/>
      <c r="Y856" s="121"/>
      <c r="Z856" s="121"/>
    </row>
    <row r="857" spans="1:26" ht="11.25" customHeight="1" x14ac:dyDescent="0.3">
      <c r="A857" s="121"/>
      <c r="B857" s="121"/>
      <c r="C857" s="121"/>
      <c r="D857" s="121"/>
      <c r="E857" s="121"/>
      <c r="F857" s="121"/>
      <c r="G857" s="121"/>
      <c r="H857" s="121"/>
      <c r="I857" s="121"/>
      <c r="J857" s="121"/>
      <c r="K857" s="121"/>
      <c r="L857" s="121"/>
      <c r="M857" s="121"/>
      <c r="N857" s="121"/>
      <c r="O857" s="121"/>
      <c r="P857" s="121"/>
      <c r="Q857" s="121"/>
      <c r="R857" s="121"/>
      <c r="S857" s="121"/>
      <c r="T857" s="121"/>
      <c r="U857" s="121"/>
      <c r="V857" s="121"/>
      <c r="W857" s="121"/>
      <c r="X857" s="121"/>
      <c r="Y857" s="121"/>
      <c r="Z857" s="121"/>
    </row>
    <row r="858" spans="1:26" ht="11.25" customHeight="1" x14ac:dyDescent="0.3">
      <c r="A858" s="121"/>
      <c r="B858" s="121"/>
      <c r="C858" s="121"/>
      <c r="D858" s="121"/>
      <c r="E858" s="121"/>
      <c r="F858" s="121"/>
      <c r="G858" s="121"/>
      <c r="H858" s="121"/>
      <c r="I858" s="121"/>
      <c r="J858" s="121"/>
      <c r="K858" s="121"/>
      <c r="L858" s="121"/>
      <c r="M858" s="121"/>
      <c r="N858" s="121"/>
      <c r="O858" s="121"/>
      <c r="P858" s="121"/>
      <c r="Q858" s="121"/>
      <c r="R858" s="121"/>
      <c r="S858" s="121"/>
      <c r="T858" s="121"/>
      <c r="U858" s="121"/>
      <c r="V858" s="121"/>
      <c r="W858" s="121"/>
      <c r="X858" s="121"/>
      <c r="Y858" s="121"/>
      <c r="Z858" s="121"/>
    </row>
    <row r="859" spans="1:26" ht="11.25" customHeight="1" x14ac:dyDescent="0.3">
      <c r="A859" s="121"/>
      <c r="B859" s="121"/>
      <c r="C859" s="121"/>
      <c r="D859" s="121"/>
      <c r="E859" s="121"/>
      <c r="F859" s="121"/>
      <c r="G859" s="121"/>
      <c r="H859" s="121"/>
      <c r="I859" s="121"/>
      <c r="J859" s="121"/>
      <c r="K859" s="121"/>
      <c r="L859" s="121"/>
      <c r="M859" s="121"/>
      <c r="N859" s="121"/>
      <c r="O859" s="121"/>
      <c r="P859" s="121"/>
      <c r="Q859" s="121"/>
      <c r="R859" s="121"/>
      <c r="S859" s="121"/>
      <c r="T859" s="121"/>
      <c r="U859" s="121"/>
      <c r="V859" s="121"/>
      <c r="W859" s="121"/>
      <c r="X859" s="121"/>
      <c r="Y859" s="121"/>
      <c r="Z859" s="121"/>
    </row>
    <row r="860" spans="1:26" ht="11.25" customHeight="1" x14ac:dyDescent="0.3">
      <c r="A860" s="121"/>
      <c r="B860" s="121"/>
      <c r="C860" s="121"/>
      <c r="D860" s="121"/>
      <c r="E860" s="121"/>
      <c r="F860" s="121"/>
      <c r="G860" s="121"/>
      <c r="H860" s="121"/>
      <c r="I860" s="121"/>
      <c r="J860" s="121"/>
      <c r="K860" s="121"/>
      <c r="L860" s="121"/>
      <c r="M860" s="121"/>
      <c r="N860" s="121"/>
      <c r="O860" s="121"/>
      <c r="P860" s="121"/>
      <c r="Q860" s="121"/>
      <c r="R860" s="121"/>
      <c r="S860" s="121"/>
      <c r="T860" s="121"/>
      <c r="U860" s="121"/>
      <c r="V860" s="121"/>
      <c r="W860" s="121"/>
      <c r="X860" s="121"/>
      <c r="Y860" s="121"/>
      <c r="Z860" s="121"/>
    </row>
    <row r="861" spans="1:26" ht="11.25" customHeight="1" x14ac:dyDescent="0.3">
      <c r="A861" s="121"/>
      <c r="B861" s="121"/>
      <c r="C861" s="121"/>
      <c r="D861" s="121"/>
      <c r="E861" s="121"/>
      <c r="F861" s="121"/>
      <c r="G861" s="121"/>
      <c r="H861" s="121"/>
      <c r="I861" s="121"/>
      <c r="J861" s="121"/>
      <c r="K861" s="121"/>
      <c r="L861" s="121"/>
      <c r="M861" s="121"/>
      <c r="N861" s="121"/>
      <c r="O861" s="121"/>
      <c r="P861" s="121"/>
      <c r="Q861" s="121"/>
      <c r="R861" s="121"/>
      <c r="S861" s="121"/>
      <c r="T861" s="121"/>
      <c r="U861" s="121"/>
      <c r="V861" s="121"/>
      <c r="W861" s="121"/>
      <c r="X861" s="121"/>
      <c r="Y861" s="121"/>
      <c r="Z861" s="121"/>
    </row>
    <row r="862" spans="1:26" ht="11.25" customHeight="1" x14ac:dyDescent="0.3">
      <c r="A862" s="121"/>
      <c r="B862" s="121"/>
      <c r="C862" s="121"/>
      <c r="D862" s="121"/>
      <c r="E862" s="121"/>
      <c r="F862" s="121"/>
      <c r="G862" s="121"/>
      <c r="H862" s="121"/>
      <c r="I862" s="121"/>
      <c r="J862" s="121"/>
      <c r="K862" s="121"/>
      <c r="L862" s="121"/>
      <c r="M862" s="121"/>
      <c r="N862" s="121"/>
      <c r="O862" s="121"/>
      <c r="P862" s="121"/>
      <c r="Q862" s="121"/>
      <c r="R862" s="121"/>
      <c r="S862" s="121"/>
      <c r="T862" s="121"/>
      <c r="U862" s="121"/>
      <c r="V862" s="121"/>
      <c r="W862" s="121"/>
      <c r="X862" s="121"/>
      <c r="Y862" s="121"/>
      <c r="Z862" s="121"/>
    </row>
    <row r="863" spans="1:26" ht="11.25" customHeight="1" x14ac:dyDescent="0.3">
      <c r="A863" s="121"/>
      <c r="B863" s="121"/>
      <c r="C863" s="121"/>
      <c r="D863" s="121"/>
      <c r="E863" s="121"/>
      <c r="F863" s="121"/>
      <c r="G863" s="121"/>
      <c r="H863" s="121"/>
      <c r="I863" s="121"/>
      <c r="J863" s="121"/>
      <c r="K863" s="121"/>
      <c r="L863" s="121"/>
      <c r="M863" s="121"/>
      <c r="N863" s="121"/>
      <c r="O863" s="121"/>
      <c r="P863" s="121"/>
      <c r="Q863" s="121"/>
      <c r="R863" s="121"/>
      <c r="S863" s="121"/>
      <c r="T863" s="121"/>
      <c r="U863" s="121"/>
      <c r="V863" s="121"/>
      <c r="W863" s="121"/>
      <c r="X863" s="121"/>
      <c r="Y863" s="121"/>
      <c r="Z863" s="121"/>
    </row>
    <row r="864" spans="1:26" ht="11.25" customHeight="1" x14ac:dyDescent="0.3">
      <c r="A864" s="121"/>
      <c r="B864" s="121"/>
      <c r="C864" s="121"/>
      <c r="D864" s="121"/>
      <c r="E864" s="121"/>
      <c r="F864" s="121"/>
      <c r="G864" s="121"/>
      <c r="H864" s="121"/>
      <c r="I864" s="121"/>
      <c r="J864" s="121"/>
      <c r="K864" s="121"/>
      <c r="L864" s="121"/>
      <c r="M864" s="121"/>
      <c r="N864" s="121"/>
      <c r="O864" s="121"/>
      <c r="P864" s="121"/>
      <c r="Q864" s="121"/>
      <c r="R864" s="121"/>
      <c r="S864" s="121"/>
      <c r="T864" s="121"/>
      <c r="U864" s="121"/>
      <c r="V864" s="121"/>
      <c r="W864" s="121"/>
      <c r="X864" s="121"/>
      <c r="Y864" s="121"/>
      <c r="Z864" s="121"/>
    </row>
    <row r="865" spans="1:26" ht="11.25" customHeight="1" x14ac:dyDescent="0.3">
      <c r="A865" s="121"/>
      <c r="B865" s="121"/>
      <c r="C865" s="121"/>
      <c r="D865" s="121"/>
      <c r="E865" s="121"/>
      <c r="F865" s="121"/>
      <c r="G865" s="121"/>
      <c r="H865" s="121"/>
      <c r="I865" s="121"/>
      <c r="J865" s="121"/>
      <c r="K865" s="121"/>
      <c r="L865" s="121"/>
      <c r="M865" s="121"/>
      <c r="N865" s="121"/>
      <c r="O865" s="121"/>
      <c r="P865" s="121"/>
      <c r="Q865" s="121"/>
      <c r="R865" s="121"/>
      <c r="S865" s="121"/>
      <c r="T865" s="121"/>
      <c r="U865" s="121"/>
      <c r="V865" s="121"/>
      <c r="W865" s="121"/>
      <c r="X865" s="121"/>
      <c r="Y865" s="121"/>
      <c r="Z865" s="121"/>
    </row>
    <row r="866" spans="1:26" ht="11.25" customHeight="1" x14ac:dyDescent="0.3">
      <c r="A866" s="121"/>
      <c r="B866" s="121"/>
      <c r="C866" s="121"/>
      <c r="D866" s="121"/>
      <c r="E866" s="121"/>
      <c r="F866" s="121"/>
      <c r="G866" s="121"/>
      <c r="H866" s="121"/>
      <c r="I866" s="121"/>
      <c r="J866" s="121"/>
      <c r="K866" s="121"/>
      <c r="L866" s="121"/>
      <c r="M866" s="121"/>
      <c r="N866" s="121"/>
      <c r="O866" s="121"/>
      <c r="P866" s="121"/>
      <c r="Q866" s="121"/>
      <c r="R866" s="121"/>
      <c r="S866" s="121"/>
      <c r="T866" s="121"/>
      <c r="U866" s="121"/>
      <c r="V866" s="121"/>
      <c r="W866" s="121"/>
      <c r="X866" s="121"/>
      <c r="Y866" s="121"/>
      <c r="Z866" s="121"/>
    </row>
    <row r="867" spans="1:26" ht="11.25" customHeight="1" x14ac:dyDescent="0.3">
      <c r="A867" s="121"/>
      <c r="B867" s="121"/>
      <c r="C867" s="121"/>
      <c r="D867" s="121"/>
      <c r="E867" s="121"/>
      <c r="F867" s="121"/>
      <c r="G867" s="121"/>
      <c r="H867" s="121"/>
      <c r="I867" s="121"/>
      <c r="J867" s="121"/>
      <c r="K867" s="121"/>
      <c r="L867" s="121"/>
      <c r="M867" s="121"/>
      <c r="N867" s="121"/>
      <c r="O867" s="121"/>
      <c r="P867" s="121"/>
      <c r="Q867" s="121"/>
      <c r="R867" s="121"/>
      <c r="S867" s="121"/>
      <c r="T867" s="121"/>
      <c r="U867" s="121"/>
      <c r="V867" s="121"/>
      <c r="W867" s="121"/>
      <c r="X867" s="121"/>
      <c r="Y867" s="121"/>
      <c r="Z867" s="121"/>
    </row>
    <row r="868" spans="1:26" ht="11.25" customHeight="1" x14ac:dyDescent="0.3">
      <c r="A868" s="121"/>
      <c r="B868" s="121"/>
      <c r="C868" s="121"/>
      <c r="D868" s="121"/>
      <c r="E868" s="121"/>
      <c r="F868" s="121"/>
      <c r="G868" s="121"/>
      <c r="H868" s="121"/>
      <c r="I868" s="121"/>
      <c r="J868" s="121"/>
      <c r="K868" s="121"/>
      <c r="L868" s="121"/>
      <c r="M868" s="121"/>
      <c r="N868" s="121"/>
      <c r="O868" s="121"/>
      <c r="P868" s="121"/>
      <c r="Q868" s="121"/>
      <c r="R868" s="121"/>
      <c r="S868" s="121"/>
      <c r="T868" s="121"/>
      <c r="U868" s="121"/>
      <c r="V868" s="121"/>
      <c r="W868" s="121"/>
      <c r="X868" s="121"/>
      <c r="Y868" s="121"/>
      <c r="Z868" s="121"/>
    </row>
    <row r="869" spans="1:26" ht="11.25" customHeight="1" x14ac:dyDescent="0.3">
      <c r="A869" s="121"/>
      <c r="B869" s="121"/>
      <c r="C869" s="121"/>
      <c r="D869" s="121"/>
      <c r="E869" s="121"/>
      <c r="F869" s="121"/>
      <c r="G869" s="121"/>
      <c r="H869" s="121"/>
      <c r="I869" s="121"/>
      <c r="J869" s="121"/>
      <c r="K869" s="121"/>
      <c r="L869" s="121"/>
      <c r="M869" s="121"/>
      <c r="N869" s="121"/>
      <c r="O869" s="121"/>
      <c r="P869" s="121"/>
      <c r="Q869" s="121"/>
      <c r="R869" s="121"/>
      <c r="S869" s="121"/>
      <c r="T869" s="121"/>
      <c r="U869" s="121"/>
      <c r="V869" s="121"/>
      <c r="W869" s="121"/>
      <c r="X869" s="121"/>
      <c r="Y869" s="121"/>
      <c r="Z869" s="121"/>
    </row>
    <row r="870" spans="1:26" ht="11.25" customHeight="1" x14ac:dyDescent="0.3">
      <c r="A870" s="121"/>
      <c r="B870" s="121"/>
      <c r="C870" s="121"/>
      <c r="D870" s="121"/>
      <c r="E870" s="121"/>
      <c r="F870" s="121"/>
      <c r="G870" s="121"/>
      <c r="H870" s="121"/>
      <c r="I870" s="121"/>
      <c r="J870" s="121"/>
      <c r="K870" s="121"/>
      <c r="L870" s="121"/>
      <c r="M870" s="121"/>
      <c r="N870" s="121"/>
      <c r="O870" s="121"/>
      <c r="P870" s="121"/>
      <c r="Q870" s="121"/>
      <c r="R870" s="121"/>
      <c r="S870" s="121"/>
      <c r="T870" s="121"/>
      <c r="U870" s="121"/>
      <c r="V870" s="121"/>
      <c r="W870" s="121"/>
      <c r="X870" s="121"/>
      <c r="Y870" s="121"/>
      <c r="Z870" s="121"/>
    </row>
    <row r="871" spans="1:26" ht="11.25" customHeight="1" x14ac:dyDescent="0.3">
      <c r="A871" s="121"/>
      <c r="B871" s="121"/>
      <c r="C871" s="121"/>
      <c r="D871" s="121"/>
      <c r="E871" s="121"/>
      <c r="F871" s="121"/>
      <c r="G871" s="121"/>
      <c r="H871" s="121"/>
      <c r="I871" s="121"/>
      <c r="J871" s="121"/>
      <c r="K871" s="121"/>
      <c r="L871" s="121"/>
      <c r="M871" s="121"/>
      <c r="N871" s="121"/>
      <c r="O871" s="121"/>
      <c r="P871" s="121"/>
      <c r="Q871" s="121"/>
      <c r="R871" s="121"/>
      <c r="S871" s="121"/>
      <c r="T871" s="121"/>
      <c r="U871" s="121"/>
      <c r="V871" s="121"/>
      <c r="W871" s="121"/>
      <c r="X871" s="121"/>
      <c r="Y871" s="121"/>
      <c r="Z871" s="121"/>
    </row>
    <row r="872" spans="1:26" ht="11.25" customHeight="1" x14ac:dyDescent="0.3">
      <c r="A872" s="121"/>
      <c r="B872" s="121"/>
      <c r="C872" s="121"/>
      <c r="D872" s="121"/>
      <c r="E872" s="121"/>
      <c r="F872" s="121"/>
      <c r="G872" s="121"/>
      <c r="H872" s="121"/>
      <c r="I872" s="121"/>
      <c r="J872" s="121"/>
      <c r="K872" s="121"/>
      <c r="L872" s="121"/>
      <c r="M872" s="121"/>
      <c r="N872" s="121"/>
      <c r="O872" s="121"/>
      <c r="P872" s="121"/>
      <c r="Q872" s="121"/>
      <c r="R872" s="121"/>
      <c r="S872" s="121"/>
      <c r="T872" s="121"/>
      <c r="U872" s="121"/>
      <c r="V872" s="121"/>
      <c r="W872" s="121"/>
      <c r="X872" s="121"/>
      <c r="Y872" s="121"/>
      <c r="Z872" s="121"/>
    </row>
    <row r="873" spans="1:26" ht="11.25" customHeight="1" x14ac:dyDescent="0.3">
      <c r="A873" s="121"/>
      <c r="B873" s="121"/>
      <c r="C873" s="121"/>
      <c r="D873" s="121"/>
      <c r="E873" s="121"/>
      <c r="F873" s="121"/>
      <c r="G873" s="121"/>
      <c r="H873" s="121"/>
      <c r="I873" s="121"/>
      <c r="J873" s="121"/>
      <c r="K873" s="121"/>
      <c r="L873" s="121"/>
      <c r="M873" s="121"/>
      <c r="N873" s="121"/>
      <c r="O873" s="121"/>
      <c r="P873" s="121"/>
      <c r="Q873" s="121"/>
      <c r="R873" s="121"/>
      <c r="S873" s="121"/>
      <c r="T873" s="121"/>
      <c r="U873" s="121"/>
      <c r="V873" s="121"/>
      <c r="W873" s="121"/>
      <c r="X873" s="121"/>
      <c r="Y873" s="121"/>
      <c r="Z873" s="121"/>
    </row>
    <row r="874" spans="1:26" ht="11.25" customHeight="1" x14ac:dyDescent="0.3">
      <c r="A874" s="121"/>
      <c r="B874" s="121"/>
      <c r="C874" s="121"/>
      <c r="D874" s="121"/>
      <c r="E874" s="121"/>
      <c r="F874" s="121"/>
      <c r="G874" s="121"/>
      <c r="H874" s="121"/>
      <c r="I874" s="121"/>
      <c r="J874" s="121"/>
      <c r="K874" s="121"/>
      <c r="L874" s="121"/>
      <c r="M874" s="121"/>
      <c r="N874" s="121"/>
      <c r="O874" s="121"/>
      <c r="P874" s="121"/>
      <c r="Q874" s="121"/>
      <c r="R874" s="121"/>
      <c r="S874" s="121"/>
      <c r="T874" s="121"/>
      <c r="U874" s="121"/>
      <c r="V874" s="121"/>
      <c r="W874" s="121"/>
      <c r="X874" s="121"/>
      <c r="Y874" s="121"/>
      <c r="Z874" s="121"/>
    </row>
    <row r="875" spans="1:26" ht="11.25" customHeight="1" x14ac:dyDescent="0.3">
      <c r="A875" s="121"/>
      <c r="B875" s="121"/>
      <c r="C875" s="121"/>
      <c r="D875" s="121"/>
      <c r="E875" s="121"/>
      <c r="F875" s="121"/>
      <c r="G875" s="121"/>
      <c r="H875" s="121"/>
      <c r="I875" s="121"/>
      <c r="J875" s="121"/>
      <c r="K875" s="121"/>
      <c r="L875" s="121"/>
      <c r="M875" s="121"/>
      <c r="N875" s="121"/>
      <c r="O875" s="121"/>
      <c r="P875" s="121"/>
      <c r="Q875" s="121"/>
      <c r="R875" s="121"/>
      <c r="S875" s="121"/>
      <c r="T875" s="121"/>
      <c r="U875" s="121"/>
      <c r="V875" s="121"/>
      <c r="W875" s="121"/>
      <c r="X875" s="121"/>
      <c r="Y875" s="121"/>
      <c r="Z875" s="121"/>
    </row>
    <row r="876" spans="1:26" ht="11.25" customHeight="1" x14ac:dyDescent="0.3">
      <c r="A876" s="121"/>
      <c r="B876" s="121"/>
      <c r="C876" s="121"/>
      <c r="D876" s="121"/>
      <c r="E876" s="121"/>
      <c r="F876" s="121"/>
      <c r="G876" s="121"/>
      <c r="H876" s="121"/>
      <c r="I876" s="121"/>
      <c r="J876" s="121"/>
      <c r="K876" s="121"/>
      <c r="L876" s="121"/>
      <c r="M876" s="121"/>
      <c r="N876" s="121"/>
      <c r="O876" s="121"/>
      <c r="P876" s="121"/>
      <c r="Q876" s="121"/>
      <c r="R876" s="121"/>
      <c r="S876" s="121"/>
      <c r="T876" s="121"/>
      <c r="U876" s="121"/>
      <c r="V876" s="121"/>
      <c r="W876" s="121"/>
      <c r="X876" s="121"/>
      <c r="Y876" s="121"/>
      <c r="Z876" s="121"/>
    </row>
    <row r="877" spans="1:26" ht="11.25" customHeight="1" x14ac:dyDescent="0.3">
      <c r="A877" s="121"/>
      <c r="B877" s="121"/>
      <c r="C877" s="121"/>
      <c r="D877" s="121"/>
      <c r="E877" s="121"/>
      <c r="F877" s="121"/>
      <c r="G877" s="121"/>
      <c r="H877" s="121"/>
      <c r="I877" s="121"/>
      <c r="J877" s="121"/>
      <c r="K877" s="121"/>
      <c r="L877" s="121"/>
      <c r="M877" s="121"/>
      <c r="N877" s="121"/>
      <c r="O877" s="121"/>
      <c r="P877" s="121"/>
      <c r="Q877" s="121"/>
      <c r="R877" s="121"/>
      <c r="S877" s="121"/>
      <c r="T877" s="121"/>
      <c r="U877" s="121"/>
      <c r="V877" s="121"/>
      <c r="W877" s="121"/>
      <c r="X877" s="121"/>
      <c r="Y877" s="121"/>
      <c r="Z877" s="121"/>
    </row>
    <row r="878" spans="1:26" ht="11.25" customHeight="1" x14ac:dyDescent="0.3">
      <c r="A878" s="121"/>
      <c r="B878" s="121"/>
      <c r="C878" s="121"/>
      <c r="D878" s="121"/>
      <c r="E878" s="121"/>
      <c r="F878" s="121"/>
      <c r="G878" s="121"/>
      <c r="H878" s="121"/>
      <c r="I878" s="121"/>
      <c r="J878" s="121"/>
      <c r="K878" s="121"/>
      <c r="L878" s="121"/>
      <c r="M878" s="121"/>
      <c r="N878" s="121"/>
      <c r="O878" s="121"/>
      <c r="P878" s="121"/>
      <c r="Q878" s="121"/>
      <c r="R878" s="121"/>
      <c r="S878" s="121"/>
      <c r="T878" s="121"/>
      <c r="U878" s="121"/>
      <c r="V878" s="121"/>
      <c r="W878" s="121"/>
      <c r="X878" s="121"/>
      <c r="Y878" s="121"/>
      <c r="Z878" s="121"/>
    </row>
    <row r="879" spans="1:26" ht="11.25" customHeight="1" x14ac:dyDescent="0.3">
      <c r="A879" s="121"/>
      <c r="B879" s="121"/>
      <c r="C879" s="121"/>
      <c r="D879" s="121"/>
      <c r="E879" s="121"/>
      <c r="F879" s="121"/>
      <c r="G879" s="121"/>
      <c r="H879" s="121"/>
      <c r="I879" s="121"/>
      <c r="J879" s="121"/>
      <c r="K879" s="121"/>
      <c r="L879" s="121"/>
      <c r="M879" s="121"/>
      <c r="N879" s="121"/>
      <c r="O879" s="121"/>
      <c r="P879" s="121"/>
      <c r="Q879" s="121"/>
      <c r="R879" s="121"/>
      <c r="S879" s="121"/>
      <c r="T879" s="121"/>
      <c r="U879" s="121"/>
      <c r="V879" s="121"/>
      <c r="W879" s="121"/>
      <c r="X879" s="121"/>
      <c r="Y879" s="121"/>
      <c r="Z879" s="121"/>
    </row>
    <row r="880" spans="1:26" ht="11.25" customHeight="1" x14ac:dyDescent="0.3">
      <c r="A880" s="121"/>
      <c r="B880" s="121"/>
      <c r="C880" s="121"/>
      <c r="D880" s="121"/>
      <c r="E880" s="121"/>
      <c r="F880" s="121"/>
      <c r="G880" s="121"/>
      <c r="H880" s="121"/>
      <c r="I880" s="121"/>
      <c r="J880" s="121"/>
      <c r="K880" s="121"/>
      <c r="L880" s="121"/>
      <c r="M880" s="121"/>
      <c r="N880" s="121"/>
      <c r="O880" s="121"/>
      <c r="P880" s="121"/>
      <c r="Q880" s="121"/>
      <c r="R880" s="121"/>
      <c r="S880" s="121"/>
      <c r="T880" s="121"/>
      <c r="U880" s="121"/>
      <c r="V880" s="121"/>
      <c r="W880" s="121"/>
      <c r="X880" s="121"/>
      <c r="Y880" s="121"/>
      <c r="Z880" s="121"/>
    </row>
    <row r="881" spans="1:26" ht="11.25" customHeight="1" x14ac:dyDescent="0.3">
      <c r="A881" s="121"/>
      <c r="B881" s="121"/>
      <c r="C881" s="121"/>
      <c r="D881" s="121"/>
      <c r="E881" s="121"/>
      <c r="F881" s="121"/>
      <c r="G881" s="121"/>
      <c r="H881" s="121"/>
      <c r="I881" s="121"/>
      <c r="J881" s="121"/>
      <c r="K881" s="121"/>
      <c r="L881" s="121"/>
      <c r="M881" s="121"/>
      <c r="N881" s="121"/>
      <c r="O881" s="121"/>
      <c r="P881" s="121"/>
      <c r="Q881" s="121"/>
      <c r="R881" s="121"/>
      <c r="S881" s="121"/>
      <c r="T881" s="121"/>
      <c r="U881" s="121"/>
      <c r="V881" s="121"/>
      <c r="W881" s="121"/>
      <c r="X881" s="121"/>
      <c r="Y881" s="121"/>
      <c r="Z881" s="121"/>
    </row>
    <row r="882" spans="1:26" ht="11.25" customHeight="1" x14ac:dyDescent="0.3">
      <c r="A882" s="121"/>
      <c r="B882" s="121"/>
      <c r="C882" s="121"/>
      <c r="D882" s="121"/>
      <c r="E882" s="121"/>
      <c r="F882" s="121"/>
      <c r="G882" s="121"/>
      <c r="H882" s="121"/>
      <c r="I882" s="121"/>
      <c r="J882" s="121"/>
      <c r="K882" s="121"/>
      <c r="L882" s="121"/>
      <c r="M882" s="121"/>
      <c r="N882" s="121"/>
      <c r="O882" s="121"/>
      <c r="P882" s="121"/>
      <c r="Q882" s="121"/>
      <c r="R882" s="121"/>
      <c r="S882" s="121"/>
      <c r="T882" s="121"/>
      <c r="U882" s="121"/>
      <c r="V882" s="121"/>
      <c r="W882" s="121"/>
      <c r="X882" s="121"/>
      <c r="Y882" s="121"/>
      <c r="Z882" s="121"/>
    </row>
    <row r="883" spans="1:26" ht="11.25" customHeight="1" x14ac:dyDescent="0.3">
      <c r="A883" s="121"/>
      <c r="B883" s="121"/>
      <c r="C883" s="121"/>
      <c r="D883" s="121"/>
      <c r="E883" s="121"/>
      <c r="F883" s="121"/>
      <c r="G883" s="121"/>
      <c r="H883" s="121"/>
      <c r="I883" s="121"/>
      <c r="J883" s="121"/>
      <c r="K883" s="121"/>
      <c r="L883" s="121"/>
      <c r="M883" s="121"/>
      <c r="N883" s="121"/>
      <c r="O883" s="121"/>
      <c r="P883" s="121"/>
      <c r="Q883" s="121"/>
      <c r="R883" s="121"/>
      <c r="S883" s="121"/>
      <c r="T883" s="121"/>
      <c r="U883" s="121"/>
      <c r="V883" s="121"/>
      <c r="W883" s="121"/>
      <c r="X883" s="121"/>
      <c r="Y883" s="121"/>
      <c r="Z883" s="121"/>
    </row>
    <row r="884" spans="1:26" ht="11.25" customHeight="1" x14ac:dyDescent="0.3">
      <c r="A884" s="121"/>
      <c r="B884" s="121"/>
      <c r="C884" s="121"/>
      <c r="D884" s="121"/>
      <c r="E884" s="121"/>
      <c r="F884" s="121"/>
      <c r="G884" s="121"/>
      <c r="H884" s="121"/>
      <c r="I884" s="121"/>
      <c r="J884" s="121"/>
      <c r="K884" s="121"/>
      <c r="L884" s="121"/>
      <c r="M884" s="121"/>
      <c r="N884" s="121"/>
      <c r="O884" s="121"/>
      <c r="P884" s="121"/>
      <c r="Q884" s="121"/>
      <c r="R884" s="121"/>
      <c r="S884" s="121"/>
      <c r="T884" s="121"/>
      <c r="U884" s="121"/>
      <c r="V884" s="121"/>
      <c r="W884" s="121"/>
      <c r="X884" s="121"/>
      <c r="Y884" s="121"/>
      <c r="Z884" s="121"/>
    </row>
    <row r="885" spans="1:26" ht="11.25" customHeight="1" x14ac:dyDescent="0.3">
      <c r="A885" s="121"/>
      <c r="B885" s="121"/>
      <c r="C885" s="121"/>
      <c r="D885" s="121"/>
      <c r="E885" s="121"/>
      <c r="F885" s="121"/>
      <c r="G885" s="121"/>
      <c r="H885" s="121"/>
      <c r="I885" s="121"/>
      <c r="J885" s="121"/>
      <c r="K885" s="121"/>
      <c r="L885" s="121"/>
      <c r="M885" s="121"/>
      <c r="N885" s="121"/>
      <c r="O885" s="121"/>
      <c r="P885" s="121"/>
      <c r="Q885" s="121"/>
      <c r="R885" s="121"/>
      <c r="S885" s="121"/>
      <c r="T885" s="121"/>
      <c r="U885" s="121"/>
      <c r="V885" s="121"/>
      <c r="W885" s="121"/>
      <c r="X885" s="121"/>
      <c r="Y885" s="121"/>
      <c r="Z885" s="121"/>
    </row>
    <row r="886" spans="1:26" ht="11.25" customHeight="1" x14ac:dyDescent="0.3">
      <c r="A886" s="121"/>
      <c r="B886" s="121"/>
      <c r="C886" s="121"/>
      <c r="D886" s="121"/>
      <c r="E886" s="121"/>
      <c r="F886" s="121"/>
      <c r="G886" s="121"/>
      <c r="H886" s="121"/>
      <c r="I886" s="121"/>
      <c r="J886" s="121"/>
      <c r="K886" s="121"/>
      <c r="L886" s="121"/>
      <c r="M886" s="121"/>
      <c r="N886" s="121"/>
      <c r="O886" s="121"/>
      <c r="P886" s="121"/>
      <c r="Q886" s="121"/>
      <c r="R886" s="121"/>
      <c r="S886" s="121"/>
      <c r="T886" s="121"/>
      <c r="U886" s="121"/>
      <c r="V886" s="121"/>
      <c r="W886" s="121"/>
      <c r="X886" s="121"/>
      <c r="Y886" s="121"/>
      <c r="Z886" s="121"/>
    </row>
    <row r="887" spans="1:26" ht="11.25" customHeight="1" x14ac:dyDescent="0.3">
      <c r="A887" s="121"/>
      <c r="B887" s="121"/>
      <c r="C887" s="121"/>
      <c r="D887" s="121"/>
      <c r="E887" s="121"/>
      <c r="F887" s="121"/>
      <c r="G887" s="121"/>
      <c r="H887" s="121"/>
      <c r="I887" s="121"/>
      <c r="J887" s="121"/>
      <c r="K887" s="121"/>
      <c r="L887" s="121"/>
      <c r="M887" s="121"/>
      <c r="N887" s="121"/>
      <c r="O887" s="121"/>
      <c r="P887" s="121"/>
      <c r="Q887" s="121"/>
      <c r="R887" s="121"/>
      <c r="S887" s="121"/>
      <c r="T887" s="121"/>
      <c r="U887" s="121"/>
      <c r="V887" s="121"/>
      <c r="W887" s="121"/>
      <c r="X887" s="121"/>
      <c r="Y887" s="121"/>
      <c r="Z887" s="121"/>
    </row>
    <row r="888" spans="1:26" ht="11.25" customHeight="1" x14ac:dyDescent="0.3">
      <c r="A888" s="121"/>
      <c r="B888" s="121"/>
      <c r="C888" s="121"/>
      <c r="D888" s="121"/>
      <c r="E888" s="121"/>
      <c r="F888" s="121"/>
      <c r="G888" s="121"/>
      <c r="H888" s="121"/>
      <c r="I888" s="121"/>
      <c r="J888" s="121"/>
      <c r="K888" s="121"/>
      <c r="L888" s="121"/>
      <c r="M888" s="121"/>
      <c r="N888" s="121"/>
      <c r="O888" s="121"/>
      <c r="P888" s="121"/>
      <c r="Q888" s="121"/>
      <c r="R888" s="121"/>
      <c r="S888" s="121"/>
      <c r="T888" s="121"/>
      <c r="U888" s="121"/>
      <c r="V888" s="121"/>
      <c r="W888" s="121"/>
      <c r="X888" s="121"/>
      <c r="Y888" s="121"/>
      <c r="Z888" s="121"/>
    </row>
    <row r="889" spans="1:26" ht="11.25" customHeight="1" x14ac:dyDescent="0.3">
      <c r="A889" s="121"/>
      <c r="B889" s="121"/>
      <c r="C889" s="121"/>
      <c r="D889" s="121"/>
      <c r="E889" s="121"/>
      <c r="F889" s="121"/>
      <c r="G889" s="121"/>
      <c r="H889" s="121"/>
      <c r="I889" s="121"/>
      <c r="J889" s="121"/>
      <c r="K889" s="121"/>
      <c r="L889" s="121"/>
      <c r="M889" s="121"/>
      <c r="N889" s="121"/>
      <c r="O889" s="121"/>
      <c r="P889" s="121"/>
      <c r="Q889" s="121"/>
      <c r="R889" s="121"/>
      <c r="S889" s="121"/>
      <c r="T889" s="121"/>
      <c r="U889" s="121"/>
      <c r="V889" s="121"/>
      <c r="W889" s="121"/>
      <c r="X889" s="121"/>
      <c r="Y889" s="121"/>
      <c r="Z889" s="121"/>
    </row>
    <row r="890" spans="1:26" ht="11.25" customHeight="1" x14ac:dyDescent="0.3">
      <c r="A890" s="121"/>
      <c r="B890" s="121"/>
      <c r="C890" s="121"/>
      <c r="D890" s="121"/>
      <c r="E890" s="121"/>
      <c r="F890" s="121"/>
      <c r="G890" s="121"/>
      <c r="H890" s="121"/>
      <c r="I890" s="121"/>
      <c r="J890" s="121"/>
      <c r="K890" s="121"/>
      <c r="L890" s="121"/>
      <c r="M890" s="121"/>
      <c r="N890" s="121"/>
      <c r="O890" s="121"/>
      <c r="P890" s="121"/>
      <c r="Q890" s="121"/>
      <c r="R890" s="121"/>
      <c r="S890" s="121"/>
      <c r="T890" s="121"/>
      <c r="U890" s="121"/>
      <c r="V890" s="121"/>
      <c r="W890" s="121"/>
      <c r="X890" s="121"/>
      <c r="Y890" s="121"/>
      <c r="Z890" s="121"/>
    </row>
    <row r="891" spans="1:26" ht="11.25" customHeight="1" x14ac:dyDescent="0.3">
      <c r="A891" s="121"/>
      <c r="B891" s="121"/>
      <c r="C891" s="121"/>
      <c r="D891" s="121"/>
      <c r="E891" s="121"/>
      <c r="F891" s="121"/>
      <c r="G891" s="121"/>
      <c r="H891" s="121"/>
      <c r="I891" s="121"/>
      <c r="J891" s="121"/>
      <c r="K891" s="121"/>
      <c r="L891" s="121"/>
      <c r="M891" s="121"/>
      <c r="N891" s="121"/>
      <c r="O891" s="121"/>
      <c r="P891" s="121"/>
      <c r="Q891" s="121"/>
      <c r="R891" s="121"/>
      <c r="S891" s="121"/>
      <c r="T891" s="121"/>
      <c r="U891" s="121"/>
      <c r="V891" s="121"/>
      <c r="W891" s="121"/>
      <c r="X891" s="121"/>
      <c r="Y891" s="121"/>
      <c r="Z891" s="121"/>
    </row>
    <row r="892" spans="1:26" ht="11.25" customHeight="1" x14ac:dyDescent="0.3">
      <c r="A892" s="121"/>
      <c r="B892" s="121"/>
      <c r="C892" s="121"/>
      <c r="D892" s="121"/>
      <c r="E892" s="121"/>
      <c r="F892" s="121"/>
      <c r="G892" s="121"/>
      <c r="H892" s="121"/>
      <c r="I892" s="121"/>
      <c r="J892" s="121"/>
      <c r="K892" s="121"/>
      <c r="L892" s="121"/>
      <c r="M892" s="121"/>
      <c r="N892" s="121"/>
      <c r="O892" s="121"/>
      <c r="P892" s="121"/>
      <c r="Q892" s="121"/>
      <c r="R892" s="121"/>
      <c r="S892" s="121"/>
      <c r="T892" s="121"/>
      <c r="U892" s="121"/>
      <c r="V892" s="121"/>
      <c r="W892" s="121"/>
      <c r="X892" s="121"/>
      <c r="Y892" s="121"/>
      <c r="Z892" s="121"/>
    </row>
    <row r="893" spans="1:26" ht="11.25" customHeight="1" x14ac:dyDescent="0.3">
      <c r="A893" s="121"/>
      <c r="B893" s="121"/>
      <c r="C893" s="121"/>
      <c r="D893" s="121"/>
      <c r="E893" s="121"/>
      <c r="F893" s="121"/>
      <c r="G893" s="121"/>
      <c r="H893" s="121"/>
      <c r="I893" s="121"/>
      <c r="J893" s="121"/>
      <c r="K893" s="121"/>
      <c r="L893" s="121"/>
      <c r="M893" s="121"/>
      <c r="N893" s="121"/>
      <c r="O893" s="121"/>
      <c r="P893" s="121"/>
      <c r="Q893" s="121"/>
      <c r="R893" s="121"/>
      <c r="S893" s="121"/>
      <c r="T893" s="121"/>
      <c r="U893" s="121"/>
      <c r="V893" s="121"/>
      <c r="W893" s="121"/>
      <c r="X893" s="121"/>
      <c r="Y893" s="121"/>
      <c r="Z893" s="121"/>
    </row>
    <row r="894" spans="1:26" ht="11.25" customHeight="1" x14ac:dyDescent="0.3">
      <c r="A894" s="121"/>
      <c r="B894" s="121"/>
      <c r="C894" s="121"/>
      <c r="D894" s="121"/>
      <c r="E894" s="121"/>
      <c r="F894" s="121"/>
      <c r="G894" s="121"/>
      <c r="H894" s="121"/>
      <c r="I894" s="121"/>
      <c r="J894" s="121"/>
      <c r="K894" s="121"/>
      <c r="L894" s="121"/>
      <c r="M894" s="121"/>
      <c r="N894" s="121"/>
      <c r="O894" s="121"/>
      <c r="P894" s="121"/>
      <c r="Q894" s="121"/>
      <c r="R894" s="121"/>
      <c r="S894" s="121"/>
      <c r="T894" s="121"/>
      <c r="U894" s="121"/>
      <c r="V894" s="121"/>
      <c r="W894" s="121"/>
      <c r="X894" s="121"/>
      <c r="Y894" s="121"/>
      <c r="Z894" s="121"/>
    </row>
    <row r="895" spans="1:26" ht="11.25" customHeight="1" x14ac:dyDescent="0.3">
      <c r="A895" s="121"/>
      <c r="B895" s="121"/>
      <c r="C895" s="121"/>
      <c r="D895" s="121"/>
      <c r="E895" s="121"/>
      <c r="F895" s="121"/>
      <c r="G895" s="121"/>
      <c r="H895" s="121"/>
      <c r="I895" s="121"/>
      <c r="J895" s="121"/>
      <c r="K895" s="121"/>
      <c r="L895" s="121"/>
      <c r="M895" s="121"/>
      <c r="N895" s="121"/>
      <c r="O895" s="121"/>
      <c r="P895" s="121"/>
      <c r="Q895" s="121"/>
      <c r="R895" s="121"/>
      <c r="S895" s="121"/>
      <c r="T895" s="121"/>
      <c r="U895" s="121"/>
      <c r="V895" s="121"/>
      <c r="W895" s="121"/>
      <c r="X895" s="121"/>
      <c r="Y895" s="121"/>
      <c r="Z895" s="121"/>
    </row>
    <row r="896" spans="1:26" ht="11.25" customHeight="1" x14ac:dyDescent="0.3">
      <c r="A896" s="121"/>
      <c r="B896" s="121"/>
      <c r="C896" s="121"/>
      <c r="D896" s="121"/>
      <c r="E896" s="121"/>
      <c r="F896" s="121"/>
      <c r="G896" s="121"/>
      <c r="H896" s="121"/>
      <c r="I896" s="121"/>
      <c r="J896" s="121"/>
      <c r="K896" s="121"/>
      <c r="L896" s="121"/>
      <c r="M896" s="121"/>
      <c r="N896" s="121"/>
      <c r="O896" s="121"/>
      <c r="P896" s="121"/>
      <c r="Q896" s="121"/>
      <c r="R896" s="121"/>
      <c r="S896" s="121"/>
      <c r="T896" s="121"/>
      <c r="U896" s="121"/>
      <c r="V896" s="121"/>
      <c r="W896" s="121"/>
      <c r="X896" s="121"/>
      <c r="Y896" s="121"/>
      <c r="Z896" s="121"/>
    </row>
    <row r="897" spans="1:26" ht="11.25" customHeight="1" x14ac:dyDescent="0.3">
      <c r="A897" s="121"/>
      <c r="B897" s="121"/>
      <c r="C897" s="121"/>
      <c r="D897" s="121"/>
      <c r="E897" s="121"/>
      <c r="F897" s="121"/>
      <c r="G897" s="121"/>
      <c r="H897" s="121"/>
      <c r="I897" s="121"/>
      <c r="J897" s="121"/>
      <c r="K897" s="121"/>
      <c r="L897" s="121"/>
      <c r="M897" s="121"/>
      <c r="N897" s="121"/>
      <c r="O897" s="121"/>
      <c r="P897" s="121"/>
      <c r="Q897" s="121"/>
      <c r="R897" s="121"/>
      <c r="S897" s="121"/>
      <c r="T897" s="121"/>
      <c r="U897" s="121"/>
      <c r="V897" s="121"/>
      <c r="W897" s="121"/>
      <c r="X897" s="121"/>
      <c r="Y897" s="121"/>
      <c r="Z897" s="121"/>
    </row>
    <row r="898" spans="1:26" ht="11.25" customHeight="1" x14ac:dyDescent="0.3">
      <c r="A898" s="121"/>
      <c r="B898" s="121"/>
      <c r="C898" s="121"/>
      <c r="D898" s="121"/>
      <c r="E898" s="121"/>
      <c r="F898" s="121"/>
      <c r="G898" s="121"/>
      <c r="H898" s="121"/>
      <c r="I898" s="121"/>
      <c r="J898" s="121"/>
      <c r="K898" s="121"/>
      <c r="L898" s="121"/>
      <c r="M898" s="121"/>
      <c r="N898" s="121"/>
      <c r="O898" s="121"/>
      <c r="P898" s="121"/>
      <c r="Q898" s="121"/>
      <c r="R898" s="121"/>
      <c r="S898" s="121"/>
      <c r="T898" s="121"/>
      <c r="U898" s="121"/>
      <c r="V898" s="121"/>
      <c r="W898" s="121"/>
      <c r="X898" s="121"/>
      <c r="Y898" s="121"/>
      <c r="Z898" s="121"/>
    </row>
    <row r="899" spans="1:26" ht="11.25" customHeight="1" x14ac:dyDescent="0.3">
      <c r="A899" s="121"/>
      <c r="B899" s="121"/>
      <c r="C899" s="121"/>
      <c r="D899" s="121"/>
      <c r="E899" s="121"/>
      <c r="F899" s="121"/>
      <c r="G899" s="121"/>
      <c r="H899" s="121"/>
      <c r="I899" s="121"/>
      <c r="J899" s="121"/>
      <c r="K899" s="121"/>
      <c r="L899" s="121"/>
      <c r="M899" s="121"/>
      <c r="N899" s="121"/>
      <c r="O899" s="121"/>
      <c r="P899" s="121"/>
      <c r="Q899" s="121"/>
      <c r="R899" s="121"/>
      <c r="S899" s="121"/>
      <c r="T899" s="121"/>
      <c r="U899" s="121"/>
      <c r="V899" s="121"/>
      <c r="W899" s="121"/>
      <c r="X899" s="121"/>
      <c r="Y899" s="121"/>
      <c r="Z899" s="121"/>
    </row>
    <row r="900" spans="1:26" ht="11.25" customHeight="1" x14ac:dyDescent="0.3">
      <c r="A900" s="121"/>
      <c r="B900" s="121"/>
      <c r="C900" s="121"/>
      <c r="D900" s="121"/>
      <c r="E900" s="121"/>
      <c r="F900" s="121"/>
      <c r="G900" s="121"/>
      <c r="H900" s="121"/>
      <c r="I900" s="121"/>
      <c r="J900" s="121"/>
      <c r="K900" s="121"/>
      <c r="L900" s="121"/>
      <c r="M900" s="121"/>
      <c r="N900" s="121"/>
      <c r="O900" s="121"/>
      <c r="P900" s="121"/>
      <c r="Q900" s="121"/>
      <c r="R900" s="121"/>
      <c r="S900" s="121"/>
      <c r="T900" s="121"/>
      <c r="U900" s="121"/>
      <c r="V900" s="121"/>
      <c r="W900" s="121"/>
      <c r="X900" s="121"/>
      <c r="Y900" s="121"/>
      <c r="Z900" s="121"/>
    </row>
    <row r="901" spans="1:26" ht="11.25" customHeight="1" x14ac:dyDescent="0.3">
      <c r="A901" s="121"/>
      <c r="B901" s="121"/>
      <c r="C901" s="121"/>
      <c r="D901" s="121"/>
      <c r="E901" s="121"/>
      <c r="F901" s="121"/>
      <c r="G901" s="121"/>
      <c r="H901" s="121"/>
      <c r="I901" s="121"/>
      <c r="J901" s="121"/>
      <c r="K901" s="121"/>
      <c r="L901" s="121"/>
      <c r="M901" s="121"/>
      <c r="N901" s="121"/>
      <c r="O901" s="121"/>
      <c r="P901" s="121"/>
      <c r="Q901" s="121"/>
      <c r="R901" s="121"/>
      <c r="S901" s="121"/>
      <c r="T901" s="121"/>
      <c r="U901" s="121"/>
      <c r="V901" s="121"/>
      <c r="W901" s="121"/>
      <c r="X901" s="121"/>
      <c r="Y901" s="121"/>
      <c r="Z901" s="121"/>
    </row>
    <row r="902" spans="1:26" ht="11.25" customHeight="1" x14ac:dyDescent="0.3">
      <c r="A902" s="121"/>
      <c r="B902" s="121"/>
      <c r="C902" s="121"/>
      <c r="D902" s="121"/>
      <c r="E902" s="121"/>
      <c r="F902" s="121"/>
      <c r="G902" s="121"/>
      <c r="H902" s="121"/>
      <c r="I902" s="121"/>
      <c r="J902" s="121"/>
      <c r="K902" s="121"/>
      <c r="L902" s="121"/>
      <c r="M902" s="121"/>
      <c r="N902" s="121"/>
      <c r="O902" s="121"/>
      <c r="P902" s="121"/>
      <c r="Q902" s="121"/>
      <c r="R902" s="121"/>
      <c r="S902" s="121"/>
      <c r="T902" s="121"/>
      <c r="U902" s="121"/>
      <c r="V902" s="121"/>
      <c r="W902" s="121"/>
      <c r="X902" s="121"/>
      <c r="Y902" s="121"/>
      <c r="Z902" s="121"/>
    </row>
    <row r="903" spans="1:26" ht="11.25" customHeight="1" x14ac:dyDescent="0.3">
      <c r="A903" s="121"/>
      <c r="B903" s="121"/>
      <c r="C903" s="121"/>
      <c r="D903" s="121"/>
      <c r="E903" s="121"/>
      <c r="F903" s="121"/>
      <c r="G903" s="121"/>
      <c r="H903" s="121"/>
      <c r="I903" s="121"/>
      <c r="J903" s="121"/>
      <c r="K903" s="121"/>
      <c r="L903" s="121"/>
      <c r="M903" s="121"/>
      <c r="N903" s="121"/>
      <c r="O903" s="121"/>
      <c r="P903" s="121"/>
      <c r="Q903" s="121"/>
      <c r="R903" s="121"/>
      <c r="S903" s="121"/>
      <c r="T903" s="121"/>
      <c r="U903" s="121"/>
      <c r="V903" s="121"/>
      <c r="W903" s="121"/>
      <c r="X903" s="121"/>
      <c r="Y903" s="121"/>
      <c r="Z903" s="121"/>
    </row>
    <row r="904" spans="1:26" ht="11.25" customHeight="1" x14ac:dyDescent="0.3">
      <c r="A904" s="121"/>
      <c r="B904" s="121"/>
      <c r="C904" s="121"/>
      <c r="D904" s="121"/>
      <c r="E904" s="121"/>
      <c r="F904" s="121"/>
      <c r="G904" s="121"/>
      <c r="H904" s="121"/>
      <c r="I904" s="121"/>
      <c r="J904" s="121"/>
      <c r="K904" s="121"/>
      <c r="L904" s="121"/>
      <c r="M904" s="121"/>
      <c r="N904" s="121"/>
      <c r="O904" s="121"/>
      <c r="P904" s="121"/>
      <c r="Q904" s="121"/>
      <c r="R904" s="121"/>
      <c r="S904" s="121"/>
      <c r="T904" s="121"/>
      <c r="U904" s="121"/>
      <c r="V904" s="121"/>
      <c r="W904" s="121"/>
      <c r="X904" s="121"/>
      <c r="Y904" s="121"/>
      <c r="Z904" s="121"/>
    </row>
    <row r="905" spans="1:26" ht="11.25" customHeight="1" x14ac:dyDescent="0.3">
      <c r="A905" s="121"/>
      <c r="B905" s="121"/>
      <c r="C905" s="121"/>
      <c r="D905" s="121"/>
      <c r="E905" s="121"/>
      <c r="F905" s="121"/>
      <c r="G905" s="121"/>
      <c r="H905" s="121"/>
      <c r="I905" s="121"/>
      <c r="J905" s="121"/>
      <c r="K905" s="121"/>
      <c r="L905" s="121"/>
      <c r="M905" s="121"/>
      <c r="N905" s="121"/>
      <c r="O905" s="121"/>
      <c r="P905" s="121"/>
      <c r="Q905" s="121"/>
      <c r="R905" s="121"/>
      <c r="S905" s="121"/>
      <c r="T905" s="121"/>
      <c r="U905" s="121"/>
      <c r="V905" s="121"/>
      <c r="W905" s="121"/>
      <c r="X905" s="121"/>
      <c r="Y905" s="121"/>
      <c r="Z905" s="121"/>
    </row>
    <row r="906" spans="1:26" ht="11.25" customHeight="1" x14ac:dyDescent="0.3">
      <c r="A906" s="121"/>
      <c r="B906" s="121"/>
      <c r="C906" s="121"/>
      <c r="D906" s="121"/>
      <c r="E906" s="121"/>
      <c r="F906" s="121"/>
      <c r="G906" s="121"/>
      <c r="H906" s="121"/>
      <c r="I906" s="121"/>
      <c r="J906" s="121"/>
      <c r="K906" s="121"/>
      <c r="L906" s="121"/>
      <c r="M906" s="121"/>
      <c r="N906" s="121"/>
      <c r="O906" s="121"/>
      <c r="P906" s="121"/>
      <c r="Q906" s="121"/>
      <c r="R906" s="121"/>
      <c r="S906" s="121"/>
      <c r="T906" s="121"/>
      <c r="U906" s="121"/>
      <c r="V906" s="121"/>
      <c r="W906" s="121"/>
      <c r="X906" s="121"/>
      <c r="Y906" s="121"/>
      <c r="Z906" s="121"/>
    </row>
    <row r="907" spans="1:26" ht="11.25" customHeight="1" x14ac:dyDescent="0.3">
      <c r="A907" s="121"/>
      <c r="B907" s="121"/>
      <c r="C907" s="121"/>
      <c r="D907" s="121"/>
      <c r="E907" s="121"/>
      <c r="F907" s="121"/>
      <c r="G907" s="121"/>
      <c r="H907" s="121"/>
      <c r="I907" s="121"/>
      <c r="J907" s="121"/>
      <c r="K907" s="121"/>
      <c r="L907" s="121"/>
      <c r="M907" s="121"/>
      <c r="N907" s="121"/>
      <c r="O907" s="121"/>
      <c r="P907" s="121"/>
      <c r="Q907" s="121"/>
      <c r="R907" s="121"/>
      <c r="S907" s="121"/>
      <c r="T907" s="121"/>
      <c r="U907" s="121"/>
      <c r="V907" s="121"/>
      <c r="W907" s="121"/>
      <c r="X907" s="121"/>
      <c r="Y907" s="121"/>
      <c r="Z907" s="121"/>
    </row>
    <row r="908" spans="1:26" ht="11.25" customHeight="1" x14ac:dyDescent="0.3">
      <c r="A908" s="121"/>
      <c r="B908" s="121"/>
      <c r="C908" s="121"/>
      <c r="D908" s="121"/>
      <c r="E908" s="121"/>
      <c r="F908" s="121"/>
      <c r="G908" s="121"/>
      <c r="H908" s="121"/>
      <c r="I908" s="121"/>
      <c r="J908" s="121"/>
      <c r="K908" s="121"/>
      <c r="L908" s="121"/>
      <c r="M908" s="121"/>
      <c r="N908" s="121"/>
      <c r="O908" s="121"/>
      <c r="P908" s="121"/>
      <c r="Q908" s="121"/>
      <c r="R908" s="121"/>
      <c r="S908" s="121"/>
      <c r="T908" s="121"/>
      <c r="U908" s="121"/>
      <c r="V908" s="121"/>
      <c r="W908" s="121"/>
      <c r="X908" s="121"/>
      <c r="Y908" s="121"/>
      <c r="Z908" s="121"/>
    </row>
    <row r="909" spans="1:26" ht="11.25" customHeight="1" x14ac:dyDescent="0.3">
      <c r="A909" s="121"/>
      <c r="B909" s="121"/>
      <c r="C909" s="121"/>
      <c r="D909" s="121"/>
      <c r="E909" s="121"/>
      <c r="F909" s="121"/>
      <c r="G909" s="121"/>
      <c r="H909" s="121"/>
      <c r="I909" s="121"/>
      <c r="J909" s="121"/>
      <c r="K909" s="121"/>
      <c r="L909" s="121"/>
      <c r="M909" s="121"/>
      <c r="N909" s="121"/>
      <c r="O909" s="121"/>
      <c r="P909" s="121"/>
      <c r="Q909" s="121"/>
      <c r="R909" s="121"/>
      <c r="S909" s="121"/>
      <c r="T909" s="121"/>
      <c r="U909" s="121"/>
      <c r="V909" s="121"/>
      <c r="W909" s="121"/>
      <c r="X909" s="121"/>
      <c r="Y909" s="121"/>
      <c r="Z909" s="121"/>
    </row>
    <row r="910" spans="1:26" ht="11.25" customHeight="1" x14ac:dyDescent="0.3">
      <c r="A910" s="121"/>
      <c r="B910" s="121"/>
      <c r="C910" s="121"/>
      <c r="D910" s="121"/>
      <c r="E910" s="121"/>
      <c r="F910" s="121"/>
      <c r="G910" s="121"/>
      <c r="H910" s="121"/>
      <c r="I910" s="121"/>
      <c r="J910" s="121"/>
      <c r="K910" s="121"/>
      <c r="L910" s="121"/>
      <c r="M910" s="121"/>
      <c r="N910" s="121"/>
      <c r="O910" s="121"/>
      <c r="P910" s="121"/>
      <c r="Q910" s="121"/>
      <c r="R910" s="121"/>
      <c r="S910" s="121"/>
      <c r="T910" s="121"/>
      <c r="U910" s="121"/>
      <c r="V910" s="121"/>
      <c r="W910" s="121"/>
      <c r="X910" s="121"/>
      <c r="Y910" s="121"/>
      <c r="Z910" s="121"/>
    </row>
    <row r="911" spans="1:26" ht="11.25" customHeight="1" x14ac:dyDescent="0.3">
      <c r="A911" s="121"/>
      <c r="B911" s="121"/>
      <c r="C911" s="121"/>
      <c r="D911" s="121"/>
      <c r="E911" s="121"/>
      <c r="F911" s="121"/>
      <c r="G911" s="121"/>
      <c r="H911" s="121"/>
      <c r="I911" s="121"/>
      <c r="J911" s="121"/>
      <c r="K911" s="121"/>
      <c r="L911" s="121"/>
      <c r="M911" s="121"/>
      <c r="N911" s="121"/>
      <c r="O911" s="121"/>
      <c r="P911" s="121"/>
      <c r="Q911" s="121"/>
      <c r="R911" s="121"/>
      <c r="S911" s="121"/>
      <c r="T911" s="121"/>
      <c r="U911" s="121"/>
      <c r="V911" s="121"/>
      <c r="W911" s="121"/>
      <c r="X911" s="121"/>
      <c r="Y911" s="121"/>
      <c r="Z911" s="121"/>
    </row>
    <row r="912" spans="1:26" ht="11.25" customHeight="1" x14ac:dyDescent="0.3">
      <c r="A912" s="121"/>
      <c r="B912" s="121"/>
      <c r="C912" s="121"/>
      <c r="D912" s="121"/>
      <c r="E912" s="121"/>
      <c r="F912" s="121"/>
      <c r="G912" s="121"/>
      <c r="H912" s="121"/>
      <c r="I912" s="121"/>
      <c r="J912" s="121"/>
      <c r="K912" s="121"/>
      <c r="L912" s="121"/>
      <c r="M912" s="121"/>
      <c r="N912" s="121"/>
      <c r="O912" s="121"/>
      <c r="P912" s="121"/>
      <c r="Q912" s="121"/>
      <c r="R912" s="121"/>
      <c r="S912" s="121"/>
      <c r="T912" s="121"/>
      <c r="U912" s="121"/>
      <c r="V912" s="121"/>
      <c r="W912" s="121"/>
      <c r="X912" s="121"/>
      <c r="Y912" s="121"/>
      <c r="Z912" s="121"/>
    </row>
    <row r="913" spans="1:26" ht="11.25" customHeight="1" x14ac:dyDescent="0.3">
      <c r="A913" s="121"/>
      <c r="B913" s="121"/>
      <c r="C913" s="121"/>
      <c r="D913" s="121"/>
      <c r="E913" s="121"/>
      <c r="F913" s="121"/>
      <c r="G913" s="121"/>
      <c r="H913" s="121"/>
      <c r="I913" s="121"/>
      <c r="J913" s="121"/>
      <c r="K913" s="121"/>
      <c r="L913" s="121"/>
      <c r="M913" s="121"/>
      <c r="N913" s="121"/>
      <c r="O913" s="121"/>
      <c r="P913" s="121"/>
      <c r="Q913" s="121"/>
      <c r="R913" s="121"/>
      <c r="S913" s="121"/>
      <c r="T913" s="121"/>
      <c r="U913" s="121"/>
      <c r="V913" s="121"/>
      <c r="W913" s="121"/>
      <c r="X913" s="121"/>
      <c r="Y913" s="121"/>
      <c r="Z913" s="121"/>
    </row>
    <row r="914" spans="1:26" ht="11.25" customHeight="1" x14ac:dyDescent="0.3">
      <c r="A914" s="121"/>
      <c r="B914" s="121"/>
      <c r="C914" s="121"/>
      <c r="D914" s="121"/>
      <c r="E914" s="121"/>
      <c r="F914" s="121"/>
      <c r="G914" s="121"/>
      <c r="H914" s="121"/>
      <c r="I914" s="121"/>
      <c r="J914" s="121"/>
      <c r="K914" s="121"/>
      <c r="L914" s="121"/>
      <c r="M914" s="121"/>
      <c r="N914" s="121"/>
      <c r="O914" s="121"/>
      <c r="P914" s="121"/>
      <c r="Q914" s="121"/>
      <c r="R914" s="121"/>
      <c r="S914" s="121"/>
      <c r="T914" s="121"/>
      <c r="U914" s="121"/>
      <c r="V914" s="121"/>
      <c r="W914" s="121"/>
      <c r="X914" s="121"/>
      <c r="Y914" s="121"/>
      <c r="Z914" s="121"/>
    </row>
    <row r="915" spans="1:26" ht="11.25" customHeight="1" x14ac:dyDescent="0.3">
      <c r="A915" s="121"/>
      <c r="B915" s="121"/>
      <c r="C915" s="121"/>
      <c r="D915" s="121"/>
      <c r="E915" s="121"/>
      <c r="F915" s="121"/>
      <c r="G915" s="121"/>
      <c r="H915" s="121"/>
      <c r="I915" s="121"/>
      <c r="J915" s="121"/>
      <c r="K915" s="121"/>
      <c r="L915" s="121"/>
      <c r="M915" s="121"/>
      <c r="N915" s="121"/>
      <c r="O915" s="121"/>
      <c r="P915" s="121"/>
      <c r="Q915" s="121"/>
      <c r="R915" s="121"/>
      <c r="S915" s="121"/>
      <c r="T915" s="121"/>
      <c r="U915" s="121"/>
      <c r="V915" s="121"/>
      <c r="W915" s="121"/>
      <c r="X915" s="121"/>
      <c r="Y915" s="121"/>
      <c r="Z915" s="121"/>
    </row>
    <row r="916" spans="1:26" ht="11.25" customHeight="1" x14ac:dyDescent="0.3">
      <c r="A916" s="121"/>
      <c r="B916" s="121"/>
      <c r="C916" s="121"/>
      <c r="D916" s="121"/>
      <c r="E916" s="121"/>
      <c r="F916" s="121"/>
      <c r="G916" s="121"/>
      <c r="H916" s="121"/>
      <c r="I916" s="121"/>
      <c r="J916" s="121"/>
      <c r="K916" s="121"/>
      <c r="L916" s="121"/>
      <c r="M916" s="121"/>
      <c r="N916" s="121"/>
      <c r="O916" s="121"/>
      <c r="P916" s="121"/>
      <c r="Q916" s="121"/>
      <c r="R916" s="121"/>
      <c r="S916" s="121"/>
      <c r="T916" s="121"/>
      <c r="U916" s="121"/>
      <c r="V916" s="121"/>
      <c r="W916" s="121"/>
      <c r="X916" s="121"/>
      <c r="Y916" s="121"/>
      <c r="Z916" s="121"/>
    </row>
    <row r="917" spans="1:26" ht="11.25" customHeight="1" x14ac:dyDescent="0.3">
      <c r="A917" s="121"/>
      <c r="B917" s="121"/>
      <c r="C917" s="121"/>
      <c r="D917" s="121"/>
      <c r="E917" s="121"/>
      <c r="F917" s="121"/>
      <c r="G917" s="121"/>
      <c r="H917" s="121"/>
      <c r="I917" s="121"/>
      <c r="J917" s="121"/>
      <c r="K917" s="121"/>
      <c r="L917" s="121"/>
      <c r="M917" s="121"/>
      <c r="N917" s="121"/>
      <c r="O917" s="121"/>
      <c r="P917" s="121"/>
      <c r="Q917" s="121"/>
      <c r="R917" s="121"/>
      <c r="S917" s="121"/>
      <c r="T917" s="121"/>
      <c r="U917" s="121"/>
      <c r="V917" s="121"/>
      <c r="W917" s="121"/>
      <c r="X917" s="121"/>
      <c r="Y917" s="121"/>
      <c r="Z917" s="121"/>
    </row>
    <row r="918" spans="1:26" ht="11.25" customHeight="1" x14ac:dyDescent="0.3">
      <c r="A918" s="121"/>
      <c r="B918" s="121"/>
      <c r="C918" s="121"/>
      <c r="D918" s="121"/>
      <c r="E918" s="121"/>
      <c r="F918" s="121"/>
      <c r="G918" s="121"/>
      <c r="H918" s="121"/>
      <c r="I918" s="121"/>
      <c r="J918" s="121"/>
      <c r="K918" s="121"/>
      <c r="L918" s="121"/>
      <c r="M918" s="121"/>
      <c r="N918" s="121"/>
      <c r="O918" s="121"/>
      <c r="P918" s="121"/>
      <c r="Q918" s="121"/>
      <c r="R918" s="121"/>
      <c r="S918" s="121"/>
      <c r="T918" s="121"/>
      <c r="U918" s="121"/>
      <c r="V918" s="121"/>
      <c r="W918" s="121"/>
      <c r="X918" s="121"/>
      <c r="Y918" s="121"/>
      <c r="Z918" s="121"/>
    </row>
    <row r="919" spans="1:26" ht="11.25" customHeight="1" x14ac:dyDescent="0.3">
      <c r="A919" s="121"/>
      <c r="B919" s="121"/>
      <c r="C919" s="121"/>
      <c r="D919" s="121"/>
      <c r="E919" s="121"/>
      <c r="F919" s="121"/>
      <c r="G919" s="121"/>
      <c r="H919" s="121"/>
      <c r="I919" s="121"/>
      <c r="J919" s="121"/>
      <c r="K919" s="121"/>
      <c r="L919" s="121"/>
      <c r="M919" s="121"/>
      <c r="N919" s="121"/>
      <c r="O919" s="121"/>
      <c r="P919" s="121"/>
      <c r="Q919" s="121"/>
      <c r="R919" s="121"/>
      <c r="S919" s="121"/>
      <c r="T919" s="121"/>
      <c r="U919" s="121"/>
      <c r="V919" s="121"/>
      <c r="W919" s="121"/>
      <c r="X919" s="121"/>
      <c r="Y919" s="121"/>
      <c r="Z919" s="121"/>
    </row>
    <row r="920" spans="1:26" ht="11.25" customHeight="1" x14ac:dyDescent="0.3">
      <c r="A920" s="121"/>
      <c r="B920" s="121"/>
      <c r="C920" s="121"/>
      <c r="D920" s="121"/>
      <c r="E920" s="121"/>
      <c r="F920" s="121"/>
      <c r="G920" s="121"/>
      <c r="H920" s="121"/>
      <c r="I920" s="121"/>
      <c r="J920" s="121"/>
      <c r="K920" s="121"/>
      <c r="L920" s="121"/>
      <c r="M920" s="121"/>
      <c r="N920" s="121"/>
      <c r="O920" s="121"/>
      <c r="P920" s="121"/>
      <c r="Q920" s="121"/>
      <c r="R920" s="121"/>
      <c r="S920" s="121"/>
      <c r="T920" s="121"/>
      <c r="U920" s="121"/>
      <c r="V920" s="121"/>
      <c r="W920" s="121"/>
      <c r="X920" s="121"/>
      <c r="Y920" s="121"/>
      <c r="Z920" s="121"/>
    </row>
    <row r="921" spans="1:26" ht="11.25" customHeight="1" x14ac:dyDescent="0.3">
      <c r="A921" s="121"/>
      <c r="B921" s="121"/>
      <c r="C921" s="121"/>
      <c r="D921" s="121"/>
      <c r="E921" s="121"/>
      <c r="F921" s="121"/>
      <c r="G921" s="121"/>
      <c r="H921" s="121"/>
      <c r="I921" s="121"/>
      <c r="J921" s="121"/>
      <c r="K921" s="121"/>
      <c r="L921" s="121"/>
      <c r="M921" s="121"/>
      <c r="N921" s="121"/>
      <c r="O921" s="121"/>
      <c r="P921" s="121"/>
      <c r="Q921" s="121"/>
      <c r="R921" s="121"/>
      <c r="S921" s="121"/>
      <c r="T921" s="121"/>
      <c r="U921" s="121"/>
      <c r="V921" s="121"/>
      <c r="W921" s="121"/>
      <c r="X921" s="121"/>
      <c r="Y921" s="121"/>
      <c r="Z921" s="121"/>
    </row>
    <row r="922" spans="1:26" ht="11.25" customHeight="1" x14ac:dyDescent="0.3">
      <c r="A922" s="121"/>
      <c r="B922" s="121"/>
      <c r="C922" s="121"/>
      <c r="D922" s="121"/>
      <c r="E922" s="121"/>
      <c r="F922" s="121"/>
      <c r="G922" s="121"/>
      <c r="H922" s="121"/>
      <c r="I922" s="121"/>
      <c r="J922" s="121"/>
      <c r="K922" s="121"/>
      <c r="L922" s="121"/>
      <c r="M922" s="121"/>
      <c r="N922" s="121"/>
      <c r="O922" s="121"/>
      <c r="P922" s="121"/>
      <c r="Q922" s="121"/>
      <c r="R922" s="121"/>
      <c r="S922" s="121"/>
      <c r="T922" s="121"/>
      <c r="U922" s="121"/>
      <c r="V922" s="121"/>
      <c r="W922" s="121"/>
      <c r="X922" s="121"/>
      <c r="Y922" s="121"/>
      <c r="Z922" s="121"/>
    </row>
    <row r="923" spans="1:26" ht="11.25" customHeight="1" x14ac:dyDescent="0.3">
      <c r="A923" s="121"/>
      <c r="B923" s="121"/>
      <c r="C923" s="121"/>
      <c r="D923" s="121"/>
      <c r="E923" s="121"/>
      <c r="F923" s="121"/>
      <c r="G923" s="121"/>
      <c r="H923" s="121"/>
      <c r="I923" s="121"/>
      <c r="J923" s="121"/>
      <c r="K923" s="121"/>
      <c r="L923" s="121"/>
      <c r="M923" s="121"/>
      <c r="N923" s="121"/>
      <c r="O923" s="121"/>
      <c r="P923" s="121"/>
      <c r="Q923" s="121"/>
      <c r="R923" s="121"/>
      <c r="S923" s="121"/>
      <c r="T923" s="121"/>
      <c r="U923" s="121"/>
      <c r="V923" s="121"/>
      <c r="W923" s="121"/>
      <c r="X923" s="121"/>
      <c r="Y923" s="121"/>
      <c r="Z923" s="121"/>
    </row>
    <row r="924" spans="1:26" ht="11.25" customHeight="1" x14ac:dyDescent="0.3">
      <c r="A924" s="121"/>
      <c r="B924" s="121"/>
      <c r="C924" s="121"/>
      <c r="D924" s="121"/>
      <c r="E924" s="121"/>
      <c r="F924" s="121"/>
      <c r="G924" s="121"/>
      <c r="H924" s="121"/>
      <c r="I924" s="121"/>
      <c r="J924" s="121"/>
      <c r="K924" s="121"/>
      <c r="L924" s="121"/>
      <c r="M924" s="121"/>
      <c r="N924" s="121"/>
      <c r="O924" s="121"/>
      <c r="P924" s="121"/>
      <c r="Q924" s="121"/>
      <c r="R924" s="121"/>
      <c r="S924" s="121"/>
      <c r="T924" s="121"/>
      <c r="U924" s="121"/>
      <c r="V924" s="121"/>
      <c r="W924" s="121"/>
      <c r="X924" s="121"/>
      <c r="Y924" s="121"/>
      <c r="Z924" s="121"/>
    </row>
    <row r="925" spans="1:26" ht="11.25" customHeight="1" x14ac:dyDescent="0.3">
      <c r="A925" s="121"/>
      <c r="B925" s="121"/>
      <c r="C925" s="121"/>
      <c r="D925" s="121"/>
      <c r="E925" s="121"/>
      <c r="F925" s="121"/>
      <c r="G925" s="121"/>
      <c r="H925" s="121"/>
      <c r="I925" s="121"/>
      <c r="J925" s="121"/>
      <c r="K925" s="121"/>
      <c r="L925" s="121"/>
      <c r="M925" s="121"/>
      <c r="N925" s="121"/>
      <c r="O925" s="121"/>
      <c r="P925" s="121"/>
      <c r="Q925" s="121"/>
      <c r="R925" s="121"/>
      <c r="S925" s="121"/>
      <c r="T925" s="121"/>
      <c r="U925" s="121"/>
      <c r="V925" s="121"/>
      <c r="W925" s="121"/>
      <c r="X925" s="121"/>
      <c r="Y925" s="121"/>
      <c r="Z925" s="121"/>
    </row>
    <row r="926" spans="1:26" ht="11.25" customHeight="1" x14ac:dyDescent="0.3">
      <c r="A926" s="121"/>
      <c r="B926" s="121"/>
      <c r="C926" s="121"/>
      <c r="D926" s="121"/>
      <c r="E926" s="121"/>
      <c r="F926" s="121"/>
      <c r="G926" s="121"/>
      <c r="H926" s="121"/>
      <c r="I926" s="121"/>
      <c r="J926" s="121"/>
      <c r="K926" s="121"/>
      <c r="L926" s="121"/>
      <c r="M926" s="121"/>
      <c r="N926" s="121"/>
      <c r="O926" s="121"/>
      <c r="P926" s="121"/>
      <c r="Q926" s="121"/>
      <c r="R926" s="121"/>
      <c r="S926" s="121"/>
      <c r="T926" s="121"/>
      <c r="U926" s="121"/>
      <c r="V926" s="121"/>
      <c r="W926" s="121"/>
      <c r="X926" s="121"/>
      <c r="Y926" s="121"/>
      <c r="Z926" s="121"/>
    </row>
    <row r="927" spans="1:26" ht="11.25" customHeight="1" x14ac:dyDescent="0.3">
      <c r="A927" s="121"/>
      <c r="B927" s="121"/>
      <c r="C927" s="121"/>
      <c r="D927" s="121"/>
      <c r="E927" s="121"/>
      <c r="F927" s="121"/>
      <c r="G927" s="121"/>
      <c r="H927" s="121"/>
      <c r="I927" s="121"/>
      <c r="J927" s="121"/>
      <c r="K927" s="121"/>
      <c r="L927" s="121"/>
      <c r="M927" s="121"/>
      <c r="N927" s="121"/>
      <c r="O927" s="121"/>
      <c r="P927" s="121"/>
      <c r="Q927" s="121"/>
      <c r="R927" s="121"/>
      <c r="S927" s="121"/>
      <c r="T927" s="121"/>
      <c r="U927" s="121"/>
      <c r="V927" s="121"/>
      <c r="W927" s="121"/>
      <c r="X927" s="121"/>
      <c r="Y927" s="121"/>
      <c r="Z927" s="121"/>
    </row>
    <row r="928" spans="1:26" ht="11.25" customHeight="1" x14ac:dyDescent="0.3">
      <c r="A928" s="121"/>
      <c r="B928" s="121"/>
      <c r="C928" s="121"/>
      <c r="D928" s="121"/>
      <c r="E928" s="121"/>
      <c r="F928" s="121"/>
      <c r="G928" s="121"/>
      <c r="H928" s="121"/>
      <c r="I928" s="121"/>
      <c r="J928" s="121"/>
      <c r="K928" s="121"/>
      <c r="L928" s="121"/>
      <c r="M928" s="121"/>
      <c r="N928" s="121"/>
      <c r="O928" s="121"/>
      <c r="P928" s="121"/>
      <c r="Q928" s="121"/>
      <c r="R928" s="121"/>
      <c r="S928" s="121"/>
      <c r="T928" s="121"/>
      <c r="U928" s="121"/>
      <c r="V928" s="121"/>
      <c r="W928" s="121"/>
      <c r="X928" s="121"/>
      <c r="Y928" s="121"/>
      <c r="Z928" s="121"/>
    </row>
    <row r="929" spans="1:26" ht="11.25" customHeight="1" x14ac:dyDescent="0.3">
      <c r="A929" s="121"/>
      <c r="B929" s="121"/>
      <c r="C929" s="121"/>
      <c r="D929" s="121"/>
      <c r="E929" s="121"/>
      <c r="F929" s="121"/>
      <c r="G929" s="121"/>
      <c r="H929" s="121"/>
      <c r="I929" s="121"/>
      <c r="J929" s="121"/>
      <c r="K929" s="121"/>
      <c r="L929" s="121"/>
      <c r="M929" s="121"/>
      <c r="N929" s="121"/>
      <c r="O929" s="121"/>
      <c r="P929" s="121"/>
      <c r="Q929" s="121"/>
      <c r="R929" s="121"/>
      <c r="S929" s="121"/>
      <c r="T929" s="121"/>
      <c r="U929" s="121"/>
      <c r="V929" s="121"/>
      <c r="W929" s="121"/>
      <c r="X929" s="121"/>
      <c r="Y929" s="121"/>
      <c r="Z929" s="121"/>
    </row>
    <row r="930" spans="1:26" ht="11.25" customHeight="1" x14ac:dyDescent="0.3">
      <c r="A930" s="121"/>
      <c r="B930" s="121"/>
      <c r="C930" s="121"/>
      <c r="D930" s="121"/>
      <c r="E930" s="121"/>
      <c r="F930" s="121"/>
      <c r="G930" s="121"/>
      <c r="H930" s="121"/>
      <c r="I930" s="121"/>
      <c r="J930" s="121"/>
      <c r="K930" s="121"/>
      <c r="L930" s="121"/>
      <c r="M930" s="121"/>
      <c r="N930" s="121"/>
      <c r="O930" s="121"/>
      <c r="P930" s="121"/>
      <c r="Q930" s="121"/>
      <c r="R930" s="121"/>
      <c r="S930" s="121"/>
      <c r="T930" s="121"/>
      <c r="U930" s="121"/>
      <c r="V930" s="121"/>
      <c r="W930" s="121"/>
      <c r="X930" s="121"/>
      <c r="Y930" s="121"/>
      <c r="Z930" s="121"/>
    </row>
    <row r="931" spans="1:26" ht="11.25" customHeight="1" x14ac:dyDescent="0.3">
      <c r="A931" s="121"/>
      <c r="B931" s="121"/>
      <c r="C931" s="121"/>
      <c r="D931" s="121"/>
      <c r="E931" s="121"/>
      <c r="F931" s="121"/>
      <c r="G931" s="121"/>
      <c r="H931" s="121"/>
      <c r="I931" s="121"/>
      <c r="J931" s="121"/>
      <c r="K931" s="121"/>
      <c r="L931" s="121"/>
      <c r="M931" s="121"/>
      <c r="N931" s="121"/>
      <c r="O931" s="121"/>
      <c r="P931" s="121"/>
      <c r="Q931" s="121"/>
      <c r="R931" s="121"/>
      <c r="S931" s="121"/>
      <c r="T931" s="121"/>
      <c r="U931" s="121"/>
      <c r="V931" s="121"/>
      <c r="W931" s="121"/>
      <c r="X931" s="121"/>
      <c r="Y931" s="121"/>
      <c r="Z931" s="121"/>
    </row>
    <row r="932" spans="1:26" ht="11.25" customHeight="1" x14ac:dyDescent="0.3">
      <c r="A932" s="121"/>
      <c r="B932" s="121"/>
      <c r="C932" s="121"/>
      <c r="D932" s="121"/>
      <c r="E932" s="121"/>
      <c r="F932" s="121"/>
      <c r="G932" s="121"/>
      <c r="H932" s="121"/>
      <c r="I932" s="121"/>
      <c r="J932" s="121"/>
      <c r="K932" s="121"/>
      <c r="L932" s="121"/>
      <c r="M932" s="121"/>
      <c r="N932" s="121"/>
      <c r="O932" s="121"/>
      <c r="P932" s="121"/>
      <c r="Q932" s="121"/>
      <c r="R932" s="121"/>
      <c r="S932" s="121"/>
      <c r="T932" s="121"/>
      <c r="U932" s="121"/>
      <c r="V932" s="121"/>
      <c r="W932" s="121"/>
      <c r="X932" s="121"/>
      <c r="Y932" s="121"/>
      <c r="Z932" s="121"/>
    </row>
    <row r="933" spans="1:26" ht="11.25" customHeight="1" x14ac:dyDescent="0.3">
      <c r="A933" s="121"/>
      <c r="B933" s="121"/>
      <c r="C933" s="121"/>
      <c r="D933" s="121"/>
      <c r="E933" s="121"/>
      <c r="F933" s="121"/>
      <c r="G933" s="121"/>
      <c r="H933" s="121"/>
      <c r="I933" s="121"/>
      <c r="J933" s="121"/>
      <c r="K933" s="121"/>
      <c r="L933" s="121"/>
      <c r="M933" s="121"/>
      <c r="N933" s="121"/>
      <c r="O933" s="121"/>
      <c r="P933" s="121"/>
      <c r="Q933" s="121"/>
      <c r="R933" s="121"/>
      <c r="S933" s="121"/>
      <c r="T933" s="121"/>
      <c r="U933" s="121"/>
      <c r="V933" s="121"/>
      <c r="W933" s="121"/>
      <c r="X933" s="121"/>
      <c r="Y933" s="121"/>
      <c r="Z933" s="121"/>
    </row>
    <row r="934" spans="1:26" ht="11.25" customHeight="1" x14ac:dyDescent="0.3">
      <c r="A934" s="121"/>
      <c r="B934" s="121"/>
      <c r="C934" s="121"/>
      <c r="D934" s="121"/>
      <c r="E934" s="121"/>
      <c r="F934" s="121"/>
      <c r="G934" s="121"/>
      <c r="H934" s="121"/>
      <c r="I934" s="121"/>
      <c r="J934" s="121"/>
      <c r="K934" s="121"/>
      <c r="L934" s="121"/>
      <c r="M934" s="121"/>
      <c r="N934" s="121"/>
      <c r="O934" s="121"/>
      <c r="P934" s="121"/>
      <c r="Q934" s="121"/>
      <c r="R934" s="121"/>
      <c r="S934" s="121"/>
      <c r="T934" s="121"/>
      <c r="U934" s="121"/>
      <c r="V934" s="121"/>
      <c r="W934" s="121"/>
      <c r="X934" s="121"/>
      <c r="Y934" s="121"/>
      <c r="Z934" s="121"/>
    </row>
    <row r="935" spans="1:26" ht="11.25" customHeight="1" x14ac:dyDescent="0.3">
      <c r="A935" s="121"/>
      <c r="B935" s="121"/>
      <c r="C935" s="121"/>
      <c r="D935" s="121"/>
      <c r="E935" s="121"/>
      <c r="F935" s="121"/>
      <c r="G935" s="121"/>
      <c r="H935" s="121"/>
      <c r="I935" s="121"/>
      <c r="J935" s="121"/>
      <c r="K935" s="121"/>
      <c r="L935" s="121"/>
      <c r="M935" s="121"/>
      <c r="N935" s="121"/>
      <c r="O935" s="121"/>
      <c r="P935" s="121"/>
      <c r="Q935" s="121"/>
      <c r="R935" s="121"/>
      <c r="S935" s="121"/>
      <c r="T935" s="121"/>
      <c r="U935" s="121"/>
      <c r="V935" s="121"/>
      <c r="W935" s="121"/>
      <c r="X935" s="121"/>
      <c r="Y935" s="121"/>
      <c r="Z935" s="121"/>
    </row>
    <row r="936" spans="1:26" ht="11.25" customHeight="1" x14ac:dyDescent="0.3">
      <c r="A936" s="121"/>
      <c r="B936" s="121"/>
      <c r="C936" s="121"/>
      <c r="D936" s="121"/>
      <c r="E936" s="121"/>
      <c r="F936" s="121"/>
      <c r="G936" s="121"/>
      <c r="H936" s="121"/>
      <c r="I936" s="121"/>
      <c r="J936" s="121"/>
      <c r="K936" s="121"/>
      <c r="L936" s="121"/>
      <c r="M936" s="121"/>
      <c r="N936" s="121"/>
      <c r="O936" s="121"/>
      <c r="P936" s="121"/>
      <c r="Q936" s="121"/>
      <c r="R936" s="121"/>
      <c r="S936" s="121"/>
      <c r="T936" s="121"/>
      <c r="U936" s="121"/>
      <c r="V936" s="121"/>
      <c r="W936" s="121"/>
      <c r="X936" s="121"/>
      <c r="Y936" s="121"/>
      <c r="Z936" s="121"/>
    </row>
    <row r="937" spans="1:26" ht="11.25" customHeight="1" x14ac:dyDescent="0.3">
      <c r="A937" s="121"/>
      <c r="B937" s="121"/>
      <c r="C937" s="121"/>
      <c r="D937" s="121"/>
      <c r="E937" s="121"/>
      <c r="F937" s="121"/>
      <c r="G937" s="121"/>
      <c r="H937" s="121"/>
      <c r="I937" s="121"/>
      <c r="J937" s="121"/>
      <c r="K937" s="121"/>
      <c r="L937" s="121"/>
      <c r="M937" s="121"/>
      <c r="N937" s="121"/>
      <c r="O937" s="121"/>
      <c r="P937" s="121"/>
      <c r="Q937" s="121"/>
      <c r="R937" s="121"/>
      <c r="S937" s="121"/>
      <c r="T937" s="121"/>
      <c r="U937" s="121"/>
      <c r="V937" s="121"/>
      <c r="W937" s="121"/>
      <c r="X937" s="121"/>
      <c r="Y937" s="121"/>
      <c r="Z937" s="121"/>
    </row>
    <row r="938" spans="1:26" ht="11.25" customHeight="1" x14ac:dyDescent="0.3">
      <c r="A938" s="121"/>
      <c r="B938" s="121"/>
      <c r="C938" s="121"/>
      <c r="D938" s="121"/>
      <c r="E938" s="121"/>
      <c r="F938" s="121"/>
      <c r="G938" s="121"/>
      <c r="H938" s="121"/>
      <c r="I938" s="121"/>
      <c r="J938" s="121"/>
      <c r="K938" s="121"/>
      <c r="L938" s="121"/>
      <c r="M938" s="121"/>
      <c r="N938" s="121"/>
      <c r="O938" s="121"/>
      <c r="P938" s="121"/>
      <c r="Q938" s="121"/>
      <c r="R938" s="121"/>
      <c r="S938" s="121"/>
      <c r="T938" s="121"/>
      <c r="U938" s="121"/>
      <c r="V938" s="121"/>
      <c r="W938" s="121"/>
      <c r="X938" s="121"/>
      <c r="Y938" s="121"/>
      <c r="Z938" s="121"/>
    </row>
    <row r="939" spans="1:26" ht="11.25" customHeight="1" x14ac:dyDescent="0.3">
      <c r="A939" s="121"/>
      <c r="B939" s="121"/>
      <c r="C939" s="121"/>
      <c r="D939" s="121"/>
      <c r="E939" s="121"/>
      <c r="F939" s="121"/>
      <c r="G939" s="121"/>
      <c r="H939" s="121"/>
      <c r="I939" s="121"/>
      <c r="J939" s="121"/>
      <c r="K939" s="121"/>
      <c r="L939" s="121"/>
      <c r="M939" s="121"/>
      <c r="N939" s="121"/>
      <c r="O939" s="121"/>
      <c r="P939" s="121"/>
      <c r="Q939" s="121"/>
      <c r="R939" s="121"/>
      <c r="S939" s="121"/>
      <c r="T939" s="121"/>
      <c r="U939" s="121"/>
      <c r="V939" s="121"/>
      <c r="W939" s="121"/>
      <c r="X939" s="121"/>
      <c r="Y939" s="121"/>
      <c r="Z939" s="121"/>
    </row>
    <row r="940" spans="1:26" ht="11.25" customHeight="1" x14ac:dyDescent="0.3">
      <c r="A940" s="121"/>
      <c r="B940" s="121"/>
      <c r="C940" s="121"/>
      <c r="D940" s="121"/>
      <c r="E940" s="121"/>
      <c r="F940" s="121"/>
      <c r="G940" s="121"/>
      <c r="H940" s="121"/>
      <c r="I940" s="121"/>
      <c r="J940" s="121"/>
      <c r="K940" s="121"/>
      <c r="L940" s="121"/>
      <c r="M940" s="121"/>
      <c r="N940" s="121"/>
      <c r="O940" s="121"/>
      <c r="P940" s="121"/>
      <c r="Q940" s="121"/>
      <c r="R940" s="121"/>
      <c r="S940" s="121"/>
      <c r="T940" s="121"/>
      <c r="U940" s="121"/>
      <c r="V940" s="121"/>
      <c r="W940" s="121"/>
      <c r="X940" s="121"/>
      <c r="Y940" s="121"/>
      <c r="Z940" s="121"/>
    </row>
    <row r="941" spans="1:26" ht="11.25" customHeight="1" x14ac:dyDescent="0.3">
      <c r="A941" s="121"/>
      <c r="B941" s="121"/>
      <c r="C941" s="121"/>
      <c r="D941" s="121"/>
      <c r="E941" s="121"/>
      <c r="F941" s="121"/>
      <c r="G941" s="121"/>
      <c r="H941" s="121"/>
      <c r="I941" s="121"/>
      <c r="J941" s="121"/>
      <c r="K941" s="121"/>
      <c r="L941" s="121"/>
      <c r="M941" s="121"/>
      <c r="N941" s="121"/>
      <c r="O941" s="121"/>
      <c r="P941" s="121"/>
      <c r="Q941" s="121"/>
      <c r="R941" s="121"/>
      <c r="S941" s="121"/>
      <c r="T941" s="121"/>
      <c r="U941" s="121"/>
      <c r="V941" s="121"/>
      <c r="W941" s="121"/>
      <c r="X941" s="121"/>
      <c r="Y941" s="121"/>
      <c r="Z941" s="121"/>
    </row>
    <row r="942" spans="1:26" ht="11.25" customHeight="1" x14ac:dyDescent="0.3">
      <c r="A942" s="121"/>
      <c r="B942" s="121"/>
      <c r="C942" s="121"/>
      <c r="D942" s="121"/>
      <c r="E942" s="121"/>
      <c r="F942" s="121"/>
      <c r="G942" s="121"/>
      <c r="H942" s="121"/>
      <c r="I942" s="121"/>
      <c r="J942" s="121"/>
      <c r="K942" s="121"/>
      <c r="L942" s="121"/>
      <c r="M942" s="121"/>
      <c r="N942" s="121"/>
      <c r="O942" s="121"/>
      <c r="P942" s="121"/>
      <c r="Q942" s="121"/>
      <c r="R942" s="121"/>
      <c r="S942" s="121"/>
      <c r="T942" s="121"/>
      <c r="U942" s="121"/>
      <c r="V942" s="121"/>
      <c r="W942" s="121"/>
      <c r="X942" s="121"/>
      <c r="Y942" s="121"/>
      <c r="Z942" s="121"/>
    </row>
    <row r="943" spans="1:26" ht="11.25" customHeight="1" x14ac:dyDescent="0.3">
      <c r="A943" s="121"/>
      <c r="B943" s="121"/>
      <c r="C943" s="121"/>
      <c r="D943" s="121"/>
      <c r="E943" s="121"/>
      <c r="F943" s="121"/>
      <c r="G943" s="121"/>
      <c r="H943" s="121"/>
      <c r="I943" s="121"/>
      <c r="J943" s="121"/>
      <c r="K943" s="121"/>
      <c r="L943" s="121"/>
      <c r="M943" s="121"/>
      <c r="N943" s="121"/>
      <c r="O943" s="121"/>
      <c r="P943" s="121"/>
      <c r="Q943" s="121"/>
      <c r="R943" s="121"/>
      <c r="S943" s="121"/>
      <c r="T943" s="121"/>
      <c r="U943" s="121"/>
      <c r="V943" s="121"/>
      <c r="W943" s="121"/>
      <c r="X943" s="121"/>
      <c r="Y943" s="121"/>
      <c r="Z943" s="121"/>
    </row>
    <row r="944" spans="1:26" ht="11.25" customHeight="1" x14ac:dyDescent="0.3">
      <c r="A944" s="121"/>
      <c r="B944" s="121"/>
      <c r="C944" s="121"/>
      <c r="D944" s="121"/>
      <c r="E944" s="121"/>
      <c r="F944" s="121"/>
      <c r="G944" s="121"/>
      <c r="H944" s="121"/>
      <c r="I944" s="121"/>
      <c r="J944" s="121"/>
      <c r="K944" s="121"/>
      <c r="L944" s="121"/>
      <c r="M944" s="121"/>
      <c r="N944" s="121"/>
      <c r="O944" s="121"/>
      <c r="P944" s="121"/>
      <c r="Q944" s="121"/>
      <c r="R944" s="121"/>
      <c r="S944" s="121"/>
      <c r="T944" s="121"/>
      <c r="U944" s="121"/>
      <c r="V944" s="121"/>
      <c r="W944" s="121"/>
      <c r="X944" s="121"/>
      <c r="Y944" s="121"/>
      <c r="Z944" s="121"/>
    </row>
    <row r="945" spans="1:26" ht="11.25" customHeight="1" x14ac:dyDescent="0.3">
      <c r="A945" s="121"/>
      <c r="B945" s="121"/>
      <c r="C945" s="121"/>
      <c r="D945" s="121"/>
      <c r="E945" s="121"/>
      <c r="F945" s="121"/>
      <c r="G945" s="121"/>
      <c r="H945" s="121"/>
      <c r="I945" s="121"/>
      <c r="J945" s="121"/>
      <c r="K945" s="121"/>
      <c r="L945" s="121"/>
      <c r="M945" s="121"/>
      <c r="N945" s="121"/>
      <c r="O945" s="121"/>
      <c r="P945" s="121"/>
      <c r="Q945" s="121"/>
      <c r="R945" s="121"/>
      <c r="S945" s="121"/>
      <c r="T945" s="121"/>
      <c r="U945" s="121"/>
      <c r="V945" s="121"/>
      <c r="W945" s="121"/>
      <c r="X945" s="121"/>
      <c r="Y945" s="121"/>
      <c r="Z945" s="121"/>
    </row>
    <row r="946" spans="1:26" ht="11.25" customHeight="1" x14ac:dyDescent="0.3">
      <c r="A946" s="121"/>
      <c r="B946" s="121"/>
      <c r="C946" s="121"/>
      <c r="D946" s="121"/>
      <c r="E946" s="121"/>
      <c r="F946" s="121"/>
      <c r="G946" s="121"/>
      <c r="H946" s="121"/>
      <c r="I946" s="121"/>
      <c r="J946" s="121"/>
      <c r="K946" s="121"/>
      <c r="L946" s="121"/>
      <c r="M946" s="121"/>
      <c r="N946" s="121"/>
      <c r="O946" s="121"/>
      <c r="P946" s="121"/>
      <c r="Q946" s="121"/>
      <c r="R946" s="121"/>
      <c r="S946" s="121"/>
      <c r="T946" s="121"/>
      <c r="U946" s="121"/>
      <c r="V946" s="121"/>
      <c r="W946" s="121"/>
      <c r="X946" s="121"/>
      <c r="Y946" s="121"/>
      <c r="Z946" s="121"/>
    </row>
    <row r="947" spans="1:26" ht="11.25" customHeight="1" x14ac:dyDescent="0.3">
      <c r="A947" s="121"/>
      <c r="B947" s="121"/>
      <c r="C947" s="121"/>
      <c r="D947" s="121"/>
      <c r="E947" s="121"/>
      <c r="F947" s="121"/>
      <c r="G947" s="121"/>
      <c r="H947" s="121"/>
      <c r="I947" s="121"/>
      <c r="J947" s="121"/>
      <c r="K947" s="121"/>
      <c r="L947" s="121"/>
      <c r="M947" s="121"/>
      <c r="N947" s="121"/>
      <c r="O947" s="121"/>
      <c r="P947" s="121"/>
      <c r="Q947" s="121"/>
      <c r="R947" s="121"/>
      <c r="S947" s="121"/>
      <c r="T947" s="121"/>
      <c r="U947" s="121"/>
      <c r="V947" s="121"/>
      <c r="W947" s="121"/>
      <c r="X947" s="121"/>
      <c r="Y947" s="121"/>
      <c r="Z947" s="121"/>
    </row>
    <row r="948" spans="1:26" ht="11.25" customHeight="1" x14ac:dyDescent="0.3">
      <c r="A948" s="121"/>
      <c r="B948" s="121"/>
      <c r="C948" s="121"/>
      <c r="D948" s="121"/>
      <c r="E948" s="121"/>
      <c r="F948" s="121"/>
      <c r="G948" s="121"/>
      <c r="H948" s="121"/>
      <c r="I948" s="121"/>
      <c r="J948" s="121"/>
      <c r="K948" s="121"/>
      <c r="L948" s="121"/>
      <c r="M948" s="121"/>
      <c r="N948" s="121"/>
      <c r="O948" s="121"/>
      <c r="P948" s="121"/>
      <c r="Q948" s="121"/>
      <c r="R948" s="121"/>
      <c r="S948" s="121"/>
      <c r="T948" s="121"/>
      <c r="U948" s="121"/>
      <c r="V948" s="121"/>
      <c r="W948" s="121"/>
      <c r="X948" s="121"/>
      <c r="Y948" s="121"/>
      <c r="Z948" s="121"/>
    </row>
    <row r="949" spans="1:26" ht="11.25" customHeight="1" x14ac:dyDescent="0.3">
      <c r="A949" s="121"/>
      <c r="B949" s="121"/>
      <c r="C949" s="121"/>
      <c r="D949" s="121"/>
      <c r="E949" s="121"/>
      <c r="F949" s="121"/>
      <c r="G949" s="121"/>
      <c r="H949" s="121"/>
      <c r="I949" s="121"/>
      <c r="J949" s="121"/>
      <c r="K949" s="121"/>
      <c r="L949" s="121"/>
      <c r="M949" s="121"/>
      <c r="N949" s="121"/>
      <c r="O949" s="121"/>
      <c r="P949" s="121"/>
      <c r="Q949" s="121"/>
      <c r="R949" s="121"/>
      <c r="S949" s="121"/>
      <c r="T949" s="121"/>
      <c r="U949" s="121"/>
      <c r="V949" s="121"/>
      <c r="W949" s="121"/>
      <c r="X949" s="121"/>
      <c r="Y949" s="121"/>
      <c r="Z949" s="121"/>
    </row>
    <row r="950" spans="1:26" ht="11.25" customHeight="1" x14ac:dyDescent="0.3">
      <c r="A950" s="121"/>
      <c r="B950" s="121"/>
      <c r="C950" s="121"/>
      <c r="D950" s="121"/>
      <c r="E950" s="121"/>
      <c r="F950" s="121"/>
      <c r="G950" s="121"/>
      <c r="H950" s="121"/>
      <c r="I950" s="121"/>
      <c r="J950" s="121"/>
      <c r="K950" s="121"/>
      <c r="L950" s="121"/>
      <c r="M950" s="121"/>
      <c r="N950" s="121"/>
      <c r="O950" s="121"/>
      <c r="P950" s="121"/>
      <c r="Q950" s="121"/>
      <c r="R950" s="121"/>
      <c r="S950" s="121"/>
      <c r="T950" s="121"/>
      <c r="U950" s="121"/>
      <c r="V950" s="121"/>
      <c r="W950" s="121"/>
      <c r="X950" s="121"/>
      <c r="Y950" s="121"/>
      <c r="Z950" s="121"/>
    </row>
    <row r="951" spans="1:26" ht="11.25" customHeight="1" x14ac:dyDescent="0.3">
      <c r="A951" s="121"/>
      <c r="B951" s="121"/>
      <c r="C951" s="121"/>
      <c r="D951" s="121"/>
      <c r="E951" s="121"/>
      <c r="F951" s="121"/>
      <c r="G951" s="121"/>
      <c r="H951" s="121"/>
      <c r="I951" s="121"/>
      <c r="J951" s="121"/>
      <c r="K951" s="121"/>
      <c r="L951" s="121"/>
      <c r="M951" s="121"/>
      <c r="N951" s="121"/>
      <c r="O951" s="121"/>
      <c r="P951" s="121"/>
      <c r="Q951" s="121"/>
      <c r="R951" s="121"/>
      <c r="S951" s="121"/>
      <c r="T951" s="121"/>
      <c r="U951" s="121"/>
      <c r="V951" s="121"/>
      <c r="W951" s="121"/>
      <c r="X951" s="121"/>
      <c r="Y951" s="121"/>
      <c r="Z951" s="121"/>
    </row>
    <row r="952" spans="1:26" ht="11.25" customHeight="1" x14ac:dyDescent="0.3">
      <c r="A952" s="121"/>
      <c r="B952" s="121"/>
      <c r="C952" s="121"/>
      <c r="D952" s="121"/>
      <c r="E952" s="121"/>
      <c r="F952" s="121"/>
      <c r="G952" s="121"/>
      <c r="H952" s="121"/>
      <c r="I952" s="121"/>
      <c r="J952" s="121"/>
      <c r="K952" s="121"/>
      <c r="L952" s="121"/>
      <c r="M952" s="121"/>
      <c r="N952" s="121"/>
      <c r="O952" s="121"/>
      <c r="P952" s="121"/>
      <c r="Q952" s="121"/>
      <c r="R952" s="121"/>
      <c r="S952" s="121"/>
      <c r="T952" s="121"/>
      <c r="U952" s="121"/>
      <c r="V952" s="121"/>
      <c r="W952" s="121"/>
      <c r="X952" s="121"/>
      <c r="Y952" s="121"/>
      <c r="Z952" s="121"/>
    </row>
    <row r="953" spans="1:26" ht="11.25" customHeight="1" x14ac:dyDescent="0.3">
      <c r="A953" s="121"/>
      <c r="B953" s="121"/>
      <c r="C953" s="121"/>
      <c r="D953" s="121"/>
      <c r="E953" s="121"/>
      <c r="F953" s="121"/>
      <c r="G953" s="121"/>
      <c r="H953" s="121"/>
      <c r="I953" s="121"/>
      <c r="J953" s="121"/>
      <c r="K953" s="121"/>
      <c r="L953" s="121"/>
      <c r="M953" s="121"/>
      <c r="N953" s="121"/>
      <c r="O953" s="121"/>
      <c r="P953" s="121"/>
      <c r="Q953" s="121"/>
      <c r="R953" s="121"/>
      <c r="S953" s="121"/>
      <c r="T953" s="121"/>
      <c r="U953" s="121"/>
      <c r="V953" s="121"/>
      <c r="W953" s="121"/>
      <c r="X953" s="121"/>
      <c r="Y953" s="121"/>
      <c r="Z953" s="121"/>
    </row>
    <row r="954" spans="1:26" ht="11.25" customHeight="1" x14ac:dyDescent="0.3">
      <c r="A954" s="121"/>
      <c r="B954" s="121"/>
      <c r="C954" s="121"/>
      <c r="D954" s="121"/>
      <c r="E954" s="121"/>
      <c r="F954" s="121"/>
      <c r="G954" s="121"/>
      <c r="H954" s="121"/>
      <c r="I954" s="121"/>
      <c r="J954" s="121"/>
      <c r="K954" s="121"/>
      <c r="L954" s="121"/>
      <c r="M954" s="121"/>
      <c r="N954" s="121"/>
      <c r="O954" s="121"/>
      <c r="P954" s="121"/>
      <c r="Q954" s="121"/>
      <c r="R954" s="121"/>
      <c r="S954" s="121"/>
      <c r="T954" s="121"/>
      <c r="U954" s="121"/>
      <c r="V954" s="121"/>
      <c r="W954" s="121"/>
      <c r="X954" s="121"/>
      <c r="Y954" s="121"/>
      <c r="Z954" s="121"/>
    </row>
    <row r="955" spans="1:26" ht="11.25" customHeight="1" x14ac:dyDescent="0.3">
      <c r="A955" s="121"/>
      <c r="B955" s="121"/>
      <c r="C955" s="121"/>
      <c r="D955" s="121"/>
      <c r="E955" s="121"/>
      <c r="F955" s="121"/>
      <c r="G955" s="121"/>
      <c r="H955" s="121"/>
      <c r="I955" s="121"/>
      <c r="J955" s="121"/>
      <c r="K955" s="121"/>
      <c r="L955" s="121"/>
      <c r="M955" s="121"/>
      <c r="N955" s="121"/>
      <c r="O955" s="121"/>
      <c r="P955" s="121"/>
      <c r="Q955" s="121"/>
      <c r="R955" s="121"/>
      <c r="S955" s="121"/>
      <c r="T955" s="121"/>
      <c r="U955" s="121"/>
      <c r="V955" s="121"/>
      <c r="W955" s="121"/>
      <c r="X955" s="121"/>
      <c r="Y955" s="121"/>
      <c r="Z955" s="121"/>
    </row>
    <row r="956" spans="1:26" ht="11.25" customHeight="1" x14ac:dyDescent="0.3">
      <c r="A956" s="121"/>
      <c r="B956" s="121"/>
      <c r="C956" s="121"/>
      <c r="D956" s="121"/>
      <c r="E956" s="121"/>
      <c r="F956" s="121"/>
      <c r="G956" s="121"/>
      <c r="H956" s="121"/>
      <c r="I956" s="121"/>
      <c r="J956" s="121"/>
      <c r="K956" s="121"/>
      <c r="L956" s="121"/>
      <c r="M956" s="121"/>
      <c r="N956" s="121"/>
      <c r="O956" s="121"/>
      <c r="P956" s="121"/>
      <c r="Q956" s="121"/>
      <c r="R956" s="121"/>
      <c r="S956" s="121"/>
      <c r="T956" s="121"/>
      <c r="U956" s="121"/>
      <c r="V956" s="121"/>
      <c r="W956" s="121"/>
      <c r="X956" s="121"/>
      <c r="Y956" s="121"/>
      <c r="Z956" s="121"/>
    </row>
    <row r="957" spans="1:26" ht="11.25" customHeight="1" x14ac:dyDescent="0.3">
      <c r="A957" s="121"/>
      <c r="B957" s="121"/>
      <c r="C957" s="121"/>
      <c r="D957" s="121"/>
      <c r="E957" s="121"/>
      <c r="F957" s="121"/>
      <c r="G957" s="121"/>
      <c r="H957" s="121"/>
      <c r="I957" s="121"/>
      <c r="J957" s="121"/>
      <c r="K957" s="121"/>
      <c r="L957" s="121"/>
      <c r="M957" s="121"/>
      <c r="N957" s="121"/>
      <c r="O957" s="121"/>
      <c r="P957" s="121"/>
      <c r="Q957" s="121"/>
      <c r="R957" s="121"/>
      <c r="S957" s="121"/>
      <c r="T957" s="121"/>
      <c r="U957" s="121"/>
      <c r="V957" s="121"/>
      <c r="W957" s="121"/>
      <c r="X957" s="121"/>
      <c r="Y957" s="121"/>
      <c r="Z957" s="121"/>
    </row>
    <row r="958" spans="1:26" ht="11.25" customHeight="1" x14ac:dyDescent="0.3">
      <c r="A958" s="121"/>
      <c r="B958" s="121"/>
      <c r="C958" s="121"/>
      <c r="D958" s="121"/>
      <c r="E958" s="121"/>
      <c r="F958" s="121"/>
      <c r="G958" s="121"/>
      <c r="H958" s="121"/>
      <c r="I958" s="121"/>
      <c r="J958" s="121"/>
      <c r="K958" s="121"/>
      <c r="L958" s="121"/>
      <c r="M958" s="121"/>
      <c r="N958" s="121"/>
      <c r="O958" s="121"/>
      <c r="P958" s="121"/>
      <c r="Q958" s="121"/>
      <c r="R958" s="121"/>
      <c r="S958" s="121"/>
      <c r="T958" s="121"/>
      <c r="U958" s="121"/>
      <c r="V958" s="121"/>
      <c r="W958" s="121"/>
      <c r="X958" s="121"/>
      <c r="Y958" s="121"/>
      <c r="Z958" s="121"/>
    </row>
    <row r="959" spans="1:26" ht="11.25" customHeight="1" x14ac:dyDescent="0.3">
      <c r="A959" s="121"/>
      <c r="B959" s="121"/>
      <c r="C959" s="121"/>
      <c r="D959" s="121"/>
      <c r="E959" s="121"/>
      <c r="F959" s="121"/>
      <c r="G959" s="121"/>
      <c r="H959" s="121"/>
      <c r="I959" s="121"/>
      <c r="J959" s="121"/>
      <c r="K959" s="121"/>
      <c r="L959" s="121"/>
      <c r="M959" s="121"/>
      <c r="N959" s="121"/>
      <c r="O959" s="121"/>
      <c r="P959" s="121"/>
      <c r="Q959" s="121"/>
      <c r="R959" s="121"/>
      <c r="S959" s="121"/>
      <c r="T959" s="121"/>
      <c r="U959" s="121"/>
      <c r="V959" s="121"/>
      <c r="W959" s="121"/>
      <c r="X959" s="121"/>
      <c r="Y959" s="121"/>
      <c r="Z959" s="121"/>
    </row>
    <row r="960" spans="1:26" ht="11.25" customHeight="1" x14ac:dyDescent="0.3">
      <c r="A960" s="121"/>
      <c r="B960" s="121"/>
      <c r="C960" s="121"/>
      <c r="D960" s="121"/>
      <c r="E960" s="121"/>
      <c r="F960" s="121"/>
      <c r="G960" s="121"/>
      <c r="H960" s="121"/>
      <c r="I960" s="121"/>
      <c r="J960" s="121"/>
      <c r="K960" s="121"/>
      <c r="L960" s="121"/>
      <c r="M960" s="121"/>
      <c r="N960" s="121"/>
      <c r="O960" s="121"/>
      <c r="P960" s="121"/>
      <c r="Q960" s="121"/>
      <c r="R960" s="121"/>
      <c r="S960" s="121"/>
      <c r="T960" s="121"/>
      <c r="U960" s="121"/>
      <c r="V960" s="121"/>
      <c r="W960" s="121"/>
      <c r="X960" s="121"/>
      <c r="Y960" s="121"/>
      <c r="Z960" s="121"/>
    </row>
    <row r="961" spans="1:26" ht="11.25" customHeight="1" x14ac:dyDescent="0.3">
      <c r="A961" s="121"/>
      <c r="B961" s="121"/>
      <c r="C961" s="121"/>
      <c r="D961" s="121"/>
      <c r="E961" s="121"/>
      <c r="F961" s="121"/>
      <c r="G961" s="121"/>
      <c r="H961" s="121"/>
      <c r="I961" s="121"/>
      <c r="J961" s="121"/>
      <c r="K961" s="121"/>
      <c r="L961" s="121"/>
      <c r="M961" s="121"/>
      <c r="N961" s="121"/>
      <c r="O961" s="121"/>
      <c r="P961" s="121"/>
      <c r="Q961" s="121"/>
      <c r="R961" s="121"/>
      <c r="S961" s="121"/>
      <c r="T961" s="121"/>
      <c r="U961" s="121"/>
      <c r="V961" s="121"/>
      <c r="W961" s="121"/>
      <c r="X961" s="121"/>
      <c r="Y961" s="121"/>
      <c r="Z961" s="121"/>
    </row>
    <row r="962" spans="1:26" ht="11.25" customHeight="1" x14ac:dyDescent="0.3">
      <c r="A962" s="121"/>
      <c r="B962" s="121"/>
      <c r="C962" s="121"/>
      <c r="D962" s="121"/>
      <c r="E962" s="121"/>
      <c r="F962" s="121"/>
      <c r="G962" s="121"/>
      <c r="H962" s="121"/>
      <c r="I962" s="121"/>
      <c r="J962" s="121"/>
      <c r="K962" s="121"/>
      <c r="L962" s="121"/>
      <c r="M962" s="121"/>
      <c r="N962" s="121"/>
      <c r="O962" s="121"/>
      <c r="P962" s="121"/>
      <c r="Q962" s="121"/>
      <c r="R962" s="121"/>
      <c r="S962" s="121"/>
      <c r="T962" s="121"/>
      <c r="U962" s="121"/>
      <c r="V962" s="121"/>
      <c r="W962" s="121"/>
      <c r="X962" s="121"/>
      <c r="Y962" s="121"/>
      <c r="Z962" s="121"/>
    </row>
    <row r="963" spans="1:26" ht="11.25" customHeight="1" x14ac:dyDescent="0.3">
      <c r="A963" s="121"/>
      <c r="B963" s="121"/>
      <c r="C963" s="121"/>
      <c r="D963" s="121"/>
      <c r="E963" s="121"/>
      <c r="F963" s="121"/>
      <c r="G963" s="121"/>
      <c r="H963" s="121"/>
      <c r="I963" s="121"/>
      <c r="J963" s="121"/>
      <c r="K963" s="121"/>
      <c r="L963" s="121"/>
      <c r="M963" s="121"/>
      <c r="N963" s="121"/>
      <c r="O963" s="121"/>
      <c r="P963" s="121"/>
      <c r="Q963" s="121"/>
      <c r="R963" s="121"/>
      <c r="S963" s="121"/>
      <c r="T963" s="121"/>
      <c r="U963" s="121"/>
      <c r="V963" s="121"/>
      <c r="W963" s="121"/>
      <c r="X963" s="121"/>
      <c r="Y963" s="121"/>
      <c r="Z963" s="121"/>
    </row>
    <row r="964" spans="1:26" ht="11.25" customHeight="1" x14ac:dyDescent="0.3">
      <c r="A964" s="121"/>
      <c r="B964" s="121"/>
      <c r="C964" s="121"/>
      <c r="D964" s="121"/>
      <c r="E964" s="121"/>
      <c r="F964" s="121"/>
      <c r="G964" s="121"/>
      <c r="H964" s="121"/>
      <c r="I964" s="121"/>
      <c r="J964" s="121"/>
      <c r="K964" s="121"/>
      <c r="L964" s="121"/>
      <c r="M964" s="121"/>
      <c r="N964" s="121"/>
      <c r="O964" s="121"/>
      <c r="P964" s="121"/>
      <c r="Q964" s="121"/>
      <c r="R964" s="121"/>
      <c r="S964" s="121"/>
      <c r="T964" s="121"/>
      <c r="U964" s="121"/>
      <c r="V964" s="121"/>
      <c r="W964" s="121"/>
      <c r="X964" s="121"/>
      <c r="Y964" s="121"/>
      <c r="Z964" s="121"/>
    </row>
    <row r="965" spans="1:26" ht="11.25" customHeight="1" x14ac:dyDescent="0.3">
      <c r="A965" s="121"/>
      <c r="B965" s="121"/>
      <c r="C965" s="121"/>
      <c r="D965" s="121"/>
      <c r="E965" s="121"/>
      <c r="F965" s="121"/>
      <c r="G965" s="121"/>
      <c r="H965" s="121"/>
      <c r="I965" s="121"/>
      <c r="J965" s="121"/>
      <c r="K965" s="121"/>
      <c r="L965" s="121"/>
      <c r="M965" s="121"/>
      <c r="N965" s="121"/>
      <c r="O965" s="121"/>
      <c r="P965" s="121"/>
      <c r="Q965" s="121"/>
      <c r="R965" s="121"/>
      <c r="S965" s="121"/>
      <c r="T965" s="121"/>
      <c r="U965" s="121"/>
      <c r="V965" s="121"/>
      <c r="W965" s="121"/>
      <c r="X965" s="121"/>
      <c r="Y965" s="121"/>
      <c r="Z965" s="121"/>
    </row>
    <row r="966" spans="1:26" ht="11.25" customHeight="1" x14ac:dyDescent="0.3">
      <c r="A966" s="121"/>
      <c r="B966" s="121"/>
      <c r="C966" s="121"/>
      <c r="D966" s="121"/>
      <c r="E966" s="121"/>
      <c r="F966" s="121"/>
      <c r="G966" s="121"/>
      <c r="H966" s="121"/>
      <c r="I966" s="121"/>
      <c r="J966" s="121"/>
      <c r="K966" s="121"/>
      <c r="L966" s="121"/>
      <c r="M966" s="121"/>
      <c r="N966" s="121"/>
      <c r="O966" s="121"/>
      <c r="P966" s="121"/>
      <c r="Q966" s="121"/>
      <c r="R966" s="121"/>
      <c r="S966" s="121"/>
      <c r="T966" s="121"/>
      <c r="U966" s="121"/>
      <c r="V966" s="121"/>
      <c r="W966" s="121"/>
      <c r="X966" s="121"/>
      <c r="Y966" s="121"/>
      <c r="Z966" s="121"/>
    </row>
    <row r="967" spans="1:26" ht="11.25" customHeight="1" x14ac:dyDescent="0.3">
      <c r="A967" s="121"/>
      <c r="B967" s="121"/>
      <c r="C967" s="121"/>
      <c r="D967" s="121"/>
      <c r="E967" s="121"/>
      <c r="F967" s="121"/>
      <c r="G967" s="121"/>
      <c r="H967" s="121"/>
      <c r="I967" s="121"/>
      <c r="J967" s="121"/>
      <c r="K967" s="121"/>
      <c r="L967" s="121"/>
      <c r="M967" s="121"/>
      <c r="N967" s="121"/>
      <c r="O967" s="121"/>
      <c r="P967" s="121"/>
      <c r="Q967" s="121"/>
      <c r="R967" s="121"/>
      <c r="S967" s="121"/>
      <c r="T967" s="121"/>
      <c r="U967" s="121"/>
      <c r="V967" s="121"/>
      <c r="W967" s="121"/>
      <c r="X967" s="121"/>
      <c r="Y967" s="121"/>
      <c r="Z967" s="121"/>
    </row>
    <row r="968" spans="1:26" ht="11.25" customHeight="1" x14ac:dyDescent="0.3">
      <c r="A968" s="121"/>
      <c r="B968" s="121"/>
      <c r="C968" s="121"/>
      <c r="D968" s="121"/>
      <c r="E968" s="121"/>
      <c r="F968" s="121"/>
      <c r="G968" s="121"/>
      <c r="H968" s="121"/>
      <c r="I968" s="121"/>
      <c r="J968" s="121"/>
      <c r="K968" s="121"/>
      <c r="L968" s="121"/>
      <c r="M968" s="121"/>
      <c r="N968" s="121"/>
      <c r="O968" s="121"/>
      <c r="P968" s="121"/>
      <c r="Q968" s="121"/>
      <c r="R968" s="121"/>
      <c r="S968" s="121"/>
      <c r="T968" s="121"/>
      <c r="U968" s="121"/>
      <c r="V968" s="121"/>
      <c r="W968" s="121"/>
      <c r="X968" s="121"/>
      <c r="Y968" s="121"/>
      <c r="Z968" s="121"/>
    </row>
    <row r="969" spans="1:26" ht="11.25" customHeight="1" x14ac:dyDescent="0.3">
      <c r="A969" s="121"/>
      <c r="B969" s="121"/>
      <c r="C969" s="121"/>
      <c r="D969" s="121"/>
      <c r="E969" s="121"/>
      <c r="F969" s="121"/>
      <c r="G969" s="121"/>
      <c r="H969" s="121"/>
      <c r="I969" s="121"/>
      <c r="J969" s="121"/>
      <c r="K969" s="121"/>
      <c r="L969" s="121"/>
      <c r="M969" s="121"/>
      <c r="N969" s="121"/>
      <c r="O969" s="121"/>
      <c r="P969" s="121"/>
      <c r="Q969" s="121"/>
      <c r="R969" s="121"/>
      <c r="S969" s="121"/>
      <c r="T969" s="121"/>
      <c r="U969" s="121"/>
      <c r="V969" s="121"/>
      <c r="W969" s="121"/>
      <c r="X969" s="121"/>
      <c r="Y969" s="121"/>
      <c r="Z969" s="121"/>
    </row>
    <row r="970" spans="1:26" ht="11.25" customHeight="1" x14ac:dyDescent="0.3">
      <c r="A970" s="121"/>
      <c r="B970" s="121"/>
      <c r="C970" s="121"/>
      <c r="D970" s="121"/>
      <c r="E970" s="121"/>
      <c r="F970" s="121"/>
      <c r="G970" s="121"/>
      <c r="H970" s="121"/>
      <c r="I970" s="121"/>
      <c r="J970" s="121"/>
      <c r="K970" s="121"/>
      <c r="L970" s="121"/>
      <c r="M970" s="121"/>
      <c r="N970" s="121"/>
      <c r="O970" s="121"/>
      <c r="P970" s="121"/>
      <c r="Q970" s="121"/>
      <c r="R970" s="121"/>
      <c r="S970" s="121"/>
      <c r="T970" s="121"/>
      <c r="U970" s="121"/>
      <c r="V970" s="121"/>
      <c r="W970" s="121"/>
      <c r="X970" s="121"/>
      <c r="Y970" s="121"/>
      <c r="Z970" s="121"/>
    </row>
    <row r="971" spans="1:26" ht="11.25" customHeight="1" x14ac:dyDescent="0.3">
      <c r="A971" s="121"/>
      <c r="B971" s="121"/>
      <c r="C971" s="121"/>
      <c r="D971" s="121"/>
      <c r="E971" s="121"/>
      <c r="F971" s="121"/>
      <c r="G971" s="121"/>
      <c r="H971" s="121"/>
      <c r="I971" s="121"/>
      <c r="J971" s="121"/>
      <c r="K971" s="121"/>
      <c r="L971" s="121"/>
      <c r="M971" s="121"/>
      <c r="N971" s="121"/>
      <c r="O971" s="121"/>
      <c r="P971" s="121"/>
      <c r="Q971" s="121"/>
      <c r="R971" s="121"/>
      <c r="S971" s="121"/>
      <c r="T971" s="121"/>
      <c r="U971" s="121"/>
      <c r="V971" s="121"/>
      <c r="W971" s="121"/>
      <c r="X971" s="121"/>
      <c r="Y971" s="121"/>
      <c r="Z971" s="121"/>
    </row>
    <row r="972" spans="1:26" ht="11.25" customHeight="1" x14ac:dyDescent="0.3">
      <c r="A972" s="121"/>
      <c r="B972" s="121"/>
      <c r="C972" s="121"/>
      <c r="D972" s="121"/>
      <c r="E972" s="121"/>
      <c r="F972" s="121"/>
      <c r="G972" s="121"/>
      <c r="H972" s="121"/>
      <c r="I972" s="121"/>
      <c r="J972" s="121"/>
      <c r="K972" s="121"/>
      <c r="L972" s="121"/>
      <c r="M972" s="121"/>
      <c r="N972" s="121"/>
      <c r="O972" s="121"/>
      <c r="P972" s="121"/>
      <c r="Q972" s="121"/>
      <c r="R972" s="121"/>
      <c r="S972" s="121"/>
      <c r="T972" s="121"/>
      <c r="U972" s="121"/>
      <c r="V972" s="121"/>
      <c r="W972" s="121"/>
      <c r="X972" s="121"/>
      <c r="Y972" s="121"/>
      <c r="Z972" s="121"/>
    </row>
    <row r="973" spans="1:26" ht="11.25" customHeight="1" x14ac:dyDescent="0.3">
      <c r="A973" s="121"/>
      <c r="B973" s="121"/>
      <c r="C973" s="121"/>
      <c r="D973" s="121"/>
      <c r="E973" s="121"/>
      <c r="F973" s="121"/>
      <c r="G973" s="121"/>
      <c r="H973" s="121"/>
      <c r="I973" s="121"/>
      <c r="J973" s="121"/>
      <c r="K973" s="121"/>
      <c r="L973" s="121"/>
      <c r="M973" s="121"/>
      <c r="N973" s="121"/>
      <c r="O973" s="121"/>
      <c r="P973" s="121"/>
      <c r="Q973" s="121"/>
      <c r="R973" s="121"/>
      <c r="S973" s="121"/>
      <c r="T973" s="121"/>
      <c r="U973" s="121"/>
      <c r="V973" s="121"/>
      <c r="W973" s="121"/>
      <c r="X973" s="121"/>
      <c r="Y973" s="121"/>
      <c r="Z973" s="121"/>
    </row>
    <row r="974" spans="1:26" ht="11.25" customHeight="1" x14ac:dyDescent="0.3">
      <c r="A974" s="121"/>
      <c r="B974" s="121"/>
      <c r="C974" s="121"/>
      <c r="D974" s="121"/>
      <c r="E974" s="121"/>
      <c r="F974" s="121"/>
      <c r="G974" s="121"/>
      <c r="H974" s="121"/>
      <c r="I974" s="121"/>
      <c r="J974" s="121"/>
      <c r="K974" s="121"/>
      <c r="L974" s="121"/>
      <c r="M974" s="121"/>
      <c r="N974" s="121"/>
      <c r="O974" s="121"/>
      <c r="P974" s="121"/>
      <c r="Q974" s="121"/>
      <c r="R974" s="121"/>
      <c r="S974" s="121"/>
      <c r="T974" s="121"/>
      <c r="U974" s="121"/>
      <c r="V974" s="121"/>
      <c r="W974" s="121"/>
      <c r="X974" s="121"/>
      <c r="Y974" s="121"/>
      <c r="Z974" s="121"/>
    </row>
    <row r="975" spans="1:26" ht="11.25" customHeight="1" x14ac:dyDescent="0.3">
      <c r="A975" s="121"/>
      <c r="B975" s="121"/>
      <c r="C975" s="121"/>
      <c r="D975" s="121"/>
      <c r="E975" s="121"/>
      <c r="F975" s="121"/>
      <c r="G975" s="121"/>
      <c r="H975" s="121"/>
      <c r="I975" s="121"/>
      <c r="J975" s="121"/>
      <c r="K975" s="121"/>
      <c r="L975" s="121"/>
      <c r="M975" s="121"/>
      <c r="N975" s="121"/>
      <c r="O975" s="121"/>
      <c r="P975" s="121"/>
      <c r="Q975" s="121"/>
      <c r="R975" s="121"/>
      <c r="S975" s="121"/>
      <c r="T975" s="121"/>
      <c r="U975" s="121"/>
      <c r="V975" s="121"/>
      <c r="W975" s="121"/>
      <c r="X975" s="121"/>
      <c r="Y975" s="121"/>
      <c r="Z975" s="121"/>
    </row>
    <row r="976" spans="1:26" ht="11.25" customHeight="1" x14ac:dyDescent="0.3">
      <c r="A976" s="121"/>
      <c r="B976" s="121"/>
      <c r="C976" s="121"/>
      <c r="D976" s="121"/>
      <c r="E976" s="121"/>
      <c r="F976" s="121"/>
      <c r="G976" s="121"/>
      <c r="H976" s="121"/>
      <c r="I976" s="121"/>
      <c r="J976" s="121"/>
      <c r="K976" s="121"/>
      <c r="L976" s="121"/>
      <c r="M976" s="121"/>
      <c r="N976" s="121"/>
      <c r="O976" s="121"/>
      <c r="P976" s="121"/>
      <c r="Q976" s="121"/>
      <c r="R976" s="121"/>
      <c r="S976" s="121"/>
      <c r="T976" s="121"/>
      <c r="U976" s="121"/>
      <c r="V976" s="121"/>
      <c r="W976" s="121"/>
      <c r="X976" s="121"/>
      <c r="Y976" s="121"/>
      <c r="Z976" s="121"/>
    </row>
    <row r="977" spans="1:26" ht="11.25" customHeight="1" x14ac:dyDescent="0.3">
      <c r="A977" s="121"/>
      <c r="B977" s="121"/>
      <c r="C977" s="121"/>
      <c r="D977" s="121"/>
      <c r="E977" s="121"/>
      <c r="F977" s="121"/>
      <c r="G977" s="121"/>
      <c r="H977" s="121"/>
      <c r="I977" s="121"/>
      <c r="J977" s="121"/>
      <c r="K977" s="121"/>
      <c r="L977" s="121"/>
      <c r="M977" s="121"/>
      <c r="N977" s="121"/>
      <c r="O977" s="121"/>
      <c r="P977" s="121"/>
      <c r="Q977" s="121"/>
      <c r="R977" s="121"/>
      <c r="S977" s="121"/>
      <c r="T977" s="121"/>
      <c r="U977" s="121"/>
      <c r="V977" s="121"/>
      <c r="W977" s="121"/>
      <c r="X977" s="121"/>
      <c r="Y977" s="121"/>
      <c r="Z977" s="121"/>
    </row>
    <row r="978" spans="1:26" ht="11.25" customHeight="1" x14ac:dyDescent="0.3">
      <c r="A978" s="121"/>
      <c r="B978" s="121"/>
      <c r="C978" s="121"/>
      <c r="D978" s="121"/>
      <c r="E978" s="121"/>
      <c r="F978" s="121"/>
      <c r="G978" s="121"/>
      <c r="H978" s="121"/>
      <c r="I978" s="121"/>
      <c r="J978" s="121"/>
      <c r="K978" s="121"/>
      <c r="L978" s="121"/>
      <c r="M978" s="121"/>
      <c r="N978" s="121"/>
      <c r="O978" s="121"/>
      <c r="P978" s="121"/>
      <c r="Q978" s="121"/>
      <c r="R978" s="121"/>
      <c r="S978" s="121"/>
      <c r="T978" s="121"/>
      <c r="U978" s="121"/>
      <c r="V978" s="121"/>
      <c r="W978" s="121"/>
      <c r="X978" s="121"/>
      <c r="Y978" s="121"/>
      <c r="Z978" s="121"/>
    </row>
    <row r="979" spans="1:26" ht="11.25" customHeight="1" x14ac:dyDescent="0.3">
      <c r="A979" s="121"/>
      <c r="B979" s="121"/>
      <c r="C979" s="121"/>
      <c r="D979" s="121"/>
      <c r="E979" s="121"/>
      <c r="F979" s="121"/>
      <c r="G979" s="121"/>
      <c r="H979" s="121"/>
      <c r="I979" s="121"/>
      <c r="J979" s="121"/>
      <c r="K979" s="121"/>
      <c r="L979" s="121"/>
      <c r="M979" s="121"/>
      <c r="N979" s="121"/>
      <c r="O979" s="121"/>
      <c r="P979" s="121"/>
      <c r="Q979" s="121"/>
      <c r="R979" s="121"/>
      <c r="S979" s="121"/>
      <c r="T979" s="121"/>
      <c r="U979" s="121"/>
      <c r="V979" s="121"/>
      <c r="W979" s="121"/>
      <c r="X979" s="121"/>
      <c r="Y979" s="121"/>
      <c r="Z979" s="121"/>
    </row>
    <row r="980" spans="1:26" ht="11.25" customHeight="1" x14ac:dyDescent="0.3">
      <c r="A980" s="121"/>
      <c r="B980" s="121"/>
      <c r="C980" s="121"/>
      <c r="D980" s="121"/>
      <c r="E980" s="121"/>
      <c r="F980" s="121"/>
      <c r="G980" s="121"/>
      <c r="H980" s="121"/>
      <c r="I980" s="121"/>
      <c r="J980" s="121"/>
      <c r="K980" s="121"/>
      <c r="L980" s="121"/>
      <c r="M980" s="121"/>
      <c r="N980" s="121"/>
      <c r="O980" s="121"/>
      <c r="P980" s="121"/>
      <c r="Q980" s="121"/>
      <c r="R980" s="121"/>
      <c r="S980" s="121"/>
      <c r="T980" s="121"/>
      <c r="U980" s="121"/>
      <c r="V980" s="121"/>
      <c r="W980" s="121"/>
      <c r="X980" s="121"/>
      <c r="Y980" s="121"/>
      <c r="Z980" s="121"/>
    </row>
    <row r="981" spans="1:26" ht="11.25" customHeight="1" x14ac:dyDescent="0.3">
      <c r="A981" s="121"/>
      <c r="B981" s="121"/>
      <c r="C981" s="121"/>
      <c r="D981" s="121"/>
      <c r="E981" s="121"/>
      <c r="F981" s="121"/>
      <c r="G981" s="121"/>
      <c r="H981" s="121"/>
      <c r="I981" s="121"/>
      <c r="J981" s="121"/>
      <c r="K981" s="121"/>
      <c r="L981" s="121"/>
      <c r="M981" s="121"/>
      <c r="N981" s="121"/>
      <c r="O981" s="121"/>
      <c r="P981" s="121"/>
      <c r="Q981" s="121"/>
      <c r="R981" s="121"/>
      <c r="S981" s="121"/>
      <c r="T981" s="121"/>
      <c r="U981" s="121"/>
      <c r="V981" s="121"/>
      <c r="W981" s="121"/>
      <c r="X981" s="121"/>
      <c r="Y981" s="121"/>
      <c r="Z981" s="121"/>
    </row>
    <row r="982" spans="1:26" ht="11.25" customHeight="1" x14ac:dyDescent="0.3">
      <c r="A982" s="121"/>
      <c r="B982" s="121"/>
      <c r="C982" s="121"/>
      <c r="D982" s="121"/>
      <c r="E982" s="121"/>
      <c r="F982" s="121"/>
      <c r="G982" s="121"/>
      <c r="H982" s="121"/>
      <c r="I982" s="121"/>
      <c r="J982" s="121"/>
      <c r="K982" s="121"/>
      <c r="L982" s="121"/>
      <c r="M982" s="121"/>
      <c r="N982" s="121"/>
      <c r="O982" s="121"/>
      <c r="P982" s="121"/>
      <c r="Q982" s="121"/>
      <c r="R982" s="121"/>
      <c r="S982" s="121"/>
      <c r="T982" s="121"/>
      <c r="U982" s="121"/>
      <c r="V982" s="121"/>
      <c r="W982" s="121"/>
      <c r="X982" s="121"/>
      <c r="Y982" s="121"/>
      <c r="Z982" s="121"/>
    </row>
    <row r="983" spans="1:26" ht="11.25" customHeight="1" x14ac:dyDescent="0.3">
      <c r="A983" s="121"/>
      <c r="B983" s="121"/>
      <c r="C983" s="121"/>
      <c r="D983" s="121"/>
      <c r="E983" s="121"/>
      <c r="F983" s="121"/>
      <c r="G983" s="121"/>
      <c r="H983" s="121"/>
      <c r="I983" s="121"/>
      <c r="J983" s="121"/>
      <c r="K983" s="121"/>
      <c r="L983" s="121"/>
      <c r="M983" s="121"/>
      <c r="N983" s="121"/>
      <c r="O983" s="121"/>
      <c r="P983" s="121"/>
      <c r="Q983" s="121"/>
      <c r="R983" s="121"/>
      <c r="S983" s="121"/>
      <c r="T983" s="121"/>
      <c r="U983" s="121"/>
      <c r="V983" s="121"/>
      <c r="W983" s="121"/>
      <c r="X983" s="121"/>
      <c r="Y983" s="121"/>
      <c r="Z983" s="121"/>
    </row>
    <row r="984" spans="1:26" ht="11.25" customHeight="1" x14ac:dyDescent="0.3">
      <c r="A984" s="121"/>
      <c r="B984" s="121"/>
      <c r="C984" s="121"/>
      <c r="D984" s="121"/>
      <c r="E984" s="121"/>
      <c r="F984" s="121"/>
      <c r="G984" s="121"/>
      <c r="H984" s="121"/>
      <c r="I984" s="121"/>
      <c r="J984" s="121"/>
      <c r="K984" s="121"/>
      <c r="L984" s="121"/>
      <c r="M984" s="121"/>
      <c r="N984" s="121"/>
      <c r="O984" s="121"/>
      <c r="P984" s="121"/>
      <c r="Q984" s="121"/>
      <c r="R984" s="121"/>
      <c r="S984" s="121"/>
      <c r="T984" s="121"/>
      <c r="U984" s="121"/>
      <c r="V984" s="121"/>
      <c r="W984" s="121"/>
      <c r="X984" s="121"/>
      <c r="Y984" s="121"/>
      <c r="Z984" s="121"/>
    </row>
    <row r="985" spans="1:26" ht="11.25" customHeight="1" x14ac:dyDescent="0.3">
      <c r="A985" s="121"/>
      <c r="B985" s="121"/>
      <c r="C985" s="121"/>
      <c r="D985" s="121"/>
      <c r="E985" s="121"/>
      <c r="F985" s="121"/>
      <c r="G985" s="121"/>
      <c r="H985" s="121"/>
      <c r="I985" s="121"/>
      <c r="J985" s="121"/>
      <c r="K985" s="121"/>
      <c r="L985" s="121"/>
      <c r="M985" s="121"/>
      <c r="N985" s="121"/>
      <c r="O985" s="121"/>
      <c r="P985" s="121"/>
      <c r="Q985" s="121"/>
      <c r="R985" s="121"/>
      <c r="S985" s="121"/>
      <c r="T985" s="121"/>
      <c r="U985" s="121"/>
      <c r="V985" s="121"/>
      <c r="W985" s="121"/>
      <c r="X985" s="121"/>
      <c r="Y985" s="121"/>
      <c r="Z985" s="121"/>
    </row>
    <row r="986" spans="1:26" ht="11.25" customHeight="1" x14ac:dyDescent="0.3">
      <c r="A986" s="121"/>
      <c r="B986" s="121"/>
      <c r="C986" s="121"/>
      <c r="D986" s="121"/>
      <c r="E986" s="121"/>
      <c r="F986" s="121"/>
      <c r="G986" s="121"/>
      <c r="H986" s="121"/>
      <c r="I986" s="121"/>
      <c r="J986" s="121"/>
      <c r="K986" s="121"/>
      <c r="L986" s="121"/>
      <c r="M986" s="121"/>
      <c r="N986" s="121"/>
      <c r="O986" s="121"/>
      <c r="P986" s="121"/>
      <c r="Q986" s="121"/>
      <c r="R986" s="121"/>
      <c r="S986" s="121"/>
      <c r="T986" s="121"/>
      <c r="U986" s="121"/>
      <c r="V986" s="121"/>
      <c r="W986" s="121"/>
      <c r="X986" s="121"/>
      <c r="Y986" s="121"/>
      <c r="Z986" s="121"/>
    </row>
    <row r="987" spans="1:26" ht="11.25" customHeight="1" x14ac:dyDescent="0.3">
      <c r="A987" s="121"/>
      <c r="B987" s="121"/>
      <c r="C987" s="121"/>
      <c r="D987" s="121"/>
      <c r="E987" s="121"/>
      <c r="F987" s="121"/>
      <c r="G987" s="121"/>
      <c r="H987" s="121"/>
      <c r="I987" s="121"/>
      <c r="J987" s="121"/>
      <c r="K987" s="121"/>
      <c r="L987" s="121"/>
      <c r="M987" s="121"/>
      <c r="N987" s="121"/>
      <c r="O987" s="121"/>
      <c r="P987" s="121"/>
      <c r="Q987" s="121"/>
      <c r="R987" s="121"/>
      <c r="S987" s="121"/>
      <c r="T987" s="121"/>
      <c r="U987" s="121"/>
      <c r="V987" s="121"/>
      <c r="W987" s="121"/>
      <c r="X987" s="121"/>
      <c r="Y987" s="121"/>
      <c r="Z987" s="121"/>
    </row>
    <row r="988" spans="1:26" ht="11.25" customHeight="1" x14ac:dyDescent="0.3">
      <c r="A988" s="121"/>
      <c r="B988" s="121"/>
      <c r="C988" s="121"/>
      <c r="D988" s="121"/>
      <c r="E988" s="121"/>
      <c r="F988" s="121"/>
      <c r="G988" s="121"/>
      <c r="H988" s="121"/>
      <c r="I988" s="121"/>
      <c r="J988" s="121"/>
      <c r="K988" s="121"/>
      <c r="L988" s="121"/>
      <c r="M988" s="121"/>
      <c r="N988" s="121"/>
      <c r="O988" s="121"/>
      <c r="P988" s="121"/>
      <c r="Q988" s="121"/>
      <c r="R988" s="121"/>
      <c r="S988" s="121"/>
      <c r="T988" s="121"/>
      <c r="U988" s="121"/>
      <c r="V988" s="121"/>
      <c r="W988" s="121"/>
      <c r="X988" s="121"/>
      <c r="Y988" s="121"/>
      <c r="Z988" s="121"/>
    </row>
    <row r="989" spans="1:26" ht="11.25" customHeight="1" x14ac:dyDescent="0.3">
      <c r="A989" s="121"/>
      <c r="B989" s="121"/>
      <c r="C989" s="121"/>
      <c r="D989" s="121"/>
      <c r="E989" s="121"/>
      <c r="F989" s="121"/>
      <c r="G989" s="121"/>
      <c r="H989" s="121"/>
      <c r="I989" s="121"/>
      <c r="J989" s="121"/>
      <c r="K989" s="121"/>
      <c r="L989" s="121"/>
      <c r="M989" s="121"/>
      <c r="N989" s="121"/>
      <c r="O989" s="121"/>
      <c r="P989" s="121"/>
      <c r="Q989" s="121"/>
      <c r="R989" s="121"/>
      <c r="S989" s="121"/>
      <c r="T989" s="121"/>
      <c r="U989" s="121"/>
      <c r="V989" s="121"/>
      <c r="W989" s="121"/>
      <c r="X989" s="121"/>
      <c r="Y989" s="121"/>
      <c r="Z989" s="121"/>
    </row>
    <row r="990" spans="1:26" ht="11.25" customHeight="1" x14ac:dyDescent="0.3">
      <c r="A990" s="121"/>
      <c r="B990" s="121"/>
      <c r="C990" s="121"/>
      <c r="D990" s="121"/>
      <c r="E990" s="121"/>
      <c r="F990" s="121"/>
      <c r="G990" s="121"/>
      <c r="H990" s="121"/>
      <c r="I990" s="121"/>
      <c r="J990" s="121"/>
      <c r="K990" s="121"/>
      <c r="L990" s="121"/>
      <c r="M990" s="121"/>
      <c r="N990" s="121"/>
      <c r="O990" s="121"/>
      <c r="P990" s="121"/>
      <c r="Q990" s="121"/>
      <c r="R990" s="121"/>
      <c r="S990" s="121"/>
      <c r="T990" s="121"/>
      <c r="U990" s="121"/>
      <c r="V990" s="121"/>
      <c r="W990" s="121"/>
      <c r="X990" s="121"/>
      <c r="Y990" s="121"/>
      <c r="Z990" s="121"/>
    </row>
    <row r="991" spans="1:26" ht="11.25" customHeight="1" x14ac:dyDescent="0.3">
      <c r="A991" s="121"/>
      <c r="B991" s="121"/>
      <c r="C991" s="121"/>
      <c r="D991" s="121"/>
      <c r="E991" s="121"/>
      <c r="F991" s="121"/>
      <c r="G991" s="121"/>
      <c r="H991" s="121"/>
      <c r="I991" s="121"/>
      <c r="J991" s="121"/>
      <c r="K991" s="121"/>
      <c r="L991" s="121"/>
      <c r="M991" s="121"/>
      <c r="N991" s="121"/>
      <c r="O991" s="121"/>
      <c r="P991" s="121"/>
      <c r="Q991" s="121"/>
      <c r="R991" s="121"/>
      <c r="S991" s="121"/>
      <c r="T991" s="121"/>
      <c r="U991" s="121"/>
      <c r="V991" s="121"/>
      <c r="W991" s="121"/>
      <c r="X991" s="121"/>
      <c r="Y991" s="121"/>
      <c r="Z991" s="121"/>
    </row>
    <row r="992" spans="1:26" ht="11.25" customHeight="1" x14ac:dyDescent="0.3">
      <c r="A992" s="121"/>
      <c r="B992" s="121"/>
      <c r="C992" s="121"/>
      <c r="D992" s="121"/>
      <c r="E992" s="121"/>
      <c r="F992" s="121"/>
      <c r="G992" s="121"/>
      <c r="H992" s="121"/>
      <c r="I992" s="121"/>
      <c r="J992" s="121"/>
      <c r="K992" s="121"/>
      <c r="L992" s="121"/>
      <c r="M992" s="121"/>
      <c r="N992" s="121"/>
      <c r="O992" s="121"/>
      <c r="P992" s="121"/>
      <c r="Q992" s="121"/>
      <c r="R992" s="121"/>
      <c r="S992" s="121"/>
      <c r="T992" s="121"/>
      <c r="U992" s="121"/>
      <c r="V992" s="121"/>
      <c r="W992" s="121"/>
      <c r="X992" s="121"/>
      <c r="Y992" s="121"/>
      <c r="Z992" s="121"/>
    </row>
    <row r="993" spans="1:26" ht="11.25" customHeight="1" x14ac:dyDescent="0.3">
      <c r="A993" s="121"/>
      <c r="B993" s="121"/>
      <c r="C993" s="121"/>
      <c r="D993" s="121"/>
      <c r="E993" s="121"/>
      <c r="F993" s="121"/>
      <c r="G993" s="121"/>
      <c r="H993" s="121"/>
      <c r="I993" s="121"/>
      <c r="J993" s="121"/>
      <c r="K993" s="121"/>
      <c r="L993" s="121"/>
      <c r="M993" s="121"/>
      <c r="N993" s="121"/>
      <c r="O993" s="121"/>
      <c r="P993" s="121"/>
      <c r="Q993" s="121"/>
      <c r="R993" s="121"/>
      <c r="S993" s="121"/>
      <c r="T993" s="121"/>
      <c r="U993" s="121"/>
      <c r="V993" s="121"/>
      <c r="W993" s="121"/>
      <c r="X993" s="121"/>
      <c r="Y993" s="121"/>
      <c r="Z993" s="121"/>
    </row>
    <row r="994" spans="1:26" ht="11.25" customHeight="1" x14ac:dyDescent="0.3">
      <c r="A994" s="121"/>
      <c r="B994" s="121"/>
      <c r="C994" s="121"/>
      <c r="D994" s="121"/>
      <c r="E994" s="121"/>
      <c r="F994" s="121"/>
      <c r="G994" s="121"/>
      <c r="H994" s="121"/>
      <c r="I994" s="121"/>
      <c r="J994" s="121"/>
      <c r="K994" s="121"/>
      <c r="L994" s="121"/>
      <c r="M994" s="121"/>
      <c r="N994" s="121"/>
      <c r="O994" s="121"/>
      <c r="P994" s="121"/>
      <c r="Q994" s="121"/>
      <c r="R994" s="121"/>
      <c r="S994" s="121"/>
      <c r="T994" s="121"/>
      <c r="U994" s="121"/>
      <c r="V994" s="121"/>
      <c r="W994" s="121"/>
      <c r="X994" s="121"/>
      <c r="Y994" s="121"/>
      <c r="Z994" s="121"/>
    </row>
    <row r="995" spans="1:26" ht="11.25" customHeight="1" x14ac:dyDescent="0.3">
      <c r="A995" s="121"/>
      <c r="B995" s="121"/>
      <c r="C995" s="121"/>
      <c r="D995" s="121"/>
      <c r="E995" s="121"/>
      <c r="F995" s="121"/>
      <c r="G995" s="121"/>
      <c r="H995" s="121"/>
      <c r="I995" s="121"/>
      <c r="J995" s="121"/>
      <c r="K995" s="121"/>
      <c r="L995" s="121"/>
      <c r="M995" s="121"/>
      <c r="N995" s="121"/>
      <c r="O995" s="121"/>
      <c r="P995" s="121"/>
      <c r="Q995" s="121"/>
      <c r="R995" s="121"/>
      <c r="S995" s="121"/>
      <c r="T995" s="121"/>
      <c r="U995" s="121"/>
      <c r="V995" s="121"/>
      <c r="W995" s="121"/>
      <c r="X995" s="121"/>
      <c r="Y995" s="121"/>
      <c r="Z995" s="121"/>
    </row>
    <row r="996" spans="1:26" ht="11.25" customHeight="1" x14ac:dyDescent="0.3">
      <c r="A996" s="121"/>
      <c r="B996" s="121"/>
      <c r="C996" s="121"/>
      <c r="D996" s="121"/>
      <c r="E996" s="121"/>
      <c r="F996" s="121"/>
      <c r="G996" s="121"/>
      <c r="H996" s="121"/>
      <c r="I996" s="121"/>
      <c r="J996" s="121"/>
      <c r="K996" s="121"/>
      <c r="L996" s="121"/>
      <c r="M996" s="121"/>
      <c r="N996" s="121"/>
      <c r="O996" s="121"/>
      <c r="P996" s="121"/>
      <c r="Q996" s="121"/>
      <c r="R996" s="121"/>
      <c r="S996" s="121"/>
      <c r="T996" s="121"/>
      <c r="U996" s="121"/>
      <c r="V996" s="121"/>
      <c r="W996" s="121"/>
      <c r="X996" s="121"/>
      <c r="Y996" s="121"/>
      <c r="Z996" s="121"/>
    </row>
    <row r="997" spans="1:26" ht="11.25" customHeight="1" x14ac:dyDescent="0.3">
      <c r="A997" s="121"/>
      <c r="B997" s="121"/>
      <c r="C997" s="121"/>
      <c r="D997" s="121"/>
      <c r="E997" s="121"/>
      <c r="F997" s="121"/>
      <c r="G997" s="121"/>
      <c r="H997" s="121"/>
      <c r="I997" s="121"/>
      <c r="J997" s="121"/>
      <c r="K997" s="121"/>
      <c r="L997" s="121"/>
      <c r="M997" s="121"/>
      <c r="N997" s="121"/>
      <c r="O997" s="121"/>
      <c r="P997" s="121"/>
      <c r="Q997" s="121"/>
      <c r="R997" s="121"/>
      <c r="S997" s="121"/>
      <c r="T997" s="121"/>
      <c r="U997" s="121"/>
      <c r="V997" s="121"/>
      <c r="W997" s="121"/>
      <c r="X997" s="121"/>
      <c r="Y997" s="121"/>
      <c r="Z997" s="121"/>
    </row>
    <row r="998" spans="1:26" ht="11.25" customHeight="1" x14ac:dyDescent="0.3">
      <c r="A998" s="121"/>
      <c r="B998" s="121"/>
      <c r="C998" s="121"/>
      <c r="D998" s="121"/>
      <c r="E998" s="121"/>
      <c r="F998" s="121"/>
      <c r="G998" s="121"/>
      <c r="H998" s="121"/>
      <c r="I998" s="121"/>
      <c r="J998" s="121"/>
      <c r="K998" s="121"/>
      <c r="L998" s="121"/>
      <c r="M998" s="121"/>
      <c r="N998" s="121"/>
      <c r="O998" s="121"/>
      <c r="P998" s="121"/>
      <c r="Q998" s="121"/>
      <c r="R998" s="121"/>
      <c r="S998" s="121"/>
      <c r="T998" s="121"/>
      <c r="U998" s="121"/>
      <c r="V998" s="121"/>
      <c r="W998" s="121"/>
      <c r="X998" s="121"/>
      <c r="Y998" s="121"/>
      <c r="Z998" s="121"/>
    </row>
    <row r="999" spans="1:26" ht="11.25" customHeight="1" x14ac:dyDescent="0.3">
      <c r="A999" s="121"/>
      <c r="B999" s="121"/>
      <c r="C999" s="121"/>
      <c r="D999" s="121"/>
      <c r="E999" s="121"/>
      <c r="F999" s="121"/>
      <c r="G999" s="121"/>
      <c r="H999" s="121"/>
      <c r="I999" s="121"/>
      <c r="J999" s="121"/>
      <c r="K999" s="121"/>
      <c r="L999" s="121"/>
      <c r="M999" s="121"/>
      <c r="N999" s="121"/>
      <c r="O999" s="121"/>
      <c r="P999" s="121"/>
      <c r="Q999" s="121"/>
      <c r="R999" s="121"/>
      <c r="S999" s="121"/>
      <c r="T999" s="121"/>
      <c r="U999" s="121"/>
      <c r="V999" s="121"/>
      <c r="W999" s="121"/>
      <c r="X999" s="121"/>
      <c r="Y999" s="121"/>
      <c r="Z999" s="121"/>
    </row>
    <row r="1000" spans="1:26" ht="11.25" customHeight="1" x14ac:dyDescent="0.3">
      <c r="A1000" s="121"/>
      <c r="B1000" s="121"/>
      <c r="C1000" s="121"/>
      <c r="D1000" s="121"/>
      <c r="E1000" s="121"/>
      <c r="F1000" s="121"/>
      <c r="G1000" s="121"/>
      <c r="H1000" s="121"/>
      <c r="I1000" s="121"/>
      <c r="J1000" s="121"/>
      <c r="K1000" s="121"/>
      <c r="L1000" s="121"/>
      <c r="M1000" s="121"/>
      <c r="N1000" s="121"/>
      <c r="O1000" s="121"/>
      <c r="P1000" s="121"/>
      <c r="Q1000" s="121"/>
      <c r="R1000" s="121"/>
      <c r="S1000" s="121"/>
      <c r="T1000" s="121"/>
      <c r="U1000" s="121"/>
      <c r="V1000" s="121"/>
      <c r="W1000" s="121"/>
      <c r="X1000" s="121"/>
      <c r="Y1000" s="121"/>
      <c r="Z1000" s="121"/>
    </row>
  </sheetData>
  <mergeCells count="1">
    <mergeCell ref="A1:M1"/>
  </mergeCells>
  <pageMargins left="0.7" right="0.7" top="0.75" bottom="0.75" header="0" footer="0"/>
  <pageSetup orientation="landscape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T1000"/>
  <sheetViews>
    <sheetView workbookViewId="0">
      <selection activeCell="U36" sqref="U36"/>
    </sheetView>
  </sheetViews>
  <sheetFormatPr defaultColWidth="14.44140625" defaultRowHeight="15" customHeight="1" x14ac:dyDescent="0.3"/>
  <cols>
    <col min="1" max="1" width="6" customWidth="1"/>
    <col min="2" max="3" width="2" customWidth="1"/>
    <col min="4" max="4" width="2.33203125" customWidth="1"/>
    <col min="5" max="6" width="14.109375" customWidth="1"/>
    <col min="7" max="7" width="15.109375" customWidth="1"/>
    <col min="8" max="8" width="9" customWidth="1"/>
    <col min="9" max="9" width="1.33203125" customWidth="1"/>
    <col min="10" max="12" width="14.109375" customWidth="1"/>
    <col min="13" max="13" width="9" customWidth="1"/>
    <col min="14" max="14" width="1.33203125" customWidth="1"/>
    <col min="15" max="16" width="13.109375" customWidth="1"/>
    <col min="17" max="17" width="14.109375" customWidth="1"/>
    <col min="18" max="18" width="8" customWidth="1"/>
    <col min="19" max="19" width="1.33203125" customWidth="1"/>
    <col min="20" max="20" width="14.109375" customWidth="1"/>
  </cols>
  <sheetData>
    <row r="1" spans="1:20" ht="11.25" customHeight="1" x14ac:dyDescent="0.3">
      <c r="A1" s="185" t="s">
        <v>224</v>
      </c>
      <c r="B1" s="186" t="s">
        <v>225</v>
      </c>
      <c r="C1" s="187" t="s">
        <v>226</v>
      </c>
      <c r="D1" s="188"/>
      <c r="E1" s="189" t="s">
        <v>227</v>
      </c>
      <c r="F1" s="190" t="s">
        <v>228</v>
      </c>
      <c r="G1" s="191" t="s">
        <v>229</v>
      </c>
      <c r="H1" s="192" t="s">
        <v>230</v>
      </c>
      <c r="I1" s="193"/>
      <c r="J1" s="194" t="s">
        <v>231</v>
      </c>
      <c r="K1" s="195" t="s">
        <v>232</v>
      </c>
      <c r="L1" s="196" t="s">
        <v>229</v>
      </c>
      <c r="M1" s="197" t="s">
        <v>233</v>
      </c>
      <c r="N1" s="198"/>
      <c r="O1" s="199" t="s">
        <v>234</v>
      </c>
      <c r="P1" s="200" t="s">
        <v>235</v>
      </c>
      <c r="Q1" s="201" t="s">
        <v>229</v>
      </c>
      <c r="R1" s="198"/>
      <c r="S1" s="193"/>
      <c r="T1" s="198"/>
    </row>
    <row r="2" spans="1:20" ht="11.25" customHeight="1" x14ac:dyDescent="0.3">
      <c r="A2" s="202" t="s">
        <v>236</v>
      </c>
      <c r="B2" s="203">
        <v>2</v>
      </c>
      <c r="C2" s="204">
        <v>2</v>
      </c>
      <c r="D2" s="188" t="s">
        <v>287</v>
      </c>
      <c r="E2" s="205">
        <f>(B2*'Proposed Budget'!$O$68)+(C2*'Proposed Budget'!$O$44)+'Proposed Budget'!$L$21+'Proposed Budget'!$L$22</f>
        <v>16606.55292099333</v>
      </c>
      <c r="F2" s="206">
        <f>SUM('Monthly Breakdown'!I49:I52)</f>
        <v>15639.36</v>
      </c>
      <c r="G2" s="207">
        <f t="shared" ref="G2:G13" si="0">F2-E2</f>
        <v>-967.19292099332961</v>
      </c>
      <c r="H2" s="208">
        <f t="shared" ref="H2:H13" si="1">((F2-E2)/E2)</f>
        <v>-5.8241642657257522E-2</v>
      </c>
      <c r="I2" s="198"/>
      <c r="J2" s="209">
        <f t="shared" ref="J2:K2" si="2">SUM(O20,E20,J20)</f>
        <v>13000</v>
      </c>
      <c r="K2" s="210">
        <f t="shared" si="2"/>
        <v>12394.720000000001</v>
      </c>
      <c r="L2" s="211">
        <f t="shared" ref="L2:L13" si="3">J2-K2</f>
        <v>605.27999999999884</v>
      </c>
      <c r="M2" s="212">
        <f t="shared" ref="M2:M13" si="4">((K2-J2)/J2)</f>
        <v>-4.6559999999999907E-2</v>
      </c>
      <c r="N2" s="198"/>
      <c r="O2" s="213">
        <f t="shared" ref="O2:O13" si="5">E2-O20-E20-J20</f>
        <v>3606.5529209933302</v>
      </c>
      <c r="P2" s="214">
        <f>SUM('Monthly Breakdown'!I45:I46)</f>
        <v>3244.64</v>
      </c>
      <c r="Q2" s="215">
        <f t="shared" ref="Q2:Q13" si="6">P2-O2</f>
        <v>-361.91292099333032</v>
      </c>
      <c r="R2" s="198"/>
      <c r="S2" s="198"/>
      <c r="T2" s="198">
        <f t="shared" ref="T2:T13" si="7">F2-K2-P2</f>
        <v>0</v>
      </c>
    </row>
    <row r="3" spans="1:20" ht="11.25" customHeight="1" x14ac:dyDescent="0.3">
      <c r="A3" s="202" t="s">
        <v>237</v>
      </c>
      <c r="B3" s="203">
        <v>2</v>
      </c>
      <c r="C3" s="204">
        <v>2</v>
      </c>
      <c r="D3" s="188" t="s">
        <v>287</v>
      </c>
      <c r="E3" s="205">
        <f>(B3*'Proposed Budget'!$O$68)+(C3*'Proposed Budget'!$O$44)+'Proposed Budget'!$L$21+'Proposed Budget'!$L$22</f>
        <v>16606.55292099333</v>
      </c>
      <c r="F3" s="206">
        <f>SUM('Monthly Breakdown'!K49:K52)</f>
        <v>16615.62</v>
      </c>
      <c r="G3" s="207">
        <f t="shared" si="0"/>
        <v>9.0670790066687914</v>
      </c>
      <c r="H3" s="208">
        <f t="shared" si="1"/>
        <v>5.4599404523057629E-4</v>
      </c>
      <c r="I3" s="198"/>
      <c r="J3" s="209">
        <f t="shared" ref="J3:K3" si="8">SUM(O21,E21,J21)</f>
        <v>13000</v>
      </c>
      <c r="K3" s="210">
        <f t="shared" si="8"/>
        <v>12800.71</v>
      </c>
      <c r="L3" s="211">
        <f t="shared" si="3"/>
        <v>199.29000000000087</v>
      </c>
      <c r="M3" s="212">
        <f t="shared" si="4"/>
        <v>-1.5330000000000068E-2</v>
      </c>
      <c r="N3" s="198"/>
      <c r="O3" s="213">
        <f t="shared" si="5"/>
        <v>3606.5529209933302</v>
      </c>
      <c r="P3" s="214">
        <f>SUM('Monthly Breakdown'!K45:K46)</f>
        <v>3814.91</v>
      </c>
      <c r="Q3" s="215">
        <f t="shared" si="6"/>
        <v>208.35707900666966</v>
      </c>
      <c r="R3" s="198"/>
      <c r="S3" s="198"/>
      <c r="T3" s="198">
        <f t="shared" si="7"/>
        <v>0</v>
      </c>
    </row>
    <row r="4" spans="1:20" ht="11.25" customHeight="1" x14ac:dyDescent="0.3">
      <c r="A4" s="202" t="s">
        <v>238</v>
      </c>
      <c r="B4" s="203">
        <v>2</v>
      </c>
      <c r="C4" s="204">
        <v>2</v>
      </c>
      <c r="D4" s="188" t="s">
        <v>287</v>
      </c>
      <c r="E4" s="205">
        <f>(B4*'Proposed Budget'!$O$68)+(C4*'Proposed Budget'!$O$44)+'Proposed Budget'!$L$21+'Proposed Budget'!$L$22</f>
        <v>16606.55292099333</v>
      </c>
      <c r="F4" s="206">
        <f>SUM('Monthly Breakdown'!M49:M52)</f>
        <v>16971.29</v>
      </c>
      <c r="G4" s="207">
        <f t="shared" si="0"/>
        <v>364.73707900667068</v>
      </c>
      <c r="H4" s="208">
        <f t="shared" si="1"/>
        <v>2.1963443030105594E-2</v>
      </c>
      <c r="I4" s="198"/>
      <c r="J4" s="209">
        <f t="shared" ref="J4:K4" si="9">SUM(O22,E22,J22)</f>
        <v>13000</v>
      </c>
      <c r="K4" s="210">
        <f t="shared" si="9"/>
        <v>12611.71</v>
      </c>
      <c r="L4" s="211">
        <f t="shared" si="3"/>
        <v>388.29000000000087</v>
      </c>
      <c r="M4" s="212">
        <f t="shared" si="4"/>
        <v>-2.9868461538461604E-2</v>
      </c>
      <c r="N4" s="198"/>
      <c r="O4" s="213">
        <f t="shared" si="5"/>
        <v>3606.5529209933302</v>
      </c>
      <c r="P4" s="214">
        <f>SUM('Monthly Breakdown'!M45:M46)</f>
        <v>4359.58</v>
      </c>
      <c r="Q4" s="215">
        <f t="shared" si="6"/>
        <v>753.02707900666974</v>
      </c>
      <c r="R4" s="198"/>
      <c r="S4" s="198"/>
      <c r="T4" s="198">
        <f t="shared" si="7"/>
        <v>0</v>
      </c>
    </row>
    <row r="5" spans="1:20" ht="11.25" customHeight="1" x14ac:dyDescent="0.3">
      <c r="A5" s="202" t="s">
        <v>239</v>
      </c>
      <c r="B5" s="203">
        <v>2</v>
      </c>
      <c r="C5" s="204">
        <v>3</v>
      </c>
      <c r="D5" s="188" t="s">
        <v>287</v>
      </c>
      <c r="E5" s="205">
        <f>(B5*'Proposed Budget'!$O$68)+(C5*'Proposed Budget'!$O$44)+'Proposed Budget'!$L$21+'Proposed Budget'!$L$22</f>
        <v>19370.33642599333</v>
      </c>
      <c r="F5" s="206">
        <f>SUM('Monthly Breakdown'!O49:O52)</f>
        <v>18875.669999999998</v>
      </c>
      <c r="G5" s="207">
        <f t="shared" si="0"/>
        <v>-494.66642599333136</v>
      </c>
      <c r="H5" s="208">
        <f t="shared" si="1"/>
        <v>-2.5537317221270946E-2</v>
      </c>
      <c r="I5" s="198"/>
      <c r="J5" s="209">
        <f t="shared" ref="J5:K5" si="10">SUM(O23,E23,J23)</f>
        <v>13000</v>
      </c>
      <c r="K5" s="210">
        <f t="shared" si="10"/>
        <v>13208.85</v>
      </c>
      <c r="L5" s="211">
        <f t="shared" si="3"/>
        <v>-208.85000000000036</v>
      </c>
      <c r="M5" s="212">
        <f t="shared" si="4"/>
        <v>1.6065384615384645E-2</v>
      </c>
      <c r="N5" s="198"/>
      <c r="O5" s="213">
        <f t="shared" si="5"/>
        <v>6370.3364259933296</v>
      </c>
      <c r="P5" s="214">
        <f>SUM('Monthly Breakdown'!O45:O46)</f>
        <v>5666.82</v>
      </c>
      <c r="Q5" s="215">
        <f t="shared" si="6"/>
        <v>-703.5164259933299</v>
      </c>
      <c r="R5" s="198"/>
      <c r="S5" s="198"/>
      <c r="T5" s="198">
        <f t="shared" si="7"/>
        <v>0</v>
      </c>
    </row>
    <row r="6" spans="1:20" ht="11.25" customHeight="1" x14ac:dyDescent="0.3">
      <c r="A6" s="202" t="s">
        <v>240</v>
      </c>
      <c r="B6" s="203">
        <v>2</v>
      </c>
      <c r="C6" s="204">
        <v>2</v>
      </c>
      <c r="D6" s="188" t="s">
        <v>287</v>
      </c>
      <c r="E6" s="205">
        <f>(B6*'Proposed Budget'!$O$68)+(C6*'Proposed Budget'!$O$44)+'Proposed Budget'!$L$21+'Proposed Budget'!$L$22</f>
        <v>16606.55292099333</v>
      </c>
      <c r="F6" s="206">
        <f>SUM('Monthly Breakdown'!Q49:Q52)</f>
        <v>14973.2</v>
      </c>
      <c r="G6" s="207">
        <f t="shared" si="0"/>
        <v>-1633.3529209933295</v>
      </c>
      <c r="H6" s="208">
        <f t="shared" si="1"/>
        <v>-9.8355927853546951E-2</v>
      </c>
      <c r="I6" s="198"/>
      <c r="J6" s="209">
        <f t="shared" ref="J6:K6" si="11">SUM(O24,E24,J24)</f>
        <v>13000</v>
      </c>
      <c r="K6" s="210">
        <f t="shared" si="11"/>
        <v>13762.84</v>
      </c>
      <c r="L6" s="211">
        <f t="shared" si="3"/>
        <v>-762.84000000000015</v>
      </c>
      <c r="M6" s="212">
        <f t="shared" si="4"/>
        <v>5.868000000000001E-2</v>
      </c>
      <c r="N6" s="198"/>
      <c r="O6" s="213">
        <f t="shared" si="5"/>
        <v>3606.5529209933302</v>
      </c>
      <c r="P6" s="214">
        <f>SUM('Monthly Breakdown'!Q45:Q46)</f>
        <v>1210.3599999999999</v>
      </c>
      <c r="Q6" s="215">
        <f t="shared" si="6"/>
        <v>-2396.1929209933305</v>
      </c>
      <c r="R6" s="198"/>
      <c r="S6" s="198"/>
      <c r="T6" s="198">
        <f t="shared" si="7"/>
        <v>0</v>
      </c>
    </row>
    <row r="7" spans="1:20" ht="11.25" customHeight="1" x14ac:dyDescent="0.3">
      <c r="A7" s="202" t="s">
        <v>241</v>
      </c>
      <c r="B7" s="203">
        <v>2</v>
      </c>
      <c r="C7" s="204">
        <v>2</v>
      </c>
      <c r="D7" s="188"/>
      <c r="E7" s="205">
        <f>(B7*'Proposed Budget'!$O$68)+(C7*'Proposed Budget'!$O$44)+'Proposed Budget'!$L$21+'Proposed Budget'!$L$22</f>
        <v>16606.55292099333</v>
      </c>
      <c r="F7" s="206">
        <f>SUM('Monthly Breakdown'!S49:S52)</f>
        <v>9411.77</v>
      </c>
      <c r="G7" s="207">
        <f t="shared" si="0"/>
        <v>-7194.7829209933298</v>
      </c>
      <c r="H7" s="208">
        <f t="shared" si="1"/>
        <v>-0.43324963074654566</v>
      </c>
      <c r="I7" s="198"/>
      <c r="J7" s="209">
        <f t="shared" ref="J7:K7" si="12">SUM(O25,E25,J25)</f>
        <v>13000</v>
      </c>
      <c r="K7" s="210">
        <f t="shared" si="12"/>
        <v>3934.34</v>
      </c>
      <c r="L7" s="211">
        <f t="shared" si="3"/>
        <v>9065.66</v>
      </c>
      <c r="M7" s="212">
        <f t="shared" si="4"/>
        <v>-0.69735846153846148</v>
      </c>
      <c r="N7" s="198"/>
      <c r="O7" s="213">
        <f t="shared" si="5"/>
        <v>3606.5529209933302</v>
      </c>
      <c r="P7" s="214">
        <f>SUM('Monthly Breakdown'!S45:S46)</f>
        <v>50</v>
      </c>
      <c r="Q7" s="215">
        <f t="shared" si="6"/>
        <v>-3556.5529209933302</v>
      </c>
      <c r="R7" s="198"/>
      <c r="S7" s="198"/>
      <c r="T7" s="198">
        <f t="shared" si="7"/>
        <v>5427.43</v>
      </c>
    </row>
    <row r="8" spans="1:20" ht="11.25" customHeight="1" x14ac:dyDescent="0.3">
      <c r="A8" s="202" t="s">
        <v>242</v>
      </c>
      <c r="B8" s="203">
        <v>2</v>
      </c>
      <c r="C8" s="204">
        <v>2</v>
      </c>
      <c r="D8" s="188"/>
      <c r="E8" s="205">
        <f>(B8*'Proposed Budget'!$O$68)+(C8*'Proposed Budget'!$O$44)+'Proposed Budget'!$L$21+'Proposed Budget'!$L$22</f>
        <v>16606.55292099333</v>
      </c>
      <c r="F8" s="206">
        <f>SUM('Monthly Breakdown'!U49:U52)</f>
        <v>0</v>
      </c>
      <c r="G8" s="207">
        <f t="shared" si="0"/>
        <v>-16606.55292099333</v>
      </c>
      <c r="H8" s="208">
        <f t="shared" si="1"/>
        <v>-1</v>
      </c>
      <c r="I8" s="198"/>
      <c r="J8" s="209">
        <f t="shared" ref="J8:K8" si="13">SUM(O26,E26,J26)</f>
        <v>13000</v>
      </c>
      <c r="K8" s="210">
        <f t="shared" si="13"/>
        <v>0</v>
      </c>
      <c r="L8" s="211">
        <f t="shared" si="3"/>
        <v>13000</v>
      </c>
      <c r="M8" s="212">
        <f t="shared" si="4"/>
        <v>-1</v>
      </c>
      <c r="N8" s="198"/>
      <c r="O8" s="213">
        <f t="shared" si="5"/>
        <v>3606.5529209933302</v>
      </c>
      <c r="P8" s="214">
        <f>SUM('Monthly Breakdown'!U45:U46)</f>
        <v>0</v>
      </c>
      <c r="Q8" s="215">
        <f t="shared" si="6"/>
        <v>-3606.5529209933302</v>
      </c>
      <c r="R8" s="198"/>
      <c r="S8" s="198"/>
      <c r="T8" s="198">
        <f t="shared" si="7"/>
        <v>0</v>
      </c>
    </row>
    <row r="9" spans="1:20" ht="11.25" customHeight="1" x14ac:dyDescent="0.3">
      <c r="A9" s="202" t="s">
        <v>243</v>
      </c>
      <c r="B9" s="203">
        <v>2</v>
      </c>
      <c r="C9" s="204">
        <v>2</v>
      </c>
      <c r="D9" s="188"/>
      <c r="E9" s="205">
        <f>(B9*'Proposed Budget'!$O$68)+(C9*'Proposed Budget'!$O$44)+'Proposed Budget'!$L$21+'Proposed Budget'!$L$22</f>
        <v>16606.55292099333</v>
      </c>
      <c r="F9" s="206">
        <f>SUM('Monthly Breakdown'!W49:W52)</f>
        <v>0</v>
      </c>
      <c r="G9" s="207">
        <f t="shared" si="0"/>
        <v>-16606.55292099333</v>
      </c>
      <c r="H9" s="208">
        <f t="shared" si="1"/>
        <v>-1</v>
      </c>
      <c r="I9" s="198"/>
      <c r="J9" s="209">
        <f t="shared" ref="J9:K9" si="14">SUM(O27,E27,J27)</f>
        <v>13000</v>
      </c>
      <c r="K9" s="210">
        <f t="shared" si="14"/>
        <v>0</v>
      </c>
      <c r="L9" s="211">
        <f t="shared" si="3"/>
        <v>13000</v>
      </c>
      <c r="M9" s="212">
        <f t="shared" si="4"/>
        <v>-1</v>
      </c>
      <c r="N9" s="198"/>
      <c r="O9" s="213">
        <f t="shared" si="5"/>
        <v>3606.5529209933302</v>
      </c>
      <c r="P9" s="214">
        <f>SUM('Monthly Breakdown'!W45:W46)</f>
        <v>0</v>
      </c>
      <c r="Q9" s="215">
        <f t="shared" si="6"/>
        <v>-3606.5529209933302</v>
      </c>
      <c r="R9" s="198"/>
      <c r="S9" s="198"/>
      <c r="T9" s="198">
        <f t="shared" si="7"/>
        <v>0</v>
      </c>
    </row>
    <row r="10" spans="1:20" ht="11.25" customHeight="1" x14ac:dyDescent="0.3">
      <c r="A10" s="216" t="s">
        <v>244</v>
      </c>
      <c r="B10" s="203">
        <v>2</v>
      </c>
      <c r="C10" s="204">
        <v>3</v>
      </c>
      <c r="D10" s="188"/>
      <c r="E10" s="205">
        <f>(B10*'Proposed Budget'!$O$68)+(C10*'Proposed Budget'!$O$44)+'Proposed Budget'!$L$21+'Proposed Budget'!$L$22</f>
        <v>19370.33642599333</v>
      </c>
      <c r="F10" s="206">
        <f>SUM('Monthly Breakdown'!Y49:Y52)</f>
        <v>0</v>
      </c>
      <c r="G10" s="207">
        <f t="shared" si="0"/>
        <v>-19370.33642599333</v>
      </c>
      <c r="H10" s="208">
        <f t="shared" si="1"/>
        <v>-1</v>
      </c>
      <c r="I10" s="198"/>
      <c r="J10" s="209">
        <f t="shared" ref="J10:K10" si="15">SUM(O28,E28,J28)</f>
        <v>13000</v>
      </c>
      <c r="K10" s="210">
        <f t="shared" si="15"/>
        <v>0</v>
      </c>
      <c r="L10" s="211">
        <f t="shared" si="3"/>
        <v>13000</v>
      </c>
      <c r="M10" s="212">
        <f t="shared" si="4"/>
        <v>-1</v>
      </c>
      <c r="N10" s="198"/>
      <c r="O10" s="213">
        <f t="shared" si="5"/>
        <v>6370.3364259933296</v>
      </c>
      <c r="P10" s="214">
        <f>SUM('Monthly Breakdown'!Y45:Y46)</f>
        <v>0</v>
      </c>
      <c r="Q10" s="215">
        <f t="shared" si="6"/>
        <v>-6370.3364259933296</v>
      </c>
      <c r="R10" s="198"/>
      <c r="S10" s="198"/>
      <c r="T10" s="198">
        <f t="shared" si="7"/>
        <v>0</v>
      </c>
    </row>
    <row r="11" spans="1:20" ht="11.25" customHeight="1" x14ac:dyDescent="0.3">
      <c r="A11" s="216" t="s">
        <v>245</v>
      </c>
      <c r="B11" s="203">
        <v>2</v>
      </c>
      <c r="C11" s="204">
        <v>2</v>
      </c>
      <c r="D11" s="188"/>
      <c r="E11" s="205">
        <f>(B11*'Proposed Budget'!$O$68)+(C11*'Proposed Budget'!$O$44)+'Proposed Budget'!$L$21+'Proposed Budget'!$L$22</f>
        <v>16606.55292099333</v>
      </c>
      <c r="F11" s="206">
        <f>SUM('Monthly Breakdown'!AA49:AA52)</f>
        <v>0</v>
      </c>
      <c r="G11" s="207">
        <f t="shared" si="0"/>
        <v>-16606.55292099333</v>
      </c>
      <c r="H11" s="208">
        <f t="shared" si="1"/>
        <v>-1</v>
      </c>
      <c r="I11" s="198"/>
      <c r="J11" s="209">
        <f t="shared" ref="J11:K11" si="16">SUM(O29,E29,J29)</f>
        <v>13000</v>
      </c>
      <c r="K11" s="210">
        <f t="shared" si="16"/>
        <v>0</v>
      </c>
      <c r="L11" s="211">
        <f t="shared" si="3"/>
        <v>13000</v>
      </c>
      <c r="M11" s="212">
        <f t="shared" si="4"/>
        <v>-1</v>
      </c>
      <c r="N11" s="198"/>
      <c r="O11" s="213">
        <f t="shared" si="5"/>
        <v>3606.5529209933302</v>
      </c>
      <c r="P11" s="214">
        <f>SUM('Monthly Breakdown'!AA45:AA46)</f>
        <v>0</v>
      </c>
      <c r="Q11" s="215">
        <f t="shared" si="6"/>
        <v>-3606.5529209933302</v>
      </c>
      <c r="R11" s="198"/>
      <c r="S11" s="198"/>
      <c r="T11" s="198">
        <f t="shared" si="7"/>
        <v>0</v>
      </c>
    </row>
    <row r="12" spans="1:20" ht="11.25" customHeight="1" x14ac:dyDescent="0.3">
      <c r="A12" s="216" t="s">
        <v>246</v>
      </c>
      <c r="B12" s="203">
        <v>2</v>
      </c>
      <c r="C12" s="204">
        <v>2</v>
      </c>
      <c r="D12" s="188"/>
      <c r="E12" s="205">
        <f>(B12*'Proposed Budget'!$O$68)+(C12*'Proposed Budget'!$O$44)+'Proposed Budget'!$L$21+'Proposed Budget'!$L$22</f>
        <v>16606.55292099333</v>
      </c>
      <c r="F12" s="206">
        <f>SUM('Monthly Breakdown'!AC49:AC52)</f>
        <v>0</v>
      </c>
      <c r="G12" s="207">
        <f t="shared" si="0"/>
        <v>-16606.55292099333</v>
      </c>
      <c r="H12" s="208">
        <f t="shared" si="1"/>
        <v>-1</v>
      </c>
      <c r="I12" s="198"/>
      <c r="J12" s="209">
        <f t="shared" ref="J12:K12" si="17">SUM(O30,E30,J30)</f>
        <v>13000</v>
      </c>
      <c r="K12" s="210">
        <f t="shared" si="17"/>
        <v>0</v>
      </c>
      <c r="L12" s="211">
        <f t="shared" si="3"/>
        <v>13000</v>
      </c>
      <c r="M12" s="212">
        <f t="shared" si="4"/>
        <v>-1</v>
      </c>
      <c r="N12" s="198"/>
      <c r="O12" s="213">
        <f t="shared" si="5"/>
        <v>3606.5529209933302</v>
      </c>
      <c r="P12" s="214">
        <f>SUM('Monthly Breakdown'!AC45:AC46)</f>
        <v>0</v>
      </c>
      <c r="Q12" s="215">
        <f t="shared" si="6"/>
        <v>-3606.5529209933302</v>
      </c>
      <c r="R12" s="198"/>
      <c r="S12" s="198"/>
      <c r="T12" s="198">
        <f t="shared" si="7"/>
        <v>0</v>
      </c>
    </row>
    <row r="13" spans="1:20" ht="11.25" customHeight="1" x14ac:dyDescent="0.3">
      <c r="A13" s="216" t="s">
        <v>247</v>
      </c>
      <c r="B13" s="203">
        <v>2</v>
      </c>
      <c r="C13" s="204">
        <v>2</v>
      </c>
      <c r="D13" s="188"/>
      <c r="E13" s="205">
        <f>(B13*'Proposed Budget'!$O$68)+(C13*'Proposed Budget'!$O$44)+'Proposed Budget'!$L$21+'Proposed Budget'!$L$22</f>
        <v>16606.55292099333</v>
      </c>
      <c r="F13" s="206">
        <f>SUM('Monthly Breakdown'!AE49:AE52)</f>
        <v>0</v>
      </c>
      <c r="G13" s="207">
        <f t="shared" si="0"/>
        <v>-16606.55292099333</v>
      </c>
      <c r="H13" s="208">
        <f t="shared" si="1"/>
        <v>-1</v>
      </c>
      <c r="I13" s="198"/>
      <c r="J13" s="209">
        <f t="shared" ref="J13:K13" si="18">SUM(O31,E31,J31)</f>
        <v>13000</v>
      </c>
      <c r="K13" s="210">
        <f t="shared" si="18"/>
        <v>0</v>
      </c>
      <c r="L13" s="211">
        <f t="shared" si="3"/>
        <v>13000</v>
      </c>
      <c r="M13" s="212">
        <f t="shared" si="4"/>
        <v>-1</v>
      </c>
      <c r="N13" s="198"/>
      <c r="O13" s="213">
        <f t="shared" si="5"/>
        <v>3606.5529209933302</v>
      </c>
      <c r="P13" s="214">
        <f>SUM('Monthly Breakdown'!AE45:AE46)</f>
        <v>0</v>
      </c>
      <c r="Q13" s="215">
        <f t="shared" si="6"/>
        <v>-3606.5529209933302</v>
      </c>
      <c r="R13" s="198"/>
      <c r="S13" s="198"/>
      <c r="T13" s="198">
        <f t="shared" si="7"/>
        <v>0</v>
      </c>
    </row>
    <row r="14" spans="1:20" ht="11.25" customHeight="1" x14ac:dyDescent="0.3">
      <c r="A14" s="217"/>
      <c r="B14" s="203"/>
      <c r="C14" s="204"/>
      <c r="D14" s="188"/>
      <c r="E14" s="205"/>
      <c r="F14" s="206"/>
      <c r="G14" s="207"/>
      <c r="H14" s="208"/>
      <c r="I14" s="198"/>
      <c r="J14" s="209"/>
      <c r="K14" s="210"/>
      <c r="L14" s="211"/>
      <c r="M14" s="212"/>
      <c r="N14" s="198"/>
      <c r="O14" s="213"/>
      <c r="P14" s="214"/>
      <c r="Q14" s="215"/>
      <c r="R14" s="198"/>
      <c r="S14" s="198"/>
      <c r="T14" s="198"/>
    </row>
    <row r="15" spans="1:20" ht="11.25" customHeight="1" x14ac:dyDescent="0.3">
      <c r="A15" s="217"/>
      <c r="B15" s="203"/>
      <c r="C15" s="204"/>
      <c r="D15" s="188"/>
      <c r="E15" s="205"/>
      <c r="F15" s="206"/>
      <c r="G15" s="207"/>
      <c r="H15" s="208"/>
      <c r="I15" s="198"/>
      <c r="J15" s="209"/>
      <c r="K15" s="210"/>
      <c r="L15" s="211"/>
      <c r="M15" s="212"/>
      <c r="N15" s="198"/>
      <c r="O15" s="213"/>
      <c r="P15" s="214"/>
      <c r="Q15" s="215"/>
      <c r="R15" s="198"/>
      <c r="S15" s="198"/>
      <c r="T15" s="198"/>
    </row>
    <row r="16" spans="1:20" ht="11.25" customHeight="1" x14ac:dyDescent="0.3">
      <c r="A16" s="217" t="s">
        <v>68</v>
      </c>
      <c r="B16" s="203"/>
      <c r="C16" s="204"/>
      <c r="D16" s="188"/>
      <c r="E16" s="205">
        <f>SUM(E2:E7)</f>
        <v>102403.10103095998</v>
      </c>
      <c r="F16" s="205">
        <f>SUM(F2:F7)</f>
        <v>92486.91</v>
      </c>
      <c r="G16" s="205">
        <f>SUM(G2:G7)</f>
        <v>-9916.1910309599807</v>
      </c>
      <c r="H16" s="208">
        <f>((SUM(F16))-SUM(E16))/SUM(E16)</f>
        <v>-9.6834870537387055E-2</v>
      </c>
      <c r="I16" s="198"/>
      <c r="J16" s="209">
        <f>SUM(J2:J7)</f>
        <v>78000</v>
      </c>
      <c r="K16" s="209">
        <f>SUM(K2:K7)</f>
        <v>68713.17</v>
      </c>
      <c r="L16" s="209">
        <f>SUM(L2:L7)</f>
        <v>9286.83</v>
      </c>
      <c r="M16" s="212">
        <f>((K16-SUM(J16))/SUM(J16))</f>
        <v>-0.11906192307692309</v>
      </c>
      <c r="N16" s="198"/>
      <c r="O16" s="213">
        <f>SUM(O2:O7)</f>
        <v>24403.101030959981</v>
      </c>
      <c r="P16" s="213">
        <f>SUM(P2:P7)</f>
        <v>18346.309999999998</v>
      </c>
      <c r="Q16" s="213">
        <f>SUM(Q2:Q7)</f>
        <v>-6056.7910309599811</v>
      </c>
      <c r="R16" s="218">
        <f>((P16-SUM(O16))/SUM(O16))</f>
        <v>-0.24819759682491951</v>
      </c>
      <c r="S16" s="198"/>
      <c r="T16" s="198">
        <f>F16-K16-P16</f>
        <v>5427.4300000000076</v>
      </c>
    </row>
    <row r="19" spans="1:17" ht="11.25" customHeight="1" x14ac:dyDescent="0.3">
      <c r="A19" s="185" t="s">
        <v>224</v>
      </c>
      <c r="B19" s="188"/>
      <c r="C19" s="188"/>
      <c r="D19" s="188"/>
      <c r="E19" s="219" t="s">
        <v>248</v>
      </c>
      <c r="F19" s="220" t="s">
        <v>249</v>
      </c>
      <c r="G19" s="221" t="s">
        <v>229</v>
      </c>
      <c r="H19" s="222" t="s">
        <v>233</v>
      </c>
      <c r="I19" s="198"/>
      <c r="J19" s="223" t="s">
        <v>250</v>
      </c>
      <c r="K19" s="224" t="s">
        <v>251</v>
      </c>
      <c r="L19" s="225" t="s">
        <v>229</v>
      </c>
      <c r="M19" s="226" t="s">
        <v>233</v>
      </c>
      <c r="N19" s="198"/>
      <c r="O19" s="227" t="s">
        <v>252</v>
      </c>
      <c r="P19" s="228" t="s">
        <v>253</v>
      </c>
      <c r="Q19" s="229" t="s">
        <v>229</v>
      </c>
    </row>
    <row r="20" spans="1:17" ht="11.25" customHeight="1" x14ac:dyDescent="0.3">
      <c r="A20" s="202" t="s">
        <v>236</v>
      </c>
      <c r="B20" s="188"/>
      <c r="C20" s="188"/>
      <c r="D20" s="188"/>
      <c r="E20" s="230">
        <f>SUM('Proposed Budget'!$D$14:$D$31)</f>
        <v>5200</v>
      </c>
      <c r="F20" s="231">
        <f>SUM('Monthly Breakdown'!I14:I31)</f>
        <v>4819.04</v>
      </c>
      <c r="G20" s="232">
        <f t="shared" ref="G20:G31" si="19">E20-F20</f>
        <v>380.96000000000004</v>
      </c>
      <c r="H20" s="233">
        <f t="shared" ref="H20:H31" si="20">((F20-E20)/E20)</f>
        <v>-7.3261538461538475E-2</v>
      </c>
      <c r="I20" s="198"/>
      <c r="J20" s="234">
        <f>SUM('Proposed Budget'!$D$5:$D$12)</f>
        <v>5800</v>
      </c>
      <c r="K20" s="235">
        <f>SUM('Monthly Breakdown'!I5:I12)</f>
        <v>5575.68</v>
      </c>
      <c r="L20" s="236">
        <f t="shared" ref="L20:L31" si="21">J20-K20</f>
        <v>224.31999999999971</v>
      </c>
      <c r="M20" s="237">
        <f t="shared" ref="M20:M31" si="22">((K20-J20)/J20)</f>
        <v>-3.8675862068965464E-2</v>
      </c>
      <c r="N20" s="198"/>
      <c r="O20" s="238">
        <f>SUM('Proposed Budget'!$D$33:$D$43)</f>
        <v>2000</v>
      </c>
      <c r="P20" s="239">
        <f>SUM('Monthly Breakdown'!I33:I43)</f>
        <v>2000</v>
      </c>
      <c r="Q20" s="240">
        <f t="shared" ref="Q20:Q31" si="23">O20-P20</f>
        <v>0</v>
      </c>
    </row>
    <row r="21" spans="1:17" ht="11.25" customHeight="1" x14ac:dyDescent="0.3">
      <c r="A21" s="202" t="s">
        <v>237</v>
      </c>
      <c r="B21" s="188"/>
      <c r="C21" s="188"/>
      <c r="D21" s="188"/>
      <c r="E21" s="230">
        <f>SUM('Proposed Budget'!$D$14:$D$31)</f>
        <v>5200</v>
      </c>
      <c r="F21" s="231">
        <f>SUM('Monthly Breakdown'!K14:K31)</f>
        <v>4930.4799999999996</v>
      </c>
      <c r="G21" s="232">
        <f t="shared" si="19"/>
        <v>269.52000000000044</v>
      </c>
      <c r="H21" s="233">
        <f t="shared" si="20"/>
        <v>-5.1830769230769312E-2</v>
      </c>
      <c r="I21" s="198"/>
      <c r="J21" s="234">
        <f>SUM('Proposed Budget'!$D$5:$D$12)</f>
        <v>5800</v>
      </c>
      <c r="K21" s="235">
        <f>SUM('Monthly Breakdown'!K5:K12)</f>
        <v>5870.2300000000005</v>
      </c>
      <c r="L21" s="236">
        <f t="shared" si="21"/>
        <v>-70.230000000000473</v>
      </c>
      <c r="M21" s="237">
        <f t="shared" si="22"/>
        <v>1.2108620689655254E-2</v>
      </c>
      <c r="N21" s="198"/>
      <c r="O21" s="238">
        <f>SUM('Proposed Budget'!$D$33:$D$43)</f>
        <v>2000</v>
      </c>
      <c r="P21" s="239">
        <f>SUM('Monthly Breakdown'!K33:K43)</f>
        <v>2000</v>
      </c>
      <c r="Q21" s="240">
        <f t="shared" si="23"/>
        <v>0</v>
      </c>
    </row>
    <row r="22" spans="1:17" ht="11.25" customHeight="1" x14ac:dyDescent="0.3">
      <c r="A22" s="202" t="s">
        <v>238</v>
      </c>
      <c r="B22" s="188"/>
      <c r="C22" s="188"/>
      <c r="D22" s="188"/>
      <c r="E22" s="230">
        <f>SUM('Proposed Budget'!$D$14:$D$31)</f>
        <v>5200</v>
      </c>
      <c r="F22" s="231">
        <f>SUM('Monthly Breakdown'!M14:M31)</f>
        <v>5444.89</v>
      </c>
      <c r="G22" s="232">
        <f t="shared" si="19"/>
        <v>-244.89000000000033</v>
      </c>
      <c r="H22" s="233">
        <f t="shared" si="20"/>
        <v>4.7094230769230833E-2</v>
      </c>
      <c r="I22" s="198"/>
      <c r="J22" s="234">
        <f>SUM('Proposed Budget'!$D$5:$D$12)</f>
        <v>5800</v>
      </c>
      <c r="K22" s="235">
        <f>SUM('Monthly Breakdown'!M5:M12)</f>
        <v>5166.82</v>
      </c>
      <c r="L22" s="236">
        <f t="shared" si="21"/>
        <v>633.18000000000029</v>
      </c>
      <c r="M22" s="237">
        <f t="shared" si="22"/>
        <v>-0.10916896551724142</v>
      </c>
      <c r="N22" s="198"/>
      <c r="O22" s="238">
        <f>SUM('Proposed Budget'!$D$33:$D$43)</f>
        <v>2000</v>
      </c>
      <c r="P22" s="239">
        <f>SUM('Monthly Breakdown'!M33:M43)</f>
        <v>2000</v>
      </c>
      <c r="Q22" s="240">
        <f t="shared" si="23"/>
        <v>0</v>
      </c>
    </row>
    <row r="23" spans="1:17" ht="11.25" customHeight="1" x14ac:dyDescent="0.3">
      <c r="A23" s="202" t="s">
        <v>239</v>
      </c>
      <c r="B23" s="188"/>
      <c r="C23" s="188"/>
      <c r="D23" s="188"/>
      <c r="E23" s="230">
        <f>SUM('Proposed Budget'!$D$14:$D$31)</f>
        <v>5200</v>
      </c>
      <c r="F23" s="231">
        <f>SUM('Monthly Breakdown'!O14:O31)</f>
        <v>4511.1900000000005</v>
      </c>
      <c r="G23" s="232">
        <f t="shared" si="19"/>
        <v>688.80999999999949</v>
      </c>
      <c r="H23" s="233">
        <f t="shared" si="20"/>
        <v>-0.13246346153846145</v>
      </c>
      <c r="I23" s="198"/>
      <c r="J23" s="234">
        <f>SUM('Proposed Budget'!$D$5:$D$12)</f>
        <v>5800</v>
      </c>
      <c r="K23" s="235">
        <f>SUM('Monthly Breakdown'!O5:O12)</f>
        <v>6697.66</v>
      </c>
      <c r="L23" s="236">
        <f t="shared" si="21"/>
        <v>-897.65999999999985</v>
      </c>
      <c r="M23" s="237">
        <f t="shared" si="22"/>
        <v>0.15476896551724134</v>
      </c>
      <c r="N23" s="198"/>
      <c r="O23" s="238">
        <f>SUM('Proposed Budget'!$D$33:$D$43)</f>
        <v>2000</v>
      </c>
      <c r="P23" s="239">
        <f>SUM('Monthly Breakdown'!O33:O43)</f>
        <v>2000</v>
      </c>
      <c r="Q23" s="240">
        <f t="shared" si="23"/>
        <v>0</v>
      </c>
    </row>
    <row r="24" spans="1:17" ht="11.25" customHeight="1" x14ac:dyDescent="0.3">
      <c r="A24" s="202" t="s">
        <v>240</v>
      </c>
      <c r="B24" s="188"/>
      <c r="C24" s="188"/>
      <c r="D24" s="188"/>
      <c r="E24" s="230">
        <f>SUM('Proposed Budget'!$D$14:$D$31)</f>
        <v>5200</v>
      </c>
      <c r="F24" s="231">
        <f>SUM('Monthly Breakdown'!Q14:Q31)</f>
        <v>5063.4000000000005</v>
      </c>
      <c r="G24" s="232">
        <f t="shared" si="19"/>
        <v>136.59999999999945</v>
      </c>
      <c r="H24" s="233">
        <f t="shared" si="20"/>
        <v>-2.6269230769230663E-2</v>
      </c>
      <c r="I24" s="198"/>
      <c r="J24" s="234">
        <f>SUM('Proposed Budget'!$D$5:$D$12)</f>
        <v>5800</v>
      </c>
      <c r="K24" s="235">
        <f>SUM('Monthly Breakdown'!Q5:Q12)</f>
        <v>6699.4400000000005</v>
      </c>
      <c r="L24" s="236">
        <f t="shared" si="21"/>
        <v>-899.44000000000051</v>
      </c>
      <c r="M24" s="237">
        <f t="shared" si="22"/>
        <v>0.15507586206896559</v>
      </c>
      <c r="N24" s="198"/>
      <c r="O24" s="238">
        <f>SUM('Proposed Budget'!$D$33:$D$43)</f>
        <v>2000</v>
      </c>
      <c r="P24" s="239">
        <f>SUM('Monthly Breakdown'!Q33:Q43)</f>
        <v>2000</v>
      </c>
      <c r="Q24" s="240">
        <f t="shared" si="23"/>
        <v>0</v>
      </c>
    </row>
    <row r="25" spans="1:17" ht="11.25" customHeight="1" x14ac:dyDescent="0.3">
      <c r="A25" s="202" t="s">
        <v>241</v>
      </c>
      <c r="B25" s="188"/>
      <c r="C25" s="188"/>
      <c r="D25" s="188"/>
      <c r="E25" s="230">
        <f>SUM('Proposed Budget'!$D$14:$D$31)</f>
        <v>5200</v>
      </c>
      <c r="F25" s="231">
        <f>SUM('Monthly Breakdown'!S14:S31)</f>
        <v>2497.9700000000003</v>
      </c>
      <c r="G25" s="232">
        <f t="shared" si="19"/>
        <v>2702.0299999999997</v>
      </c>
      <c r="H25" s="233">
        <f t="shared" si="20"/>
        <v>-0.51962115384615382</v>
      </c>
      <c r="I25" s="198"/>
      <c r="J25" s="234">
        <f>SUM('Proposed Budget'!$D$5:$D$12)</f>
        <v>5800</v>
      </c>
      <c r="K25" s="235">
        <f>SUM('Monthly Breakdown'!S5:S12)</f>
        <v>1436.37</v>
      </c>
      <c r="L25" s="236">
        <f t="shared" si="21"/>
        <v>4363.63</v>
      </c>
      <c r="M25" s="237">
        <f t="shared" si="22"/>
        <v>-0.75235000000000007</v>
      </c>
      <c r="N25" s="198"/>
      <c r="O25" s="238">
        <f>SUM('Proposed Budget'!$D$33:$D$43)</f>
        <v>2000</v>
      </c>
      <c r="P25" s="239">
        <f>SUM('Monthly Breakdown'!S33:S43)</f>
        <v>0</v>
      </c>
      <c r="Q25" s="240">
        <f t="shared" si="23"/>
        <v>2000</v>
      </c>
    </row>
    <row r="26" spans="1:17" ht="11.25" customHeight="1" x14ac:dyDescent="0.3">
      <c r="A26" s="202" t="s">
        <v>242</v>
      </c>
      <c r="B26" s="188"/>
      <c r="C26" s="188"/>
      <c r="D26" s="188"/>
      <c r="E26" s="230">
        <f>SUM('Proposed Budget'!$D$14:$D$31)</f>
        <v>5200</v>
      </c>
      <c r="F26" s="231">
        <f>SUM('Monthly Breakdown'!U14:U31)</f>
        <v>0</v>
      </c>
      <c r="G26" s="232">
        <f t="shared" si="19"/>
        <v>5200</v>
      </c>
      <c r="H26" s="233">
        <f t="shared" si="20"/>
        <v>-1</v>
      </c>
      <c r="I26" s="198"/>
      <c r="J26" s="234">
        <f>SUM('Proposed Budget'!$D$5:$D$12)</f>
        <v>5800</v>
      </c>
      <c r="K26" s="235">
        <f>SUM('Monthly Breakdown'!U5:U12)</f>
        <v>0</v>
      </c>
      <c r="L26" s="236">
        <f t="shared" si="21"/>
        <v>5800</v>
      </c>
      <c r="M26" s="237">
        <f t="shared" si="22"/>
        <v>-1</v>
      </c>
      <c r="N26" s="198"/>
      <c r="O26" s="238">
        <f>SUM('Proposed Budget'!$D$33:$D$43)</f>
        <v>2000</v>
      </c>
      <c r="P26" s="239">
        <f>SUM('Monthly Breakdown'!U33:U43)</f>
        <v>0</v>
      </c>
      <c r="Q26" s="240">
        <f t="shared" si="23"/>
        <v>2000</v>
      </c>
    </row>
    <row r="27" spans="1:17" ht="11.25" customHeight="1" x14ac:dyDescent="0.3">
      <c r="A27" s="202" t="s">
        <v>243</v>
      </c>
      <c r="B27" s="188"/>
      <c r="C27" s="188"/>
      <c r="D27" s="188"/>
      <c r="E27" s="230">
        <f>SUM('Proposed Budget'!$D$14:$D$31)</f>
        <v>5200</v>
      </c>
      <c r="F27" s="231">
        <f>SUM('Monthly Breakdown'!W14:W31)</f>
        <v>0</v>
      </c>
      <c r="G27" s="232">
        <f t="shared" si="19"/>
        <v>5200</v>
      </c>
      <c r="H27" s="233">
        <f t="shared" si="20"/>
        <v>-1</v>
      </c>
      <c r="I27" s="198"/>
      <c r="J27" s="234">
        <f>SUM('Proposed Budget'!$D$5:$D$12)</f>
        <v>5800</v>
      </c>
      <c r="K27" s="235">
        <f>SUM('Monthly Breakdown'!W5:W12)</f>
        <v>0</v>
      </c>
      <c r="L27" s="236">
        <f t="shared" si="21"/>
        <v>5800</v>
      </c>
      <c r="M27" s="237">
        <f t="shared" si="22"/>
        <v>-1</v>
      </c>
      <c r="N27" s="198"/>
      <c r="O27" s="238">
        <f>SUM('Proposed Budget'!$D$33:$D$43)</f>
        <v>2000</v>
      </c>
      <c r="P27" s="239">
        <f>SUM('Monthly Breakdown'!W33:W43)</f>
        <v>0</v>
      </c>
      <c r="Q27" s="240">
        <f t="shared" si="23"/>
        <v>2000</v>
      </c>
    </row>
    <row r="28" spans="1:17" ht="11.25" customHeight="1" x14ac:dyDescent="0.3">
      <c r="A28" s="216" t="s">
        <v>244</v>
      </c>
      <c r="B28" s="188"/>
      <c r="C28" s="188"/>
      <c r="D28" s="188"/>
      <c r="E28" s="230">
        <f>SUM('Proposed Budget'!$D$14:$D$31)</f>
        <v>5200</v>
      </c>
      <c r="F28" s="231">
        <f>SUM('Monthly Breakdown'!Y14:Y31)</f>
        <v>0</v>
      </c>
      <c r="G28" s="232">
        <f t="shared" si="19"/>
        <v>5200</v>
      </c>
      <c r="H28" s="233">
        <f t="shared" si="20"/>
        <v>-1</v>
      </c>
      <c r="I28" s="198"/>
      <c r="J28" s="234">
        <f>SUM('Proposed Budget'!$D$5:$D$12)</f>
        <v>5800</v>
      </c>
      <c r="K28" s="235">
        <f>SUM('Monthly Breakdown'!Y5:Y12)</f>
        <v>0</v>
      </c>
      <c r="L28" s="236">
        <f t="shared" si="21"/>
        <v>5800</v>
      </c>
      <c r="M28" s="237">
        <f t="shared" si="22"/>
        <v>-1</v>
      </c>
      <c r="N28" s="198"/>
      <c r="O28" s="238">
        <f>SUM('Proposed Budget'!$D$33:$D$43)</f>
        <v>2000</v>
      </c>
      <c r="P28" s="239">
        <f>SUM('Monthly Breakdown'!Y33:Y43)</f>
        <v>0</v>
      </c>
      <c r="Q28" s="240">
        <f t="shared" si="23"/>
        <v>2000</v>
      </c>
    </row>
    <row r="29" spans="1:17" ht="11.25" customHeight="1" x14ac:dyDescent="0.3">
      <c r="A29" s="216" t="s">
        <v>245</v>
      </c>
      <c r="B29" s="188"/>
      <c r="C29" s="188"/>
      <c r="D29" s="188"/>
      <c r="E29" s="230">
        <f>SUM('Proposed Budget'!$D$14:$D$31)</f>
        <v>5200</v>
      </c>
      <c r="F29" s="231">
        <f>SUM('Monthly Breakdown'!AA14:AA31)</f>
        <v>0</v>
      </c>
      <c r="G29" s="232">
        <f t="shared" si="19"/>
        <v>5200</v>
      </c>
      <c r="H29" s="233">
        <f t="shared" si="20"/>
        <v>-1</v>
      </c>
      <c r="I29" s="198"/>
      <c r="J29" s="234">
        <f>SUM('Proposed Budget'!$D$5:$D$12)</f>
        <v>5800</v>
      </c>
      <c r="K29" s="235">
        <f>SUM('Monthly Breakdown'!AA5:AA12)</f>
        <v>0</v>
      </c>
      <c r="L29" s="236">
        <f t="shared" si="21"/>
        <v>5800</v>
      </c>
      <c r="M29" s="237">
        <f t="shared" si="22"/>
        <v>-1</v>
      </c>
      <c r="N29" s="198"/>
      <c r="O29" s="238">
        <f>SUM('Proposed Budget'!$D$33:$D$43)</f>
        <v>2000</v>
      </c>
      <c r="P29" s="239">
        <f>SUM('Monthly Breakdown'!AA33:AA43)</f>
        <v>0</v>
      </c>
      <c r="Q29" s="240">
        <f t="shared" si="23"/>
        <v>2000</v>
      </c>
    </row>
    <row r="30" spans="1:17" ht="11.25" customHeight="1" x14ac:dyDescent="0.3">
      <c r="A30" s="216" t="s">
        <v>246</v>
      </c>
      <c r="B30" s="188"/>
      <c r="C30" s="188"/>
      <c r="D30" s="188"/>
      <c r="E30" s="230">
        <f>SUM('Proposed Budget'!$D$14:$D$31)</f>
        <v>5200</v>
      </c>
      <c r="F30" s="231">
        <f>SUM('Monthly Breakdown'!AC14:AC31)</f>
        <v>0</v>
      </c>
      <c r="G30" s="232">
        <f t="shared" si="19"/>
        <v>5200</v>
      </c>
      <c r="H30" s="233">
        <f t="shared" si="20"/>
        <v>-1</v>
      </c>
      <c r="I30" s="198"/>
      <c r="J30" s="234">
        <f>SUM('Proposed Budget'!$D$5:$D$12)</f>
        <v>5800</v>
      </c>
      <c r="K30" s="235">
        <f>SUM('Monthly Breakdown'!AC5:AC12)</f>
        <v>0</v>
      </c>
      <c r="L30" s="236">
        <f t="shared" si="21"/>
        <v>5800</v>
      </c>
      <c r="M30" s="237">
        <f t="shared" si="22"/>
        <v>-1</v>
      </c>
      <c r="N30" s="198"/>
      <c r="O30" s="238">
        <f>SUM('Proposed Budget'!$D$33:$D$43)</f>
        <v>2000</v>
      </c>
      <c r="P30" s="239">
        <f>SUM('Monthly Breakdown'!AC33:AC43)</f>
        <v>0</v>
      </c>
      <c r="Q30" s="240">
        <f t="shared" si="23"/>
        <v>2000</v>
      </c>
    </row>
    <row r="31" spans="1:17" ht="11.25" customHeight="1" x14ac:dyDescent="0.3">
      <c r="A31" s="216" t="s">
        <v>247</v>
      </c>
      <c r="B31" s="188"/>
      <c r="C31" s="188"/>
      <c r="D31" s="188"/>
      <c r="E31" s="230">
        <f>SUM('Proposed Budget'!$D$14:$D$31)</f>
        <v>5200</v>
      </c>
      <c r="F31" s="231">
        <f>SUM('Monthly Breakdown'!AE14:AE31)</f>
        <v>0</v>
      </c>
      <c r="G31" s="232">
        <f t="shared" si="19"/>
        <v>5200</v>
      </c>
      <c r="H31" s="233">
        <f t="shared" si="20"/>
        <v>-1</v>
      </c>
      <c r="I31" s="198"/>
      <c r="J31" s="234">
        <f>SUM('Proposed Budget'!$D$5:$D$12)</f>
        <v>5800</v>
      </c>
      <c r="K31" s="235">
        <f>SUM('Monthly Breakdown'!AE5:AE12)</f>
        <v>0</v>
      </c>
      <c r="L31" s="236">
        <f t="shared" si="21"/>
        <v>5800</v>
      </c>
      <c r="M31" s="237">
        <f t="shared" si="22"/>
        <v>-1</v>
      </c>
      <c r="N31" s="198"/>
      <c r="O31" s="238">
        <f>SUM('Proposed Budget'!$D$33:$D$43)</f>
        <v>2000</v>
      </c>
      <c r="P31" s="239">
        <f>SUM('Monthly Breakdown'!AE33:AE43)</f>
        <v>0</v>
      </c>
      <c r="Q31" s="240">
        <f t="shared" si="23"/>
        <v>2000</v>
      </c>
    </row>
    <row r="32" spans="1:17" ht="15.75" customHeight="1" x14ac:dyDescent="0.3"/>
    <row r="33" spans="1:17" ht="15.75" customHeight="1" x14ac:dyDescent="0.3"/>
    <row r="34" spans="1:17" ht="11.25" customHeight="1" x14ac:dyDescent="0.3">
      <c r="A34" s="217" t="s">
        <v>68</v>
      </c>
      <c r="B34" s="188"/>
      <c r="C34" s="188"/>
      <c r="D34" s="188"/>
      <c r="E34" s="230">
        <f>SUM(E20:E25)</f>
        <v>31200</v>
      </c>
      <c r="F34" s="230">
        <f>SUM(F20:F25)</f>
        <v>27266.97</v>
      </c>
      <c r="G34" s="230">
        <f>SUM(G20:G25)</f>
        <v>3933.0299999999988</v>
      </c>
      <c r="H34" s="233">
        <f>((F34-SUM(E34)))/SUM(E34)</f>
        <v>-0.12605865384615381</v>
      </c>
      <c r="I34" s="198"/>
      <c r="J34" s="234">
        <f>SUM(J20:J25)</f>
        <v>34800</v>
      </c>
      <c r="K34" s="234">
        <f>SUM(K20:K25)</f>
        <v>31446.2</v>
      </c>
      <c r="L34" s="234">
        <f>SUM(L20:L25)</f>
        <v>3353.7999999999993</v>
      </c>
      <c r="M34" s="237">
        <f>((K34-SUM(J34))/SUM(J34))</f>
        <v>-9.6373563218390787E-2</v>
      </c>
      <c r="N34" s="198"/>
      <c r="O34" s="238">
        <f t="shared" ref="O34:Q34" si="24">SUM(O20:O31)</f>
        <v>24000</v>
      </c>
      <c r="P34" s="238">
        <f t="shared" si="24"/>
        <v>10000</v>
      </c>
      <c r="Q34" s="238">
        <f t="shared" si="24"/>
        <v>14000</v>
      </c>
    </row>
    <row r="35" spans="1:17" ht="15.75" customHeight="1" x14ac:dyDescent="0.3"/>
    <row r="36" spans="1:17" ht="15.75" customHeight="1" x14ac:dyDescent="0.3"/>
    <row r="37" spans="1:17" ht="15.75" customHeight="1" x14ac:dyDescent="0.3"/>
    <row r="38" spans="1:17" ht="15.75" customHeight="1" x14ac:dyDescent="0.3"/>
    <row r="39" spans="1:17" ht="15.75" customHeight="1" x14ac:dyDescent="0.3"/>
    <row r="40" spans="1:17" ht="15.75" customHeight="1" x14ac:dyDescent="0.3"/>
    <row r="41" spans="1:17" ht="15.75" customHeight="1" x14ac:dyDescent="0.3"/>
    <row r="42" spans="1:17" ht="15.75" customHeight="1" x14ac:dyDescent="0.3"/>
    <row r="43" spans="1:17" ht="15.75" customHeight="1" x14ac:dyDescent="0.3"/>
    <row r="44" spans="1:17" ht="15.75" customHeight="1" x14ac:dyDescent="0.3"/>
    <row r="45" spans="1:17" ht="15.75" customHeight="1" x14ac:dyDescent="0.3"/>
    <row r="46" spans="1:17" ht="15.75" customHeight="1" x14ac:dyDescent="0.3"/>
    <row r="47" spans="1:17" ht="15.75" customHeight="1" x14ac:dyDescent="0.3"/>
    <row r="48" spans="1:17" ht="15.75" customHeight="1" x14ac:dyDescent="0.3"/>
    <row r="49" ht="15.75" customHeight="1" x14ac:dyDescent="0.3"/>
    <row r="50" ht="15.75" customHeight="1" x14ac:dyDescent="0.3"/>
    <row r="51" ht="15.75" customHeight="1" x14ac:dyDescent="0.3"/>
    <row r="52" ht="15.75" customHeight="1" x14ac:dyDescent="0.3"/>
    <row r="53" ht="15.75" customHeight="1" x14ac:dyDescent="0.3"/>
    <row r="54" ht="15.75" customHeight="1" x14ac:dyDescent="0.3"/>
    <row r="55" ht="15.75" customHeight="1" x14ac:dyDescent="0.3"/>
    <row r="56" ht="15.75" customHeight="1" x14ac:dyDescent="0.3"/>
    <row r="57" ht="15.75" customHeight="1" x14ac:dyDescent="0.3"/>
    <row r="58" ht="15.75" customHeight="1" x14ac:dyDescent="0.3"/>
    <row r="59" ht="15.75" customHeight="1" x14ac:dyDescent="0.3"/>
    <row r="60" ht="15.75" customHeight="1" x14ac:dyDescent="0.3"/>
    <row r="61" ht="15.75" customHeight="1" x14ac:dyDescent="0.3"/>
    <row r="62" ht="15.75" customHeight="1" x14ac:dyDescent="0.3"/>
    <row r="63" ht="15.75" customHeight="1" x14ac:dyDescent="0.3"/>
    <row r="64" ht="15.75" customHeight="1" x14ac:dyDescent="0.3"/>
    <row r="65" ht="15.75" customHeight="1" x14ac:dyDescent="0.3"/>
    <row r="66" ht="15.75" customHeight="1" x14ac:dyDescent="0.3"/>
    <row r="67" ht="15.75" customHeight="1" x14ac:dyDescent="0.3"/>
    <row r="68" ht="15.75" customHeight="1" x14ac:dyDescent="0.3"/>
    <row r="69" ht="15.75" customHeight="1" x14ac:dyDescent="0.3"/>
    <row r="70" ht="15.75" customHeight="1" x14ac:dyDescent="0.3"/>
    <row r="71" ht="15.75" customHeight="1" x14ac:dyDescent="0.3"/>
    <row r="72" ht="15.75" customHeight="1" x14ac:dyDescent="0.3"/>
    <row r="73" ht="15.75" customHeight="1" x14ac:dyDescent="0.3"/>
    <row r="74" ht="15.75" customHeight="1" x14ac:dyDescent="0.3"/>
    <row r="75" ht="15.75" customHeight="1" x14ac:dyDescent="0.3"/>
    <row r="76" ht="15.75" customHeight="1" x14ac:dyDescent="0.3"/>
    <row r="77" ht="15.75" customHeight="1" x14ac:dyDescent="0.3"/>
    <row r="78" ht="15.75" customHeight="1" x14ac:dyDescent="0.3"/>
    <row r="79" ht="15.75" customHeight="1" x14ac:dyDescent="0.3"/>
    <row r="80" ht="15.75" customHeight="1" x14ac:dyDescent="0.3"/>
    <row r="81" ht="15.75" customHeight="1" x14ac:dyDescent="0.3"/>
    <row r="82" ht="15.75" customHeight="1" x14ac:dyDescent="0.3"/>
    <row r="83" ht="15.75" customHeight="1" x14ac:dyDescent="0.3"/>
    <row r="84" ht="15.75" customHeight="1" x14ac:dyDescent="0.3"/>
    <row r="85" ht="15.75" customHeight="1" x14ac:dyDescent="0.3"/>
    <row r="86" ht="15.75" customHeight="1" x14ac:dyDescent="0.3"/>
    <row r="87" ht="15.75" customHeight="1" x14ac:dyDescent="0.3"/>
    <row r="88" ht="15.75" customHeight="1" x14ac:dyDescent="0.3"/>
    <row r="89" ht="15.75" customHeight="1" x14ac:dyDescent="0.3"/>
    <row r="90" ht="15.75" customHeight="1" x14ac:dyDescent="0.3"/>
    <row r="91" ht="15.75" customHeight="1" x14ac:dyDescent="0.3"/>
    <row r="92" ht="15.75" customHeight="1" x14ac:dyDescent="0.3"/>
    <row r="93" ht="15.75" customHeight="1" x14ac:dyDescent="0.3"/>
    <row r="94" ht="15.75" customHeight="1" x14ac:dyDescent="0.3"/>
    <row r="95" ht="15.75" customHeight="1" x14ac:dyDescent="0.3"/>
    <row r="96" ht="15.75" customHeight="1" x14ac:dyDescent="0.3"/>
    <row r="97" ht="15.75" customHeight="1" x14ac:dyDescent="0.3"/>
    <row r="98" ht="15.75" customHeight="1" x14ac:dyDescent="0.3"/>
    <row r="99" ht="15.75" customHeight="1" x14ac:dyDescent="0.3"/>
    <row r="100" ht="15.75" customHeight="1" x14ac:dyDescent="0.3"/>
    <row r="101" ht="15.75" customHeight="1" x14ac:dyDescent="0.3"/>
    <row r="102" ht="15.75" customHeight="1" x14ac:dyDescent="0.3"/>
    <row r="103" ht="15.75" customHeight="1" x14ac:dyDescent="0.3"/>
    <row r="104" ht="15.75" customHeight="1" x14ac:dyDescent="0.3"/>
    <row r="105" ht="15.75" customHeight="1" x14ac:dyDescent="0.3"/>
    <row r="106" ht="15.75" customHeight="1" x14ac:dyDescent="0.3"/>
    <row r="107" ht="15.75" customHeight="1" x14ac:dyDescent="0.3"/>
    <row r="108" ht="15.75" customHeight="1" x14ac:dyDescent="0.3"/>
    <row r="109" ht="15.75" customHeight="1" x14ac:dyDescent="0.3"/>
    <row r="110" ht="15.75" customHeight="1" x14ac:dyDescent="0.3"/>
    <row r="111" ht="15.75" customHeight="1" x14ac:dyDescent="0.3"/>
    <row r="112" ht="15.75" customHeight="1" x14ac:dyDescent="0.3"/>
    <row r="113" ht="15.75" customHeight="1" x14ac:dyDescent="0.3"/>
    <row r="114" ht="15.75" customHeight="1" x14ac:dyDescent="0.3"/>
    <row r="115" ht="15.75" customHeight="1" x14ac:dyDescent="0.3"/>
    <row r="116" ht="15.75" customHeight="1" x14ac:dyDescent="0.3"/>
    <row r="117" ht="15.75" customHeight="1" x14ac:dyDescent="0.3"/>
    <row r="118" ht="15.75" customHeight="1" x14ac:dyDescent="0.3"/>
    <row r="119" ht="15.75" customHeight="1" x14ac:dyDescent="0.3"/>
    <row r="120" ht="15.75" customHeight="1" x14ac:dyDescent="0.3"/>
    <row r="121" ht="15.75" customHeight="1" x14ac:dyDescent="0.3"/>
    <row r="122" ht="15.75" customHeight="1" x14ac:dyDescent="0.3"/>
    <row r="123" ht="15.75" customHeight="1" x14ac:dyDescent="0.3"/>
    <row r="124" ht="15.75" customHeight="1" x14ac:dyDescent="0.3"/>
    <row r="125" ht="15.75" customHeight="1" x14ac:dyDescent="0.3"/>
    <row r="126" ht="15.75" customHeight="1" x14ac:dyDescent="0.3"/>
    <row r="127" ht="15.75" customHeight="1" x14ac:dyDescent="0.3"/>
    <row r="128" ht="15.75" customHeight="1" x14ac:dyDescent="0.3"/>
    <row r="129" ht="15.75" customHeight="1" x14ac:dyDescent="0.3"/>
    <row r="130" ht="15.75" customHeight="1" x14ac:dyDescent="0.3"/>
    <row r="131" ht="15.75" customHeight="1" x14ac:dyDescent="0.3"/>
    <row r="132" ht="15.75" customHeight="1" x14ac:dyDescent="0.3"/>
    <row r="133" ht="15.75" customHeight="1" x14ac:dyDescent="0.3"/>
    <row r="134" ht="15.75" customHeight="1" x14ac:dyDescent="0.3"/>
    <row r="135" ht="15.75" customHeight="1" x14ac:dyDescent="0.3"/>
    <row r="136" ht="15.75" customHeight="1" x14ac:dyDescent="0.3"/>
    <row r="137" ht="15.75" customHeight="1" x14ac:dyDescent="0.3"/>
    <row r="138" ht="15.75" customHeight="1" x14ac:dyDescent="0.3"/>
    <row r="139" ht="15.75" customHeight="1" x14ac:dyDescent="0.3"/>
    <row r="140" ht="15.75" customHeight="1" x14ac:dyDescent="0.3"/>
    <row r="141" ht="15.75" customHeight="1" x14ac:dyDescent="0.3"/>
    <row r="142" ht="15.75" customHeight="1" x14ac:dyDescent="0.3"/>
    <row r="143" ht="15.75" customHeight="1" x14ac:dyDescent="0.3"/>
    <row r="144" ht="15.75" customHeight="1" x14ac:dyDescent="0.3"/>
    <row r="145" ht="15.75" customHeight="1" x14ac:dyDescent="0.3"/>
    <row r="146" ht="15.75" customHeight="1" x14ac:dyDescent="0.3"/>
    <row r="147" ht="15.75" customHeight="1" x14ac:dyDescent="0.3"/>
    <row r="148" ht="15.75" customHeight="1" x14ac:dyDescent="0.3"/>
    <row r="149" ht="15.75" customHeight="1" x14ac:dyDescent="0.3"/>
    <row r="150" ht="15.75" customHeight="1" x14ac:dyDescent="0.3"/>
    <row r="151" ht="15.75" customHeight="1" x14ac:dyDescent="0.3"/>
    <row r="152" ht="15.75" customHeight="1" x14ac:dyDescent="0.3"/>
    <row r="153" ht="15.75" customHeight="1" x14ac:dyDescent="0.3"/>
    <row r="154" ht="15.75" customHeight="1" x14ac:dyDescent="0.3"/>
    <row r="155" ht="15.75" customHeight="1" x14ac:dyDescent="0.3"/>
    <row r="156" ht="15.75" customHeight="1" x14ac:dyDescent="0.3"/>
    <row r="157" ht="15.75" customHeight="1" x14ac:dyDescent="0.3"/>
    <row r="158" ht="15.75" customHeight="1" x14ac:dyDescent="0.3"/>
    <row r="159" ht="15.75" customHeight="1" x14ac:dyDescent="0.3"/>
    <row r="160" ht="15.75" customHeight="1" x14ac:dyDescent="0.3"/>
    <row r="161" ht="15.75" customHeight="1" x14ac:dyDescent="0.3"/>
    <row r="162" ht="15.75" customHeight="1" x14ac:dyDescent="0.3"/>
    <row r="163" ht="15.75" customHeight="1" x14ac:dyDescent="0.3"/>
    <row r="164" ht="15.75" customHeight="1" x14ac:dyDescent="0.3"/>
    <row r="165" ht="15.75" customHeight="1" x14ac:dyDescent="0.3"/>
    <row r="166" ht="15.75" customHeight="1" x14ac:dyDescent="0.3"/>
    <row r="167" ht="15.75" customHeight="1" x14ac:dyDescent="0.3"/>
    <row r="168" ht="15.75" customHeight="1" x14ac:dyDescent="0.3"/>
    <row r="169" ht="15.75" customHeight="1" x14ac:dyDescent="0.3"/>
    <row r="170" ht="15.75" customHeight="1" x14ac:dyDescent="0.3"/>
    <row r="171" ht="15.75" customHeight="1" x14ac:dyDescent="0.3"/>
    <row r="172" ht="15.75" customHeight="1" x14ac:dyDescent="0.3"/>
    <row r="173" ht="15.75" customHeight="1" x14ac:dyDescent="0.3"/>
    <row r="174" ht="15.75" customHeight="1" x14ac:dyDescent="0.3"/>
    <row r="175" ht="15.75" customHeight="1" x14ac:dyDescent="0.3"/>
    <row r="176" ht="15.75" customHeight="1" x14ac:dyDescent="0.3"/>
    <row r="177" ht="15.75" customHeight="1" x14ac:dyDescent="0.3"/>
    <row r="178" ht="15.75" customHeight="1" x14ac:dyDescent="0.3"/>
    <row r="179" ht="15.75" customHeight="1" x14ac:dyDescent="0.3"/>
    <row r="180" ht="15.75" customHeight="1" x14ac:dyDescent="0.3"/>
    <row r="181" ht="15.75" customHeight="1" x14ac:dyDescent="0.3"/>
    <row r="182" ht="15.75" customHeight="1" x14ac:dyDescent="0.3"/>
    <row r="183" ht="15.75" customHeight="1" x14ac:dyDescent="0.3"/>
    <row r="184" ht="15.75" customHeight="1" x14ac:dyDescent="0.3"/>
    <row r="185" ht="15.75" customHeight="1" x14ac:dyDescent="0.3"/>
    <row r="186" ht="15.75" customHeight="1" x14ac:dyDescent="0.3"/>
    <row r="187" ht="15.75" customHeight="1" x14ac:dyDescent="0.3"/>
    <row r="188" ht="15.75" customHeight="1" x14ac:dyDescent="0.3"/>
    <row r="189" ht="15.75" customHeight="1" x14ac:dyDescent="0.3"/>
    <row r="190" ht="15.75" customHeight="1" x14ac:dyDescent="0.3"/>
    <row r="191" ht="15.75" customHeight="1" x14ac:dyDescent="0.3"/>
    <row r="192" ht="15.75" customHeight="1" x14ac:dyDescent="0.3"/>
    <row r="193" ht="15.75" customHeight="1" x14ac:dyDescent="0.3"/>
    <row r="194" ht="15.75" customHeight="1" x14ac:dyDescent="0.3"/>
    <row r="195" ht="15.75" customHeight="1" x14ac:dyDescent="0.3"/>
    <row r="196" ht="15.75" customHeight="1" x14ac:dyDescent="0.3"/>
    <row r="197" ht="15.75" customHeight="1" x14ac:dyDescent="0.3"/>
    <row r="198" ht="15.75" customHeight="1" x14ac:dyDescent="0.3"/>
    <row r="199" ht="15.75" customHeight="1" x14ac:dyDescent="0.3"/>
    <row r="200" ht="15.75" customHeight="1" x14ac:dyDescent="0.3"/>
    <row r="201" ht="15.75" customHeight="1" x14ac:dyDescent="0.3"/>
    <row r="202" ht="15.75" customHeight="1" x14ac:dyDescent="0.3"/>
    <row r="203" ht="15.75" customHeight="1" x14ac:dyDescent="0.3"/>
    <row r="204" ht="15.75" customHeight="1" x14ac:dyDescent="0.3"/>
    <row r="205" ht="15.75" customHeight="1" x14ac:dyDescent="0.3"/>
    <row r="206" ht="15.75" customHeight="1" x14ac:dyDescent="0.3"/>
    <row r="207" ht="15.75" customHeight="1" x14ac:dyDescent="0.3"/>
    <row r="208" ht="15.75" customHeight="1" x14ac:dyDescent="0.3"/>
    <row r="209" ht="15.75" customHeight="1" x14ac:dyDescent="0.3"/>
    <row r="210" ht="15.75" customHeight="1" x14ac:dyDescent="0.3"/>
    <row r="211" ht="15.75" customHeight="1" x14ac:dyDescent="0.3"/>
    <row r="212" ht="15.75" customHeight="1" x14ac:dyDescent="0.3"/>
    <row r="213" ht="15.75" customHeight="1" x14ac:dyDescent="0.3"/>
    <row r="214" ht="15.75" customHeight="1" x14ac:dyDescent="0.3"/>
    <row r="215" ht="15.75" customHeight="1" x14ac:dyDescent="0.3"/>
    <row r="216" ht="15.75" customHeight="1" x14ac:dyDescent="0.3"/>
    <row r="217" ht="15.75" customHeight="1" x14ac:dyDescent="0.3"/>
    <row r="218" ht="15.75" customHeight="1" x14ac:dyDescent="0.3"/>
    <row r="219" ht="15.75" customHeight="1" x14ac:dyDescent="0.3"/>
    <row r="220" ht="15.75" customHeight="1" x14ac:dyDescent="0.3"/>
    <row r="221" ht="15.75" customHeight="1" x14ac:dyDescent="0.3"/>
    <row r="222" ht="15.75" customHeight="1" x14ac:dyDescent="0.3"/>
    <row r="223" ht="15.75" customHeight="1" x14ac:dyDescent="0.3"/>
    <row r="224" ht="15.75" customHeight="1" x14ac:dyDescent="0.3"/>
    <row r="225" ht="15.75" customHeight="1" x14ac:dyDescent="0.3"/>
    <row r="226" ht="15.75" customHeight="1" x14ac:dyDescent="0.3"/>
    <row r="227" ht="15.75" customHeight="1" x14ac:dyDescent="0.3"/>
    <row r="228" ht="15.75" customHeight="1" x14ac:dyDescent="0.3"/>
    <row r="229" ht="15.75" customHeight="1" x14ac:dyDescent="0.3"/>
    <row r="230" ht="15.75" customHeight="1" x14ac:dyDescent="0.3"/>
    <row r="231" ht="15.75" customHeight="1" x14ac:dyDescent="0.3"/>
    <row r="232" ht="15.75" customHeight="1" x14ac:dyDescent="0.3"/>
    <row r="233" ht="15.75" customHeight="1" x14ac:dyDescent="0.3"/>
    <row r="234" ht="15.75" customHeight="1" x14ac:dyDescent="0.3"/>
    <row r="235" ht="15.75" customHeight="1" x14ac:dyDescent="0.3"/>
    <row r="236" ht="15.75" customHeight="1" x14ac:dyDescent="0.3"/>
    <row r="237" ht="15.75" customHeight="1" x14ac:dyDescent="0.3"/>
    <row r="238" ht="15.75" customHeight="1" x14ac:dyDescent="0.3"/>
    <row r="239" ht="15.75" customHeight="1" x14ac:dyDescent="0.3"/>
    <row r="240" ht="15.75" customHeight="1" x14ac:dyDescent="0.3"/>
    <row r="241" ht="15.75" customHeight="1" x14ac:dyDescent="0.3"/>
    <row r="242" ht="15.75" customHeight="1" x14ac:dyDescent="0.3"/>
    <row r="243" ht="15.75" customHeight="1" x14ac:dyDescent="0.3"/>
    <row r="244" ht="15.75" customHeight="1" x14ac:dyDescent="0.3"/>
    <row r="245" ht="15.75" customHeight="1" x14ac:dyDescent="0.3"/>
    <row r="246" ht="15.75" customHeight="1" x14ac:dyDescent="0.3"/>
    <row r="247" ht="15.75" customHeight="1" x14ac:dyDescent="0.3"/>
    <row r="248" ht="15.75" customHeight="1" x14ac:dyDescent="0.3"/>
    <row r="249" ht="15.75" customHeight="1" x14ac:dyDescent="0.3"/>
    <row r="250" ht="15.75" customHeight="1" x14ac:dyDescent="0.3"/>
    <row r="251" ht="15.75" customHeight="1" x14ac:dyDescent="0.3"/>
    <row r="252" ht="15.75" customHeight="1" x14ac:dyDescent="0.3"/>
    <row r="253" ht="15.75" customHeight="1" x14ac:dyDescent="0.3"/>
    <row r="254" ht="15.75" customHeight="1" x14ac:dyDescent="0.3"/>
    <row r="255" ht="15.75" customHeight="1" x14ac:dyDescent="0.3"/>
    <row r="256" ht="15.75" customHeight="1" x14ac:dyDescent="0.3"/>
    <row r="257" ht="15.75" customHeight="1" x14ac:dyDescent="0.3"/>
    <row r="258" ht="15.75" customHeight="1" x14ac:dyDescent="0.3"/>
    <row r="259" ht="15.75" customHeight="1" x14ac:dyDescent="0.3"/>
    <row r="260" ht="15.75" customHeight="1" x14ac:dyDescent="0.3"/>
    <row r="261" ht="15.75" customHeight="1" x14ac:dyDescent="0.3"/>
    <row r="262" ht="15.75" customHeight="1" x14ac:dyDescent="0.3"/>
    <row r="263" ht="15.75" customHeight="1" x14ac:dyDescent="0.3"/>
    <row r="264" ht="15.75" customHeight="1" x14ac:dyDescent="0.3"/>
    <row r="265" ht="15.75" customHeight="1" x14ac:dyDescent="0.3"/>
    <row r="266" ht="15.75" customHeight="1" x14ac:dyDescent="0.3"/>
    <row r="267" ht="15.75" customHeight="1" x14ac:dyDescent="0.3"/>
    <row r="268" ht="15.75" customHeight="1" x14ac:dyDescent="0.3"/>
    <row r="269" ht="15.75" customHeight="1" x14ac:dyDescent="0.3"/>
    <row r="270" ht="15.75" customHeight="1" x14ac:dyDescent="0.3"/>
    <row r="271" ht="15.75" customHeight="1" x14ac:dyDescent="0.3"/>
    <row r="272" ht="15.75" customHeight="1" x14ac:dyDescent="0.3"/>
    <row r="273" ht="15.75" customHeight="1" x14ac:dyDescent="0.3"/>
    <row r="274" ht="15.75" customHeight="1" x14ac:dyDescent="0.3"/>
    <row r="275" ht="15.75" customHeight="1" x14ac:dyDescent="0.3"/>
    <row r="276" ht="15.75" customHeight="1" x14ac:dyDescent="0.3"/>
    <row r="277" ht="15.75" customHeight="1" x14ac:dyDescent="0.3"/>
    <row r="278" ht="15.75" customHeight="1" x14ac:dyDescent="0.3"/>
    <row r="279" ht="15.75" customHeight="1" x14ac:dyDescent="0.3"/>
    <row r="280" ht="15.75" customHeight="1" x14ac:dyDescent="0.3"/>
    <row r="281" ht="15.75" customHeight="1" x14ac:dyDescent="0.3"/>
    <row r="282" ht="15.75" customHeight="1" x14ac:dyDescent="0.3"/>
    <row r="283" ht="15.75" customHeight="1" x14ac:dyDescent="0.3"/>
    <row r="284" ht="15.75" customHeight="1" x14ac:dyDescent="0.3"/>
    <row r="285" ht="15.75" customHeight="1" x14ac:dyDescent="0.3"/>
    <row r="286" ht="15.75" customHeight="1" x14ac:dyDescent="0.3"/>
    <row r="287" ht="15.75" customHeight="1" x14ac:dyDescent="0.3"/>
    <row r="288" ht="15.75" customHeight="1" x14ac:dyDescent="0.3"/>
    <row r="289" ht="15.75" customHeight="1" x14ac:dyDescent="0.3"/>
    <row r="290" ht="15.75" customHeight="1" x14ac:dyDescent="0.3"/>
    <row r="291" ht="15.75" customHeight="1" x14ac:dyDescent="0.3"/>
    <row r="292" ht="15.75" customHeight="1" x14ac:dyDescent="0.3"/>
    <row r="293" ht="15.75" customHeight="1" x14ac:dyDescent="0.3"/>
    <row r="294" ht="15.75" customHeight="1" x14ac:dyDescent="0.3"/>
    <row r="295" ht="15.75" customHeight="1" x14ac:dyDescent="0.3"/>
    <row r="296" ht="15.75" customHeight="1" x14ac:dyDescent="0.3"/>
    <row r="297" ht="15.75" customHeight="1" x14ac:dyDescent="0.3"/>
    <row r="298" ht="15.75" customHeight="1" x14ac:dyDescent="0.3"/>
    <row r="299" ht="15.75" customHeight="1" x14ac:dyDescent="0.3"/>
    <row r="300" ht="15.75" customHeight="1" x14ac:dyDescent="0.3"/>
    <row r="301" ht="15.75" customHeight="1" x14ac:dyDescent="0.3"/>
    <row r="302" ht="15.75" customHeight="1" x14ac:dyDescent="0.3"/>
    <row r="303" ht="15.75" customHeight="1" x14ac:dyDescent="0.3"/>
    <row r="304" ht="15.75" customHeight="1" x14ac:dyDescent="0.3"/>
    <row r="305" ht="15.75" customHeight="1" x14ac:dyDescent="0.3"/>
    <row r="306" ht="15.75" customHeight="1" x14ac:dyDescent="0.3"/>
    <row r="307" ht="15.75" customHeight="1" x14ac:dyDescent="0.3"/>
    <row r="308" ht="15.75" customHeight="1" x14ac:dyDescent="0.3"/>
    <row r="309" ht="15.75" customHeight="1" x14ac:dyDescent="0.3"/>
    <row r="310" ht="15.75" customHeight="1" x14ac:dyDescent="0.3"/>
    <row r="311" ht="15.75" customHeight="1" x14ac:dyDescent="0.3"/>
    <row r="312" ht="15.75" customHeight="1" x14ac:dyDescent="0.3"/>
    <row r="313" ht="15.75" customHeight="1" x14ac:dyDescent="0.3"/>
    <row r="314" ht="15.75" customHeight="1" x14ac:dyDescent="0.3"/>
    <row r="315" ht="15.75" customHeight="1" x14ac:dyDescent="0.3"/>
    <row r="316" ht="15.75" customHeight="1" x14ac:dyDescent="0.3"/>
    <row r="317" ht="15.75" customHeight="1" x14ac:dyDescent="0.3"/>
    <row r="318" ht="15.75" customHeight="1" x14ac:dyDescent="0.3"/>
    <row r="319" ht="15.75" customHeight="1" x14ac:dyDescent="0.3"/>
    <row r="320" ht="15.75" customHeight="1" x14ac:dyDescent="0.3"/>
    <row r="321" ht="15.75" customHeight="1" x14ac:dyDescent="0.3"/>
    <row r="322" ht="15.75" customHeight="1" x14ac:dyDescent="0.3"/>
    <row r="323" ht="15.75" customHeight="1" x14ac:dyDescent="0.3"/>
    <row r="324" ht="15.75" customHeight="1" x14ac:dyDescent="0.3"/>
    <row r="325" ht="15.75" customHeight="1" x14ac:dyDescent="0.3"/>
    <row r="326" ht="15.75" customHeight="1" x14ac:dyDescent="0.3"/>
    <row r="327" ht="15.75" customHeight="1" x14ac:dyDescent="0.3"/>
    <row r="328" ht="15.75" customHeight="1" x14ac:dyDescent="0.3"/>
    <row r="329" ht="15.75" customHeight="1" x14ac:dyDescent="0.3"/>
    <row r="330" ht="15.75" customHeight="1" x14ac:dyDescent="0.3"/>
    <row r="331" ht="15.75" customHeight="1" x14ac:dyDescent="0.3"/>
    <row r="332" ht="15.75" customHeight="1" x14ac:dyDescent="0.3"/>
    <row r="333" ht="15.75" customHeight="1" x14ac:dyDescent="0.3"/>
    <row r="334" ht="15.75" customHeight="1" x14ac:dyDescent="0.3"/>
    <row r="335" ht="15.75" customHeight="1" x14ac:dyDescent="0.3"/>
    <row r="336" ht="15.75" customHeight="1" x14ac:dyDescent="0.3"/>
    <row r="337" ht="15.75" customHeight="1" x14ac:dyDescent="0.3"/>
    <row r="338" ht="15.75" customHeight="1" x14ac:dyDescent="0.3"/>
    <row r="339" ht="15.75" customHeight="1" x14ac:dyDescent="0.3"/>
    <row r="340" ht="15.75" customHeight="1" x14ac:dyDescent="0.3"/>
    <row r="341" ht="15.75" customHeight="1" x14ac:dyDescent="0.3"/>
    <row r="342" ht="15.75" customHeight="1" x14ac:dyDescent="0.3"/>
    <row r="343" ht="15.75" customHeight="1" x14ac:dyDescent="0.3"/>
    <row r="344" ht="15.75" customHeight="1" x14ac:dyDescent="0.3"/>
    <row r="345" ht="15.75" customHeight="1" x14ac:dyDescent="0.3"/>
    <row r="346" ht="15.75" customHeight="1" x14ac:dyDescent="0.3"/>
    <row r="347" ht="15.75" customHeight="1" x14ac:dyDescent="0.3"/>
    <row r="348" ht="15.75" customHeight="1" x14ac:dyDescent="0.3"/>
    <row r="349" ht="15.75" customHeight="1" x14ac:dyDescent="0.3"/>
    <row r="350" ht="15.75" customHeight="1" x14ac:dyDescent="0.3"/>
    <row r="351" ht="15.75" customHeight="1" x14ac:dyDescent="0.3"/>
    <row r="352" ht="15.75" customHeight="1" x14ac:dyDescent="0.3"/>
    <row r="353" ht="15.75" customHeight="1" x14ac:dyDescent="0.3"/>
    <row r="354" ht="15.75" customHeight="1" x14ac:dyDescent="0.3"/>
    <row r="355" ht="15.75" customHeight="1" x14ac:dyDescent="0.3"/>
    <row r="356" ht="15.75" customHeight="1" x14ac:dyDescent="0.3"/>
    <row r="357" ht="15.75" customHeight="1" x14ac:dyDescent="0.3"/>
    <row r="358" ht="15.75" customHeight="1" x14ac:dyDescent="0.3"/>
    <row r="359" ht="15.75" customHeight="1" x14ac:dyDescent="0.3"/>
    <row r="360" ht="15.75" customHeight="1" x14ac:dyDescent="0.3"/>
    <row r="361" ht="15.75" customHeight="1" x14ac:dyDescent="0.3"/>
    <row r="362" ht="15.75" customHeight="1" x14ac:dyDescent="0.3"/>
    <row r="363" ht="15.75" customHeight="1" x14ac:dyDescent="0.3"/>
    <row r="364" ht="15.75" customHeight="1" x14ac:dyDescent="0.3"/>
    <row r="365" ht="15.75" customHeight="1" x14ac:dyDescent="0.3"/>
    <row r="366" ht="15.75" customHeight="1" x14ac:dyDescent="0.3"/>
    <row r="367" ht="15.75" customHeight="1" x14ac:dyDescent="0.3"/>
    <row r="368" ht="15.75" customHeight="1" x14ac:dyDescent="0.3"/>
    <row r="369" ht="15.75" customHeight="1" x14ac:dyDescent="0.3"/>
    <row r="370" ht="15.75" customHeight="1" x14ac:dyDescent="0.3"/>
    <row r="371" ht="15.75" customHeight="1" x14ac:dyDescent="0.3"/>
    <row r="372" ht="15.75" customHeight="1" x14ac:dyDescent="0.3"/>
    <row r="373" ht="15.75" customHeight="1" x14ac:dyDescent="0.3"/>
    <row r="374" ht="15.75" customHeight="1" x14ac:dyDescent="0.3"/>
    <row r="375" ht="15.75" customHeight="1" x14ac:dyDescent="0.3"/>
    <row r="376" ht="15.75" customHeight="1" x14ac:dyDescent="0.3"/>
    <row r="377" ht="15.75" customHeight="1" x14ac:dyDescent="0.3"/>
    <row r="378" ht="15.75" customHeight="1" x14ac:dyDescent="0.3"/>
    <row r="379" ht="15.75" customHeight="1" x14ac:dyDescent="0.3"/>
    <row r="380" ht="15.75" customHeight="1" x14ac:dyDescent="0.3"/>
    <row r="381" ht="15.75" customHeight="1" x14ac:dyDescent="0.3"/>
    <row r="382" ht="15.75" customHeight="1" x14ac:dyDescent="0.3"/>
    <row r="383" ht="15.75" customHeight="1" x14ac:dyDescent="0.3"/>
    <row r="384" ht="15.75" customHeight="1" x14ac:dyDescent="0.3"/>
    <row r="385" ht="15.75" customHeight="1" x14ac:dyDescent="0.3"/>
    <row r="386" ht="15.75" customHeight="1" x14ac:dyDescent="0.3"/>
    <row r="387" ht="15.75" customHeight="1" x14ac:dyDescent="0.3"/>
    <row r="388" ht="15.75" customHeight="1" x14ac:dyDescent="0.3"/>
    <row r="389" ht="15.75" customHeight="1" x14ac:dyDescent="0.3"/>
    <row r="390" ht="15.75" customHeight="1" x14ac:dyDescent="0.3"/>
    <row r="391" ht="15.75" customHeight="1" x14ac:dyDescent="0.3"/>
    <row r="392" ht="15.75" customHeight="1" x14ac:dyDescent="0.3"/>
    <row r="393" ht="15.75" customHeight="1" x14ac:dyDescent="0.3"/>
    <row r="394" ht="15.75" customHeight="1" x14ac:dyDescent="0.3"/>
    <row r="395" ht="15.75" customHeight="1" x14ac:dyDescent="0.3"/>
    <row r="396" ht="15.75" customHeight="1" x14ac:dyDescent="0.3"/>
    <row r="397" ht="15.75" customHeight="1" x14ac:dyDescent="0.3"/>
    <row r="398" ht="15.75" customHeight="1" x14ac:dyDescent="0.3"/>
    <row r="399" ht="15.75" customHeight="1" x14ac:dyDescent="0.3"/>
    <row r="400" ht="15.75" customHeight="1" x14ac:dyDescent="0.3"/>
    <row r="401" ht="15.75" customHeight="1" x14ac:dyDescent="0.3"/>
    <row r="402" ht="15.75" customHeight="1" x14ac:dyDescent="0.3"/>
    <row r="403" ht="15.75" customHeight="1" x14ac:dyDescent="0.3"/>
    <row r="404" ht="15.75" customHeight="1" x14ac:dyDescent="0.3"/>
    <row r="405" ht="15.75" customHeight="1" x14ac:dyDescent="0.3"/>
    <row r="406" ht="15.75" customHeight="1" x14ac:dyDescent="0.3"/>
    <row r="407" ht="15.75" customHeight="1" x14ac:dyDescent="0.3"/>
    <row r="408" ht="15.75" customHeight="1" x14ac:dyDescent="0.3"/>
    <row r="409" ht="15.75" customHeight="1" x14ac:dyDescent="0.3"/>
    <row r="410" ht="15.75" customHeight="1" x14ac:dyDescent="0.3"/>
    <row r="411" ht="15.75" customHeight="1" x14ac:dyDescent="0.3"/>
    <row r="412" ht="15.75" customHeight="1" x14ac:dyDescent="0.3"/>
    <row r="413" ht="15.75" customHeight="1" x14ac:dyDescent="0.3"/>
    <row r="414" ht="15.75" customHeight="1" x14ac:dyDescent="0.3"/>
    <row r="415" ht="15.75" customHeight="1" x14ac:dyDescent="0.3"/>
    <row r="416" ht="15.75" customHeight="1" x14ac:dyDescent="0.3"/>
    <row r="417" ht="15.75" customHeight="1" x14ac:dyDescent="0.3"/>
    <row r="418" ht="15.75" customHeight="1" x14ac:dyDescent="0.3"/>
    <row r="419" ht="15.75" customHeight="1" x14ac:dyDescent="0.3"/>
    <row r="420" ht="15.75" customHeight="1" x14ac:dyDescent="0.3"/>
    <row r="421" ht="15.75" customHeight="1" x14ac:dyDescent="0.3"/>
    <row r="422" ht="15.75" customHeight="1" x14ac:dyDescent="0.3"/>
    <row r="423" ht="15.75" customHeight="1" x14ac:dyDescent="0.3"/>
    <row r="424" ht="15.75" customHeight="1" x14ac:dyDescent="0.3"/>
    <row r="425" ht="15.75" customHeight="1" x14ac:dyDescent="0.3"/>
    <row r="426" ht="15.75" customHeight="1" x14ac:dyDescent="0.3"/>
    <row r="427" ht="15.75" customHeight="1" x14ac:dyDescent="0.3"/>
    <row r="428" ht="15.75" customHeight="1" x14ac:dyDescent="0.3"/>
    <row r="429" ht="15.75" customHeight="1" x14ac:dyDescent="0.3"/>
    <row r="430" ht="15.75" customHeight="1" x14ac:dyDescent="0.3"/>
    <row r="431" ht="15.75" customHeight="1" x14ac:dyDescent="0.3"/>
    <row r="432" ht="15.75" customHeight="1" x14ac:dyDescent="0.3"/>
    <row r="433" ht="15.75" customHeight="1" x14ac:dyDescent="0.3"/>
    <row r="434" ht="15.75" customHeight="1" x14ac:dyDescent="0.3"/>
    <row r="435" ht="15.75" customHeight="1" x14ac:dyDescent="0.3"/>
    <row r="436" ht="15.75" customHeight="1" x14ac:dyDescent="0.3"/>
    <row r="437" ht="15.75" customHeight="1" x14ac:dyDescent="0.3"/>
    <row r="438" ht="15.75" customHeight="1" x14ac:dyDescent="0.3"/>
    <row r="439" ht="15.75" customHeight="1" x14ac:dyDescent="0.3"/>
    <row r="440" ht="15.75" customHeight="1" x14ac:dyDescent="0.3"/>
    <row r="441" ht="15.75" customHeight="1" x14ac:dyDescent="0.3"/>
    <row r="442" ht="15.75" customHeight="1" x14ac:dyDescent="0.3"/>
    <row r="443" ht="15.75" customHeight="1" x14ac:dyDescent="0.3"/>
    <row r="444" ht="15.75" customHeight="1" x14ac:dyDescent="0.3"/>
    <row r="445" ht="15.75" customHeight="1" x14ac:dyDescent="0.3"/>
    <row r="446" ht="15.75" customHeight="1" x14ac:dyDescent="0.3"/>
    <row r="447" ht="15.75" customHeight="1" x14ac:dyDescent="0.3"/>
    <row r="448" ht="15.75" customHeight="1" x14ac:dyDescent="0.3"/>
    <row r="449" ht="15.75" customHeight="1" x14ac:dyDescent="0.3"/>
    <row r="450" ht="15.75" customHeight="1" x14ac:dyDescent="0.3"/>
    <row r="451" ht="15.75" customHeight="1" x14ac:dyDescent="0.3"/>
    <row r="452" ht="15.75" customHeight="1" x14ac:dyDescent="0.3"/>
    <row r="453" ht="15.75" customHeight="1" x14ac:dyDescent="0.3"/>
    <row r="454" ht="15.75" customHeight="1" x14ac:dyDescent="0.3"/>
    <row r="455" ht="15.75" customHeight="1" x14ac:dyDescent="0.3"/>
    <row r="456" ht="15.75" customHeight="1" x14ac:dyDescent="0.3"/>
    <row r="457" ht="15.75" customHeight="1" x14ac:dyDescent="0.3"/>
    <row r="458" ht="15.75" customHeight="1" x14ac:dyDescent="0.3"/>
    <row r="459" ht="15.75" customHeight="1" x14ac:dyDescent="0.3"/>
    <row r="460" ht="15.75" customHeight="1" x14ac:dyDescent="0.3"/>
    <row r="461" ht="15.75" customHeight="1" x14ac:dyDescent="0.3"/>
    <row r="462" ht="15.75" customHeight="1" x14ac:dyDescent="0.3"/>
    <row r="463" ht="15.75" customHeight="1" x14ac:dyDescent="0.3"/>
    <row r="464" ht="15.75" customHeight="1" x14ac:dyDescent="0.3"/>
    <row r="465" ht="15.75" customHeight="1" x14ac:dyDescent="0.3"/>
    <row r="466" ht="15.75" customHeight="1" x14ac:dyDescent="0.3"/>
    <row r="467" ht="15.75" customHeight="1" x14ac:dyDescent="0.3"/>
    <row r="468" ht="15.75" customHeight="1" x14ac:dyDescent="0.3"/>
    <row r="469" ht="15.75" customHeight="1" x14ac:dyDescent="0.3"/>
    <row r="470" ht="15.75" customHeight="1" x14ac:dyDescent="0.3"/>
    <row r="471" ht="15.75" customHeight="1" x14ac:dyDescent="0.3"/>
    <row r="472" ht="15.75" customHeight="1" x14ac:dyDescent="0.3"/>
    <row r="473" ht="15.75" customHeight="1" x14ac:dyDescent="0.3"/>
    <row r="474" ht="15.75" customHeight="1" x14ac:dyDescent="0.3"/>
    <row r="475" ht="15.75" customHeight="1" x14ac:dyDescent="0.3"/>
    <row r="476" ht="15.75" customHeight="1" x14ac:dyDescent="0.3"/>
    <row r="477" ht="15.75" customHeight="1" x14ac:dyDescent="0.3"/>
    <row r="478" ht="15.75" customHeight="1" x14ac:dyDescent="0.3"/>
    <row r="479" ht="15.75" customHeight="1" x14ac:dyDescent="0.3"/>
    <row r="480" ht="15.75" customHeight="1" x14ac:dyDescent="0.3"/>
    <row r="481" ht="15.75" customHeight="1" x14ac:dyDescent="0.3"/>
    <row r="482" ht="15.75" customHeight="1" x14ac:dyDescent="0.3"/>
    <row r="483" ht="15.75" customHeight="1" x14ac:dyDescent="0.3"/>
    <row r="484" ht="15.75" customHeight="1" x14ac:dyDescent="0.3"/>
    <row r="485" ht="15.75" customHeight="1" x14ac:dyDescent="0.3"/>
    <row r="486" ht="15.75" customHeight="1" x14ac:dyDescent="0.3"/>
    <row r="487" ht="15.75" customHeight="1" x14ac:dyDescent="0.3"/>
    <row r="488" ht="15.75" customHeight="1" x14ac:dyDescent="0.3"/>
    <row r="489" ht="15.75" customHeight="1" x14ac:dyDescent="0.3"/>
    <row r="490" ht="15.75" customHeight="1" x14ac:dyDescent="0.3"/>
    <row r="491" ht="15.75" customHeight="1" x14ac:dyDescent="0.3"/>
    <row r="492" ht="15.75" customHeight="1" x14ac:dyDescent="0.3"/>
    <row r="493" ht="15.75" customHeight="1" x14ac:dyDescent="0.3"/>
    <row r="494" ht="15.75" customHeight="1" x14ac:dyDescent="0.3"/>
    <row r="495" ht="15.75" customHeight="1" x14ac:dyDescent="0.3"/>
    <row r="496" ht="15.75" customHeight="1" x14ac:dyDescent="0.3"/>
    <row r="497" ht="15.75" customHeight="1" x14ac:dyDescent="0.3"/>
    <row r="498" ht="15.75" customHeight="1" x14ac:dyDescent="0.3"/>
    <row r="499" ht="15.75" customHeight="1" x14ac:dyDescent="0.3"/>
    <row r="500" ht="15.75" customHeight="1" x14ac:dyDescent="0.3"/>
    <row r="501" ht="15.75" customHeight="1" x14ac:dyDescent="0.3"/>
    <row r="502" ht="15.75" customHeight="1" x14ac:dyDescent="0.3"/>
    <row r="503" ht="15.75" customHeight="1" x14ac:dyDescent="0.3"/>
    <row r="504" ht="15.75" customHeight="1" x14ac:dyDescent="0.3"/>
    <row r="505" ht="15.75" customHeight="1" x14ac:dyDescent="0.3"/>
    <row r="506" ht="15.75" customHeight="1" x14ac:dyDescent="0.3"/>
    <row r="507" ht="15.75" customHeight="1" x14ac:dyDescent="0.3"/>
    <row r="508" ht="15.75" customHeight="1" x14ac:dyDescent="0.3"/>
    <row r="509" ht="15.75" customHeight="1" x14ac:dyDescent="0.3"/>
    <row r="510" ht="15.75" customHeight="1" x14ac:dyDescent="0.3"/>
    <row r="511" ht="15.75" customHeight="1" x14ac:dyDescent="0.3"/>
    <row r="512" ht="15.75" customHeight="1" x14ac:dyDescent="0.3"/>
    <row r="513" ht="15.75" customHeight="1" x14ac:dyDescent="0.3"/>
    <row r="514" ht="15.75" customHeight="1" x14ac:dyDescent="0.3"/>
    <row r="515" ht="15.75" customHeight="1" x14ac:dyDescent="0.3"/>
    <row r="516" ht="15.75" customHeight="1" x14ac:dyDescent="0.3"/>
    <row r="517" ht="15.75" customHeight="1" x14ac:dyDescent="0.3"/>
    <row r="518" ht="15.75" customHeight="1" x14ac:dyDescent="0.3"/>
    <row r="519" ht="15.75" customHeight="1" x14ac:dyDescent="0.3"/>
    <row r="520" ht="15.75" customHeight="1" x14ac:dyDescent="0.3"/>
    <row r="521" ht="15.75" customHeight="1" x14ac:dyDescent="0.3"/>
    <row r="522" ht="15.75" customHeight="1" x14ac:dyDescent="0.3"/>
    <row r="523" ht="15.75" customHeight="1" x14ac:dyDescent="0.3"/>
    <row r="524" ht="15.75" customHeight="1" x14ac:dyDescent="0.3"/>
    <row r="525" ht="15.75" customHeight="1" x14ac:dyDescent="0.3"/>
    <row r="526" ht="15.75" customHeight="1" x14ac:dyDescent="0.3"/>
    <row r="527" ht="15.75" customHeight="1" x14ac:dyDescent="0.3"/>
    <row r="528" ht="15.75" customHeight="1" x14ac:dyDescent="0.3"/>
    <row r="529" ht="15.75" customHeight="1" x14ac:dyDescent="0.3"/>
    <row r="530" ht="15.75" customHeight="1" x14ac:dyDescent="0.3"/>
    <row r="531" ht="15.75" customHeight="1" x14ac:dyDescent="0.3"/>
    <row r="532" ht="15.75" customHeight="1" x14ac:dyDescent="0.3"/>
    <row r="533" ht="15.75" customHeight="1" x14ac:dyDescent="0.3"/>
    <row r="534" ht="15.75" customHeight="1" x14ac:dyDescent="0.3"/>
    <row r="535" ht="15.75" customHeight="1" x14ac:dyDescent="0.3"/>
    <row r="536" ht="15.75" customHeight="1" x14ac:dyDescent="0.3"/>
    <row r="537" ht="15.75" customHeight="1" x14ac:dyDescent="0.3"/>
    <row r="538" ht="15.75" customHeight="1" x14ac:dyDescent="0.3"/>
    <row r="539" ht="15.75" customHeight="1" x14ac:dyDescent="0.3"/>
    <row r="540" ht="15.75" customHeight="1" x14ac:dyDescent="0.3"/>
    <row r="541" ht="15.75" customHeight="1" x14ac:dyDescent="0.3"/>
    <row r="542" ht="15.75" customHeight="1" x14ac:dyDescent="0.3"/>
    <row r="543" ht="15.75" customHeight="1" x14ac:dyDescent="0.3"/>
    <row r="544" ht="15.75" customHeight="1" x14ac:dyDescent="0.3"/>
    <row r="545" ht="15.75" customHeight="1" x14ac:dyDescent="0.3"/>
    <row r="546" ht="15.75" customHeight="1" x14ac:dyDescent="0.3"/>
    <row r="547" ht="15.75" customHeight="1" x14ac:dyDescent="0.3"/>
    <row r="548" ht="15.75" customHeight="1" x14ac:dyDescent="0.3"/>
    <row r="549" ht="15.75" customHeight="1" x14ac:dyDescent="0.3"/>
    <row r="550" ht="15.75" customHeight="1" x14ac:dyDescent="0.3"/>
    <row r="551" ht="15.75" customHeight="1" x14ac:dyDescent="0.3"/>
    <row r="552" ht="15.75" customHeight="1" x14ac:dyDescent="0.3"/>
    <row r="553" ht="15.75" customHeight="1" x14ac:dyDescent="0.3"/>
    <row r="554" ht="15.75" customHeight="1" x14ac:dyDescent="0.3"/>
    <row r="555" ht="15.75" customHeight="1" x14ac:dyDescent="0.3"/>
    <row r="556" ht="15.75" customHeight="1" x14ac:dyDescent="0.3"/>
    <row r="557" ht="15.75" customHeight="1" x14ac:dyDescent="0.3"/>
    <row r="558" ht="15.75" customHeight="1" x14ac:dyDescent="0.3"/>
    <row r="559" ht="15.75" customHeight="1" x14ac:dyDescent="0.3"/>
    <row r="560" ht="15.75" customHeight="1" x14ac:dyDescent="0.3"/>
    <row r="561" ht="15.75" customHeight="1" x14ac:dyDescent="0.3"/>
    <row r="562" ht="15.75" customHeight="1" x14ac:dyDescent="0.3"/>
    <row r="563" ht="15.75" customHeight="1" x14ac:dyDescent="0.3"/>
    <row r="564" ht="15.75" customHeight="1" x14ac:dyDescent="0.3"/>
    <row r="565" ht="15.75" customHeight="1" x14ac:dyDescent="0.3"/>
    <row r="566" ht="15.75" customHeight="1" x14ac:dyDescent="0.3"/>
    <row r="567" ht="15.75" customHeight="1" x14ac:dyDescent="0.3"/>
    <row r="568" ht="15.75" customHeight="1" x14ac:dyDescent="0.3"/>
    <row r="569" ht="15.75" customHeight="1" x14ac:dyDescent="0.3"/>
    <row r="570" ht="15.75" customHeight="1" x14ac:dyDescent="0.3"/>
    <row r="571" ht="15.75" customHeight="1" x14ac:dyDescent="0.3"/>
    <row r="572" ht="15.75" customHeight="1" x14ac:dyDescent="0.3"/>
    <row r="573" ht="15.75" customHeight="1" x14ac:dyDescent="0.3"/>
    <row r="574" ht="15.75" customHeight="1" x14ac:dyDescent="0.3"/>
    <row r="575" ht="15.75" customHeight="1" x14ac:dyDescent="0.3"/>
    <row r="576" ht="15.75" customHeight="1" x14ac:dyDescent="0.3"/>
    <row r="577" ht="15.75" customHeight="1" x14ac:dyDescent="0.3"/>
    <row r="578" ht="15.75" customHeight="1" x14ac:dyDescent="0.3"/>
    <row r="579" ht="15.75" customHeight="1" x14ac:dyDescent="0.3"/>
    <row r="580" ht="15.75" customHeight="1" x14ac:dyDescent="0.3"/>
    <row r="581" ht="15.75" customHeight="1" x14ac:dyDescent="0.3"/>
    <row r="582" ht="15.75" customHeight="1" x14ac:dyDescent="0.3"/>
    <row r="583" ht="15.75" customHeight="1" x14ac:dyDescent="0.3"/>
    <row r="584" ht="15.75" customHeight="1" x14ac:dyDescent="0.3"/>
    <row r="585" ht="15.75" customHeight="1" x14ac:dyDescent="0.3"/>
    <row r="586" ht="15.75" customHeight="1" x14ac:dyDescent="0.3"/>
    <row r="587" ht="15.75" customHeight="1" x14ac:dyDescent="0.3"/>
    <row r="588" ht="15.75" customHeight="1" x14ac:dyDescent="0.3"/>
    <row r="589" ht="15.75" customHeight="1" x14ac:dyDescent="0.3"/>
    <row r="590" ht="15.75" customHeight="1" x14ac:dyDescent="0.3"/>
    <row r="591" ht="15.75" customHeight="1" x14ac:dyDescent="0.3"/>
    <row r="592" ht="15.75" customHeight="1" x14ac:dyDescent="0.3"/>
    <row r="593" ht="15.75" customHeight="1" x14ac:dyDescent="0.3"/>
    <row r="594" ht="15.75" customHeight="1" x14ac:dyDescent="0.3"/>
    <row r="595" ht="15.75" customHeight="1" x14ac:dyDescent="0.3"/>
    <row r="596" ht="15.75" customHeight="1" x14ac:dyDescent="0.3"/>
    <row r="597" ht="15.75" customHeight="1" x14ac:dyDescent="0.3"/>
    <row r="598" ht="15.75" customHeight="1" x14ac:dyDescent="0.3"/>
    <row r="599" ht="15.75" customHeight="1" x14ac:dyDescent="0.3"/>
    <row r="600" ht="15.75" customHeight="1" x14ac:dyDescent="0.3"/>
    <row r="601" ht="15.75" customHeight="1" x14ac:dyDescent="0.3"/>
    <row r="602" ht="15.75" customHeight="1" x14ac:dyDescent="0.3"/>
    <row r="603" ht="15.75" customHeight="1" x14ac:dyDescent="0.3"/>
    <row r="604" ht="15.75" customHeight="1" x14ac:dyDescent="0.3"/>
    <row r="605" ht="15.75" customHeight="1" x14ac:dyDescent="0.3"/>
    <row r="606" ht="15.75" customHeight="1" x14ac:dyDescent="0.3"/>
    <row r="607" ht="15.75" customHeight="1" x14ac:dyDescent="0.3"/>
    <row r="608" ht="15.75" customHeight="1" x14ac:dyDescent="0.3"/>
    <row r="609" ht="15.75" customHeight="1" x14ac:dyDescent="0.3"/>
    <row r="610" ht="15.75" customHeight="1" x14ac:dyDescent="0.3"/>
    <row r="611" ht="15.75" customHeight="1" x14ac:dyDescent="0.3"/>
    <row r="612" ht="15.75" customHeight="1" x14ac:dyDescent="0.3"/>
    <row r="613" ht="15.75" customHeight="1" x14ac:dyDescent="0.3"/>
    <row r="614" ht="15.75" customHeight="1" x14ac:dyDescent="0.3"/>
    <row r="615" ht="15.75" customHeight="1" x14ac:dyDescent="0.3"/>
    <row r="616" ht="15.75" customHeight="1" x14ac:dyDescent="0.3"/>
    <row r="617" ht="15.75" customHeight="1" x14ac:dyDescent="0.3"/>
    <row r="618" ht="15.75" customHeight="1" x14ac:dyDescent="0.3"/>
    <row r="619" ht="15.75" customHeight="1" x14ac:dyDescent="0.3"/>
    <row r="620" ht="15.75" customHeight="1" x14ac:dyDescent="0.3"/>
    <row r="621" ht="15.75" customHeight="1" x14ac:dyDescent="0.3"/>
    <row r="622" ht="15.75" customHeight="1" x14ac:dyDescent="0.3"/>
    <row r="623" ht="15.75" customHeight="1" x14ac:dyDescent="0.3"/>
    <row r="624" ht="15.75" customHeight="1" x14ac:dyDescent="0.3"/>
    <row r="625" ht="15.75" customHeight="1" x14ac:dyDescent="0.3"/>
    <row r="626" ht="15.75" customHeight="1" x14ac:dyDescent="0.3"/>
    <row r="627" ht="15.75" customHeight="1" x14ac:dyDescent="0.3"/>
    <row r="628" ht="15.75" customHeight="1" x14ac:dyDescent="0.3"/>
    <row r="629" ht="15.75" customHeight="1" x14ac:dyDescent="0.3"/>
    <row r="630" ht="15.75" customHeight="1" x14ac:dyDescent="0.3"/>
    <row r="631" ht="15.75" customHeight="1" x14ac:dyDescent="0.3"/>
    <row r="632" ht="15.75" customHeight="1" x14ac:dyDescent="0.3"/>
    <row r="633" ht="15.75" customHeight="1" x14ac:dyDescent="0.3"/>
    <row r="634" ht="15.75" customHeight="1" x14ac:dyDescent="0.3"/>
    <row r="635" ht="15.75" customHeight="1" x14ac:dyDescent="0.3"/>
    <row r="636" ht="15.75" customHeight="1" x14ac:dyDescent="0.3"/>
    <row r="637" ht="15.75" customHeight="1" x14ac:dyDescent="0.3"/>
    <row r="638" ht="15.75" customHeight="1" x14ac:dyDescent="0.3"/>
    <row r="639" ht="15.75" customHeight="1" x14ac:dyDescent="0.3"/>
    <row r="640" ht="15.75" customHeight="1" x14ac:dyDescent="0.3"/>
    <row r="641" ht="15.75" customHeight="1" x14ac:dyDescent="0.3"/>
    <row r="642" ht="15.75" customHeight="1" x14ac:dyDescent="0.3"/>
    <row r="643" ht="15.75" customHeight="1" x14ac:dyDescent="0.3"/>
    <row r="644" ht="15.75" customHeight="1" x14ac:dyDescent="0.3"/>
    <row r="645" ht="15.75" customHeight="1" x14ac:dyDescent="0.3"/>
    <row r="646" ht="15.75" customHeight="1" x14ac:dyDescent="0.3"/>
    <row r="647" ht="15.75" customHeight="1" x14ac:dyDescent="0.3"/>
    <row r="648" ht="15.75" customHeight="1" x14ac:dyDescent="0.3"/>
    <row r="649" ht="15.75" customHeight="1" x14ac:dyDescent="0.3"/>
    <row r="650" ht="15.75" customHeight="1" x14ac:dyDescent="0.3"/>
    <row r="651" ht="15.75" customHeight="1" x14ac:dyDescent="0.3"/>
    <row r="652" ht="15.75" customHeight="1" x14ac:dyDescent="0.3"/>
    <row r="653" ht="15.75" customHeight="1" x14ac:dyDescent="0.3"/>
    <row r="654" ht="15.75" customHeight="1" x14ac:dyDescent="0.3"/>
    <row r="655" ht="15.75" customHeight="1" x14ac:dyDescent="0.3"/>
    <row r="656" ht="15.75" customHeight="1" x14ac:dyDescent="0.3"/>
    <row r="657" ht="15.75" customHeight="1" x14ac:dyDescent="0.3"/>
    <row r="658" ht="15.75" customHeight="1" x14ac:dyDescent="0.3"/>
    <row r="659" ht="15.75" customHeight="1" x14ac:dyDescent="0.3"/>
    <row r="660" ht="15.75" customHeight="1" x14ac:dyDescent="0.3"/>
    <row r="661" ht="15.75" customHeight="1" x14ac:dyDescent="0.3"/>
    <row r="662" ht="15.75" customHeight="1" x14ac:dyDescent="0.3"/>
    <row r="663" ht="15.75" customHeight="1" x14ac:dyDescent="0.3"/>
    <row r="664" ht="15.75" customHeight="1" x14ac:dyDescent="0.3"/>
    <row r="665" ht="15.75" customHeight="1" x14ac:dyDescent="0.3"/>
    <row r="666" ht="15.75" customHeight="1" x14ac:dyDescent="0.3"/>
    <row r="667" ht="15.75" customHeight="1" x14ac:dyDescent="0.3"/>
    <row r="668" ht="15.75" customHeight="1" x14ac:dyDescent="0.3"/>
    <row r="669" ht="15.75" customHeight="1" x14ac:dyDescent="0.3"/>
    <row r="670" ht="15.75" customHeight="1" x14ac:dyDescent="0.3"/>
    <row r="671" ht="15.75" customHeight="1" x14ac:dyDescent="0.3"/>
    <row r="672" ht="15.75" customHeight="1" x14ac:dyDescent="0.3"/>
    <row r="673" ht="15.75" customHeight="1" x14ac:dyDescent="0.3"/>
    <row r="674" ht="15.75" customHeight="1" x14ac:dyDescent="0.3"/>
    <row r="675" ht="15.75" customHeight="1" x14ac:dyDescent="0.3"/>
    <row r="676" ht="15.75" customHeight="1" x14ac:dyDescent="0.3"/>
    <row r="677" ht="15.75" customHeight="1" x14ac:dyDescent="0.3"/>
    <row r="678" ht="15.75" customHeight="1" x14ac:dyDescent="0.3"/>
    <row r="679" ht="15.75" customHeight="1" x14ac:dyDescent="0.3"/>
    <row r="680" ht="15.75" customHeight="1" x14ac:dyDescent="0.3"/>
    <row r="681" ht="15.75" customHeight="1" x14ac:dyDescent="0.3"/>
    <row r="682" ht="15.75" customHeight="1" x14ac:dyDescent="0.3"/>
    <row r="683" ht="15.75" customHeight="1" x14ac:dyDescent="0.3"/>
    <row r="684" ht="15.75" customHeight="1" x14ac:dyDescent="0.3"/>
    <row r="685" ht="15.75" customHeight="1" x14ac:dyDescent="0.3"/>
    <row r="686" ht="15.75" customHeight="1" x14ac:dyDescent="0.3"/>
    <row r="687" ht="15.75" customHeight="1" x14ac:dyDescent="0.3"/>
    <row r="688" ht="15.75" customHeight="1" x14ac:dyDescent="0.3"/>
    <row r="689" ht="15.75" customHeight="1" x14ac:dyDescent="0.3"/>
    <row r="690" ht="15.75" customHeight="1" x14ac:dyDescent="0.3"/>
    <row r="691" ht="15.75" customHeight="1" x14ac:dyDescent="0.3"/>
    <row r="692" ht="15.75" customHeight="1" x14ac:dyDescent="0.3"/>
    <row r="693" ht="15.75" customHeight="1" x14ac:dyDescent="0.3"/>
    <row r="694" ht="15.75" customHeight="1" x14ac:dyDescent="0.3"/>
    <row r="695" ht="15.75" customHeight="1" x14ac:dyDescent="0.3"/>
    <row r="696" ht="15.75" customHeight="1" x14ac:dyDescent="0.3"/>
    <row r="697" ht="15.75" customHeight="1" x14ac:dyDescent="0.3"/>
    <row r="698" ht="15.75" customHeight="1" x14ac:dyDescent="0.3"/>
    <row r="699" ht="15.75" customHeight="1" x14ac:dyDescent="0.3"/>
    <row r="700" ht="15.75" customHeight="1" x14ac:dyDescent="0.3"/>
    <row r="701" ht="15.75" customHeight="1" x14ac:dyDescent="0.3"/>
    <row r="702" ht="15.75" customHeight="1" x14ac:dyDescent="0.3"/>
    <row r="703" ht="15.75" customHeight="1" x14ac:dyDescent="0.3"/>
    <row r="704" ht="15.75" customHeight="1" x14ac:dyDescent="0.3"/>
    <row r="705" ht="15.75" customHeight="1" x14ac:dyDescent="0.3"/>
    <row r="706" ht="15.75" customHeight="1" x14ac:dyDescent="0.3"/>
    <row r="707" ht="15.75" customHeight="1" x14ac:dyDescent="0.3"/>
    <row r="708" ht="15.75" customHeight="1" x14ac:dyDescent="0.3"/>
    <row r="709" ht="15.75" customHeight="1" x14ac:dyDescent="0.3"/>
    <row r="710" ht="15.75" customHeight="1" x14ac:dyDescent="0.3"/>
    <row r="711" ht="15.75" customHeight="1" x14ac:dyDescent="0.3"/>
    <row r="712" ht="15.75" customHeight="1" x14ac:dyDescent="0.3"/>
    <row r="713" ht="15.75" customHeight="1" x14ac:dyDescent="0.3"/>
    <row r="714" ht="15.75" customHeight="1" x14ac:dyDescent="0.3"/>
    <row r="715" ht="15.75" customHeight="1" x14ac:dyDescent="0.3"/>
    <row r="716" ht="15.75" customHeight="1" x14ac:dyDescent="0.3"/>
    <row r="717" ht="15.75" customHeight="1" x14ac:dyDescent="0.3"/>
    <row r="718" ht="15.75" customHeight="1" x14ac:dyDescent="0.3"/>
    <row r="719" ht="15.75" customHeight="1" x14ac:dyDescent="0.3"/>
    <row r="720" ht="15.75" customHeight="1" x14ac:dyDescent="0.3"/>
    <row r="721" ht="15.75" customHeight="1" x14ac:dyDescent="0.3"/>
    <row r="722" ht="15.75" customHeight="1" x14ac:dyDescent="0.3"/>
    <row r="723" ht="15.75" customHeight="1" x14ac:dyDescent="0.3"/>
    <row r="724" ht="15.75" customHeight="1" x14ac:dyDescent="0.3"/>
    <row r="725" ht="15.75" customHeight="1" x14ac:dyDescent="0.3"/>
    <row r="726" ht="15.75" customHeight="1" x14ac:dyDescent="0.3"/>
    <row r="727" ht="15.75" customHeight="1" x14ac:dyDescent="0.3"/>
    <row r="728" ht="15.75" customHeight="1" x14ac:dyDescent="0.3"/>
    <row r="729" ht="15.75" customHeight="1" x14ac:dyDescent="0.3"/>
    <row r="730" ht="15.75" customHeight="1" x14ac:dyDescent="0.3"/>
    <row r="731" ht="15.75" customHeight="1" x14ac:dyDescent="0.3"/>
    <row r="732" ht="15.75" customHeight="1" x14ac:dyDescent="0.3"/>
    <row r="733" ht="15.75" customHeight="1" x14ac:dyDescent="0.3"/>
    <row r="734" ht="15.75" customHeight="1" x14ac:dyDescent="0.3"/>
    <row r="735" ht="15.75" customHeight="1" x14ac:dyDescent="0.3"/>
    <row r="736" ht="15.75" customHeight="1" x14ac:dyDescent="0.3"/>
    <row r="737" ht="15.75" customHeight="1" x14ac:dyDescent="0.3"/>
    <row r="738" ht="15.75" customHeight="1" x14ac:dyDescent="0.3"/>
    <row r="739" ht="15.75" customHeight="1" x14ac:dyDescent="0.3"/>
    <row r="740" ht="15.75" customHeight="1" x14ac:dyDescent="0.3"/>
    <row r="741" ht="15.75" customHeight="1" x14ac:dyDescent="0.3"/>
    <row r="742" ht="15.75" customHeight="1" x14ac:dyDescent="0.3"/>
    <row r="743" ht="15.75" customHeight="1" x14ac:dyDescent="0.3"/>
    <row r="744" ht="15.75" customHeight="1" x14ac:dyDescent="0.3"/>
    <row r="745" ht="15.75" customHeight="1" x14ac:dyDescent="0.3"/>
    <row r="746" ht="15.75" customHeight="1" x14ac:dyDescent="0.3"/>
    <row r="747" ht="15.75" customHeight="1" x14ac:dyDescent="0.3"/>
    <row r="748" ht="15.75" customHeight="1" x14ac:dyDescent="0.3"/>
    <row r="749" ht="15.75" customHeight="1" x14ac:dyDescent="0.3"/>
    <row r="750" ht="15.75" customHeight="1" x14ac:dyDescent="0.3"/>
    <row r="751" ht="15.75" customHeight="1" x14ac:dyDescent="0.3"/>
    <row r="752" ht="15.75" customHeight="1" x14ac:dyDescent="0.3"/>
    <row r="753" ht="15.75" customHeight="1" x14ac:dyDescent="0.3"/>
    <row r="754" ht="15.75" customHeight="1" x14ac:dyDescent="0.3"/>
    <row r="755" ht="15.75" customHeight="1" x14ac:dyDescent="0.3"/>
    <row r="756" ht="15.75" customHeight="1" x14ac:dyDescent="0.3"/>
    <row r="757" ht="15.75" customHeight="1" x14ac:dyDescent="0.3"/>
    <row r="758" ht="15.75" customHeight="1" x14ac:dyDescent="0.3"/>
    <row r="759" ht="15.75" customHeight="1" x14ac:dyDescent="0.3"/>
    <row r="760" ht="15.75" customHeight="1" x14ac:dyDescent="0.3"/>
    <row r="761" ht="15.75" customHeight="1" x14ac:dyDescent="0.3"/>
    <row r="762" ht="15.75" customHeight="1" x14ac:dyDescent="0.3"/>
    <row r="763" ht="15.75" customHeight="1" x14ac:dyDescent="0.3"/>
    <row r="764" ht="15.75" customHeight="1" x14ac:dyDescent="0.3"/>
    <row r="765" ht="15.75" customHeight="1" x14ac:dyDescent="0.3"/>
    <row r="766" ht="15.75" customHeight="1" x14ac:dyDescent="0.3"/>
    <row r="767" ht="15.75" customHeight="1" x14ac:dyDescent="0.3"/>
    <row r="768" ht="15.75" customHeight="1" x14ac:dyDescent="0.3"/>
    <row r="769" ht="15.75" customHeight="1" x14ac:dyDescent="0.3"/>
    <row r="770" ht="15.75" customHeight="1" x14ac:dyDescent="0.3"/>
    <row r="771" ht="15.75" customHeight="1" x14ac:dyDescent="0.3"/>
    <row r="772" ht="15.75" customHeight="1" x14ac:dyDescent="0.3"/>
    <row r="773" ht="15.75" customHeight="1" x14ac:dyDescent="0.3"/>
    <row r="774" ht="15.75" customHeight="1" x14ac:dyDescent="0.3"/>
    <row r="775" ht="15.75" customHeight="1" x14ac:dyDescent="0.3"/>
    <row r="776" ht="15.75" customHeight="1" x14ac:dyDescent="0.3"/>
    <row r="777" ht="15.75" customHeight="1" x14ac:dyDescent="0.3"/>
    <row r="778" ht="15.75" customHeight="1" x14ac:dyDescent="0.3"/>
    <row r="779" ht="15.75" customHeight="1" x14ac:dyDescent="0.3"/>
    <row r="780" ht="15.75" customHeight="1" x14ac:dyDescent="0.3"/>
    <row r="781" ht="15.75" customHeight="1" x14ac:dyDescent="0.3"/>
    <row r="782" ht="15.75" customHeight="1" x14ac:dyDescent="0.3"/>
    <row r="783" ht="15.75" customHeight="1" x14ac:dyDescent="0.3"/>
    <row r="784" ht="15.75" customHeight="1" x14ac:dyDescent="0.3"/>
    <row r="785" ht="15.75" customHeight="1" x14ac:dyDescent="0.3"/>
    <row r="786" ht="15.75" customHeight="1" x14ac:dyDescent="0.3"/>
    <row r="787" ht="15.75" customHeight="1" x14ac:dyDescent="0.3"/>
    <row r="788" ht="15.75" customHeight="1" x14ac:dyDescent="0.3"/>
    <row r="789" ht="15.75" customHeight="1" x14ac:dyDescent="0.3"/>
    <row r="790" ht="15.75" customHeight="1" x14ac:dyDescent="0.3"/>
    <row r="791" ht="15.75" customHeight="1" x14ac:dyDescent="0.3"/>
    <row r="792" ht="15.75" customHeight="1" x14ac:dyDescent="0.3"/>
    <row r="793" ht="15.75" customHeight="1" x14ac:dyDescent="0.3"/>
    <row r="794" ht="15.75" customHeight="1" x14ac:dyDescent="0.3"/>
    <row r="795" ht="15.75" customHeight="1" x14ac:dyDescent="0.3"/>
    <row r="796" ht="15.75" customHeight="1" x14ac:dyDescent="0.3"/>
    <row r="797" ht="15.75" customHeight="1" x14ac:dyDescent="0.3"/>
    <row r="798" ht="15.75" customHeight="1" x14ac:dyDescent="0.3"/>
    <row r="799" ht="15.75" customHeight="1" x14ac:dyDescent="0.3"/>
    <row r="800" ht="15.75" customHeight="1" x14ac:dyDescent="0.3"/>
    <row r="801" ht="15.75" customHeight="1" x14ac:dyDescent="0.3"/>
    <row r="802" ht="15.75" customHeight="1" x14ac:dyDescent="0.3"/>
    <row r="803" ht="15.75" customHeight="1" x14ac:dyDescent="0.3"/>
    <row r="804" ht="15.75" customHeight="1" x14ac:dyDescent="0.3"/>
    <row r="805" ht="15.75" customHeight="1" x14ac:dyDescent="0.3"/>
    <row r="806" ht="15.75" customHeight="1" x14ac:dyDescent="0.3"/>
    <row r="807" ht="15.75" customHeight="1" x14ac:dyDescent="0.3"/>
    <row r="808" ht="15.75" customHeight="1" x14ac:dyDescent="0.3"/>
    <row r="809" ht="15.75" customHeight="1" x14ac:dyDescent="0.3"/>
    <row r="810" ht="15.75" customHeight="1" x14ac:dyDescent="0.3"/>
    <row r="811" ht="15.75" customHeight="1" x14ac:dyDescent="0.3"/>
    <row r="812" ht="15.75" customHeight="1" x14ac:dyDescent="0.3"/>
    <row r="813" ht="15.75" customHeight="1" x14ac:dyDescent="0.3"/>
    <row r="814" ht="15.75" customHeight="1" x14ac:dyDescent="0.3"/>
    <row r="815" ht="15.75" customHeight="1" x14ac:dyDescent="0.3"/>
    <row r="816" ht="15.75" customHeight="1" x14ac:dyDescent="0.3"/>
    <row r="817" ht="15.75" customHeight="1" x14ac:dyDescent="0.3"/>
    <row r="818" ht="15.75" customHeight="1" x14ac:dyDescent="0.3"/>
    <row r="819" ht="15.75" customHeight="1" x14ac:dyDescent="0.3"/>
    <row r="820" ht="15.75" customHeight="1" x14ac:dyDescent="0.3"/>
    <row r="821" ht="15.75" customHeight="1" x14ac:dyDescent="0.3"/>
    <row r="822" ht="15.75" customHeight="1" x14ac:dyDescent="0.3"/>
    <row r="823" ht="15.75" customHeight="1" x14ac:dyDescent="0.3"/>
    <row r="824" ht="15.75" customHeight="1" x14ac:dyDescent="0.3"/>
    <row r="825" ht="15.75" customHeight="1" x14ac:dyDescent="0.3"/>
    <row r="826" ht="15.75" customHeight="1" x14ac:dyDescent="0.3"/>
    <row r="827" ht="15.75" customHeight="1" x14ac:dyDescent="0.3"/>
    <row r="828" ht="15.75" customHeight="1" x14ac:dyDescent="0.3"/>
    <row r="829" ht="15.75" customHeight="1" x14ac:dyDescent="0.3"/>
    <row r="830" ht="15.75" customHeight="1" x14ac:dyDescent="0.3"/>
    <row r="831" ht="15.75" customHeight="1" x14ac:dyDescent="0.3"/>
    <row r="832" ht="15.75" customHeight="1" x14ac:dyDescent="0.3"/>
    <row r="833" ht="15.75" customHeight="1" x14ac:dyDescent="0.3"/>
    <row r="834" ht="15.75" customHeight="1" x14ac:dyDescent="0.3"/>
    <row r="835" ht="15.75" customHeight="1" x14ac:dyDescent="0.3"/>
    <row r="836" ht="15.75" customHeight="1" x14ac:dyDescent="0.3"/>
    <row r="837" ht="15.75" customHeight="1" x14ac:dyDescent="0.3"/>
    <row r="838" ht="15.75" customHeight="1" x14ac:dyDescent="0.3"/>
    <row r="839" ht="15.75" customHeight="1" x14ac:dyDescent="0.3"/>
    <row r="840" ht="15.75" customHeight="1" x14ac:dyDescent="0.3"/>
    <row r="841" ht="15.75" customHeight="1" x14ac:dyDescent="0.3"/>
    <row r="842" ht="15.75" customHeight="1" x14ac:dyDescent="0.3"/>
    <row r="843" ht="15.75" customHeight="1" x14ac:dyDescent="0.3"/>
    <row r="844" ht="15.75" customHeight="1" x14ac:dyDescent="0.3"/>
    <row r="845" ht="15.75" customHeight="1" x14ac:dyDescent="0.3"/>
    <row r="846" ht="15.75" customHeight="1" x14ac:dyDescent="0.3"/>
    <row r="847" ht="15.75" customHeight="1" x14ac:dyDescent="0.3"/>
    <row r="848" ht="15.75" customHeight="1" x14ac:dyDescent="0.3"/>
    <row r="849" ht="15.75" customHeight="1" x14ac:dyDescent="0.3"/>
    <row r="850" ht="15.75" customHeight="1" x14ac:dyDescent="0.3"/>
    <row r="851" ht="15.75" customHeight="1" x14ac:dyDescent="0.3"/>
    <row r="852" ht="15.75" customHeight="1" x14ac:dyDescent="0.3"/>
    <row r="853" ht="15.75" customHeight="1" x14ac:dyDescent="0.3"/>
    <row r="854" ht="15.75" customHeight="1" x14ac:dyDescent="0.3"/>
    <row r="855" ht="15.75" customHeight="1" x14ac:dyDescent="0.3"/>
    <row r="856" ht="15.75" customHeight="1" x14ac:dyDescent="0.3"/>
    <row r="857" ht="15.75" customHeight="1" x14ac:dyDescent="0.3"/>
    <row r="858" ht="15.75" customHeight="1" x14ac:dyDescent="0.3"/>
    <row r="859" ht="15.75" customHeight="1" x14ac:dyDescent="0.3"/>
    <row r="860" ht="15.75" customHeight="1" x14ac:dyDescent="0.3"/>
    <row r="861" ht="15.75" customHeight="1" x14ac:dyDescent="0.3"/>
    <row r="862" ht="15.75" customHeight="1" x14ac:dyDescent="0.3"/>
    <row r="863" ht="15.75" customHeight="1" x14ac:dyDescent="0.3"/>
    <row r="864" ht="15.75" customHeight="1" x14ac:dyDescent="0.3"/>
    <row r="865" ht="15.75" customHeight="1" x14ac:dyDescent="0.3"/>
    <row r="866" ht="15.75" customHeight="1" x14ac:dyDescent="0.3"/>
    <row r="867" ht="15.75" customHeight="1" x14ac:dyDescent="0.3"/>
    <row r="868" ht="15.75" customHeight="1" x14ac:dyDescent="0.3"/>
    <row r="869" ht="15.75" customHeight="1" x14ac:dyDescent="0.3"/>
    <row r="870" ht="15.75" customHeight="1" x14ac:dyDescent="0.3"/>
    <row r="871" ht="15.75" customHeight="1" x14ac:dyDescent="0.3"/>
    <row r="872" ht="15.75" customHeight="1" x14ac:dyDescent="0.3"/>
    <row r="873" ht="15.75" customHeight="1" x14ac:dyDescent="0.3"/>
    <row r="874" ht="15.75" customHeight="1" x14ac:dyDescent="0.3"/>
    <row r="875" ht="15.75" customHeight="1" x14ac:dyDescent="0.3"/>
    <row r="876" ht="15.75" customHeight="1" x14ac:dyDescent="0.3"/>
    <row r="877" ht="15.75" customHeight="1" x14ac:dyDescent="0.3"/>
    <row r="878" ht="15.75" customHeight="1" x14ac:dyDescent="0.3"/>
    <row r="879" ht="15.75" customHeight="1" x14ac:dyDescent="0.3"/>
    <row r="880" ht="15.75" customHeight="1" x14ac:dyDescent="0.3"/>
    <row r="881" ht="15.75" customHeight="1" x14ac:dyDescent="0.3"/>
    <row r="882" ht="15.75" customHeight="1" x14ac:dyDescent="0.3"/>
    <row r="883" ht="15.75" customHeight="1" x14ac:dyDescent="0.3"/>
    <row r="884" ht="15.75" customHeight="1" x14ac:dyDescent="0.3"/>
    <row r="885" ht="15.75" customHeight="1" x14ac:dyDescent="0.3"/>
    <row r="886" ht="15.75" customHeight="1" x14ac:dyDescent="0.3"/>
    <row r="887" ht="15.75" customHeight="1" x14ac:dyDescent="0.3"/>
    <row r="888" ht="15.75" customHeight="1" x14ac:dyDescent="0.3"/>
    <row r="889" ht="15.75" customHeight="1" x14ac:dyDescent="0.3"/>
    <row r="890" ht="15.75" customHeight="1" x14ac:dyDescent="0.3"/>
    <row r="891" ht="15.75" customHeight="1" x14ac:dyDescent="0.3"/>
    <row r="892" ht="15.75" customHeight="1" x14ac:dyDescent="0.3"/>
    <row r="893" ht="15.75" customHeight="1" x14ac:dyDescent="0.3"/>
    <row r="894" ht="15.75" customHeight="1" x14ac:dyDescent="0.3"/>
    <row r="895" ht="15.75" customHeight="1" x14ac:dyDescent="0.3"/>
    <row r="896" ht="15.75" customHeight="1" x14ac:dyDescent="0.3"/>
    <row r="897" ht="15.75" customHeight="1" x14ac:dyDescent="0.3"/>
    <row r="898" ht="15.75" customHeight="1" x14ac:dyDescent="0.3"/>
    <row r="899" ht="15.75" customHeight="1" x14ac:dyDescent="0.3"/>
    <row r="900" ht="15.75" customHeight="1" x14ac:dyDescent="0.3"/>
    <row r="901" ht="15.75" customHeight="1" x14ac:dyDescent="0.3"/>
    <row r="902" ht="15.75" customHeight="1" x14ac:dyDescent="0.3"/>
    <row r="903" ht="15.75" customHeight="1" x14ac:dyDescent="0.3"/>
    <row r="904" ht="15.75" customHeight="1" x14ac:dyDescent="0.3"/>
    <row r="905" ht="15.75" customHeight="1" x14ac:dyDescent="0.3"/>
    <row r="906" ht="15.75" customHeight="1" x14ac:dyDescent="0.3"/>
    <row r="907" ht="15.75" customHeight="1" x14ac:dyDescent="0.3"/>
    <row r="908" ht="15.75" customHeight="1" x14ac:dyDescent="0.3"/>
    <row r="909" ht="15.75" customHeight="1" x14ac:dyDescent="0.3"/>
    <row r="910" ht="15.75" customHeight="1" x14ac:dyDescent="0.3"/>
    <row r="911" ht="15.75" customHeight="1" x14ac:dyDescent="0.3"/>
    <row r="912" ht="15.75" customHeight="1" x14ac:dyDescent="0.3"/>
    <row r="913" ht="15.75" customHeight="1" x14ac:dyDescent="0.3"/>
    <row r="914" ht="15.75" customHeight="1" x14ac:dyDescent="0.3"/>
    <row r="915" ht="15.75" customHeight="1" x14ac:dyDescent="0.3"/>
    <row r="916" ht="15.75" customHeight="1" x14ac:dyDescent="0.3"/>
    <row r="917" ht="15.75" customHeight="1" x14ac:dyDescent="0.3"/>
    <row r="918" ht="15.75" customHeight="1" x14ac:dyDescent="0.3"/>
    <row r="919" ht="15.75" customHeight="1" x14ac:dyDescent="0.3"/>
    <row r="920" ht="15.75" customHeight="1" x14ac:dyDescent="0.3"/>
    <row r="921" ht="15.75" customHeight="1" x14ac:dyDescent="0.3"/>
    <row r="922" ht="15.75" customHeight="1" x14ac:dyDescent="0.3"/>
    <row r="923" ht="15.75" customHeight="1" x14ac:dyDescent="0.3"/>
    <row r="924" ht="15.75" customHeight="1" x14ac:dyDescent="0.3"/>
    <row r="925" ht="15.75" customHeight="1" x14ac:dyDescent="0.3"/>
    <row r="926" ht="15.75" customHeight="1" x14ac:dyDescent="0.3"/>
    <row r="927" ht="15.75" customHeight="1" x14ac:dyDescent="0.3"/>
    <row r="928" ht="15.75" customHeight="1" x14ac:dyDescent="0.3"/>
    <row r="929" ht="15.75" customHeight="1" x14ac:dyDescent="0.3"/>
    <row r="930" ht="15.75" customHeight="1" x14ac:dyDescent="0.3"/>
    <row r="931" ht="15.75" customHeight="1" x14ac:dyDescent="0.3"/>
    <row r="932" ht="15.75" customHeight="1" x14ac:dyDescent="0.3"/>
    <row r="933" ht="15.75" customHeight="1" x14ac:dyDescent="0.3"/>
    <row r="934" ht="15.75" customHeight="1" x14ac:dyDescent="0.3"/>
    <row r="935" ht="15.75" customHeight="1" x14ac:dyDescent="0.3"/>
    <row r="936" ht="15.75" customHeight="1" x14ac:dyDescent="0.3"/>
    <row r="937" ht="15.75" customHeight="1" x14ac:dyDescent="0.3"/>
    <row r="938" ht="15.75" customHeight="1" x14ac:dyDescent="0.3"/>
    <row r="939" ht="15.75" customHeight="1" x14ac:dyDescent="0.3"/>
    <row r="940" ht="15.75" customHeight="1" x14ac:dyDescent="0.3"/>
    <row r="941" ht="15.75" customHeight="1" x14ac:dyDescent="0.3"/>
    <row r="942" ht="15.75" customHeight="1" x14ac:dyDescent="0.3"/>
    <row r="943" ht="15.75" customHeight="1" x14ac:dyDescent="0.3"/>
    <row r="944" ht="15.75" customHeight="1" x14ac:dyDescent="0.3"/>
    <row r="945" ht="15.75" customHeight="1" x14ac:dyDescent="0.3"/>
    <row r="946" ht="15.75" customHeight="1" x14ac:dyDescent="0.3"/>
    <row r="947" ht="15.75" customHeight="1" x14ac:dyDescent="0.3"/>
    <row r="948" ht="15.75" customHeight="1" x14ac:dyDescent="0.3"/>
    <row r="949" ht="15.75" customHeight="1" x14ac:dyDescent="0.3"/>
    <row r="950" ht="15.75" customHeight="1" x14ac:dyDescent="0.3"/>
    <row r="951" ht="15.75" customHeight="1" x14ac:dyDescent="0.3"/>
    <row r="952" ht="15.75" customHeight="1" x14ac:dyDescent="0.3"/>
    <row r="953" ht="15.75" customHeight="1" x14ac:dyDescent="0.3"/>
    <row r="954" ht="15.75" customHeight="1" x14ac:dyDescent="0.3"/>
    <row r="955" ht="15.75" customHeight="1" x14ac:dyDescent="0.3"/>
    <row r="956" ht="15.75" customHeight="1" x14ac:dyDescent="0.3"/>
    <row r="957" ht="15.75" customHeight="1" x14ac:dyDescent="0.3"/>
    <row r="958" ht="15.75" customHeight="1" x14ac:dyDescent="0.3"/>
    <row r="959" ht="15.75" customHeight="1" x14ac:dyDescent="0.3"/>
    <row r="960" ht="15.75" customHeight="1" x14ac:dyDescent="0.3"/>
    <row r="961" ht="15.75" customHeight="1" x14ac:dyDescent="0.3"/>
    <row r="962" ht="15.75" customHeight="1" x14ac:dyDescent="0.3"/>
    <row r="963" ht="15.75" customHeight="1" x14ac:dyDescent="0.3"/>
    <row r="964" ht="15.75" customHeight="1" x14ac:dyDescent="0.3"/>
    <row r="965" ht="15.75" customHeight="1" x14ac:dyDescent="0.3"/>
    <row r="966" ht="15.75" customHeight="1" x14ac:dyDescent="0.3"/>
    <row r="967" ht="15.75" customHeight="1" x14ac:dyDescent="0.3"/>
    <row r="968" ht="15.75" customHeight="1" x14ac:dyDescent="0.3"/>
    <row r="969" ht="15.75" customHeight="1" x14ac:dyDescent="0.3"/>
    <row r="970" ht="15.75" customHeight="1" x14ac:dyDescent="0.3"/>
    <row r="971" ht="15.75" customHeight="1" x14ac:dyDescent="0.3"/>
    <row r="972" ht="15.75" customHeight="1" x14ac:dyDescent="0.3"/>
    <row r="973" ht="15.75" customHeight="1" x14ac:dyDescent="0.3"/>
    <row r="974" ht="15.75" customHeight="1" x14ac:dyDescent="0.3"/>
    <row r="975" ht="15.75" customHeight="1" x14ac:dyDescent="0.3"/>
    <row r="976" ht="15.75" customHeight="1" x14ac:dyDescent="0.3"/>
    <row r="977" ht="15.75" customHeight="1" x14ac:dyDescent="0.3"/>
    <row r="978" ht="15.75" customHeight="1" x14ac:dyDescent="0.3"/>
    <row r="979" ht="15.75" customHeight="1" x14ac:dyDescent="0.3"/>
    <row r="980" ht="15.75" customHeight="1" x14ac:dyDescent="0.3"/>
    <row r="981" ht="15.75" customHeight="1" x14ac:dyDescent="0.3"/>
    <row r="982" ht="15.75" customHeight="1" x14ac:dyDescent="0.3"/>
    <row r="983" ht="15.75" customHeight="1" x14ac:dyDescent="0.3"/>
    <row r="984" ht="15.75" customHeight="1" x14ac:dyDescent="0.3"/>
    <row r="985" ht="15.75" customHeight="1" x14ac:dyDescent="0.3"/>
    <row r="986" ht="15.75" customHeight="1" x14ac:dyDescent="0.3"/>
    <row r="987" ht="15.75" customHeight="1" x14ac:dyDescent="0.3"/>
    <row r="988" ht="15.75" customHeight="1" x14ac:dyDescent="0.3"/>
    <row r="989" ht="15.75" customHeight="1" x14ac:dyDescent="0.3"/>
    <row r="990" ht="15.75" customHeight="1" x14ac:dyDescent="0.3"/>
    <row r="991" ht="15.75" customHeight="1" x14ac:dyDescent="0.3"/>
    <row r="992" ht="15.75" customHeight="1" x14ac:dyDescent="0.3"/>
    <row r="993" ht="15.75" customHeight="1" x14ac:dyDescent="0.3"/>
    <row r="994" ht="15.75" customHeight="1" x14ac:dyDescent="0.3"/>
    <row r="995" ht="15.75" customHeight="1" x14ac:dyDescent="0.3"/>
    <row r="996" ht="15.75" customHeight="1" x14ac:dyDescent="0.3"/>
    <row r="997" ht="15.75" customHeight="1" x14ac:dyDescent="0.3"/>
    <row r="998" ht="15.75" customHeight="1" x14ac:dyDescent="0.3"/>
    <row r="999" ht="15.75" customHeight="1" x14ac:dyDescent="0.3"/>
    <row r="1000" ht="15.75" customHeight="1" x14ac:dyDescent="0.3"/>
  </sheetData>
  <pageMargins left="0.7" right="0.7" top="0.75" bottom="0.75" header="0" footer="0"/>
  <pageSetup orientation="portrait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AF1000"/>
  <sheetViews>
    <sheetView workbookViewId="0">
      <pane xSplit="8" topLeftCell="I1" activePane="topRight" state="frozen"/>
      <selection pane="topRight" activeCell="A24" sqref="A24:XFD24"/>
    </sheetView>
  </sheetViews>
  <sheetFormatPr defaultColWidth="14.44140625" defaultRowHeight="15" customHeight="1" x14ac:dyDescent="0.3"/>
  <cols>
    <col min="1" max="1" width="3.88671875" customWidth="1"/>
    <col min="2" max="2" width="2.88671875" customWidth="1"/>
    <col min="3" max="3" width="25.6640625" customWidth="1"/>
    <col min="4" max="4" width="12" customWidth="1"/>
    <col min="5" max="6" width="13.6640625" customWidth="1"/>
    <col min="7" max="7" width="9.6640625" bestFit="1" customWidth="1"/>
    <col min="8" max="11" width="12.6640625" customWidth="1"/>
    <col min="12" max="12" width="11.6640625" customWidth="1"/>
    <col min="13" max="13" width="12.6640625" customWidth="1"/>
    <col min="14" max="14" width="11.6640625" customWidth="1"/>
    <col min="15" max="17" width="12.6640625" customWidth="1"/>
    <col min="18" max="18" width="11.6640625" customWidth="1"/>
    <col min="19" max="21" width="12.6640625" customWidth="1"/>
    <col min="22" max="22" width="11.6640625" customWidth="1"/>
    <col min="23" max="30" width="12.6640625" customWidth="1"/>
    <col min="31" max="32" width="11.6640625" customWidth="1"/>
  </cols>
  <sheetData>
    <row r="1" spans="1:32" ht="11.25" customHeight="1" x14ac:dyDescent="0.3">
      <c r="A1" s="241"/>
      <c r="B1" s="242"/>
      <c r="C1" s="243"/>
      <c r="D1" s="244" t="s">
        <v>254</v>
      </c>
      <c r="E1" s="245" t="s">
        <v>68</v>
      </c>
      <c r="F1" s="245" t="s">
        <v>68</v>
      </c>
      <c r="G1" s="246" t="s">
        <v>255</v>
      </c>
      <c r="H1" s="245" t="s">
        <v>254</v>
      </c>
      <c r="I1" s="247">
        <v>46023</v>
      </c>
      <c r="J1" s="247">
        <v>46053</v>
      </c>
      <c r="K1" s="248">
        <v>46054</v>
      </c>
      <c r="L1" s="248">
        <v>46081</v>
      </c>
      <c r="M1" s="249">
        <v>46082</v>
      </c>
      <c r="N1" s="249">
        <v>46112</v>
      </c>
      <c r="O1" s="250">
        <v>46113</v>
      </c>
      <c r="P1" s="250">
        <v>46142</v>
      </c>
      <c r="Q1" s="247">
        <v>46143</v>
      </c>
      <c r="R1" s="247">
        <v>46173</v>
      </c>
      <c r="S1" s="248">
        <v>46174</v>
      </c>
      <c r="T1" s="248">
        <v>46203</v>
      </c>
      <c r="U1" s="249">
        <v>45839</v>
      </c>
      <c r="V1" s="249">
        <v>45869</v>
      </c>
      <c r="W1" s="250">
        <v>45870</v>
      </c>
      <c r="X1" s="250">
        <v>45900</v>
      </c>
      <c r="Y1" s="251">
        <v>45901</v>
      </c>
      <c r="Z1" s="251">
        <v>45930</v>
      </c>
      <c r="AA1" s="252">
        <v>45931</v>
      </c>
      <c r="AB1" s="252">
        <v>45961</v>
      </c>
      <c r="AC1" s="253">
        <v>45962</v>
      </c>
      <c r="AD1" s="253">
        <v>45991</v>
      </c>
      <c r="AE1" s="254">
        <v>45627</v>
      </c>
      <c r="AF1" s="254">
        <v>45657</v>
      </c>
    </row>
    <row r="2" spans="1:32" ht="11.25" customHeight="1" x14ac:dyDescent="0.3">
      <c r="A2" s="255"/>
      <c r="B2" s="255"/>
      <c r="C2" s="256"/>
      <c r="D2" s="257" t="s">
        <v>256</v>
      </c>
      <c r="E2" s="245" t="s">
        <v>257</v>
      </c>
      <c r="F2" s="245" t="s">
        <v>258</v>
      </c>
      <c r="G2" s="246" t="s">
        <v>259</v>
      </c>
      <c r="H2" s="245" t="s">
        <v>260</v>
      </c>
      <c r="I2" s="258" t="s">
        <v>257</v>
      </c>
      <c r="J2" s="258" t="s">
        <v>258</v>
      </c>
      <c r="K2" s="259" t="s">
        <v>257</v>
      </c>
      <c r="L2" s="259" t="s">
        <v>258</v>
      </c>
      <c r="M2" s="260" t="s">
        <v>257</v>
      </c>
      <c r="N2" s="260" t="s">
        <v>258</v>
      </c>
      <c r="O2" s="261" t="s">
        <v>257</v>
      </c>
      <c r="P2" s="261"/>
      <c r="Q2" s="258" t="s">
        <v>257</v>
      </c>
      <c r="R2" s="258" t="s">
        <v>258</v>
      </c>
      <c r="S2" s="259" t="s">
        <v>257</v>
      </c>
      <c r="T2" s="259" t="s">
        <v>258</v>
      </c>
      <c r="U2" s="260" t="s">
        <v>257</v>
      </c>
      <c r="V2" s="260" t="s">
        <v>258</v>
      </c>
      <c r="W2" s="261" t="s">
        <v>257</v>
      </c>
      <c r="X2" s="261" t="s">
        <v>258</v>
      </c>
      <c r="Y2" s="262" t="s">
        <v>257</v>
      </c>
      <c r="Z2" s="262" t="s">
        <v>258</v>
      </c>
      <c r="AA2" s="263" t="s">
        <v>257</v>
      </c>
      <c r="AB2" s="263" t="s">
        <v>258</v>
      </c>
      <c r="AC2" s="264" t="s">
        <v>257</v>
      </c>
      <c r="AD2" s="264" t="s">
        <v>258</v>
      </c>
      <c r="AE2" s="265" t="s">
        <v>257</v>
      </c>
      <c r="AF2" s="265" t="s">
        <v>258</v>
      </c>
    </row>
    <row r="3" spans="1:32" ht="11.25" customHeight="1" x14ac:dyDescent="0.3">
      <c r="A3" s="561" t="s">
        <v>261</v>
      </c>
      <c r="B3" s="547"/>
      <c r="C3" s="266" t="s">
        <v>156</v>
      </c>
      <c r="D3" s="267"/>
      <c r="E3" s="268">
        <f t="shared" ref="E3:F3" si="0">SUM(E5:E46)</f>
        <v>87059.48000000001</v>
      </c>
      <c r="F3" s="268">
        <f t="shared" si="0"/>
        <v>2260.7775257999842</v>
      </c>
      <c r="G3" s="269">
        <f>1-((E3/SUM(E3:F3)))</f>
        <v>2.5310915893261621E-2</v>
      </c>
      <c r="H3" s="268">
        <f>SUM(H5:H67)</f>
        <v>17067.183505159996</v>
      </c>
      <c r="I3" s="270">
        <f>SUM(I5:I46)</f>
        <v>15639.36</v>
      </c>
      <c r="J3" s="271"/>
      <c r="K3" s="232">
        <f>SUM(K5:K46)</f>
        <v>16615.620000000003</v>
      </c>
      <c r="L3" s="272"/>
      <c r="M3" s="273">
        <f>SUM(M5:M46)</f>
        <v>16971.29</v>
      </c>
      <c r="N3" s="274"/>
      <c r="O3" s="236">
        <f>SUM(O5:O46)</f>
        <v>18875.669999999998</v>
      </c>
      <c r="P3" s="275"/>
      <c r="Q3" s="270">
        <f>SUM(Q5:Q46)</f>
        <v>14973.200000000003</v>
      </c>
      <c r="R3" s="271"/>
      <c r="S3" s="232">
        <f>SUM(S5:S46)</f>
        <v>3984.34</v>
      </c>
      <c r="T3" s="272"/>
      <c r="U3" s="273">
        <f>SUM(U5:U46)</f>
        <v>0</v>
      </c>
      <c r="V3" s="274"/>
      <c r="W3" s="236">
        <f>SUM(W5:W46)</f>
        <v>0</v>
      </c>
      <c r="X3" s="275"/>
      <c r="Y3" s="276">
        <f>SUM(Y5:Y46)</f>
        <v>0</v>
      </c>
      <c r="Z3" s="277"/>
      <c r="AA3" s="278">
        <f>SUM(AA5:AA46)</f>
        <v>0</v>
      </c>
      <c r="AB3" s="279"/>
      <c r="AC3" s="280">
        <f>SUM(AC5:AC46)</f>
        <v>0</v>
      </c>
      <c r="AD3" s="281"/>
      <c r="AE3" s="282">
        <f>SUM(AE5:AE46)</f>
        <v>0</v>
      </c>
      <c r="AF3" s="283"/>
    </row>
    <row r="4" spans="1:32" ht="11.25" customHeight="1" x14ac:dyDescent="0.3">
      <c r="A4" s="561" t="s">
        <v>262</v>
      </c>
      <c r="B4" s="562"/>
      <c r="C4" s="547"/>
      <c r="D4" s="267"/>
      <c r="E4" s="284"/>
      <c r="F4" s="284"/>
      <c r="G4" s="285"/>
      <c r="H4" s="286"/>
      <c r="I4" s="271"/>
      <c r="J4" s="271"/>
      <c r="K4" s="272"/>
      <c r="L4" s="272"/>
      <c r="M4" s="274"/>
      <c r="N4" s="274"/>
      <c r="O4" s="275"/>
      <c r="P4" s="275"/>
      <c r="Q4" s="271"/>
      <c r="R4" s="271"/>
      <c r="S4" s="272"/>
      <c r="T4" s="272"/>
      <c r="U4" s="274"/>
      <c r="V4" s="274"/>
      <c r="W4" s="275"/>
      <c r="X4" s="275"/>
      <c r="Y4" s="277"/>
      <c r="Z4" s="277"/>
      <c r="AA4" s="279"/>
      <c r="AB4" s="279"/>
      <c r="AC4" s="281"/>
      <c r="AD4" s="281"/>
      <c r="AE4" s="283"/>
      <c r="AF4" s="283"/>
    </row>
    <row r="5" spans="1:32" ht="11.25" customHeight="1" x14ac:dyDescent="0.3">
      <c r="A5" s="284" t="str">
        <f>'Proposed Budget'!A5</f>
        <v>D</v>
      </c>
      <c r="B5" s="255">
        <f>'Proposed Budget'!B5</f>
        <v>1</v>
      </c>
      <c r="C5" s="287" t="str">
        <f>'Proposed Budget'!C5</f>
        <v>Groceries/Household</v>
      </c>
      <c r="D5" s="288">
        <f t="shared" ref="D5:D12" ca="1" si="1">(E5/(TODAY()-$I$1))*30.42</f>
        <v>1203.3162883435582</v>
      </c>
      <c r="E5" s="289">
        <f>I5+K5+M5+O5+Q5+S5+U5+W5+Y5+AA5+AC5+AE5</f>
        <v>6447.75</v>
      </c>
      <c r="F5" s="289">
        <f t="shared" ref="F5:F12" si="2">J5+L5+N5+P5+R5</f>
        <v>-8.3000000000001819</v>
      </c>
      <c r="G5" s="269">
        <f t="shared" ref="G5:G12" si="3">1-((E5/SUM(E5:F5)))</f>
        <v>-1.288929955198137E-3</v>
      </c>
      <c r="H5" s="289">
        <f>'Proposed Budget'!D5</f>
        <v>1200</v>
      </c>
      <c r="I5" s="270">
        <f>SUMIFS('Checking Transaction Log'!$E:$E,'Checking Transaction Log'!$C:$C,"&gt;="&amp;I1,'Checking Transaction Log'!$C:$C,"&lt;="&amp;J1,'Checking Transaction Log'!$A:$A,"D",'Checking Transaction Log'!$B:$B,1)</f>
        <v>1067.56</v>
      </c>
      <c r="J5" s="270">
        <f t="shared" ref="J5:J12" si="4">H5-I5</f>
        <v>132.44000000000005</v>
      </c>
      <c r="K5" s="232">
        <f>SUMIFS('Checking Transaction Log'!$E:$E,'Checking Transaction Log'!$C:$C,"&gt;="&amp;K1,'Checking Transaction Log'!$C:$C,"&lt;="&amp;L1,'Checking Transaction Log'!$A:$A,"D",'Checking Transaction Log'!$B:$B,1)</f>
        <v>1033.9000000000001</v>
      </c>
      <c r="L5" s="232">
        <f t="shared" ref="L5:L12" si="5">H5-K5</f>
        <v>166.09999999999991</v>
      </c>
      <c r="M5" s="273">
        <f>SUMIFS('Checking Transaction Log'!$E:$E,'Checking Transaction Log'!$C:$C,"&gt;="&amp;M1,'Checking Transaction Log'!$C:$C,"&lt;="&amp;N1,'Checking Transaction Log'!$A:$A,"D",'Checking Transaction Log'!$B:$B,1)</f>
        <v>1358.86</v>
      </c>
      <c r="N5" s="273">
        <f t="shared" ref="N5:N12" si="6">H5-M5</f>
        <v>-158.8599999999999</v>
      </c>
      <c r="O5" s="236">
        <f>SUMIFS('Checking Transaction Log'!$E:$E,'Checking Transaction Log'!$C:$C,"&gt;="&amp;O1,'Checking Transaction Log'!$C:$C,"&lt;="&amp;P1,'Checking Transaction Log'!$A:$A,"D",'Checking Transaction Log'!$B:$B,1)</f>
        <v>1284.83</v>
      </c>
      <c r="P5" s="236">
        <f t="shared" ref="P5:P12" si="7">H5-O5</f>
        <v>-84.829999999999927</v>
      </c>
      <c r="Q5" s="270">
        <f>SUMIFS('Checking Transaction Log'!$E:$E,'Checking Transaction Log'!$C:$C,"&gt;="&amp;Q1,'Checking Transaction Log'!$C:$C,"&lt;="&amp;R1,'Checking Transaction Log'!$A:$A,"D",'Checking Transaction Log'!$B:$B,1)</f>
        <v>1263.1500000000003</v>
      </c>
      <c r="R5" s="270">
        <f t="shared" ref="R5:R12" si="8">H5-Q5</f>
        <v>-63.150000000000318</v>
      </c>
      <c r="S5" s="232">
        <f>SUMIFS('Checking Transaction Log'!$E:$E,'Checking Transaction Log'!$C:$C,"&gt;="&amp;S1,'Checking Transaction Log'!$C:$C,"&lt;="&amp;T1,'Checking Transaction Log'!$A:$A,"D",'Checking Transaction Log'!$B:$B,1)</f>
        <v>439.45</v>
      </c>
      <c r="T5" s="232">
        <f t="shared" ref="T5:T12" si="9">H5-S5</f>
        <v>760.55</v>
      </c>
      <c r="U5" s="273">
        <f>SUMIFS('Checking Transaction Log'!$E:$E,'Checking Transaction Log'!$C:$C,"&gt;="&amp;U1,'Checking Transaction Log'!$C:$C,"&lt;="&amp;V1,'Checking Transaction Log'!$A:$A,"D",'Checking Transaction Log'!$B:$B,1)</f>
        <v>0</v>
      </c>
      <c r="V5" s="273">
        <f t="shared" ref="V5:V12" si="10">H5-U5</f>
        <v>1200</v>
      </c>
      <c r="W5" s="236">
        <f>SUMIFS('Checking Transaction Log'!$E:$E,'Checking Transaction Log'!$C:$C,"&gt;="&amp;W1,'Checking Transaction Log'!$C:$C,"&lt;="&amp;X1,'Checking Transaction Log'!$A:$A,"D",'Checking Transaction Log'!$B:$B,1)</f>
        <v>0</v>
      </c>
      <c r="X5" s="236">
        <f t="shared" ref="X5:X12" si="11">H5-W5</f>
        <v>1200</v>
      </c>
      <c r="Y5" s="276">
        <f>SUMIFS('Checking Transaction Log'!$E:$E,'Checking Transaction Log'!$C:$C,"&gt;="&amp;Y1,'Checking Transaction Log'!$C:$C,"&lt;="&amp;Z1,'Checking Transaction Log'!$A:$A,"D",'Checking Transaction Log'!$B:$B,1)</f>
        <v>0</v>
      </c>
      <c r="Z5" s="276">
        <f t="shared" ref="Z5:Z12" si="12">H5-Y5</f>
        <v>1200</v>
      </c>
      <c r="AA5" s="278">
        <f>SUMIFS('Checking Transaction Log'!$E:$E,'Checking Transaction Log'!$C:$C,"&gt;="&amp;AA1,'Checking Transaction Log'!$C:$C,"&lt;="&amp;AB1,'Checking Transaction Log'!$A:$A,"D",'Checking Transaction Log'!$B:$B,1)</f>
        <v>0</v>
      </c>
      <c r="AB5" s="278">
        <f t="shared" ref="AB5:AB12" si="13">H5-AA5</f>
        <v>1200</v>
      </c>
      <c r="AC5" s="280">
        <f>SUMIFS('Checking Transaction Log'!$E:$E,'Checking Transaction Log'!$C:$C,"&gt;="&amp;AC1,'Checking Transaction Log'!$C:$C,"&lt;="&amp;AD1,'Checking Transaction Log'!$A:$A,"D",'Checking Transaction Log'!$B:$B,1)</f>
        <v>0</v>
      </c>
      <c r="AD5" s="280">
        <f t="shared" ref="AD5:AD12" si="14">H5-AC5</f>
        <v>1200</v>
      </c>
      <c r="AE5" s="282">
        <f>SUMIFS('Checking Transaction Log'!$E:$E,'Checking Transaction Log'!$C:$C,"&gt;="&amp;AE1,'Checking Transaction Log'!$C:$C,"&lt;="&amp;AF1,'Checking Transaction Log'!$A:$A,"D",'Checking Transaction Log'!$B:$B,1)</f>
        <v>0</v>
      </c>
      <c r="AF5" s="282">
        <f t="shared" ref="AF5:AF12" si="15">H5-AE5</f>
        <v>1200</v>
      </c>
    </row>
    <row r="6" spans="1:32" ht="11.25" customHeight="1" x14ac:dyDescent="0.3">
      <c r="A6" s="284" t="str">
        <f>'Proposed Budget'!A6</f>
        <v>D</v>
      </c>
      <c r="B6" s="255">
        <f>'Proposed Budget'!B6</f>
        <v>2</v>
      </c>
      <c r="C6" s="287" t="str">
        <f>'Proposed Budget'!C6</f>
        <v>Dining Out</v>
      </c>
      <c r="D6" s="288">
        <f t="shared" ca="1" si="1"/>
        <v>1143.6053742331287</v>
      </c>
      <c r="E6" s="289">
        <f t="shared" ref="E6:E12" si="16">Q6+S6+U6+W6+Y6+AA6+AC6+AE6+I6+K6+M6+O6</f>
        <v>6127.7999999999993</v>
      </c>
      <c r="F6" s="289">
        <f t="shared" si="2"/>
        <v>205.37000000000069</v>
      </c>
      <c r="G6" s="269">
        <f t="shared" si="3"/>
        <v>3.2427678398021964E-2</v>
      </c>
      <c r="H6" s="289">
        <f>'Proposed Budget'!D6</f>
        <v>1200</v>
      </c>
      <c r="I6" s="270">
        <f>SUMIFS('Checking Transaction Log'!E:E,'Checking Transaction Log'!C:C,"&gt;="&amp;I1,'Checking Transaction Log'!C:C,"&lt;="&amp;J1,'Checking Transaction Log'!A:A,"D",'Checking Transaction Log'!B:B,2)</f>
        <v>1061.45</v>
      </c>
      <c r="J6" s="270">
        <f t="shared" si="4"/>
        <v>138.54999999999995</v>
      </c>
      <c r="K6" s="232">
        <f>SUMIFS('Checking Transaction Log'!E:E,'Checking Transaction Log'!C:C,"&gt;="&amp;K1,'Checking Transaction Log'!C:C,"&lt;="&amp;L1,'Checking Transaction Log'!A:A,"D",'Checking Transaction Log'!B:B,2)</f>
        <v>911.68</v>
      </c>
      <c r="L6" s="232">
        <f t="shared" si="5"/>
        <v>288.32000000000005</v>
      </c>
      <c r="M6" s="273">
        <f>SUMIFS('Checking Transaction Log'!$E:$E,'Checking Transaction Log'!$C:$C,"&gt;="&amp;M1,'Checking Transaction Log'!$C:$C,"&lt;="&amp;N1,'Checking Transaction Log'!$A:$A,"D",'Checking Transaction Log'!$B:$B,2)</f>
        <v>1233.4599999999996</v>
      </c>
      <c r="N6" s="273">
        <f t="shared" si="6"/>
        <v>-33.459999999999582</v>
      </c>
      <c r="O6" s="236">
        <f>SUMIFS('Checking Transaction Log'!$E:$E,'Checking Transaction Log'!$C:$C,"&gt;="&amp;O1,'Checking Transaction Log'!$C:$C,"&lt;="&amp;P1,'Checking Transaction Log'!$A:$A,"D",'Checking Transaction Log'!$B:$B,2)</f>
        <v>984.17999999999984</v>
      </c>
      <c r="P6" s="236">
        <f t="shared" si="7"/>
        <v>215.82000000000016</v>
      </c>
      <c r="Q6" s="270">
        <f>SUMIFS('Checking Transaction Log'!$E:$E,'Checking Transaction Log'!$C:$C,"&gt;="&amp;Q1,'Checking Transaction Log'!$C:$C,"&lt;="&amp;R1,'Checking Transaction Log'!$A:$A,"D",'Checking Transaction Log'!$B:$B,2)</f>
        <v>1603.86</v>
      </c>
      <c r="R6" s="270">
        <f t="shared" si="8"/>
        <v>-403.8599999999999</v>
      </c>
      <c r="S6" s="232">
        <f>SUMIFS('Checking Transaction Log'!$E:$E,'Checking Transaction Log'!$C:$C,"&gt;="&amp;S1,'Checking Transaction Log'!$C:$C,"&lt;="&amp;T1,'Checking Transaction Log'!$A:$A,"D",'Checking Transaction Log'!$B:$B,2)</f>
        <v>333.16999999999996</v>
      </c>
      <c r="T6" s="232">
        <f t="shared" si="9"/>
        <v>866.83</v>
      </c>
      <c r="U6" s="273">
        <f>SUMIFS('Checking Transaction Log'!$E:$E,'Checking Transaction Log'!$C:$C,"&gt;="&amp;U1,'Checking Transaction Log'!$C:$C,"&lt;="&amp;V1,'Checking Transaction Log'!$A:$A,"D",'Checking Transaction Log'!$B:$B,2)</f>
        <v>0</v>
      </c>
      <c r="V6" s="273">
        <f t="shared" si="10"/>
        <v>1200</v>
      </c>
      <c r="W6" s="236">
        <f>SUMIFS('Checking Transaction Log'!$E:$E,'Checking Transaction Log'!$C:$C,"&gt;="&amp;W1,'Checking Transaction Log'!$C:$C,"&lt;="&amp;X1,'Checking Transaction Log'!$A:$A,"D",'Checking Transaction Log'!$B:$B,2)</f>
        <v>0</v>
      </c>
      <c r="X6" s="236">
        <f t="shared" si="11"/>
        <v>1200</v>
      </c>
      <c r="Y6" s="276">
        <f>SUMIFS('Checking Transaction Log'!$E:$E,'Checking Transaction Log'!$C:$C,"&gt;="&amp;Y1,'Checking Transaction Log'!$C:$C,"&lt;="&amp;Z1,'Checking Transaction Log'!$A:$A,"D",'Checking Transaction Log'!$B:$B,2)</f>
        <v>0</v>
      </c>
      <c r="Z6" s="276">
        <f t="shared" si="12"/>
        <v>1200</v>
      </c>
      <c r="AA6" s="278">
        <f>SUMIFS('Checking Transaction Log'!$E:$E,'Checking Transaction Log'!$C:$C,"&gt;="&amp;AA1,'Checking Transaction Log'!$C:$C,"&lt;="&amp;AB1,'Checking Transaction Log'!$A:$A,"D",'Checking Transaction Log'!$B:$B,2)</f>
        <v>0</v>
      </c>
      <c r="AB6" s="278">
        <f t="shared" si="13"/>
        <v>1200</v>
      </c>
      <c r="AC6" s="280">
        <f>SUMIFS('Checking Transaction Log'!$E:$E,'Checking Transaction Log'!$C:$C,"&gt;="&amp;AC1,'Checking Transaction Log'!$C:$C,"&lt;="&amp;AD1,'Checking Transaction Log'!$A:$A,"D",'Checking Transaction Log'!$B:$B,2)</f>
        <v>0</v>
      </c>
      <c r="AD6" s="280">
        <f t="shared" si="14"/>
        <v>1200</v>
      </c>
      <c r="AE6" s="282">
        <f>SUMIFS('Checking Transaction Log'!$E:$E,'Checking Transaction Log'!$C:$C,"&gt;="&amp;AE1,'Checking Transaction Log'!$C:$C,"&lt;="&amp;AF1,'Checking Transaction Log'!$A:$A,"D",'Checking Transaction Log'!$B:$B,2)</f>
        <v>0</v>
      </c>
      <c r="AF6" s="282">
        <f t="shared" si="15"/>
        <v>1200</v>
      </c>
    </row>
    <row r="7" spans="1:32" ht="11.25" customHeight="1" x14ac:dyDescent="0.3">
      <c r="A7" s="284" t="str">
        <f>'Proposed Budget'!A7</f>
        <v>D</v>
      </c>
      <c r="B7" s="255">
        <f>'Proposed Budget'!B7</f>
        <v>3</v>
      </c>
      <c r="C7" s="287" t="str">
        <f>'Proposed Budget'!C7</f>
        <v>Misc Food</v>
      </c>
      <c r="D7" s="288">
        <f t="shared" ca="1" si="1"/>
        <v>132.02839877300613</v>
      </c>
      <c r="E7" s="289">
        <f t="shared" si="16"/>
        <v>707.44999999999993</v>
      </c>
      <c r="F7" s="289">
        <f t="shared" si="2"/>
        <v>69.480000000000018</v>
      </c>
      <c r="G7" s="269">
        <f t="shared" si="3"/>
        <v>8.9428906079054737E-2</v>
      </c>
      <c r="H7" s="289">
        <f>'Proposed Budget'!D7</f>
        <v>150</v>
      </c>
      <c r="I7" s="270">
        <f>SUMIFS('Checking Transaction Log'!E:E,'Checking Transaction Log'!C:C,"&gt;="&amp;I1,'Checking Transaction Log'!C:C,"&lt;="&amp;J1,'Checking Transaction Log'!A:A,"D",'Checking Transaction Log'!B:B,3)</f>
        <v>144.51</v>
      </c>
      <c r="J7" s="270">
        <f t="shared" si="4"/>
        <v>5.4900000000000091</v>
      </c>
      <c r="K7" s="232">
        <f>SUMIFS('Checking Transaction Log'!E:E,'Checking Transaction Log'!C:C,"&gt;="&amp;K1,'Checking Transaction Log'!C:C,"&lt;="&amp;L1,'Checking Transaction Log'!A:A,"D",'Checking Transaction Log'!B:B,3)</f>
        <v>90.76</v>
      </c>
      <c r="L7" s="232">
        <f t="shared" si="5"/>
        <v>59.239999999999995</v>
      </c>
      <c r="M7" s="273">
        <f>SUMIFS('Checking Transaction Log'!$E:$E,'Checking Transaction Log'!$C:$C,"&gt;="&amp;M1,'Checking Transaction Log'!$C:$C,"&lt;="&amp;N1,'Checking Transaction Log'!$A:$A,"D",'Checking Transaction Log'!$B:$B,3)</f>
        <v>173.53</v>
      </c>
      <c r="N7" s="273">
        <f t="shared" si="6"/>
        <v>-23.53</v>
      </c>
      <c r="O7" s="236">
        <f>SUMIFS('Checking Transaction Log'!$E:$E,'Checking Transaction Log'!$C:$C,"&gt;="&amp;O1,'Checking Transaction Log'!$C:$C,"&lt;="&amp;P1,'Checking Transaction Log'!$A:$A,"D",'Checking Transaction Log'!$B:$B,3)</f>
        <v>91.659999999999982</v>
      </c>
      <c r="P7" s="236">
        <f t="shared" si="7"/>
        <v>58.340000000000018</v>
      </c>
      <c r="Q7" s="270">
        <f>SUMIFS('Checking Transaction Log'!$E:$E,'Checking Transaction Log'!$C:$C,"&gt;="&amp;Q1,'Checking Transaction Log'!$C:$C,"&lt;="&amp;R1,'Checking Transaction Log'!$A:$A,"D",'Checking Transaction Log'!$B:$B,3)</f>
        <v>180.06</v>
      </c>
      <c r="R7" s="270">
        <f t="shared" si="8"/>
        <v>-30.060000000000002</v>
      </c>
      <c r="S7" s="232">
        <f>SUMIFS('Checking Transaction Log'!$E:$E,'Checking Transaction Log'!$C:$C,"&gt;="&amp;S1,'Checking Transaction Log'!$C:$C,"&lt;="&amp;T1,'Checking Transaction Log'!$A:$A,"D",'Checking Transaction Log'!$B:$B,3)</f>
        <v>26.93</v>
      </c>
      <c r="T7" s="232">
        <f t="shared" si="9"/>
        <v>123.07</v>
      </c>
      <c r="U7" s="273">
        <f>SUMIFS('Checking Transaction Log'!$E:$E,'Checking Transaction Log'!$C:$C,"&gt;="&amp;U1,'Checking Transaction Log'!$C:$C,"&lt;="&amp;V1,'Checking Transaction Log'!$A:$A,"D",'Checking Transaction Log'!$B:$B,3)</f>
        <v>0</v>
      </c>
      <c r="V7" s="273">
        <f t="shared" si="10"/>
        <v>150</v>
      </c>
      <c r="W7" s="236">
        <f>SUMIFS('Checking Transaction Log'!$E:$E,'Checking Transaction Log'!$C:$C,"&gt;="&amp;W1,'Checking Transaction Log'!$C:$C,"&lt;="&amp;X1,'Checking Transaction Log'!$A:$A,"D",'Checking Transaction Log'!$B:$B,3)</f>
        <v>0</v>
      </c>
      <c r="X7" s="236">
        <f t="shared" si="11"/>
        <v>150</v>
      </c>
      <c r="Y7" s="276">
        <f>SUMIFS('Checking Transaction Log'!$E:$E,'Checking Transaction Log'!$C:$C,"&gt;="&amp;Y1,'Checking Transaction Log'!$C:$C,"&lt;="&amp;Z1,'Checking Transaction Log'!$A:$A,"D",'Checking Transaction Log'!$B:$B,3)</f>
        <v>0</v>
      </c>
      <c r="Z7" s="276">
        <f t="shared" si="12"/>
        <v>150</v>
      </c>
      <c r="AA7" s="278">
        <f>SUMIFS('Checking Transaction Log'!$E:$E,'Checking Transaction Log'!$C:$C,"&gt;="&amp;AA1,'Checking Transaction Log'!$C:$C,"&lt;="&amp;AB1,'Checking Transaction Log'!$A:$A,"D",'Checking Transaction Log'!$B:$B,3)</f>
        <v>0</v>
      </c>
      <c r="AB7" s="278">
        <f t="shared" si="13"/>
        <v>150</v>
      </c>
      <c r="AC7" s="280">
        <f>SUMIFS('Checking Transaction Log'!$E:$E,'Checking Transaction Log'!$C:$C,"&gt;="&amp;AC1,'Checking Transaction Log'!$C:$C,"&lt;="&amp;AD1,'Checking Transaction Log'!$A:$A,"D",'Checking Transaction Log'!$B:$B,3)</f>
        <v>0</v>
      </c>
      <c r="AD7" s="280">
        <f t="shared" si="14"/>
        <v>150</v>
      </c>
      <c r="AE7" s="282">
        <f>SUMIFS('Checking Transaction Log'!$E:$E,'Checking Transaction Log'!$C:$C,"&gt;="&amp;AE1,'Checking Transaction Log'!$C:$C,"&lt;="&amp;AF1,'Checking Transaction Log'!$A:$A,"D",'Checking Transaction Log'!$B:$B,3)</f>
        <v>0</v>
      </c>
      <c r="AF7" s="282">
        <f t="shared" si="15"/>
        <v>150</v>
      </c>
    </row>
    <row r="8" spans="1:32" ht="11.25" customHeight="1" x14ac:dyDescent="0.3">
      <c r="A8" s="284" t="str">
        <f>'Proposed Budget'!A8</f>
        <v>D</v>
      </c>
      <c r="B8" s="255">
        <f>'Proposed Budget'!B8</f>
        <v>4</v>
      </c>
      <c r="C8" s="287" t="str">
        <f>'Proposed Budget'!C8</f>
        <v>Gasoline</v>
      </c>
      <c r="D8" s="288">
        <f t="shared" ca="1" si="1"/>
        <v>664.96440368098172</v>
      </c>
      <c r="E8" s="289">
        <f t="shared" si="16"/>
        <v>3563.09</v>
      </c>
      <c r="F8" s="289">
        <f t="shared" si="2"/>
        <v>-344.8900000000001</v>
      </c>
      <c r="G8" s="269">
        <f t="shared" si="3"/>
        <v>-0.1071686035672117</v>
      </c>
      <c r="H8" s="289">
        <f>'Proposed Budget'!D8</f>
        <v>600</v>
      </c>
      <c r="I8" s="270">
        <f>SUMIFS('Checking Transaction Log'!E:E,'Checking Transaction Log'!C:C,"&gt;="&amp;I1,'Checking Transaction Log'!C:C,"&lt;="&amp;J1,'Checking Transaction Log'!A:A,"D",'Checking Transaction Log'!B:B,4)</f>
        <v>561.41</v>
      </c>
      <c r="J8" s="270">
        <f t="shared" si="4"/>
        <v>38.590000000000032</v>
      </c>
      <c r="K8" s="232">
        <f>SUMIFS('Checking Transaction Log'!E:E,'Checking Transaction Log'!C:C,"&gt;="&amp;K1,'Checking Transaction Log'!C:C,"&lt;="&amp;L1,'Checking Transaction Log'!A:A,"D",'Checking Transaction Log'!B:B,4)</f>
        <v>710.78</v>
      </c>
      <c r="L8" s="232">
        <f t="shared" si="5"/>
        <v>-110.77999999999997</v>
      </c>
      <c r="M8" s="273">
        <f>SUMIFS('Checking Transaction Log'!$E:$E,'Checking Transaction Log'!$C:$C,"&gt;="&amp;M1,'Checking Transaction Log'!$C:$C,"&lt;="&amp;N1,'Checking Transaction Log'!$A:$A,"D",'Checking Transaction Log'!$B:$B,4)</f>
        <v>537.41000000000008</v>
      </c>
      <c r="N8" s="273">
        <f t="shared" si="6"/>
        <v>62.589999999999918</v>
      </c>
      <c r="O8" s="236">
        <f>SUMIFS('Checking Transaction Log'!$E:$E,'Checking Transaction Log'!$C:$C,"&gt;="&amp;O1,'Checking Transaction Log'!$C:$C,"&lt;="&amp;P1,'Checking Transaction Log'!$A:$A,"D",'Checking Transaction Log'!$B:$B,4)</f>
        <v>592.33000000000004</v>
      </c>
      <c r="P8" s="236">
        <f t="shared" si="7"/>
        <v>7.6699999999999591</v>
      </c>
      <c r="Q8" s="270">
        <f>SUMIFS('Checking Transaction Log'!$E:$E,'Checking Transaction Log'!$C:$C,"&gt;="&amp;Q1,'Checking Transaction Log'!$C:$C,"&lt;="&amp;R1,'Checking Transaction Log'!$A:$A,"D",'Checking Transaction Log'!$B:$B,4)</f>
        <v>942.96</v>
      </c>
      <c r="R8" s="270">
        <f t="shared" si="8"/>
        <v>-342.96000000000004</v>
      </c>
      <c r="S8" s="232">
        <f>SUMIFS('Checking Transaction Log'!$E:$E,'Checking Transaction Log'!$C:$C,"&gt;="&amp;S1,'Checking Transaction Log'!$C:$C,"&lt;="&amp;T1,'Checking Transaction Log'!$A:$A,"D",'Checking Transaction Log'!$B:$B,4)</f>
        <v>218.2</v>
      </c>
      <c r="T8" s="232">
        <f t="shared" si="9"/>
        <v>381.8</v>
      </c>
      <c r="U8" s="273">
        <f>SUMIFS('Checking Transaction Log'!$E:$E,'Checking Transaction Log'!$C:$C,"&gt;="&amp;U1,'Checking Transaction Log'!$C:$C,"&lt;="&amp;V1,'Checking Transaction Log'!$A:$A,"D",'Checking Transaction Log'!$B:$B,4)</f>
        <v>0</v>
      </c>
      <c r="V8" s="273">
        <f t="shared" si="10"/>
        <v>600</v>
      </c>
      <c r="W8" s="236">
        <f>SUMIFS('Checking Transaction Log'!$E:$E,'Checking Transaction Log'!$C:$C,"&gt;="&amp;W1,'Checking Transaction Log'!$C:$C,"&lt;="&amp;X1,'Checking Transaction Log'!$A:$A,"D",'Checking Transaction Log'!$B:$B,4)</f>
        <v>0</v>
      </c>
      <c r="X8" s="236">
        <f t="shared" si="11"/>
        <v>600</v>
      </c>
      <c r="Y8" s="276">
        <f>SUMIFS('Checking Transaction Log'!$E:$E,'Checking Transaction Log'!$C:$C,"&gt;="&amp;Y1,'Checking Transaction Log'!$C:$C,"&lt;="&amp;Z1,'Checking Transaction Log'!$A:$A,"D",'Checking Transaction Log'!$B:$B,4)</f>
        <v>0</v>
      </c>
      <c r="Z8" s="276">
        <f t="shared" si="12"/>
        <v>600</v>
      </c>
      <c r="AA8" s="278">
        <f>SUMIFS('Checking Transaction Log'!$E:$E,'Checking Transaction Log'!$C:$C,"&gt;="&amp;AA1,'Checking Transaction Log'!$C:$C,"&lt;="&amp;AB1,'Checking Transaction Log'!$A:$A,"D",'Checking Transaction Log'!$B:$B,4)</f>
        <v>0</v>
      </c>
      <c r="AB8" s="278">
        <f t="shared" si="13"/>
        <v>600</v>
      </c>
      <c r="AC8" s="280">
        <f>SUMIFS('Checking Transaction Log'!$E:$E,'Checking Transaction Log'!$C:$C,"&gt;="&amp;AC1,'Checking Transaction Log'!$C:$C,"&lt;="&amp;AD1,'Checking Transaction Log'!$A:$A,"D",'Checking Transaction Log'!$B:$B,4)</f>
        <v>0</v>
      </c>
      <c r="AD8" s="280">
        <f t="shared" si="14"/>
        <v>600</v>
      </c>
      <c r="AE8" s="282">
        <f>SUMIFS('Checking Transaction Log'!$E:$E,'Checking Transaction Log'!$C:$C,"&gt;="&amp;AE1,'Checking Transaction Log'!$C:$C,"&lt;="&amp;AF1,'Checking Transaction Log'!$A:$A,"D",'Checking Transaction Log'!$B:$B,4)</f>
        <v>0</v>
      </c>
      <c r="AF8" s="282">
        <f t="shared" si="15"/>
        <v>600</v>
      </c>
    </row>
    <row r="9" spans="1:32" ht="11.25" customHeight="1" x14ac:dyDescent="0.3">
      <c r="A9" s="284" t="str">
        <f>'Proposed Budget'!A9</f>
        <v>D</v>
      </c>
      <c r="B9" s="255">
        <f>'Proposed Budget'!B9</f>
        <v>5</v>
      </c>
      <c r="C9" s="287" t="str">
        <f>'Proposed Budget'!C9</f>
        <v>Family Entertainment</v>
      </c>
      <c r="D9" s="288">
        <f t="shared" ca="1" si="1"/>
        <v>730.13598773006129</v>
      </c>
      <c r="E9" s="289">
        <f t="shared" si="16"/>
        <v>3912.2999999999997</v>
      </c>
      <c r="F9" s="289">
        <f t="shared" si="2"/>
        <v>-381.62</v>
      </c>
      <c r="G9" s="269">
        <f t="shared" si="3"/>
        <v>-0.10808682746666354</v>
      </c>
      <c r="H9" s="289">
        <f>'Proposed Budget'!D9</f>
        <v>700</v>
      </c>
      <c r="I9" s="270">
        <f>SUMIFS('Checking Transaction Log'!E:E,'Checking Transaction Log'!C:C,"&gt;="&amp;I1,'Checking Transaction Log'!C:C,"&lt;="&amp;J1,'Checking Transaction Log'!A:A,"D",'Checking Transaction Log'!B:B,5)</f>
        <v>717.1</v>
      </c>
      <c r="J9" s="270">
        <f t="shared" si="4"/>
        <v>-17.100000000000023</v>
      </c>
      <c r="K9" s="232">
        <f>SUMIFS('Checking Transaction Log'!E:E,'Checking Transaction Log'!C:C,"&gt;="&amp;K1,'Checking Transaction Log'!C:C,"&lt;="&amp;L1,'Checking Transaction Log'!A:A,"D",'Checking Transaction Log'!B:B,5)</f>
        <v>780.14</v>
      </c>
      <c r="L9" s="232">
        <f t="shared" si="5"/>
        <v>-80.139999999999986</v>
      </c>
      <c r="M9" s="273">
        <f>SUMIFS('Checking Transaction Log'!$E:$E,'Checking Transaction Log'!$C:$C,"&gt;="&amp;M1,'Checking Transaction Log'!$C:$C,"&lt;="&amp;N1,'Checking Transaction Log'!$A:$A,"D",'Checking Transaction Log'!$B:$B,5)</f>
        <v>516.79</v>
      </c>
      <c r="N9" s="273">
        <f t="shared" si="6"/>
        <v>183.21000000000004</v>
      </c>
      <c r="O9" s="236">
        <f>SUMIFS('Checking Transaction Log'!$E:$E,'Checking Transaction Log'!$C:$C,"&gt;="&amp;O1,'Checking Transaction Log'!$C:$C,"&lt;="&amp;P1,'Checking Transaction Log'!$A:$A,"D",'Checking Transaction Log'!$B:$B,5)</f>
        <v>1673.98</v>
      </c>
      <c r="P9" s="236">
        <f t="shared" si="7"/>
        <v>-973.98</v>
      </c>
      <c r="Q9" s="270">
        <f>SUMIFS('Checking Transaction Log'!$E:$E,'Checking Transaction Log'!$C:$C,"&gt;="&amp;Q1,'Checking Transaction Log'!$C:$C,"&lt;="&amp;R1,'Checking Transaction Log'!$A:$A,"D",'Checking Transaction Log'!$B:$B,5)</f>
        <v>193.60999999999999</v>
      </c>
      <c r="R9" s="270">
        <f t="shared" si="8"/>
        <v>506.39</v>
      </c>
      <c r="S9" s="232">
        <f>SUMIFS('Checking Transaction Log'!$E:$E,'Checking Transaction Log'!$C:$C,"&gt;="&amp;S1,'Checking Transaction Log'!$C:$C,"&lt;="&amp;T1,'Checking Transaction Log'!$A:$A,"D",'Checking Transaction Log'!$B:$B,5)</f>
        <v>30.68</v>
      </c>
      <c r="T9" s="232">
        <f t="shared" si="9"/>
        <v>669.32</v>
      </c>
      <c r="U9" s="273">
        <f>SUMIFS('Checking Transaction Log'!$E:$E,'Checking Transaction Log'!$C:$C,"&gt;="&amp;U1,'Checking Transaction Log'!$C:$C,"&lt;="&amp;V1,'Checking Transaction Log'!$A:$A,"D",'Checking Transaction Log'!$B:$B,5)</f>
        <v>0</v>
      </c>
      <c r="V9" s="273">
        <f t="shared" si="10"/>
        <v>700</v>
      </c>
      <c r="W9" s="236">
        <f>SUMIFS('Checking Transaction Log'!$E:$E,'Checking Transaction Log'!$C:$C,"&gt;="&amp;W1,'Checking Transaction Log'!$C:$C,"&lt;="&amp;X1,'Checking Transaction Log'!$A:$A,"D",'Checking Transaction Log'!$B:$B,5)</f>
        <v>0</v>
      </c>
      <c r="X9" s="236">
        <f t="shared" si="11"/>
        <v>700</v>
      </c>
      <c r="Y9" s="276">
        <f>SUMIFS('Checking Transaction Log'!$E:$E,'Checking Transaction Log'!$C:$C,"&gt;="&amp;Y1,'Checking Transaction Log'!$C:$C,"&lt;="&amp;Z1,'Checking Transaction Log'!$A:$A,"D",'Checking Transaction Log'!$B:$B,5)</f>
        <v>0</v>
      </c>
      <c r="Z9" s="276">
        <f t="shared" si="12"/>
        <v>700</v>
      </c>
      <c r="AA9" s="278">
        <f>SUMIFS('Checking Transaction Log'!$E:$E,'Checking Transaction Log'!$C:$C,"&gt;="&amp;AA1,'Checking Transaction Log'!$C:$C,"&lt;="&amp;AB1,'Checking Transaction Log'!$A:$A,"D",'Checking Transaction Log'!$B:$B,5)</f>
        <v>0</v>
      </c>
      <c r="AB9" s="278">
        <f t="shared" si="13"/>
        <v>700</v>
      </c>
      <c r="AC9" s="280">
        <f>SUMIFS('Checking Transaction Log'!$E:$E,'Checking Transaction Log'!$C:$C,"&gt;="&amp;AC1,'Checking Transaction Log'!$C:$C,"&lt;="&amp;AD1,'Checking Transaction Log'!$A:$A,"D",'Checking Transaction Log'!$B:$B,5)</f>
        <v>0</v>
      </c>
      <c r="AD9" s="280">
        <f t="shared" si="14"/>
        <v>700</v>
      </c>
      <c r="AE9" s="282">
        <f>SUMIFS('Checking Transaction Log'!$E:$E,'Checking Transaction Log'!$C:$C,"&gt;="&amp;AE1,'Checking Transaction Log'!$C:$C,"&lt;="&amp;AF1,'Checking Transaction Log'!$A:$A,"D",'Checking Transaction Log'!$B:$B,5)</f>
        <v>0</v>
      </c>
      <c r="AF9" s="282">
        <f t="shared" si="15"/>
        <v>700</v>
      </c>
    </row>
    <row r="10" spans="1:32" ht="11.25" customHeight="1" x14ac:dyDescent="0.3">
      <c r="A10" s="284" t="str">
        <f>'Proposed Budget'!A10</f>
        <v>D</v>
      </c>
      <c r="B10" s="255">
        <f>'Proposed Budget'!B10</f>
        <v>6</v>
      </c>
      <c r="C10" s="287" t="str">
        <f>'Proposed Budget'!C10</f>
        <v>Miscellaneous Spending</v>
      </c>
      <c r="D10" s="288">
        <f t="shared" ca="1" si="1"/>
        <v>804.9243975460123</v>
      </c>
      <c r="E10" s="289">
        <f t="shared" si="16"/>
        <v>4313.04</v>
      </c>
      <c r="F10" s="289">
        <f t="shared" si="2"/>
        <v>294.17999999999972</v>
      </c>
      <c r="G10" s="269">
        <f t="shared" si="3"/>
        <v>6.3851954106814879E-2</v>
      </c>
      <c r="H10" s="289">
        <f>'Proposed Budget'!D10</f>
        <v>900</v>
      </c>
      <c r="I10" s="270">
        <f>SUMIFS('Checking Transaction Log'!E:E,'Checking Transaction Log'!C:C,"&gt;="&amp;I1,'Checking Transaction Log'!C:C,"&lt;="&amp;J1,'Checking Transaction Log'!A:A,"D",'Checking Transaction Log'!B:B,6)</f>
        <v>714.12000000000012</v>
      </c>
      <c r="J10" s="270">
        <f t="shared" si="4"/>
        <v>185.87999999999988</v>
      </c>
      <c r="K10" s="232">
        <f>SUMIFS('Checking Transaction Log'!E:E,'Checking Transaction Log'!C:C,"&gt;="&amp;K1,'Checking Transaction Log'!C:C,"&lt;="&amp;L1,'Checking Transaction Log'!A:A,"D",'Checking Transaction Log'!B:B,6)</f>
        <v>693.07999999999993</v>
      </c>
      <c r="L10" s="232">
        <f t="shared" si="5"/>
        <v>206.92000000000007</v>
      </c>
      <c r="M10" s="273">
        <f>SUMIFS('Checking Transaction Log'!$E:$E,'Checking Transaction Log'!$C:$C,"&gt;="&amp;M1,'Checking Transaction Log'!$C:$C,"&lt;="&amp;N1,'Checking Transaction Log'!$A:$A,"D",'Checking Transaction Log'!$B:$B,6)</f>
        <v>484.69999999999993</v>
      </c>
      <c r="N10" s="273">
        <f t="shared" si="6"/>
        <v>415.30000000000007</v>
      </c>
      <c r="O10" s="236">
        <f>SUMIFS('Checking Transaction Log'!$E:$E,'Checking Transaction Log'!$C:$C,"&gt;="&amp;O1,'Checking Transaction Log'!$C:$C,"&lt;="&amp;P1,'Checking Transaction Log'!$A:$A,"D",'Checking Transaction Log'!$B:$B,6)</f>
        <v>1146.7900000000002</v>
      </c>
      <c r="P10" s="236">
        <f t="shared" si="7"/>
        <v>-246.79000000000019</v>
      </c>
      <c r="Q10" s="270">
        <f>SUMIFS('Checking Transaction Log'!$E:$E,'Checking Transaction Log'!$C:$C,"&gt;="&amp;Q1,'Checking Transaction Log'!$C:$C,"&lt;="&amp;R1,'Checking Transaction Log'!$A:$A,"D",'Checking Transaction Log'!$B:$B,6)</f>
        <v>1167.1300000000001</v>
      </c>
      <c r="R10" s="270">
        <f t="shared" si="8"/>
        <v>-267.13000000000011</v>
      </c>
      <c r="S10" s="232">
        <f>SUMIFS('Checking Transaction Log'!$E:$E,'Checking Transaction Log'!$C:$C,"&gt;="&amp;S1,'Checking Transaction Log'!$C:$C,"&lt;="&amp;T1,'Checking Transaction Log'!$A:$A,"D",'Checking Transaction Log'!$B:$B,6)</f>
        <v>107.22000000000001</v>
      </c>
      <c r="T10" s="232">
        <f t="shared" si="9"/>
        <v>792.78</v>
      </c>
      <c r="U10" s="273">
        <f>SUMIFS('Checking Transaction Log'!$E:$E,'Checking Transaction Log'!$C:$C,"&gt;="&amp;U1,'Checking Transaction Log'!$C:$C,"&lt;="&amp;V1,'Checking Transaction Log'!$A:$A,"D",'Checking Transaction Log'!$B:$B,6)</f>
        <v>0</v>
      </c>
      <c r="V10" s="273">
        <f t="shared" si="10"/>
        <v>900</v>
      </c>
      <c r="W10" s="236">
        <f>SUMIFS('Checking Transaction Log'!$E:$E,'Checking Transaction Log'!$C:$C,"&gt;="&amp;W1,'Checking Transaction Log'!$C:$C,"&lt;="&amp;X1,'Checking Transaction Log'!$A:$A,"D",'Checking Transaction Log'!$B:$B,6)</f>
        <v>0</v>
      </c>
      <c r="X10" s="236">
        <f t="shared" si="11"/>
        <v>900</v>
      </c>
      <c r="Y10" s="276">
        <f>SUMIFS('Checking Transaction Log'!$E:$E,'Checking Transaction Log'!$C:$C,"&gt;="&amp;Y1,'Checking Transaction Log'!$C:$C,"&lt;="&amp;Z1,'Checking Transaction Log'!$A:$A,"D",'Checking Transaction Log'!$B:$B,6)</f>
        <v>0</v>
      </c>
      <c r="Z10" s="276">
        <f t="shared" si="12"/>
        <v>900</v>
      </c>
      <c r="AA10" s="278">
        <f>SUMIFS('Checking Transaction Log'!$E:$E,'Checking Transaction Log'!$C:$C,"&gt;="&amp;AA1,'Checking Transaction Log'!$C:$C,"&lt;="&amp;AB1,'Checking Transaction Log'!$A:$A,"D",'Checking Transaction Log'!$B:$B,6)</f>
        <v>0</v>
      </c>
      <c r="AB10" s="278">
        <f t="shared" si="13"/>
        <v>900</v>
      </c>
      <c r="AC10" s="280">
        <f>SUMIFS('Checking Transaction Log'!$E:$E,'Checking Transaction Log'!$C:$C,"&gt;="&amp;AC1,'Checking Transaction Log'!$C:$C,"&lt;="&amp;AD1,'Checking Transaction Log'!$A:$A,"D",'Checking Transaction Log'!$B:$B,6)</f>
        <v>0</v>
      </c>
      <c r="AD10" s="280">
        <f t="shared" si="14"/>
        <v>900</v>
      </c>
      <c r="AE10" s="282">
        <f>SUMIFS('Checking Transaction Log'!$E:$E,'Checking Transaction Log'!$C:$C,"&gt;="&amp;AE1,'Checking Transaction Log'!$C:$C,"&lt;="&amp;AF1,'Checking Transaction Log'!$A:$A,"D",'Checking Transaction Log'!$B:$B,6)</f>
        <v>0</v>
      </c>
      <c r="AF10" s="282">
        <f t="shared" si="15"/>
        <v>900</v>
      </c>
    </row>
    <row r="11" spans="1:32" ht="11.25" customHeight="1" x14ac:dyDescent="0.3">
      <c r="A11" s="284" t="str">
        <f>'Proposed Budget'!A11</f>
        <v>D</v>
      </c>
      <c r="B11" s="255">
        <f>'Proposed Budget'!B11</f>
        <v>7</v>
      </c>
      <c r="C11" s="287" t="str">
        <f>'Proposed Budget'!C11</f>
        <v>Department Stores/Clothes</v>
      </c>
      <c r="D11" s="288">
        <f t="shared" ca="1" si="1"/>
        <v>403.88801963190178</v>
      </c>
      <c r="E11" s="289">
        <f t="shared" si="16"/>
        <v>2164.16</v>
      </c>
      <c r="F11" s="289">
        <f t="shared" si="2"/>
        <v>-414.15999999999985</v>
      </c>
      <c r="G11" s="269">
        <f t="shared" si="3"/>
        <v>-0.23666285714285706</v>
      </c>
      <c r="H11" s="289">
        <f>'Proposed Budget'!D11</f>
        <v>350</v>
      </c>
      <c r="I11" s="270">
        <f>SUMIFS('Checking Transaction Log'!E:E,'Checking Transaction Log'!C:C,"&gt;="&amp;I1,'Checking Transaction Log'!C:C,"&lt;="&amp;J1,'Checking Transaction Log'!A:A,"D",'Checking Transaction Log'!B:B,7)</f>
        <v>626.04</v>
      </c>
      <c r="J11" s="270">
        <f t="shared" si="4"/>
        <v>-276.03999999999996</v>
      </c>
      <c r="K11" s="232">
        <f>SUMIFS('Checking Transaction Log'!E:E,'Checking Transaction Log'!C:C,"&gt;="&amp;K1,'Checking Transaction Log'!C:C,"&lt;="&amp;L1,'Checking Transaction Log'!A:A,"D",'Checking Transaction Log'!B:B,7)</f>
        <v>670.18</v>
      </c>
      <c r="L11" s="232">
        <f t="shared" si="5"/>
        <v>-320.17999999999995</v>
      </c>
      <c r="M11" s="273">
        <f>SUMIFS('Checking Transaction Log'!$E:$E,'Checking Transaction Log'!$C:$C,"&gt;="&amp;M1,'Checking Transaction Log'!$C:$C,"&lt;="&amp;N1,'Checking Transaction Log'!$A:$A,"D",'Checking Transaction Log'!$B:$B,7)</f>
        <v>221.64999999999998</v>
      </c>
      <c r="N11" s="273">
        <f t="shared" si="6"/>
        <v>128.35000000000002</v>
      </c>
      <c r="O11" s="236">
        <f>SUMIFS('Checking Transaction Log'!$E:$E,'Checking Transaction Log'!$C:$C,"&gt;="&amp;O1,'Checking Transaction Log'!$C:$C,"&lt;="&amp;P1,'Checking Transaction Log'!$A:$A,"D",'Checking Transaction Log'!$B:$B,7)</f>
        <v>269.88</v>
      </c>
      <c r="P11" s="236">
        <f t="shared" si="7"/>
        <v>80.12</v>
      </c>
      <c r="Q11" s="270">
        <f>SUMIFS('Checking Transaction Log'!$E:$E,'Checking Transaction Log'!$C:$C,"&gt;="&amp;Q1,'Checking Transaction Log'!$C:$C,"&lt;="&amp;R1,'Checking Transaction Log'!$A:$A,"D",'Checking Transaction Log'!$B:$B,7)</f>
        <v>376.40999999999997</v>
      </c>
      <c r="R11" s="270">
        <f t="shared" si="8"/>
        <v>-26.409999999999968</v>
      </c>
      <c r="S11" s="232">
        <f>SUMIFS('Checking Transaction Log'!$E:$E,'Checking Transaction Log'!$C:$C,"&gt;="&amp;S1,'Checking Transaction Log'!$C:$C,"&lt;="&amp;T1,'Checking Transaction Log'!$A:$A,"D",'Checking Transaction Log'!$B:$B,7)</f>
        <v>0</v>
      </c>
      <c r="T11" s="232">
        <f t="shared" si="9"/>
        <v>350</v>
      </c>
      <c r="U11" s="273">
        <f>SUMIFS('Checking Transaction Log'!$E:$E,'Checking Transaction Log'!$C:$C,"&gt;="&amp;U1,'Checking Transaction Log'!$C:$C,"&lt;="&amp;V1,'Checking Transaction Log'!$A:$A,"D",'Checking Transaction Log'!$B:$B,7)</f>
        <v>0</v>
      </c>
      <c r="V11" s="273">
        <f t="shared" si="10"/>
        <v>350</v>
      </c>
      <c r="W11" s="236">
        <f>SUMIFS('Checking Transaction Log'!$E:$E,'Checking Transaction Log'!$C:$C,"&gt;="&amp;W1,'Checking Transaction Log'!$C:$C,"&lt;="&amp;X1,'Checking Transaction Log'!$A:$A,"D",'Checking Transaction Log'!$B:$B,7)</f>
        <v>0</v>
      </c>
      <c r="X11" s="236">
        <f t="shared" si="11"/>
        <v>350</v>
      </c>
      <c r="Y11" s="276">
        <f>SUMIFS('Checking Transaction Log'!$E:$E,'Checking Transaction Log'!$C:$C,"&gt;="&amp;Y1,'Checking Transaction Log'!$C:$C,"&lt;="&amp;Z1,'Checking Transaction Log'!$A:$A,"D",'Checking Transaction Log'!$B:$B,7)</f>
        <v>0</v>
      </c>
      <c r="Z11" s="276">
        <f t="shared" si="12"/>
        <v>350</v>
      </c>
      <c r="AA11" s="278">
        <f>SUMIFS('Checking Transaction Log'!$E:$E,'Checking Transaction Log'!$C:$C,"&gt;="&amp;AA1,'Checking Transaction Log'!$C:$C,"&lt;="&amp;AB1,'Checking Transaction Log'!$A:$A,"D",'Checking Transaction Log'!$B:$B,7)</f>
        <v>0</v>
      </c>
      <c r="AB11" s="278">
        <f t="shared" si="13"/>
        <v>350</v>
      </c>
      <c r="AC11" s="280">
        <f>SUMIFS('Checking Transaction Log'!$E:$E,'Checking Transaction Log'!$C:$C,"&gt;="&amp;AC1,'Checking Transaction Log'!$C:$C,"&lt;="&amp;AD1,'Checking Transaction Log'!$A:$A,"D",'Checking Transaction Log'!$B:$B,7)</f>
        <v>0</v>
      </c>
      <c r="AD11" s="280">
        <f t="shared" si="14"/>
        <v>350</v>
      </c>
      <c r="AE11" s="282">
        <f>SUMIFS('Checking Transaction Log'!$E:$E,'Checking Transaction Log'!$C:$C,"&gt;="&amp;AE1,'Checking Transaction Log'!$C:$C,"&lt;="&amp;AF1,'Checking Transaction Log'!$A:$A,"D",'Checking Transaction Log'!$B:$B,7)</f>
        <v>0</v>
      </c>
      <c r="AF11" s="282">
        <f t="shared" si="15"/>
        <v>350</v>
      </c>
    </row>
    <row r="12" spans="1:32" ht="11.25" customHeight="1" x14ac:dyDescent="0.3">
      <c r="A12" s="284" t="str">
        <f>'Proposed Budget'!A12</f>
        <v>D</v>
      </c>
      <c r="B12" s="255">
        <f>'Proposed Budget'!B12</f>
        <v>8</v>
      </c>
      <c r="C12" s="287" t="str">
        <f>'Proposed Budget'!C12</f>
        <v>Alcohol/Bars</v>
      </c>
      <c r="D12" s="288">
        <f t="shared" ca="1" si="1"/>
        <v>785.80832024539893</v>
      </c>
      <c r="E12" s="289">
        <f t="shared" si="16"/>
        <v>4210.6100000000006</v>
      </c>
      <c r="F12" s="289">
        <f t="shared" si="2"/>
        <v>-429.8900000000001</v>
      </c>
      <c r="G12" s="269">
        <f t="shared" si="3"/>
        <v>-0.11370585496942387</v>
      </c>
      <c r="H12" s="289">
        <f>'Proposed Budget'!D12</f>
        <v>700</v>
      </c>
      <c r="I12" s="270">
        <f>SUMIFS('Checking Transaction Log'!E:E,'Checking Transaction Log'!C:C,"&gt;="&amp;I1,'Checking Transaction Log'!C:C,"&lt;="&amp;J1,'Checking Transaction Log'!A:A,"D",'Checking Transaction Log'!B:B,8)</f>
        <v>683.49</v>
      </c>
      <c r="J12" s="270">
        <f t="shared" si="4"/>
        <v>16.509999999999991</v>
      </c>
      <c r="K12" s="232">
        <f>SUMIFS('Checking Transaction Log'!E:E,'Checking Transaction Log'!C:C,"&gt;="&amp;K1,'Checking Transaction Log'!C:C,"&lt;="&amp;L1,'Checking Transaction Log'!A:A,"D",'Checking Transaction Log'!B:B,8)</f>
        <v>979.71</v>
      </c>
      <c r="L12" s="232">
        <f t="shared" si="5"/>
        <v>-279.71000000000004</v>
      </c>
      <c r="M12" s="273">
        <f>SUMIFS('Checking Transaction Log'!$E:$E,'Checking Transaction Log'!$C:$C,"&gt;="&amp;M1,'Checking Transaction Log'!$C:$C,"&lt;="&amp;N1,'Checking Transaction Log'!$A:$A,"D",'Checking Transaction Log'!$B:$B,8)</f>
        <v>640.42000000000019</v>
      </c>
      <c r="N12" s="273">
        <f t="shared" si="6"/>
        <v>59.579999999999814</v>
      </c>
      <c r="O12" s="236">
        <f>SUMIFS('Checking Transaction Log'!$E:$E,'Checking Transaction Log'!$C:$C,"&gt;="&amp;O1,'Checking Transaction Log'!$C:$C,"&lt;="&amp;P1,'Checking Transaction Log'!$A:$A,"D",'Checking Transaction Log'!$B:$B,8)</f>
        <v>654.00999999999988</v>
      </c>
      <c r="P12" s="236">
        <f t="shared" si="7"/>
        <v>45.990000000000123</v>
      </c>
      <c r="Q12" s="270">
        <f>SUMIFS('Checking Transaction Log'!$E:$E,'Checking Transaction Log'!$C:$C,"&gt;="&amp;Q1,'Checking Transaction Log'!$C:$C,"&lt;="&amp;R1,'Checking Transaction Log'!$A:$A,"D",'Checking Transaction Log'!$B:$B,8)</f>
        <v>972.26</v>
      </c>
      <c r="R12" s="270">
        <f t="shared" si="8"/>
        <v>-272.26</v>
      </c>
      <c r="S12" s="232">
        <f>SUMIFS('Checking Transaction Log'!$E:$E,'Checking Transaction Log'!$C:$C,"&gt;="&amp;S1,'Checking Transaction Log'!$C:$C,"&lt;="&amp;T1,'Checking Transaction Log'!$A:$A,"D",'Checking Transaction Log'!$B:$B,8)</f>
        <v>280.72000000000003</v>
      </c>
      <c r="T12" s="232">
        <f t="shared" si="9"/>
        <v>419.28</v>
      </c>
      <c r="U12" s="273">
        <f>SUMIFS('Checking Transaction Log'!$E:$E,'Checking Transaction Log'!$C:$C,"&gt;="&amp;U1,'Checking Transaction Log'!$C:$C,"&lt;="&amp;V1,'Checking Transaction Log'!$A:$A,"D",'Checking Transaction Log'!$B:$B,8)</f>
        <v>0</v>
      </c>
      <c r="V12" s="273">
        <f t="shared" si="10"/>
        <v>700</v>
      </c>
      <c r="W12" s="236">
        <f>SUMIFS('Checking Transaction Log'!$E:$E,'Checking Transaction Log'!$C:$C,"&gt;="&amp;W1,'Checking Transaction Log'!$C:$C,"&lt;="&amp;X1,'Checking Transaction Log'!$A:$A,"D",'Checking Transaction Log'!$B:$B,8)</f>
        <v>0</v>
      </c>
      <c r="X12" s="236">
        <f t="shared" si="11"/>
        <v>700</v>
      </c>
      <c r="Y12" s="276">
        <f>SUMIFS('Checking Transaction Log'!$E:$E,'Checking Transaction Log'!$C:$C,"&gt;="&amp;Y1,'Checking Transaction Log'!$C:$C,"&lt;="&amp;Z1,'Checking Transaction Log'!$A:$A,"D",'Checking Transaction Log'!$B:$B,8)</f>
        <v>0</v>
      </c>
      <c r="Z12" s="276">
        <f t="shared" si="12"/>
        <v>700</v>
      </c>
      <c r="AA12" s="278">
        <f>SUMIFS('Checking Transaction Log'!$E:$E,'Checking Transaction Log'!$C:$C,"&gt;="&amp;AA1,'Checking Transaction Log'!$C:$C,"&lt;="&amp;AB1,'Checking Transaction Log'!$A:$A,"D",'Checking Transaction Log'!$B:$B,8)</f>
        <v>0</v>
      </c>
      <c r="AB12" s="278">
        <f t="shared" si="13"/>
        <v>700</v>
      </c>
      <c r="AC12" s="280">
        <f>SUMIFS('Checking Transaction Log'!$E:$E,'Checking Transaction Log'!$C:$C,"&gt;="&amp;AC1,'Checking Transaction Log'!$C:$C,"&lt;="&amp;AD1,'Checking Transaction Log'!$A:$A,"D",'Checking Transaction Log'!$B:$B,8)</f>
        <v>0</v>
      </c>
      <c r="AD12" s="280">
        <f t="shared" si="14"/>
        <v>700</v>
      </c>
      <c r="AE12" s="282">
        <f>SUMIFS('Checking Transaction Log'!$E:$E,'Checking Transaction Log'!$C:$C,"&gt;="&amp;AE1,'Checking Transaction Log'!$C:$C,"&lt;="&amp;AF1,'Checking Transaction Log'!$A:$A,"D",'Checking Transaction Log'!$B:$B,8)</f>
        <v>0</v>
      </c>
      <c r="AF12" s="282">
        <f t="shared" si="15"/>
        <v>700</v>
      </c>
    </row>
    <row r="13" spans="1:32" ht="11.25" customHeight="1" x14ac:dyDescent="0.3">
      <c r="A13" s="284"/>
      <c r="B13" s="255"/>
      <c r="C13" s="287"/>
      <c r="D13" s="288"/>
      <c r="E13" s="290"/>
      <c r="F13" s="290"/>
      <c r="G13" s="269"/>
      <c r="H13" s="289"/>
      <c r="I13" s="270"/>
      <c r="J13" s="270"/>
      <c r="K13" s="232"/>
      <c r="L13" s="232"/>
      <c r="M13" s="273"/>
      <c r="N13" s="273"/>
      <c r="O13" s="236"/>
      <c r="P13" s="236"/>
      <c r="Q13" s="270"/>
      <c r="R13" s="270"/>
      <c r="S13" s="232"/>
      <c r="T13" s="232"/>
      <c r="U13" s="273"/>
      <c r="V13" s="273"/>
      <c r="W13" s="236"/>
      <c r="X13" s="236"/>
      <c r="Y13" s="276"/>
      <c r="Z13" s="276"/>
      <c r="AA13" s="278"/>
      <c r="AB13" s="278"/>
      <c r="AC13" s="280"/>
      <c r="AD13" s="280"/>
      <c r="AE13" s="282"/>
      <c r="AF13" s="282"/>
    </row>
    <row r="14" spans="1:32" ht="11.25" customHeight="1" x14ac:dyDescent="0.3">
      <c r="A14" s="284" t="str">
        <f>'Proposed Budget'!A14</f>
        <v>F</v>
      </c>
      <c r="B14" s="255">
        <f>'Proposed Budget'!B14</f>
        <v>9</v>
      </c>
      <c r="C14" s="287" t="str">
        <f>'Proposed Budget'!C14</f>
        <v>Rocket Mortgage</v>
      </c>
      <c r="D14" s="288">
        <f t="shared" ref="D14:D31" ca="1" si="17">(E14/(TODAY()-$I$1))*30.42</f>
        <v>1416.3925251533742</v>
      </c>
      <c r="E14" s="289">
        <f t="shared" ref="E14:E31" si="18">Q14+S14+U14+W14+Y14+AA14+AC14+AE14+I14+K14+M14+O14</f>
        <v>7589.48</v>
      </c>
      <c r="F14" s="289">
        <f t="shared" ref="F14:F31" si="19">J14+L14+N14+P14+R14</f>
        <v>67.200000000000045</v>
      </c>
      <c r="G14" s="269">
        <f t="shared" ref="G14:G31" si="20">1-((E14/SUM(E14:F14)))</f>
        <v>8.7766499318242541E-3</v>
      </c>
      <c r="H14" s="289">
        <f>'Proposed Budget'!D14</f>
        <v>1285</v>
      </c>
      <c r="I14" s="270">
        <f>SUMIFS('Checking Transaction Log'!E:E,'Checking Transaction Log'!C:C,"&gt;="&amp;I1,'Checking Transaction Log'!C:C,"&lt;="&amp;J1,'Checking Transaction Log'!A:A,"F",'Checking Transaction Log'!B:B,9)</f>
        <v>1281.53</v>
      </c>
      <c r="J14" s="270">
        <f t="shared" ref="J14:J31" si="21">H14-I14</f>
        <v>3.4700000000000273</v>
      </c>
      <c r="K14" s="232">
        <f>SUMIFS('Checking Transaction Log'!E:E,'Checking Transaction Log'!C:C,"&gt;="&amp;K1,'Checking Transaction Log'!C:C,"&lt;="&amp;L1,'Checking Transaction Log'!A:A,"F",'Checking Transaction Log'!B:B,9)</f>
        <v>1281.53</v>
      </c>
      <c r="L14" s="232">
        <f t="shared" ref="L14:L31" si="22">H14-K14</f>
        <v>3.4700000000000273</v>
      </c>
      <c r="M14" s="273">
        <f>SUMIFS('Checking Transaction Log'!$E:$E,'Checking Transaction Log'!$C:$C,"&gt;="&amp;M1,'Checking Transaction Log'!$C:$C,"&lt;="&amp;N1,'Checking Transaction Log'!$A:$A,"F",'Checking Transaction Log'!$B:$B,9)</f>
        <v>1281.53</v>
      </c>
      <c r="N14" s="273">
        <f t="shared" ref="N14:N31" si="23">H14-M14</f>
        <v>3.4700000000000273</v>
      </c>
      <c r="O14" s="236">
        <f>SUMIFS('Checking Transaction Log'!$E:$E,'Checking Transaction Log'!$C:$C,"&gt;="&amp;O1,'Checking Transaction Log'!$C:$C,"&lt;="&amp;P1,'Checking Transaction Log'!$A:$A,"F",'Checking Transaction Log'!$B:$B,9)</f>
        <v>1281.53</v>
      </c>
      <c r="P14" s="236">
        <f t="shared" ref="P14:P31" si="24">H14-O14</f>
        <v>3.4700000000000273</v>
      </c>
      <c r="Q14" s="270">
        <f>SUMIFS('Checking Transaction Log'!$E:$E,'Checking Transaction Log'!$C:$C,"&gt;="&amp;Q1,'Checking Transaction Log'!$C:$C,"&lt;="&amp;R1,'Checking Transaction Log'!$A:$A,"F",'Checking Transaction Log'!$B:$B,9)</f>
        <v>1231.68</v>
      </c>
      <c r="R14" s="270">
        <f t="shared" ref="R14:R31" si="25">H14-Q14</f>
        <v>53.319999999999936</v>
      </c>
      <c r="S14" s="232">
        <f>SUMIFS('Checking Transaction Log'!$E:$E,'Checking Transaction Log'!$C:$C,"&gt;="&amp;S1,'Checking Transaction Log'!$C:$C,"&lt;="&amp;T1,'Checking Transaction Log'!$A:$A,"F",'Checking Transaction Log'!$B:$B,9)</f>
        <v>1231.68</v>
      </c>
      <c r="T14" s="232">
        <f t="shared" ref="T14:T31" si="26">H14-S14</f>
        <v>53.319999999999936</v>
      </c>
      <c r="U14" s="273">
        <f>SUMIFS('Checking Transaction Log'!$E:$E,'Checking Transaction Log'!$C:$C,"&gt;="&amp;U1,'Checking Transaction Log'!$C:$C,"&lt;="&amp;V1,'Checking Transaction Log'!$A:$A,"F",'Checking Transaction Log'!$B:$B,9)</f>
        <v>0</v>
      </c>
      <c r="V14" s="273">
        <f t="shared" ref="V14:V31" si="27">H14-U14</f>
        <v>1285</v>
      </c>
      <c r="W14" s="236">
        <f>SUMIFS('Checking Transaction Log'!$E:$E,'Checking Transaction Log'!$C:$C,"&gt;="&amp;W1,'Checking Transaction Log'!$C:$C,"&lt;="&amp;X1,'Checking Transaction Log'!$A:$A,"F",'Checking Transaction Log'!$B:$B,9)</f>
        <v>0</v>
      </c>
      <c r="X14" s="236">
        <f t="shared" ref="X14:X31" si="28">H14-W14</f>
        <v>1285</v>
      </c>
      <c r="Y14" s="276">
        <f>SUMIFS('Checking Transaction Log'!$E:$E,'Checking Transaction Log'!$C:$C,"&gt;="&amp;Y1,'Checking Transaction Log'!$C:$C,"&lt;="&amp;Z1,'Checking Transaction Log'!$A:$A,"F",'Checking Transaction Log'!$B:$B,9)</f>
        <v>0</v>
      </c>
      <c r="Z14" s="276">
        <f t="shared" ref="Z14:Z31" si="29">H14-Y14</f>
        <v>1285</v>
      </c>
      <c r="AA14" s="278">
        <f>SUMIFS('Checking Transaction Log'!$E:$E,'Checking Transaction Log'!$C:$C,"&gt;="&amp;AA1,'Checking Transaction Log'!$C:$C,"&lt;="&amp;AB1,'Checking Transaction Log'!$A:$A,"F",'Checking Transaction Log'!$B:$B,9)</f>
        <v>0</v>
      </c>
      <c r="AB14" s="278">
        <f t="shared" ref="AB14:AB31" si="30">H14-AA14</f>
        <v>1285</v>
      </c>
      <c r="AC14" s="280">
        <f>SUMIFS('Checking Transaction Log'!$E:$E,'Checking Transaction Log'!$C:$C,"&gt;="&amp;AC1,'Checking Transaction Log'!$C:$C,"&lt;="&amp;AD1,'Checking Transaction Log'!$A:$A,"F",'Checking Transaction Log'!$B:$B,9)</f>
        <v>0</v>
      </c>
      <c r="AD14" s="280">
        <f t="shared" ref="AD14:AD31" si="31">H14-AC14</f>
        <v>1285</v>
      </c>
      <c r="AE14" s="282">
        <f>SUMIFS('Checking Transaction Log'!$E:$E,'Checking Transaction Log'!$C:$C,"&gt;="&amp;AE1,'Checking Transaction Log'!$C:$C,"&lt;="&amp;AF1,'Checking Transaction Log'!$A:$A,"F",'Checking Transaction Log'!$B:$B,9)</f>
        <v>0</v>
      </c>
      <c r="AF14" s="282">
        <f t="shared" ref="AF14:AF31" si="32">H14-AE14</f>
        <v>1285</v>
      </c>
    </row>
    <row r="15" spans="1:32" ht="11.25" customHeight="1" x14ac:dyDescent="0.3">
      <c r="A15" s="284" t="str">
        <f>'Proposed Budget'!A15</f>
        <v>F</v>
      </c>
      <c r="B15" s="255">
        <f>'Proposed Budget'!B15</f>
        <v>10</v>
      </c>
      <c r="C15" s="287" t="str">
        <f>'Proposed Budget'!C15</f>
        <v>EH Roberts</v>
      </c>
      <c r="D15" s="288">
        <f t="shared" ca="1" si="17"/>
        <v>16.703006134969328</v>
      </c>
      <c r="E15" s="289">
        <f t="shared" si="18"/>
        <v>89.5</v>
      </c>
      <c r="F15" s="289">
        <f t="shared" si="19"/>
        <v>10.500000000000007</v>
      </c>
      <c r="G15" s="269">
        <f t="shared" si="20"/>
        <v>0.10499999999999998</v>
      </c>
      <c r="H15" s="289">
        <f>'Proposed Budget'!D15</f>
        <v>20</v>
      </c>
      <c r="I15" s="270">
        <f>SUMIFS('Checking Transaction Log'!E:E,'Checking Transaction Log'!C:C,"&gt;="&amp;I1,'Checking Transaction Log'!C:C,"&lt;="&amp;J1,'Checking Transaction Log'!A:A,"F",'Checking Transaction Log'!B:B,10)</f>
        <v>17.899999999999999</v>
      </c>
      <c r="J15" s="270">
        <f t="shared" si="21"/>
        <v>2.1000000000000014</v>
      </c>
      <c r="K15" s="232">
        <f>SUMIFS('Checking Transaction Log'!E:E,'Checking Transaction Log'!C:C,"&gt;="&amp;K1,'Checking Transaction Log'!C:C,"&lt;="&amp;L1,'Checking Transaction Log'!A:A,"F",'Checking Transaction Log'!B:B,10)</f>
        <v>17.899999999999999</v>
      </c>
      <c r="L15" s="232">
        <f t="shared" si="22"/>
        <v>2.1000000000000014</v>
      </c>
      <c r="M15" s="273">
        <f>SUMIFS('Checking Transaction Log'!$E:$E,'Checking Transaction Log'!$C:$C,"&gt;="&amp;M1,'Checking Transaction Log'!$C:$C,"&lt;="&amp;N1,'Checking Transaction Log'!$A:$A,"F",'Checking Transaction Log'!$B:$B,10)</f>
        <v>17.899999999999999</v>
      </c>
      <c r="N15" s="273">
        <f t="shared" si="23"/>
        <v>2.1000000000000014</v>
      </c>
      <c r="O15" s="236">
        <f>SUMIFS('Checking Transaction Log'!$E:$E,'Checking Transaction Log'!$C:$C,"&gt;="&amp;O1,'Checking Transaction Log'!$C:$C,"&lt;="&amp;P1,'Checking Transaction Log'!$A:$A,"F",'Checking Transaction Log'!$B:$B,10)</f>
        <v>17.899999999999999</v>
      </c>
      <c r="P15" s="236">
        <f t="shared" si="24"/>
        <v>2.1000000000000014</v>
      </c>
      <c r="Q15" s="270">
        <f>SUMIFS('Checking Transaction Log'!$E:$E,'Checking Transaction Log'!$C:$C,"&gt;="&amp;Q1,'Checking Transaction Log'!$C:$C,"&lt;="&amp;R1,'Checking Transaction Log'!$A:$A,"F",'Checking Transaction Log'!$B:$B,10)</f>
        <v>17.899999999999999</v>
      </c>
      <c r="R15" s="270">
        <f t="shared" si="25"/>
        <v>2.1000000000000014</v>
      </c>
      <c r="S15" s="232">
        <f>SUMIFS('Checking Transaction Log'!$E:$E,'Checking Transaction Log'!$C:$C,"&gt;="&amp;S1,'Checking Transaction Log'!$C:$C,"&lt;="&amp;T1,'Checking Transaction Log'!$A:$A,"F",'Checking Transaction Log'!$B:$B,10)</f>
        <v>0</v>
      </c>
      <c r="T15" s="232">
        <f t="shared" si="26"/>
        <v>20</v>
      </c>
      <c r="U15" s="273">
        <f>SUMIFS('Checking Transaction Log'!$E:$E,'Checking Transaction Log'!$C:$C,"&gt;="&amp;U1,'Checking Transaction Log'!$C:$C,"&lt;="&amp;V1,'Checking Transaction Log'!$A:$A,"F",'Checking Transaction Log'!$B:$B,10)</f>
        <v>0</v>
      </c>
      <c r="V15" s="273">
        <f t="shared" si="27"/>
        <v>20</v>
      </c>
      <c r="W15" s="236">
        <f>SUMIFS('Checking Transaction Log'!$E:$E,'Checking Transaction Log'!$C:$C,"&gt;="&amp;W1,'Checking Transaction Log'!$C:$C,"&lt;="&amp;X1,'Checking Transaction Log'!$A:$A,"F",'Checking Transaction Log'!$B:$B,10)</f>
        <v>0</v>
      </c>
      <c r="X15" s="236">
        <f t="shared" si="28"/>
        <v>20</v>
      </c>
      <c r="Y15" s="276">
        <f>SUMIFS('Checking Transaction Log'!$E:$E,'Checking Transaction Log'!$C:$C,"&gt;="&amp;Y1,'Checking Transaction Log'!$C:$C,"&lt;="&amp;Z1,'Checking Transaction Log'!$A:$A,"F",'Checking Transaction Log'!$B:$B,10)</f>
        <v>0</v>
      </c>
      <c r="Z15" s="276">
        <f t="shared" si="29"/>
        <v>20</v>
      </c>
      <c r="AA15" s="278">
        <f>SUMIFS('Checking Transaction Log'!$E:$E,'Checking Transaction Log'!$C:$C,"&gt;="&amp;AA1,'Checking Transaction Log'!$C:$C,"&lt;="&amp;AB1,'Checking Transaction Log'!$A:$A,"F",'Checking Transaction Log'!$B:$B,10)</f>
        <v>0</v>
      </c>
      <c r="AB15" s="278">
        <f t="shared" si="30"/>
        <v>20</v>
      </c>
      <c r="AC15" s="280">
        <f>SUMIFS('Checking Transaction Log'!$E:$E,'Checking Transaction Log'!$C:$C,"&gt;="&amp;AC1,'Checking Transaction Log'!$C:$C,"&lt;="&amp;AD1,'Checking Transaction Log'!$A:$A,"F",'Checking Transaction Log'!$B:$B,10)</f>
        <v>0</v>
      </c>
      <c r="AD15" s="280">
        <f t="shared" si="31"/>
        <v>20</v>
      </c>
      <c r="AE15" s="282">
        <f>SUMIFS('Checking Transaction Log'!$E:$E,'Checking Transaction Log'!$C:$C,"&gt;="&amp;AE1,'Checking Transaction Log'!$C:$C,"&lt;="&amp;AF1,'Checking Transaction Log'!$A:$A,"F",'Checking Transaction Log'!$B:$B,10)</f>
        <v>0</v>
      </c>
      <c r="AF15" s="282">
        <f t="shared" si="32"/>
        <v>20</v>
      </c>
    </row>
    <row r="16" spans="1:32" ht="11.25" customHeight="1" x14ac:dyDescent="0.3">
      <c r="A16" s="284" t="str">
        <f>'Proposed Budget'!A16</f>
        <v>F</v>
      </c>
      <c r="B16" s="255">
        <f>'Proposed Budget'!B16</f>
        <v>11</v>
      </c>
      <c r="C16" s="287" t="str">
        <f>'Proposed Budget'!C16</f>
        <v>Verizon Wireless</v>
      </c>
      <c r="D16" s="288">
        <f t="shared" ca="1" si="17"/>
        <v>289.71224171779147</v>
      </c>
      <c r="E16" s="289">
        <f t="shared" si="18"/>
        <v>1552.3700000000001</v>
      </c>
      <c r="F16" s="289">
        <f t="shared" si="19"/>
        <v>-202.37000000000006</v>
      </c>
      <c r="G16" s="269">
        <f t="shared" si="20"/>
        <v>-0.14990370370370387</v>
      </c>
      <c r="H16" s="289">
        <f>'Proposed Budget'!D16</f>
        <v>270</v>
      </c>
      <c r="I16" s="270">
        <f>SUMIFS('Checking Transaction Log'!E:E,'Checking Transaction Log'!C:C,"&gt;="&amp;I1,'Checking Transaction Log'!C:C,"&lt;="&amp;J1,'Checking Transaction Log'!A:A,"F",'Checking Transaction Log'!B:B,11)</f>
        <v>267.95999999999998</v>
      </c>
      <c r="J16" s="270">
        <f t="shared" si="21"/>
        <v>2.0400000000000205</v>
      </c>
      <c r="K16" s="232">
        <f>SUMIFS('Checking Transaction Log'!E:E,'Checking Transaction Log'!C:C,"&gt;="&amp;K1,'Checking Transaction Log'!C:C,"&lt;="&amp;L1,'Checking Transaction Log'!A:A,"F",'Checking Transaction Log'!B:B,11)</f>
        <v>480.91</v>
      </c>
      <c r="L16" s="232">
        <f t="shared" si="22"/>
        <v>-210.91000000000003</v>
      </c>
      <c r="M16" s="273">
        <f>SUMIFS('Checking Transaction Log'!$E:$E,'Checking Transaction Log'!$C:$C,"&gt;="&amp;M1,'Checking Transaction Log'!$C:$C,"&lt;="&amp;N1,'Checking Transaction Log'!$A:$A,"F",'Checking Transaction Log'!$B:$B,11)</f>
        <v>267.91000000000003</v>
      </c>
      <c r="N16" s="273">
        <f t="shared" si="23"/>
        <v>2.089999999999975</v>
      </c>
      <c r="O16" s="236">
        <f>SUMIFS('Checking Transaction Log'!$E:$E,'Checking Transaction Log'!$C:$C,"&gt;="&amp;O1,'Checking Transaction Log'!$C:$C,"&lt;="&amp;P1,'Checking Transaction Log'!$A:$A,"F",'Checking Transaction Log'!$B:$B,11)</f>
        <v>267.91000000000003</v>
      </c>
      <c r="P16" s="236">
        <f t="shared" si="24"/>
        <v>2.089999999999975</v>
      </c>
      <c r="Q16" s="270">
        <f>SUMIFS('Checking Transaction Log'!$E:$E,'Checking Transaction Log'!$C:$C,"&gt;="&amp;Q1,'Checking Transaction Log'!$C:$C,"&lt;="&amp;R1,'Checking Transaction Log'!$A:$A,"F",'Checking Transaction Log'!$B:$B,11)</f>
        <v>267.68</v>
      </c>
      <c r="R16" s="270">
        <f t="shared" si="25"/>
        <v>2.3199999999999932</v>
      </c>
      <c r="S16" s="232">
        <f>SUMIFS('Checking Transaction Log'!$E:$E,'Checking Transaction Log'!$C:$C,"&gt;="&amp;S1,'Checking Transaction Log'!$C:$C,"&lt;="&amp;T1,'Checking Transaction Log'!$A:$A,"F",'Checking Transaction Log'!$B:$B,11)</f>
        <v>0</v>
      </c>
      <c r="T16" s="232">
        <f t="shared" si="26"/>
        <v>270</v>
      </c>
      <c r="U16" s="273">
        <f>SUMIFS('Checking Transaction Log'!$E:$E,'Checking Transaction Log'!$C:$C,"&gt;="&amp;U1,'Checking Transaction Log'!$C:$C,"&lt;="&amp;V1,'Checking Transaction Log'!$A:$A,"F",'Checking Transaction Log'!$B:$B,11)</f>
        <v>0</v>
      </c>
      <c r="V16" s="273">
        <f t="shared" si="27"/>
        <v>270</v>
      </c>
      <c r="W16" s="236">
        <f>SUMIFS('Checking Transaction Log'!$E:$E,'Checking Transaction Log'!$C:$C,"&gt;="&amp;W1,'Checking Transaction Log'!$C:$C,"&lt;="&amp;X1,'Checking Transaction Log'!$A:$A,"F",'Checking Transaction Log'!$B:$B,11)</f>
        <v>0</v>
      </c>
      <c r="X16" s="236">
        <f t="shared" si="28"/>
        <v>270</v>
      </c>
      <c r="Y16" s="276">
        <f>SUMIFS('Checking Transaction Log'!$E:$E,'Checking Transaction Log'!$C:$C,"&gt;="&amp;Y1,'Checking Transaction Log'!$C:$C,"&lt;="&amp;Z1,'Checking Transaction Log'!$A:$A,"F",'Checking Transaction Log'!$B:$B,11)</f>
        <v>0</v>
      </c>
      <c r="Z16" s="276">
        <f t="shared" si="29"/>
        <v>270</v>
      </c>
      <c r="AA16" s="278">
        <f>SUMIFS('Checking Transaction Log'!$E:$E,'Checking Transaction Log'!$C:$C,"&gt;="&amp;AA1,'Checking Transaction Log'!$C:$C,"&lt;="&amp;AB1,'Checking Transaction Log'!$A:$A,"F",'Checking Transaction Log'!$B:$B,11)</f>
        <v>0</v>
      </c>
      <c r="AB16" s="278">
        <f t="shared" si="30"/>
        <v>270</v>
      </c>
      <c r="AC16" s="280">
        <f>SUMIFS('Checking Transaction Log'!$E:$E,'Checking Transaction Log'!$C:$C,"&gt;="&amp;AC1,'Checking Transaction Log'!$C:$C,"&lt;="&amp;AD1,'Checking Transaction Log'!$A:$A,"F",'Checking Transaction Log'!$B:$B,11)</f>
        <v>0</v>
      </c>
      <c r="AD16" s="280">
        <f t="shared" si="31"/>
        <v>270</v>
      </c>
      <c r="AE16" s="282">
        <f>SUMIFS('Checking Transaction Log'!$E:$E,'Checking Transaction Log'!$C:$C,"&gt;="&amp;AE1,'Checking Transaction Log'!$C:$C,"&lt;="&amp;AF1,'Checking Transaction Log'!$A:$A,"F",'Checking Transaction Log'!$B:$B,11)</f>
        <v>0</v>
      </c>
      <c r="AF16" s="282">
        <f t="shared" si="32"/>
        <v>270</v>
      </c>
    </row>
    <row r="17" spans="1:32" ht="11.25" customHeight="1" x14ac:dyDescent="0.3">
      <c r="A17" s="284" t="str">
        <f>'Proposed Budget'!A17</f>
        <v>F</v>
      </c>
      <c r="B17" s="255">
        <f>'Proposed Budget'!B17</f>
        <v>12</v>
      </c>
      <c r="C17" s="287" t="str">
        <f>'Proposed Budget'!C17</f>
        <v>Spectrum TV/Internet</v>
      </c>
      <c r="D17" s="288">
        <f t="shared" ca="1" si="17"/>
        <v>192.7825509202454</v>
      </c>
      <c r="E17" s="289">
        <f t="shared" si="18"/>
        <v>1032.99</v>
      </c>
      <c r="F17" s="289">
        <f t="shared" si="19"/>
        <v>-7.9900000000000091</v>
      </c>
      <c r="G17" s="269">
        <f t="shared" si="20"/>
        <v>-7.7951219512195635E-3</v>
      </c>
      <c r="H17" s="289">
        <f>'Proposed Budget'!D17</f>
        <v>205</v>
      </c>
      <c r="I17" s="270">
        <f>SUMIFS('Checking Transaction Log'!E:E,'Checking Transaction Log'!C:C,"&gt;="&amp;I1,'Checking Transaction Log'!C:C,"&lt;="&amp;J1,'Checking Transaction Log'!A:A,"F",'Checking Transaction Log'!B:B,12)</f>
        <v>204.83</v>
      </c>
      <c r="J17" s="270">
        <f t="shared" si="21"/>
        <v>0.16999999999998749</v>
      </c>
      <c r="K17" s="232">
        <f>SUMIFS('Checking Transaction Log'!E:E,'Checking Transaction Log'!C:C,"&gt;="&amp;K1,'Checking Transaction Log'!C:C,"&lt;="&amp;L1,'Checking Transaction Log'!A:A,"F",'Checking Transaction Log'!B:B,12)</f>
        <v>204.47</v>
      </c>
      <c r="L17" s="232">
        <f t="shared" si="22"/>
        <v>0.53000000000000114</v>
      </c>
      <c r="M17" s="273">
        <f>SUMIFS('Checking Transaction Log'!$E:$E,'Checking Transaction Log'!$C:$C,"&gt;="&amp;M1,'Checking Transaction Log'!$C:$C,"&lt;="&amp;N1,'Checking Transaction Log'!$A:$A,"F",'Checking Transaction Log'!$B:$B,12)</f>
        <v>204.47</v>
      </c>
      <c r="N17" s="273">
        <f t="shared" si="23"/>
        <v>0.53000000000000114</v>
      </c>
      <c r="O17" s="236">
        <f>SUMIFS('Checking Transaction Log'!$E:$E,'Checking Transaction Log'!$C:$C,"&gt;="&amp;O1,'Checking Transaction Log'!$C:$C,"&lt;="&amp;P1,'Checking Transaction Log'!$A:$A,"F",'Checking Transaction Log'!$B:$B,12)</f>
        <v>214.74</v>
      </c>
      <c r="P17" s="236">
        <f t="shared" si="24"/>
        <v>-9.7400000000000091</v>
      </c>
      <c r="Q17" s="270">
        <f>SUMIFS('Checking Transaction Log'!$E:$E,'Checking Transaction Log'!$C:$C,"&gt;="&amp;Q1,'Checking Transaction Log'!$C:$C,"&lt;="&amp;R1,'Checking Transaction Log'!$A:$A,"F",'Checking Transaction Log'!$B:$B,12)</f>
        <v>204.48</v>
      </c>
      <c r="R17" s="270">
        <f t="shared" si="25"/>
        <v>0.52000000000001023</v>
      </c>
      <c r="S17" s="232">
        <f>SUMIFS('Checking Transaction Log'!$E:$E,'Checking Transaction Log'!$C:$C,"&gt;="&amp;S1,'Checking Transaction Log'!$C:$C,"&lt;="&amp;T1,'Checking Transaction Log'!$A:$A,"F",'Checking Transaction Log'!$B:$B,12)</f>
        <v>0</v>
      </c>
      <c r="T17" s="232">
        <f t="shared" si="26"/>
        <v>205</v>
      </c>
      <c r="U17" s="273">
        <f>SUMIFS('Checking Transaction Log'!$E:$E,'Checking Transaction Log'!$C:$C,"&gt;="&amp;U1,'Checking Transaction Log'!$C:$C,"&lt;="&amp;V1,'Checking Transaction Log'!$A:$A,"F",'Checking Transaction Log'!$B:$B,12)</f>
        <v>0</v>
      </c>
      <c r="V17" s="273">
        <f t="shared" si="27"/>
        <v>205</v>
      </c>
      <c r="W17" s="236">
        <f>SUMIFS('Checking Transaction Log'!$E:$E,'Checking Transaction Log'!$C:$C,"&gt;="&amp;W1,'Checking Transaction Log'!$C:$C,"&lt;="&amp;X1,'Checking Transaction Log'!$A:$A,"F",'Checking Transaction Log'!$B:$B,12)</f>
        <v>0</v>
      </c>
      <c r="X17" s="236">
        <f t="shared" si="28"/>
        <v>205</v>
      </c>
      <c r="Y17" s="276">
        <f>SUMIFS('Checking Transaction Log'!$E:$E,'Checking Transaction Log'!$C:$C,"&gt;="&amp;Y1,'Checking Transaction Log'!$C:$C,"&lt;="&amp;Z1,'Checking Transaction Log'!$A:$A,"F",'Checking Transaction Log'!$B:$B,12)</f>
        <v>0</v>
      </c>
      <c r="Z17" s="276">
        <f t="shared" si="29"/>
        <v>205</v>
      </c>
      <c r="AA17" s="278">
        <f>SUMIFS('Checking Transaction Log'!$E:$E,'Checking Transaction Log'!$C:$C,"&gt;="&amp;AA1,'Checking Transaction Log'!$C:$C,"&lt;="&amp;AB1,'Checking Transaction Log'!$A:$A,"F",'Checking Transaction Log'!$B:$B,12)</f>
        <v>0</v>
      </c>
      <c r="AB17" s="278">
        <f t="shared" si="30"/>
        <v>205</v>
      </c>
      <c r="AC17" s="280">
        <f>SUMIFS('Checking Transaction Log'!$E:$E,'Checking Transaction Log'!$C:$C,"&gt;="&amp;AC1,'Checking Transaction Log'!$C:$C,"&lt;="&amp;AD1,'Checking Transaction Log'!$A:$A,"F",'Checking Transaction Log'!$B:$B,12)</f>
        <v>0</v>
      </c>
      <c r="AD17" s="280">
        <f t="shared" si="31"/>
        <v>205</v>
      </c>
      <c r="AE17" s="282">
        <f>SUMIFS('Checking Transaction Log'!$E:$E,'Checking Transaction Log'!$C:$C,"&gt;="&amp;AE1,'Checking Transaction Log'!$C:$C,"&lt;="&amp;AF1,'Checking Transaction Log'!$A:$A,"F",'Checking Transaction Log'!$B:$B,12)</f>
        <v>0</v>
      </c>
      <c r="AF17" s="282">
        <f t="shared" si="32"/>
        <v>205</v>
      </c>
    </row>
    <row r="18" spans="1:32" ht="11.25" customHeight="1" x14ac:dyDescent="0.3">
      <c r="A18" s="284" t="str">
        <f>'Proposed Budget'!A18</f>
        <v>F</v>
      </c>
      <c r="B18" s="255">
        <f>'Proposed Budget'!B18</f>
        <v>13</v>
      </c>
      <c r="C18" s="287" t="str">
        <f>'Proposed Budget'!C18</f>
        <v>First Energy</v>
      </c>
      <c r="D18" s="288">
        <f t="shared" ca="1" si="17"/>
        <v>151.41321717791411</v>
      </c>
      <c r="E18" s="289">
        <f t="shared" si="18"/>
        <v>811.31999999999994</v>
      </c>
      <c r="F18" s="289">
        <f t="shared" si="19"/>
        <v>211.14</v>
      </c>
      <c r="G18" s="269">
        <f t="shared" si="20"/>
        <v>0.2065019658470747</v>
      </c>
      <c r="H18" s="289">
        <f>'Proposed Budget'!D18</f>
        <v>180</v>
      </c>
      <c r="I18" s="270">
        <f>SUMIFS('Checking Transaction Log'!E:E,'Checking Transaction Log'!C:C,"&gt;="&amp;I1,'Checking Transaction Log'!C:C,"&lt;="&amp;J1,'Checking Transaction Log'!A:A,"F",'Checking Transaction Log'!B:B,13)</f>
        <v>167.42</v>
      </c>
      <c r="J18" s="270">
        <f t="shared" si="21"/>
        <v>12.580000000000013</v>
      </c>
      <c r="K18" s="232">
        <f>SUMIFS('Checking Transaction Log'!E:E,'Checking Transaction Log'!C:C,"&gt;="&amp;K1,'Checking Transaction Log'!C:C,"&lt;="&amp;L1,'Checking Transaction Log'!A:A,"F",'Checking Transaction Log'!B:B,13)</f>
        <v>159.35</v>
      </c>
      <c r="L18" s="232">
        <f t="shared" si="22"/>
        <v>20.650000000000006</v>
      </c>
      <c r="M18" s="273">
        <f>SUMIFS('Checking Transaction Log'!$E:$E,'Checking Transaction Log'!$C:$C,"&gt;="&amp;M1,'Checking Transaction Log'!$C:$C,"&lt;="&amp;N1,'Checking Transaction Log'!$A:$A,"F",'Checking Transaction Log'!$B:$B,13)</f>
        <v>134.93</v>
      </c>
      <c r="N18" s="273">
        <f t="shared" si="23"/>
        <v>45.069999999999993</v>
      </c>
      <c r="O18" s="236">
        <f>SUMIFS('Checking Transaction Log'!$E:$E,'Checking Transaction Log'!$C:$C,"&gt;="&amp;O1,'Checking Transaction Log'!$C:$C,"&lt;="&amp;P1,'Checking Transaction Log'!$A:$A,"F",'Checking Transaction Log'!$B:$B,13)</f>
        <v>104.98</v>
      </c>
      <c r="P18" s="236">
        <f t="shared" si="24"/>
        <v>75.02</v>
      </c>
      <c r="Q18" s="270">
        <f>SUMIFS('Checking Transaction Log'!$E:$E,'Checking Transaction Log'!$C:$C,"&gt;="&amp;Q1,'Checking Transaction Log'!$C:$C,"&lt;="&amp;R1,'Checking Transaction Log'!$A:$A,"F",'Checking Transaction Log'!$B:$B,13)</f>
        <v>122.18</v>
      </c>
      <c r="R18" s="270">
        <f t="shared" si="25"/>
        <v>57.819999999999993</v>
      </c>
      <c r="S18" s="232">
        <f>SUMIFS('Checking Transaction Log'!$E:$E,'Checking Transaction Log'!$C:$C,"&gt;="&amp;S1,'Checking Transaction Log'!$C:$C,"&lt;="&amp;T1,'Checking Transaction Log'!$A:$A,"F",'Checking Transaction Log'!$B:$B,13)</f>
        <v>122.46</v>
      </c>
      <c r="T18" s="232">
        <f t="shared" si="26"/>
        <v>57.540000000000006</v>
      </c>
      <c r="U18" s="273">
        <f>SUMIFS('Checking Transaction Log'!$E:$E,'Checking Transaction Log'!$C:$C,"&gt;="&amp;U1,'Checking Transaction Log'!$C:$C,"&lt;="&amp;V1,'Checking Transaction Log'!$A:$A,"F",'Checking Transaction Log'!$B:$B,13)</f>
        <v>0</v>
      </c>
      <c r="V18" s="273">
        <f t="shared" si="27"/>
        <v>180</v>
      </c>
      <c r="W18" s="236">
        <f>SUMIFS('Checking Transaction Log'!$E:$E,'Checking Transaction Log'!$C:$C,"&gt;="&amp;W1,'Checking Transaction Log'!$C:$C,"&lt;="&amp;X1,'Checking Transaction Log'!$A:$A,"F",'Checking Transaction Log'!$B:$B,13)</f>
        <v>0</v>
      </c>
      <c r="X18" s="236">
        <f t="shared" si="28"/>
        <v>180</v>
      </c>
      <c r="Y18" s="276">
        <f>SUMIFS('Checking Transaction Log'!$E:$E,'Checking Transaction Log'!$C:$C,"&gt;="&amp;Y1,'Checking Transaction Log'!$C:$C,"&lt;="&amp;Z1,'Checking Transaction Log'!$A:$A,"F",'Checking Transaction Log'!$B:$B,13)</f>
        <v>0</v>
      </c>
      <c r="Z18" s="276">
        <f t="shared" si="29"/>
        <v>180</v>
      </c>
      <c r="AA18" s="278">
        <f>SUMIFS('Checking Transaction Log'!$E:$E,'Checking Transaction Log'!$C:$C,"&gt;="&amp;AA1,'Checking Transaction Log'!$C:$C,"&lt;="&amp;AB1,'Checking Transaction Log'!$A:$A,"F",'Checking Transaction Log'!$B:$B,13)</f>
        <v>0</v>
      </c>
      <c r="AB18" s="278">
        <f t="shared" si="30"/>
        <v>180</v>
      </c>
      <c r="AC18" s="280">
        <f>SUMIFS('Checking Transaction Log'!$E:$E,'Checking Transaction Log'!$C:$C,"&gt;="&amp;AC1,'Checking Transaction Log'!$C:$C,"&lt;="&amp;AD1,'Checking Transaction Log'!$A:$A,"F",'Checking Transaction Log'!$B:$B,13)</f>
        <v>0</v>
      </c>
      <c r="AD18" s="280">
        <f t="shared" si="31"/>
        <v>180</v>
      </c>
      <c r="AE18" s="282">
        <f>SUMIFS('Checking Transaction Log'!$E:$E,'Checking Transaction Log'!$C:$C,"&gt;="&amp;AE1,'Checking Transaction Log'!$C:$C,"&lt;="&amp;AF1,'Checking Transaction Log'!$A:$A,"F",'Checking Transaction Log'!$B:$B,13)</f>
        <v>0</v>
      </c>
      <c r="AF18" s="282">
        <f t="shared" si="32"/>
        <v>180</v>
      </c>
    </row>
    <row r="19" spans="1:32" ht="11.25" customHeight="1" x14ac:dyDescent="0.3">
      <c r="A19" s="284" t="str">
        <f>'Proposed Budget'!A19</f>
        <v>F</v>
      </c>
      <c r="B19" s="255">
        <f>'Proposed Budget'!B19</f>
        <v>14</v>
      </c>
      <c r="C19" s="287" t="str">
        <f>'Proposed Budget'!C19</f>
        <v>Vivint Home Security</v>
      </c>
      <c r="D19" s="288">
        <f t="shared" ca="1" si="17"/>
        <v>152.47138527607362</v>
      </c>
      <c r="E19" s="289">
        <f t="shared" si="18"/>
        <v>816.99</v>
      </c>
      <c r="F19" s="289">
        <f t="shared" si="19"/>
        <v>19.929999999999978</v>
      </c>
      <c r="G19" s="269">
        <f t="shared" si="20"/>
        <v>2.3813506667303863E-2</v>
      </c>
      <c r="H19" s="289">
        <f>'Proposed Budget'!D19</f>
        <v>140</v>
      </c>
      <c r="I19" s="270">
        <f>SUMIFS('Checking Transaction Log'!E:E,'Checking Transaction Log'!C:C,"&gt;="&amp;I1,'Checking Transaction Log'!C:C,"&lt;="&amp;J1,'Checking Transaction Log'!A:A,"F",'Checking Transaction Log'!B:B,14)</f>
        <v>135.41</v>
      </c>
      <c r="J19" s="270">
        <f t="shared" si="21"/>
        <v>4.5900000000000034</v>
      </c>
      <c r="K19" s="232">
        <f>SUMIFS('Checking Transaction Log'!E:E,'Checking Transaction Log'!C:C,"&gt;="&amp;K1,'Checking Transaction Log'!C:C,"&lt;="&amp;L1,'Checking Transaction Log'!A:A,"F",'Checking Transaction Log'!B:B,14)</f>
        <v>135.41</v>
      </c>
      <c r="L19" s="232">
        <f t="shared" si="22"/>
        <v>4.5900000000000034</v>
      </c>
      <c r="M19" s="273">
        <f>SUMIFS('Checking Transaction Log'!$E:$E,'Checking Transaction Log'!$C:$C,"&gt;="&amp;M1,'Checking Transaction Log'!$C:$C,"&lt;="&amp;N1,'Checking Transaction Log'!$A:$A,"F",'Checking Transaction Log'!$B:$B,14)</f>
        <v>135.41</v>
      </c>
      <c r="N19" s="273">
        <f t="shared" si="23"/>
        <v>4.5900000000000034</v>
      </c>
      <c r="O19" s="236">
        <f>SUMIFS('Checking Transaction Log'!$E:$E,'Checking Transaction Log'!$C:$C,"&gt;="&amp;O1,'Checking Transaction Log'!$C:$C,"&lt;="&amp;P1,'Checking Transaction Log'!$A:$A,"F",'Checking Transaction Log'!$B:$B,14)</f>
        <v>136.92000000000002</v>
      </c>
      <c r="P19" s="236">
        <f t="shared" si="24"/>
        <v>3.0799999999999841</v>
      </c>
      <c r="Q19" s="270">
        <f>SUMIFS('Checking Transaction Log'!$E:$E,'Checking Transaction Log'!$C:$C,"&gt;="&amp;Q1,'Checking Transaction Log'!$C:$C,"&lt;="&amp;R1,'Checking Transaction Log'!$A:$A,"F",'Checking Transaction Log'!$B:$B,14)</f>
        <v>136.92000000000002</v>
      </c>
      <c r="R19" s="270">
        <f t="shared" si="25"/>
        <v>3.0799999999999841</v>
      </c>
      <c r="S19" s="232">
        <f>SUMIFS('Checking Transaction Log'!$E:$E,'Checking Transaction Log'!$C:$C,"&gt;="&amp;S1,'Checking Transaction Log'!$C:$C,"&lt;="&amp;T1,'Checking Transaction Log'!$A:$A,"F",'Checking Transaction Log'!$B:$B,14)</f>
        <v>136.92000000000002</v>
      </c>
      <c r="T19" s="232">
        <f t="shared" si="26"/>
        <v>3.0799999999999841</v>
      </c>
      <c r="U19" s="273">
        <f>SUMIFS('Checking Transaction Log'!$E:$E,'Checking Transaction Log'!$C:$C,"&gt;="&amp;U1,'Checking Transaction Log'!$C:$C,"&lt;="&amp;V1,'Checking Transaction Log'!$A:$A,"F",'Checking Transaction Log'!$B:$B,14)</f>
        <v>0</v>
      </c>
      <c r="V19" s="273">
        <f t="shared" si="27"/>
        <v>140</v>
      </c>
      <c r="W19" s="236">
        <f>SUMIFS('Checking Transaction Log'!$E:$E,'Checking Transaction Log'!$C:$C,"&gt;="&amp;W1,'Checking Transaction Log'!$C:$C,"&lt;="&amp;X1,'Checking Transaction Log'!$A:$A,"F",'Checking Transaction Log'!$B:$B,14)</f>
        <v>0</v>
      </c>
      <c r="X19" s="236">
        <f t="shared" si="28"/>
        <v>140</v>
      </c>
      <c r="Y19" s="276">
        <f>SUMIFS('Checking Transaction Log'!$E:$E,'Checking Transaction Log'!$C:$C,"&gt;="&amp;Y1,'Checking Transaction Log'!$C:$C,"&lt;="&amp;Z1,'Checking Transaction Log'!$A:$A,"F",'Checking Transaction Log'!$B:$B,14)</f>
        <v>0</v>
      </c>
      <c r="Z19" s="276">
        <f t="shared" si="29"/>
        <v>140</v>
      </c>
      <c r="AA19" s="278">
        <f>SUMIFS('Checking Transaction Log'!$E:$E,'Checking Transaction Log'!$C:$C,"&gt;="&amp;AA1,'Checking Transaction Log'!$C:$C,"&lt;="&amp;AB1,'Checking Transaction Log'!$A:$A,"F",'Checking Transaction Log'!$B:$B,14)</f>
        <v>0</v>
      </c>
      <c r="AB19" s="278">
        <f t="shared" si="30"/>
        <v>140</v>
      </c>
      <c r="AC19" s="280">
        <f>SUMIFS('Checking Transaction Log'!$E:$E,'Checking Transaction Log'!$C:$C,"&gt;="&amp;AC1,'Checking Transaction Log'!$C:$C,"&lt;="&amp;AD1,'Checking Transaction Log'!$A:$A,"F",'Checking Transaction Log'!$B:$B,14)</f>
        <v>0</v>
      </c>
      <c r="AD19" s="280">
        <f t="shared" si="31"/>
        <v>140</v>
      </c>
      <c r="AE19" s="282">
        <f>SUMIFS('Checking Transaction Log'!$E:$E,'Checking Transaction Log'!$C:$C,"&gt;="&amp;AE1,'Checking Transaction Log'!$C:$C,"&lt;="&amp;AF1,'Checking Transaction Log'!$A:$A,"F",'Checking Transaction Log'!$B:$B,14)</f>
        <v>0</v>
      </c>
      <c r="AF19" s="282">
        <f t="shared" si="32"/>
        <v>140</v>
      </c>
    </row>
    <row r="20" spans="1:32" ht="11.25" customHeight="1" x14ac:dyDescent="0.3">
      <c r="A20" s="284" t="str">
        <f>'Proposed Budget'!A20</f>
        <v>F</v>
      </c>
      <c r="B20" s="255">
        <f>'Proposed Budget'!B20</f>
        <v>15</v>
      </c>
      <c r="C20" s="287" t="str">
        <f>'Proposed Budget'!C20</f>
        <v>Columbia Gas</v>
      </c>
      <c r="D20" s="288">
        <f t="shared" ca="1" si="17"/>
        <v>135.91021472392637</v>
      </c>
      <c r="E20" s="289">
        <f t="shared" si="18"/>
        <v>728.25</v>
      </c>
      <c r="F20" s="289">
        <f t="shared" si="19"/>
        <v>-228.25</v>
      </c>
      <c r="G20" s="269">
        <f t="shared" si="20"/>
        <v>-0.45649999999999991</v>
      </c>
      <c r="H20" s="289">
        <f>'Proposed Budget'!D20</f>
        <v>100</v>
      </c>
      <c r="I20" s="270">
        <f>SUMIFS('Checking Transaction Log'!E:E,'Checking Transaction Log'!C:C,"&gt;="&amp;I1,'Checking Transaction Log'!C:C,"&lt;="&amp;J1,'Checking Transaction Log'!A:A,"F",'Checking Transaction Log'!B:B,15)</f>
        <v>132.4</v>
      </c>
      <c r="J20" s="270">
        <f t="shared" si="21"/>
        <v>-32.400000000000006</v>
      </c>
      <c r="K20" s="232">
        <f>SUMIFS('Checking Transaction Log'!E:E,'Checking Transaction Log'!C:C,"&gt;="&amp;K1,'Checking Transaction Log'!C:C,"&lt;="&amp;L1,'Checking Transaction Log'!A:A,"F",'Checking Transaction Log'!B:B,15)</f>
        <v>188.16</v>
      </c>
      <c r="L20" s="232">
        <f t="shared" si="22"/>
        <v>-88.16</v>
      </c>
      <c r="M20" s="273">
        <f>SUMIFS('Checking Transaction Log'!$E:$E,'Checking Transaction Log'!$C:$C,"&gt;="&amp;M1,'Checking Transaction Log'!$C:$C,"&lt;="&amp;N1,'Checking Transaction Log'!$A:$A,"F",'Checking Transaction Log'!$B:$B,15)</f>
        <v>175.09</v>
      </c>
      <c r="N20" s="273">
        <f t="shared" si="23"/>
        <v>-75.09</v>
      </c>
      <c r="O20" s="236">
        <f>SUMIFS('Checking Transaction Log'!$E:$E,'Checking Transaction Log'!$C:$C,"&gt;="&amp;O1,'Checking Transaction Log'!$C:$C,"&lt;="&amp;P1,'Checking Transaction Log'!$A:$A,"F",'Checking Transaction Log'!$B:$B,15)</f>
        <v>131.22999999999999</v>
      </c>
      <c r="P20" s="236">
        <f t="shared" si="24"/>
        <v>-31.22999999999999</v>
      </c>
      <c r="Q20" s="270">
        <f>SUMIFS('Checking Transaction Log'!$E:$E,'Checking Transaction Log'!$C:$C,"&gt;="&amp;Q1,'Checking Transaction Log'!$C:$C,"&lt;="&amp;R1,'Checking Transaction Log'!$A:$A,"F",'Checking Transaction Log'!$B:$B,15)</f>
        <v>101.37</v>
      </c>
      <c r="R20" s="270">
        <f t="shared" si="25"/>
        <v>-1.3700000000000045</v>
      </c>
      <c r="S20" s="232">
        <f>SUMIFS('Checking Transaction Log'!$E:$E,'Checking Transaction Log'!$C:$C,"&gt;="&amp;S1,'Checking Transaction Log'!$C:$C,"&lt;="&amp;T1,'Checking Transaction Log'!$A:$A,"F",'Checking Transaction Log'!$B:$B,15)</f>
        <v>0</v>
      </c>
      <c r="T20" s="232">
        <f t="shared" si="26"/>
        <v>100</v>
      </c>
      <c r="U20" s="273">
        <f>SUMIFS('Checking Transaction Log'!$E:$E,'Checking Transaction Log'!$C:$C,"&gt;="&amp;U1,'Checking Transaction Log'!$C:$C,"&lt;="&amp;V1,'Checking Transaction Log'!$A:$A,"F",'Checking Transaction Log'!$B:$B,15)</f>
        <v>0</v>
      </c>
      <c r="V20" s="273">
        <f t="shared" si="27"/>
        <v>100</v>
      </c>
      <c r="W20" s="236">
        <f>SUMIFS('Checking Transaction Log'!$E:$E,'Checking Transaction Log'!$C:$C,"&gt;="&amp;W1,'Checking Transaction Log'!$C:$C,"&lt;="&amp;X1,'Checking Transaction Log'!$A:$A,"F",'Checking Transaction Log'!$B:$B,15)</f>
        <v>0</v>
      </c>
      <c r="X20" s="236">
        <f t="shared" si="28"/>
        <v>100</v>
      </c>
      <c r="Y20" s="276">
        <f>SUMIFS('Checking Transaction Log'!$E:$E,'Checking Transaction Log'!$C:$C,"&gt;="&amp;Y1,'Checking Transaction Log'!$C:$C,"&lt;="&amp;Z1,'Checking Transaction Log'!$A:$A,"F",'Checking Transaction Log'!$B:$B,15)</f>
        <v>0</v>
      </c>
      <c r="Z20" s="276">
        <f t="shared" si="29"/>
        <v>100</v>
      </c>
      <c r="AA20" s="278">
        <f>SUMIFS('Checking Transaction Log'!$E:$E,'Checking Transaction Log'!$C:$C,"&gt;="&amp;AA1,'Checking Transaction Log'!$C:$C,"&lt;="&amp;AB1,'Checking Transaction Log'!$A:$A,"F",'Checking Transaction Log'!$B:$B,15)</f>
        <v>0</v>
      </c>
      <c r="AB20" s="278">
        <f t="shared" si="30"/>
        <v>100</v>
      </c>
      <c r="AC20" s="280">
        <f>SUMIFS('Checking Transaction Log'!$E:$E,'Checking Transaction Log'!$C:$C,"&gt;="&amp;AC1,'Checking Transaction Log'!$C:$C,"&lt;="&amp;AD1,'Checking Transaction Log'!$A:$A,"F",'Checking Transaction Log'!$B:$B,15)</f>
        <v>0</v>
      </c>
      <c r="AD20" s="280">
        <f t="shared" si="31"/>
        <v>100</v>
      </c>
      <c r="AE20" s="282">
        <f>SUMIFS('Checking Transaction Log'!$E:$E,'Checking Transaction Log'!$C:$C,"&gt;="&amp;AE1,'Checking Transaction Log'!$C:$C,"&lt;="&amp;AF1,'Checking Transaction Log'!$A:$A,"F",'Checking Transaction Log'!$B:$B,15)</f>
        <v>0</v>
      </c>
      <c r="AF20" s="282">
        <f t="shared" si="32"/>
        <v>100</v>
      </c>
    </row>
    <row r="21" spans="1:32" ht="11.25" customHeight="1" x14ac:dyDescent="0.3">
      <c r="A21" s="284" t="str">
        <f>'Proposed Budget'!A21</f>
        <v>F</v>
      </c>
      <c r="B21" s="255">
        <f>'Proposed Budget'!B21</f>
        <v>16</v>
      </c>
      <c r="C21" s="287" t="str">
        <f>'Proposed Budget'!C21</f>
        <v>Medical Bills</v>
      </c>
      <c r="D21" s="288">
        <f t="shared" ca="1" si="17"/>
        <v>167.47236441717789</v>
      </c>
      <c r="E21" s="289">
        <f t="shared" si="18"/>
        <v>897.36999999999989</v>
      </c>
      <c r="F21" s="289">
        <f t="shared" si="19"/>
        <v>-835.06</v>
      </c>
      <c r="G21" s="269">
        <f t="shared" si="20"/>
        <v>-13.401701171561559</v>
      </c>
      <c r="H21" s="289">
        <f>'Proposed Budget'!D21</f>
        <v>0</v>
      </c>
      <c r="I21" s="270">
        <f>SUMIFS('Checking Transaction Log'!E:E,'Checking Transaction Log'!C:C,"&gt;="&amp;I1,'Checking Transaction Log'!C:C,"&lt;="&amp;J1,'Checking Transaction Log'!A:A,"F",'Checking Transaction Log'!B:B,16)</f>
        <v>0</v>
      </c>
      <c r="J21" s="270">
        <f t="shared" si="21"/>
        <v>0</v>
      </c>
      <c r="K21" s="232">
        <f>SUMIFS('Checking Transaction Log'!E:E,'Checking Transaction Log'!C:C,"&gt;="&amp;K1,'Checking Transaction Log'!C:C,"&lt;="&amp;L1,'Checking Transaction Log'!A:A,"F",'Checking Transaction Log'!B:B,16)</f>
        <v>0</v>
      </c>
      <c r="L21" s="232">
        <f t="shared" si="22"/>
        <v>0</v>
      </c>
      <c r="M21" s="273">
        <f>SUMIFS('Checking Transaction Log'!$E:$E,'Checking Transaction Log'!$C:$C,"&gt;="&amp;M1,'Checking Transaction Log'!$C:$C,"&lt;="&amp;N1,'Checking Transaction Log'!$A:$A,"F",'Checking Transaction Log'!$B:$B,16)</f>
        <v>820.06</v>
      </c>
      <c r="N21" s="273">
        <f t="shared" si="23"/>
        <v>-820.06</v>
      </c>
      <c r="O21" s="236">
        <f>SUMIFS('Checking Transaction Log'!$E:$E,'Checking Transaction Log'!$C:$C,"&gt;="&amp;O1,'Checking Transaction Log'!$C:$C,"&lt;="&amp;P1,'Checking Transaction Log'!$A:$A,"F",'Checking Transaction Log'!$B:$B,16)</f>
        <v>15</v>
      </c>
      <c r="P21" s="236">
        <f t="shared" si="24"/>
        <v>-15</v>
      </c>
      <c r="Q21" s="270">
        <f>SUMIFS('Checking Transaction Log'!$E:$E,'Checking Transaction Log'!$C:$C,"&gt;="&amp;Q1,'Checking Transaction Log'!$C:$C,"&lt;="&amp;R1,'Checking Transaction Log'!$A:$A,"F",'Checking Transaction Log'!$B:$B,16)</f>
        <v>0</v>
      </c>
      <c r="R21" s="270">
        <f t="shared" si="25"/>
        <v>0</v>
      </c>
      <c r="S21" s="232">
        <f>SUMIFS('Checking Transaction Log'!$E:$E,'Checking Transaction Log'!$C:$C,"&gt;="&amp;S1,'Checking Transaction Log'!$C:$C,"&lt;="&amp;T1,'Checking Transaction Log'!$A:$A,"F",'Checking Transaction Log'!$B:$B,16)</f>
        <v>62.31</v>
      </c>
      <c r="T21" s="232">
        <f t="shared" si="26"/>
        <v>-62.31</v>
      </c>
      <c r="U21" s="273">
        <f>SUMIFS('Checking Transaction Log'!$E:$E,'Checking Transaction Log'!$C:$C,"&gt;="&amp;U1,'Checking Transaction Log'!$C:$C,"&lt;="&amp;V1,'Checking Transaction Log'!$A:$A,"F",'Checking Transaction Log'!$B:$B,16)</f>
        <v>0</v>
      </c>
      <c r="V21" s="273">
        <f t="shared" si="27"/>
        <v>0</v>
      </c>
      <c r="W21" s="236">
        <f>SUMIFS('Checking Transaction Log'!$E:$E,'Checking Transaction Log'!$C:$C,"&gt;="&amp;W1,'Checking Transaction Log'!$C:$C,"&lt;="&amp;X1,'Checking Transaction Log'!$A:$A,"F",'Checking Transaction Log'!$B:$B,16)</f>
        <v>0</v>
      </c>
      <c r="X21" s="236">
        <f t="shared" si="28"/>
        <v>0</v>
      </c>
      <c r="Y21" s="276">
        <f>SUMIFS('Checking Transaction Log'!$E:$E,'Checking Transaction Log'!$C:$C,"&gt;="&amp;Y1,'Checking Transaction Log'!$C:$C,"&lt;="&amp;Z1,'Checking Transaction Log'!$A:$A,"F",'Checking Transaction Log'!$B:$B,16)</f>
        <v>0</v>
      </c>
      <c r="Z21" s="276">
        <f t="shared" si="29"/>
        <v>0</v>
      </c>
      <c r="AA21" s="278">
        <f>SUMIFS('Checking Transaction Log'!$E:$E,'Checking Transaction Log'!$C:$C,"&gt;="&amp;AA1,'Checking Transaction Log'!$C:$C,"&lt;="&amp;AB1,'Checking Transaction Log'!$A:$A,"F",'Checking Transaction Log'!$B:$B,16)</f>
        <v>0</v>
      </c>
      <c r="AB21" s="278">
        <f t="shared" si="30"/>
        <v>0</v>
      </c>
      <c r="AC21" s="280">
        <f>SUMIFS('Checking Transaction Log'!$E:$E,'Checking Transaction Log'!$C:$C,"&gt;="&amp;AC1,'Checking Transaction Log'!$C:$C,"&lt;="&amp;AD1,'Checking Transaction Log'!$A:$A,"F",'Checking Transaction Log'!$B:$B,16)</f>
        <v>0</v>
      </c>
      <c r="AD21" s="280">
        <f t="shared" si="31"/>
        <v>0</v>
      </c>
      <c r="AE21" s="282">
        <f>SUMIFS('Checking Transaction Log'!$E:$E,'Checking Transaction Log'!$C:$C,"&gt;="&amp;AE1,'Checking Transaction Log'!$C:$C,"&lt;="&amp;AF1,'Checking Transaction Log'!$A:$A,"F",'Checking Transaction Log'!$B:$B,16)</f>
        <v>0</v>
      </c>
      <c r="AF21" s="282">
        <f t="shared" si="32"/>
        <v>0</v>
      </c>
    </row>
    <row r="22" spans="1:32" ht="11.25" customHeight="1" x14ac:dyDescent="0.3">
      <c r="A22" s="284" t="str">
        <f>'Proposed Budget'!A22</f>
        <v>F</v>
      </c>
      <c r="B22" s="255">
        <f>'Proposed Budget'!B22</f>
        <v>17</v>
      </c>
      <c r="C22" s="287" t="str">
        <f>'Proposed Budget'!C22</f>
        <v>Planet Fitness</v>
      </c>
      <c r="D22" s="288">
        <f t="shared" ca="1" si="17"/>
        <v>192.1928134969325</v>
      </c>
      <c r="E22" s="289">
        <f t="shared" si="18"/>
        <v>1029.83</v>
      </c>
      <c r="F22" s="289">
        <f t="shared" si="19"/>
        <v>-205.83</v>
      </c>
      <c r="G22" s="269">
        <f t="shared" si="20"/>
        <v>-0.24979368932038848</v>
      </c>
      <c r="H22" s="289">
        <f>'Proposed Budget'!D22</f>
        <v>145</v>
      </c>
      <c r="I22" s="270">
        <f>SUMIFS('Checking Transaction Log'!E:E,'Checking Transaction Log'!C:C,"&gt;="&amp;I1,'Checking Transaction Log'!C:C,"&lt;="&amp;J1,'Checking Transaction Log'!A:A,"F",'Checking Transaction Log'!B:B,17)</f>
        <v>281.25</v>
      </c>
      <c r="J22" s="270">
        <f t="shared" si="21"/>
        <v>-136.25</v>
      </c>
      <c r="K22" s="232">
        <f>SUMIFS('Checking Transaction Log'!E:E,'Checking Transaction Log'!C:C,"&gt;="&amp;K1,'Checking Transaction Log'!C:C,"&lt;="&amp;L1,'Checking Transaction Log'!A:A,"F",'Checking Transaction Log'!B:B,17)</f>
        <v>183.19</v>
      </c>
      <c r="L22" s="232">
        <f t="shared" si="22"/>
        <v>-38.19</v>
      </c>
      <c r="M22" s="273">
        <f>SUMIFS('Checking Transaction Log'!$E:$E,'Checking Transaction Log'!$C:$C,"&gt;="&amp;M1,'Checking Transaction Log'!$C:$C,"&lt;="&amp;N1,'Checking Transaction Log'!$A:$A,"F",'Checking Transaction Log'!$B:$B,17)</f>
        <v>183.09</v>
      </c>
      <c r="N22" s="273">
        <f t="shared" si="23"/>
        <v>-38.090000000000003</v>
      </c>
      <c r="O22" s="236">
        <f>SUMIFS('Checking Transaction Log'!$E:$E,'Checking Transaction Log'!$C:$C,"&gt;="&amp;O1,'Checking Transaction Log'!$C:$C,"&lt;="&amp;P1,'Checking Transaction Log'!$A:$A,"F",'Checking Transaction Log'!$B:$B,17)</f>
        <v>141.65</v>
      </c>
      <c r="P22" s="236">
        <f t="shared" si="24"/>
        <v>3.3499999999999943</v>
      </c>
      <c r="Q22" s="270">
        <f>SUMIFS('Checking Transaction Log'!$E:$E,'Checking Transaction Log'!$C:$C,"&gt;="&amp;Q1,'Checking Transaction Log'!$C:$C,"&lt;="&amp;R1,'Checking Transaction Log'!$A:$A,"F",'Checking Transaction Log'!$B:$B,17)</f>
        <v>141.65</v>
      </c>
      <c r="R22" s="270">
        <f t="shared" si="25"/>
        <v>3.3499999999999943</v>
      </c>
      <c r="S22" s="232">
        <f>SUMIFS('Checking Transaction Log'!$E:$E,'Checking Transaction Log'!$C:$C,"&gt;="&amp;S1,'Checking Transaction Log'!$C:$C,"&lt;="&amp;T1,'Checking Transaction Log'!$A:$A,"F",'Checking Transaction Log'!$B:$B,17)</f>
        <v>99</v>
      </c>
      <c r="T22" s="232">
        <f t="shared" si="26"/>
        <v>46</v>
      </c>
      <c r="U22" s="273">
        <f>SUMIFS('Checking Transaction Log'!$E:$E,'Checking Transaction Log'!$C:$C,"&gt;="&amp;U1,'Checking Transaction Log'!$C:$C,"&lt;="&amp;V1,'Checking Transaction Log'!$A:$A,"F",'Checking Transaction Log'!$B:$B,17)</f>
        <v>0</v>
      </c>
      <c r="V22" s="273">
        <f t="shared" si="27"/>
        <v>145</v>
      </c>
      <c r="W22" s="236">
        <f>SUMIFS('Checking Transaction Log'!$E:$E,'Checking Transaction Log'!$C:$C,"&gt;="&amp;W1,'Checking Transaction Log'!$C:$C,"&lt;="&amp;X1,'Checking Transaction Log'!$A:$A,"F",'Checking Transaction Log'!$B:$B,17)</f>
        <v>0</v>
      </c>
      <c r="X22" s="236">
        <f t="shared" si="28"/>
        <v>145</v>
      </c>
      <c r="Y22" s="276">
        <f>SUMIFS('Checking Transaction Log'!$E:$E,'Checking Transaction Log'!$C:$C,"&gt;="&amp;Y1,'Checking Transaction Log'!$C:$C,"&lt;="&amp;Z1,'Checking Transaction Log'!$A:$A,"F",'Checking Transaction Log'!$B:$B,17)</f>
        <v>0</v>
      </c>
      <c r="Z22" s="276">
        <f t="shared" si="29"/>
        <v>145</v>
      </c>
      <c r="AA22" s="278">
        <f>SUMIFS('Checking Transaction Log'!$E:$E,'Checking Transaction Log'!$C:$C,"&gt;="&amp;AA1,'Checking Transaction Log'!$C:$C,"&lt;="&amp;AB1,'Checking Transaction Log'!$A:$A,"F",'Checking Transaction Log'!$B:$B,17)</f>
        <v>0</v>
      </c>
      <c r="AB22" s="278">
        <f t="shared" si="30"/>
        <v>145</v>
      </c>
      <c r="AC22" s="280">
        <f>SUMIFS('Checking Transaction Log'!$E:$E,'Checking Transaction Log'!$C:$C,"&gt;="&amp;AC1,'Checking Transaction Log'!$C:$C,"&lt;="&amp;AD1,'Checking Transaction Log'!$A:$A,"F",'Checking Transaction Log'!$B:$B,17)</f>
        <v>0</v>
      </c>
      <c r="AD22" s="280">
        <f t="shared" si="31"/>
        <v>145</v>
      </c>
      <c r="AE22" s="282">
        <f>SUMIFS('Checking Transaction Log'!$E:$E,'Checking Transaction Log'!$C:$C,"&gt;="&amp;AE1,'Checking Transaction Log'!$C:$C,"&lt;="&amp;AF1,'Checking Transaction Log'!$A:$A,"F",'Checking Transaction Log'!$B:$B,17)</f>
        <v>0</v>
      </c>
      <c r="AF22" s="282">
        <f t="shared" si="32"/>
        <v>145</v>
      </c>
    </row>
    <row r="23" spans="1:32" ht="11.25" customHeight="1" x14ac:dyDescent="0.3">
      <c r="A23" s="284" t="str">
        <f>'Proposed Budget'!A23</f>
        <v>F</v>
      </c>
      <c r="B23" s="255">
        <f>'Proposed Budget'!B23</f>
        <v>18</v>
      </c>
      <c r="C23" s="287" t="str">
        <f>'Proposed Budget'!C23</f>
        <v>Lowes Rewards</v>
      </c>
      <c r="D23" s="288">
        <f t="shared" ca="1" si="17"/>
        <v>373.25153374233133</v>
      </c>
      <c r="E23" s="289">
        <f t="shared" si="18"/>
        <v>2000</v>
      </c>
      <c r="F23" s="289">
        <f t="shared" si="19"/>
        <v>0</v>
      </c>
      <c r="G23" s="269">
        <f t="shared" si="20"/>
        <v>0</v>
      </c>
      <c r="H23" s="289">
        <f>'Proposed Budget'!D23</f>
        <v>400</v>
      </c>
      <c r="I23" s="270">
        <f>SUMIFS('Checking Transaction Log'!E:E,'Checking Transaction Log'!C:C,"&gt;="&amp;I1,'Checking Transaction Log'!C:C,"&lt;="&amp;J1,'Checking Transaction Log'!A:A,"F",'Checking Transaction Log'!B:B,18)</f>
        <v>400</v>
      </c>
      <c r="J23" s="270">
        <f t="shared" si="21"/>
        <v>0</v>
      </c>
      <c r="K23" s="232">
        <f>SUMIFS('Checking Transaction Log'!E:E,'Checking Transaction Log'!C:C,"&gt;="&amp;K1,'Checking Transaction Log'!C:C,"&lt;="&amp;L1,'Checking Transaction Log'!A:A,"F",'Checking Transaction Log'!B:B,18)</f>
        <v>400</v>
      </c>
      <c r="L23" s="232">
        <f t="shared" si="22"/>
        <v>0</v>
      </c>
      <c r="M23" s="273">
        <f>SUMIFS('Checking Transaction Log'!$E:$E,'Checking Transaction Log'!$C:$C,"&gt;="&amp;M1,'Checking Transaction Log'!$C:$C,"&lt;="&amp;N1,'Checking Transaction Log'!$A:$A,"F",'Checking Transaction Log'!$B:$B,18)</f>
        <v>400</v>
      </c>
      <c r="N23" s="273">
        <f t="shared" si="23"/>
        <v>0</v>
      </c>
      <c r="O23" s="236">
        <f>SUMIFS('Checking Transaction Log'!$E:$E,'Checking Transaction Log'!$C:$C,"&gt;="&amp;O1,'Checking Transaction Log'!$C:$C,"&lt;="&amp;P1,'Checking Transaction Log'!$A:$A,"F",'Checking Transaction Log'!$B:$B,18)</f>
        <v>400</v>
      </c>
      <c r="P23" s="236">
        <f t="shared" si="24"/>
        <v>0</v>
      </c>
      <c r="Q23" s="270">
        <f>SUMIFS('Checking Transaction Log'!$E:$E,'Checking Transaction Log'!$C:$C,"&gt;="&amp;Q1,'Checking Transaction Log'!$C:$C,"&lt;="&amp;R1,'Checking Transaction Log'!$A:$A,"F",'Checking Transaction Log'!$B:$B,18)</f>
        <v>400</v>
      </c>
      <c r="R23" s="270">
        <f t="shared" si="25"/>
        <v>0</v>
      </c>
      <c r="S23" s="232">
        <f>SUMIFS('Checking Transaction Log'!$E:$E,'Checking Transaction Log'!$C:$C,"&gt;="&amp;S1,'Checking Transaction Log'!$C:$C,"&lt;="&amp;T1,'Checking Transaction Log'!$A:$A,"F",'Checking Transaction Log'!$B:$B,18)</f>
        <v>0</v>
      </c>
      <c r="T23" s="232">
        <f t="shared" si="26"/>
        <v>400</v>
      </c>
      <c r="U23" s="273">
        <f>SUMIFS('Checking Transaction Log'!$E:$E,'Checking Transaction Log'!$C:$C,"&gt;="&amp;U1,'Checking Transaction Log'!$C:$C,"&lt;="&amp;V1,'Checking Transaction Log'!$A:$A,"F",'Checking Transaction Log'!$B:$B,18)</f>
        <v>0</v>
      </c>
      <c r="V23" s="273">
        <f t="shared" si="27"/>
        <v>400</v>
      </c>
      <c r="W23" s="236">
        <f>SUMIFS('Checking Transaction Log'!$E:$E,'Checking Transaction Log'!$C:$C,"&gt;="&amp;W1,'Checking Transaction Log'!$C:$C,"&lt;="&amp;X1,'Checking Transaction Log'!$A:$A,"F",'Checking Transaction Log'!$B:$B,18)</f>
        <v>0</v>
      </c>
      <c r="X23" s="236">
        <f t="shared" si="28"/>
        <v>400</v>
      </c>
      <c r="Y23" s="276">
        <f>SUMIFS('Checking Transaction Log'!$E:$E,'Checking Transaction Log'!$C:$C,"&gt;="&amp;Y1,'Checking Transaction Log'!$C:$C,"&lt;="&amp;Z1,'Checking Transaction Log'!$A:$A,"F",'Checking Transaction Log'!$B:$B,18)</f>
        <v>0</v>
      </c>
      <c r="Z23" s="276">
        <f t="shared" si="29"/>
        <v>400</v>
      </c>
      <c r="AA23" s="278">
        <f>SUMIFS('Checking Transaction Log'!$E:$E,'Checking Transaction Log'!$C:$C,"&gt;="&amp;AA1,'Checking Transaction Log'!$C:$C,"&lt;="&amp;AB1,'Checking Transaction Log'!$A:$A,"F",'Checking Transaction Log'!$B:$B,18)</f>
        <v>0</v>
      </c>
      <c r="AB23" s="278">
        <f t="shared" si="30"/>
        <v>400</v>
      </c>
      <c r="AC23" s="280">
        <f>SUMIFS('Checking Transaction Log'!$E:$E,'Checking Transaction Log'!$C:$C,"&gt;="&amp;AC1,'Checking Transaction Log'!$C:$C,"&lt;="&amp;AD1,'Checking Transaction Log'!$A:$A,"F",'Checking Transaction Log'!$B:$B,18)</f>
        <v>0</v>
      </c>
      <c r="AD23" s="280">
        <f t="shared" si="31"/>
        <v>400</v>
      </c>
      <c r="AE23" s="282">
        <f>SUMIFS('Checking Transaction Log'!$E:$E,'Checking Transaction Log'!$C:$C,"&gt;="&amp;AE1,'Checking Transaction Log'!$C:$C,"&lt;="&amp;AF1,'Checking Transaction Log'!$A:$A,"F",'Checking Transaction Log'!$B:$B,18)</f>
        <v>0</v>
      </c>
      <c r="AF23" s="282">
        <f t="shared" si="32"/>
        <v>400</v>
      </c>
    </row>
    <row r="24" spans="1:32" ht="11.25" customHeight="1" x14ac:dyDescent="0.3">
      <c r="A24" s="284" t="str">
        <f>'Proposed Budget'!A24</f>
        <v>F</v>
      </c>
      <c r="B24" s="255">
        <f>'Proposed Budget'!B24</f>
        <v>19</v>
      </c>
      <c r="C24" s="287" t="str">
        <f>'Proposed Budget'!C24</f>
        <v>Wells Fargo - Pool</v>
      </c>
      <c r="D24" s="288">
        <f t="shared" ca="1" si="17"/>
        <v>223.95092024539878</v>
      </c>
      <c r="E24" s="289">
        <f t="shared" si="18"/>
        <v>1200</v>
      </c>
      <c r="F24" s="289">
        <f t="shared" si="19"/>
        <v>0</v>
      </c>
      <c r="G24" s="269">
        <f t="shared" si="20"/>
        <v>0</v>
      </c>
      <c r="H24" s="289">
        <f>'Proposed Budget'!D24</f>
        <v>200</v>
      </c>
      <c r="I24" s="270">
        <f>SUMIFS('Checking Transaction Log'!E:E,'Checking Transaction Log'!C:C,"&gt;="&amp;I1,'Checking Transaction Log'!C:C,"&lt;="&amp;J1,'Checking Transaction Log'!A:A,"F",'Checking Transaction Log'!B:B,19)</f>
        <v>200</v>
      </c>
      <c r="J24" s="270">
        <f t="shared" si="21"/>
        <v>0</v>
      </c>
      <c r="K24" s="232">
        <f>SUMIFS('Checking Transaction Log'!E:E,'Checking Transaction Log'!C:C,"&gt;="&amp;K1,'Checking Transaction Log'!C:C,"&lt;="&amp;L1,'Checking Transaction Log'!A:A,"F",'Checking Transaction Log'!B:B,19)</f>
        <v>200</v>
      </c>
      <c r="L24" s="232">
        <f t="shared" si="22"/>
        <v>0</v>
      </c>
      <c r="M24" s="273">
        <f>SUMIFS('Checking Transaction Log'!$E:$E,'Checking Transaction Log'!$C:$C,"&gt;="&amp;M1,'Checking Transaction Log'!$C:$C,"&lt;="&amp;N1,'Checking Transaction Log'!$A:$A,"F",'Checking Transaction Log'!$B:$B,19)</f>
        <v>200</v>
      </c>
      <c r="N24" s="273">
        <f t="shared" si="23"/>
        <v>0</v>
      </c>
      <c r="O24" s="236">
        <f>SUMIFS('Checking Transaction Log'!$E:$E,'Checking Transaction Log'!$C:$C,"&gt;="&amp;O1,'Checking Transaction Log'!$C:$C,"&lt;="&amp;P1,'Checking Transaction Log'!$A:$A,"F",'Checking Transaction Log'!$B:$B,19)</f>
        <v>200</v>
      </c>
      <c r="P24" s="236">
        <f t="shared" si="24"/>
        <v>0</v>
      </c>
      <c r="Q24" s="270">
        <f>SUMIFS('Checking Transaction Log'!$E:$E,'Checking Transaction Log'!$C:$C,"&gt;="&amp;Q1,'Checking Transaction Log'!$C:$C,"&lt;="&amp;R1,'Checking Transaction Log'!$A:$A,"F",'Checking Transaction Log'!$B:$B,19)</f>
        <v>200</v>
      </c>
      <c r="R24" s="270">
        <f t="shared" si="25"/>
        <v>0</v>
      </c>
      <c r="S24" s="232">
        <f>SUMIFS('Checking Transaction Log'!$E:$E,'Checking Transaction Log'!$C:$C,"&gt;="&amp;S1,'Checking Transaction Log'!$C:$C,"&lt;="&amp;T1,'Checking Transaction Log'!$A:$A,"F",'Checking Transaction Log'!$B:$B,19)</f>
        <v>200</v>
      </c>
      <c r="T24" s="232">
        <f t="shared" si="26"/>
        <v>0</v>
      </c>
      <c r="U24" s="273">
        <f>SUMIFS('Checking Transaction Log'!$E:$E,'Checking Transaction Log'!$C:$C,"&gt;="&amp;U1,'Checking Transaction Log'!$C:$C,"&lt;="&amp;V1,'Checking Transaction Log'!$A:$A,"F",'Checking Transaction Log'!$B:$B,19)</f>
        <v>0</v>
      </c>
      <c r="V24" s="273">
        <f t="shared" si="27"/>
        <v>200</v>
      </c>
      <c r="W24" s="236">
        <f>SUMIFS('Checking Transaction Log'!$E:$E,'Checking Transaction Log'!$C:$C,"&gt;="&amp;W1,'Checking Transaction Log'!$C:$C,"&lt;="&amp;X1,'Checking Transaction Log'!$A:$A,"F",'Checking Transaction Log'!$B:$B,19)</f>
        <v>0</v>
      </c>
      <c r="X24" s="236">
        <f t="shared" si="28"/>
        <v>200</v>
      </c>
      <c r="Y24" s="276">
        <f>SUMIFS('Checking Transaction Log'!$E:$E,'Checking Transaction Log'!$C:$C,"&gt;="&amp;Y1,'Checking Transaction Log'!$C:$C,"&lt;="&amp;Z1,'Checking Transaction Log'!$A:$A,"F",'Checking Transaction Log'!$B:$B,19)</f>
        <v>0</v>
      </c>
      <c r="Z24" s="276">
        <f t="shared" si="29"/>
        <v>200</v>
      </c>
      <c r="AA24" s="278">
        <f>SUMIFS('Checking Transaction Log'!$E:$E,'Checking Transaction Log'!$C:$C,"&gt;="&amp;AA1,'Checking Transaction Log'!$C:$C,"&lt;="&amp;AB1,'Checking Transaction Log'!$A:$A,"F",'Checking Transaction Log'!$B:$B,19)</f>
        <v>0</v>
      </c>
      <c r="AB24" s="278">
        <f t="shared" si="30"/>
        <v>200</v>
      </c>
      <c r="AC24" s="280">
        <f>SUMIFS('Checking Transaction Log'!$E:$E,'Checking Transaction Log'!$C:$C,"&gt;="&amp;AC1,'Checking Transaction Log'!$C:$C,"&lt;="&amp;AD1,'Checking Transaction Log'!$A:$A,"F",'Checking Transaction Log'!$B:$B,19)</f>
        <v>0</v>
      </c>
      <c r="AD24" s="280">
        <f t="shared" si="31"/>
        <v>200</v>
      </c>
      <c r="AE24" s="282">
        <f>SUMIFS('Checking Transaction Log'!$E:$E,'Checking Transaction Log'!$C:$C,"&gt;="&amp;AE1,'Checking Transaction Log'!$C:$C,"&lt;="&amp;AF1,'Checking Transaction Log'!$A:$A,"F",'Checking Transaction Log'!$B:$B,19)</f>
        <v>0</v>
      </c>
      <c r="AF24" s="282">
        <f t="shared" si="32"/>
        <v>200</v>
      </c>
    </row>
    <row r="25" spans="1:32" ht="11.25" customHeight="1" x14ac:dyDescent="0.3">
      <c r="A25" s="284" t="str">
        <f>'Proposed Budget'!A25</f>
        <v>F</v>
      </c>
      <c r="B25" s="255">
        <f>'Proposed Budget'!B25</f>
        <v>20</v>
      </c>
      <c r="C25" s="287" t="str">
        <f>'Proposed Budget'!C25</f>
        <v>Wells Fargo - Deck</v>
      </c>
      <c r="D25" s="288">
        <f t="shared" ca="1" si="17"/>
        <v>111.97546012269939</v>
      </c>
      <c r="E25" s="289">
        <f t="shared" si="18"/>
        <v>600</v>
      </c>
      <c r="F25" s="289">
        <f t="shared" si="19"/>
        <v>2400</v>
      </c>
      <c r="G25" s="269">
        <f t="shared" si="20"/>
        <v>0.8</v>
      </c>
      <c r="H25" s="289">
        <f>'Proposed Budget'!D25</f>
        <v>600</v>
      </c>
      <c r="I25" s="270">
        <f>SUMIFS('Checking Transaction Log'!E:E,'Checking Transaction Log'!C:C,"&gt;="&amp;I1,'Checking Transaction Log'!C:C,"&lt;="&amp;J1,'Checking Transaction Log'!A:A,"F",'Checking Transaction Log'!B:B,20)</f>
        <v>0</v>
      </c>
      <c r="J25" s="270">
        <f t="shared" si="21"/>
        <v>600</v>
      </c>
      <c r="K25" s="232">
        <f>SUMIFS('Checking Transaction Log'!E:E,'Checking Transaction Log'!C:C,"&gt;="&amp;K1,'Checking Transaction Log'!C:C,"&lt;="&amp;L1,'Checking Transaction Log'!A:A,"F",'Checking Transaction Log'!B:B,20)</f>
        <v>0</v>
      </c>
      <c r="L25" s="232">
        <f t="shared" si="22"/>
        <v>600</v>
      </c>
      <c r="M25" s="273">
        <f>SUMIFS('Checking Transaction Log'!$E:$E,'Checking Transaction Log'!$C:$C,"&gt;="&amp;M1,'Checking Transaction Log'!$C:$C,"&lt;="&amp;N1,'Checking Transaction Log'!$A:$A,"F",'Checking Transaction Log'!$B:$B,20)</f>
        <v>0</v>
      </c>
      <c r="N25" s="273">
        <f t="shared" si="23"/>
        <v>600</v>
      </c>
      <c r="O25" s="236">
        <f>SUMIFS('Checking Transaction Log'!$E:$E,'Checking Transaction Log'!$C:$C,"&gt;="&amp;O1,'Checking Transaction Log'!$C:$C,"&lt;="&amp;P1,'Checking Transaction Log'!$A:$A,"F",'Checking Transaction Log'!$B:$B,20)</f>
        <v>0</v>
      </c>
      <c r="P25" s="236">
        <f t="shared" si="24"/>
        <v>600</v>
      </c>
      <c r="Q25" s="270">
        <f>SUMIFS('Checking Transaction Log'!$E:$E,'Checking Transaction Log'!$C:$C,"&gt;="&amp;Q1,'Checking Transaction Log'!$C:$C,"&lt;="&amp;R1,'Checking Transaction Log'!$A:$A,"F",'Checking Transaction Log'!$B:$B,20)</f>
        <v>600</v>
      </c>
      <c r="R25" s="270">
        <f t="shared" si="25"/>
        <v>0</v>
      </c>
      <c r="S25" s="232">
        <f>SUMIFS('Checking Transaction Log'!$E:$E,'Checking Transaction Log'!$C:$C,"&gt;="&amp;S1,'Checking Transaction Log'!$C:$C,"&lt;="&amp;T1,'Checking Transaction Log'!$A:$A,"F",'Checking Transaction Log'!$B:$B,20)</f>
        <v>0</v>
      </c>
      <c r="T25" s="232">
        <f t="shared" si="26"/>
        <v>600</v>
      </c>
      <c r="U25" s="273">
        <f>SUMIFS('Checking Transaction Log'!$E:$E,'Checking Transaction Log'!$C:$C,"&gt;="&amp;U1,'Checking Transaction Log'!$C:$C,"&lt;="&amp;V1,'Checking Transaction Log'!$A:$A,"F",'Checking Transaction Log'!$B:$B,20)</f>
        <v>0</v>
      </c>
      <c r="V25" s="273">
        <f t="shared" si="27"/>
        <v>600</v>
      </c>
      <c r="W25" s="236">
        <f>SUMIFS('Checking Transaction Log'!$E:$E,'Checking Transaction Log'!$C:$C,"&gt;="&amp;W1,'Checking Transaction Log'!$C:$C,"&lt;="&amp;X1,'Checking Transaction Log'!$A:$A,"F",'Checking Transaction Log'!$B:$B,20)</f>
        <v>0</v>
      </c>
      <c r="X25" s="236">
        <f t="shared" si="28"/>
        <v>600</v>
      </c>
      <c r="Y25" s="276">
        <f>SUMIFS('Checking Transaction Log'!$E:$E,'Checking Transaction Log'!$C:$C,"&gt;="&amp;Y1,'Checking Transaction Log'!$C:$C,"&lt;="&amp;Z1,'Checking Transaction Log'!$A:$A,"F",'Checking Transaction Log'!$B:$B,20)</f>
        <v>0</v>
      </c>
      <c r="Z25" s="276">
        <f t="shared" si="29"/>
        <v>600</v>
      </c>
      <c r="AA25" s="278">
        <f>SUMIFS('Checking Transaction Log'!$E:$E,'Checking Transaction Log'!$C:$C,"&gt;="&amp;AA1,'Checking Transaction Log'!$C:$C,"&lt;="&amp;AB1,'Checking Transaction Log'!$A:$A,"F",'Checking Transaction Log'!$B:$B,20)</f>
        <v>0</v>
      </c>
      <c r="AB25" s="278">
        <f t="shared" si="30"/>
        <v>600</v>
      </c>
      <c r="AC25" s="280">
        <f>SUMIFS('Checking Transaction Log'!$E:$E,'Checking Transaction Log'!$C:$C,"&gt;="&amp;AC1,'Checking Transaction Log'!$C:$C,"&lt;="&amp;AD1,'Checking Transaction Log'!$A:$A,"F",'Checking Transaction Log'!$B:$B,20)</f>
        <v>0</v>
      </c>
      <c r="AD25" s="280">
        <f t="shared" si="31"/>
        <v>600</v>
      </c>
      <c r="AE25" s="282">
        <f>SUMIFS('Checking Transaction Log'!$E:$E,'Checking Transaction Log'!$C:$C,"&gt;="&amp;AE1,'Checking Transaction Log'!$C:$C,"&lt;="&amp;AF1,'Checking Transaction Log'!$A:$A,"F",'Checking Transaction Log'!$B:$B,20)</f>
        <v>0</v>
      </c>
      <c r="AF25" s="282">
        <f t="shared" si="32"/>
        <v>600</v>
      </c>
    </row>
    <row r="26" spans="1:32" ht="11.25" customHeight="1" x14ac:dyDescent="0.3">
      <c r="A26" s="284" t="str">
        <f>'Proposed Budget'!A26</f>
        <v>F</v>
      </c>
      <c r="B26" s="255">
        <f>'Proposed Budget'!B26</f>
        <v>21</v>
      </c>
      <c r="C26" s="287" t="str">
        <f>'Proposed Budget'!C26</f>
        <v>Massage Envy</v>
      </c>
      <c r="D26" s="288">
        <f t="shared" ca="1" si="17"/>
        <v>89.964817177914099</v>
      </c>
      <c r="E26" s="289">
        <f t="shared" si="18"/>
        <v>482.05999999999995</v>
      </c>
      <c r="F26" s="289">
        <f t="shared" si="19"/>
        <v>-57.059999999999988</v>
      </c>
      <c r="G26" s="269">
        <f t="shared" si="20"/>
        <v>-0.13425882352941176</v>
      </c>
      <c r="H26" s="289">
        <f>'Proposed Budget'!D26</f>
        <v>85</v>
      </c>
      <c r="I26" s="270">
        <f>SUMIFS('Checking Transaction Log'!E:E,'Checking Transaction Log'!C:C,"&gt;="&amp;I1,'Checking Transaction Log'!C:C,"&lt;="&amp;J1,'Checking Transaction Log'!A:A,"F",'Checking Transaction Log'!B:B,21)</f>
        <v>100.79</v>
      </c>
      <c r="J26" s="270">
        <f t="shared" si="21"/>
        <v>-15.790000000000006</v>
      </c>
      <c r="K26" s="232">
        <f>SUMIFS('Checking Transaction Log'!E:E,'Checking Transaction Log'!C:C,"&gt;="&amp;K1,'Checking Transaction Log'!C:C,"&lt;="&amp;L1,'Checking Transaction Log'!A:A,"F",'Checking Transaction Log'!B:B,21)</f>
        <v>108.35</v>
      </c>
      <c r="L26" s="232">
        <f t="shared" si="22"/>
        <v>-23.349999999999994</v>
      </c>
      <c r="M26" s="273">
        <f>SUMIFS('Checking Transaction Log'!$E:$E,'Checking Transaction Log'!$C:$C,"&gt;="&amp;M1,'Checking Transaction Log'!$C:$C,"&lt;="&amp;N1,'Checking Transaction Log'!$A:$A,"F",'Checking Transaction Log'!$B:$B,21)</f>
        <v>116.32</v>
      </c>
      <c r="N26" s="273">
        <f t="shared" si="23"/>
        <v>-31.319999999999993</v>
      </c>
      <c r="O26" s="236">
        <f>SUMIFS('Checking Transaction Log'!$E:$E,'Checking Transaction Log'!$C:$C,"&gt;="&amp;O1,'Checking Transaction Log'!$C:$C,"&lt;="&amp;P1,'Checking Transaction Log'!$A:$A,"F",'Checking Transaction Log'!$B:$B,21)</f>
        <v>75.599999999999994</v>
      </c>
      <c r="P26" s="236">
        <f t="shared" si="24"/>
        <v>9.4000000000000057</v>
      </c>
      <c r="Q26" s="270">
        <f>SUMIFS('Checking Transaction Log'!$E:$E,'Checking Transaction Log'!$C:$C,"&gt;="&amp;Q1,'Checking Transaction Log'!$C:$C,"&lt;="&amp;R1,'Checking Transaction Log'!$A:$A,"F",'Checking Transaction Log'!$B:$B,21)</f>
        <v>81</v>
      </c>
      <c r="R26" s="270">
        <f t="shared" si="25"/>
        <v>4</v>
      </c>
      <c r="S26" s="232">
        <f>SUMIFS('Checking Transaction Log'!$E:$E,'Checking Transaction Log'!$C:$C,"&gt;="&amp;S1,'Checking Transaction Log'!$C:$C,"&lt;="&amp;T1,'Checking Transaction Log'!$A:$A,"F",'Checking Transaction Log'!$B:$B,21)</f>
        <v>0</v>
      </c>
      <c r="T26" s="232">
        <f t="shared" si="26"/>
        <v>85</v>
      </c>
      <c r="U26" s="273">
        <f>SUMIFS('Checking Transaction Log'!$E:$E,'Checking Transaction Log'!$C:$C,"&gt;="&amp;U1,'Checking Transaction Log'!$C:$C,"&lt;="&amp;V1,'Checking Transaction Log'!$A:$A,"F",'Checking Transaction Log'!$B:$B,21)</f>
        <v>0</v>
      </c>
      <c r="V26" s="273">
        <f t="shared" si="27"/>
        <v>85</v>
      </c>
      <c r="W26" s="236">
        <f>SUMIFS('Checking Transaction Log'!$E:$E,'Checking Transaction Log'!$C:$C,"&gt;="&amp;W1,'Checking Transaction Log'!$C:$C,"&lt;="&amp;X1,'Checking Transaction Log'!$A:$A,"F",'Checking Transaction Log'!$B:$B,21)</f>
        <v>0</v>
      </c>
      <c r="X26" s="236">
        <f t="shared" si="28"/>
        <v>85</v>
      </c>
      <c r="Y26" s="276">
        <f>SUMIFS('Checking Transaction Log'!$E:$E,'Checking Transaction Log'!$C:$C,"&gt;="&amp;Y1,'Checking Transaction Log'!$C:$C,"&lt;="&amp;Z1,'Checking Transaction Log'!$A:$A,"F",'Checking Transaction Log'!$B:$B,21)</f>
        <v>0</v>
      </c>
      <c r="Z26" s="276">
        <f t="shared" si="29"/>
        <v>85</v>
      </c>
      <c r="AA26" s="278">
        <f>SUMIFS('Checking Transaction Log'!$E:$E,'Checking Transaction Log'!$C:$C,"&gt;="&amp;AA1,'Checking Transaction Log'!$C:$C,"&lt;="&amp;AB1,'Checking Transaction Log'!$A:$A,"F",'Checking Transaction Log'!$B:$B,21)</f>
        <v>0</v>
      </c>
      <c r="AB26" s="278">
        <f t="shared" si="30"/>
        <v>85</v>
      </c>
      <c r="AC26" s="280">
        <f>SUMIFS('Checking Transaction Log'!$E:$E,'Checking Transaction Log'!$C:$C,"&gt;="&amp;AC1,'Checking Transaction Log'!$C:$C,"&lt;="&amp;AD1,'Checking Transaction Log'!$A:$A,"F",'Checking Transaction Log'!$B:$B,21)</f>
        <v>0</v>
      </c>
      <c r="AD26" s="280">
        <f t="shared" si="31"/>
        <v>85</v>
      </c>
      <c r="AE26" s="282">
        <f>SUMIFS('Checking Transaction Log'!$E:$E,'Checking Transaction Log'!$C:$C,"&gt;="&amp;AE1,'Checking Transaction Log'!$C:$C,"&lt;="&amp;AF1,'Checking Transaction Log'!$A:$A,"F",'Checking Transaction Log'!$B:$B,21)</f>
        <v>0</v>
      </c>
      <c r="AF26" s="282">
        <f t="shared" si="32"/>
        <v>85</v>
      </c>
    </row>
    <row r="27" spans="1:32" ht="11.25" customHeight="1" x14ac:dyDescent="0.3">
      <c r="A27" s="284" t="str">
        <f>'Proposed Budget'!A27</f>
        <v>F</v>
      </c>
      <c r="B27" s="255">
        <f>'Proposed Budget'!B27</f>
        <v>22</v>
      </c>
      <c r="C27" s="287" t="str">
        <f>'Proposed Budget'!C27</f>
        <v>Streaming/Music</v>
      </c>
      <c r="D27" s="288">
        <f t="shared" ca="1" si="17"/>
        <v>113.81745644171779</v>
      </c>
      <c r="E27" s="289">
        <f t="shared" si="18"/>
        <v>609.87</v>
      </c>
      <c r="F27" s="289">
        <f t="shared" si="19"/>
        <v>-64.129999999999981</v>
      </c>
      <c r="G27" s="269">
        <f t="shared" si="20"/>
        <v>-0.11751016967786865</v>
      </c>
      <c r="H27" s="289">
        <f>'Proposed Budget'!D27</f>
        <v>100</v>
      </c>
      <c r="I27" s="270">
        <f>SUMIFS('Checking Transaction Log'!E:E,'Checking Transaction Log'!C:C,"&gt;="&amp;I1,'Checking Transaction Log'!C:C,"&lt;="&amp;J1,'Checking Transaction Log'!A:A,"F",'Checking Transaction Log'!B:B,22)</f>
        <v>218.26999999999998</v>
      </c>
      <c r="J27" s="270">
        <f t="shared" si="21"/>
        <v>-118.26999999999998</v>
      </c>
      <c r="K27" s="232">
        <f>SUMIFS('Checking Transaction Log'!E:E,'Checking Transaction Log'!C:C,"&gt;="&amp;K1,'Checking Transaction Log'!C:C,"&lt;="&amp;L1,'Checking Transaction Log'!A:A,"F",'Checking Transaction Log'!B:B,22)</f>
        <v>67.05</v>
      </c>
      <c r="L27" s="232">
        <f t="shared" si="22"/>
        <v>32.950000000000003</v>
      </c>
      <c r="M27" s="273">
        <f>SUMIFS('Checking Transaction Log'!$E:$E,'Checking Transaction Log'!$C:$C,"&gt;="&amp;M1,'Checking Transaction Log'!$C:$C,"&lt;="&amp;N1,'Checking Transaction Log'!$A:$A,"F",'Checking Transaction Log'!$B:$B,22)</f>
        <v>79.819999999999993</v>
      </c>
      <c r="N27" s="273">
        <f t="shared" si="23"/>
        <v>20.180000000000007</v>
      </c>
      <c r="O27" s="236">
        <f>SUMIFS('Checking Transaction Log'!$E:$E,'Checking Transaction Log'!$C:$C,"&gt;="&amp;O1,'Checking Transaction Log'!$C:$C,"&lt;="&amp;P1,'Checking Transaction Log'!$A:$A,"F",'Checking Transaction Log'!$B:$B,22)</f>
        <v>76.62</v>
      </c>
      <c r="P27" s="236">
        <f t="shared" si="24"/>
        <v>23.379999999999995</v>
      </c>
      <c r="Q27" s="270">
        <f>SUMIFS('Checking Transaction Log'!$E:$E,'Checking Transaction Log'!$C:$C,"&gt;="&amp;Q1,'Checking Transaction Log'!$C:$C,"&lt;="&amp;R1,'Checking Transaction Log'!$A:$A,"F",'Checking Transaction Log'!$B:$B,22)</f>
        <v>122.37</v>
      </c>
      <c r="R27" s="270">
        <f t="shared" si="25"/>
        <v>-22.370000000000005</v>
      </c>
      <c r="S27" s="232">
        <f>SUMIFS('Checking Transaction Log'!$E:$E,'Checking Transaction Log'!$C:$C,"&gt;="&amp;S1,'Checking Transaction Log'!$C:$C,"&lt;="&amp;T1,'Checking Transaction Log'!$A:$A,"F",'Checking Transaction Log'!$B:$B,22)</f>
        <v>45.739999999999995</v>
      </c>
      <c r="T27" s="232">
        <f t="shared" si="26"/>
        <v>54.260000000000005</v>
      </c>
      <c r="U27" s="273">
        <f>SUMIFS('Checking Transaction Log'!$E:$E,'Checking Transaction Log'!$C:$C,"&gt;="&amp;U1,'Checking Transaction Log'!$C:$C,"&lt;="&amp;V1,'Checking Transaction Log'!$A:$A,"F",'Checking Transaction Log'!$B:$B,22)</f>
        <v>0</v>
      </c>
      <c r="V27" s="273">
        <f t="shared" si="27"/>
        <v>100</v>
      </c>
      <c r="W27" s="236">
        <f>SUMIFS('Checking Transaction Log'!$E:$E,'Checking Transaction Log'!$C:$C,"&gt;="&amp;W1,'Checking Transaction Log'!$C:$C,"&lt;="&amp;X1,'Checking Transaction Log'!$A:$A,"F",'Checking Transaction Log'!$B:$B,22)</f>
        <v>0</v>
      </c>
      <c r="X27" s="236">
        <f t="shared" si="28"/>
        <v>100</v>
      </c>
      <c r="Y27" s="276">
        <f>SUMIFS('Checking Transaction Log'!$E:$E,'Checking Transaction Log'!$C:$C,"&gt;="&amp;Y1,'Checking Transaction Log'!$C:$C,"&lt;="&amp;Z1,'Checking Transaction Log'!$A:$A,"F",'Checking Transaction Log'!$B:$B,22)</f>
        <v>0</v>
      </c>
      <c r="Z27" s="276">
        <f t="shared" si="29"/>
        <v>100</v>
      </c>
      <c r="AA27" s="278">
        <f>SUMIFS('Checking Transaction Log'!$E:$E,'Checking Transaction Log'!$C:$C,"&gt;="&amp;AA1,'Checking Transaction Log'!$C:$C,"&lt;="&amp;AB1,'Checking Transaction Log'!$A:$A,"F",'Checking Transaction Log'!$B:$B,22)</f>
        <v>0</v>
      </c>
      <c r="AB27" s="278">
        <f t="shared" si="30"/>
        <v>100</v>
      </c>
      <c r="AC27" s="280">
        <f>SUMIFS('Checking Transaction Log'!$E:$E,'Checking Transaction Log'!$C:$C,"&gt;="&amp;AC1,'Checking Transaction Log'!$C:$C,"&lt;="&amp;AD1,'Checking Transaction Log'!$A:$A,"F",'Checking Transaction Log'!$B:$B,22)</f>
        <v>0</v>
      </c>
      <c r="AD27" s="280">
        <f t="shared" si="31"/>
        <v>100</v>
      </c>
      <c r="AE27" s="282">
        <f>SUMIFS('Checking Transaction Log'!$E:$E,'Checking Transaction Log'!$C:$C,"&gt;="&amp;AE1,'Checking Transaction Log'!$C:$C,"&lt;="&amp;AF1,'Checking Transaction Log'!$A:$A,"F",'Checking Transaction Log'!$B:$B,22)</f>
        <v>0</v>
      </c>
      <c r="AF27" s="282">
        <f t="shared" si="32"/>
        <v>100</v>
      </c>
    </row>
    <row r="28" spans="1:32" ht="11.25" customHeight="1" x14ac:dyDescent="0.3">
      <c r="A28" s="284" t="str">
        <f>'Proposed Budget'!A28</f>
        <v>F</v>
      </c>
      <c r="B28" s="255">
        <f>'Proposed Budget'!B28</f>
        <v>23</v>
      </c>
      <c r="C28" s="287" t="str">
        <f>'Proposed Budget'!C28</f>
        <v>GM Financial/Toyota</v>
      </c>
      <c r="D28" s="288">
        <f t="shared" ca="1" si="17"/>
        <v>1213.3586208588961</v>
      </c>
      <c r="E28" s="289">
        <f t="shared" si="18"/>
        <v>6501.5600000000013</v>
      </c>
      <c r="F28" s="289">
        <f t="shared" si="19"/>
        <v>98.299999999999272</v>
      </c>
      <c r="G28" s="269">
        <f t="shared" si="20"/>
        <v>1.4894255332688733E-2</v>
      </c>
      <c r="H28" s="289">
        <f>'Proposed Budget'!D28</f>
        <v>1200</v>
      </c>
      <c r="I28" s="270">
        <f>SUMIFS('Checking Transaction Log'!E:E,'Checking Transaction Log'!C:C,"&gt;="&amp;I1,'Checking Transaction Log'!C:C,"&lt;="&amp;J1,'Checking Transaction Log'!A:A,"F",'Checking Transaction Log'!B:B,23)</f>
        <v>1180.3400000000001</v>
      </c>
      <c r="J28" s="270">
        <f t="shared" si="21"/>
        <v>19.659999999999854</v>
      </c>
      <c r="K28" s="232">
        <f>SUMIFS('Checking Transaction Log'!E:E,'Checking Transaction Log'!C:C,"&gt;="&amp;K1,'Checking Transaction Log'!C:C,"&lt;="&amp;L1,'Checking Transaction Log'!A:A,"F",'Checking Transaction Log'!B:B,23)</f>
        <v>1180.3400000000001</v>
      </c>
      <c r="L28" s="232">
        <f t="shared" si="22"/>
        <v>19.659999999999854</v>
      </c>
      <c r="M28" s="273">
        <f>SUMIFS('Checking Transaction Log'!$E:$E,'Checking Transaction Log'!$C:$C,"&gt;="&amp;M1,'Checking Transaction Log'!$C:$C,"&lt;="&amp;N1,'Checking Transaction Log'!$A:$A,"F",'Checking Transaction Log'!$B:$B,23)</f>
        <v>1180.3400000000001</v>
      </c>
      <c r="N28" s="273">
        <f t="shared" si="23"/>
        <v>19.659999999999854</v>
      </c>
      <c r="O28" s="236">
        <f>SUMIFS('Checking Transaction Log'!$E:$E,'Checking Transaction Log'!$C:$C,"&gt;="&amp;O1,'Checking Transaction Log'!$C:$C,"&lt;="&amp;P1,'Checking Transaction Log'!$A:$A,"F",'Checking Transaction Log'!$B:$B,23)</f>
        <v>1180.3400000000001</v>
      </c>
      <c r="P28" s="236">
        <f t="shared" si="24"/>
        <v>19.659999999999854</v>
      </c>
      <c r="Q28" s="270">
        <f>SUMIFS('Checking Transaction Log'!$E:$E,'Checking Transaction Log'!$C:$C,"&gt;="&amp;Q1,'Checking Transaction Log'!$C:$C,"&lt;="&amp;R1,'Checking Transaction Log'!$A:$A,"F",'Checking Transaction Log'!$B:$B,23)</f>
        <v>1180.3400000000001</v>
      </c>
      <c r="R28" s="270">
        <f t="shared" si="25"/>
        <v>19.659999999999854</v>
      </c>
      <c r="S28" s="232">
        <f>SUMIFS('Checking Transaction Log'!$E:$E,'Checking Transaction Log'!$C:$C,"&gt;="&amp;S1,'Checking Transaction Log'!$C:$C,"&lt;="&amp;T1,'Checking Transaction Log'!$A:$A,"F",'Checking Transaction Log'!$B:$B,23)</f>
        <v>599.86</v>
      </c>
      <c r="T28" s="232">
        <f t="shared" si="26"/>
        <v>600.14</v>
      </c>
      <c r="U28" s="273">
        <f>SUMIFS('Checking Transaction Log'!$E:$E,'Checking Transaction Log'!$C:$C,"&gt;="&amp;U1,'Checking Transaction Log'!$C:$C,"&lt;="&amp;V1,'Checking Transaction Log'!$A:$A,"F",'Checking Transaction Log'!$B:$B,23)</f>
        <v>0</v>
      </c>
      <c r="V28" s="273">
        <f t="shared" si="27"/>
        <v>1200</v>
      </c>
      <c r="W28" s="236">
        <f>SUMIFS('Checking Transaction Log'!$E:$E,'Checking Transaction Log'!$C:$C,"&gt;="&amp;W1,'Checking Transaction Log'!$C:$C,"&lt;="&amp;X1,'Checking Transaction Log'!$A:$A,"F",'Checking Transaction Log'!$B:$B,23)</f>
        <v>0</v>
      </c>
      <c r="X28" s="236">
        <f t="shared" si="28"/>
        <v>1200</v>
      </c>
      <c r="Y28" s="276">
        <f>SUMIFS('Checking Transaction Log'!$E:$E,'Checking Transaction Log'!$C:$C,"&gt;="&amp;Y1,'Checking Transaction Log'!$C:$C,"&lt;="&amp;Z1,'Checking Transaction Log'!$A:$A,"F",'Checking Transaction Log'!$B:$B,23)</f>
        <v>0</v>
      </c>
      <c r="Z28" s="276">
        <f t="shared" si="29"/>
        <v>1200</v>
      </c>
      <c r="AA28" s="278">
        <f>SUMIFS('Checking Transaction Log'!$E:$E,'Checking Transaction Log'!$C:$C,"&gt;="&amp;AA1,'Checking Transaction Log'!$C:$C,"&lt;="&amp;AB1,'Checking Transaction Log'!$A:$A,"F",'Checking Transaction Log'!$B:$B,23)</f>
        <v>0</v>
      </c>
      <c r="AB28" s="278">
        <f t="shared" si="30"/>
        <v>1200</v>
      </c>
      <c r="AC28" s="280">
        <f>SUMIFS('Checking Transaction Log'!$E:$E,'Checking Transaction Log'!$C:$C,"&gt;="&amp;AC1,'Checking Transaction Log'!$C:$C,"&lt;="&amp;AD1,'Checking Transaction Log'!$A:$A,"F",'Checking Transaction Log'!$B:$B,23)</f>
        <v>0</v>
      </c>
      <c r="AD28" s="280">
        <f t="shared" si="31"/>
        <v>1200</v>
      </c>
      <c r="AE28" s="282">
        <f>SUMIFS('Checking Transaction Log'!$E:$E,'Checking Transaction Log'!$C:$C,"&gt;="&amp;AE1,'Checking Transaction Log'!$C:$C,"&lt;="&amp;AF1,'Checking Transaction Log'!$A:$A,"F",'Checking Transaction Log'!$B:$B,23)</f>
        <v>0</v>
      </c>
      <c r="AF28" s="282">
        <f t="shared" si="32"/>
        <v>1200</v>
      </c>
    </row>
    <row r="29" spans="1:32" ht="11.25" customHeight="1" x14ac:dyDescent="0.3">
      <c r="A29" s="284" t="str">
        <f>'Proposed Budget'!A29</f>
        <v>F</v>
      </c>
      <c r="B29" s="255">
        <f>'Proposed Budget'!B29</f>
        <v>24</v>
      </c>
      <c r="C29" s="287" t="str">
        <f>'Proposed Budget'!C29</f>
        <v>Ohio Turnpike</v>
      </c>
      <c r="D29" s="288">
        <f t="shared" ca="1" si="17"/>
        <v>103.32722208588956</v>
      </c>
      <c r="E29" s="289">
        <f t="shared" si="18"/>
        <v>553.66</v>
      </c>
      <c r="F29" s="289">
        <f t="shared" si="19"/>
        <v>46.34</v>
      </c>
      <c r="G29" s="269">
        <f t="shared" si="20"/>
        <v>7.7233333333333376E-2</v>
      </c>
      <c r="H29" s="289">
        <f>'Proposed Budget'!D29</f>
        <v>120</v>
      </c>
      <c r="I29" s="270">
        <f>SUMIFS('Checking Transaction Log'!E:E,'Checking Transaction Log'!C:C,"&gt;="&amp;I1,'Checking Transaction Log'!C:C,"&lt;="&amp;J1,'Checking Transaction Log'!A:A,"F",'Checking Transaction Log'!B:B,24)</f>
        <v>83.42</v>
      </c>
      <c r="J29" s="270">
        <f t="shared" si="21"/>
        <v>36.58</v>
      </c>
      <c r="K29" s="232">
        <f>SUMIFS('Checking Transaction Log'!E:E,'Checking Transaction Log'!C:C,"&gt;="&amp;K1,'Checking Transaction Log'!C:C,"&lt;="&amp;L1,'Checking Transaction Log'!A:A,"F",'Checking Transaction Log'!B:B,24)</f>
        <v>168.41</v>
      </c>
      <c r="L29" s="232">
        <f t="shared" si="22"/>
        <v>-48.41</v>
      </c>
      <c r="M29" s="273">
        <f>SUMIFS('Checking Transaction Log'!$E:$E,'Checking Transaction Log'!$C:$C,"&gt;="&amp;M1,'Checking Transaction Log'!$C:$C,"&lt;="&amp;N1,'Checking Transaction Log'!$A:$A,"F",'Checking Transaction Log'!$B:$B,24)</f>
        <v>86.58</v>
      </c>
      <c r="N29" s="273">
        <f t="shared" si="23"/>
        <v>33.42</v>
      </c>
      <c r="O29" s="236">
        <f>SUMIFS('Checking Transaction Log'!$E:$E,'Checking Transaction Log'!$C:$C,"&gt;="&amp;O1,'Checking Transaction Log'!$C:$C,"&lt;="&amp;P1,'Checking Transaction Log'!$A:$A,"F",'Checking Transaction Log'!$B:$B,24)</f>
        <v>105.33</v>
      </c>
      <c r="P29" s="236">
        <f t="shared" si="24"/>
        <v>14.670000000000002</v>
      </c>
      <c r="Q29" s="270">
        <f>SUMIFS('Checking Transaction Log'!$E:$E,'Checking Transaction Log'!$C:$C,"&gt;="&amp;Q1,'Checking Transaction Log'!$C:$C,"&lt;="&amp;R1,'Checking Transaction Log'!$A:$A,"F",'Checking Transaction Log'!$B:$B,24)</f>
        <v>109.92</v>
      </c>
      <c r="R29" s="270">
        <f t="shared" si="25"/>
        <v>10.079999999999998</v>
      </c>
      <c r="S29" s="232">
        <f>SUMIFS('Checking Transaction Log'!$E:$E,'Checking Transaction Log'!$C:$C,"&gt;="&amp;S1,'Checking Transaction Log'!$C:$C,"&lt;="&amp;T1,'Checking Transaction Log'!$A:$A,"F",'Checking Transaction Log'!$B:$B,24)</f>
        <v>0</v>
      </c>
      <c r="T29" s="232">
        <f t="shared" si="26"/>
        <v>120</v>
      </c>
      <c r="U29" s="273">
        <f>SUMIFS('Checking Transaction Log'!$E:$E,'Checking Transaction Log'!$C:$C,"&gt;="&amp;U1,'Checking Transaction Log'!$C:$C,"&lt;="&amp;V1,'Checking Transaction Log'!$A:$A,"F",'Checking Transaction Log'!$B:$B,24)</f>
        <v>0</v>
      </c>
      <c r="V29" s="273">
        <f t="shared" si="27"/>
        <v>120</v>
      </c>
      <c r="W29" s="236">
        <f>SUMIFS('Checking Transaction Log'!$E:$E,'Checking Transaction Log'!$C:$C,"&gt;="&amp;W1,'Checking Transaction Log'!$C:$C,"&lt;="&amp;X1,'Checking Transaction Log'!$A:$A,"F",'Checking Transaction Log'!$B:$B,24)</f>
        <v>0</v>
      </c>
      <c r="X29" s="236">
        <f t="shared" si="28"/>
        <v>120</v>
      </c>
      <c r="Y29" s="276">
        <f>SUMIFS('Checking Transaction Log'!$E:$E,'Checking Transaction Log'!$C:$C,"&gt;="&amp;Y1,'Checking Transaction Log'!$C:$C,"&lt;="&amp;Z1,'Checking Transaction Log'!$A:$A,"F",'Checking Transaction Log'!$B:$B,24)</f>
        <v>0</v>
      </c>
      <c r="Z29" s="276">
        <f t="shared" si="29"/>
        <v>120</v>
      </c>
      <c r="AA29" s="278">
        <f>SUMIFS('Checking Transaction Log'!$E:$E,'Checking Transaction Log'!$C:$C,"&gt;="&amp;AA1,'Checking Transaction Log'!$C:$C,"&lt;="&amp;AB1,'Checking Transaction Log'!$A:$A,"F",'Checking Transaction Log'!$B:$B,24)</f>
        <v>0</v>
      </c>
      <c r="AB29" s="278">
        <f t="shared" si="30"/>
        <v>120</v>
      </c>
      <c r="AC29" s="280">
        <f>SUMIFS('Checking Transaction Log'!$E:$E,'Checking Transaction Log'!$C:$C,"&gt;="&amp;AC1,'Checking Transaction Log'!$C:$C,"&lt;="&amp;AD1,'Checking Transaction Log'!$A:$A,"F",'Checking Transaction Log'!$B:$B,24)</f>
        <v>0</v>
      </c>
      <c r="AD29" s="280">
        <f t="shared" si="31"/>
        <v>120</v>
      </c>
      <c r="AE29" s="282">
        <f>SUMIFS('Checking Transaction Log'!$E:$E,'Checking Transaction Log'!$C:$C,"&gt;="&amp;AE1,'Checking Transaction Log'!$C:$C,"&lt;="&amp;AF1,'Checking Transaction Log'!$A:$A,"F",'Checking Transaction Log'!$B:$B,24)</f>
        <v>0</v>
      </c>
      <c r="AF29" s="282">
        <f t="shared" si="32"/>
        <v>120</v>
      </c>
    </row>
    <row r="30" spans="1:32" ht="11.25" customHeight="1" x14ac:dyDescent="0.3">
      <c r="A30" s="284" t="str">
        <f>'Proposed Budget'!A30</f>
        <v>F</v>
      </c>
      <c r="B30" s="255">
        <f>'Proposed Budget'!B30</f>
        <v>42</v>
      </c>
      <c r="C30" s="287" t="str">
        <f>'Proposed Budget'!C30</f>
        <v>Water Bill - Main</v>
      </c>
      <c r="D30" s="288">
        <f t="shared" ca="1" si="17"/>
        <v>81.101959509202459</v>
      </c>
      <c r="E30" s="289">
        <f t="shared" si="18"/>
        <v>434.57</v>
      </c>
      <c r="F30" s="289">
        <f t="shared" si="19"/>
        <v>-59.569999999999993</v>
      </c>
      <c r="G30" s="269">
        <f t="shared" si="20"/>
        <v>-0.15885333333333329</v>
      </c>
      <c r="H30" s="289">
        <f>'Proposed Budget'!D30</f>
        <v>75</v>
      </c>
      <c r="I30" s="270">
        <f>SUMIFS('Checking Transaction Log'!E:E,'Checking Transaction Log'!C:C,"&gt;="&amp;I1,'Checking Transaction Log'!C:C,"&lt;="&amp;J1,'Checking Transaction Log'!A:A,"F",'Checking Transaction Log'!B:B,42)</f>
        <v>80.989999999999995</v>
      </c>
      <c r="J30" s="270">
        <f t="shared" si="21"/>
        <v>-5.9899999999999949</v>
      </c>
      <c r="K30" s="232">
        <f>SUMIFS('Checking Transaction Log'!E:E,'Checking Transaction Log'!C:C,"&gt;="&amp;K1,'Checking Transaction Log'!C:C,"&lt;="&amp;L1,'Checking Transaction Log'!A:A,"F",'Checking Transaction Log'!B:B,42)</f>
        <v>88.44</v>
      </c>
      <c r="L30" s="232">
        <f t="shared" si="22"/>
        <v>-13.439999999999998</v>
      </c>
      <c r="M30" s="273">
        <f>SUMIFS('Checking Transaction Log'!$E:$E,'Checking Transaction Log'!$C:$C,"&gt;="&amp;M1,'Checking Transaction Log'!$C:$C,"&lt;="&amp;N1,'Checking Transaction Log'!$A:$A,"F",'Checking Transaction Log'!$B:$B,42)</f>
        <v>96.25</v>
      </c>
      <c r="N30" s="273">
        <f t="shared" si="23"/>
        <v>-21.25</v>
      </c>
      <c r="O30" s="236">
        <f>SUMIFS('Checking Transaction Log'!$E:$E,'Checking Transaction Log'!$C:$C,"&gt;="&amp;O1,'Checking Transaction Log'!$C:$C,"&lt;="&amp;P1,'Checking Transaction Log'!$A:$A,"F",'Checking Transaction Log'!$B:$B,42)</f>
        <v>88.17</v>
      </c>
      <c r="P30" s="236">
        <f t="shared" si="24"/>
        <v>-13.170000000000002</v>
      </c>
      <c r="Q30" s="270">
        <f>SUMIFS('Checking Transaction Log'!$E:$E,'Checking Transaction Log'!$C:$C,"&gt;="&amp;Q1,'Checking Transaction Log'!$C:$C,"&lt;="&amp;R1,'Checking Transaction Log'!$A:$A,"F",'Checking Transaction Log'!$B:$B,42)</f>
        <v>80.72</v>
      </c>
      <c r="R30" s="270">
        <f t="shared" si="25"/>
        <v>-5.7199999999999989</v>
      </c>
      <c r="S30" s="232">
        <f>SUMIFS('Checking Transaction Log'!$E:$E,'Checking Transaction Log'!$C:$C,"&gt;="&amp;S1,'Checking Transaction Log'!$C:$C,"&lt;="&amp;T1,'Checking Transaction Log'!$A:$A,"F",'Checking Transaction Log'!$B:$B,42)</f>
        <v>0</v>
      </c>
      <c r="T30" s="232">
        <f t="shared" si="26"/>
        <v>75</v>
      </c>
      <c r="U30" s="273">
        <f>SUMIFS('Checking Transaction Log'!$E:$E,'Checking Transaction Log'!$C:$C,"&gt;="&amp;U1,'Checking Transaction Log'!$C:$C,"&lt;="&amp;V1,'Checking Transaction Log'!$A:$A,"F",'Checking Transaction Log'!$B:$B,42)</f>
        <v>0</v>
      </c>
      <c r="V30" s="273">
        <f t="shared" si="27"/>
        <v>75</v>
      </c>
      <c r="W30" s="236">
        <f>SUMIFS('Checking Transaction Log'!$E:$E,'Checking Transaction Log'!$C:$C,"&gt;="&amp;W1,'Checking Transaction Log'!$C:$C,"&lt;="&amp;X1,'Checking Transaction Log'!$A:$A,"F",'Checking Transaction Log'!$B:$B,42)</f>
        <v>0</v>
      </c>
      <c r="X30" s="236">
        <f t="shared" si="28"/>
        <v>75</v>
      </c>
      <c r="Y30" s="276">
        <f>SUMIFS('Checking Transaction Log'!$E:$E,'Checking Transaction Log'!$C:$C,"&gt;="&amp;Y1,'Checking Transaction Log'!$C:$C,"&lt;="&amp;Z1,'Checking Transaction Log'!$A:$A,"F",'Checking Transaction Log'!$B:$B,42)</f>
        <v>0</v>
      </c>
      <c r="Z30" s="276">
        <f t="shared" si="29"/>
        <v>75</v>
      </c>
      <c r="AA30" s="278">
        <f>SUMIFS('Checking Transaction Log'!$E:$E,'Checking Transaction Log'!$C:$C,"&gt;="&amp;AA1,'Checking Transaction Log'!$C:$C,"&lt;="&amp;AB1,'Checking Transaction Log'!$A:$A,"F",'Checking Transaction Log'!$B:$B,42)</f>
        <v>0</v>
      </c>
      <c r="AB30" s="278">
        <f t="shared" si="30"/>
        <v>75</v>
      </c>
      <c r="AC30" s="280">
        <f>SUMIFS('Checking Transaction Log'!$E:$E,'Checking Transaction Log'!$C:$C,"&gt;="&amp;AC1,'Checking Transaction Log'!$C:$C,"&lt;="&amp;AD1,'Checking Transaction Log'!$A:$A,"F",'Checking Transaction Log'!$B:$B,42)</f>
        <v>0</v>
      </c>
      <c r="AD30" s="280">
        <f t="shared" si="31"/>
        <v>75</v>
      </c>
      <c r="AE30" s="282">
        <f>SUMIFS('Checking Transaction Log'!$E:$E,'Checking Transaction Log'!$C:$C,"&gt;="&amp;AE1,'Checking Transaction Log'!$C:$C,"&lt;="&amp;AF1,'Checking Transaction Log'!$A:$A,"F",'Checking Transaction Log'!$B:$B,42)</f>
        <v>0</v>
      </c>
      <c r="AF30" s="282">
        <f t="shared" si="32"/>
        <v>75</v>
      </c>
    </row>
    <row r="31" spans="1:32" ht="11.25" customHeight="1" x14ac:dyDescent="0.3">
      <c r="A31" s="284" t="str">
        <f>'Proposed Budget'!A31</f>
        <v>F</v>
      </c>
      <c r="B31" s="255">
        <f>'Proposed Budget'!B31</f>
        <v>43</v>
      </c>
      <c r="C31" s="287" t="str">
        <f>'Proposed Budget'!C31</f>
        <v>Water Bill - Rental</v>
      </c>
      <c r="D31" s="288">
        <f t="shared" ca="1" si="17"/>
        <v>62.92087730061349</v>
      </c>
      <c r="E31" s="289">
        <f t="shared" si="18"/>
        <v>337.15</v>
      </c>
      <c r="F31" s="289">
        <f t="shared" si="19"/>
        <v>37.849999999999994</v>
      </c>
      <c r="G31" s="269">
        <f t="shared" si="20"/>
        <v>0.10093333333333343</v>
      </c>
      <c r="H31" s="289">
        <f>'Proposed Budget'!D31</f>
        <v>75</v>
      </c>
      <c r="I31" s="270">
        <f>SUMIFS('Checking Transaction Log'!E:E,'Checking Transaction Log'!C:C,"&gt;="&amp;I1,'Checking Transaction Log'!C:C,"&lt;="&amp;J1,'Checking Transaction Log'!A:A,"F",'Checking Transaction Log'!B:B,43)</f>
        <v>66.53</v>
      </c>
      <c r="J31" s="270">
        <f t="shared" si="21"/>
        <v>8.4699999999999989</v>
      </c>
      <c r="K31" s="232">
        <f>SUMIFS('Checking Transaction Log'!E:E,'Checking Transaction Log'!C:C,"&gt;="&amp;K1,'Checking Transaction Log'!C:C,"&lt;="&amp;L1,'Checking Transaction Log'!A:A,"F",'Checking Transaction Log'!B:B,43)</f>
        <v>66.97</v>
      </c>
      <c r="L31" s="232">
        <f t="shared" si="22"/>
        <v>8.0300000000000011</v>
      </c>
      <c r="M31" s="273">
        <f>SUMIFS('Checking Transaction Log'!$E:$E,'Checking Transaction Log'!$C:$C,"&gt;="&amp;M1,'Checking Transaction Log'!$C:$C,"&lt;="&amp;N1,'Checking Transaction Log'!$A:$A,"F",'Checking Transaction Log'!$B:$B,43)</f>
        <v>65.19</v>
      </c>
      <c r="N31" s="273">
        <f t="shared" si="23"/>
        <v>9.8100000000000023</v>
      </c>
      <c r="O31" s="236">
        <f>SUMIFS('Checking Transaction Log'!$E:$E,'Checking Transaction Log'!$C:$C,"&gt;="&amp;O1,'Checking Transaction Log'!$C:$C,"&lt;="&amp;P1,'Checking Transaction Log'!$A:$A,"F",'Checking Transaction Log'!$B:$B,43)</f>
        <v>73.27000000000001</v>
      </c>
      <c r="P31" s="236">
        <f t="shared" si="24"/>
        <v>1.7299999999999898</v>
      </c>
      <c r="Q31" s="270">
        <f>SUMIFS('Checking Transaction Log'!$E:$E,'Checking Transaction Log'!$C:$C,"&gt;="&amp;Q1,'Checking Transaction Log'!$C:$C,"&lt;="&amp;R1,'Checking Transaction Log'!$A:$A,"F",'Checking Transaction Log'!$B:$B,43)</f>
        <v>65.19</v>
      </c>
      <c r="R31" s="270">
        <f t="shared" si="25"/>
        <v>9.8100000000000023</v>
      </c>
      <c r="S31" s="232">
        <f>SUMIFS('Checking Transaction Log'!$E:$E,'Checking Transaction Log'!$C:$C,"&gt;="&amp;S1,'Checking Transaction Log'!$C:$C,"&lt;="&amp;T1,'Checking Transaction Log'!$A:$A,"F",'Checking Transaction Log'!$B:$B,43)</f>
        <v>0</v>
      </c>
      <c r="T31" s="232">
        <f t="shared" si="26"/>
        <v>75</v>
      </c>
      <c r="U31" s="273">
        <f>SUMIFS('Checking Transaction Log'!$E:$E,'Checking Transaction Log'!$C:$C,"&gt;="&amp;U1,'Checking Transaction Log'!$C:$C,"&lt;="&amp;V1,'Checking Transaction Log'!$A:$A,"F",'Checking Transaction Log'!$B:$B,43)</f>
        <v>0</v>
      </c>
      <c r="V31" s="273">
        <f t="shared" si="27"/>
        <v>75</v>
      </c>
      <c r="W31" s="236">
        <f>SUMIFS('Checking Transaction Log'!$E:$E,'Checking Transaction Log'!$C:$C,"&gt;="&amp;W1,'Checking Transaction Log'!$C:$C,"&lt;="&amp;X1,'Checking Transaction Log'!$A:$A,"F",'Checking Transaction Log'!$B:$B,43)</f>
        <v>0</v>
      </c>
      <c r="X31" s="236">
        <f t="shared" si="28"/>
        <v>75</v>
      </c>
      <c r="Y31" s="276">
        <f>SUMIFS('Checking Transaction Log'!$E:$E,'Checking Transaction Log'!$C:$C,"&gt;="&amp;Y1,'Checking Transaction Log'!$C:$C,"&lt;="&amp;Z1,'Checking Transaction Log'!$A:$A,"F",'Checking Transaction Log'!$B:$B,43)</f>
        <v>0</v>
      </c>
      <c r="Z31" s="276">
        <f t="shared" si="29"/>
        <v>75</v>
      </c>
      <c r="AA31" s="278">
        <f>SUMIFS('Checking Transaction Log'!$E:$E,'Checking Transaction Log'!$C:$C,"&gt;="&amp;AA1,'Checking Transaction Log'!$C:$C,"&lt;="&amp;AB1,'Checking Transaction Log'!$A:$A,"F",'Checking Transaction Log'!$B:$B,43)</f>
        <v>0</v>
      </c>
      <c r="AB31" s="278">
        <f t="shared" si="30"/>
        <v>75</v>
      </c>
      <c r="AC31" s="280">
        <f>SUMIFS('Checking Transaction Log'!$E:$E,'Checking Transaction Log'!$C:$C,"&gt;="&amp;AC1,'Checking Transaction Log'!$C:$C,"&lt;="&amp;AD1,'Checking Transaction Log'!$A:$A,"F",'Checking Transaction Log'!$B:$B,43)</f>
        <v>0</v>
      </c>
      <c r="AD31" s="280">
        <f t="shared" si="31"/>
        <v>75</v>
      </c>
      <c r="AE31" s="282">
        <f>SUMIFS('Checking Transaction Log'!$E:$E,'Checking Transaction Log'!$C:$C,"&gt;="&amp;AE1,'Checking Transaction Log'!$C:$C,"&lt;="&amp;AF1,'Checking Transaction Log'!$A:$A,"F",'Checking Transaction Log'!$B:$B,43)</f>
        <v>0</v>
      </c>
      <c r="AF31" s="282">
        <f t="shared" si="32"/>
        <v>75</v>
      </c>
    </row>
    <row r="32" spans="1:32" ht="15" customHeight="1" x14ac:dyDescent="0.3">
      <c r="D32" s="39"/>
    </row>
    <row r="33" spans="1:32" ht="11.25" customHeight="1" x14ac:dyDescent="0.3">
      <c r="A33" s="284" t="str">
        <f>'Proposed Budget'!A33</f>
        <v>R</v>
      </c>
      <c r="B33" s="255">
        <f>'Proposed Budget'!B33</f>
        <v>25</v>
      </c>
      <c r="C33" s="287" t="str">
        <f>'Proposed Budget'!C33</f>
        <v>Vehicle Maintenance</v>
      </c>
      <c r="D33" s="288">
        <f t="shared" ref="D33:D43" ca="1" si="33">(E33/(TODAY()-$I$1))*30.42</f>
        <v>326.59509202453989</v>
      </c>
      <c r="E33" s="289">
        <f t="shared" ref="E33:E43" si="34">Q33+S33+U33+W33+Y33+AA33+AC33+AE33+I33+K33+M33+O33</f>
        <v>1750</v>
      </c>
      <c r="F33" s="289">
        <f t="shared" ref="F33:F43" si="35">J33+L33+N33+P33+R33</f>
        <v>0</v>
      </c>
      <c r="G33" s="269">
        <f t="shared" ref="G33:G43" si="36">1-((E33/SUM(E33:F33)))</f>
        <v>0</v>
      </c>
      <c r="H33" s="289">
        <f>'Proposed Budget'!D33</f>
        <v>350</v>
      </c>
      <c r="I33" s="270">
        <f>SUMIFS('Checking Transaction Log'!$E:$E,'Checking Transaction Log'!$C:$C,"&gt;="&amp;I1,'Checking Transaction Log'!$C:$C,"&lt;="&amp;J1,'Checking Transaction Log'!$A:$A,"R",'Checking Transaction Log'!$B:$B,25)</f>
        <v>350</v>
      </c>
      <c r="J33" s="270">
        <f t="shared" ref="J33:J43" si="37">H33-I33</f>
        <v>0</v>
      </c>
      <c r="K33" s="232">
        <f>SUMIFS('Checking Transaction Log'!$E:$E,'Checking Transaction Log'!$C:$C,"&gt;="&amp;K1,'Checking Transaction Log'!$C:$C,"&lt;="&amp;L1,'Checking Transaction Log'!$A:$A,"R",'Checking Transaction Log'!$B:$B,25)</f>
        <v>350</v>
      </c>
      <c r="L33" s="232">
        <f t="shared" ref="L33:L43" si="38">H33-K33</f>
        <v>0</v>
      </c>
      <c r="M33" s="273">
        <f>SUMIFS('Checking Transaction Log'!$E:$E,'Checking Transaction Log'!$C:$C,"&gt;="&amp;M1,'Checking Transaction Log'!$C:$C,"&lt;="&amp;N1,'Checking Transaction Log'!$A:$A,"R",'Checking Transaction Log'!$B:$B,25)</f>
        <v>350</v>
      </c>
      <c r="N33" s="273">
        <f t="shared" ref="N33:N43" si="39">H33-M33</f>
        <v>0</v>
      </c>
      <c r="O33" s="236">
        <f>SUMIFS('Checking Transaction Log'!$E:$E,'Checking Transaction Log'!$C:$C,"&gt;="&amp;O1,'Checking Transaction Log'!$C:$C,"&lt;="&amp;P1,'Checking Transaction Log'!$A:$A,"R",'Checking Transaction Log'!$B:$B,25)</f>
        <v>350</v>
      </c>
      <c r="P33" s="236">
        <f t="shared" ref="P33:P43" si="40">H33-O33</f>
        <v>0</v>
      </c>
      <c r="Q33" s="270">
        <f>SUMIFS('Checking Transaction Log'!$E:$E,'Checking Transaction Log'!$C:$C,"&gt;="&amp;Q1,'Checking Transaction Log'!$C:$C,"&lt;="&amp;R1,'Checking Transaction Log'!$A:$A,"R",'Checking Transaction Log'!$B:$B,25)</f>
        <v>350</v>
      </c>
      <c r="R33" s="270">
        <f t="shared" ref="R33:R43" si="41">H33-Q33</f>
        <v>0</v>
      </c>
      <c r="S33" s="232">
        <f>SUMIFS('Checking Transaction Log'!$E:$E,'Checking Transaction Log'!$C:$C,"&gt;="&amp;S1,'Checking Transaction Log'!$C:$C,"&lt;="&amp;T1,'Checking Transaction Log'!$A:$A,"R",'Checking Transaction Log'!$B:$B,25)</f>
        <v>0</v>
      </c>
      <c r="T33" s="232">
        <f t="shared" ref="T33:T43" si="42">H33-S33</f>
        <v>350</v>
      </c>
      <c r="U33" s="273">
        <f>SUMIFS('Checking Transaction Log'!$E:$E,'Checking Transaction Log'!$C:$C,"&gt;="&amp;U1,'Checking Transaction Log'!$C:$C,"&lt;="&amp;V1,'Checking Transaction Log'!$A:$A,"R",'Checking Transaction Log'!$B:$B,25)</f>
        <v>0</v>
      </c>
      <c r="V33" s="273">
        <f t="shared" ref="V33:V43" si="43">H33-U33</f>
        <v>350</v>
      </c>
      <c r="W33" s="236">
        <f>SUMIFS('Checking Transaction Log'!$E:$E,'Checking Transaction Log'!$C:$C,"&gt;="&amp;W1,'Checking Transaction Log'!$C:$C,"&lt;="&amp;X1,'Checking Transaction Log'!$A:$A,"R",'Checking Transaction Log'!$B:$B,25)</f>
        <v>0</v>
      </c>
      <c r="X33" s="236">
        <f t="shared" ref="X33:X43" si="44">H33-W33</f>
        <v>350</v>
      </c>
      <c r="Y33" s="276">
        <f>SUMIFS('Checking Transaction Log'!$E:$E,'Checking Transaction Log'!$C:$C,"&gt;="&amp;Y1,'Checking Transaction Log'!$C:$C,"&lt;="&amp;Z1,'Checking Transaction Log'!$A:$A,"R",'Checking Transaction Log'!$B:$B,25)</f>
        <v>0</v>
      </c>
      <c r="Z33" s="276">
        <f t="shared" ref="Z33:Z43" si="45">H33-Y33</f>
        <v>350</v>
      </c>
      <c r="AA33" s="278">
        <f>SUMIFS('Checking Transaction Log'!$E:$E,'Checking Transaction Log'!$C:$C,"&gt;="&amp;AA1,'Checking Transaction Log'!$C:$C,"&lt;="&amp;AB1,'Checking Transaction Log'!$A:$A,"R",'Checking Transaction Log'!$B:$B,25)</f>
        <v>0</v>
      </c>
      <c r="AB33" s="278">
        <f t="shared" ref="AB33:AB43" si="46">H33-AA33</f>
        <v>350</v>
      </c>
      <c r="AC33" s="280">
        <f>SUMIFS('Checking Transaction Log'!$E:$E,'Checking Transaction Log'!$C:$C,"&gt;="&amp;AC1,'Checking Transaction Log'!$C:$C,"&lt;="&amp;AD1,'Checking Transaction Log'!$A:$A,"R",'Checking Transaction Log'!$B:$B,25)</f>
        <v>0</v>
      </c>
      <c r="AD33" s="280">
        <f t="shared" ref="AD33:AD43" si="47">H33-AC33</f>
        <v>350</v>
      </c>
      <c r="AE33" s="282">
        <f>SUMIFS('Checking Transaction Log'!$E:$E,'Checking Transaction Log'!$C:$C,"&gt;="&amp;AE1,'Checking Transaction Log'!$C:$C,"&lt;="&amp;AF1,'Checking Transaction Log'!$A:$A,"R",'Checking Transaction Log'!$B:$B,25)</f>
        <v>0</v>
      </c>
      <c r="AF33" s="282">
        <f t="shared" ref="AF33:AF43" si="48">H33-AE33</f>
        <v>350</v>
      </c>
    </row>
    <row r="34" spans="1:32" ht="11.25" customHeight="1" x14ac:dyDescent="0.3">
      <c r="A34" s="284" t="str">
        <f>'Proposed Budget'!A34</f>
        <v>R</v>
      </c>
      <c r="B34" s="255">
        <f>'Proposed Budget'!B34</f>
        <v>26</v>
      </c>
      <c r="C34" s="287" t="str">
        <f>'Proposed Budget'!C34</f>
        <v>Car Insurance</v>
      </c>
      <c r="D34" s="288">
        <f t="shared" ca="1" si="33"/>
        <v>298.60122699386505</v>
      </c>
      <c r="E34" s="289">
        <f t="shared" si="34"/>
        <v>1600</v>
      </c>
      <c r="F34" s="289">
        <f t="shared" si="35"/>
        <v>0</v>
      </c>
      <c r="G34" s="269">
        <f t="shared" si="36"/>
        <v>0</v>
      </c>
      <c r="H34" s="289">
        <f>'Proposed Budget'!D34</f>
        <v>320</v>
      </c>
      <c r="I34" s="270">
        <f>SUMIFS('Checking Transaction Log'!E:E,'Checking Transaction Log'!C:C,"&gt;="&amp;I1,'Checking Transaction Log'!C:C,"&lt;="&amp;J1,'Checking Transaction Log'!A:A,"R",'Checking Transaction Log'!B:B,26)</f>
        <v>320</v>
      </c>
      <c r="J34" s="270">
        <f t="shared" si="37"/>
        <v>0</v>
      </c>
      <c r="K34" s="232">
        <f>SUMIFS('Checking Transaction Log'!$E:$E,'Checking Transaction Log'!$C:$C,"&gt;="&amp;K1,'Checking Transaction Log'!$C:$C,"&lt;="&amp;L1,'Checking Transaction Log'!$A:$A,"R",'Checking Transaction Log'!$B:$B,26)</f>
        <v>320</v>
      </c>
      <c r="L34" s="232">
        <f t="shared" si="38"/>
        <v>0</v>
      </c>
      <c r="M34" s="273">
        <f>SUMIFS('Checking Transaction Log'!$E:$E,'Checking Transaction Log'!$C:$C,"&gt;="&amp;M1,'Checking Transaction Log'!$C:$C,"&lt;="&amp;N1,'Checking Transaction Log'!$A:$A,"R",'Checking Transaction Log'!$B:$B,26)</f>
        <v>320</v>
      </c>
      <c r="N34" s="273">
        <f t="shared" si="39"/>
        <v>0</v>
      </c>
      <c r="O34" s="236">
        <f>SUMIFS('Checking Transaction Log'!$E:$E,'Checking Transaction Log'!$C:$C,"&gt;="&amp;O1,'Checking Transaction Log'!$C:$C,"&lt;="&amp;P1,'Checking Transaction Log'!$A:$A,"R",'Checking Transaction Log'!$B:$B,26)</f>
        <v>320</v>
      </c>
      <c r="P34" s="236">
        <f t="shared" si="40"/>
        <v>0</v>
      </c>
      <c r="Q34" s="270">
        <f>SUMIFS('Checking Transaction Log'!$E:$E,'Checking Transaction Log'!$C:$C,"&gt;="&amp;Q1,'Checking Transaction Log'!$C:$C,"&lt;="&amp;R1,'Checking Transaction Log'!$A:$A,"R",'Checking Transaction Log'!$B:$B,26)</f>
        <v>320</v>
      </c>
      <c r="R34" s="270">
        <f t="shared" si="41"/>
        <v>0</v>
      </c>
      <c r="S34" s="232">
        <f>SUMIFS('Checking Transaction Log'!$E:$E,'Checking Transaction Log'!$C:$C,"&gt;="&amp;S1,'Checking Transaction Log'!$C:$C,"&lt;="&amp;T1,'Checking Transaction Log'!$A:$A,"R",'Checking Transaction Log'!$B:$B,26)</f>
        <v>0</v>
      </c>
      <c r="T34" s="232">
        <f t="shared" si="42"/>
        <v>320</v>
      </c>
      <c r="U34" s="273">
        <f>SUMIFS('Checking Transaction Log'!$E:$E,'Checking Transaction Log'!$C:$C,"&gt;="&amp;U1,'Checking Transaction Log'!$C:$C,"&lt;="&amp;V1,'Checking Transaction Log'!$A:$A,"R",'Checking Transaction Log'!$B:$B,26)</f>
        <v>0</v>
      </c>
      <c r="V34" s="273">
        <f t="shared" si="43"/>
        <v>320</v>
      </c>
      <c r="W34" s="236">
        <f>SUMIFS('Checking Transaction Log'!$E:$E,'Checking Transaction Log'!$C:$C,"&gt;="&amp;W1,'Checking Transaction Log'!$C:$C,"&lt;="&amp;X1,'Checking Transaction Log'!$A:$A,"R",'Checking Transaction Log'!$B:$B,26)</f>
        <v>0</v>
      </c>
      <c r="X34" s="236">
        <f t="shared" si="44"/>
        <v>320</v>
      </c>
      <c r="Y34" s="276">
        <f>SUMIFS('Checking Transaction Log'!$E:$E,'Checking Transaction Log'!$C:$C,"&gt;="&amp;Y1,'Checking Transaction Log'!$C:$C,"&lt;="&amp;Z1,'Checking Transaction Log'!$A:$A,"R",'Checking Transaction Log'!$B:$B,26)</f>
        <v>0</v>
      </c>
      <c r="Z34" s="276">
        <f t="shared" si="45"/>
        <v>320</v>
      </c>
      <c r="AA34" s="278">
        <f>SUMIFS('Checking Transaction Log'!$E:$E,'Checking Transaction Log'!$C:$C,"&gt;="&amp;AA1,'Checking Transaction Log'!$C:$C,"&lt;="&amp;AB1,'Checking Transaction Log'!$A:$A,"R",'Checking Transaction Log'!$B:$B,26)</f>
        <v>0</v>
      </c>
      <c r="AB34" s="278">
        <f t="shared" si="46"/>
        <v>320</v>
      </c>
      <c r="AC34" s="280">
        <f>SUMIFS('Checking Transaction Log'!$E:$E,'Checking Transaction Log'!$C:$C,"&gt;="&amp;AC1,'Checking Transaction Log'!$C:$C,"&lt;="&amp;AD1,'Checking Transaction Log'!$A:$A,"R",'Checking Transaction Log'!$B:$B,26)</f>
        <v>0</v>
      </c>
      <c r="AD34" s="280">
        <f t="shared" si="47"/>
        <v>320</v>
      </c>
      <c r="AE34" s="282">
        <f>SUMIFS('Checking Transaction Log'!$E:$E,'Checking Transaction Log'!$C:$C,"&gt;="&amp;AE1,'Checking Transaction Log'!$C:$C,"&lt;="&amp;AF1,'Checking Transaction Log'!$A:$A,"R",'Checking Transaction Log'!$B:$B,26)</f>
        <v>0</v>
      </c>
      <c r="AF34" s="282">
        <f t="shared" si="48"/>
        <v>320</v>
      </c>
    </row>
    <row r="35" spans="1:32" ht="11.25" customHeight="1" x14ac:dyDescent="0.3">
      <c r="A35" s="284" t="str">
        <f>'Proposed Budget'!A35</f>
        <v>R</v>
      </c>
      <c r="B35" s="255">
        <f>'Proposed Budget'!B35</f>
        <v>27</v>
      </c>
      <c r="C35" s="287" t="str">
        <f>'Proposed Budget'!C35</f>
        <v>Rental Garbage</v>
      </c>
      <c r="D35" s="288">
        <f t="shared" ca="1" si="33"/>
        <v>23.328220858895708</v>
      </c>
      <c r="E35" s="289">
        <f t="shared" si="34"/>
        <v>125</v>
      </c>
      <c r="F35" s="289">
        <f t="shared" si="35"/>
        <v>0</v>
      </c>
      <c r="G35" s="269">
        <f t="shared" si="36"/>
        <v>0</v>
      </c>
      <c r="H35" s="289">
        <f>'Proposed Budget'!D35</f>
        <v>25</v>
      </c>
      <c r="I35" s="270">
        <f>SUMIFS('Checking Transaction Log'!E:E,'Checking Transaction Log'!C:C,"&gt;="&amp;I1,'Checking Transaction Log'!C:C,"&lt;="&amp;J1,'Checking Transaction Log'!A:A,"R",'Checking Transaction Log'!B:B,27)</f>
        <v>25</v>
      </c>
      <c r="J35" s="270">
        <f t="shared" si="37"/>
        <v>0</v>
      </c>
      <c r="K35" s="232">
        <f>SUMIFS('Checking Transaction Log'!$E:$E,'Checking Transaction Log'!$C:$C,"&gt;="&amp;K1,'Checking Transaction Log'!$C:$C,"&lt;="&amp;L1,'Checking Transaction Log'!$A:$A,"R",'Checking Transaction Log'!$B:$B,27)</f>
        <v>25</v>
      </c>
      <c r="L35" s="232">
        <f t="shared" si="38"/>
        <v>0</v>
      </c>
      <c r="M35" s="273">
        <f>SUMIFS('Checking Transaction Log'!$E:$E,'Checking Transaction Log'!$C:$C,"&gt;="&amp;M1,'Checking Transaction Log'!$C:$C,"&lt;="&amp;N1,'Checking Transaction Log'!$A:$A,"R",'Checking Transaction Log'!$B:$B,27)</f>
        <v>25</v>
      </c>
      <c r="N35" s="273">
        <f t="shared" si="39"/>
        <v>0</v>
      </c>
      <c r="O35" s="236">
        <f>SUMIFS('Checking Transaction Log'!$E:$E,'Checking Transaction Log'!$C:$C,"&gt;="&amp;O1,'Checking Transaction Log'!$C:$C,"&lt;="&amp;P1,'Checking Transaction Log'!$A:$A,"R",'Checking Transaction Log'!$B:$B,27)</f>
        <v>25</v>
      </c>
      <c r="P35" s="236">
        <f t="shared" si="40"/>
        <v>0</v>
      </c>
      <c r="Q35" s="270">
        <f>SUMIFS('Checking Transaction Log'!$E:$E,'Checking Transaction Log'!$C:$C,"&gt;="&amp;Q1,'Checking Transaction Log'!$C:$C,"&lt;="&amp;R1,'Checking Transaction Log'!$A:$A,"R",'Checking Transaction Log'!$B:$B,27)</f>
        <v>25</v>
      </c>
      <c r="R35" s="270">
        <f t="shared" si="41"/>
        <v>0</v>
      </c>
      <c r="S35" s="232">
        <f>SUMIFS('Checking Transaction Log'!$E:$E,'Checking Transaction Log'!$C:$C,"&gt;="&amp;S1,'Checking Transaction Log'!$C:$C,"&lt;="&amp;T1,'Checking Transaction Log'!$A:$A,"R",'Checking Transaction Log'!$B:$B,27)</f>
        <v>0</v>
      </c>
      <c r="T35" s="232">
        <f t="shared" si="42"/>
        <v>25</v>
      </c>
      <c r="U35" s="273">
        <f>SUMIFS('Checking Transaction Log'!$E:$E,'Checking Transaction Log'!$C:$C,"&gt;="&amp;U1,'Checking Transaction Log'!$C:$C,"&lt;="&amp;V1,'Checking Transaction Log'!$A:$A,"R",'Checking Transaction Log'!$B:$B,27)</f>
        <v>0</v>
      </c>
      <c r="V35" s="273">
        <f t="shared" si="43"/>
        <v>25</v>
      </c>
      <c r="W35" s="236">
        <f>SUMIFS('Checking Transaction Log'!$E:$E,'Checking Transaction Log'!$C:$C,"&gt;="&amp;W1,'Checking Transaction Log'!$C:$C,"&lt;="&amp;X1,'Checking Transaction Log'!$A:$A,"R",'Checking Transaction Log'!$B:$B,27)</f>
        <v>0</v>
      </c>
      <c r="X35" s="236">
        <f t="shared" si="44"/>
        <v>25</v>
      </c>
      <c r="Y35" s="276">
        <f>SUMIFS('Checking Transaction Log'!$E:$E,'Checking Transaction Log'!$C:$C,"&gt;="&amp;Y1,'Checking Transaction Log'!$C:$C,"&lt;="&amp;Z1,'Checking Transaction Log'!$A:$A,"R",'Checking Transaction Log'!$B:$B,27)</f>
        <v>0</v>
      </c>
      <c r="Z35" s="276">
        <f t="shared" si="45"/>
        <v>25</v>
      </c>
      <c r="AA35" s="278">
        <f>SUMIFS('Checking Transaction Log'!$E:$E,'Checking Transaction Log'!$C:$C,"&gt;="&amp;AA1,'Checking Transaction Log'!$C:$C,"&lt;="&amp;AB1,'Checking Transaction Log'!$A:$A,"R",'Checking Transaction Log'!$B:$B,27)</f>
        <v>0</v>
      </c>
      <c r="AB35" s="278">
        <f t="shared" si="46"/>
        <v>25</v>
      </c>
      <c r="AC35" s="280">
        <f>SUMIFS('Checking Transaction Log'!$E:$E,'Checking Transaction Log'!$C:$C,"&gt;="&amp;AC1,'Checking Transaction Log'!$C:$C,"&lt;="&amp;AD1,'Checking Transaction Log'!$A:$A,"R",'Checking Transaction Log'!$B:$B,27)</f>
        <v>0</v>
      </c>
      <c r="AD35" s="280">
        <f t="shared" si="47"/>
        <v>25</v>
      </c>
      <c r="AE35" s="282">
        <f>SUMIFS('Checking Transaction Log'!$E:$E,'Checking Transaction Log'!$C:$C,"&gt;="&amp;AE1,'Checking Transaction Log'!$C:$C,"&lt;="&amp;AF1,'Checking Transaction Log'!$A:$A,"R",'Checking Transaction Log'!$B:$B,27)</f>
        <v>0</v>
      </c>
      <c r="AF35" s="282">
        <f t="shared" si="48"/>
        <v>25</v>
      </c>
    </row>
    <row r="36" spans="1:32" ht="11.25" customHeight="1" x14ac:dyDescent="0.3">
      <c r="A36" s="284" t="str">
        <f>'Proposed Budget'!A36</f>
        <v>R</v>
      </c>
      <c r="B36" s="255">
        <f>'Proposed Budget'!B36</f>
        <v>28</v>
      </c>
      <c r="C36" s="287" t="str">
        <f>'Proposed Budget'!C36</f>
        <v>Garbage</v>
      </c>
      <c r="D36" s="288">
        <f t="shared" ca="1" si="33"/>
        <v>23.328220858895708</v>
      </c>
      <c r="E36" s="289">
        <f t="shared" si="34"/>
        <v>125</v>
      </c>
      <c r="F36" s="289">
        <f t="shared" si="35"/>
        <v>0</v>
      </c>
      <c r="G36" s="269">
        <f t="shared" si="36"/>
        <v>0</v>
      </c>
      <c r="H36" s="289">
        <f>'Proposed Budget'!D36</f>
        <v>25</v>
      </c>
      <c r="I36" s="270">
        <f>SUMIFS('Checking Transaction Log'!E:E,'Checking Transaction Log'!C:C,"&gt;="&amp;I1,'Checking Transaction Log'!C:C,"&lt;="&amp;J1,'Checking Transaction Log'!A:A,"R",'Checking Transaction Log'!B:B,28)</f>
        <v>25</v>
      </c>
      <c r="J36" s="270">
        <f t="shared" si="37"/>
        <v>0</v>
      </c>
      <c r="K36" s="232">
        <f>SUMIFS('Checking Transaction Log'!$E:$E,'Checking Transaction Log'!$C:$C,"&gt;="&amp;K1,'Checking Transaction Log'!$C:$C,"&lt;="&amp;L1,'Checking Transaction Log'!$A:$A,"R",'Checking Transaction Log'!$B:$B,28)</f>
        <v>25</v>
      </c>
      <c r="L36" s="232">
        <f t="shared" si="38"/>
        <v>0</v>
      </c>
      <c r="M36" s="273">
        <f>SUMIFS('Checking Transaction Log'!$E:$E,'Checking Transaction Log'!$C:$C,"&gt;="&amp;M1,'Checking Transaction Log'!$C:$C,"&lt;="&amp;N1,'Checking Transaction Log'!$A:$A,"R",'Checking Transaction Log'!$B:$B,28)</f>
        <v>25</v>
      </c>
      <c r="N36" s="273">
        <f t="shared" si="39"/>
        <v>0</v>
      </c>
      <c r="O36" s="236">
        <f>SUMIFS('Checking Transaction Log'!$E:$E,'Checking Transaction Log'!$C:$C,"&gt;="&amp;O1,'Checking Transaction Log'!$C:$C,"&lt;="&amp;P1,'Checking Transaction Log'!$A:$A,"R",'Checking Transaction Log'!$B:$B,28)</f>
        <v>25</v>
      </c>
      <c r="P36" s="236">
        <f t="shared" si="40"/>
        <v>0</v>
      </c>
      <c r="Q36" s="270">
        <f>SUMIFS('Checking Transaction Log'!$E:$E,'Checking Transaction Log'!$C:$C,"&gt;="&amp;Q1,'Checking Transaction Log'!$C:$C,"&lt;="&amp;R1,'Checking Transaction Log'!$A:$A,"R",'Checking Transaction Log'!$B:$B,28)</f>
        <v>25</v>
      </c>
      <c r="R36" s="270">
        <f t="shared" si="41"/>
        <v>0</v>
      </c>
      <c r="S36" s="232">
        <f>SUMIFS('Checking Transaction Log'!$E:$E,'Checking Transaction Log'!$C:$C,"&gt;="&amp;S1,'Checking Transaction Log'!$C:$C,"&lt;="&amp;T1,'Checking Transaction Log'!$A:$A,"R",'Checking Transaction Log'!$B:$B,28)</f>
        <v>0</v>
      </c>
      <c r="T36" s="232">
        <f t="shared" si="42"/>
        <v>25</v>
      </c>
      <c r="U36" s="273">
        <f>SUMIFS('Checking Transaction Log'!$E:$E,'Checking Transaction Log'!$C:$C,"&gt;="&amp;U1,'Checking Transaction Log'!$C:$C,"&lt;="&amp;V1,'Checking Transaction Log'!$A:$A,"R",'Checking Transaction Log'!$B:$B,28)</f>
        <v>0</v>
      </c>
      <c r="V36" s="273">
        <f t="shared" si="43"/>
        <v>25</v>
      </c>
      <c r="W36" s="236">
        <f>SUMIFS('Checking Transaction Log'!$E:$E,'Checking Transaction Log'!$C:$C,"&gt;="&amp;W1,'Checking Transaction Log'!$C:$C,"&lt;="&amp;X1,'Checking Transaction Log'!$A:$A,"R",'Checking Transaction Log'!$B:$B,28)</f>
        <v>0</v>
      </c>
      <c r="X36" s="236">
        <f t="shared" si="44"/>
        <v>25</v>
      </c>
      <c r="Y36" s="276">
        <f>SUMIFS('Checking Transaction Log'!$E:$E,'Checking Transaction Log'!$C:$C,"&gt;="&amp;Y1,'Checking Transaction Log'!$C:$C,"&lt;="&amp;Z1,'Checking Transaction Log'!$A:$A,"R",'Checking Transaction Log'!$B:$B,28)</f>
        <v>0</v>
      </c>
      <c r="Z36" s="276">
        <f t="shared" si="45"/>
        <v>25</v>
      </c>
      <c r="AA36" s="278">
        <f>SUMIFS('Checking Transaction Log'!$E:$E,'Checking Transaction Log'!$C:$C,"&gt;="&amp;AA1,'Checking Transaction Log'!$C:$C,"&lt;="&amp;AB1,'Checking Transaction Log'!$A:$A,"R",'Checking Transaction Log'!$B:$B,28)</f>
        <v>0</v>
      </c>
      <c r="AB36" s="278">
        <f t="shared" si="46"/>
        <v>25</v>
      </c>
      <c r="AC36" s="280">
        <f>SUMIFS('Checking Transaction Log'!$E:$E,'Checking Transaction Log'!$C:$C,"&gt;="&amp;AC1,'Checking Transaction Log'!$C:$C,"&lt;="&amp;AD1,'Checking Transaction Log'!$A:$A,"R",'Checking Transaction Log'!$B:$B,28)</f>
        <v>0</v>
      </c>
      <c r="AD36" s="280">
        <f t="shared" si="47"/>
        <v>25</v>
      </c>
      <c r="AE36" s="282">
        <f>SUMIFS('Checking Transaction Log'!$E:$E,'Checking Transaction Log'!$C:$C,"&gt;="&amp;AE1,'Checking Transaction Log'!$C:$C,"&lt;="&amp;AF1,'Checking Transaction Log'!$A:$A,"R",'Checking Transaction Log'!$B:$B,28)</f>
        <v>0</v>
      </c>
      <c r="AF36" s="282">
        <f t="shared" si="48"/>
        <v>25</v>
      </c>
    </row>
    <row r="37" spans="1:32" ht="11.25" customHeight="1" x14ac:dyDescent="0.3">
      <c r="A37" s="284" t="str">
        <f>'Proposed Budget'!A37</f>
        <v>R</v>
      </c>
      <c r="B37" s="255">
        <f>'Proposed Budget'!B37</f>
        <v>29</v>
      </c>
      <c r="C37" s="287" t="str">
        <f>'Proposed Budget'!C37</f>
        <v>Sanitation - Main</v>
      </c>
      <c r="D37" s="288">
        <f t="shared" ca="1" si="33"/>
        <v>41.990797546012274</v>
      </c>
      <c r="E37" s="289">
        <f t="shared" si="34"/>
        <v>225</v>
      </c>
      <c r="F37" s="289">
        <f t="shared" si="35"/>
        <v>0</v>
      </c>
      <c r="G37" s="269">
        <f t="shared" si="36"/>
        <v>0</v>
      </c>
      <c r="H37" s="289">
        <f>'Proposed Budget'!D37</f>
        <v>45</v>
      </c>
      <c r="I37" s="270">
        <f>SUMIFS('Checking Transaction Log'!E:E,'Checking Transaction Log'!C:C,"&gt;="&amp;I1,'Checking Transaction Log'!C:C,"&lt;="&amp;J1,'Checking Transaction Log'!A:A,"R",'Checking Transaction Log'!B:B,29)</f>
        <v>45</v>
      </c>
      <c r="J37" s="270">
        <f t="shared" si="37"/>
        <v>0</v>
      </c>
      <c r="K37" s="232">
        <f>SUMIFS('Checking Transaction Log'!$E:$E,'Checking Transaction Log'!$C:$C,"&gt;="&amp;K1,'Checking Transaction Log'!$C:$C,"&lt;="&amp;L1,'Checking Transaction Log'!$A:$A,"R",'Checking Transaction Log'!$B:$B,29)</f>
        <v>45</v>
      </c>
      <c r="L37" s="232">
        <f t="shared" si="38"/>
        <v>0</v>
      </c>
      <c r="M37" s="273">
        <f>SUMIFS('Checking Transaction Log'!$E:$E,'Checking Transaction Log'!$C:$C,"&gt;="&amp;M1,'Checking Transaction Log'!$C:$C,"&lt;="&amp;N1,'Checking Transaction Log'!$A:$A,"R",'Checking Transaction Log'!$B:$B,29)</f>
        <v>45</v>
      </c>
      <c r="N37" s="273">
        <f t="shared" si="39"/>
        <v>0</v>
      </c>
      <c r="O37" s="236">
        <f>SUMIFS('Checking Transaction Log'!$E:$E,'Checking Transaction Log'!$C:$C,"&gt;="&amp;O1,'Checking Transaction Log'!$C:$C,"&lt;="&amp;P1,'Checking Transaction Log'!$A:$A,"R",'Checking Transaction Log'!$B:$B,29)</f>
        <v>45</v>
      </c>
      <c r="P37" s="236">
        <f t="shared" si="40"/>
        <v>0</v>
      </c>
      <c r="Q37" s="270">
        <f>SUMIFS('Checking Transaction Log'!$E:$E,'Checking Transaction Log'!$C:$C,"&gt;="&amp;Q1,'Checking Transaction Log'!$C:$C,"&lt;="&amp;R1,'Checking Transaction Log'!$A:$A,"R",'Checking Transaction Log'!$B:$B,29)</f>
        <v>45</v>
      </c>
      <c r="R37" s="270">
        <f t="shared" si="41"/>
        <v>0</v>
      </c>
      <c r="S37" s="232">
        <f>SUMIFS('Checking Transaction Log'!$E:$E,'Checking Transaction Log'!$C:$C,"&gt;="&amp;S1,'Checking Transaction Log'!$C:$C,"&lt;="&amp;T1,'Checking Transaction Log'!$A:$A,"R",'Checking Transaction Log'!$B:$B,29)</f>
        <v>0</v>
      </c>
      <c r="T37" s="232">
        <f t="shared" si="42"/>
        <v>45</v>
      </c>
      <c r="U37" s="273">
        <f>SUMIFS('Checking Transaction Log'!$E:$E,'Checking Transaction Log'!$C:$C,"&gt;="&amp;U1,'Checking Transaction Log'!$C:$C,"&lt;="&amp;V1,'Checking Transaction Log'!$A:$A,"R",'Checking Transaction Log'!$B:$B,29)</f>
        <v>0</v>
      </c>
      <c r="V37" s="273">
        <f t="shared" si="43"/>
        <v>45</v>
      </c>
      <c r="W37" s="236">
        <f>SUMIFS('Checking Transaction Log'!$E:$E,'Checking Transaction Log'!$C:$C,"&gt;="&amp;W1,'Checking Transaction Log'!$C:$C,"&lt;="&amp;X1,'Checking Transaction Log'!$A:$A,"R",'Checking Transaction Log'!$B:$B,29)</f>
        <v>0</v>
      </c>
      <c r="X37" s="236">
        <f t="shared" si="44"/>
        <v>45</v>
      </c>
      <c r="Y37" s="276">
        <f>SUMIFS('Checking Transaction Log'!$E:$E,'Checking Transaction Log'!$C:$C,"&gt;="&amp;Y1,'Checking Transaction Log'!$C:$C,"&lt;="&amp;Z1,'Checking Transaction Log'!$A:$A,"R",'Checking Transaction Log'!$B:$B,29)</f>
        <v>0</v>
      </c>
      <c r="Z37" s="276">
        <f t="shared" si="45"/>
        <v>45</v>
      </c>
      <c r="AA37" s="278">
        <f>SUMIFS('Checking Transaction Log'!$E:$E,'Checking Transaction Log'!$C:$C,"&gt;="&amp;AA1,'Checking Transaction Log'!$C:$C,"&lt;="&amp;AB1,'Checking Transaction Log'!$A:$A,"R",'Checking Transaction Log'!$B:$B,29)</f>
        <v>0</v>
      </c>
      <c r="AB37" s="278">
        <f t="shared" si="46"/>
        <v>45</v>
      </c>
      <c r="AC37" s="280">
        <f>SUMIFS('Checking Transaction Log'!$E:$E,'Checking Transaction Log'!$C:$C,"&gt;="&amp;AC1,'Checking Transaction Log'!$C:$C,"&lt;="&amp;AD1,'Checking Transaction Log'!$A:$A,"R",'Checking Transaction Log'!$B:$B,29)</f>
        <v>0</v>
      </c>
      <c r="AD37" s="280">
        <f t="shared" si="47"/>
        <v>45</v>
      </c>
      <c r="AE37" s="282">
        <f>SUMIFS('Checking Transaction Log'!$E:$E,'Checking Transaction Log'!$C:$C,"&gt;="&amp;AE1,'Checking Transaction Log'!$C:$C,"&lt;="&amp;AF1,'Checking Transaction Log'!$A:$A,"R",'Checking Transaction Log'!$B:$B,29)</f>
        <v>0</v>
      </c>
      <c r="AF37" s="282">
        <f t="shared" si="48"/>
        <v>45</v>
      </c>
    </row>
    <row r="38" spans="1:32" ht="11.25" customHeight="1" x14ac:dyDescent="0.3">
      <c r="A38" s="284" t="str">
        <f>'Proposed Budget'!A38</f>
        <v>R</v>
      </c>
      <c r="B38" s="255">
        <f>'Proposed Budget'!B38</f>
        <v>30</v>
      </c>
      <c r="C38" s="287" t="str">
        <f>'Proposed Budget'!C38</f>
        <v>Camping/Vacation</v>
      </c>
      <c r="D38" s="288">
        <f t="shared" ca="1" si="33"/>
        <v>373.25153374233133</v>
      </c>
      <c r="E38" s="289">
        <f t="shared" si="34"/>
        <v>2000</v>
      </c>
      <c r="F38" s="289">
        <f t="shared" si="35"/>
        <v>0</v>
      </c>
      <c r="G38" s="269">
        <f t="shared" si="36"/>
        <v>0</v>
      </c>
      <c r="H38" s="289">
        <f>'Proposed Budget'!D38</f>
        <v>400</v>
      </c>
      <c r="I38" s="270">
        <f>SUMIFS('Checking Transaction Log'!E:E,'Checking Transaction Log'!C:C,"&gt;="&amp;I1,'Checking Transaction Log'!C:C,"&lt;="&amp;J1,'Checking Transaction Log'!A:A,"R",'Checking Transaction Log'!B:B,30)</f>
        <v>400</v>
      </c>
      <c r="J38" s="270">
        <f t="shared" si="37"/>
        <v>0</v>
      </c>
      <c r="K38" s="232">
        <f>SUMIFS('Checking Transaction Log'!$E:$E,'Checking Transaction Log'!$C:$C,"&gt;="&amp;K1,'Checking Transaction Log'!$C:$C,"&lt;="&amp;L1,'Checking Transaction Log'!$A:$A,"R",'Checking Transaction Log'!$B:$B,30)</f>
        <v>400</v>
      </c>
      <c r="L38" s="232">
        <f t="shared" si="38"/>
        <v>0</v>
      </c>
      <c r="M38" s="273">
        <f>SUMIFS('Checking Transaction Log'!$E:$E,'Checking Transaction Log'!$C:$C,"&gt;="&amp;M1,'Checking Transaction Log'!$C:$C,"&lt;="&amp;N1,'Checking Transaction Log'!$A:$A,"R",'Checking Transaction Log'!$B:$B,30)</f>
        <v>400</v>
      </c>
      <c r="N38" s="273">
        <f t="shared" si="39"/>
        <v>0</v>
      </c>
      <c r="O38" s="236">
        <f>SUMIFS('Checking Transaction Log'!$E:$E,'Checking Transaction Log'!$C:$C,"&gt;="&amp;O1,'Checking Transaction Log'!$C:$C,"&lt;="&amp;P1,'Checking Transaction Log'!$A:$A,"R",'Checking Transaction Log'!$B:$B,30)</f>
        <v>400</v>
      </c>
      <c r="P38" s="236">
        <f t="shared" si="40"/>
        <v>0</v>
      </c>
      <c r="Q38" s="270">
        <f>SUMIFS('Checking Transaction Log'!$E:$E,'Checking Transaction Log'!$C:$C,"&gt;="&amp;Q1,'Checking Transaction Log'!$C:$C,"&lt;="&amp;R1,'Checking Transaction Log'!$A:$A,"R",'Checking Transaction Log'!$B:$B,30)</f>
        <v>400</v>
      </c>
      <c r="R38" s="270">
        <f t="shared" si="41"/>
        <v>0</v>
      </c>
      <c r="S38" s="232">
        <f>SUMIFS('Checking Transaction Log'!$E:$E,'Checking Transaction Log'!$C:$C,"&gt;="&amp;S1,'Checking Transaction Log'!$C:$C,"&lt;="&amp;T1,'Checking Transaction Log'!$A:$A,"R",'Checking Transaction Log'!$B:$B,30)</f>
        <v>0</v>
      </c>
      <c r="T38" s="232">
        <f t="shared" si="42"/>
        <v>400</v>
      </c>
      <c r="U38" s="273">
        <f>SUMIFS('Checking Transaction Log'!$E:$E,'Checking Transaction Log'!$C:$C,"&gt;="&amp;U1,'Checking Transaction Log'!$C:$C,"&lt;="&amp;V1,'Checking Transaction Log'!$A:$A,"R",'Checking Transaction Log'!$B:$B,30)</f>
        <v>0</v>
      </c>
      <c r="V38" s="273">
        <f t="shared" si="43"/>
        <v>400</v>
      </c>
      <c r="W38" s="236">
        <f>SUMIFS('Checking Transaction Log'!$E:$E,'Checking Transaction Log'!$C:$C,"&gt;="&amp;W1,'Checking Transaction Log'!$C:$C,"&lt;="&amp;X1,'Checking Transaction Log'!$A:$A,"R",'Checking Transaction Log'!$B:$B,30)</f>
        <v>0</v>
      </c>
      <c r="X38" s="236">
        <f t="shared" si="44"/>
        <v>400</v>
      </c>
      <c r="Y38" s="276">
        <f>SUMIFS('Checking Transaction Log'!$E:$E,'Checking Transaction Log'!$C:$C,"&gt;="&amp;Y1,'Checking Transaction Log'!$C:$C,"&lt;="&amp;Z1,'Checking Transaction Log'!$A:$A,"R",'Checking Transaction Log'!$B:$B,30)</f>
        <v>0</v>
      </c>
      <c r="Z38" s="276">
        <f t="shared" si="45"/>
        <v>400</v>
      </c>
      <c r="AA38" s="278">
        <f>SUMIFS('Checking Transaction Log'!$E:$E,'Checking Transaction Log'!$C:$C,"&gt;="&amp;AA1,'Checking Transaction Log'!$C:$C,"&lt;="&amp;AB1,'Checking Transaction Log'!$A:$A,"R",'Checking Transaction Log'!$B:$B,30)</f>
        <v>0</v>
      </c>
      <c r="AB38" s="278">
        <f t="shared" si="46"/>
        <v>400</v>
      </c>
      <c r="AC38" s="280">
        <f>SUMIFS('Checking Transaction Log'!$E:$E,'Checking Transaction Log'!$C:$C,"&gt;="&amp;AC1,'Checking Transaction Log'!$C:$C,"&lt;="&amp;AD1,'Checking Transaction Log'!$A:$A,"R",'Checking Transaction Log'!$B:$B,30)</f>
        <v>0</v>
      </c>
      <c r="AD38" s="280">
        <f t="shared" si="47"/>
        <v>400</v>
      </c>
      <c r="AE38" s="282">
        <f>SUMIFS('Checking Transaction Log'!$E:$E,'Checking Transaction Log'!$C:$C,"&gt;="&amp;AE1,'Checking Transaction Log'!$C:$C,"&lt;="&amp;AF1,'Checking Transaction Log'!$A:$A,"R",'Checking Transaction Log'!$B:$B,30)</f>
        <v>0</v>
      </c>
      <c r="AF38" s="282">
        <f t="shared" si="48"/>
        <v>400</v>
      </c>
    </row>
    <row r="39" spans="1:32" ht="11.25" customHeight="1" x14ac:dyDescent="0.3">
      <c r="A39" s="284" t="str">
        <f>'Proposed Budget'!A39</f>
        <v>R</v>
      </c>
      <c r="B39" s="255">
        <f>'Proposed Budget'!B39</f>
        <v>31</v>
      </c>
      <c r="C39" s="287" t="str">
        <f>'Proposed Budget'!C39</f>
        <v>Home Maintenance</v>
      </c>
      <c r="D39" s="288">
        <f t="shared" ca="1" si="33"/>
        <v>349.92331288343559</v>
      </c>
      <c r="E39" s="289">
        <f t="shared" si="34"/>
        <v>1875</v>
      </c>
      <c r="F39" s="289">
        <f t="shared" si="35"/>
        <v>0</v>
      </c>
      <c r="G39" s="269">
        <f t="shared" si="36"/>
        <v>0</v>
      </c>
      <c r="H39" s="289">
        <f>'Proposed Budget'!D39</f>
        <v>375</v>
      </c>
      <c r="I39" s="270">
        <f>SUMIFS('Checking Transaction Log'!E:E,'Checking Transaction Log'!C:C,"&gt;="&amp;I1,'Checking Transaction Log'!C:C,"&lt;="&amp;J1,'Checking Transaction Log'!A:A,"R",'Checking Transaction Log'!B:B,31)</f>
        <v>375</v>
      </c>
      <c r="J39" s="270">
        <f t="shared" si="37"/>
        <v>0</v>
      </c>
      <c r="K39" s="232">
        <f>SUMIFS('Checking Transaction Log'!$E:$E,'Checking Transaction Log'!$C:$C,"&gt;="&amp;K1,'Checking Transaction Log'!$C:$C,"&lt;="&amp;L1,'Checking Transaction Log'!$A:$A,"R",'Checking Transaction Log'!$B:$B,31)</f>
        <v>375</v>
      </c>
      <c r="L39" s="232">
        <f t="shared" si="38"/>
        <v>0</v>
      </c>
      <c r="M39" s="273">
        <f>SUMIFS('Checking Transaction Log'!$E:$E,'Checking Transaction Log'!$C:$C,"&gt;="&amp;M1,'Checking Transaction Log'!$C:$C,"&lt;="&amp;N1,'Checking Transaction Log'!$A:$A,"R",'Checking Transaction Log'!$B:$B,31)</f>
        <v>375</v>
      </c>
      <c r="N39" s="273">
        <f t="shared" si="39"/>
        <v>0</v>
      </c>
      <c r="O39" s="236">
        <f>SUMIFS('Checking Transaction Log'!$E:$E,'Checking Transaction Log'!$C:$C,"&gt;="&amp;O1,'Checking Transaction Log'!$C:$C,"&lt;="&amp;P1,'Checking Transaction Log'!$A:$A,"R",'Checking Transaction Log'!$B:$B,31)</f>
        <v>375</v>
      </c>
      <c r="P39" s="236">
        <f t="shared" si="40"/>
        <v>0</v>
      </c>
      <c r="Q39" s="270">
        <f>SUMIFS('Checking Transaction Log'!$E:$E,'Checking Transaction Log'!$C:$C,"&gt;="&amp;Q1,'Checking Transaction Log'!$C:$C,"&lt;="&amp;R1,'Checking Transaction Log'!$A:$A,"R",'Checking Transaction Log'!$B:$B,31)</f>
        <v>375</v>
      </c>
      <c r="R39" s="270">
        <f t="shared" si="41"/>
        <v>0</v>
      </c>
      <c r="S39" s="232">
        <f>SUMIFS('Checking Transaction Log'!$E:$E,'Checking Transaction Log'!$C:$C,"&gt;="&amp;S1,'Checking Transaction Log'!$C:$C,"&lt;="&amp;T1,'Checking Transaction Log'!$A:$A,"R",'Checking Transaction Log'!$B:$B,31)</f>
        <v>0</v>
      </c>
      <c r="T39" s="232">
        <f t="shared" si="42"/>
        <v>375</v>
      </c>
      <c r="U39" s="273">
        <f>SUMIFS('Checking Transaction Log'!$E:$E,'Checking Transaction Log'!$C:$C,"&gt;="&amp;U1,'Checking Transaction Log'!$C:$C,"&lt;="&amp;V1,'Checking Transaction Log'!$A:$A,"R",'Checking Transaction Log'!$B:$B,31)</f>
        <v>0</v>
      </c>
      <c r="V39" s="273">
        <f t="shared" si="43"/>
        <v>375</v>
      </c>
      <c r="W39" s="236">
        <f>SUMIFS('Checking Transaction Log'!$E:$E,'Checking Transaction Log'!$C:$C,"&gt;="&amp;W1,'Checking Transaction Log'!$C:$C,"&lt;="&amp;X1,'Checking Transaction Log'!$A:$A,"R",'Checking Transaction Log'!$B:$B,31)</f>
        <v>0</v>
      </c>
      <c r="X39" s="236">
        <f t="shared" si="44"/>
        <v>375</v>
      </c>
      <c r="Y39" s="276">
        <f>SUMIFS('Checking Transaction Log'!$E:$E,'Checking Transaction Log'!$C:$C,"&gt;="&amp;Y1,'Checking Transaction Log'!$C:$C,"&lt;="&amp;Z1,'Checking Transaction Log'!$A:$A,"R",'Checking Transaction Log'!$B:$B,31)</f>
        <v>0</v>
      </c>
      <c r="Z39" s="276">
        <f t="shared" si="45"/>
        <v>375</v>
      </c>
      <c r="AA39" s="278">
        <f>SUMIFS('Checking Transaction Log'!$E:$E,'Checking Transaction Log'!$C:$C,"&gt;="&amp;AA1,'Checking Transaction Log'!$C:$C,"&lt;="&amp;AB1,'Checking Transaction Log'!$A:$A,"R",'Checking Transaction Log'!$B:$B,31)</f>
        <v>0</v>
      </c>
      <c r="AB39" s="278">
        <f t="shared" si="46"/>
        <v>375</v>
      </c>
      <c r="AC39" s="280">
        <f>SUMIFS('Checking Transaction Log'!$E:$E,'Checking Transaction Log'!$C:$C,"&gt;="&amp;AC1,'Checking Transaction Log'!$C:$C,"&lt;="&amp;AD1,'Checking Transaction Log'!$A:$A,"R",'Checking Transaction Log'!$B:$B,31)</f>
        <v>0</v>
      </c>
      <c r="AD39" s="280">
        <f t="shared" si="47"/>
        <v>375</v>
      </c>
      <c r="AE39" s="282">
        <f>SUMIFS('Checking Transaction Log'!$E:$E,'Checking Transaction Log'!$C:$C,"&gt;="&amp;AE1,'Checking Transaction Log'!$C:$C,"&lt;="&amp;AF1,'Checking Transaction Log'!$A:$A,"R",'Checking Transaction Log'!$B:$B,31)</f>
        <v>0</v>
      </c>
      <c r="AF39" s="282">
        <f t="shared" si="48"/>
        <v>375</v>
      </c>
    </row>
    <row r="40" spans="1:32" ht="11.25" customHeight="1" x14ac:dyDescent="0.3">
      <c r="A40" s="284" t="str">
        <f>'Proposed Budget'!A40</f>
        <v>R</v>
      </c>
      <c r="B40" s="255">
        <f>'Proposed Budget'!B40</f>
        <v>32</v>
      </c>
      <c r="C40" s="287" t="str">
        <f>'Proposed Budget'!C40</f>
        <v>Rental Repairs</v>
      </c>
      <c r="D40" s="288">
        <f t="shared" ca="1" si="33"/>
        <v>93.312883435582833</v>
      </c>
      <c r="E40" s="289">
        <f t="shared" si="34"/>
        <v>500</v>
      </c>
      <c r="F40" s="289">
        <f t="shared" si="35"/>
        <v>0</v>
      </c>
      <c r="G40" s="269">
        <f t="shared" si="36"/>
        <v>0</v>
      </c>
      <c r="H40" s="289">
        <f>'Proposed Budget'!D40</f>
        <v>100</v>
      </c>
      <c r="I40" s="270">
        <f>SUMIFS('Checking Transaction Log'!E:E,'Checking Transaction Log'!C:C,"&gt;="&amp;I1,'Checking Transaction Log'!C:C,"&lt;="&amp;J1,'Checking Transaction Log'!A:A,"R",'Checking Transaction Log'!B:B,32)</f>
        <v>100</v>
      </c>
      <c r="J40" s="270">
        <f t="shared" si="37"/>
        <v>0</v>
      </c>
      <c r="K40" s="232">
        <f>SUMIFS('Checking Transaction Log'!$E:$E,'Checking Transaction Log'!$C:$C,"&gt;="&amp;K1,'Checking Transaction Log'!$C:$C,"&lt;="&amp;L1,'Checking Transaction Log'!$A:$A,"R",'Checking Transaction Log'!$B:$B,32)</f>
        <v>100</v>
      </c>
      <c r="L40" s="232">
        <f t="shared" si="38"/>
        <v>0</v>
      </c>
      <c r="M40" s="273">
        <f>SUMIFS('Checking Transaction Log'!$E:$E,'Checking Transaction Log'!$C:$C,"&gt;="&amp;M1,'Checking Transaction Log'!$C:$C,"&lt;="&amp;N1,'Checking Transaction Log'!$A:$A,"R",'Checking Transaction Log'!$B:$B,32)</f>
        <v>100</v>
      </c>
      <c r="N40" s="273">
        <f t="shared" si="39"/>
        <v>0</v>
      </c>
      <c r="O40" s="236">
        <f>SUMIFS('Checking Transaction Log'!$E:$E,'Checking Transaction Log'!$C:$C,"&gt;="&amp;O1,'Checking Transaction Log'!$C:$C,"&lt;="&amp;P1,'Checking Transaction Log'!$A:$A,"R",'Checking Transaction Log'!$B:$B,32)</f>
        <v>100</v>
      </c>
      <c r="P40" s="236">
        <f t="shared" si="40"/>
        <v>0</v>
      </c>
      <c r="Q40" s="270">
        <f>SUMIFS('Checking Transaction Log'!$E:$E,'Checking Transaction Log'!$C:$C,"&gt;="&amp;Q1,'Checking Transaction Log'!$C:$C,"&lt;="&amp;R1,'Checking Transaction Log'!$A:$A,"R",'Checking Transaction Log'!$B:$B,32)</f>
        <v>100</v>
      </c>
      <c r="R40" s="270">
        <f t="shared" si="41"/>
        <v>0</v>
      </c>
      <c r="S40" s="232">
        <f>SUMIFS('Checking Transaction Log'!$E:$E,'Checking Transaction Log'!$C:$C,"&gt;="&amp;S1,'Checking Transaction Log'!$C:$C,"&lt;="&amp;T1,'Checking Transaction Log'!$A:$A,"R",'Checking Transaction Log'!$B:$B,32)</f>
        <v>0</v>
      </c>
      <c r="T40" s="232">
        <f t="shared" si="42"/>
        <v>100</v>
      </c>
      <c r="U40" s="273">
        <f>SUMIFS('Checking Transaction Log'!$E:$E,'Checking Transaction Log'!$C:$C,"&gt;="&amp;U1,'Checking Transaction Log'!$C:$C,"&lt;="&amp;V1,'Checking Transaction Log'!$A:$A,"R",'Checking Transaction Log'!$B:$B,32)</f>
        <v>0</v>
      </c>
      <c r="V40" s="273">
        <f t="shared" si="43"/>
        <v>100</v>
      </c>
      <c r="W40" s="236">
        <f>SUMIFS('Checking Transaction Log'!$E:$E,'Checking Transaction Log'!$C:$C,"&gt;="&amp;W1,'Checking Transaction Log'!$C:$C,"&lt;="&amp;X1,'Checking Transaction Log'!$A:$A,"R",'Checking Transaction Log'!$B:$B,32)</f>
        <v>0</v>
      </c>
      <c r="X40" s="236">
        <f t="shared" si="44"/>
        <v>100</v>
      </c>
      <c r="Y40" s="276">
        <f>SUMIFS('Checking Transaction Log'!$E:$E,'Checking Transaction Log'!$C:$C,"&gt;="&amp;Y1,'Checking Transaction Log'!$C:$C,"&lt;="&amp;Z1,'Checking Transaction Log'!$A:$A,"R",'Checking Transaction Log'!$B:$B,32)</f>
        <v>0</v>
      </c>
      <c r="Z40" s="276">
        <f t="shared" si="45"/>
        <v>100</v>
      </c>
      <c r="AA40" s="278">
        <f>SUMIFS('Checking Transaction Log'!$E:$E,'Checking Transaction Log'!$C:$C,"&gt;="&amp;AA1,'Checking Transaction Log'!$C:$C,"&lt;="&amp;AB1,'Checking Transaction Log'!$A:$A,"R",'Checking Transaction Log'!$B:$B,32)</f>
        <v>0</v>
      </c>
      <c r="AB40" s="278">
        <f t="shared" si="46"/>
        <v>100</v>
      </c>
      <c r="AC40" s="280">
        <f>SUMIFS('Checking Transaction Log'!$E:$E,'Checking Transaction Log'!$C:$C,"&gt;="&amp;AC1,'Checking Transaction Log'!$C:$C,"&lt;="&amp;AD1,'Checking Transaction Log'!$A:$A,"R",'Checking Transaction Log'!$B:$B,32)</f>
        <v>0</v>
      </c>
      <c r="AD40" s="280">
        <f t="shared" si="47"/>
        <v>100</v>
      </c>
      <c r="AE40" s="282">
        <f>SUMIFS('Checking Transaction Log'!$E:$E,'Checking Transaction Log'!$C:$C,"&gt;="&amp;AE1,'Checking Transaction Log'!$C:$C,"&lt;="&amp;AF1,'Checking Transaction Log'!$A:$A,"R",'Checking Transaction Log'!$B:$B,32)</f>
        <v>0</v>
      </c>
      <c r="AF40" s="282">
        <f t="shared" si="48"/>
        <v>100</v>
      </c>
    </row>
    <row r="41" spans="1:32" ht="11.25" customHeight="1" x14ac:dyDescent="0.3">
      <c r="A41" s="284" t="str">
        <f>'Proposed Budget'!A41</f>
        <v>R</v>
      </c>
      <c r="B41" s="255">
        <f>'Proposed Budget'!B41</f>
        <v>33</v>
      </c>
      <c r="C41" s="287" t="str">
        <f>'Proposed Budget'!C41</f>
        <v>Rental Insurance</v>
      </c>
      <c r="D41" s="288">
        <f t="shared" ca="1" si="33"/>
        <v>79.315950920245399</v>
      </c>
      <c r="E41" s="289">
        <f t="shared" si="34"/>
        <v>425</v>
      </c>
      <c r="F41" s="289">
        <f t="shared" si="35"/>
        <v>0</v>
      </c>
      <c r="G41" s="269">
        <f t="shared" si="36"/>
        <v>0</v>
      </c>
      <c r="H41" s="289">
        <f>'Proposed Budget'!D41</f>
        <v>85</v>
      </c>
      <c r="I41" s="270">
        <f>SUMIFS('Checking Transaction Log'!E:E,'Checking Transaction Log'!C:C,"&gt;="&amp;I1,'Checking Transaction Log'!C:C,"&lt;="&amp;J1,'Checking Transaction Log'!A:A,"R",'Checking Transaction Log'!B:B,33)</f>
        <v>85</v>
      </c>
      <c r="J41" s="270">
        <f t="shared" si="37"/>
        <v>0</v>
      </c>
      <c r="K41" s="232">
        <f>SUMIFS('Checking Transaction Log'!$E:$E,'Checking Transaction Log'!$C:$C,"&gt;="&amp;K1,'Checking Transaction Log'!$C:$C,"&lt;="&amp;L1,'Checking Transaction Log'!$A:$A,"R",'Checking Transaction Log'!$B:$B,33)</f>
        <v>85</v>
      </c>
      <c r="L41" s="232">
        <f t="shared" si="38"/>
        <v>0</v>
      </c>
      <c r="M41" s="273">
        <f>SUMIFS('Checking Transaction Log'!$E:$E,'Checking Transaction Log'!$C:$C,"&gt;="&amp;M1,'Checking Transaction Log'!$C:$C,"&lt;="&amp;N1,'Checking Transaction Log'!$A:$A,"R",'Checking Transaction Log'!$B:$B,33)</f>
        <v>85</v>
      </c>
      <c r="N41" s="273">
        <f t="shared" si="39"/>
        <v>0</v>
      </c>
      <c r="O41" s="236">
        <f>SUMIFS('Checking Transaction Log'!$E:$E,'Checking Transaction Log'!$C:$C,"&gt;="&amp;O1,'Checking Transaction Log'!$C:$C,"&lt;="&amp;P1,'Checking Transaction Log'!$A:$A,"R",'Checking Transaction Log'!$B:$B,33)</f>
        <v>85</v>
      </c>
      <c r="P41" s="236">
        <f t="shared" si="40"/>
        <v>0</v>
      </c>
      <c r="Q41" s="270">
        <f>SUMIFS('Checking Transaction Log'!$E:$E,'Checking Transaction Log'!$C:$C,"&gt;="&amp;Q1,'Checking Transaction Log'!$C:$C,"&lt;="&amp;R1,'Checking Transaction Log'!$A:$A,"R",'Checking Transaction Log'!$B:$B,33)</f>
        <v>85</v>
      </c>
      <c r="R41" s="270">
        <f t="shared" si="41"/>
        <v>0</v>
      </c>
      <c r="S41" s="232">
        <f>SUMIFS('Checking Transaction Log'!$E:$E,'Checking Transaction Log'!$C:$C,"&gt;="&amp;S1,'Checking Transaction Log'!$C:$C,"&lt;="&amp;T1,'Checking Transaction Log'!$A:$A,"R",'Checking Transaction Log'!$B:$B,33)</f>
        <v>0</v>
      </c>
      <c r="T41" s="232">
        <f t="shared" si="42"/>
        <v>85</v>
      </c>
      <c r="U41" s="273">
        <f>SUMIFS('Checking Transaction Log'!$E:$E,'Checking Transaction Log'!$C:$C,"&gt;="&amp;U1,'Checking Transaction Log'!$C:$C,"&lt;="&amp;V1,'Checking Transaction Log'!$A:$A,"R",'Checking Transaction Log'!$B:$B,33)</f>
        <v>0</v>
      </c>
      <c r="V41" s="273">
        <f t="shared" si="43"/>
        <v>85</v>
      </c>
      <c r="W41" s="236">
        <f>SUMIFS('Checking Transaction Log'!$E:$E,'Checking Transaction Log'!$C:$C,"&gt;="&amp;W1,'Checking Transaction Log'!$C:$C,"&lt;="&amp;X1,'Checking Transaction Log'!$A:$A,"R",'Checking Transaction Log'!$B:$B,33)</f>
        <v>0</v>
      </c>
      <c r="X41" s="236">
        <f t="shared" si="44"/>
        <v>85</v>
      </c>
      <c r="Y41" s="276">
        <f>SUMIFS('Checking Transaction Log'!$E:$E,'Checking Transaction Log'!$C:$C,"&gt;="&amp;Y1,'Checking Transaction Log'!$C:$C,"&lt;="&amp;Z1,'Checking Transaction Log'!$A:$A,"R",'Checking Transaction Log'!$B:$B,33)</f>
        <v>0</v>
      </c>
      <c r="Z41" s="276">
        <f t="shared" si="45"/>
        <v>85</v>
      </c>
      <c r="AA41" s="278">
        <f>SUMIFS('Checking Transaction Log'!$E:$E,'Checking Transaction Log'!$C:$C,"&gt;="&amp;AA1,'Checking Transaction Log'!$C:$C,"&lt;="&amp;AB1,'Checking Transaction Log'!$A:$A,"R",'Checking Transaction Log'!$B:$B,33)</f>
        <v>0</v>
      </c>
      <c r="AB41" s="278">
        <f t="shared" si="46"/>
        <v>85</v>
      </c>
      <c r="AC41" s="280">
        <f>SUMIFS('Checking Transaction Log'!$E:$E,'Checking Transaction Log'!$C:$C,"&gt;="&amp;AC1,'Checking Transaction Log'!$C:$C,"&lt;="&amp;AD1,'Checking Transaction Log'!$A:$A,"R",'Checking Transaction Log'!$B:$B,33)</f>
        <v>0</v>
      </c>
      <c r="AD41" s="280">
        <f t="shared" si="47"/>
        <v>85</v>
      </c>
      <c r="AE41" s="282">
        <f>SUMIFS('Checking Transaction Log'!$E:$E,'Checking Transaction Log'!$C:$C,"&gt;="&amp;AE1,'Checking Transaction Log'!$C:$C,"&lt;="&amp;AF1,'Checking Transaction Log'!$A:$A,"R",'Checking Transaction Log'!$B:$B,33)</f>
        <v>0</v>
      </c>
      <c r="AF41" s="282">
        <f t="shared" si="48"/>
        <v>85</v>
      </c>
    </row>
    <row r="42" spans="1:32" ht="11.25" customHeight="1" x14ac:dyDescent="0.3">
      <c r="A42" s="284" t="str">
        <f>'Proposed Budget'!A42</f>
        <v>R</v>
      </c>
      <c r="B42" s="255">
        <f>'Proposed Budget'!B42</f>
        <v>34</v>
      </c>
      <c r="C42" s="287" t="str">
        <f>'Proposed Budget'!C42</f>
        <v>Rental Property Taxes</v>
      </c>
      <c r="D42" s="288">
        <f t="shared" ca="1" si="33"/>
        <v>214.61963190184051</v>
      </c>
      <c r="E42" s="289">
        <f t="shared" si="34"/>
        <v>1150</v>
      </c>
      <c r="F42" s="289">
        <f t="shared" si="35"/>
        <v>0</v>
      </c>
      <c r="G42" s="269">
        <f t="shared" si="36"/>
        <v>0</v>
      </c>
      <c r="H42" s="289">
        <f>'Proposed Budget'!D42</f>
        <v>230</v>
      </c>
      <c r="I42" s="270">
        <f>SUMIFS('Checking Transaction Log'!E:E,'Checking Transaction Log'!C:C,"&gt;="&amp;I1,'Checking Transaction Log'!C:C,"&lt;="&amp;J1,'Checking Transaction Log'!A:A,"R",'Checking Transaction Log'!B:B,34)</f>
        <v>230</v>
      </c>
      <c r="J42" s="270">
        <f t="shared" si="37"/>
        <v>0</v>
      </c>
      <c r="K42" s="232">
        <f>SUMIFS('Checking Transaction Log'!$E:$E,'Checking Transaction Log'!$C:$C,"&gt;="&amp;K1,'Checking Transaction Log'!$C:$C,"&lt;="&amp;L1,'Checking Transaction Log'!$A:$A,"R",'Checking Transaction Log'!$B:$B,34)</f>
        <v>230</v>
      </c>
      <c r="L42" s="232">
        <f t="shared" si="38"/>
        <v>0</v>
      </c>
      <c r="M42" s="273">
        <f>SUMIFS('Checking Transaction Log'!$E:$E,'Checking Transaction Log'!$C:$C,"&gt;="&amp;M1,'Checking Transaction Log'!$C:$C,"&lt;="&amp;N1,'Checking Transaction Log'!$A:$A,"R",'Checking Transaction Log'!$B:$B,34)</f>
        <v>230</v>
      </c>
      <c r="N42" s="273">
        <f t="shared" si="39"/>
        <v>0</v>
      </c>
      <c r="O42" s="236">
        <f>SUMIFS('Checking Transaction Log'!$E:$E,'Checking Transaction Log'!$C:$C,"&gt;="&amp;O1,'Checking Transaction Log'!$C:$C,"&lt;="&amp;P1,'Checking Transaction Log'!$A:$A,"R",'Checking Transaction Log'!$B:$B,34)</f>
        <v>230</v>
      </c>
      <c r="P42" s="236">
        <f t="shared" si="40"/>
        <v>0</v>
      </c>
      <c r="Q42" s="270">
        <f>SUMIFS('Checking Transaction Log'!$E:$E,'Checking Transaction Log'!$C:$C,"&gt;="&amp;Q1,'Checking Transaction Log'!$C:$C,"&lt;="&amp;R1,'Checking Transaction Log'!$A:$A,"R",'Checking Transaction Log'!$B:$B,34)</f>
        <v>230</v>
      </c>
      <c r="R42" s="270">
        <f t="shared" si="41"/>
        <v>0</v>
      </c>
      <c r="S42" s="232">
        <f>SUMIFS('Checking Transaction Log'!$E:$E,'Checking Transaction Log'!$C:$C,"&gt;="&amp;S1,'Checking Transaction Log'!$C:$C,"&lt;="&amp;T1,'Checking Transaction Log'!$A:$A,"R",'Checking Transaction Log'!$B:$B,34)</f>
        <v>0</v>
      </c>
      <c r="T42" s="232">
        <f t="shared" si="42"/>
        <v>230</v>
      </c>
      <c r="U42" s="273">
        <f>SUMIFS('Checking Transaction Log'!$E:$E,'Checking Transaction Log'!$C:$C,"&gt;="&amp;U1,'Checking Transaction Log'!$C:$C,"&lt;="&amp;V1,'Checking Transaction Log'!$A:$A,"R",'Checking Transaction Log'!$B:$B,34)</f>
        <v>0</v>
      </c>
      <c r="V42" s="273">
        <f t="shared" si="43"/>
        <v>230</v>
      </c>
      <c r="W42" s="236">
        <f>SUMIFS('Checking Transaction Log'!$E:$E,'Checking Transaction Log'!$C:$C,"&gt;="&amp;W1,'Checking Transaction Log'!$C:$C,"&lt;="&amp;X1,'Checking Transaction Log'!$A:$A,"R",'Checking Transaction Log'!$B:$B,34)</f>
        <v>0</v>
      </c>
      <c r="X42" s="236">
        <f t="shared" si="44"/>
        <v>230</v>
      </c>
      <c r="Y42" s="276">
        <f>SUMIFS('Checking Transaction Log'!$E:$E,'Checking Transaction Log'!$C:$C,"&gt;="&amp;Y1,'Checking Transaction Log'!$C:$C,"&lt;="&amp;Z1,'Checking Transaction Log'!$A:$A,"R",'Checking Transaction Log'!$B:$B,34)</f>
        <v>0</v>
      </c>
      <c r="Z42" s="276">
        <f t="shared" si="45"/>
        <v>230</v>
      </c>
      <c r="AA42" s="278">
        <f>SUMIFS('Checking Transaction Log'!$E:$E,'Checking Transaction Log'!$C:$C,"&gt;="&amp;AA1,'Checking Transaction Log'!$C:$C,"&lt;="&amp;AB1,'Checking Transaction Log'!$A:$A,"R",'Checking Transaction Log'!$B:$B,34)</f>
        <v>0</v>
      </c>
      <c r="AB42" s="278">
        <f t="shared" si="46"/>
        <v>230</v>
      </c>
      <c r="AC42" s="280">
        <f>SUMIFS('Checking Transaction Log'!$E:$E,'Checking Transaction Log'!$C:$C,"&gt;="&amp;AC1,'Checking Transaction Log'!$C:$C,"&lt;="&amp;AD1,'Checking Transaction Log'!$A:$A,"R",'Checking Transaction Log'!$B:$B,34)</f>
        <v>0</v>
      </c>
      <c r="AD42" s="280">
        <f t="shared" si="47"/>
        <v>230</v>
      </c>
      <c r="AE42" s="282">
        <f>SUMIFS('Checking Transaction Log'!$E:$E,'Checking Transaction Log'!$C:$C,"&gt;="&amp;AE1,'Checking Transaction Log'!$C:$C,"&lt;="&amp;AF1,'Checking Transaction Log'!$A:$A,"R",'Checking Transaction Log'!$B:$B,34)</f>
        <v>0</v>
      </c>
      <c r="AF42" s="282">
        <f t="shared" si="48"/>
        <v>230</v>
      </c>
    </row>
    <row r="43" spans="1:32" ht="11.25" customHeight="1" x14ac:dyDescent="0.3">
      <c r="A43" s="284" t="str">
        <f>'Proposed Budget'!A43</f>
        <v>R</v>
      </c>
      <c r="B43" s="255">
        <f>'Proposed Budget'!B43</f>
        <v>35</v>
      </c>
      <c r="C43" s="287" t="str">
        <f>'Proposed Budget'!C43</f>
        <v>Rental Sanitation</v>
      </c>
      <c r="D43" s="288">
        <f t="shared" ca="1" si="33"/>
        <v>41.990797546012274</v>
      </c>
      <c r="E43" s="289">
        <f t="shared" si="34"/>
        <v>225</v>
      </c>
      <c r="F43" s="289">
        <f t="shared" si="35"/>
        <v>0</v>
      </c>
      <c r="G43" s="269">
        <f t="shared" si="36"/>
        <v>0</v>
      </c>
      <c r="H43" s="289">
        <f>'Proposed Budget'!D43</f>
        <v>45</v>
      </c>
      <c r="I43" s="270">
        <f>SUMIFS('Checking Transaction Log'!E:E,'Checking Transaction Log'!C:C,"&gt;="&amp;I1,'Checking Transaction Log'!C:C,"&lt;="&amp;J1,'Checking Transaction Log'!A:A,"R",'Checking Transaction Log'!B:B,35)</f>
        <v>45</v>
      </c>
      <c r="J43" s="270">
        <f t="shared" si="37"/>
        <v>0</v>
      </c>
      <c r="K43" s="232">
        <f>SUMIFS('Checking Transaction Log'!$E:$E,'Checking Transaction Log'!$C:$C,"&gt;="&amp;K1,'Checking Transaction Log'!$C:$C,"&lt;="&amp;L1,'Checking Transaction Log'!$A:$A,"R",'Checking Transaction Log'!$B:$B,35)</f>
        <v>45</v>
      </c>
      <c r="L43" s="232">
        <f t="shared" si="38"/>
        <v>0</v>
      </c>
      <c r="M43" s="273">
        <f>SUMIFS('Checking Transaction Log'!$E:$E,'Checking Transaction Log'!$C:$C,"&gt;="&amp;M1,'Checking Transaction Log'!$C:$C,"&lt;="&amp;N1,'Checking Transaction Log'!$A:$A,"R",'Checking Transaction Log'!$B:$B,35)</f>
        <v>45</v>
      </c>
      <c r="N43" s="273">
        <f t="shared" si="39"/>
        <v>0</v>
      </c>
      <c r="O43" s="236">
        <f>SUMIFS('Checking Transaction Log'!$E:$E,'Checking Transaction Log'!$C:$C,"&gt;="&amp;O1,'Checking Transaction Log'!$C:$C,"&lt;="&amp;P1,'Checking Transaction Log'!$A:$A,"R",'Checking Transaction Log'!$B:$B,35)</f>
        <v>45</v>
      </c>
      <c r="P43" s="236">
        <f t="shared" si="40"/>
        <v>0</v>
      </c>
      <c r="Q43" s="270">
        <f>SUMIFS('Checking Transaction Log'!$E:$E,'Checking Transaction Log'!$C:$C,"&gt;="&amp;Q1,'Checking Transaction Log'!$C:$C,"&lt;="&amp;R1,'Checking Transaction Log'!$A:$A,"R",'Checking Transaction Log'!$B:$B,35)</f>
        <v>45</v>
      </c>
      <c r="R43" s="270">
        <f t="shared" si="41"/>
        <v>0</v>
      </c>
      <c r="S43" s="232">
        <f>SUMIFS('Checking Transaction Log'!$E:$E,'Checking Transaction Log'!$C:$C,"&gt;="&amp;S1,'Checking Transaction Log'!$C:$C,"&lt;="&amp;T1,'Checking Transaction Log'!$A:$A,"R",'Checking Transaction Log'!$B:$B,35)</f>
        <v>0</v>
      </c>
      <c r="T43" s="232">
        <f t="shared" si="42"/>
        <v>45</v>
      </c>
      <c r="U43" s="273">
        <f>SUMIFS('Checking Transaction Log'!$E:$E,'Checking Transaction Log'!$C:$C,"&gt;="&amp;U1,'Checking Transaction Log'!$C:$C,"&lt;="&amp;V1,'Checking Transaction Log'!$A:$A,"R",'Checking Transaction Log'!$B:$B,35)</f>
        <v>0</v>
      </c>
      <c r="V43" s="273">
        <f t="shared" si="43"/>
        <v>45</v>
      </c>
      <c r="W43" s="236">
        <f>SUMIFS('Checking Transaction Log'!$E:$E,'Checking Transaction Log'!$C:$C,"&gt;="&amp;W1,'Checking Transaction Log'!$C:$C,"&lt;="&amp;X1,'Checking Transaction Log'!$A:$A,"R",'Checking Transaction Log'!$B:$B,35)</f>
        <v>0</v>
      </c>
      <c r="X43" s="236">
        <f t="shared" si="44"/>
        <v>45</v>
      </c>
      <c r="Y43" s="276">
        <f>SUMIFS('Checking Transaction Log'!$E:$E,'Checking Transaction Log'!$C:$C,"&gt;="&amp;Y1,'Checking Transaction Log'!$C:$C,"&lt;="&amp;Z1,'Checking Transaction Log'!$A:$A,"R",'Checking Transaction Log'!$B:$B,35)</f>
        <v>0</v>
      </c>
      <c r="Z43" s="276">
        <f t="shared" si="45"/>
        <v>45</v>
      </c>
      <c r="AA43" s="278">
        <f>SUMIFS('Checking Transaction Log'!$E:$E,'Checking Transaction Log'!$C:$C,"&gt;="&amp;AA1,'Checking Transaction Log'!$C:$C,"&lt;="&amp;AB1,'Checking Transaction Log'!$A:$A,"R",'Checking Transaction Log'!$B:$B,35)</f>
        <v>0</v>
      </c>
      <c r="AB43" s="278">
        <f t="shared" si="46"/>
        <v>45</v>
      </c>
      <c r="AC43" s="280">
        <f>SUMIFS('Checking Transaction Log'!$E:$E,'Checking Transaction Log'!$C:$C,"&gt;="&amp;AC1,'Checking Transaction Log'!$C:$C,"&lt;="&amp;AD1,'Checking Transaction Log'!$A:$A,"R",'Checking Transaction Log'!$B:$B,35)</f>
        <v>0</v>
      </c>
      <c r="AD43" s="280">
        <f t="shared" si="47"/>
        <v>45</v>
      </c>
      <c r="AE43" s="282">
        <f>SUMIFS('Checking Transaction Log'!$E:$E,'Checking Transaction Log'!$C:$C,"&gt;="&amp;AE1,'Checking Transaction Log'!$C:$C,"&lt;="&amp;AF1,'Checking Transaction Log'!$A:$A,"R",'Checking Transaction Log'!$B:$B,35)</f>
        <v>0</v>
      </c>
      <c r="AF43" s="282">
        <f t="shared" si="48"/>
        <v>45</v>
      </c>
    </row>
    <row r="44" spans="1:32" ht="11.25" customHeight="1" x14ac:dyDescent="0.3">
      <c r="A44" s="284"/>
      <c r="B44" s="255"/>
      <c r="C44" s="287"/>
      <c r="D44" s="288"/>
      <c r="E44" s="289"/>
      <c r="F44" s="289"/>
      <c r="G44" s="269"/>
      <c r="H44" s="289"/>
      <c r="I44" s="270"/>
      <c r="J44" s="270"/>
      <c r="K44" s="232"/>
      <c r="L44" s="232"/>
      <c r="M44" s="273"/>
      <c r="N44" s="273"/>
      <c r="O44" s="236"/>
      <c r="P44" s="236"/>
      <c r="Q44" s="270"/>
      <c r="R44" s="270"/>
      <c r="S44" s="232"/>
      <c r="T44" s="232"/>
      <c r="U44" s="273"/>
      <c r="V44" s="273"/>
      <c r="W44" s="236"/>
      <c r="X44" s="236"/>
      <c r="Y44" s="276"/>
      <c r="Z44" s="276"/>
      <c r="AA44" s="278"/>
      <c r="AB44" s="278"/>
      <c r="AC44" s="280"/>
      <c r="AD44" s="280"/>
      <c r="AE44" s="282"/>
      <c r="AF44" s="282"/>
    </row>
    <row r="45" spans="1:32" ht="11.25" customHeight="1" x14ac:dyDescent="0.3">
      <c r="A45" s="284" t="str">
        <f>'Proposed Budget'!A45</f>
        <v>S</v>
      </c>
      <c r="B45" s="255">
        <f>'Proposed Budget'!B45</f>
        <v>36</v>
      </c>
      <c r="C45" s="287" t="str">
        <f>'Proposed Budget'!C45</f>
        <v>Kids Savings</v>
      </c>
      <c r="D45" s="288">
        <f t="shared" ref="D45:D46" ca="1" si="49">(E45/(TODAY()-$I$1))*30.42</f>
        <v>55.987730061349694</v>
      </c>
      <c r="E45" s="289">
        <f t="shared" ref="E45:E46" si="50">Q45+S45+U45+W45+Y45+AA45+AC45+AE45+I45+K45+M45+O45</f>
        <v>300</v>
      </c>
      <c r="F45" s="289">
        <f>J45+L45+N45+P45+R45</f>
        <v>0</v>
      </c>
      <c r="G45" s="269">
        <f t="shared" ref="G45:G46" si="51">1-((E45/SUM(E45:F45)))</f>
        <v>0</v>
      </c>
      <c r="H45" s="289">
        <f>'Proposed Budget'!D45</f>
        <v>50</v>
      </c>
      <c r="I45" s="270">
        <f>SUMIFS('Checking Transaction Log'!E:E,'Checking Transaction Log'!C:C,"&gt;="&amp;I1,'Checking Transaction Log'!C:C,"&lt;="&amp;J1,'Checking Transaction Log'!A:A,"S",'Checking Transaction Log'!B:B,36)</f>
        <v>50</v>
      </c>
      <c r="J45" s="270">
        <f t="shared" ref="J45:J46" si="52">H45-I45</f>
        <v>0</v>
      </c>
      <c r="K45" s="232">
        <f>SUMIFS('Checking Transaction Log'!E:E,'Checking Transaction Log'!C:C,"&gt;="&amp;K1,'Checking Transaction Log'!C:C,"&lt;="&amp;L1,'Checking Transaction Log'!A:A,"S",'Checking Transaction Log'!B:B,36)</f>
        <v>50</v>
      </c>
      <c r="L45" s="232">
        <f t="shared" ref="L45:L46" si="53">H45-K45</f>
        <v>0</v>
      </c>
      <c r="M45" s="273">
        <f>SUMIFS('Checking Transaction Log'!$E:$E,'Checking Transaction Log'!$C:$C,"&gt;="&amp;M1,'Checking Transaction Log'!$C:$C,"&lt;="&amp;N1,'Checking Transaction Log'!$A:$A,"s",'Checking Transaction Log'!$B:$B,36)</f>
        <v>50</v>
      </c>
      <c r="N45" s="273">
        <f t="shared" ref="N45:N46" si="54">H45-M45</f>
        <v>0</v>
      </c>
      <c r="O45" s="236">
        <f>SUMIFS('Checking Transaction Log'!$E:$E,'Checking Transaction Log'!$C:$C,"&gt;="&amp;O1,'Checking Transaction Log'!$C:$C,"&lt;="&amp;P1,'Checking Transaction Log'!$A:$A,"s",'Checking Transaction Log'!$B:$B,36)</f>
        <v>50</v>
      </c>
      <c r="P45" s="236">
        <f t="shared" ref="P45:P46" si="55">H45-O45</f>
        <v>0</v>
      </c>
      <c r="Q45" s="270">
        <f>SUMIFS('Checking Transaction Log'!$E:$E,'Checking Transaction Log'!$C:$C,"&gt;="&amp;Q1,'Checking Transaction Log'!$C:$C,"&lt;="&amp;R1,'Checking Transaction Log'!$A:$A,"s",'Checking Transaction Log'!$B:$B,36)</f>
        <v>50</v>
      </c>
      <c r="R45" s="270">
        <f t="shared" ref="R45:R46" si="56">H45-Q45</f>
        <v>0</v>
      </c>
      <c r="S45" s="232">
        <f>SUMIFS('Checking Transaction Log'!$E:$E,'Checking Transaction Log'!$C:$C,"&gt;="&amp;S1,'Checking Transaction Log'!$C:$C,"&lt;="&amp;T1,'Checking Transaction Log'!$A:$A,"s",'Checking Transaction Log'!$B:$B,36)</f>
        <v>50</v>
      </c>
      <c r="T45" s="232">
        <f t="shared" ref="T45:T46" si="57">H45-S45</f>
        <v>0</v>
      </c>
      <c r="U45" s="273">
        <f>SUMIFS('Checking Transaction Log'!$E:$E,'Checking Transaction Log'!$C:$C,"&gt;="&amp;U1,'Checking Transaction Log'!$C:$C,"&lt;="&amp;V1,'Checking Transaction Log'!$A:$A,"s",'Checking Transaction Log'!$B:$B,36)</f>
        <v>0</v>
      </c>
      <c r="V45" s="273">
        <f t="shared" ref="V45:V46" si="58">H45-U45</f>
        <v>50</v>
      </c>
      <c r="W45" s="236">
        <f>SUMIFS('Checking Transaction Log'!$E:$E,'Checking Transaction Log'!$C:$C,"&gt;="&amp;W1,'Checking Transaction Log'!$C:$C,"&lt;="&amp;X1,'Checking Transaction Log'!$A:$A,"s",'Checking Transaction Log'!$B:$B,36)</f>
        <v>0</v>
      </c>
      <c r="X45" s="236">
        <f t="shared" ref="X45:X46" si="59">H45-W45</f>
        <v>50</v>
      </c>
      <c r="Y45" s="276">
        <f>SUMIFS('Checking Transaction Log'!$E:$E,'Checking Transaction Log'!$C:$C,"&gt;="&amp;Y1,'Checking Transaction Log'!$C:$C,"&lt;="&amp;Z1,'Checking Transaction Log'!$A:$A,"s",'Checking Transaction Log'!$B:$B,36)</f>
        <v>0</v>
      </c>
      <c r="Z45" s="276">
        <f t="shared" ref="Z45:Z46" si="60">H45-Y45</f>
        <v>50</v>
      </c>
      <c r="AA45" s="278">
        <f>SUMIFS('Checking Transaction Log'!$E:$E,'Checking Transaction Log'!$C:$C,"&gt;="&amp;AA1,'Checking Transaction Log'!$C:$C,"&lt;="&amp;AB1,'Checking Transaction Log'!$A:$A,"s",'Checking Transaction Log'!$B:$B,36)</f>
        <v>0</v>
      </c>
      <c r="AB45" s="278">
        <f t="shared" ref="AB45:AB46" si="61">H45-AA45</f>
        <v>50</v>
      </c>
      <c r="AC45" s="280">
        <f>SUMIFS('Checking Transaction Log'!$E:$E,'Checking Transaction Log'!$C:$C,"&gt;="&amp;AC1,'Checking Transaction Log'!$C:$C,"&lt;="&amp;AD1,'Checking Transaction Log'!$A:$A,"s",'Checking Transaction Log'!$B:$B,36)</f>
        <v>0</v>
      </c>
      <c r="AD45" s="280">
        <f t="shared" ref="AD45:AD46" si="62">H45-AC45</f>
        <v>50</v>
      </c>
      <c r="AE45" s="282">
        <f>SUMIFS('Checking Transaction Log'!$E:$E,'Checking Transaction Log'!$C:$C,"&gt;="&amp;AE1,'Checking Transaction Log'!$C:$C,"&lt;="&amp;AF1,'Checking Transaction Log'!$A:$A,"s",'Checking Transaction Log'!$B:$B,36)</f>
        <v>0</v>
      </c>
      <c r="AF45" s="282">
        <f t="shared" ref="AF45:AF46" si="63">H45-AE45</f>
        <v>50</v>
      </c>
    </row>
    <row r="46" spans="1:32" ht="11.25" customHeight="1" x14ac:dyDescent="0.3">
      <c r="A46" s="284" t="str">
        <f>'Proposed Budget'!A46</f>
        <v>S</v>
      </c>
      <c r="B46" s="255">
        <f>'Proposed Budget'!B46</f>
        <v>37</v>
      </c>
      <c r="C46" s="287" t="str">
        <f>'Proposed Budget'!C46</f>
        <v>Our Savings</v>
      </c>
      <c r="D46" s="288">
        <f t="shared" ca="1" si="49"/>
        <v>3367.9064429447853</v>
      </c>
      <c r="E46" s="289">
        <f t="shared" si="50"/>
        <v>18046.309999999998</v>
      </c>
      <c r="F46" s="289">
        <f>J46+L46+N46+P46+R46</f>
        <v>2039.6075257999851</v>
      </c>
      <c r="G46" s="269">
        <f t="shared" si="51"/>
        <v>0.1015441551614531</v>
      </c>
      <c r="H46" s="289">
        <f>'Proposed Budget'!D46</f>
        <v>4017.1835051599969</v>
      </c>
      <c r="I46" s="270">
        <f>SUMIFS('Checking Transaction Log'!E:E,'Checking Transaction Log'!C:C,"&gt;="&amp;I1,'Checking Transaction Log'!C:C,"&lt;="&amp;J1,'Checking Transaction Log'!A:A,"S",'Checking Transaction Log'!B:B,37)</f>
        <v>3194.64</v>
      </c>
      <c r="J46" s="270">
        <f t="shared" si="52"/>
        <v>822.54350515999704</v>
      </c>
      <c r="K46" s="232">
        <f>SUMIFS('Checking Transaction Log'!E:E,'Checking Transaction Log'!C:C,"&gt;="&amp;K1,'Checking Transaction Log'!C:C,"&lt;="&amp;L1,'Checking Transaction Log'!A:A,"S",'Checking Transaction Log'!B:B,37)</f>
        <v>3764.91</v>
      </c>
      <c r="L46" s="232">
        <f t="shared" si="53"/>
        <v>252.27350515999706</v>
      </c>
      <c r="M46" s="273">
        <f>SUMIFS('Checking Transaction Log'!$E:$E,'Checking Transaction Log'!$C:$C,"&gt;="&amp;M1,'Checking Transaction Log'!$C:$C,"&lt;="&amp;N1,'Checking Transaction Log'!$A:$A,"s",'Checking Transaction Log'!$B:$B,37)</f>
        <v>4309.58</v>
      </c>
      <c r="N46" s="273">
        <f t="shared" si="54"/>
        <v>-292.39649484000302</v>
      </c>
      <c r="O46" s="236">
        <f>SUMIFS('Checking Transaction Log'!$E:$E,'Checking Transaction Log'!$C:$C,"&gt;="&amp;O1,'Checking Transaction Log'!$C:$C,"&lt;="&amp;P1,'Checking Transaction Log'!$A:$A,"s",'Checking Transaction Log'!$B:$B,37)</f>
        <v>5616.82</v>
      </c>
      <c r="P46" s="236">
        <f t="shared" si="55"/>
        <v>-1599.6364948400028</v>
      </c>
      <c r="Q46" s="270">
        <f>SUMIFS('Checking Transaction Log'!$E:$E,'Checking Transaction Log'!$C:$C,"&gt;="&amp;Q1,'Checking Transaction Log'!$C:$C,"&lt;="&amp;R1,'Checking Transaction Log'!$A:$A,"s",'Checking Transaction Log'!$B:$B,37)</f>
        <v>1160.3599999999999</v>
      </c>
      <c r="R46" s="270">
        <f t="shared" si="56"/>
        <v>2856.8235051599968</v>
      </c>
      <c r="S46" s="232">
        <f>SUMIFS('Checking Transaction Log'!$E:$E,'Checking Transaction Log'!$C:$C,"&gt;="&amp;S1,'Checking Transaction Log'!$C:$C,"&lt;="&amp;T1,'Checking Transaction Log'!$A:$A,"s",'Checking Transaction Log'!$B:$B,37)</f>
        <v>0</v>
      </c>
      <c r="T46" s="232">
        <f t="shared" si="57"/>
        <v>4017.1835051599969</v>
      </c>
      <c r="U46" s="273">
        <f>SUMIFS('Checking Transaction Log'!$E:$E,'Checking Transaction Log'!$C:$C,"&gt;="&amp;U1,'Checking Transaction Log'!$C:$C,"&lt;="&amp;V1,'Checking Transaction Log'!$A:$A,"s",'Checking Transaction Log'!$B:$B,37)</f>
        <v>0</v>
      </c>
      <c r="V46" s="273">
        <f t="shared" si="58"/>
        <v>4017.1835051599969</v>
      </c>
      <c r="W46" s="236">
        <f>SUMIFS('Checking Transaction Log'!$E:$E,'Checking Transaction Log'!$C:$C,"&gt;="&amp;W1,'Checking Transaction Log'!$C:$C,"&lt;="&amp;X1,'Checking Transaction Log'!$A:$A,"s",'Checking Transaction Log'!$B:$B,37)</f>
        <v>0</v>
      </c>
      <c r="X46" s="236">
        <f t="shared" si="59"/>
        <v>4017.1835051599969</v>
      </c>
      <c r="Y46" s="276">
        <f>SUMIFS('Checking Transaction Log'!$E:$E,'Checking Transaction Log'!$C:$C,"&gt;="&amp;Y1,'Checking Transaction Log'!$C:$C,"&lt;="&amp;Z1,'Checking Transaction Log'!$A:$A,"s",'Checking Transaction Log'!$B:$B,37)</f>
        <v>0</v>
      </c>
      <c r="Z46" s="276">
        <f t="shared" si="60"/>
        <v>4017.1835051599969</v>
      </c>
      <c r="AA46" s="278">
        <f>SUMIFS('Checking Transaction Log'!$E:$E,'Checking Transaction Log'!$C:$C,"&gt;="&amp;AA1,'Checking Transaction Log'!$C:$C,"&lt;="&amp;AB1,'Checking Transaction Log'!$A:$A,"s",'Checking Transaction Log'!$B:$B,37)</f>
        <v>0</v>
      </c>
      <c r="AB46" s="278">
        <f t="shared" si="61"/>
        <v>4017.1835051599969</v>
      </c>
      <c r="AC46" s="280">
        <f>SUMIFS('Checking Transaction Log'!$E:$E,'Checking Transaction Log'!$C:$C,"&gt;="&amp;AC1,'Checking Transaction Log'!$C:$C,"&lt;="&amp;AD1,'Checking Transaction Log'!$A:$A,"s",'Checking Transaction Log'!$B:$B,37)</f>
        <v>0</v>
      </c>
      <c r="AD46" s="280">
        <f t="shared" si="62"/>
        <v>4017.1835051599969</v>
      </c>
      <c r="AE46" s="282">
        <f>SUMIFS('Checking Transaction Log'!$E:$E,'Checking Transaction Log'!$C:$C,"&gt;="&amp;AE1,'Checking Transaction Log'!$C:$C,"&lt;="&amp;AF1,'Checking Transaction Log'!$A:$A,"s",'Checking Transaction Log'!$B:$B,37)</f>
        <v>0</v>
      </c>
      <c r="AF46" s="282">
        <f t="shared" si="63"/>
        <v>4017.1835051599969</v>
      </c>
    </row>
    <row r="47" spans="1:32" ht="11.25" customHeight="1" x14ac:dyDescent="0.3">
      <c r="A47" s="284"/>
      <c r="B47" s="255"/>
      <c r="C47" s="287"/>
      <c r="D47" s="291"/>
      <c r="E47" s="245" t="s">
        <v>68</v>
      </c>
      <c r="F47" s="245" t="s">
        <v>68</v>
      </c>
      <c r="G47" s="246" t="s">
        <v>153</v>
      </c>
      <c r="H47" s="286"/>
      <c r="I47" s="270"/>
      <c r="J47" s="270"/>
      <c r="K47" s="232"/>
      <c r="L47" s="232"/>
      <c r="M47" s="273"/>
      <c r="N47" s="273"/>
      <c r="O47" s="236"/>
      <c r="P47" s="236"/>
      <c r="Q47" s="270"/>
      <c r="R47" s="270"/>
      <c r="S47" s="232"/>
      <c r="T47" s="232"/>
      <c r="U47" s="273"/>
      <c r="V47" s="273"/>
      <c r="W47" s="236"/>
      <c r="X47" s="236"/>
      <c r="Y47" s="276"/>
      <c r="Z47" s="276"/>
      <c r="AA47" s="278"/>
      <c r="AB47" s="278"/>
      <c r="AC47" s="280"/>
      <c r="AD47" s="280"/>
      <c r="AE47" s="282"/>
    </row>
    <row r="48" spans="1:32" ht="11.25" customHeight="1" x14ac:dyDescent="0.3">
      <c r="A48" s="284"/>
      <c r="B48" s="255"/>
      <c r="C48" s="287"/>
      <c r="D48" s="291"/>
      <c r="E48" s="245" t="s">
        <v>263</v>
      </c>
      <c r="F48" s="245" t="s">
        <v>258</v>
      </c>
      <c r="G48" s="246" t="s">
        <v>264</v>
      </c>
      <c r="H48" s="284"/>
      <c r="I48" s="271"/>
      <c r="J48" s="271"/>
      <c r="K48" s="272"/>
      <c r="L48" s="272"/>
      <c r="M48" s="274"/>
      <c r="N48" s="274"/>
      <c r="O48" s="275"/>
      <c r="P48" s="275"/>
      <c r="Q48" s="271"/>
      <c r="R48" s="271"/>
      <c r="S48" s="272"/>
      <c r="T48" s="272"/>
      <c r="U48" s="274"/>
      <c r="V48" s="274"/>
      <c r="W48" s="275"/>
      <c r="X48" s="275"/>
      <c r="Y48" s="277"/>
      <c r="Z48" s="277"/>
      <c r="AA48" s="279"/>
      <c r="AB48" s="279"/>
      <c r="AC48" s="281"/>
      <c r="AD48" s="281"/>
      <c r="AE48" s="283"/>
    </row>
    <row r="49" spans="1:31" ht="11.25" customHeight="1" x14ac:dyDescent="0.3">
      <c r="A49" s="286" t="s">
        <v>226</v>
      </c>
      <c r="B49" s="255">
        <v>38</v>
      </c>
      <c r="C49" s="292" t="s">
        <v>265</v>
      </c>
      <c r="D49" s="288">
        <f t="shared" ref="D49:D52" ca="1" si="64">(E49/(TODAY()-$I$1))*30.42</f>
        <v>9197.2499852760739</v>
      </c>
      <c r="E49" s="268">
        <f t="shared" ref="E49:E52" si="65">Q49+S49+U49+W49+Y49+AA49+AC49+AE49+I49+K49+M49+O49</f>
        <v>49281.78</v>
      </c>
      <c r="F49" s="268">
        <f>E49-('Proposed Budget'!J68*14)</f>
        <v>-15087.788043619992</v>
      </c>
      <c r="G49" s="246">
        <f t="shared" ref="G49:G50" si="66">(E49/(E49-F49))-1</f>
        <v>-0.23439318457746627</v>
      </c>
      <c r="H49" s="286"/>
      <c r="I49" s="270">
        <f>SUMIFS('Checking Transaction Log'!F:F,'Checking Transaction Log'!C:C,"&gt;="&amp;I1,'Checking Transaction Log'!C:C,"&lt;="&amp;J1,'Checking Transaction Log'!A:A,"i",'Checking Transaction Log'!B:B,38)</f>
        <v>8731.32</v>
      </c>
      <c r="J49" s="270"/>
      <c r="K49" s="232">
        <f>SUMIFS('Checking Transaction Log'!F:F,'Checking Transaction Log'!C:C,"&gt;="&amp;K1,'Checking Transaction Log'!C:C,"&lt;="&amp;L1,'Checking Transaction Log'!A:A,"i",'Checking Transaction Log'!B:B,38)</f>
        <v>8556.31</v>
      </c>
      <c r="L49" s="232"/>
      <c r="M49" s="273">
        <f>SUMIFS('Checking Transaction Log'!$F:$F,'Checking Transaction Log'!$C:$C,"&gt;="&amp;M1,'Checking Transaction Log'!$C:$C,"&lt;="&amp;N1,'Checking Transaction Log'!$A:$A,"i",'Checking Transaction Log'!$B:$B,38)</f>
        <v>9005.0600000000013</v>
      </c>
      <c r="N49" s="273"/>
      <c r="O49" s="236">
        <f>SUMIFS('Checking Transaction Log'!$F:$F,'Checking Transaction Log'!$C:$C,"&gt;="&amp;O1,'Checking Transaction Log'!$C:$C,"&lt;="&amp;P1,'Checking Transaction Log'!$A:$A,"i",'Checking Transaction Log'!$B:$B,38)</f>
        <v>9195.64</v>
      </c>
      <c r="P49" s="236"/>
      <c r="Q49" s="270">
        <f>SUMIFS('Checking Transaction Log'!$F:$F,'Checking Transaction Log'!$C:$C,"&gt;="&amp;Q1,'Checking Transaction Log'!$C:$C,"&lt;="&amp;R1,'Checking Transaction Log'!$A:$A,"i",'Checking Transaction Log'!$B:$B,38)</f>
        <v>9195.630000000001</v>
      </c>
      <c r="R49" s="270"/>
      <c r="S49" s="232">
        <f>SUMIFS('Checking Transaction Log'!$F:$F,'Checking Transaction Log'!$C:$C,"&gt;="&amp;S1,'Checking Transaction Log'!$C:$C,"&lt;="&amp;T1,'Checking Transaction Log'!$A:$A,"i",'Checking Transaction Log'!$B:$B,38)</f>
        <v>4597.82</v>
      </c>
      <c r="T49" s="232"/>
      <c r="U49" s="273">
        <f>SUMIFS('Checking Transaction Log'!$F:$F,'Checking Transaction Log'!$C:$C,"&gt;="&amp;U1,'Checking Transaction Log'!$C:$C,"&lt;="&amp;V1,'Checking Transaction Log'!$A:$A,"i",'Checking Transaction Log'!$B:$B,38)</f>
        <v>0</v>
      </c>
      <c r="V49" s="273"/>
      <c r="W49" s="236">
        <f>SUMIFS('Checking Transaction Log'!$F:$F,'Checking Transaction Log'!$C:$C,"&gt;="&amp;W1,'Checking Transaction Log'!$C:$C,"&lt;="&amp;X1,'Checking Transaction Log'!$A:$A,"i",'Checking Transaction Log'!$B:$B,38)</f>
        <v>0</v>
      </c>
      <c r="X49" s="236"/>
      <c r="Y49" s="276">
        <f>SUMIFS('Checking Transaction Log'!$F:$F,'Checking Transaction Log'!$C:$C,"&gt;="&amp;Y1,'Checking Transaction Log'!$C:$C,"&lt;="&amp;Z1,'Checking Transaction Log'!$A:$A,"i",'Checking Transaction Log'!$B:$B,38)</f>
        <v>0</v>
      </c>
      <c r="Z49" s="276"/>
      <c r="AA49" s="278">
        <f>SUMIFS('Checking Transaction Log'!$F:$F,'Checking Transaction Log'!$C:$C,"&gt;="&amp;AA1,'Checking Transaction Log'!$C:$C,"&lt;="&amp;AB1,'Checking Transaction Log'!$A:$A,"i",'Checking Transaction Log'!$B:$B,38)</f>
        <v>0</v>
      </c>
      <c r="AB49" s="278"/>
      <c r="AC49" s="280">
        <f>SUMIFS('Checking Transaction Log'!$F:$F,'Checking Transaction Log'!$C:$C,"&gt;="&amp;AC1,'Checking Transaction Log'!$C:$C,"&lt;="&amp;AD1,'Checking Transaction Log'!$A:$A,"i",'Checking Transaction Log'!$B:$B,38)</f>
        <v>0</v>
      </c>
      <c r="AD49" s="280"/>
      <c r="AE49" s="282">
        <f>SUMIFS('Checking Transaction Log'!$F:$F,'Checking Transaction Log'!$C:$C,"&gt;="&amp;AE1,'Checking Transaction Log'!$C:$C,"&lt;="&amp;AF1,'Checking Transaction Log'!$A:$A,"i",'Checking Transaction Log'!$B:$B,38)</f>
        <v>0</v>
      </c>
    </row>
    <row r="50" spans="1:31" ht="11.25" customHeight="1" x14ac:dyDescent="0.3">
      <c r="A50" s="286" t="s">
        <v>226</v>
      </c>
      <c r="B50" s="255">
        <v>39</v>
      </c>
      <c r="C50" s="292" t="s">
        <v>266</v>
      </c>
      <c r="D50" s="288">
        <f t="shared" ca="1" si="64"/>
        <v>6297.845134969325</v>
      </c>
      <c r="E50" s="268">
        <f t="shared" si="65"/>
        <v>33745.85</v>
      </c>
      <c r="F50" s="268">
        <f>E50-('Proposed Budget'!J44*14)</f>
        <v>-4947.1190699999934</v>
      </c>
      <c r="G50" s="246">
        <f t="shared" si="66"/>
        <v>-0.12785576265936305</v>
      </c>
      <c r="H50" s="286"/>
      <c r="I50" s="270">
        <f>SUMIFS('Checking Transaction Log'!F:F,'Checking Transaction Log'!C:C,"&gt;="&amp;I1,'Checking Transaction Log'!C:C,"&lt;="&amp;J1,'Checking Transaction Log'!A:A,"i",'Checking Transaction Log'!B:B,39)</f>
        <v>6108.04</v>
      </c>
      <c r="J50" s="270"/>
      <c r="K50" s="232">
        <f>SUMIFS('Checking Transaction Log'!F:F,'Checking Transaction Log'!C:C,"&gt;="&amp;K1,'Checking Transaction Log'!C:C,"&lt;="&amp;L1,'Checking Transaction Log'!A:A,"i",'Checking Transaction Log'!B:B,39)</f>
        <v>5527.5599999999995</v>
      </c>
      <c r="L50" s="232"/>
      <c r="M50" s="273">
        <f>SUMIFS('Checking Transaction Log'!$F:$F,'Checking Transaction Log'!$C:$C,"&gt;="&amp;M1,'Checking Transaction Log'!$C:$C,"&lt;="&amp;N1,'Checking Transaction Log'!$A:$A,"i",'Checking Transaction Log'!$B:$B,39)</f>
        <v>5527.56</v>
      </c>
      <c r="N50" s="273"/>
      <c r="O50" s="236">
        <f>SUMIFS('Checking Transaction Log'!$F:$F,'Checking Transaction Log'!$C:$C,"&gt;="&amp;O1,'Checking Transaction Log'!$C:$C,"&lt;="&amp;P1,'Checking Transaction Log'!$A:$A,"i",'Checking Transaction Log'!$B:$B,39)</f>
        <v>8291.34</v>
      </c>
      <c r="P50" s="236"/>
      <c r="Q50" s="270">
        <f>SUMIFS('Checking Transaction Log'!$F:$F,'Checking Transaction Log'!$C:$C,"&gt;="&amp;Q1,'Checking Transaction Log'!$C:$C,"&lt;="&amp;R1,'Checking Transaction Log'!$A:$A,"i",'Checking Transaction Log'!$B:$B,39)</f>
        <v>5527.57</v>
      </c>
      <c r="R50" s="270"/>
      <c r="S50" s="232">
        <f>SUMIFS('Checking Transaction Log'!$F:$F,'Checking Transaction Log'!$C:$C,"&gt;="&amp;S1,'Checking Transaction Log'!$C:$C,"&lt;="&amp;T1,'Checking Transaction Log'!$A:$A,"i",'Checking Transaction Log'!$B:$B,39)</f>
        <v>2763.78</v>
      </c>
      <c r="T50" s="232"/>
      <c r="U50" s="273">
        <f>SUMIFS('Checking Transaction Log'!$F:$F,'Checking Transaction Log'!$C:$C,"&gt;="&amp;U1,'Checking Transaction Log'!$C:$C,"&lt;="&amp;V1,'Checking Transaction Log'!$A:$A,"i",'Checking Transaction Log'!$B:$B,39)</f>
        <v>0</v>
      </c>
      <c r="V50" s="273"/>
      <c r="W50" s="236">
        <f>SUMIFS('Checking Transaction Log'!$F:$F,'Checking Transaction Log'!$C:$C,"&gt;="&amp;W1,'Checking Transaction Log'!$C:$C,"&lt;="&amp;X1,'Checking Transaction Log'!$A:$A,"i",'Checking Transaction Log'!$B:$B,39)</f>
        <v>0</v>
      </c>
      <c r="X50" s="236"/>
      <c r="Y50" s="276">
        <f>SUMIFS('Checking Transaction Log'!$F:$F,'Checking Transaction Log'!$C:$C,"&gt;="&amp;Y1,'Checking Transaction Log'!$C:$C,"&lt;="&amp;Z1,'Checking Transaction Log'!$A:$A,"i",'Checking Transaction Log'!$B:$B,39)</f>
        <v>0</v>
      </c>
      <c r="Z50" s="276"/>
      <c r="AA50" s="278">
        <f>SUMIFS('Checking Transaction Log'!$F:$F,'Checking Transaction Log'!$C:$C,"&gt;="&amp;AA1,'Checking Transaction Log'!$C:$C,"&lt;="&amp;AB1,'Checking Transaction Log'!$A:$A,"i",'Checking Transaction Log'!$B:$B,39)</f>
        <v>0</v>
      </c>
      <c r="AB50" s="278"/>
      <c r="AC50" s="280">
        <f>SUMIFS('Checking Transaction Log'!$F:$F,'Checking Transaction Log'!$C:$C,"&gt;="&amp;AC1,'Checking Transaction Log'!$C:$C,"&lt;="&amp;AD1,'Checking Transaction Log'!$A:$A,"i",'Checking Transaction Log'!$B:$B,39)</f>
        <v>0</v>
      </c>
      <c r="AD50" s="280"/>
      <c r="AE50" s="282">
        <f>SUMIFS('Checking Transaction Log'!$F:$F,'Checking Transaction Log'!$C:$C,"&gt;="&amp;AE1,'Checking Transaction Log'!$C:$C,"&lt;="&amp;AF1,'Checking Transaction Log'!$A:$A,"i",'Checking Transaction Log'!$B:$B,39)</f>
        <v>0</v>
      </c>
    </row>
    <row r="51" spans="1:31" ht="11.25" customHeight="1" x14ac:dyDescent="0.3">
      <c r="A51" s="286" t="s">
        <v>226</v>
      </c>
      <c r="B51" s="255">
        <v>40</v>
      </c>
      <c r="C51" s="292" t="s">
        <v>267</v>
      </c>
      <c r="D51" s="288">
        <f t="shared" ca="1" si="64"/>
        <v>1018.8423165644175</v>
      </c>
      <c r="E51" s="268">
        <f t="shared" si="65"/>
        <v>5459.2800000000007</v>
      </c>
      <c r="F51" s="268"/>
      <c r="G51" s="246"/>
      <c r="H51" s="286"/>
      <c r="I51" s="270">
        <f>SUMIFS('Checking Transaction Log'!F:F,'Checking Transaction Log'!C:C,"&gt;="&amp;I1,'Checking Transaction Log'!C:C,"&lt;="&amp;J1,'Checking Transaction Log'!A:A,"i",'Checking Transaction Log'!B:B,40)</f>
        <v>0</v>
      </c>
      <c r="J51" s="270"/>
      <c r="K51" s="232">
        <f>SUMIFS('Checking Transaction Log'!F:F,'Checking Transaction Log'!C:C,"&gt;="&amp;K1,'Checking Transaction Log'!C:C,"&lt;="&amp;L1,'Checking Transaction Log'!A:A,"i",'Checking Transaction Log'!B:B,40)</f>
        <v>2531.75</v>
      </c>
      <c r="L51" s="232"/>
      <c r="M51" s="273">
        <f>SUMIFS('Checking Transaction Log'!$F:$F,'Checking Transaction Log'!$C:$C,"&gt;="&amp;M1,'Checking Transaction Log'!$C:$C,"&lt;="&amp;N1,'Checking Transaction Log'!$A:$A,"i",'Checking Transaction Log'!$B:$B,40)</f>
        <v>838.67</v>
      </c>
      <c r="N51" s="273"/>
      <c r="O51" s="236">
        <f>SUMIFS('Checking Transaction Log'!$F:$F,'Checking Transaction Log'!$C:$C,"&gt;="&amp;O1,'Checking Transaction Log'!$C:$C,"&lt;="&amp;P1,'Checking Transaction Log'!$A:$A,"i",'Checking Transaction Log'!$B:$B,40)</f>
        <v>838.69</v>
      </c>
      <c r="P51" s="236"/>
      <c r="Q51" s="270">
        <f>SUMIFS('Checking Transaction Log'!$F:$F,'Checking Transaction Log'!$C:$C,"&gt;="&amp;Q1,'Checking Transaction Log'!$C:$C,"&lt;="&amp;R1,'Checking Transaction Log'!$A:$A,"i",'Checking Transaction Log'!$B:$B,40)</f>
        <v>0</v>
      </c>
      <c r="R51" s="270"/>
      <c r="S51" s="232">
        <f>SUMIFS('Checking Transaction Log'!$F:$F,'Checking Transaction Log'!$C:$C,"&gt;="&amp;S1,'Checking Transaction Log'!$C:$C,"&lt;="&amp;T1,'Checking Transaction Log'!$A:$A,"i",'Checking Transaction Log'!$B:$B,40)</f>
        <v>1250.17</v>
      </c>
      <c r="T51" s="232"/>
      <c r="U51" s="273">
        <f>SUMIFS('Checking Transaction Log'!$F:$F,'Checking Transaction Log'!$C:$C,"&gt;="&amp;U1,'Checking Transaction Log'!$C:$C,"&lt;="&amp;V1,'Checking Transaction Log'!$A:$A,"i",'Checking Transaction Log'!$B:$B,40)</f>
        <v>0</v>
      </c>
      <c r="V51" s="273"/>
      <c r="W51" s="236">
        <f>SUMIFS('Checking Transaction Log'!$F:$F,'Checking Transaction Log'!$C:$C,"&gt;="&amp;W1,'Checking Transaction Log'!$C:$C,"&lt;="&amp;X1,'Checking Transaction Log'!$A:$A,"i",'Checking Transaction Log'!$B:$B,40)</f>
        <v>0</v>
      </c>
      <c r="X51" s="236"/>
      <c r="Y51" s="276">
        <f>SUMIFS('Checking Transaction Log'!$F:$F,'Checking Transaction Log'!$C:$C,"&gt;="&amp;Y1,'Checking Transaction Log'!$C:$C,"&lt;="&amp;Z1,'Checking Transaction Log'!$A:$A,"i",'Checking Transaction Log'!$B:$B,40)</f>
        <v>0</v>
      </c>
      <c r="Z51" s="276"/>
      <c r="AA51" s="278">
        <f>SUMIFS('Checking Transaction Log'!$F:$F,'Checking Transaction Log'!$C:$C,"&gt;="&amp;AA1,'Checking Transaction Log'!$C:$C,"&lt;="&amp;AB1,'Checking Transaction Log'!$A:$A,"i",'Checking Transaction Log'!$B:$B,40)</f>
        <v>0</v>
      </c>
      <c r="AB51" s="278"/>
      <c r="AC51" s="280">
        <f>SUMIFS('Checking Transaction Log'!$F:$F,'Checking Transaction Log'!$C:$C,"&gt;="&amp;AC1,'Checking Transaction Log'!$C:$C,"&lt;="&amp;AD1,'Checking Transaction Log'!$A:$A,"i",'Checking Transaction Log'!$B:$B,40)</f>
        <v>0</v>
      </c>
      <c r="AD51" s="280"/>
      <c r="AE51" s="282">
        <f>SUMIFS('Checking Transaction Log'!$F:$F,'Checking Transaction Log'!$C:$C,"&gt;="&amp;AE1,'Checking Transaction Log'!$C:$C,"&lt;="&amp;AF1,'Checking Transaction Log'!$A:$A,"i",'Checking Transaction Log'!$B:$B,40)</f>
        <v>0</v>
      </c>
    </row>
    <row r="52" spans="1:31" ht="11.25" customHeight="1" x14ac:dyDescent="0.3">
      <c r="A52" s="286" t="s">
        <v>226</v>
      </c>
      <c r="B52" s="255">
        <v>41</v>
      </c>
      <c r="C52" s="292" t="s">
        <v>189</v>
      </c>
      <c r="D52" s="288">
        <f t="shared" ca="1" si="64"/>
        <v>746.50306748466267</v>
      </c>
      <c r="E52" s="268">
        <f t="shared" si="65"/>
        <v>4000</v>
      </c>
      <c r="F52" s="268"/>
      <c r="G52" s="246"/>
      <c r="H52" s="286"/>
      <c r="I52" s="270">
        <f>SUMIFS('Checking Transaction Log'!F:F,'Checking Transaction Log'!C:C,"&gt;="&amp;I1,'Checking Transaction Log'!C:C,"&lt;="&amp;J1,'Checking Transaction Log'!A:A,"i",'Checking Transaction Log'!B:B,41)</f>
        <v>800</v>
      </c>
      <c r="J52" s="270"/>
      <c r="K52" s="232">
        <f>SUMIFS('Checking Transaction Log'!F:F,'Checking Transaction Log'!C:C,"&gt;="&amp;K1,'Checking Transaction Log'!C:C,"&lt;="&amp;L1,'Checking Transaction Log'!A:A,"i",'Checking Transaction Log'!B:B,41)</f>
        <v>0</v>
      </c>
      <c r="L52" s="232"/>
      <c r="M52" s="273">
        <f>SUMIFS('Checking Transaction Log'!$F:$F,'Checking Transaction Log'!$C:$C,"&gt;="&amp;M1,'Checking Transaction Log'!$C:$C,"&lt;="&amp;N1,'Checking Transaction Log'!$A:$A,"i",'Checking Transaction Log'!$B:$B,41)</f>
        <v>1600</v>
      </c>
      <c r="N52" s="273"/>
      <c r="O52" s="236">
        <f>SUMIFS('Checking Transaction Log'!$F:$F,'Checking Transaction Log'!$C:$C,"&gt;="&amp;O1,'Checking Transaction Log'!$C:$C,"&lt;="&amp;P1,'Checking Transaction Log'!$A:$A,"i",'Checking Transaction Log'!$B:$B,41)</f>
        <v>550</v>
      </c>
      <c r="P52" s="236"/>
      <c r="Q52" s="270">
        <f>SUMIFS('Checking Transaction Log'!$F:$F,'Checking Transaction Log'!$C:$C,"&gt;="&amp;Q1,'Checking Transaction Log'!$C:$C,"&lt;="&amp;R1,'Checking Transaction Log'!$A:$A,"i",'Checking Transaction Log'!$B:$B,41)</f>
        <v>250</v>
      </c>
      <c r="R52" s="270"/>
      <c r="S52" s="232">
        <f>SUMIFS('Checking Transaction Log'!$F:$F,'Checking Transaction Log'!$C:$C,"&gt;="&amp;S1,'Checking Transaction Log'!$C:$C,"&lt;="&amp;T1,'Checking Transaction Log'!$A:$A,"i",'Checking Transaction Log'!$B:$B,41)</f>
        <v>800</v>
      </c>
      <c r="T52" s="232"/>
      <c r="U52" s="273">
        <f>SUMIFS('Checking Transaction Log'!$F:$F,'Checking Transaction Log'!$C:$C,"&gt;="&amp;U1,'Checking Transaction Log'!$C:$C,"&lt;="&amp;V1,'Checking Transaction Log'!$A:$A,"i",'Checking Transaction Log'!$B:$B,41)</f>
        <v>0</v>
      </c>
      <c r="V52" s="273"/>
      <c r="W52" s="236">
        <f>SUMIFS('Checking Transaction Log'!$F:$F,'Checking Transaction Log'!$C:$C,"&gt;="&amp;W1,'Checking Transaction Log'!$C:$C,"&lt;="&amp;X1,'Checking Transaction Log'!$A:$A,"i",'Checking Transaction Log'!$B:$B,41)</f>
        <v>0</v>
      </c>
      <c r="X52" s="236"/>
      <c r="Y52" s="276">
        <f>SUMIFS('Checking Transaction Log'!$F:$F,'Checking Transaction Log'!$C:$C,"&gt;="&amp;Y1,'Checking Transaction Log'!$C:$C,"&lt;="&amp;Z1,'Checking Transaction Log'!$A:$A,"i",'Checking Transaction Log'!$B:$B,41)</f>
        <v>0</v>
      </c>
      <c r="Z52" s="276"/>
      <c r="AA52" s="278">
        <f>SUMIFS('Checking Transaction Log'!$F:$F,'Checking Transaction Log'!$C:$C,"&gt;="&amp;AA1,'Checking Transaction Log'!$C:$C,"&lt;="&amp;AB1,'Checking Transaction Log'!$A:$A,"i",'Checking Transaction Log'!$B:$B,41)</f>
        <v>0</v>
      </c>
      <c r="AB52" s="278"/>
      <c r="AC52" s="280">
        <f>SUMIFS('Checking Transaction Log'!$F:$F,'Checking Transaction Log'!$C:$C,"&gt;="&amp;AC1,'Checking Transaction Log'!$C:$C,"&lt;="&amp;AD1,'Checking Transaction Log'!$A:$A,"i",'Checking Transaction Log'!$B:$B,41)</f>
        <v>0</v>
      </c>
      <c r="AD52" s="280"/>
      <c r="AE52" s="282">
        <f>SUMIFS('Checking Transaction Log'!$F:$F,'Checking Transaction Log'!$C:$C,"&gt;="&amp;AE1,'Checking Transaction Log'!$C:$C,"&lt;="&amp;AF1,'Checking Transaction Log'!$A:$A,"i",'Checking Transaction Log'!$B:$B,41)</f>
        <v>0</v>
      </c>
    </row>
    <row r="53" spans="1:31" ht="11.25" customHeight="1" x14ac:dyDescent="0.3">
      <c r="A53" s="188"/>
      <c r="B53" s="293"/>
      <c r="C53" s="294"/>
      <c r="D53" s="122"/>
      <c r="E53" s="295"/>
      <c r="F53" s="295"/>
      <c r="G53" s="296"/>
      <c r="H53" s="295"/>
      <c r="I53" s="295"/>
      <c r="J53" s="295"/>
      <c r="K53" s="295"/>
      <c r="L53" s="295"/>
      <c r="M53" s="295"/>
      <c r="N53" s="295"/>
      <c r="O53" s="295"/>
      <c r="P53" s="295"/>
      <c r="Q53" s="295"/>
      <c r="R53" s="295"/>
      <c r="S53" s="295"/>
      <c r="T53" s="295"/>
      <c r="U53" s="295"/>
      <c r="V53" s="295"/>
      <c r="W53" s="295"/>
      <c r="X53" s="295"/>
      <c r="Y53" s="295"/>
      <c r="Z53" s="295"/>
      <c r="AA53" s="295"/>
      <c r="AB53" s="295"/>
      <c r="AC53" s="295"/>
      <c r="AD53" s="295"/>
      <c r="AE53" s="295"/>
    </row>
    <row r="54" spans="1:31" ht="11.25" customHeight="1" x14ac:dyDescent="0.3">
      <c r="A54" s="188"/>
      <c r="B54" s="293"/>
      <c r="C54" s="294"/>
      <c r="D54" s="122"/>
      <c r="E54" s="297">
        <f>SUM(E49:E52)</f>
        <v>92486.91</v>
      </c>
      <c r="F54" s="297">
        <f>F49+F50+E52</f>
        <v>-16034.907113619985</v>
      </c>
      <c r="G54" s="246">
        <f>(E54/(E54-F54))-1</f>
        <v>-0.14775745135958962</v>
      </c>
      <c r="H54" s="295"/>
      <c r="I54" s="198">
        <f>SUM(I49:I52)</f>
        <v>15639.36</v>
      </c>
      <c r="J54" s="295"/>
      <c r="K54" s="198">
        <f>SUM(K49:K52)</f>
        <v>16615.62</v>
      </c>
      <c r="L54" s="295"/>
      <c r="M54" s="198">
        <f>SUM(M49:M52)</f>
        <v>16971.29</v>
      </c>
      <c r="N54" s="295"/>
      <c r="O54" s="198">
        <f>SUM(O49:O52)</f>
        <v>18875.669999999998</v>
      </c>
      <c r="P54" s="295"/>
      <c r="Q54" s="198">
        <f>SUM(Q49:Q52)</f>
        <v>14973.2</v>
      </c>
      <c r="R54" s="295"/>
      <c r="S54" s="198">
        <f>SUM(S49:S52)</f>
        <v>9411.77</v>
      </c>
      <c r="T54" s="295"/>
      <c r="U54" s="198">
        <f>SUM(U49:U52)</f>
        <v>0</v>
      </c>
      <c r="V54" s="295"/>
      <c r="W54" s="198">
        <f>SUM(W49:W52)</f>
        <v>0</v>
      </c>
      <c r="X54" s="295"/>
      <c r="Y54" s="198">
        <f>SUM(Y49:Y52)</f>
        <v>0</v>
      </c>
      <c r="Z54" s="295"/>
      <c r="AA54" s="198">
        <f>SUM(AA49:AA52)</f>
        <v>0</v>
      </c>
      <c r="AB54" s="295"/>
      <c r="AC54" s="198">
        <f>SUM(AC49:AC52)</f>
        <v>0</v>
      </c>
      <c r="AD54" s="295"/>
      <c r="AE54" s="198">
        <f>SUM(AE49:AE52)</f>
        <v>0</v>
      </c>
    </row>
    <row r="55" spans="1:31" ht="15.75" customHeight="1" x14ac:dyDescent="0.3">
      <c r="D55" s="11"/>
    </row>
    <row r="56" spans="1:31" ht="15.75" customHeight="1" x14ac:dyDescent="0.3">
      <c r="D56" s="11"/>
    </row>
    <row r="57" spans="1:31" ht="15.75" customHeight="1" x14ac:dyDescent="0.3">
      <c r="D57" s="11"/>
    </row>
    <row r="58" spans="1:31" ht="15.75" customHeight="1" x14ac:dyDescent="0.3">
      <c r="D58" s="11"/>
    </row>
    <row r="59" spans="1:31" ht="15.75" customHeight="1" x14ac:dyDescent="0.3">
      <c r="D59" s="11"/>
    </row>
    <row r="60" spans="1:31" ht="15.75" customHeight="1" x14ac:dyDescent="0.3">
      <c r="D60" s="11"/>
    </row>
    <row r="61" spans="1:31" ht="15.75" customHeight="1" x14ac:dyDescent="0.3">
      <c r="D61" s="11"/>
    </row>
    <row r="62" spans="1:31" ht="15.75" customHeight="1" x14ac:dyDescent="0.3">
      <c r="D62" s="11"/>
    </row>
    <row r="63" spans="1:31" ht="15.75" customHeight="1" x14ac:dyDescent="0.3">
      <c r="D63" s="11"/>
    </row>
    <row r="64" spans="1:31" ht="15.75" customHeight="1" x14ac:dyDescent="0.3">
      <c r="D64" s="11"/>
    </row>
    <row r="65" spans="4:4" ht="15.75" customHeight="1" x14ac:dyDescent="0.3">
      <c r="D65" s="11"/>
    </row>
    <row r="66" spans="4:4" ht="15.75" customHeight="1" x14ac:dyDescent="0.3">
      <c r="D66" s="11"/>
    </row>
    <row r="67" spans="4:4" ht="15.75" customHeight="1" x14ac:dyDescent="0.3">
      <c r="D67" s="11"/>
    </row>
    <row r="68" spans="4:4" ht="15.75" customHeight="1" x14ac:dyDescent="0.3">
      <c r="D68" s="11"/>
    </row>
    <row r="69" spans="4:4" ht="15.75" customHeight="1" x14ac:dyDescent="0.3">
      <c r="D69" s="11"/>
    </row>
    <row r="70" spans="4:4" ht="15.75" customHeight="1" x14ac:dyDescent="0.3">
      <c r="D70" s="11"/>
    </row>
    <row r="71" spans="4:4" ht="15.75" customHeight="1" x14ac:dyDescent="0.3">
      <c r="D71" s="11"/>
    </row>
    <row r="72" spans="4:4" ht="15.75" customHeight="1" x14ac:dyDescent="0.3">
      <c r="D72" s="11"/>
    </row>
    <row r="73" spans="4:4" ht="15.75" customHeight="1" x14ac:dyDescent="0.3">
      <c r="D73" s="11"/>
    </row>
    <row r="74" spans="4:4" ht="15.75" customHeight="1" x14ac:dyDescent="0.3">
      <c r="D74" s="11"/>
    </row>
    <row r="75" spans="4:4" ht="15.75" customHeight="1" x14ac:dyDescent="0.3">
      <c r="D75" s="11"/>
    </row>
    <row r="76" spans="4:4" ht="15.75" customHeight="1" x14ac:dyDescent="0.3">
      <c r="D76" s="11"/>
    </row>
    <row r="77" spans="4:4" ht="15.75" customHeight="1" x14ac:dyDescent="0.3">
      <c r="D77" s="11"/>
    </row>
    <row r="78" spans="4:4" ht="15.75" customHeight="1" x14ac:dyDescent="0.3">
      <c r="D78" s="11"/>
    </row>
    <row r="79" spans="4:4" ht="15.75" customHeight="1" x14ac:dyDescent="0.3">
      <c r="D79" s="11"/>
    </row>
    <row r="80" spans="4:4" ht="15.75" customHeight="1" x14ac:dyDescent="0.3">
      <c r="D80" s="11"/>
    </row>
    <row r="81" spans="4:4" ht="15.75" customHeight="1" x14ac:dyDescent="0.3">
      <c r="D81" s="11"/>
    </row>
    <row r="82" spans="4:4" ht="15.75" customHeight="1" x14ac:dyDescent="0.3">
      <c r="D82" s="11"/>
    </row>
    <row r="83" spans="4:4" ht="15.75" customHeight="1" x14ac:dyDescent="0.3">
      <c r="D83" s="11"/>
    </row>
    <row r="84" spans="4:4" ht="15.75" customHeight="1" x14ac:dyDescent="0.3">
      <c r="D84" s="11"/>
    </row>
    <row r="85" spans="4:4" ht="15.75" customHeight="1" x14ac:dyDescent="0.3">
      <c r="D85" s="11"/>
    </row>
    <row r="86" spans="4:4" ht="15.75" customHeight="1" x14ac:dyDescent="0.3">
      <c r="D86" s="11"/>
    </row>
    <row r="87" spans="4:4" ht="15.75" customHeight="1" x14ac:dyDescent="0.3">
      <c r="D87" s="11"/>
    </row>
    <row r="88" spans="4:4" ht="15.75" customHeight="1" x14ac:dyDescent="0.3">
      <c r="D88" s="11"/>
    </row>
    <row r="89" spans="4:4" ht="15.75" customHeight="1" x14ac:dyDescent="0.3">
      <c r="D89" s="11"/>
    </row>
    <row r="90" spans="4:4" ht="15.75" customHeight="1" x14ac:dyDescent="0.3">
      <c r="D90" s="11"/>
    </row>
    <row r="91" spans="4:4" ht="15.75" customHeight="1" x14ac:dyDescent="0.3">
      <c r="D91" s="11"/>
    </row>
    <row r="92" spans="4:4" ht="15.75" customHeight="1" x14ac:dyDescent="0.3">
      <c r="D92" s="11"/>
    </row>
    <row r="93" spans="4:4" ht="15.75" customHeight="1" x14ac:dyDescent="0.3">
      <c r="D93" s="11"/>
    </row>
    <row r="94" spans="4:4" ht="15.75" customHeight="1" x14ac:dyDescent="0.3">
      <c r="D94" s="11"/>
    </row>
    <row r="95" spans="4:4" ht="15.75" customHeight="1" x14ac:dyDescent="0.3">
      <c r="D95" s="11"/>
    </row>
    <row r="96" spans="4:4" ht="15.75" customHeight="1" x14ac:dyDescent="0.3">
      <c r="D96" s="11"/>
    </row>
    <row r="97" spans="4:4" ht="15.75" customHeight="1" x14ac:dyDescent="0.3">
      <c r="D97" s="11"/>
    </row>
    <row r="98" spans="4:4" ht="15.75" customHeight="1" x14ac:dyDescent="0.3">
      <c r="D98" s="11"/>
    </row>
    <row r="99" spans="4:4" ht="15.75" customHeight="1" x14ac:dyDescent="0.3">
      <c r="D99" s="11"/>
    </row>
    <row r="100" spans="4:4" ht="15.75" customHeight="1" x14ac:dyDescent="0.3">
      <c r="D100" s="11"/>
    </row>
    <row r="101" spans="4:4" ht="15.75" customHeight="1" x14ac:dyDescent="0.3">
      <c r="D101" s="11"/>
    </row>
    <row r="102" spans="4:4" ht="15.75" customHeight="1" x14ac:dyDescent="0.3">
      <c r="D102" s="11"/>
    </row>
    <row r="103" spans="4:4" ht="15.75" customHeight="1" x14ac:dyDescent="0.3">
      <c r="D103" s="11"/>
    </row>
    <row r="104" spans="4:4" ht="15.75" customHeight="1" x14ac:dyDescent="0.3">
      <c r="D104" s="11"/>
    </row>
    <row r="105" spans="4:4" ht="15.75" customHeight="1" x14ac:dyDescent="0.3">
      <c r="D105" s="11"/>
    </row>
    <row r="106" spans="4:4" ht="15.75" customHeight="1" x14ac:dyDescent="0.3">
      <c r="D106" s="11"/>
    </row>
    <row r="107" spans="4:4" ht="15.75" customHeight="1" x14ac:dyDescent="0.3">
      <c r="D107" s="11"/>
    </row>
    <row r="108" spans="4:4" ht="15.75" customHeight="1" x14ac:dyDescent="0.3">
      <c r="D108" s="11"/>
    </row>
    <row r="109" spans="4:4" ht="15.75" customHeight="1" x14ac:dyDescent="0.3">
      <c r="D109" s="11"/>
    </row>
    <row r="110" spans="4:4" ht="15.75" customHeight="1" x14ac:dyDescent="0.3">
      <c r="D110" s="11"/>
    </row>
    <row r="111" spans="4:4" ht="15.75" customHeight="1" x14ac:dyDescent="0.3">
      <c r="D111" s="11"/>
    </row>
    <row r="112" spans="4:4" ht="15.75" customHeight="1" x14ac:dyDescent="0.3">
      <c r="D112" s="11"/>
    </row>
    <row r="113" spans="4:4" ht="15.75" customHeight="1" x14ac:dyDescent="0.3">
      <c r="D113" s="11"/>
    </row>
    <row r="114" spans="4:4" ht="15.75" customHeight="1" x14ac:dyDescent="0.3">
      <c r="D114" s="11"/>
    </row>
    <row r="115" spans="4:4" ht="15.75" customHeight="1" x14ac:dyDescent="0.3">
      <c r="D115" s="11"/>
    </row>
    <row r="116" spans="4:4" ht="15.75" customHeight="1" x14ac:dyDescent="0.3">
      <c r="D116" s="11"/>
    </row>
    <row r="117" spans="4:4" ht="15.75" customHeight="1" x14ac:dyDescent="0.3">
      <c r="D117" s="11"/>
    </row>
    <row r="118" spans="4:4" ht="15.75" customHeight="1" x14ac:dyDescent="0.3">
      <c r="D118" s="11"/>
    </row>
    <row r="119" spans="4:4" ht="15.75" customHeight="1" x14ac:dyDescent="0.3">
      <c r="D119" s="11"/>
    </row>
    <row r="120" spans="4:4" ht="15.75" customHeight="1" x14ac:dyDescent="0.3">
      <c r="D120" s="11"/>
    </row>
    <row r="121" spans="4:4" ht="15.75" customHeight="1" x14ac:dyDescent="0.3">
      <c r="D121" s="11"/>
    </row>
    <row r="122" spans="4:4" ht="15.75" customHeight="1" x14ac:dyDescent="0.3">
      <c r="D122" s="11"/>
    </row>
    <row r="123" spans="4:4" ht="15.75" customHeight="1" x14ac:dyDescent="0.3">
      <c r="D123" s="11"/>
    </row>
    <row r="124" spans="4:4" ht="15.75" customHeight="1" x14ac:dyDescent="0.3">
      <c r="D124" s="11"/>
    </row>
    <row r="125" spans="4:4" ht="15.75" customHeight="1" x14ac:dyDescent="0.3">
      <c r="D125" s="11"/>
    </row>
    <row r="126" spans="4:4" ht="15.75" customHeight="1" x14ac:dyDescent="0.3">
      <c r="D126" s="11"/>
    </row>
    <row r="127" spans="4:4" ht="15.75" customHeight="1" x14ac:dyDescent="0.3">
      <c r="D127" s="11"/>
    </row>
    <row r="128" spans="4:4" ht="15.75" customHeight="1" x14ac:dyDescent="0.3">
      <c r="D128" s="11"/>
    </row>
    <row r="129" spans="4:4" ht="15.75" customHeight="1" x14ac:dyDescent="0.3">
      <c r="D129" s="11"/>
    </row>
    <row r="130" spans="4:4" ht="15.75" customHeight="1" x14ac:dyDescent="0.3">
      <c r="D130" s="11"/>
    </row>
    <row r="131" spans="4:4" ht="15.75" customHeight="1" x14ac:dyDescent="0.3">
      <c r="D131" s="11"/>
    </row>
    <row r="132" spans="4:4" ht="15.75" customHeight="1" x14ac:dyDescent="0.3">
      <c r="D132" s="11"/>
    </row>
    <row r="133" spans="4:4" ht="15.75" customHeight="1" x14ac:dyDescent="0.3">
      <c r="D133" s="11"/>
    </row>
    <row r="134" spans="4:4" ht="15.75" customHeight="1" x14ac:dyDescent="0.3">
      <c r="D134" s="11"/>
    </row>
    <row r="135" spans="4:4" ht="15.75" customHeight="1" x14ac:dyDescent="0.3">
      <c r="D135" s="11"/>
    </row>
    <row r="136" spans="4:4" ht="15.75" customHeight="1" x14ac:dyDescent="0.3">
      <c r="D136" s="11"/>
    </row>
    <row r="137" spans="4:4" ht="15.75" customHeight="1" x14ac:dyDescent="0.3">
      <c r="D137" s="11"/>
    </row>
    <row r="138" spans="4:4" ht="15.75" customHeight="1" x14ac:dyDescent="0.3">
      <c r="D138" s="11"/>
    </row>
    <row r="139" spans="4:4" ht="15.75" customHeight="1" x14ac:dyDescent="0.3">
      <c r="D139" s="11"/>
    </row>
    <row r="140" spans="4:4" ht="15.75" customHeight="1" x14ac:dyDescent="0.3">
      <c r="D140" s="11"/>
    </row>
    <row r="141" spans="4:4" ht="15.75" customHeight="1" x14ac:dyDescent="0.3">
      <c r="D141" s="11"/>
    </row>
    <row r="142" spans="4:4" ht="15.75" customHeight="1" x14ac:dyDescent="0.3">
      <c r="D142" s="11"/>
    </row>
    <row r="143" spans="4:4" ht="15.75" customHeight="1" x14ac:dyDescent="0.3">
      <c r="D143" s="11"/>
    </row>
    <row r="144" spans="4:4" ht="15.75" customHeight="1" x14ac:dyDescent="0.3">
      <c r="D144" s="11"/>
    </row>
    <row r="145" spans="4:4" ht="15.75" customHeight="1" x14ac:dyDescent="0.3">
      <c r="D145" s="11"/>
    </row>
    <row r="146" spans="4:4" ht="15.75" customHeight="1" x14ac:dyDescent="0.3">
      <c r="D146" s="11"/>
    </row>
    <row r="147" spans="4:4" ht="15.75" customHeight="1" x14ac:dyDescent="0.3">
      <c r="D147" s="11"/>
    </row>
    <row r="148" spans="4:4" ht="15.75" customHeight="1" x14ac:dyDescent="0.3">
      <c r="D148" s="11"/>
    </row>
    <row r="149" spans="4:4" ht="15.75" customHeight="1" x14ac:dyDescent="0.3">
      <c r="D149" s="11"/>
    </row>
    <row r="150" spans="4:4" ht="15.75" customHeight="1" x14ac:dyDescent="0.3">
      <c r="D150" s="11"/>
    </row>
    <row r="151" spans="4:4" ht="15.75" customHeight="1" x14ac:dyDescent="0.3">
      <c r="D151" s="11"/>
    </row>
    <row r="152" spans="4:4" ht="15.75" customHeight="1" x14ac:dyDescent="0.3">
      <c r="D152" s="11"/>
    </row>
    <row r="153" spans="4:4" ht="15.75" customHeight="1" x14ac:dyDescent="0.3">
      <c r="D153" s="11"/>
    </row>
    <row r="154" spans="4:4" ht="15.75" customHeight="1" x14ac:dyDescent="0.3">
      <c r="D154" s="11"/>
    </row>
    <row r="155" spans="4:4" ht="15.75" customHeight="1" x14ac:dyDescent="0.3">
      <c r="D155" s="11"/>
    </row>
    <row r="156" spans="4:4" ht="15.75" customHeight="1" x14ac:dyDescent="0.3">
      <c r="D156" s="11"/>
    </row>
    <row r="157" spans="4:4" ht="15.75" customHeight="1" x14ac:dyDescent="0.3">
      <c r="D157" s="11"/>
    </row>
    <row r="158" spans="4:4" ht="15.75" customHeight="1" x14ac:dyDescent="0.3">
      <c r="D158" s="11"/>
    </row>
    <row r="159" spans="4:4" ht="15.75" customHeight="1" x14ac:dyDescent="0.3">
      <c r="D159" s="11"/>
    </row>
    <row r="160" spans="4:4" ht="15.75" customHeight="1" x14ac:dyDescent="0.3">
      <c r="D160" s="11"/>
    </row>
    <row r="161" spans="4:4" ht="15.75" customHeight="1" x14ac:dyDescent="0.3">
      <c r="D161" s="11"/>
    </row>
    <row r="162" spans="4:4" ht="15.75" customHeight="1" x14ac:dyDescent="0.3">
      <c r="D162" s="11"/>
    </row>
    <row r="163" spans="4:4" ht="15.75" customHeight="1" x14ac:dyDescent="0.3">
      <c r="D163" s="11"/>
    </row>
    <row r="164" spans="4:4" ht="15.75" customHeight="1" x14ac:dyDescent="0.3">
      <c r="D164" s="11"/>
    </row>
    <row r="165" spans="4:4" ht="15.75" customHeight="1" x14ac:dyDescent="0.3">
      <c r="D165" s="11"/>
    </row>
    <row r="166" spans="4:4" ht="15.75" customHeight="1" x14ac:dyDescent="0.3">
      <c r="D166" s="11"/>
    </row>
    <row r="167" spans="4:4" ht="15.75" customHeight="1" x14ac:dyDescent="0.3">
      <c r="D167" s="11"/>
    </row>
    <row r="168" spans="4:4" ht="15.75" customHeight="1" x14ac:dyDescent="0.3">
      <c r="D168" s="11"/>
    </row>
    <row r="169" spans="4:4" ht="15.75" customHeight="1" x14ac:dyDescent="0.3">
      <c r="D169" s="11"/>
    </row>
    <row r="170" spans="4:4" ht="15.75" customHeight="1" x14ac:dyDescent="0.3">
      <c r="D170" s="11"/>
    </row>
    <row r="171" spans="4:4" ht="15.75" customHeight="1" x14ac:dyDescent="0.3">
      <c r="D171" s="11"/>
    </row>
    <row r="172" spans="4:4" ht="15.75" customHeight="1" x14ac:dyDescent="0.3">
      <c r="D172" s="11"/>
    </row>
    <row r="173" spans="4:4" ht="15.75" customHeight="1" x14ac:dyDescent="0.3">
      <c r="D173" s="11"/>
    </row>
    <row r="174" spans="4:4" ht="15.75" customHeight="1" x14ac:dyDescent="0.3">
      <c r="D174" s="11"/>
    </row>
    <row r="175" spans="4:4" ht="15.75" customHeight="1" x14ac:dyDescent="0.3">
      <c r="D175" s="11"/>
    </row>
    <row r="176" spans="4:4" ht="15.75" customHeight="1" x14ac:dyDescent="0.3">
      <c r="D176" s="11"/>
    </row>
    <row r="177" spans="4:4" ht="15.75" customHeight="1" x14ac:dyDescent="0.3">
      <c r="D177" s="11"/>
    </row>
    <row r="178" spans="4:4" ht="15.75" customHeight="1" x14ac:dyDescent="0.3">
      <c r="D178" s="11"/>
    </row>
    <row r="179" spans="4:4" ht="15.75" customHeight="1" x14ac:dyDescent="0.3">
      <c r="D179" s="11"/>
    </row>
    <row r="180" spans="4:4" ht="15.75" customHeight="1" x14ac:dyDescent="0.3">
      <c r="D180" s="11"/>
    </row>
    <row r="181" spans="4:4" ht="15.75" customHeight="1" x14ac:dyDescent="0.3">
      <c r="D181" s="11"/>
    </row>
    <row r="182" spans="4:4" ht="15.75" customHeight="1" x14ac:dyDescent="0.3">
      <c r="D182" s="11"/>
    </row>
    <row r="183" spans="4:4" ht="15.75" customHeight="1" x14ac:dyDescent="0.3">
      <c r="D183" s="11"/>
    </row>
    <row r="184" spans="4:4" ht="15.75" customHeight="1" x14ac:dyDescent="0.3">
      <c r="D184" s="11"/>
    </row>
    <row r="185" spans="4:4" ht="15.75" customHeight="1" x14ac:dyDescent="0.3">
      <c r="D185" s="11"/>
    </row>
    <row r="186" spans="4:4" ht="15.75" customHeight="1" x14ac:dyDescent="0.3">
      <c r="D186" s="11"/>
    </row>
    <row r="187" spans="4:4" ht="15.75" customHeight="1" x14ac:dyDescent="0.3">
      <c r="D187" s="11"/>
    </row>
    <row r="188" spans="4:4" ht="15.75" customHeight="1" x14ac:dyDescent="0.3">
      <c r="D188" s="11"/>
    </row>
    <row r="189" spans="4:4" ht="15.75" customHeight="1" x14ac:dyDescent="0.3">
      <c r="D189" s="11"/>
    </row>
    <row r="190" spans="4:4" ht="15.75" customHeight="1" x14ac:dyDescent="0.3">
      <c r="D190" s="11"/>
    </row>
    <row r="191" spans="4:4" ht="15.75" customHeight="1" x14ac:dyDescent="0.3">
      <c r="D191" s="11"/>
    </row>
    <row r="192" spans="4:4" ht="15.75" customHeight="1" x14ac:dyDescent="0.3">
      <c r="D192" s="11"/>
    </row>
    <row r="193" spans="4:4" ht="15.75" customHeight="1" x14ac:dyDescent="0.3">
      <c r="D193" s="11"/>
    </row>
    <row r="194" spans="4:4" ht="15.75" customHeight="1" x14ac:dyDescent="0.3">
      <c r="D194" s="11"/>
    </row>
    <row r="195" spans="4:4" ht="15.75" customHeight="1" x14ac:dyDescent="0.3">
      <c r="D195" s="11"/>
    </row>
    <row r="196" spans="4:4" ht="15.75" customHeight="1" x14ac:dyDescent="0.3">
      <c r="D196" s="11"/>
    </row>
    <row r="197" spans="4:4" ht="15.75" customHeight="1" x14ac:dyDescent="0.3">
      <c r="D197" s="11"/>
    </row>
    <row r="198" spans="4:4" ht="15.75" customHeight="1" x14ac:dyDescent="0.3">
      <c r="D198" s="11"/>
    </row>
    <row r="199" spans="4:4" ht="15.75" customHeight="1" x14ac:dyDescent="0.3">
      <c r="D199" s="11"/>
    </row>
    <row r="200" spans="4:4" ht="15.75" customHeight="1" x14ac:dyDescent="0.3">
      <c r="D200" s="11"/>
    </row>
    <row r="201" spans="4:4" ht="15.75" customHeight="1" x14ac:dyDescent="0.3">
      <c r="D201" s="11"/>
    </row>
    <row r="202" spans="4:4" ht="15.75" customHeight="1" x14ac:dyDescent="0.3">
      <c r="D202" s="11"/>
    </row>
    <row r="203" spans="4:4" ht="15.75" customHeight="1" x14ac:dyDescent="0.3">
      <c r="D203" s="11"/>
    </row>
    <row r="204" spans="4:4" ht="15.75" customHeight="1" x14ac:dyDescent="0.3">
      <c r="D204" s="11"/>
    </row>
    <row r="205" spans="4:4" ht="15.75" customHeight="1" x14ac:dyDescent="0.3">
      <c r="D205" s="11"/>
    </row>
    <row r="206" spans="4:4" ht="15.75" customHeight="1" x14ac:dyDescent="0.3">
      <c r="D206" s="11"/>
    </row>
    <row r="207" spans="4:4" ht="15.75" customHeight="1" x14ac:dyDescent="0.3">
      <c r="D207" s="11"/>
    </row>
    <row r="208" spans="4:4" ht="15.75" customHeight="1" x14ac:dyDescent="0.3">
      <c r="D208" s="11"/>
    </row>
    <row r="209" spans="4:4" ht="15.75" customHeight="1" x14ac:dyDescent="0.3">
      <c r="D209" s="11"/>
    </row>
    <row r="210" spans="4:4" ht="15.75" customHeight="1" x14ac:dyDescent="0.3">
      <c r="D210" s="11"/>
    </row>
    <row r="211" spans="4:4" ht="15.75" customHeight="1" x14ac:dyDescent="0.3">
      <c r="D211" s="11"/>
    </row>
    <row r="212" spans="4:4" ht="15.75" customHeight="1" x14ac:dyDescent="0.3">
      <c r="D212" s="11"/>
    </row>
    <row r="213" spans="4:4" ht="15.75" customHeight="1" x14ac:dyDescent="0.3">
      <c r="D213" s="11"/>
    </row>
    <row r="214" spans="4:4" ht="15.75" customHeight="1" x14ac:dyDescent="0.3">
      <c r="D214" s="11"/>
    </row>
    <row r="215" spans="4:4" ht="15.75" customHeight="1" x14ac:dyDescent="0.3">
      <c r="D215" s="11"/>
    </row>
    <row r="216" spans="4:4" ht="15.75" customHeight="1" x14ac:dyDescent="0.3">
      <c r="D216" s="11"/>
    </row>
    <row r="217" spans="4:4" ht="15.75" customHeight="1" x14ac:dyDescent="0.3">
      <c r="D217" s="11"/>
    </row>
    <row r="218" spans="4:4" ht="15.75" customHeight="1" x14ac:dyDescent="0.3">
      <c r="D218" s="11"/>
    </row>
    <row r="219" spans="4:4" ht="15.75" customHeight="1" x14ac:dyDescent="0.3">
      <c r="D219" s="11"/>
    </row>
    <row r="220" spans="4:4" ht="15.75" customHeight="1" x14ac:dyDescent="0.3">
      <c r="D220" s="11"/>
    </row>
    <row r="221" spans="4:4" ht="15.75" customHeight="1" x14ac:dyDescent="0.3">
      <c r="D221" s="11"/>
    </row>
    <row r="222" spans="4:4" ht="15.75" customHeight="1" x14ac:dyDescent="0.3">
      <c r="D222" s="11"/>
    </row>
    <row r="223" spans="4:4" ht="15.75" customHeight="1" x14ac:dyDescent="0.3">
      <c r="D223" s="11"/>
    </row>
    <row r="224" spans="4:4" ht="15.75" customHeight="1" x14ac:dyDescent="0.3">
      <c r="D224" s="11"/>
    </row>
    <row r="225" spans="4:4" ht="15.75" customHeight="1" x14ac:dyDescent="0.3">
      <c r="D225" s="11"/>
    </row>
    <row r="226" spans="4:4" ht="15.75" customHeight="1" x14ac:dyDescent="0.3">
      <c r="D226" s="11"/>
    </row>
    <row r="227" spans="4:4" ht="15.75" customHeight="1" x14ac:dyDescent="0.3">
      <c r="D227" s="11"/>
    </row>
    <row r="228" spans="4:4" ht="15.75" customHeight="1" x14ac:dyDescent="0.3">
      <c r="D228" s="11"/>
    </row>
    <row r="229" spans="4:4" ht="15.75" customHeight="1" x14ac:dyDescent="0.3">
      <c r="D229" s="11"/>
    </row>
    <row r="230" spans="4:4" ht="15.75" customHeight="1" x14ac:dyDescent="0.3">
      <c r="D230" s="11"/>
    </row>
    <row r="231" spans="4:4" ht="15.75" customHeight="1" x14ac:dyDescent="0.3">
      <c r="D231" s="11"/>
    </row>
    <row r="232" spans="4:4" ht="15.75" customHeight="1" x14ac:dyDescent="0.3">
      <c r="D232" s="11"/>
    </row>
    <row r="233" spans="4:4" ht="15.75" customHeight="1" x14ac:dyDescent="0.3">
      <c r="D233" s="11"/>
    </row>
    <row r="234" spans="4:4" ht="15.75" customHeight="1" x14ac:dyDescent="0.3">
      <c r="D234" s="11"/>
    </row>
    <row r="235" spans="4:4" ht="15.75" customHeight="1" x14ac:dyDescent="0.3">
      <c r="D235" s="11"/>
    </row>
    <row r="236" spans="4:4" ht="15.75" customHeight="1" x14ac:dyDescent="0.3">
      <c r="D236" s="11"/>
    </row>
    <row r="237" spans="4:4" ht="15.75" customHeight="1" x14ac:dyDescent="0.3">
      <c r="D237" s="11"/>
    </row>
    <row r="238" spans="4:4" ht="15.75" customHeight="1" x14ac:dyDescent="0.3">
      <c r="D238" s="11"/>
    </row>
    <row r="239" spans="4:4" ht="15.75" customHeight="1" x14ac:dyDescent="0.3">
      <c r="D239" s="11"/>
    </row>
    <row r="240" spans="4:4" ht="15.75" customHeight="1" x14ac:dyDescent="0.3">
      <c r="D240" s="11"/>
    </row>
    <row r="241" spans="4:4" ht="15.75" customHeight="1" x14ac:dyDescent="0.3">
      <c r="D241" s="11"/>
    </row>
    <row r="242" spans="4:4" ht="15.75" customHeight="1" x14ac:dyDescent="0.3">
      <c r="D242" s="11"/>
    </row>
    <row r="243" spans="4:4" ht="15.75" customHeight="1" x14ac:dyDescent="0.3">
      <c r="D243" s="11"/>
    </row>
    <row r="244" spans="4:4" ht="15.75" customHeight="1" x14ac:dyDescent="0.3">
      <c r="D244" s="11"/>
    </row>
    <row r="245" spans="4:4" ht="15.75" customHeight="1" x14ac:dyDescent="0.3">
      <c r="D245" s="11"/>
    </row>
    <row r="246" spans="4:4" ht="15.75" customHeight="1" x14ac:dyDescent="0.3">
      <c r="D246" s="11"/>
    </row>
    <row r="247" spans="4:4" ht="15.75" customHeight="1" x14ac:dyDescent="0.3">
      <c r="D247" s="11"/>
    </row>
    <row r="248" spans="4:4" ht="15.75" customHeight="1" x14ac:dyDescent="0.3">
      <c r="D248" s="11"/>
    </row>
    <row r="249" spans="4:4" ht="15.75" customHeight="1" x14ac:dyDescent="0.3">
      <c r="D249" s="11"/>
    </row>
    <row r="250" spans="4:4" ht="15.75" customHeight="1" x14ac:dyDescent="0.3">
      <c r="D250" s="11"/>
    </row>
    <row r="251" spans="4:4" ht="15.75" customHeight="1" x14ac:dyDescent="0.3">
      <c r="D251" s="11"/>
    </row>
    <row r="252" spans="4:4" ht="15.75" customHeight="1" x14ac:dyDescent="0.3">
      <c r="D252" s="11"/>
    </row>
    <row r="253" spans="4:4" ht="15.75" customHeight="1" x14ac:dyDescent="0.3">
      <c r="D253" s="11"/>
    </row>
    <row r="254" spans="4:4" ht="15.75" customHeight="1" x14ac:dyDescent="0.3">
      <c r="D254" s="11"/>
    </row>
    <row r="255" spans="4:4" ht="15.75" customHeight="1" x14ac:dyDescent="0.3">
      <c r="D255" s="11"/>
    </row>
    <row r="256" spans="4:4" ht="15.75" customHeight="1" x14ac:dyDescent="0.3">
      <c r="D256" s="11"/>
    </row>
    <row r="257" spans="4:4" ht="15.75" customHeight="1" x14ac:dyDescent="0.3">
      <c r="D257" s="11"/>
    </row>
    <row r="258" spans="4:4" ht="15.75" customHeight="1" x14ac:dyDescent="0.3">
      <c r="D258" s="11"/>
    </row>
    <row r="259" spans="4:4" ht="15.75" customHeight="1" x14ac:dyDescent="0.3">
      <c r="D259" s="11"/>
    </row>
    <row r="260" spans="4:4" ht="15.75" customHeight="1" x14ac:dyDescent="0.3">
      <c r="D260" s="11"/>
    </row>
    <row r="261" spans="4:4" ht="15.75" customHeight="1" x14ac:dyDescent="0.3">
      <c r="D261" s="11"/>
    </row>
    <row r="262" spans="4:4" ht="15.75" customHeight="1" x14ac:dyDescent="0.3">
      <c r="D262" s="11"/>
    </row>
    <row r="263" spans="4:4" ht="15.75" customHeight="1" x14ac:dyDescent="0.3">
      <c r="D263" s="11"/>
    </row>
    <row r="264" spans="4:4" ht="15.75" customHeight="1" x14ac:dyDescent="0.3">
      <c r="D264" s="11"/>
    </row>
    <row r="265" spans="4:4" ht="15.75" customHeight="1" x14ac:dyDescent="0.3">
      <c r="D265" s="11"/>
    </row>
    <row r="266" spans="4:4" ht="15.75" customHeight="1" x14ac:dyDescent="0.3">
      <c r="D266" s="11"/>
    </row>
    <row r="267" spans="4:4" ht="15.75" customHeight="1" x14ac:dyDescent="0.3">
      <c r="D267" s="11"/>
    </row>
    <row r="268" spans="4:4" ht="15.75" customHeight="1" x14ac:dyDescent="0.3">
      <c r="D268" s="11"/>
    </row>
    <row r="269" spans="4:4" ht="15.75" customHeight="1" x14ac:dyDescent="0.3">
      <c r="D269" s="11"/>
    </row>
    <row r="270" spans="4:4" ht="15.75" customHeight="1" x14ac:dyDescent="0.3">
      <c r="D270" s="11"/>
    </row>
    <row r="271" spans="4:4" ht="15.75" customHeight="1" x14ac:dyDescent="0.3">
      <c r="D271" s="11"/>
    </row>
    <row r="272" spans="4:4" ht="15.75" customHeight="1" x14ac:dyDescent="0.3">
      <c r="D272" s="11"/>
    </row>
    <row r="273" spans="4:4" ht="15.75" customHeight="1" x14ac:dyDescent="0.3">
      <c r="D273" s="11"/>
    </row>
    <row r="274" spans="4:4" ht="15.75" customHeight="1" x14ac:dyDescent="0.3">
      <c r="D274" s="11"/>
    </row>
    <row r="275" spans="4:4" ht="15.75" customHeight="1" x14ac:dyDescent="0.3">
      <c r="D275" s="11"/>
    </row>
    <row r="276" spans="4:4" ht="15.75" customHeight="1" x14ac:dyDescent="0.3">
      <c r="D276" s="11"/>
    </row>
    <row r="277" spans="4:4" ht="15.75" customHeight="1" x14ac:dyDescent="0.3">
      <c r="D277" s="11"/>
    </row>
    <row r="278" spans="4:4" ht="15.75" customHeight="1" x14ac:dyDescent="0.3">
      <c r="D278" s="11"/>
    </row>
    <row r="279" spans="4:4" ht="15.75" customHeight="1" x14ac:dyDescent="0.3">
      <c r="D279" s="11"/>
    </row>
    <row r="280" spans="4:4" ht="15.75" customHeight="1" x14ac:dyDescent="0.3">
      <c r="D280" s="11"/>
    </row>
    <row r="281" spans="4:4" ht="15.75" customHeight="1" x14ac:dyDescent="0.3">
      <c r="D281" s="11"/>
    </row>
    <row r="282" spans="4:4" ht="15.75" customHeight="1" x14ac:dyDescent="0.3">
      <c r="D282" s="11"/>
    </row>
    <row r="283" spans="4:4" ht="15.75" customHeight="1" x14ac:dyDescent="0.3">
      <c r="D283" s="11"/>
    </row>
    <row r="284" spans="4:4" ht="15.75" customHeight="1" x14ac:dyDescent="0.3">
      <c r="D284" s="11"/>
    </row>
    <row r="285" spans="4:4" ht="15.75" customHeight="1" x14ac:dyDescent="0.3">
      <c r="D285" s="11"/>
    </row>
    <row r="286" spans="4:4" ht="15.75" customHeight="1" x14ac:dyDescent="0.3">
      <c r="D286" s="11"/>
    </row>
    <row r="287" spans="4:4" ht="15.75" customHeight="1" x14ac:dyDescent="0.3">
      <c r="D287" s="11"/>
    </row>
    <row r="288" spans="4:4" ht="15.75" customHeight="1" x14ac:dyDescent="0.3">
      <c r="D288" s="11"/>
    </row>
    <row r="289" spans="4:4" ht="15.75" customHeight="1" x14ac:dyDescent="0.3">
      <c r="D289" s="11"/>
    </row>
    <row r="290" spans="4:4" ht="15.75" customHeight="1" x14ac:dyDescent="0.3">
      <c r="D290" s="11"/>
    </row>
    <row r="291" spans="4:4" ht="15.75" customHeight="1" x14ac:dyDescent="0.3">
      <c r="D291" s="11"/>
    </row>
    <row r="292" spans="4:4" ht="15.75" customHeight="1" x14ac:dyDescent="0.3">
      <c r="D292" s="11"/>
    </row>
    <row r="293" spans="4:4" ht="15.75" customHeight="1" x14ac:dyDescent="0.3">
      <c r="D293" s="11"/>
    </row>
    <row r="294" spans="4:4" ht="15.75" customHeight="1" x14ac:dyDescent="0.3">
      <c r="D294" s="11"/>
    </row>
    <row r="295" spans="4:4" ht="15.75" customHeight="1" x14ac:dyDescent="0.3">
      <c r="D295" s="11"/>
    </row>
    <row r="296" spans="4:4" ht="15.75" customHeight="1" x14ac:dyDescent="0.3">
      <c r="D296" s="11"/>
    </row>
    <row r="297" spans="4:4" ht="15.75" customHeight="1" x14ac:dyDescent="0.3">
      <c r="D297" s="11"/>
    </row>
    <row r="298" spans="4:4" ht="15.75" customHeight="1" x14ac:dyDescent="0.3">
      <c r="D298" s="11"/>
    </row>
    <row r="299" spans="4:4" ht="15.75" customHeight="1" x14ac:dyDescent="0.3">
      <c r="D299" s="11"/>
    </row>
    <row r="300" spans="4:4" ht="15.75" customHeight="1" x14ac:dyDescent="0.3">
      <c r="D300" s="11"/>
    </row>
    <row r="301" spans="4:4" ht="15.75" customHeight="1" x14ac:dyDescent="0.3">
      <c r="D301" s="11"/>
    </row>
    <row r="302" spans="4:4" ht="15.75" customHeight="1" x14ac:dyDescent="0.3">
      <c r="D302" s="11"/>
    </row>
    <row r="303" spans="4:4" ht="15.75" customHeight="1" x14ac:dyDescent="0.3">
      <c r="D303" s="11"/>
    </row>
    <row r="304" spans="4:4" ht="15.75" customHeight="1" x14ac:dyDescent="0.3">
      <c r="D304" s="11"/>
    </row>
    <row r="305" spans="4:4" ht="15.75" customHeight="1" x14ac:dyDescent="0.3">
      <c r="D305" s="11"/>
    </row>
    <row r="306" spans="4:4" ht="15.75" customHeight="1" x14ac:dyDescent="0.3">
      <c r="D306" s="11"/>
    </row>
    <row r="307" spans="4:4" ht="15.75" customHeight="1" x14ac:dyDescent="0.3">
      <c r="D307" s="11"/>
    </row>
    <row r="308" spans="4:4" ht="15.75" customHeight="1" x14ac:dyDescent="0.3">
      <c r="D308" s="11"/>
    </row>
    <row r="309" spans="4:4" ht="15.75" customHeight="1" x14ac:dyDescent="0.3">
      <c r="D309" s="11"/>
    </row>
    <row r="310" spans="4:4" ht="15.75" customHeight="1" x14ac:dyDescent="0.3">
      <c r="D310" s="11"/>
    </row>
    <row r="311" spans="4:4" ht="15.75" customHeight="1" x14ac:dyDescent="0.3">
      <c r="D311" s="11"/>
    </row>
    <row r="312" spans="4:4" ht="15.75" customHeight="1" x14ac:dyDescent="0.3">
      <c r="D312" s="11"/>
    </row>
    <row r="313" spans="4:4" ht="15.75" customHeight="1" x14ac:dyDescent="0.3">
      <c r="D313" s="11"/>
    </row>
    <row r="314" spans="4:4" ht="15.75" customHeight="1" x14ac:dyDescent="0.3">
      <c r="D314" s="11"/>
    </row>
    <row r="315" spans="4:4" ht="15.75" customHeight="1" x14ac:dyDescent="0.3">
      <c r="D315" s="11"/>
    </row>
    <row r="316" spans="4:4" ht="15.75" customHeight="1" x14ac:dyDescent="0.3">
      <c r="D316" s="11"/>
    </row>
    <row r="317" spans="4:4" ht="15.75" customHeight="1" x14ac:dyDescent="0.3">
      <c r="D317" s="11"/>
    </row>
    <row r="318" spans="4:4" ht="15.75" customHeight="1" x14ac:dyDescent="0.3">
      <c r="D318" s="11"/>
    </row>
    <row r="319" spans="4:4" ht="15.75" customHeight="1" x14ac:dyDescent="0.3">
      <c r="D319" s="11"/>
    </row>
    <row r="320" spans="4:4" ht="15.75" customHeight="1" x14ac:dyDescent="0.3">
      <c r="D320" s="11"/>
    </row>
    <row r="321" spans="4:4" ht="15.75" customHeight="1" x14ac:dyDescent="0.3">
      <c r="D321" s="11"/>
    </row>
    <row r="322" spans="4:4" ht="15.75" customHeight="1" x14ac:dyDescent="0.3">
      <c r="D322" s="11"/>
    </row>
    <row r="323" spans="4:4" ht="15.75" customHeight="1" x14ac:dyDescent="0.3">
      <c r="D323" s="11"/>
    </row>
    <row r="324" spans="4:4" ht="15.75" customHeight="1" x14ac:dyDescent="0.3">
      <c r="D324" s="11"/>
    </row>
    <row r="325" spans="4:4" ht="15.75" customHeight="1" x14ac:dyDescent="0.3">
      <c r="D325" s="11"/>
    </row>
    <row r="326" spans="4:4" ht="15.75" customHeight="1" x14ac:dyDescent="0.3">
      <c r="D326" s="11"/>
    </row>
    <row r="327" spans="4:4" ht="15.75" customHeight="1" x14ac:dyDescent="0.3">
      <c r="D327" s="11"/>
    </row>
    <row r="328" spans="4:4" ht="15.75" customHeight="1" x14ac:dyDescent="0.3">
      <c r="D328" s="11"/>
    </row>
    <row r="329" spans="4:4" ht="15.75" customHeight="1" x14ac:dyDescent="0.3">
      <c r="D329" s="11"/>
    </row>
    <row r="330" spans="4:4" ht="15.75" customHeight="1" x14ac:dyDescent="0.3">
      <c r="D330" s="11"/>
    </row>
    <row r="331" spans="4:4" ht="15.75" customHeight="1" x14ac:dyDescent="0.3">
      <c r="D331" s="11"/>
    </row>
    <row r="332" spans="4:4" ht="15.75" customHeight="1" x14ac:dyDescent="0.3">
      <c r="D332" s="11"/>
    </row>
    <row r="333" spans="4:4" ht="15.75" customHeight="1" x14ac:dyDescent="0.3">
      <c r="D333" s="11"/>
    </row>
    <row r="334" spans="4:4" ht="15.75" customHeight="1" x14ac:dyDescent="0.3">
      <c r="D334" s="11"/>
    </row>
    <row r="335" spans="4:4" ht="15.75" customHeight="1" x14ac:dyDescent="0.3">
      <c r="D335" s="11"/>
    </row>
    <row r="336" spans="4:4" ht="15.75" customHeight="1" x14ac:dyDescent="0.3">
      <c r="D336" s="11"/>
    </row>
    <row r="337" spans="4:4" ht="15.75" customHeight="1" x14ac:dyDescent="0.3">
      <c r="D337" s="11"/>
    </row>
    <row r="338" spans="4:4" ht="15.75" customHeight="1" x14ac:dyDescent="0.3">
      <c r="D338" s="11"/>
    </row>
    <row r="339" spans="4:4" ht="15.75" customHeight="1" x14ac:dyDescent="0.3">
      <c r="D339" s="11"/>
    </row>
    <row r="340" spans="4:4" ht="15.75" customHeight="1" x14ac:dyDescent="0.3">
      <c r="D340" s="11"/>
    </row>
    <row r="341" spans="4:4" ht="15.75" customHeight="1" x14ac:dyDescent="0.3">
      <c r="D341" s="11"/>
    </row>
    <row r="342" spans="4:4" ht="15.75" customHeight="1" x14ac:dyDescent="0.3">
      <c r="D342" s="11"/>
    </row>
    <row r="343" spans="4:4" ht="15.75" customHeight="1" x14ac:dyDescent="0.3">
      <c r="D343" s="11"/>
    </row>
    <row r="344" spans="4:4" ht="15.75" customHeight="1" x14ac:dyDescent="0.3">
      <c r="D344" s="11"/>
    </row>
    <row r="345" spans="4:4" ht="15.75" customHeight="1" x14ac:dyDescent="0.3">
      <c r="D345" s="11"/>
    </row>
    <row r="346" spans="4:4" ht="15.75" customHeight="1" x14ac:dyDescent="0.3">
      <c r="D346" s="11"/>
    </row>
    <row r="347" spans="4:4" ht="15.75" customHeight="1" x14ac:dyDescent="0.3">
      <c r="D347" s="11"/>
    </row>
    <row r="348" spans="4:4" ht="15.75" customHeight="1" x14ac:dyDescent="0.3">
      <c r="D348" s="11"/>
    </row>
    <row r="349" spans="4:4" ht="15.75" customHeight="1" x14ac:dyDescent="0.3">
      <c r="D349" s="11"/>
    </row>
    <row r="350" spans="4:4" ht="15.75" customHeight="1" x14ac:dyDescent="0.3">
      <c r="D350" s="11"/>
    </row>
    <row r="351" spans="4:4" ht="15.75" customHeight="1" x14ac:dyDescent="0.3">
      <c r="D351" s="11"/>
    </row>
    <row r="352" spans="4:4" ht="15.75" customHeight="1" x14ac:dyDescent="0.3">
      <c r="D352" s="11"/>
    </row>
    <row r="353" spans="4:4" ht="15.75" customHeight="1" x14ac:dyDescent="0.3">
      <c r="D353" s="11"/>
    </row>
    <row r="354" spans="4:4" ht="15.75" customHeight="1" x14ac:dyDescent="0.3">
      <c r="D354" s="11"/>
    </row>
    <row r="355" spans="4:4" ht="15.75" customHeight="1" x14ac:dyDescent="0.3">
      <c r="D355" s="11"/>
    </row>
    <row r="356" spans="4:4" ht="15.75" customHeight="1" x14ac:dyDescent="0.3">
      <c r="D356" s="11"/>
    </row>
    <row r="357" spans="4:4" ht="15.75" customHeight="1" x14ac:dyDescent="0.3">
      <c r="D357" s="11"/>
    </row>
    <row r="358" spans="4:4" ht="15.75" customHeight="1" x14ac:dyDescent="0.3">
      <c r="D358" s="11"/>
    </row>
    <row r="359" spans="4:4" ht="15.75" customHeight="1" x14ac:dyDescent="0.3">
      <c r="D359" s="11"/>
    </row>
    <row r="360" spans="4:4" ht="15.75" customHeight="1" x14ac:dyDescent="0.3">
      <c r="D360" s="11"/>
    </row>
    <row r="361" spans="4:4" ht="15.75" customHeight="1" x14ac:dyDescent="0.3">
      <c r="D361" s="11"/>
    </row>
    <row r="362" spans="4:4" ht="15.75" customHeight="1" x14ac:dyDescent="0.3">
      <c r="D362" s="11"/>
    </row>
    <row r="363" spans="4:4" ht="15.75" customHeight="1" x14ac:dyDescent="0.3">
      <c r="D363" s="11"/>
    </row>
    <row r="364" spans="4:4" ht="15.75" customHeight="1" x14ac:dyDescent="0.3">
      <c r="D364" s="11"/>
    </row>
    <row r="365" spans="4:4" ht="15.75" customHeight="1" x14ac:dyDescent="0.3">
      <c r="D365" s="11"/>
    </row>
    <row r="366" spans="4:4" ht="15.75" customHeight="1" x14ac:dyDescent="0.3">
      <c r="D366" s="11"/>
    </row>
    <row r="367" spans="4:4" ht="15.75" customHeight="1" x14ac:dyDescent="0.3">
      <c r="D367" s="11"/>
    </row>
    <row r="368" spans="4:4" ht="15.75" customHeight="1" x14ac:dyDescent="0.3">
      <c r="D368" s="11"/>
    </row>
    <row r="369" spans="4:4" ht="15.75" customHeight="1" x14ac:dyDescent="0.3">
      <c r="D369" s="11"/>
    </row>
    <row r="370" spans="4:4" ht="15.75" customHeight="1" x14ac:dyDescent="0.3">
      <c r="D370" s="11"/>
    </row>
    <row r="371" spans="4:4" ht="15.75" customHeight="1" x14ac:dyDescent="0.3">
      <c r="D371" s="11"/>
    </row>
    <row r="372" spans="4:4" ht="15.75" customHeight="1" x14ac:dyDescent="0.3">
      <c r="D372" s="11"/>
    </row>
    <row r="373" spans="4:4" ht="15.75" customHeight="1" x14ac:dyDescent="0.3">
      <c r="D373" s="11"/>
    </row>
    <row r="374" spans="4:4" ht="15.75" customHeight="1" x14ac:dyDescent="0.3">
      <c r="D374" s="11"/>
    </row>
    <row r="375" spans="4:4" ht="15.75" customHeight="1" x14ac:dyDescent="0.3">
      <c r="D375" s="11"/>
    </row>
    <row r="376" spans="4:4" ht="15.75" customHeight="1" x14ac:dyDescent="0.3">
      <c r="D376" s="11"/>
    </row>
    <row r="377" spans="4:4" ht="15.75" customHeight="1" x14ac:dyDescent="0.3">
      <c r="D377" s="11"/>
    </row>
    <row r="378" spans="4:4" ht="15.75" customHeight="1" x14ac:dyDescent="0.3">
      <c r="D378" s="11"/>
    </row>
    <row r="379" spans="4:4" ht="15.75" customHeight="1" x14ac:dyDescent="0.3">
      <c r="D379" s="11"/>
    </row>
    <row r="380" spans="4:4" ht="15.75" customHeight="1" x14ac:dyDescent="0.3">
      <c r="D380" s="11"/>
    </row>
    <row r="381" spans="4:4" ht="15.75" customHeight="1" x14ac:dyDescent="0.3">
      <c r="D381" s="11"/>
    </row>
    <row r="382" spans="4:4" ht="15.75" customHeight="1" x14ac:dyDescent="0.3">
      <c r="D382" s="11"/>
    </row>
    <row r="383" spans="4:4" ht="15.75" customHeight="1" x14ac:dyDescent="0.3">
      <c r="D383" s="11"/>
    </row>
    <row r="384" spans="4:4" ht="15.75" customHeight="1" x14ac:dyDescent="0.3">
      <c r="D384" s="11"/>
    </row>
    <row r="385" spans="4:4" ht="15.75" customHeight="1" x14ac:dyDescent="0.3">
      <c r="D385" s="11"/>
    </row>
    <row r="386" spans="4:4" ht="15.75" customHeight="1" x14ac:dyDescent="0.3">
      <c r="D386" s="11"/>
    </row>
    <row r="387" spans="4:4" ht="15.75" customHeight="1" x14ac:dyDescent="0.3">
      <c r="D387" s="11"/>
    </row>
    <row r="388" spans="4:4" ht="15.75" customHeight="1" x14ac:dyDescent="0.3">
      <c r="D388" s="11"/>
    </row>
    <row r="389" spans="4:4" ht="15.75" customHeight="1" x14ac:dyDescent="0.3">
      <c r="D389" s="11"/>
    </row>
    <row r="390" spans="4:4" ht="15.75" customHeight="1" x14ac:dyDescent="0.3">
      <c r="D390" s="11"/>
    </row>
    <row r="391" spans="4:4" ht="15.75" customHeight="1" x14ac:dyDescent="0.3">
      <c r="D391" s="11"/>
    </row>
    <row r="392" spans="4:4" ht="15.75" customHeight="1" x14ac:dyDescent="0.3">
      <c r="D392" s="11"/>
    </row>
    <row r="393" spans="4:4" ht="15.75" customHeight="1" x14ac:dyDescent="0.3">
      <c r="D393" s="11"/>
    </row>
    <row r="394" spans="4:4" ht="15.75" customHeight="1" x14ac:dyDescent="0.3">
      <c r="D394" s="11"/>
    </row>
    <row r="395" spans="4:4" ht="15.75" customHeight="1" x14ac:dyDescent="0.3">
      <c r="D395" s="11"/>
    </row>
    <row r="396" spans="4:4" ht="15.75" customHeight="1" x14ac:dyDescent="0.3">
      <c r="D396" s="11"/>
    </row>
    <row r="397" spans="4:4" ht="15.75" customHeight="1" x14ac:dyDescent="0.3">
      <c r="D397" s="11"/>
    </row>
    <row r="398" spans="4:4" ht="15.75" customHeight="1" x14ac:dyDescent="0.3">
      <c r="D398" s="11"/>
    </row>
    <row r="399" spans="4:4" ht="15.75" customHeight="1" x14ac:dyDescent="0.3">
      <c r="D399" s="11"/>
    </row>
    <row r="400" spans="4:4" ht="15.75" customHeight="1" x14ac:dyDescent="0.3">
      <c r="D400" s="11"/>
    </row>
    <row r="401" spans="4:4" ht="15.75" customHeight="1" x14ac:dyDescent="0.3">
      <c r="D401" s="11"/>
    </row>
    <row r="402" spans="4:4" ht="15.75" customHeight="1" x14ac:dyDescent="0.3">
      <c r="D402" s="11"/>
    </row>
    <row r="403" spans="4:4" ht="15.75" customHeight="1" x14ac:dyDescent="0.3">
      <c r="D403" s="11"/>
    </row>
    <row r="404" spans="4:4" ht="15.75" customHeight="1" x14ac:dyDescent="0.3">
      <c r="D404" s="11"/>
    </row>
    <row r="405" spans="4:4" ht="15.75" customHeight="1" x14ac:dyDescent="0.3">
      <c r="D405" s="11"/>
    </row>
    <row r="406" spans="4:4" ht="15.75" customHeight="1" x14ac:dyDescent="0.3">
      <c r="D406" s="11"/>
    </row>
    <row r="407" spans="4:4" ht="15.75" customHeight="1" x14ac:dyDescent="0.3">
      <c r="D407" s="11"/>
    </row>
    <row r="408" spans="4:4" ht="15.75" customHeight="1" x14ac:dyDescent="0.3">
      <c r="D408" s="11"/>
    </row>
    <row r="409" spans="4:4" ht="15.75" customHeight="1" x14ac:dyDescent="0.3">
      <c r="D409" s="11"/>
    </row>
    <row r="410" spans="4:4" ht="15.75" customHeight="1" x14ac:dyDescent="0.3">
      <c r="D410" s="11"/>
    </row>
    <row r="411" spans="4:4" ht="15.75" customHeight="1" x14ac:dyDescent="0.3">
      <c r="D411" s="11"/>
    </row>
    <row r="412" spans="4:4" ht="15.75" customHeight="1" x14ac:dyDescent="0.3">
      <c r="D412" s="11"/>
    </row>
    <row r="413" spans="4:4" ht="15.75" customHeight="1" x14ac:dyDescent="0.3">
      <c r="D413" s="11"/>
    </row>
    <row r="414" spans="4:4" ht="15.75" customHeight="1" x14ac:dyDescent="0.3">
      <c r="D414" s="11"/>
    </row>
    <row r="415" spans="4:4" ht="15.75" customHeight="1" x14ac:dyDescent="0.3">
      <c r="D415" s="11"/>
    </row>
    <row r="416" spans="4:4" ht="15.75" customHeight="1" x14ac:dyDescent="0.3">
      <c r="D416" s="11"/>
    </row>
    <row r="417" spans="4:4" ht="15.75" customHeight="1" x14ac:dyDescent="0.3">
      <c r="D417" s="11"/>
    </row>
    <row r="418" spans="4:4" ht="15.75" customHeight="1" x14ac:dyDescent="0.3">
      <c r="D418" s="11"/>
    </row>
    <row r="419" spans="4:4" ht="15.75" customHeight="1" x14ac:dyDescent="0.3">
      <c r="D419" s="11"/>
    </row>
    <row r="420" spans="4:4" ht="15.75" customHeight="1" x14ac:dyDescent="0.3">
      <c r="D420" s="11"/>
    </row>
    <row r="421" spans="4:4" ht="15.75" customHeight="1" x14ac:dyDescent="0.3">
      <c r="D421" s="11"/>
    </row>
    <row r="422" spans="4:4" ht="15.75" customHeight="1" x14ac:dyDescent="0.3">
      <c r="D422" s="11"/>
    </row>
    <row r="423" spans="4:4" ht="15.75" customHeight="1" x14ac:dyDescent="0.3">
      <c r="D423" s="11"/>
    </row>
    <row r="424" spans="4:4" ht="15.75" customHeight="1" x14ac:dyDescent="0.3">
      <c r="D424" s="11"/>
    </row>
    <row r="425" spans="4:4" ht="15.75" customHeight="1" x14ac:dyDescent="0.3">
      <c r="D425" s="11"/>
    </row>
    <row r="426" spans="4:4" ht="15.75" customHeight="1" x14ac:dyDescent="0.3">
      <c r="D426" s="11"/>
    </row>
    <row r="427" spans="4:4" ht="15.75" customHeight="1" x14ac:dyDescent="0.3">
      <c r="D427" s="11"/>
    </row>
    <row r="428" spans="4:4" ht="15.75" customHeight="1" x14ac:dyDescent="0.3">
      <c r="D428" s="11"/>
    </row>
    <row r="429" spans="4:4" ht="15.75" customHeight="1" x14ac:dyDescent="0.3">
      <c r="D429" s="11"/>
    </row>
    <row r="430" spans="4:4" ht="15.75" customHeight="1" x14ac:dyDescent="0.3">
      <c r="D430" s="11"/>
    </row>
    <row r="431" spans="4:4" ht="15.75" customHeight="1" x14ac:dyDescent="0.3">
      <c r="D431" s="11"/>
    </row>
    <row r="432" spans="4:4" ht="15.75" customHeight="1" x14ac:dyDescent="0.3">
      <c r="D432" s="11"/>
    </row>
    <row r="433" spans="4:4" ht="15.75" customHeight="1" x14ac:dyDescent="0.3">
      <c r="D433" s="11"/>
    </row>
    <row r="434" spans="4:4" ht="15.75" customHeight="1" x14ac:dyDescent="0.3">
      <c r="D434" s="11"/>
    </row>
    <row r="435" spans="4:4" ht="15.75" customHeight="1" x14ac:dyDescent="0.3">
      <c r="D435" s="11"/>
    </row>
    <row r="436" spans="4:4" ht="15.75" customHeight="1" x14ac:dyDescent="0.3">
      <c r="D436" s="11"/>
    </row>
    <row r="437" spans="4:4" ht="15.75" customHeight="1" x14ac:dyDescent="0.3">
      <c r="D437" s="11"/>
    </row>
    <row r="438" spans="4:4" ht="15.75" customHeight="1" x14ac:dyDescent="0.3">
      <c r="D438" s="11"/>
    </row>
    <row r="439" spans="4:4" ht="15.75" customHeight="1" x14ac:dyDescent="0.3">
      <c r="D439" s="11"/>
    </row>
    <row r="440" spans="4:4" ht="15.75" customHeight="1" x14ac:dyDescent="0.3">
      <c r="D440" s="11"/>
    </row>
    <row r="441" spans="4:4" ht="15.75" customHeight="1" x14ac:dyDescent="0.3">
      <c r="D441" s="11"/>
    </row>
    <row r="442" spans="4:4" ht="15.75" customHeight="1" x14ac:dyDescent="0.3">
      <c r="D442" s="11"/>
    </row>
    <row r="443" spans="4:4" ht="15.75" customHeight="1" x14ac:dyDescent="0.3">
      <c r="D443" s="11"/>
    </row>
    <row r="444" spans="4:4" ht="15.75" customHeight="1" x14ac:dyDescent="0.3">
      <c r="D444" s="11"/>
    </row>
    <row r="445" spans="4:4" ht="15.75" customHeight="1" x14ac:dyDescent="0.3">
      <c r="D445" s="11"/>
    </row>
    <row r="446" spans="4:4" ht="15.75" customHeight="1" x14ac:dyDescent="0.3">
      <c r="D446" s="11"/>
    </row>
    <row r="447" spans="4:4" ht="15.75" customHeight="1" x14ac:dyDescent="0.3">
      <c r="D447" s="11"/>
    </row>
    <row r="448" spans="4:4" ht="15.75" customHeight="1" x14ac:dyDescent="0.3">
      <c r="D448" s="11"/>
    </row>
    <row r="449" spans="4:4" ht="15.75" customHeight="1" x14ac:dyDescent="0.3">
      <c r="D449" s="11"/>
    </row>
    <row r="450" spans="4:4" ht="15.75" customHeight="1" x14ac:dyDescent="0.3">
      <c r="D450" s="11"/>
    </row>
    <row r="451" spans="4:4" ht="15.75" customHeight="1" x14ac:dyDescent="0.3">
      <c r="D451" s="11"/>
    </row>
    <row r="452" spans="4:4" ht="15.75" customHeight="1" x14ac:dyDescent="0.3">
      <c r="D452" s="11"/>
    </row>
    <row r="453" spans="4:4" ht="15.75" customHeight="1" x14ac:dyDescent="0.3">
      <c r="D453" s="11"/>
    </row>
    <row r="454" spans="4:4" ht="15.75" customHeight="1" x14ac:dyDescent="0.3">
      <c r="D454" s="11"/>
    </row>
    <row r="455" spans="4:4" ht="15.75" customHeight="1" x14ac:dyDescent="0.3">
      <c r="D455" s="11"/>
    </row>
    <row r="456" spans="4:4" ht="15.75" customHeight="1" x14ac:dyDescent="0.3">
      <c r="D456" s="11"/>
    </row>
    <row r="457" spans="4:4" ht="15.75" customHeight="1" x14ac:dyDescent="0.3">
      <c r="D457" s="11"/>
    </row>
    <row r="458" spans="4:4" ht="15.75" customHeight="1" x14ac:dyDescent="0.3">
      <c r="D458" s="11"/>
    </row>
    <row r="459" spans="4:4" ht="15.75" customHeight="1" x14ac:dyDescent="0.3">
      <c r="D459" s="11"/>
    </row>
    <row r="460" spans="4:4" ht="15.75" customHeight="1" x14ac:dyDescent="0.3">
      <c r="D460" s="11"/>
    </row>
    <row r="461" spans="4:4" ht="15.75" customHeight="1" x14ac:dyDescent="0.3">
      <c r="D461" s="11"/>
    </row>
    <row r="462" spans="4:4" ht="15.75" customHeight="1" x14ac:dyDescent="0.3">
      <c r="D462" s="11"/>
    </row>
    <row r="463" spans="4:4" ht="15.75" customHeight="1" x14ac:dyDescent="0.3">
      <c r="D463" s="11"/>
    </row>
    <row r="464" spans="4:4" ht="15.75" customHeight="1" x14ac:dyDescent="0.3">
      <c r="D464" s="11"/>
    </row>
    <row r="465" spans="4:4" ht="15.75" customHeight="1" x14ac:dyDescent="0.3">
      <c r="D465" s="11"/>
    </row>
    <row r="466" spans="4:4" ht="15.75" customHeight="1" x14ac:dyDescent="0.3">
      <c r="D466" s="11"/>
    </row>
    <row r="467" spans="4:4" ht="15.75" customHeight="1" x14ac:dyDescent="0.3">
      <c r="D467" s="11"/>
    </row>
    <row r="468" spans="4:4" ht="15.75" customHeight="1" x14ac:dyDescent="0.3">
      <c r="D468" s="11"/>
    </row>
    <row r="469" spans="4:4" ht="15.75" customHeight="1" x14ac:dyDescent="0.3">
      <c r="D469" s="11"/>
    </row>
    <row r="470" spans="4:4" ht="15.75" customHeight="1" x14ac:dyDescent="0.3">
      <c r="D470" s="11"/>
    </row>
    <row r="471" spans="4:4" ht="15.75" customHeight="1" x14ac:dyDescent="0.3">
      <c r="D471" s="11"/>
    </row>
    <row r="472" spans="4:4" ht="15.75" customHeight="1" x14ac:dyDescent="0.3">
      <c r="D472" s="11"/>
    </row>
    <row r="473" spans="4:4" ht="15.75" customHeight="1" x14ac:dyDescent="0.3">
      <c r="D473" s="11"/>
    </row>
    <row r="474" spans="4:4" ht="15.75" customHeight="1" x14ac:dyDescent="0.3">
      <c r="D474" s="11"/>
    </row>
    <row r="475" spans="4:4" ht="15.75" customHeight="1" x14ac:dyDescent="0.3">
      <c r="D475" s="11"/>
    </row>
    <row r="476" spans="4:4" ht="15.75" customHeight="1" x14ac:dyDescent="0.3">
      <c r="D476" s="11"/>
    </row>
    <row r="477" spans="4:4" ht="15.75" customHeight="1" x14ac:dyDescent="0.3">
      <c r="D477" s="11"/>
    </row>
    <row r="478" spans="4:4" ht="15.75" customHeight="1" x14ac:dyDescent="0.3">
      <c r="D478" s="11"/>
    </row>
    <row r="479" spans="4:4" ht="15.75" customHeight="1" x14ac:dyDescent="0.3">
      <c r="D479" s="11"/>
    </row>
    <row r="480" spans="4:4" ht="15.75" customHeight="1" x14ac:dyDescent="0.3">
      <c r="D480" s="11"/>
    </row>
    <row r="481" spans="4:4" ht="15.75" customHeight="1" x14ac:dyDescent="0.3">
      <c r="D481" s="11"/>
    </row>
    <row r="482" spans="4:4" ht="15.75" customHeight="1" x14ac:dyDescent="0.3">
      <c r="D482" s="11"/>
    </row>
    <row r="483" spans="4:4" ht="15.75" customHeight="1" x14ac:dyDescent="0.3">
      <c r="D483" s="11"/>
    </row>
    <row r="484" spans="4:4" ht="15.75" customHeight="1" x14ac:dyDescent="0.3">
      <c r="D484" s="11"/>
    </row>
    <row r="485" spans="4:4" ht="15.75" customHeight="1" x14ac:dyDescent="0.3">
      <c r="D485" s="11"/>
    </row>
    <row r="486" spans="4:4" ht="15.75" customHeight="1" x14ac:dyDescent="0.3">
      <c r="D486" s="11"/>
    </row>
    <row r="487" spans="4:4" ht="15.75" customHeight="1" x14ac:dyDescent="0.3">
      <c r="D487" s="11"/>
    </row>
    <row r="488" spans="4:4" ht="15.75" customHeight="1" x14ac:dyDescent="0.3">
      <c r="D488" s="11"/>
    </row>
    <row r="489" spans="4:4" ht="15.75" customHeight="1" x14ac:dyDescent="0.3">
      <c r="D489" s="11"/>
    </row>
    <row r="490" spans="4:4" ht="15.75" customHeight="1" x14ac:dyDescent="0.3">
      <c r="D490" s="11"/>
    </row>
    <row r="491" spans="4:4" ht="15.75" customHeight="1" x14ac:dyDescent="0.3">
      <c r="D491" s="11"/>
    </row>
    <row r="492" spans="4:4" ht="15.75" customHeight="1" x14ac:dyDescent="0.3">
      <c r="D492" s="11"/>
    </row>
    <row r="493" spans="4:4" ht="15.75" customHeight="1" x14ac:dyDescent="0.3">
      <c r="D493" s="11"/>
    </row>
    <row r="494" spans="4:4" ht="15.75" customHeight="1" x14ac:dyDescent="0.3">
      <c r="D494" s="11"/>
    </row>
    <row r="495" spans="4:4" ht="15.75" customHeight="1" x14ac:dyDescent="0.3">
      <c r="D495" s="11"/>
    </row>
    <row r="496" spans="4:4" ht="15.75" customHeight="1" x14ac:dyDescent="0.3">
      <c r="D496" s="11"/>
    </row>
    <row r="497" spans="4:4" ht="15.75" customHeight="1" x14ac:dyDescent="0.3">
      <c r="D497" s="11"/>
    </row>
    <row r="498" spans="4:4" ht="15.75" customHeight="1" x14ac:dyDescent="0.3">
      <c r="D498" s="11"/>
    </row>
    <row r="499" spans="4:4" ht="15.75" customHeight="1" x14ac:dyDescent="0.3">
      <c r="D499" s="11"/>
    </row>
    <row r="500" spans="4:4" ht="15.75" customHeight="1" x14ac:dyDescent="0.3">
      <c r="D500" s="11"/>
    </row>
    <row r="501" spans="4:4" ht="15.75" customHeight="1" x14ac:dyDescent="0.3">
      <c r="D501" s="11"/>
    </row>
    <row r="502" spans="4:4" ht="15.75" customHeight="1" x14ac:dyDescent="0.3">
      <c r="D502" s="11"/>
    </row>
    <row r="503" spans="4:4" ht="15.75" customHeight="1" x14ac:dyDescent="0.3">
      <c r="D503" s="11"/>
    </row>
    <row r="504" spans="4:4" ht="15.75" customHeight="1" x14ac:dyDescent="0.3">
      <c r="D504" s="11"/>
    </row>
    <row r="505" spans="4:4" ht="15.75" customHeight="1" x14ac:dyDescent="0.3">
      <c r="D505" s="11"/>
    </row>
    <row r="506" spans="4:4" ht="15.75" customHeight="1" x14ac:dyDescent="0.3">
      <c r="D506" s="11"/>
    </row>
    <row r="507" spans="4:4" ht="15.75" customHeight="1" x14ac:dyDescent="0.3">
      <c r="D507" s="11"/>
    </row>
    <row r="508" spans="4:4" ht="15.75" customHeight="1" x14ac:dyDescent="0.3">
      <c r="D508" s="11"/>
    </row>
    <row r="509" spans="4:4" ht="15.75" customHeight="1" x14ac:dyDescent="0.3">
      <c r="D509" s="11"/>
    </row>
    <row r="510" spans="4:4" ht="15.75" customHeight="1" x14ac:dyDescent="0.3">
      <c r="D510" s="11"/>
    </row>
    <row r="511" spans="4:4" ht="15.75" customHeight="1" x14ac:dyDescent="0.3">
      <c r="D511" s="11"/>
    </row>
    <row r="512" spans="4:4" ht="15.75" customHeight="1" x14ac:dyDescent="0.3">
      <c r="D512" s="11"/>
    </row>
    <row r="513" spans="4:4" ht="15.75" customHeight="1" x14ac:dyDescent="0.3">
      <c r="D513" s="11"/>
    </row>
    <row r="514" spans="4:4" ht="15.75" customHeight="1" x14ac:dyDescent="0.3">
      <c r="D514" s="11"/>
    </row>
    <row r="515" spans="4:4" ht="15.75" customHeight="1" x14ac:dyDescent="0.3">
      <c r="D515" s="11"/>
    </row>
    <row r="516" spans="4:4" ht="15.75" customHeight="1" x14ac:dyDescent="0.3">
      <c r="D516" s="11"/>
    </row>
    <row r="517" spans="4:4" ht="15.75" customHeight="1" x14ac:dyDescent="0.3">
      <c r="D517" s="11"/>
    </row>
    <row r="518" spans="4:4" ht="15.75" customHeight="1" x14ac:dyDescent="0.3">
      <c r="D518" s="11"/>
    </row>
    <row r="519" spans="4:4" ht="15.75" customHeight="1" x14ac:dyDescent="0.3">
      <c r="D519" s="11"/>
    </row>
    <row r="520" spans="4:4" ht="15.75" customHeight="1" x14ac:dyDescent="0.3">
      <c r="D520" s="11"/>
    </row>
    <row r="521" spans="4:4" ht="15.75" customHeight="1" x14ac:dyDescent="0.3">
      <c r="D521" s="11"/>
    </row>
    <row r="522" spans="4:4" ht="15.75" customHeight="1" x14ac:dyDescent="0.3">
      <c r="D522" s="11"/>
    </row>
    <row r="523" spans="4:4" ht="15.75" customHeight="1" x14ac:dyDescent="0.3">
      <c r="D523" s="11"/>
    </row>
    <row r="524" spans="4:4" ht="15.75" customHeight="1" x14ac:dyDescent="0.3">
      <c r="D524" s="11"/>
    </row>
    <row r="525" spans="4:4" ht="15.75" customHeight="1" x14ac:dyDescent="0.3">
      <c r="D525" s="11"/>
    </row>
    <row r="526" spans="4:4" ht="15.75" customHeight="1" x14ac:dyDescent="0.3">
      <c r="D526" s="11"/>
    </row>
    <row r="527" spans="4:4" ht="15.75" customHeight="1" x14ac:dyDescent="0.3">
      <c r="D527" s="11"/>
    </row>
    <row r="528" spans="4:4" ht="15.75" customHeight="1" x14ac:dyDescent="0.3">
      <c r="D528" s="11"/>
    </row>
    <row r="529" spans="4:4" ht="15.75" customHeight="1" x14ac:dyDescent="0.3">
      <c r="D529" s="11"/>
    </row>
    <row r="530" spans="4:4" ht="15.75" customHeight="1" x14ac:dyDescent="0.3">
      <c r="D530" s="11"/>
    </row>
    <row r="531" spans="4:4" ht="15.75" customHeight="1" x14ac:dyDescent="0.3">
      <c r="D531" s="11"/>
    </row>
    <row r="532" spans="4:4" ht="15.75" customHeight="1" x14ac:dyDescent="0.3">
      <c r="D532" s="11"/>
    </row>
    <row r="533" spans="4:4" ht="15.75" customHeight="1" x14ac:dyDescent="0.3">
      <c r="D533" s="11"/>
    </row>
    <row r="534" spans="4:4" ht="15.75" customHeight="1" x14ac:dyDescent="0.3">
      <c r="D534" s="11"/>
    </row>
    <row r="535" spans="4:4" ht="15.75" customHeight="1" x14ac:dyDescent="0.3">
      <c r="D535" s="11"/>
    </row>
    <row r="536" spans="4:4" ht="15.75" customHeight="1" x14ac:dyDescent="0.3">
      <c r="D536" s="11"/>
    </row>
    <row r="537" spans="4:4" ht="15.75" customHeight="1" x14ac:dyDescent="0.3">
      <c r="D537" s="11"/>
    </row>
    <row r="538" spans="4:4" ht="15.75" customHeight="1" x14ac:dyDescent="0.3">
      <c r="D538" s="11"/>
    </row>
    <row r="539" spans="4:4" ht="15.75" customHeight="1" x14ac:dyDescent="0.3">
      <c r="D539" s="11"/>
    </row>
    <row r="540" spans="4:4" ht="15.75" customHeight="1" x14ac:dyDescent="0.3">
      <c r="D540" s="11"/>
    </row>
    <row r="541" spans="4:4" ht="15.75" customHeight="1" x14ac:dyDescent="0.3">
      <c r="D541" s="11"/>
    </row>
    <row r="542" spans="4:4" ht="15.75" customHeight="1" x14ac:dyDescent="0.3">
      <c r="D542" s="11"/>
    </row>
    <row r="543" spans="4:4" ht="15.75" customHeight="1" x14ac:dyDescent="0.3">
      <c r="D543" s="11"/>
    </row>
    <row r="544" spans="4:4" ht="15.75" customHeight="1" x14ac:dyDescent="0.3">
      <c r="D544" s="11"/>
    </row>
    <row r="545" spans="4:4" ht="15.75" customHeight="1" x14ac:dyDescent="0.3">
      <c r="D545" s="11"/>
    </row>
    <row r="546" spans="4:4" ht="15.75" customHeight="1" x14ac:dyDescent="0.3">
      <c r="D546" s="11"/>
    </row>
    <row r="547" spans="4:4" ht="15.75" customHeight="1" x14ac:dyDescent="0.3">
      <c r="D547" s="11"/>
    </row>
    <row r="548" spans="4:4" ht="15.75" customHeight="1" x14ac:dyDescent="0.3">
      <c r="D548" s="11"/>
    </row>
    <row r="549" spans="4:4" ht="15.75" customHeight="1" x14ac:dyDescent="0.3">
      <c r="D549" s="11"/>
    </row>
    <row r="550" spans="4:4" ht="15.75" customHeight="1" x14ac:dyDescent="0.3">
      <c r="D550" s="11"/>
    </row>
    <row r="551" spans="4:4" ht="15.75" customHeight="1" x14ac:dyDescent="0.3">
      <c r="D551" s="11"/>
    </row>
    <row r="552" spans="4:4" ht="15.75" customHeight="1" x14ac:dyDescent="0.3">
      <c r="D552" s="11"/>
    </row>
    <row r="553" spans="4:4" ht="15.75" customHeight="1" x14ac:dyDescent="0.3">
      <c r="D553" s="11"/>
    </row>
    <row r="554" spans="4:4" ht="15.75" customHeight="1" x14ac:dyDescent="0.3">
      <c r="D554" s="11"/>
    </row>
    <row r="555" spans="4:4" ht="15.75" customHeight="1" x14ac:dyDescent="0.3">
      <c r="D555" s="11"/>
    </row>
    <row r="556" spans="4:4" ht="15.75" customHeight="1" x14ac:dyDescent="0.3">
      <c r="D556" s="11"/>
    </row>
    <row r="557" spans="4:4" ht="15.75" customHeight="1" x14ac:dyDescent="0.3">
      <c r="D557" s="11"/>
    </row>
    <row r="558" spans="4:4" ht="15.75" customHeight="1" x14ac:dyDescent="0.3">
      <c r="D558" s="11"/>
    </row>
    <row r="559" spans="4:4" ht="15.75" customHeight="1" x14ac:dyDescent="0.3">
      <c r="D559" s="11"/>
    </row>
    <row r="560" spans="4:4" ht="15.75" customHeight="1" x14ac:dyDescent="0.3">
      <c r="D560" s="11"/>
    </row>
    <row r="561" spans="4:4" ht="15.75" customHeight="1" x14ac:dyDescent="0.3">
      <c r="D561" s="11"/>
    </row>
    <row r="562" spans="4:4" ht="15.75" customHeight="1" x14ac:dyDescent="0.3">
      <c r="D562" s="11"/>
    </row>
    <row r="563" spans="4:4" ht="15.75" customHeight="1" x14ac:dyDescent="0.3">
      <c r="D563" s="11"/>
    </row>
    <row r="564" spans="4:4" ht="15.75" customHeight="1" x14ac:dyDescent="0.3">
      <c r="D564" s="11"/>
    </row>
    <row r="565" spans="4:4" ht="15.75" customHeight="1" x14ac:dyDescent="0.3">
      <c r="D565" s="11"/>
    </row>
    <row r="566" spans="4:4" ht="15.75" customHeight="1" x14ac:dyDescent="0.3">
      <c r="D566" s="11"/>
    </row>
    <row r="567" spans="4:4" ht="15.75" customHeight="1" x14ac:dyDescent="0.3">
      <c r="D567" s="11"/>
    </row>
    <row r="568" spans="4:4" ht="15.75" customHeight="1" x14ac:dyDescent="0.3">
      <c r="D568" s="11"/>
    </row>
    <row r="569" spans="4:4" ht="15.75" customHeight="1" x14ac:dyDescent="0.3">
      <c r="D569" s="11"/>
    </row>
    <row r="570" spans="4:4" ht="15.75" customHeight="1" x14ac:dyDescent="0.3">
      <c r="D570" s="11"/>
    </row>
    <row r="571" spans="4:4" ht="15.75" customHeight="1" x14ac:dyDescent="0.3">
      <c r="D571" s="11"/>
    </row>
    <row r="572" spans="4:4" ht="15.75" customHeight="1" x14ac:dyDescent="0.3">
      <c r="D572" s="11"/>
    </row>
    <row r="573" spans="4:4" ht="15.75" customHeight="1" x14ac:dyDescent="0.3">
      <c r="D573" s="11"/>
    </row>
    <row r="574" spans="4:4" ht="15.75" customHeight="1" x14ac:dyDescent="0.3">
      <c r="D574" s="11"/>
    </row>
    <row r="575" spans="4:4" ht="15.75" customHeight="1" x14ac:dyDescent="0.3">
      <c r="D575" s="11"/>
    </row>
    <row r="576" spans="4:4" ht="15.75" customHeight="1" x14ac:dyDescent="0.3">
      <c r="D576" s="11"/>
    </row>
    <row r="577" spans="4:4" ht="15.75" customHeight="1" x14ac:dyDescent="0.3">
      <c r="D577" s="11"/>
    </row>
    <row r="578" spans="4:4" ht="15.75" customHeight="1" x14ac:dyDescent="0.3">
      <c r="D578" s="11"/>
    </row>
    <row r="579" spans="4:4" ht="15.75" customHeight="1" x14ac:dyDescent="0.3">
      <c r="D579" s="11"/>
    </row>
    <row r="580" spans="4:4" ht="15.75" customHeight="1" x14ac:dyDescent="0.3">
      <c r="D580" s="11"/>
    </row>
    <row r="581" spans="4:4" ht="15.75" customHeight="1" x14ac:dyDescent="0.3">
      <c r="D581" s="11"/>
    </row>
    <row r="582" spans="4:4" ht="15.75" customHeight="1" x14ac:dyDescent="0.3">
      <c r="D582" s="11"/>
    </row>
    <row r="583" spans="4:4" ht="15.75" customHeight="1" x14ac:dyDescent="0.3">
      <c r="D583" s="11"/>
    </row>
    <row r="584" spans="4:4" ht="15.75" customHeight="1" x14ac:dyDescent="0.3">
      <c r="D584" s="11"/>
    </row>
    <row r="585" spans="4:4" ht="15.75" customHeight="1" x14ac:dyDescent="0.3">
      <c r="D585" s="11"/>
    </row>
    <row r="586" spans="4:4" ht="15.75" customHeight="1" x14ac:dyDescent="0.3">
      <c r="D586" s="11"/>
    </row>
    <row r="587" spans="4:4" ht="15.75" customHeight="1" x14ac:dyDescent="0.3">
      <c r="D587" s="11"/>
    </row>
    <row r="588" spans="4:4" ht="15.75" customHeight="1" x14ac:dyDescent="0.3">
      <c r="D588" s="11"/>
    </row>
    <row r="589" spans="4:4" ht="15.75" customHeight="1" x14ac:dyDescent="0.3">
      <c r="D589" s="11"/>
    </row>
    <row r="590" spans="4:4" ht="15.75" customHeight="1" x14ac:dyDescent="0.3">
      <c r="D590" s="11"/>
    </row>
    <row r="591" spans="4:4" ht="15.75" customHeight="1" x14ac:dyDescent="0.3">
      <c r="D591" s="11"/>
    </row>
    <row r="592" spans="4:4" ht="15.75" customHeight="1" x14ac:dyDescent="0.3">
      <c r="D592" s="11"/>
    </row>
    <row r="593" spans="4:4" ht="15.75" customHeight="1" x14ac:dyDescent="0.3">
      <c r="D593" s="11"/>
    </row>
    <row r="594" spans="4:4" ht="15.75" customHeight="1" x14ac:dyDescent="0.3">
      <c r="D594" s="11"/>
    </row>
    <row r="595" spans="4:4" ht="15.75" customHeight="1" x14ac:dyDescent="0.3">
      <c r="D595" s="11"/>
    </row>
    <row r="596" spans="4:4" ht="15.75" customHeight="1" x14ac:dyDescent="0.3">
      <c r="D596" s="11"/>
    </row>
    <row r="597" spans="4:4" ht="15.75" customHeight="1" x14ac:dyDescent="0.3">
      <c r="D597" s="11"/>
    </row>
    <row r="598" spans="4:4" ht="15.75" customHeight="1" x14ac:dyDescent="0.3">
      <c r="D598" s="11"/>
    </row>
    <row r="599" spans="4:4" ht="15.75" customHeight="1" x14ac:dyDescent="0.3">
      <c r="D599" s="11"/>
    </row>
    <row r="600" spans="4:4" ht="15.75" customHeight="1" x14ac:dyDescent="0.3">
      <c r="D600" s="11"/>
    </row>
    <row r="601" spans="4:4" ht="15.75" customHeight="1" x14ac:dyDescent="0.3">
      <c r="D601" s="11"/>
    </row>
    <row r="602" spans="4:4" ht="15.75" customHeight="1" x14ac:dyDescent="0.3">
      <c r="D602" s="11"/>
    </row>
    <row r="603" spans="4:4" ht="15.75" customHeight="1" x14ac:dyDescent="0.3">
      <c r="D603" s="11"/>
    </row>
    <row r="604" spans="4:4" ht="15.75" customHeight="1" x14ac:dyDescent="0.3">
      <c r="D604" s="11"/>
    </row>
    <row r="605" spans="4:4" ht="15.75" customHeight="1" x14ac:dyDescent="0.3">
      <c r="D605" s="11"/>
    </row>
    <row r="606" spans="4:4" ht="15.75" customHeight="1" x14ac:dyDescent="0.3">
      <c r="D606" s="11"/>
    </row>
    <row r="607" spans="4:4" ht="15.75" customHeight="1" x14ac:dyDescent="0.3">
      <c r="D607" s="11"/>
    </row>
    <row r="608" spans="4:4" ht="15.75" customHeight="1" x14ac:dyDescent="0.3">
      <c r="D608" s="11"/>
    </row>
    <row r="609" spans="4:4" ht="15.75" customHeight="1" x14ac:dyDescent="0.3">
      <c r="D609" s="11"/>
    </row>
    <row r="610" spans="4:4" ht="15.75" customHeight="1" x14ac:dyDescent="0.3">
      <c r="D610" s="11"/>
    </row>
    <row r="611" spans="4:4" ht="15.75" customHeight="1" x14ac:dyDescent="0.3">
      <c r="D611" s="11"/>
    </row>
    <row r="612" spans="4:4" ht="15.75" customHeight="1" x14ac:dyDescent="0.3">
      <c r="D612" s="11"/>
    </row>
    <row r="613" spans="4:4" ht="15.75" customHeight="1" x14ac:dyDescent="0.3">
      <c r="D613" s="11"/>
    </row>
    <row r="614" spans="4:4" ht="15.75" customHeight="1" x14ac:dyDescent="0.3">
      <c r="D614" s="11"/>
    </row>
    <row r="615" spans="4:4" ht="15.75" customHeight="1" x14ac:dyDescent="0.3">
      <c r="D615" s="11"/>
    </row>
    <row r="616" spans="4:4" ht="15.75" customHeight="1" x14ac:dyDescent="0.3">
      <c r="D616" s="11"/>
    </row>
    <row r="617" spans="4:4" ht="15.75" customHeight="1" x14ac:dyDescent="0.3">
      <c r="D617" s="11"/>
    </row>
    <row r="618" spans="4:4" ht="15.75" customHeight="1" x14ac:dyDescent="0.3">
      <c r="D618" s="11"/>
    </row>
    <row r="619" spans="4:4" ht="15.75" customHeight="1" x14ac:dyDescent="0.3">
      <c r="D619" s="11"/>
    </row>
    <row r="620" spans="4:4" ht="15.75" customHeight="1" x14ac:dyDescent="0.3">
      <c r="D620" s="11"/>
    </row>
    <row r="621" spans="4:4" ht="15.75" customHeight="1" x14ac:dyDescent="0.3">
      <c r="D621" s="11"/>
    </row>
    <row r="622" spans="4:4" ht="15.75" customHeight="1" x14ac:dyDescent="0.3">
      <c r="D622" s="11"/>
    </row>
    <row r="623" spans="4:4" ht="15.75" customHeight="1" x14ac:dyDescent="0.3">
      <c r="D623" s="11"/>
    </row>
    <row r="624" spans="4:4" ht="15.75" customHeight="1" x14ac:dyDescent="0.3">
      <c r="D624" s="11"/>
    </row>
    <row r="625" spans="4:4" ht="15.75" customHeight="1" x14ac:dyDescent="0.3">
      <c r="D625" s="11"/>
    </row>
    <row r="626" spans="4:4" ht="15.75" customHeight="1" x14ac:dyDescent="0.3">
      <c r="D626" s="11"/>
    </row>
    <row r="627" spans="4:4" ht="15.75" customHeight="1" x14ac:dyDescent="0.3">
      <c r="D627" s="11"/>
    </row>
    <row r="628" spans="4:4" ht="15.75" customHeight="1" x14ac:dyDescent="0.3">
      <c r="D628" s="11"/>
    </row>
    <row r="629" spans="4:4" ht="15.75" customHeight="1" x14ac:dyDescent="0.3">
      <c r="D629" s="11"/>
    </row>
    <row r="630" spans="4:4" ht="15.75" customHeight="1" x14ac:dyDescent="0.3">
      <c r="D630" s="11"/>
    </row>
    <row r="631" spans="4:4" ht="15.75" customHeight="1" x14ac:dyDescent="0.3">
      <c r="D631" s="11"/>
    </row>
    <row r="632" spans="4:4" ht="15.75" customHeight="1" x14ac:dyDescent="0.3">
      <c r="D632" s="11"/>
    </row>
    <row r="633" spans="4:4" ht="15.75" customHeight="1" x14ac:dyDescent="0.3">
      <c r="D633" s="11"/>
    </row>
    <row r="634" spans="4:4" ht="15.75" customHeight="1" x14ac:dyDescent="0.3">
      <c r="D634" s="11"/>
    </row>
    <row r="635" spans="4:4" ht="15.75" customHeight="1" x14ac:dyDescent="0.3">
      <c r="D635" s="11"/>
    </row>
    <row r="636" spans="4:4" ht="15.75" customHeight="1" x14ac:dyDescent="0.3">
      <c r="D636" s="11"/>
    </row>
    <row r="637" spans="4:4" ht="15.75" customHeight="1" x14ac:dyDescent="0.3">
      <c r="D637" s="11"/>
    </row>
    <row r="638" spans="4:4" ht="15.75" customHeight="1" x14ac:dyDescent="0.3">
      <c r="D638" s="11"/>
    </row>
    <row r="639" spans="4:4" ht="15.75" customHeight="1" x14ac:dyDescent="0.3">
      <c r="D639" s="11"/>
    </row>
    <row r="640" spans="4:4" ht="15.75" customHeight="1" x14ac:dyDescent="0.3">
      <c r="D640" s="11"/>
    </row>
    <row r="641" spans="4:4" ht="15.75" customHeight="1" x14ac:dyDescent="0.3">
      <c r="D641" s="11"/>
    </row>
    <row r="642" spans="4:4" ht="15.75" customHeight="1" x14ac:dyDescent="0.3">
      <c r="D642" s="11"/>
    </row>
    <row r="643" spans="4:4" ht="15.75" customHeight="1" x14ac:dyDescent="0.3">
      <c r="D643" s="11"/>
    </row>
    <row r="644" spans="4:4" ht="15.75" customHeight="1" x14ac:dyDescent="0.3">
      <c r="D644" s="11"/>
    </row>
    <row r="645" spans="4:4" ht="15.75" customHeight="1" x14ac:dyDescent="0.3">
      <c r="D645" s="11"/>
    </row>
    <row r="646" spans="4:4" ht="15.75" customHeight="1" x14ac:dyDescent="0.3">
      <c r="D646" s="11"/>
    </row>
    <row r="647" spans="4:4" ht="15.75" customHeight="1" x14ac:dyDescent="0.3">
      <c r="D647" s="11"/>
    </row>
    <row r="648" spans="4:4" ht="15.75" customHeight="1" x14ac:dyDescent="0.3">
      <c r="D648" s="11"/>
    </row>
    <row r="649" spans="4:4" ht="15.75" customHeight="1" x14ac:dyDescent="0.3">
      <c r="D649" s="11"/>
    </row>
    <row r="650" spans="4:4" ht="15.75" customHeight="1" x14ac:dyDescent="0.3">
      <c r="D650" s="11"/>
    </row>
    <row r="651" spans="4:4" ht="15.75" customHeight="1" x14ac:dyDescent="0.3">
      <c r="D651" s="11"/>
    </row>
    <row r="652" spans="4:4" ht="15.75" customHeight="1" x14ac:dyDescent="0.3">
      <c r="D652" s="11"/>
    </row>
    <row r="653" spans="4:4" ht="15.75" customHeight="1" x14ac:dyDescent="0.3">
      <c r="D653" s="11"/>
    </row>
    <row r="654" spans="4:4" ht="15.75" customHeight="1" x14ac:dyDescent="0.3">
      <c r="D654" s="11"/>
    </row>
    <row r="655" spans="4:4" ht="15.75" customHeight="1" x14ac:dyDescent="0.3">
      <c r="D655" s="11"/>
    </row>
    <row r="656" spans="4:4" ht="15.75" customHeight="1" x14ac:dyDescent="0.3">
      <c r="D656" s="11"/>
    </row>
    <row r="657" spans="4:4" ht="15.75" customHeight="1" x14ac:dyDescent="0.3">
      <c r="D657" s="11"/>
    </row>
    <row r="658" spans="4:4" ht="15.75" customHeight="1" x14ac:dyDescent="0.3">
      <c r="D658" s="11"/>
    </row>
    <row r="659" spans="4:4" ht="15.75" customHeight="1" x14ac:dyDescent="0.3">
      <c r="D659" s="11"/>
    </row>
    <row r="660" spans="4:4" ht="15.75" customHeight="1" x14ac:dyDescent="0.3">
      <c r="D660" s="11"/>
    </row>
    <row r="661" spans="4:4" ht="15.75" customHeight="1" x14ac:dyDescent="0.3">
      <c r="D661" s="11"/>
    </row>
    <row r="662" spans="4:4" ht="15.75" customHeight="1" x14ac:dyDescent="0.3">
      <c r="D662" s="11"/>
    </row>
    <row r="663" spans="4:4" ht="15.75" customHeight="1" x14ac:dyDescent="0.3">
      <c r="D663" s="11"/>
    </row>
    <row r="664" spans="4:4" ht="15.75" customHeight="1" x14ac:dyDescent="0.3">
      <c r="D664" s="11"/>
    </row>
    <row r="665" spans="4:4" ht="15.75" customHeight="1" x14ac:dyDescent="0.3">
      <c r="D665" s="11"/>
    </row>
    <row r="666" spans="4:4" ht="15.75" customHeight="1" x14ac:dyDescent="0.3">
      <c r="D666" s="11"/>
    </row>
    <row r="667" spans="4:4" ht="15.75" customHeight="1" x14ac:dyDescent="0.3">
      <c r="D667" s="11"/>
    </row>
    <row r="668" spans="4:4" ht="15.75" customHeight="1" x14ac:dyDescent="0.3">
      <c r="D668" s="11"/>
    </row>
    <row r="669" spans="4:4" ht="15.75" customHeight="1" x14ac:dyDescent="0.3">
      <c r="D669" s="11"/>
    </row>
    <row r="670" spans="4:4" ht="15.75" customHeight="1" x14ac:dyDescent="0.3">
      <c r="D670" s="11"/>
    </row>
    <row r="671" spans="4:4" ht="15.75" customHeight="1" x14ac:dyDescent="0.3">
      <c r="D671" s="11"/>
    </row>
    <row r="672" spans="4:4" ht="15.75" customHeight="1" x14ac:dyDescent="0.3">
      <c r="D672" s="11"/>
    </row>
    <row r="673" spans="4:4" ht="15.75" customHeight="1" x14ac:dyDescent="0.3">
      <c r="D673" s="11"/>
    </row>
    <row r="674" spans="4:4" ht="15.75" customHeight="1" x14ac:dyDescent="0.3">
      <c r="D674" s="11"/>
    </row>
    <row r="675" spans="4:4" ht="15.75" customHeight="1" x14ac:dyDescent="0.3">
      <c r="D675" s="11"/>
    </row>
    <row r="676" spans="4:4" ht="15.75" customHeight="1" x14ac:dyDescent="0.3">
      <c r="D676" s="11"/>
    </row>
    <row r="677" spans="4:4" ht="15.75" customHeight="1" x14ac:dyDescent="0.3">
      <c r="D677" s="11"/>
    </row>
    <row r="678" spans="4:4" ht="15.75" customHeight="1" x14ac:dyDescent="0.3">
      <c r="D678" s="11"/>
    </row>
    <row r="679" spans="4:4" ht="15.75" customHeight="1" x14ac:dyDescent="0.3">
      <c r="D679" s="11"/>
    </row>
    <row r="680" spans="4:4" ht="15.75" customHeight="1" x14ac:dyDescent="0.3">
      <c r="D680" s="11"/>
    </row>
    <row r="681" spans="4:4" ht="15.75" customHeight="1" x14ac:dyDescent="0.3">
      <c r="D681" s="11"/>
    </row>
    <row r="682" spans="4:4" ht="15.75" customHeight="1" x14ac:dyDescent="0.3">
      <c r="D682" s="11"/>
    </row>
    <row r="683" spans="4:4" ht="15.75" customHeight="1" x14ac:dyDescent="0.3">
      <c r="D683" s="11"/>
    </row>
    <row r="684" spans="4:4" ht="15.75" customHeight="1" x14ac:dyDescent="0.3">
      <c r="D684" s="11"/>
    </row>
    <row r="685" spans="4:4" ht="15.75" customHeight="1" x14ac:dyDescent="0.3">
      <c r="D685" s="11"/>
    </row>
    <row r="686" spans="4:4" ht="15.75" customHeight="1" x14ac:dyDescent="0.3">
      <c r="D686" s="11"/>
    </row>
    <row r="687" spans="4:4" ht="15.75" customHeight="1" x14ac:dyDescent="0.3">
      <c r="D687" s="11"/>
    </row>
    <row r="688" spans="4:4" ht="15.75" customHeight="1" x14ac:dyDescent="0.3">
      <c r="D688" s="11"/>
    </row>
    <row r="689" spans="4:4" ht="15.75" customHeight="1" x14ac:dyDescent="0.3">
      <c r="D689" s="11"/>
    </row>
    <row r="690" spans="4:4" ht="15.75" customHeight="1" x14ac:dyDescent="0.3">
      <c r="D690" s="11"/>
    </row>
    <row r="691" spans="4:4" ht="15.75" customHeight="1" x14ac:dyDescent="0.3">
      <c r="D691" s="11"/>
    </row>
    <row r="692" spans="4:4" ht="15.75" customHeight="1" x14ac:dyDescent="0.3">
      <c r="D692" s="11"/>
    </row>
    <row r="693" spans="4:4" ht="15.75" customHeight="1" x14ac:dyDescent="0.3">
      <c r="D693" s="11"/>
    </row>
    <row r="694" spans="4:4" ht="15.75" customHeight="1" x14ac:dyDescent="0.3">
      <c r="D694" s="11"/>
    </row>
    <row r="695" spans="4:4" ht="15.75" customHeight="1" x14ac:dyDescent="0.3">
      <c r="D695" s="11"/>
    </row>
    <row r="696" spans="4:4" ht="15.75" customHeight="1" x14ac:dyDescent="0.3">
      <c r="D696" s="11"/>
    </row>
    <row r="697" spans="4:4" ht="15.75" customHeight="1" x14ac:dyDescent="0.3">
      <c r="D697" s="11"/>
    </row>
    <row r="698" spans="4:4" ht="15.75" customHeight="1" x14ac:dyDescent="0.3">
      <c r="D698" s="11"/>
    </row>
    <row r="699" spans="4:4" ht="15.75" customHeight="1" x14ac:dyDescent="0.3">
      <c r="D699" s="11"/>
    </row>
    <row r="700" spans="4:4" ht="15.75" customHeight="1" x14ac:dyDescent="0.3">
      <c r="D700" s="11"/>
    </row>
    <row r="701" spans="4:4" ht="15.75" customHeight="1" x14ac:dyDescent="0.3">
      <c r="D701" s="11"/>
    </row>
    <row r="702" spans="4:4" ht="15.75" customHeight="1" x14ac:dyDescent="0.3">
      <c r="D702" s="11"/>
    </row>
    <row r="703" spans="4:4" ht="15.75" customHeight="1" x14ac:dyDescent="0.3">
      <c r="D703" s="11"/>
    </row>
    <row r="704" spans="4:4" ht="15.75" customHeight="1" x14ac:dyDescent="0.3">
      <c r="D704" s="11"/>
    </row>
    <row r="705" spans="4:4" ht="15.75" customHeight="1" x14ac:dyDescent="0.3">
      <c r="D705" s="11"/>
    </row>
    <row r="706" spans="4:4" ht="15.75" customHeight="1" x14ac:dyDescent="0.3">
      <c r="D706" s="11"/>
    </row>
    <row r="707" spans="4:4" ht="15.75" customHeight="1" x14ac:dyDescent="0.3">
      <c r="D707" s="11"/>
    </row>
    <row r="708" spans="4:4" ht="15.75" customHeight="1" x14ac:dyDescent="0.3">
      <c r="D708" s="11"/>
    </row>
    <row r="709" spans="4:4" ht="15.75" customHeight="1" x14ac:dyDescent="0.3">
      <c r="D709" s="11"/>
    </row>
    <row r="710" spans="4:4" ht="15.75" customHeight="1" x14ac:dyDescent="0.3">
      <c r="D710" s="11"/>
    </row>
    <row r="711" spans="4:4" ht="15.75" customHeight="1" x14ac:dyDescent="0.3">
      <c r="D711" s="11"/>
    </row>
    <row r="712" spans="4:4" ht="15.75" customHeight="1" x14ac:dyDescent="0.3">
      <c r="D712" s="11"/>
    </row>
    <row r="713" spans="4:4" ht="15.75" customHeight="1" x14ac:dyDescent="0.3">
      <c r="D713" s="11"/>
    </row>
    <row r="714" spans="4:4" ht="15.75" customHeight="1" x14ac:dyDescent="0.3">
      <c r="D714" s="11"/>
    </row>
    <row r="715" spans="4:4" ht="15.75" customHeight="1" x14ac:dyDescent="0.3">
      <c r="D715" s="11"/>
    </row>
    <row r="716" spans="4:4" ht="15.75" customHeight="1" x14ac:dyDescent="0.3">
      <c r="D716" s="11"/>
    </row>
    <row r="717" spans="4:4" ht="15.75" customHeight="1" x14ac:dyDescent="0.3">
      <c r="D717" s="11"/>
    </row>
    <row r="718" spans="4:4" ht="15.75" customHeight="1" x14ac:dyDescent="0.3">
      <c r="D718" s="11"/>
    </row>
    <row r="719" spans="4:4" ht="15.75" customHeight="1" x14ac:dyDescent="0.3">
      <c r="D719" s="11"/>
    </row>
    <row r="720" spans="4:4" ht="15.75" customHeight="1" x14ac:dyDescent="0.3">
      <c r="D720" s="11"/>
    </row>
    <row r="721" spans="4:4" ht="15.75" customHeight="1" x14ac:dyDescent="0.3">
      <c r="D721" s="11"/>
    </row>
    <row r="722" spans="4:4" ht="15.75" customHeight="1" x14ac:dyDescent="0.3">
      <c r="D722" s="11"/>
    </row>
    <row r="723" spans="4:4" ht="15.75" customHeight="1" x14ac:dyDescent="0.3">
      <c r="D723" s="11"/>
    </row>
    <row r="724" spans="4:4" ht="15.75" customHeight="1" x14ac:dyDescent="0.3">
      <c r="D724" s="11"/>
    </row>
    <row r="725" spans="4:4" ht="15.75" customHeight="1" x14ac:dyDescent="0.3">
      <c r="D725" s="11"/>
    </row>
    <row r="726" spans="4:4" ht="15.75" customHeight="1" x14ac:dyDescent="0.3">
      <c r="D726" s="11"/>
    </row>
    <row r="727" spans="4:4" ht="15.75" customHeight="1" x14ac:dyDescent="0.3">
      <c r="D727" s="11"/>
    </row>
    <row r="728" spans="4:4" ht="15.75" customHeight="1" x14ac:dyDescent="0.3">
      <c r="D728" s="11"/>
    </row>
    <row r="729" spans="4:4" ht="15.75" customHeight="1" x14ac:dyDescent="0.3">
      <c r="D729" s="11"/>
    </row>
    <row r="730" spans="4:4" ht="15.75" customHeight="1" x14ac:dyDescent="0.3">
      <c r="D730" s="11"/>
    </row>
    <row r="731" spans="4:4" ht="15.75" customHeight="1" x14ac:dyDescent="0.3">
      <c r="D731" s="11"/>
    </row>
    <row r="732" spans="4:4" ht="15.75" customHeight="1" x14ac:dyDescent="0.3">
      <c r="D732" s="11"/>
    </row>
    <row r="733" spans="4:4" ht="15.75" customHeight="1" x14ac:dyDescent="0.3">
      <c r="D733" s="11"/>
    </row>
    <row r="734" spans="4:4" ht="15.75" customHeight="1" x14ac:dyDescent="0.3">
      <c r="D734" s="11"/>
    </row>
    <row r="735" spans="4:4" ht="15.75" customHeight="1" x14ac:dyDescent="0.3">
      <c r="D735" s="11"/>
    </row>
    <row r="736" spans="4:4" ht="15.75" customHeight="1" x14ac:dyDescent="0.3">
      <c r="D736" s="11"/>
    </row>
    <row r="737" spans="4:4" ht="15.75" customHeight="1" x14ac:dyDescent="0.3">
      <c r="D737" s="11"/>
    </row>
    <row r="738" spans="4:4" ht="15.75" customHeight="1" x14ac:dyDescent="0.3">
      <c r="D738" s="11"/>
    </row>
    <row r="739" spans="4:4" ht="15.75" customHeight="1" x14ac:dyDescent="0.3">
      <c r="D739" s="11"/>
    </row>
    <row r="740" spans="4:4" ht="15.75" customHeight="1" x14ac:dyDescent="0.3">
      <c r="D740" s="11"/>
    </row>
    <row r="741" spans="4:4" ht="15.75" customHeight="1" x14ac:dyDescent="0.3">
      <c r="D741" s="11"/>
    </row>
    <row r="742" spans="4:4" ht="15.75" customHeight="1" x14ac:dyDescent="0.3">
      <c r="D742" s="11"/>
    </row>
    <row r="743" spans="4:4" ht="15.75" customHeight="1" x14ac:dyDescent="0.3">
      <c r="D743" s="11"/>
    </row>
    <row r="744" spans="4:4" ht="15.75" customHeight="1" x14ac:dyDescent="0.3">
      <c r="D744" s="11"/>
    </row>
    <row r="745" spans="4:4" ht="15.75" customHeight="1" x14ac:dyDescent="0.3">
      <c r="D745" s="11"/>
    </row>
    <row r="746" spans="4:4" ht="15.75" customHeight="1" x14ac:dyDescent="0.3">
      <c r="D746" s="11"/>
    </row>
    <row r="747" spans="4:4" ht="15.75" customHeight="1" x14ac:dyDescent="0.3">
      <c r="D747" s="11"/>
    </row>
    <row r="748" spans="4:4" ht="15.75" customHeight="1" x14ac:dyDescent="0.3">
      <c r="D748" s="11"/>
    </row>
    <row r="749" spans="4:4" ht="15.75" customHeight="1" x14ac:dyDescent="0.3">
      <c r="D749" s="11"/>
    </row>
    <row r="750" spans="4:4" ht="15.75" customHeight="1" x14ac:dyDescent="0.3">
      <c r="D750" s="11"/>
    </row>
    <row r="751" spans="4:4" ht="15.75" customHeight="1" x14ac:dyDescent="0.3">
      <c r="D751" s="11"/>
    </row>
    <row r="752" spans="4:4" ht="15.75" customHeight="1" x14ac:dyDescent="0.3">
      <c r="D752" s="11"/>
    </row>
    <row r="753" spans="4:4" ht="15.75" customHeight="1" x14ac:dyDescent="0.3">
      <c r="D753" s="11"/>
    </row>
    <row r="754" spans="4:4" ht="15.75" customHeight="1" x14ac:dyDescent="0.3">
      <c r="D754" s="11"/>
    </row>
    <row r="755" spans="4:4" ht="15.75" customHeight="1" x14ac:dyDescent="0.3">
      <c r="D755" s="11"/>
    </row>
    <row r="756" spans="4:4" ht="15.75" customHeight="1" x14ac:dyDescent="0.3">
      <c r="D756" s="11"/>
    </row>
    <row r="757" spans="4:4" ht="15.75" customHeight="1" x14ac:dyDescent="0.3">
      <c r="D757" s="11"/>
    </row>
    <row r="758" spans="4:4" ht="15.75" customHeight="1" x14ac:dyDescent="0.3">
      <c r="D758" s="11"/>
    </row>
    <row r="759" spans="4:4" ht="15.75" customHeight="1" x14ac:dyDescent="0.3">
      <c r="D759" s="11"/>
    </row>
    <row r="760" spans="4:4" ht="15.75" customHeight="1" x14ac:dyDescent="0.3">
      <c r="D760" s="11"/>
    </row>
    <row r="761" spans="4:4" ht="15.75" customHeight="1" x14ac:dyDescent="0.3">
      <c r="D761" s="11"/>
    </row>
    <row r="762" spans="4:4" ht="15.75" customHeight="1" x14ac:dyDescent="0.3">
      <c r="D762" s="11"/>
    </row>
    <row r="763" spans="4:4" ht="15.75" customHeight="1" x14ac:dyDescent="0.3">
      <c r="D763" s="11"/>
    </row>
    <row r="764" spans="4:4" ht="15.75" customHeight="1" x14ac:dyDescent="0.3">
      <c r="D764" s="11"/>
    </row>
    <row r="765" spans="4:4" ht="15.75" customHeight="1" x14ac:dyDescent="0.3">
      <c r="D765" s="11"/>
    </row>
    <row r="766" spans="4:4" ht="15.75" customHeight="1" x14ac:dyDescent="0.3">
      <c r="D766" s="11"/>
    </row>
    <row r="767" spans="4:4" ht="15.75" customHeight="1" x14ac:dyDescent="0.3">
      <c r="D767" s="11"/>
    </row>
    <row r="768" spans="4:4" ht="15.75" customHeight="1" x14ac:dyDescent="0.3">
      <c r="D768" s="11"/>
    </row>
    <row r="769" spans="4:4" ht="15.75" customHeight="1" x14ac:dyDescent="0.3">
      <c r="D769" s="11"/>
    </row>
    <row r="770" spans="4:4" ht="15.75" customHeight="1" x14ac:dyDescent="0.3">
      <c r="D770" s="11"/>
    </row>
    <row r="771" spans="4:4" ht="15.75" customHeight="1" x14ac:dyDescent="0.3">
      <c r="D771" s="11"/>
    </row>
    <row r="772" spans="4:4" ht="15.75" customHeight="1" x14ac:dyDescent="0.3">
      <c r="D772" s="11"/>
    </row>
    <row r="773" spans="4:4" ht="15.75" customHeight="1" x14ac:dyDescent="0.3">
      <c r="D773" s="11"/>
    </row>
    <row r="774" spans="4:4" ht="15.75" customHeight="1" x14ac:dyDescent="0.3">
      <c r="D774" s="11"/>
    </row>
    <row r="775" spans="4:4" ht="15.75" customHeight="1" x14ac:dyDescent="0.3">
      <c r="D775" s="11"/>
    </row>
    <row r="776" spans="4:4" ht="15.75" customHeight="1" x14ac:dyDescent="0.3">
      <c r="D776" s="11"/>
    </row>
    <row r="777" spans="4:4" ht="15.75" customHeight="1" x14ac:dyDescent="0.3">
      <c r="D777" s="11"/>
    </row>
    <row r="778" spans="4:4" ht="15.75" customHeight="1" x14ac:dyDescent="0.3">
      <c r="D778" s="11"/>
    </row>
    <row r="779" spans="4:4" ht="15.75" customHeight="1" x14ac:dyDescent="0.3">
      <c r="D779" s="11"/>
    </row>
    <row r="780" spans="4:4" ht="15.75" customHeight="1" x14ac:dyDescent="0.3">
      <c r="D780" s="11"/>
    </row>
    <row r="781" spans="4:4" ht="15.75" customHeight="1" x14ac:dyDescent="0.3">
      <c r="D781" s="11"/>
    </row>
    <row r="782" spans="4:4" ht="15.75" customHeight="1" x14ac:dyDescent="0.3">
      <c r="D782" s="11"/>
    </row>
    <row r="783" spans="4:4" ht="15.75" customHeight="1" x14ac:dyDescent="0.3">
      <c r="D783" s="11"/>
    </row>
    <row r="784" spans="4:4" ht="15.75" customHeight="1" x14ac:dyDescent="0.3">
      <c r="D784" s="11"/>
    </row>
    <row r="785" spans="4:4" ht="15.75" customHeight="1" x14ac:dyDescent="0.3">
      <c r="D785" s="11"/>
    </row>
    <row r="786" spans="4:4" ht="15.75" customHeight="1" x14ac:dyDescent="0.3">
      <c r="D786" s="11"/>
    </row>
    <row r="787" spans="4:4" ht="15.75" customHeight="1" x14ac:dyDescent="0.3">
      <c r="D787" s="11"/>
    </row>
    <row r="788" spans="4:4" ht="15.75" customHeight="1" x14ac:dyDescent="0.3">
      <c r="D788" s="11"/>
    </row>
    <row r="789" spans="4:4" ht="15.75" customHeight="1" x14ac:dyDescent="0.3">
      <c r="D789" s="11"/>
    </row>
    <row r="790" spans="4:4" ht="15.75" customHeight="1" x14ac:dyDescent="0.3">
      <c r="D790" s="11"/>
    </row>
    <row r="791" spans="4:4" ht="15.75" customHeight="1" x14ac:dyDescent="0.3">
      <c r="D791" s="11"/>
    </row>
    <row r="792" spans="4:4" ht="15.75" customHeight="1" x14ac:dyDescent="0.3">
      <c r="D792" s="11"/>
    </row>
    <row r="793" spans="4:4" ht="15.75" customHeight="1" x14ac:dyDescent="0.3">
      <c r="D793" s="11"/>
    </row>
    <row r="794" spans="4:4" ht="15.75" customHeight="1" x14ac:dyDescent="0.3">
      <c r="D794" s="11"/>
    </row>
    <row r="795" spans="4:4" ht="15.75" customHeight="1" x14ac:dyDescent="0.3">
      <c r="D795" s="11"/>
    </row>
    <row r="796" spans="4:4" ht="15.75" customHeight="1" x14ac:dyDescent="0.3">
      <c r="D796" s="11"/>
    </row>
    <row r="797" spans="4:4" ht="15.75" customHeight="1" x14ac:dyDescent="0.3">
      <c r="D797" s="11"/>
    </row>
    <row r="798" spans="4:4" ht="15.75" customHeight="1" x14ac:dyDescent="0.3">
      <c r="D798" s="11"/>
    </row>
    <row r="799" spans="4:4" ht="15.75" customHeight="1" x14ac:dyDescent="0.3">
      <c r="D799" s="11"/>
    </row>
    <row r="800" spans="4:4" ht="15.75" customHeight="1" x14ac:dyDescent="0.3">
      <c r="D800" s="11"/>
    </row>
    <row r="801" spans="4:4" ht="15.75" customHeight="1" x14ac:dyDescent="0.3">
      <c r="D801" s="11"/>
    </row>
    <row r="802" spans="4:4" ht="15.75" customHeight="1" x14ac:dyDescent="0.3">
      <c r="D802" s="11"/>
    </row>
    <row r="803" spans="4:4" ht="15.75" customHeight="1" x14ac:dyDescent="0.3">
      <c r="D803" s="11"/>
    </row>
    <row r="804" spans="4:4" ht="15.75" customHeight="1" x14ac:dyDescent="0.3">
      <c r="D804" s="11"/>
    </row>
    <row r="805" spans="4:4" ht="15.75" customHeight="1" x14ac:dyDescent="0.3">
      <c r="D805" s="11"/>
    </row>
    <row r="806" spans="4:4" ht="15.75" customHeight="1" x14ac:dyDescent="0.3">
      <c r="D806" s="11"/>
    </row>
    <row r="807" spans="4:4" ht="15.75" customHeight="1" x14ac:dyDescent="0.3">
      <c r="D807" s="11"/>
    </row>
    <row r="808" spans="4:4" ht="15.75" customHeight="1" x14ac:dyDescent="0.3">
      <c r="D808" s="11"/>
    </row>
    <row r="809" spans="4:4" ht="15.75" customHeight="1" x14ac:dyDescent="0.3">
      <c r="D809" s="11"/>
    </row>
    <row r="810" spans="4:4" ht="15.75" customHeight="1" x14ac:dyDescent="0.3">
      <c r="D810" s="11"/>
    </row>
    <row r="811" spans="4:4" ht="15.75" customHeight="1" x14ac:dyDescent="0.3">
      <c r="D811" s="11"/>
    </row>
    <row r="812" spans="4:4" ht="15.75" customHeight="1" x14ac:dyDescent="0.3">
      <c r="D812" s="11"/>
    </row>
    <row r="813" spans="4:4" ht="15.75" customHeight="1" x14ac:dyDescent="0.3">
      <c r="D813" s="11"/>
    </row>
    <row r="814" spans="4:4" ht="15.75" customHeight="1" x14ac:dyDescent="0.3">
      <c r="D814" s="11"/>
    </row>
    <row r="815" spans="4:4" ht="15.75" customHeight="1" x14ac:dyDescent="0.3">
      <c r="D815" s="11"/>
    </row>
    <row r="816" spans="4:4" ht="15.75" customHeight="1" x14ac:dyDescent="0.3">
      <c r="D816" s="11"/>
    </row>
    <row r="817" spans="4:4" ht="15.75" customHeight="1" x14ac:dyDescent="0.3">
      <c r="D817" s="11"/>
    </row>
    <row r="818" spans="4:4" ht="15.75" customHeight="1" x14ac:dyDescent="0.3">
      <c r="D818" s="11"/>
    </row>
    <row r="819" spans="4:4" ht="15.75" customHeight="1" x14ac:dyDescent="0.3">
      <c r="D819" s="11"/>
    </row>
    <row r="820" spans="4:4" ht="15.75" customHeight="1" x14ac:dyDescent="0.3">
      <c r="D820" s="11"/>
    </row>
    <row r="821" spans="4:4" ht="15.75" customHeight="1" x14ac:dyDescent="0.3">
      <c r="D821" s="11"/>
    </row>
    <row r="822" spans="4:4" ht="15.75" customHeight="1" x14ac:dyDescent="0.3">
      <c r="D822" s="11"/>
    </row>
    <row r="823" spans="4:4" ht="15.75" customHeight="1" x14ac:dyDescent="0.3">
      <c r="D823" s="11"/>
    </row>
    <row r="824" spans="4:4" ht="15.75" customHeight="1" x14ac:dyDescent="0.3">
      <c r="D824" s="11"/>
    </row>
    <row r="825" spans="4:4" ht="15.75" customHeight="1" x14ac:dyDescent="0.3">
      <c r="D825" s="11"/>
    </row>
    <row r="826" spans="4:4" ht="15.75" customHeight="1" x14ac:dyDescent="0.3">
      <c r="D826" s="11"/>
    </row>
    <row r="827" spans="4:4" ht="15.75" customHeight="1" x14ac:dyDescent="0.3">
      <c r="D827" s="11"/>
    </row>
    <row r="828" spans="4:4" ht="15.75" customHeight="1" x14ac:dyDescent="0.3">
      <c r="D828" s="11"/>
    </row>
    <row r="829" spans="4:4" ht="15.75" customHeight="1" x14ac:dyDescent="0.3">
      <c r="D829" s="11"/>
    </row>
    <row r="830" spans="4:4" ht="15.75" customHeight="1" x14ac:dyDescent="0.3">
      <c r="D830" s="11"/>
    </row>
    <row r="831" spans="4:4" ht="15.75" customHeight="1" x14ac:dyDescent="0.3">
      <c r="D831" s="11"/>
    </row>
    <row r="832" spans="4:4" ht="15.75" customHeight="1" x14ac:dyDescent="0.3">
      <c r="D832" s="11"/>
    </row>
    <row r="833" spans="4:4" ht="15.75" customHeight="1" x14ac:dyDescent="0.3">
      <c r="D833" s="11"/>
    </row>
    <row r="834" spans="4:4" ht="15.75" customHeight="1" x14ac:dyDescent="0.3">
      <c r="D834" s="11"/>
    </row>
    <row r="835" spans="4:4" ht="15.75" customHeight="1" x14ac:dyDescent="0.3">
      <c r="D835" s="11"/>
    </row>
    <row r="836" spans="4:4" ht="15.75" customHeight="1" x14ac:dyDescent="0.3">
      <c r="D836" s="11"/>
    </row>
    <row r="837" spans="4:4" ht="15.75" customHeight="1" x14ac:dyDescent="0.3">
      <c r="D837" s="11"/>
    </row>
    <row r="838" spans="4:4" ht="15.75" customHeight="1" x14ac:dyDescent="0.3">
      <c r="D838" s="11"/>
    </row>
    <row r="839" spans="4:4" ht="15.75" customHeight="1" x14ac:dyDescent="0.3">
      <c r="D839" s="11"/>
    </row>
    <row r="840" spans="4:4" ht="15.75" customHeight="1" x14ac:dyDescent="0.3">
      <c r="D840" s="11"/>
    </row>
    <row r="841" spans="4:4" ht="15.75" customHeight="1" x14ac:dyDescent="0.3">
      <c r="D841" s="11"/>
    </row>
    <row r="842" spans="4:4" ht="15.75" customHeight="1" x14ac:dyDescent="0.3">
      <c r="D842" s="11"/>
    </row>
    <row r="843" spans="4:4" ht="15.75" customHeight="1" x14ac:dyDescent="0.3">
      <c r="D843" s="11"/>
    </row>
    <row r="844" spans="4:4" ht="15.75" customHeight="1" x14ac:dyDescent="0.3">
      <c r="D844" s="11"/>
    </row>
    <row r="845" spans="4:4" ht="15.75" customHeight="1" x14ac:dyDescent="0.3">
      <c r="D845" s="11"/>
    </row>
    <row r="846" spans="4:4" ht="15.75" customHeight="1" x14ac:dyDescent="0.3">
      <c r="D846" s="11"/>
    </row>
    <row r="847" spans="4:4" ht="15.75" customHeight="1" x14ac:dyDescent="0.3">
      <c r="D847" s="11"/>
    </row>
    <row r="848" spans="4:4" ht="15.75" customHeight="1" x14ac:dyDescent="0.3">
      <c r="D848" s="11"/>
    </row>
    <row r="849" spans="4:4" ht="15.75" customHeight="1" x14ac:dyDescent="0.3">
      <c r="D849" s="11"/>
    </row>
    <row r="850" spans="4:4" ht="15.75" customHeight="1" x14ac:dyDescent="0.3">
      <c r="D850" s="11"/>
    </row>
    <row r="851" spans="4:4" ht="15.75" customHeight="1" x14ac:dyDescent="0.3">
      <c r="D851" s="11"/>
    </row>
    <row r="852" spans="4:4" ht="15.75" customHeight="1" x14ac:dyDescent="0.3">
      <c r="D852" s="11"/>
    </row>
    <row r="853" spans="4:4" ht="15.75" customHeight="1" x14ac:dyDescent="0.3">
      <c r="D853" s="11"/>
    </row>
    <row r="854" spans="4:4" ht="15.75" customHeight="1" x14ac:dyDescent="0.3">
      <c r="D854" s="11"/>
    </row>
    <row r="855" spans="4:4" ht="15.75" customHeight="1" x14ac:dyDescent="0.3">
      <c r="D855" s="11"/>
    </row>
    <row r="856" spans="4:4" ht="15.75" customHeight="1" x14ac:dyDescent="0.3">
      <c r="D856" s="11"/>
    </row>
    <row r="857" spans="4:4" ht="15.75" customHeight="1" x14ac:dyDescent="0.3">
      <c r="D857" s="11"/>
    </row>
    <row r="858" spans="4:4" ht="15.75" customHeight="1" x14ac:dyDescent="0.3">
      <c r="D858" s="11"/>
    </row>
    <row r="859" spans="4:4" ht="15.75" customHeight="1" x14ac:dyDescent="0.3">
      <c r="D859" s="11"/>
    </row>
    <row r="860" spans="4:4" ht="15.75" customHeight="1" x14ac:dyDescent="0.3">
      <c r="D860" s="11"/>
    </row>
    <row r="861" spans="4:4" ht="15.75" customHeight="1" x14ac:dyDescent="0.3">
      <c r="D861" s="11"/>
    </row>
    <row r="862" spans="4:4" ht="15.75" customHeight="1" x14ac:dyDescent="0.3">
      <c r="D862" s="11"/>
    </row>
    <row r="863" spans="4:4" ht="15.75" customHeight="1" x14ac:dyDescent="0.3">
      <c r="D863" s="11"/>
    </row>
    <row r="864" spans="4:4" ht="15.75" customHeight="1" x14ac:dyDescent="0.3">
      <c r="D864" s="11"/>
    </row>
    <row r="865" spans="4:4" ht="15.75" customHeight="1" x14ac:dyDescent="0.3">
      <c r="D865" s="11"/>
    </row>
    <row r="866" spans="4:4" ht="15.75" customHeight="1" x14ac:dyDescent="0.3">
      <c r="D866" s="11"/>
    </row>
    <row r="867" spans="4:4" ht="15.75" customHeight="1" x14ac:dyDescent="0.3">
      <c r="D867" s="11"/>
    </row>
    <row r="868" spans="4:4" ht="15.75" customHeight="1" x14ac:dyDescent="0.3">
      <c r="D868" s="11"/>
    </row>
    <row r="869" spans="4:4" ht="15.75" customHeight="1" x14ac:dyDescent="0.3">
      <c r="D869" s="11"/>
    </row>
    <row r="870" spans="4:4" ht="15.75" customHeight="1" x14ac:dyDescent="0.3">
      <c r="D870" s="11"/>
    </row>
    <row r="871" spans="4:4" ht="15.75" customHeight="1" x14ac:dyDescent="0.3">
      <c r="D871" s="11"/>
    </row>
    <row r="872" spans="4:4" ht="15.75" customHeight="1" x14ac:dyDescent="0.3">
      <c r="D872" s="11"/>
    </row>
    <row r="873" spans="4:4" ht="15.75" customHeight="1" x14ac:dyDescent="0.3">
      <c r="D873" s="11"/>
    </row>
    <row r="874" spans="4:4" ht="15.75" customHeight="1" x14ac:dyDescent="0.3">
      <c r="D874" s="11"/>
    </row>
    <row r="875" spans="4:4" ht="15.75" customHeight="1" x14ac:dyDescent="0.3">
      <c r="D875" s="11"/>
    </row>
    <row r="876" spans="4:4" ht="15.75" customHeight="1" x14ac:dyDescent="0.3">
      <c r="D876" s="11"/>
    </row>
    <row r="877" spans="4:4" ht="15.75" customHeight="1" x14ac:dyDescent="0.3">
      <c r="D877" s="11"/>
    </row>
    <row r="878" spans="4:4" ht="15.75" customHeight="1" x14ac:dyDescent="0.3">
      <c r="D878" s="11"/>
    </row>
    <row r="879" spans="4:4" ht="15.75" customHeight="1" x14ac:dyDescent="0.3">
      <c r="D879" s="11"/>
    </row>
    <row r="880" spans="4:4" ht="15.75" customHeight="1" x14ac:dyDescent="0.3">
      <c r="D880" s="11"/>
    </row>
    <row r="881" spans="4:4" ht="15.75" customHeight="1" x14ac:dyDescent="0.3">
      <c r="D881" s="11"/>
    </row>
    <row r="882" spans="4:4" ht="15.75" customHeight="1" x14ac:dyDescent="0.3">
      <c r="D882" s="11"/>
    </row>
    <row r="883" spans="4:4" ht="15.75" customHeight="1" x14ac:dyDescent="0.3">
      <c r="D883" s="11"/>
    </row>
    <row r="884" spans="4:4" ht="15.75" customHeight="1" x14ac:dyDescent="0.3">
      <c r="D884" s="11"/>
    </row>
    <row r="885" spans="4:4" ht="15.75" customHeight="1" x14ac:dyDescent="0.3">
      <c r="D885" s="11"/>
    </row>
    <row r="886" spans="4:4" ht="15.75" customHeight="1" x14ac:dyDescent="0.3">
      <c r="D886" s="11"/>
    </row>
    <row r="887" spans="4:4" ht="15.75" customHeight="1" x14ac:dyDescent="0.3">
      <c r="D887" s="11"/>
    </row>
    <row r="888" spans="4:4" ht="15.75" customHeight="1" x14ac:dyDescent="0.3">
      <c r="D888" s="11"/>
    </row>
    <row r="889" spans="4:4" ht="15.75" customHeight="1" x14ac:dyDescent="0.3">
      <c r="D889" s="11"/>
    </row>
    <row r="890" spans="4:4" ht="15.75" customHeight="1" x14ac:dyDescent="0.3">
      <c r="D890" s="11"/>
    </row>
    <row r="891" spans="4:4" ht="15.75" customHeight="1" x14ac:dyDescent="0.3">
      <c r="D891" s="11"/>
    </row>
    <row r="892" spans="4:4" ht="15.75" customHeight="1" x14ac:dyDescent="0.3">
      <c r="D892" s="11"/>
    </row>
    <row r="893" spans="4:4" ht="15.75" customHeight="1" x14ac:dyDescent="0.3">
      <c r="D893" s="11"/>
    </row>
    <row r="894" spans="4:4" ht="15.75" customHeight="1" x14ac:dyDescent="0.3">
      <c r="D894" s="11"/>
    </row>
    <row r="895" spans="4:4" ht="15.75" customHeight="1" x14ac:dyDescent="0.3">
      <c r="D895" s="11"/>
    </row>
    <row r="896" spans="4:4" ht="15.75" customHeight="1" x14ac:dyDescent="0.3">
      <c r="D896" s="11"/>
    </row>
    <row r="897" spans="4:4" ht="15.75" customHeight="1" x14ac:dyDescent="0.3">
      <c r="D897" s="11"/>
    </row>
    <row r="898" spans="4:4" ht="15.75" customHeight="1" x14ac:dyDescent="0.3">
      <c r="D898" s="11"/>
    </row>
    <row r="899" spans="4:4" ht="15.75" customHeight="1" x14ac:dyDescent="0.3">
      <c r="D899" s="11"/>
    </row>
    <row r="900" spans="4:4" ht="15.75" customHeight="1" x14ac:dyDescent="0.3">
      <c r="D900" s="11"/>
    </row>
    <row r="901" spans="4:4" ht="15.75" customHeight="1" x14ac:dyDescent="0.3">
      <c r="D901" s="11"/>
    </row>
    <row r="902" spans="4:4" ht="15.75" customHeight="1" x14ac:dyDescent="0.3">
      <c r="D902" s="11"/>
    </row>
    <row r="903" spans="4:4" ht="15.75" customHeight="1" x14ac:dyDescent="0.3">
      <c r="D903" s="11"/>
    </row>
    <row r="904" spans="4:4" ht="15.75" customHeight="1" x14ac:dyDescent="0.3">
      <c r="D904" s="11"/>
    </row>
    <row r="905" spans="4:4" ht="15.75" customHeight="1" x14ac:dyDescent="0.3">
      <c r="D905" s="11"/>
    </row>
    <row r="906" spans="4:4" ht="15.75" customHeight="1" x14ac:dyDescent="0.3">
      <c r="D906" s="11"/>
    </row>
    <row r="907" spans="4:4" ht="15.75" customHeight="1" x14ac:dyDescent="0.3">
      <c r="D907" s="11"/>
    </row>
    <row r="908" spans="4:4" ht="15.75" customHeight="1" x14ac:dyDescent="0.3">
      <c r="D908" s="11"/>
    </row>
    <row r="909" spans="4:4" ht="15.75" customHeight="1" x14ac:dyDescent="0.3">
      <c r="D909" s="11"/>
    </row>
    <row r="910" spans="4:4" ht="15.75" customHeight="1" x14ac:dyDescent="0.3">
      <c r="D910" s="11"/>
    </row>
    <row r="911" spans="4:4" ht="15.75" customHeight="1" x14ac:dyDescent="0.3">
      <c r="D911" s="11"/>
    </row>
    <row r="912" spans="4:4" ht="15.75" customHeight="1" x14ac:dyDescent="0.3">
      <c r="D912" s="11"/>
    </row>
    <row r="913" spans="4:4" ht="15.75" customHeight="1" x14ac:dyDescent="0.3">
      <c r="D913" s="11"/>
    </row>
    <row r="914" spans="4:4" ht="15.75" customHeight="1" x14ac:dyDescent="0.3">
      <c r="D914" s="11"/>
    </row>
    <row r="915" spans="4:4" ht="15.75" customHeight="1" x14ac:dyDescent="0.3">
      <c r="D915" s="11"/>
    </row>
    <row r="916" spans="4:4" ht="15.75" customHeight="1" x14ac:dyDescent="0.3">
      <c r="D916" s="11"/>
    </row>
    <row r="917" spans="4:4" ht="15.75" customHeight="1" x14ac:dyDescent="0.3">
      <c r="D917" s="11"/>
    </row>
    <row r="918" spans="4:4" ht="15.75" customHeight="1" x14ac:dyDescent="0.3">
      <c r="D918" s="11"/>
    </row>
    <row r="919" spans="4:4" ht="15.75" customHeight="1" x14ac:dyDescent="0.3">
      <c r="D919" s="11"/>
    </row>
    <row r="920" spans="4:4" ht="15.75" customHeight="1" x14ac:dyDescent="0.3">
      <c r="D920" s="11"/>
    </row>
    <row r="921" spans="4:4" ht="15.75" customHeight="1" x14ac:dyDescent="0.3">
      <c r="D921" s="11"/>
    </row>
    <row r="922" spans="4:4" ht="15.75" customHeight="1" x14ac:dyDescent="0.3">
      <c r="D922" s="11"/>
    </row>
    <row r="923" spans="4:4" ht="15.75" customHeight="1" x14ac:dyDescent="0.3">
      <c r="D923" s="11"/>
    </row>
    <row r="924" spans="4:4" ht="15.75" customHeight="1" x14ac:dyDescent="0.3">
      <c r="D924" s="11"/>
    </row>
    <row r="925" spans="4:4" ht="15.75" customHeight="1" x14ac:dyDescent="0.3">
      <c r="D925" s="11"/>
    </row>
    <row r="926" spans="4:4" ht="15.75" customHeight="1" x14ac:dyDescent="0.3">
      <c r="D926" s="11"/>
    </row>
    <row r="927" spans="4:4" ht="15.75" customHeight="1" x14ac:dyDescent="0.3">
      <c r="D927" s="11"/>
    </row>
    <row r="928" spans="4:4" ht="15.75" customHeight="1" x14ac:dyDescent="0.3">
      <c r="D928" s="11"/>
    </row>
    <row r="929" spans="4:4" ht="15.75" customHeight="1" x14ac:dyDescent="0.3">
      <c r="D929" s="11"/>
    </row>
    <row r="930" spans="4:4" ht="15.75" customHeight="1" x14ac:dyDescent="0.3">
      <c r="D930" s="11"/>
    </row>
    <row r="931" spans="4:4" ht="15.75" customHeight="1" x14ac:dyDescent="0.3">
      <c r="D931" s="11"/>
    </row>
    <row r="932" spans="4:4" ht="15.75" customHeight="1" x14ac:dyDescent="0.3">
      <c r="D932" s="11"/>
    </row>
    <row r="933" spans="4:4" ht="15.75" customHeight="1" x14ac:dyDescent="0.3">
      <c r="D933" s="11"/>
    </row>
    <row r="934" spans="4:4" ht="15.75" customHeight="1" x14ac:dyDescent="0.3">
      <c r="D934" s="11"/>
    </row>
    <row r="935" spans="4:4" ht="15.75" customHeight="1" x14ac:dyDescent="0.3">
      <c r="D935" s="11"/>
    </row>
    <row r="936" spans="4:4" ht="15.75" customHeight="1" x14ac:dyDescent="0.3">
      <c r="D936" s="11"/>
    </row>
    <row r="937" spans="4:4" ht="15.75" customHeight="1" x14ac:dyDescent="0.3">
      <c r="D937" s="11"/>
    </row>
    <row r="938" spans="4:4" ht="15.75" customHeight="1" x14ac:dyDescent="0.3">
      <c r="D938" s="11"/>
    </row>
    <row r="939" spans="4:4" ht="15.75" customHeight="1" x14ac:dyDescent="0.3">
      <c r="D939" s="11"/>
    </row>
    <row r="940" spans="4:4" ht="15.75" customHeight="1" x14ac:dyDescent="0.3">
      <c r="D940" s="11"/>
    </row>
    <row r="941" spans="4:4" ht="15.75" customHeight="1" x14ac:dyDescent="0.3">
      <c r="D941" s="11"/>
    </row>
    <row r="942" spans="4:4" ht="15.75" customHeight="1" x14ac:dyDescent="0.3">
      <c r="D942" s="11"/>
    </row>
    <row r="943" spans="4:4" ht="15.75" customHeight="1" x14ac:dyDescent="0.3">
      <c r="D943" s="11"/>
    </row>
    <row r="944" spans="4:4" ht="15.75" customHeight="1" x14ac:dyDescent="0.3">
      <c r="D944" s="11"/>
    </row>
    <row r="945" spans="4:4" ht="15.75" customHeight="1" x14ac:dyDescent="0.3">
      <c r="D945" s="11"/>
    </row>
    <row r="946" spans="4:4" ht="15.75" customHeight="1" x14ac:dyDescent="0.3">
      <c r="D946" s="11"/>
    </row>
    <row r="947" spans="4:4" ht="15.75" customHeight="1" x14ac:dyDescent="0.3">
      <c r="D947" s="11"/>
    </row>
    <row r="948" spans="4:4" ht="15.75" customHeight="1" x14ac:dyDescent="0.3">
      <c r="D948" s="11"/>
    </row>
    <row r="949" spans="4:4" ht="15.75" customHeight="1" x14ac:dyDescent="0.3">
      <c r="D949" s="11"/>
    </row>
    <row r="950" spans="4:4" ht="15.75" customHeight="1" x14ac:dyDescent="0.3">
      <c r="D950" s="11"/>
    </row>
    <row r="951" spans="4:4" ht="15.75" customHeight="1" x14ac:dyDescent="0.3">
      <c r="D951" s="11"/>
    </row>
    <row r="952" spans="4:4" ht="15.75" customHeight="1" x14ac:dyDescent="0.3">
      <c r="D952" s="11"/>
    </row>
    <row r="953" spans="4:4" ht="15.75" customHeight="1" x14ac:dyDescent="0.3">
      <c r="D953" s="11"/>
    </row>
    <row r="954" spans="4:4" ht="15.75" customHeight="1" x14ac:dyDescent="0.3">
      <c r="D954" s="11"/>
    </row>
    <row r="955" spans="4:4" ht="15.75" customHeight="1" x14ac:dyDescent="0.3">
      <c r="D955" s="11"/>
    </row>
    <row r="956" spans="4:4" ht="15.75" customHeight="1" x14ac:dyDescent="0.3">
      <c r="D956" s="11"/>
    </row>
    <row r="957" spans="4:4" ht="15.75" customHeight="1" x14ac:dyDescent="0.3">
      <c r="D957" s="11"/>
    </row>
    <row r="958" spans="4:4" ht="15.75" customHeight="1" x14ac:dyDescent="0.3">
      <c r="D958" s="11"/>
    </row>
    <row r="959" spans="4:4" ht="15.75" customHeight="1" x14ac:dyDescent="0.3">
      <c r="D959" s="11"/>
    </row>
    <row r="960" spans="4:4" ht="15.75" customHeight="1" x14ac:dyDescent="0.3">
      <c r="D960" s="11"/>
    </row>
    <row r="961" spans="4:4" ht="15.75" customHeight="1" x14ac:dyDescent="0.3">
      <c r="D961" s="11"/>
    </row>
    <row r="962" spans="4:4" ht="15.75" customHeight="1" x14ac:dyDescent="0.3">
      <c r="D962" s="11"/>
    </row>
    <row r="963" spans="4:4" ht="15.75" customHeight="1" x14ac:dyDescent="0.3">
      <c r="D963" s="11"/>
    </row>
    <row r="964" spans="4:4" ht="15.75" customHeight="1" x14ac:dyDescent="0.3">
      <c r="D964" s="11"/>
    </row>
    <row r="965" spans="4:4" ht="15.75" customHeight="1" x14ac:dyDescent="0.3">
      <c r="D965" s="11"/>
    </row>
    <row r="966" spans="4:4" ht="15.75" customHeight="1" x14ac:dyDescent="0.3">
      <c r="D966" s="11"/>
    </row>
    <row r="967" spans="4:4" ht="15.75" customHeight="1" x14ac:dyDescent="0.3">
      <c r="D967" s="11"/>
    </row>
    <row r="968" spans="4:4" ht="15.75" customHeight="1" x14ac:dyDescent="0.3">
      <c r="D968" s="11"/>
    </row>
    <row r="969" spans="4:4" ht="15.75" customHeight="1" x14ac:dyDescent="0.3">
      <c r="D969" s="11"/>
    </row>
    <row r="970" spans="4:4" ht="15.75" customHeight="1" x14ac:dyDescent="0.3">
      <c r="D970" s="11"/>
    </row>
    <row r="971" spans="4:4" ht="15.75" customHeight="1" x14ac:dyDescent="0.3">
      <c r="D971" s="11"/>
    </row>
    <row r="972" spans="4:4" ht="15.75" customHeight="1" x14ac:dyDescent="0.3">
      <c r="D972" s="11"/>
    </row>
    <row r="973" spans="4:4" ht="15.75" customHeight="1" x14ac:dyDescent="0.3">
      <c r="D973" s="11"/>
    </row>
    <row r="974" spans="4:4" ht="15.75" customHeight="1" x14ac:dyDescent="0.3">
      <c r="D974" s="11"/>
    </row>
    <row r="975" spans="4:4" ht="15.75" customHeight="1" x14ac:dyDescent="0.3">
      <c r="D975" s="11"/>
    </row>
    <row r="976" spans="4:4" ht="15.75" customHeight="1" x14ac:dyDescent="0.3">
      <c r="D976" s="11"/>
    </row>
    <row r="977" spans="4:4" ht="15.75" customHeight="1" x14ac:dyDescent="0.3">
      <c r="D977" s="11"/>
    </row>
    <row r="978" spans="4:4" ht="15.75" customHeight="1" x14ac:dyDescent="0.3">
      <c r="D978" s="11"/>
    </row>
    <row r="979" spans="4:4" ht="15.75" customHeight="1" x14ac:dyDescent="0.3">
      <c r="D979" s="11"/>
    </row>
    <row r="980" spans="4:4" ht="15.75" customHeight="1" x14ac:dyDescent="0.3">
      <c r="D980" s="11"/>
    </row>
    <row r="981" spans="4:4" ht="15.75" customHeight="1" x14ac:dyDescent="0.3">
      <c r="D981" s="11"/>
    </row>
    <row r="982" spans="4:4" ht="15.75" customHeight="1" x14ac:dyDescent="0.3">
      <c r="D982" s="11"/>
    </row>
    <row r="983" spans="4:4" ht="15.75" customHeight="1" x14ac:dyDescent="0.3">
      <c r="D983" s="11"/>
    </row>
    <row r="984" spans="4:4" ht="15.75" customHeight="1" x14ac:dyDescent="0.3">
      <c r="D984" s="11"/>
    </row>
    <row r="985" spans="4:4" ht="15.75" customHeight="1" x14ac:dyDescent="0.3">
      <c r="D985" s="11"/>
    </row>
    <row r="986" spans="4:4" ht="15.75" customHeight="1" x14ac:dyDescent="0.3">
      <c r="D986" s="11"/>
    </row>
    <row r="987" spans="4:4" ht="15.75" customHeight="1" x14ac:dyDescent="0.3">
      <c r="D987" s="11"/>
    </row>
    <row r="988" spans="4:4" ht="15.75" customHeight="1" x14ac:dyDescent="0.3">
      <c r="D988" s="11"/>
    </row>
    <row r="989" spans="4:4" ht="15.75" customHeight="1" x14ac:dyDescent="0.3">
      <c r="D989" s="11"/>
    </row>
    <row r="990" spans="4:4" ht="15.75" customHeight="1" x14ac:dyDescent="0.3">
      <c r="D990" s="11"/>
    </row>
    <row r="991" spans="4:4" ht="15.75" customHeight="1" x14ac:dyDescent="0.3">
      <c r="D991" s="11"/>
    </row>
    <row r="992" spans="4:4" ht="15.75" customHeight="1" x14ac:dyDescent="0.3">
      <c r="D992" s="11"/>
    </row>
    <row r="993" spans="4:4" ht="15.75" customHeight="1" x14ac:dyDescent="0.3">
      <c r="D993" s="11"/>
    </row>
    <row r="994" spans="4:4" ht="15.75" customHeight="1" x14ac:dyDescent="0.3">
      <c r="D994" s="11"/>
    </row>
    <row r="995" spans="4:4" ht="15.75" customHeight="1" x14ac:dyDescent="0.3">
      <c r="D995" s="11"/>
    </row>
    <row r="996" spans="4:4" ht="15.75" customHeight="1" x14ac:dyDescent="0.3">
      <c r="D996" s="11"/>
    </row>
    <row r="997" spans="4:4" ht="15.75" customHeight="1" x14ac:dyDescent="0.3">
      <c r="D997" s="11"/>
    </row>
    <row r="998" spans="4:4" ht="15.75" customHeight="1" x14ac:dyDescent="0.3">
      <c r="D998" s="11"/>
    </row>
    <row r="999" spans="4:4" ht="15.75" customHeight="1" x14ac:dyDescent="0.3">
      <c r="D999" s="11"/>
    </row>
    <row r="1000" spans="4:4" ht="15.75" customHeight="1" x14ac:dyDescent="0.3">
      <c r="D1000" s="11"/>
    </row>
  </sheetData>
  <mergeCells count="2">
    <mergeCell ref="A3:B3"/>
    <mergeCell ref="A4:C4"/>
  </mergeCells>
  <pageMargins left="0.7" right="0.7" top="0.75" bottom="0.75" header="0" footer="0"/>
  <pageSetup orientation="portrait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T2840"/>
  <sheetViews>
    <sheetView workbookViewId="0">
      <pane ySplit="4" topLeftCell="A5" activePane="bottomLeft" state="frozen"/>
      <selection pane="bottomLeft" activeCell="I18" sqref="I18"/>
    </sheetView>
  </sheetViews>
  <sheetFormatPr defaultColWidth="14.44140625" defaultRowHeight="15" customHeight="1" x14ac:dyDescent="0.3"/>
  <cols>
    <col min="1" max="2" width="4" customWidth="1"/>
    <col min="3" max="3" width="12.109375" customWidth="1"/>
    <col min="4" max="4" width="49" customWidth="1"/>
    <col min="5" max="6" width="14.5546875" customWidth="1"/>
    <col min="7" max="7" width="13.33203125" customWidth="1"/>
    <col min="8" max="8" width="5" customWidth="1"/>
    <col min="9" max="9" width="8" customWidth="1"/>
    <col min="10" max="10" width="14.5546875" customWidth="1"/>
    <col min="11" max="11" width="7.88671875" customWidth="1"/>
    <col min="12" max="12" width="14.5546875" customWidth="1"/>
    <col min="13" max="13" width="7.88671875" customWidth="1"/>
    <col min="14" max="14" width="14.5546875" customWidth="1"/>
    <col min="15" max="15" width="8" customWidth="1"/>
    <col min="16" max="16" width="13.33203125" customWidth="1"/>
    <col min="17" max="17" width="6.6640625" customWidth="1"/>
    <col min="18" max="18" width="12" customWidth="1"/>
    <col min="19" max="19" width="7.88671875" customWidth="1"/>
    <col min="20" max="20" width="13.33203125" customWidth="1"/>
  </cols>
  <sheetData>
    <row r="1" spans="1:20" ht="12" customHeight="1" x14ac:dyDescent="0.3">
      <c r="A1" s="546" t="s">
        <v>261</v>
      </c>
      <c r="B1" s="547"/>
      <c r="C1" s="298" t="s">
        <v>268</v>
      </c>
      <c r="D1" s="299" t="s">
        <v>269</v>
      </c>
      <c r="E1" s="548" t="s">
        <v>270</v>
      </c>
      <c r="F1" s="547"/>
      <c r="G1" s="300">
        <f t="array" aca="1" ref="G1" ca="1">(SUM(INDIRECT("g5:g5")))+J2+L2+N2+P2-R2+T2-G1043</f>
        <v>10126.999999999985</v>
      </c>
      <c r="H1" s="301"/>
      <c r="I1" s="302" t="s">
        <v>271</v>
      </c>
      <c r="J1" s="303">
        <v>25000</v>
      </c>
      <c r="K1" s="304" t="s">
        <v>272</v>
      </c>
      <c r="L1" s="305">
        <v>25000</v>
      </c>
      <c r="M1" s="306" t="s">
        <v>273</v>
      </c>
      <c r="N1" s="307">
        <f>10500-N2</f>
        <v>10500</v>
      </c>
      <c r="O1" s="308" t="s">
        <v>274</v>
      </c>
      <c r="P1" s="309">
        <f>5000-P2</f>
        <v>5000</v>
      </c>
      <c r="Q1" s="549" t="s">
        <v>39</v>
      </c>
      <c r="R1" s="547"/>
      <c r="S1" s="310" t="s">
        <v>273</v>
      </c>
      <c r="T1" s="311">
        <f>1200-T2</f>
        <v>1200</v>
      </c>
    </row>
    <row r="2" spans="1:20" ht="12" customHeight="1" x14ac:dyDescent="0.3">
      <c r="A2" s="299"/>
      <c r="B2" s="312"/>
      <c r="C2" s="298"/>
      <c r="D2" s="313"/>
      <c r="E2" s="548" t="s">
        <v>39</v>
      </c>
      <c r="F2" s="547"/>
      <c r="G2" s="300">
        <f>R2</f>
        <v>0</v>
      </c>
      <c r="H2" s="301"/>
      <c r="I2" s="314" t="s">
        <v>275</v>
      </c>
      <c r="J2" s="303">
        <f>SUMIFS(E:E,I:I,"1")</f>
        <v>2159</v>
      </c>
      <c r="K2" s="304" t="s">
        <v>276</v>
      </c>
      <c r="L2" s="305">
        <f>(SUMIFS(E:E,I:I,"2"))</f>
        <v>70</v>
      </c>
      <c r="M2" s="306" t="s">
        <v>277</v>
      </c>
      <c r="N2" s="307">
        <f>SUMIFS(E:E,I:I,"3")</f>
        <v>0</v>
      </c>
      <c r="O2" s="308" t="s">
        <v>278</v>
      </c>
      <c r="P2" s="309">
        <f>SUMIFS(E:E,I:I,"4")</f>
        <v>0</v>
      </c>
      <c r="Q2" s="315"/>
      <c r="R2" s="316">
        <f>SUMIFS(F:F,H:H,"cash")-SUMIFS(E:E,H:H,"cash")</f>
        <v>0</v>
      </c>
      <c r="S2" s="310" t="s">
        <v>279</v>
      </c>
      <c r="T2" s="311">
        <f>SUMIFS(E:E,I:I,"6")</f>
        <v>0</v>
      </c>
    </row>
    <row r="3" spans="1:20" ht="12" customHeight="1" x14ac:dyDescent="0.3">
      <c r="A3" s="299"/>
      <c r="B3" s="312"/>
      <c r="C3" s="298"/>
      <c r="D3" s="313"/>
      <c r="E3" s="548" t="s">
        <v>280</v>
      </c>
      <c r="F3" s="547"/>
      <c r="G3" s="300">
        <f>SUM(J1,L1,N1,P1,T1)</f>
        <v>66700</v>
      </c>
      <c r="H3" s="301"/>
      <c r="I3" s="317"/>
      <c r="J3" s="318"/>
      <c r="K3" s="319"/>
      <c r="L3" s="320"/>
      <c r="M3" s="321"/>
      <c r="N3" s="322"/>
      <c r="O3" s="323"/>
      <c r="P3" s="324"/>
      <c r="Q3" s="325"/>
      <c r="R3" s="326"/>
      <c r="S3" s="327"/>
      <c r="T3" s="328"/>
    </row>
    <row r="4" spans="1:20" ht="12" customHeight="1" x14ac:dyDescent="0.3">
      <c r="A4" s="329"/>
      <c r="B4" s="330"/>
      <c r="C4" s="298"/>
      <c r="D4" s="299"/>
      <c r="E4" s="331" t="s">
        <v>281</v>
      </c>
      <c r="F4" s="332" t="s">
        <v>282</v>
      </c>
      <c r="G4" s="333" t="s">
        <v>283</v>
      </c>
      <c r="H4" s="334"/>
      <c r="I4" s="335"/>
      <c r="J4" s="336"/>
      <c r="K4" s="301"/>
      <c r="L4" s="336"/>
      <c r="M4" s="301"/>
      <c r="N4" s="336"/>
      <c r="O4" s="301"/>
      <c r="P4" s="336"/>
      <c r="Q4" s="301"/>
      <c r="R4" s="336"/>
      <c r="S4" s="301"/>
      <c r="T4" s="336"/>
    </row>
    <row r="5" spans="1:20" ht="12" customHeight="1" x14ac:dyDescent="0.3">
      <c r="A5" s="329" t="s">
        <v>294</v>
      </c>
      <c r="B5" s="330">
        <v>19</v>
      </c>
      <c r="C5" s="298">
        <v>46186</v>
      </c>
      <c r="D5" s="299" t="s">
        <v>191</v>
      </c>
      <c r="E5" s="522">
        <v>200</v>
      </c>
      <c r="F5" s="522"/>
      <c r="G5" s="333">
        <f t="shared" ref="G5:G29" si="0">G6-E5+F5</f>
        <v>7897.9999999999854</v>
      </c>
      <c r="H5" s="334"/>
      <c r="I5" s="335"/>
      <c r="J5" s="336"/>
      <c r="K5" s="301"/>
      <c r="L5" s="336"/>
      <c r="M5" s="301"/>
      <c r="N5" s="336"/>
      <c r="O5" s="301"/>
      <c r="P5" s="336"/>
      <c r="Q5" s="301"/>
      <c r="R5" s="336"/>
      <c r="S5" s="301"/>
      <c r="T5" s="336"/>
    </row>
    <row r="6" spans="1:20" ht="12" customHeight="1" x14ac:dyDescent="0.3">
      <c r="A6" s="329" t="s">
        <v>291</v>
      </c>
      <c r="B6" s="330">
        <v>38</v>
      </c>
      <c r="C6" s="298">
        <v>46186</v>
      </c>
      <c r="D6" s="299" t="s">
        <v>293</v>
      </c>
      <c r="E6" s="522"/>
      <c r="F6" s="522">
        <v>4597.82</v>
      </c>
      <c r="G6" s="333">
        <f t="shared" si="0"/>
        <v>8097.9999999999854</v>
      </c>
      <c r="H6" s="334"/>
      <c r="I6" s="335"/>
      <c r="J6" s="336"/>
      <c r="K6" s="301"/>
      <c r="L6" s="336"/>
      <c r="M6" s="301"/>
      <c r="N6" s="336"/>
      <c r="O6" s="301"/>
      <c r="P6" s="336"/>
      <c r="Q6" s="301"/>
      <c r="R6" s="336"/>
      <c r="S6" s="301"/>
      <c r="T6" s="336"/>
    </row>
    <row r="7" spans="1:20" ht="12" customHeight="1" x14ac:dyDescent="0.3">
      <c r="A7" s="329" t="s">
        <v>289</v>
      </c>
      <c r="B7" s="330">
        <v>6</v>
      </c>
      <c r="C7" s="298">
        <v>46184</v>
      </c>
      <c r="D7" s="299" t="s">
        <v>360</v>
      </c>
      <c r="E7" s="522">
        <v>70</v>
      </c>
      <c r="F7" s="522"/>
      <c r="G7" s="333">
        <f t="shared" si="0"/>
        <v>3500.1799999999862</v>
      </c>
      <c r="H7" s="334"/>
      <c r="I7" s="335">
        <v>2</v>
      </c>
      <c r="J7" s="336"/>
      <c r="K7" s="301"/>
      <c r="L7" s="336"/>
      <c r="M7" s="301"/>
      <c r="N7" s="336"/>
      <c r="O7" s="301"/>
      <c r="P7" s="336"/>
      <c r="Q7" s="301"/>
      <c r="R7" s="336"/>
      <c r="S7" s="301"/>
      <c r="T7" s="336"/>
    </row>
    <row r="8" spans="1:20" ht="12" customHeight="1" x14ac:dyDescent="0.3">
      <c r="A8" s="329" t="s">
        <v>287</v>
      </c>
      <c r="B8" s="330" t="s">
        <v>287</v>
      </c>
      <c r="C8" s="298">
        <v>46184</v>
      </c>
      <c r="D8" s="299" t="s">
        <v>911</v>
      </c>
      <c r="E8" s="522">
        <v>2159</v>
      </c>
      <c r="F8" s="522">
        <v>2159</v>
      </c>
      <c r="G8" s="333">
        <f t="shared" si="0"/>
        <v>3570.1799999999862</v>
      </c>
      <c r="H8" s="334"/>
      <c r="I8" s="335">
        <v>1</v>
      </c>
      <c r="J8" s="336"/>
      <c r="K8" s="301"/>
      <c r="L8" s="336"/>
      <c r="M8" s="301"/>
      <c r="N8" s="336"/>
      <c r="O8" s="301"/>
      <c r="P8" s="336"/>
      <c r="Q8" s="301"/>
      <c r="R8" s="336"/>
      <c r="S8" s="301"/>
      <c r="T8" s="336"/>
    </row>
    <row r="9" spans="1:20" ht="12" customHeight="1" x14ac:dyDescent="0.3">
      <c r="A9" s="329" t="s">
        <v>294</v>
      </c>
      <c r="B9" s="330">
        <v>22</v>
      </c>
      <c r="C9" s="298">
        <v>46184</v>
      </c>
      <c r="D9" s="299" t="s">
        <v>352</v>
      </c>
      <c r="E9" s="522">
        <v>21.29</v>
      </c>
      <c r="F9" s="522"/>
      <c r="G9" s="333">
        <f t="shared" si="0"/>
        <v>3570.1799999999862</v>
      </c>
      <c r="H9" s="334"/>
      <c r="I9" s="335"/>
      <c r="J9" s="336"/>
      <c r="K9" s="301"/>
      <c r="L9" s="336"/>
      <c r="M9" s="301"/>
      <c r="N9" s="336"/>
      <c r="O9" s="301"/>
      <c r="P9" s="336"/>
      <c r="Q9" s="301"/>
      <c r="R9" s="336"/>
      <c r="S9" s="301"/>
      <c r="T9" s="336"/>
    </row>
    <row r="10" spans="1:20" ht="12" customHeight="1" x14ac:dyDescent="0.3">
      <c r="A10" s="329" t="s">
        <v>289</v>
      </c>
      <c r="B10" s="330">
        <v>4</v>
      </c>
      <c r="C10" s="298">
        <v>46184</v>
      </c>
      <c r="D10" s="299" t="s">
        <v>296</v>
      </c>
      <c r="E10" s="522">
        <v>40.67</v>
      </c>
      <c r="F10" s="522"/>
      <c r="G10" s="333">
        <f t="shared" si="0"/>
        <v>3591.4699999999862</v>
      </c>
      <c r="H10" s="334"/>
      <c r="I10" s="335"/>
      <c r="J10" s="336"/>
      <c r="K10" s="301"/>
      <c r="L10" s="336"/>
      <c r="M10" s="301"/>
      <c r="N10" s="336"/>
      <c r="O10" s="301"/>
      <c r="P10" s="336"/>
      <c r="Q10" s="301"/>
      <c r="R10" s="336"/>
      <c r="S10" s="301"/>
      <c r="T10" s="336"/>
    </row>
    <row r="11" spans="1:20" ht="12" customHeight="1" x14ac:dyDescent="0.3">
      <c r="A11" s="329" t="s">
        <v>289</v>
      </c>
      <c r="B11" s="330">
        <v>8</v>
      </c>
      <c r="C11" s="298">
        <v>46184</v>
      </c>
      <c r="D11" s="299" t="s">
        <v>319</v>
      </c>
      <c r="E11" s="522">
        <v>15.53</v>
      </c>
      <c r="F11" s="522"/>
      <c r="G11" s="333">
        <f t="shared" si="0"/>
        <v>3632.1399999999862</v>
      </c>
      <c r="H11" s="334"/>
      <c r="I11" s="335"/>
      <c r="J11" s="336"/>
      <c r="K11" s="301"/>
      <c r="L11" s="336"/>
      <c r="M11" s="301"/>
      <c r="N11" s="336"/>
      <c r="O11" s="301"/>
      <c r="P11" s="336"/>
      <c r="Q11" s="301"/>
      <c r="R11" s="336"/>
      <c r="S11" s="301"/>
      <c r="T11" s="336"/>
    </row>
    <row r="12" spans="1:20" ht="12" customHeight="1" x14ac:dyDescent="0.3">
      <c r="A12" s="329" t="s">
        <v>289</v>
      </c>
      <c r="B12" s="330">
        <v>2</v>
      </c>
      <c r="C12" s="298">
        <v>46184</v>
      </c>
      <c r="D12" s="299" t="s">
        <v>473</v>
      </c>
      <c r="E12" s="522">
        <v>83.89</v>
      </c>
      <c r="F12" s="522"/>
      <c r="G12" s="333">
        <f t="shared" si="0"/>
        <v>3647.6699999999864</v>
      </c>
      <c r="H12" s="334"/>
      <c r="I12" s="335"/>
      <c r="J12" s="336"/>
      <c r="K12" s="301"/>
      <c r="L12" s="336"/>
      <c r="M12" s="301"/>
      <c r="N12" s="336"/>
      <c r="O12" s="301"/>
      <c r="P12" s="336"/>
      <c r="Q12" s="301"/>
      <c r="R12" s="336"/>
      <c r="S12" s="301"/>
      <c r="T12" s="336"/>
    </row>
    <row r="13" spans="1:20" ht="12" customHeight="1" x14ac:dyDescent="0.3">
      <c r="A13" s="329" t="s">
        <v>294</v>
      </c>
      <c r="B13" s="330">
        <v>23</v>
      </c>
      <c r="C13" s="298">
        <v>46184</v>
      </c>
      <c r="D13" s="299" t="s">
        <v>67</v>
      </c>
      <c r="E13" s="522">
        <v>599.86</v>
      </c>
      <c r="F13" s="522"/>
      <c r="G13" s="333">
        <f t="shared" si="0"/>
        <v>3731.5599999999863</v>
      </c>
      <c r="H13" s="334"/>
      <c r="I13" s="335"/>
      <c r="J13" s="336"/>
      <c r="K13" s="301"/>
      <c r="L13" s="336"/>
      <c r="M13" s="301"/>
      <c r="N13" s="336"/>
      <c r="O13" s="301"/>
      <c r="P13" s="336"/>
      <c r="Q13" s="301"/>
      <c r="R13" s="336"/>
      <c r="S13" s="301"/>
      <c r="T13" s="336"/>
    </row>
    <row r="14" spans="1:20" ht="12" customHeight="1" x14ac:dyDescent="0.3">
      <c r="A14" s="329" t="s">
        <v>291</v>
      </c>
      <c r="B14" s="330">
        <v>41</v>
      </c>
      <c r="C14" s="298">
        <v>46184</v>
      </c>
      <c r="D14" s="299" t="s">
        <v>909</v>
      </c>
      <c r="E14" s="522"/>
      <c r="F14" s="522">
        <v>800</v>
      </c>
      <c r="G14" s="333">
        <f t="shared" si="0"/>
        <v>4331.4199999999864</v>
      </c>
      <c r="H14" s="334"/>
      <c r="I14" s="335"/>
      <c r="J14" s="336"/>
      <c r="K14" s="301"/>
      <c r="L14" s="336"/>
      <c r="M14" s="301"/>
      <c r="N14" s="336"/>
      <c r="O14" s="301"/>
      <c r="P14" s="336"/>
      <c r="Q14" s="301"/>
      <c r="R14" s="336"/>
      <c r="S14" s="301"/>
      <c r="T14" s="336"/>
    </row>
    <row r="15" spans="1:20" ht="12" customHeight="1" x14ac:dyDescent="0.3">
      <c r="A15" s="329" t="s">
        <v>291</v>
      </c>
      <c r="B15" s="330">
        <v>39</v>
      </c>
      <c r="C15" s="298">
        <v>46184</v>
      </c>
      <c r="D15" s="299" t="s">
        <v>292</v>
      </c>
      <c r="E15" s="522"/>
      <c r="F15" s="522">
        <v>2763.78</v>
      </c>
      <c r="G15" s="333">
        <f t="shared" si="0"/>
        <v>3531.4199999999864</v>
      </c>
      <c r="H15" s="334"/>
      <c r="I15" s="335"/>
      <c r="J15" s="336"/>
      <c r="K15" s="301"/>
      <c r="L15" s="336"/>
      <c r="M15" s="301"/>
      <c r="N15" s="336"/>
      <c r="O15" s="301"/>
      <c r="P15" s="336"/>
      <c r="Q15" s="301"/>
      <c r="R15" s="336"/>
      <c r="S15" s="301"/>
      <c r="T15" s="336"/>
    </row>
    <row r="16" spans="1:20" ht="12" customHeight="1" x14ac:dyDescent="0.3">
      <c r="A16" s="329" t="s">
        <v>287</v>
      </c>
      <c r="B16" s="330" t="s">
        <v>287</v>
      </c>
      <c r="C16" s="298">
        <v>46183</v>
      </c>
      <c r="D16" s="299" t="s">
        <v>910</v>
      </c>
      <c r="E16" s="522">
        <v>816.19</v>
      </c>
      <c r="F16" s="522">
        <v>816.19</v>
      </c>
      <c r="G16" s="333">
        <f t="shared" si="0"/>
        <v>767.639999999986</v>
      </c>
      <c r="H16" s="334"/>
      <c r="I16" s="335"/>
      <c r="J16" s="336"/>
      <c r="K16" s="301"/>
      <c r="L16" s="336"/>
      <c r="M16" s="301"/>
      <c r="N16" s="336"/>
      <c r="O16" s="301"/>
      <c r="P16" s="336"/>
      <c r="Q16" s="301"/>
      <c r="R16" s="336"/>
      <c r="S16" s="301"/>
      <c r="T16" s="336"/>
    </row>
    <row r="17" spans="1:20" ht="12" customHeight="1" x14ac:dyDescent="0.3">
      <c r="A17" s="329" t="s">
        <v>289</v>
      </c>
      <c r="B17" s="330">
        <v>6</v>
      </c>
      <c r="C17" s="298">
        <v>46183</v>
      </c>
      <c r="D17" s="299" t="s">
        <v>412</v>
      </c>
      <c r="E17" s="522">
        <v>-3.99</v>
      </c>
      <c r="F17" s="522"/>
      <c r="G17" s="333">
        <f t="shared" si="0"/>
        <v>767.639999999986</v>
      </c>
      <c r="H17" s="334"/>
      <c r="I17" s="335"/>
      <c r="J17" s="336"/>
      <c r="K17" s="301"/>
      <c r="L17" s="336"/>
      <c r="M17" s="301"/>
      <c r="N17" s="336"/>
      <c r="O17" s="301"/>
      <c r="P17" s="336"/>
      <c r="Q17" s="301"/>
      <c r="R17" s="336"/>
      <c r="S17" s="301"/>
      <c r="T17" s="336"/>
    </row>
    <row r="18" spans="1:20" ht="12" customHeight="1" x14ac:dyDescent="0.3">
      <c r="A18" s="329" t="s">
        <v>289</v>
      </c>
      <c r="B18" s="330">
        <v>6</v>
      </c>
      <c r="C18" s="298">
        <v>46183</v>
      </c>
      <c r="D18" s="299" t="s">
        <v>907</v>
      </c>
      <c r="E18" s="522">
        <v>-0.03</v>
      </c>
      <c r="F18" s="522"/>
      <c r="G18" s="333">
        <f t="shared" si="0"/>
        <v>763.64999999998599</v>
      </c>
      <c r="H18" s="334"/>
      <c r="I18" s="335"/>
      <c r="J18" s="336"/>
      <c r="K18" s="301"/>
      <c r="L18" s="336"/>
      <c r="M18" s="301"/>
      <c r="N18" s="336"/>
      <c r="O18" s="301"/>
      <c r="P18" s="336"/>
      <c r="Q18" s="301"/>
      <c r="R18" s="336"/>
      <c r="S18" s="301"/>
      <c r="T18" s="336"/>
    </row>
    <row r="19" spans="1:20" ht="12" customHeight="1" x14ac:dyDescent="0.3">
      <c r="A19" s="329" t="s">
        <v>291</v>
      </c>
      <c r="B19" s="330">
        <v>40</v>
      </c>
      <c r="C19" s="298">
        <v>46183</v>
      </c>
      <c r="D19" s="299" t="s">
        <v>316</v>
      </c>
      <c r="E19" s="522"/>
      <c r="F19" s="522">
        <v>1250.17</v>
      </c>
      <c r="G19" s="333">
        <f t="shared" si="0"/>
        <v>763.61999999998602</v>
      </c>
      <c r="H19" s="334"/>
      <c r="I19" s="335"/>
      <c r="J19" s="336"/>
      <c r="K19" s="301"/>
      <c r="L19" s="336"/>
      <c r="M19" s="301"/>
      <c r="N19" s="336"/>
      <c r="O19" s="301"/>
      <c r="P19" s="336"/>
      <c r="Q19" s="301"/>
      <c r="R19" s="336"/>
      <c r="S19" s="301"/>
      <c r="T19" s="336"/>
    </row>
    <row r="20" spans="1:20" ht="12" customHeight="1" x14ac:dyDescent="0.3">
      <c r="A20" s="329" t="s">
        <v>289</v>
      </c>
      <c r="B20" s="330">
        <v>2</v>
      </c>
      <c r="C20" s="298">
        <v>46182</v>
      </c>
      <c r="D20" s="299" t="s">
        <v>353</v>
      </c>
      <c r="E20" s="522">
        <v>25.98</v>
      </c>
      <c r="F20" s="522"/>
      <c r="G20" s="333">
        <f t="shared" si="0"/>
        <v>-486.55000000001405</v>
      </c>
      <c r="H20" s="334"/>
      <c r="I20" s="335"/>
      <c r="J20" s="336"/>
      <c r="K20" s="301"/>
      <c r="L20" s="336"/>
      <c r="M20" s="301"/>
      <c r="N20" s="336"/>
      <c r="O20" s="301"/>
      <c r="P20" s="336"/>
      <c r="Q20" s="301"/>
      <c r="R20" s="336"/>
      <c r="S20" s="301"/>
      <c r="T20" s="336"/>
    </row>
    <row r="21" spans="1:20" ht="12" customHeight="1" x14ac:dyDescent="0.3">
      <c r="A21" s="329" t="s">
        <v>289</v>
      </c>
      <c r="B21" s="330">
        <v>5</v>
      </c>
      <c r="C21" s="298">
        <v>46182</v>
      </c>
      <c r="D21" s="299" t="s">
        <v>854</v>
      </c>
      <c r="E21" s="522">
        <v>10.68</v>
      </c>
      <c r="F21" s="522"/>
      <c r="G21" s="333">
        <f t="shared" si="0"/>
        <v>-460.57000000001403</v>
      </c>
      <c r="H21" s="334"/>
      <c r="I21" s="335"/>
      <c r="J21" s="336"/>
      <c r="K21" s="301"/>
      <c r="L21" s="336"/>
      <c r="M21" s="301"/>
      <c r="N21" s="336"/>
      <c r="O21" s="301"/>
      <c r="P21" s="336"/>
      <c r="Q21" s="301"/>
      <c r="R21" s="336"/>
      <c r="S21" s="301"/>
      <c r="T21" s="336"/>
    </row>
    <row r="22" spans="1:20" ht="12" customHeight="1" x14ac:dyDescent="0.3">
      <c r="A22" s="329" t="s">
        <v>289</v>
      </c>
      <c r="B22" s="330">
        <v>2</v>
      </c>
      <c r="C22" s="298">
        <v>46182</v>
      </c>
      <c r="D22" s="299" t="s">
        <v>301</v>
      </c>
      <c r="E22" s="522">
        <v>29.95</v>
      </c>
      <c r="F22" s="522"/>
      <c r="G22" s="333">
        <f t="shared" si="0"/>
        <v>-449.89000000001403</v>
      </c>
      <c r="H22" s="334"/>
      <c r="I22" s="335"/>
      <c r="J22" s="336"/>
      <c r="K22" s="301"/>
      <c r="L22" s="336"/>
      <c r="M22" s="301"/>
      <c r="N22" s="336"/>
      <c r="O22" s="301"/>
      <c r="P22" s="336"/>
      <c r="Q22" s="301"/>
      <c r="R22" s="336"/>
      <c r="S22" s="301"/>
      <c r="T22" s="336"/>
    </row>
    <row r="23" spans="1:20" ht="12" customHeight="1" x14ac:dyDescent="0.3">
      <c r="A23" s="329" t="s">
        <v>294</v>
      </c>
      <c r="B23" s="330">
        <v>22</v>
      </c>
      <c r="C23" s="298">
        <v>46182</v>
      </c>
      <c r="D23" s="299" t="s">
        <v>908</v>
      </c>
      <c r="E23" s="522">
        <v>5.31</v>
      </c>
      <c r="F23" s="522"/>
      <c r="G23" s="333">
        <f t="shared" si="0"/>
        <v>-419.94000000001404</v>
      </c>
      <c r="H23" s="334"/>
      <c r="I23" s="335"/>
      <c r="J23" s="336"/>
      <c r="K23" s="301"/>
      <c r="L23" s="336"/>
      <c r="M23" s="301"/>
      <c r="N23" s="336"/>
      <c r="O23" s="301"/>
      <c r="P23" s="336"/>
      <c r="Q23" s="301"/>
      <c r="R23" s="336"/>
      <c r="S23" s="301"/>
      <c r="T23" s="336"/>
    </row>
    <row r="24" spans="1:20" ht="12" customHeight="1" x14ac:dyDescent="0.3">
      <c r="A24" s="329" t="s">
        <v>289</v>
      </c>
      <c r="B24" s="330">
        <v>2</v>
      </c>
      <c r="C24" s="298">
        <v>46182</v>
      </c>
      <c r="D24" s="299" t="s">
        <v>435</v>
      </c>
      <c r="E24" s="522">
        <v>58.69</v>
      </c>
      <c r="F24" s="522"/>
      <c r="G24" s="333">
        <f t="shared" si="0"/>
        <v>-414.63000000001404</v>
      </c>
      <c r="H24" s="334"/>
      <c r="I24" s="335"/>
      <c r="J24" s="336"/>
      <c r="K24" s="301"/>
      <c r="L24" s="336"/>
      <c r="M24" s="301"/>
      <c r="N24" s="336"/>
      <c r="O24" s="301"/>
      <c r="P24" s="336"/>
      <c r="Q24" s="301"/>
      <c r="R24" s="336"/>
      <c r="S24" s="301"/>
      <c r="T24" s="336"/>
    </row>
    <row r="25" spans="1:20" ht="12" customHeight="1" x14ac:dyDescent="0.3">
      <c r="A25" s="329" t="s">
        <v>289</v>
      </c>
      <c r="B25" s="330">
        <v>8</v>
      </c>
      <c r="C25" s="298">
        <v>46182</v>
      </c>
      <c r="D25" s="299" t="s">
        <v>435</v>
      </c>
      <c r="E25" s="522">
        <v>58.69</v>
      </c>
      <c r="F25" s="522"/>
      <c r="G25" s="333">
        <f t="shared" si="0"/>
        <v>-355.94000000001404</v>
      </c>
      <c r="H25" s="334"/>
      <c r="I25" s="335"/>
      <c r="J25" s="336"/>
      <c r="K25" s="301"/>
      <c r="L25" s="336"/>
      <c r="M25" s="301"/>
      <c r="N25" s="336"/>
      <c r="O25" s="301"/>
      <c r="P25" s="336"/>
      <c r="Q25" s="301"/>
      <c r="R25" s="336"/>
      <c r="S25" s="301"/>
      <c r="T25" s="336"/>
    </row>
    <row r="26" spans="1:20" ht="12" customHeight="1" x14ac:dyDescent="0.3">
      <c r="A26" s="329" t="s">
        <v>289</v>
      </c>
      <c r="B26" s="330">
        <v>8</v>
      </c>
      <c r="C26" s="298">
        <v>46181</v>
      </c>
      <c r="D26" s="299" t="s">
        <v>319</v>
      </c>
      <c r="E26" s="522">
        <v>8.86</v>
      </c>
      <c r="F26" s="522"/>
      <c r="G26" s="333">
        <f t="shared" si="0"/>
        <v>-297.25000000001404</v>
      </c>
      <c r="H26" s="334"/>
      <c r="I26" s="335"/>
      <c r="J26" s="336"/>
      <c r="K26" s="301"/>
      <c r="L26" s="336"/>
      <c r="M26" s="301"/>
      <c r="N26" s="336"/>
      <c r="O26" s="301"/>
      <c r="P26" s="336"/>
      <c r="Q26" s="301"/>
      <c r="R26" s="336"/>
      <c r="S26" s="301"/>
      <c r="T26" s="336"/>
    </row>
    <row r="27" spans="1:20" ht="12" customHeight="1" x14ac:dyDescent="0.3">
      <c r="A27" s="329" t="s">
        <v>289</v>
      </c>
      <c r="B27" s="330">
        <v>6</v>
      </c>
      <c r="C27" s="298">
        <v>46181</v>
      </c>
      <c r="D27" s="299" t="s">
        <v>397</v>
      </c>
      <c r="E27" s="522">
        <v>12.84</v>
      </c>
      <c r="F27" s="522"/>
      <c r="G27" s="333">
        <f t="shared" si="0"/>
        <v>-288.39000000001403</v>
      </c>
      <c r="H27" s="334"/>
      <c r="I27" s="335"/>
      <c r="J27" s="336"/>
      <c r="K27" s="301"/>
      <c r="L27" s="336"/>
      <c r="M27" s="301"/>
      <c r="N27" s="336"/>
      <c r="O27" s="301"/>
      <c r="P27" s="336"/>
      <c r="Q27" s="301"/>
      <c r="R27" s="336"/>
      <c r="S27" s="301"/>
      <c r="T27" s="336"/>
    </row>
    <row r="28" spans="1:20" ht="12" customHeight="1" x14ac:dyDescent="0.3">
      <c r="A28" s="329" t="s">
        <v>294</v>
      </c>
      <c r="B28" s="330">
        <v>9</v>
      </c>
      <c r="C28" s="298">
        <v>46181</v>
      </c>
      <c r="D28" s="299" t="s">
        <v>58</v>
      </c>
      <c r="E28" s="522">
        <v>1231.68</v>
      </c>
      <c r="F28" s="522"/>
      <c r="G28" s="333">
        <f t="shared" si="0"/>
        <v>-275.55000000001405</v>
      </c>
      <c r="H28" s="334"/>
      <c r="I28" s="335"/>
      <c r="J28" s="336"/>
      <c r="K28" s="301"/>
      <c r="L28" s="336"/>
      <c r="M28" s="301"/>
      <c r="N28" s="336"/>
      <c r="O28" s="301"/>
      <c r="P28" s="336"/>
      <c r="Q28" s="301"/>
      <c r="R28" s="336"/>
      <c r="S28" s="301"/>
      <c r="T28" s="336"/>
    </row>
    <row r="29" spans="1:20" ht="12" customHeight="1" x14ac:dyDescent="0.3">
      <c r="A29" s="329" t="s">
        <v>289</v>
      </c>
      <c r="B29" s="330">
        <v>4</v>
      </c>
      <c r="C29" s="298">
        <v>46180</v>
      </c>
      <c r="D29" s="299" t="s">
        <v>310</v>
      </c>
      <c r="E29" s="522">
        <v>47.6</v>
      </c>
      <c r="F29" s="522"/>
      <c r="G29" s="333">
        <f t="shared" si="0"/>
        <v>956.12999999998601</v>
      </c>
      <c r="H29" s="334"/>
      <c r="I29" s="335"/>
      <c r="J29" s="336"/>
      <c r="K29" s="301"/>
      <c r="L29" s="336"/>
      <c r="M29" s="301"/>
      <c r="N29" s="336"/>
      <c r="O29" s="301"/>
      <c r="P29" s="336"/>
      <c r="Q29" s="301"/>
      <c r="R29" s="336"/>
      <c r="S29" s="301"/>
      <c r="T29" s="336"/>
    </row>
    <row r="30" spans="1:20" ht="12" customHeight="1" x14ac:dyDescent="0.3">
      <c r="A30" s="329" t="s">
        <v>289</v>
      </c>
      <c r="B30" s="330">
        <v>1</v>
      </c>
      <c r="C30" s="298">
        <v>46180</v>
      </c>
      <c r="D30" s="299" t="s">
        <v>368</v>
      </c>
      <c r="E30" s="522">
        <v>48.62</v>
      </c>
      <c r="F30" s="522"/>
      <c r="G30" s="333">
        <f t="shared" ref="G30:G40" si="1">G31-E30+F30</f>
        <v>1003.729999999986</v>
      </c>
      <c r="H30" s="334"/>
      <c r="I30" s="335"/>
      <c r="J30" s="336"/>
      <c r="K30" s="301"/>
      <c r="L30" s="336"/>
      <c r="M30" s="301"/>
      <c r="N30" s="336"/>
      <c r="O30" s="301"/>
      <c r="P30" s="336"/>
      <c r="Q30" s="301"/>
      <c r="R30" s="336"/>
      <c r="S30" s="301"/>
      <c r="T30" s="336"/>
    </row>
    <row r="31" spans="1:20" ht="12" customHeight="1" x14ac:dyDescent="0.3">
      <c r="A31" s="329" t="s">
        <v>289</v>
      </c>
      <c r="B31" s="330">
        <v>8</v>
      </c>
      <c r="C31" s="298">
        <v>46180</v>
      </c>
      <c r="D31" s="299" t="s">
        <v>363</v>
      </c>
      <c r="E31" s="522">
        <v>6.37</v>
      </c>
      <c r="F31" s="522"/>
      <c r="G31" s="333">
        <f t="shared" si="1"/>
        <v>1052.349999999986</v>
      </c>
      <c r="H31" s="334"/>
      <c r="I31" s="335"/>
      <c r="J31" s="336"/>
      <c r="K31" s="301"/>
      <c r="L31" s="336"/>
      <c r="M31" s="301"/>
      <c r="N31" s="336"/>
      <c r="O31" s="301"/>
      <c r="P31" s="336"/>
      <c r="Q31" s="301"/>
      <c r="R31" s="336"/>
      <c r="S31" s="301"/>
      <c r="T31" s="336"/>
    </row>
    <row r="32" spans="1:20" ht="12" customHeight="1" x14ac:dyDescent="0.3">
      <c r="A32" s="329" t="s">
        <v>287</v>
      </c>
      <c r="B32" s="330" t="s">
        <v>287</v>
      </c>
      <c r="C32" s="298">
        <v>46180</v>
      </c>
      <c r="D32" s="299" t="s">
        <v>890</v>
      </c>
      <c r="E32" s="522">
        <v>313.77999999999997</v>
      </c>
      <c r="F32" s="522">
        <v>313.77999999999997</v>
      </c>
      <c r="G32" s="333">
        <f t="shared" si="1"/>
        <v>1058.7199999999859</v>
      </c>
      <c r="H32" s="334"/>
      <c r="I32" s="335"/>
      <c r="J32" s="336"/>
      <c r="K32" s="301"/>
      <c r="L32" s="336"/>
      <c r="M32" s="301"/>
      <c r="N32" s="336"/>
      <c r="O32" s="301"/>
      <c r="P32" s="336"/>
      <c r="Q32" s="301"/>
      <c r="R32" s="336"/>
      <c r="S32" s="301"/>
      <c r="T32" s="336"/>
    </row>
    <row r="33" spans="1:20" ht="12" customHeight="1" x14ac:dyDescent="0.3">
      <c r="A33" s="329" t="s">
        <v>289</v>
      </c>
      <c r="B33" s="330">
        <v>6</v>
      </c>
      <c r="C33" s="298">
        <v>46180</v>
      </c>
      <c r="D33" s="299" t="s">
        <v>397</v>
      </c>
      <c r="E33" s="522">
        <v>10.86</v>
      </c>
      <c r="F33" s="522"/>
      <c r="G33" s="333">
        <f t="shared" si="1"/>
        <v>1058.7199999999859</v>
      </c>
      <c r="H33" s="334"/>
      <c r="I33" s="335"/>
      <c r="J33" s="336"/>
      <c r="K33" s="301"/>
      <c r="L33" s="336"/>
      <c r="M33" s="301"/>
      <c r="N33" s="336"/>
      <c r="O33" s="301"/>
      <c r="P33" s="336"/>
      <c r="Q33" s="301"/>
      <c r="R33" s="336"/>
      <c r="S33" s="301"/>
      <c r="T33" s="336"/>
    </row>
    <row r="34" spans="1:20" ht="12" customHeight="1" x14ac:dyDescent="0.3">
      <c r="A34" s="329" t="s">
        <v>294</v>
      </c>
      <c r="B34" s="330">
        <v>14</v>
      </c>
      <c r="C34" s="298">
        <v>46179</v>
      </c>
      <c r="D34" s="299" t="s">
        <v>366</v>
      </c>
      <c r="E34" s="522">
        <v>66.67</v>
      </c>
      <c r="F34" s="522"/>
      <c r="G34" s="333">
        <f t="shared" si="1"/>
        <v>1069.5799999999858</v>
      </c>
      <c r="H34" s="334"/>
      <c r="I34" s="335"/>
      <c r="J34" s="336"/>
      <c r="K34" s="301"/>
      <c r="L34" s="336"/>
      <c r="M34" s="301"/>
      <c r="N34" s="336"/>
      <c r="O34" s="301"/>
      <c r="P34" s="336"/>
      <c r="Q34" s="301"/>
      <c r="R34" s="336"/>
      <c r="S34" s="301"/>
      <c r="T34" s="336"/>
    </row>
    <row r="35" spans="1:20" ht="12" customHeight="1" x14ac:dyDescent="0.3">
      <c r="A35" s="329" t="s">
        <v>289</v>
      </c>
      <c r="B35" s="330">
        <v>5</v>
      </c>
      <c r="C35" s="298">
        <v>46179</v>
      </c>
      <c r="D35" s="299" t="s">
        <v>906</v>
      </c>
      <c r="E35" s="522">
        <v>20</v>
      </c>
      <c r="F35" s="522"/>
      <c r="G35" s="333">
        <f t="shared" si="1"/>
        <v>1136.2499999999859</v>
      </c>
      <c r="H35" s="334"/>
      <c r="I35" s="335"/>
      <c r="J35" s="336"/>
      <c r="K35" s="301"/>
      <c r="L35" s="336"/>
      <c r="M35" s="301"/>
      <c r="N35" s="336"/>
      <c r="O35" s="301"/>
      <c r="P35" s="336"/>
      <c r="Q35" s="301"/>
      <c r="R35" s="336"/>
      <c r="S35" s="301"/>
      <c r="T35" s="336"/>
    </row>
    <row r="36" spans="1:20" ht="12" customHeight="1" x14ac:dyDescent="0.3">
      <c r="A36" s="329" t="s">
        <v>289</v>
      </c>
      <c r="B36" s="330">
        <v>1</v>
      </c>
      <c r="C36" s="298">
        <v>46179</v>
      </c>
      <c r="D36" s="299" t="s">
        <v>831</v>
      </c>
      <c r="E36" s="522">
        <v>54.06</v>
      </c>
      <c r="F36" s="522"/>
      <c r="G36" s="333">
        <f t="shared" si="1"/>
        <v>1156.2499999999859</v>
      </c>
      <c r="H36" s="334"/>
      <c r="I36" s="335"/>
      <c r="J36" s="336"/>
      <c r="K36" s="301"/>
      <c r="L36" s="336"/>
      <c r="M36" s="301"/>
      <c r="N36" s="336"/>
      <c r="O36" s="301"/>
      <c r="P36" s="336"/>
      <c r="Q36" s="301"/>
      <c r="R36" s="336"/>
      <c r="S36" s="301"/>
      <c r="T36" s="336"/>
    </row>
    <row r="37" spans="1:20" ht="12" customHeight="1" x14ac:dyDescent="0.3">
      <c r="A37" s="329" t="s">
        <v>289</v>
      </c>
      <c r="B37" s="330">
        <v>6</v>
      </c>
      <c r="C37" s="298">
        <v>46179</v>
      </c>
      <c r="D37" s="299" t="s">
        <v>903</v>
      </c>
      <c r="E37" s="522">
        <v>19.98</v>
      </c>
      <c r="F37" s="522"/>
      <c r="G37" s="333">
        <f t="shared" si="1"/>
        <v>1210.3099999999858</v>
      </c>
      <c r="H37" s="334"/>
      <c r="I37" s="335"/>
      <c r="J37" s="336"/>
      <c r="K37" s="301"/>
      <c r="L37" s="336"/>
      <c r="M37" s="301"/>
      <c r="N37" s="336"/>
      <c r="O37" s="301"/>
      <c r="P37" s="336"/>
      <c r="Q37" s="301"/>
      <c r="R37" s="336"/>
      <c r="S37" s="301"/>
      <c r="T37" s="336"/>
    </row>
    <row r="38" spans="1:20" ht="12" customHeight="1" x14ac:dyDescent="0.3">
      <c r="A38" s="329" t="s">
        <v>289</v>
      </c>
      <c r="B38" s="330">
        <v>6</v>
      </c>
      <c r="C38" s="298">
        <v>46179</v>
      </c>
      <c r="D38" s="299" t="s">
        <v>885</v>
      </c>
      <c r="E38" s="522">
        <v>100</v>
      </c>
      <c r="F38" s="522"/>
      <c r="G38" s="333">
        <f t="shared" si="1"/>
        <v>1230.2899999999859</v>
      </c>
      <c r="H38" s="334"/>
      <c r="I38" s="335"/>
      <c r="J38" s="336"/>
      <c r="K38" s="301"/>
      <c r="L38" s="336"/>
      <c r="M38" s="301"/>
      <c r="N38" s="336"/>
      <c r="O38" s="301"/>
      <c r="P38" s="336"/>
      <c r="Q38" s="301"/>
      <c r="R38" s="336"/>
      <c r="S38" s="301"/>
      <c r="T38" s="336"/>
    </row>
    <row r="39" spans="1:20" ht="12" customHeight="1" x14ac:dyDescent="0.3">
      <c r="A39" s="329" t="s">
        <v>289</v>
      </c>
      <c r="B39" s="330">
        <v>8</v>
      </c>
      <c r="C39" s="298">
        <v>46178</v>
      </c>
      <c r="D39" s="299" t="s">
        <v>319</v>
      </c>
      <c r="E39" s="522">
        <v>179.72</v>
      </c>
      <c r="F39" s="522"/>
      <c r="G39" s="333">
        <f t="shared" si="1"/>
        <v>1330.2899999999859</v>
      </c>
      <c r="H39" s="334"/>
      <c r="I39" s="335"/>
      <c r="J39" s="336"/>
      <c r="K39" s="301"/>
      <c r="L39" s="336"/>
      <c r="M39" s="301"/>
      <c r="N39" s="336"/>
      <c r="O39" s="301"/>
      <c r="P39" s="336"/>
      <c r="Q39" s="301"/>
      <c r="R39" s="336"/>
      <c r="S39" s="301"/>
      <c r="T39" s="336"/>
    </row>
    <row r="40" spans="1:20" ht="12" customHeight="1" x14ac:dyDescent="0.3">
      <c r="A40" s="329" t="s">
        <v>289</v>
      </c>
      <c r="B40" s="330">
        <v>4</v>
      </c>
      <c r="C40" s="298">
        <v>46178</v>
      </c>
      <c r="D40" s="299" t="s">
        <v>904</v>
      </c>
      <c r="E40" s="522">
        <v>41.26</v>
      </c>
      <c r="F40" s="522"/>
      <c r="G40" s="333">
        <f t="shared" si="1"/>
        <v>1510.0099999999859</v>
      </c>
      <c r="H40" s="334"/>
      <c r="I40" s="335"/>
      <c r="J40" s="336"/>
      <c r="K40" s="301"/>
      <c r="L40" s="336"/>
      <c r="M40" s="301"/>
      <c r="N40" s="336"/>
      <c r="O40" s="301"/>
      <c r="P40" s="336"/>
      <c r="Q40" s="301"/>
      <c r="R40" s="336"/>
      <c r="S40" s="301"/>
      <c r="T40" s="336"/>
    </row>
    <row r="41" spans="1:20" ht="12" customHeight="1" x14ac:dyDescent="0.3">
      <c r="A41" s="329" t="s">
        <v>289</v>
      </c>
      <c r="B41" s="330">
        <v>2</v>
      </c>
      <c r="C41" s="298">
        <v>46178</v>
      </c>
      <c r="D41" s="299" t="s">
        <v>358</v>
      </c>
      <c r="E41" s="522">
        <v>10.07</v>
      </c>
      <c r="F41" s="522"/>
      <c r="G41" s="333">
        <f t="shared" ref="G41:G53" si="2">G42-E41+F41</f>
        <v>1551.2699999999859</v>
      </c>
      <c r="H41" s="334"/>
      <c r="I41" s="335"/>
      <c r="J41" s="336"/>
      <c r="K41" s="301"/>
      <c r="L41" s="336"/>
      <c r="M41" s="301"/>
      <c r="N41" s="336"/>
      <c r="O41" s="301"/>
      <c r="P41" s="336"/>
      <c r="Q41" s="301"/>
      <c r="R41" s="336"/>
      <c r="S41" s="301"/>
      <c r="T41" s="336"/>
    </row>
    <row r="42" spans="1:20" ht="12" customHeight="1" x14ac:dyDescent="0.3">
      <c r="A42" s="329" t="s">
        <v>289</v>
      </c>
      <c r="B42" s="330">
        <v>2</v>
      </c>
      <c r="C42" s="298">
        <v>46178</v>
      </c>
      <c r="D42" s="299" t="s">
        <v>905</v>
      </c>
      <c r="E42" s="522">
        <v>11.75</v>
      </c>
      <c r="F42" s="522"/>
      <c r="G42" s="333">
        <f t="shared" si="2"/>
        <v>1561.3399999999858</v>
      </c>
      <c r="H42" s="334"/>
      <c r="I42" s="335"/>
      <c r="J42" s="336"/>
      <c r="K42" s="301"/>
      <c r="L42" s="336"/>
      <c r="M42" s="301"/>
      <c r="N42" s="336"/>
      <c r="O42" s="301"/>
      <c r="P42" s="336"/>
      <c r="Q42" s="301"/>
      <c r="R42" s="336"/>
      <c r="S42" s="301"/>
      <c r="T42" s="336"/>
    </row>
    <row r="43" spans="1:20" ht="12" customHeight="1" x14ac:dyDescent="0.3">
      <c r="A43" s="329" t="s">
        <v>335</v>
      </c>
      <c r="B43" s="330" t="s">
        <v>335</v>
      </c>
      <c r="C43" s="298">
        <v>46178</v>
      </c>
      <c r="D43" s="299" t="s">
        <v>447</v>
      </c>
      <c r="E43" s="522">
        <v>39.659999999999997</v>
      </c>
      <c r="F43" s="522"/>
      <c r="G43" s="333">
        <f t="shared" si="2"/>
        <v>1573.0899999999858</v>
      </c>
      <c r="H43" s="334"/>
      <c r="I43" s="335"/>
      <c r="J43" s="336"/>
      <c r="K43" s="301"/>
      <c r="L43" s="336"/>
      <c r="M43" s="301"/>
      <c r="N43" s="336"/>
      <c r="O43" s="301"/>
      <c r="P43" s="336"/>
      <c r="Q43" s="301"/>
      <c r="R43" s="336"/>
      <c r="S43" s="301"/>
      <c r="T43" s="336"/>
    </row>
    <row r="44" spans="1:20" ht="12" customHeight="1" x14ac:dyDescent="0.3">
      <c r="A44" s="329" t="s">
        <v>289</v>
      </c>
      <c r="B44" s="330">
        <v>6</v>
      </c>
      <c r="C44" s="298">
        <v>46178</v>
      </c>
      <c r="D44" s="299" t="s">
        <v>300</v>
      </c>
      <c r="E44" s="522">
        <v>9.57</v>
      </c>
      <c r="F44" s="522"/>
      <c r="G44" s="333">
        <f t="shared" si="2"/>
        <v>1612.7499999999859</v>
      </c>
      <c r="H44" s="334"/>
      <c r="I44" s="335"/>
      <c r="J44" s="336"/>
      <c r="K44" s="301"/>
      <c r="L44" s="336"/>
      <c r="M44" s="301"/>
      <c r="N44" s="336"/>
      <c r="O44" s="301"/>
      <c r="P44" s="336"/>
      <c r="Q44" s="301"/>
      <c r="R44" s="336"/>
      <c r="S44" s="301"/>
      <c r="T44" s="336"/>
    </row>
    <row r="45" spans="1:20" ht="12" customHeight="1" x14ac:dyDescent="0.3">
      <c r="A45" s="329" t="s">
        <v>289</v>
      </c>
      <c r="B45" s="330">
        <v>2</v>
      </c>
      <c r="C45" s="298">
        <v>46178</v>
      </c>
      <c r="D45" s="299" t="s">
        <v>376</v>
      </c>
      <c r="E45" s="522">
        <v>46.65</v>
      </c>
      <c r="F45" s="522"/>
      <c r="G45" s="333">
        <f t="shared" si="2"/>
        <v>1622.3199999999858</v>
      </c>
      <c r="H45" s="334"/>
      <c r="I45" s="335"/>
      <c r="J45" s="336"/>
      <c r="K45" s="301"/>
      <c r="L45" s="336"/>
      <c r="M45" s="301"/>
      <c r="N45" s="336"/>
      <c r="O45" s="301"/>
      <c r="P45" s="336"/>
      <c r="Q45" s="301"/>
      <c r="R45" s="336"/>
      <c r="S45" s="301"/>
      <c r="T45" s="336"/>
    </row>
    <row r="46" spans="1:20" ht="12" customHeight="1" x14ac:dyDescent="0.3">
      <c r="A46" s="329" t="s">
        <v>289</v>
      </c>
      <c r="B46" s="330">
        <v>4</v>
      </c>
      <c r="C46" s="298">
        <v>46177</v>
      </c>
      <c r="D46" s="299" t="s">
        <v>296</v>
      </c>
      <c r="E46" s="522">
        <v>43.69</v>
      </c>
      <c r="F46" s="522"/>
      <c r="G46" s="333">
        <f t="shared" si="2"/>
        <v>1668.9699999999859</v>
      </c>
      <c r="H46" s="334"/>
      <c r="I46" s="335"/>
      <c r="J46" s="336"/>
      <c r="K46" s="301"/>
      <c r="L46" s="336"/>
      <c r="M46" s="301"/>
      <c r="N46" s="336"/>
      <c r="O46" s="301"/>
      <c r="P46" s="336"/>
      <c r="Q46" s="301"/>
      <c r="R46" s="336"/>
      <c r="S46" s="301"/>
      <c r="T46" s="336"/>
    </row>
    <row r="47" spans="1:20" ht="12" customHeight="1" x14ac:dyDescent="0.3">
      <c r="A47" s="329" t="s">
        <v>289</v>
      </c>
      <c r="B47" s="330">
        <v>3</v>
      </c>
      <c r="C47" s="298">
        <v>46177</v>
      </c>
      <c r="D47" s="299" t="s">
        <v>334</v>
      </c>
      <c r="E47" s="522">
        <v>8.52</v>
      </c>
      <c r="F47" s="522"/>
      <c r="G47" s="333">
        <f t="shared" si="2"/>
        <v>1712.659999999986</v>
      </c>
      <c r="H47" s="334"/>
      <c r="I47" s="335"/>
      <c r="J47" s="336"/>
      <c r="K47" s="301"/>
      <c r="L47" s="336"/>
      <c r="M47" s="301"/>
      <c r="N47" s="336"/>
      <c r="O47" s="301"/>
      <c r="P47" s="336"/>
      <c r="Q47" s="301"/>
      <c r="R47" s="336"/>
      <c r="S47" s="301"/>
      <c r="T47" s="336"/>
    </row>
    <row r="48" spans="1:20" ht="12" customHeight="1" x14ac:dyDescent="0.3">
      <c r="A48" s="329" t="s">
        <v>294</v>
      </c>
      <c r="B48" s="330">
        <v>14</v>
      </c>
      <c r="C48" s="298">
        <v>46177</v>
      </c>
      <c r="D48" s="299" t="s">
        <v>367</v>
      </c>
      <c r="E48" s="522">
        <v>70.25</v>
      </c>
      <c r="F48" s="522"/>
      <c r="G48" s="333">
        <f t="shared" si="2"/>
        <v>1721.179999999986</v>
      </c>
      <c r="H48" s="334"/>
      <c r="I48" s="335"/>
      <c r="J48" s="336"/>
      <c r="K48" s="301"/>
      <c r="L48" s="336"/>
      <c r="M48" s="301"/>
      <c r="N48" s="336"/>
      <c r="O48" s="301"/>
      <c r="P48" s="336"/>
      <c r="Q48" s="301"/>
      <c r="R48" s="336"/>
      <c r="S48" s="301"/>
      <c r="T48" s="336"/>
    </row>
    <row r="49" spans="1:20" ht="12" customHeight="1" x14ac:dyDescent="0.3">
      <c r="A49" s="329" t="s">
        <v>289</v>
      </c>
      <c r="B49" s="330">
        <v>2</v>
      </c>
      <c r="C49" s="298">
        <v>46177</v>
      </c>
      <c r="D49" s="299" t="s">
        <v>386</v>
      </c>
      <c r="E49" s="522">
        <v>14.38</v>
      </c>
      <c r="F49" s="522"/>
      <c r="G49" s="333">
        <f t="shared" si="2"/>
        <v>1791.429999999986</v>
      </c>
      <c r="H49" s="334"/>
      <c r="I49" s="335"/>
      <c r="J49" s="336"/>
      <c r="K49" s="301"/>
      <c r="L49" s="336"/>
      <c r="M49" s="301"/>
      <c r="N49" s="336"/>
      <c r="O49" s="301"/>
      <c r="P49" s="336"/>
      <c r="Q49" s="301"/>
      <c r="R49" s="336"/>
      <c r="S49" s="301"/>
      <c r="T49" s="336"/>
    </row>
    <row r="50" spans="1:20" ht="12" customHeight="1" x14ac:dyDescent="0.3">
      <c r="A50" s="329" t="s">
        <v>294</v>
      </c>
      <c r="B50" s="330">
        <v>13</v>
      </c>
      <c r="C50" s="298">
        <v>46177</v>
      </c>
      <c r="D50" s="299" t="s">
        <v>902</v>
      </c>
      <c r="E50" s="522">
        <v>122.46</v>
      </c>
      <c r="F50" s="522"/>
      <c r="G50" s="333">
        <f t="shared" si="2"/>
        <v>1805.8099999999861</v>
      </c>
      <c r="H50" s="334"/>
      <c r="I50" s="335"/>
      <c r="J50" s="336"/>
      <c r="K50" s="301"/>
      <c r="L50" s="336"/>
      <c r="M50" s="301"/>
      <c r="N50" s="336"/>
      <c r="O50" s="301"/>
      <c r="P50" s="336"/>
      <c r="Q50" s="301"/>
      <c r="R50" s="336"/>
      <c r="S50" s="301"/>
      <c r="T50" s="336"/>
    </row>
    <row r="51" spans="1:20" ht="12" customHeight="1" x14ac:dyDescent="0.3">
      <c r="A51" s="329" t="s">
        <v>294</v>
      </c>
      <c r="B51" s="330">
        <v>17</v>
      </c>
      <c r="C51" s="298">
        <v>46177</v>
      </c>
      <c r="D51" s="299" t="s">
        <v>370</v>
      </c>
      <c r="E51" s="522">
        <v>99</v>
      </c>
      <c r="F51" s="522"/>
      <c r="G51" s="333">
        <f t="shared" si="2"/>
        <v>1928.2699999999861</v>
      </c>
      <c r="H51" s="334"/>
      <c r="I51" s="335"/>
      <c r="J51" s="336"/>
      <c r="K51" s="301"/>
      <c r="L51" s="336"/>
      <c r="M51" s="301"/>
      <c r="N51" s="336"/>
      <c r="O51" s="301"/>
      <c r="P51" s="336"/>
      <c r="Q51" s="301"/>
      <c r="R51" s="336"/>
      <c r="S51" s="301"/>
      <c r="T51" s="336"/>
    </row>
    <row r="52" spans="1:20" ht="12" customHeight="1" x14ac:dyDescent="0.3">
      <c r="A52" s="329" t="s">
        <v>294</v>
      </c>
      <c r="B52" s="330">
        <v>22</v>
      </c>
      <c r="C52" s="298">
        <v>46176</v>
      </c>
      <c r="D52" s="299" t="s">
        <v>861</v>
      </c>
      <c r="E52" s="522">
        <v>12.77</v>
      </c>
      <c r="F52" s="522"/>
      <c r="G52" s="333">
        <f t="shared" si="2"/>
        <v>2027.2699999999861</v>
      </c>
      <c r="H52" s="334"/>
      <c r="I52" s="335"/>
      <c r="J52" s="336"/>
      <c r="K52" s="301"/>
      <c r="L52" s="336"/>
      <c r="M52" s="301"/>
      <c r="N52" s="336"/>
      <c r="O52" s="301"/>
      <c r="P52" s="336"/>
      <c r="Q52" s="301"/>
      <c r="R52" s="336"/>
      <c r="S52" s="301"/>
      <c r="T52" s="336"/>
    </row>
    <row r="53" spans="1:20" ht="12" customHeight="1" x14ac:dyDescent="0.3">
      <c r="A53" s="329" t="s">
        <v>289</v>
      </c>
      <c r="B53" s="330">
        <v>8</v>
      </c>
      <c r="C53" s="298">
        <v>46176</v>
      </c>
      <c r="D53" s="299" t="s">
        <v>319</v>
      </c>
      <c r="E53" s="522">
        <v>11.55</v>
      </c>
      <c r="F53" s="522"/>
      <c r="G53" s="333">
        <f t="shared" si="2"/>
        <v>2040.0399999999861</v>
      </c>
      <c r="H53" s="334"/>
      <c r="I53" s="335"/>
      <c r="J53" s="336"/>
      <c r="K53" s="301"/>
      <c r="L53" s="336"/>
      <c r="M53" s="301"/>
      <c r="N53" s="336"/>
      <c r="O53" s="301"/>
      <c r="P53" s="336"/>
      <c r="Q53" s="301"/>
      <c r="R53" s="336"/>
      <c r="S53" s="301"/>
      <c r="T53" s="336"/>
    </row>
    <row r="54" spans="1:20" ht="12" customHeight="1" x14ac:dyDescent="0.3">
      <c r="A54" s="329" t="s">
        <v>289</v>
      </c>
      <c r="B54" s="330">
        <v>1</v>
      </c>
      <c r="C54" s="298">
        <v>46176</v>
      </c>
      <c r="D54" s="299" t="s">
        <v>306</v>
      </c>
      <c r="E54" s="522">
        <v>96.16</v>
      </c>
      <c r="F54" s="522"/>
      <c r="G54" s="333">
        <f t="shared" ref="G54:G112" si="3">G55-E54+F54</f>
        <v>2051.589999999986</v>
      </c>
      <c r="H54" s="334"/>
      <c r="I54" s="335"/>
      <c r="J54" s="336"/>
      <c r="K54" s="301"/>
      <c r="L54" s="336"/>
      <c r="M54" s="301"/>
      <c r="N54" s="336"/>
      <c r="O54" s="301"/>
      <c r="P54" s="336"/>
      <c r="Q54" s="301"/>
      <c r="R54" s="336"/>
      <c r="S54" s="301"/>
      <c r="T54" s="336"/>
    </row>
    <row r="55" spans="1:20" ht="12" customHeight="1" x14ac:dyDescent="0.3">
      <c r="A55" s="329" t="s">
        <v>289</v>
      </c>
      <c r="B55" s="330">
        <v>2</v>
      </c>
      <c r="C55" s="298">
        <v>46175</v>
      </c>
      <c r="D55" s="299" t="s">
        <v>899</v>
      </c>
      <c r="E55" s="522">
        <v>21.38</v>
      </c>
      <c r="F55" s="522"/>
      <c r="G55" s="333">
        <f t="shared" si="3"/>
        <v>2147.7499999999859</v>
      </c>
      <c r="H55" s="334"/>
      <c r="I55" s="335"/>
      <c r="J55" s="336"/>
      <c r="K55" s="301"/>
      <c r="L55" s="336"/>
      <c r="M55" s="301"/>
      <c r="N55" s="336"/>
      <c r="O55" s="301"/>
      <c r="P55" s="336"/>
      <c r="Q55" s="301"/>
      <c r="R55" s="336"/>
      <c r="S55" s="301"/>
      <c r="T55" s="336"/>
    </row>
    <row r="56" spans="1:20" ht="12" customHeight="1" x14ac:dyDescent="0.3">
      <c r="A56" s="329" t="s">
        <v>289</v>
      </c>
      <c r="B56" s="330">
        <v>2</v>
      </c>
      <c r="C56" s="298">
        <v>46175</v>
      </c>
      <c r="D56" s="299" t="s">
        <v>386</v>
      </c>
      <c r="E56" s="522">
        <v>14.38</v>
      </c>
      <c r="F56" s="522"/>
      <c r="G56" s="333">
        <f t="shared" si="3"/>
        <v>2169.129999999986</v>
      </c>
      <c r="H56" s="334"/>
      <c r="I56" s="335"/>
      <c r="J56" s="336"/>
      <c r="K56" s="301"/>
      <c r="L56" s="336"/>
      <c r="M56" s="301"/>
      <c r="N56" s="336"/>
      <c r="O56" s="301"/>
      <c r="P56" s="336"/>
      <c r="Q56" s="301"/>
      <c r="R56" s="336"/>
      <c r="S56" s="301"/>
      <c r="T56" s="336"/>
    </row>
    <row r="57" spans="1:20" ht="12" customHeight="1" x14ac:dyDescent="0.3">
      <c r="A57" s="329" t="s">
        <v>289</v>
      </c>
      <c r="B57" s="330">
        <v>6</v>
      </c>
      <c r="C57" s="298">
        <v>46175</v>
      </c>
      <c r="D57" s="299" t="s">
        <v>433</v>
      </c>
      <c r="E57" s="522">
        <v>-142</v>
      </c>
      <c r="F57" s="522"/>
      <c r="G57" s="333">
        <f t="shared" si="3"/>
        <v>2183.5099999999861</v>
      </c>
      <c r="H57" s="334"/>
      <c r="I57" s="335"/>
      <c r="J57" s="336"/>
      <c r="K57" s="301"/>
      <c r="L57" s="336"/>
      <c r="M57" s="301"/>
      <c r="N57" s="336"/>
      <c r="O57" s="301"/>
      <c r="P57" s="336"/>
      <c r="Q57" s="301"/>
      <c r="R57" s="336"/>
      <c r="S57" s="301"/>
      <c r="T57" s="336"/>
    </row>
    <row r="58" spans="1:20" ht="12" customHeight="1" x14ac:dyDescent="0.3">
      <c r="A58" s="329" t="s">
        <v>284</v>
      </c>
      <c r="B58" s="330">
        <v>36</v>
      </c>
      <c r="C58" s="298">
        <v>46175</v>
      </c>
      <c r="D58" s="299" t="s">
        <v>374</v>
      </c>
      <c r="E58" s="522">
        <v>50</v>
      </c>
      <c r="F58" s="522"/>
      <c r="G58" s="333">
        <f t="shared" si="3"/>
        <v>2041.5099999999861</v>
      </c>
      <c r="H58" s="334"/>
      <c r="I58" s="335"/>
      <c r="J58" s="336"/>
      <c r="K58" s="301"/>
      <c r="L58" s="336"/>
      <c r="M58" s="301"/>
      <c r="N58" s="336"/>
      <c r="O58" s="301"/>
      <c r="P58" s="336"/>
      <c r="Q58" s="301"/>
      <c r="R58" s="336"/>
      <c r="S58" s="301"/>
      <c r="T58" s="336"/>
    </row>
    <row r="59" spans="1:20" ht="12" customHeight="1" x14ac:dyDescent="0.3">
      <c r="A59" s="329" t="s">
        <v>294</v>
      </c>
      <c r="B59" s="330">
        <v>22</v>
      </c>
      <c r="C59" s="298">
        <v>46175</v>
      </c>
      <c r="D59" s="299" t="s">
        <v>375</v>
      </c>
      <c r="E59" s="522">
        <v>6.37</v>
      </c>
      <c r="F59" s="522"/>
      <c r="G59" s="333">
        <f t="shared" si="3"/>
        <v>2091.5099999999861</v>
      </c>
      <c r="H59" s="334"/>
      <c r="I59" s="335"/>
      <c r="J59" s="336"/>
      <c r="K59" s="301"/>
      <c r="L59" s="336"/>
      <c r="M59" s="301"/>
      <c r="N59" s="336"/>
      <c r="O59" s="301"/>
      <c r="P59" s="336"/>
      <c r="Q59" s="301"/>
      <c r="R59" s="336"/>
      <c r="S59" s="301"/>
      <c r="T59" s="336"/>
    </row>
    <row r="60" spans="1:20" ht="12" customHeight="1" x14ac:dyDescent="0.3">
      <c r="A60" s="329" t="s">
        <v>289</v>
      </c>
      <c r="B60" s="330">
        <v>1</v>
      </c>
      <c r="C60" s="298">
        <v>46174</v>
      </c>
      <c r="D60" s="299" t="s">
        <v>306</v>
      </c>
      <c r="E60" s="522">
        <v>84.03</v>
      </c>
      <c r="F60" s="522"/>
      <c r="G60" s="333">
        <f t="shared" si="3"/>
        <v>2097.879999999986</v>
      </c>
      <c r="H60" s="334"/>
      <c r="I60" s="335"/>
      <c r="J60" s="336"/>
      <c r="K60" s="301"/>
      <c r="L60" s="336"/>
      <c r="M60" s="301"/>
      <c r="N60" s="336"/>
      <c r="O60" s="301"/>
      <c r="P60" s="336"/>
      <c r="Q60" s="301"/>
      <c r="R60" s="336"/>
      <c r="S60" s="301"/>
      <c r="T60" s="336"/>
    </row>
    <row r="61" spans="1:20" ht="12" customHeight="1" x14ac:dyDescent="0.3">
      <c r="A61" s="329" t="s">
        <v>289</v>
      </c>
      <c r="B61" s="330">
        <v>3</v>
      </c>
      <c r="C61" s="298">
        <v>46174</v>
      </c>
      <c r="D61" s="299" t="s">
        <v>296</v>
      </c>
      <c r="E61" s="522">
        <v>10.31</v>
      </c>
      <c r="F61" s="522"/>
      <c r="G61" s="333">
        <f t="shared" si="3"/>
        <v>2181.9099999999862</v>
      </c>
      <c r="H61" s="334"/>
      <c r="I61" s="335"/>
      <c r="J61" s="336"/>
      <c r="K61" s="301"/>
      <c r="L61" s="336"/>
      <c r="M61" s="301"/>
      <c r="N61" s="336"/>
      <c r="O61" s="301"/>
      <c r="P61" s="336"/>
      <c r="Q61" s="301"/>
      <c r="R61" s="336"/>
      <c r="S61" s="301"/>
      <c r="T61" s="336"/>
    </row>
    <row r="62" spans="1:20" ht="12" customHeight="1" x14ac:dyDescent="0.3">
      <c r="A62" s="329" t="s">
        <v>289</v>
      </c>
      <c r="B62" s="330">
        <v>2</v>
      </c>
      <c r="C62" s="298">
        <v>46174</v>
      </c>
      <c r="D62" s="299" t="s">
        <v>301</v>
      </c>
      <c r="E62" s="522">
        <v>16.05</v>
      </c>
      <c r="F62" s="522"/>
      <c r="G62" s="333">
        <f t="shared" si="3"/>
        <v>2192.2199999999862</v>
      </c>
      <c r="H62" s="334"/>
      <c r="I62" s="335"/>
      <c r="J62" s="336"/>
      <c r="K62" s="301"/>
      <c r="L62" s="336"/>
      <c r="M62" s="301"/>
      <c r="N62" s="336"/>
      <c r="O62" s="301"/>
      <c r="P62" s="336"/>
      <c r="Q62" s="301"/>
      <c r="R62" s="336"/>
      <c r="S62" s="301"/>
      <c r="T62" s="336"/>
    </row>
    <row r="63" spans="1:20" ht="12" customHeight="1" x14ac:dyDescent="0.3">
      <c r="A63" s="329" t="s">
        <v>289</v>
      </c>
      <c r="B63" s="330">
        <v>1</v>
      </c>
      <c r="C63" s="298">
        <v>46174</v>
      </c>
      <c r="D63" s="299" t="s">
        <v>457</v>
      </c>
      <c r="E63" s="522">
        <v>50.44</v>
      </c>
      <c r="F63" s="522"/>
      <c r="G63" s="333">
        <f t="shared" si="3"/>
        <v>2208.2699999999863</v>
      </c>
      <c r="H63" s="334"/>
      <c r="I63" s="335"/>
      <c r="J63" s="336"/>
      <c r="K63" s="301"/>
      <c r="L63" s="336"/>
      <c r="M63" s="301"/>
      <c r="N63" s="336"/>
      <c r="O63" s="301"/>
      <c r="P63" s="336"/>
      <c r="Q63" s="301"/>
      <c r="R63" s="336"/>
      <c r="S63" s="301"/>
      <c r="T63" s="336"/>
    </row>
    <row r="64" spans="1:20" ht="12" customHeight="1" x14ac:dyDescent="0.3">
      <c r="A64" s="329" t="s">
        <v>289</v>
      </c>
      <c r="B64" s="330">
        <v>6</v>
      </c>
      <c r="C64" s="298">
        <v>46174</v>
      </c>
      <c r="D64" s="299" t="s">
        <v>898</v>
      </c>
      <c r="E64" s="522">
        <v>9.99</v>
      </c>
      <c r="F64" s="522"/>
      <c r="G64" s="333">
        <f t="shared" si="3"/>
        <v>2258.7099999999864</v>
      </c>
      <c r="H64" s="334"/>
      <c r="I64" s="335"/>
      <c r="J64" s="336"/>
      <c r="K64" s="301"/>
      <c r="L64" s="336"/>
      <c r="M64" s="301"/>
      <c r="N64" s="336"/>
      <c r="O64" s="301"/>
      <c r="P64" s="336"/>
      <c r="Q64" s="301"/>
      <c r="R64" s="336"/>
      <c r="S64" s="301"/>
      <c r="T64" s="336"/>
    </row>
    <row r="65" spans="1:20" ht="12" customHeight="1" x14ac:dyDescent="0.3">
      <c r="A65" s="329" t="s">
        <v>289</v>
      </c>
      <c r="B65" s="330">
        <v>4</v>
      </c>
      <c r="C65" s="298">
        <v>46174</v>
      </c>
      <c r="D65" s="299" t="s">
        <v>310</v>
      </c>
      <c r="E65" s="522">
        <v>44.98</v>
      </c>
      <c r="F65" s="522"/>
      <c r="G65" s="333">
        <f t="shared" si="3"/>
        <v>2268.6999999999862</v>
      </c>
      <c r="H65" s="334"/>
      <c r="I65" s="335"/>
      <c r="J65" s="336"/>
      <c r="K65" s="301"/>
      <c r="L65" s="336"/>
      <c r="M65" s="301"/>
      <c r="N65" s="336"/>
      <c r="O65" s="301"/>
      <c r="P65" s="336"/>
      <c r="Q65" s="301"/>
      <c r="R65" s="336"/>
      <c r="S65" s="301"/>
      <c r="T65" s="336"/>
    </row>
    <row r="66" spans="1:20" ht="12" customHeight="1" x14ac:dyDescent="0.3">
      <c r="A66" s="329" t="s">
        <v>289</v>
      </c>
      <c r="B66" s="330">
        <v>1</v>
      </c>
      <c r="C66" s="298">
        <v>46174</v>
      </c>
      <c r="D66" s="299" t="s">
        <v>311</v>
      </c>
      <c r="E66" s="522">
        <v>106.14</v>
      </c>
      <c r="F66" s="522"/>
      <c r="G66" s="333">
        <f t="shared" si="3"/>
        <v>2313.6799999999862</v>
      </c>
      <c r="H66" s="334"/>
      <c r="I66" s="335"/>
      <c r="J66" s="336"/>
      <c r="K66" s="301"/>
      <c r="L66" s="336"/>
      <c r="M66" s="301"/>
      <c r="N66" s="336"/>
      <c r="O66" s="301"/>
      <c r="P66" s="336"/>
      <c r="Q66" s="301"/>
      <c r="R66" s="336"/>
      <c r="S66" s="301"/>
      <c r="T66" s="336"/>
    </row>
    <row r="67" spans="1:20" ht="12" customHeight="1" x14ac:dyDescent="0.3">
      <c r="A67" s="329" t="s">
        <v>294</v>
      </c>
      <c r="B67" s="330">
        <v>16</v>
      </c>
      <c r="C67" s="298">
        <v>46174</v>
      </c>
      <c r="D67" s="299" t="s">
        <v>624</v>
      </c>
      <c r="E67" s="522">
        <v>62.31</v>
      </c>
      <c r="F67" s="522"/>
      <c r="G67" s="333">
        <f t="shared" si="3"/>
        <v>2419.8199999999861</v>
      </c>
      <c r="H67" s="334"/>
      <c r="I67" s="335"/>
      <c r="J67" s="336"/>
      <c r="K67" s="301"/>
      <c r="L67" s="336"/>
      <c r="M67" s="301"/>
      <c r="N67" s="336"/>
      <c r="O67" s="301"/>
      <c r="P67" s="336"/>
      <c r="Q67" s="301"/>
      <c r="R67" s="336"/>
      <c r="S67" s="301"/>
      <c r="T67" s="336"/>
    </row>
    <row r="68" spans="1:20" ht="12" customHeight="1" x14ac:dyDescent="0.3">
      <c r="A68" s="329" t="s">
        <v>289</v>
      </c>
      <c r="B68" s="330">
        <v>3</v>
      </c>
      <c r="C68" s="298">
        <v>46174</v>
      </c>
      <c r="D68" s="299" t="s">
        <v>351</v>
      </c>
      <c r="E68" s="522">
        <v>8.1</v>
      </c>
      <c r="F68" s="522"/>
      <c r="G68" s="333">
        <f t="shared" si="3"/>
        <v>2482.129999999986</v>
      </c>
      <c r="H68" s="334"/>
      <c r="I68" s="335"/>
      <c r="J68" s="336"/>
      <c r="K68" s="301"/>
      <c r="L68" s="336"/>
      <c r="M68" s="301"/>
      <c r="N68" s="336"/>
      <c r="O68" s="301"/>
      <c r="P68" s="336"/>
      <c r="Q68" s="301"/>
      <c r="R68" s="336"/>
      <c r="S68" s="301"/>
      <c r="T68" s="336"/>
    </row>
    <row r="69" spans="1:20" ht="12" customHeight="1" x14ac:dyDescent="0.3">
      <c r="A69" s="329" t="s">
        <v>287</v>
      </c>
      <c r="B69" s="330" t="s">
        <v>287</v>
      </c>
      <c r="C69" s="298">
        <v>46174</v>
      </c>
      <c r="D69" s="299" t="s">
        <v>888</v>
      </c>
      <c r="E69" s="522">
        <v>320</v>
      </c>
      <c r="F69" s="522">
        <v>320</v>
      </c>
      <c r="G69" s="333">
        <f t="shared" si="3"/>
        <v>2490.2299999999859</v>
      </c>
      <c r="H69" s="334"/>
      <c r="I69" s="335"/>
      <c r="J69" s="336"/>
      <c r="K69" s="301"/>
      <c r="L69" s="336"/>
      <c r="M69" s="301"/>
      <c r="N69" s="336"/>
      <c r="O69" s="301"/>
      <c r="P69" s="336"/>
      <c r="Q69" s="301"/>
      <c r="R69" s="336"/>
      <c r="S69" s="301"/>
      <c r="T69" s="336"/>
    </row>
    <row r="70" spans="1:20" ht="12" customHeight="1" x14ac:dyDescent="0.3">
      <c r="A70" s="329" t="s">
        <v>289</v>
      </c>
      <c r="B70" s="330">
        <v>6</v>
      </c>
      <c r="C70" s="298">
        <v>46174</v>
      </c>
      <c r="D70" s="299" t="s">
        <v>889</v>
      </c>
      <c r="E70" s="522">
        <v>20</v>
      </c>
      <c r="F70" s="522"/>
      <c r="G70" s="333">
        <f t="shared" si="3"/>
        <v>2490.2299999999859</v>
      </c>
      <c r="H70" s="334"/>
      <c r="I70" s="335"/>
      <c r="J70" s="336"/>
      <c r="K70" s="301"/>
      <c r="L70" s="336"/>
      <c r="M70" s="301"/>
      <c r="N70" s="336"/>
      <c r="O70" s="301"/>
      <c r="P70" s="336"/>
      <c r="Q70" s="301"/>
      <c r="R70" s="336"/>
      <c r="S70" s="301"/>
      <c r="T70" s="336"/>
    </row>
    <row r="71" spans="1:20" ht="12" customHeight="1" x14ac:dyDescent="0.3">
      <c r="A71" s="329" t="s">
        <v>284</v>
      </c>
      <c r="B71" s="330">
        <v>37</v>
      </c>
      <c r="C71" s="298">
        <v>46173</v>
      </c>
      <c r="D71" s="299" t="s">
        <v>895</v>
      </c>
      <c r="E71" s="522">
        <v>1160.3599999999999</v>
      </c>
      <c r="F71" s="522"/>
      <c r="G71" s="333">
        <f t="shared" si="3"/>
        <v>2510.2299999999859</v>
      </c>
      <c r="H71" s="334"/>
      <c r="I71" s="335"/>
      <c r="J71" s="336"/>
      <c r="K71" s="301"/>
      <c r="L71" s="336"/>
      <c r="M71" s="301"/>
      <c r="N71" s="336"/>
      <c r="O71" s="301"/>
      <c r="P71" s="336"/>
      <c r="Q71" s="301"/>
      <c r="R71" s="336"/>
      <c r="S71" s="301"/>
      <c r="T71" s="336"/>
    </row>
    <row r="72" spans="1:20" ht="12" customHeight="1" x14ac:dyDescent="0.3">
      <c r="A72" s="329" t="s">
        <v>286</v>
      </c>
      <c r="B72" s="330">
        <v>25</v>
      </c>
      <c r="C72" s="298">
        <v>46173</v>
      </c>
      <c r="D72" s="298" t="s">
        <v>204</v>
      </c>
      <c r="E72" s="331">
        <v>350</v>
      </c>
      <c r="F72" s="522"/>
      <c r="G72" s="333">
        <f t="shared" si="3"/>
        <v>3670.5899999999856</v>
      </c>
      <c r="H72" s="334"/>
      <c r="I72" s="335"/>
      <c r="J72" s="336"/>
      <c r="K72" s="301"/>
      <c r="L72" s="336"/>
      <c r="M72" s="301"/>
      <c r="N72" s="336"/>
      <c r="O72" s="301"/>
      <c r="P72" s="336"/>
      <c r="Q72" s="301"/>
      <c r="R72" s="336"/>
      <c r="S72" s="301"/>
      <c r="T72" s="336"/>
    </row>
    <row r="73" spans="1:20" ht="12" customHeight="1" x14ac:dyDescent="0.3">
      <c r="A73" s="329" t="s">
        <v>286</v>
      </c>
      <c r="B73" s="330">
        <v>26</v>
      </c>
      <c r="C73" s="298">
        <v>46173</v>
      </c>
      <c r="D73" s="298" t="s">
        <v>205</v>
      </c>
      <c r="E73" s="331">
        <v>320</v>
      </c>
      <c r="F73" s="522"/>
      <c r="G73" s="333">
        <f t="shared" si="3"/>
        <v>4020.5899999999856</v>
      </c>
      <c r="H73" s="334"/>
      <c r="I73" s="335"/>
      <c r="J73" s="336"/>
      <c r="K73" s="301"/>
      <c r="L73" s="336"/>
      <c r="M73" s="301"/>
      <c r="N73" s="336"/>
      <c r="O73" s="301"/>
      <c r="P73" s="336"/>
      <c r="Q73" s="301"/>
      <c r="R73" s="336"/>
      <c r="S73" s="301"/>
      <c r="T73" s="336"/>
    </row>
    <row r="74" spans="1:20" ht="12" customHeight="1" x14ac:dyDescent="0.3">
      <c r="A74" s="329" t="s">
        <v>286</v>
      </c>
      <c r="B74" s="330">
        <v>27</v>
      </c>
      <c r="C74" s="298">
        <v>46173</v>
      </c>
      <c r="D74" s="298" t="s">
        <v>206</v>
      </c>
      <c r="E74" s="331">
        <v>25</v>
      </c>
      <c r="F74" s="522"/>
      <c r="G74" s="333">
        <f t="shared" si="3"/>
        <v>4340.5899999999856</v>
      </c>
      <c r="H74" s="334"/>
      <c r="I74" s="335"/>
      <c r="J74" s="336"/>
      <c r="K74" s="301"/>
      <c r="L74" s="336"/>
      <c r="M74" s="301"/>
      <c r="N74" s="336"/>
      <c r="O74" s="301"/>
      <c r="P74" s="336"/>
      <c r="Q74" s="301"/>
      <c r="R74" s="336"/>
      <c r="S74" s="301"/>
      <c r="T74" s="336"/>
    </row>
    <row r="75" spans="1:20" ht="12" customHeight="1" x14ac:dyDescent="0.3">
      <c r="A75" s="329" t="s">
        <v>286</v>
      </c>
      <c r="B75" s="330">
        <v>28</v>
      </c>
      <c r="C75" s="298">
        <v>46173</v>
      </c>
      <c r="D75" s="298" t="s">
        <v>207</v>
      </c>
      <c r="E75" s="331">
        <v>25</v>
      </c>
      <c r="F75" s="522"/>
      <c r="G75" s="333">
        <f t="shared" si="3"/>
        <v>4365.5899999999856</v>
      </c>
      <c r="H75" s="334"/>
      <c r="I75" s="335"/>
      <c r="J75" s="336"/>
      <c r="K75" s="301"/>
      <c r="L75" s="336"/>
      <c r="M75" s="301"/>
      <c r="N75" s="336"/>
      <c r="O75" s="301"/>
      <c r="P75" s="336"/>
      <c r="Q75" s="301"/>
      <c r="R75" s="336"/>
      <c r="S75" s="301"/>
      <c r="T75" s="336"/>
    </row>
    <row r="76" spans="1:20" ht="12" customHeight="1" x14ac:dyDescent="0.3">
      <c r="A76" s="329" t="s">
        <v>286</v>
      </c>
      <c r="B76" s="330">
        <v>29</v>
      </c>
      <c r="C76" s="298">
        <v>46173</v>
      </c>
      <c r="D76" s="298" t="s">
        <v>208</v>
      </c>
      <c r="E76" s="331">
        <v>45</v>
      </c>
      <c r="F76" s="522"/>
      <c r="G76" s="333">
        <f t="shared" si="3"/>
        <v>4390.5899999999856</v>
      </c>
      <c r="H76" s="334"/>
      <c r="I76" s="335"/>
      <c r="J76" s="336"/>
      <c r="K76" s="301"/>
      <c r="L76" s="336"/>
      <c r="M76" s="301"/>
      <c r="N76" s="336"/>
      <c r="O76" s="301"/>
      <c r="P76" s="336"/>
      <c r="Q76" s="301"/>
      <c r="R76" s="336"/>
      <c r="S76" s="301"/>
      <c r="T76" s="336"/>
    </row>
    <row r="77" spans="1:20" ht="12" customHeight="1" x14ac:dyDescent="0.3">
      <c r="A77" s="329" t="s">
        <v>286</v>
      </c>
      <c r="B77" s="330">
        <v>30</v>
      </c>
      <c r="C77" s="298">
        <v>46173</v>
      </c>
      <c r="D77" s="298" t="s">
        <v>209</v>
      </c>
      <c r="E77" s="331">
        <v>400</v>
      </c>
      <c r="F77" s="522"/>
      <c r="G77" s="333">
        <f t="shared" si="3"/>
        <v>4435.5899999999856</v>
      </c>
      <c r="H77" s="334"/>
      <c r="I77" s="335"/>
      <c r="J77" s="336"/>
      <c r="K77" s="301"/>
      <c r="L77" s="336"/>
      <c r="M77" s="301"/>
      <c r="N77" s="336"/>
      <c r="O77" s="301"/>
      <c r="P77" s="336"/>
      <c r="Q77" s="301"/>
      <c r="R77" s="336"/>
      <c r="S77" s="301"/>
      <c r="T77" s="336"/>
    </row>
    <row r="78" spans="1:20" ht="12" customHeight="1" x14ac:dyDescent="0.3">
      <c r="A78" s="329" t="s">
        <v>286</v>
      </c>
      <c r="B78" s="330">
        <v>31</v>
      </c>
      <c r="C78" s="298">
        <v>46173</v>
      </c>
      <c r="D78" s="298" t="s">
        <v>210</v>
      </c>
      <c r="E78" s="331">
        <v>375</v>
      </c>
      <c r="F78" s="522"/>
      <c r="G78" s="333">
        <f t="shared" si="3"/>
        <v>4835.5899999999856</v>
      </c>
      <c r="H78" s="334"/>
      <c r="I78" s="335"/>
      <c r="J78" s="336"/>
      <c r="K78" s="301"/>
      <c r="L78" s="336"/>
      <c r="M78" s="301"/>
      <c r="N78" s="336"/>
      <c r="O78" s="301"/>
      <c r="P78" s="336"/>
      <c r="Q78" s="301"/>
      <c r="R78" s="336"/>
      <c r="S78" s="301"/>
      <c r="T78" s="336"/>
    </row>
    <row r="79" spans="1:20" ht="12" customHeight="1" x14ac:dyDescent="0.3">
      <c r="A79" s="329" t="s">
        <v>286</v>
      </c>
      <c r="B79" s="330">
        <v>32</v>
      </c>
      <c r="C79" s="298">
        <v>46173</v>
      </c>
      <c r="D79" s="298" t="s">
        <v>211</v>
      </c>
      <c r="E79" s="331">
        <v>100</v>
      </c>
      <c r="F79" s="522"/>
      <c r="G79" s="333">
        <f t="shared" si="3"/>
        <v>5210.5899999999856</v>
      </c>
      <c r="H79" s="334"/>
      <c r="I79" s="335"/>
      <c r="J79" s="336"/>
      <c r="K79" s="301"/>
      <c r="L79" s="336"/>
      <c r="M79" s="301"/>
      <c r="N79" s="336"/>
      <c r="O79" s="301"/>
      <c r="P79" s="336"/>
      <c r="Q79" s="301"/>
      <c r="R79" s="336"/>
      <c r="S79" s="301"/>
      <c r="T79" s="336"/>
    </row>
    <row r="80" spans="1:20" ht="12" customHeight="1" x14ac:dyDescent="0.3">
      <c r="A80" s="329" t="s">
        <v>286</v>
      </c>
      <c r="B80" s="330">
        <v>33</v>
      </c>
      <c r="C80" s="298">
        <v>46173</v>
      </c>
      <c r="D80" s="298" t="s">
        <v>212</v>
      </c>
      <c r="E80" s="331">
        <v>85</v>
      </c>
      <c r="F80" s="522"/>
      <c r="G80" s="333">
        <f t="shared" si="3"/>
        <v>5310.5899999999856</v>
      </c>
      <c r="H80" s="334"/>
      <c r="I80" s="335"/>
      <c r="J80" s="336"/>
      <c r="K80" s="301"/>
      <c r="L80" s="336"/>
      <c r="M80" s="301"/>
      <c r="N80" s="336"/>
      <c r="O80" s="301"/>
      <c r="P80" s="336"/>
      <c r="Q80" s="301"/>
      <c r="R80" s="336"/>
      <c r="S80" s="301"/>
      <c r="T80" s="336"/>
    </row>
    <row r="81" spans="1:20" ht="12" customHeight="1" x14ac:dyDescent="0.3">
      <c r="A81" s="329" t="s">
        <v>286</v>
      </c>
      <c r="B81" s="330">
        <v>34</v>
      </c>
      <c r="C81" s="298">
        <v>46173</v>
      </c>
      <c r="D81" s="298" t="s">
        <v>213</v>
      </c>
      <c r="E81" s="331">
        <v>230</v>
      </c>
      <c r="F81" s="522"/>
      <c r="G81" s="333">
        <f t="shared" si="3"/>
        <v>5395.5899999999856</v>
      </c>
      <c r="H81" s="334"/>
      <c r="I81" s="335"/>
      <c r="J81" s="336"/>
      <c r="K81" s="301"/>
      <c r="L81" s="336"/>
      <c r="M81" s="301"/>
      <c r="N81" s="336"/>
      <c r="O81" s="301"/>
      <c r="P81" s="336"/>
      <c r="Q81" s="301"/>
      <c r="R81" s="336"/>
      <c r="S81" s="301"/>
      <c r="T81" s="336"/>
    </row>
    <row r="82" spans="1:20" ht="12" customHeight="1" x14ac:dyDescent="0.3">
      <c r="A82" s="329" t="s">
        <v>286</v>
      </c>
      <c r="B82" s="330">
        <v>35</v>
      </c>
      <c r="C82" s="298">
        <v>46173</v>
      </c>
      <c r="D82" s="298" t="s">
        <v>214</v>
      </c>
      <c r="E82" s="331">
        <v>45</v>
      </c>
      <c r="F82" s="522"/>
      <c r="G82" s="333">
        <f t="shared" si="3"/>
        <v>5625.5899999999856</v>
      </c>
      <c r="H82" s="334"/>
      <c r="I82" s="335"/>
      <c r="J82" s="336"/>
      <c r="K82" s="301"/>
      <c r="L82" s="336"/>
      <c r="M82" s="301"/>
      <c r="N82" s="336"/>
      <c r="O82" s="301"/>
      <c r="P82" s="336"/>
      <c r="Q82" s="301"/>
      <c r="R82" s="336"/>
      <c r="S82" s="301"/>
      <c r="T82" s="336"/>
    </row>
    <row r="83" spans="1:20" ht="12" customHeight="1" x14ac:dyDescent="0.3">
      <c r="A83" s="329" t="s">
        <v>289</v>
      </c>
      <c r="B83" s="330">
        <v>6</v>
      </c>
      <c r="C83" s="298">
        <v>46173</v>
      </c>
      <c r="D83" s="298" t="s">
        <v>885</v>
      </c>
      <c r="E83" s="522">
        <v>50</v>
      </c>
      <c r="F83" s="522"/>
      <c r="G83" s="333">
        <f t="shared" si="3"/>
        <v>5670.5899999999856</v>
      </c>
      <c r="H83" s="334"/>
      <c r="I83" s="335"/>
      <c r="J83" s="336"/>
      <c r="K83" s="301"/>
      <c r="L83" s="336"/>
      <c r="M83" s="301"/>
      <c r="N83" s="336"/>
      <c r="O83" s="301"/>
      <c r="P83" s="336"/>
      <c r="Q83" s="301"/>
      <c r="R83" s="336"/>
      <c r="S83" s="301"/>
      <c r="T83" s="336"/>
    </row>
    <row r="84" spans="1:20" ht="12" customHeight="1" x14ac:dyDescent="0.3">
      <c r="A84" s="329" t="s">
        <v>294</v>
      </c>
      <c r="B84" s="330">
        <v>22</v>
      </c>
      <c r="C84" s="298">
        <v>46173</v>
      </c>
      <c r="D84" s="298" t="s">
        <v>835</v>
      </c>
      <c r="E84" s="522">
        <v>10.63</v>
      </c>
      <c r="F84" s="522"/>
      <c r="G84" s="333">
        <f t="shared" si="3"/>
        <v>5720.5899999999856</v>
      </c>
      <c r="H84" s="334"/>
      <c r="I84" s="335"/>
      <c r="J84" s="336"/>
      <c r="K84" s="301"/>
      <c r="L84" s="336"/>
      <c r="M84" s="301"/>
      <c r="N84" s="336"/>
      <c r="O84" s="301"/>
      <c r="P84" s="336"/>
      <c r="Q84" s="301"/>
      <c r="R84" s="336"/>
      <c r="S84" s="301"/>
      <c r="T84" s="336"/>
    </row>
    <row r="85" spans="1:20" ht="12" customHeight="1" x14ac:dyDescent="0.3">
      <c r="A85" s="329" t="s">
        <v>289</v>
      </c>
      <c r="B85" s="330">
        <v>4</v>
      </c>
      <c r="C85" s="298">
        <v>46173</v>
      </c>
      <c r="D85" s="298" t="s">
        <v>363</v>
      </c>
      <c r="E85" s="522">
        <v>108.69</v>
      </c>
      <c r="F85" s="522"/>
      <c r="G85" s="333">
        <f t="shared" si="3"/>
        <v>5731.2199999999857</v>
      </c>
      <c r="H85" s="334"/>
      <c r="I85" s="335"/>
      <c r="J85" s="336"/>
      <c r="K85" s="301"/>
      <c r="L85" s="336"/>
      <c r="M85" s="301"/>
      <c r="N85" s="336"/>
      <c r="O85" s="301"/>
      <c r="P85" s="336"/>
      <c r="Q85" s="301"/>
      <c r="R85" s="336"/>
      <c r="S85" s="301"/>
      <c r="T85" s="336"/>
    </row>
    <row r="86" spans="1:20" ht="12" customHeight="1" x14ac:dyDescent="0.3">
      <c r="A86" s="329" t="s">
        <v>294</v>
      </c>
      <c r="B86" s="330">
        <v>10</v>
      </c>
      <c r="C86" s="298">
        <v>46173</v>
      </c>
      <c r="D86" s="298" t="s">
        <v>176</v>
      </c>
      <c r="E86" s="522">
        <v>17.899999999999999</v>
      </c>
      <c r="F86" s="522"/>
      <c r="G86" s="333">
        <f t="shared" si="3"/>
        <v>5839.9099999999853</v>
      </c>
      <c r="H86" s="334"/>
      <c r="I86" s="335"/>
      <c r="J86" s="336"/>
      <c r="K86" s="301"/>
      <c r="L86" s="336"/>
      <c r="M86" s="301"/>
      <c r="N86" s="336"/>
      <c r="O86" s="301"/>
      <c r="P86" s="336"/>
      <c r="Q86" s="301"/>
      <c r="R86" s="336"/>
      <c r="S86" s="301"/>
      <c r="T86" s="336"/>
    </row>
    <row r="87" spans="1:20" ht="12" customHeight="1" x14ac:dyDescent="0.3">
      <c r="A87" s="329" t="s">
        <v>289</v>
      </c>
      <c r="B87" s="330">
        <v>1</v>
      </c>
      <c r="C87" s="298">
        <v>46173</v>
      </c>
      <c r="D87" s="298" t="s">
        <v>445</v>
      </c>
      <c r="E87" s="522">
        <v>9.57</v>
      </c>
      <c r="F87" s="522"/>
      <c r="G87" s="333">
        <f t="shared" si="3"/>
        <v>5857.8099999999849</v>
      </c>
      <c r="H87" s="334"/>
      <c r="I87" s="335"/>
      <c r="J87" s="336"/>
      <c r="K87" s="301"/>
      <c r="L87" s="336"/>
      <c r="M87" s="301"/>
      <c r="N87" s="336"/>
      <c r="O87" s="301"/>
      <c r="P87" s="336"/>
      <c r="Q87" s="301"/>
      <c r="R87" s="336"/>
      <c r="S87" s="301"/>
      <c r="T87" s="336"/>
    </row>
    <row r="88" spans="1:20" ht="12" customHeight="1" x14ac:dyDescent="0.3">
      <c r="A88" s="329" t="s">
        <v>289</v>
      </c>
      <c r="B88" s="330">
        <v>8</v>
      </c>
      <c r="C88" s="298">
        <v>46172</v>
      </c>
      <c r="D88" s="298" t="s">
        <v>319</v>
      </c>
      <c r="E88" s="522">
        <v>88.98</v>
      </c>
      <c r="F88" s="522"/>
      <c r="G88" s="333">
        <f t="shared" si="3"/>
        <v>5867.3799999999846</v>
      </c>
      <c r="H88" s="334"/>
      <c r="I88" s="335"/>
      <c r="J88" s="336"/>
      <c r="K88" s="301"/>
      <c r="L88" s="336"/>
      <c r="M88" s="301"/>
      <c r="N88" s="336"/>
      <c r="O88" s="301"/>
      <c r="P88" s="336"/>
      <c r="Q88" s="301"/>
      <c r="R88" s="336"/>
      <c r="S88" s="301"/>
      <c r="T88" s="336"/>
    </row>
    <row r="89" spans="1:20" ht="12" customHeight="1" x14ac:dyDescent="0.3">
      <c r="A89" s="329" t="s">
        <v>287</v>
      </c>
      <c r="B89" s="330" t="s">
        <v>287</v>
      </c>
      <c r="C89" s="298">
        <v>46172</v>
      </c>
      <c r="D89" s="298" t="s">
        <v>891</v>
      </c>
      <c r="E89" s="522">
        <v>219.38</v>
      </c>
      <c r="F89" s="522">
        <v>219.38</v>
      </c>
      <c r="G89" s="333">
        <f t="shared" si="3"/>
        <v>5956.3599999999842</v>
      </c>
      <c r="H89" s="334"/>
      <c r="I89" s="335"/>
      <c r="J89" s="336"/>
      <c r="K89" s="301"/>
      <c r="L89" s="336"/>
      <c r="M89" s="301"/>
      <c r="N89" s="336"/>
      <c r="O89" s="301"/>
      <c r="P89" s="336"/>
      <c r="Q89" s="301"/>
      <c r="R89" s="336"/>
      <c r="S89" s="301"/>
      <c r="T89" s="336"/>
    </row>
    <row r="90" spans="1:20" ht="12" customHeight="1" x14ac:dyDescent="0.3">
      <c r="A90" s="329" t="s">
        <v>287</v>
      </c>
      <c r="B90" s="330" t="s">
        <v>287</v>
      </c>
      <c r="C90" s="298">
        <v>46172</v>
      </c>
      <c r="D90" s="298" t="s">
        <v>890</v>
      </c>
      <c r="E90" s="522">
        <v>310.98</v>
      </c>
      <c r="F90" s="522">
        <v>310.98</v>
      </c>
      <c r="G90" s="333">
        <f t="shared" si="3"/>
        <v>5956.3599999999842</v>
      </c>
      <c r="H90" s="334"/>
      <c r="I90" s="335"/>
      <c r="J90" s="336"/>
      <c r="K90" s="301"/>
      <c r="L90" s="336"/>
      <c r="M90" s="301"/>
      <c r="N90" s="336"/>
      <c r="O90" s="301"/>
      <c r="P90" s="336"/>
      <c r="Q90" s="301"/>
      <c r="R90" s="336"/>
      <c r="S90" s="301"/>
      <c r="T90" s="336"/>
    </row>
    <row r="91" spans="1:20" ht="12" customHeight="1" x14ac:dyDescent="0.3">
      <c r="A91" s="329" t="s">
        <v>289</v>
      </c>
      <c r="B91" s="330">
        <v>2</v>
      </c>
      <c r="C91" s="298">
        <v>46172</v>
      </c>
      <c r="D91" s="298" t="s">
        <v>894</v>
      </c>
      <c r="E91" s="522">
        <v>130.68</v>
      </c>
      <c r="F91" s="522"/>
      <c r="G91" s="333">
        <f t="shared" si="3"/>
        <v>5956.3599999999842</v>
      </c>
      <c r="H91" s="334"/>
      <c r="I91" s="335"/>
      <c r="J91" s="336"/>
      <c r="K91" s="301"/>
      <c r="L91" s="336"/>
      <c r="M91" s="301"/>
      <c r="N91" s="336"/>
      <c r="O91" s="301"/>
      <c r="P91" s="336"/>
      <c r="Q91" s="301"/>
      <c r="R91" s="336"/>
      <c r="S91" s="301"/>
      <c r="T91" s="336"/>
    </row>
    <row r="92" spans="1:20" ht="12" customHeight="1" x14ac:dyDescent="0.3">
      <c r="A92" s="329" t="s">
        <v>289</v>
      </c>
      <c r="B92" s="330">
        <v>2</v>
      </c>
      <c r="C92" s="298">
        <v>46172</v>
      </c>
      <c r="D92" s="298" t="s">
        <v>356</v>
      </c>
      <c r="E92" s="522">
        <v>49.99</v>
      </c>
      <c r="F92" s="522"/>
      <c r="G92" s="333">
        <f t="shared" si="3"/>
        <v>6087.0399999999845</v>
      </c>
      <c r="H92" s="334"/>
      <c r="I92" s="335"/>
      <c r="J92" s="336"/>
      <c r="K92" s="301"/>
      <c r="L92" s="336"/>
      <c r="M92" s="301"/>
      <c r="N92" s="336"/>
      <c r="O92" s="301"/>
      <c r="P92" s="336"/>
      <c r="Q92" s="301"/>
      <c r="R92" s="336"/>
      <c r="S92" s="301"/>
      <c r="T92" s="336"/>
    </row>
    <row r="93" spans="1:20" ht="12" customHeight="1" x14ac:dyDescent="0.3">
      <c r="A93" s="329" t="s">
        <v>289</v>
      </c>
      <c r="B93" s="330">
        <v>2</v>
      </c>
      <c r="C93" s="298">
        <v>46171</v>
      </c>
      <c r="D93" s="298" t="s">
        <v>296</v>
      </c>
      <c r="E93" s="522">
        <v>15.1</v>
      </c>
      <c r="F93" s="522"/>
      <c r="G93" s="333">
        <f t="shared" si="3"/>
        <v>6137.0299999999843</v>
      </c>
      <c r="H93" s="334"/>
      <c r="I93" s="335"/>
      <c r="J93" s="336"/>
      <c r="K93" s="301"/>
      <c r="L93" s="336"/>
      <c r="M93" s="301"/>
      <c r="N93" s="336"/>
      <c r="O93" s="301"/>
      <c r="P93" s="336"/>
      <c r="Q93" s="301"/>
      <c r="R93" s="336"/>
      <c r="S93" s="301"/>
      <c r="T93" s="336"/>
    </row>
    <row r="94" spans="1:20" ht="12" customHeight="1" x14ac:dyDescent="0.3">
      <c r="A94" s="329" t="s">
        <v>289</v>
      </c>
      <c r="B94" s="330">
        <v>8</v>
      </c>
      <c r="C94" s="298">
        <v>46171</v>
      </c>
      <c r="D94" s="298" t="s">
        <v>295</v>
      </c>
      <c r="E94" s="522">
        <v>7.02</v>
      </c>
      <c r="F94" s="522"/>
      <c r="G94" s="333">
        <f t="shared" si="3"/>
        <v>6152.1299999999846</v>
      </c>
      <c r="H94" s="334"/>
      <c r="I94" s="335"/>
      <c r="J94" s="336"/>
      <c r="K94" s="301"/>
      <c r="L94" s="336"/>
      <c r="M94" s="301"/>
      <c r="N94" s="336"/>
      <c r="O94" s="301"/>
      <c r="P94" s="336"/>
      <c r="Q94" s="301"/>
      <c r="R94" s="336"/>
      <c r="S94" s="301"/>
      <c r="T94" s="336"/>
    </row>
    <row r="95" spans="1:20" ht="12" customHeight="1" x14ac:dyDescent="0.3">
      <c r="A95" s="329" t="s">
        <v>289</v>
      </c>
      <c r="B95" s="330">
        <v>4</v>
      </c>
      <c r="C95" s="298">
        <v>46171</v>
      </c>
      <c r="D95" s="298" t="s">
        <v>295</v>
      </c>
      <c r="E95" s="522">
        <v>93.38</v>
      </c>
      <c r="F95" s="522"/>
      <c r="G95" s="333">
        <f t="shared" si="3"/>
        <v>6159.1499999999851</v>
      </c>
      <c r="H95" s="334"/>
      <c r="I95" s="335"/>
      <c r="J95" s="336"/>
      <c r="K95" s="301"/>
      <c r="L95" s="336"/>
      <c r="M95" s="301"/>
      <c r="N95" s="336"/>
      <c r="O95" s="301"/>
      <c r="P95" s="336"/>
      <c r="Q95" s="301"/>
      <c r="R95" s="336"/>
      <c r="S95" s="301"/>
      <c r="T95" s="336"/>
    </row>
    <row r="96" spans="1:20" ht="12" customHeight="1" x14ac:dyDescent="0.3">
      <c r="A96" s="329" t="s">
        <v>289</v>
      </c>
      <c r="B96" s="330">
        <v>2</v>
      </c>
      <c r="C96" s="298">
        <v>46171</v>
      </c>
      <c r="D96" s="298" t="s">
        <v>353</v>
      </c>
      <c r="E96" s="522">
        <v>18.98</v>
      </c>
      <c r="F96" s="522"/>
      <c r="G96" s="333">
        <f t="shared" si="3"/>
        <v>6252.5299999999852</v>
      </c>
      <c r="H96" s="334"/>
      <c r="I96" s="335"/>
      <c r="J96" s="336"/>
      <c r="K96" s="301"/>
      <c r="L96" s="336"/>
      <c r="M96" s="301"/>
      <c r="N96" s="336"/>
      <c r="O96" s="301"/>
      <c r="P96" s="336"/>
      <c r="Q96" s="301"/>
      <c r="R96" s="336"/>
      <c r="S96" s="301"/>
      <c r="T96" s="336"/>
    </row>
    <row r="97" spans="1:20" ht="12" customHeight="1" x14ac:dyDescent="0.3">
      <c r="A97" s="329" t="s">
        <v>294</v>
      </c>
      <c r="B97" s="330">
        <v>23</v>
      </c>
      <c r="C97" s="298">
        <v>46171</v>
      </c>
      <c r="D97" s="299" t="s">
        <v>67</v>
      </c>
      <c r="E97" s="522">
        <v>650.88</v>
      </c>
      <c r="F97" s="522"/>
      <c r="G97" s="333">
        <f t="shared" si="3"/>
        <v>6271.5099999999848</v>
      </c>
      <c r="H97" s="334"/>
      <c r="I97" s="335"/>
      <c r="J97" s="336"/>
      <c r="K97" s="301"/>
      <c r="L97" s="336"/>
      <c r="M97" s="301"/>
      <c r="N97" s="336"/>
      <c r="O97" s="301"/>
      <c r="P97" s="336"/>
      <c r="Q97" s="301"/>
      <c r="R97" s="336"/>
      <c r="S97" s="301"/>
      <c r="T97" s="336"/>
    </row>
    <row r="98" spans="1:20" ht="12" customHeight="1" x14ac:dyDescent="0.3">
      <c r="A98" s="329" t="s">
        <v>294</v>
      </c>
      <c r="B98" s="330">
        <v>20</v>
      </c>
      <c r="C98" s="298">
        <v>46171</v>
      </c>
      <c r="D98" s="299" t="s">
        <v>193</v>
      </c>
      <c r="E98" s="522">
        <v>600</v>
      </c>
      <c r="F98" s="522"/>
      <c r="G98" s="333">
        <f t="shared" si="3"/>
        <v>6922.3899999999849</v>
      </c>
      <c r="H98" s="334"/>
      <c r="I98" s="335"/>
      <c r="J98" s="336"/>
      <c r="K98" s="301"/>
      <c r="L98" s="336"/>
      <c r="M98" s="301"/>
      <c r="N98" s="336"/>
      <c r="O98" s="301"/>
      <c r="P98" s="336"/>
      <c r="Q98" s="301"/>
      <c r="R98" s="336"/>
      <c r="S98" s="301"/>
      <c r="T98" s="336"/>
    </row>
    <row r="99" spans="1:20" ht="12" customHeight="1" x14ac:dyDescent="0.3">
      <c r="A99" s="329" t="s">
        <v>291</v>
      </c>
      <c r="B99" s="330">
        <v>38</v>
      </c>
      <c r="C99" s="298">
        <v>46171</v>
      </c>
      <c r="D99" s="299" t="s">
        <v>293</v>
      </c>
      <c r="E99" s="522"/>
      <c r="F99" s="522">
        <v>4597.8100000000004</v>
      </c>
      <c r="G99" s="333">
        <f t="shared" si="3"/>
        <v>7522.3899999999849</v>
      </c>
      <c r="H99" s="334"/>
      <c r="I99" s="335"/>
      <c r="J99" s="336"/>
      <c r="K99" s="301"/>
      <c r="L99" s="336"/>
      <c r="M99" s="301"/>
      <c r="N99" s="336"/>
      <c r="O99" s="301"/>
      <c r="P99" s="336"/>
      <c r="Q99" s="301"/>
      <c r="R99" s="336"/>
      <c r="S99" s="301"/>
      <c r="T99" s="336"/>
    </row>
    <row r="100" spans="1:20" ht="12" customHeight="1" x14ac:dyDescent="0.3">
      <c r="A100" s="329" t="s">
        <v>294</v>
      </c>
      <c r="B100" s="330">
        <v>42</v>
      </c>
      <c r="C100" s="298">
        <v>46171</v>
      </c>
      <c r="D100" s="299" t="s">
        <v>200</v>
      </c>
      <c r="E100" s="522">
        <v>50.92</v>
      </c>
      <c r="F100" s="522"/>
      <c r="G100" s="333">
        <f t="shared" si="3"/>
        <v>2924.5799999999849</v>
      </c>
      <c r="H100" s="334"/>
      <c r="I100" s="335"/>
      <c r="J100" s="336"/>
      <c r="K100" s="301"/>
      <c r="L100" s="336"/>
      <c r="M100" s="301"/>
      <c r="N100" s="336"/>
      <c r="O100" s="301"/>
      <c r="P100" s="336"/>
      <c r="Q100" s="301"/>
      <c r="R100" s="336"/>
      <c r="S100" s="301"/>
      <c r="T100" s="336"/>
    </row>
    <row r="101" spans="1:20" ht="12" customHeight="1" x14ac:dyDescent="0.3">
      <c r="A101" s="329" t="s">
        <v>294</v>
      </c>
      <c r="B101" s="330">
        <v>43</v>
      </c>
      <c r="C101" s="298">
        <v>46171</v>
      </c>
      <c r="D101" s="299" t="s">
        <v>201</v>
      </c>
      <c r="E101" s="522">
        <v>42.84</v>
      </c>
      <c r="F101" s="522"/>
      <c r="G101" s="333">
        <f t="shared" si="3"/>
        <v>2975.499999999985</v>
      </c>
      <c r="H101" s="334"/>
      <c r="I101" s="335"/>
      <c r="J101" s="336"/>
      <c r="K101" s="301"/>
      <c r="L101" s="336"/>
      <c r="M101" s="301"/>
      <c r="N101" s="336"/>
      <c r="O101" s="301"/>
      <c r="P101" s="336"/>
      <c r="Q101" s="301"/>
      <c r="R101" s="336"/>
      <c r="S101" s="301"/>
      <c r="T101" s="336"/>
    </row>
    <row r="102" spans="1:20" ht="12" customHeight="1" x14ac:dyDescent="0.3">
      <c r="A102" s="329" t="s">
        <v>291</v>
      </c>
      <c r="B102" s="330">
        <v>39</v>
      </c>
      <c r="C102" s="298">
        <v>46170</v>
      </c>
      <c r="D102" s="299" t="s">
        <v>292</v>
      </c>
      <c r="E102" s="522"/>
      <c r="F102" s="522">
        <v>2763.79</v>
      </c>
      <c r="G102" s="333">
        <f t="shared" si="3"/>
        <v>3018.3399999999851</v>
      </c>
      <c r="H102" s="334"/>
      <c r="I102" s="335"/>
      <c r="J102" s="336"/>
      <c r="K102" s="301"/>
      <c r="L102" s="336"/>
      <c r="M102" s="301"/>
      <c r="N102" s="336"/>
      <c r="O102" s="301"/>
      <c r="P102" s="336"/>
      <c r="Q102" s="301"/>
      <c r="R102" s="336"/>
      <c r="S102" s="301"/>
      <c r="T102" s="336"/>
    </row>
    <row r="103" spans="1:20" ht="12" customHeight="1" x14ac:dyDescent="0.3">
      <c r="A103" s="329" t="s">
        <v>289</v>
      </c>
      <c r="B103" s="330">
        <v>3</v>
      </c>
      <c r="C103" s="298">
        <v>46170</v>
      </c>
      <c r="D103" s="299" t="s">
        <v>884</v>
      </c>
      <c r="E103" s="522">
        <v>8.9499999999999993</v>
      </c>
      <c r="F103" s="522"/>
      <c r="G103" s="333">
        <f t="shared" si="3"/>
        <v>254.54999999998506</v>
      </c>
      <c r="H103" s="334"/>
      <c r="I103" s="335"/>
      <c r="J103" s="336"/>
      <c r="K103" s="301"/>
      <c r="L103" s="336"/>
      <c r="M103" s="301"/>
      <c r="N103" s="336"/>
      <c r="O103" s="301"/>
      <c r="P103" s="336"/>
      <c r="Q103" s="301"/>
      <c r="R103" s="336"/>
      <c r="S103" s="301"/>
      <c r="T103" s="336"/>
    </row>
    <row r="104" spans="1:20" ht="12" customHeight="1" x14ac:dyDescent="0.3">
      <c r="A104" s="329" t="s">
        <v>289</v>
      </c>
      <c r="B104" s="330">
        <v>4</v>
      </c>
      <c r="C104" s="298">
        <v>46170</v>
      </c>
      <c r="D104" s="299" t="s">
        <v>884</v>
      </c>
      <c r="E104" s="522">
        <v>43.44</v>
      </c>
      <c r="F104" s="522"/>
      <c r="G104" s="333">
        <f t="shared" si="3"/>
        <v>263.49999999998505</v>
      </c>
      <c r="H104" s="334"/>
      <c r="I104" s="335"/>
      <c r="J104" s="336"/>
      <c r="K104" s="301"/>
      <c r="L104" s="336"/>
      <c r="M104" s="301"/>
      <c r="N104" s="336"/>
      <c r="O104" s="301"/>
      <c r="P104" s="336"/>
      <c r="Q104" s="301"/>
      <c r="R104" s="336"/>
      <c r="S104" s="301"/>
      <c r="T104" s="336"/>
    </row>
    <row r="105" spans="1:20" ht="12" customHeight="1" x14ac:dyDescent="0.3">
      <c r="A105" s="329" t="s">
        <v>289</v>
      </c>
      <c r="B105" s="330">
        <v>6</v>
      </c>
      <c r="C105" s="298">
        <v>46170</v>
      </c>
      <c r="D105" s="299" t="s">
        <v>892</v>
      </c>
      <c r="E105" s="522">
        <v>30.89</v>
      </c>
      <c r="F105" s="522"/>
      <c r="G105" s="333">
        <f t="shared" si="3"/>
        <v>306.93999999998505</v>
      </c>
      <c r="H105" s="334"/>
      <c r="I105" s="335"/>
      <c r="J105" s="336"/>
      <c r="K105" s="301"/>
      <c r="L105" s="336"/>
      <c r="M105" s="301"/>
      <c r="N105" s="336"/>
      <c r="O105" s="301"/>
      <c r="P105" s="336"/>
      <c r="Q105" s="301"/>
      <c r="R105" s="336"/>
      <c r="S105" s="301"/>
      <c r="T105" s="336"/>
    </row>
    <row r="106" spans="1:20" ht="12" customHeight="1" x14ac:dyDescent="0.3">
      <c r="A106" s="329" t="s">
        <v>289</v>
      </c>
      <c r="B106" s="330">
        <v>2</v>
      </c>
      <c r="C106" s="298">
        <v>46170</v>
      </c>
      <c r="D106" s="299" t="s">
        <v>346</v>
      </c>
      <c r="E106" s="522">
        <v>32.659999999999997</v>
      </c>
      <c r="F106" s="522"/>
      <c r="G106" s="333">
        <f t="shared" si="3"/>
        <v>337.82999999998503</v>
      </c>
      <c r="H106" s="334"/>
      <c r="I106" s="335"/>
      <c r="J106" s="336"/>
      <c r="K106" s="301"/>
      <c r="L106" s="336"/>
      <c r="M106" s="301"/>
      <c r="N106" s="336"/>
      <c r="O106" s="301"/>
      <c r="P106" s="336"/>
      <c r="Q106" s="301"/>
      <c r="R106" s="336"/>
      <c r="S106" s="301"/>
      <c r="T106" s="336"/>
    </row>
    <row r="107" spans="1:20" ht="12" customHeight="1" x14ac:dyDescent="0.3">
      <c r="A107" s="329" t="s">
        <v>289</v>
      </c>
      <c r="B107" s="330">
        <v>2</v>
      </c>
      <c r="C107" s="298">
        <v>46170</v>
      </c>
      <c r="D107" s="299" t="s">
        <v>386</v>
      </c>
      <c r="E107" s="522">
        <v>9.09</v>
      </c>
      <c r="F107" s="522"/>
      <c r="G107" s="333">
        <f t="shared" si="3"/>
        <v>370.48999999998506</v>
      </c>
      <c r="H107" s="334"/>
      <c r="I107" s="335"/>
      <c r="J107" s="336"/>
      <c r="K107" s="301"/>
      <c r="L107" s="336"/>
      <c r="M107" s="301"/>
      <c r="N107" s="336"/>
      <c r="O107" s="301"/>
      <c r="P107" s="336"/>
      <c r="Q107" s="301"/>
      <c r="R107" s="336"/>
      <c r="S107" s="301"/>
      <c r="T107" s="336"/>
    </row>
    <row r="108" spans="1:20" ht="12" customHeight="1" x14ac:dyDescent="0.3">
      <c r="A108" s="329" t="s">
        <v>289</v>
      </c>
      <c r="B108" s="330">
        <v>8</v>
      </c>
      <c r="C108" s="298">
        <v>46170</v>
      </c>
      <c r="D108" s="299" t="s">
        <v>846</v>
      </c>
      <c r="E108" s="522">
        <v>36.74</v>
      </c>
      <c r="F108" s="522"/>
      <c r="G108" s="333">
        <f t="shared" si="3"/>
        <v>379.57999999998503</v>
      </c>
      <c r="H108" s="334"/>
      <c r="I108" s="335"/>
      <c r="J108" s="336"/>
      <c r="K108" s="301"/>
      <c r="L108" s="336"/>
      <c r="M108" s="301"/>
      <c r="N108" s="336"/>
      <c r="O108" s="301"/>
      <c r="P108" s="336"/>
      <c r="Q108" s="301"/>
      <c r="R108" s="336"/>
      <c r="S108" s="301"/>
      <c r="T108" s="336"/>
    </row>
    <row r="109" spans="1:20" ht="12" customHeight="1" x14ac:dyDescent="0.3">
      <c r="A109" s="329" t="s">
        <v>289</v>
      </c>
      <c r="B109" s="330">
        <v>5</v>
      </c>
      <c r="C109" s="298">
        <v>46170</v>
      </c>
      <c r="D109" s="299" t="s">
        <v>846</v>
      </c>
      <c r="E109" s="522">
        <v>11.2</v>
      </c>
      <c r="F109" s="522"/>
      <c r="G109" s="333">
        <f t="shared" si="3"/>
        <v>416.31999999998504</v>
      </c>
      <c r="H109" s="334"/>
      <c r="I109" s="335"/>
      <c r="J109" s="336"/>
      <c r="K109" s="301"/>
      <c r="L109" s="336"/>
      <c r="M109" s="301"/>
      <c r="N109" s="336"/>
      <c r="O109" s="301"/>
      <c r="P109" s="336"/>
      <c r="Q109" s="301"/>
      <c r="R109" s="336"/>
      <c r="S109" s="301"/>
      <c r="T109" s="336"/>
    </row>
    <row r="110" spans="1:20" ht="12" customHeight="1" x14ac:dyDescent="0.3">
      <c r="A110" s="329" t="s">
        <v>289</v>
      </c>
      <c r="B110" s="330">
        <v>2</v>
      </c>
      <c r="C110" s="298">
        <v>46169</v>
      </c>
      <c r="D110" s="299" t="s">
        <v>358</v>
      </c>
      <c r="E110" s="522">
        <v>11.29</v>
      </c>
      <c r="F110" s="522"/>
      <c r="G110" s="333">
        <f t="shared" si="3"/>
        <v>427.51999999998503</v>
      </c>
      <c r="H110" s="334"/>
      <c r="I110" s="335"/>
      <c r="J110" s="336"/>
      <c r="K110" s="301"/>
      <c r="L110" s="336"/>
      <c r="M110" s="301"/>
      <c r="N110" s="336"/>
      <c r="O110" s="301"/>
      <c r="P110" s="336"/>
      <c r="Q110" s="301"/>
      <c r="R110" s="336"/>
      <c r="S110" s="301"/>
      <c r="T110" s="336"/>
    </row>
    <row r="111" spans="1:20" ht="12" customHeight="1" x14ac:dyDescent="0.3">
      <c r="A111" s="329" t="s">
        <v>289</v>
      </c>
      <c r="B111" s="330">
        <v>4</v>
      </c>
      <c r="C111" s="298">
        <v>46169</v>
      </c>
      <c r="D111" s="299" t="s">
        <v>363</v>
      </c>
      <c r="E111" s="522">
        <v>44.84</v>
      </c>
      <c r="F111" s="522"/>
      <c r="G111" s="333">
        <f t="shared" si="3"/>
        <v>438.80999999998505</v>
      </c>
      <c r="H111" s="334"/>
      <c r="I111" s="335"/>
      <c r="J111" s="336"/>
      <c r="K111" s="301"/>
      <c r="L111" s="336"/>
      <c r="M111" s="301"/>
      <c r="N111" s="336"/>
      <c r="O111" s="301"/>
      <c r="P111" s="336"/>
      <c r="Q111" s="301"/>
      <c r="R111" s="336"/>
      <c r="S111" s="301"/>
      <c r="T111" s="336"/>
    </row>
    <row r="112" spans="1:20" ht="12" customHeight="1" x14ac:dyDescent="0.3">
      <c r="A112" s="329" t="s">
        <v>289</v>
      </c>
      <c r="B112" s="330">
        <v>7</v>
      </c>
      <c r="C112" s="298">
        <v>46169</v>
      </c>
      <c r="D112" s="299" t="s">
        <v>338</v>
      </c>
      <c r="E112" s="522">
        <v>139.88</v>
      </c>
      <c r="F112" s="522"/>
      <c r="G112" s="333">
        <f t="shared" si="3"/>
        <v>483.64999999998508</v>
      </c>
      <c r="H112" s="334"/>
      <c r="I112" s="335"/>
      <c r="J112" s="336"/>
      <c r="K112" s="301"/>
      <c r="L112" s="336"/>
      <c r="M112" s="301"/>
      <c r="N112" s="336"/>
      <c r="O112" s="301"/>
      <c r="P112" s="336"/>
      <c r="Q112" s="301"/>
      <c r="R112" s="336"/>
      <c r="S112" s="301"/>
      <c r="T112" s="336"/>
    </row>
    <row r="113" spans="1:20" ht="12" customHeight="1" x14ac:dyDescent="0.3">
      <c r="A113" s="329" t="s">
        <v>289</v>
      </c>
      <c r="B113" s="330">
        <v>8</v>
      </c>
      <c r="C113" s="298">
        <v>46169</v>
      </c>
      <c r="D113" s="299" t="s">
        <v>319</v>
      </c>
      <c r="E113" s="522">
        <v>46.84</v>
      </c>
      <c r="F113" s="522"/>
      <c r="G113" s="333">
        <f t="shared" ref="G113:G150" si="4">G114-E113+F113</f>
        <v>623.52999999998508</v>
      </c>
      <c r="H113" s="334"/>
      <c r="I113" s="335"/>
      <c r="J113" s="336"/>
      <c r="K113" s="301"/>
      <c r="L113" s="336"/>
      <c r="M113" s="301"/>
      <c r="N113" s="336"/>
      <c r="O113" s="301"/>
      <c r="P113" s="336"/>
      <c r="Q113" s="301"/>
      <c r="R113" s="336"/>
      <c r="S113" s="301"/>
      <c r="T113" s="336"/>
    </row>
    <row r="114" spans="1:20" ht="12" customHeight="1" x14ac:dyDescent="0.3">
      <c r="A114" s="329" t="s">
        <v>289</v>
      </c>
      <c r="B114" s="330">
        <v>2</v>
      </c>
      <c r="C114" s="298">
        <v>46169</v>
      </c>
      <c r="D114" s="299" t="s">
        <v>358</v>
      </c>
      <c r="E114" s="522">
        <v>9.4700000000000006</v>
      </c>
      <c r="F114" s="522"/>
      <c r="G114" s="333">
        <f t="shared" si="4"/>
        <v>670.36999999998511</v>
      </c>
      <c r="H114" s="334"/>
      <c r="I114" s="335"/>
      <c r="J114" s="336"/>
      <c r="K114" s="301"/>
      <c r="L114" s="336"/>
      <c r="M114" s="301"/>
      <c r="N114" s="336"/>
      <c r="O114" s="301"/>
      <c r="P114" s="336"/>
      <c r="Q114" s="301"/>
      <c r="R114" s="336"/>
      <c r="S114" s="301"/>
      <c r="T114" s="336"/>
    </row>
    <row r="115" spans="1:20" ht="12" customHeight="1" x14ac:dyDescent="0.3">
      <c r="A115" s="329" t="s">
        <v>289</v>
      </c>
      <c r="B115" s="330">
        <v>8</v>
      </c>
      <c r="C115" s="298">
        <v>46168</v>
      </c>
      <c r="D115" s="299" t="s">
        <v>308</v>
      </c>
      <c r="E115" s="522">
        <v>47.99</v>
      </c>
      <c r="F115" s="522"/>
      <c r="G115" s="333">
        <f t="shared" si="4"/>
        <v>679.83999999998514</v>
      </c>
      <c r="H115" s="334"/>
      <c r="I115" s="335"/>
      <c r="J115" s="336"/>
      <c r="K115" s="301"/>
      <c r="L115" s="336"/>
      <c r="M115" s="301"/>
      <c r="N115" s="336"/>
      <c r="O115" s="301"/>
      <c r="P115" s="336"/>
      <c r="Q115" s="301"/>
      <c r="R115" s="336"/>
      <c r="S115" s="301"/>
      <c r="T115" s="336"/>
    </row>
    <row r="116" spans="1:20" ht="12" customHeight="1" x14ac:dyDescent="0.3">
      <c r="A116" s="329" t="s">
        <v>289</v>
      </c>
      <c r="B116" s="330">
        <v>5</v>
      </c>
      <c r="C116" s="298">
        <v>46168</v>
      </c>
      <c r="D116" s="299" t="s">
        <v>872</v>
      </c>
      <c r="E116" s="522">
        <v>26</v>
      </c>
      <c r="F116" s="522"/>
      <c r="G116" s="333">
        <f t="shared" si="4"/>
        <v>727.82999999998515</v>
      </c>
      <c r="H116" s="334"/>
      <c r="I116" s="335"/>
      <c r="J116" s="336"/>
      <c r="K116" s="301"/>
      <c r="L116" s="336"/>
      <c r="M116" s="301"/>
      <c r="N116" s="336"/>
      <c r="O116" s="301"/>
      <c r="P116" s="336"/>
      <c r="Q116" s="301"/>
      <c r="R116" s="336"/>
      <c r="S116" s="301"/>
      <c r="T116" s="336"/>
    </row>
    <row r="117" spans="1:20" ht="12" customHeight="1" x14ac:dyDescent="0.3">
      <c r="A117" s="329" t="s">
        <v>289</v>
      </c>
      <c r="B117" s="330">
        <v>4</v>
      </c>
      <c r="C117" s="298">
        <v>46168</v>
      </c>
      <c r="D117" s="299" t="s">
        <v>310</v>
      </c>
      <c r="E117" s="522">
        <v>50.15</v>
      </c>
      <c r="F117" s="522"/>
      <c r="G117" s="333">
        <f t="shared" si="4"/>
        <v>753.82999999998515</v>
      </c>
      <c r="H117" s="334"/>
      <c r="I117" s="335"/>
      <c r="J117" s="336"/>
      <c r="K117" s="301"/>
      <c r="L117" s="336"/>
      <c r="M117" s="301"/>
      <c r="N117" s="336"/>
      <c r="O117" s="301"/>
      <c r="P117" s="336"/>
      <c r="Q117" s="301"/>
      <c r="R117" s="336"/>
      <c r="S117" s="301"/>
      <c r="T117" s="336"/>
    </row>
    <row r="118" spans="1:20" ht="12" customHeight="1" x14ac:dyDescent="0.3">
      <c r="A118" s="329" t="s">
        <v>287</v>
      </c>
      <c r="B118" s="330" t="s">
        <v>287</v>
      </c>
      <c r="C118" s="298">
        <v>46168</v>
      </c>
      <c r="D118" s="299" t="s">
        <v>882</v>
      </c>
      <c r="E118" s="522">
        <v>400</v>
      </c>
      <c r="F118" s="522">
        <v>400</v>
      </c>
      <c r="G118" s="333">
        <f t="shared" si="4"/>
        <v>803.97999999998513</v>
      </c>
      <c r="H118" s="334"/>
      <c r="I118" s="335"/>
      <c r="J118" s="336"/>
      <c r="K118" s="301"/>
      <c r="L118" s="336"/>
      <c r="M118" s="301"/>
      <c r="N118" s="336"/>
      <c r="O118" s="301"/>
      <c r="P118" s="336"/>
      <c r="Q118" s="301"/>
      <c r="R118" s="336"/>
      <c r="S118" s="301"/>
      <c r="T118" s="336"/>
    </row>
    <row r="119" spans="1:20" ht="12" customHeight="1" x14ac:dyDescent="0.3">
      <c r="A119" s="329" t="s">
        <v>294</v>
      </c>
      <c r="B119" s="330">
        <v>22</v>
      </c>
      <c r="C119" s="298">
        <v>46168</v>
      </c>
      <c r="D119" s="299" t="s">
        <v>835</v>
      </c>
      <c r="E119" s="522">
        <v>15.96</v>
      </c>
      <c r="F119" s="522"/>
      <c r="G119" s="333">
        <f t="shared" si="4"/>
        <v>803.97999999998513</v>
      </c>
      <c r="H119" s="334"/>
      <c r="I119" s="335"/>
      <c r="J119" s="336"/>
      <c r="K119" s="301"/>
      <c r="L119" s="336"/>
      <c r="M119" s="301"/>
      <c r="N119" s="336"/>
      <c r="O119" s="301"/>
      <c r="P119" s="336"/>
      <c r="Q119" s="301"/>
      <c r="R119" s="336"/>
      <c r="S119" s="301"/>
      <c r="T119" s="336"/>
    </row>
    <row r="120" spans="1:20" ht="12" customHeight="1" x14ac:dyDescent="0.3">
      <c r="A120" s="329" t="s">
        <v>289</v>
      </c>
      <c r="B120" s="330">
        <v>2</v>
      </c>
      <c r="C120" s="298">
        <v>46168</v>
      </c>
      <c r="D120" s="299" t="s">
        <v>296</v>
      </c>
      <c r="E120" s="522">
        <v>15.1</v>
      </c>
      <c r="F120" s="522"/>
      <c r="G120" s="333">
        <f t="shared" si="4"/>
        <v>819.93999999998516</v>
      </c>
      <c r="H120" s="334"/>
      <c r="I120" s="335"/>
      <c r="J120" s="336"/>
      <c r="K120" s="301"/>
      <c r="L120" s="336"/>
      <c r="M120" s="301"/>
      <c r="N120" s="336"/>
      <c r="O120" s="301"/>
      <c r="P120" s="336"/>
      <c r="Q120" s="301"/>
      <c r="R120" s="336"/>
      <c r="S120" s="301"/>
      <c r="T120" s="336"/>
    </row>
    <row r="121" spans="1:20" ht="12" customHeight="1" x14ac:dyDescent="0.3">
      <c r="A121" s="329" t="s">
        <v>289</v>
      </c>
      <c r="B121" s="330">
        <v>4</v>
      </c>
      <c r="C121" s="298">
        <v>46168</v>
      </c>
      <c r="D121" s="299" t="s">
        <v>296</v>
      </c>
      <c r="E121" s="522">
        <v>44.67</v>
      </c>
      <c r="F121" s="522"/>
      <c r="G121" s="333">
        <f t="shared" si="4"/>
        <v>835.03999999998518</v>
      </c>
      <c r="H121" s="334"/>
      <c r="I121" s="335"/>
      <c r="J121" s="336"/>
      <c r="K121" s="301"/>
      <c r="L121" s="336"/>
      <c r="M121" s="301"/>
      <c r="N121" s="336"/>
      <c r="O121" s="301"/>
      <c r="P121" s="336"/>
      <c r="Q121" s="301"/>
      <c r="R121" s="336"/>
      <c r="S121" s="301"/>
      <c r="T121" s="336"/>
    </row>
    <row r="122" spans="1:20" ht="12" customHeight="1" x14ac:dyDescent="0.3">
      <c r="A122" s="329" t="s">
        <v>289</v>
      </c>
      <c r="B122" s="330">
        <v>1</v>
      </c>
      <c r="C122" s="298">
        <v>46168</v>
      </c>
      <c r="D122" s="299" t="s">
        <v>300</v>
      </c>
      <c r="E122" s="522">
        <v>32.99</v>
      </c>
      <c r="F122" s="522"/>
      <c r="G122" s="333">
        <f t="shared" si="4"/>
        <v>879.70999999998514</v>
      </c>
      <c r="H122" s="334"/>
      <c r="I122" s="335"/>
      <c r="J122" s="336"/>
      <c r="K122" s="301"/>
      <c r="L122" s="336"/>
      <c r="M122" s="301"/>
      <c r="N122" s="336"/>
      <c r="O122" s="301"/>
      <c r="P122" s="336"/>
      <c r="Q122" s="301"/>
      <c r="R122" s="336"/>
      <c r="S122" s="301"/>
      <c r="T122" s="336"/>
    </row>
    <row r="123" spans="1:20" ht="12" customHeight="1" x14ac:dyDescent="0.3">
      <c r="A123" s="329" t="s">
        <v>289</v>
      </c>
      <c r="B123" s="330">
        <v>2</v>
      </c>
      <c r="C123" s="298">
        <v>46168</v>
      </c>
      <c r="D123" s="299" t="s">
        <v>386</v>
      </c>
      <c r="E123" s="522">
        <v>14.39</v>
      </c>
      <c r="F123" s="522"/>
      <c r="G123" s="333">
        <f t="shared" si="4"/>
        <v>912.69999999998515</v>
      </c>
      <c r="H123" s="334"/>
      <c r="I123" s="335"/>
      <c r="J123" s="336"/>
      <c r="K123" s="301"/>
      <c r="L123" s="336"/>
      <c r="M123" s="301"/>
      <c r="N123" s="336"/>
      <c r="O123" s="301"/>
      <c r="P123" s="336"/>
      <c r="Q123" s="301"/>
      <c r="R123" s="336"/>
      <c r="S123" s="301"/>
      <c r="T123" s="336"/>
    </row>
    <row r="124" spans="1:20" ht="12" customHeight="1" x14ac:dyDescent="0.3">
      <c r="A124" s="329" t="s">
        <v>294</v>
      </c>
      <c r="B124" s="330">
        <v>12</v>
      </c>
      <c r="C124" s="298">
        <v>46167</v>
      </c>
      <c r="D124" s="299" t="s">
        <v>314</v>
      </c>
      <c r="E124" s="522">
        <v>204.48</v>
      </c>
      <c r="F124" s="522"/>
      <c r="G124" s="333">
        <f t="shared" si="4"/>
        <v>927.08999999998514</v>
      </c>
      <c r="H124" s="334"/>
      <c r="I124" s="335"/>
      <c r="J124" s="336"/>
      <c r="K124" s="301"/>
      <c r="L124" s="336"/>
      <c r="M124" s="301"/>
      <c r="N124" s="336"/>
      <c r="O124" s="301"/>
      <c r="P124" s="336"/>
      <c r="Q124" s="301"/>
      <c r="R124" s="336"/>
      <c r="S124" s="301"/>
      <c r="T124" s="336"/>
    </row>
    <row r="125" spans="1:20" ht="12" customHeight="1" x14ac:dyDescent="0.3">
      <c r="A125" s="329" t="s">
        <v>289</v>
      </c>
      <c r="B125" s="330">
        <v>8</v>
      </c>
      <c r="C125" s="298">
        <v>46167</v>
      </c>
      <c r="D125" s="299" t="s">
        <v>319</v>
      </c>
      <c r="E125" s="522">
        <v>29.79</v>
      </c>
      <c r="F125" s="522"/>
      <c r="G125" s="333">
        <f t="shared" si="4"/>
        <v>1131.5699999999852</v>
      </c>
      <c r="H125" s="334"/>
      <c r="I125" s="335"/>
      <c r="J125" s="336"/>
      <c r="K125" s="301"/>
      <c r="L125" s="336"/>
      <c r="M125" s="301"/>
      <c r="N125" s="336"/>
      <c r="O125" s="301"/>
      <c r="P125" s="336"/>
      <c r="Q125" s="301"/>
      <c r="R125" s="336"/>
      <c r="S125" s="301"/>
      <c r="T125" s="336"/>
    </row>
    <row r="126" spans="1:20" ht="12" customHeight="1" x14ac:dyDescent="0.3">
      <c r="A126" s="329" t="s">
        <v>289</v>
      </c>
      <c r="B126" s="330">
        <v>3</v>
      </c>
      <c r="C126" s="298">
        <v>46167</v>
      </c>
      <c r="D126" s="299" t="s">
        <v>348</v>
      </c>
      <c r="E126" s="522">
        <v>50</v>
      </c>
      <c r="F126" s="522"/>
      <c r="G126" s="333">
        <f t="shared" si="4"/>
        <v>1161.3599999999851</v>
      </c>
      <c r="H126" s="334"/>
      <c r="I126" s="335"/>
      <c r="J126" s="336"/>
      <c r="K126" s="301"/>
      <c r="L126" s="336"/>
      <c r="M126" s="301"/>
      <c r="N126" s="336"/>
      <c r="O126" s="301"/>
      <c r="P126" s="336"/>
      <c r="Q126" s="301"/>
      <c r="R126" s="336"/>
      <c r="S126" s="301"/>
      <c r="T126" s="336"/>
    </row>
    <row r="127" spans="1:20" ht="12" customHeight="1" x14ac:dyDescent="0.3">
      <c r="A127" s="329" t="s">
        <v>289</v>
      </c>
      <c r="B127" s="330">
        <v>1</v>
      </c>
      <c r="C127" s="298">
        <v>46166</v>
      </c>
      <c r="D127" s="299" t="s">
        <v>329</v>
      </c>
      <c r="E127" s="522">
        <v>122.54</v>
      </c>
      <c r="F127" s="522"/>
      <c r="G127" s="333">
        <f t="shared" si="4"/>
        <v>1211.3599999999851</v>
      </c>
      <c r="H127" s="334"/>
      <c r="I127" s="335"/>
      <c r="J127" s="336"/>
      <c r="K127" s="301"/>
      <c r="L127" s="336"/>
      <c r="M127" s="301"/>
      <c r="N127" s="336"/>
      <c r="O127" s="301"/>
      <c r="P127" s="336"/>
      <c r="Q127" s="301"/>
      <c r="R127" s="336"/>
      <c r="S127" s="301"/>
      <c r="T127" s="336"/>
    </row>
    <row r="128" spans="1:20" ht="12" customHeight="1" x14ac:dyDescent="0.3">
      <c r="A128" s="329" t="s">
        <v>289</v>
      </c>
      <c r="B128" s="330">
        <v>1</v>
      </c>
      <c r="C128" s="298">
        <v>46166</v>
      </c>
      <c r="D128" s="299" t="s">
        <v>311</v>
      </c>
      <c r="E128" s="522">
        <v>157.97</v>
      </c>
      <c r="F128" s="522"/>
      <c r="G128" s="333">
        <f t="shared" si="4"/>
        <v>1333.8999999999851</v>
      </c>
      <c r="H128" s="334"/>
      <c r="I128" s="335"/>
      <c r="J128" s="336"/>
      <c r="K128" s="301"/>
      <c r="L128" s="336"/>
      <c r="M128" s="301"/>
      <c r="N128" s="336"/>
      <c r="O128" s="301"/>
      <c r="P128" s="336"/>
      <c r="Q128" s="301"/>
      <c r="R128" s="336"/>
      <c r="S128" s="301"/>
      <c r="T128" s="336"/>
    </row>
    <row r="129" spans="1:20" ht="12" customHeight="1" x14ac:dyDescent="0.3">
      <c r="A129" s="329" t="s">
        <v>289</v>
      </c>
      <c r="B129" s="330">
        <v>6</v>
      </c>
      <c r="C129" s="298">
        <v>46166</v>
      </c>
      <c r="D129" s="299" t="s">
        <v>300</v>
      </c>
      <c r="E129" s="522">
        <v>44.05</v>
      </c>
      <c r="F129" s="522"/>
      <c r="G129" s="333">
        <f t="shared" si="4"/>
        <v>1491.8699999999851</v>
      </c>
      <c r="H129" s="334"/>
      <c r="I129" s="335"/>
      <c r="J129" s="336"/>
      <c r="K129" s="301"/>
      <c r="L129" s="336"/>
      <c r="M129" s="301"/>
      <c r="N129" s="336"/>
      <c r="O129" s="301"/>
      <c r="P129" s="336"/>
      <c r="Q129" s="301"/>
      <c r="R129" s="336"/>
      <c r="S129" s="301"/>
      <c r="T129" s="336"/>
    </row>
    <row r="130" spans="1:20" ht="12" customHeight="1" x14ac:dyDescent="0.3">
      <c r="A130" s="329" t="s">
        <v>289</v>
      </c>
      <c r="B130" s="330">
        <v>8</v>
      </c>
      <c r="C130" s="298">
        <v>46166</v>
      </c>
      <c r="D130" s="299" t="s">
        <v>319</v>
      </c>
      <c r="E130" s="522">
        <v>70.44</v>
      </c>
      <c r="F130" s="522"/>
      <c r="G130" s="333">
        <f t="shared" si="4"/>
        <v>1535.9199999999851</v>
      </c>
      <c r="H130" s="334"/>
      <c r="I130" s="335"/>
      <c r="J130" s="336"/>
      <c r="K130" s="301"/>
      <c r="L130" s="336"/>
      <c r="M130" s="301"/>
      <c r="N130" s="336"/>
      <c r="O130" s="301"/>
      <c r="P130" s="336"/>
      <c r="Q130" s="301"/>
      <c r="R130" s="336"/>
      <c r="S130" s="301"/>
      <c r="T130" s="336"/>
    </row>
    <row r="131" spans="1:20" ht="12" customHeight="1" x14ac:dyDescent="0.3">
      <c r="A131" s="329" t="s">
        <v>289</v>
      </c>
      <c r="B131" s="330">
        <v>1</v>
      </c>
      <c r="C131" s="298">
        <v>46166</v>
      </c>
      <c r="D131" s="299" t="s">
        <v>329</v>
      </c>
      <c r="E131" s="522">
        <v>55.96</v>
      </c>
      <c r="F131" s="522"/>
      <c r="G131" s="333">
        <f t="shared" si="4"/>
        <v>1606.3599999999851</v>
      </c>
      <c r="H131" s="334"/>
      <c r="I131" s="335"/>
      <c r="J131" s="336"/>
      <c r="K131" s="301"/>
      <c r="L131" s="336"/>
      <c r="M131" s="301"/>
      <c r="N131" s="336"/>
      <c r="O131" s="301"/>
      <c r="P131" s="336"/>
      <c r="Q131" s="301"/>
      <c r="R131" s="336"/>
      <c r="S131" s="301"/>
      <c r="T131" s="336"/>
    </row>
    <row r="132" spans="1:20" ht="12" customHeight="1" x14ac:dyDescent="0.3">
      <c r="A132" s="329" t="s">
        <v>289</v>
      </c>
      <c r="B132" s="330">
        <v>6</v>
      </c>
      <c r="C132" s="298">
        <v>46166</v>
      </c>
      <c r="D132" s="299" t="s">
        <v>883</v>
      </c>
      <c r="E132" s="522">
        <v>597.83000000000004</v>
      </c>
      <c r="F132" s="522"/>
      <c r="G132" s="333">
        <f t="shared" si="4"/>
        <v>1662.3199999999852</v>
      </c>
      <c r="H132" s="334"/>
      <c r="I132" s="335"/>
      <c r="J132" s="336"/>
      <c r="K132" s="301"/>
      <c r="L132" s="336"/>
      <c r="M132" s="301"/>
      <c r="N132" s="336"/>
      <c r="O132" s="301"/>
      <c r="P132" s="336"/>
      <c r="Q132" s="301"/>
      <c r="R132" s="336"/>
      <c r="S132" s="301"/>
      <c r="T132" s="336"/>
    </row>
    <row r="133" spans="1:20" ht="12" customHeight="1" x14ac:dyDescent="0.3">
      <c r="A133" s="329" t="s">
        <v>287</v>
      </c>
      <c r="B133" s="330" t="s">
        <v>287</v>
      </c>
      <c r="C133" s="298">
        <v>46166</v>
      </c>
      <c r="D133" s="299" t="s">
        <v>845</v>
      </c>
      <c r="E133" s="522">
        <v>69.2</v>
      </c>
      <c r="F133" s="522">
        <v>69.2</v>
      </c>
      <c r="G133" s="333">
        <f t="shared" si="4"/>
        <v>2260.1499999999851</v>
      </c>
      <c r="H133" s="334"/>
      <c r="I133" s="335"/>
      <c r="J133" s="336"/>
      <c r="K133" s="301"/>
      <c r="L133" s="336"/>
      <c r="M133" s="301"/>
      <c r="N133" s="336"/>
      <c r="O133" s="301"/>
      <c r="P133" s="336"/>
      <c r="Q133" s="301"/>
      <c r="R133" s="336"/>
      <c r="S133" s="301"/>
      <c r="T133" s="336"/>
    </row>
    <row r="134" spans="1:20" ht="12" customHeight="1" x14ac:dyDescent="0.3">
      <c r="A134" s="329" t="s">
        <v>289</v>
      </c>
      <c r="B134" s="330">
        <v>1</v>
      </c>
      <c r="C134" s="298">
        <v>46165</v>
      </c>
      <c r="D134" s="299" t="s">
        <v>880</v>
      </c>
      <c r="E134" s="522">
        <v>94.76</v>
      </c>
      <c r="F134" s="522"/>
      <c r="G134" s="333">
        <f t="shared" si="4"/>
        <v>2260.1499999999851</v>
      </c>
      <c r="H134" s="334"/>
      <c r="I134" s="335"/>
      <c r="J134" s="336"/>
      <c r="K134" s="301"/>
      <c r="L134" s="336"/>
      <c r="M134" s="301"/>
      <c r="N134" s="336"/>
      <c r="O134" s="301"/>
      <c r="P134" s="336"/>
      <c r="Q134" s="301"/>
      <c r="R134" s="336"/>
      <c r="S134" s="301"/>
      <c r="T134" s="336"/>
    </row>
    <row r="135" spans="1:20" ht="12" customHeight="1" x14ac:dyDescent="0.3">
      <c r="A135" s="329" t="s">
        <v>289</v>
      </c>
      <c r="B135" s="330">
        <v>1</v>
      </c>
      <c r="C135" s="298">
        <v>46165</v>
      </c>
      <c r="D135" s="299" t="s">
        <v>393</v>
      </c>
      <c r="E135" s="522">
        <v>34.869999999999997</v>
      </c>
      <c r="F135" s="522"/>
      <c r="G135" s="333">
        <f t="shared" si="4"/>
        <v>2354.9099999999853</v>
      </c>
      <c r="H135" s="334"/>
      <c r="I135" s="335"/>
      <c r="J135" s="336"/>
      <c r="K135" s="301"/>
      <c r="L135" s="336"/>
      <c r="M135" s="301"/>
      <c r="N135" s="336"/>
      <c r="O135" s="301"/>
      <c r="P135" s="336"/>
      <c r="Q135" s="301"/>
      <c r="R135" s="336"/>
      <c r="S135" s="301"/>
      <c r="T135" s="336"/>
    </row>
    <row r="136" spans="1:20" ht="12" customHeight="1" x14ac:dyDescent="0.3">
      <c r="A136" s="329" t="s">
        <v>289</v>
      </c>
      <c r="B136" s="330">
        <v>8</v>
      </c>
      <c r="C136" s="298">
        <v>46165</v>
      </c>
      <c r="D136" s="299" t="s">
        <v>481</v>
      </c>
      <c r="E136" s="522">
        <v>80.48</v>
      </c>
      <c r="F136" s="522"/>
      <c r="G136" s="333">
        <f t="shared" si="4"/>
        <v>2389.7799999999852</v>
      </c>
      <c r="H136" s="334"/>
      <c r="I136" s="335"/>
      <c r="J136" s="336"/>
      <c r="K136" s="301"/>
      <c r="L136" s="336"/>
      <c r="M136" s="301"/>
      <c r="N136" s="336"/>
      <c r="O136" s="301"/>
      <c r="P136" s="336"/>
      <c r="Q136" s="301"/>
      <c r="R136" s="336"/>
      <c r="S136" s="301"/>
      <c r="T136" s="336"/>
    </row>
    <row r="137" spans="1:20" ht="12" customHeight="1" x14ac:dyDescent="0.3">
      <c r="A137" s="329" t="s">
        <v>289</v>
      </c>
      <c r="B137" s="330">
        <v>5</v>
      </c>
      <c r="C137" s="298">
        <v>46165</v>
      </c>
      <c r="D137" s="299" t="s">
        <v>879</v>
      </c>
      <c r="E137" s="522">
        <v>25</v>
      </c>
      <c r="F137" s="522"/>
      <c r="G137" s="333">
        <f t="shared" si="4"/>
        <v>2470.2599999999852</v>
      </c>
      <c r="H137" s="334" t="s">
        <v>298</v>
      </c>
      <c r="I137" s="335"/>
      <c r="J137" s="336"/>
      <c r="K137" s="301"/>
      <c r="L137" s="336"/>
      <c r="M137" s="301"/>
      <c r="N137" s="336"/>
      <c r="O137" s="301"/>
      <c r="P137" s="336"/>
      <c r="Q137" s="301"/>
      <c r="R137" s="336"/>
      <c r="S137" s="301"/>
      <c r="T137" s="336"/>
    </row>
    <row r="138" spans="1:20" ht="12" customHeight="1" x14ac:dyDescent="0.3">
      <c r="A138" s="329" t="s">
        <v>289</v>
      </c>
      <c r="B138" s="330">
        <v>6</v>
      </c>
      <c r="C138" s="298">
        <v>46165</v>
      </c>
      <c r="D138" s="299" t="s">
        <v>877</v>
      </c>
      <c r="E138" s="522">
        <v>50</v>
      </c>
      <c r="F138" s="522"/>
      <c r="G138" s="333">
        <f t="shared" si="4"/>
        <v>2495.2599999999852</v>
      </c>
      <c r="H138" s="334" t="s">
        <v>298</v>
      </c>
      <c r="I138" s="335"/>
      <c r="J138" s="336"/>
      <c r="K138" s="301"/>
      <c r="L138" s="336"/>
      <c r="M138" s="301"/>
      <c r="N138" s="336"/>
      <c r="O138" s="301"/>
      <c r="P138" s="336"/>
      <c r="Q138" s="301"/>
      <c r="R138" s="336"/>
      <c r="S138" s="301"/>
      <c r="T138" s="336"/>
    </row>
    <row r="139" spans="1:20" ht="12" customHeight="1" x14ac:dyDescent="0.3">
      <c r="A139" s="329" t="s">
        <v>289</v>
      </c>
      <c r="B139" s="330">
        <v>2</v>
      </c>
      <c r="C139" s="298">
        <v>46165</v>
      </c>
      <c r="D139" s="299" t="s">
        <v>878</v>
      </c>
      <c r="E139" s="522">
        <v>25</v>
      </c>
      <c r="F139" s="522"/>
      <c r="G139" s="333">
        <f t="shared" si="4"/>
        <v>2545.2599999999852</v>
      </c>
      <c r="H139" s="334" t="s">
        <v>298</v>
      </c>
      <c r="I139" s="335"/>
      <c r="J139" s="336"/>
      <c r="K139" s="301"/>
      <c r="L139" s="336"/>
      <c r="M139" s="301"/>
      <c r="N139" s="336"/>
      <c r="O139" s="301"/>
      <c r="P139" s="336"/>
      <c r="Q139" s="301"/>
      <c r="R139" s="336"/>
      <c r="S139" s="301"/>
      <c r="T139" s="336"/>
    </row>
    <row r="140" spans="1:20" ht="12" customHeight="1" x14ac:dyDescent="0.3">
      <c r="A140" s="329" t="s">
        <v>289</v>
      </c>
      <c r="B140" s="330">
        <v>2</v>
      </c>
      <c r="C140" s="298">
        <v>46164</v>
      </c>
      <c r="D140" s="299" t="s">
        <v>881</v>
      </c>
      <c r="E140" s="522">
        <v>45.46</v>
      </c>
      <c r="F140" s="522"/>
      <c r="G140" s="333">
        <f t="shared" si="4"/>
        <v>2570.2599999999852</v>
      </c>
      <c r="H140" s="334"/>
      <c r="I140" s="335"/>
      <c r="J140" s="336"/>
      <c r="K140" s="301"/>
      <c r="L140" s="336"/>
      <c r="M140" s="301"/>
      <c r="N140" s="336"/>
      <c r="O140" s="301"/>
      <c r="P140" s="336"/>
      <c r="Q140" s="301"/>
      <c r="R140" s="336"/>
      <c r="S140" s="301"/>
      <c r="T140" s="336"/>
    </row>
    <row r="141" spans="1:20" ht="12" customHeight="1" x14ac:dyDescent="0.3">
      <c r="A141" s="329" t="s">
        <v>289</v>
      </c>
      <c r="B141" s="330">
        <v>6</v>
      </c>
      <c r="C141" s="298">
        <v>46164</v>
      </c>
      <c r="D141" s="299" t="s">
        <v>873</v>
      </c>
      <c r="E141" s="522">
        <v>22</v>
      </c>
      <c r="F141" s="522"/>
      <c r="G141" s="333">
        <f t="shared" si="4"/>
        <v>2615.7199999999852</v>
      </c>
      <c r="H141" s="334"/>
      <c r="I141" s="335"/>
      <c r="J141" s="336"/>
      <c r="K141" s="301"/>
      <c r="L141" s="336"/>
      <c r="M141" s="301"/>
      <c r="N141" s="336"/>
      <c r="O141" s="301"/>
      <c r="P141" s="336"/>
      <c r="Q141" s="301"/>
      <c r="R141" s="336"/>
      <c r="S141" s="301"/>
      <c r="T141" s="336"/>
    </row>
    <row r="142" spans="1:20" ht="12" customHeight="1" x14ac:dyDescent="0.3">
      <c r="A142" s="329" t="s">
        <v>289</v>
      </c>
      <c r="B142" s="330">
        <v>2</v>
      </c>
      <c r="C142" s="298">
        <v>46164</v>
      </c>
      <c r="D142" s="299" t="s">
        <v>296</v>
      </c>
      <c r="E142" s="522">
        <v>14.57</v>
      </c>
      <c r="F142" s="522"/>
      <c r="G142" s="333">
        <f t="shared" si="4"/>
        <v>2637.7199999999852</v>
      </c>
      <c r="H142" s="334"/>
      <c r="I142" s="335"/>
      <c r="J142" s="336"/>
      <c r="K142" s="301"/>
      <c r="L142" s="336"/>
      <c r="M142" s="301"/>
      <c r="N142" s="336"/>
      <c r="O142" s="301"/>
      <c r="P142" s="336"/>
      <c r="Q142" s="301"/>
      <c r="R142" s="336"/>
      <c r="S142" s="301"/>
      <c r="T142" s="336"/>
    </row>
    <row r="143" spans="1:20" ht="12" customHeight="1" x14ac:dyDescent="0.3">
      <c r="A143" s="329" t="s">
        <v>289</v>
      </c>
      <c r="B143" s="330">
        <v>3</v>
      </c>
      <c r="C143" s="298">
        <v>46163</v>
      </c>
      <c r="D143" s="299" t="s">
        <v>334</v>
      </c>
      <c r="E143" s="522">
        <v>9.01</v>
      </c>
      <c r="F143" s="522"/>
      <c r="G143" s="333">
        <f t="shared" si="4"/>
        <v>2652.2899999999854</v>
      </c>
      <c r="H143" s="334"/>
      <c r="I143" s="335"/>
      <c r="J143" s="336"/>
      <c r="K143" s="301"/>
      <c r="L143" s="336"/>
      <c r="M143" s="301"/>
      <c r="N143" s="336"/>
      <c r="O143" s="301"/>
      <c r="P143" s="336"/>
      <c r="Q143" s="301"/>
      <c r="R143" s="336"/>
      <c r="S143" s="301"/>
      <c r="T143" s="336"/>
    </row>
    <row r="144" spans="1:20" ht="12" customHeight="1" x14ac:dyDescent="0.3">
      <c r="A144" s="329" t="s">
        <v>289</v>
      </c>
      <c r="B144" s="330">
        <v>8</v>
      </c>
      <c r="C144" s="298">
        <v>46163</v>
      </c>
      <c r="D144" s="299" t="s">
        <v>334</v>
      </c>
      <c r="E144" s="522">
        <v>6.8</v>
      </c>
      <c r="F144" s="522"/>
      <c r="G144" s="333">
        <f t="shared" si="4"/>
        <v>2661.2999999999856</v>
      </c>
      <c r="H144" s="334"/>
      <c r="I144" s="335"/>
      <c r="J144" s="336"/>
      <c r="K144" s="301"/>
      <c r="L144" s="336"/>
      <c r="M144" s="301"/>
      <c r="N144" s="336"/>
      <c r="O144" s="301"/>
      <c r="P144" s="336"/>
      <c r="Q144" s="301"/>
      <c r="R144" s="336"/>
      <c r="S144" s="301"/>
      <c r="T144" s="336"/>
    </row>
    <row r="145" spans="1:20" ht="12" customHeight="1" x14ac:dyDescent="0.3">
      <c r="A145" s="329" t="s">
        <v>289</v>
      </c>
      <c r="B145" s="330">
        <v>2</v>
      </c>
      <c r="C145" s="298">
        <v>46163</v>
      </c>
      <c r="D145" s="299" t="s">
        <v>358</v>
      </c>
      <c r="E145" s="522">
        <v>16.649999999999999</v>
      </c>
      <c r="F145" s="522"/>
      <c r="G145" s="333">
        <f t="shared" si="4"/>
        <v>2668.0999999999858</v>
      </c>
      <c r="H145" s="334"/>
      <c r="I145" s="335"/>
      <c r="J145" s="336"/>
      <c r="K145" s="301"/>
      <c r="L145" s="336"/>
      <c r="M145" s="301"/>
      <c r="N145" s="336"/>
      <c r="O145" s="301"/>
      <c r="P145" s="336"/>
      <c r="Q145" s="301"/>
      <c r="R145" s="336"/>
      <c r="S145" s="301"/>
      <c r="T145" s="336"/>
    </row>
    <row r="146" spans="1:20" ht="12" customHeight="1" x14ac:dyDescent="0.3">
      <c r="A146" s="329" t="s">
        <v>289</v>
      </c>
      <c r="B146" s="330">
        <v>8</v>
      </c>
      <c r="C146" s="298">
        <v>46163</v>
      </c>
      <c r="D146" s="299" t="s">
        <v>846</v>
      </c>
      <c r="E146" s="522">
        <v>24.89</v>
      </c>
      <c r="F146" s="522"/>
      <c r="G146" s="333">
        <f t="shared" si="4"/>
        <v>2684.7499999999859</v>
      </c>
      <c r="H146" s="334"/>
      <c r="I146" s="335"/>
      <c r="J146" s="336"/>
      <c r="K146" s="301"/>
      <c r="L146" s="336"/>
      <c r="M146" s="301"/>
      <c r="N146" s="336"/>
      <c r="O146" s="301"/>
      <c r="P146" s="336"/>
      <c r="Q146" s="301"/>
      <c r="R146" s="336"/>
      <c r="S146" s="301"/>
      <c r="T146" s="336"/>
    </row>
    <row r="147" spans="1:20" ht="12" customHeight="1" x14ac:dyDescent="0.3">
      <c r="A147" s="329" t="s">
        <v>289</v>
      </c>
      <c r="B147" s="330">
        <v>5</v>
      </c>
      <c r="C147" s="298">
        <v>46163</v>
      </c>
      <c r="D147" s="299" t="s">
        <v>846</v>
      </c>
      <c r="E147" s="522">
        <v>11.2</v>
      </c>
      <c r="F147" s="522"/>
      <c r="G147" s="333">
        <f t="shared" si="4"/>
        <v>2709.6399999999858</v>
      </c>
      <c r="H147" s="334"/>
      <c r="I147" s="335"/>
      <c r="J147" s="336"/>
      <c r="K147" s="301"/>
      <c r="L147" s="336"/>
      <c r="M147" s="301"/>
      <c r="N147" s="336"/>
      <c r="O147" s="301"/>
      <c r="P147" s="336"/>
      <c r="Q147" s="301"/>
      <c r="R147" s="336"/>
      <c r="S147" s="301"/>
      <c r="T147" s="336"/>
    </row>
    <row r="148" spans="1:20" ht="12" customHeight="1" x14ac:dyDescent="0.3">
      <c r="A148" s="329" t="s">
        <v>289</v>
      </c>
      <c r="B148" s="330">
        <v>2</v>
      </c>
      <c r="C148" s="298">
        <v>46162</v>
      </c>
      <c r="D148" s="299" t="s">
        <v>296</v>
      </c>
      <c r="E148" s="522">
        <v>11.18</v>
      </c>
      <c r="F148" s="522"/>
      <c r="G148" s="333">
        <f t="shared" si="4"/>
        <v>2720.8399999999856</v>
      </c>
      <c r="H148" s="334"/>
      <c r="I148" s="335"/>
      <c r="J148" s="336"/>
      <c r="K148" s="301"/>
      <c r="L148" s="336"/>
      <c r="M148" s="301"/>
      <c r="N148" s="336"/>
      <c r="O148" s="301"/>
      <c r="P148" s="336"/>
      <c r="Q148" s="301"/>
      <c r="R148" s="336"/>
      <c r="S148" s="301"/>
      <c r="T148" s="336"/>
    </row>
    <row r="149" spans="1:20" ht="12" customHeight="1" x14ac:dyDescent="0.3">
      <c r="A149" s="329" t="s">
        <v>289</v>
      </c>
      <c r="B149" s="330">
        <v>2</v>
      </c>
      <c r="C149" s="298">
        <v>46162</v>
      </c>
      <c r="D149" s="299" t="s">
        <v>386</v>
      </c>
      <c r="E149" s="522">
        <v>14.38</v>
      </c>
      <c r="F149" s="522"/>
      <c r="G149" s="333">
        <f t="shared" si="4"/>
        <v>2732.0199999999854</v>
      </c>
      <c r="H149" s="334"/>
      <c r="I149" s="335"/>
      <c r="J149" s="336"/>
      <c r="K149" s="301"/>
      <c r="L149" s="336"/>
      <c r="M149" s="301"/>
      <c r="N149" s="336"/>
      <c r="O149" s="301"/>
      <c r="P149" s="336"/>
      <c r="Q149" s="301"/>
      <c r="R149" s="336"/>
      <c r="S149" s="301"/>
      <c r="T149" s="336"/>
    </row>
    <row r="150" spans="1:20" ht="12" customHeight="1" x14ac:dyDescent="0.3">
      <c r="A150" s="329" t="s">
        <v>294</v>
      </c>
      <c r="B150" s="330">
        <v>22</v>
      </c>
      <c r="C150" s="298">
        <v>46162</v>
      </c>
      <c r="D150" s="299" t="s">
        <v>323</v>
      </c>
      <c r="E150" s="522">
        <v>20.22</v>
      </c>
      <c r="F150" s="522"/>
      <c r="G150" s="333">
        <f t="shared" si="4"/>
        <v>2746.3999999999855</v>
      </c>
      <c r="H150" s="334"/>
      <c r="I150" s="335"/>
      <c r="J150" s="336"/>
      <c r="K150" s="301"/>
      <c r="L150" s="336"/>
      <c r="M150" s="301"/>
      <c r="N150" s="336"/>
      <c r="O150" s="301"/>
      <c r="P150" s="336"/>
      <c r="Q150" s="301"/>
      <c r="R150" s="336"/>
      <c r="S150" s="301"/>
      <c r="T150" s="336"/>
    </row>
    <row r="151" spans="1:20" ht="12" customHeight="1" x14ac:dyDescent="0.3">
      <c r="A151" s="329" t="s">
        <v>289</v>
      </c>
      <c r="B151" s="330">
        <v>5</v>
      </c>
      <c r="C151" s="298">
        <v>46162</v>
      </c>
      <c r="D151" s="299" t="s">
        <v>872</v>
      </c>
      <c r="E151" s="522">
        <v>30</v>
      </c>
      <c r="F151" s="522"/>
      <c r="G151" s="333">
        <f t="shared" ref="G151:G165" si="5">G152-E151+F151</f>
        <v>2766.6199999999853</v>
      </c>
      <c r="H151" s="334"/>
      <c r="I151" s="335"/>
      <c r="J151" s="336"/>
      <c r="K151" s="301"/>
      <c r="L151" s="336"/>
      <c r="M151" s="301"/>
      <c r="N151" s="336"/>
      <c r="O151" s="301"/>
      <c r="P151" s="336"/>
      <c r="Q151" s="301"/>
      <c r="R151" s="336"/>
      <c r="S151" s="301"/>
      <c r="T151" s="336"/>
    </row>
    <row r="152" spans="1:20" ht="12" customHeight="1" x14ac:dyDescent="0.3">
      <c r="A152" s="329" t="s">
        <v>289</v>
      </c>
      <c r="B152" s="330">
        <v>2</v>
      </c>
      <c r="C152" s="298">
        <v>46162</v>
      </c>
      <c r="D152" s="299" t="s">
        <v>874</v>
      </c>
      <c r="E152" s="522">
        <v>46.72</v>
      </c>
      <c r="F152" s="522"/>
      <c r="G152" s="333">
        <f t="shared" si="5"/>
        <v>2796.6199999999853</v>
      </c>
      <c r="H152" s="334"/>
      <c r="I152" s="335"/>
      <c r="J152" s="336"/>
      <c r="K152" s="301"/>
      <c r="L152" s="336"/>
      <c r="M152" s="301"/>
      <c r="N152" s="336"/>
      <c r="O152" s="301"/>
      <c r="P152" s="336"/>
      <c r="Q152" s="301"/>
      <c r="R152" s="336"/>
      <c r="S152" s="301"/>
      <c r="T152" s="336"/>
    </row>
    <row r="153" spans="1:20" ht="12" customHeight="1" x14ac:dyDescent="0.3">
      <c r="A153" s="329" t="s">
        <v>289</v>
      </c>
      <c r="B153" s="330">
        <v>4</v>
      </c>
      <c r="C153" s="298">
        <v>46162</v>
      </c>
      <c r="D153" s="299" t="s">
        <v>310</v>
      </c>
      <c r="E153" s="522">
        <v>56.51</v>
      </c>
      <c r="F153" s="522"/>
      <c r="G153" s="333">
        <f t="shared" si="5"/>
        <v>2843.3399999999851</v>
      </c>
      <c r="H153" s="334"/>
      <c r="I153" s="335"/>
      <c r="J153" s="336"/>
      <c r="K153" s="301"/>
      <c r="L153" s="336"/>
      <c r="M153" s="301"/>
      <c r="N153" s="336"/>
      <c r="O153" s="301"/>
      <c r="P153" s="336"/>
      <c r="Q153" s="301"/>
      <c r="R153" s="336"/>
      <c r="S153" s="301"/>
      <c r="T153" s="336"/>
    </row>
    <row r="154" spans="1:20" ht="12" customHeight="1" x14ac:dyDescent="0.3">
      <c r="A154" s="329" t="s">
        <v>289</v>
      </c>
      <c r="B154" s="330">
        <v>6</v>
      </c>
      <c r="C154" s="298">
        <v>46161</v>
      </c>
      <c r="D154" s="299" t="s">
        <v>871</v>
      </c>
      <c r="E154" s="522">
        <v>63.99</v>
      </c>
      <c r="F154" s="522"/>
      <c r="G154" s="333">
        <f t="shared" si="5"/>
        <v>2899.8499999999854</v>
      </c>
      <c r="H154" s="334"/>
      <c r="I154" s="335"/>
      <c r="J154" s="336"/>
      <c r="K154" s="301"/>
      <c r="L154" s="336"/>
      <c r="M154" s="301"/>
      <c r="N154" s="336"/>
      <c r="O154" s="301"/>
      <c r="P154" s="336"/>
      <c r="Q154" s="301"/>
      <c r="R154" s="336"/>
      <c r="S154" s="301"/>
      <c r="T154" s="336"/>
    </row>
    <row r="155" spans="1:20" ht="12" customHeight="1" x14ac:dyDescent="0.3">
      <c r="A155" s="329" t="s">
        <v>289</v>
      </c>
      <c r="B155" s="330">
        <v>4</v>
      </c>
      <c r="C155" s="298">
        <v>46161</v>
      </c>
      <c r="D155" s="299" t="s">
        <v>296</v>
      </c>
      <c r="E155" s="522">
        <v>43.46</v>
      </c>
      <c r="F155" s="522"/>
      <c r="G155" s="333">
        <f t="shared" si="5"/>
        <v>2963.8399999999851</v>
      </c>
      <c r="H155" s="334"/>
      <c r="I155" s="335"/>
      <c r="J155" s="336"/>
      <c r="K155" s="301"/>
      <c r="L155" s="336"/>
      <c r="M155" s="301"/>
      <c r="N155" s="336"/>
      <c r="O155" s="301"/>
      <c r="P155" s="336"/>
      <c r="Q155" s="301"/>
      <c r="R155" s="336"/>
      <c r="S155" s="301"/>
      <c r="T155" s="336"/>
    </row>
    <row r="156" spans="1:20" ht="12" customHeight="1" x14ac:dyDescent="0.3">
      <c r="A156" s="329" t="s">
        <v>289</v>
      </c>
      <c r="B156" s="330">
        <v>3</v>
      </c>
      <c r="C156" s="298">
        <v>46161</v>
      </c>
      <c r="D156" s="299" t="s">
        <v>296</v>
      </c>
      <c r="E156" s="522">
        <v>8.7200000000000006</v>
      </c>
      <c r="F156" s="522"/>
      <c r="G156" s="333">
        <f t="shared" si="5"/>
        <v>3007.2999999999852</v>
      </c>
      <c r="H156" s="334"/>
      <c r="I156" s="335"/>
      <c r="J156" s="336"/>
      <c r="K156" s="301"/>
      <c r="L156" s="336"/>
      <c r="M156" s="301"/>
      <c r="N156" s="336"/>
      <c r="O156" s="301"/>
      <c r="P156" s="336"/>
      <c r="Q156" s="301"/>
      <c r="R156" s="336"/>
      <c r="S156" s="301"/>
      <c r="T156" s="336"/>
    </row>
    <row r="157" spans="1:20" ht="12" customHeight="1" x14ac:dyDescent="0.3">
      <c r="A157" s="329" t="s">
        <v>289</v>
      </c>
      <c r="B157" s="330">
        <v>2</v>
      </c>
      <c r="C157" s="298">
        <v>46161</v>
      </c>
      <c r="D157" s="299" t="s">
        <v>301</v>
      </c>
      <c r="E157" s="522">
        <v>30.9</v>
      </c>
      <c r="F157" s="522"/>
      <c r="G157" s="333">
        <f t="shared" si="5"/>
        <v>3016.019999999985</v>
      </c>
      <c r="H157" s="334"/>
      <c r="I157" s="335"/>
      <c r="J157" s="336"/>
      <c r="K157" s="301"/>
      <c r="L157" s="336"/>
      <c r="M157" s="301"/>
      <c r="N157" s="336"/>
      <c r="O157" s="301"/>
      <c r="P157" s="336"/>
      <c r="Q157" s="301"/>
      <c r="R157" s="336"/>
      <c r="S157" s="301"/>
      <c r="T157" s="336"/>
    </row>
    <row r="158" spans="1:20" ht="12" customHeight="1" x14ac:dyDescent="0.3">
      <c r="A158" s="329" t="s">
        <v>294</v>
      </c>
      <c r="B158" s="330">
        <v>22</v>
      </c>
      <c r="C158" s="298">
        <v>46161</v>
      </c>
      <c r="D158" s="299" t="s">
        <v>328</v>
      </c>
      <c r="E158" s="522">
        <v>7.46</v>
      </c>
      <c r="F158" s="522"/>
      <c r="G158" s="333">
        <f t="shared" si="5"/>
        <v>3046.9199999999851</v>
      </c>
      <c r="H158" s="334"/>
      <c r="I158" s="335"/>
      <c r="J158" s="336"/>
      <c r="K158" s="301"/>
      <c r="L158" s="336"/>
      <c r="M158" s="301"/>
      <c r="N158" s="336"/>
      <c r="O158" s="301"/>
      <c r="P158" s="336"/>
      <c r="Q158" s="301"/>
      <c r="R158" s="336"/>
      <c r="S158" s="301"/>
      <c r="T158" s="336"/>
    </row>
    <row r="159" spans="1:20" ht="12" customHeight="1" x14ac:dyDescent="0.3">
      <c r="A159" s="329" t="s">
        <v>289</v>
      </c>
      <c r="B159" s="330">
        <v>2</v>
      </c>
      <c r="C159" s="298">
        <v>46161</v>
      </c>
      <c r="D159" s="299" t="s">
        <v>869</v>
      </c>
      <c r="E159" s="522">
        <v>31.05</v>
      </c>
      <c r="F159" s="522"/>
      <c r="G159" s="333">
        <f t="shared" si="5"/>
        <v>3054.3799999999851</v>
      </c>
      <c r="H159" s="334"/>
      <c r="I159" s="335"/>
      <c r="J159" s="336"/>
      <c r="K159" s="301"/>
      <c r="L159" s="336"/>
      <c r="M159" s="301"/>
      <c r="N159" s="336"/>
      <c r="O159" s="301"/>
      <c r="P159" s="336"/>
      <c r="Q159" s="301"/>
      <c r="R159" s="336"/>
      <c r="S159" s="301"/>
      <c r="T159" s="336"/>
    </row>
    <row r="160" spans="1:20" ht="12" customHeight="1" x14ac:dyDescent="0.3">
      <c r="A160" s="329" t="s">
        <v>289</v>
      </c>
      <c r="B160" s="330">
        <v>2</v>
      </c>
      <c r="C160" s="298">
        <v>46161</v>
      </c>
      <c r="D160" s="299" t="s">
        <v>870</v>
      </c>
      <c r="E160" s="522">
        <v>54.41</v>
      </c>
      <c r="F160" s="522"/>
      <c r="G160" s="333">
        <f t="shared" si="5"/>
        <v>3085.4299999999853</v>
      </c>
      <c r="H160" s="334"/>
      <c r="I160" s="335"/>
      <c r="J160" s="336"/>
      <c r="K160" s="301"/>
      <c r="L160" s="336"/>
      <c r="M160" s="301"/>
      <c r="N160" s="336"/>
      <c r="O160" s="301"/>
      <c r="P160" s="336"/>
      <c r="Q160" s="301"/>
      <c r="R160" s="336"/>
      <c r="S160" s="301"/>
      <c r="T160" s="336"/>
    </row>
    <row r="161" spans="1:20" ht="12" customHeight="1" x14ac:dyDescent="0.3">
      <c r="A161" s="329" t="s">
        <v>289</v>
      </c>
      <c r="B161" s="330">
        <v>8</v>
      </c>
      <c r="C161" s="298">
        <v>46161</v>
      </c>
      <c r="D161" s="299" t="s">
        <v>875</v>
      </c>
      <c r="E161" s="522">
        <v>20.49</v>
      </c>
      <c r="F161" s="522"/>
      <c r="G161" s="333">
        <f t="shared" si="5"/>
        <v>3139.8399999999851</v>
      </c>
      <c r="H161" s="334"/>
      <c r="I161" s="335"/>
      <c r="J161" s="336"/>
      <c r="K161" s="301"/>
      <c r="L161" s="336"/>
      <c r="M161" s="301"/>
      <c r="N161" s="336"/>
      <c r="O161" s="301"/>
      <c r="P161" s="336"/>
      <c r="Q161" s="301"/>
      <c r="R161" s="336"/>
      <c r="S161" s="301"/>
      <c r="T161" s="336"/>
    </row>
    <row r="162" spans="1:20" ht="12" customHeight="1" x14ac:dyDescent="0.3">
      <c r="A162" s="329" t="s">
        <v>294</v>
      </c>
      <c r="B162" s="330">
        <v>22</v>
      </c>
      <c r="C162" s="298">
        <v>46160</v>
      </c>
      <c r="D162" s="299" t="s">
        <v>401</v>
      </c>
      <c r="E162" s="522">
        <v>13.84</v>
      </c>
      <c r="F162" s="522"/>
      <c r="G162" s="333">
        <f t="shared" si="5"/>
        <v>3160.3299999999849</v>
      </c>
      <c r="H162" s="334"/>
      <c r="I162" s="335"/>
      <c r="J162" s="336"/>
      <c r="K162" s="301"/>
      <c r="L162" s="336"/>
      <c r="M162" s="301"/>
      <c r="N162" s="336"/>
      <c r="O162" s="301"/>
      <c r="P162" s="336"/>
      <c r="Q162" s="301"/>
      <c r="R162" s="336"/>
      <c r="S162" s="301"/>
      <c r="T162" s="336"/>
    </row>
    <row r="163" spans="1:20" ht="12" customHeight="1" x14ac:dyDescent="0.3">
      <c r="A163" s="329" t="s">
        <v>287</v>
      </c>
      <c r="B163" s="330" t="s">
        <v>287</v>
      </c>
      <c r="C163" s="298">
        <v>46160</v>
      </c>
      <c r="D163" s="299" t="s">
        <v>876</v>
      </c>
      <c r="E163" s="522">
        <v>138.44</v>
      </c>
      <c r="F163" s="522">
        <v>138.44</v>
      </c>
      <c r="G163" s="333">
        <f t="shared" si="5"/>
        <v>3174.1699999999851</v>
      </c>
      <c r="H163" s="334"/>
      <c r="I163" s="335"/>
      <c r="J163" s="336"/>
      <c r="K163" s="301"/>
      <c r="L163" s="336"/>
      <c r="M163" s="301"/>
      <c r="N163" s="336"/>
      <c r="O163" s="301"/>
      <c r="P163" s="336"/>
      <c r="Q163" s="301"/>
      <c r="R163" s="336"/>
      <c r="S163" s="301"/>
      <c r="T163" s="336"/>
    </row>
    <row r="164" spans="1:20" ht="12" customHeight="1" x14ac:dyDescent="0.3">
      <c r="A164" s="329" t="s">
        <v>289</v>
      </c>
      <c r="B164" s="330">
        <v>2</v>
      </c>
      <c r="C164" s="298">
        <v>46160</v>
      </c>
      <c r="D164" s="299" t="s">
        <v>353</v>
      </c>
      <c r="E164" s="522">
        <v>25.48</v>
      </c>
      <c r="F164" s="522"/>
      <c r="G164" s="333">
        <f t="shared" si="5"/>
        <v>3174.1699999999851</v>
      </c>
      <c r="H164" s="334"/>
      <c r="I164" s="335"/>
      <c r="J164" s="336"/>
      <c r="K164" s="301"/>
      <c r="L164" s="336"/>
      <c r="M164" s="301"/>
      <c r="N164" s="336"/>
      <c r="O164" s="301"/>
      <c r="P164" s="336"/>
      <c r="Q164" s="301"/>
      <c r="R164" s="336"/>
      <c r="S164" s="301"/>
      <c r="T164" s="336"/>
    </row>
    <row r="165" spans="1:20" ht="12" customHeight="1" x14ac:dyDescent="0.3">
      <c r="A165" s="329" t="s">
        <v>294</v>
      </c>
      <c r="B165" s="330">
        <v>17</v>
      </c>
      <c r="C165" s="298">
        <v>46160</v>
      </c>
      <c r="D165" s="299" t="s">
        <v>188</v>
      </c>
      <c r="E165" s="522">
        <v>42.65</v>
      </c>
      <c r="F165" s="522"/>
      <c r="G165" s="333">
        <f t="shared" si="5"/>
        <v>3199.6499999999851</v>
      </c>
      <c r="H165" s="334"/>
      <c r="I165" s="335"/>
      <c r="J165" s="336"/>
      <c r="K165" s="301"/>
      <c r="L165" s="336"/>
      <c r="M165" s="301"/>
      <c r="N165" s="336"/>
      <c r="O165" s="301"/>
      <c r="P165" s="336"/>
      <c r="Q165" s="301"/>
      <c r="R165" s="336"/>
      <c r="S165" s="301"/>
      <c r="T165" s="336"/>
    </row>
    <row r="166" spans="1:20" ht="12" customHeight="1" x14ac:dyDescent="0.3">
      <c r="A166" s="329" t="s">
        <v>294</v>
      </c>
      <c r="B166" s="330">
        <v>15</v>
      </c>
      <c r="C166" s="298">
        <v>46160</v>
      </c>
      <c r="D166" s="299" t="s">
        <v>185</v>
      </c>
      <c r="E166" s="522">
        <v>101.37</v>
      </c>
      <c r="F166" s="522"/>
      <c r="G166" s="333">
        <f t="shared" ref="G166:G246" si="6">G167-E166+F166</f>
        <v>3242.2999999999852</v>
      </c>
      <c r="H166" s="334"/>
      <c r="I166" s="335"/>
      <c r="J166" s="336"/>
      <c r="K166" s="301"/>
      <c r="L166" s="336"/>
      <c r="M166" s="301"/>
      <c r="N166" s="336"/>
      <c r="O166" s="301"/>
      <c r="P166" s="336"/>
      <c r="Q166" s="301"/>
      <c r="R166" s="336"/>
      <c r="S166" s="301"/>
      <c r="T166" s="336"/>
    </row>
    <row r="167" spans="1:20" ht="12" customHeight="1" x14ac:dyDescent="0.3">
      <c r="A167" s="329" t="s">
        <v>335</v>
      </c>
      <c r="B167" s="330" t="s">
        <v>335</v>
      </c>
      <c r="C167" s="298">
        <v>46160</v>
      </c>
      <c r="D167" s="299" t="s">
        <v>336</v>
      </c>
      <c r="E167" s="522">
        <v>93.13</v>
      </c>
      <c r="F167" s="522"/>
      <c r="G167" s="333">
        <f t="shared" si="6"/>
        <v>3343.6699999999851</v>
      </c>
      <c r="H167" s="334"/>
      <c r="I167" s="335"/>
      <c r="J167" s="336"/>
      <c r="K167" s="301"/>
      <c r="L167" s="336"/>
      <c r="M167" s="301"/>
      <c r="N167" s="336"/>
      <c r="O167" s="301"/>
      <c r="P167" s="336"/>
      <c r="Q167" s="301"/>
      <c r="R167" s="336"/>
      <c r="S167" s="301"/>
      <c r="T167" s="336"/>
    </row>
    <row r="168" spans="1:20" ht="12" customHeight="1" x14ac:dyDescent="0.3">
      <c r="A168" s="329" t="s">
        <v>294</v>
      </c>
      <c r="B168" s="330">
        <v>11</v>
      </c>
      <c r="C168" s="298">
        <v>46160</v>
      </c>
      <c r="D168" s="299" t="s">
        <v>178</v>
      </c>
      <c r="E168" s="522">
        <v>267.68</v>
      </c>
      <c r="F168" s="522"/>
      <c r="G168" s="333">
        <f t="shared" si="6"/>
        <v>3436.7999999999852</v>
      </c>
      <c r="H168" s="334"/>
      <c r="I168" s="335"/>
      <c r="J168" s="336"/>
      <c r="K168" s="301"/>
      <c r="L168" s="336"/>
      <c r="M168" s="301"/>
      <c r="N168" s="336"/>
      <c r="O168" s="301"/>
      <c r="P168" s="336"/>
      <c r="Q168" s="301"/>
      <c r="R168" s="336"/>
      <c r="S168" s="301"/>
      <c r="T168" s="336"/>
    </row>
    <row r="169" spans="1:20" ht="12" customHeight="1" x14ac:dyDescent="0.3">
      <c r="A169" s="329" t="s">
        <v>294</v>
      </c>
      <c r="B169" s="330">
        <v>23</v>
      </c>
      <c r="C169" s="298">
        <v>46160</v>
      </c>
      <c r="D169" s="299" t="s">
        <v>63</v>
      </c>
      <c r="E169" s="522">
        <v>529.46</v>
      </c>
      <c r="F169" s="522"/>
      <c r="G169" s="333">
        <f t="shared" si="6"/>
        <v>3704.479999999985</v>
      </c>
      <c r="H169" s="334"/>
      <c r="I169" s="335"/>
      <c r="J169" s="336"/>
      <c r="K169" s="301"/>
      <c r="L169" s="336"/>
      <c r="M169" s="301"/>
      <c r="N169" s="336"/>
      <c r="O169" s="301"/>
      <c r="P169" s="336"/>
      <c r="Q169" s="301"/>
      <c r="R169" s="336"/>
      <c r="S169" s="301"/>
      <c r="T169" s="336"/>
    </row>
    <row r="170" spans="1:20" ht="12" customHeight="1" x14ac:dyDescent="0.3">
      <c r="A170" s="329" t="s">
        <v>289</v>
      </c>
      <c r="B170" s="330">
        <v>1</v>
      </c>
      <c r="C170" s="298">
        <v>46159</v>
      </c>
      <c r="D170" s="299" t="s">
        <v>311</v>
      </c>
      <c r="E170" s="522">
        <v>148.25</v>
      </c>
      <c r="F170" s="522"/>
      <c r="G170" s="333">
        <f t="shared" si="6"/>
        <v>4233.939999999985</v>
      </c>
      <c r="H170" s="334"/>
      <c r="I170" s="335"/>
      <c r="J170" s="336"/>
      <c r="K170" s="301"/>
      <c r="L170" s="336"/>
      <c r="M170" s="301"/>
      <c r="N170" s="336"/>
      <c r="O170" s="301"/>
      <c r="P170" s="336"/>
      <c r="Q170" s="301"/>
      <c r="R170" s="336"/>
      <c r="S170" s="301"/>
      <c r="T170" s="336"/>
    </row>
    <row r="171" spans="1:20" ht="12" customHeight="1" x14ac:dyDescent="0.3">
      <c r="A171" s="329" t="s">
        <v>289</v>
      </c>
      <c r="B171" s="330">
        <v>1</v>
      </c>
      <c r="C171" s="298">
        <v>46159</v>
      </c>
      <c r="D171" s="299" t="s">
        <v>306</v>
      </c>
      <c r="E171" s="522">
        <v>90.2</v>
      </c>
      <c r="F171" s="522"/>
      <c r="G171" s="333">
        <f t="shared" si="6"/>
        <v>4382.189999999985</v>
      </c>
      <c r="H171" s="334"/>
      <c r="I171" s="335"/>
      <c r="J171" s="336"/>
      <c r="K171" s="301"/>
      <c r="L171" s="336"/>
      <c r="M171" s="301"/>
      <c r="N171" s="336"/>
      <c r="O171" s="301"/>
      <c r="P171" s="336"/>
      <c r="Q171" s="301"/>
      <c r="R171" s="336"/>
      <c r="S171" s="301"/>
      <c r="T171" s="336"/>
    </row>
    <row r="172" spans="1:20" ht="12" customHeight="1" x14ac:dyDescent="0.3">
      <c r="A172" s="329" t="s">
        <v>294</v>
      </c>
      <c r="B172" s="330">
        <v>21</v>
      </c>
      <c r="C172" s="298">
        <v>46159</v>
      </c>
      <c r="D172" s="299" t="s">
        <v>194</v>
      </c>
      <c r="E172" s="522">
        <v>81</v>
      </c>
      <c r="F172" s="522"/>
      <c r="G172" s="333">
        <f t="shared" si="6"/>
        <v>4472.3899999999849</v>
      </c>
      <c r="H172" s="334"/>
      <c r="I172" s="335"/>
      <c r="J172" s="336"/>
      <c r="K172" s="301"/>
      <c r="L172" s="336"/>
      <c r="M172" s="301"/>
      <c r="N172" s="336"/>
      <c r="O172" s="301"/>
      <c r="P172" s="336"/>
      <c r="Q172" s="301"/>
      <c r="R172" s="336"/>
      <c r="S172" s="301"/>
      <c r="T172" s="336"/>
    </row>
    <row r="173" spans="1:20" ht="12" customHeight="1" x14ac:dyDescent="0.3">
      <c r="A173" s="329" t="s">
        <v>289</v>
      </c>
      <c r="B173" s="330">
        <v>6</v>
      </c>
      <c r="C173" s="298">
        <v>46159</v>
      </c>
      <c r="D173" s="299" t="s">
        <v>300</v>
      </c>
      <c r="E173" s="522">
        <v>38.33</v>
      </c>
      <c r="F173" s="522"/>
      <c r="G173" s="333">
        <f t="shared" si="6"/>
        <v>4553.3899999999849</v>
      </c>
      <c r="H173" s="334"/>
      <c r="I173" s="335"/>
      <c r="J173" s="336"/>
      <c r="K173" s="301"/>
      <c r="L173" s="336"/>
      <c r="M173" s="301"/>
      <c r="N173" s="336"/>
      <c r="O173" s="301"/>
      <c r="P173" s="336"/>
      <c r="Q173" s="301"/>
      <c r="R173" s="336"/>
      <c r="S173" s="301"/>
      <c r="T173" s="336"/>
    </row>
    <row r="174" spans="1:20" ht="12" customHeight="1" x14ac:dyDescent="0.3">
      <c r="A174" s="329" t="s">
        <v>294</v>
      </c>
      <c r="B174" s="330">
        <v>42</v>
      </c>
      <c r="C174" s="298">
        <v>46159</v>
      </c>
      <c r="D174" s="299" t="s">
        <v>333</v>
      </c>
      <c r="E174" s="522">
        <v>29.8</v>
      </c>
      <c r="F174" s="522"/>
      <c r="G174" s="333">
        <f t="shared" si="6"/>
        <v>4591.7199999999848</v>
      </c>
      <c r="H174" s="334"/>
      <c r="I174" s="335"/>
      <c r="J174" s="336"/>
      <c r="K174" s="301"/>
      <c r="L174" s="336"/>
      <c r="M174" s="301"/>
      <c r="N174" s="336"/>
      <c r="O174" s="301"/>
      <c r="P174" s="336"/>
      <c r="Q174" s="301"/>
      <c r="R174" s="336"/>
      <c r="S174" s="301"/>
      <c r="T174" s="336"/>
    </row>
    <row r="175" spans="1:20" ht="12" customHeight="1" x14ac:dyDescent="0.3">
      <c r="A175" s="329" t="s">
        <v>294</v>
      </c>
      <c r="B175" s="330">
        <v>43</v>
      </c>
      <c r="C175" s="298">
        <v>46159</v>
      </c>
      <c r="D175" s="299" t="s">
        <v>333</v>
      </c>
      <c r="E175" s="522">
        <v>22.35</v>
      </c>
      <c r="F175" s="522"/>
      <c r="G175" s="333">
        <f t="shared" si="6"/>
        <v>4621.519999999985</v>
      </c>
      <c r="H175" s="334"/>
      <c r="I175" s="335"/>
      <c r="J175" s="336"/>
      <c r="K175" s="301"/>
      <c r="L175" s="336"/>
      <c r="M175" s="301"/>
      <c r="N175" s="336"/>
      <c r="O175" s="301"/>
      <c r="P175" s="336"/>
      <c r="Q175" s="301"/>
      <c r="R175" s="336"/>
      <c r="S175" s="301"/>
      <c r="T175" s="336"/>
    </row>
    <row r="176" spans="1:20" ht="12" customHeight="1" x14ac:dyDescent="0.3">
      <c r="A176" s="329" t="s">
        <v>289</v>
      </c>
      <c r="B176" s="330">
        <v>8</v>
      </c>
      <c r="C176" s="298">
        <v>46159</v>
      </c>
      <c r="D176" s="299" t="s">
        <v>319</v>
      </c>
      <c r="E176" s="522">
        <v>50.75</v>
      </c>
      <c r="F176" s="522"/>
      <c r="G176" s="333">
        <f t="shared" si="6"/>
        <v>4643.8699999999853</v>
      </c>
      <c r="H176" s="334"/>
      <c r="I176" s="335"/>
      <c r="J176" s="336"/>
      <c r="K176" s="301"/>
      <c r="L176" s="336"/>
      <c r="M176" s="301"/>
      <c r="N176" s="336"/>
      <c r="O176" s="301"/>
      <c r="P176" s="336"/>
      <c r="Q176" s="301"/>
      <c r="R176" s="336"/>
      <c r="S176" s="301"/>
      <c r="T176" s="336"/>
    </row>
    <row r="177" spans="1:20" ht="12" customHeight="1" x14ac:dyDescent="0.3">
      <c r="A177" s="329" t="s">
        <v>289</v>
      </c>
      <c r="B177" s="330">
        <v>6</v>
      </c>
      <c r="C177" s="298">
        <v>46158</v>
      </c>
      <c r="D177" s="299" t="s">
        <v>340</v>
      </c>
      <c r="E177" s="522">
        <v>21.3</v>
      </c>
      <c r="F177" s="522"/>
      <c r="G177" s="333">
        <f t="shared" si="6"/>
        <v>4694.6199999999853</v>
      </c>
      <c r="H177" s="334"/>
      <c r="I177" s="335"/>
      <c r="J177" s="336"/>
      <c r="K177" s="301"/>
      <c r="L177" s="336"/>
      <c r="M177" s="301"/>
      <c r="N177" s="336"/>
      <c r="O177" s="301"/>
      <c r="P177" s="336"/>
      <c r="Q177" s="301"/>
      <c r="R177" s="336"/>
      <c r="S177" s="301"/>
      <c r="T177" s="336"/>
    </row>
    <row r="178" spans="1:20" ht="12" customHeight="1" x14ac:dyDescent="0.3">
      <c r="A178" s="329" t="s">
        <v>289</v>
      </c>
      <c r="B178" s="330">
        <v>8</v>
      </c>
      <c r="C178" s="298">
        <v>46158</v>
      </c>
      <c r="D178" s="299" t="s">
        <v>319</v>
      </c>
      <c r="E178" s="522">
        <v>41.46</v>
      </c>
      <c r="F178" s="522"/>
      <c r="G178" s="333">
        <f t="shared" si="6"/>
        <v>4715.9199999999855</v>
      </c>
      <c r="H178" s="334"/>
      <c r="I178" s="335"/>
      <c r="J178" s="336"/>
      <c r="K178" s="301"/>
      <c r="L178" s="336"/>
      <c r="M178" s="301"/>
      <c r="N178" s="336"/>
      <c r="O178" s="301"/>
      <c r="P178" s="336"/>
      <c r="Q178" s="301"/>
      <c r="R178" s="336"/>
      <c r="S178" s="301"/>
      <c r="T178" s="336"/>
    </row>
    <row r="179" spans="1:20" ht="12" customHeight="1" x14ac:dyDescent="0.3">
      <c r="A179" s="329" t="s">
        <v>287</v>
      </c>
      <c r="B179" s="330" t="s">
        <v>287</v>
      </c>
      <c r="C179" s="298">
        <v>46158</v>
      </c>
      <c r="D179" s="299" t="s">
        <v>849</v>
      </c>
      <c r="E179" s="522">
        <v>95.85</v>
      </c>
      <c r="F179" s="522">
        <v>95.85</v>
      </c>
      <c r="G179" s="333">
        <f t="shared" si="6"/>
        <v>4757.3799999999856</v>
      </c>
      <c r="H179" s="334"/>
      <c r="I179" s="335"/>
      <c r="J179" s="336"/>
      <c r="K179" s="301"/>
      <c r="L179" s="336"/>
      <c r="M179" s="301"/>
      <c r="N179" s="336"/>
      <c r="O179" s="301"/>
      <c r="P179" s="336"/>
      <c r="Q179" s="301"/>
      <c r="R179" s="336"/>
      <c r="S179" s="301"/>
      <c r="T179" s="336"/>
    </row>
    <row r="180" spans="1:20" ht="12" customHeight="1" x14ac:dyDescent="0.3">
      <c r="A180" s="329" t="s">
        <v>287</v>
      </c>
      <c r="B180" s="330" t="s">
        <v>287</v>
      </c>
      <c r="C180" s="298">
        <v>46158</v>
      </c>
      <c r="D180" s="299" t="s">
        <v>847</v>
      </c>
      <c r="E180" s="522">
        <v>87.13</v>
      </c>
      <c r="F180" s="522">
        <v>87.13</v>
      </c>
      <c r="G180" s="333">
        <f t="shared" si="6"/>
        <v>4757.3799999999856</v>
      </c>
      <c r="H180" s="334"/>
      <c r="I180" s="335"/>
      <c r="J180" s="336"/>
      <c r="K180" s="301"/>
      <c r="L180" s="336"/>
      <c r="M180" s="301"/>
      <c r="N180" s="336"/>
      <c r="O180" s="301"/>
      <c r="P180" s="336"/>
      <c r="Q180" s="301"/>
      <c r="R180" s="336"/>
      <c r="S180" s="301"/>
      <c r="T180" s="336"/>
    </row>
    <row r="181" spans="1:20" ht="12" customHeight="1" x14ac:dyDescent="0.3">
      <c r="A181" s="329" t="s">
        <v>289</v>
      </c>
      <c r="B181" s="330">
        <v>4</v>
      </c>
      <c r="C181" s="298">
        <v>46158</v>
      </c>
      <c r="D181" s="299" t="s">
        <v>310</v>
      </c>
      <c r="E181" s="522">
        <v>48.15</v>
      </c>
      <c r="F181" s="522"/>
      <c r="G181" s="333">
        <f t="shared" si="6"/>
        <v>4757.3799999999856</v>
      </c>
      <c r="H181" s="334"/>
      <c r="I181" s="335"/>
      <c r="J181" s="336"/>
      <c r="K181" s="301"/>
      <c r="L181" s="336"/>
      <c r="M181" s="301"/>
      <c r="N181" s="336"/>
      <c r="O181" s="301"/>
      <c r="P181" s="336"/>
      <c r="Q181" s="301"/>
      <c r="R181" s="336"/>
      <c r="S181" s="301"/>
      <c r="T181" s="336"/>
    </row>
    <row r="182" spans="1:20" ht="12" customHeight="1" x14ac:dyDescent="0.3">
      <c r="A182" s="329" t="s">
        <v>289</v>
      </c>
      <c r="B182" s="330">
        <v>8</v>
      </c>
      <c r="C182" s="298">
        <v>46158</v>
      </c>
      <c r="D182" s="299" t="s">
        <v>308</v>
      </c>
      <c r="E182" s="522">
        <v>75.069999999999993</v>
      </c>
      <c r="F182" s="522"/>
      <c r="G182" s="333">
        <f t="shared" si="6"/>
        <v>4805.5299999999852</v>
      </c>
      <c r="H182" s="334"/>
      <c r="I182" s="335"/>
      <c r="J182" s="336"/>
      <c r="K182" s="301"/>
      <c r="L182" s="336"/>
      <c r="M182" s="301"/>
      <c r="N182" s="336"/>
      <c r="O182" s="301"/>
      <c r="P182" s="336"/>
      <c r="Q182" s="301"/>
      <c r="R182" s="336"/>
      <c r="S182" s="301"/>
      <c r="T182" s="336"/>
    </row>
    <row r="183" spans="1:20" ht="12" customHeight="1" x14ac:dyDescent="0.3">
      <c r="A183" s="329" t="s">
        <v>289</v>
      </c>
      <c r="B183" s="330">
        <v>2</v>
      </c>
      <c r="C183" s="298">
        <v>46158</v>
      </c>
      <c r="D183" s="299" t="s">
        <v>308</v>
      </c>
      <c r="E183" s="522">
        <v>75</v>
      </c>
      <c r="F183" s="522"/>
      <c r="G183" s="333">
        <f t="shared" si="6"/>
        <v>4880.5999999999849</v>
      </c>
      <c r="H183" s="334"/>
      <c r="I183" s="335"/>
      <c r="J183" s="336"/>
      <c r="K183" s="301"/>
      <c r="L183" s="336"/>
      <c r="M183" s="301"/>
      <c r="N183" s="336"/>
      <c r="O183" s="301"/>
      <c r="P183" s="336"/>
      <c r="Q183" s="301"/>
      <c r="R183" s="336"/>
      <c r="S183" s="301"/>
      <c r="T183" s="336"/>
    </row>
    <row r="184" spans="1:20" ht="12" customHeight="1" x14ac:dyDescent="0.3">
      <c r="A184" s="329" t="s">
        <v>289</v>
      </c>
      <c r="B184" s="330">
        <v>3</v>
      </c>
      <c r="C184" s="298">
        <v>46158</v>
      </c>
      <c r="D184" s="299" t="s">
        <v>348</v>
      </c>
      <c r="E184" s="522">
        <v>8.3800000000000008</v>
      </c>
      <c r="F184" s="522"/>
      <c r="G184" s="333">
        <f t="shared" si="6"/>
        <v>4955.5999999999849</v>
      </c>
      <c r="H184" s="334"/>
      <c r="I184" s="335"/>
      <c r="J184" s="336"/>
      <c r="K184" s="301"/>
      <c r="L184" s="336"/>
      <c r="M184" s="301"/>
      <c r="N184" s="336"/>
      <c r="O184" s="301"/>
      <c r="P184" s="336"/>
      <c r="Q184" s="301"/>
      <c r="R184" s="336"/>
      <c r="S184" s="301"/>
      <c r="T184" s="336"/>
    </row>
    <row r="185" spans="1:20" ht="12" customHeight="1" x14ac:dyDescent="0.3">
      <c r="A185" s="329" t="s">
        <v>289</v>
      </c>
      <c r="B185" s="330">
        <v>8</v>
      </c>
      <c r="C185" s="298">
        <v>46157</v>
      </c>
      <c r="D185" s="299" t="s">
        <v>319</v>
      </c>
      <c r="E185" s="522">
        <v>63.55</v>
      </c>
      <c r="F185" s="522"/>
      <c r="G185" s="333">
        <f t="shared" si="6"/>
        <v>4963.979999999985</v>
      </c>
      <c r="H185" s="334"/>
      <c r="I185" s="335"/>
      <c r="J185" s="336"/>
      <c r="K185" s="301"/>
      <c r="L185" s="336"/>
      <c r="M185" s="301"/>
      <c r="N185" s="336"/>
      <c r="O185" s="301"/>
      <c r="P185" s="336"/>
      <c r="Q185" s="301"/>
      <c r="R185" s="336"/>
      <c r="S185" s="301"/>
      <c r="T185" s="336"/>
    </row>
    <row r="186" spans="1:20" ht="12" customHeight="1" x14ac:dyDescent="0.3">
      <c r="A186" s="329" t="s">
        <v>289</v>
      </c>
      <c r="B186" s="330">
        <v>4</v>
      </c>
      <c r="C186" s="298">
        <v>46157</v>
      </c>
      <c r="D186" s="299" t="s">
        <v>296</v>
      </c>
      <c r="E186" s="522">
        <v>45.1</v>
      </c>
      <c r="F186" s="522"/>
      <c r="G186" s="333">
        <f t="shared" si="6"/>
        <v>5027.5299999999852</v>
      </c>
      <c r="H186" s="334"/>
      <c r="I186" s="335"/>
      <c r="J186" s="336"/>
      <c r="K186" s="301"/>
      <c r="L186" s="336"/>
      <c r="M186" s="301"/>
      <c r="N186" s="336"/>
      <c r="O186" s="301"/>
      <c r="P186" s="336"/>
      <c r="Q186" s="301"/>
      <c r="R186" s="336"/>
      <c r="S186" s="301"/>
      <c r="T186" s="336"/>
    </row>
    <row r="187" spans="1:20" ht="12" customHeight="1" x14ac:dyDescent="0.3">
      <c r="A187" s="329" t="s">
        <v>289</v>
      </c>
      <c r="B187" s="330">
        <v>2</v>
      </c>
      <c r="C187" s="298">
        <v>46157</v>
      </c>
      <c r="D187" s="299" t="s">
        <v>296</v>
      </c>
      <c r="E187" s="522">
        <v>24.54</v>
      </c>
      <c r="F187" s="522"/>
      <c r="G187" s="333">
        <f t="shared" si="6"/>
        <v>5072.6299999999856</v>
      </c>
      <c r="H187" s="334"/>
      <c r="I187" s="335"/>
      <c r="J187" s="336"/>
      <c r="K187" s="301"/>
      <c r="L187" s="336"/>
      <c r="M187" s="301"/>
      <c r="N187" s="336"/>
      <c r="O187" s="301"/>
      <c r="P187" s="336"/>
      <c r="Q187" s="301"/>
      <c r="R187" s="336"/>
      <c r="S187" s="301"/>
      <c r="T187" s="336"/>
    </row>
    <row r="188" spans="1:20" ht="12" customHeight="1" x14ac:dyDescent="0.3">
      <c r="A188" s="329" t="s">
        <v>289</v>
      </c>
      <c r="B188" s="330">
        <v>2</v>
      </c>
      <c r="C188" s="298">
        <v>46157</v>
      </c>
      <c r="D188" s="299" t="s">
        <v>334</v>
      </c>
      <c r="E188" s="522">
        <v>14.28</v>
      </c>
      <c r="F188" s="522"/>
      <c r="G188" s="333">
        <f t="shared" si="6"/>
        <v>5097.1699999999855</v>
      </c>
      <c r="H188" s="334"/>
      <c r="I188" s="335"/>
      <c r="J188" s="336"/>
      <c r="K188" s="301"/>
      <c r="L188" s="336"/>
      <c r="M188" s="301"/>
      <c r="N188" s="336"/>
      <c r="O188" s="301"/>
      <c r="P188" s="336"/>
      <c r="Q188" s="301"/>
      <c r="R188" s="336"/>
      <c r="S188" s="301"/>
      <c r="T188" s="336"/>
    </row>
    <row r="189" spans="1:20" ht="12" customHeight="1" x14ac:dyDescent="0.3">
      <c r="A189" s="329" t="s">
        <v>287</v>
      </c>
      <c r="B189" s="330" t="s">
        <v>287</v>
      </c>
      <c r="C189" s="298">
        <v>46157</v>
      </c>
      <c r="D189" s="299" t="s">
        <v>506</v>
      </c>
      <c r="E189" s="522">
        <v>146.15</v>
      </c>
      <c r="F189" s="522">
        <v>146.15</v>
      </c>
      <c r="G189" s="333">
        <f t="shared" si="6"/>
        <v>5111.4499999999853</v>
      </c>
      <c r="H189" s="334"/>
      <c r="I189" s="335"/>
      <c r="J189" s="336"/>
      <c r="K189" s="301"/>
      <c r="L189" s="336"/>
      <c r="M189" s="301"/>
      <c r="N189" s="336"/>
      <c r="O189" s="301"/>
      <c r="P189" s="336"/>
      <c r="Q189" s="301"/>
      <c r="R189" s="336"/>
      <c r="S189" s="301"/>
      <c r="T189" s="336"/>
    </row>
    <row r="190" spans="1:20" ht="12" customHeight="1" x14ac:dyDescent="0.3">
      <c r="A190" s="329" t="s">
        <v>289</v>
      </c>
      <c r="B190" s="330">
        <v>2</v>
      </c>
      <c r="C190" s="298">
        <v>46157</v>
      </c>
      <c r="D190" s="299" t="s">
        <v>868</v>
      </c>
      <c r="E190" s="522">
        <v>202.87</v>
      </c>
      <c r="F190" s="522"/>
      <c r="G190" s="333">
        <f>G191-E190+F190</f>
        <v>5111.4499999999853</v>
      </c>
      <c r="H190" s="334"/>
      <c r="I190" s="335"/>
      <c r="J190" s="336"/>
      <c r="K190" s="301"/>
      <c r="L190" s="336"/>
      <c r="M190" s="301"/>
      <c r="N190" s="336"/>
      <c r="O190" s="301"/>
      <c r="P190" s="336"/>
      <c r="Q190" s="301"/>
      <c r="R190" s="336"/>
      <c r="S190" s="301"/>
      <c r="T190" s="336"/>
    </row>
    <row r="191" spans="1:20" ht="12" customHeight="1" x14ac:dyDescent="0.3">
      <c r="A191" s="329" t="s">
        <v>289</v>
      </c>
      <c r="B191" s="330">
        <v>6</v>
      </c>
      <c r="C191" s="298">
        <v>46157</v>
      </c>
      <c r="D191" s="299" t="s">
        <v>300</v>
      </c>
      <c r="E191" s="522">
        <v>14.9</v>
      </c>
      <c r="F191" s="522"/>
      <c r="G191" s="333">
        <f t="shared" si="6"/>
        <v>5314.3199999999852</v>
      </c>
      <c r="H191" s="334"/>
      <c r="I191" s="335"/>
      <c r="J191" s="336"/>
      <c r="K191" s="301"/>
      <c r="L191" s="336"/>
      <c r="M191" s="301"/>
      <c r="N191" s="336"/>
      <c r="O191" s="301"/>
      <c r="P191" s="336"/>
      <c r="Q191" s="301"/>
      <c r="R191" s="336"/>
      <c r="S191" s="301"/>
      <c r="T191" s="336"/>
    </row>
    <row r="192" spans="1:20" ht="12" customHeight="1" x14ac:dyDescent="0.3">
      <c r="A192" s="329" t="s">
        <v>291</v>
      </c>
      <c r="B192" s="330">
        <v>38</v>
      </c>
      <c r="C192" s="298">
        <v>46157</v>
      </c>
      <c r="D192" s="299" t="s">
        <v>293</v>
      </c>
      <c r="E192" s="522"/>
      <c r="F192" s="522">
        <v>4597.82</v>
      </c>
      <c r="G192" s="333">
        <f t="shared" si="6"/>
        <v>5329.2199999999848</v>
      </c>
      <c r="H192" s="334"/>
      <c r="I192" s="335"/>
      <c r="J192" s="336"/>
      <c r="K192" s="301"/>
      <c r="L192" s="336"/>
      <c r="M192" s="301"/>
      <c r="N192" s="336"/>
      <c r="O192" s="301"/>
      <c r="P192" s="336"/>
      <c r="Q192" s="301"/>
      <c r="R192" s="336"/>
      <c r="S192" s="301"/>
      <c r="T192" s="336"/>
    </row>
    <row r="193" spans="1:20" ht="12" customHeight="1" x14ac:dyDescent="0.3">
      <c r="A193" s="329" t="s">
        <v>289</v>
      </c>
      <c r="B193" s="330">
        <v>8</v>
      </c>
      <c r="C193" s="298">
        <v>46156</v>
      </c>
      <c r="D193" s="299" t="s">
        <v>867</v>
      </c>
      <c r="E193" s="522">
        <v>34.96</v>
      </c>
      <c r="F193" s="522"/>
      <c r="G193" s="333">
        <f t="shared" si="6"/>
        <v>731.39999999998463</v>
      </c>
      <c r="H193" s="334"/>
      <c r="I193" s="335"/>
      <c r="J193" s="336"/>
      <c r="K193" s="301"/>
      <c r="L193" s="336"/>
      <c r="M193" s="301"/>
      <c r="N193" s="336"/>
      <c r="O193" s="301"/>
      <c r="P193" s="336"/>
      <c r="Q193" s="301"/>
      <c r="R193" s="336"/>
      <c r="S193" s="301"/>
      <c r="T193" s="336"/>
    </row>
    <row r="194" spans="1:20" ht="12" customHeight="1" x14ac:dyDescent="0.3">
      <c r="A194" s="329" t="s">
        <v>289</v>
      </c>
      <c r="B194" s="330">
        <v>2</v>
      </c>
      <c r="C194" s="298">
        <v>46156</v>
      </c>
      <c r="D194" s="299" t="s">
        <v>408</v>
      </c>
      <c r="E194" s="522">
        <v>23.9</v>
      </c>
      <c r="F194" s="522"/>
      <c r="G194" s="333">
        <f t="shared" si="6"/>
        <v>766.35999999998467</v>
      </c>
      <c r="H194" s="334"/>
      <c r="I194" s="335"/>
      <c r="J194" s="336"/>
      <c r="K194" s="301"/>
      <c r="L194" s="336"/>
      <c r="M194" s="301"/>
      <c r="N194" s="336"/>
      <c r="O194" s="301"/>
      <c r="P194" s="336"/>
      <c r="Q194" s="301"/>
      <c r="R194" s="336"/>
      <c r="S194" s="301"/>
      <c r="T194" s="336"/>
    </row>
    <row r="195" spans="1:20" ht="12" customHeight="1" x14ac:dyDescent="0.3">
      <c r="A195" s="329" t="s">
        <v>294</v>
      </c>
      <c r="B195" s="330">
        <v>24</v>
      </c>
      <c r="C195" s="298">
        <v>46156</v>
      </c>
      <c r="D195" s="299" t="s">
        <v>860</v>
      </c>
      <c r="E195" s="522">
        <v>109.92</v>
      </c>
      <c r="F195" s="522"/>
      <c r="G195" s="333">
        <f t="shared" si="6"/>
        <v>790.25999999998464</v>
      </c>
      <c r="H195" s="334"/>
      <c r="I195" s="335"/>
      <c r="J195" s="336"/>
      <c r="K195" s="301"/>
      <c r="L195" s="336"/>
      <c r="M195" s="301"/>
      <c r="N195" s="336"/>
      <c r="O195" s="301"/>
      <c r="P195" s="336"/>
      <c r="Q195" s="301"/>
      <c r="R195" s="336"/>
      <c r="S195" s="301"/>
      <c r="T195" s="336"/>
    </row>
    <row r="196" spans="1:20" ht="12" customHeight="1" x14ac:dyDescent="0.3">
      <c r="A196" s="329" t="s">
        <v>289</v>
      </c>
      <c r="B196" s="330">
        <v>2</v>
      </c>
      <c r="C196" s="298">
        <v>46156</v>
      </c>
      <c r="D196" s="299" t="s">
        <v>334</v>
      </c>
      <c r="E196" s="522">
        <v>24.34</v>
      </c>
      <c r="F196" s="522"/>
      <c r="G196" s="333">
        <f t="shared" si="6"/>
        <v>900.1799999999846</v>
      </c>
      <c r="H196" s="334"/>
      <c r="I196" s="335"/>
      <c r="J196" s="336"/>
      <c r="K196" s="301"/>
      <c r="L196" s="336"/>
      <c r="M196" s="301"/>
      <c r="N196" s="336"/>
      <c r="O196" s="301"/>
      <c r="P196" s="336"/>
      <c r="Q196" s="301"/>
      <c r="R196" s="336"/>
      <c r="S196" s="301"/>
      <c r="T196" s="336"/>
    </row>
    <row r="197" spans="1:20" ht="12" customHeight="1" x14ac:dyDescent="0.3">
      <c r="A197" s="329" t="s">
        <v>289</v>
      </c>
      <c r="B197" s="330">
        <v>8</v>
      </c>
      <c r="C197" s="298">
        <v>46156</v>
      </c>
      <c r="D197" s="299" t="s">
        <v>846</v>
      </c>
      <c r="E197" s="522">
        <v>24.89</v>
      </c>
      <c r="F197" s="522"/>
      <c r="G197" s="333">
        <f t="shared" si="6"/>
        <v>924.51999999998463</v>
      </c>
      <c r="H197" s="334"/>
      <c r="I197" s="335"/>
      <c r="J197" s="336"/>
      <c r="K197" s="301"/>
      <c r="L197" s="336"/>
      <c r="M197" s="301"/>
      <c r="N197" s="336"/>
      <c r="O197" s="301"/>
      <c r="P197" s="336"/>
      <c r="Q197" s="301"/>
      <c r="R197" s="336"/>
      <c r="S197" s="301"/>
      <c r="T197" s="336"/>
    </row>
    <row r="198" spans="1:20" ht="12" customHeight="1" x14ac:dyDescent="0.3">
      <c r="A198" s="329" t="s">
        <v>289</v>
      </c>
      <c r="B198" s="330">
        <v>5</v>
      </c>
      <c r="C198" s="298">
        <v>46156</v>
      </c>
      <c r="D198" s="299" t="s">
        <v>846</v>
      </c>
      <c r="E198" s="522">
        <v>11.2</v>
      </c>
      <c r="F198" s="522"/>
      <c r="G198" s="333">
        <f t="shared" si="6"/>
        <v>949.40999999998462</v>
      </c>
      <c r="H198" s="334"/>
      <c r="I198" s="335"/>
      <c r="J198" s="336"/>
      <c r="K198" s="301"/>
      <c r="L198" s="336"/>
      <c r="M198" s="301"/>
      <c r="N198" s="336"/>
      <c r="O198" s="301"/>
      <c r="P198" s="336"/>
      <c r="Q198" s="301"/>
      <c r="R198" s="336"/>
      <c r="S198" s="301"/>
      <c r="T198" s="336"/>
    </row>
    <row r="199" spans="1:20" ht="12" customHeight="1" x14ac:dyDescent="0.3">
      <c r="A199" s="329" t="s">
        <v>289</v>
      </c>
      <c r="B199" s="330">
        <v>2</v>
      </c>
      <c r="C199" s="298">
        <v>46156</v>
      </c>
      <c r="D199" s="299" t="s">
        <v>324</v>
      </c>
      <c r="E199" s="522">
        <v>22.04</v>
      </c>
      <c r="F199" s="522"/>
      <c r="G199" s="333">
        <f t="shared" si="6"/>
        <v>960.60999999998467</v>
      </c>
      <c r="H199" s="334"/>
      <c r="I199" s="335"/>
      <c r="J199" s="336"/>
      <c r="K199" s="301"/>
      <c r="L199" s="336"/>
      <c r="M199" s="301"/>
      <c r="N199" s="336"/>
      <c r="O199" s="301"/>
      <c r="P199" s="336"/>
      <c r="Q199" s="301"/>
      <c r="R199" s="336"/>
      <c r="S199" s="301"/>
      <c r="T199" s="336"/>
    </row>
    <row r="200" spans="1:20" ht="12" customHeight="1" x14ac:dyDescent="0.3">
      <c r="A200" s="329" t="s">
        <v>291</v>
      </c>
      <c r="B200" s="330">
        <v>39</v>
      </c>
      <c r="C200" s="298">
        <v>46156</v>
      </c>
      <c r="D200" s="299" t="s">
        <v>292</v>
      </c>
      <c r="E200" s="522"/>
      <c r="F200" s="522">
        <v>2763.78</v>
      </c>
      <c r="G200" s="333">
        <f t="shared" si="6"/>
        <v>982.64999999998463</v>
      </c>
      <c r="H200" s="334"/>
      <c r="I200" s="335"/>
      <c r="J200" s="336"/>
      <c r="K200" s="301"/>
      <c r="L200" s="336"/>
      <c r="M200" s="301"/>
      <c r="N200" s="336"/>
      <c r="O200" s="301"/>
      <c r="P200" s="336"/>
      <c r="Q200" s="301"/>
      <c r="R200" s="336"/>
      <c r="S200" s="301"/>
      <c r="T200" s="336"/>
    </row>
    <row r="201" spans="1:20" ht="12" customHeight="1" x14ac:dyDescent="0.3">
      <c r="A201" s="329" t="s">
        <v>291</v>
      </c>
      <c r="B201" s="330">
        <v>41</v>
      </c>
      <c r="C201" s="298">
        <v>46156</v>
      </c>
      <c r="D201" s="299" t="s">
        <v>299</v>
      </c>
      <c r="E201" s="522"/>
      <c r="F201" s="522">
        <v>250</v>
      </c>
      <c r="G201" s="333">
        <f t="shared" si="6"/>
        <v>-1781.1300000000156</v>
      </c>
      <c r="H201" s="334"/>
      <c r="I201" s="335"/>
      <c r="J201" s="336"/>
      <c r="K201" s="301"/>
      <c r="L201" s="336"/>
      <c r="M201" s="301"/>
      <c r="N201" s="336"/>
      <c r="O201" s="301"/>
      <c r="P201" s="336"/>
      <c r="Q201" s="301"/>
      <c r="R201" s="336"/>
      <c r="S201" s="301"/>
      <c r="T201" s="336"/>
    </row>
    <row r="202" spans="1:20" ht="12" customHeight="1" x14ac:dyDescent="0.3">
      <c r="A202" s="329" t="s">
        <v>335</v>
      </c>
      <c r="B202" s="330" t="s">
        <v>335</v>
      </c>
      <c r="C202" s="298">
        <v>46156</v>
      </c>
      <c r="D202" s="299" t="s">
        <v>460</v>
      </c>
      <c r="E202" s="522"/>
      <c r="F202" s="522">
        <v>100</v>
      </c>
      <c r="G202" s="333">
        <f t="shared" si="6"/>
        <v>-2031.1300000000156</v>
      </c>
      <c r="H202" s="334"/>
      <c r="I202" s="335"/>
      <c r="J202" s="336"/>
      <c r="K202" s="301"/>
      <c r="L202" s="336"/>
      <c r="M202" s="301"/>
      <c r="N202" s="336"/>
      <c r="O202" s="301"/>
      <c r="P202" s="336"/>
      <c r="Q202" s="301"/>
      <c r="R202" s="336"/>
      <c r="S202" s="301"/>
      <c r="T202" s="336"/>
    </row>
    <row r="203" spans="1:20" ht="12" customHeight="1" x14ac:dyDescent="0.3">
      <c r="A203" s="329" t="s">
        <v>289</v>
      </c>
      <c r="B203" s="330">
        <v>6</v>
      </c>
      <c r="C203" s="298">
        <v>46156</v>
      </c>
      <c r="D203" s="299" t="s">
        <v>300</v>
      </c>
      <c r="E203" s="522">
        <v>13.3</v>
      </c>
      <c r="F203" s="522"/>
      <c r="G203" s="333">
        <f t="shared" si="6"/>
        <v>-2131.1300000000156</v>
      </c>
      <c r="H203" s="334"/>
      <c r="I203" s="335"/>
      <c r="J203" s="336"/>
      <c r="K203" s="301"/>
      <c r="L203" s="336"/>
      <c r="M203" s="301"/>
      <c r="N203" s="336"/>
      <c r="O203" s="301"/>
      <c r="P203" s="336"/>
      <c r="Q203" s="301"/>
      <c r="R203" s="336"/>
      <c r="S203" s="301"/>
      <c r="T203" s="336"/>
    </row>
    <row r="204" spans="1:20" ht="12" customHeight="1" x14ac:dyDescent="0.3">
      <c r="A204" s="329" t="s">
        <v>289</v>
      </c>
      <c r="B204" s="330">
        <v>2</v>
      </c>
      <c r="C204" s="298">
        <v>46155</v>
      </c>
      <c r="D204" s="299" t="s">
        <v>296</v>
      </c>
      <c r="E204" s="522">
        <v>14.67</v>
      </c>
      <c r="F204" s="522"/>
      <c r="G204" s="333">
        <f t="shared" si="6"/>
        <v>-2117.8300000000154</v>
      </c>
      <c r="H204" s="334"/>
      <c r="I204" s="335"/>
      <c r="J204" s="336"/>
      <c r="K204" s="301"/>
      <c r="L204" s="336"/>
      <c r="M204" s="301"/>
      <c r="N204" s="336"/>
      <c r="O204" s="301"/>
      <c r="P204" s="336"/>
      <c r="Q204" s="301"/>
      <c r="R204" s="336"/>
      <c r="S204" s="301"/>
      <c r="T204" s="336"/>
    </row>
    <row r="205" spans="1:20" ht="12" customHeight="1" x14ac:dyDescent="0.3">
      <c r="A205" s="329" t="s">
        <v>289</v>
      </c>
      <c r="B205" s="330">
        <v>8</v>
      </c>
      <c r="C205" s="298">
        <v>46155</v>
      </c>
      <c r="D205" s="299" t="s">
        <v>319</v>
      </c>
      <c r="E205" s="522">
        <v>22.96</v>
      </c>
      <c r="F205" s="522"/>
      <c r="G205" s="333">
        <f t="shared" si="6"/>
        <v>-2103.1600000000153</v>
      </c>
      <c r="H205" s="334"/>
      <c r="I205" s="335"/>
      <c r="J205" s="336"/>
      <c r="K205" s="301"/>
      <c r="L205" s="336"/>
      <c r="M205" s="301"/>
      <c r="N205" s="336"/>
      <c r="O205" s="301"/>
      <c r="P205" s="336"/>
      <c r="Q205" s="301"/>
      <c r="R205" s="336"/>
      <c r="S205" s="301"/>
      <c r="T205" s="336"/>
    </row>
    <row r="206" spans="1:20" ht="12" customHeight="1" x14ac:dyDescent="0.3">
      <c r="A206" s="329" t="s">
        <v>287</v>
      </c>
      <c r="B206" s="330" t="s">
        <v>287</v>
      </c>
      <c r="C206" s="298">
        <v>46155</v>
      </c>
      <c r="D206" s="299" t="s">
        <v>855</v>
      </c>
      <c r="E206" s="522">
        <v>100</v>
      </c>
      <c r="F206" s="522">
        <v>100</v>
      </c>
      <c r="G206" s="333">
        <f t="shared" si="6"/>
        <v>-2080.2000000000153</v>
      </c>
      <c r="H206" s="334"/>
      <c r="I206" s="335"/>
      <c r="J206" s="336"/>
      <c r="K206" s="301"/>
      <c r="L206" s="336"/>
      <c r="M206" s="301"/>
      <c r="N206" s="336"/>
      <c r="O206" s="301"/>
      <c r="P206" s="336"/>
      <c r="Q206" s="301"/>
      <c r="R206" s="336"/>
      <c r="S206" s="301"/>
      <c r="T206" s="336"/>
    </row>
    <row r="207" spans="1:20" ht="12" customHeight="1" x14ac:dyDescent="0.3">
      <c r="A207" s="329" t="s">
        <v>289</v>
      </c>
      <c r="B207" s="330">
        <v>4</v>
      </c>
      <c r="C207" s="298">
        <v>46154</v>
      </c>
      <c r="D207" s="299" t="s">
        <v>455</v>
      </c>
      <c r="E207" s="522">
        <v>43.14</v>
      </c>
      <c r="F207" s="522"/>
      <c r="G207" s="333">
        <f t="shared" si="6"/>
        <v>-2080.2000000000153</v>
      </c>
      <c r="H207" s="334"/>
      <c r="I207" s="335"/>
      <c r="J207" s="336"/>
      <c r="K207" s="301"/>
      <c r="L207" s="336"/>
      <c r="M207" s="301"/>
      <c r="N207" s="336"/>
      <c r="O207" s="301"/>
      <c r="P207" s="336"/>
      <c r="Q207" s="301"/>
      <c r="R207" s="336"/>
      <c r="S207" s="301"/>
      <c r="T207" s="336"/>
    </row>
    <row r="208" spans="1:20" ht="12" customHeight="1" x14ac:dyDescent="0.3">
      <c r="A208" s="329" t="s">
        <v>289</v>
      </c>
      <c r="B208" s="330">
        <v>3</v>
      </c>
      <c r="C208" s="298">
        <v>46154</v>
      </c>
      <c r="D208" s="299" t="s">
        <v>455</v>
      </c>
      <c r="E208" s="522">
        <v>7.29</v>
      </c>
      <c r="F208" s="522"/>
      <c r="G208" s="333">
        <f t="shared" si="6"/>
        <v>-2037.0600000000154</v>
      </c>
      <c r="H208" s="334"/>
      <c r="I208" s="335"/>
      <c r="J208" s="336"/>
      <c r="K208" s="301"/>
      <c r="L208" s="336"/>
      <c r="M208" s="301"/>
      <c r="N208" s="336"/>
      <c r="O208" s="301"/>
      <c r="P208" s="336"/>
      <c r="Q208" s="301"/>
      <c r="R208" s="336"/>
      <c r="S208" s="301"/>
      <c r="T208" s="336"/>
    </row>
    <row r="209" spans="1:20" ht="12" customHeight="1" x14ac:dyDescent="0.3">
      <c r="A209" s="329" t="s">
        <v>294</v>
      </c>
      <c r="B209" s="330">
        <v>19</v>
      </c>
      <c r="C209" s="298">
        <v>46154</v>
      </c>
      <c r="D209" s="299" t="s">
        <v>191</v>
      </c>
      <c r="E209" s="522">
        <v>200</v>
      </c>
      <c r="F209" s="522"/>
      <c r="G209" s="333">
        <f t="shared" si="6"/>
        <v>-2029.7700000000154</v>
      </c>
      <c r="H209" s="334"/>
      <c r="I209" s="335"/>
      <c r="J209" s="336"/>
      <c r="K209" s="301"/>
      <c r="L209" s="336"/>
      <c r="M209" s="301"/>
      <c r="N209" s="336"/>
      <c r="O209" s="301"/>
      <c r="P209" s="336"/>
      <c r="Q209" s="301"/>
      <c r="R209" s="336"/>
      <c r="S209" s="301"/>
      <c r="T209" s="336"/>
    </row>
    <row r="210" spans="1:20" ht="12" customHeight="1" x14ac:dyDescent="0.3">
      <c r="A210" s="329" t="s">
        <v>289</v>
      </c>
      <c r="B210" s="330">
        <v>6</v>
      </c>
      <c r="C210" s="298">
        <v>46154</v>
      </c>
      <c r="D210" s="299" t="s">
        <v>446</v>
      </c>
      <c r="E210" s="522">
        <v>-0.06</v>
      </c>
      <c r="F210" s="522"/>
      <c r="G210" s="333">
        <f t="shared" si="6"/>
        <v>-1829.7700000000154</v>
      </c>
      <c r="H210" s="334"/>
      <c r="I210" s="335"/>
      <c r="J210" s="336"/>
      <c r="K210" s="301"/>
      <c r="L210" s="336"/>
      <c r="M210" s="301"/>
      <c r="N210" s="336"/>
      <c r="O210" s="301"/>
      <c r="P210" s="336"/>
      <c r="Q210" s="301"/>
      <c r="R210" s="336"/>
      <c r="S210" s="301"/>
      <c r="T210" s="336"/>
    </row>
    <row r="211" spans="1:20" ht="12" customHeight="1" x14ac:dyDescent="0.3">
      <c r="A211" s="329" t="s">
        <v>289</v>
      </c>
      <c r="B211" s="330">
        <v>2</v>
      </c>
      <c r="C211" s="298">
        <v>46154</v>
      </c>
      <c r="D211" s="299" t="s">
        <v>301</v>
      </c>
      <c r="E211" s="522">
        <v>21.55</v>
      </c>
      <c r="F211" s="522"/>
      <c r="G211" s="333">
        <f t="shared" si="6"/>
        <v>-1829.8300000000154</v>
      </c>
      <c r="H211" s="334"/>
      <c r="I211" s="335"/>
      <c r="J211" s="336"/>
      <c r="K211" s="301"/>
      <c r="L211" s="336"/>
      <c r="M211" s="301"/>
      <c r="N211" s="336"/>
      <c r="O211" s="301"/>
      <c r="P211" s="336"/>
      <c r="Q211" s="301"/>
      <c r="R211" s="336"/>
      <c r="S211" s="301"/>
      <c r="T211" s="336"/>
    </row>
    <row r="212" spans="1:20" ht="12" customHeight="1" x14ac:dyDescent="0.3">
      <c r="A212" s="329" t="s">
        <v>289</v>
      </c>
      <c r="B212" s="330">
        <v>3</v>
      </c>
      <c r="C212" s="298">
        <v>46153</v>
      </c>
      <c r="D212" s="299" t="s">
        <v>296</v>
      </c>
      <c r="E212" s="522">
        <v>4.79</v>
      </c>
      <c r="F212" s="522"/>
      <c r="G212" s="333">
        <f t="shared" si="6"/>
        <v>-1808.2800000000154</v>
      </c>
      <c r="H212" s="334"/>
      <c r="I212" s="335"/>
      <c r="J212" s="336"/>
      <c r="K212" s="301"/>
      <c r="L212" s="336"/>
      <c r="M212" s="301"/>
      <c r="N212" s="336"/>
      <c r="O212" s="301"/>
      <c r="P212" s="336"/>
      <c r="Q212" s="301"/>
      <c r="R212" s="336"/>
      <c r="S212" s="301"/>
      <c r="T212" s="336"/>
    </row>
    <row r="213" spans="1:20" ht="12" customHeight="1" x14ac:dyDescent="0.3">
      <c r="A213" s="329" t="s">
        <v>289</v>
      </c>
      <c r="B213" s="330">
        <v>4</v>
      </c>
      <c r="C213" s="298">
        <v>46153</v>
      </c>
      <c r="D213" s="299" t="s">
        <v>296</v>
      </c>
      <c r="E213" s="522">
        <v>66.59</v>
      </c>
      <c r="F213" s="522"/>
      <c r="G213" s="333">
        <f t="shared" si="6"/>
        <v>-1803.4900000000155</v>
      </c>
      <c r="H213" s="334"/>
      <c r="I213" s="335"/>
      <c r="J213" s="336"/>
      <c r="K213" s="301"/>
      <c r="L213" s="336"/>
      <c r="M213" s="301"/>
      <c r="N213" s="336"/>
      <c r="O213" s="301"/>
      <c r="P213" s="336"/>
      <c r="Q213" s="301"/>
      <c r="R213" s="336"/>
      <c r="S213" s="301"/>
      <c r="T213" s="336"/>
    </row>
    <row r="214" spans="1:20" ht="12" customHeight="1" x14ac:dyDescent="0.3">
      <c r="A214" s="329" t="s">
        <v>287</v>
      </c>
      <c r="B214" s="330" t="s">
        <v>287</v>
      </c>
      <c r="C214" s="298">
        <v>46153</v>
      </c>
      <c r="D214" s="299" t="s">
        <v>843</v>
      </c>
      <c r="E214" s="522">
        <v>-51.06</v>
      </c>
      <c r="F214" s="522">
        <v>-51.06</v>
      </c>
      <c r="G214" s="333">
        <f t="shared" si="6"/>
        <v>-1736.9000000000156</v>
      </c>
      <c r="H214" s="334"/>
      <c r="I214" s="335"/>
      <c r="J214" s="336"/>
      <c r="K214" s="301"/>
      <c r="L214" s="336"/>
      <c r="M214" s="301"/>
      <c r="N214" s="336"/>
      <c r="O214" s="301"/>
      <c r="P214" s="336"/>
      <c r="Q214" s="301"/>
      <c r="R214" s="336"/>
      <c r="S214" s="301"/>
      <c r="T214" s="336"/>
    </row>
    <row r="215" spans="1:20" ht="12" customHeight="1" x14ac:dyDescent="0.3">
      <c r="A215" s="329" t="s">
        <v>294</v>
      </c>
      <c r="B215" s="330">
        <v>22</v>
      </c>
      <c r="C215" s="298">
        <v>46153</v>
      </c>
      <c r="D215" s="299" t="s">
        <v>352</v>
      </c>
      <c r="E215" s="522">
        <v>21.29</v>
      </c>
      <c r="F215" s="522"/>
      <c r="G215" s="333">
        <f t="shared" si="6"/>
        <v>-1736.9000000000156</v>
      </c>
      <c r="H215" s="334"/>
      <c r="I215" s="335"/>
      <c r="J215" s="336"/>
      <c r="K215" s="301"/>
      <c r="L215" s="336"/>
      <c r="M215" s="301"/>
      <c r="N215" s="336"/>
      <c r="O215" s="301"/>
      <c r="P215" s="336"/>
      <c r="Q215" s="301"/>
      <c r="R215" s="336"/>
      <c r="S215" s="301"/>
      <c r="T215" s="336"/>
    </row>
    <row r="216" spans="1:20" ht="12" customHeight="1" x14ac:dyDescent="0.3">
      <c r="A216" s="329" t="s">
        <v>289</v>
      </c>
      <c r="B216" s="330">
        <v>8</v>
      </c>
      <c r="C216" s="298">
        <v>46152</v>
      </c>
      <c r="D216" s="299" t="s">
        <v>319</v>
      </c>
      <c r="E216" s="522">
        <v>59.25</v>
      </c>
      <c r="F216" s="522"/>
      <c r="G216" s="333">
        <f t="shared" si="6"/>
        <v>-1715.6100000000156</v>
      </c>
      <c r="H216" s="334"/>
      <c r="I216" s="335"/>
      <c r="J216" s="336"/>
      <c r="K216" s="301"/>
      <c r="L216" s="336"/>
      <c r="M216" s="301"/>
      <c r="N216" s="336"/>
      <c r="O216" s="301"/>
      <c r="P216" s="336"/>
      <c r="Q216" s="301"/>
      <c r="R216" s="336"/>
      <c r="S216" s="301"/>
      <c r="T216" s="336"/>
    </row>
    <row r="217" spans="1:20" ht="12" customHeight="1" x14ac:dyDescent="0.3">
      <c r="A217" s="329" t="s">
        <v>289</v>
      </c>
      <c r="B217" s="330">
        <v>1</v>
      </c>
      <c r="C217" s="298">
        <v>46152</v>
      </c>
      <c r="D217" s="299" t="s">
        <v>304</v>
      </c>
      <c r="E217" s="522">
        <v>145.94999999999999</v>
      </c>
      <c r="F217" s="522"/>
      <c r="G217" s="333">
        <f t="shared" si="6"/>
        <v>-1656.3600000000156</v>
      </c>
      <c r="H217" s="334"/>
      <c r="I217" s="335"/>
      <c r="J217" s="336"/>
      <c r="K217" s="301"/>
      <c r="L217" s="336"/>
      <c r="M217" s="301"/>
      <c r="N217" s="336"/>
      <c r="O217" s="301"/>
      <c r="P217" s="336"/>
      <c r="Q217" s="301"/>
      <c r="R217" s="336"/>
      <c r="S217" s="301"/>
      <c r="T217" s="336"/>
    </row>
    <row r="218" spans="1:20" ht="12" customHeight="1" x14ac:dyDescent="0.3">
      <c r="A218" s="329" t="s">
        <v>289</v>
      </c>
      <c r="B218" s="330">
        <v>1</v>
      </c>
      <c r="C218" s="298">
        <v>46152</v>
      </c>
      <c r="D218" s="299" t="s">
        <v>311</v>
      </c>
      <c r="E218" s="522">
        <v>131.9</v>
      </c>
      <c r="F218" s="522"/>
      <c r="G218" s="333">
        <f t="shared" si="6"/>
        <v>-1510.4100000000155</v>
      </c>
      <c r="H218" s="334"/>
      <c r="I218" s="335"/>
      <c r="J218" s="336"/>
      <c r="K218" s="301"/>
      <c r="L218" s="336"/>
      <c r="M218" s="301"/>
      <c r="N218" s="336"/>
      <c r="O218" s="301"/>
      <c r="P218" s="336"/>
      <c r="Q218" s="301"/>
      <c r="R218" s="336"/>
      <c r="S218" s="301"/>
      <c r="T218" s="336"/>
    </row>
    <row r="219" spans="1:20" ht="12" customHeight="1" x14ac:dyDescent="0.3">
      <c r="A219" s="329" t="s">
        <v>289</v>
      </c>
      <c r="B219" s="330">
        <v>2</v>
      </c>
      <c r="C219" s="298">
        <v>46152</v>
      </c>
      <c r="D219" s="299" t="s">
        <v>850</v>
      </c>
      <c r="E219" s="522">
        <v>96.46</v>
      </c>
      <c r="F219" s="522"/>
      <c r="G219" s="333">
        <f t="shared" si="6"/>
        <v>-1378.5100000000155</v>
      </c>
      <c r="H219" s="334"/>
      <c r="I219" s="335"/>
      <c r="J219" s="336"/>
      <c r="K219" s="301"/>
      <c r="L219" s="336"/>
      <c r="M219" s="301"/>
      <c r="N219" s="336"/>
      <c r="O219" s="301"/>
      <c r="P219" s="336"/>
      <c r="Q219" s="301"/>
      <c r="R219" s="336"/>
      <c r="S219" s="301"/>
      <c r="T219" s="336"/>
    </row>
    <row r="220" spans="1:20" ht="12" customHeight="1" x14ac:dyDescent="0.3">
      <c r="A220" s="329" t="s">
        <v>289</v>
      </c>
      <c r="B220" s="330">
        <v>7</v>
      </c>
      <c r="C220" s="298">
        <v>46152</v>
      </c>
      <c r="D220" s="299" t="s">
        <v>851</v>
      </c>
      <c r="E220" s="522">
        <v>162</v>
      </c>
      <c r="F220" s="522"/>
      <c r="G220" s="333">
        <f t="shared" si="6"/>
        <v>-1282.0500000000154</v>
      </c>
      <c r="H220" s="334"/>
      <c r="I220" s="335"/>
      <c r="J220" s="336"/>
      <c r="K220" s="301"/>
      <c r="L220" s="336"/>
      <c r="M220" s="301"/>
      <c r="N220" s="336"/>
      <c r="O220" s="301"/>
      <c r="P220" s="336"/>
      <c r="Q220" s="301"/>
      <c r="R220" s="336"/>
      <c r="S220" s="301"/>
      <c r="T220" s="336"/>
    </row>
    <row r="221" spans="1:20" ht="12" customHeight="1" x14ac:dyDescent="0.3">
      <c r="A221" s="329" t="s">
        <v>289</v>
      </c>
      <c r="B221" s="330">
        <v>3</v>
      </c>
      <c r="C221" s="298">
        <v>46152</v>
      </c>
      <c r="D221" s="299" t="s">
        <v>348</v>
      </c>
      <c r="E221" s="522">
        <v>25</v>
      </c>
      <c r="F221" s="522"/>
      <c r="G221" s="333">
        <f t="shared" si="6"/>
        <v>-1120.0500000000154</v>
      </c>
      <c r="H221" s="334"/>
      <c r="I221" s="335"/>
      <c r="J221" s="336"/>
      <c r="K221" s="301"/>
      <c r="L221" s="336"/>
      <c r="M221" s="301"/>
      <c r="N221" s="336"/>
      <c r="O221" s="301"/>
      <c r="P221" s="336"/>
      <c r="Q221" s="301"/>
      <c r="R221" s="336"/>
      <c r="S221" s="301"/>
      <c r="T221" s="336"/>
    </row>
    <row r="222" spans="1:20" ht="12" customHeight="1" x14ac:dyDescent="0.3">
      <c r="A222" s="329" t="s">
        <v>289</v>
      </c>
      <c r="B222" s="330">
        <v>2</v>
      </c>
      <c r="C222" s="298">
        <v>46151</v>
      </c>
      <c r="D222" s="299" t="s">
        <v>852</v>
      </c>
      <c r="E222" s="522">
        <v>35.83</v>
      </c>
      <c r="F222" s="522"/>
      <c r="G222" s="333">
        <f t="shared" si="6"/>
        <v>-1095.0500000000154</v>
      </c>
      <c r="H222" s="334"/>
      <c r="I222" s="335"/>
      <c r="J222" s="336"/>
      <c r="K222" s="301"/>
      <c r="L222" s="336"/>
      <c r="M222" s="301"/>
      <c r="N222" s="336"/>
      <c r="O222" s="301"/>
      <c r="P222" s="336"/>
      <c r="Q222" s="301"/>
      <c r="R222" s="336"/>
      <c r="S222" s="301"/>
      <c r="T222" s="336"/>
    </row>
    <row r="223" spans="1:20" ht="12" customHeight="1" x14ac:dyDescent="0.3">
      <c r="A223" s="329" t="s">
        <v>289</v>
      </c>
      <c r="B223" s="330">
        <v>4</v>
      </c>
      <c r="C223" s="298">
        <v>46151</v>
      </c>
      <c r="D223" s="299" t="s">
        <v>310</v>
      </c>
      <c r="E223" s="522">
        <v>50.58</v>
      </c>
      <c r="F223" s="522"/>
      <c r="G223" s="333">
        <f t="shared" si="6"/>
        <v>-1059.2200000000155</v>
      </c>
      <c r="H223" s="334"/>
      <c r="I223" s="335"/>
      <c r="J223" s="336"/>
      <c r="K223" s="301"/>
      <c r="L223" s="336"/>
      <c r="M223" s="301"/>
      <c r="N223" s="336"/>
      <c r="O223" s="301"/>
      <c r="P223" s="336"/>
      <c r="Q223" s="301"/>
      <c r="R223" s="336"/>
      <c r="S223" s="301"/>
      <c r="T223" s="336"/>
    </row>
    <row r="224" spans="1:20" ht="12" customHeight="1" x14ac:dyDescent="0.3">
      <c r="A224" s="329" t="s">
        <v>289</v>
      </c>
      <c r="B224" s="330">
        <v>2</v>
      </c>
      <c r="C224" s="298">
        <v>46151</v>
      </c>
      <c r="D224" s="299" t="s">
        <v>853</v>
      </c>
      <c r="E224" s="522">
        <v>20.65</v>
      </c>
      <c r="F224" s="522"/>
      <c r="G224" s="333">
        <f t="shared" si="6"/>
        <v>-1008.6400000000156</v>
      </c>
      <c r="H224" s="334"/>
      <c r="I224" s="335"/>
      <c r="J224" s="336"/>
      <c r="K224" s="301"/>
      <c r="L224" s="336"/>
      <c r="M224" s="301"/>
      <c r="N224" s="336"/>
      <c r="O224" s="301"/>
      <c r="P224" s="336"/>
      <c r="Q224" s="301"/>
      <c r="R224" s="336"/>
      <c r="S224" s="301"/>
      <c r="T224" s="336"/>
    </row>
    <row r="225" spans="1:20" ht="12" customHeight="1" x14ac:dyDescent="0.3">
      <c r="A225" s="329" t="s">
        <v>289</v>
      </c>
      <c r="B225" s="330">
        <v>8</v>
      </c>
      <c r="C225" s="298">
        <v>46151</v>
      </c>
      <c r="D225" s="299" t="s">
        <v>319</v>
      </c>
      <c r="E225" s="522">
        <v>38.770000000000003</v>
      </c>
      <c r="F225" s="522"/>
      <c r="G225" s="333">
        <f t="shared" si="6"/>
        <v>-987.99000000001558</v>
      </c>
      <c r="H225" s="334"/>
      <c r="I225" s="335"/>
      <c r="J225" s="336"/>
      <c r="K225" s="301"/>
      <c r="L225" s="336"/>
      <c r="M225" s="301"/>
      <c r="N225" s="336"/>
      <c r="O225" s="301"/>
      <c r="P225" s="336"/>
      <c r="Q225" s="301"/>
      <c r="R225" s="336"/>
      <c r="S225" s="301"/>
      <c r="T225" s="336"/>
    </row>
    <row r="226" spans="1:20" ht="12" customHeight="1" x14ac:dyDescent="0.3">
      <c r="A226" s="329" t="s">
        <v>287</v>
      </c>
      <c r="B226" s="330" t="s">
        <v>287</v>
      </c>
      <c r="C226" s="298">
        <v>46151</v>
      </c>
      <c r="D226" s="299" t="s">
        <v>843</v>
      </c>
      <c r="E226" s="522">
        <v>383.63</v>
      </c>
      <c r="F226" s="522">
        <v>383.63</v>
      </c>
      <c r="G226" s="333">
        <f t="shared" si="6"/>
        <v>-949.2200000000156</v>
      </c>
      <c r="H226" s="334"/>
      <c r="I226" s="335"/>
      <c r="J226" s="336"/>
      <c r="K226" s="301"/>
      <c r="L226" s="336"/>
      <c r="M226" s="301"/>
      <c r="N226" s="336"/>
      <c r="O226" s="301"/>
      <c r="P226" s="336"/>
      <c r="Q226" s="301"/>
      <c r="R226" s="336"/>
      <c r="S226" s="301"/>
      <c r="T226" s="336"/>
    </row>
    <row r="227" spans="1:20" ht="12" customHeight="1" x14ac:dyDescent="0.3">
      <c r="A227" s="329" t="s">
        <v>289</v>
      </c>
      <c r="B227" s="330">
        <v>5</v>
      </c>
      <c r="C227" s="298">
        <v>46151</v>
      </c>
      <c r="D227" s="299" t="s">
        <v>854</v>
      </c>
      <c r="E227" s="522">
        <v>10.68</v>
      </c>
      <c r="F227" s="522"/>
      <c r="G227" s="333">
        <f t="shared" si="6"/>
        <v>-949.2200000000156</v>
      </c>
      <c r="H227" s="334"/>
      <c r="I227" s="335"/>
      <c r="J227" s="336"/>
      <c r="K227" s="301"/>
      <c r="L227" s="336"/>
      <c r="M227" s="301"/>
      <c r="N227" s="336"/>
      <c r="O227" s="301"/>
      <c r="P227" s="336"/>
      <c r="Q227" s="301"/>
      <c r="R227" s="336"/>
      <c r="S227" s="301"/>
      <c r="T227" s="336"/>
    </row>
    <row r="228" spans="1:20" ht="12" customHeight="1" x14ac:dyDescent="0.3">
      <c r="A228" s="329" t="s">
        <v>289</v>
      </c>
      <c r="B228" s="330">
        <v>3</v>
      </c>
      <c r="C228" s="298">
        <v>46151</v>
      </c>
      <c r="D228" s="299" t="s">
        <v>348</v>
      </c>
      <c r="E228" s="522">
        <v>9.35</v>
      </c>
      <c r="F228" s="522"/>
      <c r="G228" s="333">
        <f t="shared" si="6"/>
        <v>-938.54000000001565</v>
      </c>
      <c r="H228" s="334"/>
      <c r="I228" s="335"/>
      <c r="J228" s="336"/>
      <c r="K228" s="301"/>
      <c r="L228" s="336"/>
      <c r="M228" s="301"/>
      <c r="N228" s="336"/>
      <c r="O228" s="301"/>
      <c r="P228" s="336"/>
      <c r="Q228" s="301"/>
      <c r="R228" s="336"/>
      <c r="S228" s="301"/>
      <c r="T228" s="336"/>
    </row>
    <row r="229" spans="1:20" ht="12" customHeight="1" x14ac:dyDescent="0.3">
      <c r="A229" s="329" t="s">
        <v>287</v>
      </c>
      <c r="B229" s="330" t="s">
        <v>287</v>
      </c>
      <c r="C229" s="298">
        <v>46151</v>
      </c>
      <c r="D229" s="299" t="s">
        <v>331</v>
      </c>
      <c r="E229" s="522">
        <v>-150.9</v>
      </c>
      <c r="F229" s="522">
        <v>-150.9</v>
      </c>
      <c r="G229" s="333">
        <f t="shared" si="6"/>
        <v>-929.19000000001563</v>
      </c>
      <c r="H229" s="334"/>
      <c r="I229" s="335"/>
      <c r="J229" s="336"/>
      <c r="K229" s="301"/>
      <c r="L229" s="336"/>
      <c r="M229" s="301"/>
      <c r="N229" s="336"/>
      <c r="O229" s="301"/>
      <c r="P229" s="336"/>
      <c r="Q229" s="301"/>
      <c r="R229" s="336"/>
      <c r="S229" s="301"/>
      <c r="T229" s="336"/>
    </row>
    <row r="230" spans="1:20" ht="12" customHeight="1" x14ac:dyDescent="0.3">
      <c r="A230" s="329" t="s">
        <v>287</v>
      </c>
      <c r="B230" s="330" t="s">
        <v>287</v>
      </c>
      <c r="C230" s="298">
        <v>46151</v>
      </c>
      <c r="D230" s="299" t="s">
        <v>847</v>
      </c>
      <c r="E230" s="522">
        <v>557.9</v>
      </c>
      <c r="F230" s="522">
        <v>557.9</v>
      </c>
      <c r="G230" s="333">
        <f t="shared" si="6"/>
        <v>-929.19000000001563</v>
      </c>
      <c r="H230" s="334"/>
      <c r="I230" s="335"/>
      <c r="J230" s="336"/>
      <c r="K230" s="301"/>
      <c r="L230" s="336"/>
      <c r="M230" s="301"/>
      <c r="N230" s="336"/>
      <c r="O230" s="301"/>
      <c r="P230" s="336"/>
      <c r="Q230" s="301"/>
      <c r="R230" s="336"/>
      <c r="S230" s="301"/>
      <c r="T230" s="336"/>
    </row>
    <row r="231" spans="1:20" ht="12" customHeight="1" x14ac:dyDescent="0.3">
      <c r="A231" s="329" t="s">
        <v>294</v>
      </c>
      <c r="B231" s="330">
        <v>18</v>
      </c>
      <c r="C231" s="298">
        <v>46150</v>
      </c>
      <c r="D231" s="299" t="s">
        <v>361</v>
      </c>
      <c r="E231" s="522">
        <v>400</v>
      </c>
      <c r="F231" s="522"/>
      <c r="G231" s="333">
        <f t="shared" si="6"/>
        <v>-929.19000000001574</v>
      </c>
      <c r="H231" s="334"/>
      <c r="I231" s="335"/>
      <c r="J231" s="336"/>
      <c r="K231" s="301"/>
      <c r="L231" s="336"/>
      <c r="M231" s="301"/>
      <c r="N231" s="336"/>
      <c r="O231" s="301"/>
      <c r="P231" s="336"/>
      <c r="Q231" s="301"/>
      <c r="R231" s="336"/>
      <c r="S231" s="301"/>
      <c r="T231" s="336"/>
    </row>
    <row r="232" spans="1:20" ht="12" customHeight="1" x14ac:dyDescent="0.3">
      <c r="A232" s="329" t="s">
        <v>287</v>
      </c>
      <c r="B232" s="330" t="s">
        <v>287</v>
      </c>
      <c r="C232" s="298">
        <v>46150</v>
      </c>
      <c r="D232" s="299" t="s">
        <v>842</v>
      </c>
      <c r="E232" s="522">
        <v>200</v>
      </c>
      <c r="F232" s="522">
        <v>200</v>
      </c>
      <c r="G232" s="333">
        <f t="shared" si="6"/>
        <v>-529.19000000001574</v>
      </c>
      <c r="H232" s="334"/>
      <c r="I232" s="335"/>
      <c r="J232" s="336"/>
      <c r="K232" s="301"/>
      <c r="L232" s="336"/>
      <c r="M232" s="301"/>
      <c r="N232" s="336"/>
      <c r="O232" s="301"/>
      <c r="P232" s="336"/>
      <c r="Q232" s="301"/>
      <c r="R232" s="336"/>
      <c r="S232" s="301"/>
      <c r="T232" s="336"/>
    </row>
    <row r="233" spans="1:20" ht="12" customHeight="1" x14ac:dyDescent="0.3">
      <c r="A233" s="329" t="s">
        <v>289</v>
      </c>
      <c r="B233" s="330">
        <v>2</v>
      </c>
      <c r="C233" s="298">
        <v>46150</v>
      </c>
      <c r="D233" s="299" t="s">
        <v>473</v>
      </c>
      <c r="E233" s="522">
        <v>52.78</v>
      </c>
      <c r="F233" s="522"/>
      <c r="G233" s="333">
        <f t="shared" si="6"/>
        <v>-529.19000000001574</v>
      </c>
      <c r="H233" s="334"/>
      <c r="I233" s="335"/>
      <c r="J233" s="336"/>
      <c r="K233" s="301"/>
      <c r="L233" s="336"/>
      <c r="M233" s="301"/>
      <c r="N233" s="336"/>
      <c r="O233" s="301"/>
      <c r="P233" s="336"/>
      <c r="Q233" s="301"/>
      <c r="R233" s="336"/>
      <c r="S233" s="301"/>
      <c r="T233" s="336"/>
    </row>
    <row r="234" spans="1:20" ht="12" customHeight="1" x14ac:dyDescent="0.3">
      <c r="A234" s="329" t="s">
        <v>287</v>
      </c>
      <c r="B234" s="330" t="s">
        <v>287</v>
      </c>
      <c r="C234" s="298">
        <v>46150</v>
      </c>
      <c r="D234" s="299" t="s">
        <v>848</v>
      </c>
      <c r="E234" s="522">
        <v>137.07</v>
      </c>
      <c r="F234" s="522">
        <v>137.07</v>
      </c>
      <c r="G234" s="333">
        <f t="shared" si="6"/>
        <v>-476.41000000001571</v>
      </c>
      <c r="H234" s="334"/>
      <c r="I234" s="335"/>
      <c r="J234" s="336"/>
      <c r="K234" s="301"/>
      <c r="L234" s="336"/>
      <c r="M234" s="301"/>
      <c r="N234" s="336"/>
      <c r="O234" s="301"/>
      <c r="P234" s="336"/>
      <c r="Q234" s="301"/>
      <c r="R234" s="336"/>
      <c r="S234" s="301"/>
      <c r="T234" s="336"/>
    </row>
    <row r="235" spans="1:20" ht="12" customHeight="1" x14ac:dyDescent="0.3">
      <c r="A235" s="329" t="s">
        <v>289</v>
      </c>
      <c r="B235" s="330">
        <v>2</v>
      </c>
      <c r="C235" s="298">
        <v>46150</v>
      </c>
      <c r="D235" s="299" t="s">
        <v>358</v>
      </c>
      <c r="E235" s="522">
        <v>17.440000000000001</v>
      </c>
      <c r="F235" s="522"/>
      <c r="G235" s="333">
        <f t="shared" si="6"/>
        <v>-476.41000000001566</v>
      </c>
      <c r="H235" s="334"/>
      <c r="I235" s="335"/>
      <c r="J235" s="336"/>
      <c r="K235" s="301"/>
      <c r="L235" s="336"/>
      <c r="M235" s="301"/>
      <c r="N235" s="336"/>
      <c r="O235" s="301"/>
      <c r="P235" s="336"/>
      <c r="Q235" s="301"/>
      <c r="R235" s="336"/>
      <c r="S235" s="301"/>
      <c r="T235" s="336"/>
    </row>
    <row r="236" spans="1:20" ht="12" customHeight="1" x14ac:dyDescent="0.3">
      <c r="A236" s="329" t="s">
        <v>287</v>
      </c>
      <c r="B236" s="330" t="s">
        <v>287</v>
      </c>
      <c r="C236" s="298">
        <v>46150</v>
      </c>
      <c r="D236" s="299" t="s">
        <v>849</v>
      </c>
      <c r="E236" s="522">
        <v>359.81</v>
      </c>
      <c r="F236" s="522">
        <v>359.81</v>
      </c>
      <c r="G236" s="333">
        <f t="shared" si="6"/>
        <v>-458.97000000001566</v>
      </c>
      <c r="H236" s="334"/>
      <c r="I236" s="335"/>
      <c r="J236" s="336"/>
      <c r="K236" s="301"/>
      <c r="L236" s="336"/>
      <c r="M236" s="301"/>
      <c r="N236" s="336"/>
      <c r="O236" s="301"/>
      <c r="P236" s="336"/>
      <c r="Q236" s="301"/>
      <c r="R236" s="336"/>
      <c r="S236" s="301"/>
      <c r="T236" s="336"/>
    </row>
    <row r="237" spans="1:20" ht="12" customHeight="1" x14ac:dyDescent="0.3">
      <c r="A237" s="329" t="s">
        <v>289</v>
      </c>
      <c r="B237" s="330">
        <v>8</v>
      </c>
      <c r="C237" s="298">
        <v>46149</v>
      </c>
      <c r="D237" s="299" t="s">
        <v>846</v>
      </c>
      <c r="E237" s="522">
        <v>23.7</v>
      </c>
      <c r="F237" s="522"/>
      <c r="G237" s="333">
        <f t="shared" si="6"/>
        <v>-458.97000000001566</v>
      </c>
      <c r="H237" s="334"/>
      <c r="I237" s="335"/>
      <c r="J237" s="336"/>
      <c r="K237" s="301"/>
      <c r="L237" s="336"/>
      <c r="M237" s="301"/>
      <c r="N237" s="336"/>
      <c r="O237" s="301"/>
      <c r="P237" s="336"/>
      <c r="Q237" s="301"/>
      <c r="R237" s="336"/>
      <c r="S237" s="301"/>
      <c r="T237" s="336"/>
    </row>
    <row r="238" spans="1:20" ht="12" customHeight="1" x14ac:dyDescent="0.3">
      <c r="A238" s="329" t="s">
        <v>289</v>
      </c>
      <c r="B238" s="330">
        <v>2</v>
      </c>
      <c r="C238" s="298">
        <v>46149</v>
      </c>
      <c r="D238" s="299" t="s">
        <v>371</v>
      </c>
      <c r="E238" s="522">
        <v>13.43</v>
      </c>
      <c r="F238" s="522"/>
      <c r="G238" s="333">
        <f t="shared" si="6"/>
        <v>-435.27000000001567</v>
      </c>
      <c r="H238" s="334"/>
      <c r="I238" s="335"/>
      <c r="J238" s="336"/>
      <c r="K238" s="301"/>
      <c r="L238" s="336"/>
      <c r="M238" s="301"/>
      <c r="N238" s="336"/>
      <c r="O238" s="301"/>
      <c r="P238" s="336"/>
      <c r="Q238" s="301"/>
      <c r="R238" s="336"/>
      <c r="S238" s="301"/>
      <c r="T238" s="336"/>
    </row>
    <row r="239" spans="1:20" ht="12" customHeight="1" x14ac:dyDescent="0.3">
      <c r="A239" s="329" t="s">
        <v>294</v>
      </c>
      <c r="B239" s="330">
        <v>13</v>
      </c>
      <c r="C239" s="298">
        <v>46149</v>
      </c>
      <c r="D239" s="299" t="s">
        <v>182</v>
      </c>
      <c r="E239" s="522">
        <v>122.18</v>
      </c>
      <c r="F239" s="522"/>
      <c r="G239" s="333">
        <f t="shared" si="6"/>
        <v>-421.84000000001566</v>
      </c>
      <c r="H239" s="334"/>
      <c r="I239" s="335"/>
      <c r="J239" s="336"/>
      <c r="K239" s="301"/>
      <c r="L239" s="336"/>
      <c r="M239" s="301"/>
      <c r="N239" s="336"/>
      <c r="O239" s="301"/>
      <c r="P239" s="336"/>
      <c r="Q239" s="301"/>
      <c r="R239" s="336"/>
      <c r="S239" s="301"/>
      <c r="T239" s="336"/>
    </row>
    <row r="240" spans="1:20" ht="12" customHeight="1" x14ac:dyDescent="0.3">
      <c r="A240" s="329" t="s">
        <v>335</v>
      </c>
      <c r="B240" s="330" t="s">
        <v>335</v>
      </c>
      <c r="C240" s="298">
        <v>46149</v>
      </c>
      <c r="D240" s="299" t="s">
        <v>447</v>
      </c>
      <c r="E240" s="522">
        <v>43.62</v>
      </c>
      <c r="F240" s="522"/>
      <c r="G240" s="333">
        <f t="shared" si="6"/>
        <v>-299.66000000001566</v>
      </c>
      <c r="H240" s="334"/>
      <c r="I240" s="335"/>
      <c r="J240" s="336"/>
      <c r="K240" s="301"/>
      <c r="L240" s="336"/>
      <c r="M240" s="301"/>
      <c r="N240" s="336"/>
      <c r="O240" s="301"/>
      <c r="P240" s="336"/>
      <c r="Q240" s="301"/>
      <c r="R240" s="336"/>
      <c r="S240" s="301"/>
      <c r="T240" s="336"/>
    </row>
    <row r="241" spans="1:20" ht="12" customHeight="1" x14ac:dyDescent="0.3">
      <c r="A241" s="329" t="s">
        <v>294</v>
      </c>
      <c r="B241" s="330">
        <v>9</v>
      </c>
      <c r="C241" s="298">
        <v>46149</v>
      </c>
      <c r="D241" s="299" t="s">
        <v>58</v>
      </c>
      <c r="E241" s="522">
        <v>1231.68</v>
      </c>
      <c r="F241" s="522"/>
      <c r="G241" s="333">
        <f t="shared" si="6"/>
        <v>-256.04000000001565</v>
      </c>
      <c r="H241" s="334"/>
      <c r="I241" s="335"/>
      <c r="J241" s="336"/>
      <c r="K241" s="301"/>
      <c r="L241" s="336"/>
      <c r="M241" s="301"/>
      <c r="N241" s="336"/>
      <c r="O241" s="301"/>
      <c r="P241" s="336"/>
      <c r="Q241" s="301"/>
      <c r="R241" s="336"/>
      <c r="S241" s="301"/>
      <c r="T241" s="336"/>
    </row>
    <row r="242" spans="1:20" ht="12" customHeight="1" x14ac:dyDescent="0.3">
      <c r="A242" s="329" t="s">
        <v>289</v>
      </c>
      <c r="B242" s="330">
        <v>3</v>
      </c>
      <c r="C242" s="298">
        <v>46149</v>
      </c>
      <c r="D242" s="299" t="s">
        <v>309</v>
      </c>
      <c r="E242" s="522">
        <v>4.49</v>
      </c>
      <c r="F242" s="522"/>
      <c r="G242" s="333">
        <f t="shared" si="6"/>
        <v>975.63999999998441</v>
      </c>
      <c r="H242" s="334"/>
      <c r="I242" s="335"/>
      <c r="J242" s="336"/>
      <c r="K242" s="301"/>
      <c r="L242" s="336"/>
      <c r="M242" s="301"/>
      <c r="N242" s="336"/>
      <c r="O242" s="301"/>
      <c r="P242" s="336"/>
      <c r="Q242" s="301"/>
      <c r="R242" s="336"/>
      <c r="S242" s="301"/>
      <c r="T242" s="336"/>
    </row>
    <row r="243" spans="1:20" ht="12" customHeight="1" x14ac:dyDescent="0.3">
      <c r="A243" s="329" t="s">
        <v>289</v>
      </c>
      <c r="B243" s="330">
        <v>5</v>
      </c>
      <c r="C243" s="298">
        <v>46149</v>
      </c>
      <c r="D243" s="299" t="s">
        <v>846</v>
      </c>
      <c r="E243" s="522">
        <v>19.2</v>
      </c>
      <c r="F243" s="522"/>
      <c r="G243" s="333">
        <f t="shared" si="6"/>
        <v>980.12999999998442</v>
      </c>
      <c r="H243" s="334"/>
      <c r="I243" s="335"/>
      <c r="J243" s="336"/>
      <c r="K243" s="301"/>
      <c r="L243" s="336"/>
      <c r="M243" s="301"/>
      <c r="N243" s="336"/>
      <c r="O243" s="301"/>
      <c r="P243" s="336"/>
      <c r="Q243" s="301"/>
      <c r="R243" s="336"/>
      <c r="S243" s="301"/>
      <c r="T243" s="336"/>
    </row>
    <row r="244" spans="1:20" ht="12" customHeight="1" x14ac:dyDescent="0.3">
      <c r="A244" s="329" t="s">
        <v>289</v>
      </c>
      <c r="B244" s="330">
        <v>8</v>
      </c>
      <c r="C244" s="298">
        <v>46149</v>
      </c>
      <c r="D244" s="299" t="s">
        <v>846</v>
      </c>
      <c r="E244" s="522">
        <v>35</v>
      </c>
      <c r="F244" s="522"/>
      <c r="G244" s="333">
        <f t="shared" si="6"/>
        <v>999.32999999998447</v>
      </c>
      <c r="H244" s="334"/>
      <c r="I244" s="335"/>
      <c r="J244" s="336"/>
      <c r="K244" s="301"/>
      <c r="L244" s="336"/>
      <c r="M244" s="301"/>
      <c r="N244" s="336"/>
      <c r="O244" s="301"/>
      <c r="P244" s="336"/>
      <c r="Q244" s="301"/>
      <c r="R244" s="336"/>
      <c r="S244" s="301"/>
      <c r="T244" s="336"/>
    </row>
    <row r="245" spans="1:20" ht="12" customHeight="1" x14ac:dyDescent="0.3">
      <c r="A245" s="329" t="s">
        <v>289</v>
      </c>
      <c r="B245" s="330">
        <v>8</v>
      </c>
      <c r="C245" s="298">
        <v>46149</v>
      </c>
      <c r="D245" s="299" t="s">
        <v>319</v>
      </c>
      <c r="E245" s="522">
        <v>15.93</v>
      </c>
      <c r="F245" s="522"/>
      <c r="G245" s="333">
        <f t="shared" si="6"/>
        <v>1034.3299999999845</v>
      </c>
      <c r="H245" s="334"/>
      <c r="I245" s="335"/>
      <c r="J245" s="336"/>
      <c r="K245" s="301"/>
      <c r="L245" s="336"/>
      <c r="M245" s="301"/>
      <c r="N245" s="336"/>
      <c r="O245" s="301"/>
      <c r="P245" s="336"/>
      <c r="Q245" s="301"/>
      <c r="R245" s="336"/>
      <c r="S245" s="301"/>
      <c r="T245" s="336"/>
    </row>
    <row r="246" spans="1:20" ht="12" customHeight="1" x14ac:dyDescent="0.3">
      <c r="A246" s="329" t="s">
        <v>289</v>
      </c>
      <c r="B246" s="330">
        <v>2</v>
      </c>
      <c r="C246" s="298">
        <v>46149</v>
      </c>
      <c r="D246" s="299" t="s">
        <v>296</v>
      </c>
      <c r="E246" s="522">
        <v>11.18</v>
      </c>
      <c r="F246" s="522"/>
      <c r="G246" s="333">
        <f t="shared" si="6"/>
        <v>1050.2599999999845</v>
      </c>
      <c r="H246" s="334"/>
      <c r="I246" s="335"/>
      <c r="J246" s="336"/>
      <c r="K246" s="301"/>
      <c r="L246" s="336"/>
      <c r="M246" s="301"/>
      <c r="N246" s="336"/>
      <c r="O246" s="301"/>
      <c r="P246" s="336"/>
      <c r="Q246" s="301"/>
      <c r="R246" s="336"/>
      <c r="S246" s="301"/>
      <c r="T246" s="336"/>
    </row>
    <row r="247" spans="1:20" ht="12" customHeight="1" x14ac:dyDescent="0.3">
      <c r="A247" s="329" t="s">
        <v>289</v>
      </c>
      <c r="B247" s="330">
        <v>2</v>
      </c>
      <c r="C247" s="298">
        <v>46149</v>
      </c>
      <c r="D247" s="299" t="s">
        <v>301</v>
      </c>
      <c r="E247" s="522">
        <v>16.05</v>
      </c>
      <c r="F247" s="522"/>
      <c r="G247" s="333">
        <f t="shared" ref="G247:G286" si="7">G248-E247+F247</f>
        <v>1061.4399999999846</v>
      </c>
      <c r="H247" s="334"/>
      <c r="I247" s="335"/>
      <c r="J247" s="336"/>
      <c r="K247" s="301"/>
      <c r="L247" s="336"/>
      <c r="M247" s="301"/>
      <c r="N247" s="336"/>
      <c r="O247" s="301"/>
      <c r="P247" s="336"/>
      <c r="Q247" s="301"/>
      <c r="R247" s="336"/>
      <c r="S247" s="301"/>
      <c r="T247" s="336"/>
    </row>
    <row r="248" spans="1:20" ht="12" customHeight="1" x14ac:dyDescent="0.3">
      <c r="A248" s="329" t="s">
        <v>289</v>
      </c>
      <c r="B248" s="330">
        <v>6</v>
      </c>
      <c r="C248" s="298">
        <v>46148</v>
      </c>
      <c r="D248" s="299" t="s">
        <v>340</v>
      </c>
      <c r="E248" s="522">
        <v>47.93</v>
      </c>
      <c r="F248" s="522"/>
      <c r="G248" s="333">
        <f t="shared" si="7"/>
        <v>1077.4899999999845</v>
      </c>
      <c r="H248" s="334"/>
      <c r="I248" s="335"/>
      <c r="J248" s="336"/>
      <c r="K248" s="301"/>
      <c r="L248" s="336"/>
      <c r="M248" s="301"/>
      <c r="N248" s="336"/>
      <c r="O248" s="301"/>
      <c r="P248" s="336"/>
      <c r="Q248" s="301"/>
      <c r="R248" s="336"/>
      <c r="S248" s="301"/>
      <c r="T248" s="336"/>
    </row>
    <row r="249" spans="1:20" ht="12" customHeight="1" x14ac:dyDescent="0.3">
      <c r="A249" s="329" t="s">
        <v>294</v>
      </c>
      <c r="B249" s="330">
        <v>14</v>
      </c>
      <c r="C249" s="298">
        <v>46148</v>
      </c>
      <c r="D249" s="299" t="s">
        <v>366</v>
      </c>
      <c r="E249" s="522">
        <v>66.67</v>
      </c>
      <c r="F249" s="522"/>
      <c r="G249" s="333">
        <f t="shared" si="7"/>
        <v>1125.4199999999846</v>
      </c>
      <c r="H249" s="334"/>
      <c r="I249" s="335"/>
      <c r="J249" s="336"/>
      <c r="K249" s="301"/>
      <c r="L249" s="336"/>
      <c r="M249" s="301"/>
      <c r="N249" s="336"/>
      <c r="O249" s="301"/>
      <c r="P249" s="336"/>
      <c r="Q249" s="301"/>
      <c r="R249" s="336"/>
      <c r="S249" s="301"/>
      <c r="T249" s="336"/>
    </row>
    <row r="250" spans="1:20" ht="12" customHeight="1" x14ac:dyDescent="0.3">
      <c r="A250" s="329" t="s">
        <v>289</v>
      </c>
      <c r="B250" s="330">
        <v>8</v>
      </c>
      <c r="C250" s="298">
        <v>46148</v>
      </c>
      <c r="D250" s="299" t="s">
        <v>319</v>
      </c>
      <c r="E250" s="522">
        <v>19.14</v>
      </c>
      <c r="F250" s="522"/>
      <c r="G250" s="333">
        <f t="shared" si="7"/>
        <v>1192.0899999999847</v>
      </c>
      <c r="H250" s="334"/>
      <c r="I250" s="335"/>
      <c r="J250" s="336"/>
      <c r="K250" s="301"/>
      <c r="L250" s="336"/>
      <c r="M250" s="301"/>
      <c r="N250" s="336"/>
      <c r="O250" s="301"/>
      <c r="P250" s="336"/>
      <c r="Q250" s="301"/>
      <c r="R250" s="336"/>
      <c r="S250" s="301"/>
      <c r="T250" s="336"/>
    </row>
    <row r="251" spans="1:20" ht="12" customHeight="1" x14ac:dyDescent="0.3">
      <c r="A251" s="329" t="s">
        <v>289</v>
      </c>
      <c r="B251" s="330">
        <v>4</v>
      </c>
      <c r="C251" s="298">
        <v>46148</v>
      </c>
      <c r="D251" s="299" t="s">
        <v>310</v>
      </c>
      <c r="E251" s="522">
        <v>103.69</v>
      </c>
      <c r="F251" s="522"/>
      <c r="G251" s="333">
        <f t="shared" si="7"/>
        <v>1211.2299999999848</v>
      </c>
      <c r="H251" s="334"/>
      <c r="I251" s="335"/>
      <c r="J251" s="336"/>
      <c r="K251" s="301"/>
      <c r="L251" s="336"/>
      <c r="M251" s="301"/>
      <c r="N251" s="336"/>
      <c r="O251" s="301"/>
      <c r="P251" s="336"/>
      <c r="Q251" s="301"/>
      <c r="R251" s="336"/>
      <c r="S251" s="301"/>
      <c r="T251" s="336"/>
    </row>
    <row r="252" spans="1:20" ht="12" customHeight="1" x14ac:dyDescent="0.3">
      <c r="A252" s="329" t="s">
        <v>287</v>
      </c>
      <c r="B252" s="330" t="s">
        <v>287</v>
      </c>
      <c r="C252" s="298">
        <v>46148</v>
      </c>
      <c r="D252" s="299" t="s">
        <v>843</v>
      </c>
      <c r="E252" s="522">
        <v>513.29999999999995</v>
      </c>
      <c r="F252" s="522">
        <v>513.29999999999995</v>
      </c>
      <c r="G252" s="333">
        <f t="shared" si="7"/>
        <v>1314.9199999999848</v>
      </c>
      <c r="H252" s="334"/>
      <c r="I252" s="335"/>
      <c r="J252" s="336"/>
      <c r="K252" s="301"/>
      <c r="L252" s="336"/>
      <c r="M252" s="301"/>
      <c r="N252" s="336"/>
      <c r="O252" s="301"/>
      <c r="P252" s="336"/>
      <c r="Q252" s="301"/>
      <c r="R252" s="336"/>
      <c r="S252" s="301"/>
      <c r="T252" s="336"/>
    </row>
    <row r="253" spans="1:20" ht="12" customHeight="1" x14ac:dyDescent="0.3">
      <c r="A253" s="329" t="s">
        <v>289</v>
      </c>
      <c r="B253" s="330">
        <v>6</v>
      </c>
      <c r="C253" s="298">
        <v>46148</v>
      </c>
      <c r="D253" s="299" t="s">
        <v>300</v>
      </c>
      <c r="E253" s="522">
        <v>41.52</v>
      </c>
      <c r="F253" s="522"/>
      <c r="G253" s="333">
        <f t="shared" si="7"/>
        <v>1314.9199999999848</v>
      </c>
      <c r="H253" s="334"/>
      <c r="I253" s="335"/>
      <c r="J253" s="336"/>
      <c r="K253" s="301"/>
      <c r="L253" s="336"/>
      <c r="M253" s="301"/>
      <c r="N253" s="336"/>
      <c r="O253" s="301"/>
      <c r="P253" s="336"/>
      <c r="Q253" s="301"/>
      <c r="R253" s="336"/>
      <c r="S253" s="301"/>
      <c r="T253" s="336"/>
    </row>
    <row r="254" spans="1:20" ht="12" customHeight="1" x14ac:dyDescent="0.3">
      <c r="A254" s="329" t="s">
        <v>287</v>
      </c>
      <c r="B254" s="330" t="s">
        <v>287</v>
      </c>
      <c r="C254" s="298">
        <v>46148</v>
      </c>
      <c r="D254" s="299" t="s">
        <v>844</v>
      </c>
      <c r="E254" s="522">
        <v>500.5</v>
      </c>
      <c r="F254" s="522">
        <v>500.5</v>
      </c>
      <c r="G254" s="333">
        <f t="shared" si="7"/>
        <v>1356.4399999999848</v>
      </c>
      <c r="H254" s="334"/>
      <c r="I254" s="335"/>
      <c r="J254" s="336"/>
      <c r="K254" s="301"/>
      <c r="L254" s="336"/>
      <c r="M254" s="301"/>
      <c r="N254" s="336"/>
      <c r="O254" s="301"/>
      <c r="P254" s="336"/>
      <c r="Q254" s="301"/>
      <c r="R254" s="336"/>
      <c r="S254" s="301"/>
      <c r="T254" s="336"/>
    </row>
    <row r="255" spans="1:20" ht="12" customHeight="1" x14ac:dyDescent="0.3">
      <c r="A255" s="329" t="s">
        <v>287</v>
      </c>
      <c r="B255" s="330" t="s">
        <v>287</v>
      </c>
      <c r="C255" s="298">
        <v>46148</v>
      </c>
      <c r="D255" s="299" t="s">
        <v>845</v>
      </c>
      <c r="E255" s="522">
        <v>457.94</v>
      </c>
      <c r="F255" s="522">
        <v>457.94</v>
      </c>
      <c r="G255" s="333">
        <f t="shared" si="7"/>
        <v>1356.4399999999848</v>
      </c>
      <c r="H255" s="334"/>
      <c r="I255" s="335"/>
      <c r="J255" s="336"/>
      <c r="K255" s="301"/>
      <c r="L255" s="336"/>
      <c r="M255" s="301"/>
      <c r="N255" s="336"/>
      <c r="O255" s="301"/>
      <c r="P255" s="336"/>
      <c r="Q255" s="301"/>
      <c r="R255" s="336"/>
      <c r="S255" s="301"/>
      <c r="T255" s="336"/>
    </row>
    <row r="256" spans="1:20" ht="12" customHeight="1" x14ac:dyDescent="0.3">
      <c r="A256" s="329" t="s">
        <v>289</v>
      </c>
      <c r="B256" s="330">
        <v>1</v>
      </c>
      <c r="C256" s="298">
        <v>46148</v>
      </c>
      <c r="D256" s="299" t="s">
        <v>306</v>
      </c>
      <c r="E256" s="522">
        <v>23.48</v>
      </c>
      <c r="F256" s="522"/>
      <c r="G256" s="333">
        <f t="shared" si="7"/>
        <v>1356.4399999999848</v>
      </c>
      <c r="H256" s="334"/>
      <c r="I256" s="335"/>
      <c r="J256" s="336"/>
      <c r="K256" s="301"/>
      <c r="L256" s="336"/>
      <c r="M256" s="301"/>
      <c r="N256" s="336"/>
      <c r="O256" s="301"/>
      <c r="P256" s="336"/>
      <c r="Q256" s="301"/>
      <c r="R256" s="336"/>
      <c r="S256" s="301"/>
      <c r="T256" s="336"/>
    </row>
    <row r="257" spans="1:20" ht="12" customHeight="1" x14ac:dyDescent="0.3">
      <c r="A257" s="329" t="s">
        <v>289</v>
      </c>
      <c r="B257" s="330">
        <v>2</v>
      </c>
      <c r="C257" s="298">
        <v>46147</v>
      </c>
      <c r="D257" s="299" t="s">
        <v>384</v>
      </c>
      <c r="E257" s="522">
        <v>59.03</v>
      </c>
      <c r="F257" s="522"/>
      <c r="G257" s="333">
        <f t="shared" si="7"/>
        <v>1379.9199999999848</v>
      </c>
      <c r="H257" s="334"/>
      <c r="I257" s="335"/>
      <c r="J257" s="336"/>
      <c r="K257" s="301"/>
      <c r="L257" s="336"/>
      <c r="M257" s="301"/>
      <c r="N257" s="336"/>
      <c r="O257" s="301"/>
      <c r="P257" s="336"/>
      <c r="Q257" s="301"/>
      <c r="R257" s="336"/>
      <c r="S257" s="301"/>
      <c r="T257" s="336"/>
    </row>
    <row r="258" spans="1:20" ht="12" customHeight="1" x14ac:dyDescent="0.3">
      <c r="A258" s="329" t="s">
        <v>289</v>
      </c>
      <c r="B258" s="330">
        <v>2</v>
      </c>
      <c r="C258" s="298">
        <v>46147</v>
      </c>
      <c r="D258" s="299" t="s">
        <v>334</v>
      </c>
      <c r="E258" s="522">
        <v>11.06</v>
      </c>
      <c r="F258" s="522"/>
      <c r="G258" s="333">
        <f t="shared" si="7"/>
        <v>1438.9499999999848</v>
      </c>
      <c r="H258" s="334"/>
      <c r="I258" s="335"/>
      <c r="J258" s="336"/>
      <c r="K258" s="301"/>
      <c r="L258" s="336"/>
      <c r="M258" s="301"/>
      <c r="N258" s="336"/>
      <c r="O258" s="301"/>
      <c r="P258" s="336"/>
      <c r="Q258" s="301"/>
      <c r="R258" s="336"/>
      <c r="S258" s="301"/>
      <c r="T258" s="336"/>
    </row>
    <row r="259" spans="1:20" ht="12" customHeight="1" x14ac:dyDescent="0.3">
      <c r="A259" s="329" t="s">
        <v>289</v>
      </c>
      <c r="B259" s="330">
        <v>2</v>
      </c>
      <c r="C259" s="298">
        <v>46147</v>
      </c>
      <c r="D259" s="299" t="s">
        <v>296</v>
      </c>
      <c r="E259" s="522">
        <v>8.7200000000000006</v>
      </c>
      <c r="F259" s="522"/>
      <c r="G259" s="333">
        <f t="shared" si="7"/>
        <v>1450.0099999999848</v>
      </c>
      <c r="H259" s="334"/>
      <c r="I259" s="335"/>
      <c r="J259" s="336"/>
      <c r="K259" s="301"/>
      <c r="L259" s="336"/>
      <c r="M259" s="301"/>
      <c r="N259" s="336"/>
      <c r="O259" s="301"/>
      <c r="P259" s="336"/>
      <c r="Q259" s="301"/>
      <c r="R259" s="336"/>
      <c r="S259" s="301"/>
      <c r="T259" s="336"/>
    </row>
    <row r="260" spans="1:20" ht="12" customHeight="1" x14ac:dyDescent="0.3">
      <c r="A260" s="329" t="s">
        <v>289</v>
      </c>
      <c r="B260" s="330">
        <v>4</v>
      </c>
      <c r="C260" s="298">
        <v>46147</v>
      </c>
      <c r="D260" s="299" t="s">
        <v>296</v>
      </c>
      <c r="E260" s="522">
        <v>42.88</v>
      </c>
      <c r="F260" s="522"/>
      <c r="G260" s="333">
        <f t="shared" si="7"/>
        <v>1458.7299999999848</v>
      </c>
      <c r="H260" s="334"/>
      <c r="I260" s="335"/>
      <c r="J260" s="336"/>
      <c r="K260" s="301"/>
      <c r="L260" s="336"/>
      <c r="M260" s="301"/>
      <c r="N260" s="336"/>
      <c r="O260" s="301"/>
      <c r="P260" s="336"/>
      <c r="Q260" s="301"/>
      <c r="R260" s="336"/>
      <c r="S260" s="301"/>
      <c r="T260" s="336"/>
    </row>
    <row r="261" spans="1:20" ht="12" customHeight="1" x14ac:dyDescent="0.3">
      <c r="A261" s="329" t="s">
        <v>289</v>
      </c>
      <c r="B261" s="330">
        <v>6</v>
      </c>
      <c r="C261" s="298">
        <v>46147</v>
      </c>
      <c r="D261" s="299" t="s">
        <v>300</v>
      </c>
      <c r="E261" s="522">
        <v>17.03</v>
      </c>
      <c r="F261" s="522"/>
      <c r="G261" s="333">
        <f t="shared" si="7"/>
        <v>1501.6099999999849</v>
      </c>
      <c r="H261" s="334"/>
      <c r="I261" s="335"/>
      <c r="J261" s="336"/>
      <c r="K261" s="301"/>
      <c r="L261" s="336"/>
      <c r="M261" s="301"/>
      <c r="N261" s="336"/>
      <c r="O261" s="301"/>
      <c r="P261" s="336"/>
      <c r="Q261" s="301"/>
      <c r="R261" s="336"/>
      <c r="S261" s="301"/>
      <c r="T261" s="336"/>
    </row>
    <row r="262" spans="1:20" ht="12" customHeight="1" x14ac:dyDescent="0.3">
      <c r="A262" s="329" t="s">
        <v>294</v>
      </c>
      <c r="B262" s="330">
        <v>22</v>
      </c>
      <c r="C262" s="298">
        <v>46146</v>
      </c>
      <c r="D262" s="299" t="s">
        <v>835</v>
      </c>
      <c r="E262" s="522">
        <v>13.83</v>
      </c>
      <c r="F262" s="522"/>
      <c r="G262" s="333">
        <f t="shared" si="7"/>
        <v>1518.6399999999849</v>
      </c>
      <c r="H262" s="334"/>
      <c r="I262" s="335"/>
      <c r="J262" s="336"/>
      <c r="K262" s="301"/>
      <c r="L262" s="336"/>
      <c r="M262" s="301"/>
      <c r="N262" s="336"/>
      <c r="O262" s="301"/>
      <c r="P262" s="336"/>
      <c r="Q262" s="301"/>
      <c r="R262" s="336"/>
      <c r="S262" s="301"/>
      <c r="T262" s="336"/>
    </row>
    <row r="263" spans="1:20" ht="12" customHeight="1" x14ac:dyDescent="0.3">
      <c r="A263" s="329" t="s">
        <v>289</v>
      </c>
      <c r="B263" s="330">
        <v>6</v>
      </c>
      <c r="C263" s="298">
        <v>46146</v>
      </c>
      <c r="D263" s="299" t="s">
        <v>340</v>
      </c>
      <c r="E263" s="522">
        <v>47.93</v>
      </c>
      <c r="F263" s="522"/>
      <c r="G263" s="333">
        <f t="shared" si="7"/>
        <v>1532.4699999999848</v>
      </c>
      <c r="H263" s="334"/>
      <c r="I263" s="335"/>
      <c r="J263" s="336"/>
      <c r="K263" s="301"/>
      <c r="L263" s="336"/>
      <c r="M263" s="301"/>
      <c r="N263" s="336"/>
      <c r="O263" s="301"/>
      <c r="P263" s="336"/>
      <c r="Q263" s="301"/>
      <c r="R263" s="336"/>
      <c r="S263" s="301"/>
      <c r="T263" s="336"/>
    </row>
    <row r="264" spans="1:20" ht="12" customHeight="1" x14ac:dyDescent="0.3">
      <c r="A264" s="329" t="s">
        <v>289</v>
      </c>
      <c r="B264" s="330">
        <v>2</v>
      </c>
      <c r="C264" s="298">
        <v>46146</v>
      </c>
      <c r="D264" s="299" t="s">
        <v>334</v>
      </c>
      <c r="E264" s="522">
        <v>11.06</v>
      </c>
      <c r="F264" s="522"/>
      <c r="G264" s="333">
        <f t="shared" si="7"/>
        <v>1580.3999999999849</v>
      </c>
      <c r="H264" s="334"/>
      <c r="I264" s="335"/>
      <c r="J264" s="336"/>
      <c r="K264" s="301"/>
      <c r="L264" s="336"/>
      <c r="M264" s="301"/>
      <c r="N264" s="336"/>
      <c r="O264" s="301"/>
      <c r="P264" s="336"/>
      <c r="Q264" s="301"/>
      <c r="R264" s="336"/>
      <c r="S264" s="301"/>
      <c r="T264" s="336"/>
    </row>
    <row r="265" spans="1:20" ht="12" customHeight="1" x14ac:dyDescent="0.3">
      <c r="A265" s="329" t="s">
        <v>294</v>
      </c>
      <c r="B265" s="330">
        <v>14</v>
      </c>
      <c r="C265" s="298">
        <v>46146</v>
      </c>
      <c r="D265" s="299" t="s">
        <v>367</v>
      </c>
      <c r="E265" s="522">
        <v>70.25</v>
      </c>
      <c r="F265" s="522"/>
      <c r="G265" s="333">
        <f t="shared" si="7"/>
        <v>1591.4599999999848</v>
      </c>
      <c r="H265" s="334"/>
      <c r="I265" s="335"/>
      <c r="J265" s="336"/>
      <c r="K265" s="301"/>
      <c r="L265" s="336"/>
      <c r="M265" s="301"/>
      <c r="N265" s="336"/>
      <c r="O265" s="301"/>
      <c r="P265" s="336"/>
      <c r="Q265" s="301"/>
      <c r="R265" s="336"/>
      <c r="S265" s="301"/>
      <c r="T265" s="336"/>
    </row>
    <row r="266" spans="1:20" ht="12" customHeight="1" x14ac:dyDescent="0.3">
      <c r="A266" s="329" t="s">
        <v>284</v>
      </c>
      <c r="B266" s="330">
        <v>36</v>
      </c>
      <c r="C266" s="298">
        <v>46146</v>
      </c>
      <c r="D266" s="299" t="s">
        <v>374</v>
      </c>
      <c r="E266" s="522">
        <v>50</v>
      </c>
      <c r="F266" s="522"/>
      <c r="G266" s="333">
        <f t="shared" si="7"/>
        <v>1661.7099999999848</v>
      </c>
      <c r="H266" s="334"/>
      <c r="I266" s="335"/>
      <c r="J266" s="336"/>
      <c r="K266" s="301"/>
      <c r="L266" s="336"/>
      <c r="M266" s="301"/>
      <c r="N266" s="336"/>
      <c r="O266" s="301"/>
      <c r="P266" s="336"/>
      <c r="Q266" s="301"/>
      <c r="R266" s="336"/>
      <c r="S266" s="301"/>
      <c r="T266" s="336"/>
    </row>
    <row r="267" spans="1:20" ht="12" customHeight="1" x14ac:dyDescent="0.3">
      <c r="A267" s="329" t="s">
        <v>294</v>
      </c>
      <c r="B267" s="330">
        <v>17</v>
      </c>
      <c r="C267" s="298">
        <v>46146</v>
      </c>
      <c r="D267" s="299" t="s">
        <v>370</v>
      </c>
      <c r="E267" s="522">
        <v>99</v>
      </c>
      <c r="F267" s="522"/>
      <c r="G267" s="333">
        <f t="shared" si="7"/>
        <v>1711.7099999999848</v>
      </c>
      <c r="H267" s="334"/>
      <c r="I267" s="335"/>
      <c r="J267" s="336"/>
      <c r="K267" s="301"/>
      <c r="L267" s="336"/>
      <c r="M267" s="301"/>
      <c r="N267" s="336"/>
      <c r="O267" s="301"/>
      <c r="P267" s="336"/>
      <c r="Q267" s="301"/>
      <c r="R267" s="336"/>
      <c r="S267" s="301"/>
      <c r="T267" s="336"/>
    </row>
    <row r="268" spans="1:20" ht="12" customHeight="1" x14ac:dyDescent="0.3">
      <c r="A268" s="329" t="s">
        <v>289</v>
      </c>
      <c r="B268" s="330">
        <v>5</v>
      </c>
      <c r="C268" s="298">
        <v>46145</v>
      </c>
      <c r="D268" s="299" t="s">
        <v>834</v>
      </c>
      <c r="E268" s="522">
        <v>49.13</v>
      </c>
      <c r="F268" s="522"/>
      <c r="G268" s="333">
        <f t="shared" si="7"/>
        <v>1810.7099999999848</v>
      </c>
      <c r="H268" s="334"/>
      <c r="I268" s="335"/>
      <c r="J268" s="336"/>
      <c r="K268" s="301"/>
      <c r="L268" s="336"/>
      <c r="M268" s="301"/>
      <c r="N268" s="336"/>
      <c r="O268" s="301"/>
      <c r="P268" s="336"/>
      <c r="Q268" s="301"/>
      <c r="R268" s="336"/>
      <c r="S268" s="301"/>
      <c r="T268" s="336"/>
    </row>
    <row r="269" spans="1:20" ht="12" customHeight="1" x14ac:dyDescent="0.3">
      <c r="A269" s="329" t="s">
        <v>289</v>
      </c>
      <c r="B269" s="330">
        <v>1</v>
      </c>
      <c r="C269" s="298">
        <v>46145</v>
      </c>
      <c r="D269" s="299" t="s">
        <v>831</v>
      </c>
      <c r="E269" s="522">
        <v>50</v>
      </c>
      <c r="F269" s="522"/>
      <c r="G269" s="333">
        <f t="shared" si="7"/>
        <v>1859.8399999999849</v>
      </c>
      <c r="H269" s="334"/>
      <c r="I269" s="335"/>
      <c r="J269" s="336"/>
      <c r="K269" s="301"/>
      <c r="L269" s="336"/>
      <c r="M269" s="301"/>
      <c r="N269" s="336"/>
      <c r="O269" s="301"/>
      <c r="P269" s="336"/>
      <c r="Q269" s="301"/>
      <c r="R269" s="336"/>
      <c r="S269" s="301"/>
      <c r="T269" s="336"/>
    </row>
    <row r="270" spans="1:20" ht="12" customHeight="1" x14ac:dyDescent="0.3">
      <c r="A270" s="329" t="s">
        <v>289</v>
      </c>
      <c r="B270" s="330">
        <v>1</v>
      </c>
      <c r="C270" s="298">
        <v>46145</v>
      </c>
      <c r="D270" s="299" t="s">
        <v>311</v>
      </c>
      <c r="E270" s="522">
        <v>91.98</v>
      </c>
      <c r="F270" s="522"/>
      <c r="G270" s="333">
        <f t="shared" si="7"/>
        <v>1909.8399999999849</v>
      </c>
      <c r="H270" s="334"/>
      <c r="I270" s="335"/>
      <c r="J270" s="336"/>
      <c r="K270" s="301"/>
      <c r="L270" s="336"/>
      <c r="M270" s="301"/>
      <c r="N270" s="336"/>
      <c r="O270" s="301"/>
      <c r="P270" s="336"/>
      <c r="Q270" s="301"/>
      <c r="R270" s="336"/>
      <c r="S270" s="301"/>
      <c r="T270" s="336"/>
    </row>
    <row r="271" spans="1:20" ht="12" customHeight="1" x14ac:dyDescent="0.3">
      <c r="A271" s="329" t="s">
        <v>289</v>
      </c>
      <c r="B271" s="330">
        <v>6</v>
      </c>
      <c r="C271" s="298">
        <v>46145</v>
      </c>
      <c r="D271" s="299" t="s">
        <v>832</v>
      </c>
      <c r="E271" s="522">
        <v>24.68</v>
      </c>
      <c r="F271" s="522"/>
      <c r="G271" s="333">
        <f t="shared" si="7"/>
        <v>2001.8199999999849</v>
      </c>
      <c r="H271" s="334"/>
      <c r="I271" s="335"/>
      <c r="J271" s="336"/>
      <c r="K271" s="301"/>
      <c r="L271" s="336"/>
      <c r="M271" s="301"/>
      <c r="N271" s="336"/>
      <c r="O271" s="301"/>
      <c r="P271" s="336"/>
      <c r="Q271" s="301"/>
      <c r="R271" s="336"/>
      <c r="S271" s="301"/>
      <c r="T271" s="336"/>
    </row>
    <row r="272" spans="1:20" ht="12" customHeight="1" x14ac:dyDescent="0.3">
      <c r="A272" s="329" t="s">
        <v>289</v>
      </c>
      <c r="B272" s="330">
        <v>2</v>
      </c>
      <c r="C272" s="298">
        <v>46145</v>
      </c>
      <c r="D272" s="299" t="s">
        <v>358</v>
      </c>
      <c r="E272" s="522">
        <v>2.4900000000000002</v>
      </c>
      <c r="F272" s="522"/>
      <c r="G272" s="333">
        <f t="shared" si="7"/>
        <v>2026.499999999985</v>
      </c>
      <c r="H272" s="334"/>
      <c r="I272" s="335"/>
      <c r="J272" s="336"/>
      <c r="K272" s="301"/>
      <c r="L272" s="336"/>
      <c r="M272" s="301"/>
      <c r="N272" s="336"/>
      <c r="O272" s="301"/>
      <c r="P272" s="336"/>
      <c r="Q272" s="301"/>
      <c r="R272" s="336"/>
      <c r="S272" s="301"/>
      <c r="T272" s="336"/>
    </row>
    <row r="273" spans="1:20" ht="12" customHeight="1" x14ac:dyDescent="0.3">
      <c r="A273" s="329" t="s">
        <v>294</v>
      </c>
      <c r="B273" s="330">
        <v>22</v>
      </c>
      <c r="C273" s="298">
        <v>46145</v>
      </c>
      <c r="D273" s="299" t="s">
        <v>861</v>
      </c>
      <c r="E273" s="522">
        <v>12.77</v>
      </c>
      <c r="F273" s="522"/>
      <c r="G273" s="333">
        <f t="shared" si="7"/>
        <v>2028.989999999985</v>
      </c>
      <c r="H273" s="334"/>
      <c r="I273" s="335"/>
      <c r="J273" s="336"/>
      <c r="K273" s="301"/>
      <c r="L273" s="336"/>
      <c r="M273" s="301"/>
      <c r="N273" s="336"/>
      <c r="O273" s="301"/>
      <c r="P273" s="336"/>
      <c r="Q273" s="301"/>
      <c r="R273" s="336"/>
      <c r="S273" s="301"/>
      <c r="T273" s="336"/>
    </row>
    <row r="274" spans="1:20" ht="12" customHeight="1" x14ac:dyDescent="0.3">
      <c r="A274" s="329" t="s">
        <v>289</v>
      </c>
      <c r="B274" s="330">
        <v>2</v>
      </c>
      <c r="C274" s="298">
        <v>46145</v>
      </c>
      <c r="D274" s="299" t="s">
        <v>458</v>
      </c>
      <c r="E274" s="522">
        <v>192.97</v>
      </c>
      <c r="F274" s="522"/>
      <c r="G274" s="333">
        <f t="shared" si="7"/>
        <v>2041.759999999985</v>
      </c>
      <c r="H274" s="334"/>
      <c r="I274" s="335"/>
      <c r="J274" s="336"/>
      <c r="K274" s="301"/>
      <c r="L274" s="336"/>
      <c r="M274" s="301"/>
      <c r="N274" s="336"/>
      <c r="O274" s="301"/>
      <c r="P274" s="336"/>
      <c r="Q274" s="301"/>
      <c r="R274" s="336"/>
      <c r="S274" s="301"/>
      <c r="T274" s="336"/>
    </row>
    <row r="275" spans="1:20" ht="12" customHeight="1" x14ac:dyDescent="0.3">
      <c r="A275" s="329" t="s">
        <v>289</v>
      </c>
      <c r="B275" s="330">
        <v>3</v>
      </c>
      <c r="C275" s="298">
        <v>46145</v>
      </c>
      <c r="D275" s="299" t="s">
        <v>348</v>
      </c>
      <c r="E275" s="522">
        <v>9.35</v>
      </c>
      <c r="F275" s="522"/>
      <c r="G275" s="333">
        <f t="shared" si="7"/>
        <v>2234.729999999985</v>
      </c>
      <c r="H275" s="334"/>
      <c r="I275" s="335"/>
      <c r="J275" s="336"/>
      <c r="K275" s="301"/>
      <c r="L275" s="336"/>
      <c r="M275" s="301"/>
      <c r="N275" s="336"/>
      <c r="O275" s="301"/>
      <c r="P275" s="336"/>
      <c r="Q275" s="301"/>
      <c r="R275" s="336"/>
      <c r="S275" s="301"/>
      <c r="T275" s="336"/>
    </row>
    <row r="276" spans="1:20" ht="12" customHeight="1" x14ac:dyDescent="0.3">
      <c r="A276" s="329" t="s">
        <v>289</v>
      </c>
      <c r="B276" s="330">
        <v>4</v>
      </c>
      <c r="C276" s="298">
        <v>46144</v>
      </c>
      <c r="D276" s="299" t="s">
        <v>310</v>
      </c>
      <c r="E276" s="522">
        <v>57.69</v>
      </c>
      <c r="F276" s="522"/>
      <c r="G276" s="333">
        <f t="shared" si="7"/>
        <v>2244.0799999999849</v>
      </c>
      <c r="H276" s="334"/>
      <c r="I276" s="335"/>
      <c r="J276" s="336"/>
      <c r="K276" s="301"/>
      <c r="L276" s="336"/>
      <c r="M276" s="301"/>
      <c r="N276" s="336"/>
      <c r="O276" s="301"/>
      <c r="P276" s="336"/>
      <c r="Q276" s="301"/>
      <c r="R276" s="336"/>
      <c r="S276" s="301"/>
      <c r="T276" s="336"/>
    </row>
    <row r="277" spans="1:20" ht="12" customHeight="1" x14ac:dyDescent="0.3">
      <c r="A277" s="329" t="s">
        <v>289</v>
      </c>
      <c r="B277" s="330">
        <v>8</v>
      </c>
      <c r="C277" s="298">
        <v>46144</v>
      </c>
      <c r="D277" s="299" t="s">
        <v>310</v>
      </c>
      <c r="E277" s="522">
        <v>6.37</v>
      </c>
      <c r="F277" s="522"/>
      <c r="G277" s="333">
        <f t="shared" si="7"/>
        <v>2301.769999999985</v>
      </c>
      <c r="H277" s="334"/>
      <c r="I277" s="335"/>
      <c r="J277" s="336"/>
      <c r="K277" s="301"/>
      <c r="L277" s="336"/>
      <c r="M277" s="301"/>
      <c r="N277" s="336"/>
      <c r="O277" s="301"/>
      <c r="P277" s="336"/>
      <c r="Q277" s="301"/>
      <c r="R277" s="336"/>
      <c r="S277" s="301"/>
      <c r="T277" s="336"/>
    </row>
    <row r="278" spans="1:20" ht="12" customHeight="1" x14ac:dyDescent="0.3">
      <c r="A278" s="329" t="s">
        <v>294</v>
      </c>
      <c r="B278" s="330">
        <v>22</v>
      </c>
      <c r="C278" s="298">
        <v>46144</v>
      </c>
      <c r="D278" s="299" t="s">
        <v>375</v>
      </c>
      <c r="E278" s="522">
        <v>6.37</v>
      </c>
      <c r="F278" s="522"/>
      <c r="G278" s="333">
        <f t="shared" si="7"/>
        <v>2308.1399999999849</v>
      </c>
      <c r="H278" s="334"/>
      <c r="I278" s="335"/>
      <c r="J278" s="336"/>
      <c r="K278" s="301"/>
      <c r="L278" s="336"/>
      <c r="M278" s="301"/>
      <c r="N278" s="336"/>
      <c r="O278" s="301"/>
      <c r="P278" s="336"/>
      <c r="Q278" s="301"/>
      <c r="R278" s="336"/>
      <c r="S278" s="301"/>
      <c r="T278" s="336"/>
    </row>
    <row r="279" spans="1:20" ht="12" customHeight="1" x14ac:dyDescent="0.3">
      <c r="A279" s="329" t="s">
        <v>289</v>
      </c>
      <c r="B279" s="330">
        <v>6</v>
      </c>
      <c r="C279" s="298">
        <v>46144</v>
      </c>
      <c r="D279" s="299" t="s">
        <v>300</v>
      </c>
      <c r="E279" s="522">
        <v>41.51</v>
      </c>
      <c r="F279" s="522"/>
      <c r="G279" s="333">
        <f t="shared" si="7"/>
        <v>2314.5099999999848</v>
      </c>
      <c r="H279" s="334"/>
      <c r="I279" s="335"/>
      <c r="J279" s="336"/>
      <c r="K279" s="301"/>
      <c r="L279" s="336"/>
      <c r="M279" s="301"/>
      <c r="N279" s="336"/>
      <c r="O279" s="301"/>
      <c r="P279" s="336"/>
      <c r="Q279" s="301"/>
      <c r="R279" s="336"/>
      <c r="S279" s="301"/>
      <c r="T279" s="336"/>
    </row>
    <row r="280" spans="1:20" ht="12" customHeight="1" x14ac:dyDescent="0.3">
      <c r="A280" s="329" t="s">
        <v>289</v>
      </c>
      <c r="B280" s="330">
        <v>7</v>
      </c>
      <c r="C280" s="298">
        <v>46144</v>
      </c>
      <c r="D280" s="299" t="s">
        <v>833</v>
      </c>
      <c r="E280" s="522">
        <v>74.53</v>
      </c>
      <c r="F280" s="522"/>
      <c r="G280" s="333">
        <f t="shared" si="7"/>
        <v>2356.019999999985</v>
      </c>
      <c r="H280" s="334"/>
      <c r="I280" s="335"/>
      <c r="J280" s="336"/>
      <c r="K280" s="301"/>
      <c r="L280" s="336"/>
      <c r="M280" s="301"/>
      <c r="N280" s="336"/>
      <c r="O280" s="301"/>
      <c r="P280" s="336"/>
      <c r="Q280" s="301"/>
      <c r="R280" s="336"/>
      <c r="S280" s="301"/>
      <c r="T280" s="336"/>
    </row>
    <row r="281" spans="1:20" ht="12" customHeight="1" x14ac:dyDescent="0.3">
      <c r="A281" s="329" t="s">
        <v>289</v>
      </c>
      <c r="B281" s="330">
        <v>1</v>
      </c>
      <c r="C281" s="298">
        <v>46144</v>
      </c>
      <c r="D281" s="299" t="s">
        <v>306</v>
      </c>
      <c r="E281" s="522">
        <v>72.73</v>
      </c>
      <c r="F281" s="522"/>
      <c r="G281" s="333">
        <f t="shared" si="7"/>
        <v>2430.5499999999852</v>
      </c>
      <c r="H281" s="334"/>
      <c r="I281" s="335"/>
      <c r="J281" s="336"/>
      <c r="K281" s="301"/>
      <c r="L281" s="336"/>
      <c r="M281" s="301"/>
      <c r="N281" s="336"/>
      <c r="O281" s="301"/>
      <c r="P281" s="336"/>
      <c r="Q281" s="301"/>
      <c r="R281" s="336"/>
      <c r="S281" s="301"/>
      <c r="T281" s="336"/>
    </row>
    <row r="282" spans="1:20" ht="12" customHeight="1" x14ac:dyDescent="0.3">
      <c r="A282" s="329" t="s">
        <v>289</v>
      </c>
      <c r="B282" s="330">
        <v>3</v>
      </c>
      <c r="C282" s="298">
        <v>46144</v>
      </c>
      <c r="D282" s="299" t="s">
        <v>348</v>
      </c>
      <c r="E282" s="522">
        <v>25</v>
      </c>
      <c r="F282" s="522"/>
      <c r="G282" s="333">
        <f t="shared" si="7"/>
        <v>2503.2799999999852</v>
      </c>
      <c r="H282" s="334"/>
      <c r="I282" s="335"/>
      <c r="J282" s="336"/>
      <c r="K282" s="301"/>
      <c r="L282" s="336"/>
      <c r="M282" s="301"/>
      <c r="N282" s="336"/>
      <c r="O282" s="301"/>
      <c r="P282" s="336"/>
      <c r="Q282" s="301"/>
      <c r="R282" s="336"/>
      <c r="S282" s="301"/>
      <c r="T282" s="336"/>
    </row>
    <row r="283" spans="1:20" ht="12" customHeight="1" x14ac:dyDescent="0.3">
      <c r="A283" s="329" t="s">
        <v>287</v>
      </c>
      <c r="B283" s="330" t="s">
        <v>287</v>
      </c>
      <c r="C283" s="298">
        <v>46144</v>
      </c>
      <c r="D283" s="299" t="s">
        <v>485</v>
      </c>
      <c r="E283" s="522">
        <v>121.4</v>
      </c>
      <c r="F283" s="522">
        <v>121.4</v>
      </c>
      <c r="G283" s="333">
        <f t="shared" si="7"/>
        <v>2528.2799999999852</v>
      </c>
      <c r="H283" s="334"/>
      <c r="I283" s="335"/>
      <c r="J283" s="336"/>
      <c r="K283" s="301"/>
      <c r="L283" s="336"/>
      <c r="M283" s="301"/>
      <c r="N283" s="336"/>
      <c r="O283" s="301"/>
      <c r="P283" s="336"/>
      <c r="Q283" s="301"/>
      <c r="R283" s="336"/>
      <c r="S283" s="301"/>
      <c r="T283" s="336"/>
    </row>
    <row r="284" spans="1:20" ht="12" customHeight="1" x14ac:dyDescent="0.3">
      <c r="A284" s="329" t="s">
        <v>289</v>
      </c>
      <c r="B284" s="330">
        <v>3</v>
      </c>
      <c r="C284" s="298">
        <v>46144</v>
      </c>
      <c r="D284" s="299" t="s">
        <v>348</v>
      </c>
      <c r="E284" s="522">
        <v>9.73</v>
      </c>
      <c r="F284" s="522"/>
      <c r="G284" s="333">
        <f t="shared" si="7"/>
        <v>2528.2799999999852</v>
      </c>
      <c r="H284" s="334"/>
      <c r="I284" s="335"/>
      <c r="J284" s="336"/>
      <c r="K284" s="301"/>
      <c r="L284" s="336"/>
      <c r="M284" s="301"/>
      <c r="N284" s="336"/>
      <c r="O284" s="301"/>
      <c r="P284" s="336"/>
      <c r="Q284" s="301"/>
      <c r="R284" s="336"/>
      <c r="S284" s="301"/>
      <c r="T284" s="336"/>
    </row>
    <row r="285" spans="1:20" ht="12" customHeight="1" x14ac:dyDescent="0.3">
      <c r="A285" s="329" t="s">
        <v>289</v>
      </c>
      <c r="B285" s="330">
        <v>2</v>
      </c>
      <c r="C285" s="298">
        <v>46143</v>
      </c>
      <c r="D285" s="299" t="s">
        <v>358</v>
      </c>
      <c r="E285" s="522">
        <v>8.9700000000000006</v>
      </c>
      <c r="F285" s="522"/>
      <c r="G285" s="333">
        <f t="shared" si="7"/>
        <v>2538.0099999999852</v>
      </c>
      <c r="H285" s="334"/>
      <c r="I285" s="335"/>
      <c r="J285" s="336"/>
      <c r="K285" s="301"/>
      <c r="L285" s="336"/>
      <c r="M285" s="301"/>
      <c r="N285" s="336"/>
      <c r="O285" s="301"/>
      <c r="P285" s="336"/>
      <c r="Q285" s="301"/>
      <c r="R285" s="336"/>
      <c r="S285" s="301"/>
      <c r="T285" s="336"/>
    </row>
    <row r="286" spans="1:20" s="540" customFormat="1" ht="12" customHeight="1" x14ac:dyDescent="0.3">
      <c r="A286" s="530" t="s">
        <v>284</v>
      </c>
      <c r="B286" s="531">
        <v>37</v>
      </c>
      <c r="C286" s="532">
        <v>46142</v>
      </c>
      <c r="D286" s="533" t="s">
        <v>285</v>
      </c>
      <c r="E286" s="534">
        <v>5616.82</v>
      </c>
      <c r="F286" s="534"/>
      <c r="G286" s="535">
        <f t="shared" si="7"/>
        <v>2546.979999999985</v>
      </c>
      <c r="H286" s="536"/>
      <c r="I286" s="537"/>
      <c r="J286" s="538"/>
      <c r="K286" s="539"/>
      <c r="L286" s="538"/>
      <c r="M286" s="539"/>
      <c r="N286" s="538"/>
      <c r="O286" s="539"/>
      <c r="P286" s="538"/>
      <c r="Q286" s="539"/>
      <c r="R286" s="538"/>
      <c r="S286" s="539"/>
      <c r="T286" s="538"/>
    </row>
    <row r="287" spans="1:20" ht="12" customHeight="1" x14ac:dyDescent="0.3">
      <c r="A287" s="329" t="s">
        <v>286</v>
      </c>
      <c r="B287" s="330">
        <v>25</v>
      </c>
      <c r="C287" s="298">
        <v>46142</v>
      </c>
      <c r="D287" s="298" t="s">
        <v>204</v>
      </c>
      <c r="E287" s="331">
        <v>350</v>
      </c>
      <c r="F287" s="331"/>
      <c r="G287" s="333">
        <f t="shared" ref="G287:G288" si="8">G288-E287+F287</f>
        <v>8163.7999999999847</v>
      </c>
      <c r="H287" s="334"/>
      <c r="I287" s="335"/>
      <c r="J287" s="336"/>
      <c r="K287" s="301"/>
      <c r="L287" s="336"/>
      <c r="M287" s="301"/>
      <c r="N287" s="336"/>
      <c r="O287" s="301"/>
      <c r="P287" s="336"/>
      <c r="Q287" s="301"/>
      <c r="R287" s="336"/>
      <c r="S287" s="301"/>
      <c r="T287" s="336"/>
    </row>
    <row r="288" spans="1:20" ht="12" customHeight="1" x14ac:dyDescent="0.3">
      <c r="A288" s="329" t="s">
        <v>286</v>
      </c>
      <c r="B288" s="330">
        <v>26</v>
      </c>
      <c r="C288" s="298">
        <v>46142</v>
      </c>
      <c r="D288" s="298" t="s">
        <v>205</v>
      </c>
      <c r="E288" s="331">
        <v>320</v>
      </c>
      <c r="F288" s="331"/>
      <c r="G288" s="333">
        <f t="shared" si="8"/>
        <v>8513.7999999999847</v>
      </c>
      <c r="H288" s="334"/>
      <c r="I288" s="335"/>
      <c r="J288" s="336"/>
      <c r="K288" s="301"/>
      <c r="L288" s="336"/>
      <c r="M288" s="301"/>
      <c r="N288" s="336"/>
      <c r="O288" s="301"/>
      <c r="P288" s="336"/>
      <c r="Q288" s="301"/>
      <c r="R288" s="336"/>
      <c r="S288" s="301"/>
      <c r="T288" s="336"/>
    </row>
    <row r="289" spans="1:20" ht="12" customHeight="1" x14ac:dyDescent="0.3">
      <c r="A289" s="329" t="s">
        <v>286</v>
      </c>
      <c r="B289" s="330">
        <v>27</v>
      </c>
      <c r="C289" s="298">
        <v>46142</v>
      </c>
      <c r="D289" s="298" t="s">
        <v>206</v>
      </c>
      <c r="E289" s="331">
        <v>25</v>
      </c>
      <c r="F289" s="331"/>
      <c r="G289" s="333">
        <f t="shared" ref="G289:G540" si="9">G290-E289+F289</f>
        <v>8833.7999999999847</v>
      </c>
      <c r="H289" s="334"/>
      <c r="I289" s="335"/>
      <c r="J289" s="336"/>
      <c r="K289" s="301"/>
      <c r="L289" s="336"/>
      <c r="M289" s="301"/>
      <c r="N289" s="336"/>
      <c r="O289" s="301"/>
      <c r="P289" s="336"/>
      <c r="Q289" s="301"/>
      <c r="R289" s="336"/>
      <c r="S289" s="301"/>
      <c r="T289" s="336"/>
    </row>
    <row r="290" spans="1:20" ht="12" customHeight="1" x14ac:dyDescent="0.3">
      <c r="A290" s="329" t="s">
        <v>286</v>
      </c>
      <c r="B290" s="330">
        <v>28</v>
      </c>
      <c r="C290" s="298">
        <v>46142</v>
      </c>
      <c r="D290" s="298" t="s">
        <v>207</v>
      </c>
      <c r="E290" s="331">
        <v>25</v>
      </c>
      <c r="F290" s="331"/>
      <c r="G290" s="333">
        <f t="shared" si="9"/>
        <v>8858.7999999999847</v>
      </c>
      <c r="H290" s="334"/>
      <c r="I290" s="335"/>
      <c r="J290" s="336"/>
      <c r="K290" s="301"/>
      <c r="L290" s="336"/>
      <c r="M290" s="301"/>
      <c r="N290" s="336"/>
      <c r="O290" s="301"/>
      <c r="P290" s="336"/>
      <c r="Q290" s="301"/>
      <c r="R290" s="336"/>
      <c r="S290" s="301"/>
      <c r="T290" s="336"/>
    </row>
    <row r="291" spans="1:20" ht="12" customHeight="1" x14ac:dyDescent="0.3">
      <c r="A291" s="329" t="s">
        <v>286</v>
      </c>
      <c r="B291" s="330">
        <v>29</v>
      </c>
      <c r="C291" s="298">
        <v>46142</v>
      </c>
      <c r="D291" s="298" t="s">
        <v>208</v>
      </c>
      <c r="E291" s="331">
        <v>45</v>
      </c>
      <c r="F291" s="331"/>
      <c r="G291" s="333">
        <f t="shared" si="9"/>
        <v>8883.7999999999847</v>
      </c>
      <c r="H291" s="334"/>
      <c r="I291" s="335"/>
      <c r="J291" s="336"/>
      <c r="K291" s="301"/>
      <c r="L291" s="336"/>
      <c r="M291" s="301"/>
      <c r="N291" s="336"/>
      <c r="O291" s="301"/>
      <c r="P291" s="336"/>
      <c r="Q291" s="301"/>
      <c r="R291" s="336"/>
      <c r="S291" s="301"/>
      <c r="T291" s="336"/>
    </row>
    <row r="292" spans="1:20" ht="12" customHeight="1" x14ac:dyDescent="0.3">
      <c r="A292" s="329" t="s">
        <v>286</v>
      </c>
      <c r="B292" s="330">
        <v>30</v>
      </c>
      <c r="C292" s="298">
        <v>46142</v>
      </c>
      <c r="D292" s="298" t="s">
        <v>209</v>
      </c>
      <c r="E292" s="331">
        <v>400</v>
      </c>
      <c r="F292" s="331"/>
      <c r="G292" s="333">
        <f t="shared" si="9"/>
        <v>8928.7999999999847</v>
      </c>
      <c r="H292" s="334"/>
      <c r="I292" s="335"/>
      <c r="J292" s="336"/>
      <c r="K292" s="301"/>
      <c r="L292" s="336"/>
      <c r="M292" s="301"/>
      <c r="N292" s="336"/>
      <c r="O292" s="301"/>
      <c r="P292" s="336"/>
      <c r="Q292" s="301"/>
      <c r="R292" s="336"/>
      <c r="S292" s="301"/>
      <c r="T292" s="336"/>
    </row>
    <row r="293" spans="1:20" ht="12" customHeight="1" x14ac:dyDescent="0.3">
      <c r="A293" s="329" t="s">
        <v>286</v>
      </c>
      <c r="B293" s="330">
        <v>31</v>
      </c>
      <c r="C293" s="298">
        <v>46142</v>
      </c>
      <c r="D293" s="298" t="s">
        <v>210</v>
      </c>
      <c r="E293" s="331">
        <v>375</v>
      </c>
      <c r="F293" s="331"/>
      <c r="G293" s="333">
        <f t="shared" si="9"/>
        <v>9328.7999999999847</v>
      </c>
      <c r="H293" s="334"/>
      <c r="I293" s="335"/>
      <c r="J293" s="336"/>
      <c r="K293" s="301"/>
      <c r="L293" s="336"/>
      <c r="M293" s="301"/>
      <c r="N293" s="336"/>
      <c r="O293" s="301"/>
      <c r="P293" s="336"/>
      <c r="Q293" s="301"/>
      <c r="R293" s="336"/>
      <c r="S293" s="301"/>
      <c r="T293" s="336"/>
    </row>
    <row r="294" spans="1:20" ht="12" customHeight="1" x14ac:dyDescent="0.3">
      <c r="A294" s="329" t="s">
        <v>286</v>
      </c>
      <c r="B294" s="330">
        <v>32</v>
      </c>
      <c r="C294" s="298">
        <v>46142</v>
      </c>
      <c r="D294" s="298" t="s">
        <v>211</v>
      </c>
      <c r="E294" s="331">
        <v>100</v>
      </c>
      <c r="F294" s="331"/>
      <c r="G294" s="333">
        <f t="shared" si="9"/>
        <v>9703.7999999999847</v>
      </c>
      <c r="H294" s="334"/>
      <c r="I294" s="335"/>
      <c r="J294" s="336"/>
      <c r="K294" s="301"/>
      <c r="L294" s="336"/>
      <c r="M294" s="301"/>
      <c r="N294" s="336"/>
      <c r="O294" s="301"/>
      <c r="P294" s="336"/>
      <c r="Q294" s="301"/>
      <c r="R294" s="336"/>
      <c r="S294" s="301"/>
      <c r="T294" s="336"/>
    </row>
    <row r="295" spans="1:20" ht="12" customHeight="1" x14ac:dyDescent="0.3">
      <c r="A295" s="329" t="s">
        <v>286</v>
      </c>
      <c r="B295" s="330">
        <v>33</v>
      </c>
      <c r="C295" s="298">
        <v>46142</v>
      </c>
      <c r="D295" s="298" t="s">
        <v>212</v>
      </c>
      <c r="E295" s="331">
        <v>85</v>
      </c>
      <c r="F295" s="331"/>
      <c r="G295" s="333">
        <f t="shared" si="9"/>
        <v>9803.7999999999847</v>
      </c>
      <c r="H295" s="334"/>
      <c r="I295" s="335"/>
      <c r="J295" s="336"/>
      <c r="K295" s="301"/>
      <c r="L295" s="336"/>
      <c r="M295" s="301"/>
      <c r="N295" s="336"/>
      <c r="O295" s="301"/>
      <c r="P295" s="336"/>
      <c r="Q295" s="301"/>
      <c r="R295" s="336"/>
      <c r="S295" s="301"/>
      <c r="T295" s="336"/>
    </row>
    <row r="296" spans="1:20" ht="12" customHeight="1" x14ac:dyDescent="0.3">
      <c r="A296" s="329" t="s">
        <v>286</v>
      </c>
      <c r="B296" s="330">
        <v>34</v>
      </c>
      <c r="C296" s="298">
        <v>46142</v>
      </c>
      <c r="D296" s="298" t="s">
        <v>213</v>
      </c>
      <c r="E296" s="331">
        <v>230</v>
      </c>
      <c r="F296" s="331"/>
      <c r="G296" s="333">
        <f t="shared" si="9"/>
        <v>9888.7999999999847</v>
      </c>
      <c r="H296" s="334"/>
      <c r="I296" s="335"/>
      <c r="J296" s="336"/>
      <c r="K296" s="301"/>
      <c r="L296" s="336"/>
      <c r="M296" s="301"/>
      <c r="N296" s="336"/>
      <c r="O296" s="301"/>
      <c r="P296" s="336"/>
      <c r="Q296" s="301"/>
      <c r="R296" s="336"/>
      <c r="S296" s="301"/>
      <c r="T296" s="336"/>
    </row>
    <row r="297" spans="1:20" ht="12" customHeight="1" x14ac:dyDescent="0.3">
      <c r="A297" s="329" t="s">
        <v>286</v>
      </c>
      <c r="B297" s="330">
        <v>35</v>
      </c>
      <c r="C297" s="298">
        <v>46142</v>
      </c>
      <c r="D297" s="298" t="s">
        <v>214</v>
      </c>
      <c r="E297" s="331">
        <v>45</v>
      </c>
      <c r="F297" s="331"/>
      <c r="G297" s="333">
        <f t="shared" si="9"/>
        <v>10118.799999999985</v>
      </c>
      <c r="H297" s="334"/>
      <c r="I297" s="335"/>
      <c r="J297" s="336"/>
      <c r="K297" s="301"/>
      <c r="L297" s="336"/>
      <c r="M297" s="301"/>
      <c r="N297" s="336"/>
      <c r="O297" s="301"/>
      <c r="P297" s="336"/>
      <c r="Q297" s="301"/>
      <c r="R297" s="336"/>
      <c r="S297" s="301"/>
      <c r="T297" s="336"/>
    </row>
    <row r="298" spans="1:20" ht="12" customHeight="1" x14ac:dyDescent="0.3">
      <c r="A298" s="329" t="s">
        <v>287</v>
      </c>
      <c r="B298" s="330" t="s">
        <v>287</v>
      </c>
      <c r="C298" s="298">
        <v>46142</v>
      </c>
      <c r="D298" s="299" t="s">
        <v>288</v>
      </c>
      <c r="E298" s="331">
        <v>185.64</v>
      </c>
      <c r="F298" s="331">
        <v>185.64</v>
      </c>
      <c r="G298" s="333">
        <f t="shared" si="9"/>
        <v>10163.799999999985</v>
      </c>
      <c r="H298" s="334"/>
      <c r="I298" s="335"/>
      <c r="J298" s="336"/>
      <c r="K298" s="301"/>
      <c r="L298" s="336"/>
      <c r="M298" s="301"/>
      <c r="N298" s="336"/>
      <c r="O298" s="301"/>
      <c r="P298" s="336"/>
      <c r="Q298" s="301"/>
      <c r="R298" s="336"/>
      <c r="S298" s="301"/>
      <c r="T298" s="336"/>
    </row>
    <row r="299" spans="1:20" ht="12" customHeight="1" x14ac:dyDescent="0.3">
      <c r="A299" s="329" t="s">
        <v>289</v>
      </c>
      <c r="B299" s="330">
        <v>6</v>
      </c>
      <c r="C299" s="298">
        <v>46142</v>
      </c>
      <c r="D299" s="299" t="s">
        <v>290</v>
      </c>
      <c r="E299" s="331">
        <v>30</v>
      </c>
      <c r="F299" s="331"/>
      <c r="G299" s="333">
        <f t="shared" si="9"/>
        <v>10163.799999999985</v>
      </c>
      <c r="H299" s="334"/>
      <c r="I299" s="335"/>
      <c r="J299" s="336"/>
      <c r="K299" s="301"/>
      <c r="L299" s="336"/>
      <c r="M299" s="301"/>
      <c r="N299" s="336"/>
      <c r="O299" s="301"/>
      <c r="P299" s="336"/>
      <c r="Q299" s="301"/>
      <c r="R299" s="336"/>
      <c r="S299" s="301"/>
      <c r="T299" s="336"/>
    </row>
    <row r="300" spans="1:20" ht="12" customHeight="1" x14ac:dyDescent="0.3">
      <c r="A300" s="329" t="s">
        <v>291</v>
      </c>
      <c r="B300" s="330">
        <v>39</v>
      </c>
      <c r="C300" s="298">
        <v>46142</v>
      </c>
      <c r="D300" s="299" t="s">
        <v>292</v>
      </c>
      <c r="E300" s="331"/>
      <c r="F300" s="331">
        <v>2763.78</v>
      </c>
      <c r="G300" s="333">
        <f t="shared" si="9"/>
        <v>10193.799999999985</v>
      </c>
      <c r="H300" s="334"/>
      <c r="I300" s="335"/>
      <c r="J300" s="336"/>
      <c r="K300" s="301"/>
      <c r="L300" s="336"/>
      <c r="M300" s="301"/>
      <c r="N300" s="336"/>
      <c r="O300" s="301"/>
      <c r="P300" s="336"/>
      <c r="Q300" s="301"/>
      <c r="R300" s="336"/>
      <c r="S300" s="301"/>
      <c r="T300" s="336"/>
    </row>
    <row r="301" spans="1:20" ht="12" customHeight="1" x14ac:dyDescent="0.3">
      <c r="A301" s="329" t="s">
        <v>291</v>
      </c>
      <c r="B301" s="330">
        <v>38</v>
      </c>
      <c r="C301" s="298">
        <v>46142</v>
      </c>
      <c r="D301" s="299" t="s">
        <v>293</v>
      </c>
      <c r="E301" s="331"/>
      <c r="F301" s="331">
        <v>4597.82</v>
      </c>
      <c r="G301" s="333">
        <f t="shared" si="9"/>
        <v>7430.019999999985</v>
      </c>
      <c r="H301" s="334"/>
      <c r="I301" s="335"/>
      <c r="J301" s="336"/>
      <c r="K301" s="301"/>
      <c r="L301" s="336"/>
      <c r="M301" s="301"/>
      <c r="N301" s="336"/>
      <c r="O301" s="301"/>
      <c r="P301" s="336"/>
      <c r="Q301" s="301"/>
      <c r="R301" s="336"/>
      <c r="S301" s="301"/>
      <c r="T301" s="336"/>
    </row>
    <row r="302" spans="1:20" ht="12" customHeight="1" x14ac:dyDescent="0.3">
      <c r="A302" s="329" t="s">
        <v>294</v>
      </c>
      <c r="B302" s="330">
        <v>42</v>
      </c>
      <c r="C302" s="298">
        <v>46142</v>
      </c>
      <c r="D302" s="299" t="s">
        <v>200</v>
      </c>
      <c r="E302" s="331">
        <v>50.92</v>
      </c>
      <c r="F302" s="331"/>
      <c r="G302" s="333">
        <f t="shared" si="9"/>
        <v>2832.1999999999853</v>
      </c>
      <c r="H302" s="334"/>
      <c r="I302" s="335"/>
      <c r="J302" s="336"/>
      <c r="K302" s="301"/>
      <c r="L302" s="336"/>
      <c r="M302" s="301"/>
      <c r="N302" s="336"/>
      <c r="O302" s="301"/>
      <c r="P302" s="336"/>
      <c r="Q302" s="301"/>
      <c r="R302" s="336"/>
      <c r="S302" s="301"/>
      <c r="T302" s="336"/>
    </row>
    <row r="303" spans="1:20" ht="12" customHeight="1" x14ac:dyDescent="0.3">
      <c r="A303" s="329" t="s">
        <v>294</v>
      </c>
      <c r="B303" s="330">
        <v>43</v>
      </c>
      <c r="C303" s="298">
        <v>46142</v>
      </c>
      <c r="D303" s="299" t="s">
        <v>201</v>
      </c>
      <c r="E303" s="331">
        <v>50.92</v>
      </c>
      <c r="F303" s="331"/>
      <c r="G303" s="333">
        <f t="shared" si="9"/>
        <v>2883.1199999999853</v>
      </c>
      <c r="H303" s="334"/>
      <c r="I303" s="335"/>
      <c r="J303" s="336"/>
      <c r="K303" s="301"/>
      <c r="L303" s="336"/>
      <c r="M303" s="301"/>
      <c r="N303" s="336"/>
      <c r="O303" s="301"/>
      <c r="P303" s="336"/>
      <c r="Q303" s="301"/>
      <c r="R303" s="336"/>
      <c r="S303" s="301"/>
      <c r="T303" s="336"/>
    </row>
    <row r="304" spans="1:20" ht="12" customHeight="1" x14ac:dyDescent="0.3">
      <c r="A304" s="329" t="s">
        <v>289</v>
      </c>
      <c r="B304" s="330">
        <v>4</v>
      </c>
      <c r="C304" s="298">
        <v>46142</v>
      </c>
      <c r="D304" s="299" t="s">
        <v>295</v>
      </c>
      <c r="E304" s="331">
        <v>35.799999999999997</v>
      </c>
      <c r="F304" s="331"/>
      <c r="G304" s="333">
        <f t="shared" si="9"/>
        <v>2934.0399999999854</v>
      </c>
      <c r="H304" s="334"/>
      <c r="I304" s="335"/>
      <c r="J304" s="336"/>
      <c r="K304" s="301"/>
      <c r="L304" s="336"/>
      <c r="M304" s="301"/>
      <c r="N304" s="336"/>
      <c r="O304" s="301"/>
      <c r="P304" s="336"/>
      <c r="Q304" s="301"/>
      <c r="R304" s="336"/>
      <c r="S304" s="301"/>
      <c r="T304" s="336"/>
    </row>
    <row r="305" spans="1:20" ht="12" customHeight="1" x14ac:dyDescent="0.3">
      <c r="A305" s="329" t="s">
        <v>294</v>
      </c>
      <c r="B305" s="330">
        <v>10</v>
      </c>
      <c r="C305" s="298">
        <v>46142</v>
      </c>
      <c r="D305" s="299" t="s">
        <v>176</v>
      </c>
      <c r="E305" s="331">
        <v>17.899999999999999</v>
      </c>
      <c r="F305" s="331"/>
      <c r="G305" s="333">
        <f t="shared" si="9"/>
        <v>2969.8399999999856</v>
      </c>
      <c r="H305" s="334"/>
      <c r="I305" s="335"/>
      <c r="J305" s="336"/>
      <c r="K305" s="301"/>
      <c r="L305" s="336"/>
      <c r="M305" s="301"/>
      <c r="N305" s="336"/>
      <c r="O305" s="301"/>
      <c r="P305" s="336"/>
      <c r="Q305" s="301"/>
      <c r="R305" s="336"/>
      <c r="S305" s="301"/>
      <c r="T305" s="336"/>
    </row>
    <row r="306" spans="1:20" ht="12" customHeight="1" x14ac:dyDescent="0.3">
      <c r="A306" s="329" t="s">
        <v>289</v>
      </c>
      <c r="B306" s="330">
        <v>2</v>
      </c>
      <c r="C306" s="298">
        <v>46142</v>
      </c>
      <c r="D306" s="299" t="s">
        <v>296</v>
      </c>
      <c r="E306" s="331">
        <v>8.7200000000000006</v>
      </c>
      <c r="F306" s="331"/>
      <c r="G306" s="333">
        <f t="shared" si="9"/>
        <v>2987.7399999999857</v>
      </c>
      <c r="H306" s="334"/>
      <c r="I306" s="335"/>
      <c r="J306" s="336"/>
      <c r="K306" s="301"/>
      <c r="L306" s="336"/>
      <c r="M306" s="301"/>
      <c r="N306" s="336"/>
      <c r="O306" s="301"/>
      <c r="P306" s="336"/>
      <c r="Q306" s="301"/>
      <c r="R306" s="336"/>
      <c r="S306" s="301"/>
      <c r="T306" s="336"/>
    </row>
    <row r="307" spans="1:20" ht="12" customHeight="1" x14ac:dyDescent="0.3">
      <c r="A307" s="329" t="s">
        <v>289</v>
      </c>
      <c r="B307" s="330">
        <v>2</v>
      </c>
      <c r="C307" s="298">
        <v>46142</v>
      </c>
      <c r="D307" s="299" t="s">
        <v>297</v>
      </c>
      <c r="E307" s="331">
        <v>100</v>
      </c>
      <c r="F307" s="331"/>
      <c r="G307" s="333">
        <f t="shared" si="9"/>
        <v>2996.4599999999855</v>
      </c>
      <c r="H307" s="334" t="s">
        <v>298</v>
      </c>
      <c r="I307" s="335"/>
      <c r="J307" s="336"/>
      <c r="K307" s="301"/>
      <c r="L307" s="336"/>
      <c r="M307" s="301"/>
      <c r="N307" s="336"/>
      <c r="O307" s="301"/>
      <c r="P307" s="336"/>
      <c r="Q307" s="301"/>
      <c r="R307" s="336"/>
      <c r="S307" s="301"/>
      <c r="T307" s="336"/>
    </row>
    <row r="308" spans="1:20" ht="12" customHeight="1" x14ac:dyDescent="0.3">
      <c r="A308" s="329" t="s">
        <v>289</v>
      </c>
      <c r="B308" s="330">
        <v>5</v>
      </c>
      <c r="C308" s="298">
        <v>46142</v>
      </c>
      <c r="D308" s="299" t="s">
        <v>297</v>
      </c>
      <c r="E308" s="331">
        <v>100</v>
      </c>
      <c r="F308" s="331"/>
      <c r="G308" s="333">
        <f t="shared" si="9"/>
        <v>3096.4599999999855</v>
      </c>
      <c r="H308" s="334" t="s">
        <v>298</v>
      </c>
      <c r="I308" s="335"/>
      <c r="J308" s="336"/>
      <c r="K308" s="301"/>
      <c r="L308" s="336"/>
      <c r="M308" s="301"/>
      <c r="N308" s="336"/>
      <c r="O308" s="301"/>
      <c r="P308" s="336"/>
      <c r="Q308" s="301"/>
      <c r="R308" s="336"/>
      <c r="S308" s="301"/>
      <c r="T308" s="336"/>
    </row>
    <row r="309" spans="1:20" ht="12" customHeight="1" x14ac:dyDescent="0.3">
      <c r="A309" s="329" t="s">
        <v>289</v>
      </c>
      <c r="B309" s="330">
        <v>6</v>
      </c>
      <c r="C309" s="298">
        <v>46142</v>
      </c>
      <c r="D309" s="299" t="s">
        <v>297</v>
      </c>
      <c r="E309" s="331">
        <v>100</v>
      </c>
      <c r="F309" s="331"/>
      <c r="G309" s="333">
        <f t="shared" si="9"/>
        <v>3196.4599999999855</v>
      </c>
      <c r="H309" s="334" t="s">
        <v>298</v>
      </c>
      <c r="I309" s="335"/>
      <c r="J309" s="336"/>
      <c r="K309" s="301"/>
      <c r="L309" s="336"/>
      <c r="M309" s="301"/>
      <c r="N309" s="336"/>
      <c r="O309" s="301"/>
      <c r="P309" s="336"/>
      <c r="Q309" s="301"/>
      <c r="R309" s="336"/>
      <c r="S309" s="301"/>
      <c r="T309" s="336"/>
    </row>
    <row r="310" spans="1:20" ht="12" customHeight="1" x14ac:dyDescent="0.3">
      <c r="A310" s="329" t="s">
        <v>289</v>
      </c>
      <c r="B310" s="330">
        <v>8</v>
      </c>
      <c r="C310" s="298">
        <v>46142</v>
      </c>
      <c r="D310" s="299" t="s">
        <v>297</v>
      </c>
      <c r="E310" s="331">
        <v>100</v>
      </c>
      <c r="F310" s="331"/>
      <c r="G310" s="333">
        <f t="shared" si="9"/>
        <v>3296.4599999999855</v>
      </c>
      <c r="H310" s="334" t="s">
        <v>298</v>
      </c>
      <c r="I310" s="335"/>
      <c r="J310" s="336"/>
      <c r="K310" s="301"/>
      <c r="L310" s="336"/>
      <c r="M310" s="301"/>
      <c r="N310" s="336"/>
      <c r="O310" s="301"/>
      <c r="P310" s="336"/>
      <c r="Q310" s="301"/>
      <c r="R310" s="336"/>
      <c r="S310" s="301"/>
      <c r="T310" s="336"/>
    </row>
    <row r="311" spans="1:20" ht="12" customHeight="1" x14ac:dyDescent="0.3">
      <c r="A311" s="329" t="s">
        <v>291</v>
      </c>
      <c r="B311" s="330">
        <v>41</v>
      </c>
      <c r="C311" s="298">
        <v>46142</v>
      </c>
      <c r="D311" s="299" t="s">
        <v>299</v>
      </c>
      <c r="E311" s="331"/>
      <c r="F311" s="331">
        <v>250</v>
      </c>
      <c r="G311" s="333">
        <f t="shared" si="9"/>
        <v>3396.4599999999855</v>
      </c>
      <c r="H311" s="334"/>
      <c r="I311" s="335"/>
      <c r="J311" s="336"/>
      <c r="K311" s="301"/>
      <c r="L311" s="336"/>
      <c r="M311" s="301"/>
      <c r="N311" s="336"/>
      <c r="O311" s="301"/>
      <c r="P311" s="336"/>
      <c r="Q311" s="301"/>
      <c r="R311" s="336"/>
      <c r="S311" s="301"/>
      <c r="T311" s="336"/>
    </row>
    <row r="312" spans="1:20" ht="12" customHeight="1" x14ac:dyDescent="0.3">
      <c r="A312" s="329" t="s">
        <v>289</v>
      </c>
      <c r="B312" s="330">
        <v>6</v>
      </c>
      <c r="C312" s="298">
        <v>46142</v>
      </c>
      <c r="D312" s="299" t="s">
        <v>300</v>
      </c>
      <c r="E312" s="331">
        <v>42.44</v>
      </c>
      <c r="F312" s="331"/>
      <c r="G312" s="333">
        <f t="shared" si="9"/>
        <v>3146.4599999999855</v>
      </c>
      <c r="H312" s="334"/>
      <c r="I312" s="335"/>
      <c r="J312" s="336"/>
      <c r="K312" s="301"/>
      <c r="L312" s="336"/>
      <c r="M312" s="301"/>
      <c r="N312" s="336"/>
      <c r="O312" s="301"/>
      <c r="P312" s="336"/>
      <c r="Q312" s="301"/>
      <c r="R312" s="336"/>
      <c r="S312" s="301"/>
      <c r="T312" s="336"/>
    </row>
    <row r="313" spans="1:20" ht="12" customHeight="1" x14ac:dyDescent="0.3">
      <c r="A313" s="329" t="s">
        <v>289</v>
      </c>
      <c r="B313" s="330">
        <v>6</v>
      </c>
      <c r="C313" s="298">
        <v>46142</v>
      </c>
      <c r="D313" s="299" t="s">
        <v>300</v>
      </c>
      <c r="E313" s="331">
        <v>24.05</v>
      </c>
      <c r="F313" s="331"/>
      <c r="G313" s="333">
        <f t="shared" si="9"/>
        <v>3188.8999999999855</v>
      </c>
      <c r="H313" s="334"/>
      <c r="I313" s="335"/>
      <c r="J313" s="336"/>
      <c r="K313" s="301"/>
      <c r="L313" s="336"/>
      <c r="M313" s="301"/>
      <c r="N313" s="336"/>
      <c r="O313" s="301"/>
      <c r="P313" s="336"/>
      <c r="Q313" s="301"/>
      <c r="R313" s="336"/>
      <c r="S313" s="301"/>
      <c r="T313" s="336"/>
    </row>
    <row r="314" spans="1:20" ht="12" customHeight="1" x14ac:dyDescent="0.3">
      <c r="A314" s="329" t="s">
        <v>289</v>
      </c>
      <c r="B314" s="330">
        <v>2</v>
      </c>
      <c r="C314" s="298">
        <v>46141</v>
      </c>
      <c r="D314" s="299" t="s">
        <v>301</v>
      </c>
      <c r="E314" s="331">
        <v>31.8</v>
      </c>
      <c r="F314" s="331"/>
      <c r="G314" s="333">
        <f t="shared" si="9"/>
        <v>3212.9499999999857</v>
      </c>
      <c r="H314" s="334"/>
      <c r="I314" s="335"/>
      <c r="J314" s="336"/>
      <c r="K314" s="301"/>
      <c r="L314" s="336"/>
      <c r="M314" s="301"/>
      <c r="N314" s="336"/>
      <c r="O314" s="301"/>
      <c r="P314" s="336"/>
      <c r="Q314" s="301"/>
      <c r="R314" s="336"/>
      <c r="S314" s="301"/>
      <c r="T314" s="336"/>
    </row>
    <row r="315" spans="1:20" ht="12" customHeight="1" x14ac:dyDescent="0.3">
      <c r="A315" s="329" t="s">
        <v>289</v>
      </c>
      <c r="B315" s="330">
        <v>6</v>
      </c>
      <c r="C315" s="298">
        <v>46141</v>
      </c>
      <c r="D315" s="299" t="s">
        <v>302</v>
      </c>
      <c r="E315" s="331">
        <v>100</v>
      </c>
      <c r="F315" s="331"/>
      <c r="G315" s="333">
        <f t="shared" si="9"/>
        <v>3244.7499999999859</v>
      </c>
      <c r="H315" s="334"/>
      <c r="I315" s="335"/>
      <c r="J315" s="336"/>
      <c r="K315" s="301"/>
      <c r="L315" s="336"/>
      <c r="M315" s="301"/>
      <c r="N315" s="336"/>
      <c r="O315" s="301"/>
      <c r="P315" s="336"/>
      <c r="Q315" s="301"/>
      <c r="R315" s="336"/>
      <c r="S315" s="301"/>
      <c r="T315" s="336"/>
    </row>
    <row r="316" spans="1:20" ht="12" customHeight="1" x14ac:dyDescent="0.3">
      <c r="A316" s="329" t="s">
        <v>289</v>
      </c>
      <c r="B316" s="330">
        <v>6</v>
      </c>
      <c r="C316" s="298">
        <v>46141</v>
      </c>
      <c r="D316" s="299" t="s">
        <v>303</v>
      </c>
      <c r="E316" s="331">
        <v>75</v>
      </c>
      <c r="F316" s="331"/>
      <c r="G316" s="333">
        <f t="shared" si="9"/>
        <v>3344.7499999999859</v>
      </c>
      <c r="H316" s="334"/>
      <c r="I316" s="335"/>
      <c r="J316" s="336"/>
      <c r="K316" s="301"/>
      <c r="L316" s="336"/>
      <c r="M316" s="301"/>
      <c r="N316" s="336"/>
      <c r="O316" s="301"/>
      <c r="P316" s="336"/>
      <c r="Q316" s="301"/>
      <c r="R316" s="336"/>
      <c r="S316" s="301"/>
      <c r="T316" s="336"/>
    </row>
    <row r="317" spans="1:20" ht="12" customHeight="1" x14ac:dyDescent="0.3">
      <c r="A317" s="329" t="s">
        <v>289</v>
      </c>
      <c r="B317" s="330">
        <v>1</v>
      </c>
      <c r="C317" s="298">
        <v>46141</v>
      </c>
      <c r="D317" s="299" t="s">
        <v>304</v>
      </c>
      <c r="E317" s="331">
        <v>52.5</v>
      </c>
      <c r="F317" s="331"/>
      <c r="G317" s="333">
        <f t="shared" si="9"/>
        <v>3419.7499999999859</v>
      </c>
      <c r="H317" s="334"/>
      <c r="I317" s="335"/>
      <c r="J317" s="336"/>
      <c r="K317" s="301"/>
      <c r="L317" s="336"/>
      <c r="M317" s="301"/>
      <c r="N317" s="336"/>
      <c r="O317" s="301"/>
      <c r="P317" s="336"/>
      <c r="Q317" s="301"/>
      <c r="R317" s="336"/>
      <c r="S317" s="301"/>
      <c r="T317" s="336"/>
    </row>
    <row r="318" spans="1:20" ht="12" customHeight="1" x14ac:dyDescent="0.3">
      <c r="A318" s="329" t="s">
        <v>289</v>
      </c>
      <c r="B318" s="330">
        <v>6</v>
      </c>
      <c r="C318" s="298">
        <v>46141</v>
      </c>
      <c r="D318" s="299" t="s">
        <v>305</v>
      </c>
      <c r="E318" s="331">
        <v>-256</v>
      </c>
      <c r="F318" s="331"/>
      <c r="G318" s="333">
        <f t="shared" si="9"/>
        <v>3472.2499999999859</v>
      </c>
      <c r="H318" s="334"/>
      <c r="I318" s="335"/>
      <c r="J318" s="336"/>
      <c r="K318" s="301"/>
      <c r="L318" s="336"/>
      <c r="M318" s="301"/>
      <c r="N318" s="336"/>
      <c r="O318" s="301"/>
      <c r="P318" s="336"/>
      <c r="Q318" s="301"/>
      <c r="R318" s="336"/>
      <c r="S318" s="301"/>
      <c r="T318" s="336"/>
    </row>
    <row r="319" spans="1:20" ht="12" customHeight="1" x14ac:dyDescent="0.3">
      <c r="A319" s="329" t="s">
        <v>289</v>
      </c>
      <c r="B319" s="330">
        <v>6</v>
      </c>
      <c r="C319" s="298">
        <v>46140</v>
      </c>
      <c r="D319" s="299" t="s">
        <v>300</v>
      </c>
      <c r="E319" s="331">
        <v>20.38</v>
      </c>
      <c r="F319" s="331"/>
      <c r="G319" s="333">
        <f t="shared" si="9"/>
        <v>3216.2499999999859</v>
      </c>
      <c r="H319" s="334"/>
      <c r="I319" s="335"/>
      <c r="J319" s="336"/>
      <c r="K319" s="301"/>
      <c r="L319" s="336"/>
      <c r="M319" s="301"/>
      <c r="N319" s="336"/>
      <c r="O319" s="301"/>
      <c r="P319" s="336"/>
      <c r="Q319" s="301"/>
      <c r="R319" s="336"/>
      <c r="S319" s="301"/>
      <c r="T319" s="336"/>
    </row>
    <row r="320" spans="1:20" ht="12" customHeight="1" x14ac:dyDescent="0.3">
      <c r="A320" s="329" t="s">
        <v>289</v>
      </c>
      <c r="B320" s="330">
        <v>2</v>
      </c>
      <c r="C320" s="298">
        <v>46140</v>
      </c>
      <c r="D320" s="299" t="s">
        <v>296</v>
      </c>
      <c r="E320" s="331">
        <v>15.41</v>
      </c>
      <c r="F320" s="331"/>
      <c r="G320" s="333">
        <f t="shared" si="9"/>
        <v>3236.629999999986</v>
      </c>
      <c r="H320" s="334"/>
      <c r="I320" s="335"/>
      <c r="J320" s="336"/>
      <c r="K320" s="301"/>
      <c r="L320" s="336"/>
      <c r="M320" s="301"/>
      <c r="N320" s="336"/>
      <c r="O320" s="301"/>
      <c r="P320" s="336"/>
      <c r="Q320" s="301"/>
      <c r="R320" s="336"/>
      <c r="S320" s="301"/>
      <c r="T320" s="336"/>
    </row>
    <row r="321" spans="1:20" ht="12" customHeight="1" x14ac:dyDescent="0.3">
      <c r="A321" s="329" t="s">
        <v>289</v>
      </c>
      <c r="B321" s="330">
        <v>4</v>
      </c>
      <c r="C321" s="298">
        <v>46140</v>
      </c>
      <c r="D321" s="299" t="s">
        <v>296</v>
      </c>
      <c r="E321" s="331">
        <v>33.840000000000003</v>
      </c>
      <c r="F321" s="331"/>
      <c r="G321" s="333">
        <f t="shared" si="9"/>
        <v>3252.0399999999859</v>
      </c>
      <c r="H321" s="334"/>
      <c r="I321" s="335"/>
      <c r="J321" s="336"/>
      <c r="K321" s="301"/>
      <c r="L321" s="336"/>
      <c r="M321" s="301"/>
      <c r="N321" s="336"/>
      <c r="O321" s="301"/>
      <c r="P321" s="336"/>
      <c r="Q321" s="301"/>
      <c r="R321" s="336"/>
      <c r="S321" s="301"/>
      <c r="T321" s="336"/>
    </row>
    <row r="322" spans="1:20" ht="12" customHeight="1" x14ac:dyDescent="0.3">
      <c r="A322" s="329" t="s">
        <v>289</v>
      </c>
      <c r="B322" s="330">
        <v>1</v>
      </c>
      <c r="C322" s="298">
        <v>46140</v>
      </c>
      <c r="D322" s="299" t="s">
        <v>306</v>
      </c>
      <c r="E322" s="331">
        <v>5.3</v>
      </c>
      <c r="F322" s="331"/>
      <c r="G322" s="333">
        <f t="shared" si="9"/>
        <v>3285.879999999986</v>
      </c>
      <c r="H322" s="334"/>
      <c r="I322" s="335"/>
      <c r="J322" s="336"/>
      <c r="K322" s="301"/>
      <c r="L322" s="336"/>
      <c r="M322" s="301"/>
      <c r="N322" s="336"/>
      <c r="O322" s="301"/>
      <c r="P322" s="336"/>
      <c r="Q322" s="301"/>
      <c r="R322" s="336"/>
      <c r="S322" s="301"/>
      <c r="T322" s="336"/>
    </row>
    <row r="323" spans="1:20" ht="12" customHeight="1" x14ac:dyDescent="0.3">
      <c r="A323" s="329" t="s">
        <v>289</v>
      </c>
      <c r="B323" s="330">
        <v>5</v>
      </c>
      <c r="C323" s="298">
        <v>46140</v>
      </c>
      <c r="D323" s="299" t="s">
        <v>307</v>
      </c>
      <c r="E323" s="331">
        <v>500</v>
      </c>
      <c r="F323" s="331"/>
      <c r="G323" s="333">
        <f t="shared" si="9"/>
        <v>3291.1799999999862</v>
      </c>
      <c r="H323" s="334"/>
      <c r="I323" s="335"/>
      <c r="J323" s="336"/>
      <c r="K323" s="301"/>
      <c r="L323" s="336"/>
      <c r="M323" s="301"/>
      <c r="N323" s="336"/>
      <c r="O323" s="301"/>
      <c r="P323" s="336"/>
      <c r="Q323" s="301"/>
      <c r="R323" s="336"/>
      <c r="S323" s="301"/>
      <c r="T323" s="336"/>
    </row>
    <row r="324" spans="1:20" ht="12" customHeight="1" x14ac:dyDescent="0.3">
      <c r="A324" s="329" t="s">
        <v>289</v>
      </c>
      <c r="B324" s="330">
        <v>8</v>
      </c>
      <c r="C324" s="298">
        <v>46140</v>
      </c>
      <c r="D324" s="299" t="s">
        <v>308</v>
      </c>
      <c r="E324" s="331">
        <v>47.99</v>
      </c>
      <c r="F324" s="331"/>
      <c r="G324" s="333">
        <f t="shared" si="9"/>
        <v>3791.1799999999862</v>
      </c>
      <c r="H324" s="334"/>
      <c r="I324" s="335"/>
      <c r="J324" s="336"/>
      <c r="K324" s="301"/>
      <c r="L324" s="336"/>
      <c r="M324" s="301"/>
      <c r="N324" s="336"/>
      <c r="O324" s="301"/>
      <c r="P324" s="336"/>
      <c r="Q324" s="301"/>
      <c r="R324" s="336"/>
      <c r="S324" s="301"/>
      <c r="T324" s="336"/>
    </row>
    <row r="325" spans="1:20" ht="12" customHeight="1" x14ac:dyDescent="0.3">
      <c r="A325" s="329" t="s">
        <v>289</v>
      </c>
      <c r="B325" s="330">
        <v>3</v>
      </c>
      <c r="C325" s="298">
        <v>46139</v>
      </c>
      <c r="D325" s="299" t="s">
        <v>309</v>
      </c>
      <c r="E325" s="331">
        <v>13.11</v>
      </c>
      <c r="F325" s="331"/>
      <c r="G325" s="333">
        <f t="shared" si="9"/>
        <v>3839.169999999986</v>
      </c>
      <c r="H325" s="334"/>
      <c r="I325" s="335"/>
      <c r="J325" s="336"/>
      <c r="K325" s="301"/>
      <c r="L325" s="336"/>
      <c r="M325" s="301"/>
      <c r="N325" s="336"/>
      <c r="O325" s="301"/>
      <c r="P325" s="336"/>
      <c r="Q325" s="301"/>
      <c r="R325" s="336"/>
      <c r="S325" s="301"/>
      <c r="T325" s="336"/>
    </row>
    <row r="326" spans="1:20" ht="12" customHeight="1" x14ac:dyDescent="0.3">
      <c r="A326" s="329" t="s">
        <v>289</v>
      </c>
      <c r="B326" s="330">
        <v>4</v>
      </c>
      <c r="C326" s="298">
        <v>46139</v>
      </c>
      <c r="D326" s="299" t="s">
        <v>310</v>
      </c>
      <c r="E326" s="331">
        <v>30.54</v>
      </c>
      <c r="F326" s="331"/>
      <c r="G326" s="333">
        <f t="shared" si="9"/>
        <v>3852.2799999999861</v>
      </c>
      <c r="H326" s="334"/>
      <c r="I326" s="335"/>
      <c r="J326" s="336"/>
      <c r="K326" s="301"/>
      <c r="L326" s="336"/>
      <c r="M326" s="301"/>
      <c r="N326" s="336"/>
      <c r="O326" s="301"/>
      <c r="P326" s="336"/>
      <c r="Q326" s="301"/>
      <c r="R326" s="336"/>
      <c r="S326" s="301"/>
      <c r="T326" s="336"/>
    </row>
    <row r="327" spans="1:20" ht="12" customHeight="1" x14ac:dyDescent="0.3">
      <c r="A327" s="329" t="s">
        <v>289</v>
      </c>
      <c r="B327" s="330">
        <v>1</v>
      </c>
      <c r="C327" s="298">
        <v>46139</v>
      </c>
      <c r="D327" s="299" t="s">
        <v>311</v>
      </c>
      <c r="E327" s="331">
        <v>163.01</v>
      </c>
      <c r="F327" s="331"/>
      <c r="G327" s="333">
        <f t="shared" si="9"/>
        <v>3882.8199999999861</v>
      </c>
      <c r="H327" s="334"/>
      <c r="I327" s="335"/>
      <c r="J327" s="336"/>
      <c r="K327" s="301"/>
      <c r="L327" s="336"/>
      <c r="M327" s="301"/>
      <c r="N327" s="336"/>
      <c r="O327" s="301"/>
      <c r="P327" s="336"/>
      <c r="Q327" s="301"/>
      <c r="R327" s="336"/>
      <c r="S327" s="301"/>
      <c r="T327" s="336"/>
    </row>
    <row r="328" spans="1:20" ht="12" customHeight="1" x14ac:dyDescent="0.3">
      <c r="A328" s="329" t="s">
        <v>289</v>
      </c>
      <c r="B328" s="330">
        <v>6</v>
      </c>
      <c r="C328" s="298">
        <v>46139</v>
      </c>
      <c r="D328" s="299" t="s">
        <v>312</v>
      </c>
      <c r="E328" s="331">
        <v>54.97</v>
      </c>
      <c r="F328" s="331"/>
      <c r="G328" s="333">
        <f t="shared" si="9"/>
        <v>4045.8299999999858</v>
      </c>
      <c r="H328" s="334"/>
      <c r="I328" s="335"/>
      <c r="J328" s="336"/>
      <c r="K328" s="301"/>
      <c r="L328" s="336"/>
      <c r="M328" s="301"/>
      <c r="N328" s="336"/>
      <c r="O328" s="301"/>
      <c r="P328" s="336"/>
      <c r="Q328" s="301"/>
      <c r="R328" s="336"/>
      <c r="S328" s="301"/>
      <c r="T328" s="336"/>
    </row>
    <row r="329" spans="1:20" ht="12" customHeight="1" x14ac:dyDescent="0.3">
      <c r="A329" s="329" t="s">
        <v>289</v>
      </c>
      <c r="B329" s="330">
        <v>1</v>
      </c>
      <c r="C329" s="298">
        <v>46139</v>
      </c>
      <c r="D329" s="299" t="s">
        <v>306</v>
      </c>
      <c r="E329" s="331">
        <v>51.28</v>
      </c>
      <c r="F329" s="331"/>
      <c r="G329" s="333">
        <f t="shared" si="9"/>
        <v>4100.7999999999856</v>
      </c>
      <c r="H329" s="334"/>
      <c r="I329" s="335"/>
      <c r="J329" s="336"/>
      <c r="K329" s="301"/>
      <c r="L329" s="336"/>
      <c r="M329" s="301"/>
      <c r="N329" s="336"/>
      <c r="O329" s="301"/>
      <c r="P329" s="336"/>
      <c r="Q329" s="301"/>
      <c r="R329" s="336"/>
      <c r="S329" s="301"/>
      <c r="T329" s="336"/>
    </row>
    <row r="330" spans="1:20" ht="12" customHeight="1" x14ac:dyDescent="0.3">
      <c r="A330" s="329" t="s">
        <v>289</v>
      </c>
      <c r="B330" s="330">
        <v>6</v>
      </c>
      <c r="C330" s="298">
        <v>46138</v>
      </c>
      <c r="D330" s="299" t="s">
        <v>312</v>
      </c>
      <c r="E330" s="331">
        <v>38.979999999999997</v>
      </c>
      <c r="F330" s="331"/>
      <c r="G330" s="333">
        <f t="shared" si="9"/>
        <v>4152.0799999999854</v>
      </c>
      <c r="H330" s="334"/>
      <c r="I330" s="335"/>
      <c r="J330" s="336"/>
      <c r="K330" s="301"/>
      <c r="L330" s="336"/>
      <c r="M330" s="301"/>
      <c r="N330" s="336"/>
      <c r="O330" s="301"/>
      <c r="P330" s="336"/>
      <c r="Q330" s="301"/>
      <c r="R330" s="336"/>
      <c r="S330" s="301"/>
      <c r="T330" s="336"/>
    </row>
    <row r="331" spans="1:20" ht="12" customHeight="1" x14ac:dyDescent="0.3">
      <c r="A331" s="329" t="s">
        <v>289</v>
      </c>
      <c r="B331" s="330">
        <v>2</v>
      </c>
      <c r="C331" s="298">
        <v>46138</v>
      </c>
      <c r="D331" s="299" t="s">
        <v>313</v>
      </c>
      <c r="E331" s="331">
        <v>39.83</v>
      </c>
      <c r="F331" s="331"/>
      <c r="G331" s="333">
        <f t="shared" si="9"/>
        <v>4191.0599999999849</v>
      </c>
      <c r="H331" s="334"/>
      <c r="I331" s="335"/>
      <c r="J331" s="336"/>
      <c r="K331" s="301"/>
      <c r="L331" s="336"/>
      <c r="M331" s="301"/>
      <c r="N331" s="336"/>
      <c r="O331" s="301"/>
      <c r="P331" s="336"/>
      <c r="Q331" s="301"/>
      <c r="R331" s="336"/>
      <c r="S331" s="301"/>
      <c r="T331" s="336"/>
    </row>
    <row r="332" spans="1:20" ht="12" customHeight="1" x14ac:dyDescent="0.3">
      <c r="A332" s="329" t="s">
        <v>289</v>
      </c>
      <c r="B332" s="330">
        <v>8</v>
      </c>
      <c r="C332" s="298">
        <v>46138</v>
      </c>
      <c r="D332" s="299" t="s">
        <v>313</v>
      </c>
      <c r="E332" s="331">
        <v>51.24</v>
      </c>
      <c r="F332" s="331"/>
      <c r="G332" s="333">
        <f t="shared" si="9"/>
        <v>4230.8899999999849</v>
      </c>
      <c r="H332" s="334"/>
      <c r="I332" s="335"/>
      <c r="J332" s="336"/>
      <c r="K332" s="301"/>
      <c r="L332" s="336"/>
      <c r="M332" s="301"/>
      <c r="N332" s="336"/>
      <c r="O332" s="301"/>
      <c r="P332" s="336"/>
      <c r="Q332" s="301"/>
      <c r="R332" s="336"/>
      <c r="S332" s="301"/>
      <c r="T332" s="336"/>
    </row>
    <row r="333" spans="1:20" ht="12" customHeight="1" x14ac:dyDescent="0.3">
      <c r="A333" s="329" t="s">
        <v>294</v>
      </c>
      <c r="B333" s="330">
        <v>12</v>
      </c>
      <c r="C333" s="298">
        <v>46137</v>
      </c>
      <c r="D333" s="299" t="s">
        <v>314</v>
      </c>
      <c r="E333" s="331">
        <v>214.74</v>
      </c>
      <c r="F333" s="331"/>
      <c r="G333" s="333">
        <f t="shared" si="9"/>
        <v>4282.1299999999846</v>
      </c>
      <c r="H333" s="334"/>
      <c r="I333" s="335"/>
      <c r="J333" s="336"/>
      <c r="K333" s="301"/>
      <c r="L333" s="336"/>
      <c r="M333" s="301"/>
      <c r="N333" s="336"/>
      <c r="O333" s="301"/>
      <c r="P333" s="336"/>
      <c r="Q333" s="301"/>
      <c r="R333" s="336"/>
      <c r="S333" s="301"/>
      <c r="T333" s="336"/>
    </row>
    <row r="334" spans="1:20" ht="12" customHeight="1" x14ac:dyDescent="0.3">
      <c r="A334" s="329" t="s">
        <v>287</v>
      </c>
      <c r="B334" s="330" t="s">
        <v>287</v>
      </c>
      <c r="C334" s="298">
        <v>46136</v>
      </c>
      <c r="D334" s="299" t="s">
        <v>315</v>
      </c>
      <c r="E334" s="331">
        <v>127.68</v>
      </c>
      <c r="F334" s="331">
        <v>127.68</v>
      </c>
      <c r="G334" s="333">
        <f t="shared" si="9"/>
        <v>4496.8699999999844</v>
      </c>
      <c r="H334" s="334"/>
      <c r="I334" s="335"/>
      <c r="J334" s="336"/>
      <c r="K334" s="301"/>
      <c r="L334" s="336"/>
      <c r="M334" s="301"/>
      <c r="N334" s="336"/>
      <c r="O334" s="301"/>
      <c r="P334" s="336"/>
      <c r="Q334" s="301"/>
      <c r="R334" s="336"/>
      <c r="S334" s="301"/>
      <c r="T334" s="336"/>
    </row>
    <row r="335" spans="1:20" ht="12" customHeight="1" x14ac:dyDescent="0.3">
      <c r="A335" s="329" t="s">
        <v>289</v>
      </c>
      <c r="B335" s="330">
        <v>8</v>
      </c>
      <c r="C335" s="298">
        <v>46135</v>
      </c>
      <c r="D335" s="299" t="s">
        <v>863</v>
      </c>
      <c r="E335" s="331">
        <v>65</v>
      </c>
      <c r="F335" s="331"/>
      <c r="G335" s="333">
        <f t="shared" si="9"/>
        <v>4496.8699999999844</v>
      </c>
      <c r="H335" s="334"/>
      <c r="I335" s="335"/>
      <c r="J335" s="336"/>
      <c r="K335" s="301"/>
      <c r="L335" s="336"/>
      <c r="M335" s="301"/>
      <c r="N335" s="336"/>
      <c r="O335" s="301"/>
      <c r="P335" s="336"/>
      <c r="Q335" s="301"/>
      <c r="R335" s="336"/>
      <c r="S335" s="301"/>
      <c r="T335" s="336"/>
    </row>
    <row r="336" spans="1:20" ht="12" customHeight="1" x14ac:dyDescent="0.3">
      <c r="A336" s="329" t="s">
        <v>291</v>
      </c>
      <c r="B336" s="330">
        <v>40</v>
      </c>
      <c r="C336" s="298">
        <v>46134</v>
      </c>
      <c r="D336" s="299" t="s">
        <v>316</v>
      </c>
      <c r="E336" s="331"/>
      <c r="F336" s="331">
        <v>838.69</v>
      </c>
      <c r="G336" s="333">
        <f t="shared" si="9"/>
        <v>4561.8699999999844</v>
      </c>
      <c r="H336" s="334"/>
      <c r="I336" s="335"/>
      <c r="J336" s="336"/>
      <c r="K336" s="301"/>
      <c r="L336" s="336"/>
      <c r="M336" s="301"/>
      <c r="N336" s="336"/>
      <c r="O336" s="301"/>
      <c r="P336" s="336"/>
      <c r="Q336" s="301"/>
      <c r="R336" s="336"/>
      <c r="S336" s="301"/>
      <c r="T336" s="336"/>
    </row>
    <row r="337" spans="1:20" ht="12" customHeight="1" x14ac:dyDescent="0.3">
      <c r="A337" s="329" t="s">
        <v>289</v>
      </c>
      <c r="B337" s="330">
        <v>2</v>
      </c>
      <c r="C337" s="298">
        <v>46134</v>
      </c>
      <c r="D337" s="299" t="s">
        <v>317</v>
      </c>
      <c r="E337" s="331">
        <v>17.03</v>
      </c>
      <c r="F337" s="331"/>
      <c r="G337" s="333">
        <f t="shared" si="9"/>
        <v>3723.1799999999848</v>
      </c>
      <c r="H337" s="334"/>
      <c r="I337" s="335"/>
      <c r="J337" s="336"/>
      <c r="K337" s="301"/>
      <c r="L337" s="336"/>
      <c r="M337" s="301"/>
      <c r="N337" s="336"/>
      <c r="O337" s="301"/>
      <c r="P337" s="336"/>
      <c r="Q337" s="301"/>
      <c r="R337" s="336"/>
      <c r="S337" s="301"/>
      <c r="T337" s="336"/>
    </row>
    <row r="338" spans="1:20" ht="12" customHeight="1" x14ac:dyDescent="0.3">
      <c r="A338" s="329" t="s">
        <v>289</v>
      </c>
      <c r="B338" s="330">
        <v>6</v>
      </c>
      <c r="C338" s="298">
        <v>46134</v>
      </c>
      <c r="D338" s="299" t="s">
        <v>312</v>
      </c>
      <c r="E338" s="331">
        <v>51.94</v>
      </c>
      <c r="F338" s="331"/>
      <c r="G338" s="333">
        <f t="shared" si="9"/>
        <v>3740.209999999985</v>
      </c>
      <c r="H338" s="334"/>
      <c r="I338" s="335"/>
      <c r="J338" s="336"/>
      <c r="K338" s="301"/>
      <c r="L338" s="336"/>
      <c r="M338" s="301"/>
      <c r="N338" s="336"/>
      <c r="O338" s="301"/>
      <c r="P338" s="336"/>
      <c r="Q338" s="301"/>
      <c r="R338" s="336"/>
      <c r="S338" s="301"/>
      <c r="T338" s="336"/>
    </row>
    <row r="339" spans="1:20" ht="12" customHeight="1" x14ac:dyDescent="0.3">
      <c r="A339" s="329" t="s">
        <v>289</v>
      </c>
      <c r="B339" s="330">
        <v>1</v>
      </c>
      <c r="C339" s="298">
        <v>46134</v>
      </c>
      <c r="D339" s="299" t="s">
        <v>306</v>
      </c>
      <c r="E339" s="331">
        <v>226.7</v>
      </c>
      <c r="F339" s="331"/>
      <c r="G339" s="333">
        <f t="shared" si="9"/>
        <v>3792.1499999999851</v>
      </c>
      <c r="H339" s="334"/>
      <c r="I339" s="335"/>
      <c r="J339" s="336"/>
      <c r="K339" s="301"/>
      <c r="L339" s="336"/>
      <c r="M339" s="301"/>
      <c r="N339" s="336"/>
      <c r="O339" s="301"/>
      <c r="P339" s="336"/>
      <c r="Q339" s="301"/>
      <c r="R339" s="336"/>
      <c r="S339" s="301"/>
      <c r="T339" s="336"/>
    </row>
    <row r="340" spans="1:20" ht="12" customHeight="1" x14ac:dyDescent="0.3">
      <c r="A340" s="329" t="s">
        <v>289</v>
      </c>
      <c r="B340" s="330">
        <v>2</v>
      </c>
      <c r="C340" s="298">
        <v>46133</v>
      </c>
      <c r="D340" s="299" t="s">
        <v>318</v>
      </c>
      <c r="E340" s="331">
        <v>70</v>
      </c>
      <c r="F340" s="331"/>
      <c r="G340" s="333">
        <f t="shared" si="9"/>
        <v>4018.8499999999849</v>
      </c>
      <c r="H340" s="334"/>
      <c r="I340" s="335"/>
      <c r="J340" s="336"/>
      <c r="K340" s="301"/>
      <c r="L340" s="336"/>
      <c r="M340" s="301"/>
      <c r="N340" s="336"/>
      <c r="O340" s="301"/>
      <c r="P340" s="336"/>
      <c r="Q340" s="301"/>
      <c r="R340" s="336"/>
      <c r="S340" s="301"/>
      <c r="T340" s="336"/>
    </row>
    <row r="341" spans="1:20" ht="12" customHeight="1" x14ac:dyDescent="0.3">
      <c r="A341" s="329" t="s">
        <v>289</v>
      </c>
      <c r="B341" s="330">
        <v>8</v>
      </c>
      <c r="C341" s="298">
        <v>46133</v>
      </c>
      <c r="D341" s="299" t="s">
        <v>319</v>
      </c>
      <c r="E341" s="331">
        <v>14.26</v>
      </c>
      <c r="F341" s="331"/>
      <c r="G341" s="333">
        <f t="shared" si="9"/>
        <v>4088.8499999999849</v>
      </c>
      <c r="H341" s="334"/>
      <c r="I341" s="335"/>
      <c r="J341" s="336"/>
      <c r="K341" s="301"/>
      <c r="L341" s="336"/>
      <c r="M341" s="301"/>
      <c r="N341" s="336"/>
      <c r="O341" s="301"/>
      <c r="P341" s="336"/>
      <c r="Q341" s="301"/>
      <c r="R341" s="336"/>
      <c r="S341" s="301"/>
      <c r="T341" s="336"/>
    </row>
    <row r="342" spans="1:20" ht="12" customHeight="1" x14ac:dyDescent="0.3">
      <c r="A342" s="329" t="s">
        <v>289</v>
      </c>
      <c r="B342" s="330">
        <v>1</v>
      </c>
      <c r="C342" s="298">
        <v>46133</v>
      </c>
      <c r="D342" s="299" t="s">
        <v>320</v>
      </c>
      <c r="E342" s="331">
        <v>8.51</v>
      </c>
      <c r="F342" s="331"/>
      <c r="G342" s="333">
        <f t="shared" si="9"/>
        <v>4103.1099999999851</v>
      </c>
      <c r="H342" s="334"/>
      <c r="I342" s="335"/>
      <c r="J342" s="336"/>
      <c r="K342" s="301"/>
      <c r="L342" s="336"/>
      <c r="M342" s="301"/>
      <c r="N342" s="336"/>
      <c r="O342" s="301"/>
      <c r="P342" s="336"/>
      <c r="Q342" s="301"/>
      <c r="R342" s="336"/>
      <c r="S342" s="301"/>
      <c r="T342" s="336"/>
    </row>
    <row r="343" spans="1:20" ht="12" customHeight="1" x14ac:dyDescent="0.3">
      <c r="A343" s="329" t="s">
        <v>289</v>
      </c>
      <c r="B343" s="330">
        <v>5</v>
      </c>
      <c r="C343" s="298">
        <v>46133</v>
      </c>
      <c r="D343" s="299" t="s">
        <v>321</v>
      </c>
      <c r="E343" s="331">
        <v>20</v>
      </c>
      <c r="F343" s="331"/>
      <c r="G343" s="333">
        <f t="shared" si="9"/>
        <v>4111.6199999999853</v>
      </c>
      <c r="H343" s="334"/>
      <c r="I343" s="335"/>
      <c r="J343" s="336"/>
      <c r="K343" s="301"/>
      <c r="L343" s="336"/>
      <c r="M343" s="301"/>
      <c r="N343" s="336"/>
      <c r="O343" s="301"/>
      <c r="P343" s="336"/>
      <c r="Q343" s="301"/>
      <c r="R343" s="336"/>
      <c r="S343" s="301"/>
      <c r="T343" s="336"/>
    </row>
    <row r="344" spans="1:20" ht="12" customHeight="1" x14ac:dyDescent="0.3">
      <c r="A344" s="329" t="s">
        <v>294</v>
      </c>
      <c r="B344" s="330">
        <v>23</v>
      </c>
      <c r="C344" s="298">
        <v>46133</v>
      </c>
      <c r="D344" s="299" t="s">
        <v>67</v>
      </c>
      <c r="E344" s="331">
        <v>650.88</v>
      </c>
      <c r="F344" s="331"/>
      <c r="G344" s="333">
        <f t="shared" si="9"/>
        <v>4131.6199999999853</v>
      </c>
      <c r="H344" s="334"/>
      <c r="I344" s="335"/>
      <c r="J344" s="336"/>
      <c r="K344" s="301"/>
      <c r="L344" s="336"/>
      <c r="M344" s="301"/>
      <c r="N344" s="336"/>
      <c r="O344" s="301"/>
      <c r="P344" s="336"/>
      <c r="Q344" s="301"/>
      <c r="R344" s="336"/>
      <c r="S344" s="301"/>
      <c r="T344" s="336"/>
    </row>
    <row r="345" spans="1:20" ht="12" customHeight="1" x14ac:dyDescent="0.3">
      <c r="A345" s="329" t="s">
        <v>289</v>
      </c>
      <c r="B345" s="330">
        <v>6</v>
      </c>
      <c r="C345" s="298">
        <v>46133</v>
      </c>
      <c r="D345" s="299" t="s">
        <v>322</v>
      </c>
      <c r="E345" s="331">
        <v>15</v>
      </c>
      <c r="F345" s="331"/>
      <c r="G345" s="333">
        <f t="shared" si="9"/>
        <v>4782.4999999999854</v>
      </c>
      <c r="H345" s="334"/>
      <c r="I345" s="335"/>
      <c r="J345" s="336"/>
      <c r="K345" s="301"/>
      <c r="L345" s="336"/>
      <c r="M345" s="301"/>
      <c r="N345" s="336"/>
      <c r="O345" s="301"/>
      <c r="P345" s="336"/>
      <c r="Q345" s="301"/>
      <c r="R345" s="336"/>
      <c r="S345" s="301"/>
      <c r="T345" s="336"/>
    </row>
    <row r="346" spans="1:20" ht="12" customHeight="1" x14ac:dyDescent="0.3">
      <c r="A346" s="329" t="s">
        <v>289</v>
      </c>
      <c r="B346" s="330">
        <v>5</v>
      </c>
      <c r="C346" s="298">
        <v>46133</v>
      </c>
      <c r="D346" s="299" t="s">
        <v>322</v>
      </c>
      <c r="E346" s="331">
        <v>250</v>
      </c>
      <c r="F346" s="331"/>
      <c r="G346" s="333">
        <f t="shared" si="9"/>
        <v>4797.4999999999854</v>
      </c>
      <c r="H346" s="334"/>
      <c r="I346" s="335"/>
      <c r="J346" s="336"/>
      <c r="K346" s="301"/>
      <c r="L346" s="336"/>
      <c r="M346" s="301"/>
      <c r="N346" s="336"/>
      <c r="O346" s="301"/>
      <c r="P346" s="336"/>
      <c r="Q346" s="301"/>
      <c r="R346" s="336"/>
      <c r="S346" s="301"/>
      <c r="T346" s="336"/>
    </row>
    <row r="347" spans="1:20" ht="12" customHeight="1" x14ac:dyDescent="0.3">
      <c r="A347" s="329" t="s">
        <v>294</v>
      </c>
      <c r="B347" s="330">
        <v>22</v>
      </c>
      <c r="C347" s="298">
        <v>46132</v>
      </c>
      <c r="D347" s="299" t="s">
        <v>323</v>
      </c>
      <c r="E347" s="331">
        <v>20.22</v>
      </c>
      <c r="F347" s="331"/>
      <c r="G347" s="333">
        <f t="shared" si="9"/>
        <v>5047.4999999999854</v>
      </c>
      <c r="H347" s="334"/>
      <c r="I347" s="335"/>
      <c r="J347" s="336"/>
      <c r="K347" s="301"/>
      <c r="L347" s="336"/>
      <c r="M347" s="301"/>
      <c r="N347" s="336"/>
      <c r="O347" s="301"/>
      <c r="P347" s="336"/>
      <c r="Q347" s="301"/>
      <c r="R347" s="336"/>
      <c r="S347" s="301"/>
      <c r="T347" s="336"/>
    </row>
    <row r="348" spans="1:20" ht="12" customHeight="1" x14ac:dyDescent="0.3">
      <c r="A348" s="329" t="s">
        <v>289</v>
      </c>
      <c r="B348" s="330">
        <v>6</v>
      </c>
      <c r="C348" s="298">
        <v>46132</v>
      </c>
      <c r="D348" s="299" t="s">
        <v>403</v>
      </c>
      <c r="E348" s="331">
        <v>44</v>
      </c>
      <c r="F348" s="331"/>
      <c r="G348" s="333">
        <f t="shared" si="9"/>
        <v>5067.7199999999857</v>
      </c>
      <c r="H348" s="334"/>
      <c r="I348" s="335"/>
      <c r="J348" s="336"/>
      <c r="K348" s="301"/>
      <c r="L348" s="336"/>
      <c r="M348" s="301"/>
      <c r="N348" s="336"/>
      <c r="O348" s="301"/>
      <c r="P348" s="336"/>
      <c r="Q348" s="301"/>
      <c r="R348" s="336"/>
      <c r="S348" s="301"/>
      <c r="T348" s="336"/>
    </row>
    <row r="349" spans="1:20" ht="12" customHeight="1" x14ac:dyDescent="0.3">
      <c r="A349" s="329" t="s">
        <v>289</v>
      </c>
      <c r="B349" s="330">
        <v>2</v>
      </c>
      <c r="C349" s="298">
        <v>46132</v>
      </c>
      <c r="D349" s="299" t="s">
        <v>324</v>
      </c>
      <c r="E349" s="331">
        <v>12.01</v>
      </c>
      <c r="F349" s="331"/>
      <c r="G349" s="333">
        <f t="shared" si="9"/>
        <v>5111.7199999999857</v>
      </c>
      <c r="H349" s="334"/>
      <c r="I349" s="335"/>
      <c r="J349" s="336"/>
      <c r="K349" s="301"/>
      <c r="L349" s="336"/>
      <c r="M349" s="301"/>
      <c r="N349" s="336"/>
      <c r="O349" s="301"/>
      <c r="P349" s="336"/>
      <c r="Q349" s="301"/>
      <c r="R349" s="336"/>
      <c r="S349" s="301"/>
      <c r="T349" s="336"/>
    </row>
    <row r="350" spans="1:20" ht="12" customHeight="1" x14ac:dyDescent="0.3">
      <c r="A350" s="329" t="s">
        <v>289</v>
      </c>
      <c r="B350" s="330">
        <v>2</v>
      </c>
      <c r="C350" s="298">
        <v>46132</v>
      </c>
      <c r="D350" s="299" t="s">
        <v>296</v>
      </c>
      <c r="E350" s="331">
        <v>12.21</v>
      </c>
      <c r="F350" s="331"/>
      <c r="G350" s="333">
        <f t="shared" si="9"/>
        <v>5123.7299999999859</v>
      </c>
      <c r="H350" s="334"/>
      <c r="I350" s="335"/>
      <c r="J350" s="336"/>
      <c r="K350" s="301"/>
      <c r="L350" s="336"/>
      <c r="M350" s="301"/>
      <c r="N350" s="336"/>
      <c r="O350" s="301"/>
      <c r="P350" s="336"/>
      <c r="Q350" s="301"/>
      <c r="R350" s="336"/>
      <c r="S350" s="301"/>
      <c r="T350" s="336"/>
    </row>
    <row r="351" spans="1:20" ht="12" customHeight="1" x14ac:dyDescent="0.3">
      <c r="A351" s="329" t="s">
        <v>289</v>
      </c>
      <c r="B351" s="330">
        <v>2</v>
      </c>
      <c r="C351" s="298">
        <v>46132</v>
      </c>
      <c r="D351" s="299" t="s">
        <v>325</v>
      </c>
      <c r="E351" s="331">
        <v>46.4</v>
      </c>
      <c r="F351" s="331"/>
      <c r="G351" s="333">
        <f t="shared" si="9"/>
        <v>5135.939999999986</v>
      </c>
      <c r="H351" s="334"/>
      <c r="I351" s="335"/>
      <c r="J351" s="336"/>
      <c r="K351" s="301"/>
      <c r="L351" s="336"/>
      <c r="M351" s="301"/>
      <c r="N351" s="336"/>
      <c r="O351" s="301"/>
      <c r="P351" s="336"/>
      <c r="Q351" s="301"/>
      <c r="R351" s="336"/>
      <c r="S351" s="301"/>
      <c r="T351" s="336"/>
    </row>
    <row r="352" spans="1:20" ht="12" customHeight="1" x14ac:dyDescent="0.3">
      <c r="A352" s="329" t="s">
        <v>289</v>
      </c>
      <c r="B352" s="330">
        <v>2</v>
      </c>
      <c r="C352" s="298">
        <v>46131</v>
      </c>
      <c r="D352" s="299" t="s">
        <v>326</v>
      </c>
      <c r="E352" s="331">
        <v>31.7</v>
      </c>
      <c r="F352" s="331"/>
      <c r="G352" s="333">
        <f t="shared" si="9"/>
        <v>5182.3399999999856</v>
      </c>
      <c r="H352" s="334"/>
      <c r="I352" s="335"/>
      <c r="J352" s="336"/>
      <c r="K352" s="301"/>
      <c r="L352" s="336"/>
      <c r="M352" s="301"/>
      <c r="N352" s="336"/>
      <c r="O352" s="301"/>
      <c r="P352" s="336"/>
      <c r="Q352" s="301"/>
      <c r="R352" s="336"/>
      <c r="S352" s="301"/>
      <c r="T352" s="336"/>
    </row>
    <row r="353" spans="1:20" ht="12" customHeight="1" x14ac:dyDescent="0.3">
      <c r="A353" s="329" t="s">
        <v>289</v>
      </c>
      <c r="B353" s="330">
        <v>8</v>
      </c>
      <c r="C353" s="298">
        <v>46131</v>
      </c>
      <c r="D353" s="299" t="s">
        <v>327</v>
      </c>
      <c r="E353" s="331">
        <v>11.11</v>
      </c>
      <c r="F353" s="331"/>
      <c r="G353" s="333">
        <f t="shared" si="9"/>
        <v>5214.0399999999854</v>
      </c>
      <c r="H353" s="334"/>
      <c r="I353" s="335"/>
      <c r="J353" s="336"/>
      <c r="K353" s="301"/>
      <c r="L353" s="336"/>
      <c r="M353" s="301"/>
      <c r="N353" s="336"/>
      <c r="O353" s="301"/>
      <c r="P353" s="336"/>
      <c r="Q353" s="301"/>
      <c r="R353" s="336"/>
      <c r="S353" s="301"/>
      <c r="T353" s="336"/>
    </row>
    <row r="354" spans="1:20" ht="12" customHeight="1" x14ac:dyDescent="0.3">
      <c r="A354" s="329" t="s">
        <v>289</v>
      </c>
      <c r="B354" s="330">
        <v>1</v>
      </c>
      <c r="C354" s="298">
        <v>46131</v>
      </c>
      <c r="D354" s="299" t="s">
        <v>306</v>
      </c>
      <c r="E354" s="331">
        <v>79.16</v>
      </c>
      <c r="F354" s="331"/>
      <c r="G354" s="333">
        <f t="shared" si="9"/>
        <v>5225.1499999999851</v>
      </c>
      <c r="H354" s="334"/>
      <c r="I354" s="335"/>
      <c r="J354" s="336"/>
      <c r="K354" s="301"/>
      <c r="L354" s="336"/>
      <c r="M354" s="301"/>
      <c r="N354" s="336"/>
      <c r="O354" s="301"/>
      <c r="P354" s="336"/>
      <c r="Q354" s="301"/>
      <c r="R354" s="336"/>
      <c r="S354" s="301"/>
      <c r="T354" s="336"/>
    </row>
    <row r="355" spans="1:20" ht="12" customHeight="1" x14ac:dyDescent="0.3">
      <c r="A355" s="329" t="s">
        <v>294</v>
      </c>
      <c r="B355" s="330">
        <v>22</v>
      </c>
      <c r="C355" s="298">
        <v>46131</v>
      </c>
      <c r="D355" s="299" t="s">
        <v>328</v>
      </c>
      <c r="E355" s="331">
        <v>7.46</v>
      </c>
      <c r="F355" s="331"/>
      <c r="G355" s="333">
        <f t="shared" si="9"/>
        <v>5304.3099999999849</v>
      </c>
      <c r="H355" s="334"/>
      <c r="I355" s="335"/>
      <c r="J355" s="336"/>
      <c r="K355" s="301"/>
      <c r="L355" s="336"/>
      <c r="M355" s="301"/>
      <c r="N355" s="336"/>
      <c r="O355" s="301"/>
      <c r="P355" s="336"/>
      <c r="Q355" s="301"/>
      <c r="R355" s="336"/>
      <c r="S355" s="301"/>
      <c r="T355" s="336"/>
    </row>
    <row r="356" spans="1:20" ht="12" customHeight="1" x14ac:dyDescent="0.3">
      <c r="A356" s="329" t="s">
        <v>289</v>
      </c>
      <c r="B356" s="330">
        <v>6</v>
      </c>
      <c r="C356" s="298">
        <v>46131</v>
      </c>
      <c r="D356" s="299" t="s">
        <v>300</v>
      </c>
      <c r="E356" s="331">
        <v>13.83</v>
      </c>
      <c r="F356" s="331"/>
      <c r="G356" s="333">
        <f t="shared" si="9"/>
        <v>5311.769999999985</v>
      </c>
      <c r="H356" s="334"/>
      <c r="I356" s="335"/>
      <c r="J356" s="336"/>
      <c r="K356" s="301"/>
      <c r="L356" s="336"/>
      <c r="M356" s="301"/>
      <c r="N356" s="336"/>
      <c r="O356" s="301"/>
      <c r="P356" s="336"/>
      <c r="Q356" s="301"/>
      <c r="R356" s="336"/>
      <c r="S356" s="301"/>
      <c r="T356" s="336"/>
    </row>
    <row r="357" spans="1:20" ht="12" customHeight="1" x14ac:dyDescent="0.3">
      <c r="A357" s="329" t="s">
        <v>289</v>
      </c>
      <c r="B357" s="330">
        <v>6</v>
      </c>
      <c r="C357" s="298">
        <v>46131</v>
      </c>
      <c r="D357" s="299" t="s">
        <v>300</v>
      </c>
      <c r="E357" s="331">
        <v>30</v>
      </c>
      <c r="F357" s="331"/>
      <c r="G357" s="333">
        <f t="shared" si="9"/>
        <v>5325.5999999999849</v>
      </c>
      <c r="H357" s="334"/>
      <c r="I357" s="335"/>
      <c r="J357" s="336"/>
      <c r="K357" s="301"/>
      <c r="L357" s="336"/>
      <c r="M357" s="301"/>
      <c r="N357" s="336"/>
      <c r="O357" s="301"/>
      <c r="P357" s="336"/>
      <c r="Q357" s="301"/>
      <c r="R357" s="336"/>
      <c r="S357" s="301"/>
      <c r="T357" s="336"/>
    </row>
    <row r="358" spans="1:20" ht="12" customHeight="1" x14ac:dyDescent="0.3">
      <c r="A358" s="329" t="s">
        <v>289</v>
      </c>
      <c r="B358" s="330">
        <v>6</v>
      </c>
      <c r="C358" s="298">
        <v>46131</v>
      </c>
      <c r="D358" s="299" t="s">
        <v>300</v>
      </c>
      <c r="E358" s="331">
        <v>15.17</v>
      </c>
      <c r="F358" s="331"/>
      <c r="G358" s="333">
        <f t="shared" si="9"/>
        <v>5355.5999999999849</v>
      </c>
      <c r="H358" s="334"/>
      <c r="I358" s="335"/>
      <c r="J358" s="336"/>
      <c r="K358" s="301"/>
      <c r="L358" s="336"/>
      <c r="M358" s="301"/>
      <c r="N358" s="336"/>
      <c r="O358" s="301"/>
      <c r="P358" s="336"/>
      <c r="Q358" s="301"/>
      <c r="R358" s="336"/>
      <c r="S358" s="301"/>
      <c r="T358" s="336"/>
    </row>
    <row r="359" spans="1:20" ht="12" customHeight="1" x14ac:dyDescent="0.3">
      <c r="A359" s="329" t="s">
        <v>289</v>
      </c>
      <c r="B359" s="330">
        <v>1</v>
      </c>
      <c r="C359" s="298">
        <v>46130</v>
      </c>
      <c r="D359" s="299" t="s">
        <v>329</v>
      </c>
      <c r="E359" s="331">
        <v>75.55</v>
      </c>
      <c r="F359" s="331"/>
      <c r="G359" s="333">
        <f t="shared" si="9"/>
        <v>5370.769999999985</v>
      </c>
      <c r="H359" s="334"/>
      <c r="I359" s="335"/>
      <c r="J359" s="336"/>
      <c r="K359" s="301"/>
      <c r="L359" s="336"/>
      <c r="M359" s="301"/>
      <c r="N359" s="336"/>
      <c r="O359" s="301"/>
      <c r="P359" s="336"/>
      <c r="Q359" s="301"/>
      <c r="R359" s="336"/>
      <c r="S359" s="301"/>
      <c r="T359" s="336"/>
    </row>
    <row r="360" spans="1:20" ht="12" customHeight="1" x14ac:dyDescent="0.3">
      <c r="A360" s="329" t="s">
        <v>289</v>
      </c>
      <c r="B360" s="330">
        <v>2</v>
      </c>
      <c r="C360" s="298">
        <v>46130</v>
      </c>
      <c r="D360" s="299" t="s">
        <v>330</v>
      </c>
      <c r="E360" s="331">
        <v>26</v>
      </c>
      <c r="F360" s="331"/>
      <c r="G360" s="333">
        <f t="shared" si="9"/>
        <v>5446.3199999999852</v>
      </c>
      <c r="H360" s="334"/>
      <c r="I360" s="335"/>
      <c r="J360" s="336"/>
      <c r="K360" s="301"/>
      <c r="L360" s="336"/>
      <c r="M360" s="301"/>
      <c r="N360" s="336"/>
      <c r="O360" s="301"/>
      <c r="P360" s="336"/>
      <c r="Q360" s="301"/>
      <c r="R360" s="336"/>
      <c r="S360" s="301"/>
      <c r="T360" s="336"/>
    </row>
    <row r="361" spans="1:20" ht="12" customHeight="1" x14ac:dyDescent="0.3">
      <c r="A361" s="329" t="s">
        <v>289</v>
      </c>
      <c r="B361" s="330">
        <v>1</v>
      </c>
      <c r="C361" s="298">
        <v>46130</v>
      </c>
      <c r="D361" s="299" t="s">
        <v>311</v>
      </c>
      <c r="E361" s="331">
        <v>25.28</v>
      </c>
      <c r="F361" s="331"/>
      <c r="G361" s="333">
        <f t="shared" si="9"/>
        <v>5472.3199999999852</v>
      </c>
      <c r="H361" s="334"/>
      <c r="I361" s="335"/>
      <c r="J361" s="336"/>
      <c r="K361" s="301"/>
      <c r="L361" s="336"/>
      <c r="M361" s="301"/>
      <c r="N361" s="336"/>
      <c r="O361" s="301"/>
      <c r="P361" s="336"/>
      <c r="Q361" s="301"/>
      <c r="R361" s="336"/>
      <c r="S361" s="301"/>
      <c r="T361" s="336"/>
    </row>
    <row r="362" spans="1:20" ht="12" customHeight="1" x14ac:dyDescent="0.3">
      <c r="A362" s="329" t="s">
        <v>289</v>
      </c>
      <c r="B362" s="330">
        <v>3</v>
      </c>
      <c r="C362" s="298">
        <v>46130</v>
      </c>
      <c r="D362" s="299" t="s">
        <v>296</v>
      </c>
      <c r="E362" s="331">
        <v>7.76</v>
      </c>
      <c r="F362" s="331"/>
      <c r="G362" s="333">
        <f t="shared" si="9"/>
        <v>5497.5999999999849</v>
      </c>
      <c r="H362" s="334"/>
      <c r="I362" s="335"/>
      <c r="J362" s="336"/>
      <c r="K362" s="301"/>
      <c r="L362" s="336"/>
      <c r="M362" s="301"/>
      <c r="N362" s="336"/>
      <c r="O362" s="301"/>
      <c r="P362" s="336"/>
      <c r="Q362" s="301"/>
      <c r="R362" s="336"/>
      <c r="S362" s="301"/>
      <c r="T362" s="336"/>
    </row>
    <row r="363" spans="1:20" ht="12" customHeight="1" x14ac:dyDescent="0.3">
      <c r="A363" s="329" t="s">
        <v>294</v>
      </c>
      <c r="B363" s="330">
        <v>22</v>
      </c>
      <c r="C363" s="298">
        <v>46130</v>
      </c>
      <c r="D363" s="299" t="s">
        <v>401</v>
      </c>
      <c r="E363" s="331">
        <v>13.84</v>
      </c>
      <c r="F363" s="331"/>
      <c r="G363" s="333">
        <f t="shared" si="9"/>
        <v>5505.3599999999851</v>
      </c>
      <c r="H363" s="334"/>
      <c r="I363" s="335"/>
      <c r="J363" s="336"/>
      <c r="K363" s="301"/>
      <c r="L363" s="336"/>
      <c r="M363" s="301"/>
      <c r="N363" s="336"/>
      <c r="O363" s="301"/>
      <c r="P363" s="336"/>
      <c r="Q363" s="301"/>
      <c r="R363" s="336"/>
      <c r="S363" s="301"/>
      <c r="T363" s="336"/>
    </row>
    <row r="364" spans="1:20" ht="12" customHeight="1" x14ac:dyDescent="0.3">
      <c r="A364" s="329" t="s">
        <v>287</v>
      </c>
      <c r="B364" s="330" t="s">
        <v>287</v>
      </c>
      <c r="C364" s="298">
        <v>46130</v>
      </c>
      <c r="D364" s="299" t="s">
        <v>331</v>
      </c>
      <c r="E364" s="331">
        <v>578.57000000000005</v>
      </c>
      <c r="F364" s="331">
        <v>578.57000000000005</v>
      </c>
      <c r="G364" s="333">
        <f t="shared" si="9"/>
        <v>5519.1999999999853</v>
      </c>
      <c r="H364" s="334"/>
      <c r="I364" s="335"/>
      <c r="J364" s="336"/>
      <c r="K364" s="301"/>
      <c r="L364" s="336"/>
      <c r="M364" s="301"/>
      <c r="N364" s="336"/>
      <c r="O364" s="301"/>
      <c r="P364" s="336"/>
      <c r="Q364" s="301"/>
      <c r="R364" s="336"/>
      <c r="S364" s="301"/>
      <c r="T364" s="336"/>
    </row>
    <row r="365" spans="1:20" ht="12" customHeight="1" x14ac:dyDescent="0.3">
      <c r="A365" s="329" t="s">
        <v>289</v>
      </c>
      <c r="B365" s="330">
        <v>2</v>
      </c>
      <c r="C365" s="298">
        <v>46129</v>
      </c>
      <c r="D365" s="299" t="s">
        <v>324</v>
      </c>
      <c r="E365" s="331">
        <v>12.84</v>
      </c>
      <c r="F365" s="331"/>
      <c r="G365" s="333">
        <f t="shared" si="9"/>
        <v>5519.1999999999853</v>
      </c>
      <c r="H365" s="334"/>
      <c r="I365" s="335"/>
      <c r="J365" s="336"/>
      <c r="K365" s="301"/>
      <c r="L365" s="336"/>
      <c r="M365" s="301"/>
      <c r="N365" s="336"/>
      <c r="O365" s="301"/>
      <c r="P365" s="336"/>
      <c r="Q365" s="301"/>
      <c r="R365" s="336"/>
      <c r="S365" s="301"/>
      <c r="T365" s="336"/>
    </row>
    <row r="366" spans="1:20" ht="12" customHeight="1" x14ac:dyDescent="0.3">
      <c r="A366" s="329" t="s">
        <v>289</v>
      </c>
      <c r="B366" s="330">
        <v>2</v>
      </c>
      <c r="C366" s="298">
        <v>46129</v>
      </c>
      <c r="D366" s="299" t="s">
        <v>332</v>
      </c>
      <c r="E366" s="331">
        <v>59.71</v>
      </c>
      <c r="F366" s="331"/>
      <c r="G366" s="333">
        <f t="shared" si="9"/>
        <v>5532.0399999999854</v>
      </c>
      <c r="H366" s="334"/>
      <c r="I366" s="335"/>
      <c r="J366" s="336"/>
      <c r="K366" s="301"/>
      <c r="L366" s="336"/>
      <c r="M366" s="301"/>
      <c r="N366" s="336"/>
      <c r="O366" s="301"/>
      <c r="P366" s="336"/>
      <c r="Q366" s="301"/>
      <c r="R366" s="336"/>
      <c r="S366" s="301"/>
      <c r="T366" s="336"/>
    </row>
    <row r="367" spans="1:20" ht="12" customHeight="1" x14ac:dyDescent="0.3">
      <c r="A367" s="329" t="s">
        <v>294</v>
      </c>
      <c r="B367" s="330">
        <v>21</v>
      </c>
      <c r="C367" s="298">
        <v>46129</v>
      </c>
      <c r="D367" s="299" t="s">
        <v>194</v>
      </c>
      <c r="E367" s="331">
        <v>75.599999999999994</v>
      </c>
      <c r="F367" s="331"/>
      <c r="G367" s="333">
        <f t="shared" si="9"/>
        <v>5591.7499999999854</v>
      </c>
      <c r="H367" s="334"/>
      <c r="I367" s="335"/>
      <c r="J367" s="336"/>
      <c r="K367" s="301"/>
      <c r="L367" s="336"/>
      <c r="M367" s="301"/>
      <c r="N367" s="336"/>
      <c r="O367" s="301"/>
      <c r="P367" s="336"/>
      <c r="Q367" s="301"/>
      <c r="R367" s="336"/>
      <c r="S367" s="301"/>
      <c r="T367" s="336"/>
    </row>
    <row r="368" spans="1:20" ht="12" customHeight="1" x14ac:dyDescent="0.3">
      <c r="A368" s="329" t="s">
        <v>294</v>
      </c>
      <c r="B368" s="330">
        <v>43</v>
      </c>
      <c r="C368" s="298">
        <v>46129</v>
      </c>
      <c r="D368" s="299" t="s">
        <v>333</v>
      </c>
      <c r="E368" s="331">
        <v>22.35</v>
      </c>
      <c r="F368" s="331"/>
      <c r="G368" s="333">
        <f t="shared" si="9"/>
        <v>5667.3499999999858</v>
      </c>
      <c r="H368" s="334"/>
      <c r="I368" s="335"/>
      <c r="J368" s="336"/>
      <c r="K368" s="301"/>
      <c r="L368" s="336"/>
      <c r="M368" s="301"/>
      <c r="N368" s="336"/>
      <c r="O368" s="301"/>
      <c r="P368" s="336"/>
      <c r="Q368" s="301"/>
      <c r="R368" s="336"/>
      <c r="S368" s="301"/>
      <c r="T368" s="336"/>
    </row>
    <row r="369" spans="1:20" ht="12" customHeight="1" x14ac:dyDescent="0.3">
      <c r="A369" s="329" t="s">
        <v>294</v>
      </c>
      <c r="B369" s="330">
        <v>42</v>
      </c>
      <c r="C369" s="298">
        <v>46129</v>
      </c>
      <c r="D369" s="299" t="s">
        <v>333</v>
      </c>
      <c r="E369" s="331">
        <v>37.25</v>
      </c>
      <c r="F369" s="331"/>
      <c r="G369" s="333">
        <f t="shared" si="9"/>
        <v>5689.6999999999862</v>
      </c>
      <c r="H369" s="334"/>
      <c r="I369" s="335"/>
      <c r="J369" s="336"/>
      <c r="K369" s="301"/>
      <c r="L369" s="336"/>
      <c r="M369" s="301"/>
      <c r="N369" s="336"/>
      <c r="O369" s="301"/>
      <c r="P369" s="336"/>
      <c r="Q369" s="301"/>
      <c r="R369" s="336"/>
      <c r="S369" s="301"/>
      <c r="T369" s="336"/>
    </row>
    <row r="370" spans="1:20" ht="12" customHeight="1" x14ac:dyDescent="0.3">
      <c r="A370" s="329" t="s">
        <v>289</v>
      </c>
      <c r="B370" s="330">
        <v>8</v>
      </c>
      <c r="C370" s="298">
        <v>46129</v>
      </c>
      <c r="D370" s="299" t="s">
        <v>319</v>
      </c>
      <c r="E370" s="331">
        <v>35.119999999999997</v>
      </c>
      <c r="F370" s="331"/>
      <c r="G370" s="333">
        <f t="shared" si="9"/>
        <v>5726.9499999999862</v>
      </c>
      <c r="H370" s="334"/>
      <c r="I370" s="335"/>
      <c r="J370" s="336"/>
      <c r="K370" s="301"/>
      <c r="L370" s="336"/>
      <c r="M370" s="301"/>
      <c r="N370" s="336"/>
      <c r="O370" s="301"/>
      <c r="P370" s="336"/>
      <c r="Q370" s="301"/>
      <c r="R370" s="336"/>
      <c r="S370" s="301"/>
      <c r="T370" s="336"/>
    </row>
    <row r="371" spans="1:20" ht="12" customHeight="1" x14ac:dyDescent="0.3">
      <c r="A371" s="329" t="s">
        <v>289</v>
      </c>
      <c r="B371" s="330">
        <v>3</v>
      </c>
      <c r="C371" s="298">
        <v>46129</v>
      </c>
      <c r="D371" s="299" t="s">
        <v>296</v>
      </c>
      <c r="E371" s="331">
        <v>8.7200000000000006</v>
      </c>
      <c r="F371" s="331"/>
      <c r="G371" s="333">
        <f t="shared" si="9"/>
        <v>5762.0699999999861</v>
      </c>
      <c r="H371" s="334"/>
      <c r="I371" s="335"/>
      <c r="J371" s="336"/>
      <c r="K371" s="301"/>
      <c r="L371" s="336"/>
      <c r="M371" s="301"/>
      <c r="N371" s="336"/>
      <c r="O371" s="301"/>
      <c r="P371" s="336"/>
      <c r="Q371" s="301"/>
      <c r="R371" s="336"/>
      <c r="S371" s="301"/>
      <c r="T371" s="336"/>
    </row>
    <row r="372" spans="1:20" ht="12" customHeight="1" x14ac:dyDescent="0.3">
      <c r="A372" s="329" t="s">
        <v>289</v>
      </c>
      <c r="B372" s="330">
        <v>2</v>
      </c>
      <c r="C372" s="298">
        <v>46129</v>
      </c>
      <c r="D372" s="299" t="s">
        <v>334</v>
      </c>
      <c r="E372" s="331">
        <v>13.21</v>
      </c>
      <c r="F372" s="331"/>
      <c r="G372" s="333">
        <f t="shared" si="9"/>
        <v>5770.7899999999863</v>
      </c>
      <c r="H372" s="334"/>
      <c r="I372" s="335"/>
      <c r="J372" s="336"/>
      <c r="K372" s="301"/>
      <c r="L372" s="336"/>
      <c r="M372" s="301"/>
      <c r="N372" s="336"/>
      <c r="O372" s="301"/>
      <c r="P372" s="336"/>
      <c r="Q372" s="301"/>
      <c r="R372" s="336"/>
      <c r="S372" s="301"/>
      <c r="T372" s="336"/>
    </row>
    <row r="373" spans="1:20" ht="12" customHeight="1" x14ac:dyDescent="0.3">
      <c r="A373" s="329" t="s">
        <v>294</v>
      </c>
      <c r="B373" s="330">
        <v>17</v>
      </c>
      <c r="C373" s="298">
        <v>46129</v>
      </c>
      <c r="D373" s="299" t="s">
        <v>188</v>
      </c>
      <c r="E373" s="331">
        <v>42.65</v>
      </c>
      <c r="F373" s="331"/>
      <c r="G373" s="333">
        <f t="shared" si="9"/>
        <v>5783.9999999999864</v>
      </c>
      <c r="H373" s="334"/>
      <c r="I373" s="335"/>
      <c r="J373" s="336"/>
      <c r="K373" s="301"/>
      <c r="L373" s="336"/>
      <c r="M373" s="301"/>
      <c r="N373" s="336"/>
      <c r="O373" s="301"/>
      <c r="P373" s="336"/>
      <c r="Q373" s="301"/>
      <c r="R373" s="336"/>
      <c r="S373" s="301"/>
      <c r="T373" s="336"/>
    </row>
    <row r="374" spans="1:20" ht="12" customHeight="1" x14ac:dyDescent="0.3">
      <c r="A374" s="329" t="s">
        <v>335</v>
      </c>
      <c r="B374" s="330" t="s">
        <v>335</v>
      </c>
      <c r="C374" s="298">
        <v>46129</v>
      </c>
      <c r="D374" s="299" t="s">
        <v>336</v>
      </c>
      <c r="E374" s="331">
        <v>130.31</v>
      </c>
      <c r="F374" s="331"/>
      <c r="G374" s="333">
        <f t="shared" si="9"/>
        <v>5826.649999999986</v>
      </c>
      <c r="H374" s="334"/>
      <c r="I374" s="335"/>
      <c r="J374" s="336"/>
      <c r="K374" s="301"/>
      <c r="L374" s="336"/>
      <c r="M374" s="301"/>
      <c r="N374" s="336"/>
      <c r="O374" s="301"/>
      <c r="P374" s="336"/>
      <c r="Q374" s="301"/>
      <c r="R374" s="336"/>
      <c r="S374" s="301"/>
      <c r="T374" s="336"/>
    </row>
    <row r="375" spans="1:20" ht="12" customHeight="1" x14ac:dyDescent="0.3">
      <c r="A375" s="329" t="s">
        <v>294</v>
      </c>
      <c r="B375" s="330">
        <v>15</v>
      </c>
      <c r="C375" s="298">
        <v>46129</v>
      </c>
      <c r="D375" s="299" t="s">
        <v>185</v>
      </c>
      <c r="E375" s="331">
        <v>131.22999999999999</v>
      </c>
      <c r="F375" s="331"/>
      <c r="G375" s="333">
        <f t="shared" si="9"/>
        <v>5956.9599999999864</v>
      </c>
      <c r="H375" s="334"/>
      <c r="I375" s="335"/>
      <c r="J375" s="336"/>
      <c r="K375" s="301"/>
      <c r="L375" s="336"/>
      <c r="M375" s="301"/>
      <c r="N375" s="336"/>
      <c r="O375" s="301"/>
      <c r="P375" s="336"/>
      <c r="Q375" s="301"/>
      <c r="R375" s="336"/>
      <c r="S375" s="301"/>
      <c r="T375" s="336"/>
    </row>
    <row r="376" spans="1:20" ht="12" customHeight="1" x14ac:dyDescent="0.3">
      <c r="A376" s="329" t="s">
        <v>289</v>
      </c>
      <c r="B376" s="330">
        <v>6</v>
      </c>
      <c r="C376" s="298">
        <v>46129</v>
      </c>
      <c r="D376" s="299" t="s">
        <v>337</v>
      </c>
      <c r="E376" s="331">
        <v>210</v>
      </c>
      <c r="F376" s="331"/>
      <c r="G376" s="333">
        <f t="shared" si="9"/>
        <v>6088.189999999986</v>
      </c>
      <c r="H376" s="334"/>
      <c r="I376" s="335"/>
      <c r="J376" s="336"/>
      <c r="K376" s="301"/>
      <c r="L376" s="336"/>
      <c r="M376" s="301"/>
      <c r="N376" s="336"/>
      <c r="O376" s="301"/>
      <c r="P376" s="336"/>
      <c r="Q376" s="301"/>
      <c r="R376" s="336"/>
      <c r="S376" s="301"/>
      <c r="T376" s="336"/>
    </row>
    <row r="377" spans="1:20" ht="12" customHeight="1" x14ac:dyDescent="0.3">
      <c r="A377" s="329" t="s">
        <v>294</v>
      </c>
      <c r="B377" s="330">
        <v>23</v>
      </c>
      <c r="C377" s="298">
        <v>46129</v>
      </c>
      <c r="D377" s="299" t="s">
        <v>63</v>
      </c>
      <c r="E377" s="331">
        <v>529.46</v>
      </c>
      <c r="F377" s="331"/>
      <c r="G377" s="333">
        <f t="shared" si="9"/>
        <v>6298.189999999986</v>
      </c>
      <c r="H377" s="334"/>
      <c r="I377" s="335"/>
      <c r="J377" s="336"/>
      <c r="K377" s="301"/>
      <c r="L377" s="336"/>
      <c r="M377" s="301"/>
      <c r="N377" s="336"/>
      <c r="O377" s="301"/>
      <c r="P377" s="336"/>
      <c r="Q377" s="301"/>
      <c r="R377" s="336"/>
      <c r="S377" s="301"/>
      <c r="T377" s="336"/>
    </row>
    <row r="378" spans="1:20" ht="12" customHeight="1" x14ac:dyDescent="0.3">
      <c r="A378" s="329" t="s">
        <v>289</v>
      </c>
      <c r="B378" s="330">
        <v>7</v>
      </c>
      <c r="C378" s="298">
        <v>46129</v>
      </c>
      <c r="D378" s="299" t="s">
        <v>338</v>
      </c>
      <c r="E378" s="331">
        <v>32.78</v>
      </c>
      <c r="F378" s="331"/>
      <c r="G378" s="333">
        <f t="shared" si="9"/>
        <v>6827.649999999986</v>
      </c>
      <c r="H378" s="334"/>
      <c r="I378" s="335"/>
      <c r="J378" s="336"/>
      <c r="K378" s="301"/>
      <c r="L378" s="336"/>
      <c r="M378" s="301"/>
      <c r="N378" s="336"/>
      <c r="O378" s="301"/>
      <c r="P378" s="336"/>
      <c r="Q378" s="301"/>
      <c r="R378" s="336"/>
      <c r="S378" s="301"/>
      <c r="T378" s="336"/>
    </row>
    <row r="379" spans="1:20" ht="12" customHeight="1" x14ac:dyDescent="0.3">
      <c r="A379" s="329" t="s">
        <v>289</v>
      </c>
      <c r="B379" s="330">
        <v>4</v>
      </c>
      <c r="C379" s="298">
        <v>46128</v>
      </c>
      <c r="D379" s="299" t="s">
        <v>310</v>
      </c>
      <c r="E379" s="331">
        <v>44.41</v>
      </c>
      <c r="F379" s="331"/>
      <c r="G379" s="333">
        <f t="shared" si="9"/>
        <v>6860.4299999999857</v>
      </c>
      <c r="H379" s="334"/>
      <c r="I379" s="335"/>
      <c r="J379" s="336"/>
      <c r="K379" s="301"/>
      <c r="L379" s="336"/>
      <c r="M379" s="301"/>
      <c r="N379" s="336"/>
      <c r="O379" s="301"/>
      <c r="P379" s="336"/>
      <c r="Q379" s="301"/>
      <c r="R379" s="336"/>
      <c r="S379" s="301"/>
      <c r="T379" s="336"/>
    </row>
    <row r="380" spans="1:20" ht="12" customHeight="1" x14ac:dyDescent="0.3">
      <c r="A380" s="329" t="s">
        <v>294</v>
      </c>
      <c r="B380" s="330">
        <v>16</v>
      </c>
      <c r="C380" s="298">
        <v>46128</v>
      </c>
      <c r="D380" s="299" t="s">
        <v>339</v>
      </c>
      <c r="E380" s="331">
        <v>15</v>
      </c>
      <c r="F380" s="331"/>
      <c r="G380" s="333">
        <f t="shared" si="9"/>
        <v>6904.8399999999856</v>
      </c>
      <c r="H380" s="334"/>
      <c r="I380" s="335"/>
      <c r="J380" s="336"/>
      <c r="K380" s="301"/>
      <c r="L380" s="336"/>
      <c r="M380" s="301"/>
      <c r="N380" s="336"/>
      <c r="O380" s="301"/>
      <c r="P380" s="336"/>
      <c r="Q380" s="301"/>
      <c r="R380" s="336"/>
      <c r="S380" s="301"/>
      <c r="T380" s="336"/>
    </row>
    <row r="381" spans="1:20" ht="12" customHeight="1" x14ac:dyDescent="0.3">
      <c r="A381" s="329" t="s">
        <v>289</v>
      </c>
      <c r="B381" s="330">
        <v>2</v>
      </c>
      <c r="C381" s="298">
        <v>46128</v>
      </c>
      <c r="D381" s="299" t="s">
        <v>301</v>
      </c>
      <c r="E381" s="331">
        <v>41.95</v>
      </c>
      <c r="F381" s="331"/>
      <c r="G381" s="333">
        <f t="shared" si="9"/>
        <v>6919.8399999999856</v>
      </c>
      <c r="H381" s="334"/>
      <c r="I381" s="335"/>
      <c r="J381" s="336"/>
      <c r="K381" s="301"/>
      <c r="L381" s="336"/>
      <c r="M381" s="301"/>
      <c r="N381" s="336"/>
      <c r="O381" s="301"/>
      <c r="P381" s="336"/>
      <c r="Q381" s="301"/>
      <c r="R381" s="336"/>
      <c r="S381" s="301"/>
      <c r="T381" s="336"/>
    </row>
    <row r="382" spans="1:20" ht="12" customHeight="1" x14ac:dyDescent="0.3">
      <c r="A382" s="329" t="s">
        <v>289</v>
      </c>
      <c r="B382" s="330">
        <v>5</v>
      </c>
      <c r="C382" s="298">
        <v>46128</v>
      </c>
      <c r="D382" s="299" t="s">
        <v>340</v>
      </c>
      <c r="E382" s="331">
        <v>21.3</v>
      </c>
      <c r="F382" s="331"/>
      <c r="G382" s="333">
        <f t="shared" si="9"/>
        <v>6961.7899999999854</v>
      </c>
      <c r="H382" s="334"/>
      <c r="I382" s="335"/>
      <c r="J382" s="336"/>
      <c r="K382" s="301"/>
      <c r="L382" s="336"/>
      <c r="M382" s="301"/>
      <c r="N382" s="336"/>
      <c r="O382" s="301"/>
      <c r="P382" s="336"/>
      <c r="Q382" s="301"/>
      <c r="R382" s="336"/>
      <c r="S382" s="301"/>
      <c r="T382" s="336"/>
    </row>
    <row r="383" spans="1:20" ht="12" customHeight="1" x14ac:dyDescent="0.3">
      <c r="A383" s="329" t="s">
        <v>289</v>
      </c>
      <c r="B383" s="330">
        <v>4</v>
      </c>
      <c r="C383" s="298">
        <v>46128</v>
      </c>
      <c r="D383" s="299" t="s">
        <v>296</v>
      </c>
      <c r="E383" s="331">
        <v>70.03</v>
      </c>
      <c r="F383" s="331"/>
      <c r="G383" s="333">
        <f t="shared" si="9"/>
        <v>6983.0899999999856</v>
      </c>
      <c r="H383" s="334"/>
      <c r="I383" s="335"/>
      <c r="J383" s="336"/>
      <c r="K383" s="301"/>
      <c r="L383" s="336"/>
      <c r="M383" s="301"/>
      <c r="N383" s="336"/>
      <c r="O383" s="301"/>
      <c r="P383" s="336"/>
      <c r="Q383" s="301"/>
      <c r="R383" s="336"/>
      <c r="S383" s="301"/>
      <c r="T383" s="336"/>
    </row>
    <row r="384" spans="1:20" ht="12" customHeight="1" x14ac:dyDescent="0.3">
      <c r="A384" s="329" t="s">
        <v>289</v>
      </c>
      <c r="B384" s="330">
        <v>2</v>
      </c>
      <c r="C384" s="298">
        <v>46128</v>
      </c>
      <c r="D384" s="299" t="s">
        <v>296</v>
      </c>
      <c r="E384" s="331">
        <v>11.48</v>
      </c>
      <c r="F384" s="331"/>
      <c r="G384" s="333">
        <f t="shared" si="9"/>
        <v>7053.1199999999853</v>
      </c>
      <c r="H384" s="334"/>
      <c r="I384" s="335"/>
      <c r="J384" s="336"/>
      <c r="K384" s="301"/>
      <c r="L384" s="336"/>
      <c r="M384" s="301"/>
      <c r="N384" s="336"/>
      <c r="O384" s="301"/>
      <c r="P384" s="336"/>
      <c r="Q384" s="301"/>
      <c r="R384" s="336"/>
      <c r="S384" s="301"/>
      <c r="T384" s="336"/>
    </row>
    <row r="385" spans="1:20" ht="12" customHeight="1" x14ac:dyDescent="0.3">
      <c r="A385" s="329" t="s">
        <v>289</v>
      </c>
      <c r="B385" s="330">
        <v>6</v>
      </c>
      <c r="C385" s="298">
        <v>46128</v>
      </c>
      <c r="D385" s="299" t="s">
        <v>341</v>
      </c>
      <c r="E385" s="331">
        <v>26.61</v>
      </c>
      <c r="F385" s="331"/>
      <c r="G385" s="333">
        <f t="shared" si="9"/>
        <v>7064.5999999999849</v>
      </c>
      <c r="H385" s="334"/>
      <c r="I385" s="335"/>
      <c r="J385" s="336"/>
      <c r="K385" s="301"/>
      <c r="L385" s="336"/>
      <c r="M385" s="301"/>
      <c r="N385" s="336"/>
      <c r="O385" s="301"/>
      <c r="P385" s="336"/>
      <c r="Q385" s="301"/>
      <c r="R385" s="336"/>
      <c r="S385" s="301"/>
      <c r="T385" s="336"/>
    </row>
    <row r="386" spans="1:20" ht="12" customHeight="1" x14ac:dyDescent="0.3">
      <c r="A386" s="329" t="s">
        <v>289</v>
      </c>
      <c r="B386" s="330">
        <v>6</v>
      </c>
      <c r="C386" s="298">
        <v>46128</v>
      </c>
      <c r="D386" s="299" t="s">
        <v>342</v>
      </c>
      <c r="E386" s="331">
        <v>42.59</v>
      </c>
      <c r="F386" s="331"/>
      <c r="G386" s="333">
        <f t="shared" si="9"/>
        <v>7091.2099999999846</v>
      </c>
      <c r="H386" s="334"/>
      <c r="I386" s="335"/>
      <c r="J386" s="336"/>
      <c r="K386" s="301"/>
      <c r="L386" s="336"/>
      <c r="M386" s="301"/>
      <c r="N386" s="336"/>
      <c r="O386" s="301"/>
      <c r="P386" s="336"/>
      <c r="Q386" s="301"/>
      <c r="R386" s="336"/>
      <c r="S386" s="301"/>
      <c r="T386" s="336"/>
    </row>
    <row r="387" spans="1:20" ht="12" customHeight="1" x14ac:dyDescent="0.3">
      <c r="A387" s="329" t="s">
        <v>289</v>
      </c>
      <c r="B387" s="330">
        <v>6</v>
      </c>
      <c r="C387" s="298">
        <v>46128</v>
      </c>
      <c r="D387" s="299" t="s">
        <v>300</v>
      </c>
      <c r="E387" s="331">
        <v>20.58</v>
      </c>
      <c r="F387" s="331"/>
      <c r="G387" s="333">
        <f t="shared" si="9"/>
        <v>7133.7999999999847</v>
      </c>
      <c r="H387" s="334"/>
      <c r="I387" s="335"/>
      <c r="J387" s="336"/>
      <c r="K387" s="301"/>
      <c r="L387" s="336"/>
      <c r="M387" s="301"/>
      <c r="N387" s="336"/>
      <c r="O387" s="301"/>
      <c r="P387" s="336"/>
      <c r="Q387" s="301"/>
      <c r="R387" s="336"/>
      <c r="S387" s="301"/>
      <c r="T387" s="336"/>
    </row>
    <row r="388" spans="1:20" ht="12" customHeight="1" x14ac:dyDescent="0.3">
      <c r="A388" s="329" t="s">
        <v>294</v>
      </c>
      <c r="B388" s="330">
        <v>11</v>
      </c>
      <c r="C388" s="298">
        <v>46128</v>
      </c>
      <c r="D388" s="299" t="s">
        <v>178</v>
      </c>
      <c r="E388" s="331">
        <v>267.91000000000003</v>
      </c>
      <c r="F388" s="331"/>
      <c r="G388" s="333">
        <f t="shared" si="9"/>
        <v>7154.3799999999846</v>
      </c>
      <c r="H388" s="334"/>
      <c r="I388" s="335"/>
      <c r="J388" s="336"/>
      <c r="K388" s="301"/>
      <c r="L388" s="336"/>
      <c r="M388" s="301"/>
      <c r="N388" s="336"/>
      <c r="O388" s="301"/>
      <c r="P388" s="336"/>
      <c r="Q388" s="301"/>
      <c r="R388" s="336"/>
      <c r="S388" s="301"/>
      <c r="T388" s="336"/>
    </row>
    <row r="389" spans="1:20" ht="12" customHeight="1" x14ac:dyDescent="0.3">
      <c r="A389" s="329" t="s">
        <v>291</v>
      </c>
      <c r="B389" s="330">
        <v>41</v>
      </c>
      <c r="C389" s="298">
        <v>46128</v>
      </c>
      <c r="D389" s="299" t="s">
        <v>299</v>
      </c>
      <c r="E389" s="331"/>
      <c r="F389" s="331">
        <v>300</v>
      </c>
      <c r="G389" s="333">
        <f t="shared" si="9"/>
        <v>7422.2899999999845</v>
      </c>
      <c r="H389" s="334"/>
      <c r="I389" s="335"/>
      <c r="J389" s="336"/>
      <c r="K389" s="301"/>
      <c r="L389" s="336"/>
      <c r="M389" s="301"/>
      <c r="N389" s="336"/>
      <c r="O389" s="301"/>
      <c r="P389" s="336"/>
      <c r="Q389" s="301"/>
      <c r="R389" s="336"/>
      <c r="S389" s="301"/>
      <c r="T389" s="336"/>
    </row>
    <row r="390" spans="1:20" ht="12" customHeight="1" x14ac:dyDescent="0.3">
      <c r="A390" s="329" t="s">
        <v>291</v>
      </c>
      <c r="B390" s="330">
        <v>39</v>
      </c>
      <c r="C390" s="298">
        <v>46128</v>
      </c>
      <c r="D390" s="299" t="s">
        <v>292</v>
      </c>
      <c r="E390" s="331"/>
      <c r="F390" s="331">
        <v>2763.78</v>
      </c>
      <c r="G390" s="333">
        <f t="shared" si="9"/>
        <v>7122.2899999999845</v>
      </c>
      <c r="H390" s="334"/>
      <c r="I390" s="335"/>
      <c r="J390" s="336"/>
      <c r="K390" s="301"/>
      <c r="L390" s="336"/>
      <c r="M390" s="301"/>
      <c r="N390" s="336"/>
      <c r="O390" s="301"/>
      <c r="P390" s="336"/>
      <c r="Q390" s="301"/>
      <c r="R390" s="336"/>
      <c r="S390" s="301"/>
      <c r="T390" s="336"/>
    </row>
    <row r="391" spans="1:20" ht="12" customHeight="1" x14ac:dyDescent="0.3">
      <c r="A391" s="329" t="s">
        <v>287</v>
      </c>
      <c r="B391" s="330" t="s">
        <v>287</v>
      </c>
      <c r="C391" s="298">
        <v>46127</v>
      </c>
      <c r="D391" s="299" t="s">
        <v>343</v>
      </c>
      <c r="E391" s="331">
        <v>93.71</v>
      </c>
      <c r="F391" s="331">
        <v>93.71</v>
      </c>
      <c r="G391" s="333">
        <f t="shared" si="9"/>
        <v>4358.5099999999848</v>
      </c>
      <c r="H391" s="334"/>
      <c r="I391" s="335"/>
      <c r="J391" s="336"/>
      <c r="K391" s="301"/>
      <c r="L391" s="336"/>
      <c r="M391" s="301"/>
      <c r="N391" s="336"/>
      <c r="O391" s="301"/>
      <c r="P391" s="336"/>
      <c r="Q391" s="301"/>
      <c r="R391" s="336"/>
      <c r="S391" s="301"/>
      <c r="T391" s="336"/>
    </row>
    <row r="392" spans="1:20" ht="12" customHeight="1" x14ac:dyDescent="0.3">
      <c r="A392" s="329" t="s">
        <v>289</v>
      </c>
      <c r="B392" s="330">
        <v>6</v>
      </c>
      <c r="C392" s="298">
        <v>46127</v>
      </c>
      <c r="D392" s="299" t="s">
        <v>344</v>
      </c>
      <c r="E392" s="331">
        <v>27</v>
      </c>
      <c r="F392" s="331"/>
      <c r="G392" s="333">
        <f t="shared" si="9"/>
        <v>4358.5099999999848</v>
      </c>
      <c r="H392" s="334"/>
      <c r="I392" s="335"/>
      <c r="J392" s="336"/>
      <c r="K392" s="301"/>
      <c r="L392" s="336"/>
      <c r="M392" s="301"/>
      <c r="N392" s="336"/>
      <c r="O392" s="301"/>
      <c r="P392" s="336"/>
      <c r="Q392" s="301"/>
      <c r="R392" s="336"/>
      <c r="S392" s="301"/>
      <c r="T392" s="336"/>
    </row>
    <row r="393" spans="1:20" ht="12" customHeight="1" x14ac:dyDescent="0.3">
      <c r="A393" s="329" t="s">
        <v>291</v>
      </c>
      <c r="B393" s="330">
        <v>38</v>
      </c>
      <c r="C393" s="298">
        <v>46127</v>
      </c>
      <c r="D393" s="299" t="s">
        <v>293</v>
      </c>
      <c r="E393" s="331"/>
      <c r="F393" s="331">
        <v>4597.82</v>
      </c>
      <c r="G393" s="333">
        <f t="shared" si="9"/>
        <v>4385.5099999999848</v>
      </c>
      <c r="H393" s="334"/>
      <c r="I393" s="335"/>
      <c r="J393" s="336"/>
      <c r="K393" s="301"/>
      <c r="L393" s="336"/>
      <c r="M393" s="301"/>
      <c r="N393" s="336"/>
      <c r="O393" s="301"/>
      <c r="P393" s="336"/>
      <c r="Q393" s="301"/>
      <c r="R393" s="336"/>
      <c r="S393" s="301"/>
      <c r="T393" s="336"/>
    </row>
    <row r="394" spans="1:20" ht="12" customHeight="1" x14ac:dyDescent="0.3">
      <c r="A394" s="329" t="s">
        <v>289</v>
      </c>
      <c r="B394" s="330">
        <v>2</v>
      </c>
      <c r="C394" s="298">
        <v>46127</v>
      </c>
      <c r="D394" s="299" t="s">
        <v>296</v>
      </c>
      <c r="E394" s="331">
        <v>14.67</v>
      </c>
      <c r="F394" s="331"/>
      <c r="G394" s="333">
        <f t="shared" si="9"/>
        <v>-212.31000000001481</v>
      </c>
      <c r="H394" s="334"/>
      <c r="I394" s="335"/>
      <c r="J394" s="336"/>
      <c r="K394" s="301"/>
      <c r="L394" s="336"/>
      <c r="M394" s="301"/>
      <c r="N394" s="336"/>
      <c r="O394" s="301"/>
      <c r="P394" s="336"/>
      <c r="Q394" s="301"/>
      <c r="R394" s="336"/>
      <c r="S394" s="301"/>
      <c r="T394" s="336"/>
    </row>
    <row r="395" spans="1:20" ht="12" customHeight="1" x14ac:dyDescent="0.3">
      <c r="A395" s="329" t="s">
        <v>289</v>
      </c>
      <c r="B395" s="330">
        <v>2</v>
      </c>
      <c r="C395" s="298">
        <v>46127</v>
      </c>
      <c r="D395" s="299" t="s">
        <v>345</v>
      </c>
      <c r="E395" s="331">
        <v>102.2</v>
      </c>
      <c r="F395" s="331"/>
      <c r="G395" s="333">
        <f t="shared" si="9"/>
        <v>-197.64000000001482</v>
      </c>
      <c r="H395" s="334"/>
      <c r="I395" s="335"/>
      <c r="J395" s="336"/>
      <c r="K395" s="301"/>
      <c r="L395" s="336"/>
      <c r="M395" s="301"/>
      <c r="N395" s="336"/>
      <c r="O395" s="301"/>
      <c r="P395" s="336"/>
      <c r="Q395" s="301"/>
      <c r="R395" s="336"/>
      <c r="S395" s="301"/>
      <c r="T395" s="336"/>
    </row>
    <row r="396" spans="1:20" ht="12" customHeight="1" x14ac:dyDescent="0.3">
      <c r="A396" s="329" t="s">
        <v>289</v>
      </c>
      <c r="B396" s="330">
        <v>8</v>
      </c>
      <c r="C396" s="298">
        <v>46126</v>
      </c>
      <c r="D396" s="299" t="s">
        <v>319</v>
      </c>
      <c r="E396" s="331">
        <v>15.53</v>
      </c>
      <c r="F396" s="331"/>
      <c r="G396" s="333">
        <f t="shared" si="9"/>
        <v>-95.440000000014805</v>
      </c>
      <c r="H396" s="334"/>
      <c r="I396" s="335"/>
      <c r="J396" s="336"/>
      <c r="K396" s="301"/>
      <c r="L396" s="336"/>
      <c r="M396" s="301"/>
      <c r="N396" s="336"/>
      <c r="O396" s="301"/>
      <c r="P396" s="336"/>
      <c r="Q396" s="301"/>
      <c r="R396" s="336"/>
      <c r="S396" s="301"/>
      <c r="T396" s="336"/>
    </row>
    <row r="397" spans="1:20" ht="12" customHeight="1" x14ac:dyDescent="0.3">
      <c r="A397" s="329" t="s">
        <v>294</v>
      </c>
      <c r="B397" s="330">
        <v>24</v>
      </c>
      <c r="C397" s="298">
        <v>46126</v>
      </c>
      <c r="D397" s="299" t="s">
        <v>860</v>
      </c>
      <c r="E397" s="331">
        <v>105.33</v>
      </c>
      <c r="F397" s="331"/>
      <c r="G397" s="333">
        <f t="shared" si="9"/>
        <v>-79.910000000014804</v>
      </c>
      <c r="H397" s="334"/>
      <c r="I397" s="335"/>
      <c r="J397" s="336"/>
      <c r="K397" s="301"/>
      <c r="L397" s="336"/>
      <c r="M397" s="301"/>
      <c r="N397" s="336"/>
      <c r="O397" s="301"/>
      <c r="P397" s="336"/>
      <c r="Q397" s="301"/>
      <c r="R397" s="336"/>
      <c r="S397" s="301"/>
      <c r="T397" s="336"/>
    </row>
    <row r="398" spans="1:20" ht="12" customHeight="1" x14ac:dyDescent="0.3">
      <c r="A398" s="329" t="s">
        <v>289</v>
      </c>
      <c r="B398" s="330">
        <v>2</v>
      </c>
      <c r="C398" s="298">
        <v>46125</v>
      </c>
      <c r="D398" s="299" t="s">
        <v>346</v>
      </c>
      <c r="E398" s="331">
        <v>11.64</v>
      </c>
      <c r="F398" s="331"/>
      <c r="G398" s="333">
        <f t="shared" si="9"/>
        <v>25.419999999985201</v>
      </c>
      <c r="H398" s="334"/>
      <c r="I398" s="335"/>
      <c r="J398" s="336"/>
      <c r="K398" s="301"/>
      <c r="L398" s="336"/>
      <c r="M398" s="301"/>
      <c r="N398" s="336"/>
      <c r="O398" s="301"/>
      <c r="P398" s="336"/>
      <c r="Q398" s="301"/>
      <c r="R398" s="336"/>
      <c r="S398" s="301"/>
      <c r="T398" s="336"/>
    </row>
    <row r="399" spans="1:20" ht="12" customHeight="1" x14ac:dyDescent="0.3">
      <c r="A399" s="329" t="s">
        <v>289</v>
      </c>
      <c r="B399" s="330">
        <v>1</v>
      </c>
      <c r="C399" s="298">
        <v>46125</v>
      </c>
      <c r="D399" s="299" t="s">
        <v>306</v>
      </c>
      <c r="E399" s="331">
        <v>50.71</v>
      </c>
      <c r="F399" s="331"/>
      <c r="G399" s="333">
        <f t="shared" si="9"/>
        <v>37.059999999985202</v>
      </c>
      <c r="H399" s="334"/>
      <c r="I399" s="335"/>
      <c r="J399" s="336"/>
      <c r="K399" s="301"/>
      <c r="L399" s="336"/>
      <c r="M399" s="301"/>
      <c r="N399" s="336"/>
      <c r="O399" s="301"/>
      <c r="P399" s="336"/>
      <c r="Q399" s="301"/>
      <c r="R399" s="336"/>
      <c r="S399" s="301"/>
      <c r="T399" s="336"/>
    </row>
    <row r="400" spans="1:20" ht="12" customHeight="1" x14ac:dyDescent="0.3">
      <c r="A400" s="329" t="s">
        <v>289</v>
      </c>
      <c r="B400" s="330">
        <v>2</v>
      </c>
      <c r="C400" s="298">
        <v>46125</v>
      </c>
      <c r="D400" s="299" t="s">
        <v>334</v>
      </c>
      <c r="E400" s="331">
        <v>11.06</v>
      </c>
      <c r="F400" s="331"/>
      <c r="G400" s="333">
        <f t="shared" si="9"/>
        <v>87.769999999985203</v>
      </c>
      <c r="H400" s="334"/>
      <c r="I400" s="335"/>
      <c r="J400" s="336"/>
      <c r="K400" s="301"/>
      <c r="L400" s="336"/>
      <c r="M400" s="301"/>
      <c r="N400" s="336"/>
      <c r="O400" s="301"/>
      <c r="P400" s="336"/>
      <c r="Q400" s="301"/>
      <c r="R400" s="336"/>
      <c r="S400" s="301"/>
      <c r="T400" s="336"/>
    </row>
    <row r="401" spans="1:20" ht="12" customHeight="1" x14ac:dyDescent="0.3">
      <c r="A401" s="329" t="s">
        <v>289</v>
      </c>
      <c r="B401" s="330">
        <v>4</v>
      </c>
      <c r="C401" s="298">
        <v>46125</v>
      </c>
      <c r="D401" s="299" t="s">
        <v>295</v>
      </c>
      <c r="E401" s="331">
        <v>35.979999999999997</v>
      </c>
      <c r="F401" s="331"/>
      <c r="G401" s="333">
        <f t="shared" si="9"/>
        <v>98.829999999985205</v>
      </c>
      <c r="H401" s="334"/>
      <c r="I401" s="335"/>
      <c r="J401" s="336"/>
      <c r="K401" s="301"/>
      <c r="L401" s="336"/>
      <c r="M401" s="301"/>
      <c r="N401" s="336"/>
      <c r="O401" s="301"/>
      <c r="P401" s="336"/>
      <c r="Q401" s="301"/>
      <c r="R401" s="336"/>
      <c r="S401" s="301"/>
      <c r="T401" s="336"/>
    </row>
    <row r="402" spans="1:20" ht="12" customHeight="1" x14ac:dyDescent="0.3">
      <c r="A402" s="329" t="s">
        <v>289</v>
      </c>
      <c r="B402" s="330">
        <v>8</v>
      </c>
      <c r="C402" s="298">
        <v>46125</v>
      </c>
      <c r="D402" s="299" t="s">
        <v>347</v>
      </c>
      <c r="E402" s="331">
        <v>7.83</v>
      </c>
      <c r="F402" s="331"/>
      <c r="G402" s="333">
        <f t="shared" si="9"/>
        <v>134.80999999998519</v>
      </c>
      <c r="H402" s="334"/>
      <c r="I402" s="335"/>
      <c r="J402" s="336"/>
      <c r="K402" s="301"/>
      <c r="L402" s="336"/>
      <c r="M402" s="301"/>
      <c r="N402" s="336"/>
      <c r="O402" s="301"/>
      <c r="P402" s="336"/>
      <c r="Q402" s="301"/>
      <c r="R402" s="336"/>
      <c r="S402" s="301"/>
      <c r="T402" s="336"/>
    </row>
    <row r="403" spans="1:20" ht="12" customHeight="1" x14ac:dyDescent="0.3">
      <c r="A403" s="329" t="s">
        <v>289</v>
      </c>
      <c r="B403" s="330">
        <v>3</v>
      </c>
      <c r="C403" s="298">
        <v>46125</v>
      </c>
      <c r="D403" s="299" t="s">
        <v>348</v>
      </c>
      <c r="E403" s="331">
        <v>4.1900000000000004</v>
      </c>
      <c r="F403" s="331"/>
      <c r="G403" s="333">
        <f t="shared" si="9"/>
        <v>142.63999999998521</v>
      </c>
      <c r="H403" s="334"/>
      <c r="I403" s="335"/>
      <c r="J403" s="336"/>
      <c r="K403" s="301"/>
      <c r="L403" s="336"/>
      <c r="M403" s="301"/>
      <c r="N403" s="336"/>
      <c r="O403" s="301"/>
      <c r="P403" s="336"/>
      <c r="Q403" s="301"/>
      <c r="R403" s="336"/>
      <c r="S403" s="301"/>
      <c r="T403" s="336"/>
    </row>
    <row r="404" spans="1:20" ht="12" customHeight="1" x14ac:dyDescent="0.3">
      <c r="A404" s="329" t="s">
        <v>289</v>
      </c>
      <c r="B404" s="330">
        <v>8</v>
      </c>
      <c r="C404" s="298">
        <v>46125</v>
      </c>
      <c r="D404" s="299" t="s">
        <v>349</v>
      </c>
      <c r="E404" s="331">
        <v>39.25</v>
      </c>
      <c r="F404" s="331"/>
      <c r="G404" s="333">
        <f t="shared" si="9"/>
        <v>146.8299999999852</v>
      </c>
      <c r="H404" s="334"/>
      <c r="I404" s="335"/>
      <c r="J404" s="336"/>
      <c r="K404" s="301"/>
      <c r="L404" s="336"/>
      <c r="M404" s="301"/>
      <c r="N404" s="336"/>
      <c r="O404" s="301"/>
      <c r="P404" s="336"/>
      <c r="Q404" s="301"/>
      <c r="R404" s="336"/>
      <c r="S404" s="301"/>
      <c r="T404" s="336"/>
    </row>
    <row r="405" spans="1:20" ht="12" customHeight="1" x14ac:dyDescent="0.3">
      <c r="A405" s="329" t="s">
        <v>287</v>
      </c>
      <c r="B405" s="330" t="s">
        <v>287</v>
      </c>
      <c r="C405" s="298">
        <v>46125</v>
      </c>
      <c r="D405" s="299" t="s">
        <v>350</v>
      </c>
      <c r="E405" s="331">
        <v>318.36</v>
      </c>
      <c r="F405" s="331">
        <v>318.36</v>
      </c>
      <c r="G405" s="333">
        <f t="shared" si="9"/>
        <v>186.0799999999852</v>
      </c>
      <c r="H405" s="334"/>
      <c r="I405" s="335"/>
      <c r="J405" s="336"/>
      <c r="K405" s="301"/>
      <c r="L405" s="336"/>
      <c r="M405" s="301"/>
      <c r="N405" s="336"/>
      <c r="O405" s="301"/>
      <c r="P405" s="336"/>
      <c r="Q405" s="301"/>
      <c r="R405" s="336"/>
      <c r="S405" s="301"/>
      <c r="T405" s="336"/>
    </row>
    <row r="406" spans="1:20" ht="12" customHeight="1" x14ac:dyDescent="0.3">
      <c r="A406" s="329" t="s">
        <v>294</v>
      </c>
      <c r="B406" s="330">
        <v>19</v>
      </c>
      <c r="C406" s="298">
        <v>46125</v>
      </c>
      <c r="D406" s="299" t="s">
        <v>191</v>
      </c>
      <c r="E406" s="331">
        <v>200</v>
      </c>
      <c r="F406" s="331"/>
      <c r="G406" s="333">
        <f t="shared" si="9"/>
        <v>186.0799999999852</v>
      </c>
      <c r="H406" s="334"/>
      <c r="I406" s="335"/>
      <c r="J406" s="336"/>
      <c r="K406" s="301"/>
      <c r="L406" s="336"/>
      <c r="M406" s="301"/>
      <c r="N406" s="336"/>
      <c r="O406" s="301"/>
      <c r="P406" s="336"/>
      <c r="Q406" s="301"/>
      <c r="R406" s="336"/>
      <c r="S406" s="301"/>
      <c r="T406" s="336"/>
    </row>
    <row r="407" spans="1:20" ht="12" customHeight="1" x14ac:dyDescent="0.3">
      <c r="A407" s="329" t="s">
        <v>289</v>
      </c>
      <c r="B407" s="330">
        <v>1</v>
      </c>
      <c r="C407" s="298">
        <v>46124</v>
      </c>
      <c r="D407" s="299" t="s">
        <v>304</v>
      </c>
      <c r="E407" s="331">
        <v>136.05000000000001</v>
      </c>
      <c r="F407" s="331"/>
      <c r="G407" s="333">
        <f t="shared" si="9"/>
        <v>386.0799999999852</v>
      </c>
      <c r="H407" s="334"/>
      <c r="I407" s="335"/>
      <c r="J407" s="336"/>
      <c r="K407" s="301"/>
      <c r="L407" s="336"/>
      <c r="M407" s="301"/>
      <c r="N407" s="336"/>
      <c r="O407" s="301"/>
      <c r="P407" s="336"/>
      <c r="Q407" s="301"/>
      <c r="R407" s="336"/>
      <c r="S407" s="301"/>
      <c r="T407" s="336"/>
    </row>
    <row r="408" spans="1:20" ht="12" customHeight="1" x14ac:dyDescent="0.3">
      <c r="A408" s="329" t="s">
        <v>289</v>
      </c>
      <c r="B408" s="330">
        <v>3</v>
      </c>
      <c r="C408" s="298">
        <v>46124</v>
      </c>
      <c r="D408" s="299" t="s">
        <v>348</v>
      </c>
      <c r="E408" s="331">
        <v>13.09</v>
      </c>
      <c r="F408" s="331"/>
      <c r="G408" s="333">
        <f t="shared" si="9"/>
        <v>522.12999999998522</v>
      </c>
      <c r="H408" s="334"/>
      <c r="I408" s="335"/>
      <c r="J408" s="336"/>
      <c r="K408" s="301"/>
      <c r="L408" s="336"/>
      <c r="M408" s="301"/>
      <c r="N408" s="336"/>
      <c r="O408" s="301"/>
      <c r="P408" s="336"/>
      <c r="Q408" s="301"/>
      <c r="R408" s="336"/>
      <c r="S408" s="301"/>
      <c r="T408" s="336"/>
    </row>
    <row r="409" spans="1:20" ht="12" customHeight="1" x14ac:dyDescent="0.3">
      <c r="A409" s="329" t="s">
        <v>289</v>
      </c>
      <c r="B409" s="330">
        <v>8</v>
      </c>
      <c r="C409" s="298">
        <v>46124</v>
      </c>
      <c r="D409" s="299" t="s">
        <v>319</v>
      </c>
      <c r="E409" s="331">
        <v>24.47</v>
      </c>
      <c r="F409" s="331"/>
      <c r="G409" s="333">
        <f t="shared" si="9"/>
        <v>535.21999999998525</v>
      </c>
      <c r="H409" s="334"/>
      <c r="I409" s="335"/>
      <c r="J409" s="336"/>
      <c r="K409" s="301"/>
      <c r="L409" s="336"/>
      <c r="M409" s="301"/>
      <c r="N409" s="336"/>
      <c r="O409" s="301"/>
      <c r="P409" s="336"/>
      <c r="Q409" s="301"/>
      <c r="R409" s="336"/>
      <c r="S409" s="301"/>
      <c r="T409" s="336"/>
    </row>
    <row r="410" spans="1:20" ht="12" customHeight="1" x14ac:dyDescent="0.3">
      <c r="A410" s="329" t="s">
        <v>289</v>
      </c>
      <c r="B410" s="330">
        <v>8</v>
      </c>
      <c r="C410" s="298">
        <v>46124</v>
      </c>
      <c r="D410" s="299" t="s">
        <v>319</v>
      </c>
      <c r="E410" s="331">
        <v>14.29</v>
      </c>
      <c r="F410" s="331"/>
      <c r="G410" s="333">
        <f t="shared" si="9"/>
        <v>559.68999999998528</v>
      </c>
      <c r="H410" s="334"/>
      <c r="I410" s="335"/>
      <c r="J410" s="336"/>
      <c r="K410" s="301"/>
      <c r="L410" s="336"/>
      <c r="M410" s="301"/>
      <c r="N410" s="336"/>
      <c r="O410" s="301"/>
      <c r="P410" s="336"/>
      <c r="Q410" s="301"/>
      <c r="R410" s="336"/>
      <c r="S410" s="301"/>
      <c r="T410" s="336"/>
    </row>
    <row r="411" spans="1:20" ht="12" customHeight="1" x14ac:dyDescent="0.3">
      <c r="A411" s="329" t="s">
        <v>294</v>
      </c>
      <c r="B411" s="330">
        <v>22</v>
      </c>
      <c r="C411" s="298">
        <v>46124</v>
      </c>
      <c r="D411" s="299" t="s">
        <v>835</v>
      </c>
      <c r="E411" s="331">
        <v>9.57</v>
      </c>
      <c r="F411" s="331"/>
      <c r="G411" s="333">
        <f t="shared" si="9"/>
        <v>573.97999999998524</v>
      </c>
      <c r="H411" s="334"/>
      <c r="I411" s="335"/>
      <c r="J411" s="336"/>
      <c r="K411" s="301"/>
      <c r="L411" s="336"/>
      <c r="M411" s="301"/>
      <c r="N411" s="336"/>
      <c r="O411" s="301"/>
      <c r="P411" s="336"/>
      <c r="Q411" s="301"/>
      <c r="R411" s="336"/>
      <c r="S411" s="301"/>
      <c r="T411" s="336"/>
    </row>
    <row r="412" spans="1:20" ht="12" customHeight="1" x14ac:dyDescent="0.3">
      <c r="A412" s="329" t="s">
        <v>289</v>
      </c>
      <c r="B412" s="330">
        <v>3</v>
      </c>
      <c r="C412" s="298">
        <v>46124</v>
      </c>
      <c r="D412" s="299" t="s">
        <v>351</v>
      </c>
      <c r="E412" s="331">
        <v>25</v>
      </c>
      <c r="F412" s="331"/>
      <c r="G412" s="333">
        <f t="shared" si="9"/>
        <v>583.54999999998529</v>
      </c>
      <c r="H412" s="334"/>
      <c r="I412" s="335"/>
      <c r="J412" s="336"/>
      <c r="K412" s="301"/>
      <c r="L412" s="336"/>
      <c r="M412" s="301"/>
      <c r="N412" s="336"/>
      <c r="O412" s="301"/>
      <c r="P412" s="336"/>
      <c r="Q412" s="301"/>
      <c r="R412" s="336"/>
      <c r="S412" s="301"/>
      <c r="T412" s="336"/>
    </row>
    <row r="413" spans="1:20" ht="12" customHeight="1" x14ac:dyDescent="0.3">
      <c r="A413" s="329" t="s">
        <v>294</v>
      </c>
      <c r="B413" s="330">
        <v>22</v>
      </c>
      <c r="C413" s="298">
        <v>46123</v>
      </c>
      <c r="D413" s="299" t="s">
        <v>352</v>
      </c>
      <c r="E413" s="331">
        <v>19.16</v>
      </c>
      <c r="F413" s="331"/>
      <c r="G413" s="333">
        <f t="shared" si="9"/>
        <v>608.54999999998529</v>
      </c>
      <c r="H413" s="334"/>
      <c r="I413" s="335"/>
      <c r="J413" s="336"/>
      <c r="K413" s="301"/>
      <c r="L413" s="336"/>
      <c r="M413" s="301"/>
      <c r="N413" s="336"/>
      <c r="O413" s="301"/>
      <c r="P413" s="336"/>
      <c r="Q413" s="301"/>
      <c r="R413" s="336"/>
      <c r="S413" s="301"/>
      <c r="T413" s="336"/>
    </row>
    <row r="414" spans="1:20" ht="12" customHeight="1" x14ac:dyDescent="0.3">
      <c r="A414" s="329" t="s">
        <v>289</v>
      </c>
      <c r="B414" s="330">
        <v>2</v>
      </c>
      <c r="C414" s="298">
        <v>46123</v>
      </c>
      <c r="D414" s="299" t="s">
        <v>301</v>
      </c>
      <c r="E414" s="331">
        <v>20.91</v>
      </c>
      <c r="F414" s="331"/>
      <c r="G414" s="333">
        <f t="shared" si="9"/>
        <v>627.70999999998526</v>
      </c>
      <c r="H414" s="334"/>
      <c r="I414" s="335"/>
      <c r="J414" s="336"/>
      <c r="K414" s="301"/>
      <c r="L414" s="336"/>
      <c r="M414" s="301"/>
      <c r="N414" s="336"/>
      <c r="O414" s="301"/>
      <c r="P414" s="336"/>
      <c r="Q414" s="301"/>
      <c r="R414" s="336"/>
      <c r="S414" s="301"/>
      <c r="T414" s="336"/>
    </row>
    <row r="415" spans="1:20" ht="12" customHeight="1" x14ac:dyDescent="0.3">
      <c r="A415" s="329" t="s">
        <v>289</v>
      </c>
      <c r="B415" s="330">
        <v>2</v>
      </c>
      <c r="C415" s="298">
        <v>46123</v>
      </c>
      <c r="D415" s="299" t="s">
        <v>296</v>
      </c>
      <c r="E415" s="331">
        <v>12.44</v>
      </c>
      <c r="F415" s="331"/>
      <c r="G415" s="333">
        <f t="shared" si="9"/>
        <v>648.61999999998523</v>
      </c>
      <c r="H415" s="334"/>
      <c r="I415" s="335"/>
      <c r="J415" s="336"/>
      <c r="K415" s="301"/>
      <c r="L415" s="336"/>
      <c r="M415" s="301"/>
      <c r="N415" s="336"/>
      <c r="O415" s="301"/>
      <c r="P415" s="336"/>
      <c r="Q415" s="301"/>
      <c r="R415" s="336"/>
      <c r="S415" s="301"/>
      <c r="T415" s="336"/>
    </row>
    <row r="416" spans="1:20" ht="12" customHeight="1" x14ac:dyDescent="0.3">
      <c r="A416" s="329" t="s">
        <v>289</v>
      </c>
      <c r="B416" s="330">
        <v>2</v>
      </c>
      <c r="C416" s="298">
        <v>46123</v>
      </c>
      <c r="D416" s="299" t="s">
        <v>353</v>
      </c>
      <c r="E416" s="331">
        <v>41.34</v>
      </c>
      <c r="F416" s="331"/>
      <c r="G416" s="333">
        <f t="shared" si="9"/>
        <v>661.05999999998528</v>
      </c>
      <c r="H416" s="334"/>
      <c r="I416" s="335"/>
      <c r="J416" s="336"/>
      <c r="K416" s="301"/>
      <c r="L416" s="336"/>
      <c r="M416" s="301"/>
      <c r="N416" s="336"/>
      <c r="O416" s="301"/>
      <c r="P416" s="336"/>
      <c r="Q416" s="301"/>
      <c r="R416" s="336"/>
      <c r="S416" s="301"/>
      <c r="T416" s="336"/>
    </row>
    <row r="417" spans="1:20" ht="12" customHeight="1" x14ac:dyDescent="0.3">
      <c r="A417" s="329" t="s">
        <v>289</v>
      </c>
      <c r="B417" s="330">
        <v>6</v>
      </c>
      <c r="C417" s="298">
        <v>46122</v>
      </c>
      <c r="D417" s="299" t="s">
        <v>446</v>
      </c>
      <c r="E417" s="331">
        <v>-0.04</v>
      </c>
      <c r="F417" s="331"/>
      <c r="G417" s="333">
        <f t="shared" si="9"/>
        <v>702.39999999998531</v>
      </c>
      <c r="H417" s="334"/>
      <c r="I417" s="335"/>
      <c r="J417" s="336"/>
      <c r="K417" s="301"/>
      <c r="L417" s="336"/>
      <c r="M417" s="301"/>
      <c r="N417" s="336"/>
      <c r="O417" s="301"/>
      <c r="P417" s="336"/>
      <c r="Q417" s="301"/>
      <c r="R417" s="336"/>
      <c r="S417" s="301"/>
      <c r="T417" s="336"/>
    </row>
    <row r="418" spans="1:20" ht="12" customHeight="1" x14ac:dyDescent="0.3">
      <c r="A418" s="329" t="s">
        <v>289</v>
      </c>
      <c r="B418" s="330">
        <v>5</v>
      </c>
      <c r="C418" s="298">
        <v>46122</v>
      </c>
      <c r="D418" s="299" t="s">
        <v>354</v>
      </c>
      <c r="E418" s="331">
        <v>372</v>
      </c>
      <c r="F418" s="331"/>
      <c r="G418" s="333">
        <f t="shared" si="9"/>
        <v>702.35999999998535</v>
      </c>
      <c r="H418" s="334" t="s">
        <v>298</v>
      </c>
      <c r="I418" s="335"/>
      <c r="J418" s="336"/>
      <c r="K418" s="301"/>
      <c r="L418" s="336"/>
      <c r="M418" s="301"/>
      <c r="N418" s="336"/>
      <c r="O418" s="301"/>
      <c r="P418" s="336"/>
      <c r="Q418" s="301"/>
      <c r="R418" s="336"/>
      <c r="S418" s="301"/>
      <c r="T418" s="336"/>
    </row>
    <row r="419" spans="1:20" ht="12" customHeight="1" x14ac:dyDescent="0.3">
      <c r="A419" s="329" t="s">
        <v>289</v>
      </c>
      <c r="B419" s="330">
        <v>2</v>
      </c>
      <c r="C419" s="298">
        <v>46122</v>
      </c>
      <c r="D419" s="299" t="s">
        <v>355</v>
      </c>
      <c r="E419" s="331">
        <v>15.22</v>
      </c>
      <c r="F419" s="331"/>
      <c r="G419" s="333">
        <f t="shared" si="9"/>
        <v>1074.3599999999853</v>
      </c>
      <c r="H419" s="334"/>
      <c r="I419" s="335"/>
      <c r="J419" s="336"/>
      <c r="K419" s="301"/>
      <c r="L419" s="336"/>
      <c r="M419" s="301"/>
      <c r="N419" s="336"/>
      <c r="O419" s="301"/>
      <c r="P419" s="336"/>
      <c r="Q419" s="301"/>
      <c r="R419" s="336"/>
      <c r="S419" s="301"/>
      <c r="T419" s="336"/>
    </row>
    <row r="420" spans="1:20" ht="12" customHeight="1" x14ac:dyDescent="0.3">
      <c r="A420" s="329" t="s">
        <v>289</v>
      </c>
      <c r="B420" s="330">
        <v>3</v>
      </c>
      <c r="C420" s="298">
        <v>46122</v>
      </c>
      <c r="D420" s="299" t="s">
        <v>296</v>
      </c>
      <c r="E420" s="331">
        <v>9.5500000000000007</v>
      </c>
      <c r="F420" s="331"/>
      <c r="G420" s="333">
        <f t="shared" si="9"/>
        <v>1089.5799999999854</v>
      </c>
      <c r="H420" s="334"/>
      <c r="I420" s="335"/>
      <c r="J420" s="336"/>
      <c r="K420" s="301"/>
      <c r="L420" s="336"/>
      <c r="M420" s="301"/>
      <c r="N420" s="336"/>
      <c r="O420" s="301"/>
      <c r="P420" s="336"/>
      <c r="Q420" s="301"/>
      <c r="R420" s="336"/>
      <c r="S420" s="301"/>
      <c r="T420" s="336"/>
    </row>
    <row r="421" spans="1:20" ht="12" customHeight="1" x14ac:dyDescent="0.3">
      <c r="A421" s="329" t="s">
        <v>289</v>
      </c>
      <c r="B421" s="330">
        <v>8</v>
      </c>
      <c r="C421" s="298">
        <v>46122</v>
      </c>
      <c r="D421" s="299" t="s">
        <v>356</v>
      </c>
      <c r="E421" s="331">
        <v>52.65</v>
      </c>
      <c r="F421" s="331"/>
      <c r="G421" s="333">
        <f t="shared" si="9"/>
        <v>1099.1299999999853</v>
      </c>
      <c r="H421" s="334"/>
      <c r="I421" s="335"/>
      <c r="J421" s="336"/>
      <c r="K421" s="301"/>
      <c r="L421" s="336"/>
      <c r="M421" s="301"/>
      <c r="N421" s="336"/>
      <c r="O421" s="301"/>
      <c r="P421" s="336"/>
      <c r="Q421" s="301"/>
      <c r="R421" s="336"/>
      <c r="S421" s="301"/>
      <c r="T421" s="336"/>
    </row>
    <row r="422" spans="1:20" ht="12" customHeight="1" x14ac:dyDescent="0.3">
      <c r="A422" s="329" t="s">
        <v>289</v>
      </c>
      <c r="B422" s="330">
        <v>1</v>
      </c>
      <c r="C422" s="298">
        <v>46122</v>
      </c>
      <c r="D422" s="299" t="s">
        <v>311</v>
      </c>
      <c r="E422" s="331">
        <v>68.989999999999995</v>
      </c>
      <c r="F422" s="331"/>
      <c r="G422" s="333">
        <f t="shared" si="9"/>
        <v>1151.7799999999854</v>
      </c>
      <c r="H422" s="334"/>
      <c r="I422" s="335"/>
      <c r="J422" s="336"/>
      <c r="K422" s="301"/>
      <c r="L422" s="336"/>
      <c r="M422" s="301"/>
      <c r="N422" s="336"/>
      <c r="O422" s="301"/>
      <c r="P422" s="336"/>
      <c r="Q422" s="301"/>
      <c r="R422" s="336"/>
      <c r="S422" s="301"/>
      <c r="T422" s="336"/>
    </row>
    <row r="423" spans="1:20" ht="12" customHeight="1" x14ac:dyDescent="0.3">
      <c r="A423" s="329" t="s">
        <v>289</v>
      </c>
      <c r="B423" s="330">
        <v>2</v>
      </c>
      <c r="C423" s="298">
        <v>46122</v>
      </c>
      <c r="D423" s="299" t="s">
        <v>324</v>
      </c>
      <c r="E423" s="331">
        <v>17.37</v>
      </c>
      <c r="F423" s="331"/>
      <c r="G423" s="333">
        <f t="shared" si="9"/>
        <v>1220.7699999999854</v>
      </c>
      <c r="H423" s="334"/>
      <c r="I423" s="335"/>
      <c r="J423" s="336"/>
      <c r="K423" s="301"/>
      <c r="L423" s="336"/>
      <c r="M423" s="301"/>
      <c r="N423" s="336"/>
      <c r="O423" s="301"/>
      <c r="P423" s="336"/>
      <c r="Q423" s="301"/>
      <c r="R423" s="336"/>
      <c r="S423" s="301"/>
      <c r="T423" s="336"/>
    </row>
    <row r="424" spans="1:20" ht="12" customHeight="1" x14ac:dyDescent="0.3">
      <c r="A424" s="329" t="s">
        <v>289</v>
      </c>
      <c r="B424" s="330">
        <v>8</v>
      </c>
      <c r="C424" s="298">
        <v>46121</v>
      </c>
      <c r="D424" s="299" t="s">
        <v>357</v>
      </c>
      <c r="E424" s="331">
        <v>64.42</v>
      </c>
      <c r="F424" s="331"/>
      <c r="G424" s="333">
        <f t="shared" si="9"/>
        <v>1238.1399999999853</v>
      </c>
      <c r="H424" s="334"/>
      <c r="I424" s="335"/>
      <c r="J424" s="336"/>
      <c r="K424" s="301"/>
      <c r="L424" s="336"/>
      <c r="M424" s="301"/>
      <c r="N424" s="336"/>
      <c r="O424" s="301"/>
      <c r="P424" s="336"/>
      <c r="Q424" s="301"/>
      <c r="R424" s="336"/>
      <c r="S424" s="301"/>
      <c r="T424" s="336"/>
    </row>
    <row r="425" spans="1:20" ht="12" customHeight="1" x14ac:dyDescent="0.3">
      <c r="A425" s="329" t="s">
        <v>289</v>
      </c>
      <c r="B425" s="330">
        <v>2</v>
      </c>
      <c r="C425" s="298">
        <v>46121</v>
      </c>
      <c r="D425" s="299" t="s">
        <v>358</v>
      </c>
      <c r="E425" s="331">
        <v>9.4700000000000006</v>
      </c>
      <c r="F425" s="331"/>
      <c r="G425" s="333">
        <f t="shared" si="9"/>
        <v>1302.5599999999854</v>
      </c>
      <c r="H425" s="334"/>
      <c r="I425" s="335"/>
      <c r="J425" s="336"/>
      <c r="K425" s="301"/>
      <c r="L425" s="336"/>
      <c r="M425" s="301"/>
      <c r="N425" s="336"/>
      <c r="O425" s="301"/>
      <c r="P425" s="336"/>
      <c r="Q425" s="301"/>
      <c r="R425" s="336"/>
      <c r="S425" s="301"/>
      <c r="T425" s="336"/>
    </row>
    <row r="426" spans="1:20" ht="12" customHeight="1" x14ac:dyDescent="0.3">
      <c r="A426" s="329" t="s">
        <v>289</v>
      </c>
      <c r="B426" s="330">
        <v>5</v>
      </c>
      <c r="C426" s="298">
        <v>46121</v>
      </c>
      <c r="D426" s="299" t="s">
        <v>854</v>
      </c>
      <c r="E426" s="331">
        <v>10.68</v>
      </c>
      <c r="F426" s="331"/>
      <c r="G426" s="333">
        <f t="shared" si="9"/>
        <v>1312.0299999999854</v>
      </c>
      <c r="H426" s="334"/>
      <c r="I426" s="335"/>
      <c r="J426" s="336"/>
      <c r="K426" s="301"/>
      <c r="L426" s="336"/>
      <c r="M426" s="301"/>
      <c r="N426" s="336"/>
      <c r="O426" s="301"/>
      <c r="P426" s="336"/>
      <c r="Q426" s="301"/>
      <c r="R426" s="336"/>
      <c r="S426" s="301"/>
      <c r="T426" s="336"/>
    </row>
    <row r="427" spans="1:20" ht="12" customHeight="1" x14ac:dyDescent="0.3">
      <c r="A427" s="329" t="s">
        <v>289</v>
      </c>
      <c r="B427" s="330">
        <v>7</v>
      </c>
      <c r="C427" s="298">
        <v>46121</v>
      </c>
      <c r="D427" s="299" t="s">
        <v>359</v>
      </c>
      <c r="E427" s="331">
        <v>68.010000000000005</v>
      </c>
      <c r="F427" s="331"/>
      <c r="G427" s="333">
        <f t="shared" si="9"/>
        <v>1322.7099999999855</v>
      </c>
      <c r="H427" s="334"/>
      <c r="I427" s="335"/>
      <c r="J427" s="336"/>
      <c r="K427" s="301"/>
      <c r="L427" s="336"/>
      <c r="M427" s="301"/>
      <c r="N427" s="336"/>
      <c r="O427" s="301"/>
      <c r="P427" s="336"/>
      <c r="Q427" s="301"/>
      <c r="R427" s="336"/>
      <c r="S427" s="301"/>
      <c r="T427" s="336"/>
    </row>
    <row r="428" spans="1:20" ht="12" customHeight="1" x14ac:dyDescent="0.3">
      <c r="A428" s="329" t="s">
        <v>289</v>
      </c>
      <c r="B428" s="330">
        <v>4</v>
      </c>
      <c r="C428" s="298">
        <v>46121</v>
      </c>
      <c r="D428" s="299" t="s">
        <v>310</v>
      </c>
      <c r="E428" s="331">
        <v>40.85</v>
      </c>
      <c r="F428" s="331"/>
      <c r="G428" s="333">
        <f t="shared" si="9"/>
        <v>1390.7199999999855</v>
      </c>
      <c r="H428" s="334"/>
      <c r="I428" s="335"/>
      <c r="J428" s="336"/>
      <c r="K428" s="301"/>
      <c r="L428" s="336"/>
      <c r="M428" s="301"/>
      <c r="N428" s="336"/>
      <c r="O428" s="301"/>
      <c r="P428" s="336"/>
      <c r="Q428" s="301"/>
      <c r="R428" s="336"/>
      <c r="S428" s="301"/>
      <c r="T428" s="336"/>
    </row>
    <row r="429" spans="1:20" ht="12" customHeight="1" x14ac:dyDescent="0.3">
      <c r="A429" s="329" t="s">
        <v>289</v>
      </c>
      <c r="B429" s="330">
        <v>6</v>
      </c>
      <c r="C429" s="298">
        <v>46121</v>
      </c>
      <c r="D429" s="299" t="s">
        <v>360</v>
      </c>
      <c r="E429" s="331">
        <v>25</v>
      </c>
      <c r="F429" s="331"/>
      <c r="G429" s="333">
        <f t="shared" si="9"/>
        <v>1431.5699999999854</v>
      </c>
      <c r="H429" s="334"/>
      <c r="I429" s="335"/>
      <c r="J429" s="336"/>
      <c r="K429" s="301"/>
      <c r="L429" s="336"/>
      <c r="M429" s="301"/>
      <c r="N429" s="336"/>
      <c r="O429" s="301"/>
      <c r="P429" s="336"/>
      <c r="Q429" s="301"/>
      <c r="R429" s="336"/>
      <c r="S429" s="301"/>
      <c r="T429" s="336"/>
    </row>
    <row r="430" spans="1:20" ht="12" customHeight="1" x14ac:dyDescent="0.3">
      <c r="A430" s="329" t="s">
        <v>294</v>
      </c>
      <c r="B430" s="330">
        <v>18</v>
      </c>
      <c r="C430" s="298">
        <v>46120</v>
      </c>
      <c r="D430" s="299" t="s">
        <v>361</v>
      </c>
      <c r="E430" s="331">
        <v>400</v>
      </c>
      <c r="F430" s="331"/>
      <c r="G430" s="333">
        <f t="shared" si="9"/>
        <v>1456.5699999999854</v>
      </c>
      <c r="H430" s="334"/>
      <c r="I430" s="335"/>
      <c r="J430" s="336"/>
      <c r="K430" s="301"/>
      <c r="L430" s="336"/>
      <c r="M430" s="301"/>
      <c r="N430" s="336"/>
      <c r="O430" s="301"/>
      <c r="P430" s="336"/>
      <c r="Q430" s="301"/>
      <c r="R430" s="336"/>
      <c r="S430" s="301"/>
      <c r="T430" s="336"/>
    </row>
    <row r="431" spans="1:20" ht="12" customHeight="1" x14ac:dyDescent="0.3">
      <c r="A431" s="329" t="s">
        <v>335</v>
      </c>
      <c r="B431" s="330" t="s">
        <v>335</v>
      </c>
      <c r="C431" s="298">
        <v>46120</v>
      </c>
      <c r="D431" s="299" t="s">
        <v>447</v>
      </c>
      <c r="E431" s="331">
        <v>44.96</v>
      </c>
      <c r="F431" s="331"/>
      <c r="G431" s="333">
        <f t="shared" si="9"/>
        <v>1856.5699999999854</v>
      </c>
      <c r="H431" s="334"/>
      <c r="I431" s="335"/>
      <c r="J431" s="336"/>
      <c r="K431" s="301"/>
      <c r="L431" s="336"/>
      <c r="M431" s="301"/>
      <c r="N431" s="336"/>
      <c r="O431" s="301"/>
      <c r="P431" s="336"/>
      <c r="Q431" s="301"/>
      <c r="R431" s="336"/>
      <c r="S431" s="301"/>
      <c r="T431" s="336"/>
    </row>
    <row r="432" spans="1:20" ht="12" customHeight="1" x14ac:dyDescent="0.3">
      <c r="A432" s="329" t="s">
        <v>294</v>
      </c>
      <c r="B432" s="330">
        <v>13</v>
      </c>
      <c r="C432" s="298">
        <v>46120</v>
      </c>
      <c r="D432" s="299" t="s">
        <v>182</v>
      </c>
      <c r="E432" s="331">
        <v>104.98</v>
      </c>
      <c r="F432" s="331"/>
      <c r="G432" s="333">
        <f t="shared" si="9"/>
        <v>1901.5299999999854</v>
      </c>
      <c r="H432" s="334"/>
      <c r="I432" s="335"/>
      <c r="J432" s="336"/>
      <c r="K432" s="301"/>
      <c r="L432" s="336"/>
      <c r="M432" s="301"/>
      <c r="N432" s="336"/>
      <c r="O432" s="301"/>
      <c r="P432" s="336"/>
      <c r="Q432" s="301"/>
      <c r="R432" s="336"/>
      <c r="S432" s="301"/>
      <c r="T432" s="336"/>
    </row>
    <row r="433" spans="1:20" ht="12" customHeight="1" x14ac:dyDescent="0.3">
      <c r="A433" s="329" t="s">
        <v>289</v>
      </c>
      <c r="B433" s="330">
        <v>2</v>
      </c>
      <c r="C433" s="298">
        <v>46120</v>
      </c>
      <c r="D433" s="299" t="s">
        <v>296</v>
      </c>
      <c r="E433" s="331">
        <v>13.8</v>
      </c>
      <c r="F433" s="331"/>
      <c r="G433" s="333">
        <f t="shared" si="9"/>
        <v>2006.5099999999854</v>
      </c>
      <c r="H433" s="334"/>
      <c r="I433" s="335"/>
      <c r="J433" s="336"/>
      <c r="K433" s="301"/>
      <c r="L433" s="336"/>
      <c r="M433" s="301"/>
      <c r="N433" s="336"/>
      <c r="O433" s="301"/>
      <c r="P433" s="336"/>
      <c r="Q433" s="301"/>
      <c r="R433" s="336"/>
      <c r="S433" s="301"/>
      <c r="T433" s="336"/>
    </row>
    <row r="434" spans="1:20" ht="12" customHeight="1" x14ac:dyDescent="0.3">
      <c r="A434" s="329" t="s">
        <v>289</v>
      </c>
      <c r="B434" s="330">
        <v>4</v>
      </c>
      <c r="C434" s="298">
        <v>46120</v>
      </c>
      <c r="D434" s="299" t="s">
        <v>295</v>
      </c>
      <c r="E434" s="331">
        <v>37.92</v>
      </c>
      <c r="F434" s="331"/>
      <c r="G434" s="333">
        <f t="shared" si="9"/>
        <v>2020.3099999999854</v>
      </c>
      <c r="H434" s="334"/>
      <c r="I434" s="335"/>
      <c r="J434" s="336"/>
      <c r="K434" s="301"/>
      <c r="L434" s="336"/>
      <c r="M434" s="301"/>
      <c r="N434" s="336"/>
      <c r="O434" s="301"/>
      <c r="P434" s="336"/>
      <c r="Q434" s="301"/>
      <c r="R434" s="336"/>
      <c r="S434" s="301"/>
      <c r="T434" s="336"/>
    </row>
    <row r="435" spans="1:20" ht="12" customHeight="1" x14ac:dyDescent="0.3">
      <c r="A435" s="329" t="s">
        <v>289</v>
      </c>
      <c r="B435" s="330">
        <v>6</v>
      </c>
      <c r="C435" s="298">
        <v>46120</v>
      </c>
      <c r="D435" s="299" t="s">
        <v>300</v>
      </c>
      <c r="E435" s="331">
        <v>56.68</v>
      </c>
      <c r="F435" s="331"/>
      <c r="G435" s="333">
        <f t="shared" si="9"/>
        <v>2058.2299999999855</v>
      </c>
      <c r="H435" s="334"/>
      <c r="I435" s="335"/>
      <c r="J435" s="336"/>
      <c r="K435" s="301"/>
      <c r="L435" s="336"/>
      <c r="M435" s="301"/>
      <c r="N435" s="336"/>
      <c r="O435" s="301"/>
      <c r="P435" s="336"/>
      <c r="Q435" s="301"/>
      <c r="R435" s="336"/>
      <c r="S435" s="301"/>
      <c r="T435" s="336"/>
    </row>
    <row r="436" spans="1:20" ht="12" customHeight="1" x14ac:dyDescent="0.3">
      <c r="A436" s="329" t="s">
        <v>289</v>
      </c>
      <c r="B436" s="330">
        <v>6</v>
      </c>
      <c r="C436" s="298">
        <v>46120</v>
      </c>
      <c r="D436" s="299" t="s">
        <v>362</v>
      </c>
      <c r="E436" s="331">
        <v>29.26</v>
      </c>
      <c r="F436" s="331"/>
      <c r="G436" s="333">
        <f t="shared" si="9"/>
        <v>2114.9099999999853</v>
      </c>
      <c r="H436" s="334"/>
      <c r="I436" s="335"/>
      <c r="J436" s="336"/>
      <c r="K436" s="301"/>
      <c r="L436" s="336"/>
      <c r="M436" s="301"/>
      <c r="N436" s="336"/>
      <c r="O436" s="301"/>
      <c r="P436" s="336"/>
      <c r="Q436" s="301"/>
      <c r="R436" s="336"/>
      <c r="S436" s="301"/>
      <c r="T436" s="336"/>
    </row>
    <row r="437" spans="1:20" ht="12" customHeight="1" x14ac:dyDescent="0.3">
      <c r="A437" s="329" t="s">
        <v>294</v>
      </c>
      <c r="B437" s="330">
        <v>9</v>
      </c>
      <c r="C437" s="298">
        <v>46119</v>
      </c>
      <c r="D437" s="299" t="s">
        <v>58</v>
      </c>
      <c r="E437" s="331">
        <v>1281.53</v>
      </c>
      <c r="F437" s="331"/>
      <c r="G437" s="333">
        <f t="shared" si="9"/>
        <v>2144.1699999999855</v>
      </c>
      <c r="H437" s="334"/>
      <c r="I437" s="335"/>
      <c r="J437" s="336"/>
      <c r="K437" s="301"/>
      <c r="L437" s="336"/>
      <c r="M437" s="301"/>
      <c r="N437" s="336"/>
      <c r="O437" s="301"/>
      <c r="P437" s="336"/>
      <c r="Q437" s="301"/>
      <c r="R437" s="336"/>
      <c r="S437" s="301"/>
      <c r="T437" s="336"/>
    </row>
    <row r="438" spans="1:20" ht="12" customHeight="1" x14ac:dyDescent="0.3">
      <c r="A438" s="329" t="s">
        <v>289</v>
      </c>
      <c r="B438" s="330">
        <v>4</v>
      </c>
      <c r="C438" s="298">
        <v>46119</v>
      </c>
      <c r="D438" s="299" t="s">
        <v>363</v>
      </c>
      <c r="E438" s="331">
        <v>25.84</v>
      </c>
      <c r="F438" s="331"/>
      <c r="G438" s="333">
        <f t="shared" si="9"/>
        <v>3425.6999999999853</v>
      </c>
      <c r="H438" s="334"/>
      <c r="I438" s="335"/>
      <c r="J438" s="336"/>
      <c r="K438" s="301"/>
      <c r="L438" s="336"/>
      <c r="M438" s="301"/>
      <c r="N438" s="336"/>
      <c r="O438" s="301"/>
      <c r="P438" s="336"/>
      <c r="Q438" s="301"/>
      <c r="R438" s="336"/>
      <c r="S438" s="301"/>
      <c r="T438" s="336"/>
    </row>
    <row r="439" spans="1:20" ht="12" customHeight="1" x14ac:dyDescent="0.3">
      <c r="A439" s="329" t="s">
        <v>289</v>
      </c>
      <c r="B439" s="330">
        <v>8</v>
      </c>
      <c r="C439" s="298">
        <v>46119</v>
      </c>
      <c r="D439" s="299" t="s">
        <v>319</v>
      </c>
      <c r="E439" s="331">
        <v>12.05</v>
      </c>
      <c r="F439" s="331"/>
      <c r="G439" s="333">
        <f t="shared" si="9"/>
        <v>3451.5399999999854</v>
      </c>
      <c r="H439" s="334"/>
      <c r="I439" s="335"/>
      <c r="J439" s="336"/>
      <c r="K439" s="301"/>
      <c r="L439" s="336"/>
      <c r="M439" s="301"/>
      <c r="N439" s="336"/>
      <c r="O439" s="301"/>
      <c r="P439" s="336"/>
      <c r="Q439" s="301"/>
      <c r="R439" s="336"/>
      <c r="S439" s="301"/>
      <c r="T439" s="336"/>
    </row>
    <row r="440" spans="1:20" ht="12" customHeight="1" x14ac:dyDescent="0.3">
      <c r="A440" s="329" t="s">
        <v>289</v>
      </c>
      <c r="B440" s="330">
        <v>4</v>
      </c>
      <c r="C440" s="298">
        <v>46119</v>
      </c>
      <c r="D440" s="299" t="s">
        <v>334</v>
      </c>
      <c r="E440" s="331">
        <v>82.04</v>
      </c>
      <c r="F440" s="331"/>
      <c r="G440" s="333">
        <f t="shared" si="9"/>
        <v>3463.5899999999856</v>
      </c>
      <c r="H440" s="334"/>
      <c r="I440" s="335"/>
      <c r="J440" s="336"/>
      <c r="K440" s="301"/>
      <c r="L440" s="336"/>
      <c r="M440" s="301"/>
      <c r="N440" s="336"/>
      <c r="O440" s="301"/>
      <c r="P440" s="336"/>
      <c r="Q440" s="301"/>
      <c r="R440" s="336"/>
      <c r="S440" s="301"/>
      <c r="T440" s="336"/>
    </row>
    <row r="441" spans="1:20" ht="12" customHeight="1" x14ac:dyDescent="0.3">
      <c r="A441" s="329" t="s">
        <v>289</v>
      </c>
      <c r="B441" s="330">
        <v>2</v>
      </c>
      <c r="C441" s="298">
        <v>46119</v>
      </c>
      <c r="D441" s="299" t="s">
        <v>364</v>
      </c>
      <c r="E441" s="331">
        <v>22.92</v>
      </c>
      <c r="F441" s="331"/>
      <c r="G441" s="333">
        <f t="shared" si="9"/>
        <v>3545.6299999999856</v>
      </c>
      <c r="H441" s="334"/>
      <c r="I441" s="335"/>
      <c r="J441" s="336"/>
      <c r="K441" s="301"/>
      <c r="L441" s="336"/>
      <c r="M441" s="301"/>
      <c r="N441" s="336"/>
      <c r="O441" s="301"/>
      <c r="P441" s="336"/>
      <c r="Q441" s="301"/>
      <c r="R441" s="336"/>
      <c r="S441" s="301"/>
      <c r="T441" s="336"/>
    </row>
    <row r="442" spans="1:20" ht="12" customHeight="1" x14ac:dyDescent="0.3">
      <c r="A442" s="329" t="s">
        <v>289</v>
      </c>
      <c r="B442" s="330">
        <v>5</v>
      </c>
      <c r="C442" s="298">
        <v>46118</v>
      </c>
      <c r="D442" s="299" t="s">
        <v>365</v>
      </c>
      <c r="E442" s="331">
        <v>400</v>
      </c>
      <c r="F442" s="331"/>
      <c r="G442" s="333">
        <f t="shared" si="9"/>
        <v>3568.5499999999856</v>
      </c>
      <c r="H442" s="334"/>
      <c r="I442" s="335"/>
      <c r="J442" s="336"/>
      <c r="K442" s="301"/>
      <c r="L442" s="336"/>
      <c r="M442" s="301"/>
      <c r="N442" s="336"/>
      <c r="O442" s="301"/>
      <c r="P442" s="336"/>
      <c r="Q442" s="301"/>
      <c r="R442" s="336"/>
      <c r="S442" s="301"/>
      <c r="T442" s="336"/>
    </row>
    <row r="443" spans="1:20" ht="12" customHeight="1" x14ac:dyDescent="0.3">
      <c r="A443" s="329" t="s">
        <v>294</v>
      </c>
      <c r="B443" s="330">
        <v>14</v>
      </c>
      <c r="C443" s="298">
        <v>46118</v>
      </c>
      <c r="D443" s="299" t="s">
        <v>366</v>
      </c>
      <c r="E443" s="331">
        <v>66.67</v>
      </c>
      <c r="F443" s="331"/>
      <c r="G443" s="333">
        <f t="shared" si="9"/>
        <v>3968.5499999999856</v>
      </c>
      <c r="H443" s="334"/>
      <c r="I443" s="335"/>
      <c r="J443" s="336"/>
      <c r="K443" s="301"/>
      <c r="L443" s="336"/>
      <c r="M443" s="301"/>
      <c r="N443" s="336"/>
      <c r="O443" s="301"/>
      <c r="P443" s="336"/>
      <c r="Q443" s="301"/>
      <c r="R443" s="336"/>
      <c r="S443" s="301"/>
      <c r="T443" s="336"/>
    </row>
    <row r="444" spans="1:20" ht="12" customHeight="1" x14ac:dyDescent="0.3">
      <c r="A444" s="329" t="s">
        <v>294</v>
      </c>
      <c r="B444" s="330">
        <v>14</v>
      </c>
      <c r="C444" s="298">
        <v>46118</v>
      </c>
      <c r="D444" s="299" t="s">
        <v>367</v>
      </c>
      <c r="E444" s="331">
        <v>70.25</v>
      </c>
      <c r="F444" s="331"/>
      <c r="G444" s="333">
        <f t="shared" si="9"/>
        <v>4035.2199999999857</v>
      </c>
      <c r="H444" s="334"/>
      <c r="I444" s="335"/>
      <c r="J444" s="336"/>
      <c r="K444" s="301"/>
      <c r="L444" s="336"/>
      <c r="M444" s="301"/>
      <c r="N444" s="336"/>
      <c r="O444" s="301"/>
      <c r="P444" s="336"/>
      <c r="Q444" s="301"/>
      <c r="R444" s="336"/>
      <c r="S444" s="301"/>
      <c r="T444" s="336"/>
    </row>
    <row r="445" spans="1:20" ht="12" customHeight="1" x14ac:dyDescent="0.3">
      <c r="A445" s="329" t="s">
        <v>289</v>
      </c>
      <c r="B445" s="330">
        <v>1</v>
      </c>
      <c r="C445" s="298">
        <v>46117</v>
      </c>
      <c r="D445" s="299" t="s">
        <v>368</v>
      </c>
      <c r="E445" s="331">
        <v>25.6</v>
      </c>
      <c r="F445" s="331"/>
      <c r="G445" s="333">
        <f t="shared" si="9"/>
        <v>4105.4699999999857</v>
      </c>
      <c r="H445" s="334"/>
      <c r="I445" s="335"/>
      <c r="J445" s="336"/>
      <c r="K445" s="301"/>
      <c r="L445" s="336"/>
      <c r="M445" s="301"/>
      <c r="N445" s="336"/>
      <c r="O445" s="301"/>
      <c r="P445" s="336"/>
      <c r="Q445" s="301"/>
      <c r="R445" s="336"/>
      <c r="S445" s="301"/>
      <c r="T445" s="336"/>
    </row>
    <row r="446" spans="1:20" ht="12" customHeight="1" x14ac:dyDescent="0.3">
      <c r="A446" s="329" t="s">
        <v>289</v>
      </c>
      <c r="B446" s="330">
        <v>8</v>
      </c>
      <c r="C446" s="298">
        <v>46117</v>
      </c>
      <c r="D446" s="299" t="s">
        <v>319</v>
      </c>
      <c r="E446" s="331">
        <v>8.56</v>
      </c>
      <c r="F446" s="331"/>
      <c r="G446" s="333">
        <f t="shared" si="9"/>
        <v>4131.0699999999861</v>
      </c>
      <c r="H446" s="334"/>
      <c r="I446" s="335"/>
      <c r="J446" s="336"/>
      <c r="K446" s="301"/>
      <c r="L446" s="336"/>
      <c r="M446" s="301"/>
      <c r="N446" s="336"/>
      <c r="O446" s="301"/>
      <c r="P446" s="336"/>
      <c r="Q446" s="301"/>
      <c r="R446" s="336"/>
      <c r="S446" s="301"/>
      <c r="T446" s="336"/>
    </row>
    <row r="447" spans="1:20" ht="12" customHeight="1" x14ac:dyDescent="0.3">
      <c r="A447" s="329" t="s">
        <v>289</v>
      </c>
      <c r="B447" s="330">
        <v>6</v>
      </c>
      <c r="C447" s="298">
        <v>46117</v>
      </c>
      <c r="D447" s="299" t="s">
        <v>369</v>
      </c>
      <c r="E447" s="331">
        <v>301.67</v>
      </c>
      <c r="F447" s="331"/>
      <c r="G447" s="333">
        <f t="shared" si="9"/>
        <v>4139.6299999999865</v>
      </c>
      <c r="H447" s="334"/>
      <c r="I447" s="335"/>
      <c r="J447" s="336"/>
      <c r="K447" s="301"/>
      <c r="L447" s="336"/>
      <c r="M447" s="301"/>
      <c r="N447" s="336"/>
      <c r="O447" s="301"/>
      <c r="P447" s="336"/>
      <c r="Q447" s="301"/>
      <c r="R447" s="336"/>
      <c r="S447" s="301"/>
      <c r="T447" s="336"/>
    </row>
    <row r="448" spans="1:20" ht="12" customHeight="1" x14ac:dyDescent="0.3">
      <c r="A448" s="329" t="s">
        <v>289</v>
      </c>
      <c r="B448" s="330">
        <v>1</v>
      </c>
      <c r="C448" s="298">
        <v>46116</v>
      </c>
      <c r="D448" s="299" t="s">
        <v>306</v>
      </c>
      <c r="E448" s="331">
        <v>176.85</v>
      </c>
      <c r="F448" s="331"/>
      <c r="G448" s="333">
        <f t="shared" si="9"/>
        <v>4441.2999999999865</v>
      </c>
      <c r="H448" s="334"/>
      <c r="I448" s="335"/>
      <c r="J448" s="336"/>
      <c r="K448" s="301"/>
      <c r="L448" s="336"/>
      <c r="M448" s="301"/>
      <c r="N448" s="336"/>
      <c r="O448" s="301"/>
      <c r="P448" s="336"/>
      <c r="Q448" s="301"/>
      <c r="R448" s="336"/>
      <c r="S448" s="301"/>
      <c r="T448" s="336"/>
    </row>
    <row r="449" spans="1:20" ht="12" customHeight="1" x14ac:dyDescent="0.3">
      <c r="A449" s="329" t="s">
        <v>289</v>
      </c>
      <c r="B449" s="330">
        <v>1</v>
      </c>
      <c r="C449" s="298">
        <v>46116</v>
      </c>
      <c r="D449" s="299" t="s">
        <v>311</v>
      </c>
      <c r="E449" s="331">
        <v>139.34</v>
      </c>
      <c r="F449" s="331"/>
      <c r="G449" s="333">
        <f t="shared" si="9"/>
        <v>4618.1499999999869</v>
      </c>
      <c r="H449" s="334"/>
      <c r="I449" s="335"/>
      <c r="J449" s="336"/>
      <c r="K449" s="301"/>
      <c r="L449" s="336"/>
      <c r="M449" s="301"/>
      <c r="N449" s="336"/>
      <c r="O449" s="301"/>
      <c r="P449" s="336"/>
      <c r="Q449" s="301"/>
      <c r="R449" s="336"/>
      <c r="S449" s="301"/>
      <c r="T449" s="336"/>
    </row>
    <row r="450" spans="1:20" ht="12" customHeight="1" x14ac:dyDescent="0.3">
      <c r="A450" s="329" t="s">
        <v>294</v>
      </c>
      <c r="B450" s="330">
        <v>17</v>
      </c>
      <c r="C450" s="298">
        <v>46116</v>
      </c>
      <c r="D450" s="299" t="s">
        <v>370</v>
      </c>
      <c r="E450" s="331">
        <v>99</v>
      </c>
      <c r="F450" s="331"/>
      <c r="G450" s="333">
        <f t="shared" si="9"/>
        <v>4757.489999999987</v>
      </c>
      <c r="H450" s="334"/>
      <c r="I450" s="335"/>
      <c r="J450" s="336"/>
      <c r="K450" s="301"/>
      <c r="L450" s="336"/>
      <c r="M450" s="301"/>
      <c r="N450" s="336"/>
      <c r="O450" s="301"/>
      <c r="P450" s="336"/>
      <c r="Q450" s="301"/>
      <c r="R450" s="336"/>
      <c r="S450" s="301"/>
      <c r="T450" s="336"/>
    </row>
    <row r="451" spans="1:20" ht="12" customHeight="1" x14ac:dyDescent="0.3">
      <c r="A451" s="329" t="s">
        <v>289</v>
      </c>
      <c r="B451" s="330">
        <v>2</v>
      </c>
      <c r="C451" s="298">
        <v>46116</v>
      </c>
      <c r="D451" s="299" t="s">
        <v>371</v>
      </c>
      <c r="E451" s="331">
        <v>34</v>
      </c>
      <c r="F451" s="331"/>
      <c r="G451" s="333">
        <f t="shared" si="9"/>
        <v>4856.489999999987</v>
      </c>
      <c r="H451" s="334"/>
      <c r="I451" s="335"/>
      <c r="J451" s="336"/>
      <c r="K451" s="301"/>
      <c r="L451" s="336"/>
      <c r="M451" s="301"/>
      <c r="N451" s="336"/>
      <c r="O451" s="301"/>
      <c r="P451" s="336"/>
      <c r="Q451" s="301"/>
      <c r="R451" s="336"/>
      <c r="S451" s="301"/>
      <c r="T451" s="336"/>
    </row>
    <row r="452" spans="1:20" ht="12" customHeight="1" x14ac:dyDescent="0.3">
      <c r="A452" s="329" t="s">
        <v>289</v>
      </c>
      <c r="B452" s="330">
        <v>3</v>
      </c>
      <c r="C452" s="298">
        <v>46116</v>
      </c>
      <c r="D452" s="299" t="s">
        <v>348</v>
      </c>
      <c r="E452" s="331">
        <v>10.24</v>
      </c>
      <c r="F452" s="331"/>
      <c r="G452" s="333">
        <f t="shared" si="9"/>
        <v>4890.489999999987</v>
      </c>
      <c r="H452" s="334"/>
      <c r="I452" s="335"/>
      <c r="J452" s="336"/>
      <c r="K452" s="301"/>
      <c r="L452" s="336"/>
      <c r="M452" s="301"/>
      <c r="N452" s="336"/>
      <c r="O452" s="301"/>
      <c r="P452" s="336"/>
      <c r="Q452" s="301"/>
      <c r="R452" s="336"/>
      <c r="S452" s="301"/>
      <c r="T452" s="336"/>
    </row>
    <row r="453" spans="1:20" ht="12" customHeight="1" x14ac:dyDescent="0.3">
      <c r="A453" s="329" t="s">
        <v>289</v>
      </c>
      <c r="B453" s="330">
        <v>7</v>
      </c>
      <c r="C453" s="298">
        <v>46115</v>
      </c>
      <c r="D453" s="299" t="s">
        <v>372</v>
      </c>
      <c r="E453" s="331">
        <v>100</v>
      </c>
      <c r="F453" s="331"/>
      <c r="G453" s="333">
        <f t="shared" si="9"/>
        <v>4900.7299999999868</v>
      </c>
      <c r="H453" s="334"/>
      <c r="I453" s="335"/>
      <c r="J453" s="336"/>
      <c r="K453" s="301"/>
      <c r="L453" s="336"/>
      <c r="M453" s="301"/>
      <c r="N453" s="336"/>
      <c r="O453" s="301"/>
      <c r="P453" s="336"/>
      <c r="Q453" s="301"/>
      <c r="R453" s="336"/>
      <c r="S453" s="301"/>
      <c r="T453" s="336"/>
    </row>
    <row r="454" spans="1:20" ht="12" customHeight="1" x14ac:dyDescent="0.3">
      <c r="A454" s="329" t="s">
        <v>289</v>
      </c>
      <c r="B454" s="330">
        <v>6</v>
      </c>
      <c r="C454" s="298">
        <v>46115</v>
      </c>
      <c r="D454" s="299" t="s">
        <v>300</v>
      </c>
      <c r="E454" s="331">
        <v>7.68</v>
      </c>
      <c r="F454" s="331"/>
      <c r="G454" s="333">
        <f t="shared" si="9"/>
        <v>5000.7299999999868</v>
      </c>
      <c r="H454" s="334"/>
      <c r="I454" s="335"/>
      <c r="J454" s="336"/>
      <c r="K454" s="301"/>
      <c r="L454" s="336"/>
      <c r="M454" s="301"/>
      <c r="N454" s="336"/>
      <c r="O454" s="301"/>
      <c r="P454" s="336"/>
      <c r="Q454" s="301"/>
      <c r="R454" s="336"/>
      <c r="S454" s="301"/>
      <c r="T454" s="336"/>
    </row>
    <row r="455" spans="1:20" ht="12" customHeight="1" x14ac:dyDescent="0.3">
      <c r="A455" s="329" t="s">
        <v>289</v>
      </c>
      <c r="B455" s="330">
        <v>2</v>
      </c>
      <c r="C455" s="298">
        <v>46115</v>
      </c>
      <c r="D455" s="299" t="s">
        <v>296</v>
      </c>
      <c r="E455" s="331">
        <v>8.7200000000000006</v>
      </c>
      <c r="F455" s="331"/>
      <c r="G455" s="333">
        <f t="shared" si="9"/>
        <v>5008.4099999999871</v>
      </c>
      <c r="H455" s="334"/>
      <c r="I455" s="335"/>
      <c r="J455" s="336"/>
      <c r="K455" s="301"/>
      <c r="L455" s="336"/>
      <c r="M455" s="301"/>
      <c r="N455" s="336"/>
      <c r="O455" s="301"/>
      <c r="P455" s="336"/>
      <c r="Q455" s="301"/>
      <c r="R455" s="336"/>
      <c r="S455" s="301"/>
      <c r="T455" s="336"/>
    </row>
    <row r="456" spans="1:20" ht="12" customHeight="1" x14ac:dyDescent="0.3">
      <c r="A456" s="329" t="s">
        <v>289</v>
      </c>
      <c r="B456" s="330">
        <v>8</v>
      </c>
      <c r="C456" s="298">
        <v>46114</v>
      </c>
      <c r="D456" s="299" t="s">
        <v>373</v>
      </c>
      <c r="E456" s="331">
        <v>81.739999999999995</v>
      </c>
      <c r="F456" s="331"/>
      <c r="G456" s="333">
        <f t="shared" si="9"/>
        <v>5017.1299999999874</v>
      </c>
      <c r="H456" s="334"/>
      <c r="I456" s="335"/>
      <c r="J456" s="336"/>
      <c r="K456" s="301"/>
      <c r="L456" s="336"/>
      <c r="M456" s="301"/>
      <c r="N456" s="336"/>
      <c r="O456" s="301"/>
      <c r="P456" s="336"/>
      <c r="Q456" s="301"/>
      <c r="R456" s="336"/>
      <c r="S456" s="301"/>
      <c r="T456" s="336"/>
    </row>
    <row r="457" spans="1:20" ht="12" customHeight="1" x14ac:dyDescent="0.3">
      <c r="A457" s="329" t="s">
        <v>284</v>
      </c>
      <c r="B457" s="330">
        <v>36</v>
      </c>
      <c r="C457" s="298">
        <v>46114</v>
      </c>
      <c r="D457" s="299" t="s">
        <v>374</v>
      </c>
      <c r="E457" s="331">
        <v>50</v>
      </c>
      <c r="F457" s="331"/>
      <c r="G457" s="333">
        <f t="shared" si="9"/>
        <v>5098.8699999999872</v>
      </c>
      <c r="H457" s="334"/>
      <c r="I457" s="335"/>
      <c r="J457" s="336"/>
      <c r="K457" s="301"/>
      <c r="L457" s="336"/>
      <c r="M457" s="301"/>
      <c r="N457" s="336"/>
      <c r="O457" s="301"/>
      <c r="P457" s="336"/>
      <c r="Q457" s="301"/>
      <c r="R457" s="336"/>
      <c r="S457" s="301"/>
      <c r="T457" s="336"/>
    </row>
    <row r="458" spans="1:20" ht="12" customHeight="1" x14ac:dyDescent="0.3">
      <c r="A458" s="329" t="s">
        <v>294</v>
      </c>
      <c r="B458" s="330">
        <v>22</v>
      </c>
      <c r="C458" s="298">
        <v>46114</v>
      </c>
      <c r="D458" s="299" t="s">
        <v>375</v>
      </c>
      <c r="E458" s="331">
        <v>6.37</v>
      </c>
      <c r="F458" s="331"/>
      <c r="G458" s="333">
        <f t="shared" si="9"/>
        <v>5148.8699999999872</v>
      </c>
      <c r="H458" s="334"/>
      <c r="I458" s="335"/>
      <c r="J458" s="336"/>
      <c r="K458" s="301"/>
      <c r="L458" s="336"/>
      <c r="M458" s="301"/>
      <c r="N458" s="336"/>
      <c r="O458" s="301"/>
      <c r="P458" s="336"/>
      <c r="Q458" s="301"/>
      <c r="R458" s="336"/>
      <c r="S458" s="301"/>
      <c r="T458" s="336"/>
    </row>
    <row r="459" spans="1:20" ht="12" customHeight="1" x14ac:dyDescent="0.3">
      <c r="A459" s="329" t="s">
        <v>289</v>
      </c>
      <c r="B459" s="330">
        <v>2</v>
      </c>
      <c r="C459" s="298">
        <v>46114</v>
      </c>
      <c r="D459" s="299" t="s">
        <v>326</v>
      </c>
      <c r="E459" s="331">
        <v>55.22</v>
      </c>
      <c r="F459" s="331"/>
      <c r="G459" s="333">
        <f t="shared" si="9"/>
        <v>5155.239999999987</v>
      </c>
      <c r="H459" s="334"/>
      <c r="I459" s="335"/>
      <c r="J459" s="336"/>
      <c r="K459" s="301"/>
      <c r="L459" s="336"/>
      <c r="M459" s="301"/>
      <c r="N459" s="336"/>
      <c r="O459" s="301"/>
      <c r="P459" s="336"/>
      <c r="Q459" s="301"/>
      <c r="R459" s="336"/>
      <c r="S459" s="301"/>
      <c r="T459" s="336"/>
    </row>
    <row r="460" spans="1:20" ht="12" customHeight="1" x14ac:dyDescent="0.3">
      <c r="A460" s="329" t="s">
        <v>289</v>
      </c>
      <c r="B460" s="330">
        <v>8</v>
      </c>
      <c r="C460" s="298">
        <v>46114</v>
      </c>
      <c r="D460" s="299" t="s">
        <v>319</v>
      </c>
      <c r="E460" s="331">
        <v>8.5</v>
      </c>
      <c r="F460" s="331"/>
      <c r="G460" s="333">
        <f t="shared" si="9"/>
        <v>5210.4599999999873</v>
      </c>
      <c r="H460" s="334"/>
      <c r="I460" s="335"/>
      <c r="J460" s="336"/>
      <c r="K460" s="301"/>
      <c r="L460" s="336"/>
      <c r="M460" s="301"/>
      <c r="N460" s="336"/>
      <c r="O460" s="301"/>
      <c r="P460" s="336"/>
      <c r="Q460" s="301"/>
      <c r="R460" s="336"/>
      <c r="S460" s="301"/>
      <c r="T460" s="336"/>
    </row>
    <row r="461" spans="1:20" ht="12" customHeight="1" x14ac:dyDescent="0.3">
      <c r="A461" s="329" t="s">
        <v>289</v>
      </c>
      <c r="B461" s="330">
        <v>4</v>
      </c>
      <c r="C461" s="298">
        <v>46114</v>
      </c>
      <c r="D461" s="299" t="s">
        <v>334</v>
      </c>
      <c r="E461" s="331">
        <v>38.99</v>
      </c>
      <c r="F461" s="331"/>
      <c r="G461" s="333">
        <f t="shared" si="9"/>
        <v>5218.9599999999873</v>
      </c>
      <c r="H461" s="334"/>
      <c r="I461" s="335"/>
      <c r="J461" s="336"/>
      <c r="K461" s="301"/>
      <c r="L461" s="336"/>
      <c r="M461" s="301"/>
      <c r="N461" s="336"/>
      <c r="O461" s="301"/>
      <c r="P461" s="336"/>
      <c r="Q461" s="301"/>
      <c r="R461" s="336"/>
      <c r="S461" s="301"/>
      <c r="T461" s="336"/>
    </row>
    <row r="462" spans="1:20" ht="12" customHeight="1" x14ac:dyDescent="0.3">
      <c r="A462" s="329" t="s">
        <v>291</v>
      </c>
      <c r="B462" s="330">
        <v>39</v>
      </c>
      <c r="C462" s="298">
        <v>46113</v>
      </c>
      <c r="D462" s="299" t="s">
        <v>292</v>
      </c>
      <c r="E462" s="331"/>
      <c r="F462" s="331">
        <v>2763.78</v>
      </c>
      <c r="G462" s="333">
        <f t="shared" si="9"/>
        <v>5257.9499999999871</v>
      </c>
      <c r="H462" s="334"/>
      <c r="I462" s="335"/>
      <c r="J462" s="336"/>
      <c r="K462" s="301"/>
      <c r="L462" s="336"/>
      <c r="M462" s="301"/>
      <c r="N462" s="336"/>
      <c r="O462" s="301"/>
      <c r="P462" s="336"/>
      <c r="Q462" s="301"/>
      <c r="R462" s="336"/>
      <c r="S462" s="301"/>
      <c r="T462" s="336"/>
    </row>
    <row r="463" spans="1:20" ht="12" customHeight="1" x14ac:dyDescent="0.3">
      <c r="A463" s="329" t="s">
        <v>289</v>
      </c>
      <c r="B463" s="330">
        <v>4</v>
      </c>
      <c r="C463" s="298">
        <v>46113</v>
      </c>
      <c r="D463" s="299" t="s">
        <v>296</v>
      </c>
      <c r="E463" s="331">
        <v>36.090000000000003</v>
      </c>
      <c r="F463" s="331"/>
      <c r="G463" s="333">
        <f t="shared" si="9"/>
        <v>2494.1699999999869</v>
      </c>
      <c r="H463" s="334"/>
      <c r="I463" s="335"/>
      <c r="J463" s="336"/>
      <c r="K463" s="301"/>
      <c r="L463" s="336"/>
      <c r="M463" s="301"/>
      <c r="N463" s="336"/>
      <c r="O463" s="301"/>
      <c r="P463" s="336"/>
      <c r="Q463" s="301"/>
      <c r="R463" s="336"/>
      <c r="S463" s="301"/>
      <c r="T463" s="336"/>
    </row>
    <row r="464" spans="1:20" ht="12" customHeight="1" x14ac:dyDescent="0.3">
      <c r="A464" s="329" t="s">
        <v>289</v>
      </c>
      <c r="B464" s="330">
        <v>4</v>
      </c>
      <c r="C464" s="298">
        <v>46113</v>
      </c>
      <c r="D464" s="299" t="s">
        <v>310</v>
      </c>
      <c r="E464" s="331">
        <v>80</v>
      </c>
      <c r="F464" s="331"/>
      <c r="G464" s="333">
        <f t="shared" si="9"/>
        <v>2530.259999999987</v>
      </c>
      <c r="H464" s="334"/>
      <c r="I464" s="335"/>
      <c r="J464" s="336"/>
      <c r="K464" s="301"/>
      <c r="L464" s="336"/>
      <c r="M464" s="301"/>
      <c r="N464" s="336"/>
      <c r="O464" s="301"/>
      <c r="P464" s="336"/>
      <c r="Q464" s="301"/>
      <c r="R464" s="336"/>
      <c r="S464" s="301"/>
      <c r="T464" s="336"/>
    </row>
    <row r="465" spans="1:20" ht="12" customHeight="1" x14ac:dyDescent="0.3">
      <c r="A465" s="329" t="s">
        <v>289</v>
      </c>
      <c r="B465" s="330">
        <v>7</v>
      </c>
      <c r="C465" s="298">
        <v>46113</v>
      </c>
      <c r="D465" s="299" t="s">
        <v>320</v>
      </c>
      <c r="E465" s="331">
        <v>47.84</v>
      </c>
      <c r="F465" s="331"/>
      <c r="G465" s="333">
        <f t="shared" si="9"/>
        <v>2610.259999999987</v>
      </c>
      <c r="H465" s="334"/>
      <c r="I465" s="335"/>
      <c r="J465" s="336"/>
      <c r="K465" s="301"/>
      <c r="L465" s="336"/>
      <c r="M465" s="301"/>
      <c r="N465" s="336"/>
      <c r="O465" s="301"/>
      <c r="P465" s="336"/>
      <c r="Q465" s="301"/>
      <c r="R465" s="336"/>
      <c r="S465" s="301"/>
      <c r="T465" s="336"/>
    </row>
    <row r="466" spans="1:20" ht="12" customHeight="1" x14ac:dyDescent="0.3">
      <c r="A466" s="329" t="s">
        <v>289</v>
      </c>
      <c r="B466" s="330">
        <v>7</v>
      </c>
      <c r="C466" s="298">
        <v>46113</v>
      </c>
      <c r="D466" s="299" t="s">
        <v>320</v>
      </c>
      <c r="E466" s="331">
        <v>21.25</v>
      </c>
      <c r="F466" s="331"/>
      <c r="G466" s="333">
        <f t="shared" si="9"/>
        <v>2658.0999999999872</v>
      </c>
      <c r="H466" s="334"/>
      <c r="I466" s="335"/>
      <c r="J466" s="336"/>
      <c r="K466" s="301"/>
      <c r="L466" s="336"/>
      <c r="M466" s="301"/>
      <c r="N466" s="336"/>
      <c r="O466" s="301"/>
      <c r="P466" s="336"/>
      <c r="Q466" s="301"/>
      <c r="R466" s="336"/>
      <c r="S466" s="301"/>
      <c r="T466" s="336"/>
    </row>
    <row r="467" spans="1:20" ht="12" customHeight="1" x14ac:dyDescent="0.3">
      <c r="A467" s="329" t="s">
        <v>289</v>
      </c>
      <c r="B467" s="330">
        <v>2</v>
      </c>
      <c r="C467" s="298">
        <v>46113</v>
      </c>
      <c r="D467" s="299" t="s">
        <v>376</v>
      </c>
      <c r="E467" s="331">
        <v>42.9</v>
      </c>
      <c r="F467" s="331"/>
      <c r="G467" s="333">
        <f t="shared" si="9"/>
        <v>2679.3499999999872</v>
      </c>
      <c r="H467" s="334"/>
      <c r="I467" s="335"/>
      <c r="J467" s="336"/>
      <c r="K467" s="301"/>
      <c r="L467" s="336"/>
      <c r="M467" s="301"/>
      <c r="N467" s="336"/>
      <c r="O467" s="301"/>
      <c r="P467" s="336"/>
      <c r="Q467" s="301"/>
      <c r="R467" s="336"/>
      <c r="S467" s="301"/>
      <c r="T467" s="336"/>
    </row>
    <row r="468" spans="1:20" ht="12" customHeight="1" x14ac:dyDescent="0.3">
      <c r="A468" s="329" t="s">
        <v>284</v>
      </c>
      <c r="B468" s="330">
        <v>37</v>
      </c>
      <c r="C468" s="298">
        <v>46112</v>
      </c>
      <c r="D468" s="299" t="s">
        <v>377</v>
      </c>
      <c r="E468" s="331">
        <v>4309.58</v>
      </c>
      <c r="F468" s="331"/>
      <c r="G468" s="333">
        <f t="shared" si="9"/>
        <v>2722.2499999999873</v>
      </c>
      <c r="H468" s="334"/>
      <c r="I468" s="335"/>
      <c r="J468" s="336"/>
      <c r="K468" s="301"/>
      <c r="L468" s="336"/>
      <c r="M468" s="301"/>
      <c r="N468" s="336"/>
      <c r="O468" s="301"/>
      <c r="P468" s="336"/>
      <c r="Q468" s="301"/>
      <c r="R468" s="336"/>
      <c r="S468" s="301"/>
      <c r="T468" s="336"/>
    </row>
    <row r="469" spans="1:20" ht="12" customHeight="1" x14ac:dyDescent="0.3">
      <c r="A469" s="329" t="s">
        <v>286</v>
      </c>
      <c r="B469" s="330">
        <v>25</v>
      </c>
      <c r="C469" s="298">
        <v>46112</v>
      </c>
      <c r="D469" s="298" t="s">
        <v>204</v>
      </c>
      <c r="E469" s="331">
        <v>350</v>
      </c>
      <c r="F469" s="331"/>
      <c r="G469" s="333">
        <f t="shared" si="9"/>
        <v>7031.8299999999872</v>
      </c>
      <c r="H469" s="334"/>
      <c r="I469" s="335"/>
      <c r="J469" s="336"/>
      <c r="K469" s="301"/>
      <c r="L469" s="336"/>
      <c r="M469" s="301"/>
      <c r="N469" s="336"/>
      <c r="O469" s="301"/>
      <c r="P469" s="336"/>
      <c r="Q469" s="301"/>
      <c r="R469" s="336"/>
      <c r="S469" s="301"/>
      <c r="T469" s="336"/>
    </row>
    <row r="470" spans="1:20" ht="12" customHeight="1" x14ac:dyDescent="0.3">
      <c r="A470" s="329" t="s">
        <v>286</v>
      </c>
      <c r="B470" s="330">
        <v>26</v>
      </c>
      <c r="C470" s="298">
        <v>46112</v>
      </c>
      <c r="D470" s="298" t="s">
        <v>205</v>
      </c>
      <c r="E470" s="331">
        <v>320</v>
      </c>
      <c r="F470" s="331"/>
      <c r="G470" s="333">
        <f t="shared" si="9"/>
        <v>7381.8299999999872</v>
      </c>
      <c r="H470" s="334"/>
      <c r="I470" s="335"/>
      <c r="J470" s="336"/>
      <c r="K470" s="301"/>
      <c r="L470" s="336"/>
      <c r="M470" s="301"/>
      <c r="N470" s="336"/>
      <c r="O470" s="301"/>
      <c r="P470" s="336"/>
      <c r="Q470" s="301"/>
      <c r="R470" s="336"/>
      <c r="S470" s="301"/>
      <c r="T470" s="336"/>
    </row>
    <row r="471" spans="1:20" ht="12" customHeight="1" x14ac:dyDescent="0.3">
      <c r="A471" s="329" t="s">
        <v>286</v>
      </c>
      <c r="B471" s="330">
        <v>27</v>
      </c>
      <c r="C471" s="298">
        <v>46112</v>
      </c>
      <c r="D471" s="298" t="s">
        <v>206</v>
      </c>
      <c r="E471" s="331">
        <v>25</v>
      </c>
      <c r="F471" s="331"/>
      <c r="G471" s="333">
        <f t="shared" si="9"/>
        <v>7701.8299999999872</v>
      </c>
      <c r="H471" s="334"/>
      <c r="I471" s="335"/>
      <c r="J471" s="336"/>
      <c r="K471" s="301"/>
      <c r="L471" s="336"/>
      <c r="M471" s="301"/>
      <c r="N471" s="336"/>
      <c r="O471" s="301"/>
      <c r="P471" s="336"/>
      <c r="Q471" s="301"/>
      <c r="R471" s="336"/>
      <c r="S471" s="301"/>
      <c r="T471" s="336"/>
    </row>
    <row r="472" spans="1:20" ht="12" customHeight="1" x14ac:dyDescent="0.3">
      <c r="A472" s="329" t="s">
        <v>286</v>
      </c>
      <c r="B472" s="330">
        <v>28</v>
      </c>
      <c r="C472" s="298">
        <v>46112</v>
      </c>
      <c r="D472" s="298" t="s">
        <v>207</v>
      </c>
      <c r="E472" s="331">
        <v>25</v>
      </c>
      <c r="F472" s="331"/>
      <c r="G472" s="333">
        <f t="shared" si="9"/>
        <v>7726.8299999999872</v>
      </c>
      <c r="H472" s="334"/>
      <c r="I472" s="335"/>
      <c r="J472" s="336"/>
      <c r="K472" s="301"/>
      <c r="L472" s="336"/>
      <c r="M472" s="301"/>
      <c r="N472" s="336"/>
      <c r="O472" s="301"/>
      <c r="P472" s="336"/>
      <c r="Q472" s="301"/>
      <c r="R472" s="336"/>
      <c r="S472" s="301"/>
      <c r="T472" s="336"/>
    </row>
    <row r="473" spans="1:20" ht="12" customHeight="1" x14ac:dyDescent="0.3">
      <c r="A473" s="329" t="s">
        <v>286</v>
      </c>
      <c r="B473" s="330">
        <v>29</v>
      </c>
      <c r="C473" s="298">
        <v>46112</v>
      </c>
      <c r="D473" s="298" t="s">
        <v>208</v>
      </c>
      <c r="E473" s="331">
        <v>45</v>
      </c>
      <c r="F473" s="331"/>
      <c r="G473" s="333">
        <f t="shared" si="9"/>
        <v>7751.8299999999872</v>
      </c>
      <c r="H473" s="334"/>
      <c r="I473" s="335"/>
      <c r="J473" s="336"/>
      <c r="K473" s="301"/>
      <c r="L473" s="336"/>
      <c r="M473" s="301"/>
      <c r="N473" s="336"/>
      <c r="O473" s="301"/>
      <c r="P473" s="336"/>
      <c r="Q473" s="301"/>
      <c r="R473" s="336"/>
      <c r="S473" s="301"/>
      <c r="T473" s="336"/>
    </row>
    <row r="474" spans="1:20" ht="12" customHeight="1" x14ac:dyDescent="0.3">
      <c r="A474" s="329" t="s">
        <v>286</v>
      </c>
      <c r="B474" s="330">
        <v>30</v>
      </c>
      <c r="C474" s="298">
        <v>46112</v>
      </c>
      <c r="D474" s="298" t="s">
        <v>209</v>
      </c>
      <c r="E474" s="331">
        <v>400</v>
      </c>
      <c r="F474" s="331"/>
      <c r="G474" s="333">
        <f t="shared" si="9"/>
        <v>7796.8299999999872</v>
      </c>
      <c r="H474" s="334"/>
      <c r="I474" s="335"/>
      <c r="J474" s="336"/>
      <c r="K474" s="301"/>
      <c r="L474" s="336"/>
      <c r="M474" s="301"/>
      <c r="N474" s="336"/>
      <c r="O474" s="301"/>
      <c r="P474" s="336"/>
      <c r="Q474" s="301"/>
      <c r="R474" s="336"/>
      <c r="S474" s="301"/>
      <c r="T474" s="336"/>
    </row>
    <row r="475" spans="1:20" ht="12" customHeight="1" x14ac:dyDescent="0.3">
      <c r="A475" s="329" t="s">
        <v>286</v>
      </c>
      <c r="B475" s="330">
        <v>31</v>
      </c>
      <c r="C475" s="298">
        <v>46112</v>
      </c>
      <c r="D475" s="298" t="s">
        <v>210</v>
      </c>
      <c r="E475" s="331">
        <v>375</v>
      </c>
      <c r="F475" s="331"/>
      <c r="G475" s="333">
        <f t="shared" si="9"/>
        <v>8196.8299999999872</v>
      </c>
      <c r="H475" s="334"/>
      <c r="I475" s="335"/>
      <c r="J475" s="336"/>
      <c r="K475" s="301"/>
      <c r="L475" s="336"/>
      <c r="M475" s="301"/>
      <c r="N475" s="336"/>
      <c r="O475" s="301"/>
      <c r="P475" s="336"/>
      <c r="Q475" s="301"/>
      <c r="R475" s="336"/>
      <c r="S475" s="301"/>
      <c r="T475" s="336"/>
    </row>
    <row r="476" spans="1:20" ht="12" customHeight="1" x14ac:dyDescent="0.3">
      <c r="A476" s="329" t="s">
        <v>286</v>
      </c>
      <c r="B476" s="330">
        <v>32</v>
      </c>
      <c r="C476" s="298">
        <v>46112</v>
      </c>
      <c r="D476" s="298" t="s">
        <v>211</v>
      </c>
      <c r="E476" s="331">
        <v>100</v>
      </c>
      <c r="F476" s="331"/>
      <c r="G476" s="333">
        <f t="shared" si="9"/>
        <v>8571.8299999999872</v>
      </c>
      <c r="H476" s="334"/>
      <c r="I476" s="335"/>
      <c r="J476" s="336"/>
      <c r="K476" s="301"/>
      <c r="L476" s="336"/>
      <c r="M476" s="301"/>
      <c r="N476" s="336"/>
      <c r="O476" s="301"/>
      <c r="P476" s="336"/>
      <c r="Q476" s="301"/>
      <c r="R476" s="336"/>
      <c r="S476" s="301"/>
      <c r="T476" s="336"/>
    </row>
    <row r="477" spans="1:20" ht="12" customHeight="1" x14ac:dyDescent="0.3">
      <c r="A477" s="329" t="s">
        <v>286</v>
      </c>
      <c r="B477" s="330">
        <v>33</v>
      </c>
      <c r="C477" s="298">
        <v>46112</v>
      </c>
      <c r="D477" s="298" t="s">
        <v>212</v>
      </c>
      <c r="E477" s="331">
        <v>85</v>
      </c>
      <c r="F477" s="331"/>
      <c r="G477" s="333">
        <f t="shared" si="9"/>
        <v>8671.8299999999872</v>
      </c>
      <c r="H477" s="334"/>
      <c r="I477" s="335"/>
      <c r="J477" s="336"/>
      <c r="K477" s="301"/>
      <c r="L477" s="336"/>
      <c r="M477" s="301"/>
      <c r="N477" s="336"/>
      <c r="O477" s="301"/>
      <c r="P477" s="336"/>
      <c r="Q477" s="301"/>
      <c r="R477" s="336"/>
      <c r="S477" s="301"/>
      <c r="T477" s="336"/>
    </row>
    <row r="478" spans="1:20" ht="12" customHeight="1" x14ac:dyDescent="0.3">
      <c r="A478" s="329" t="s">
        <v>286</v>
      </c>
      <c r="B478" s="330">
        <v>34</v>
      </c>
      <c r="C478" s="298">
        <v>46112</v>
      </c>
      <c r="D478" s="298" t="s">
        <v>213</v>
      </c>
      <c r="E478" s="331">
        <v>230</v>
      </c>
      <c r="F478" s="331"/>
      <c r="G478" s="333">
        <f t="shared" si="9"/>
        <v>8756.8299999999872</v>
      </c>
      <c r="H478" s="334"/>
      <c r="I478" s="335"/>
      <c r="J478" s="336"/>
      <c r="K478" s="301"/>
      <c r="L478" s="336"/>
      <c r="M478" s="301"/>
      <c r="N478" s="336"/>
      <c r="O478" s="301"/>
      <c r="P478" s="336"/>
      <c r="Q478" s="301"/>
      <c r="R478" s="336"/>
      <c r="S478" s="301"/>
      <c r="T478" s="336"/>
    </row>
    <row r="479" spans="1:20" ht="12" customHeight="1" x14ac:dyDescent="0.3">
      <c r="A479" s="329" t="s">
        <v>286</v>
      </c>
      <c r="B479" s="330">
        <v>35</v>
      </c>
      <c r="C479" s="298">
        <v>46112</v>
      </c>
      <c r="D479" s="298" t="s">
        <v>214</v>
      </c>
      <c r="E479" s="331">
        <v>45</v>
      </c>
      <c r="F479" s="331"/>
      <c r="G479" s="333">
        <f t="shared" si="9"/>
        <v>8986.8299999999872</v>
      </c>
      <c r="H479" s="334"/>
      <c r="I479" s="335"/>
      <c r="J479" s="336"/>
      <c r="K479" s="301"/>
      <c r="L479" s="336"/>
      <c r="M479" s="301"/>
      <c r="N479" s="336"/>
      <c r="O479" s="301"/>
      <c r="P479" s="336"/>
      <c r="Q479" s="301"/>
      <c r="R479" s="336"/>
      <c r="S479" s="301"/>
      <c r="T479" s="336"/>
    </row>
    <row r="480" spans="1:20" ht="12" customHeight="1" x14ac:dyDescent="0.3">
      <c r="A480" s="329" t="s">
        <v>289</v>
      </c>
      <c r="B480" s="330">
        <v>6</v>
      </c>
      <c r="C480" s="298">
        <v>46112</v>
      </c>
      <c r="D480" s="298" t="s">
        <v>378</v>
      </c>
      <c r="E480" s="331">
        <v>40</v>
      </c>
      <c r="F480" s="331"/>
      <c r="G480" s="333">
        <f t="shared" si="9"/>
        <v>9031.8299999999872</v>
      </c>
      <c r="H480" s="334"/>
      <c r="I480" s="335"/>
      <c r="J480" s="336"/>
      <c r="K480" s="301"/>
      <c r="L480" s="336"/>
      <c r="M480" s="301"/>
      <c r="N480" s="336"/>
      <c r="O480" s="301"/>
      <c r="P480" s="336"/>
      <c r="Q480" s="301"/>
      <c r="R480" s="336"/>
      <c r="S480" s="301"/>
      <c r="T480" s="336"/>
    </row>
    <row r="481" spans="1:20" ht="12" customHeight="1" x14ac:dyDescent="0.3">
      <c r="A481" s="329" t="s">
        <v>294</v>
      </c>
      <c r="B481" s="330">
        <v>42</v>
      </c>
      <c r="C481" s="298">
        <v>46112</v>
      </c>
      <c r="D481" s="298" t="s">
        <v>200</v>
      </c>
      <c r="E481" s="331">
        <v>59</v>
      </c>
      <c r="F481" s="331"/>
      <c r="G481" s="333">
        <f t="shared" si="9"/>
        <v>9071.8299999999872</v>
      </c>
      <c r="H481" s="334"/>
      <c r="I481" s="335"/>
      <c r="J481" s="336"/>
      <c r="K481" s="301"/>
      <c r="L481" s="336"/>
      <c r="M481" s="301"/>
      <c r="N481" s="336"/>
      <c r="O481" s="301"/>
      <c r="P481" s="336"/>
      <c r="Q481" s="301"/>
      <c r="R481" s="336"/>
      <c r="S481" s="301"/>
      <c r="T481" s="336"/>
    </row>
    <row r="482" spans="1:20" ht="12" customHeight="1" x14ac:dyDescent="0.3">
      <c r="A482" s="329" t="s">
        <v>294</v>
      </c>
      <c r="B482" s="330">
        <v>43</v>
      </c>
      <c r="C482" s="298">
        <v>46112</v>
      </c>
      <c r="D482" s="298" t="s">
        <v>201</v>
      </c>
      <c r="E482" s="331">
        <v>42.84</v>
      </c>
      <c r="F482" s="331"/>
      <c r="G482" s="333">
        <f t="shared" si="9"/>
        <v>9130.8299999999872</v>
      </c>
      <c r="H482" s="334"/>
      <c r="I482" s="335"/>
      <c r="J482" s="336"/>
      <c r="K482" s="301"/>
      <c r="L482" s="336"/>
      <c r="M482" s="301"/>
      <c r="N482" s="336"/>
      <c r="O482" s="301"/>
      <c r="P482" s="336"/>
      <c r="Q482" s="301"/>
      <c r="R482" s="336"/>
      <c r="S482" s="301"/>
      <c r="T482" s="336"/>
    </row>
    <row r="483" spans="1:20" ht="12" customHeight="1" x14ac:dyDescent="0.3">
      <c r="A483" s="329" t="s">
        <v>289</v>
      </c>
      <c r="B483" s="330">
        <v>6</v>
      </c>
      <c r="C483" s="298">
        <v>46112</v>
      </c>
      <c r="D483" s="298" t="s">
        <v>300</v>
      </c>
      <c r="E483" s="331">
        <v>57.21</v>
      </c>
      <c r="F483" s="331"/>
      <c r="G483" s="333">
        <f t="shared" si="9"/>
        <v>9173.6699999999873</v>
      </c>
      <c r="H483" s="334"/>
      <c r="I483" s="335"/>
      <c r="J483" s="336"/>
      <c r="K483" s="301"/>
      <c r="L483" s="336"/>
      <c r="M483" s="301"/>
      <c r="N483" s="336"/>
      <c r="O483" s="301"/>
      <c r="P483" s="336"/>
      <c r="Q483" s="301"/>
      <c r="R483" s="336"/>
      <c r="S483" s="301"/>
      <c r="T483" s="336"/>
    </row>
    <row r="484" spans="1:20" ht="12" customHeight="1" x14ac:dyDescent="0.3">
      <c r="A484" s="329" t="s">
        <v>289</v>
      </c>
      <c r="B484" s="330">
        <v>8</v>
      </c>
      <c r="C484" s="298">
        <v>46112</v>
      </c>
      <c r="D484" s="298" t="s">
        <v>296</v>
      </c>
      <c r="E484" s="331">
        <v>11.18</v>
      </c>
      <c r="F484" s="331"/>
      <c r="G484" s="333">
        <f t="shared" si="9"/>
        <v>9230.8799999999865</v>
      </c>
      <c r="H484" s="334"/>
      <c r="I484" s="335"/>
      <c r="J484" s="336"/>
      <c r="K484" s="301"/>
      <c r="L484" s="336"/>
      <c r="M484" s="301"/>
      <c r="N484" s="336"/>
      <c r="O484" s="301"/>
      <c r="P484" s="336"/>
      <c r="Q484" s="301"/>
      <c r="R484" s="336"/>
      <c r="S484" s="301"/>
      <c r="T484" s="336"/>
    </row>
    <row r="485" spans="1:20" ht="12" customHeight="1" x14ac:dyDescent="0.3">
      <c r="A485" s="329" t="s">
        <v>294</v>
      </c>
      <c r="B485" s="330">
        <v>10</v>
      </c>
      <c r="C485" s="298">
        <v>46112</v>
      </c>
      <c r="D485" s="298" t="s">
        <v>176</v>
      </c>
      <c r="E485" s="331">
        <v>17.899999999999999</v>
      </c>
      <c r="F485" s="331"/>
      <c r="G485" s="333">
        <f t="shared" si="9"/>
        <v>9242.0599999999868</v>
      </c>
      <c r="H485" s="334"/>
      <c r="I485" s="335"/>
      <c r="J485" s="336"/>
      <c r="K485" s="301"/>
      <c r="L485" s="336"/>
      <c r="M485" s="301"/>
      <c r="N485" s="336"/>
      <c r="O485" s="301"/>
      <c r="P485" s="336"/>
      <c r="Q485" s="301"/>
      <c r="R485" s="336"/>
      <c r="S485" s="301"/>
      <c r="T485" s="336"/>
    </row>
    <row r="486" spans="1:20" ht="12" customHeight="1" x14ac:dyDescent="0.3">
      <c r="A486" s="329" t="s">
        <v>289</v>
      </c>
      <c r="B486" s="330">
        <v>2</v>
      </c>
      <c r="C486" s="298">
        <v>46111</v>
      </c>
      <c r="D486" s="298" t="s">
        <v>334</v>
      </c>
      <c r="E486" s="331">
        <v>23.83</v>
      </c>
      <c r="F486" s="331"/>
      <c r="G486" s="333">
        <f t="shared" si="9"/>
        <v>9259.9599999999864</v>
      </c>
      <c r="H486" s="334"/>
      <c r="I486" s="335"/>
      <c r="J486" s="336"/>
      <c r="K486" s="301"/>
      <c r="L486" s="336"/>
      <c r="M486" s="301"/>
      <c r="N486" s="336"/>
      <c r="O486" s="301"/>
      <c r="P486" s="336"/>
      <c r="Q486" s="301"/>
      <c r="R486" s="336"/>
      <c r="S486" s="301"/>
      <c r="T486" s="336"/>
    </row>
    <row r="487" spans="1:20" ht="12" customHeight="1" x14ac:dyDescent="0.3">
      <c r="A487" s="329" t="s">
        <v>291</v>
      </c>
      <c r="B487" s="330">
        <v>38</v>
      </c>
      <c r="C487" s="298">
        <v>46111</v>
      </c>
      <c r="D487" s="299" t="s">
        <v>293</v>
      </c>
      <c r="E487" s="331"/>
      <c r="F487" s="331">
        <v>4278.1400000000003</v>
      </c>
      <c r="G487" s="333">
        <f t="shared" si="9"/>
        <v>9283.7899999999863</v>
      </c>
      <c r="H487" s="334"/>
      <c r="I487" s="335"/>
      <c r="J487" s="336"/>
      <c r="K487" s="301"/>
      <c r="L487" s="336"/>
      <c r="M487" s="301"/>
      <c r="N487" s="336"/>
      <c r="O487" s="301"/>
      <c r="P487" s="336"/>
      <c r="Q487" s="301"/>
      <c r="R487" s="336"/>
      <c r="S487" s="301"/>
      <c r="T487" s="336"/>
    </row>
    <row r="488" spans="1:20" ht="12" customHeight="1" x14ac:dyDescent="0.3">
      <c r="A488" s="329" t="s">
        <v>289</v>
      </c>
      <c r="B488" s="330">
        <v>3</v>
      </c>
      <c r="C488" s="298">
        <v>46111</v>
      </c>
      <c r="D488" s="299" t="s">
        <v>351</v>
      </c>
      <c r="E488" s="331">
        <v>30</v>
      </c>
      <c r="F488" s="331"/>
      <c r="G488" s="333">
        <f t="shared" si="9"/>
        <v>5005.649999999986</v>
      </c>
      <c r="H488" s="334"/>
      <c r="I488" s="335"/>
      <c r="J488" s="336"/>
      <c r="K488" s="301"/>
      <c r="L488" s="336"/>
      <c r="M488" s="301"/>
      <c r="N488" s="336"/>
      <c r="O488" s="301"/>
      <c r="P488" s="336"/>
      <c r="Q488" s="301"/>
      <c r="R488" s="336"/>
      <c r="S488" s="301"/>
      <c r="T488" s="336"/>
    </row>
    <row r="489" spans="1:20" ht="12" customHeight="1" x14ac:dyDescent="0.3">
      <c r="A489" s="329" t="s">
        <v>289</v>
      </c>
      <c r="B489" s="330">
        <v>6</v>
      </c>
      <c r="C489" s="298">
        <v>46111</v>
      </c>
      <c r="D489" s="299" t="s">
        <v>300</v>
      </c>
      <c r="E489" s="331">
        <v>15.96</v>
      </c>
      <c r="F489" s="331"/>
      <c r="G489" s="333">
        <f t="shared" si="9"/>
        <v>5035.649999999986</v>
      </c>
      <c r="H489" s="334"/>
      <c r="I489" s="335"/>
      <c r="J489" s="336"/>
      <c r="K489" s="301"/>
      <c r="L489" s="336"/>
      <c r="M489" s="301"/>
      <c r="N489" s="336"/>
      <c r="O489" s="301"/>
      <c r="P489" s="336"/>
      <c r="Q489" s="301"/>
      <c r="R489" s="336"/>
      <c r="S489" s="301"/>
      <c r="T489" s="336"/>
    </row>
    <row r="490" spans="1:20" ht="12" customHeight="1" x14ac:dyDescent="0.3">
      <c r="A490" s="329" t="s">
        <v>289</v>
      </c>
      <c r="B490" s="330">
        <v>3</v>
      </c>
      <c r="C490" s="298">
        <v>46111</v>
      </c>
      <c r="D490" s="299" t="s">
        <v>379</v>
      </c>
      <c r="E490" s="331">
        <v>18.96</v>
      </c>
      <c r="F490" s="331"/>
      <c r="G490" s="333">
        <f t="shared" si="9"/>
        <v>5051.609999999986</v>
      </c>
      <c r="H490" s="334"/>
      <c r="I490" s="335"/>
      <c r="J490" s="336"/>
      <c r="K490" s="301"/>
      <c r="L490" s="336"/>
      <c r="M490" s="301"/>
      <c r="N490" s="336"/>
      <c r="O490" s="301"/>
      <c r="P490" s="336"/>
      <c r="Q490" s="301"/>
      <c r="R490" s="336"/>
      <c r="S490" s="301"/>
      <c r="T490" s="336"/>
    </row>
    <row r="491" spans="1:20" ht="12" customHeight="1" x14ac:dyDescent="0.3">
      <c r="A491" s="329" t="s">
        <v>289</v>
      </c>
      <c r="B491" s="330">
        <v>1</v>
      </c>
      <c r="C491" s="298">
        <v>46110</v>
      </c>
      <c r="D491" s="299" t="s">
        <v>311</v>
      </c>
      <c r="E491" s="331">
        <v>144.22</v>
      </c>
      <c r="F491" s="331"/>
      <c r="G491" s="333">
        <f t="shared" si="9"/>
        <v>5070.5699999999861</v>
      </c>
      <c r="H491" s="334"/>
      <c r="I491" s="335"/>
      <c r="J491" s="336"/>
      <c r="K491" s="301"/>
      <c r="L491" s="336"/>
      <c r="M491" s="301"/>
      <c r="N491" s="336"/>
      <c r="O491" s="301"/>
      <c r="P491" s="336"/>
      <c r="Q491" s="301"/>
      <c r="R491" s="336"/>
      <c r="S491" s="301"/>
      <c r="T491" s="336"/>
    </row>
    <row r="492" spans="1:20" ht="12" customHeight="1" x14ac:dyDescent="0.3">
      <c r="A492" s="329" t="s">
        <v>289</v>
      </c>
      <c r="B492" s="330">
        <v>7</v>
      </c>
      <c r="C492" s="298">
        <v>46110</v>
      </c>
      <c r="D492" s="299" t="s">
        <v>380</v>
      </c>
      <c r="E492" s="331">
        <v>181.04</v>
      </c>
      <c r="F492" s="331"/>
      <c r="G492" s="333">
        <f t="shared" si="9"/>
        <v>5214.7899999999863</v>
      </c>
      <c r="H492" s="334"/>
      <c r="I492" s="335"/>
      <c r="J492" s="336"/>
      <c r="K492" s="301"/>
      <c r="L492" s="336"/>
      <c r="M492" s="301"/>
      <c r="N492" s="336"/>
      <c r="O492" s="301"/>
      <c r="P492" s="336"/>
      <c r="Q492" s="301"/>
      <c r="R492" s="336"/>
      <c r="S492" s="301"/>
      <c r="T492" s="336"/>
    </row>
    <row r="493" spans="1:20" ht="12" customHeight="1" x14ac:dyDescent="0.3">
      <c r="A493" s="329" t="s">
        <v>289</v>
      </c>
      <c r="B493" s="330">
        <v>6</v>
      </c>
      <c r="C493" s="298">
        <v>46110</v>
      </c>
      <c r="D493" s="299" t="s">
        <v>381</v>
      </c>
      <c r="E493" s="331">
        <v>196.9</v>
      </c>
      <c r="F493" s="331"/>
      <c r="G493" s="333">
        <f t="shared" si="9"/>
        <v>5395.8299999999863</v>
      </c>
      <c r="H493" s="334"/>
      <c r="I493" s="335"/>
      <c r="J493" s="336"/>
      <c r="K493" s="301"/>
      <c r="L493" s="336"/>
      <c r="M493" s="301"/>
      <c r="N493" s="336"/>
      <c r="O493" s="301"/>
      <c r="P493" s="336"/>
      <c r="Q493" s="301"/>
      <c r="R493" s="336"/>
      <c r="S493" s="301"/>
      <c r="T493" s="336"/>
    </row>
    <row r="494" spans="1:20" ht="12" customHeight="1" x14ac:dyDescent="0.3">
      <c r="A494" s="329" t="s">
        <v>289</v>
      </c>
      <c r="B494" s="330">
        <v>3</v>
      </c>
      <c r="C494" s="298">
        <v>46110</v>
      </c>
      <c r="D494" s="299" t="s">
        <v>382</v>
      </c>
      <c r="E494" s="331">
        <v>7.5</v>
      </c>
      <c r="F494" s="331"/>
      <c r="G494" s="333">
        <f t="shared" si="9"/>
        <v>5592.7299999999859</v>
      </c>
      <c r="H494" s="334"/>
      <c r="I494" s="335"/>
      <c r="J494" s="336"/>
      <c r="K494" s="301"/>
      <c r="L494" s="336"/>
      <c r="M494" s="301"/>
      <c r="N494" s="336"/>
      <c r="O494" s="301"/>
      <c r="P494" s="336"/>
      <c r="Q494" s="301"/>
      <c r="R494" s="336"/>
      <c r="S494" s="301"/>
      <c r="T494" s="336"/>
    </row>
    <row r="495" spans="1:20" ht="12" customHeight="1" x14ac:dyDescent="0.3">
      <c r="A495" s="329" t="s">
        <v>289</v>
      </c>
      <c r="B495" s="330">
        <v>8</v>
      </c>
      <c r="C495" s="298">
        <v>46109</v>
      </c>
      <c r="D495" s="299" t="s">
        <v>319</v>
      </c>
      <c r="E495" s="331">
        <v>11.7</v>
      </c>
      <c r="F495" s="331"/>
      <c r="G495" s="333">
        <f t="shared" si="9"/>
        <v>5600.2299999999859</v>
      </c>
      <c r="H495" s="334"/>
      <c r="I495" s="335"/>
      <c r="J495" s="336"/>
      <c r="K495" s="301"/>
      <c r="L495" s="336"/>
      <c r="M495" s="301"/>
      <c r="N495" s="336"/>
      <c r="O495" s="301"/>
      <c r="P495" s="336"/>
      <c r="Q495" s="301"/>
      <c r="R495" s="336"/>
      <c r="S495" s="301"/>
      <c r="T495" s="336"/>
    </row>
    <row r="496" spans="1:20" ht="12" customHeight="1" x14ac:dyDescent="0.3">
      <c r="A496" s="329" t="s">
        <v>289</v>
      </c>
      <c r="B496" s="330">
        <v>2</v>
      </c>
      <c r="C496" s="298">
        <v>46109</v>
      </c>
      <c r="D496" s="299" t="s">
        <v>308</v>
      </c>
      <c r="E496" s="331">
        <v>210.76</v>
      </c>
      <c r="F496" s="331"/>
      <c r="G496" s="333">
        <f t="shared" si="9"/>
        <v>5611.9299999999857</v>
      </c>
      <c r="H496" s="334"/>
      <c r="I496" s="335"/>
      <c r="J496" s="336"/>
      <c r="K496" s="301"/>
      <c r="L496" s="336"/>
      <c r="M496" s="301"/>
      <c r="N496" s="336"/>
      <c r="O496" s="301"/>
      <c r="P496" s="336"/>
      <c r="Q496" s="301"/>
      <c r="R496" s="336"/>
      <c r="S496" s="301"/>
      <c r="T496" s="336"/>
    </row>
    <row r="497" spans="1:20" ht="12" customHeight="1" x14ac:dyDescent="0.3">
      <c r="A497" s="329" t="s">
        <v>289</v>
      </c>
      <c r="B497" s="330">
        <v>4</v>
      </c>
      <c r="C497" s="298">
        <v>46109</v>
      </c>
      <c r="D497" s="299" t="s">
        <v>310</v>
      </c>
      <c r="E497" s="331">
        <v>46.9</v>
      </c>
      <c r="F497" s="331"/>
      <c r="G497" s="333">
        <f t="shared" si="9"/>
        <v>5822.689999999986</v>
      </c>
      <c r="H497" s="334"/>
      <c r="I497" s="335"/>
      <c r="J497" s="336"/>
      <c r="K497" s="301"/>
      <c r="L497" s="336"/>
      <c r="M497" s="301"/>
      <c r="N497" s="336"/>
      <c r="O497" s="301"/>
      <c r="P497" s="336"/>
      <c r="Q497" s="301"/>
      <c r="R497" s="336"/>
      <c r="S497" s="301"/>
      <c r="T497" s="336"/>
    </row>
    <row r="498" spans="1:20" ht="12" customHeight="1" x14ac:dyDescent="0.3">
      <c r="A498" s="329" t="s">
        <v>289</v>
      </c>
      <c r="B498" s="330">
        <v>1</v>
      </c>
      <c r="C498" s="298">
        <v>46109</v>
      </c>
      <c r="D498" s="299" t="s">
        <v>329</v>
      </c>
      <c r="E498" s="331">
        <v>179.1</v>
      </c>
      <c r="F498" s="331"/>
      <c r="G498" s="333">
        <f t="shared" si="9"/>
        <v>5869.5899999999856</v>
      </c>
      <c r="H498" s="334"/>
      <c r="I498" s="335"/>
      <c r="J498" s="336"/>
      <c r="K498" s="301"/>
      <c r="L498" s="336"/>
      <c r="M498" s="301"/>
      <c r="N498" s="336"/>
      <c r="O498" s="301"/>
      <c r="P498" s="336"/>
      <c r="Q498" s="301"/>
      <c r="R498" s="336"/>
      <c r="S498" s="301"/>
      <c r="T498" s="336"/>
    </row>
    <row r="499" spans="1:20" ht="12" customHeight="1" x14ac:dyDescent="0.3">
      <c r="A499" s="329" t="s">
        <v>289</v>
      </c>
      <c r="B499" s="330">
        <v>8</v>
      </c>
      <c r="C499" s="298">
        <v>46109</v>
      </c>
      <c r="D499" s="299" t="s">
        <v>308</v>
      </c>
      <c r="E499" s="331">
        <v>31.97</v>
      </c>
      <c r="F499" s="331"/>
      <c r="G499" s="333">
        <f t="shared" si="9"/>
        <v>6048.689999999986</v>
      </c>
      <c r="H499" s="334"/>
      <c r="I499" s="335"/>
      <c r="J499" s="336"/>
      <c r="K499" s="301"/>
      <c r="L499" s="336"/>
      <c r="M499" s="301"/>
      <c r="N499" s="336"/>
      <c r="O499" s="301"/>
      <c r="P499" s="336"/>
      <c r="Q499" s="301"/>
      <c r="R499" s="336"/>
      <c r="S499" s="301"/>
      <c r="T499" s="336"/>
    </row>
    <row r="500" spans="1:20" ht="12" customHeight="1" x14ac:dyDescent="0.3">
      <c r="A500" s="329" t="s">
        <v>289</v>
      </c>
      <c r="B500" s="330">
        <v>8</v>
      </c>
      <c r="C500" s="298">
        <v>46109</v>
      </c>
      <c r="D500" s="299" t="s">
        <v>308</v>
      </c>
      <c r="E500" s="331">
        <v>12.19</v>
      </c>
      <c r="F500" s="331"/>
      <c r="G500" s="333">
        <f t="shared" si="9"/>
        <v>6080.6599999999862</v>
      </c>
      <c r="H500" s="334"/>
      <c r="I500" s="335"/>
      <c r="J500" s="336"/>
      <c r="K500" s="301"/>
      <c r="L500" s="336"/>
      <c r="M500" s="301"/>
      <c r="N500" s="336"/>
      <c r="O500" s="301"/>
      <c r="P500" s="336"/>
      <c r="Q500" s="301"/>
      <c r="R500" s="336"/>
      <c r="S500" s="301"/>
      <c r="T500" s="336"/>
    </row>
    <row r="501" spans="1:20" ht="12" customHeight="1" x14ac:dyDescent="0.3">
      <c r="A501" s="329" t="s">
        <v>291</v>
      </c>
      <c r="B501" s="330">
        <v>41</v>
      </c>
      <c r="C501" s="298">
        <v>46108</v>
      </c>
      <c r="D501" s="299" t="s">
        <v>383</v>
      </c>
      <c r="E501" s="331"/>
      <c r="F501" s="331">
        <v>400</v>
      </c>
      <c r="G501" s="333">
        <f t="shared" si="9"/>
        <v>6092.8499999999858</v>
      </c>
      <c r="H501" s="334"/>
      <c r="I501" s="335"/>
      <c r="J501" s="336"/>
      <c r="K501" s="301"/>
      <c r="L501" s="336"/>
      <c r="M501" s="301"/>
      <c r="N501" s="336"/>
      <c r="O501" s="301"/>
      <c r="P501" s="336"/>
      <c r="Q501" s="301"/>
      <c r="R501" s="336"/>
      <c r="S501" s="301"/>
      <c r="T501" s="336"/>
    </row>
    <row r="502" spans="1:20" ht="12" customHeight="1" x14ac:dyDescent="0.3">
      <c r="A502" s="329" t="s">
        <v>289</v>
      </c>
      <c r="B502" s="330">
        <v>2</v>
      </c>
      <c r="C502" s="298">
        <v>46108</v>
      </c>
      <c r="D502" s="299" t="s">
        <v>301</v>
      </c>
      <c r="E502" s="331">
        <v>19.5</v>
      </c>
      <c r="F502" s="331"/>
      <c r="G502" s="333">
        <f t="shared" si="9"/>
        <v>5692.8499999999858</v>
      </c>
      <c r="H502" s="334"/>
      <c r="I502" s="335"/>
      <c r="J502" s="336"/>
      <c r="K502" s="301"/>
      <c r="L502" s="336"/>
      <c r="M502" s="301"/>
      <c r="N502" s="336"/>
      <c r="O502" s="301"/>
      <c r="P502" s="336"/>
      <c r="Q502" s="301"/>
      <c r="R502" s="336"/>
      <c r="S502" s="301"/>
      <c r="T502" s="336"/>
    </row>
    <row r="503" spans="1:20" ht="12" customHeight="1" x14ac:dyDescent="0.3">
      <c r="A503" s="329" t="s">
        <v>289</v>
      </c>
      <c r="B503" s="330">
        <v>2</v>
      </c>
      <c r="C503" s="298">
        <v>46108</v>
      </c>
      <c r="D503" s="299" t="s">
        <v>296</v>
      </c>
      <c r="E503" s="331">
        <v>11.48</v>
      </c>
      <c r="F503" s="331"/>
      <c r="G503" s="333">
        <f t="shared" si="9"/>
        <v>5712.3499999999858</v>
      </c>
      <c r="H503" s="334"/>
      <c r="I503" s="335"/>
      <c r="J503" s="336"/>
      <c r="K503" s="301"/>
      <c r="L503" s="336"/>
      <c r="M503" s="301"/>
      <c r="N503" s="336"/>
      <c r="O503" s="301"/>
      <c r="P503" s="336"/>
      <c r="Q503" s="301"/>
      <c r="R503" s="336"/>
      <c r="S503" s="301"/>
      <c r="T503" s="336"/>
    </row>
    <row r="504" spans="1:20" ht="12" customHeight="1" x14ac:dyDescent="0.3">
      <c r="A504" s="329" t="s">
        <v>289</v>
      </c>
      <c r="B504" s="330">
        <v>8</v>
      </c>
      <c r="C504" s="298">
        <v>46108</v>
      </c>
      <c r="D504" s="299" t="s">
        <v>334</v>
      </c>
      <c r="E504" s="331">
        <v>11.46</v>
      </c>
      <c r="F504" s="331"/>
      <c r="G504" s="333">
        <f t="shared" si="9"/>
        <v>5723.8299999999854</v>
      </c>
      <c r="H504" s="334"/>
      <c r="I504" s="335"/>
      <c r="J504" s="336"/>
      <c r="K504" s="301"/>
      <c r="L504" s="336"/>
      <c r="M504" s="301"/>
      <c r="N504" s="336"/>
      <c r="O504" s="301"/>
      <c r="P504" s="336"/>
      <c r="Q504" s="301"/>
      <c r="R504" s="336"/>
      <c r="S504" s="301"/>
      <c r="T504" s="336"/>
    </row>
    <row r="505" spans="1:20" ht="12" customHeight="1" x14ac:dyDescent="0.3">
      <c r="A505" s="329" t="s">
        <v>289</v>
      </c>
      <c r="B505" s="330">
        <v>4</v>
      </c>
      <c r="C505" s="298">
        <v>46108</v>
      </c>
      <c r="D505" s="299" t="s">
        <v>334</v>
      </c>
      <c r="E505" s="331">
        <v>38.21</v>
      </c>
      <c r="F505" s="331"/>
      <c r="G505" s="333">
        <f t="shared" si="9"/>
        <v>5735.2899999999854</v>
      </c>
      <c r="H505" s="334"/>
      <c r="I505" s="335"/>
      <c r="J505" s="336"/>
      <c r="K505" s="301"/>
      <c r="L505" s="336"/>
      <c r="M505" s="301"/>
      <c r="N505" s="336"/>
      <c r="O505" s="301"/>
      <c r="P505" s="336"/>
      <c r="Q505" s="301"/>
      <c r="R505" s="336"/>
      <c r="S505" s="301"/>
      <c r="T505" s="336"/>
    </row>
    <row r="506" spans="1:20" ht="12" customHeight="1" x14ac:dyDescent="0.3">
      <c r="A506" s="329" t="s">
        <v>289</v>
      </c>
      <c r="B506" s="330">
        <v>2</v>
      </c>
      <c r="C506" s="298">
        <v>46108</v>
      </c>
      <c r="D506" s="299" t="s">
        <v>384</v>
      </c>
      <c r="E506" s="331">
        <v>69.95</v>
      </c>
      <c r="F506" s="331"/>
      <c r="G506" s="333">
        <f t="shared" si="9"/>
        <v>5773.4999999999854</v>
      </c>
      <c r="H506" s="334"/>
      <c r="I506" s="335"/>
      <c r="J506" s="336"/>
      <c r="K506" s="301"/>
      <c r="L506" s="336"/>
      <c r="M506" s="301"/>
      <c r="N506" s="336"/>
      <c r="O506" s="301"/>
      <c r="P506" s="336"/>
      <c r="Q506" s="301"/>
      <c r="R506" s="336"/>
      <c r="S506" s="301"/>
      <c r="T506" s="336"/>
    </row>
    <row r="507" spans="1:20" ht="12" customHeight="1" x14ac:dyDescent="0.3">
      <c r="A507" s="329" t="s">
        <v>289</v>
      </c>
      <c r="B507" s="330">
        <v>3</v>
      </c>
      <c r="C507" s="298">
        <v>46108</v>
      </c>
      <c r="D507" s="299" t="s">
        <v>348</v>
      </c>
      <c r="E507" s="331">
        <v>10.78</v>
      </c>
      <c r="F507" s="331"/>
      <c r="G507" s="333">
        <f t="shared" si="9"/>
        <v>5843.4499999999853</v>
      </c>
      <c r="H507" s="334"/>
      <c r="I507" s="335"/>
      <c r="J507" s="336"/>
      <c r="K507" s="301"/>
      <c r="L507" s="336"/>
      <c r="M507" s="301"/>
      <c r="N507" s="336"/>
      <c r="O507" s="301"/>
      <c r="P507" s="336"/>
      <c r="Q507" s="301"/>
      <c r="R507" s="336"/>
      <c r="S507" s="301"/>
      <c r="T507" s="336"/>
    </row>
    <row r="508" spans="1:20" ht="12" customHeight="1" x14ac:dyDescent="0.3">
      <c r="A508" s="329" t="s">
        <v>289</v>
      </c>
      <c r="B508" s="330">
        <v>6</v>
      </c>
      <c r="C508" s="298">
        <v>46108</v>
      </c>
      <c r="D508" s="299" t="s">
        <v>300</v>
      </c>
      <c r="E508" s="331">
        <v>15.84</v>
      </c>
      <c r="F508" s="331"/>
      <c r="G508" s="333">
        <f t="shared" si="9"/>
        <v>5854.229999999985</v>
      </c>
      <c r="H508" s="334"/>
      <c r="I508" s="335"/>
      <c r="J508" s="336"/>
      <c r="K508" s="301"/>
      <c r="L508" s="336"/>
      <c r="M508" s="301"/>
      <c r="N508" s="336"/>
      <c r="O508" s="301"/>
      <c r="P508" s="336"/>
      <c r="Q508" s="301"/>
      <c r="R508" s="336"/>
      <c r="S508" s="301"/>
      <c r="T508" s="336"/>
    </row>
    <row r="509" spans="1:20" ht="12" customHeight="1" x14ac:dyDescent="0.3">
      <c r="A509" s="329" t="s">
        <v>289</v>
      </c>
      <c r="B509" s="330">
        <v>8</v>
      </c>
      <c r="C509" s="298">
        <v>46108</v>
      </c>
      <c r="D509" s="299" t="s">
        <v>385</v>
      </c>
      <c r="E509" s="331">
        <v>22.48</v>
      </c>
      <c r="F509" s="331"/>
      <c r="G509" s="333">
        <f t="shared" si="9"/>
        <v>5870.0699999999852</v>
      </c>
      <c r="H509" s="334"/>
      <c r="I509" s="335"/>
      <c r="J509" s="336"/>
      <c r="K509" s="301"/>
      <c r="L509" s="336"/>
      <c r="M509" s="301"/>
      <c r="N509" s="336"/>
      <c r="O509" s="301"/>
      <c r="P509" s="336"/>
      <c r="Q509" s="301"/>
      <c r="R509" s="336"/>
      <c r="S509" s="301"/>
      <c r="T509" s="336"/>
    </row>
    <row r="510" spans="1:20" ht="12" customHeight="1" x14ac:dyDescent="0.3">
      <c r="A510" s="329" t="s">
        <v>289</v>
      </c>
      <c r="B510" s="330">
        <v>2</v>
      </c>
      <c r="C510" s="298">
        <v>46107</v>
      </c>
      <c r="D510" s="299" t="s">
        <v>358</v>
      </c>
      <c r="E510" s="331">
        <v>11.17</v>
      </c>
      <c r="F510" s="331"/>
      <c r="G510" s="333">
        <f t="shared" si="9"/>
        <v>5892.5499999999847</v>
      </c>
      <c r="H510" s="334"/>
      <c r="I510" s="335"/>
      <c r="J510" s="336"/>
      <c r="K510" s="301"/>
      <c r="L510" s="336"/>
      <c r="M510" s="301"/>
      <c r="N510" s="336"/>
      <c r="O510" s="301"/>
      <c r="P510" s="336"/>
      <c r="Q510" s="301"/>
      <c r="R510" s="336"/>
      <c r="S510" s="301"/>
      <c r="T510" s="336"/>
    </row>
    <row r="511" spans="1:20" ht="12" customHeight="1" x14ac:dyDescent="0.3">
      <c r="A511" s="329" t="s">
        <v>289</v>
      </c>
      <c r="B511" s="330">
        <v>2</v>
      </c>
      <c r="C511" s="298">
        <v>46107</v>
      </c>
      <c r="D511" s="299" t="s">
        <v>386</v>
      </c>
      <c r="E511" s="331">
        <v>14.38</v>
      </c>
      <c r="F511" s="331"/>
      <c r="G511" s="333">
        <f t="shared" si="9"/>
        <v>5903.7199999999848</v>
      </c>
      <c r="H511" s="334"/>
      <c r="I511" s="335"/>
      <c r="J511" s="336"/>
      <c r="K511" s="301"/>
      <c r="L511" s="336"/>
      <c r="M511" s="301"/>
      <c r="N511" s="336"/>
      <c r="O511" s="301"/>
      <c r="P511" s="336"/>
      <c r="Q511" s="301"/>
      <c r="R511" s="336"/>
      <c r="S511" s="301"/>
      <c r="T511" s="336"/>
    </row>
    <row r="512" spans="1:20" ht="12" customHeight="1" x14ac:dyDescent="0.3">
      <c r="A512" s="329" t="s">
        <v>289</v>
      </c>
      <c r="B512" s="330">
        <v>8</v>
      </c>
      <c r="C512" s="298">
        <v>46107</v>
      </c>
      <c r="D512" s="299" t="s">
        <v>387</v>
      </c>
      <c r="E512" s="331">
        <v>45</v>
      </c>
      <c r="F512" s="331"/>
      <c r="G512" s="333">
        <f t="shared" si="9"/>
        <v>5918.0999999999849</v>
      </c>
      <c r="H512" s="334"/>
      <c r="I512" s="335"/>
      <c r="J512" s="336"/>
      <c r="K512" s="301"/>
      <c r="L512" s="336"/>
      <c r="M512" s="301"/>
      <c r="N512" s="336"/>
      <c r="O512" s="301"/>
      <c r="P512" s="336"/>
      <c r="Q512" s="301"/>
      <c r="R512" s="336"/>
      <c r="S512" s="301"/>
      <c r="T512" s="336"/>
    </row>
    <row r="513" spans="1:20" ht="12" customHeight="1" x14ac:dyDescent="0.3">
      <c r="A513" s="329" t="s">
        <v>289</v>
      </c>
      <c r="B513" s="330">
        <v>2</v>
      </c>
      <c r="C513" s="298">
        <v>46107</v>
      </c>
      <c r="D513" s="299" t="s">
        <v>324</v>
      </c>
      <c r="E513" s="331">
        <v>9.0299999999999994</v>
      </c>
      <c r="F513" s="331"/>
      <c r="G513" s="333">
        <f t="shared" si="9"/>
        <v>5963.0999999999849</v>
      </c>
      <c r="H513" s="334"/>
      <c r="I513" s="335"/>
      <c r="J513" s="336"/>
      <c r="K513" s="301"/>
      <c r="L513" s="336"/>
      <c r="M513" s="301"/>
      <c r="N513" s="336"/>
      <c r="O513" s="301"/>
      <c r="P513" s="336"/>
      <c r="Q513" s="301"/>
      <c r="R513" s="336"/>
      <c r="S513" s="301"/>
      <c r="T513" s="336"/>
    </row>
    <row r="514" spans="1:20" ht="12" customHeight="1" x14ac:dyDescent="0.3">
      <c r="A514" s="329" t="s">
        <v>289</v>
      </c>
      <c r="B514" s="330">
        <v>2</v>
      </c>
      <c r="C514" s="298">
        <v>46107</v>
      </c>
      <c r="D514" s="299" t="s">
        <v>301</v>
      </c>
      <c r="E514" s="331">
        <v>30</v>
      </c>
      <c r="F514" s="331"/>
      <c r="G514" s="333">
        <f t="shared" si="9"/>
        <v>5972.1299999999846</v>
      </c>
      <c r="H514" s="334"/>
      <c r="I514" s="335"/>
      <c r="J514" s="336"/>
      <c r="K514" s="301"/>
      <c r="L514" s="336"/>
      <c r="M514" s="301"/>
      <c r="N514" s="336"/>
      <c r="O514" s="301"/>
      <c r="P514" s="336"/>
      <c r="Q514" s="301"/>
      <c r="R514" s="336"/>
      <c r="S514" s="301"/>
      <c r="T514" s="336"/>
    </row>
    <row r="515" spans="1:20" ht="12" customHeight="1" x14ac:dyDescent="0.3">
      <c r="A515" s="329" t="s">
        <v>289</v>
      </c>
      <c r="B515" s="330">
        <v>6</v>
      </c>
      <c r="C515" s="298">
        <v>46106</v>
      </c>
      <c r="D515" s="299" t="s">
        <v>388</v>
      </c>
      <c r="E515" s="331">
        <v>12</v>
      </c>
      <c r="F515" s="331"/>
      <c r="G515" s="333">
        <f t="shared" si="9"/>
        <v>6002.1299999999846</v>
      </c>
      <c r="H515" s="334"/>
      <c r="I515" s="335"/>
      <c r="J515" s="336"/>
      <c r="K515" s="301"/>
      <c r="L515" s="336"/>
      <c r="M515" s="301"/>
      <c r="N515" s="336"/>
      <c r="O515" s="301"/>
      <c r="P515" s="336"/>
      <c r="Q515" s="301"/>
      <c r="R515" s="336"/>
      <c r="S515" s="301"/>
      <c r="T515" s="336"/>
    </row>
    <row r="516" spans="1:20" ht="12" customHeight="1" x14ac:dyDescent="0.3">
      <c r="A516" s="329" t="s">
        <v>289</v>
      </c>
      <c r="B516" s="330">
        <v>6</v>
      </c>
      <c r="C516" s="298">
        <v>46106</v>
      </c>
      <c r="D516" s="299" t="s">
        <v>389</v>
      </c>
      <c r="E516" s="331">
        <v>20</v>
      </c>
      <c r="F516" s="331"/>
      <c r="G516" s="333">
        <f t="shared" si="9"/>
        <v>6014.1299999999846</v>
      </c>
      <c r="H516" s="334"/>
      <c r="I516" s="335"/>
      <c r="J516" s="336"/>
      <c r="K516" s="301"/>
      <c r="L516" s="336"/>
      <c r="M516" s="301"/>
      <c r="N516" s="336"/>
      <c r="O516" s="301"/>
      <c r="P516" s="336"/>
      <c r="Q516" s="301"/>
      <c r="R516" s="336"/>
      <c r="S516" s="301"/>
      <c r="T516" s="336"/>
    </row>
    <row r="517" spans="1:20" ht="12" customHeight="1" x14ac:dyDescent="0.3">
      <c r="A517" s="329" t="s">
        <v>289</v>
      </c>
      <c r="B517" s="330">
        <v>2</v>
      </c>
      <c r="C517" s="298">
        <v>46106</v>
      </c>
      <c r="D517" s="299" t="s">
        <v>296</v>
      </c>
      <c r="E517" s="331">
        <v>21.05</v>
      </c>
      <c r="F517" s="331"/>
      <c r="G517" s="333">
        <f t="shared" si="9"/>
        <v>6034.1299999999846</v>
      </c>
      <c r="H517" s="334"/>
      <c r="I517" s="335"/>
      <c r="J517" s="336"/>
      <c r="K517" s="301"/>
      <c r="L517" s="336"/>
      <c r="M517" s="301"/>
      <c r="N517" s="336"/>
      <c r="O517" s="301"/>
      <c r="P517" s="336"/>
      <c r="Q517" s="301"/>
      <c r="R517" s="336"/>
      <c r="S517" s="301"/>
      <c r="T517" s="336"/>
    </row>
    <row r="518" spans="1:20" ht="12" customHeight="1" x14ac:dyDescent="0.3">
      <c r="A518" s="329" t="s">
        <v>289</v>
      </c>
      <c r="B518" s="330">
        <v>4</v>
      </c>
      <c r="C518" s="298">
        <v>46106</v>
      </c>
      <c r="D518" s="299" t="s">
        <v>296</v>
      </c>
      <c r="E518" s="331">
        <v>38.58</v>
      </c>
      <c r="F518" s="331"/>
      <c r="G518" s="333">
        <f t="shared" si="9"/>
        <v>6055.1799999999848</v>
      </c>
      <c r="H518" s="334"/>
      <c r="I518" s="335"/>
      <c r="J518" s="336"/>
      <c r="K518" s="301"/>
      <c r="L518" s="336"/>
      <c r="M518" s="301"/>
      <c r="N518" s="336"/>
      <c r="O518" s="301"/>
      <c r="P518" s="336"/>
      <c r="Q518" s="301"/>
      <c r="R518" s="336"/>
      <c r="S518" s="301"/>
      <c r="T518" s="336"/>
    </row>
    <row r="519" spans="1:20" ht="12" customHeight="1" x14ac:dyDescent="0.3">
      <c r="A519" s="329" t="s">
        <v>294</v>
      </c>
      <c r="B519" s="330">
        <v>12</v>
      </c>
      <c r="C519" s="298">
        <v>46106</v>
      </c>
      <c r="D519" s="299" t="s">
        <v>314</v>
      </c>
      <c r="E519" s="331">
        <v>204.47</v>
      </c>
      <c r="F519" s="331"/>
      <c r="G519" s="333">
        <f t="shared" si="9"/>
        <v>6093.7599999999848</v>
      </c>
      <c r="H519" s="334"/>
      <c r="I519" s="335"/>
      <c r="J519" s="336"/>
      <c r="K519" s="301"/>
      <c r="L519" s="336"/>
      <c r="M519" s="301"/>
      <c r="N519" s="336"/>
      <c r="O519" s="301"/>
      <c r="P519" s="336"/>
      <c r="Q519" s="301"/>
      <c r="R519" s="336"/>
      <c r="S519" s="301"/>
      <c r="T519" s="336"/>
    </row>
    <row r="520" spans="1:20" ht="12" customHeight="1" x14ac:dyDescent="0.3">
      <c r="A520" s="329" t="s">
        <v>294</v>
      </c>
      <c r="B520" s="330">
        <v>24</v>
      </c>
      <c r="C520" s="298">
        <v>46105</v>
      </c>
      <c r="D520" s="299" t="s">
        <v>860</v>
      </c>
      <c r="E520" s="331">
        <v>86.58</v>
      </c>
      <c r="F520" s="331"/>
      <c r="G520" s="333">
        <f t="shared" si="9"/>
        <v>6298.229999999985</v>
      </c>
      <c r="H520" s="334"/>
      <c r="I520" s="335"/>
      <c r="J520" s="336"/>
      <c r="K520" s="301"/>
      <c r="L520" s="336"/>
      <c r="M520" s="301"/>
      <c r="N520" s="336"/>
      <c r="O520" s="301"/>
      <c r="P520" s="336"/>
      <c r="Q520" s="301"/>
      <c r="R520" s="336"/>
      <c r="S520" s="301"/>
      <c r="T520" s="336"/>
    </row>
    <row r="521" spans="1:20" ht="12" customHeight="1" x14ac:dyDescent="0.3">
      <c r="A521" s="329" t="s">
        <v>289</v>
      </c>
      <c r="B521" s="330">
        <v>6</v>
      </c>
      <c r="C521" s="298">
        <v>46105</v>
      </c>
      <c r="D521" s="299" t="s">
        <v>389</v>
      </c>
      <c r="E521" s="331">
        <v>20</v>
      </c>
      <c r="F521" s="331"/>
      <c r="G521" s="333">
        <f t="shared" si="9"/>
        <v>6384.8099999999849</v>
      </c>
      <c r="H521" s="334"/>
      <c r="I521" s="335"/>
      <c r="J521" s="336"/>
      <c r="K521" s="301"/>
      <c r="L521" s="336"/>
      <c r="M521" s="301"/>
      <c r="N521" s="336"/>
      <c r="O521" s="301"/>
      <c r="P521" s="336"/>
      <c r="Q521" s="301"/>
      <c r="R521" s="336"/>
      <c r="S521" s="301"/>
      <c r="T521" s="336"/>
    </row>
    <row r="522" spans="1:20" ht="12" customHeight="1" x14ac:dyDescent="0.3">
      <c r="A522" s="329" t="s">
        <v>289</v>
      </c>
      <c r="B522" s="330">
        <v>2</v>
      </c>
      <c r="C522" s="298">
        <v>46105</v>
      </c>
      <c r="D522" s="299" t="s">
        <v>390</v>
      </c>
      <c r="E522" s="331">
        <v>15.29</v>
      </c>
      <c r="F522" s="331"/>
      <c r="G522" s="333">
        <f t="shared" si="9"/>
        <v>6404.8099999999849</v>
      </c>
      <c r="H522" s="334"/>
      <c r="I522" s="335"/>
      <c r="J522" s="336"/>
      <c r="K522" s="301"/>
      <c r="L522" s="336"/>
      <c r="M522" s="301"/>
      <c r="N522" s="336"/>
      <c r="O522" s="301"/>
      <c r="P522" s="336"/>
      <c r="Q522" s="301"/>
      <c r="R522" s="336"/>
      <c r="S522" s="301"/>
      <c r="T522" s="336"/>
    </row>
    <row r="523" spans="1:20" ht="12" customHeight="1" x14ac:dyDescent="0.3">
      <c r="A523" s="329" t="s">
        <v>289</v>
      </c>
      <c r="B523" s="330">
        <v>8</v>
      </c>
      <c r="C523" s="298">
        <v>46105</v>
      </c>
      <c r="D523" s="299" t="s">
        <v>308</v>
      </c>
      <c r="E523" s="331">
        <v>47.99</v>
      </c>
      <c r="F523" s="331"/>
      <c r="G523" s="333">
        <f t="shared" si="9"/>
        <v>6420.0999999999849</v>
      </c>
      <c r="H523" s="334"/>
      <c r="I523" s="335"/>
      <c r="J523" s="336"/>
      <c r="K523" s="301"/>
      <c r="L523" s="336"/>
      <c r="M523" s="301"/>
      <c r="N523" s="336"/>
      <c r="O523" s="301"/>
      <c r="P523" s="336"/>
      <c r="Q523" s="301"/>
      <c r="R523" s="336"/>
      <c r="S523" s="301"/>
      <c r="T523" s="336"/>
    </row>
    <row r="524" spans="1:20" ht="12" customHeight="1" x14ac:dyDescent="0.3">
      <c r="A524" s="329" t="s">
        <v>294</v>
      </c>
      <c r="B524" s="330">
        <v>23</v>
      </c>
      <c r="C524" s="298">
        <v>46104</v>
      </c>
      <c r="D524" s="299" t="s">
        <v>67</v>
      </c>
      <c r="E524" s="331">
        <v>650.88</v>
      </c>
      <c r="F524" s="331"/>
      <c r="G524" s="333">
        <f t="shared" si="9"/>
        <v>6468.0899999999847</v>
      </c>
      <c r="H524" s="334"/>
      <c r="I524" s="335"/>
      <c r="J524" s="336"/>
      <c r="K524" s="301"/>
      <c r="L524" s="336"/>
      <c r="M524" s="301"/>
      <c r="N524" s="336"/>
      <c r="O524" s="301"/>
      <c r="P524" s="336"/>
      <c r="Q524" s="301"/>
      <c r="R524" s="336"/>
      <c r="S524" s="301"/>
      <c r="T524" s="336"/>
    </row>
    <row r="525" spans="1:20" ht="12" customHeight="1" x14ac:dyDescent="0.3">
      <c r="A525" s="329" t="s">
        <v>289</v>
      </c>
      <c r="B525" s="330">
        <v>2</v>
      </c>
      <c r="C525" s="298">
        <v>46104</v>
      </c>
      <c r="D525" s="299" t="s">
        <v>391</v>
      </c>
      <c r="E525" s="331">
        <v>46</v>
      </c>
      <c r="F525" s="331"/>
      <c r="G525" s="333">
        <f t="shared" si="9"/>
        <v>7118.9699999999848</v>
      </c>
      <c r="H525" s="334"/>
      <c r="I525" s="335"/>
      <c r="J525" s="336"/>
      <c r="K525" s="301"/>
      <c r="L525" s="336"/>
      <c r="M525" s="301"/>
      <c r="N525" s="336"/>
      <c r="O525" s="301"/>
      <c r="P525" s="336"/>
      <c r="Q525" s="301"/>
      <c r="R525" s="336"/>
      <c r="S525" s="301"/>
      <c r="T525" s="336"/>
    </row>
    <row r="526" spans="1:20" ht="12" customHeight="1" x14ac:dyDescent="0.3">
      <c r="A526" s="329" t="s">
        <v>289</v>
      </c>
      <c r="B526" s="330">
        <v>2</v>
      </c>
      <c r="C526" s="298">
        <v>46103</v>
      </c>
      <c r="D526" s="299" t="s">
        <v>392</v>
      </c>
      <c r="E526" s="331">
        <v>24.81</v>
      </c>
      <c r="F526" s="331"/>
      <c r="G526" s="333">
        <f t="shared" si="9"/>
        <v>7164.9699999999848</v>
      </c>
      <c r="H526" s="334"/>
      <c r="I526" s="335"/>
      <c r="J526" s="336"/>
      <c r="K526" s="301"/>
      <c r="L526" s="336"/>
      <c r="M526" s="301"/>
      <c r="N526" s="336"/>
      <c r="O526" s="301"/>
      <c r="P526" s="336"/>
      <c r="Q526" s="301"/>
      <c r="R526" s="336"/>
      <c r="S526" s="301"/>
      <c r="T526" s="336"/>
    </row>
    <row r="527" spans="1:20" ht="12" customHeight="1" x14ac:dyDescent="0.3">
      <c r="A527" s="329" t="s">
        <v>289</v>
      </c>
      <c r="B527" s="330">
        <v>4</v>
      </c>
      <c r="C527" s="298">
        <v>46103</v>
      </c>
      <c r="D527" s="299" t="s">
        <v>296</v>
      </c>
      <c r="E527" s="331">
        <v>28.77</v>
      </c>
      <c r="F527" s="331"/>
      <c r="G527" s="333">
        <f t="shared" si="9"/>
        <v>7189.7799999999852</v>
      </c>
      <c r="H527" s="334"/>
      <c r="I527" s="335"/>
      <c r="J527" s="336"/>
      <c r="K527" s="301"/>
      <c r="L527" s="336"/>
      <c r="M527" s="301"/>
      <c r="N527" s="336"/>
      <c r="O527" s="301"/>
      <c r="P527" s="336"/>
      <c r="Q527" s="301"/>
      <c r="R527" s="336"/>
      <c r="S527" s="301"/>
      <c r="T527" s="336"/>
    </row>
    <row r="528" spans="1:20" ht="12" customHeight="1" x14ac:dyDescent="0.3">
      <c r="A528" s="329" t="s">
        <v>289</v>
      </c>
      <c r="B528" s="330">
        <v>8</v>
      </c>
      <c r="C528" s="298">
        <v>46103</v>
      </c>
      <c r="D528" s="299" t="s">
        <v>296</v>
      </c>
      <c r="E528" s="331">
        <v>11.9</v>
      </c>
      <c r="F528" s="331"/>
      <c r="G528" s="333">
        <f t="shared" si="9"/>
        <v>7218.5499999999856</v>
      </c>
      <c r="H528" s="334"/>
      <c r="I528" s="335"/>
      <c r="J528" s="336"/>
      <c r="K528" s="301"/>
      <c r="L528" s="336"/>
      <c r="M528" s="301"/>
      <c r="N528" s="336"/>
      <c r="O528" s="301"/>
      <c r="P528" s="336"/>
      <c r="Q528" s="301"/>
      <c r="R528" s="336"/>
      <c r="S528" s="301"/>
      <c r="T528" s="336"/>
    </row>
    <row r="529" spans="1:20" ht="12" customHeight="1" x14ac:dyDescent="0.3">
      <c r="A529" s="329" t="s">
        <v>289</v>
      </c>
      <c r="B529" s="330">
        <v>1</v>
      </c>
      <c r="C529" s="298">
        <v>46103</v>
      </c>
      <c r="D529" s="299" t="s">
        <v>300</v>
      </c>
      <c r="E529" s="331">
        <v>42.59</v>
      </c>
      <c r="F529" s="331"/>
      <c r="G529" s="333">
        <f t="shared" si="9"/>
        <v>7230.4499999999853</v>
      </c>
      <c r="H529" s="334"/>
      <c r="I529" s="335"/>
      <c r="J529" s="336"/>
      <c r="K529" s="301"/>
      <c r="L529" s="336"/>
      <c r="M529" s="301"/>
      <c r="N529" s="336"/>
      <c r="O529" s="301"/>
      <c r="P529" s="336"/>
      <c r="Q529" s="301"/>
      <c r="R529" s="336"/>
      <c r="S529" s="301"/>
      <c r="T529" s="336"/>
    </row>
    <row r="530" spans="1:20" ht="12" customHeight="1" x14ac:dyDescent="0.3">
      <c r="A530" s="329" t="s">
        <v>289</v>
      </c>
      <c r="B530" s="330">
        <v>6</v>
      </c>
      <c r="C530" s="298">
        <v>46103</v>
      </c>
      <c r="D530" s="299" t="s">
        <v>300</v>
      </c>
      <c r="E530" s="331">
        <v>17.579999999999998</v>
      </c>
      <c r="F530" s="331"/>
      <c r="G530" s="333">
        <f t="shared" si="9"/>
        <v>7273.0399999999854</v>
      </c>
      <c r="H530" s="334"/>
      <c r="I530" s="335"/>
      <c r="J530" s="336"/>
      <c r="K530" s="301"/>
      <c r="L530" s="336"/>
      <c r="M530" s="301"/>
      <c r="N530" s="336"/>
      <c r="O530" s="301"/>
      <c r="P530" s="336"/>
      <c r="Q530" s="301"/>
      <c r="R530" s="336"/>
      <c r="S530" s="301"/>
      <c r="T530" s="336"/>
    </row>
    <row r="531" spans="1:20" ht="12" customHeight="1" x14ac:dyDescent="0.3">
      <c r="A531" s="329" t="s">
        <v>289</v>
      </c>
      <c r="B531" s="330">
        <v>1</v>
      </c>
      <c r="C531" s="298">
        <v>46103</v>
      </c>
      <c r="D531" s="299" t="s">
        <v>300</v>
      </c>
      <c r="E531" s="331">
        <v>11.99</v>
      </c>
      <c r="F531" s="331"/>
      <c r="G531" s="333">
        <f t="shared" si="9"/>
        <v>7290.6199999999853</v>
      </c>
      <c r="H531" s="334"/>
      <c r="I531" s="335"/>
      <c r="J531" s="336"/>
      <c r="K531" s="301"/>
      <c r="L531" s="336"/>
      <c r="M531" s="301"/>
      <c r="N531" s="336"/>
      <c r="O531" s="301"/>
      <c r="P531" s="336"/>
      <c r="Q531" s="301"/>
      <c r="R531" s="336"/>
      <c r="S531" s="301"/>
      <c r="T531" s="336"/>
    </row>
    <row r="532" spans="1:20" ht="12" customHeight="1" x14ac:dyDescent="0.3">
      <c r="A532" s="329" t="s">
        <v>289</v>
      </c>
      <c r="B532" s="330">
        <v>1</v>
      </c>
      <c r="C532" s="298">
        <v>46103</v>
      </c>
      <c r="D532" s="299" t="s">
        <v>311</v>
      </c>
      <c r="E532" s="331">
        <v>81.31</v>
      </c>
      <c r="F532" s="331"/>
      <c r="G532" s="333">
        <f t="shared" si="9"/>
        <v>7302.6099999999851</v>
      </c>
      <c r="H532" s="334"/>
      <c r="I532" s="335"/>
      <c r="J532" s="336"/>
      <c r="K532" s="301"/>
      <c r="L532" s="336"/>
      <c r="M532" s="301"/>
      <c r="N532" s="336"/>
      <c r="O532" s="301"/>
      <c r="P532" s="336"/>
      <c r="Q532" s="301"/>
      <c r="R532" s="336"/>
      <c r="S532" s="301"/>
      <c r="T532" s="336"/>
    </row>
    <row r="533" spans="1:20" ht="12" customHeight="1" x14ac:dyDescent="0.3">
      <c r="A533" s="329" t="s">
        <v>289</v>
      </c>
      <c r="B533" s="330">
        <v>1</v>
      </c>
      <c r="C533" s="298">
        <v>46103</v>
      </c>
      <c r="D533" s="299" t="s">
        <v>393</v>
      </c>
      <c r="E533" s="331">
        <v>38.44</v>
      </c>
      <c r="F533" s="331"/>
      <c r="G533" s="333">
        <f t="shared" si="9"/>
        <v>7383.9199999999855</v>
      </c>
      <c r="H533" s="334"/>
      <c r="I533" s="335"/>
      <c r="J533" s="336"/>
      <c r="K533" s="301"/>
      <c r="L533" s="336"/>
      <c r="M533" s="301"/>
      <c r="N533" s="336"/>
      <c r="O533" s="301"/>
      <c r="P533" s="336"/>
      <c r="Q533" s="301"/>
      <c r="R533" s="336"/>
      <c r="S533" s="301"/>
      <c r="T533" s="336"/>
    </row>
    <row r="534" spans="1:20" ht="12" customHeight="1" x14ac:dyDescent="0.3">
      <c r="A534" s="329" t="s">
        <v>289</v>
      </c>
      <c r="B534" s="330">
        <v>2</v>
      </c>
      <c r="C534" s="298">
        <v>46103</v>
      </c>
      <c r="D534" s="299" t="s">
        <v>394</v>
      </c>
      <c r="E534" s="331">
        <v>35.700000000000003</v>
      </c>
      <c r="F534" s="331"/>
      <c r="G534" s="333">
        <f t="shared" si="9"/>
        <v>7422.3599999999851</v>
      </c>
      <c r="H534" s="334"/>
      <c r="I534" s="335"/>
      <c r="J534" s="336"/>
      <c r="K534" s="301"/>
      <c r="L534" s="336"/>
      <c r="M534" s="301"/>
      <c r="N534" s="336"/>
      <c r="O534" s="301"/>
      <c r="P534" s="336"/>
      <c r="Q534" s="301"/>
      <c r="R534" s="336"/>
      <c r="S534" s="301"/>
      <c r="T534" s="336"/>
    </row>
    <row r="535" spans="1:20" ht="12" customHeight="1" x14ac:dyDescent="0.3">
      <c r="A535" s="329" t="s">
        <v>289</v>
      </c>
      <c r="B535" s="330">
        <v>6</v>
      </c>
      <c r="C535" s="298">
        <v>46102</v>
      </c>
      <c r="D535" s="299" t="s">
        <v>300</v>
      </c>
      <c r="E535" s="331">
        <v>10.64</v>
      </c>
      <c r="F535" s="331"/>
      <c r="G535" s="333">
        <f t="shared" si="9"/>
        <v>7458.0599999999849</v>
      </c>
      <c r="H535" s="334"/>
      <c r="I535" s="335"/>
      <c r="J535" s="336"/>
      <c r="K535" s="301"/>
      <c r="L535" s="336"/>
      <c r="M535" s="301"/>
      <c r="N535" s="336"/>
      <c r="O535" s="301"/>
      <c r="P535" s="336"/>
      <c r="Q535" s="301"/>
      <c r="R535" s="336"/>
      <c r="S535" s="301"/>
      <c r="T535" s="336"/>
    </row>
    <row r="536" spans="1:20" ht="12" customHeight="1" x14ac:dyDescent="0.3">
      <c r="A536" s="329" t="s">
        <v>289</v>
      </c>
      <c r="B536" s="330">
        <v>1</v>
      </c>
      <c r="C536" s="298">
        <v>46102</v>
      </c>
      <c r="D536" s="299" t="s">
        <v>300</v>
      </c>
      <c r="E536" s="331">
        <v>28.69</v>
      </c>
      <c r="F536" s="331"/>
      <c r="G536" s="333">
        <f t="shared" si="9"/>
        <v>7468.6999999999853</v>
      </c>
      <c r="H536" s="334"/>
      <c r="I536" s="335"/>
      <c r="J536" s="336"/>
      <c r="K536" s="301"/>
      <c r="L536" s="336"/>
      <c r="M536" s="301"/>
      <c r="N536" s="336"/>
      <c r="O536" s="301"/>
      <c r="P536" s="336"/>
      <c r="Q536" s="301"/>
      <c r="R536" s="336"/>
      <c r="S536" s="301"/>
      <c r="T536" s="336"/>
    </row>
    <row r="537" spans="1:20" ht="12" customHeight="1" x14ac:dyDescent="0.3">
      <c r="A537" s="329" t="s">
        <v>289</v>
      </c>
      <c r="B537" s="330">
        <v>3</v>
      </c>
      <c r="C537" s="298">
        <v>46102</v>
      </c>
      <c r="D537" s="299" t="s">
        <v>348</v>
      </c>
      <c r="E537" s="331">
        <v>11.59</v>
      </c>
      <c r="F537" s="331"/>
      <c r="G537" s="333">
        <f t="shared" si="9"/>
        <v>7497.3899999999849</v>
      </c>
      <c r="H537" s="334"/>
      <c r="I537" s="335"/>
      <c r="J537" s="336"/>
      <c r="K537" s="301"/>
      <c r="L537" s="336"/>
      <c r="M537" s="301"/>
      <c r="N537" s="336"/>
      <c r="O537" s="301"/>
      <c r="P537" s="336"/>
      <c r="Q537" s="301"/>
      <c r="R537" s="336"/>
      <c r="S537" s="301"/>
      <c r="T537" s="336"/>
    </row>
    <row r="538" spans="1:20" ht="12" customHeight="1" x14ac:dyDescent="0.3">
      <c r="A538" s="329" t="s">
        <v>291</v>
      </c>
      <c r="B538" s="330">
        <v>41</v>
      </c>
      <c r="C538" s="298">
        <v>46102</v>
      </c>
      <c r="D538" s="299" t="s">
        <v>383</v>
      </c>
      <c r="E538" s="331"/>
      <c r="F538" s="331">
        <v>400</v>
      </c>
      <c r="G538" s="333">
        <f t="shared" si="9"/>
        <v>7508.979999999985</v>
      </c>
      <c r="H538" s="334"/>
      <c r="I538" s="335"/>
      <c r="J538" s="336"/>
      <c r="K538" s="301"/>
      <c r="L538" s="336"/>
      <c r="M538" s="301"/>
      <c r="N538" s="336"/>
      <c r="O538" s="301"/>
      <c r="P538" s="336"/>
      <c r="Q538" s="301"/>
      <c r="R538" s="336"/>
      <c r="S538" s="301"/>
      <c r="T538" s="336"/>
    </row>
    <row r="539" spans="1:20" ht="12" customHeight="1" x14ac:dyDescent="0.3">
      <c r="A539" s="329" t="s">
        <v>289</v>
      </c>
      <c r="B539" s="330">
        <v>5</v>
      </c>
      <c r="C539" s="298">
        <v>46102</v>
      </c>
      <c r="D539" s="299" t="s">
        <v>395</v>
      </c>
      <c r="E539" s="331">
        <v>170</v>
      </c>
      <c r="F539" s="331"/>
      <c r="G539" s="333">
        <f t="shared" si="9"/>
        <v>7108.979999999985</v>
      </c>
      <c r="H539" s="334" t="s">
        <v>298</v>
      </c>
      <c r="I539" s="335"/>
      <c r="J539" s="336"/>
      <c r="K539" s="301"/>
      <c r="L539" s="336"/>
      <c r="M539" s="301"/>
      <c r="N539" s="336"/>
      <c r="O539" s="301"/>
      <c r="P539" s="336"/>
      <c r="Q539" s="301"/>
      <c r="R539" s="336"/>
      <c r="S539" s="301"/>
      <c r="T539" s="336"/>
    </row>
    <row r="540" spans="1:20" ht="12" customHeight="1" x14ac:dyDescent="0.3">
      <c r="A540" s="329" t="s">
        <v>289</v>
      </c>
      <c r="B540" s="330">
        <v>5</v>
      </c>
      <c r="C540" s="298">
        <v>46102</v>
      </c>
      <c r="D540" s="299" t="s">
        <v>354</v>
      </c>
      <c r="E540" s="331">
        <v>70</v>
      </c>
      <c r="F540" s="331"/>
      <c r="G540" s="333">
        <f t="shared" si="9"/>
        <v>7278.979999999985</v>
      </c>
      <c r="H540" s="334" t="s">
        <v>298</v>
      </c>
      <c r="I540" s="335"/>
      <c r="J540" s="336"/>
      <c r="K540" s="301"/>
      <c r="L540" s="336"/>
      <c r="M540" s="301"/>
      <c r="N540" s="336"/>
      <c r="O540" s="301"/>
      <c r="P540" s="336"/>
      <c r="Q540" s="301"/>
      <c r="R540" s="336"/>
      <c r="S540" s="301"/>
      <c r="T540" s="336"/>
    </row>
    <row r="541" spans="1:20" ht="12" customHeight="1" x14ac:dyDescent="0.3">
      <c r="A541" s="329" t="s">
        <v>289</v>
      </c>
      <c r="B541" s="330">
        <v>5</v>
      </c>
      <c r="C541" s="298">
        <v>46102</v>
      </c>
      <c r="D541" s="299" t="s">
        <v>396</v>
      </c>
      <c r="E541" s="331">
        <v>40</v>
      </c>
      <c r="F541" s="331"/>
      <c r="G541" s="333">
        <f t="shared" ref="G541:G795" si="10">G542-E541+F541</f>
        <v>7348.979999999985</v>
      </c>
      <c r="H541" s="334" t="s">
        <v>298</v>
      </c>
      <c r="I541" s="335"/>
      <c r="J541" s="336"/>
      <c r="K541" s="301"/>
      <c r="L541" s="336"/>
      <c r="M541" s="301"/>
      <c r="N541" s="336"/>
      <c r="O541" s="301"/>
      <c r="P541" s="336"/>
      <c r="Q541" s="301"/>
      <c r="R541" s="336"/>
      <c r="S541" s="301"/>
      <c r="T541" s="336"/>
    </row>
    <row r="542" spans="1:20" ht="12" customHeight="1" x14ac:dyDescent="0.3">
      <c r="A542" s="329" t="s">
        <v>289</v>
      </c>
      <c r="B542" s="330">
        <v>3</v>
      </c>
      <c r="C542" s="298">
        <v>46102</v>
      </c>
      <c r="D542" s="299" t="s">
        <v>348</v>
      </c>
      <c r="E542" s="331">
        <v>25</v>
      </c>
      <c r="F542" s="331"/>
      <c r="G542" s="333">
        <f t="shared" si="10"/>
        <v>7388.979999999985</v>
      </c>
      <c r="H542" s="334"/>
      <c r="I542" s="335"/>
      <c r="J542" s="336"/>
      <c r="K542" s="301"/>
      <c r="L542" s="336"/>
      <c r="M542" s="301"/>
      <c r="N542" s="336"/>
      <c r="O542" s="301"/>
      <c r="P542" s="336"/>
      <c r="Q542" s="301"/>
      <c r="R542" s="336"/>
      <c r="S542" s="301"/>
      <c r="T542" s="336"/>
    </row>
    <row r="543" spans="1:20" ht="12" customHeight="1" x14ac:dyDescent="0.3">
      <c r="A543" s="329" t="s">
        <v>289</v>
      </c>
      <c r="B543" s="330">
        <v>1</v>
      </c>
      <c r="C543" s="298">
        <v>46102</v>
      </c>
      <c r="D543" s="299" t="s">
        <v>304</v>
      </c>
      <c r="E543" s="331">
        <v>65.19</v>
      </c>
      <c r="F543" s="331"/>
      <c r="G543" s="333">
        <f t="shared" si="10"/>
        <v>7413.979999999985</v>
      </c>
      <c r="H543" s="334"/>
      <c r="I543" s="335"/>
      <c r="J543" s="336"/>
      <c r="K543" s="301"/>
      <c r="L543" s="336"/>
      <c r="M543" s="301"/>
      <c r="N543" s="336"/>
      <c r="O543" s="301"/>
      <c r="P543" s="336"/>
      <c r="Q543" s="301"/>
      <c r="R543" s="336"/>
      <c r="S543" s="301"/>
      <c r="T543" s="336"/>
    </row>
    <row r="544" spans="1:20" ht="12" customHeight="1" x14ac:dyDescent="0.3">
      <c r="A544" s="329" t="s">
        <v>289</v>
      </c>
      <c r="B544" s="330">
        <v>4</v>
      </c>
      <c r="C544" s="298">
        <v>46102</v>
      </c>
      <c r="D544" s="299" t="s">
        <v>310</v>
      </c>
      <c r="E544" s="331">
        <v>37.450000000000003</v>
      </c>
      <c r="F544" s="331"/>
      <c r="G544" s="333">
        <f t="shared" si="10"/>
        <v>7479.1699999999846</v>
      </c>
      <c r="H544" s="334"/>
      <c r="I544" s="335"/>
      <c r="J544" s="336"/>
      <c r="K544" s="301"/>
      <c r="L544" s="336"/>
      <c r="M544" s="301"/>
      <c r="N544" s="336"/>
      <c r="O544" s="301"/>
      <c r="P544" s="336"/>
      <c r="Q544" s="301"/>
      <c r="R544" s="336"/>
      <c r="S544" s="301"/>
      <c r="T544" s="336"/>
    </row>
    <row r="545" spans="1:20" ht="12" customHeight="1" x14ac:dyDescent="0.3">
      <c r="A545" s="329" t="s">
        <v>289</v>
      </c>
      <c r="B545" s="330">
        <v>8</v>
      </c>
      <c r="C545" s="298">
        <v>46101</v>
      </c>
      <c r="D545" s="299" t="s">
        <v>356</v>
      </c>
      <c r="E545" s="331">
        <v>65.099999999999994</v>
      </c>
      <c r="F545" s="331"/>
      <c r="G545" s="333">
        <f t="shared" si="10"/>
        <v>7516.6199999999844</v>
      </c>
      <c r="H545" s="334"/>
      <c r="I545" s="335"/>
      <c r="J545" s="336"/>
      <c r="K545" s="301"/>
      <c r="L545" s="336"/>
      <c r="M545" s="301"/>
      <c r="N545" s="336"/>
      <c r="O545" s="301"/>
      <c r="P545" s="336"/>
      <c r="Q545" s="301"/>
      <c r="R545" s="336"/>
      <c r="S545" s="301"/>
      <c r="T545" s="336"/>
    </row>
    <row r="546" spans="1:20" ht="12" customHeight="1" x14ac:dyDescent="0.3">
      <c r="A546" s="329" t="s">
        <v>294</v>
      </c>
      <c r="B546" s="330">
        <v>22</v>
      </c>
      <c r="C546" s="298">
        <v>46101</v>
      </c>
      <c r="D546" s="299" t="s">
        <v>323</v>
      </c>
      <c r="E546" s="331">
        <v>20.22</v>
      </c>
      <c r="F546" s="331"/>
      <c r="G546" s="333">
        <f t="shared" si="10"/>
        <v>7581.7199999999848</v>
      </c>
      <c r="H546" s="334"/>
      <c r="I546" s="335"/>
      <c r="J546" s="336"/>
      <c r="K546" s="301"/>
      <c r="L546" s="336"/>
      <c r="M546" s="301"/>
      <c r="N546" s="336"/>
      <c r="O546" s="301"/>
      <c r="P546" s="336"/>
      <c r="Q546" s="301"/>
      <c r="R546" s="336"/>
      <c r="S546" s="301"/>
      <c r="T546" s="336"/>
    </row>
    <row r="547" spans="1:20" ht="12" customHeight="1" x14ac:dyDescent="0.3">
      <c r="A547" s="329" t="s">
        <v>289</v>
      </c>
      <c r="B547" s="330">
        <v>6</v>
      </c>
      <c r="C547" s="298">
        <v>46101</v>
      </c>
      <c r="D547" s="299" t="s">
        <v>433</v>
      </c>
      <c r="E547" s="331">
        <v>-73</v>
      </c>
      <c r="F547" s="331"/>
      <c r="G547" s="333">
        <f t="shared" si="10"/>
        <v>7601.939999999985</v>
      </c>
      <c r="H547" s="334"/>
      <c r="I547" s="335"/>
      <c r="J547" s="336"/>
      <c r="K547" s="301"/>
      <c r="L547" s="336"/>
      <c r="M547" s="301"/>
      <c r="N547" s="336"/>
      <c r="O547" s="301"/>
      <c r="P547" s="336"/>
      <c r="Q547" s="301"/>
      <c r="R547" s="336"/>
      <c r="S547" s="301"/>
      <c r="T547" s="336"/>
    </row>
    <row r="548" spans="1:20" ht="12" customHeight="1" x14ac:dyDescent="0.3">
      <c r="A548" s="329" t="s">
        <v>289</v>
      </c>
      <c r="B548" s="330">
        <v>6</v>
      </c>
      <c r="C548" s="298">
        <v>46101</v>
      </c>
      <c r="D548" s="299" t="s">
        <v>300</v>
      </c>
      <c r="E548" s="331">
        <v>34.68</v>
      </c>
      <c r="F548" s="331"/>
      <c r="G548" s="333">
        <f t="shared" si="10"/>
        <v>7528.939999999985</v>
      </c>
      <c r="H548" s="334"/>
      <c r="I548" s="335"/>
      <c r="J548" s="336"/>
      <c r="K548" s="301"/>
      <c r="L548" s="336"/>
      <c r="M548" s="301"/>
      <c r="N548" s="336"/>
      <c r="O548" s="301"/>
      <c r="P548" s="336"/>
      <c r="Q548" s="301"/>
      <c r="R548" s="336"/>
      <c r="S548" s="301"/>
      <c r="T548" s="336"/>
    </row>
    <row r="549" spans="1:20" ht="12" customHeight="1" x14ac:dyDescent="0.3">
      <c r="A549" s="329" t="s">
        <v>289</v>
      </c>
      <c r="B549" s="330">
        <v>6</v>
      </c>
      <c r="C549" s="298">
        <v>46101</v>
      </c>
      <c r="D549" s="299" t="s">
        <v>397</v>
      </c>
      <c r="E549" s="331">
        <v>10.63</v>
      </c>
      <c r="F549" s="331"/>
      <c r="G549" s="333">
        <f t="shared" si="10"/>
        <v>7563.6199999999853</v>
      </c>
      <c r="H549" s="334"/>
      <c r="I549" s="335"/>
      <c r="J549" s="336"/>
      <c r="K549" s="301"/>
      <c r="L549" s="336"/>
      <c r="M549" s="301"/>
      <c r="N549" s="336"/>
      <c r="O549" s="301"/>
      <c r="P549" s="336"/>
      <c r="Q549" s="301"/>
      <c r="R549" s="336"/>
      <c r="S549" s="301"/>
      <c r="T549" s="336"/>
    </row>
    <row r="550" spans="1:20" ht="12" customHeight="1" x14ac:dyDescent="0.3">
      <c r="A550" s="329" t="s">
        <v>289</v>
      </c>
      <c r="B550" s="330">
        <v>5</v>
      </c>
      <c r="C550" s="298">
        <v>46101</v>
      </c>
      <c r="D550" s="299" t="s">
        <v>398</v>
      </c>
      <c r="E550" s="331">
        <v>106.49</v>
      </c>
      <c r="F550" s="331"/>
      <c r="G550" s="333">
        <f t="shared" si="10"/>
        <v>7574.2499999999854</v>
      </c>
      <c r="H550" s="334"/>
      <c r="I550" s="335"/>
      <c r="J550" s="336"/>
      <c r="K550" s="301"/>
      <c r="L550" s="336"/>
      <c r="M550" s="301"/>
      <c r="N550" s="336"/>
      <c r="O550" s="301"/>
      <c r="P550" s="336"/>
      <c r="Q550" s="301"/>
      <c r="R550" s="336"/>
      <c r="S550" s="301"/>
      <c r="T550" s="336"/>
    </row>
    <row r="551" spans="1:20" ht="12" customHeight="1" x14ac:dyDescent="0.3">
      <c r="A551" s="329" t="s">
        <v>289</v>
      </c>
      <c r="B551" s="330">
        <v>8</v>
      </c>
      <c r="C551" s="298">
        <v>46100</v>
      </c>
      <c r="D551" s="299" t="s">
        <v>357</v>
      </c>
      <c r="E551" s="331">
        <v>16.739999999999998</v>
      </c>
      <c r="F551" s="331"/>
      <c r="G551" s="333">
        <f t="shared" si="10"/>
        <v>7680.7399999999852</v>
      </c>
      <c r="H551" s="334"/>
      <c r="I551" s="335"/>
      <c r="J551" s="336"/>
      <c r="K551" s="301"/>
      <c r="L551" s="336"/>
      <c r="M551" s="301"/>
      <c r="N551" s="336"/>
      <c r="O551" s="301"/>
      <c r="P551" s="336"/>
      <c r="Q551" s="301"/>
      <c r="R551" s="336"/>
      <c r="S551" s="301"/>
      <c r="T551" s="336"/>
    </row>
    <row r="552" spans="1:20" ht="12" customHeight="1" x14ac:dyDescent="0.3">
      <c r="A552" s="329" t="s">
        <v>289</v>
      </c>
      <c r="B552" s="330">
        <v>8</v>
      </c>
      <c r="C552" s="298">
        <v>46100</v>
      </c>
      <c r="D552" s="299" t="s">
        <v>399</v>
      </c>
      <c r="E552" s="331">
        <v>108.54</v>
      </c>
      <c r="F552" s="331"/>
      <c r="G552" s="333">
        <f t="shared" si="10"/>
        <v>7697.479999999985</v>
      </c>
      <c r="H552" s="334"/>
      <c r="I552" s="335"/>
      <c r="J552" s="336"/>
      <c r="K552" s="301"/>
      <c r="L552" s="336"/>
      <c r="M552" s="301"/>
      <c r="N552" s="336"/>
      <c r="O552" s="301"/>
      <c r="P552" s="336"/>
      <c r="Q552" s="301"/>
      <c r="R552" s="336"/>
      <c r="S552" s="301"/>
      <c r="T552" s="336"/>
    </row>
    <row r="553" spans="1:20" ht="12" customHeight="1" x14ac:dyDescent="0.3">
      <c r="A553" s="329" t="s">
        <v>294</v>
      </c>
      <c r="B553" s="330">
        <v>22</v>
      </c>
      <c r="C553" s="298">
        <v>46100</v>
      </c>
      <c r="D553" s="299" t="s">
        <v>835</v>
      </c>
      <c r="E553" s="331">
        <v>12.77</v>
      </c>
      <c r="F553" s="331"/>
      <c r="G553" s="333">
        <f t="shared" si="10"/>
        <v>7806.019999999985</v>
      </c>
      <c r="H553" s="334"/>
      <c r="I553" s="335"/>
      <c r="J553" s="336"/>
      <c r="K553" s="301"/>
      <c r="L553" s="336"/>
      <c r="M553" s="301"/>
      <c r="N553" s="336"/>
      <c r="O553" s="301"/>
      <c r="P553" s="336"/>
      <c r="Q553" s="301"/>
      <c r="R553" s="336"/>
      <c r="S553" s="301"/>
      <c r="T553" s="336"/>
    </row>
    <row r="554" spans="1:20" ht="12" customHeight="1" x14ac:dyDescent="0.3">
      <c r="A554" s="329" t="s">
        <v>289</v>
      </c>
      <c r="B554" s="330">
        <v>8</v>
      </c>
      <c r="C554" s="298">
        <v>46100</v>
      </c>
      <c r="D554" s="299" t="s">
        <v>334</v>
      </c>
      <c r="E554" s="331">
        <v>28.33</v>
      </c>
      <c r="F554" s="331"/>
      <c r="G554" s="333">
        <f t="shared" si="10"/>
        <v>7818.7899999999854</v>
      </c>
      <c r="H554" s="334"/>
      <c r="I554" s="335"/>
      <c r="J554" s="336"/>
      <c r="K554" s="301"/>
      <c r="L554" s="336"/>
      <c r="M554" s="301"/>
      <c r="N554" s="336"/>
      <c r="O554" s="301"/>
      <c r="P554" s="336"/>
      <c r="Q554" s="301"/>
      <c r="R554" s="336"/>
      <c r="S554" s="301"/>
      <c r="T554" s="336"/>
    </row>
    <row r="555" spans="1:20" ht="12" customHeight="1" x14ac:dyDescent="0.3">
      <c r="A555" s="329" t="s">
        <v>289</v>
      </c>
      <c r="B555" s="330">
        <v>2</v>
      </c>
      <c r="C555" s="298">
        <v>46100</v>
      </c>
      <c r="D555" s="299" t="s">
        <v>358</v>
      </c>
      <c r="E555" s="331">
        <v>17.45</v>
      </c>
      <c r="F555" s="331"/>
      <c r="G555" s="333">
        <f t="shared" si="10"/>
        <v>7847.1199999999853</v>
      </c>
      <c r="H555" s="334"/>
      <c r="I555" s="335"/>
      <c r="J555" s="336"/>
      <c r="K555" s="301"/>
      <c r="L555" s="336"/>
      <c r="M555" s="301"/>
      <c r="N555" s="336"/>
      <c r="O555" s="301"/>
      <c r="P555" s="336"/>
      <c r="Q555" s="301"/>
      <c r="R555" s="336"/>
      <c r="S555" s="301"/>
      <c r="T555" s="336"/>
    </row>
    <row r="556" spans="1:20" ht="12" customHeight="1" x14ac:dyDescent="0.3">
      <c r="A556" s="329" t="s">
        <v>294</v>
      </c>
      <c r="B556" s="330">
        <v>22</v>
      </c>
      <c r="C556" s="298">
        <v>46100</v>
      </c>
      <c r="D556" s="299" t="s">
        <v>328</v>
      </c>
      <c r="E556" s="331">
        <v>7.46</v>
      </c>
      <c r="F556" s="331"/>
      <c r="G556" s="333">
        <f t="shared" si="10"/>
        <v>7864.5699999999852</v>
      </c>
      <c r="H556" s="334"/>
      <c r="I556" s="335"/>
      <c r="J556" s="336"/>
      <c r="K556" s="301"/>
      <c r="L556" s="336"/>
      <c r="M556" s="301"/>
      <c r="N556" s="336"/>
      <c r="O556" s="301"/>
      <c r="P556" s="336"/>
      <c r="Q556" s="301"/>
      <c r="R556" s="336"/>
      <c r="S556" s="301"/>
      <c r="T556" s="336"/>
    </row>
    <row r="557" spans="1:20" ht="12" customHeight="1" x14ac:dyDescent="0.3">
      <c r="A557" s="329" t="s">
        <v>335</v>
      </c>
      <c r="B557" s="330" t="s">
        <v>335</v>
      </c>
      <c r="C557" s="298">
        <v>46100</v>
      </c>
      <c r="D557" s="299" t="s">
        <v>336</v>
      </c>
      <c r="E557" s="331">
        <v>172.29</v>
      </c>
      <c r="F557" s="331"/>
      <c r="G557" s="333">
        <f t="shared" si="10"/>
        <v>7872.0299999999852</v>
      </c>
      <c r="H557" s="334"/>
      <c r="I557" s="335"/>
      <c r="J557" s="336"/>
      <c r="K557" s="301"/>
      <c r="L557" s="336"/>
      <c r="M557" s="301"/>
      <c r="N557" s="336"/>
      <c r="O557" s="301"/>
      <c r="P557" s="336"/>
      <c r="Q557" s="301"/>
      <c r="R557" s="336"/>
      <c r="S557" s="301"/>
      <c r="T557" s="336"/>
    </row>
    <row r="558" spans="1:20" ht="12" customHeight="1" x14ac:dyDescent="0.3">
      <c r="A558" s="329" t="s">
        <v>294</v>
      </c>
      <c r="B558" s="330">
        <v>15</v>
      </c>
      <c r="C558" s="298">
        <v>46100</v>
      </c>
      <c r="D558" s="299" t="s">
        <v>185</v>
      </c>
      <c r="E558" s="331">
        <v>175.09</v>
      </c>
      <c r="F558" s="331"/>
      <c r="G558" s="333">
        <f t="shared" si="10"/>
        <v>8044.3199999999852</v>
      </c>
      <c r="H558" s="334"/>
      <c r="I558" s="335"/>
      <c r="J558" s="336"/>
      <c r="K558" s="301"/>
      <c r="L558" s="336"/>
      <c r="M558" s="301"/>
      <c r="N558" s="336"/>
      <c r="O558" s="301"/>
      <c r="P558" s="336"/>
      <c r="Q558" s="301"/>
      <c r="R558" s="336"/>
      <c r="S558" s="301"/>
      <c r="T558" s="336"/>
    </row>
    <row r="559" spans="1:20" ht="12" customHeight="1" x14ac:dyDescent="0.3">
      <c r="A559" s="329" t="s">
        <v>291</v>
      </c>
      <c r="B559" s="330">
        <v>39</v>
      </c>
      <c r="C559" s="298">
        <v>46100</v>
      </c>
      <c r="D559" s="299" t="s">
        <v>292</v>
      </c>
      <c r="E559" s="331"/>
      <c r="F559" s="331">
        <v>2763.78</v>
      </c>
      <c r="G559" s="333">
        <f t="shared" si="10"/>
        <v>8219.4099999999853</v>
      </c>
      <c r="H559" s="334"/>
      <c r="I559" s="335"/>
      <c r="J559" s="336"/>
      <c r="K559" s="301"/>
      <c r="L559" s="336"/>
      <c r="M559" s="301"/>
      <c r="N559" s="336"/>
      <c r="O559" s="301"/>
      <c r="P559" s="336"/>
      <c r="Q559" s="301"/>
      <c r="R559" s="336"/>
      <c r="S559" s="301"/>
      <c r="T559" s="336"/>
    </row>
    <row r="560" spans="1:20" ht="12" customHeight="1" x14ac:dyDescent="0.3">
      <c r="A560" s="329" t="s">
        <v>289</v>
      </c>
      <c r="B560" s="330">
        <v>2</v>
      </c>
      <c r="C560" s="298">
        <v>46099</v>
      </c>
      <c r="D560" s="299" t="s">
        <v>400</v>
      </c>
      <c r="E560" s="331">
        <v>47.46</v>
      </c>
      <c r="F560" s="331"/>
      <c r="G560" s="333">
        <f t="shared" si="10"/>
        <v>5455.6299999999856</v>
      </c>
      <c r="H560" s="334"/>
      <c r="I560" s="335"/>
      <c r="J560" s="336"/>
      <c r="K560" s="301"/>
      <c r="L560" s="336"/>
      <c r="M560" s="301"/>
      <c r="N560" s="336"/>
      <c r="O560" s="301"/>
      <c r="P560" s="336"/>
      <c r="Q560" s="301"/>
      <c r="R560" s="336"/>
      <c r="S560" s="301"/>
      <c r="T560" s="336"/>
    </row>
    <row r="561" spans="1:20" ht="12" customHeight="1" x14ac:dyDescent="0.3">
      <c r="A561" s="329" t="s">
        <v>289</v>
      </c>
      <c r="B561" s="330">
        <v>8</v>
      </c>
      <c r="C561" s="298">
        <v>46099</v>
      </c>
      <c r="D561" s="299" t="s">
        <v>400</v>
      </c>
      <c r="E561" s="331">
        <v>15.01</v>
      </c>
      <c r="F561" s="331"/>
      <c r="G561" s="333">
        <f t="shared" si="10"/>
        <v>5503.0899999999856</v>
      </c>
      <c r="H561" s="334"/>
      <c r="I561" s="335"/>
      <c r="J561" s="336"/>
      <c r="K561" s="301"/>
      <c r="L561" s="336"/>
      <c r="M561" s="301"/>
      <c r="N561" s="336"/>
      <c r="O561" s="301"/>
      <c r="P561" s="336"/>
      <c r="Q561" s="301"/>
      <c r="R561" s="336"/>
      <c r="S561" s="301"/>
      <c r="T561" s="336"/>
    </row>
    <row r="562" spans="1:20" ht="12" customHeight="1" x14ac:dyDescent="0.3">
      <c r="A562" s="329" t="s">
        <v>291</v>
      </c>
      <c r="B562" s="330">
        <v>40</v>
      </c>
      <c r="C562" s="298">
        <v>46099</v>
      </c>
      <c r="D562" s="299" t="s">
        <v>316</v>
      </c>
      <c r="E562" s="331"/>
      <c r="F562" s="331">
        <v>838.67</v>
      </c>
      <c r="G562" s="333">
        <f t="shared" si="10"/>
        <v>5518.0999999999858</v>
      </c>
      <c r="H562" s="334"/>
      <c r="I562" s="335"/>
      <c r="J562" s="336"/>
      <c r="K562" s="301"/>
      <c r="L562" s="336"/>
      <c r="M562" s="301"/>
      <c r="N562" s="336"/>
      <c r="O562" s="301"/>
      <c r="P562" s="336"/>
      <c r="Q562" s="301"/>
      <c r="R562" s="336"/>
      <c r="S562" s="301"/>
      <c r="T562" s="336"/>
    </row>
    <row r="563" spans="1:20" ht="12" customHeight="1" x14ac:dyDescent="0.3">
      <c r="A563" s="329" t="s">
        <v>289</v>
      </c>
      <c r="B563" s="330">
        <v>2</v>
      </c>
      <c r="C563" s="298">
        <v>46099</v>
      </c>
      <c r="D563" s="299" t="s">
        <v>296</v>
      </c>
      <c r="E563" s="331">
        <v>14.67</v>
      </c>
      <c r="F563" s="331"/>
      <c r="G563" s="333">
        <f t="shared" si="10"/>
        <v>4679.4299999999857</v>
      </c>
      <c r="H563" s="334"/>
      <c r="I563" s="335"/>
      <c r="J563" s="336"/>
      <c r="K563" s="301"/>
      <c r="L563" s="336"/>
      <c r="M563" s="301"/>
      <c r="N563" s="336"/>
      <c r="O563" s="301"/>
      <c r="P563" s="336"/>
      <c r="Q563" s="301"/>
      <c r="R563" s="336"/>
      <c r="S563" s="301"/>
      <c r="T563" s="336"/>
    </row>
    <row r="564" spans="1:20" ht="12" customHeight="1" x14ac:dyDescent="0.3">
      <c r="A564" s="329" t="s">
        <v>289</v>
      </c>
      <c r="B564" s="330">
        <v>4</v>
      </c>
      <c r="C564" s="298">
        <v>46099</v>
      </c>
      <c r="D564" s="299" t="s">
        <v>296</v>
      </c>
      <c r="E564" s="331">
        <v>40.22</v>
      </c>
      <c r="F564" s="331"/>
      <c r="G564" s="333">
        <f t="shared" si="10"/>
        <v>4694.0999999999858</v>
      </c>
      <c r="H564" s="334"/>
      <c r="I564" s="335"/>
      <c r="J564" s="336"/>
      <c r="K564" s="301"/>
      <c r="L564" s="336"/>
      <c r="M564" s="301"/>
      <c r="N564" s="336"/>
      <c r="O564" s="301"/>
      <c r="P564" s="336"/>
      <c r="Q564" s="301"/>
      <c r="R564" s="336"/>
      <c r="S564" s="301"/>
      <c r="T564" s="336"/>
    </row>
    <row r="565" spans="1:20" ht="12" customHeight="1" x14ac:dyDescent="0.3">
      <c r="A565" s="329" t="s">
        <v>289</v>
      </c>
      <c r="B565" s="330">
        <v>8</v>
      </c>
      <c r="C565" s="298">
        <v>46099</v>
      </c>
      <c r="D565" s="299" t="s">
        <v>295</v>
      </c>
      <c r="E565" s="331">
        <v>3.49</v>
      </c>
      <c r="F565" s="331"/>
      <c r="G565" s="333">
        <f t="shared" si="10"/>
        <v>4734.3199999999861</v>
      </c>
      <c r="H565" s="334"/>
      <c r="I565" s="335"/>
      <c r="J565" s="336"/>
      <c r="K565" s="301"/>
      <c r="L565" s="336"/>
      <c r="M565" s="301"/>
      <c r="N565" s="336"/>
      <c r="O565" s="301"/>
      <c r="P565" s="336"/>
      <c r="Q565" s="301"/>
      <c r="R565" s="336"/>
      <c r="S565" s="301"/>
      <c r="T565" s="336"/>
    </row>
    <row r="566" spans="1:20" ht="12" customHeight="1" x14ac:dyDescent="0.3">
      <c r="A566" s="329" t="s">
        <v>294</v>
      </c>
      <c r="B566" s="330">
        <v>22</v>
      </c>
      <c r="C566" s="298">
        <v>46099</v>
      </c>
      <c r="D566" s="299" t="s">
        <v>401</v>
      </c>
      <c r="E566" s="331">
        <v>13.84</v>
      </c>
      <c r="F566" s="331"/>
      <c r="G566" s="333">
        <f t="shared" si="10"/>
        <v>4737.8099999999858</v>
      </c>
      <c r="H566" s="334"/>
      <c r="I566" s="335"/>
      <c r="J566" s="336"/>
      <c r="K566" s="301"/>
      <c r="L566" s="336"/>
      <c r="M566" s="301"/>
      <c r="N566" s="336"/>
      <c r="O566" s="301"/>
      <c r="P566" s="336"/>
      <c r="Q566" s="301"/>
      <c r="R566" s="336"/>
      <c r="S566" s="301"/>
      <c r="T566" s="336"/>
    </row>
    <row r="567" spans="1:20" ht="12" customHeight="1" x14ac:dyDescent="0.3">
      <c r="A567" s="329" t="s">
        <v>294</v>
      </c>
      <c r="B567" s="330">
        <v>17</v>
      </c>
      <c r="C567" s="298">
        <v>46098</v>
      </c>
      <c r="D567" s="299" t="s">
        <v>188</v>
      </c>
      <c r="E567" s="331">
        <v>42.65</v>
      </c>
      <c r="F567" s="331"/>
      <c r="G567" s="333">
        <f t="shared" si="10"/>
        <v>4751.649999999986</v>
      </c>
      <c r="H567" s="334"/>
      <c r="I567" s="335"/>
      <c r="J567" s="336"/>
      <c r="K567" s="301"/>
      <c r="L567" s="336"/>
      <c r="M567" s="301"/>
      <c r="N567" s="336"/>
      <c r="O567" s="301"/>
      <c r="P567" s="336"/>
      <c r="Q567" s="301"/>
      <c r="R567" s="336"/>
      <c r="S567" s="301"/>
      <c r="T567" s="336"/>
    </row>
    <row r="568" spans="1:20" ht="12" customHeight="1" x14ac:dyDescent="0.3">
      <c r="A568" s="329" t="s">
        <v>294</v>
      </c>
      <c r="B568" s="330">
        <v>23</v>
      </c>
      <c r="C568" s="298">
        <v>46098</v>
      </c>
      <c r="D568" s="299" t="s">
        <v>402</v>
      </c>
      <c r="E568" s="331">
        <v>529.46</v>
      </c>
      <c r="F568" s="331"/>
      <c r="G568" s="333">
        <f t="shared" si="10"/>
        <v>4794.2999999999856</v>
      </c>
      <c r="H568" s="334"/>
      <c r="I568" s="335"/>
      <c r="J568" s="336"/>
      <c r="K568" s="301"/>
      <c r="L568" s="336"/>
      <c r="M568" s="301"/>
      <c r="N568" s="336"/>
      <c r="O568" s="301"/>
      <c r="P568" s="336"/>
      <c r="Q568" s="301"/>
      <c r="R568" s="336"/>
      <c r="S568" s="301"/>
      <c r="T568" s="336"/>
    </row>
    <row r="569" spans="1:20" ht="12" customHeight="1" x14ac:dyDescent="0.3">
      <c r="A569" s="329" t="s">
        <v>294</v>
      </c>
      <c r="B569" s="330">
        <v>43</v>
      </c>
      <c r="C569" s="298">
        <v>46098</v>
      </c>
      <c r="D569" s="299" t="s">
        <v>333</v>
      </c>
      <c r="E569" s="331">
        <v>22.35</v>
      </c>
      <c r="F569" s="331"/>
      <c r="G569" s="333">
        <f t="shared" si="10"/>
        <v>5323.7599999999857</v>
      </c>
      <c r="H569" s="334"/>
      <c r="I569" s="335"/>
      <c r="J569" s="336"/>
      <c r="K569" s="301"/>
      <c r="L569" s="336"/>
      <c r="M569" s="301"/>
      <c r="N569" s="336"/>
      <c r="O569" s="301"/>
      <c r="P569" s="336"/>
      <c r="Q569" s="301"/>
      <c r="R569" s="336"/>
      <c r="S569" s="301"/>
      <c r="T569" s="336"/>
    </row>
    <row r="570" spans="1:20" ht="12" customHeight="1" x14ac:dyDescent="0.3">
      <c r="A570" s="329" t="s">
        <v>294</v>
      </c>
      <c r="B570" s="330">
        <v>42</v>
      </c>
      <c r="C570" s="298">
        <v>46098</v>
      </c>
      <c r="D570" s="299" t="s">
        <v>333</v>
      </c>
      <c r="E570" s="331">
        <v>37.25</v>
      </c>
      <c r="F570" s="331"/>
      <c r="G570" s="333">
        <f t="shared" si="10"/>
        <v>5346.109999999986</v>
      </c>
      <c r="H570" s="334"/>
      <c r="I570" s="335"/>
      <c r="J570" s="336"/>
      <c r="K570" s="301"/>
      <c r="L570" s="336"/>
      <c r="M570" s="301"/>
      <c r="N570" s="336"/>
      <c r="O570" s="301"/>
      <c r="P570" s="336"/>
      <c r="Q570" s="301"/>
      <c r="R570" s="336"/>
      <c r="S570" s="301"/>
      <c r="T570" s="336"/>
    </row>
    <row r="571" spans="1:20" ht="12" customHeight="1" x14ac:dyDescent="0.3">
      <c r="A571" s="329" t="s">
        <v>289</v>
      </c>
      <c r="B571" s="330">
        <v>8</v>
      </c>
      <c r="C571" s="298">
        <v>46098</v>
      </c>
      <c r="D571" s="299" t="s">
        <v>319</v>
      </c>
      <c r="E571" s="331">
        <v>3.99</v>
      </c>
      <c r="F571" s="331"/>
      <c r="G571" s="333">
        <f t="shared" si="10"/>
        <v>5383.359999999986</v>
      </c>
      <c r="H571" s="334"/>
      <c r="I571" s="335"/>
      <c r="J571" s="336"/>
      <c r="K571" s="301"/>
      <c r="L571" s="336"/>
      <c r="M571" s="301"/>
      <c r="N571" s="336"/>
      <c r="O571" s="301"/>
      <c r="P571" s="336"/>
      <c r="Q571" s="301"/>
      <c r="R571" s="336"/>
      <c r="S571" s="301"/>
      <c r="T571" s="336"/>
    </row>
    <row r="572" spans="1:20" ht="12" customHeight="1" x14ac:dyDescent="0.3">
      <c r="A572" s="329" t="s">
        <v>289</v>
      </c>
      <c r="B572" s="330">
        <v>8</v>
      </c>
      <c r="C572" s="298">
        <v>46098</v>
      </c>
      <c r="D572" s="299" t="s">
        <v>319</v>
      </c>
      <c r="E572" s="331">
        <v>24.47</v>
      </c>
      <c r="F572" s="331"/>
      <c r="G572" s="333">
        <f t="shared" si="10"/>
        <v>5387.3499999999858</v>
      </c>
      <c r="H572" s="334"/>
      <c r="I572" s="335"/>
      <c r="J572" s="336"/>
      <c r="K572" s="301"/>
      <c r="L572" s="336"/>
      <c r="M572" s="301"/>
      <c r="N572" s="336"/>
      <c r="O572" s="301"/>
      <c r="P572" s="336"/>
      <c r="Q572" s="301"/>
      <c r="R572" s="336"/>
      <c r="S572" s="301"/>
      <c r="T572" s="336"/>
    </row>
    <row r="573" spans="1:20" ht="12" customHeight="1" x14ac:dyDescent="0.3">
      <c r="A573" s="329" t="s">
        <v>294</v>
      </c>
      <c r="B573" s="330">
        <v>21</v>
      </c>
      <c r="C573" s="298">
        <v>46098</v>
      </c>
      <c r="D573" s="299" t="s">
        <v>194</v>
      </c>
      <c r="E573" s="331">
        <v>75.599999999999994</v>
      </c>
      <c r="F573" s="331"/>
      <c r="G573" s="333">
        <f t="shared" si="10"/>
        <v>5411.8199999999861</v>
      </c>
      <c r="H573" s="334"/>
      <c r="I573" s="335"/>
      <c r="J573" s="336"/>
      <c r="K573" s="301"/>
      <c r="L573" s="336"/>
      <c r="M573" s="301"/>
      <c r="N573" s="336"/>
      <c r="O573" s="301"/>
      <c r="P573" s="336"/>
      <c r="Q573" s="301"/>
      <c r="R573" s="336"/>
      <c r="S573" s="301"/>
      <c r="T573" s="336"/>
    </row>
    <row r="574" spans="1:20" ht="12" customHeight="1" x14ac:dyDescent="0.3">
      <c r="A574" s="329" t="s">
        <v>289</v>
      </c>
      <c r="B574" s="330">
        <v>5</v>
      </c>
      <c r="C574" s="298">
        <v>46097</v>
      </c>
      <c r="D574" s="299" t="s">
        <v>340</v>
      </c>
      <c r="E574" s="331">
        <v>21.3</v>
      </c>
      <c r="F574" s="331"/>
      <c r="G574" s="333">
        <f t="shared" si="10"/>
        <v>5487.4199999999864</v>
      </c>
      <c r="H574" s="334"/>
      <c r="I574" s="335"/>
      <c r="J574" s="336"/>
      <c r="K574" s="301"/>
      <c r="L574" s="336"/>
      <c r="M574" s="301"/>
      <c r="N574" s="336"/>
      <c r="O574" s="301"/>
      <c r="P574" s="336"/>
      <c r="Q574" s="301"/>
      <c r="R574" s="336"/>
      <c r="S574" s="301"/>
      <c r="T574" s="336"/>
    </row>
    <row r="575" spans="1:20" ht="12" customHeight="1" x14ac:dyDescent="0.3">
      <c r="A575" s="329" t="s">
        <v>294</v>
      </c>
      <c r="B575" s="330">
        <v>11</v>
      </c>
      <c r="C575" s="298">
        <v>46097</v>
      </c>
      <c r="D575" s="299" t="s">
        <v>178</v>
      </c>
      <c r="E575" s="331">
        <v>267.91000000000003</v>
      </c>
      <c r="F575" s="331"/>
      <c r="G575" s="333">
        <f t="shared" si="10"/>
        <v>5508.7199999999866</v>
      </c>
      <c r="H575" s="334"/>
      <c r="I575" s="335"/>
      <c r="J575" s="336"/>
      <c r="K575" s="301"/>
      <c r="L575" s="336"/>
      <c r="M575" s="301"/>
      <c r="N575" s="336"/>
      <c r="O575" s="301"/>
      <c r="P575" s="336"/>
      <c r="Q575" s="301"/>
      <c r="R575" s="336"/>
      <c r="S575" s="301"/>
      <c r="T575" s="336"/>
    </row>
    <row r="576" spans="1:20" ht="12" customHeight="1" x14ac:dyDescent="0.3">
      <c r="A576" s="329" t="s">
        <v>287</v>
      </c>
      <c r="B576" s="330" t="s">
        <v>287</v>
      </c>
      <c r="C576" s="298">
        <v>46097</v>
      </c>
      <c r="D576" s="299" t="s">
        <v>403</v>
      </c>
      <c r="E576" s="331"/>
      <c r="F576" s="331">
        <v>80</v>
      </c>
      <c r="G576" s="333">
        <f t="shared" si="10"/>
        <v>5776.6299999999865</v>
      </c>
      <c r="H576" s="334" t="s">
        <v>298</v>
      </c>
      <c r="I576" s="335"/>
      <c r="J576" s="336"/>
      <c r="K576" s="301"/>
      <c r="L576" s="336"/>
      <c r="M576" s="301"/>
      <c r="N576" s="336"/>
      <c r="O576" s="301"/>
      <c r="P576" s="336"/>
      <c r="Q576" s="301"/>
      <c r="R576" s="336"/>
      <c r="S576" s="301"/>
      <c r="T576" s="336"/>
    </row>
    <row r="577" spans="1:20" ht="12" customHeight="1" x14ac:dyDescent="0.3">
      <c r="A577" s="329" t="s">
        <v>287</v>
      </c>
      <c r="B577" s="330" t="s">
        <v>287</v>
      </c>
      <c r="C577" s="298">
        <v>46097</v>
      </c>
      <c r="D577" s="299" t="s">
        <v>302</v>
      </c>
      <c r="E577" s="331">
        <v>80</v>
      </c>
      <c r="F577" s="331"/>
      <c r="G577" s="333">
        <f t="shared" si="10"/>
        <v>5696.6299999999865</v>
      </c>
      <c r="H577" s="334"/>
      <c r="I577" s="335"/>
      <c r="J577" s="336"/>
      <c r="K577" s="301"/>
      <c r="L577" s="336"/>
      <c r="M577" s="301"/>
      <c r="N577" s="336"/>
      <c r="O577" s="301"/>
      <c r="P577" s="336"/>
      <c r="Q577" s="301"/>
      <c r="R577" s="336"/>
      <c r="S577" s="301"/>
      <c r="T577" s="336"/>
    </row>
    <row r="578" spans="1:20" ht="12" customHeight="1" x14ac:dyDescent="0.3">
      <c r="A578" s="329" t="s">
        <v>289</v>
      </c>
      <c r="B578" s="330">
        <v>4</v>
      </c>
      <c r="C578" s="298">
        <v>46097</v>
      </c>
      <c r="D578" s="299" t="s">
        <v>310</v>
      </c>
      <c r="E578" s="331">
        <v>42.47</v>
      </c>
      <c r="F578" s="331"/>
      <c r="G578" s="333">
        <f t="shared" si="10"/>
        <v>5776.6299999999865</v>
      </c>
      <c r="H578" s="334"/>
      <c r="I578" s="335"/>
      <c r="J578" s="336"/>
      <c r="K578" s="301"/>
      <c r="L578" s="336"/>
      <c r="M578" s="301"/>
      <c r="N578" s="336"/>
      <c r="O578" s="301"/>
      <c r="P578" s="336"/>
      <c r="Q578" s="301"/>
      <c r="R578" s="336"/>
      <c r="S578" s="301"/>
      <c r="T578" s="336"/>
    </row>
    <row r="579" spans="1:20" ht="12" customHeight="1" x14ac:dyDescent="0.3">
      <c r="A579" s="329" t="s">
        <v>289</v>
      </c>
      <c r="B579" s="330">
        <v>2</v>
      </c>
      <c r="C579" s="298">
        <v>46097</v>
      </c>
      <c r="D579" s="299" t="s">
        <v>296</v>
      </c>
      <c r="E579" s="331">
        <v>11.18</v>
      </c>
      <c r="F579" s="331"/>
      <c r="G579" s="333">
        <f t="shared" si="10"/>
        <v>5819.0999999999867</v>
      </c>
      <c r="H579" s="334"/>
      <c r="I579" s="335"/>
      <c r="J579" s="336"/>
      <c r="K579" s="301"/>
      <c r="L579" s="336"/>
      <c r="M579" s="301"/>
      <c r="N579" s="336"/>
      <c r="O579" s="301"/>
      <c r="P579" s="336"/>
      <c r="Q579" s="301"/>
      <c r="R579" s="336"/>
      <c r="S579" s="301"/>
      <c r="T579" s="336"/>
    </row>
    <row r="580" spans="1:20" ht="12" customHeight="1" x14ac:dyDescent="0.3">
      <c r="A580" s="329" t="s">
        <v>289</v>
      </c>
      <c r="B580" s="330">
        <v>2</v>
      </c>
      <c r="C580" s="298">
        <v>46096</v>
      </c>
      <c r="D580" s="299" t="s">
        <v>404</v>
      </c>
      <c r="E580" s="331">
        <v>38.67</v>
      </c>
      <c r="F580" s="331"/>
      <c r="G580" s="333">
        <f t="shared" si="10"/>
        <v>5830.279999999987</v>
      </c>
      <c r="H580" s="334"/>
      <c r="I580" s="335"/>
      <c r="J580" s="336"/>
      <c r="K580" s="301"/>
      <c r="L580" s="336"/>
      <c r="M580" s="301"/>
      <c r="N580" s="336"/>
      <c r="O580" s="301"/>
      <c r="P580" s="336"/>
      <c r="Q580" s="301"/>
      <c r="R580" s="336"/>
      <c r="S580" s="301"/>
      <c r="T580" s="336"/>
    </row>
    <row r="581" spans="1:20" ht="12" customHeight="1" x14ac:dyDescent="0.3">
      <c r="A581" s="329" t="s">
        <v>289</v>
      </c>
      <c r="B581" s="330">
        <v>3</v>
      </c>
      <c r="C581" s="298">
        <v>46096</v>
      </c>
      <c r="D581" s="299" t="s">
        <v>348</v>
      </c>
      <c r="E581" s="331">
        <v>7.11</v>
      </c>
      <c r="F581" s="331"/>
      <c r="G581" s="333">
        <f t="shared" si="10"/>
        <v>5868.9499999999871</v>
      </c>
      <c r="H581" s="334"/>
      <c r="I581" s="335"/>
      <c r="J581" s="336"/>
      <c r="K581" s="301"/>
      <c r="L581" s="336"/>
      <c r="M581" s="301"/>
      <c r="N581" s="336"/>
      <c r="O581" s="301"/>
      <c r="P581" s="336"/>
      <c r="Q581" s="301"/>
      <c r="R581" s="336"/>
      <c r="S581" s="301"/>
      <c r="T581" s="336"/>
    </row>
    <row r="582" spans="1:20" ht="12" customHeight="1" x14ac:dyDescent="0.3">
      <c r="A582" s="329" t="s">
        <v>289</v>
      </c>
      <c r="B582" s="330">
        <v>1</v>
      </c>
      <c r="C582" s="298">
        <v>46096</v>
      </c>
      <c r="D582" s="299" t="s">
        <v>304</v>
      </c>
      <c r="E582" s="331">
        <v>126.64</v>
      </c>
      <c r="F582" s="331"/>
      <c r="G582" s="333">
        <f t="shared" si="10"/>
        <v>5876.0599999999868</v>
      </c>
      <c r="H582" s="334"/>
      <c r="I582" s="335"/>
      <c r="J582" s="336"/>
      <c r="K582" s="301"/>
      <c r="L582" s="336"/>
      <c r="M582" s="301"/>
      <c r="N582" s="336"/>
      <c r="O582" s="301"/>
      <c r="P582" s="336"/>
      <c r="Q582" s="301"/>
      <c r="R582" s="336"/>
      <c r="S582" s="301"/>
      <c r="T582" s="336"/>
    </row>
    <row r="583" spans="1:20" ht="12" customHeight="1" x14ac:dyDescent="0.3">
      <c r="A583" s="329" t="s">
        <v>289</v>
      </c>
      <c r="B583" s="330">
        <v>1</v>
      </c>
      <c r="C583" s="298">
        <v>46096</v>
      </c>
      <c r="D583" s="299" t="s">
        <v>311</v>
      </c>
      <c r="E583" s="331">
        <v>125.2</v>
      </c>
      <c r="F583" s="331"/>
      <c r="G583" s="333">
        <f t="shared" si="10"/>
        <v>6002.6999999999871</v>
      </c>
      <c r="H583" s="334"/>
      <c r="I583" s="335"/>
      <c r="J583" s="336"/>
      <c r="K583" s="301"/>
      <c r="L583" s="336"/>
      <c r="M583" s="301"/>
      <c r="N583" s="336"/>
      <c r="O583" s="301"/>
      <c r="P583" s="336"/>
      <c r="Q583" s="301"/>
      <c r="R583" s="336"/>
      <c r="S583" s="301"/>
      <c r="T583" s="336"/>
    </row>
    <row r="584" spans="1:20" ht="12" customHeight="1" x14ac:dyDescent="0.3">
      <c r="A584" s="329" t="s">
        <v>289</v>
      </c>
      <c r="B584" s="330">
        <v>1</v>
      </c>
      <c r="C584" s="298">
        <v>46096</v>
      </c>
      <c r="D584" s="299" t="s">
        <v>306</v>
      </c>
      <c r="E584" s="331">
        <v>37.159999999999997</v>
      </c>
      <c r="F584" s="331"/>
      <c r="G584" s="333">
        <f t="shared" si="10"/>
        <v>6127.8999999999869</v>
      </c>
      <c r="H584" s="334"/>
      <c r="I584" s="335"/>
      <c r="J584" s="336"/>
      <c r="K584" s="301"/>
      <c r="L584" s="336"/>
      <c r="M584" s="301"/>
      <c r="N584" s="336"/>
      <c r="O584" s="301"/>
      <c r="P584" s="336"/>
      <c r="Q584" s="301"/>
      <c r="R584" s="336"/>
      <c r="S584" s="301"/>
      <c r="T584" s="336"/>
    </row>
    <row r="585" spans="1:20" ht="12" customHeight="1" x14ac:dyDescent="0.3">
      <c r="A585" s="329" t="s">
        <v>294</v>
      </c>
      <c r="B585" s="330">
        <v>16</v>
      </c>
      <c r="C585" s="298">
        <v>46096</v>
      </c>
      <c r="D585" s="299" t="s">
        <v>405</v>
      </c>
      <c r="E585" s="331">
        <v>713.06</v>
      </c>
      <c r="F585" s="331"/>
      <c r="G585" s="333">
        <f t="shared" si="10"/>
        <v>6165.0599999999868</v>
      </c>
      <c r="H585" s="334"/>
      <c r="I585" s="335"/>
      <c r="J585" s="336"/>
      <c r="K585" s="301"/>
      <c r="L585" s="336"/>
      <c r="M585" s="301"/>
      <c r="N585" s="336"/>
      <c r="O585" s="301"/>
      <c r="P585" s="336"/>
      <c r="Q585" s="301"/>
      <c r="R585" s="336"/>
      <c r="S585" s="301"/>
      <c r="T585" s="336"/>
    </row>
    <row r="586" spans="1:20" ht="12" customHeight="1" x14ac:dyDescent="0.3">
      <c r="A586" s="329" t="s">
        <v>289</v>
      </c>
      <c r="B586" s="330">
        <v>5</v>
      </c>
      <c r="C586" s="298">
        <v>46095</v>
      </c>
      <c r="D586" s="299" t="s">
        <v>406</v>
      </c>
      <c r="E586" s="331">
        <v>24</v>
      </c>
      <c r="F586" s="331"/>
      <c r="G586" s="333">
        <f t="shared" si="10"/>
        <v>6878.1199999999862</v>
      </c>
      <c r="H586" s="334"/>
      <c r="I586" s="335"/>
      <c r="J586" s="336"/>
      <c r="K586" s="301"/>
      <c r="L586" s="336"/>
      <c r="M586" s="301"/>
      <c r="N586" s="336"/>
      <c r="O586" s="301"/>
      <c r="P586" s="336"/>
      <c r="Q586" s="301"/>
      <c r="R586" s="336"/>
      <c r="S586" s="301"/>
      <c r="T586" s="336"/>
    </row>
    <row r="587" spans="1:20" ht="12" customHeight="1" x14ac:dyDescent="0.3">
      <c r="A587" s="329" t="s">
        <v>289</v>
      </c>
      <c r="B587" s="330">
        <v>3</v>
      </c>
      <c r="C587" s="298">
        <v>46095</v>
      </c>
      <c r="D587" s="299" t="s">
        <v>348</v>
      </c>
      <c r="E587" s="331">
        <v>14.58</v>
      </c>
      <c r="F587" s="331"/>
      <c r="G587" s="333">
        <f t="shared" si="10"/>
        <v>6902.1199999999862</v>
      </c>
      <c r="H587" s="334"/>
      <c r="I587" s="335"/>
      <c r="J587" s="336"/>
      <c r="K587" s="301"/>
      <c r="L587" s="336"/>
      <c r="M587" s="301"/>
      <c r="N587" s="336"/>
      <c r="O587" s="301"/>
      <c r="P587" s="336"/>
      <c r="Q587" s="301"/>
      <c r="R587" s="336"/>
      <c r="S587" s="301"/>
      <c r="T587" s="336"/>
    </row>
    <row r="588" spans="1:20" ht="12" customHeight="1" x14ac:dyDescent="0.3">
      <c r="A588" s="329" t="s">
        <v>291</v>
      </c>
      <c r="B588" s="330">
        <v>41</v>
      </c>
      <c r="C588" s="298">
        <v>46094</v>
      </c>
      <c r="D588" s="299" t="s">
        <v>407</v>
      </c>
      <c r="E588" s="331"/>
      <c r="F588" s="331">
        <v>300</v>
      </c>
      <c r="G588" s="333">
        <f t="shared" si="10"/>
        <v>6916.6999999999862</v>
      </c>
      <c r="H588" s="334"/>
      <c r="I588" s="335"/>
      <c r="J588" s="336"/>
      <c r="K588" s="301"/>
      <c r="L588" s="336"/>
      <c r="M588" s="301"/>
      <c r="N588" s="336"/>
      <c r="O588" s="301"/>
      <c r="P588" s="336"/>
      <c r="Q588" s="301"/>
      <c r="R588" s="336"/>
      <c r="S588" s="301"/>
      <c r="T588" s="336"/>
    </row>
    <row r="589" spans="1:20" ht="12" customHeight="1" x14ac:dyDescent="0.3">
      <c r="A589" s="329" t="s">
        <v>289</v>
      </c>
      <c r="B589" s="330">
        <v>1</v>
      </c>
      <c r="C589" s="298">
        <v>46094</v>
      </c>
      <c r="D589" s="299" t="s">
        <v>311</v>
      </c>
      <c r="E589" s="331">
        <v>17.71</v>
      </c>
      <c r="F589" s="331"/>
      <c r="G589" s="333">
        <f t="shared" si="10"/>
        <v>6616.6999999999862</v>
      </c>
      <c r="H589" s="334"/>
      <c r="I589" s="335"/>
      <c r="J589" s="336"/>
      <c r="K589" s="301"/>
      <c r="L589" s="336"/>
      <c r="M589" s="301"/>
      <c r="N589" s="336"/>
      <c r="O589" s="301"/>
      <c r="P589" s="336"/>
      <c r="Q589" s="301"/>
      <c r="R589" s="336"/>
      <c r="S589" s="301"/>
      <c r="T589" s="336"/>
    </row>
    <row r="590" spans="1:20" ht="12" customHeight="1" x14ac:dyDescent="0.3">
      <c r="A590" s="329" t="s">
        <v>289</v>
      </c>
      <c r="B590" s="330">
        <v>4</v>
      </c>
      <c r="C590" s="298">
        <v>46094</v>
      </c>
      <c r="D590" s="299" t="s">
        <v>296</v>
      </c>
      <c r="E590" s="331">
        <v>31.56</v>
      </c>
      <c r="F590" s="331"/>
      <c r="G590" s="333">
        <f t="shared" si="10"/>
        <v>6634.4099999999862</v>
      </c>
      <c r="H590" s="334"/>
      <c r="I590" s="335"/>
      <c r="J590" s="336"/>
      <c r="K590" s="301"/>
      <c r="L590" s="336"/>
      <c r="M590" s="301"/>
      <c r="N590" s="336"/>
      <c r="O590" s="301"/>
      <c r="P590" s="336"/>
      <c r="Q590" s="301"/>
      <c r="R590" s="336"/>
      <c r="S590" s="301"/>
      <c r="T590" s="336"/>
    </row>
    <row r="591" spans="1:20" ht="12" customHeight="1" x14ac:dyDescent="0.3">
      <c r="A591" s="329" t="s">
        <v>289</v>
      </c>
      <c r="B591" s="330">
        <v>2</v>
      </c>
      <c r="C591" s="298">
        <v>46094</v>
      </c>
      <c r="D591" s="299" t="s">
        <v>296</v>
      </c>
      <c r="E591" s="331">
        <v>34.79</v>
      </c>
      <c r="F591" s="331"/>
      <c r="G591" s="333">
        <f t="shared" si="10"/>
        <v>6665.9699999999866</v>
      </c>
      <c r="H591" s="334"/>
      <c r="I591" s="335"/>
      <c r="J591" s="336"/>
      <c r="K591" s="301"/>
      <c r="L591" s="336"/>
      <c r="M591" s="301"/>
      <c r="N591" s="336"/>
      <c r="O591" s="301"/>
      <c r="P591" s="336"/>
      <c r="Q591" s="301"/>
      <c r="R591" s="336"/>
      <c r="S591" s="301"/>
      <c r="T591" s="336"/>
    </row>
    <row r="592" spans="1:20" ht="12" customHeight="1" x14ac:dyDescent="0.3">
      <c r="A592" s="329" t="s">
        <v>289</v>
      </c>
      <c r="B592" s="330">
        <v>2</v>
      </c>
      <c r="C592" s="298">
        <v>46094</v>
      </c>
      <c r="D592" s="299" t="s">
        <v>408</v>
      </c>
      <c r="E592" s="331">
        <v>23.9</v>
      </c>
      <c r="F592" s="331"/>
      <c r="G592" s="333">
        <f t="shared" si="10"/>
        <v>6700.7599999999866</v>
      </c>
      <c r="H592" s="334"/>
      <c r="I592" s="335"/>
      <c r="J592" s="336"/>
      <c r="K592" s="301"/>
      <c r="L592" s="336"/>
      <c r="M592" s="301"/>
      <c r="N592" s="336"/>
      <c r="O592" s="301"/>
      <c r="P592" s="336"/>
      <c r="Q592" s="301"/>
      <c r="R592" s="336"/>
      <c r="S592" s="301"/>
      <c r="T592" s="336"/>
    </row>
    <row r="593" spans="1:20" ht="12" customHeight="1" x14ac:dyDescent="0.3">
      <c r="A593" s="329" t="s">
        <v>289</v>
      </c>
      <c r="B593" s="330">
        <v>3</v>
      </c>
      <c r="C593" s="298">
        <v>46094</v>
      </c>
      <c r="D593" s="299" t="s">
        <v>348</v>
      </c>
      <c r="E593" s="331">
        <v>7.26</v>
      </c>
      <c r="F593" s="331"/>
      <c r="G593" s="333">
        <f t="shared" si="10"/>
        <v>6724.6599999999862</v>
      </c>
      <c r="H593" s="334"/>
      <c r="I593" s="335"/>
      <c r="J593" s="336"/>
      <c r="K593" s="301"/>
      <c r="L593" s="336"/>
      <c r="M593" s="301"/>
      <c r="N593" s="336"/>
      <c r="O593" s="301"/>
      <c r="P593" s="336"/>
      <c r="Q593" s="301"/>
      <c r="R593" s="336"/>
      <c r="S593" s="301"/>
      <c r="T593" s="336"/>
    </row>
    <row r="594" spans="1:20" ht="12" customHeight="1" x14ac:dyDescent="0.3">
      <c r="A594" s="329" t="s">
        <v>289</v>
      </c>
      <c r="B594" s="330">
        <v>5</v>
      </c>
      <c r="C594" s="298">
        <v>46094</v>
      </c>
      <c r="D594" s="299" t="s">
        <v>354</v>
      </c>
      <c r="E594" s="331">
        <v>85</v>
      </c>
      <c r="F594" s="331"/>
      <c r="G594" s="333">
        <f t="shared" si="10"/>
        <v>6731.9199999999864</v>
      </c>
      <c r="H594" s="334" t="s">
        <v>298</v>
      </c>
      <c r="I594" s="335"/>
      <c r="J594" s="336"/>
      <c r="K594" s="301"/>
      <c r="L594" s="336"/>
      <c r="M594" s="301"/>
      <c r="N594" s="336"/>
      <c r="O594" s="301"/>
      <c r="P594" s="336"/>
      <c r="Q594" s="301"/>
      <c r="R594" s="336"/>
      <c r="S594" s="301"/>
      <c r="T594" s="336"/>
    </row>
    <row r="595" spans="1:20" ht="12" customHeight="1" x14ac:dyDescent="0.3">
      <c r="A595" s="329" t="s">
        <v>289</v>
      </c>
      <c r="B595" s="330">
        <v>8</v>
      </c>
      <c r="C595" s="298">
        <v>46093</v>
      </c>
      <c r="D595" s="299" t="s">
        <v>409</v>
      </c>
      <c r="E595" s="331">
        <v>51.22</v>
      </c>
      <c r="F595" s="331"/>
      <c r="G595" s="333">
        <f t="shared" si="10"/>
        <v>6816.9199999999864</v>
      </c>
      <c r="H595" s="334"/>
      <c r="I595" s="335"/>
      <c r="J595" s="336"/>
      <c r="K595" s="301"/>
      <c r="L595" s="336"/>
      <c r="M595" s="301"/>
      <c r="N595" s="336"/>
      <c r="O595" s="301"/>
      <c r="P595" s="336"/>
      <c r="Q595" s="301"/>
      <c r="R595" s="336"/>
      <c r="S595" s="301"/>
      <c r="T595" s="336"/>
    </row>
    <row r="596" spans="1:20" ht="12" customHeight="1" x14ac:dyDescent="0.3">
      <c r="A596" s="329" t="s">
        <v>289</v>
      </c>
      <c r="B596" s="330">
        <v>2</v>
      </c>
      <c r="C596" s="298">
        <v>46093</v>
      </c>
      <c r="D596" s="299" t="s">
        <v>410</v>
      </c>
      <c r="E596" s="331">
        <v>57.43</v>
      </c>
      <c r="F596" s="331"/>
      <c r="G596" s="333">
        <f t="shared" si="10"/>
        <v>6868.1399999999867</v>
      </c>
      <c r="H596" s="334"/>
      <c r="I596" s="335"/>
      <c r="J596" s="336"/>
      <c r="K596" s="301"/>
      <c r="L596" s="336"/>
      <c r="M596" s="301"/>
      <c r="N596" s="336"/>
      <c r="O596" s="301"/>
      <c r="P596" s="336"/>
      <c r="Q596" s="301"/>
      <c r="R596" s="336"/>
      <c r="S596" s="301"/>
      <c r="T596" s="336"/>
    </row>
    <row r="597" spans="1:20" ht="12" customHeight="1" x14ac:dyDescent="0.3">
      <c r="A597" s="329" t="s">
        <v>289</v>
      </c>
      <c r="B597" s="330">
        <v>2</v>
      </c>
      <c r="C597" s="298">
        <v>46093</v>
      </c>
      <c r="D597" s="299" t="s">
        <v>358</v>
      </c>
      <c r="E597" s="331">
        <v>17.45</v>
      </c>
      <c r="F597" s="331"/>
      <c r="G597" s="333">
        <f t="shared" si="10"/>
        <v>6925.569999999987</v>
      </c>
      <c r="H597" s="334"/>
      <c r="I597" s="335"/>
      <c r="J597" s="336"/>
      <c r="K597" s="301"/>
      <c r="L597" s="336"/>
      <c r="M597" s="301"/>
      <c r="N597" s="336"/>
      <c r="O597" s="301"/>
      <c r="P597" s="336"/>
      <c r="Q597" s="301"/>
      <c r="R597" s="336"/>
      <c r="S597" s="301"/>
      <c r="T597" s="336"/>
    </row>
    <row r="598" spans="1:20" ht="12" customHeight="1" x14ac:dyDescent="0.3">
      <c r="A598" s="329" t="s">
        <v>289</v>
      </c>
      <c r="B598" s="330">
        <v>8</v>
      </c>
      <c r="C598" s="298">
        <v>46093</v>
      </c>
      <c r="D598" s="299" t="s">
        <v>319</v>
      </c>
      <c r="E598" s="331">
        <v>7.92</v>
      </c>
      <c r="F598" s="331"/>
      <c r="G598" s="333">
        <f t="shared" si="10"/>
        <v>6943.0199999999868</v>
      </c>
      <c r="H598" s="334"/>
      <c r="I598" s="335"/>
      <c r="J598" s="336"/>
      <c r="K598" s="301"/>
      <c r="L598" s="336"/>
      <c r="M598" s="301"/>
      <c r="N598" s="336"/>
      <c r="O598" s="301"/>
      <c r="P598" s="336"/>
      <c r="Q598" s="301"/>
      <c r="R598" s="336"/>
      <c r="S598" s="301"/>
      <c r="T598" s="336"/>
    </row>
    <row r="599" spans="1:20" ht="12" customHeight="1" x14ac:dyDescent="0.3">
      <c r="A599" s="329" t="s">
        <v>291</v>
      </c>
      <c r="B599" s="330">
        <v>38</v>
      </c>
      <c r="C599" s="298">
        <v>46093</v>
      </c>
      <c r="D599" s="299" t="s">
        <v>293</v>
      </c>
      <c r="E599" s="331"/>
      <c r="F599" s="331">
        <v>4726.92</v>
      </c>
      <c r="G599" s="333">
        <f t="shared" si="10"/>
        <v>6950.9399999999869</v>
      </c>
      <c r="H599" s="334"/>
      <c r="I599" s="335"/>
      <c r="J599" s="336"/>
      <c r="K599" s="301"/>
      <c r="L599" s="336"/>
      <c r="M599" s="301"/>
      <c r="N599" s="336"/>
      <c r="O599" s="301"/>
      <c r="P599" s="336"/>
      <c r="Q599" s="301"/>
      <c r="R599" s="336"/>
      <c r="S599" s="301"/>
      <c r="T599" s="336"/>
    </row>
    <row r="600" spans="1:20" ht="12" customHeight="1" x14ac:dyDescent="0.3">
      <c r="A600" s="329" t="s">
        <v>289</v>
      </c>
      <c r="B600" s="330">
        <v>2</v>
      </c>
      <c r="C600" s="298">
        <v>46093</v>
      </c>
      <c r="D600" s="299" t="s">
        <v>386</v>
      </c>
      <c r="E600" s="331">
        <v>15</v>
      </c>
      <c r="F600" s="331"/>
      <c r="G600" s="333">
        <f t="shared" si="10"/>
        <v>2224.0199999999868</v>
      </c>
      <c r="H600" s="334"/>
      <c r="I600" s="335"/>
      <c r="J600" s="336"/>
      <c r="K600" s="301"/>
      <c r="L600" s="336"/>
      <c r="M600" s="301"/>
      <c r="N600" s="336"/>
      <c r="O600" s="301"/>
      <c r="P600" s="336"/>
      <c r="Q600" s="301"/>
      <c r="R600" s="336"/>
      <c r="S600" s="301"/>
      <c r="T600" s="336"/>
    </row>
    <row r="601" spans="1:20" ht="12" customHeight="1" x14ac:dyDescent="0.3">
      <c r="A601" s="329" t="s">
        <v>289</v>
      </c>
      <c r="B601" s="330">
        <v>6</v>
      </c>
      <c r="C601" s="298">
        <v>46093</v>
      </c>
      <c r="D601" s="299" t="s">
        <v>411</v>
      </c>
      <c r="E601" s="331">
        <v>12</v>
      </c>
      <c r="F601" s="331"/>
      <c r="G601" s="333">
        <f t="shared" si="10"/>
        <v>2239.0199999999868</v>
      </c>
      <c r="H601" s="334"/>
      <c r="I601" s="335"/>
      <c r="J601" s="336"/>
      <c r="K601" s="301"/>
      <c r="L601" s="336"/>
      <c r="M601" s="301"/>
      <c r="N601" s="336"/>
      <c r="O601" s="301"/>
      <c r="P601" s="336"/>
      <c r="Q601" s="301"/>
      <c r="R601" s="336"/>
      <c r="S601" s="301"/>
      <c r="T601" s="336"/>
    </row>
    <row r="602" spans="1:20" ht="12" customHeight="1" x14ac:dyDescent="0.3">
      <c r="A602" s="329" t="s">
        <v>294</v>
      </c>
      <c r="B602" s="330">
        <v>19</v>
      </c>
      <c r="C602" s="298">
        <v>46093</v>
      </c>
      <c r="D602" s="299" t="s">
        <v>191</v>
      </c>
      <c r="E602" s="331">
        <v>200</v>
      </c>
      <c r="F602" s="331"/>
      <c r="G602" s="333">
        <f t="shared" si="10"/>
        <v>2251.0199999999868</v>
      </c>
      <c r="H602" s="334"/>
      <c r="I602" s="335"/>
      <c r="J602" s="336"/>
      <c r="K602" s="301"/>
      <c r="L602" s="336"/>
      <c r="M602" s="301"/>
      <c r="N602" s="336"/>
      <c r="O602" s="301"/>
      <c r="P602" s="336"/>
      <c r="Q602" s="301"/>
      <c r="R602" s="336"/>
      <c r="S602" s="301"/>
      <c r="T602" s="336"/>
    </row>
    <row r="603" spans="1:20" ht="12" customHeight="1" x14ac:dyDescent="0.3">
      <c r="A603" s="329" t="s">
        <v>289</v>
      </c>
      <c r="B603" s="330">
        <v>6</v>
      </c>
      <c r="C603" s="298">
        <v>46092</v>
      </c>
      <c r="D603" s="299" t="s">
        <v>412</v>
      </c>
      <c r="E603" s="331">
        <v>-10.050000000000001</v>
      </c>
      <c r="F603" s="331"/>
      <c r="G603" s="333">
        <f t="shared" si="10"/>
        <v>2451.0199999999868</v>
      </c>
      <c r="H603" s="334"/>
      <c r="I603" s="335"/>
      <c r="J603" s="336"/>
      <c r="K603" s="301"/>
      <c r="L603" s="336"/>
      <c r="M603" s="301"/>
      <c r="N603" s="336"/>
      <c r="O603" s="301"/>
      <c r="P603" s="336"/>
      <c r="Q603" s="301"/>
      <c r="R603" s="336"/>
      <c r="S603" s="301"/>
      <c r="T603" s="336"/>
    </row>
    <row r="604" spans="1:20" ht="12" customHeight="1" x14ac:dyDescent="0.3">
      <c r="A604" s="329" t="s">
        <v>289</v>
      </c>
      <c r="B604" s="330">
        <v>6</v>
      </c>
      <c r="C604" s="298">
        <v>46092</v>
      </c>
      <c r="D604" s="299" t="s">
        <v>413</v>
      </c>
      <c r="E604" s="331">
        <v>25</v>
      </c>
      <c r="F604" s="331"/>
      <c r="G604" s="333">
        <f t="shared" si="10"/>
        <v>2440.9699999999866</v>
      </c>
      <c r="H604" s="334"/>
      <c r="I604" s="335"/>
      <c r="J604" s="336"/>
      <c r="K604" s="301"/>
      <c r="L604" s="336"/>
      <c r="M604" s="301"/>
      <c r="N604" s="336"/>
      <c r="O604" s="301"/>
      <c r="P604" s="336"/>
      <c r="Q604" s="301"/>
      <c r="R604" s="336"/>
      <c r="S604" s="301"/>
      <c r="T604" s="336"/>
    </row>
    <row r="605" spans="1:20" ht="12" customHeight="1" x14ac:dyDescent="0.3">
      <c r="A605" s="329" t="s">
        <v>289</v>
      </c>
      <c r="B605" s="330">
        <v>2</v>
      </c>
      <c r="C605" s="298">
        <v>46092</v>
      </c>
      <c r="D605" s="299" t="s">
        <v>301</v>
      </c>
      <c r="E605" s="331">
        <v>-9</v>
      </c>
      <c r="F605" s="331"/>
      <c r="G605" s="333">
        <f t="shared" si="10"/>
        <v>2465.9699999999866</v>
      </c>
      <c r="H605" s="334"/>
      <c r="I605" s="335"/>
      <c r="J605" s="336"/>
      <c r="K605" s="301"/>
      <c r="L605" s="336"/>
      <c r="M605" s="301"/>
      <c r="N605" s="336"/>
      <c r="O605" s="301"/>
      <c r="P605" s="336"/>
      <c r="Q605" s="301"/>
      <c r="R605" s="336"/>
      <c r="S605" s="301"/>
      <c r="T605" s="336"/>
    </row>
    <row r="606" spans="1:20" ht="12" customHeight="1" x14ac:dyDescent="0.3">
      <c r="A606" s="329" t="s">
        <v>291</v>
      </c>
      <c r="B606" s="330">
        <v>41</v>
      </c>
      <c r="C606" s="298">
        <v>46092</v>
      </c>
      <c r="D606" s="299" t="s">
        <v>407</v>
      </c>
      <c r="E606" s="331"/>
      <c r="F606" s="331">
        <v>500</v>
      </c>
      <c r="G606" s="333">
        <f t="shared" si="10"/>
        <v>2456.9699999999866</v>
      </c>
      <c r="H606" s="334"/>
      <c r="I606" s="335"/>
      <c r="J606" s="336"/>
      <c r="K606" s="301"/>
      <c r="L606" s="336"/>
      <c r="M606" s="301"/>
      <c r="N606" s="336"/>
      <c r="O606" s="301"/>
      <c r="P606" s="336"/>
      <c r="Q606" s="301"/>
      <c r="R606" s="336"/>
      <c r="S606" s="301"/>
      <c r="T606" s="336"/>
    </row>
    <row r="607" spans="1:20" ht="12" customHeight="1" x14ac:dyDescent="0.3">
      <c r="A607" s="329" t="s">
        <v>289</v>
      </c>
      <c r="B607" s="330">
        <v>2</v>
      </c>
      <c r="C607" s="298">
        <v>46092</v>
      </c>
      <c r="D607" s="299" t="s">
        <v>296</v>
      </c>
      <c r="E607" s="331">
        <v>16.170000000000002</v>
      </c>
      <c r="F607" s="331"/>
      <c r="G607" s="333">
        <f t="shared" si="10"/>
        <v>1956.9699999999864</v>
      </c>
      <c r="H607" s="334"/>
      <c r="I607" s="335"/>
      <c r="J607" s="336"/>
      <c r="K607" s="301"/>
      <c r="L607" s="336"/>
      <c r="M607" s="301"/>
      <c r="N607" s="336"/>
      <c r="O607" s="301"/>
      <c r="P607" s="336"/>
      <c r="Q607" s="301"/>
      <c r="R607" s="336"/>
      <c r="S607" s="301"/>
      <c r="T607" s="336"/>
    </row>
    <row r="608" spans="1:20" ht="12" customHeight="1" x14ac:dyDescent="0.3">
      <c r="A608" s="329" t="s">
        <v>294</v>
      </c>
      <c r="B608" s="330">
        <v>22</v>
      </c>
      <c r="C608" s="298">
        <v>46092</v>
      </c>
      <c r="D608" s="299" t="s">
        <v>352</v>
      </c>
      <c r="E608" s="331">
        <v>19.16</v>
      </c>
      <c r="F608" s="331"/>
      <c r="G608" s="333">
        <f t="shared" si="10"/>
        <v>1973.1399999999865</v>
      </c>
      <c r="H608" s="334"/>
      <c r="I608" s="335"/>
      <c r="J608" s="336"/>
      <c r="K608" s="301"/>
      <c r="L608" s="336"/>
      <c r="M608" s="301"/>
      <c r="N608" s="336"/>
      <c r="O608" s="301"/>
      <c r="P608" s="336"/>
      <c r="Q608" s="301"/>
      <c r="R608" s="336"/>
      <c r="S608" s="301"/>
      <c r="T608" s="336"/>
    </row>
    <row r="609" spans="1:20" ht="12" customHeight="1" x14ac:dyDescent="0.3">
      <c r="A609" s="329" t="s">
        <v>335</v>
      </c>
      <c r="B609" s="330" t="s">
        <v>335</v>
      </c>
      <c r="C609" s="298">
        <v>46091</v>
      </c>
      <c r="D609" s="299" t="s">
        <v>447</v>
      </c>
      <c r="E609" s="331">
        <v>47.28</v>
      </c>
      <c r="F609" s="331"/>
      <c r="G609" s="333">
        <f t="shared" si="10"/>
        <v>1992.2999999999865</v>
      </c>
      <c r="H609" s="334"/>
      <c r="I609" s="335"/>
      <c r="J609" s="336"/>
      <c r="K609" s="301"/>
      <c r="L609" s="336"/>
      <c r="M609" s="301"/>
      <c r="N609" s="336"/>
      <c r="O609" s="301"/>
      <c r="P609" s="336"/>
      <c r="Q609" s="301"/>
      <c r="R609" s="336"/>
      <c r="S609" s="301"/>
      <c r="T609" s="336"/>
    </row>
    <row r="610" spans="1:20" ht="12" customHeight="1" x14ac:dyDescent="0.3">
      <c r="A610" s="329" t="s">
        <v>294</v>
      </c>
      <c r="B610" s="330">
        <v>13</v>
      </c>
      <c r="C610" s="298">
        <v>46091</v>
      </c>
      <c r="D610" s="299" t="s">
        <v>182</v>
      </c>
      <c r="E610" s="331">
        <v>134.93</v>
      </c>
      <c r="F610" s="331"/>
      <c r="G610" s="333">
        <f t="shared" si="10"/>
        <v>2039.5799999999865</v>
      </c>
      <c r="H610" s="334"/>
      <c r="I610" s="335"/>
      <c r="J610" s="336"/>
      <c r="K610" s="301"/>
      <c r="L610" s="336"/>
      <c r="M610" s="301"/>
      <c r="N610" s="336"/>
      <c r="O610" s="301"/>
      <c r="P610" s="336"/>
      <c r="Q610" s="301"/>
      <c r="R610" s="336"/>
      <c r="S610" s="301"/>
      <c r="T610" s="336"/>
    </row>
    <row r="611" spans="1:20" ht="12" customHeight="1" x14ac:dyDescent="0.3">
      <c r="A611" s="329" t="s">
        <v>289</v>
      </c>
      <c r="B611" s="330">
        <v>8</v>
      </c>
      <c r="C611" s="298">
        <v>46091</v>
      </c>
      <c r="D611" s="299" t="s">
        <v>295</v>
      </c>
      <c r="E611" s="331">
        <v>7.44</v>
      </c>
      <c r="F611" s="331"/>
      <c r="G611" s="333">
        <f t="shared" si="10"/>
        <v>2174.5099999999866</v>
      </c>
      <c r="H611" s="334"/>
      <c r="I611" s="335"/>
      <c r="J611" s="336"/>
      <c r="K611" s="301"/>
      <c r="L611" s="336"/>
      <c r="M611" s="301"/>
      <c r="N611" s="336"/>
      <c r="O611" s="301"/>
      <c r="P611" s="336"/>
      <c r="Q611" s="301"/>
      <c r="R611" s="336"/>
      <c r="S611" s="301"/>
      <c r="T611" s="336"/>
    </row>
    <row r="612" spans="1:20" ht="12" customHeight="1" x14ac:dyDescent="0.3">
      <c r="A612" s="329" t="s">
        <v>289</v>
      </c>
      <c r="B612" s="330">
        <v>4</v>
      </c>
      <c r="C612" s="298">
        <v>46091</v>
      </c>
      <c r="D612" s="299" t="s">
        <v>295</v>
      </c>
      <c r="E612" s="331">
        <v>29.53</v>
      </c>
      <c r="F612" s="331"/>
      <c r="G612" s="333">
        <f t="shared" si="10"/>
        <v>2181.9499999999866</v>
      </c>
      <c r="H612" s="334"/>
      <c r="I612" s="335"/>
      <c r="J612" s="336"/>
      <c r="K612" s="301"/>
      <c r="L612" s="336"/>
      <c r="M612" s="301"/>
      <c r="N612" s="336"/>
      <c r="O612" s="301"/>
      <c r="P612" s="336"/>
      <c r="Q612" s="301"/>
      <c r="R612" s="336"/>
      <c r="S612" s="301"/>
      <c r="T612" s="336"/>
    </row>
    <row r="613" spans="1:20" ht="12" customHeight="1" x14ac:dyDescent="0.3">
      <c r="A613" s="329" t="s">
        <v>289</v>
      </c>
      <c r="B613" s="330">
        <v>4</v>
      </c>
      <c r="C613" s="298">
        <v>46091</v>
      </c>
      <c r="D613" s="299" t="s">
        <v>310</v>
      </c>
      <c r="E613" s="331">
        <v>34.119999999999997</v>
      </c>
      <c r="F613" s="331"/>
      <c r="G613" s="333">
        <f t="shared" si="10"/>
        <v>2211.4799999999868</v>
      </c>
      <c r="H613" s="334"/>
      <c r="I613" s="335"/>
      <c r="J613" s="336"/>
      <c r="K613" s="301"/>
      <c r="L613" s="336"/>
      <c r="M613" s="301"/>
      <c r="N613" s="336"/>
      <c r="O613" s="301"/>
      <c r="P613" s="336"/>
      <c r="Q613" s="301"/>
      <c r="R613" s="336"/>
      <c r="S613" s="301"/>
      <c r="T613" s="336"/>
    </row>
    <row r="614" spans="1:20" ht="12" customHeight="1" x14ac:dyDescent="0.3">
      <c r="A614" s="329" t="s">
        <v>289</v>
      </c>
      <c r="B614" s="330">
        <v>2</v>
      </c>
      <c r="C614" s="298">
        <v>46091</v>
      </c>
      <c r="D614" s="299" t="s">
        <v>414</v>
      </c>
      <c r="E614" s="331">
        <v>18.57</v>
      </c>
      <c r="F614" s="331"/>
      <c r="G614" s="333">
        <f t="shared" si="10"/>
        <v>2245.5999999999867</v>
      </c>
      <c r="H614" s="334"/>
      <c r="I614" s="335"/>
      <c r="J614" s="336"/>
      <c r="K614" s="301"/>
      <c r="L614" s="336"/>
      <c r="M614" s="301"/>
      <c r="N614" s="336"/>
      <c r="O614" s="301"/>
      <c r="P614" s="336"/>
      <c r="Q614" s="301"/>
      <c r="R614" s="336"/>
      <c r="S614" s="301"/>
      <c r="T614" s="336"/>
    </row>
    <row r="615" spans="1:20" ht="12" customHeight="1" x14ac:dyDescent="0.3">
      <c r="A615" s="329" t="s">
        <v>294</v>
      </c>
      <c r="B615" s="330">
        <v>16</v>
      </c>
      <c r="C615" s="298">
        <v>46091</v>
      </c>
      <c r="D615" s="299" t="s">
        <v>415</v>
      </c>
      <c r="E615" s="331">
        <v>107</v>
      </c>
      <c r="F615" s="331"/>
      <c r="G615" s="333">
        <f t="shared" si="10"/>
        <v>2264.1699999999869</v>
      </c>
      <c r="H615" s="334"/>
      <c r="I615" s="335"/>
      <c r="J615" s="336"/>
      <c r="K615" s="301"/>
      <c r="L615" s="336"/>
      <c r="M615" s="301"/>
      <c r="N615" s="336"/>
      <c r="O615" s="301"/>
      <c r="P615" s="336"/>
      <c r="Q615" s="301"/>
      <c r="R615" s="336"/>
      <c r="S615" s="301"/>
      <c r="T615" s="336"/>
    </row>
    <row r="616" spans="1:20" ht="12" customHeight="1" x14ac:dyDescent="0.3">
      <c r="A616" s="329" t="s">
        <v>294</v>
      </c>
      <c r="B616" s="330">
        <v>18</v>
      </c>
      <c r="C616" s="298">
        <v>46090</v>
      </c>
      <c r="D616" s="299" t="s">
        <v>361</v>
      </c>
      <c r="E616" s="331">
        <v>400</v>
      </c>
      <c r="F616" s="331"/>
      <c r="G616" s="333">
        <f t="shared" si="10"/>
        <v>2371.1699999999869</v>
      </c>
      <c r="H616" s="334"/>
      <c r="I616" s="335"/>
      <c r="J616" s="336"/>
      <c r="K616" s="301"/>
      <c r="L616" s="336"/>
      <c r="M616" s="301"/>
      <c r="N616" s="336"/>
      <c r="O616" s="301"/>
      <c r="P616" s="336"/>
      <c r="Q616" s="301"/>
      <c r="R616" s="336"/>
      <c r="S616" s="301"/>
      <c r="T616" s="336"/>
    </row>
    <row r="617" spans="1:20" ht="12" customHeight="1" x14ac:dyDescent="0.3">
      <c r="A617" s="329" t="s">
        <v>289</v>
      </c>
      <c r="B617" s="330">
        <v>4</v>
      </c>
      <c r="C617" s="298">
        <v>46090</v>
      </c>
      <c r="D617" s="299" t="s">
        <v>296</v>
      </c>
      <c r="E617" s="331">
        <v>24.69</v>
      </c>
      <c r="F617" s="331"/>
      <c r="G617" s="333">
        <f t="shared" si="10"/>
        <v>2771.1699999999869</v>
      </c>
      <c r="H617" s="334"/>
      <c r="I617" s="335"/>
      <c r="J617" s="336"/>
      <c r="K617" s="301"/>
      <c r="L617" s="336"/>
      <c r="M617" s="301"/>
      <c r="N617" s="336"/>
      <c r="O617" s="301"/>
      <c r="P617" s="336"/>
      <c r="Q617" s="301"/>
      <c r="R617" s="336"/>
      <c r="S617" s="301"/>
      <c r="T617" s="336"/>
    </row>
    <row r="618" spans="1:20" ht="12" customHeight="1" x14ac:dyDescent="0.3">
      <c r="A618" s="329" t="s">
        <v>289</v>
      </c>
      <c r="B618" s="330">
        <v>3</v>
      </c>
      <c r="C618" s="298">
        <v>46090</v>
      </c>
      <c r="D618" s="299" t="s">
        <v>416</v>
      </c>
      <c r="E618" s="331">
        <v>4.59</v>
      </c>
      <c r="F618" s="331"/>
      <c r="G618" s="333">
        <f t="shared" si="10"/>
        <v>2795.8599999999869</v>
      </c>
      <c r="H618" s="334"/>
      <c r="I618" s="335"/>
      <c r="J618" s="336"/>
      <c r="K618" s="301"/>
      <c r="L618" s="336"/>
      <c r="M618" s="301"/>
      <c r="N618" s="336"/>
      <c r="O618" s="301"/>
      <c r="P618" s="336"/>
      <c r="Q618" s="301"/>
      <c r="R618" s="336"/>
      <c r="S618" s="301"/>
      <c r="T618" s="336"/>
    </row>
    <row r="619" spans="1:20" ht="12" customHeight="1" x14ac:dyDescent="0.3">
      <c r="A619" s="329" t="s">
        <v>294</v>
      </c>
      <c r="B619" s="330">
        <v>9</v>
      </c>
      <c r="C619" s="298">
        <v>46090</v>
      </c>
      <c r="D619" s="299" t="s">
        <v>58</v>
      </c>
      <c r="E619" s="331">
        <v>1281.53</v>
      </c>
      <c r="F619" s="331"/>
      <c r="G619" s="333">
        <f t="shared" si="10"/>
        <v>2800.4499999999871</v>
      </c>
      <c r="H619" s="334"/>
      <c r="I619" s="335"/>
      <c r="J619" s="336"/>
      <c r="K619" s="301"/>
      <c r="L619" s="336"/>
      <c r="M619" s="301"/>
      <c r="N619" s="336"/>
      <c r="O619" s="301"/>
      <c r="P619" s="336"/>
      <c r="Q619" s="301"/>
      <c r="R619" s="336"/>
      <c r="S619" s="301"/>
      <c r="T619" s="336"/>
    </row>
    <row r="620" spans="1:20" ht="12" customHeight="1" x14ac:dyDescent="0.3">
      <c r="A620" s="329" t="s">
        <v>289</v>
      </c>
      <c r="B620" s="330">
        <v>7</v>
      </c>
      <c r="C620" s="298">
        <v>46090</v>
      </c>
      <c r="D620" s="299" t="s">
        <v>338</v>
      </c>
      <c r="E620" s="331">
        <v>40.61</v>
      </c>
      <c r="F620" s="331"/>
      <c r="G620" s="333">
        <f t="shared" si="10"/>
        <v>4081.9799999999873</v>
      </c>
      <c r="H620" s="334"/>
      <c r="I620" s="335"/>
      <c r="J620" s="336"/>
      <c r="K620" s="301"/>
      <c r="L620" s="336"/>
      <c r="M620" s="301"/>
      <c r="N620" s="336"/>
      <c r="O620" s="301"/>
      <c r="P620" s="336"/>
      <c r="Q620" s="301"/>
      <c r="R620" s="336"/>
      <c r="S620" s="301"/>
      <c r="T620" s="336"/>
    </row>
    <row r="621" spans="1:20" ht="12" customHeight="1" x14ac:dyDescent="0.3">
      <c r="A621" s="329" t="s">
        <v>287</v>
      </c>
      <c r="B621" s="330" t="s">
        <v>287</v>
      </c>
      <c r="C621" s="298">
        <v>46090</v>
      </c>
      <c r="D621" s="299" t="s">
        <v>417</v>
      </c>
      <c r="E621" s="331">
        <v>380</v>
      </c>
      <c r="F621" s="331">
        <v>380</v>
      </c>
      <c r="G621" s="333">
        <f t="shared" si="10"/>
        <v>4122.5899999999874</v>
      </c>
      <c r="H621" s="334"/>
      <c r="I621" s="335"/>
      <c r="J621" s="336"/>
      <c r="K621" s="301"/>
      <c r="L621" s="336"/>
      <c r="M621" s="301"/>
      <c r="N621" s="336"/>
      <c r="O621" s="301"/>
      <c r="P621" s="336"/>
      <c r="Q621" s="301"/>
      <c r="R621" s="336"/>
      <c r="S621" s="301"/>
      <c r="T621" s="336"/>
    </row>
    <row r="622" spans="1:20" ht="12" customHeight="1" x14ac:dyDescent="0.3">
      <c r="A622" s="329" t="s">
        <v>289</v>
      </c>
      <c r="B622" s="330">
        <v>2</v>
      </c>
      <c r="C622" s="298">
        <v>46090</v>
      </c>
      <c r="D622" s="299" t="s">
        <v>418</v>
      </c>
      <c r="E622" s="331">
        <v>15</v>
      </c>
      <c r="F622" s="331"/>
      <c r="G622" s="333">
        <f t="shared" si="10"/>
        <v>4122.5899999999874</v>
      </c>
      <c r="H622" s="334"/>
      <c r="I622" s="335"/>
      <c r="J622" s="336"/>
      <c r="K622" s="301"/>
      <c r="L622" s="336"/>
      <c r="M622" s="301"/>
      <c r="N622" s="336"/>
      <c r="O622" s="301"/>
      <c r="P622" s="336"/>
      <c r="Q622" s="301"/>
      <c r="R622" s="336"/>
      <c r="S622" s="301"/>
      <c r="T622" s="336"/>
    </row>
    <row r="623" spans="1:20" ht="12" customHeight="1" x14ac:dyDescent="0.3">
      <c r="A623" s="329" t="s">
        <v>289</v>
      </c>
      <c r="B623" s="330">
        <v>2</v>
      </c>
      <c r="C623" s="298">
        <v>46090</v>
      </c>
      <c r="D623" s="299" t="s">
        <v>386</v>
      </c>
      <c r="E623" s="331">
        <v>15</v>
      </c>
      <c r="F623" s="331"/>
      <c r="G623" s="333">
        <f t="shared" si="10"/>
        <v>4137.5899999999874</v>
      </c>
      <c r="H623" s="334"/>
      <c r="I623" s="335"/>
      <c r="J623" s="336"/>
      <c r="K623" s="301"/>
      <c r="L623" s="336"/>
      <c r="M623" s="301"/>
      <c r="N623" s="336"/>
      <c r="O623" s="301"/>
      <c r="P623" s="336"/>
      <c r="Q623" s="301"/>
      <c r="R623" s="336"/>
      <c r="S623" s="301"/>
      <c r="T623" s="336"/>
    </row>
    <row r="624" spans="1:20" ht="12" customHeight="1" x14ac:dyDescent="0.3">
      <c r="A624" s="329" t="s">
        <v>289</v>
      </c>
      <c r="B624" s="330">
        <v>6</v>
      </c>
      <c r="C624" s="298">
        <v>46090</v>
      </c>
      <c r="D624" s="299" t="s">
        <v>300</v>
      </c>
      <c r="E624" s="331">
        <v>70.66</v>
      </c>
      <c r="F624" s="331"/>
      <c r="G624" s="333">
        <f t="shared" si="10"/>
        <v>4152.5899999999874</v>
      </c>
      <c r="H624" s="334"/>
      <c r="I624" s="335"/>
      <c r="J624" s="336"/>
      <c r="K624" s="301"/>
      <c r="L624" s="336"/>
      <c r="M624" s="301"/>
      <c r="N624" s="336"/>
      <c r="O624" s="301"/>
      <c r="P624" s="336"/>
      <c r="Q624" s="301"/>
      <c r="R624" s="336"/>
      <c r="S624" s="301"/>
      <c r="T624" s="336"/>
    </row>
    <row r="625" spans="1:20" ht="12" customHeight="1" x14ac:dyDescent="0.3">
      <c r="A625" s="329" t="s">
        <v>289</v>
      </c>
      <c r="B625" s="330">
        <v>1</v>
      </c>
      <c r="C625" s="298">
        <v>46089</v>
      </c>
      <c r="D625" s="299" t="s">
        <v>311</v>
      </c>
      <c r="E625" s="331">
        <v>109.77</v>
      </c>
      <c r="F625" s="331"/>
      <c r="G625" s="333">
        <f t="shared" si="10"/>
        <v>4223.2499999999873</v>
      </c>
      <c r="H625" s="334"/>
      <c r="I625" s="335"/>
      <c r="J625" s="336"/>
      <c r="K625" s="301"/>
      <c r="L625" s="336"/>
      <c r="M625" s="301"/>
      <c r="N625" s="336"/>
      <c r="O625" s="301"/>
      <c r="P625" s="336"/>
      <c r="Q625" s="301"/>
      <c r="R625" s="336"/>
      <c r="S625" s="301"/>
      <c r="T625" s="336"/>
    </row>
    <row r="626" spans="1:20" ht="12" customHeight="1" x14ac:dyDescent="0.3">
      <c r="A626" s="329" t="s">
        <v>289</v>
      </c>
      <c r="B626" s="330">
        <v>6</v>
      </c>
      <c r="C626" s="298">
        <v>46089</v>
      </c>
      <c r="D626" s="299" t="s">
        <v>306</v>
      </c>
      <c r="E626" s="331">
        <v>9.3800000000000008</v>
      </c>
      <c r="F626" s="331"/>
      <c r="G626" s="333">
        <f t="shared" si="10"/>
        <v>4333.0199999999877</v>
      </c>
      <c r="H626" s="334"/>
      <c r="I626" s="335"/>
      <c r="J626" s="336"/>
      <c r="K626" s="301"/>
      <c r="L626" s="336"/>
      <c r="M626" s="301"/>
      <c r="N626" s="336"/>
      <c r="O626" s="301"/>
      <c r="P626" s="336"/>
      <c r="Q626" s="301"/>
      <c r="R626" s="336"/>
      <c r="S626" s="301"/>
      <c r="T626" s="336"/>
    </row>
    <row r="627" spans="1:20" ht="12" customHeight="1" x14ac:dyDescent="0.3">
      <c r="A627" s="329" t="s">
        <v>289</v>
      </c>
      <c r="B627" s="330">
        <v>3</v>
      </c>
      <c r="C627" s="298">
        <v>46089</v>
      </c>
      <c r="D627" s="299" t="s">
        <v>419</v>
      </c>
      <c r="E627" s="331">
        <v>3.85</v>
      </c>
      <c r="F627" s="331"/>
      <c r="G627" s="333">
        <f t="shared" si="10"/>
        <v>4342.3999999999878</v>
      </c>
      <c r="H627" s="334"/>
      <c r="I627" s="335"/>
      <c r="J627" s="336"/>
      <c r="K627" s="301"/>
      <c r="L627" s="336"/>
      <c r="M627" s="301"/>
      <c r="N627" s="336"/>
      <c r="O627" s="301"/>
      <c r="P627" s="336"/>
      <c r="Q627" s="301"/>
      <c r="R627" s="336"/>
      <c r="S627" s="301"/>
      <c r="T627" s="336"/>
    </row>
    <row r="628" spans="1:20" ht="12" customHeight="1" x14ac:dyDescent="0.3">
      <c r="A628" s="329" t="s">
        <v>289</v>
      </c>
      <c r="B628" s="330">
        <v>2</v>
      </c>
      <c r="C628" s="298">
        <v>46089</v>
      </c>
      <c r="D628" s="299" t="s">
        <v>404</v>
      </c>
      <c r="E628" s="331">
        <v>88.54</v>
      </c>
      <c r="F628" s="331"/>
      <c r="G628" s="333">
        <f t="shared" si="10"/>
        <v>4346.2499999999882</v>
      </c>
      <c r="H628" s="334"/>
      <c r="I628" s="335"/>
      <c r="J628" s="336"/>
      <c r="K628" s="301"/>
      <c r="L628" s="336"/>
      <c r="M628" s="301"/>
      <c r="N628" s="336"/>
      <c r="O628" s="301"/>
      <c r="P628" s="336"/>
      <c r="Q628" s="301"/>
      <c r="R628" s="336"/>
      <c r="S628" s="301"/>
      <c r="T628" s="336"/>
    </row>
    <row r="629" spans="1:20" ht="12" customHeight="1" x14ac:dyDescent="0.3">
      <c r="A629" s="329" t="s">
        <v>289</v>
      </c>
      <c r="B629" s="330">
        <v>2</v>
      </c>
      <c r="C629" s="298">
        <v>46089</v>
      </c>
      <c r="D629" s="299" t="s">
        <v>358</v>
      </c>
      <c r="E629" s="331">
        <v>8.3800000000000008</v>
      </c>
      <c r="F629" s="331"/>
      <c r="G629" s="333">
        <f t="shared" si="10"/>
        <v>4434.7899999999881</v>
      </c>
      <c r="H629" s="334"/>
      <c r="I629" s="335"/>
      <c r="J629" s="336"/>
      <c r="K629" s="301"/>
      <c r="L629" s="336"/>
      <c r="M629" s="301"/>
      <c r="N629" s="336"/>
      <c r="O629" s="301"/>
      <c r="P629" s="336"/>
      <c r="Q629" s="301"/>
      <c r="R629" s="336"/>
      <c r="S629" s="301"/>
      <c r="T629" s="336"/>
    </row>
    <row r="630" spans="1:20" ht="12" customHeight="1" x14ac:dyDescent="0.3">
      <c r="A630" s="329" t="s">
        <v>289</v>
      </c>
      <c r="B630" s="330">
        <v>2</v>
      </c>
      <c r="C630" s="298">
        <v>46089</v>
      </c>
      <c r="D630" s="299" t="s">
        <v>301</v>
      </c>
      <c r="E630" s="331">
        <v>39.549999999999997</v>
      </c>
      <c r="F630" s="331"/>
      <c r="G630" s="333">
        <f t="shared" si="10"/>
        <v>4443.1699999999882</v>
      </c>
      <c r="H630" s="334"/>
      <c r="I630" s="335"/>
      <c r="J630" s="336"/>
      <c r="K630" s="301"/>
      <c r="L630" s="336"/>
      <c r="M630" s="301"/>
      <c r="N630" s="336"/>
      <c r="O630" s="301"/>
      <c r="P630" s="336"/>
      <c r="Q630" s="301"/>
      <c r="R630" s="336"/>
      <c r="S630" s="301"/>
      <c r="T630" s="336"/>
    </row>
    <row r="631" spans="1:20" ht="12" customHeight="1" x14ac:dyDescent="0.3">
      <c r="A631" s="329" t="s">
        <v>289</v>
      </c>
      <c r="B631" s="330">
        <v>4</v>
      </c>
      <c r="C631" s="298">
        <v>46089</v>
      </c>
      <c r="D631" s="299" t="s">
        <v>420</v>
      </c>
      <c r="E631" s="331">
        <v>31.68</v>
      </c>
      <c r="F631" s="331"/>
      <c r="G631" s="333">
        <f t="shared" si="10"/>
        <v>4482.7199999999884</v>
      </c>
      <c r="H631" s="334"/>
      <c r="I631" s="335"/>
      <c r="J631" s="336"/>
      <c r="K631" s="301"/>
      <c r="L631" s="336"/>
      <c r="M631" s="301"/>
      <c r="N631" s="336"/>
      <c r="O631" s="301"/>
      <c r="P631" s="336"/>
      <c r="Q631" s="301"/>
      <c r="R631" s="336"/>
      <c r="S631" s="301"/>
      <c r="T631" s="336"/>
    </row>
    <row r="632" spans="1:20" ht="12" customHeight="1" x14ac:dyDescent="0.3">
      <c r="A632" s="329" t="s">
        <v>289</v>
      </c>
      <c r="B632" s="330">
        <v>8</v>
      </c>
      <c r="C632" s="298">
        <v>46088</v>
      </c>
      <c r="D632" s="299" t="s">
        <v>308</v>
      </c>
      <c r="E632" s="331">
        <v>24.65</v>
      </c>
      <c r="F632" s="331"/>
      <c r="G632" s="333">
        <f t="shared" si="10"/>
        <v>4514.3999999999887</v>
      </c>
      <c r="H632" s="334"/>
      <c r="I632" s="335"/>
      <c r="J632" s="336"/>
      <c r="K632" s="301"/>
      <c r="L632" s="336"/>
      <c r="M632" s="301"/>
      <c r="N632" s="336"/>
      <c r="O632" s="301"/>
      <c r="P632" s="336"/>
      <c r="Q632" s="301"/>
      <c r="R632" s="336"/>
      <c r="S632" s="301"/>
      <c r="T632" s="336"/>
    </row>
    <row r="633" spans="1:20" ht="12" customHeight="1" x14ac:dyDescent="0.3">
      <c r="A633" s="329" t="s">
        <v>289</v>
      </c>
      <c r="B633" s="330">
        <v>2</v>
      </c>
      <c r="C633" s="298">
        <v>46088</v>
      </c>
      <c r="D633" s="299" t="s">
        <v>346</v>
      </c>
      <c r="E633" s="331">
        <v>11.04</v>
      </c>
      <c r="F633" s="331"/>
      <c r="G633" s="333">
        <f t="shared" si="10"/>
        <v>4539.0499999999884</v>
      </c>
      <c r="H633" s="334"/>
      <c r="I633" s="335"/>
      <c r="J633" s="336"/>
      <c r="K633" s="301"/>
      <c r="L633" s="336"/>
      <c r="M633" s="301"/>
      <c r="N633" s="336"/>
      <c r="O633" s="301"/>
      <c r="P633" s="336"/>
      <c r="Q633" s="301"/>
      <c r="R633" s="336"/>
      <c r="S633" s="301"/>
      <c r="T633" s="336"/>
    </row>
    <row r="634" spans="1:20" ht="12" customHeight="1" x14ac:dyDescent="0.3">
      <c r="A634" s="329" t="s">
        <v>289</v>
      </c>
      <c r="B634" s="330">
        <v>8</v>
      </c>
      <c r="C634" s="298">
        <v>46088</v>
      </c>
      <c r="D634" s="299" t="s">
        <v>319</v>
      </c>
      <c r="E634" s="331">
        <v>11.5</v>
      </c>
      <c r="F634" s="331"/>
      <c r="G634" s="333">
        <f t="shared" si="10"/>
        <v>4550.0899999999883</v>
      </c>
      <c r="H634" s="334"/>
      <c r="I634" s="335"/>
      <c r="J634" s="336"/>
      <c r="K634" s="301"/>
      <c r="L634" s="336"/>
      <c r="M634" s="301"/>
      <c r="N634" s="336"/>
      <c r="O634" s="301"/>
      <c r="P634" s="336"/>
      <c r="Q634" s="301"/>
      <c r="R634" s="336"/>
      <c r="S634" s="301"/>
      <c r="T634" s="336"/>
    </row>
    <row r="635" spans="1:20" ht="12" customHeight="1" x14ac:dyDescent="0.3">
      <c r="A635" s="329" t="s">
        <v>289</v>
      </c>
      <c r="B635" s="330">
        <v>8</v>
      </c>
      <c r="C635" s="298">
        <v>46088</v>
      </c>
      <c r="D635" s="299" t="s">
        <v>296</v>
      </c>
      <c r="E635" s="331">
        <v>12.44</v>
      </c>
      <c r="F635" s="331"/>
      <c r="G635" s="333">
        <f t="shared" si="10"/>
        <v>4561.5899999999883</v>
      </c>
      <c r="H635" s="334"/>
      <c r="I635" s="335"/>
      <c r="J635" s="336"/>
      <c r="K635" s="301"/>
      <c r="L635" s="336"/>
      <c r="M635" s="301"/>
      <c r="N635" s="336"/>
      <c r="O635" s="301"/>
      <c r="P635" s="336"/>
      <c r="Q635" s="301"/>
      <c r="R635" s="336"/>
      <c r="S635" s="301"/>
      <c r="T635" s="336"/>
    </row>
    <row r="636" spans="1:20" ht="12" customHeight="1" x14ac:dyDescent="0.3">
      <c r="A636" s="329" t="s">
        <v>289</v>
      </c>
      <c r="B636" s="330">
        <v>4</v>
      </c>
      <c r="C636" s="298">
        <v>46088</v>
      </c>
      <c r="D636" s="299" t="s">
        <v>296</v>
      </c>
      <c r="E636" s="331">
        <v>23.62</v>
      </c>
      <c r="F636" s="331"/>
      <c r="G636" s="333">
        <f t="shared" si="10"/>
        <v>4574.0299999999879</v>
      </c>
      <c r="H636" s="334"/>
      <c r="I636" s="335"/>
      <c r="J636" s="336"/>
      <c r="K636" s="301"/>
      <c r="L636" s="336"/>
      <c r="M636" s="301"/>
      <c r="N636" s="336"/>
      <c r="O636" s="301"/>
      <c r="P636" s="336"/>
      <c r="Q636" s="301"/>
      <c r="R636" s="336"/>
      <c r="S636" s="301"/>
      <c r="T636" s="336"/>
    </row>
    <row r="637" spans="1:20" ht="12" customHeight="1" x14ac:dyDescent="0.3">
      <c r="A637" s="329" t="s">
        <v>289</v>
      </c>
      <c r="B637" s="330">
        <v>2</v>
      </c>
      <c r="C637" s="298">
        <v>46088</v>
      </c>
      <c r="D637" s="299" t="s">
        <v>301</v>
      </c>
      <c r="E637" s="331">
        <v>36.049999999999997</v>
      </c>
      <c r="F637" s="331"/>
      <c r="G637" s="333">
        <f t="shared" si="10"/>
        <v>4597.6499999999878</v>
      </c>
      <c r="H637" s="334"/>
      <c r="I637" s="335"/>
      <c r="J637" s="336"/>
      <c r="K637" s="301"/>
      <c r="L637" s="336"/>
      <c r="M637" s="301"/>
      <c r="N637" s="336"/>
      <c r="O637" s="301"/>
      <c r="P637" s="336"/>
      <c r="Q637" s="301"/>
      <c r="R637" s="336"/>
      <c r="S637" s="301"/>
      <c r="T637" s="336"/>
    </row>
    <row r="638" spans="1:20" ht="12" customHeight="1" x14ac:dyDescent="0.3">
      <c r="A638" s="329" t="s">
        <v>294</v>
      </c>
      <c r="B638" s="330">
        <v>14</v>
      </c>
      <c r="C638" s="298">
        <v>46087</v>
      </c>
      <c r="D638" s="299" t="s">
        <v>366</v>
      </c>
      <c r="E638" s="331">
        <v>66.67</v>
      </c>
      <c r="F638" s="331"/>
      <c r="G638" s="333">
        <f t="shared" si="10"/>
        <v>4633.699999999988</v>
      </c>
      <c r="H638" s="334"/>
      <c r="I638" s="335"/>
      <c r="J638" s="336"/>
      <c r="K638" s="301"/>
      <c r="L638" s="336"/>
      <c r="M638" s="301"/>
      <c r="N638" s="336"/>
      <c r="O638" s="301"/>
      <c r="P638" s="336"/>
      <c r="Q638" s="301"/>
      <c r="R638" s="336"/>
      <c r="S638" s="301"/>
      <c r="T638" s="336"/>
    </row>
    <row r="639" spans="1:20" ht="12" customHeight="1" x14ac:dyDescent="0.3">
      <c r="A639" s="329" t="s">
        <v>289</v>
      </c>
      <c r="B639" s="330">
        <v>2</v>
      </c>
      <c r="C639" s="298">
        <v>46087</v>
      </c>
      <c r="D639" s="299" t="s">
        <v>296</v>
      </c>
      <c r="E639" s="331">
        <v>17.850000000000001</v>
      </c>
      <c r="F639" s="331"/>
      <c r="G639" s="333">
        <f t="shared" si="10"/>
        <v>4700.3699999999881</v>
      </c>
      <c r="H639" s="334"/>
      <c r="I639" s="335"/>
      <c r="J639" s="336"/>
      <c r="K639" s="301"/>
      <c r="L639" s="336"/>
      <c r="M639" s="301"/>
      <c r="N639" s="336"/>
      <c r="O639" s="301"/>
      <c r="P639" s="336"/>
      <c r="Q639" s="301"/>
      <c r="R639" s="336"/>
      <c r="S639" s="301"/>
      <c r="T639" s="336"/>
    </row>
    <row r="640" spans="1:20" ht="12" customHeight="1" x14ac:dyDescent="0.3">
      <c r="A640" s="329" t="s">
        <v>289</v>
      </c>
      <c r="B640" s="330">
        <v>1</v>
      </c>
      <c r="C640" s="298">
        <v>46087</v>
      </c>
      <c r="D640" s="299" t="s">
        <v>304</v>
      </c>
      <c r="E640" s="331">
        <v>112.13</v>
      </c>
      <c r="F640" s="331"/>
      <c r="G640" s="333">
        <f t="shared" si="10"/>
        <v>4718.2199999999884</v>
      </c>
      <c r="H640" s="334"/>
      <c r="I640" s="335"/>
      <c r="J640" s="336"/>
      <c r="K640" s="301"/>
      <c r="L640" s="336"/>
      <c r="M640" s="301"/>
      <c r="N640" s="336"/>
      <c r="O640" s="301"/>
      <c r="P640" s="336"/>
      <c r="Q640" s="301"/>
      <c r="R640" s="336"/>
      <c r="S640" s="301"/>
      <c r="T640" s="336"/>
    </row>
    <row r="641" spans="1:20" ht="12" customHeight="1" x14ac:dyDescent="0.3">
      <c r="A641" s="329" t="s">
        <v>289</v>
      </c>
      <c r="B641" s="330">
        <v>3</v>
      </c>
      <c r="C641" s="298">
        <v>46087</v>
      </c>
      <c r="D641" s="299" t="s">
        <v>324</v>
      </c>
      <c r="E641" s="331">
        <v>7.31</v>
      </c>
      <c r="F641" s="331"/>
      <c r="G641" s="333">
        <f t="shared" si="10"/>
        <v>4830.3499999999885</v>
      </c>
      <c r="H641" s="334"/>
      <c r="I641" s="335"/>
      <c r="J641" s="336"/>
      <c r="K641" s="301"/>
      <c r="L641" s="336"/>
      <c r="M641" s="301"/>
      <c r="N641" s="336"/>
      <c r="O641" s="301"/>
      <c r="P641" s="336"/>
      <c r="Q641" s="301"/>
      <c r="R641" s="336"/>
      <c r="S641" s="301"/>
      <c r="T641" s="336"/>
    </row>
    <row r="642" spans="1:20" ht="12" customHeight="1" x14ac:dyDescent="0.3">
      <c r="A642" s="329" t="s">
        <v>291</v>
      </c>
      <c r="B642" s="330">
        <v>39</v>
      </c>
      <c r="C642" s="298">
        <v>46086</v>
      </c>
      <c r="D642" s="299" t="s">
        <v>292</v>
      </c>
      <c r="E642" s="331"/>
      <c r="F642" s="331">
        <v>2763.78</v>
      </c>
      <c r="G642" s="333">
        <f t="shared" si="10"/>
        <v>4837.6599999999889</v>
      </c>
      <c r="H642" s="334"/>
      <c r="I642" s="335"/>
      <c r="J642" s="336"/>
      <c r="K642" s="301"/>
      <c r="L642" s="336"/>
      <c r="M642" s="301"/>
      <c r="N642" s="336"/>
      <c r="O642" s="301"/>
      <c r="P642" s="336"/>
      <c r="Q642" s="301"/>
      <c r="R642" s="336"/>
      <c r="S642" s="301"/>
      <c r="T642" s="336"/>
    </row>
    <row r="643" spans="1:20" ht="12" customHeight="1" x14ac:dyDescent="0.3">
      <c r="A643" s="329" t="s">
        <v>289</v>
      </c>
      <c r="B643" s="330">
        <v>4</v>
      </c>
      <c r="C643" s="298">
        <v>46086</v>
      </c>
      <c r="D643" s="299" t="s">
        <v>295</v>
      </c>
      <c r="E643" s="331">
        <v>31.52</v>
      </c>
      <c r="F643" s="331"/>
      <c r="G643" s="333">
        <f t="shared" si="10"/>
        <v>2073.8799999999892</v>
      </c>
      <c r="H643" s="334"/>
      <c r="I643" s="335"/>
      <c r="J643" s="336"/>
      <c r="K643" s="301"/>
      <c r="L643" s="336"/>
      <c r="M643" s="301"/>
      <c r="N643" s="336"/>
      <c r="O643" s="301"/>
      <c r="P643" s="336"/>
      <c r="Q643" s="301"/>
      <c r="R643" s="336"/>
      <c r="S643" s="301"/>
      <c r="T643" s="336"/>
    </row>
    <row r="644" spans="1:20" ht="12" customHeight="1" x14ac:dyDescent="0.3">
      <c r="A644" s="329" t="s">
        <v>289</v>
      </c>
      <c r="B644" s="330">
        <v>2</v>
      </c>
      <c r="C644" s="298">
        <v>46086</v>
      </c>
      <c r="D644" s="299" t="s">
        <v>358</v>
      </c>
      <c r="E644" s="331">
        <v>14.86</v>
      </c>
      <c r="F644" s="331"/>
      <c r="G644" s="333">
        <f t="shared" si="10"/>
        <v>2105.3999999999892</v>
      </c>
      <c r="H644" s="334"/>
      <c r="I644" s="335"/>
      <c r="J644" s="336"/>
      <c r="K644" s="301"/>
      <c r="L644" s="336"/>
      <c r="M644" s="301"/>
      <c r="N644" s="336"/>
      <c r="O644" s="301"/>
      <c r="P644" s="336"/>
      <c r="Q644" s="301"/>
      <c r="R644" s="336"/>
      <c r="S644" s="301"/>
      <c r="T644" s="336"/>
    </row>
    <row r="645" spans="1:20" ht="12" customHeight="1" x14ac:dyDescent="0.3">
      <c r="A645" s="329" t="s">
        <v>289</v>
      </c>
      <c r="B645" s="330">
        <v>8</v>
      </c>
      <c r="C645" s="298">
        <v>46086</v>
      </c>
      <c r="D645" s="299" t="s">
        <v>409</v>
      </c>
      <c r="E645" s="331">
        <v>44.99</v>
      </c>
      <c r="F645" s="331"/>
      <c r="G645" s="333">
        <f t="shared" si="10"/>
        <v>2120.2599999999893</v>
      </c>
      <c r="H645" s="334"/>
      <c r="I645" s="335"/>
      <c r="J645" s="336"/>
      <c r="K645" s="301"/>
      <c r="L645" s="336"/>
      <c r="M645" s="301"/>
      <c r="N645" s="336"/>
      <c r="O645" s="301"/>
      <c r="P645" s="336"/>
      <c r="Q645" s="301"/>
      <c r="R645" s="336"/>
      <c r="S645" s="301"/>
      <c r="T645" s="336"/>
    </row>
    <row r="646" spans="1:20" ht="12" customHeight="1" x14ac:dyDescent="0.3">
      <c r="A646" s="329" t="s">
        <v>289</v>
      </c>
      <c r="B646" s="330">
        <v>2</v>
      </c>
      <c r="C646" s="298">
        <v>46085</v>
      </c>
      <c r="D646" s="299" t="s">
        <v>421</v>
      </c>
      <c r="E646" s="331">
        <v>15</v>
      </c>
      <c r="F646" s="331"/>
      <c r="G646" s="333">
        <f t="shared" si="10"/>
        <v>2165.2499999999891</v>
      </c>
      <c r="H646" s="334"/>
      <c r="I646" s="335"/>
      <c r="J646" s="336"/>
      <c r="K646" s="301"/>
      <c r="L646" s="336"/>
      <c r="M646" s="301"/>
      <c r="N646" s="336"/>
      <c r="O646" s="301"/>
      <c r="P646" s="336"/>
      <c r="Q646" s="301"/>
      <c r="R646" s="336"/>
      <c r="S646" s="301"/>
      <c r="T646" s="336"/>
    </row>
    <row r="647" spans="1:20" ht="12" customHeight="1" x14ac:dyDescent="0.3">
      <c r="A647" s="329" t="s">
        <v>289</v>
      </c>
      <c r="B647" s="330">
        <v>2</v>
      </c>
      <c r="C647" s="298">
        <v>46085</v>
      </c>
      <c r="D647" s="299" t="s">
        <v>296</v>
      </c>
      <c r="E647" s="331">
        <v>10.84</v>
      </c>
      <c r="F647" s="331"/>
      <c r="G647" s="333">
        <f t="shared" si="10"/>
        <v>2180.2499999999891</v>
      </c>
      <c r="H647" s="334"/>
      <c r="I647" s="335"/>
      <c r="J647" s="336"/>
      <c r="K647" s="301"/>
      <c r="L647" s="336"/>
      <c r="M647" s="301"/>
      <c r="N647" s="336"/>
      <c r="O647" s="301"/>
      <c r="P647" s="336"/>
      <c r="Q647" s="301"/>
      <c r="R647" s="336"/>
      <c r="S647" s="301"/>
      <c r="T647" s="336"/>
    </row>
    <row r="648" spans="1:20" ht="12" customHeight="1" x14ac:dyDescent="0.3">
      <c r="A648" s="329" t="s">
        <v>294</v>
      </c>
      <c r="B648" s="330">
        <v>14</v>
      </c>
      <c r="C648" s="298">
        <v>46085</v>
      </c>
      <c r="D648" s="299" t="s">
        <v>367</v>
      </c>
      <c r="E648" s="331">
        <v>68.739999999999995</v>
      </c>
      <c r="F648" s="331"/>
      <c r="G648" s="333">
        <f t="shared" si="10"/>
        <v>2191.0899999999892</v>
      </c>
      <c r="H648" s="334"/>
      <c r="I648" s="335"/>
      <c r="J648" s="336"/>
      <c r="K648" s="301"/>
      <c r="L648" s="336"/>
      <c r="M648" s="301"/>
      <c r="N648" s="336"/>
      <c r="O648" s="301"/>
      <c r="P648" s="336"/>
      <c r="Q648" s="301"/>
      <c r="R648" s="336"/>
      <c r="S648" s="301"/>
      <c r="T648" s="336"/>
    </row>
    <row r="649" spans="1:20" ht="12" customHeight="1" x14ac:dyDescent="0.3">
      <c r="A649" s="329" t="s">
        <v>289</v>
      </c>
      <c r="B649" s="330">
        <v>4</v>
      </c>
      <c r="C649" s="298">
        <v>46085</v>
      </c>
      <c r="D649" s="299" t="s">
        <v>310</v>
      </c>
      <c r="E649" s="331">
        <v>30.67</v>
      </c>
      <c r="F649" s="331"/>
      <c r="G649" s="333">
        <f t="shared" si="10"/>
        <v>2259.829999999989</v>
      </c>
      <c r="H649" s="334"/>
      <c r="I649" s="335"/>
      <c r="J649" s="336"/>
      <c r="K649" s="301"/>
      <c r="L649" s="336"/>
      <c r="M649" s="301"/>
      <c r="N649" s="336"/>
      <c r="O649" s="301"/>
      <c r="P649" s="336"/>
      <c r="Q649" s="301"/>
      <c r="R649" s="336"/>
      <c r="S649" s="301"/>
      <c r="T649" s="336"/>
    </row>
    <row r="650" spans="1:20" ht="12" customHeight="1" x14ac:dyDescent="0.3">
      <c r="A650" s="329" t="s">
        <v>294</v>
      </c>
      <c r="B650" s="330">
        <v>17</v>
      </c>
      <c r="C650" s="298">
        <v>46085</v>
      </c>
      <c r="D650" s="299" t="s">
        <v>370</v>
      </c>
      <c r="E650" s="331">
        <v>99</v>
      </c>
      <c r="F650" s="331"/>
      <c r="G650" s="333">
        <f t="shared" si="10"/>
        <v>2290.4999999999891</v>
      </c>
      <c r="H650" s="334"/>
      <c r="I650" s="335"/>
      <c r="J650" s="336"/>
      <c r="K650" s="301"/>
      <c r="L650" s="336"/>
      <c r="M650" s="301"/>
      <c r="N650" s="336"/>
      <c r="O650" s="301"/>
      <c r="P650" s="336"/>
      <c r="Q650" s="301"/>
      <c r="R650" s="336"/>
      <c r="S650" s="301"/>
      <c r="T650" s="336"/>
    </row>
    <row r="651" spans="1:20" ht="12" customHeight="1" x14ac:dyDescent="0.3">
      <c r="A651" s="329" t="s">
        <v>294</v>
      </c>
      <c r="B651" s="330">
        <v>21</v>
      </c>
      <c r="C651" s="298">
        <v>46084</v>
      </c>
      <c r="D651" s="299" t="s">
        <v>194</v>
      </c>
      <c r="E651" s="331">
        <v>40.72</v>
      </c>
      <c r="F651" s="331"/>
      <c r="G651" s="333">
        <f t="shared" si="10"/>
        <v>2389.4999999999891</v>
      </c>
      <c r="H651" s="334"/>
      <c r="I651" s="335"/>
      <c r="J651" s="336"/>
      <c r="K651" s="301"/>
      <c r="L651" s="336"/>
      <c r="M651" s="301"/>
      <c r="N651" s="336"/>
      <c r="O651" s="301"/>
      <c r="P651" s="336"/>
      <c r="Q651" s="301"/>
      <c r="R651" s="336"/>
      <c r="S651" s="301"/>
      <c r="T651" s="336"/>
    </row>
    <row r="652" spans="1:20" ht="12" customHeight="1" x14ac:dyDescent="0.3">
      <c r="A652" s="329" t="s">
        <v>284</v>
      </c>
      <c r="B652" s="330">
        <v>36</v>
      </c>
      <c r="C652" s="298">
        <v>46084</v>
      </c>
      <c r="D652" s="299" t="s">
        <v>374</v>
      </c>
      <c r="E652" s="331">
        <v>50</v>
      </c>
      <c r="F652" s="331"/>
      <c r="G652" s="333">
        <f t="shared" si="10"/>
        <v>2430.2199999999889</v>
      </c>
      <c r="H652" s="334"/>
      <c r="I652" s="335"/>
      <c r="J652" s="336"/>
      <c r="K652" s="301"/>
      <c r="L652" s="336"/>
      <c r="M652" s="301"/>
      <c r="N652" s="336"/>
      <c r="O652" s="301"/>
      <c r="P652" s="336"/>
      <c r="Q652" s="301"/>
      <c r="R652" s="336"/>
      <c r="S652" s="301"/>
      <c r="T652" s="336"/>
    </row>
    <row r="653" spans="1:20" ht="12" customHeight="1" x14ac:dyDescent="0.3">
      <c r="A653" s="329" t="s">
        <v>289</v>
      </c>
      <c r="B653" s="330">
        <v>2</v>
      </c>
      <c r="C653" s="298">
        <v>46084</v>
      </c>
      <c r="D653" s="299" t="s">
        <v>296</v>
      </c>
      <c r="E653" s="331">
        <v>14.67</v>
      </c>
      <c r="F653" s="331"/>
      <c r="G653" s="333">
        <f t="shared" si="10"/>
        <v>2480.2199999999889</v>
      </c>
      <c r="H653" s="334"/>
      <c r="I653" s="335"/>
      <c r="J653" s="336"/>
      <c r="K653" s="301"/>
      <c r="L653" s="336"/>
      <c r="M653" s="301"/>
      <c r="N653" s="336"/>
      <c r="O653" s="301"/>
      <c r="P653" s="336"/>
      <c r="Q653" s="301"/>
      <c r="R653" s="336"/>
      <c r="S653" s="301"/>
      <c r="T653" s="336"/>
    </row>
    <row r="654" spans="1:20" ht="12" customHeight="1" x14ac:dyDescent="0.3">
      <c r="A654" s="329" t="s">
        <v>289</v>
      </c>
      <c r="B654" s="330">
        <v>4</v>
      </c>
      <c r="C654" s="298">
        <v>46084</v>
      </c>
      <c r="D654" s="299" t="s">
        <v>296</v>
      </c>
      <c r="E654" s="331">
        <v>27.42</v>
      </c>
      <c r="F654" s="331"/>
      <c r="G654" s="333">
        <f t="shared" si="10"/>
        <v>2494.889999999989</v>
      </c>
      <c r="H654" s="334"/>
      <c r="I654" s="335"/>
      <c r="J654" s="336"/>
      <c r="K654" s="301"/>
      <c r="L654" s="336"/>
      <c r="M654" s="301"/>
      <c r="N654" s="336"/>
      <c r="O654" s="301"/>
      <c r="P654" s="336"/>
      <c r="Q654" s="301"/>
      <c r="R654" s="336"/>
      <c r="S654" s="301"/>
      <c r="T654" s="336"/>
    </row>
    <row r="655" spans="1:20" ht="12" customHeight="1" x14ac:dyDescent="0.3">
      <c r="A655" s="329" t="s">
        <v>289</v>
      </c>
      <c r="B655" s="330">
        <v>6</v>
      </c>
      <c r="C655" s="298">
        <v>46084</v>
      </c>
      <c r="D655" s="299" t="s">
        <v>422</v>
      </c>
      <c r="E655" s="331">
        <v>106.27</v>
      </c>
      <c r="F655" s="331"/>
      <c r="G655" s="333">
        <f t="shared" si="10"/>
        <v>2522.309999999989</v>
      </c>
      <c r="H655" s="334"/>
      <c r="I655" s="335"/>
      <c r="J655" s="336"/>
      <c r="K655" s="301"/>
      <c r="L655" s="336"/>
      <c r="M655" s="301"/>
      <c r="N655" s="336"/>
      <c r="O655" s="301"/>
      <c r="P655" s="336"/>
      <c r="Q655" s="301"/>
      <c r="R655" s="336"/>
      <c r="S655" s="301"/>
      <c r="T655" s="336"/>
    </row>
    <row r="656" spans="1:20" ht="12" customHeight="1" x14ac:dyDescent="0.3">
      <c r="A656" s="329" t="s">
        <v>289</v>
      </c>
      <c r="B656" s="330">
        <v>6</v>
      </c>
      <c r="C656" s="298">
        <v>46084</v>
      </c>
      <c r="D656" s="299" t="s">
        <v>422</v>
      </c>
      <c r="E656" s="331">
        <v>-107</v>
      </c>
      <c r="F656" s="331"/>
      <c r="G656" s="333">
        <f t="shared" si="10"/>
        <v>2628.579999999989</v>
      </c>
      <c r="H656" s="334" t="s">
        <v>298</v>
      </c>
      <c r="I656" s="335"/>
      <c r="J656" s="336"/>
      <c r="K656" s="301"/>
      <c r="L656" s="336"/>
      <c r="M656" s="301"/>
      <c r="N656" s="336"/>
      <c r="O656" s="301"/>
      <c r="P656" s="336"/>
      <c r="Q656" s="301"/>
      <c r="R656" s="336"/>
      <c r="S656" s="301"/>
      <c r="T656" s="336"/>
    </row>
    <row r="657" spans="1:20" ht="12" customHeight="1" x14ac:dyDescent="0.3">
      <c r="A657" s="329" t="s">
        <v>289</v>
      </c>
      <c r="B657" s="330">
        <v>2</v>
      </c>
      <c r="C657" s="298">
        <v>46083</v>
      </c>
      <c r="D657" s="299" t="s">
        <v>301</v>
      </c>
      <c r="E657" s="331">
        <v>20</v>
      </c>
      <c r="F657" s="331"/>
      <c r="G657" s="333">
        <f t="shared" si="10"/>
        <v>2521.579999999989</v>
      </c>
      <c r="H657" s="334"/>
      <c r="I657" s="335"/>
      <c r="J657" s="336"/>
      <c r="K657" s="301"/>
      <c r="L657" s="336"/>
      <c r="M657" s="301"/>
      <c r="N657" s="336"/>
      <c r="O657" s="301"/>
      <c r="P657" s="336"/>
      <c r="Q657" s="301"/>
      <c r="R657" s="336"/>
      <c r="S657" s="301"/>
      <c r="T657" s="336"/>
    </row>
    <row r="658" spans="1:20" ht="12" customHeight="1" x14ac:dyDescent="0.3">
      <c r="A658" s="329" t="s">
        <v>287</v>
      </c>
      <c r="B658" s="330" t="s">
        <v>287</v>
      </c>
      <c r="C658" s="298">
        <v>46083</v>
      </c>
      <c r="D658" s="299" t="s">
        <v>288</v>
      </c>
      <c r="E658" s="331">
        <v>185.64</v>
      </c>
      <c r="F658" s="331">
        <v>185.64</v>
      </c>
      <c r="G658" s="333">
        <f t="shared" si="10"/>
        <v>2541.579999999989</v>
      </c>
      <c r="H658" s="334"/>
      <c r="I658" s="335"/>
      <c r="J658" s="336"/>
      <c r="K658" s="301"/>
      <c r="L658" s="336"/>
      <c r="M658" s="301"/>
      <c r="N658" s="336"/>
      <c r="O658" s="301"/>
      <c r="P658" s="336"/>
      <c r="Q658" s="301"/>
      <c r="R658" s="336"/>
      <c r="S658" s="301"/>
      <c r="T658" s="336"/>
    </row>
    <row r="659" spans="1:20" ht="12" customHeight="1" x14ac:dyDescent="0.3">
      <c r="A659" s="329" t="s">
        <v>289</v>
      </c>
      <c r="B659" s="330">
        <v>2</v>
      </c>
      <c r="C659" s="298">
        <v>46083</v>
      </c>
      <c r="D659" s="299" t="s">
        <v>424</v>
      </c>
      <c r="E659" s="331">
        <v>70.12</v>
      </c>
      <c r="F659" s="331"/>
      <c r="G659" s="333">
        <f t="shared" si="10"/>
        <v>2541.579999999989</v>
      </c>
      <c r="H659" s="334"/>
      <c r="I659" s="335"/>
      <c r="J659" s="336"/>
      <c r="K659" s="301"/>
      <c r="L659" s="336"/>
      <c r="M659" s="301"/>
      <c r="N659" s="336"/>
      <c r="O659" s="301"/>
      <c r="P659" s="336"/>
      <c r="Q659" s="301"/>
      <c r="R659" s="336"/>
      <c r="S659" s="301"/>
      <c r="T659" s="336"/>
    </row>
    <row r="660" spans="1:20" ht="12" customHeight="1" x14ac:dyDescent="0.3">
      <c r="A660" s="329" t="s">
        <v>294</v>
      </c>
      <c r="B660" s="330">
        <v>17</v>
      </c>
      <c r="C660" s="298">
        <v>46083</v>
      </c>
      <c r="D660" s="299" t="s">
        <v>188</v>
      </c>
      <c r="E660" s="331">
        <v>41.44</v>
      </c>
      <c r="F660" s="331"/>
      <c r="G660" s="333">
        <f t="shared" si="10"/>
        <v>2611.6999999999889</v>
      </c>
      <c r="H660" s="334"/>
      <c r="I660" s="335"/>
      <c r="J660" s="336"/>
      <c r="K660" s="301"/>
      <c r="L660" s="336"/>
      <c r="M660" s="301"/>
      <c r="N660" s="336"/>
      <c r="O660" s="301"/>
      <c r="P660" s="336"/>
      <c r="Q660" s="301"/>
      <c r="R660" s="336"/>
      <c r="S660" s="301"/>
      <c r="T660" s="336"/>
    </row>
    <row r="661" spans="1:20" ht="12" customHeight="1" x14ac:dyDescent="0.3">
      <c r="A661" s="329" t="s">
        <v>289</v>
      </c>
      <c r="B661" s="330">
        <v>8</v>
      </c>
      <c r="C661" s="298">
        <v>46083</v>
      </c>
      <c r="D661" s="299" t="s">
        <v>296</v>
      </c>
      <c r="E661" s="331">
        <v>8.7200000000000006</v>
      </c>
      <c r="F661" s="331"/>
      <c r="G661" s="333">
        <f t="shared" si="10"/>
        <v>2653.139999999989</v>
      </c>
      <c r="H661" s="334"/>
      <c r="I661" s="335"/>
      <c r="J661" s="336"/>
      <c r="K661" s="301"/>
      <c r="L661" s="336"/>
      <c r="M661" s="301"/>
      <c r="N661" s="336"/>
      <c r="O661" s="301"/>
      <c r="P661" s="336"/>
      <c r="Q661" s="301"/>
      <c r="R661" s="336"/>
      <c r="S661" s="301"/>
      <c r="T661" s="336"/>
    </row>
    <row r="662" spans="1:20" ht="12" customHeight="1" x14ac:dyDescent="0.3">
      <c r="A662" s="329" t="s">
        <v>294</v>
      </c>
      <c r="B662" s="330">
        <v>22</v>
      </c>
      <c r="C662" s="298">
        <v>46082</v>
      </c>
      <c r="D662" s="299" t="s">
        <v>375</v>
      </c>
      <c r="E662" s="331">
        <v>6.37</v>
      </c>
      <c r="F662" s="331"/>
      <c r="G662" s="333">
        <f t="shared" si="10"/>
        <v>2661.8599999999888</v>
      </c>
      <c r="H662" s="334"/>
      <c r="I662" s="335"/>
      <c r="J662" s="336"/>
      <c r="K662" s="301"/>
      <c r="L662" s="336"/>
      <c r="M662" s="301"/>
      <c r="N662" s="336"/>
      <c r="O662" s="301"/>
      <c r="P662" s="336"/>
      <c r="Q662" s="301"/>
      <c r="R662" s="336"/>
      <c r="S662" s="301"/>
      <c r="T662" s="336"/>
    </row>
    <row r="663" spans="1:20" ht="12" customHeight="1" x14ac:dyDescent="0.3">
      <c r="A663" s="329" t="s">
        <v>289</v>
      </c>
      <c r="B663" s="330">
        <v>2</v>
      </c>
      <c r="C663" s="298">
        <v>46082</v>
      </c>
      <c r="D663" s="299" t="s">
        <v>296</v>
      </c>
      <c r="E663" s="331">
        <v>9.8699999999999992</v>
      </c>
      <c r="F663" s="331"/>
      <c r="G663" s="333">
        <f t="shared" si="10"/>
        <v>2668.2299999999886</v>
      </c>
      <c r="H663" s="334"/>
      <c r="I663" s="335"/>
      <c r="J663" s="336"/>
      <c r="K663" s="301"/>
      <c r="L663" s="336"/>
      <c r="M663" s="301"/>
      <c r="N663" s="336"/>
      <c r="O663" s="301"/>
      <c r="P663" s="336"/>
      <c r="Q663" s="301"/>
      <c r="R663" s="336"/>
      <c r="S663" s="301"/>
      <c r="T663" s="336"/>
    </row>
    <row r="664" spans="1:20" ht="12" customHeight="1" x14ac:dyDescent="0.3">
      <c r="A664" s="329" t="s">
        <v>289</v>
      </c>
      <c r="B664" s="330">
        <v>1</v>
      </c>
      <c r="C664" s="298">
        <v>46082</v>
      </c>
      <c r="D664" s="299" t="s">
        <v>311</v>
      </c>
      <c r="E664" s="331">
        <v>119.55</v>
      </c>
      <c r="F664" s="331"/>
      <c r="G664" s="333">
        <f t="shared" si="10"/>
        <v>2678.0999999999885</v>
      </c>
      <c r="H664" s="334"/>
      <c r="I664" s="335"/>
      <c r="J664" s="336"/>
      <c r="K664" s="301"/>
      <c r="L664" s="336"/>
      <c r="M664" s="301"/>
      <c r="N664" s="336"/>
      <c r="O664" s="301"/>
      <c r="P664" s="336"/>
      <c r="Q664" s="301"/>
      <c r="R664" s="336"/>
      <c r="S664" s="301"/>
      <c r="T664" s="336"/>
    </row>
    <row r="665" spans="1:20" ht="12" customHeight="1" x14ac:dyDescent="0.3">
      <c r="A665" s="329" t="s">
        <v>289</v>
      </c>
      <c r="B665" s="330">
        <v>3</v>
      </c>
      <c r="C665" s="298">
        <v>46082</v>
      </c>
      <c r="D665" s="299" t="s">
        <v>348</v>
      </c>
      <c r="E665" s="331">
        <v>25</v>
      </c>
      <c r="F665" s="331"/>
      <c r="G665" s="333">
        <f t="shared" si="10"/>
        <v>2797.6499999999887</v>
      </c>
      <c r="H665" s="334"/>
      <c r="I665" s="335"/>
      <c r="J665" s="336"/>
      <c r="K665" s="301"/>
      <c r="L665" s="336"/>
      <c r="M665" s="301"/>
      <c r="N665" s="336"/>
      <c r="O665" s="301"/>
      <c r="P665" s="336"/>
      <c r="Q665" s="301"/>
      <c r="R665" s="336"/>
      <c r="S665" s="301"/>
      <c r="T665" s="336"/>
    </row>
    <row r="666" spans="1:20" ht="12" customHeight="1" x14ac:dyDescent="0.3">
      <c r="A666" s="329" t="s">
        <v>289</v>
      </c>
      <c r="B666" s="330">
        <v>1</v>
      </c>
      <c r="C666" s="298">
        <v>46082</v>
      </c>
      <c r="D666" s="299" t="s">
        <v>304</v>
      </c>
      <c r="E666" s="331">
        <v>119.17</v>
      </c>
      <c r="F666" s="331"/>
      <c r="G666" s="333">
        <f t="shared" si="10"/>
        <v>2822.6499999999887</v>
      </c>
      <c r="H666" s="334"/>
      <c r="I666" s="335"/>
      <c r="J666" s="336"/>
      <c r="K666" s="301"/>
      <c r="L666" s="336"/>
      <c r="M666" s="301"/>
      <c r="N666" s="336"/>
      <c r="O666" s="301"/>
      <c r="P666" s="336"/>
      <c r="Q666" s="301"/>
      <c r="R666" s="336"/>
      <c r="S666" s="301"/>
      <c r="T666" s="336"/>
    </row>
    <row r="667" spans="1:20" ht="12" customHeight="1" x14ac:dyDescent="0.3">
      <c r="A667" s="329" t="s">
        <v>284</v>
      </c>
      <c r="B667" s="330">
        <v>37</v>
      </c>
      <c r="C667" s="298">
        <v>46081</v>
      </c>
      <c r="D667" s="299" t="s">
        <v>425</v>
      </c>
      <c r="E667" s="331">
        <v>3764.91</v>
      </c>
      <c r="F667" s="331"/>
      <c r="G667" s="333">
        <f t="shared" si="10"/>
        <v>2941.8199999999888</v>
      </c>
      <c r="H667" s="334"/>
      <c r="I667" s="335"/>
      <c r="J667" s="336"/>
      <c r="K667" s="301"/>
      <c r="L667" s="336"/>
      <c r="M667" s="301"/>
      <c r="N667" s="336"/>
      <c r="O667" s="301"/>
      <c r="P667" s="336"/>
      <c r="Q667" s="301"/>
      <c r="R667" s="336"/>
      <c r="S667" s="301"/>
      <c r="T667" s="336"/>
    </row>
    <row r="668" spans="1:20" ht="12" customHeight="1" x14ac:dyDescent="0.3">
      <c r="A668" s="329" t="s">
        <v>286</v>
      </c>
      <c r="B668" s="330">
        <v>25</v>
      </c>
      <c r="C668" s="298">
        <v>46081</v>
      </c>
      <c r="D668" s="298" t="s">
        <v>204</v>
      </c>
      <c r="E668" s="331">
        <v>350</v>
      </c>
      <c r="F668" s="331"/>
      <c r="G668" s="333">
        <f t="shared" si="10"/>
        <v>6706.7299999999886</v>
      </c>
      <c r="H668" s="334"/>
      <c r="I668" s="335"/>
      <c r="J668" s="336"/>
      <c r="K668" s="301"/>
      <c r="L668" s="336"/>
      <c r="M668" s="301"/>
      <c r="N668" s="336"/>
      <c r="O668" s="301"/>
      <c r="P668" s="336"/>
      <c r="Q668" s="301"/>
      <c r="R668" s="336"/>
      <c r="S668" s="301"/>
      <c r="T668" s="336"/>
    </row>
    <row r="669" spans="1:20" ht="12" customHeight="1" x14ac:dyDescent="0.3">
      <c r="A669" s="329" t="s">
        <v>286</v>
      </c>
      <c r="B669" s="330">
        <v>26</v>
      </c>
      <c r="C669" s="298">
        <v>46081</v>
      </c>
      <c r="D669" s="298" t="s">
        <v>205</v>
      </c>
      <c r="E669" s="331">
        <v>320</v>
      </c>
      <c r="F669" s="331"/>
      <c r="G669" s="333">
        <f t="shared" si="10"/>
        <v>7056.7299999999886</v>
      </c>
      <c r="H669" s="334"/>
      <c r="I669" s="335"/>
      <c r="J669" s="336"/>
      <c r="K669" s="301"/>
      <c r="L669" s="336"/>
      <c r="M669" s="301"/>
      <c r="N669" s="336"/>
      <c r="O669" s="301"/>
      <c r="P669" s="336"/>
      <c r="Q669" s="301"/>
      <c r="R669" s="336"/>
      <c r="S669" s="301"/>
      <c r="T669" s="336"/>
    </row>
    <row r="670" spans="1:20" ht="12" customHeight="1" x14ac:dyDescent="0.3">
      <c r="A670" s="329" t="s">
        <v>286</v>
      </c>
      <c r="B670" s="330">
        <v>27</v>
      </c>
      <c r="C670" s="298">
        <v>46081</v>
      </c>
      <c r="D670" s="298" t="s">
        <v>206</v>
      </c>
      <c r="E670" s="331">
        <v>25</v>
      </c>
      <c r="F670" s="331"/>
      <c r="G670" s="333">
        <f t="shared" si="10"/>
        <v>7376.7299999999886</v>
      </c>
      <c r="H670" s="334"/>
      <c r="I670" s="335"/>
      <c r="J670" s="336"/>
      <c r="K670" s="301"/>
      <c r="L670" s="336"/>
      <c r="M670" s="301"/>
      <c r="N670" s="336"/>
      <c r="O670" s="301"/>
      <c r="P670" s="336"/>
      <c r="Q670" s="301"/>
      <c r="R670" s="336"/>
      <c r="S670" s="301"/>
      <c r="T670" s="336"/>
    </row>
    <row r="671" spans="1:20" ht="12" customHeight="1" x14ac:dyDescent="0.3">
      <c r="A671" s="329" t="s">
        <v>286</v>
      </c>
      <c r="B671" s="330">
        <v>28</v>
      </c>
      <c r="C671" s="298">
        <v>46081</v>
      </c>
      <c r="D671" s="298" t="s">
        <v>207</v>
      </c>
      <c r="E671" s="331">
        <v>25</v>
      </c>
      <c r="F671" s="331"/>
      <c r="G671" s="333">
        <f t="shared" si="10"/>
        <v>7401.7299999999886</v>
      </c>
      <c r="H671" s="334"/>
      <c r="I671" s="335"/>
      <c r="J671" s="336"/>
      <c r="K671" s="301"/>
      <c r="L671" s="336"/>
      <c r="M671" s="301"/>
      <c r="N671" s="336"/>
      <c r="O671" s="301"/>
      <c r="P671" s="336"/>
      <c r="Q671" s="301"/>
      <c r="R671" s="336"/>
      <c r="S671" s="301"/>
      <c r="T671" s="336"/>
    </row>
    <row r="672" spans="1:20" ht="12" customHeight="1" x14ac:dyDescent="0.3">
      <c r="A672" s="329" t="s">
        <v>286</v>
      </c>
      <c r="B672" s="330">
        <v>29</v>
      </c>
      <c r="C672" s="298">
        <v>46081</v>
      </c>
      <c r="D672" s="298" t="s">
        <v>208</v>
      </c>
      <c r="E672" s="331">
        <v>45</v>
      </c>
      <c r="F672" s="331"/>
      <c r="G672" s="333">
        <f t="shared" si="10"/>
        <v>7426.7299999999886</v>
      </c>
      <c r="H672" s="334"/>
      <c r="I672" s="335"/>
      <c r="J672" s="336"/>
      <c r="K672" s="301"/>
      <c r="L672" s="336"/>
      <c r="M672" s="301"/>
      <c r="N672" s="336"/>
      <c r="O672" s="301"/>
      <c r="P672" s="336"/>
      <c r="Q672" s="301"/>
      <c r="R672" s="336"/>
      <c r="S672" s="301"/>
      <c r="T672" s="336"/>
    </row>
    <row r="673" spans="1:20" ht="12" customHeight="1" x14ac:dyDescent="0.3">
      <c r="A673" s="329" t="s">
        <v>286</v>
      </c>
      <c r="B673" s="330">
        <v>30</v>
      </c>
      <c r="C673" s="298">
        <v>46081</v>
      </c>
      <c r="D673" s="298" t="s">
        <v>209</v>
      </c>
      <c r="E673" s="331">
        <v>400</v>
      </c>
      <c r="F673" s="331"/>
      <c r="G673" s="333">
        <f t="shared" si="10"/>
        <v>7471.7299999999886</v>
      </c>
      <c r="H673" s="334"/>
      <c r="I673" s="335"/>
      <c r="J673" s="336"/>
      <c r="K673" s="301"/>
      <c r="L673" s="336"/>
      <c r="M673" s="301"/>
      <c r="N673" s="336"/>
      <c r="O673" s="301"/>
      <c r="P673" s="336"/>
      <c r="Q673" s="301"/>
      <c r="R673" s="336"/>
      <c r="S673" s="301"/>
      <c r="T673" s="336"/>
    </row>
    <row r="674" spans="1:20" ht="12" customHeight="1" x14ac:dyDescent="0.3">
      <c r="A674" s="329" t="s">
        <v>286</v>
      </c>
      <c r="B674" s="330">
        <v>31</v>
      </c>
      <c r="C674" s="298">
        <v>46081</v>
      </c>
      <c r="D674" s="298" t="s">
        <v>210</v>
      </c>
      <c r="E674" s="331">
        <v>375</v>
      </c>
      <c r="F674" s="331"/>
      <c r="G674" s="333">
        <f t="shared" si="10"/>
        <v>7871.7299999999886</v>
      </c>
      <c r="H674" s="334"/>
      <c r="I674" s="335"/>
      <c r="J674" s="336"/>
      <c r="K674" s="301"/>
      <c r="L674" s="336"/>
      <c r="M674" s="301"/>
      <c r="N674" s="336"/>
      <c r="O674" s="301"/>
      <c r="P674" s="336"/>
      <c r="Q674" s="301"/>
      <c r="R674" s="336"/>
      <c r="S674" s="301"/>
      <c r="T674" s="336"/>
    </row>
    <row r="675" spans="1:20" ht="12" customHeight="1" x14ac:dyDescent="0.3">
      <c r="A675" s="329" t="s">
        <v>286</v>
      </c>
      <c r="B675" s="330">
        <v>32</v>
      </c>
      <c r="C675" s="298">
        <v>46081</v>
      </c>
      <c r="D675" s="298" t="s">
        <v>211</v>
      </c>
      <c r="E675" s="331">
        <v>100</v>
      </c>
      <c r="F675" s="331"/>
      <c r="G675" s="333">
        <f t="shared" si="10"/>
        <v>8246.7299999999886</v>
      </c>
      <c r="H675" s="334"/>
      <c r="I675" s="335"/>
      <c r="J675" s="336"/>
      <c r="K675" s="301"/>
      <c r="L675" s="336"/>
      <c r="M675" s="301"/>
      <c r="N675" s="336"/>
      <c r="O675" s="301"/>
      <c r="P675" s="336"/>
      <c r="Q675" s="301"/>
      <c r="R675" s="336"/>
      <c r="S675" s="301"/>
      <c r="T675" s="336"/>
    </row>
    <row r="676" spans="1:20" ht="12" customHeight="1" x14ac:dyDescent="0.3">
      <c r="A676" s="329" t="s">
        <v>286</v>
      </c>
      <c r="B676" s="330">
        <v>33</v>
      </c>
      <c r="C676" s="298">
        <v>46081</v>
      </c>
      <c r="D676" s="298" t="s">
        <v>212</v>
      </c>
      <c r="E676" s="331">
        <v>85</v>
      </c>
      <c r="F676" s="331"/>
      <c r="G676" s="333">
        <f t="shared" si="10"/>
        <v>8346.7299999999886</v>
      </c>
      <c r="H676" s="334"/>
      <c r="I676" s="335"/>
      <c r="J676" s="336"/>
      <c r="K676" s="301"/>
      <c r="L676" s="336"/>
      <c r="M676" s="301"/>
      <c r="N676" s="336"/>
      <c r="O676" s="301"/>
      <c r="P676" s="336"/>
      <c r="Q676" s="301"/>
      <c r="R676" s="336"/>
      <c r="S676" s="301"/>
      <c r="T676" s="336"/>
    </row>
    <row r="677" spans="1:20" ht="12" customHeight="1" x14ac:dyDescent="0.3">
      <c r="A677" s="329" t="s">
        <v>286</v>
      </c>
      <c r="B677" s="330">
        <v>34</v>
      </c>
      <c r="C677" s="298">
        <v>46081</v>
      </c>
      <c r="D677" s="298" t="s">
        <v>213</v>
      </c>
      <c r="E677" s="331">
        <v>230</v>
      </c>
      <c r="F677" s="331"/>
      <c r="G677" s="333">
        <f t="shared" si="10"/>
        <v>8431.7299999999886</v>
      </c>
      <c r="H677" s="334"/>
      <c r="I677" s="335"/>
      <c r="J677" s="336"/>
      <c r="K677" s="301"/>
      <c r="L677" s="336"/>
      <c r="M677" s="301"/>
      <c r="N677" s="336"/>
      <c r="O677" s="301"/>
      <c r="P677" s="336"/>
      <c r="Q677" s="301"/>
      <c r="R677" s="336"/>
      <c r="S677" s="301"/>
      <c r="T677" s="336"/>
    </row>
    <row r="678" spans="1:20" ht="12" customHeight="1" x14ac:dyDescent="0.3">
      <c r="A678" s="329" t="s">
        <v>286</v>
      </c>
      <c r="B678" s="330">
        <v>35</v>
      </c>
      <c r="C678" s="298">
        <v>46081</v>
      </c>
      <c r="D678" s="298" t="s">
        <v>214</v>
      </c>
      <c r="E678" s="331">
        <v>45</v>
      </c>
      <c r="F678" s="331"/>
      <c r="G678" s="333">
        <f t="shared" si="10"/>
        <v>8661.7299999999886</v>
      </c>
      <c r="H678" s="334"/>
      <c r="I678" s="335"/>
      <c r="J678" s="336"/>
      <c r="K678" s="301"/>
      <c r="L678" s="336"/>
      <c r="M678" s="301"/>
      <c r="N678" s="336"/>
      <c r="O678" s="301"/>
      <c r="P678" s="336"/>
      <c r="Q678" s="301"/>
      <c r="R678" s="336"/>
      <c r="S678" s="301"/>
      <c r="T678" s="336"/>
    </row>
    <row r="679" spans="1:20" ht="12" customHeight="1" x14ac:dyDescent="0.3">
      <c r="A679" s="329" t="s">
        <v>294</v>
      </c>
      <c r="B679" s="330">
        <v>42</v>
      </c>
      <c r="C679" s="298">
        <v>46081</v>
      </c>
      <c r="D679" s="298" t="s">
        <v>200</v>
      </c>
      <c r="E679" s="331">
        <v>51.19</v>
      </c>
      <c r="F679" s="331"/>
      <c r="G679" s="333">
        <f t="shared" si="10"/>
        <v>8706.7299999999886</v>
      </c>
      <c r="H679" s="334"/>
      <c r="I679" s="335"/>
      <c r="J679" s="336"/>
      <c r="K679" s="301"/>
      <c r="L679" s="336"/>
      <c r="M679" s="301"/>
      <c r="N679" s="336"/>
      <c r="O679" s="301"/>
      <c r="P679" s="336"/>
      <c r="Q679" s="301"/>
      <c r="R679" s="336"/>
      <c r="S679" s="301"/>
      <c r="T679" s="336"/>
    </row>
    <row r="680" spans="1:20" ht="12" customHeight="1" x14ac:dyDescent="0.3">
      <c r="A680" s="329" t="s">
        <v>294</v>
      </c>
      <c r="B680" s="330">
        <v>43</v>
      </c>
      <c r="C680" s="298">
        <v>46081</v>
      </c>
      <c r="D680" s="298" t="s">
        <v>201</v>
      </c>
      <c r="E680" s="331">
        <v>37.17</v>
      </c>
      <c r="F680" s="331"/>
      <c r="G680" s="333">
        <f t="shared" si="10"/>
        <v>8757.9199999999892</v>
      </c>
      <c r="H680" s="334"/>
      <c r="I680" s="335"/>
      <c r="J680" s="336"/>
      <c r="K680" s="301"/>
      <c r="L680" s="336"/>
      <c r="M680" s="301"/>
      <c r="N680" s="336"/>
      <c r="O680" s="301"/>
      <c r="P680" s="336"/>
      <c r="Q680" s="301"/>
      <c r="R680" s="336"/>
      <c r="S680" s="301"/>
      <c r="T680" s="336"/>
    </row>
    <row r="681" spans="1:20" ht="12" customHeight="1" x14ac:dyDescent="0.3">
      <c r="A681" s="329" t="s">
        <v>294</v>
      </c>
      <c r="B681" s="330">
        <v>10</v>
      </c>
      <c r="C681" s="298">
        <v>46081</v>
      </c>
      <c r="D681" s="298" t="s">
        <v>176</v>
      </c>
      <c r="E681" s="331">
        <v>17.899999999999999</v>
      </c>
      <c r="F681" s="331"/>
      <c r="G681" s="333">
        <f t="shared" si="10"/>
        <v>8795.0899999999892</v>
      </c>
      <c r="H681" s="334"/>
      <c r="I681" s="335"/>
      <c r="J681" s="336"/>
      <c r="K681" s="301"/>
      <c r="L681" s="336"/>
      <c r="M681" s="301"/>
      <c r="N681" s="336"/>
      <c r="O681" s="301"/>
      <c r="P681" s="336"/>
      <c r="Q681" s="301"/>
      <c r="R681" s="336"/>
      <c r="S681" s="301"/>
      <c r="T681" s="336"/>
    </row>
    <row r="682" spans="1:20" ht="12" customHeight="1" x14ac:dyDescent="0.3">
      <c r="A682" s="329" t="s">
        <v>289</v>
      </c>
      <c r="B682" s="330">
        <v>2</v>
      </c>
      <c r="C682" s="298">
        <v>46080</v>
      </c>
      <c r="D682" s="298" t="s">
        <v>358</v>
      </c>
      <c r="E682" s="331">
        <v>11.17</v>
      </c>
      <c r="F682" s="331"/>
      <c r="G682" s="333">
        <f t="shared" si="10"/>
        <v>8812.9899999999889</v>
      </c>
      <c r="H682" s="334"/>
      <c r="I682" s="335"/>
      <c r="J682" s="336"/>
      <c r="K682" s="301"/>
      <c r="L682" s="336"/>
      <c r="M682" s="301"/>
      <c r="N682" s="336"/>
      <c r="O682" s="301"/>
      <c r="P682" s="336"/>
      <c r="Q682" s="301"/>
      <c r="R682" s="336"/>
      <c r="S682" s="301"/>
      <c r="T682" s="336"/>
    </row>
    <row r="683" spans="1:20" ht="12" customHeight="1" x14ac:dyDescent="0.3">
      <c r="A683" s="329" t="s">
        <v>289</v>
      </c>
      <c r="B683" s="330">
        <v>2</v>
      </c>
      <c r="C683" s="298">
        <v>46080</v>
      </c>
      <c r="D683" s="299" t="s">
        <v>426</v>
      </c>
      <c r="E683" s="331">
        <v>25</v>
      </c>
      <c r="F683" s="331"/>
      <c r="G683" s="333">
        <f t="shared" si="10"/>
        <v>8824.1599999999889</v>
      </c>
      <c r="H683" s="334"/>
      <c r="I683" s="335"/>
      <c r="J683" s="336"/>
      <c r="K683" s="301"/>
      <c r="L683" s="336"/>
      <c r="M683" s="301"/>
      <c r="N683" s="336"/>
      <c r="O683" s="301"/>
      <c r="P683" s="336"/>
      <c r="Q683" s="301"/>
      <c r="R683" s="336"/>
      <c r="S683" s="301"/>
      <c r="T683" s="336"/>
    </row>
    <row r="684" spans="1:20" ht="12" customHeight="1" x14ac:dyDescent="0.3">
      <c r="A684" s="329" t="s">
        <v>289</v>
      </c>
      <c r="B684" s="330">
        <v>2</v>
      </c>
      <c r="C684" s="298">
        <v>46080</v>
      </c>
      <c r="D684" s="299" t="s">
        <v>358</v>
      </c>
      <c r="E684" s="331">
        <v>22.84</v>
      </c>
      <c r="F684" s="331"/>
      <c r="G684" s="333">
        <f t="shared" si="10"/>
        <v>8849.1599999999889</v>
      </c>
      <c r="H684" s="334"/>
      <c r="I684" s="335"/>
      <c r="J684" s="336"/>
      <c r="K684" s="301"/>
      <c r="L684" s="336"/>
      <c r="M684" s="301"/>
      <c r="N684" s="336"/>
      <c r="O684" s="301"/>
      <c r="P684" s="336"/>
      <c r="Q684" s="301"/>
      <c r="R684" s="336"/>
      <c r="S684" s="301"/>
      <c r="T684" s="336"/>
    </row>
    <row r="685" spans="1:20" ht="12" customHeight="1" x14ac:dyDescent="0.3">
      <c r="A685" s="329" t="s">
        <v>289</v>
      </c>
      <c r="B685" s="330">
        <v>6</v>
      </c>
      <c r="C685" s="298">
        <v>46080</v>
      </c>
      <c r="D685" s="299" t="s">
        <v>427</v>
      </c>
      <c r="E685" s="331">
        <v>-88</v>
      </c>
      <c r="F685" s="331"/>
      <c r="G685" s="333">
        <f t="shared" si="10"/>
        <v>8871.9999999999891</v>
      </c>
      <c r="H685" s="334"/>
      <c r="I685" s="335"/>
      <c r="J685" s="336"/>
      <c r="K685" s="301"/>
      <c r="L685" s="336"/>
      <c r="M685" s="301"/>
      <c r="N685" s="336"/>
      <c r="O685" s="301"/>
      <c r="P685" s="336"/>
      <c r="Q685" s="301"/>
      <c r="R685" s="336"/>
      <c r="S685" s="301"/>
      <c r="T685" s="336"/>
    </row>
    <row r="686" spans="1:20" ht="12" customHeight="1" x14ac:dyDescent="0.3">
      <c r="A686" s="329" t="s">
        <v>291</v>
      </c>
      <c r="B686" s="330">
        <v>38</v>
      </c>
      <c r="C686" s="298">
        <v>46080</v>
      </c>
      <c r="D686" s="299" t="s">
        <v>293</v>
      </c>
      <c r="E686" s="331"/>
      <c r="F686" s="331">
        <v>4278.1499999999996</v>
      </c>
      <c r="G686" s="333">
        <f t="shared" si="10"/>
        <v>8783.9999999999891</v>
      </c>
      <c r="H686" s="334"/>
      <c r="I686" s="335"/>
      <c r="J686" s="336"/>
      <c r="K686" s="301"/>
      <c r="L686" s="336"/>
      <c r="M686" s="301"/>
      <c r="N686" s="336"/>
      <c r="O686" s="301"/>
      <c r="P686" s="336"/>
      <c r="Q686" s="301"/>
      <c r="R686" s="336"/>
      <c r="S686" s="301"/>
      <c r="T686" s="336"/>
    </row>
    <row r="687" spans="1:20" ht="12" customHeight="1" x14ac:dyDescent="0.3">
      <c r="A687" s="329" t="s">
        <v>289</v>
      </c>
      <c r="B687" s="330">
        <v>6</v>
      </c>
      <c r="C687" s="298">
        <v>46080</v>
      </c>
      <c r="D687" s="299" t="s">
        <v>428</v>
      </c>
      <c r="E687" s="331">
        <v>25.93</v>
      </c>
      <c r="F687" s="331"/>
      <c r="G687" s="333">
        <f t="shared" si="10"/>
        <v>4505.8499999999904</v>
      </c>
      <c r="H687" s="334"/>
      <c r="I687" s="335"/>
      <c r="J687" s="336"/>
      <c r="K687" s="301"/>
      <c r="L687" s="336"/>
      <c r="M687" s="301"/>
      <c r="N687" s="336"/>
      <c r="O687" s="301"/>
      <c r="P687" s="336"/>
      <c r="Q687" s="301"/>
      <c r="R687" s="336"/>
      <c r="S687" s="301"/>
      <c r="T687" s="336"/>
    </row>
    <row r="688" spans="1:20" ht="12" customHeight="1" x14ac:dyDescent="0.3">
      <c r="A688" s="329" t="s">
        <v>289</v>
      </c>
      <c r="B688" s="330">
        <v>4</v>
      </c>
      <c r="C688" s="298">
        <v>46079</v>
      </c>
      <c r="D688" s="299" t="s">
        <v>310</v>
      </c>
      <c r="E688" s="331">
        <v>29.84</v>
      </c>
      <c r="F688" s="331"/>
      <c r="G688" s="333">
        <f t="shared" si="10"/>
        <v>4531.7799999999907</v>
      </c>
      <c r="H688" s="334"/>
      <c r="I688" s="335"/>
      <c r="J688" s="336"/>
      <c r="K688" s="301"/>
      <c r="L688" s="336"/>
      <c r="M688" s="301"/>
      <c r="N688" s="336"/>
      <c r="O688" s="301"/>
      <c r="P688" s="336"/>
      <c r="Q688" s="301"/>
      <c r="R688" s="336"/>
      <c r="S688" s="301"/>
      <c r="T688" s="336"/>
    </row>
    <row r="689" spans="1:20" ht="12" customHeight="1" x14ac:dyDescent="0.3">
      <c r="A689" s="329" t="s">
        <v>289</v>
      </c>
      <c r="B689" s="330">
        <v>5</v>
      </c>
      <c r="C689" s="298">
        <v>46079</v>
      </c>
      <c r="D689" s="299" t="s">
        <v>429</v>
      </c>
      <c r="E689" s="331">
        <v>103.25</v>
      </c>
      <c r="F689" s="331"/>
      <c r="G689" s="333">
        <f t="shared" si="10"/>
        <v>4561.6199999999908</v>
      </c>
      <c r="H689" s="334"/>
      <c r="I689" s="335"/>
      <c r="J689" s="336"/>
      <c r="K689" s="301"/>
      <c r="L689" s="336"/>
      <c r="M689" s="301"/>
      <c r="N689" s="336"/>
      <c r="O689" s="301"/>
      <c r="P689" s="336"/>
      <c r="Q689" s="301"/>
      <c r="R689" s="336"/>
      <c r="S689" s="301"/>
      <c r="T689" s="336"/>
    </row>
    <row r="690" spans="1:20" ht="12" customHeight="1" x14ac:dyDescent="0.3">
      <c r="A690" s="329" t="s">
        <v>289</v>
      </c>
      <c r="B690" s="330">
        <v>8</v>
      </c>
      <c r="C690" s="298">
        <v>46079</v>
      </c>
      <c r="D690" s="299" t="s">
        <v>357</v>
      </c>
      <c r="E690" s="331">
        <v>26.02</v>
      </c>
      <c r="F690" s="331"/>
      <c r="G690" s="333">
        <f t="shared" si="10"/>
        <v>4664.8699999999908</v>
      </c>
      <c r="H690" s="334"/>
      <c r="I690" s="335"/>
      <c r="J690" s="336"/>
      <c r="K690" s="301"/>
      <c r="L690" s="336"/>
      <c r="M690" s="301"/>
      <c r="N690" s="336"/>
      <c r="O690" s="301"/>
      <c r="P690" s="336"/>
      <c r="Q690" s="301"/>
      <c r="R690" s="336"/>
      <c r="S690" s="301"/>
      <c r="T690" s="336"/>
    </row>
    <row r="691" spans="1:20" ht="12" customHeight="1" x14ac:dyDescent="0.3">
      <c r="A691" s="329" t="s">
        <v>294</v>
      </c>
      <c r="B691" s="330">
        <v>24</v>
      </c>
      <c r="C691" s="298">
        <v>46079</v>
      </c>
      <c r="D691" s="299" t="s">
        <v>860</v>
      </c>
      <c r="E691" s="331">
        <v>84.83</v>
      </c>
      <c r="F691" s="331"/>
      <c r="G691" s="333">
        <f t="shared" si="10"/>
        <v>4690.8899999999912</v>
      </c>
      <c r="H691" s="334"/>
      <c r="I691" s="335"/>
      <c r="J691" s="336"/>
      <c r="K691" s="301"/>
      <c r="L691" s="336"/>
      <c r="M691" s="301"/>
      <c r="N691" s="336"/>
      <c r="O691" s="301"/>
      <c r="P691" s="336"/>
      <c r="Q691" s="301"/>
      <c r="R691" s="336"/>
      <c r="S691" s="301"/>
      <c r="T691" s="336"/>
    </row>
    <row r="692" spans="1:20" ht="12" customHeight="1" x14ac:dyDescent="0.3">
      <c r="A692" s="329" t="s">
        <v>289</v>
      </c>
      <c r="B692" s="330">
        <v>2</v>
      </c>
      <c r="C692" s="298">
        <v>46079</v>
      </c>
      <c r="D692" s="299" t="s">
        <v>296</v>
      </c>
      <c r="E692" s="331">
        <v>17.87</v>
      </c>
      <c r="F692" s="331"/>
      <c r="G692" s="333">
        <f t="shared" si="10"/>
        <v>4775.7199999999912</v>
      </c>
      <c r="H692" s="334"/>
      <c r="I692" s="335"/>
      <c r="J692" s="336"/>
      <c r="K692" s="301"/>
      <c r="L692" s="336"/>
      <c r="M692" s="301"/>
      <c r="N692" s="336"/>
      <c r="O692" s="301"/>
      <c r="P692" s="336"/>
      <c r="Q692" s="301"/>
      <c r="R692" s="336"/>
      <c r="S692" s="301"/>
      <c r="T692" s="336"/>
    </row>
    <row r="693" spans="1:20" ht="12" customHeight="1" x14ac:dyDescent="0.3">
      <c r="A693" s="329" t="s">
        <v>289</v>
      </c>
      <c r="B693" s="330">
        <v>5</v>
      </c>
      <c r="C693" s="298">
        <v>46079</v>
      </c>
      <c r="D693" s="299" t="s">
        <v>430</v>
      </c>
      <c r="E693" s="331">
        <v>123.64</v>
      </c>
      <c r="F693" s="331"/>
      <c r="G693" s="333">
        <f t="shared" si="10"/>
        <v>4793.5899999999911</v>
      </c>
      <c r="H693" s="334"/>
      <c r="I693" s="335"/>
      <c r="J693" s="336"/>
      <c r="K693" s="301"/>
      <c r="L693" s="336"/>
      <c r="M693" s="301"/>
      <c r="N693" s="336"/>
      <c r="O693" s="301"/>
      <c r="P693" s="336"/>
      <c r="Q693" s="301"/>
      <c r="R693" s="336"/>
      <c r="S693" s="301"/>
      <c r="T693" s="336"/>
    </row>
    <row r="694" spans="1:20" ht="12" customHeight="1" x14ac:dyDescent="0.3">
      <c r="A694" s="329" t="s">
        <v>289</v>
      </c>
      <c r="B694" s="330">
        <v>8</v>
      </c>
      <c r="C694" s="298">
        <v>46078</v>
      </c>
      <c r="D694" s="299" t="s">
        <v>319</v>
      </c>
      <c r="E694" s="331">
        <v>18.5</v>
      </c>
      <c r="F694" s="331"/>
      <c r="G694" s="333">
        <f t="shared" si="10"/>
        <v>4917.2299999999914</v>
      </c>
      <c r="H694" s="334"/>
      <c r="I694" s="335"/>
      <c r="J694" s="336"/>
      <c r="K694" s="301"/>
      <c r="L694" s="336"/>
      <c r="M694" s="301"/>
      <c r="N694" s="336"/>
      <c r="O694" s="301"/>
      <c r="P694" s="336"/>
      <c r="Q694" s="301"/>
      <c r="R694" s="336"/>
      <c r="S694" s="301"/>
      <c r="T694" s="336"/>
    </row>
    <row r="695" spans="1:20" ht="12" customHeight="1" x14ac:dyDescent="0.3">
      <c r="A695" s="329" t="s">
        <v>289</v>
      </c>
      <c r="B695" s="330">
        <v>4</v>
      </c>
      <c r="C695" s="298">
        <v>46078</v>
      </c>
      <c r="D695" s="299" t="s">
        <v>296</v>
      </c>
      <c r="E695" s="331">
        <v>50.96</v>
      </c>
      <c r="F695" s="331"/>
      <c r="G695" s="333">
        <f t="shared" si="10"/>
        <v>4935.7299999999914</v>
      </c>
      <c r="H695" s="334"/>
      <c r="I695" s="335"/>
      <c r="J695" s="336"/>
      <c r="K695" s="301"/>
      <c r="L695" s="336"/>
      <c r="M695" s="301"/>
      <c r="N695" s="336"/>
      <c r="O695" s="301"/>
      <c r="P695" s="336"/>
      <c r="Q695" s="301"/>
      <c r="R695" s="336"/>
      <c r="S695" s="301"/>
      <c r="T695" s="336"/>
    </row>
    <row r="696" spans="1:20" ht="12" customHeight="1" x14ac:dyDescent="0.3">
      <c r="A696" s="329" t="s">
        <v>289</v>
      </c>
      <c r="B696" s="330">
        <v>8</v>
      </c>
      <c r="C696" s="298">
        <v>46078</v>
      </c>
      <c r="D696" s="299" t="s">
        <v>296</v>
      </c>
      <c r="E696" s="331">
        <v>11.28</v>
      </c>
      <c r="F696" s="331"/>
      <c r="G696" s="333">
        <f t="shared" si="10"/>
        <v>4986.6899999999914</v>
      </c>
      <c r="H696" s="334"/>
      <c r="I696" s="335"/>
      <c r="J696" s="336"/>
      <c r="K696" s="301"/>
      <c r="L696" s="336"/>
      <c r="M696" s="301"/>
      <c r="N696" s="336"/>
      <c r="O696" s="301"/>
      <c r="P696" s="336"/>
      <c r="Q696" s="301"/>
      <c r="R696" s="336"/>
      <c r="S696" s="301"/>
      <c r="T696" s="336"/>
    </row>
    <row r="697" spans="1:20" ht="12" customHeight="1" x14ac:dyDescent="0.3">
      <c r="A697" s="329" t="s">
        <v>294</v>
      </c>
      <c r="B697" s="330">
        <v>12</v>
      </c>
      <c r="C697" s="298">
        <v>46078</v>
      </c>
      <c r="D697" s="299" t="s">
        <v>314</v>
      </c>
      <c r="E697" s="331">
        <v>204.47</v>
      </c>
      <c r="F697" s="331"/>
      <c r="G697" s="333">
        <f t="shared" si="10"/>
        <v>4997.9699999999912</v>
      </c>
      <c r="H697" s="334"/>
      <c r="I697" s="335"/>
      <c r="J697" s="336"/>
      <c r="K697" s="301"/>
      <c r="L697" s="336"/>
      <c r="M697" s="301"/>
      <c r="N697" s="336"/>
      <c r="O697" s="301"/>
      <c r="P697" s="336"/>
      <c r="Q697" s="301"/>
      <c r="R697" s="336"/>
      <c r="S697" s="301"/>
      <c r="T697" s="336"/>
    </row>
    <row r="698" spans="1:20" ht="12" customHeight="1" x14ac:dyDescent="0.3">
      <c r="A698" s="329" t="s">
        <v>289</v>
      </c>
      <c r="B698" s="330">
        <v>8</v>
      </c>
      <c r="C698" s="298">
        <v>46078</v>
      </c>
      <c r="D698" s="299" t="s">
        <v>308</v>
      </c>
      <c r="E698" s="331">
        <v>47.99</v>
      </c>
      <c r="F698" s="331"/>
      <c r="G698" s="333">
        <f t="shared" si="10"/>
        <v>5202.4399999999914</v>
      </c>
      <c r="H698" s="334"/>
      <c r="I698" s="335"/>
      <c r="J698" s="336"/>
      <c r="K698" s="301"/>
      <c r="L698" s="336"/>
      <c r="M698" s="301"/>
      <c r="N698" s="336"/>
      <c r="O698" s="301"/>
      <c r="P698" s="336"/>
      <c r="Q698" s="301"/>
      <c r="R698" s="336"/>
      <c r="S698" s="301"/>
      <c r="T698" s="336"/>
    </row>
    <row r="699" spans="1:20" ht="12" customHeight="1" x14ac:dyDescent="0.3">
      <c r="A699" s="329" t="s">
        <v>289</v>
      </c>
      <c r="B699" s="330">
        <v>1</v>
      </c>
      <c r="C699" s="298">
        <v>46078</v>
      </c>
      <c r="D699" s="299" t="s">
        <v>304</v>
      </c>
      <c r="E699" s="331">
        <v>19.09</v>
      </c>
      <c r="F699" s="331"/>
      <c r="G699" s="333">
        <f t="shared" si="10"/>
        <v>5250.4299999999912</v>
      </c>
      <c r="H699" s="334"/>
      <c r="I699" s="335"/>
      <c r="J699" s="336"/>
      <c r="K699" s="301"/>
      <c r="L699" s="336"/>
      <c r="M699" s="301"/>
      <c r="N699" s="336"/>
      <c r="O699" s="301"/>
      <c r="P699" s="336"/>
      <c r="Q699" s="301"/>
      <c r="R699" s="336"/>
      <c r="S699" s="301"/>
      <c r="T699" s="336"/>
    </row>
    <row r="700" spans="1:20" ht="12" customHeight="1" x14ac:dyDescent="0.3">
      <c r="A700" s="329" t="s">
        <v>294</v>
      </c>
      <c r="B700" s="330">
        <v>23</v>
      </c>
      <c r="C700" s="298">
        <v>46076</v>
      </c>
      <c r="D700" s="299" t="s">
        <v>67</v>
      </c>
      <c r="E700" s="331">
        <v>650.88</v>
      </c>
      <c r="F700" s="331"/>
      <c r="G700" s="333">
        <f t="shared" si="10"/>
        <v>5269.5199999999913</v>
      </c>
      <c r="H700" s="334"/>
      <c r="I700" s="335"/>
      <c r="J700" s="336"/>
      <c r="K700" s="301"/>
      <c r="L700" s="336"/>
      <c r="M700" s="301"/>
      <c r="N700" s="336"/>
      <c r="O700" s="301"/>
      <c r="P700" s="336"/>
      <c r="Q700" s="301"/>
      <c r="R700" s="336"/>
      <c r="S700" s="301"/>
      <c r="T700" s="336"/>
    </row>
    <row r="701" spans="1:20" ht="12" customHeight="1" x14ac:dyDescent="0.3">
      <c r="A701" s="329" t="s">
        <v>289</v>
      </c>
      <c r="B701" s="330">
        <v>6</v>
      </c>
      <c r="C701" s="298">
        <v>46076</v>
      </c>
      <c r="D701" s="299" t="s">
        <v>351</v>
      </c>
      <c r="E701" s="331">
        <v>35</v>
      </c>
      <c r="F701" s="331"/>
      <c r="G701" s="333">
        <f t="shared" si="10"/>
        <v>5920.3999999999915</v>
      </c>
      <c r="H701" s="334"/>
      <c r="I701" s="335"/>
      <c r="J701" s="336"/>
      <c r="K701" s="301"/>
      <c r="L701" s="336"/>
      <c r="M701" s="301"/>
      <c r="N701" s="336"/>
      <c r="O701" s="301"/>
      <c r="P701" s="336"/>
      <c r="Q701" s="301"/>
      <c r="R701" s="336"/>
      <c r="S701" s="301"/>
      <c r="T701" s="336"/>
    </row>
    <row r="702" spans="1:20" ht="12" customHeight="1" x14ac:dyDescent="0.3">
      <c r="A702" s="329" t="s">
        <v>289</v>
      </c>
      <c r="B702" s="330">
        <v>1</v>
      </c>
      <c r="C702" s="298">
        <v>46076</v>
      </c>
      <c r="D702" s="299" t="s">
        <v>306</v>
      </c>
      <c r="E702" s="331">
        <v>128.97999999999999</v>
      </c>
      <c r="F702" s="331"/>
      <c r="G702" s="333">
        <f t="shared" si="10"/>
        <v>5955.3999999999915</v>
      </c>
      <c r="H702" s="334"/>
      <c r="I702" s="335"/>
      <c r="J702" s="336"/>
      <c r="K702" s="301"/>
      <c r="L702" s="336"/>
      <c r="M702" s="301"/>
      <c r="N702" s="336"/>
      <c r="O702" s="301"/>
      <c r="P702" s="336"/>
      <c r="Q702" s="301"/>
      <c r="R702" s="336"/>
      <c r="S702" s="301"/>
      <c r="T702" s="336"/>
    </row>
    <row r="703" spans="1:20" ht="12" customHeight="1" x14ac:dyDescent="0.3">
      <c r="A703" s="329" t="s">
        <v>289</v>
      </c>
      <c r="B703" s="330">
        <v>1</v>
      </c>
      <c r="C703" s="298">
        <v>46076</v>
      </c>
      <c r="D703" s="299" t="s">
        <v>320</v>
      </c>
      <c r="E703" s="331">
        <v>52.55</v>
      </c>
      <c r="F703" s="331"/>
      <c r="G703" s="333">
        <f t="shared" si="10"/>
        <v>6084.379999999991</v>
      </c>
      <c r="H703" s="334"/>
      <c r="I703" s="335"/>
      <c r="J703" s="336"/>
      <c r="K703" s="301"/>
      <c r="L703" s="336"/>
      <c r="M703" s="301"/>
      <c r="N703" s="336"/>
      <c r="O703" s="301"/>
      <c r="P703" s="336"/>
      <c r="Q703" s="301"/>
      <c r="R703" s="336"/>
      <c r="S703" s="301"/>
      <c r="T703" s="336"/>
    </row>
    <row r="704" spans="1:20" ht="12" customHeight="1" x14ac:dyDescent="0.3">
      <c r="A704" s="329" t="s">
        <v>289</v>
      </c>
      <c r="B704" s="330">
        <v>3</v>
      </c>
      <c r="C704" s="298">
        <v>46075</v>
      </c>
      <c r="D704" s="299" t="s">
        <v>348</v>
      </c>
      <c r="E704" s="331">
        <v>13.76</v>
      </c>
      <c r="F704" s="331"/>
      <c r="G704" s="333">
        <f t="shared" si="10"/>
        <v>6136.9299999999912</v>
      </c>
      <c r="H704" s="334"/>
      <c r="I704" s="335"/>
      <c r="J704" s="336"/>
      <c r="K704" s="301"/>
      <c r="L704" s="336"/>
      <c r="M704" s="301"/>
      <c r="N704" s="336"/>
      <c r="O704" s="301"/>
      <c r="P704" s="336"/>
      <c r="Q704" s="301"/>
      <c r="R704" s="336"/>
      <c r="S704" s="301"/>
      <c r="T704" s="336"/>
    </row>
    <row r="705" spans="1:20" ht="12" customHeight="1" x14ac:dyDescent="0.3">
      <c r="A705" s="329" t="s">
        <v>289</v>
      </c>
      <c r="B705" s="330">
        <v>1</v>
      </c>
      <c r="C705" s="298">
        <v>46075</v>
      </c>
      <c r="D705" s="299" t="s">
        <v>311</v>
      </c>
      <c r="E705" s="331">
        <v>187.64</v>
      </c>
      <c r="F705" s="331"/>
      <c r="G705" s="333">
        <f t="shared" si="10"/>
        <v>6150.6899999999914</v>
      </c>
      <c r="H705" s="334"/>
      <c r="I705" s="335"/>
      <c r="J705" s="336"/>
      <c r="K705" s="301"/>
      <c r="L705" s="336"/>
      <c r="M705" s="301"/>
      <c r="N705" s="336"/>
      <c r="O705" s="301"/>
      <c r="P705" s="336"/>
      <c r="Q705" s="301"/>
      <c r="R705" s="336"/>
      <c r="S705" s="301"/>
      <c r="T705" s="336"/>
    </row>
    <row r="706" spans="1:20" ht="12" customHeight="1" x14ac:dyDescent="0.3">
      <c r="A706" s="329" t="s">
        <v>289</v>
      </c>
      <c r="B706" s="330">
        <v>1</v>
      </c>
      <c r="C706" s="298">
        <v>46074</v>
      </c>
      <c r="D706" s="299" t="s">
        <v>393</v>
      </c>
      <c r="E706" s="331">
        <v>75.78</v>
      </c>
      <c r="F706" s="331"/>
      <c r="G706" s="333">
        <f t="shared" si="10"/>
        <v>6338.3299999999917</v>
      </c>
      <c r="H706" s="334"/>
      <c r="I706" s="335"/>
      <c r="J706" s="336"/>
      <c r="K706" s="301"/>
      <c r="L706" s="336"/>
      <c r="M706" s="301"/>
      <c r="N706" s="336"/>
      <c r="O706" s="301"/>
      <c r="P706" s="336"/>
      <c r="Q706" s="301"/>
      <c r="R706" s="336"/>
      <c r="S706" s="301"/>
      <c r="T706" s="336"/>
    </row>
    <row r="707" spans="1:20" ht="12" customHeight="1" x14ac:dyDescent="0.3">
      <c r="A707" s="329" t="s">
        <v>289</v>
      </c>
      <c r="B707" s="330">
        <v>2</v>
      </c>
      <c r="C707" s="298">
        <v>46074</v>
      </c>
      <c r="D707" s="299" t="s">
        <v>392</v>
      </c>
      <c r="E707" s="331">
        <v>27.41</v>
      </c>
      <c r="F707" s="331"/>
      <c r="G707" s="333">
        <f t="shared" si="10"/>
        <v>6414.1099999999915</v>
      </c>
      <c r="H707" s="334"/>
      <c r="I707" s="335"/>
      <c r="J707" s="336"/>
      <c r="K707" s="301"/>
      <c r="L707" s="336"/>
      <c r="M707" s="301"/>
      <c r="N707" s="336"/>
      <c r="O707" s="301"/>
      <c r="P707" s="336"/>
      <c r="Q707" s="301"/>
      <c r="R707" s="336"/>
      <c r="S707" s="301"/>
      <c r="T707" s="336"/>
    </row>
    <row r="708" spans="1:20" ht="12" customHeight="1" x14ac:dyDescent="0.3">
      <c r="A708" s="329" t="s">
        <v>289</v>
      </c>
      <c r="B708" s="330">
        <v>4</v>
      </c>
      <c r="C708" s="298">
        <v>46074</v>
      </c>
      <c r="D708" s="299" t="s">
        <v>431</v>
      </c>
      <c r="E708" s="331">
        <v>32.049999999999997</v>
      </c>
      <c r="F708" s="331"/>
      <c r="G708" s="333">
        <f t="shared" si="10"/>
        <v>6441.5199999999913</v>
      </c>
      <c r="H708" s="334"/>
      <c r="I708" s="335"/>
      <c r="J708" s="336"/>
      <c r="K708" s="301"/>
      <c r="L708" s="336"/>
      <c r="M708" s="301"/>
      <c r="N708" s="336"/>
      <c r="O708" s="301"/>
      <c r="P708" s="336"/>
      <c r="Q708" s="301"/>
      <c r="R708" s="336"/>
      <c r="S708" s="301"/>
      <c r="T708" s="336"/>
    </row>
    <row r="709" spans="1:20" ht="12" customHeight="1" x14ac:dyDescent="0.3">
      <c r="A709" s="329" t="s">
        <v>289</v>
      </c>
      <c r="B709" s="330">
        <v>2</v>
      </c>
      <c r="C709" s="298">
        <v>46074</v>
      </c>
      <c r="D709" s="299" t="s">
        <v>358</v>
      </c>
      <c r="E709" s="331">
        <v>9.4700000000000006</v>
      </c>
      <c r="F709" s="331"/>
      <c r="G709" s="333">
        <f t="shared" si="10"/>
        <v>6473.5699999999915</v>
      </c>
      <c r="H709" s="334"/>
      <c r="I709" s="335"/>
      <c r="J709" s="336"/>
      <c r="K709" s="301"/>
      <c r="L709" s="336"/>
      <c r="M709" s="301"/>
      <c r="N709" s="336"/>
      <c r="O709" s="301"/>
      <c r="P709" s="336"/>
      <c r="Q709" s="301"/>
      <c r="R709" s="336"/>
      <c r="S709" s="301"/>
      <c r="T709" s="336"/>
    </row>
    <row r="710" spans="1:20" ht="12" customHeight="1" x14ac:dyDescent="0.3">
      <c r="A710" s="329" t="s">
        <v>289</v>
      </c>
      <c r="B710" s="330">
        <v>2</v>
      </c>
      <c r="C710" s="298">
        <v>46073</v>
      </c>
      <c r="D710" s="299" t="s">
        <v>296</v>
      </c>
      <c r="E710" s="331">
        <v>14.47</v>
      </c>
      <c r="F710" s="331"/>
      <c r="G710" s="333">
        <f t="shared" si="10"/>
        <v>6483.0399999999918</v>
      </c>
      <c r="H710" s="334"/>
      <c r="I710" s="335"/>
      <c r="J710" s="336"/>
      <c r="K710" s="301"/>
      <c r="L710" s="336"/>
      <c r="M710" s="301"/>
      <c r="N710" s="336"/>
      <c r="O710" s="301"/>
      <c r="P710" s="336"/>
      <c r="Q710" s="301"/>
      <c r="R710" s="336"/>
      <c r="S710" s="301"/>
      <c r="T710" s="336"/>
    </row>
    <row r="711" spans="1:20" ht="12" customHeight="1" x14ac:dyDescent="0.3">
      <c r="A711" s="329" t="s">
        <v>289</v>
      </c>
      <c r="B711" s="330">
        <v>3</v>
      </c>
      <c r="C711" s="298">
        <v>46073</v>
      </c>
      <c r="D711" s="299" t="s">
        <v>355</v>
      </c>
      <c r="E711" s="331">
        <v>11.97</v>
      </c>
      <c r="F711" s="331"/>
      <c r="G711" s="333">
        <f t="shared" si="10"/>
        <v>6497.509999999992</v>
      </c>
      <c r="H711" s="334"/>
      <c r="I711" s="335"/>
      <c r="J711" s="336"/>
      <c r="K711" s="301"/>
      <c r="L711" s="336"/>
      <c r="M711" s="301"/>
      <c r="N711" s="336"/>
      <c r="O711" s="301"/>
      <c r="P711" s="336"/>
      <c r="Q711" s="301"/>
      <c r="R711" s="336"/>
      <c r="S711" s="301"/>
      <c r="T711" s="336"/>
    </row>
    <row r="712" spans="1:20" ht="12" customHeight="1" x14ac:dyDescent="0.3">
      <c r="A712" s="329" t="s">
        <v>289</v>
      </c>
      <c r="B712" s="330">
        <v>4</v>
      </c>
      <c r="C712" s="298">
        <v>46073</v>
      </c>
      <c r="D712" s="299" t="s">
        <v>355</v>
      </c>
      <c r="E712" s="331">
        <v>59.88</v>
      </c>
      <c r="F712" s="331"/>
      <c r="G712" s="333">
        <f t="shared" si="10"/>
        <v>6509.4799999999923</v>
      </c>
      <c r="H712" s="334"/>
      <c r="I712" s="335"/>
      <c r="J712" s="336"/>
      <c r="K712" s="301"/>
      <c r="L712" s="336"/>
      <c r="M712" s="301"/>
      <c r="N712" s="336"/>
      <c r="O712" s="301"/>
      <c r="P712" s="336"/>
      <c r="Q712" s="301"/>
      <c r="R712" s="336"/>
      <c r="S712" s="301"/>
      <c r="T712" s="336"/>
    </row>
    <row r="713" spans="1:20" ht="12" customHeight="1" x14ac:dyDescent="0.3">
      <c r="A713" s="329" t="s">
        <v>289</v>
      </c>
      <c r="B713" s="330">
        <v>2</v>
      </c>
      <c r="C713" s="298">
        <v>46073</v>
      </c>
      <c r="D713" s="299" t="s">
        <v>418</v>
      </c>
      <c r="E713" s="331">
        <v>19.57</v>
      </c>
      <c r="F713" s="331"/>
      <c r="G713" s="333">
        <f t="shared" si="10"/>
        <v>6569.3599999999924</v>
      </c>
      <c r="H713" s="334"/>
      <c r="I713" s="335"/>
      <c r="J713" s="336"/>
      <c r="K713" s="301"/>
      <c r="L713" s="336"/>
      <c r="M713" s="301"/>
      <c r="N713" s="336"/>
      <c r="O713" s="301"/>
      <c r="P713" s="336"/>
      <c r="Q713" s="301"/>
      <c r="R713" s="336"/>
      <c r="S713" s="301"/>
      <c r="T713" s="336"/>
    </row>
    <row r="714" spans="1:20" ht="12" customHeight="1" x14ac:dyDescent="0.3">
      <c r="A714" s="329" t="s">
        <v>294</v>
      </c>
      <c r="B714" s="330">
        <v>22</v>
      </c>
      <c r="C714" s="298">
        <v>46073</v>
      </c>
      <c r="D714" s="299" t="s">
        <v>323</v>
      </c>
      <c r="E714" s="331">
        <v>20.22</v>
      </c>
      <c r="F714" s="331"/>
      <c r="G714" s="333">
        <f t="shared" si="10"/>
        <v>6588.9299999999921</v>
      </c>
      <c r="H714" s="334"/>
      <c r="I714" s="335"/>
      <c r="J714" s="336"/>
      <c r="K714" s="301"/>
      <c r="L714" s="336"/>
      <c r="M714" s="301"/>
      <c r="N714" s="336"/>
      <c r="O714" s="301"/>
      <c r="P714" s="336"/>
      <c r="Q714" s="301"/>
      <c r="R714" s="336"/>
      <c r="S714" s="301"/>
      <c r="T714" s="336"/>
    </row>
    <row r="715" spans="1:20" ht="12" customHeight="1" x14ac:dyDescent="0.3">
      <c r="A715" s="329" t="s">
        <v>289</v>
      </c>
      <c r="B715" s="330">
        <v>2</v>
      </c>
      <c r="C715" s="298">
        <v>46073</v>
      </c>
      <c r="D715" s="299" t="s">
        <v>358</v>
      </c>
      <c r="E715" s="331">
        <v>5.3</v>
      </c>
      <c r="F715" s="331"/>
      <c r="G715" s="333">
        <f t="shared" si="10"/>
        <v>6609.1499999999924</v>
      </c>
      <c r="H715" s="334"/>
      <c r="I715" s="335"/>
      <c r="J715" s="336"/>
      <c r="K715" s="301"/>
      <c r="L715" s="336"/>
      <c r="M715" s="301"/>
      <c r="N715" s="336"/>
      <c r="O715" s="301"/>
      <c r="P715" s="336"/>
      <c r="Q715" s="301"/>
      <c r="R715" s="336"/>
      <c r="S715" s="301"/>
      <c r="T715" s="336"/>
    </row>
    <row r="716" spans="1:20" ht="12" customHeight="1" x14ac:dyDescent="0.3">
      <c r="A716" s="329" t="s">
        <v>289</v>
      </c>
      <c r="B716" s="330">
        <v>3</v>
      </c>
      <c r="C716" s="298">
        <v>46073</v>
      </c>
      <c r="D716" s="299" t="s">
        <v>324</v>
      </c>
      <c r="E716" s="331">
        <v>8.1300000000000008</v>
      </c>
      <c r="F716" s="331"/>
      <c r="G716" s="333">
        <f t="shared" si="10"/>
        <v>6614.4499999999925</v>
      </c>
      <c r="H716" s="334"/>
      <c r="I716" s="335"/>
      <c r="J716" s="336"/>
      <c r="K716" s="301"/>
      <c r="L716" s="336"/>
      <c r="M716" s="301"/>
      <c r="N716" s="336"/>
      <c r="O716" s="301"/>
      <c r="P716" s="336"/>
      <c r="Q716" s="301"/>
      <c r="R716" s="336"/>
      <c r="S716" s="301"/>
      <c r="T716" s="336"/>
    </row>
    <row r="717" spans="1:20" ht="12" customHeight="1" x14ac:dyDescent="0.3">
      <c r="A717" s="329" t="s">
        <v>289</v>
      </c>
      <c r="B717" s="330">
        <v>4</v>
      </c>
      <c r="C717" s="298">
        <v>46073</v>
      </c>
      <c r="D717" s="299" t="s">
        <v>310</v>
      </c>
      <c r="E717" s="331">
        <v>32.43</v>
      </c>
      <c r="F717" s="331"/>
      <c r="G717" s="333">
        <f t="shared" si="10"/>
        <v>6622.5799999999927</v>
      </c>
      <c r="H717" s="334"/>
      <c r="I717" s="335"/>
      <c r="J717" s="336"/>
      <c r="K717" s="301"/>
      <c r="L717" s="336"/>
      <c r="M717" s="301"/>
      <c r="N717" s="336"/>
      <c r="O717" s="301"/>
      <c r="P717" s="336"/>
      <c r="Q717" s="301"/>
      <c r="R717" s="336"/>
      <c r="S717" s="301"/>
      <c r="T717" s="336"/>
    </row>
    <row r="718" spans="1:20" ht="12" customHeight="1" x14ac:dyDescent="0.3">
      <c r="A718" s="329" t="s">
        <v>289</v>
      </c>
      <c r="B718" s="330">
        <v>8</v>
      </c>
      <c r="C718" s="298">
        <v>46073</v>
      </c>
      <c r="D718" s="299" t="s">
        <v>432</v>
      </c>
      <c r="E718" s="331">
        <v>98.65</v>
      </c>
      <c r="F718" s="331"/>
      <c r="G718" s="333">
        <f t="shared" si="10"/>
        <v>6655.0099999999929</v>
      </c>
      <c r="H718" s="334"/>
      <c r="I718" s="335"/>
      <c r="J718" s="336"/>
      <c r="K718" s="301"/>
      <c r="L718" s="336"/>
      <c r="M718" s="301"/>
      <c r="N718" s="336"/>
      <c r="O718" s="301"/>
      <c r="P718" s="336"/>
      <c r="Q718" s="301"/>
      <c r="R718" s="336"/>
      <c r="S718" s="301"/>
      <c r="T718" s="336"/>
    </row>
    <row r="719" spans="1:20" ht="12" customHeight="1" x14ac:dyDescent="0.3">
      <c r="A719" s="329" t="s">
        <v>289</v>
      </c>
      <c r="B719" s="330">
        <v>6</v>
      </c>
      <c r="C719" s="298">
        <v>46072</v>
      </c>
      <c r="D719" s="299" t="s">
        <v>300</v>
      </c>
      <c r="E719" s="331">
        <v>30.87</v>
      </c>
      <c r="F719" s="331"/>
      <c r="G719" s="333">
        <f t="shared" si="10"/>
        <v>6753.6599999999926</v>
      </c>
      <c r="H719" s="334"/>
      <c r="I719" s="335"/>
      <c r="J719" s="336"/>
      <c r="K719" s="301"/>
      <c r="L719" s="336"/>
      <c r="M719" s="301"/>
      <c r="N719" s="336"/>
      <c r="O719" s="301"/>
      <c r="P719" s="336"/>
      <c r="Q719" s="301"/>
      <c r="R719" s="336"/>
      <c r="S719" s="301"/>
      <c r="T719" s="336"/>
    </row>
    <row r="720" spans="1:20" ht="12" customHeight="1" x14ac:dyDescent="0.3">
      <c r="A720" s="329" t="s">
        <v>289</v>
      </c>
      <c r="B720" s="330">
        <v>6</v>
      </c>
      <c r="C720" s="298">
        <v>46072</v>
      </c>
      <c r="D720" s="299" t="s">
        <v>300</v>
      </c>
      <c r="E720" s="331">
        <v>15.96</v>
      </c>
      <c r="F720" s="331"/>
      <c r="G720" s="333">
        <f t="shared" si="10"/>
        <v>6784.5299999999925</v>
      </c>
      <c r="H720" s="334"/>
      <c r="I720" s="335"/>
      <c r="J720" s="336"/>
      <c r="K720" s="301"/>
      <c r="L720" s="336"/>
      <c r="M720" s="301"/>
      <c r="N720" s="336"/>
      <c r="O720" s="301"/>
      <c r="P720" s="336"/>
      <c r="Q720" s="301"/>
      <c r="R720" s="336"/>
      <c r="S720" s="301"/>
      <c r="T720" s="336"/>
    </row>
    <row r="721" spans="1:20" ht="12" customHeight="1" x14ac:dyDescent="0.3">
      <c r="A721" s="329" t="s">
        <v>289</v>
      </c>
      <c r="B721" s="330">
        <v>2</v>
      </c>
      <c r="C721" s="298">
        <v>46072</v>
      </c>
      <c r="D721" s="299" t="s">
        <v>296</v>
      </c>
      <c r="E721" s="331">
        <v>17.36</v>
      </c>
      <c r="F721" s="331"/>
      <c r="G721" s="333">
        <f t="shared" si="10"/>
        <v>6800.4899999999925</v>
      </c>
      <c r="H721" s="334"/>
      <c r="I721" s="335"/>
      <c r="J721" s="336"/>
      <c r="K721" s="301"/>
      <c r="L721" s="336"/>
      <c r="M721" s="301"/>
      <c r="N721" s="336"/>
      <c r="O721" s="301"/>
      <c r="P721" s="336"/>
      <c r="Q721" s="301"/>
      <c r="R721" s="336"/>
      <c r="S721" s="301"/>
      <c r="T721" s="336"/>
    </row>
    <row r="722" spans="1:20" ht="12" customHeight="1" x14ac:dyDescent="0.3">
      <c r="A722" s="329" t="s">
        <v>294</v>
      </c>
      <c r="B722" s="330">
        <v>22</v>
      </c>
      <c r="C722" s="298">
        <v>46072</v>
      </c>
      <c r="D722" s="299" t="s">
        <v>328</v>
      </c>
      <c r="E722" s="331">
        <v>7.46</v>
      </c>
      <c r="F722" s="331"/>
      <c r="G722" s="333">
        <f t="shared" si="10"/>
        <v>6817.8499999999922</v>
      </c>
      <c r="H722" s="334"/>
      <c r="I722" s="335"/>
      <c r="J722" s="336"/>
      <c r="K722" s="301"/>
      <c r="L722" s="336"/>
      <c r="M722" s="301"/>
      <c r="N722" s="336"/>
      <c r="O722" s="301"/>
      <c r="P722" s="336"/>
      <c r="Q722" s="301"/>
      <c r="R722" s="336"/>
      <c r="S722" s="301"/>
      <c r="T722" s="336"/>
    </row>
    <row r="723" spans="1:20" ht="12" customHeight="1" x14ac:dyDescent="0.3">
      <c r="A723" s="329" t="s">
        <v>291</v>
      </c>
      <c r="B723" s="330">
        <v>39</v>
      </c>
      <c r="C723" s="298">
        <v>46072</v>
      </c>
      <c r="D723" s="299" t="s">
        <v>292</v>
      </c>
      <c r="E723" s="331"/>
      <c r="F723" s="331">
        <v>2763.77</v>
      </c>
      <c r="G723" s="333">
        <f t="shared" si="10"/>
        <v>6825.3099999999922</v>
      </c>
      <c r="H723" s="334"/>
      <c r="I723" s="335"/>
      <c r="J723" s="336"/>
      <c r="K723" s="301"/>
      <c r="L723" s="336"/>
      <c r="M723" s="301"/>
      <c r="N723" s="336"/>
      <c r="O723" s="301"/>
      <c r="P723" s="336"/>
      <c r="Q723" s="301"/>
      <c r="R723" s="336"/>
      <c r="S723" s="301"/>
      <c r="T723" s="336"/>
    </row>
    <row r="724" spans="1:20" ht="12" customHeight="1" x14ac:dyDescent="0.3">
      <c r="A724" s="329" t="s">
        <v>335</v>
      </c>
      <c r="B724" s="330" t="s">
        <v>335</v>
      </c>
      <c r="C724" s="298">
        <v>46071</v>
      </c>
      <c r="D724" s="299" t="s">
        <v>336</v>
      </c>
      <c r="E724" s="331">
        <v>182.55</v>
      </c>
      <c r="F724" s="331"/>
      <c r="G724" s="333">
        <f t="shared" si="10"/>
        <v>4061.5399999999927</v>
      </c>
      <c r="H724" s="334"/>
      <c r="I724" s="335"/>
      <c r="J724" s="336"/>
      <c r="K724" s="301"/>
      <c r="L724" s="336"/>
      <c r="M724" s="301"/>
      <c r="N724" s="336"/>
      <c r="O724" s="301"/>
      <c r="P724" s="336"/>
      <c r="Q724" s="301"/>
      <c r="R724" s="336"/>
      <c r="S724" s="301"/>
      <c r="T724" s="336"/>
    </row>
    <row r="725" spans="1:20" ht="12" customHeight="1" x14ac:dyDescent="0.3">
      <c r="A725" s="329" t="s">
        <v>294</v>
      </c>
      <c r="B725" s="330">
        <v>15</v>
      </c>
      <c r="C725" s="298">
        <v>46071</v>
      </c>
      <c r="D725" s="299" t="s">
        <v>185</v>
      </c>
      <c r="E725" s="331">
        <v>188.16</v>
      </c>
      <c r="F725" s="331"/>
      <c r="G725" s="333">
        <f t="shared" si="10"/>
        <v>4244.0899999999929</v>
      </c>
      <c r="H725" s="334"/>
      <c r="I725" s="335"/>
      <c r="J725" s="336"/>
      <c r="K725" s="301"/>
      <c r="L725" s="336"/>
      <c r="M725" s="301"/>
      <c r="N725" s="336"/>
      <c r="O725" s="301"/>
      <c r="P725" s="336"/>
      <c r="Q725" s="301"/>
      <c r="R725" s="336"/>
      <c r="S725" s="301"/>
      <c r="T725" s="336"/>
    </row>
    <row r="726" spans="1:20" ht="12" customHeight="1" x14ac:dyDescent="0.3">
      <c r="A726" s="329" t="s">
        <v>291</v>
      </c>
      <c r="B726" s="330">
        <v>40</v>
      </c>
      <c r="C726" s="298">
        <v>46071</v>
      </c>
      <c r="D726" s="299" t="s">
        <v>316</v>
      </c>
      <c r="E726" s="331"/>
      <c r="F726" s="331">
        <v>1281.58</v>
      </c>
      <c r="G726" s="333">
        <f t="shared" si="10"/>
        <v>4432.2499999999927</v>
      </c>
      <c r="H726" s="334"/>
      <c r="I726" s="335"/>
      <c r="J726" s="336"/>
      <c r="K726" s="301"/>
      <c r="L726" s="336"/>
      <c r="M726" s="301"/>
      <c r="N726" s="336"/>
      <c r="O726" s="301"/>
      <c r="P726" s="336"/>
      <c r="Q726" s="301"/>
      <c r="R726" s="336"/>
      <c r="S726" s="301"/>
      <c r="T726" s="336"/>
    </row>
    <row r="727" spans="1:20" ht="12" customHeight="1" x14ac:dyDescent="0.3">
      <c r="A727" s="329" t="s">
        <v>289</v>
      </c>
      <c r="B727" s="330">
        <v>6</v>
      </c>
      <c r="C727" s="298">
        <v>46071</v>
      </c>
      <c r="D727" s="299" t="s">
        <v>433</v>
      </c>
      <c r="E727" s="331">
        <v>-146</v>
      </c>
      <c r="F727" s="331"/>
      <c r="G727" s="333">
        <f t="shared" si="10"/>
        <v>3150.6699999999933</v>
      </c>
      <c r="H727" s="334"/>
      <c r="I727" s="335"/>
      <c r="J727" s="336"/>
      <c r="K727" s="301"/>
      <c r="L727" s="336"/>
      <c r="M727" s="301"/>
      <c r="N727" s="336"/>
      <c r="O727" s="301"/>
      <c r="P727" s="336"/>
      <c r="Q727" s="301"/>
      <c r="R727" s="336"/>
      <c r="S727" s="301"/>
      <c r="T727" s="336"/>
    </row>
    <row r="728" spans="1:20" ht="12" customHeight="1" x14ac:dyDescent="0.3">
      <c r="A728" s="329" t="s">
        <v>289</v>
      </c>
      <c r="B728" s="330">
        <v>2</v>
      </c>
      <c r="C728" s="298">
        <v>46071</v>
      </c>
      <c r="D728" s="299" t="s">
        <v>434</v>
      </c>
      <c r="E728" s="331">
        <v>-13</v>
      </c>
      <c r="F728" s="331"/>
      <c r="G728" s="333">
        <f t="shared" si="10"/>
        <v>3004.6699999999933</v>
      </c>
      <c r="H728" s="334"/>
      <c r="I728" s="335"/>
      <c r="J728" s="336"/>
      <c r="K728" s="301"/>
      <c r="L728" s="336"/>
      <c r="M728" s="301"/>
      <c r="N728" s="336"/>
      <c r="O728" s="301"/>
      <c r="P728" s="336"/>
      <c r="Q728" s="301"/>
      <c r="R728" s="336"/>
      <c r="S728" s="301"/>
      <c r="T728" s="336"/>
    </row>
    <row r="729" spans="1:20" ht="12" customHeight="1" x14ac:dyDescent="0.3">
      <c r="A729" s="329" t="s">
        <v>335</v>
      </c>
      <c r="B729" s="330" t="s">
        <v>335</v>
      </c>
      <c r="C729" s="298">
        <v>46071</v>
      </c>
      <c r="D729" s="299" t="s">
        <v>460</v>
      </c>
      <c r="E729" s="331"/>
      <c r="F729" s="331">
        <v>191</v>
      </c>
      <c r="G729" s="333">
        <f t="shared" si="10"/>
        <v>2991.6699999999933</v>
      </c>
      <c r="H729" s="334"/>
      <c r="I729" s="335"/>
      <c r="J729" s="336"/>
      <c r="K729" s="301"/>
      <c r="L729" s="336"/>
      <c r="M729" s="301"/>
      <c r="N729" s="336"/>
      <c r="O729" s="301"/>
      <c r="P729" s="336"/>
      <c r="Q729" s="301"/>
      <c r="R729" s="336"/>
      <c r="S729" s="301"/>
      <c r="T729" s="336"/>
    </row>
    <row r="730" spans="1:20" ht="12" customHeight="1" x14ac:dyDescent="0.3">
      <c r="A730" s="329" t="s">
        <v>289</v>
      </c>
      <c r="B730" s="330">
        <v>6</v>
      </c>
      <c r="C730" s="298">
        <v>46071</v>
      </c>
      <c r="D730" s="299" t="s">
        <v>300</v>
      </c>
      <c r="E730" s="331">
        <v>43.63</v>
      </c>
      <c r="F730" s="331"/>
      <c r="G730" s="333">
        <f t="shared" si="10"/>
        <v>2800.6699999999933</v>
      </c>
      <c r="H730" s="334"/>
      <c r="I730" s="335"/>
      <c r="J730" s="336"/>
      <c r="K730" s="301"/>
      <c r="L730" s="336"/>
      <c r="M730" s="301"/>
      <c r="N730" s="336"/>
      <c r="O730" s="301"/>
      <c r="P730" s="336"/>
      <c r="Q730" s="301"/>
      <c r="R730" s="336"/>
      <c r="S730" s="301"/>
      <c r="T730" s="336"/>
    </row>
    <row r="731" spans="1:20" ht="12" customHeight="1" x14ac:dyDescent="0.3">
      <c r="A731" s="329" t="s">
        <v>289</v>
      </c>
      <c r="B731" s="330">
        <v>6</v>
      </c>
      <c r="C731" s="298">
        <v>46071</v>
      </c>
      <c r="D731" s="299" t="s">
        <v>300</v>
      </c>
      <c r="E731" s="331">
        <v>10.64</v>
      </c>
      <c r="F731" s="331"/>
      <c r="G731" s="333">
        <f t="shared" si="10"/>
        <v>2844.2999999999934</v>
      </c>
      <c r="H731" s="334"/>
      <c r="I731" s="335"/>
      <c r="J731" s="336"/>
      <c r="K731" s="301"/>
      <c r="L731" s="336"/>
      <c r="M731" s="301"/>
      <c r="N731" s="336"/>
      <c r="O731" s="301"/>
      <c r="P731" s="336"/>
      <c r="Q731" s="301"/>
      <c r="R731" s="336"/>
      <c r="S731" s="301"/>
      <c r="T731" s="336"/>
    </row>
    <row r="732" spans="1:20" ht="12" customHeight="1" x14ac:dyDescent="0.3">
      <c r="A732" s="329" t="s">
        <v>289</v>
      </c>
      <c r="B732" s="330">
        <v>8</v>
      </c>
      <c r="C732" s="298">
        <v>46071</v>
      </c>
      <c r="D732" s="299" t="s">
        <v>296</v>
      </c>
      <c r="E732" s="331">
        <v>14.87</v>
      </c>
      <c r="F732" s="331"/>
      <c r="G732" s="333">
        <f t="shared" si="10"/>
        <v>2854.9399999999932</v>
      </c>
      <c r="H732" s="334"/>
      <c r="I732" s="335"/>
      <c r="J732" s="336"/>
      <c r="K732" s="301"/>
      <c r="L732" s="336"/>
      <c r="M732" s="301"/>
      <c r="N732" s="336"/>
      <c r="O732" s="301"/>
      <c r="P732" s="336"/>
      <c r="Q732" s="301"/>
      <c r="R732" s="336"/>
      <c r="S732" s="301"/>
      <c r="T732" s="336"/>
    </row>
    <row r="733" spans="1:20" ht="12" customHeight="1" x14ac:dyDescent="0.3">
      <c r="A733" s="329" t="s">
        <v>289</v>
      </c>
      <c r="B733" s="330">
        <v>2</v>
      </c>
      <c r="C733" s="298">
        <v>46071</v>
      </c>
      <c r="D733" s="299" t="s">
        <v>295</v>
      </c>
      <c r="E733" s="331">
        <v>12.99</v>
      </c>
      <c r="F733" s="331"/>
      <c r="G733" s="333">
        <f t="shared" si="10"/>
        <v>2869.8099999999931</v>
      </c>
      <c r="H733" s="334"/>
      <c r="I733" s="335"/>
      <c r="J733" s="336"/>
      <c r="K733" s="301"/>
      <c r="L733" s="336"/>
      <c r="M733" s="301"/>
      <c r="N733" s="336"/>
      <c r="O733" s="301"/>
      <c r="P733" s="336"/>
      <c r="Q733" s="301"/>
      <c r="R733" s="336"/>
      <c r="S733" s="301"/>
      <c r="T733" s="336"/>
    </row>
    <row r="734" spans="1:20" ht="12" customHeight="1" x14ac:dyDescent="0.3">
      <c r="A734" s="329" t="s">
        <v>289</v>
      </c>
      <c r="B734" s="330">
        <v>4</v>
      </c>
      <c r="C734" s="298">
        <v>46071</v>
      </c>
      <c r="D734" s="299" t="s">
        <v>295</v>
      </c>
      <c r="E734" s="331">
        <v>29.47</v>
      </c>
      <c r="F734" s="331"/>
      <c r="G734" s="333">
        <f t="shared" si="10"/>
        <v>2882.7999999999929</v>
      </c>
      <c r="H734" s="334"/>
      <c r="I734" s="335"/>
      <c r="J734" s="336"/>
      <c r="K734" s="301"/>
      <c r="L734" s="336"/>
      <c r="M734" s="301"/>
      <c r="N734" s="336"/>
      <c r="O734" s="301"/>
      <c r="P734" s="336"/>
      <c r="Q734" s="301"/>
      <c r="R734" s="336"/>
      <c r="S734" s="301"/>
      <c r="T734" s="336"/>
    </row>
    <row r="735" spans="1:20" ht="12" customHeight="1" x14ac:dyDescent="0.3">
      <c r="A735" s="329" t="s">
        <v>294</v>
      </c>
      <c r="B735" s="330">
        <v>22</v>
      </c>
      <c r="C735" s="298">
        <v>46071</v>
      </c>
      <c r="D735" s="299" t="s">
        <v>401</v>
      </c>
      <c r="E735" s="331">
        <v>13.84</v>
      </c>
      <c r="F735" s="331"/>
      <c r="G735" s="333">
        <f t="shared" si="10"/>
        <v>2912.2699999999927</v>
      </c>
      <c r="H735" s="334"/>
      <c r="I735" s="335"/>
      <c r="J735" s="336"/>
      <c r="K735" s="301"/>
      <c r="L735" s="336"/>
      <c r="M735" s="301"/>
      <c r="N735" s="336"/>
      <c r="O735" s="301"/>
      <c r="P735" s="336"/>
      <c r="Q735" s="301"/>
      <c r="R735" s="336"/>
      <c r="S735" s="301"/>
      <c r="T735" s="336"/>
    </row>
    <row r="736" spans="1:20" ht="12" customHeight="1" x14ac:dyDescent="0.3">
      <c r="A736" s="329" t="s">
        <v>289</v>
      </c>
      <c r="B736" s="330">
        <v>2</v>
      </c>
      <c r="C736" s="298">
        <v>46071</v>
      </c>
      <c r="D736" s="299" t="s">
        <v>435</v>
      </c>
      <c r="E736" s="331">
        <v>64.569999999999993</v>
      </c>
      <c r="F736" s="331"/>
      <c r="G736" s="333">
        <f t="shared" si="10"/>
        <v>2926.1099999999929</v>
      </c>
      <c r="H736" s="334"/>
      <c r="I736" s="335"/>
      <c r="J736" s="336"/>
      <c r="K736" s="301"/>
      <c r="L736" s="336"/>
      <c r="M736" s="301"/>
      <c r="N736" s="336"/>
      <c r="O736" s="301"/>
      <c r="P736" s="336"/>
      <c r="Q736" s="301"/>
      <c r="R736" s="336"/>
      <c r="S736" s="301"/>
      <c r="T736" s="336"/>
    </row>
    <row r="737" spans="1:20" ht="12" customHeight="1" x14ac:dyDescent="0.3">
      <c r="A737" s="329" t="s">
        <v>294</v>
      </c>
      <c r="B737" s="330">
        <v>21</v>
      </c>
      <c r="C737" s="298">
        <v>46070</v>
      </c>
      <c r="D737" s="299" t="s">
        <v>194</v>
      </c>
      <c r="E737" s="331">
        <v>81</v>
      </c>
      <c r="F737" s="331"/>
      <c r="G737" s="333">
        <f t="shared" si="10"/>
        <v>2990.679999999993</v>
      </c>
      <c r="H737" s="334"/>
      <c r="I737" s="335"/>
      <c r="J737" s="336"/>
      <c r="K737" s="301"/>
      <c r="L737" s="336"/>
      <c r="M737" s="301"/>
      <c r="N737" s="336"/>
      <c r="O737" s="301"/>
      <c r="P737" s="336"/>
      <c r="Q737" s="301"/>
      <c r="R737" s="336"/>
      <c r="S737" s="301"/>
      <c r="T737" s="336"/>
    </row>
    <row r="738" spans="1:20" ht="12" customHeight="1" x14ac:dyDescent="0.3">
      <c r="A738" s="329" t="s">
        <v>289</v>
      </c>
      <c r="B738" s="330">
        <v>2</v>
      </c>
      <c r="C738" s="298">
        <v>46070</v>
      </c>
      <c r="D738" s="299" t="s">
        <v>384</v>
      </c>
      <c r="E738" s="331">
        <v>81.41</v>
      </c>
      <c r="F738" s="331"/>
      <c r="G738" s="333">
        <f t="shared" si="10"/>
        <v>3071.679999999993</v>
      </c>
      <c r="H738" s="334"/>
      <c r="I738" s="335"/>
      <c r="J738" s="336"/>
      <c r="K738" s="301"/>
      <c r="L738" s="336"/>
      <c r="M738" s="301"/>
      <c r="N738" s="336"/>
      <c r="O738" s="301"/>
      <c r="P738" s="336"/>
      <c r="Q738" s="301"/>
      <c r="R738" s="336"/>
      <c r="S738" s="301"/>
      <c r="T738" s="336"/>
    </row>
    <row r="739" spans="1:20" ht="12" customHeight="1" x14ac:dyDescent="0.3">
      <c r="A739" s="329" t="s">
        <v>289</v>
      </c>
      <c r="B739" s="330">
        <v>6</v>
      </c>
      <c r="C739" s="298">
        <v>46070</v>
      </c>
      <c r="D739" s="299" t="s">
        <v>300</v>
      </c>
      <c r="E739" s="331">
        <v>113.74</v>
      </c>
      <c r="F739" s="331"/>
      <c r="G739" s="333">
        <f t="shared" si="10"/>
        <v>3153.0899999999929</v>
      </c>
      <c r="H739" s="334"/>
      <c r="I739" s="335"/>
      <c r="J739" s="336"/>
      <c r="K739" s="301"/>
      <c r="L739" s="336"/>
      <c r="M739" s="301"/>
      <c r="N739" s="336"/>
      <c r="O739" s="301"/>
      <c r="P739" s="336"/>
      <c r="Q739" s="301"/>
      <c r="R739" s="336"/>
      <c r="S739" s="301"/>
      <c r="T739" s="336"/>
    </row>
    <row r="740" spans="1:20" ht="12" customHeight="1" x14ac:dyDescent="0.3">
      <c r="A740" s="329" t="s">
        <v>294</v>
      </c>
      <c r="B740" s="330">
        <v>43</v>
      </c>
      <c r="C740" s="298">
        <v>46070</v>
      </c>
      <c r="D740" s="299" t="s">
        <v>333</v>
      </c>
      <c r="E740" s="331">
        <v>29.8</v>
      </c>
      <c r="F740" s="331"/>
      <c r="G740" s="333">
        <f t="shared" si="10"/>
        <v>3266.8299999999927</v>
      </c>
      <c r="H740" s="334"/>
      <c r="I740" s="335"/>
      <c r="J740" s="336"/>
      <c r="K740" s="301"/>
      <c r="L740" s="336"/>
      <c r="M740" s="301"/>
      <c r="N740" s="336"/>
      <c r="O740" s="301"/>
      <c r="P740" s="336"/>
      <c r="Q740" s="301"/>
      <c r="R740" s="336"/>
      <c r="S740" s="301"/>
      <c r="T740" s="336"/>
    </row>
    <row r="741" spans="1:20" ht="12" customHeight="1" x14ac:dyDescent="0.3">
      <c r="A741" s="329" t="s">
        <v>294</v>
      </c>
      <c r="B741" s="330">
        <v>42</v>
      </c>
      <c r="C741" s="298">
        <v>46070</v>
      </c>
      <c r="D741" s="299" t="s">
        <v>333</v>
      </c>
      <c r="E741" s="331">
        <v>37.25</v>
      </c>
      <c r="F741" s="331"/>
      <c r="G741" s="333">
        <f t="shared" si="10"/>
        <v>3296.6299999999928</v>
      </c>
      <c r="H741" s="334"/>
      <c r="I741" s="335"/>
      <c r="J741" s="336"/>
      <c r="K741" s="301"/>
      <c r="L741" s="336"/>
      <c r="M741" s="301"/>
      <c r="N741" s="336"/>
      <c r="O741" s="301"/>
      <c r="P741" s="336"/>
      <c r="Q741" s="301"/>
      <c r="R741" s="336"/>
      <c r="S741" s="301"/>
      <c r="T741" s="336"/>
    </row>
    <row r="742" spans="1:20" ht="12" customHeight="1" x14ac:dyDescent="0.3">
      <c r="A742" s="329" t="s">
        <v>289</v>
      </c>
      <c r="B742" s="330">
        <v>2</v>
      </c>
      <c r="C742" s="298">
        <v>46070</v>
      </c>
      <c r="D742" s="299" t="s">
        <v>424</v>
      </c>
      <c r="E742" s="331">
        <v>7.97</v>
      </c>
      <c r="F742" s="331"/>
      <c r="G742" s="333">
        <f t="shared" si="10"/>
        <v>3333.8799999999928</v>
      </c>
      <c r="H742" s="334"/>
      <c r="I742" s="335"/>
      <c r="J742" s="336"/>
      <c r="K742" s="301"/>
      <c r="L742" s="336"/>
      <c r="M742" s="301"/>
      <c r="N742" s="336"/>
      <c r="O742" s="301"/>
      <c r="P742" s="336"/>
      <c r="Q742" s="301"/>
      <c r="R742" s="336"/>
      <c r="S742" s="301"/>
      <c r="T742" s="336"/>
    </row>
    <row r="743" spans="1:20" ht="12" customHeight="1" x14ac:dyDescent="0.3">
      <c r="A743" s="329" t="s">
        <v>294</v>
      </c>
      <c r="B743" s="330">
        <v>17</v>
      </c>
      <c r="C743" s="298">
        <v>46070</v>
      </c>
      <c r="D743" s="299" t="s">
        <v>188</v>
      </c>
      <c r="E743" s="331">
        <v>42.65</v>
      </c>
      <c r="F743" s="331"/>
      <c r="G743" s="333">
        <f t="shared" si="10"/>
        <v>3341.8499999999926</v>
      </c>
      <c r="H743" s="334"/>
      <c r="I743" s="335"/>
      <c r="J743" s="336"/>
      <c r="K743" s="301"/>
      <c r="L743" s="336"/>
      <c r="M743" s="301"/>
      <c r="N743" s="336"/>
      <c r="O743" s="301"/>
      <c r="P743" s="336"/>
      <c r="Q743" s="301"/>
      <c r="R743" s="336"/>
      <c r="S743" s="301"/>
      <c r="T743" s="336"/>
    </row>
    <row r="744" spans="1:20" ht="12" customHeight="1" x14ac:dyDescent="0.3">
      <c r="A744" s="329" t="s">
        <v>289</v>
      </c>
      <c r="B744" s="330">
        <v>6</v>
      </c>
      <c r="C744" s="298">
        <v>46070</v>
      </c>
      <c r="D744" s="299" t="s">
        <v>436</v>
      </c>
      <c r="E744" s="331">
        <v>40</v>
      </c>
      <c r="F744" s="331"/>
      <c r="G744" s="333">
        <f t="shared" si="10"/>
        <v>3384.4999999999927</v>
      </c>
      <c r="H744" s="334"/>
      <c r="I744" s="335"/>
      <c r="J744" s="336"/>
      <c r="K744" s="301"/>
      <c r="L744" s="336"/>
      <c r="M744" s="301"/>
      <c r="N744" s="336"/>
      <c r="O744" s="301"/>
      <c r="P744" s="336"/>
      <c r="Q744" s="301"/>
      <c r="R744" s="336"/>
      <c r="S744" s="301"/>
      <c r="T744" s="336"/>
    </row>
    <row r="745" spans="1:20" ht="12" customHeight="1" x14ac:dyDescent="0.3">
      <c r="A745" s="329" t="s">
        <v>294</v>
      </c>
      <c r="B745" s="330">
        <v>11</v>
      </c>
      <c r="C745" s="298">
        <v>46070</v>
      </c>
      <c r="D745" s="299" t="s">
        <v>178</v>
      </c>
      <c r="E745" s="331">
        <v>480.91</v>
      </c>
      <c r="F745" s="331"/>
      <c r="G745" s="333">
        <f t="shared" si="10"/>
        <v>3424.4999999999927</v>
      </c>
      <c r="H745" s="334"/>
      <c r="I745" s="335"/>
      <c r="J745" s="336"/>
      <c r="K745" s="301"/>
      <c r="L745" s="336"/>
      <c r="M745" s="301"/>
      <c r="N745" s="336"/>
      <c r="O745" s="301"/>
      <c r="P745" s="336"/>
      <c r="Q745" s="301"/>
      <c r="R745" s="336"/>
      <c r="S745" s="301"/>
      <c r="T745" s="336"/>
    </row>
    <row r="746" spans="1:20" ht="12" customHeight="1" x14ac:dyDescent="0.3">
      <c r="A746" s="329" t="s">
        <v>294</v>
      </c>
      <c r="B746" s="330">
        <v>23</v>
      </c>
      <c r="C746" s="298">
        <v>46070</v>
      </c>
      <c r="D746" s="299" t="s">
        <v>63</v>
      </c>
      <c r="E746" s="331">
        <v>529.46</v>
      </c>
      <c r="F746" s="331"/>
      <c r="G746" s="333">
        <f t="shared" si="10"/>
        <v>3905.4099999999926</v>
      </c>
      <c r="H746" s="334"/>
      <c r="I746" s="335"/>
      <c r="J746" s="336"/>
      <c r="K746" s="301"/>
      <c r="L746" s="336"/>
      <c r="M746" s="301"/>
      <c r="N746" s="336"/>
      <c r="O746" s="301"/>
      <c r="P746" s="336"/>
      <c r="Q746" s="301"/>
      <c r="R746" s="336"/>
      <c r="S746" s="301"/>
      <c r="T746" s="336"/>
    </row>
    <row r="747" spans="1:20" ht="12" customHeight="1" x14ac:dyDescent="0.3">
      <c r="A747" s="329" t="s">
        <v>289</v>
      </c>
      <c r="B747" s="330">
        <v>2</v>
      </c>
      <c r="C747" s="298">
        <v>46069</v>
      </c>
      <c r="D747" s="299" t="s">
        <v>324</v>
      </c>
      <c r="E747" s="331">
        <v>16.079999999999998</v>
      </c>
      <c r="F747" s="331"/>
      <c r="G747" s="333">
        <f t="shared" si="10"/>
        <v>4434.8699999999926</v>
      </c>
      <c r="H747" s="334"/>
      <c r="I747" s="335"/>
      <c r="J747" s="336"/>
      <c r="K747" s="301"/>
      <c r="L747" s="336"/>
      <c r="M747" s="301"/>
      <c r="N747" s="336"/>
      <c r="O747" s="301"/>
      <c r="P747" s="336"/>
      <c r="Q747" s="301"/>
      <c r="R747" s="336"/>
      <c r="S747" s="301"/>
      <c r="T747" s="336"/>
    </row>
    <row r="748" spans="1:20" ht="12" customHeight="1" x14ac:dyDescent="0.3">
      <c r="A748" s="329" t="s">
        <v>289</v>
      </c>
      <c r="B748" s="330">
        <v>6</v>
      </c>
      <c r="C748" s="298">
        <v>46069</v>
      </c>
      <c r="D748" s="299" t="s">
        <v>300</v>
      </c>
      <c r="E748" s="331">
        <v>21.17</v>
      </c>
      <c r="F748" s="331"/>
      <c r="G748" s="333">
        <f t="shared" si="10"/>
        <v>4450.9499999999925</v>
      </c>
      <c r="H748" s="334"/>
      <c r="I748" s="335"/>
      <c r="J748" s="336"/>
      <c r="K748" s="301"/>
      <c r="L748" s="336"/>
      <c r="M748" s="301"/>
      <c r="N748" s="336"/>
      <c r="O748" s="301"/>
      <c r="P748" s="336"/>
      <c r="Q748" s="301"/>
      <c r="R748" s="336"/>
      <c r="S748" s="301"/>
      <c r="T748" s="336"/>
    </row>
    <row r="749" spans="1:20" ht="12" customHeight="1" x14ac:dyDescent="0.3">
      <c r="A749" s="329" t="s">
        <v>289</v>
      </c>
      <c r="B749" s="330">
        <v>6</v>
      </c>
      <c r="C749" s="298">
        <v>46069</v>
      </c>
      <c r="D749" s="299" t="s">
        <v>300</v>
      </c>
      <c r="E749" s="331">
        <v>17.03</v>
      </c>
      <c r="F749" s="331"/>
      <c r="G749" s="333">
        <f t="shared" si="10"/>
        <v>4472.1199999999926</v>
      </c>
      <c r="H749" s="334"/>
      <c r="I749" s="335"/>
      <c r="J749" s="336"/>
      <c r="K749" s="301"/>
      <c r="L749" s="336"/>
      <c r="M749" s="301"/>
      <c r="N749" s="336"/>
      <c r="O749" s="301"/>
      <c r="P749" s="336"/>
      <c r="Q749" s="301"/>
      <c r="R749" s="336"/>
      <c r="S749" s="301"/>
      <c r="T749" s="336"/>
    </row>
    <row r="750" spans="1:20" ht="12" customHeight="1" x14ac:dyDescent="0.3">
      <c r="A750" s="329" t="s">
        <v>289</v>
      </c>
      <c r="B750" s="330">
        <v>2</v>
      </c>
      <c r="C750" s="298">
        <v>46069</v>
      </c>
      <c r="D750" s="299" t="s">
        <v>296</v>
      </c>
      <c r="E750" s="331">
        <v>18.309999999999999</v>
      </c>
      <c r="F750" s="331"/>
      <c r="G750" s="333">
        <f t="shared" si="10"/>
        <v>4489.1499999999924</v>
      </c>
      <c r="H750" s="334"/>
      <c r="I750" s="335"/>
      <c r="J750" s="336"/>
      <c r="K750" s="301"/>
      <c r="L750" s="336"/>
      <c r="M750" s="301"/>
      <c r="N750" s="336"/>
      <c r="O750" s="301"/>
      <c r="P750" s="336"/>
      <c r="Q750" s="301"/>
      <c r="R750" s="336"/>
      <c r="S750" s="301"/>
      <c r="T750" s="336"/>
    </row>
    <row r="751" spans="1:20" ht="12" customHeight="1" x14ac:dyDescent="0.3">
      <c r="A751" s="329" t="s">
        <v>289</v>
      </c>
      <c r="B751" s="330">
        <v>2</v>
      </c>
      <c r="C751" s="298">
        <v>46069</v>
      </c>
      <c r="D751" s="299" t="s">
        <v>301</v>
      </c>
      <c r="E751" s="331">
        <v>19.3</v>
      </c>
      <c r="F751" s="331"/>
      <c r="G751" s="333">
        <f t="shared" si="10"/>
        <v>4507.4599999999928</v>
      </c>
      <c r="H751" s="334"/>
      <c r="I751" s="335"/>
      <c r="J751" s="336"/>
      <c r="K751" s="301"/>
      <c r="L751" s="336"/>
      <c r="M751" s="301"/>
      <c r="N751" s="336"/>
      <c r="O751" s="301"/>
      <c r="P751" s="336"/>
      <c r="Q751" s="301"/>
      <c r="R751" s="336"/>
      <c r="S751" s="301"/>
      <c r="T751" s="336"/>
    </row>
    <row r="752" spans="1:20" ht="12" customHeight="1" x14ac:dyDescent="0.3">
      <c r="A752" s="329" t="s">
        <v>289</v>
      </c>
      <c r="B752" s="330">
        <v>6</v>
      </c>
      <c r="C752" s="298">
        <v>46069</v>
      </c>
      <c r="D752" s="299" t="s">
        <v>397</v>
      </c>
      <c r="E752" s="331">
        <v>24.67</v>
      </c>
      <c r="F752" s="331"/>
      <c r="G752" s="333">
        <f t="shared" si="10"/>
        <v>4526.7599999999929</v>
      </c>
      <c r="H752" s="334"/>
      <c r="I752" s="335"/>
      <c r="J752" s="336"/>
      <c r="K752" s="301"/>
      <c r="L752" s="336"/>
      <c r="M752" s="301"/>
      <c r="N752" s="336"/>
      <c r="O752" s="301"/>
      <c r="P752" s="336"/>
      <c r="Q752" s="301"/>
      <c r="R752" s="336"/>
      <c r="S752" s="301"/>
      <c r="T752" s="336"/>
    </row>
    <row r="753" spans="1:20" ht="12" customHeight="1" x14ac:dyDescent="0.3">
      <c r="A753" s="329" t="s">
        <v>287</v>
      </c>
      <c r="B753" s="330" t="s">
        <v>287</v>
      </c>
      <c r="C753" s="298">
        <v>46069</v>
      </c>
      <c r="D753" s="299" t="s">
        <v>397</v>
      </c>
      <c r="E753" s="331">
        <v>152.41999999999999</v>
      </c>
      <c r="F753" s="331">
        <v>152.41999999999999</v>
      </c>
      <c r="G753" s="333">
        <f t="shared" si="10"/>
        <v>4551.429999999993</v>
      </c>
      <c r="H753" s="334"/>
      <c r="I753" s="335"/>
      <c r="J753" s="336"/>
      <c r="K753" s="301"/>
      <c r="L753" s="336"/>
      <c r="M753" s="301"/>
      <c r="N753" s="336"/>
      <c r="O753" s="301"/>
      <c r="P753" s="336"/>
      <c r="Q753" s="301"/>
      <c r="R753" s="336"/>
      <c r="S753" s="301"/>
      <c r="T753" s="336"/>
    </row>
    <row r="754" spans="1:20" ht="12" customHeight="1" x14ac:dyDescent="0.3">
      <c r="A754" s="329" t="s">
        <v>289</v>
      </c>
      <c r="B754" s="330">
        <v>6</v>
      </c>
      <c r="C754" s="298">
        <v>46068</v>
      </c>
      <c r="D754" s="299" t="s">
        <v>437</v>
      </c>
      <c r="E754" s="331">
        <v>233.83</v>
      </c>
      <c r="F754" s="331"/>
      <c r="G754" s="333">
        <f t="shared" si="10"/>
        <v>4551.429999999993</v>
      </c>
      <c r="H754" s="334"/>
      <c r="I754" s="335"/>
      <c r="J754" s="336"/>
      <c r="K754" s="301"/>
      <c r="L754" s="336"/>
      <c r="M754" s="301"/>
      <c r="N754" s="336"/>
      <c r="O754" s="301"/>
      <c r="P754" s="336"/>
      <c r="Q754" s="301"/>
      <c r="R754" s="336"/>
      <c r="S754" s="301"/>
      <c r="T754" s="336"/>
    </row>
    <row r="755" spans="1:20" ht="12" customHeight="1" x14ac:dyDescent="0.3">
      <c r="A755" s="329" t="s">
        <v>289</v>
      </c>
      <c r="B755" s="330">
        <v>2</v>
      </c>
      <c r="C755" s="298">
        <v>46068</v>
      </c>
      <c r="D755" s="299" t="s">
        <v>326</v>
      </c>
      <c r="E755" s="331">
        <v>50.87</v>
      </c>
      <c r="F755" s="331"/>
      <c r="G755" s="333">
        <f t="shared" si="10"/>
        <v>4785.2599999999929</v>
      </c>
      <c r="H755" s="334"/>
      <c r="I755" s="335"/>
      <c r="J755" s="336"/>
      <c r="K755" s="301"/>
      <c r="L755" s="336"/>
      <c r="M755" s="301"/>
      <c r="N755" s="336"/>
      <c r="O755" s="301"/>
      <c r="P755" s="336"/>
      <c r="Q755" s="301"/>
      <c r="R755" s="336"/>
      <c r="S755" s="301"/>
      <c r="T755" s="336"/>
    </row>
    <row r="756" spans="1:20" ht="12" customHeight="1" x14ac:dyDescent="0.3">
      <c r="A756" s="329" t="s">
        <v>289</v>
      </c>
      <c r="B756" s="330">
        <v>2</v>
      </c>
      <c r="C756" s="298">
        <v>46068</v>
      </c>
      <c r="D756" s="299" t="s">
        <v>438</v>
      </c>
      <c r="E756" s="331">
        <v>16</v>
      </c>
      <c r="F756" s="331"/>
      <c r="G756" s="333">
        <f t="shared" si="10"/>
        <v>4836.1299999999928</v>
      </c>
      <c r="H756" s="334"/>
      <c r="I756" s="335"/>
      <c r="J756" s="336"/>
      <c r="K756" s="301"/>
      <c r="L756" s="336"/>
      <c r="M756" s="301"/>
      <c r="N756" s="336"/>
      <c r="O756" s="301"/>
      <c r="P756" s="336"/>
      <c r="Q756" s="301"/>
      <c r="R756" s="336"/>
      <c r="S756" s="301"/>
      <c r="T756" s="336"/>
    </row>
    <row r="757" spans="1:20" ht="12" customHeight="1" x14ac:dyDescent="0.3">
      <c r="A757" s="329" t="s">
        <v>289</v>
      </c>
      <c r="B757" s="330">
        <v>2</v>
      </c>
      <c r="C757" s="298">
        <v>46068</v>
      </c>
      <c r="D757" s="299" t="s">
        <v>353</v>
      </c>
      <c r="E757" s="331">
        <v>30</v>
      </c>
      <c r="F757" s="331"/>
      <c r="G757" s="333">
        <f t="shared" si="10"/>
        <v>4852.1299999999928</v>
      </c>
      <c r="H757" s="334"/>
      <c r="I757" s="335"/>
      <c r="J757" s="336"/>
      <c r="K757" s="301"/>
      <c r="L757" s="336"/>
      <c r="M757" s="301"/>
      <c r="N757" s="336"/>
      <c r="O757" s="301"/>
      <c r="P757" s="336"/>
      <c r="Q757" s="301"/>
      <c r="R757" s="336"/>
      <c r="S757" s="301"/>
      <c r="T757" s="336"/>
    </row>
    <row r="758" spans="1:20" ht="12" customHeight="1" x14ac:dyDescent="0.3">
      <c r="A758" s="329" t="s">
        <v>289</v>
      </c>
      <c r="B758" s="330">
        <v>6</v>
      </c>
      <c r="C758" s="298">
        <v>46068</v>
      </c>
      <c r="D758" s="299" t="s">
        <v>306</v>
      </c>
      <c r="E758" s="331">
        <v>76</v>
      </c>
      <c r="F758" s="331"/>
      <c r="G758" s="333">
        <f t="shared" si="10"/>
        <v>4882.1299999999928</v>
      </c>
      <c r="H758" s="334"/>
      <c r="I758" s="335"/>
      <c r="J758" s="336"/>
      <c r="K758" s="301"/>
      <c r="L758" s="336"/>
      <c r="M758" s="301"/>
      <c r="N758" s="336"/>
      <c r="O758" s="301"/>
      <c r="P758" s="336"/>
      <c r="Q758" s="301"/>
      <c r="R758" s="336"/>
      <c r="S758" s="301"/>
      <c r="T758" s="336"/>
    </row>
    <row r="759" spans="1:20" ht="12" customHeight="1" x14ac:dyDescent="0.3">
      <c r="A759" s="329" t="s">
        <v>289</v>
      </c>
      <c r="B759" s="330">
        <v>3</v>
      </c>
      <c r="C759" s="298">
        <v>46068</v>
      </c>
      <c r="D759" s="299" t="s">
        <v>348</v>
      </c>
      <c r="E759" s="331">
        <v>3.59</v>
      </c>
      <c r="F759" s="331"/>
      <c r="G759" s="333">
        <f t="shared" si="10"/>
        <v>4958.1299999999928</v>
      </c>
      <c r="H759" s="334"/>
      <c r="I759" s="335"/>
      <c r="J759" s="336"/>
      <c r="K759" s="301"/>
      <c r="L759" s="336"/>
      <c r="M759" s="301"/>
      <c r="N759" s="336"/>
      <c r="O759" s="301"/>
      <c r="P759" s="336"/>
      <c r="Q759" s="301"/>
      <c r="R759" s="336"/>
      <c r="S759" s="301"/>
      <c r="T759" s="336"/>
    </row>
    <row r="760" spans="1:20" ht="12" customHeight="1" x14ac:dyDescent="0.3">
      <c r="A760" s="329" t="s">
        <v>289</v>
      </c>
      <c r="B760" s="330">
        <v>6</v>
      </c>
      <c r="C760" s="298">
        <v>46068</v>
      </c>
      <c r="D760" s="299" t="s">
        <v>439</v>
      </c>
      <c r="E760" s="331">
        <v>70</v>
      </c>
      <c r="F760" s="331"/>
      <c r="G760" s="333">
        <f t="shared" si="10"/>
        <v>4961.719999999993</v>
      </c>
      <c r="H760" s="334"/>
      <c r="I760" s="335"/>
      <c r="J760" s="336"/>
      <c r="K760" s="301"/>
      <c r="L760" s="336"/>
      <c r="M760" s="301"/>
      <c r="N760" s="336"/>
      <c r="O760" s="301"/>
      <c r="P760" s="336"/>
      <c r="Q760" s="301"/>
      <c r="R760" s="336"/>
      <c r="S760" s="301"/>
      <c r="T760" s="336"/>
    </row>
    <row r="761" spans="1:20" ht="12" customHeight="1" x14ac:dyDescent="0.3">
      <c r="A761" s="329" t="s">
        <v>289</v>
      </c>
      <c r="B761" s="330">
        <v>8</v>
      </c>
      <c r="C761" s="298">
        <v>46068</v>
      </c>
      <c r="D761" s="299" t="s">
        <v>440</v>
      </c>
      <c r="E761" s="331">
        <v>175</v>
      </c>
      <c r="F761" s="331"/>
      <c r="G761" s="333">
        <f t="shared" si="10"/>
        <v>5031.719999999993</v>
      </c>
      <c r="H761" s="334" t="s">
        <v>298</v>
      </c>
      <c r="I761" s="335"/>
      <c r="J761" s="336"/>
      <c r="K761" s="301"/>
      <c r="L761" s="336"/>
      <c r="M761" s="301"/>
      <c r="N761" s="336"/>
      <c r="O761" s="301"/>
      <c r="P761" s="336"/>
      <c r="Q761" s="301"/>
      <c r="R761" s="336"/>
      <c r="S761" s="301"/>
      <c r="T761" s="336"/>
    </row>
    <row r="762" spans="1:20" ht="12" customHeight="1" x14ac:dyDescent="0.3">
      <c r="A762" s="329" t="s">
        <v>289</v>
      </c>
      <c r="B762" s="330">
        <v>8</v>
      </c>
      <c r="C762" s="298">
        <v>46067</v>
      </c>
      <c r="D762" s="299" t="s">
        <v>319</v>
      </c>
      <c r="E762" s="331">
        <v>13.09</v>
      </c>
      <c r="F762" s="331"/>
      <c r="G762" s="333">
        <f t="shared" si="10"/>
        <v>5206.719999999993</v>
      </c>
      <c r="H762" s="334"/>
      <c r="I762" s="335"/>
      <c r="J762" s="336"/>
      <c r="K762" s="301"/>
      <c r="L762" s="336"/>
      <c r="M762" s="301"/>
      <c r="N762" s="336"/>
      <c r="O762" s="301"/>
      <c r="P762" s="336"/>
      <c r="Q762" s="301"/>
      <c r="R762" s="336"/>
      <c r="S762" s="301"/>
      <c r="T762" s="336"/>
    </row>
    <row r="763" spans="1:20" ht="12" customHeight="1" x14ac:dyDescent="0.3">
      <c r="A763" s="329" t="s">
        <v>289</v>
      </c>
      <c r="B763" s="330">
        <v>3</v>
      </c>
      <c r="C763" s="298">
        <v>46067</v>
      </c>
      <c r="D763" s="299" t="s">
        <v>296</v>
      </c>
      <c r="E763" s="331">
        <v>7.56</v>
      </c>
      <c r="F763" s="331"/>
      <c r="G763" s="333">
        <f t="shared" si="10"/>
        <v>5219.8099999999931</v>
      </c>
      <c r="H763" s="334"/>
      <c r="I763" s="335"/>
      <c r="J763" s="336"/>
      <c r="K763" s="301"/>
      <c r="L763" s="336"/>
      <c r="M763" s="301"/>
      <c r="N763" s="336"/>
      <c r="O763" s="301"/>
      <c r="P763" s="336"/>
      <c r="Q763" s="301"/>
      <c r="R763" s="336"/>
      <c r="S763" s="301"/>
      <c r="T763" s="336"/>
    </row>
    <row r="764" spans="1:20" ht="12" customHeight="1" x14ac:dyDescent="0.3">
      <c r="A764" s="329" t="s">
        <v>289</v>
      </c>
      <c r="B764" s="330">
        <v>4</v>
      </c>
      <c r="C764" s="298">
        <v>46067</v>
      </c>
      <c r="D764" s="299" t="s">
        <v>296</v>
      </c>
      <c r="E764" s="331">
        <v>32.409999999999997</v>
      </c>
      <c r="F764" s="331"/>
      <c r="G764" s="333">
        <f t="shared" si="10"/>
        <v>5227.3699999999935</v>
      </c>
      <c r="H764" s="334"/>
      <c r="I764" s="335"/>
      <c r="J764" s="336"/>
      <c r="K764" s="301"/>
      <c r="L764" s="336"/>
      <c r="M764" s="301"/>
      <c r="N764" s="336"/>
      <c r="O764" s="301"/>
      <c r="P764" s="336"/>
      <c r="Q764" s="301"/>
      <c r="R764" s="336"/>
      <c r="S764" s="301"/>
      <c r="T764" s="336"/>
    </row>
    <row r="765" spans="1:20" ht="12" customHeight="1" x14ac:dyDescent="0.3">
      <c r="A765" s="329" t="s">
        <v>289</v>
      </c>
      <c r="B765" s="330">
        <v>5</v>
      </c>
      <c r="C765" s="298">
        <v>46067</v>
      </c>
      <c r="D765" s="299" t="s">
        <v>441</v>
      </c>
      <c r="E765" s="331">
        <v>400</v>
      </c>
      <c r="F765" s="331"/>
      <c r="G765" s="333">
        <f t="shared" si="10"/>
        <v>5259.7799999999934</v>
      </c>
      <c r="H765" s="334"/>
      <c r="I765" s="335"/>
      <c r="J765" s="336"/>
      <c r="K765" s="301"/>
      <c r="L765" s="336"/>
      <c r="M765" s="301"/>
      <c r="N765" s="336"/>
      <c r="O765" s="301"/>
      <c r="P765" s="336"/>
      <c r="Q765" s="301"/>
      <c r="R765" s="336"/>
      <c r="S765" s="301"/>
      <c r="T765" s="336"/>
    </row>
    <row r="766" spans="1:20" ht="12" customHeight="1" x14ac:dyDescent="0.3">
      <c r="A766" s="329" t="s">
        <v>289</v>
      </c>
      <c r="B766" s="330">
        <v>8</v>
      </c>
      <c r="C766" s="298">
        <v>46066</v>
      </c>
      <c r="D766" s="299" t="s">
        <v>319</v>
      </c>
      <c r="E766" s="331">
        <v>41.51</v>
      </c>
      <c r="F766" s="331"/>
      <c r="G766" s="333">
        <f t="shared" si="10"/>
        <v>5659.7799999999934</v>
      </c>
      <c r="H766" s="334"/>
      <c r="I766" s="335"/>
      <c r="J766" s="336"/>
      <c r="K766" s="301"/>
      <c r="L766" s="336"/>
      <c r="M766" s="301"/>
      <c r="N766" s="336"/>
      <c r="O766" s="301"/>
      <c r="P766" s="336"/>
      <c r="Q766" s="301"/>
      <c r="R766" s="336"/>
      <c r="S766" s="301"/>
      <c r="T766" s="336"/>
    </row>
    <row r="767" spans="1:20" ht="12" customHeight="1" x14ac:dyDescent="0.3">
      <c r="A767" s="329" t="s">
        <v>289</v>
      </c>
      <c r="B767" s="330">
        <v>4</v>
      </c>
      <c r="C767" s="298">
        <v>46066</v>
      </c>
      <c r="D767" s="299" t="s">
        <v>296</v>
      </c>
      <c r="E767" s="331">
        <v>21.55</v>
      </c>
      <c r="F767" s="331"/>
      <c r="G767" s="333">
        <f t="shared" si="10"/>
        <v>5701.2899999999936</v>
      </c>
      <c r="H767" s="334"/>
      <c r="I767" s="335"/>
      <c r="J767" s="336"/>
      <c r="K767" s="301"/>
      <c r="L767" s="336"/>
      <c r="M767" s="301"/>
      <c r="N767" s="336"/>
      <c r="O767" s="301"/>
      <c r="P767" s="336"/>
      <c r="Q767" s="301"/>
      <c r="R767" s="336"/>
      <c r="S767" s="301"/>
      <c r="T767" s="336"/>
    </row>
    <row r="768" spans="1:20" ht="12" customHeight="1" x14ac:dyDescent="0.3">
      <c r="A768" s="329" t="s">
        <v>289</v>
      </c>
      <c r="B768" s="330">
        <v>2</v>
      </c>
      <c r="C768" s="298">
        <v>46066</v>
      </c>
      <c r="D768" s="299" t="s">
        <v>358</v>
      </c>
      <c r="E768" s="331">
        <v>12.45</v>
      </c>
      <c r="F768" s="331"/>
      <c r="G768" s="333">
        <f t="shared" si="10"/>
        <v>5722.8399999999938</v>
      </c>
      <c r="H768" s="334"/>
      <c r="I768" s="335"/>
      <c r="J768" s="336"/>
      <c r="K768" s="301"/>
      <c r="L768" s="336"/>
      <c r="M768" s="301"/>
      <c r="N768" s="336"/>
      <c r="O768" s="301"/>
      <c r="P768" s="336"/>
      <c r="Q768" s="301"/>
      <c r="R768" s="336"/>
      <c r="S768" s="301"/>
      <c r="T768" s="336"/>
    </row>
    <row r="769" spans="1:20" ht="12" customHeight="1" x14ac:dyDescent="0.3">
      <c r="A769" s="329" t="s">
        <v>287</v>
      </c>
      <c r="B769" s="330" t="s">
        <v>287</v>
      </c>
      <c r="C769" s="298">
        <v>46066</v>
      </c>
      <c r="D769" s="299" t="s">
        <v>397</v>
      </c>
      <c r="E769" s="331">
        <v>91.38</v>
      </c>
      <c r="F769" s="331">
        <v>91.38</v>
      </c>
      <c r="G769" s="333">
        <f t="shared" si="10"/>
        <v>5735.2899999999936</v>
      </c>
      <c r="H769" s="334"/>
      <c r="I769" s="335"/>
      <c r="J769" s="336"/>
      <c r="K769" s="301"/>
      <c r="L769" s="336"/>
      <c r="M769" s="301"/>
      <c r="N769" s="336"/>
      <c r="O769" s="301"/>
      <c r="P769" s="336"/>
      <c r="Q769" s="301"/>
      <c r="R769" s="336"/>
      <c r="S769" s="301"/>
      <c r="T769" s="336"/>
    </row>
    <row r="770" spans="1:20" ht="12" customHeight="1" x14ac:dyDescent="0.3">
      <c r="A770" s="329" t="s">
        <v>289</v>
      </c>
      <c r="B770" s="330">
        <v>1</v>
      </c>
      <c r="C770" s="298">
        <v>46066</v>
      </c>
      <c r="D770" s="299" t="s">
        <v>311</v>
      </c>
      <c r="E770" s="331">
        <v>16.48</v>
      </c>
      <c r="F770" s="331"/>
      <c r="G770" s="333">
        <f t="shared" si="10"/>
        <v>5735.2899999999936</v>
      </c>
      <c r="H770" s="334"/>
      <c r="I770" s="335"/>
      <c r="J770" s="336"/>
      <c r="K770" s="301"/>
      <c r="L770" s="336"/>
      <c r="M770" s="301"/>
      <c r="N770" s="336"/>
      <c r="O770" s="301"/>
      <c r="P770" s="336"/>
      <c r="Q770" s="301"/>
      <c r="R770" s="336"/>
      <c r="S770" s="301"/>
      <c r="T770" s="336"/>
    </row>
    <row r="771" spans="1:20" ht="12" customHeight="1" x14ac:dyDescent="0.3">
      <c r="A771" s="329" t="s">
        <v>289</v>
      </c>
      <c r="B771" s="330">
        <v>1</v>
      </c>
      <c r="C771" s="298">
        <v>46066</v>
      </c>
      <c r="D771" s="299" t="s">
        <v>428</v>
      </c>
      <c r="E771" s="331">
        <v>12.76</v>
      </c>
      <c r="F771" s="331"/>
      <c r="G771" s="333">
        <f t="shared" si="10"/>
        <v>5751.7699999999932</v>
      </c>
      <c r="H771" s="334"/>
      <c r="I771" s="335"/>
      <c r="J771" s="336"/>
      <c r="K771" s="301"/>
      <c r="L771" s="336"/>
      <c r="M771" s="301"/>
      <c r="N771" s="336"/>
      <c r="O771" s="301"/>
      <c r="P771" s="336"/>
      <c r="Q771" s="301"/>
      <c r="R771" s="336"/>
      <c r="S771" s="301"/>
      <c r="T771" s="336"/>
    </row>
    <row r="772" spans="1:20" ht="12" customHeight="1" x14ac:dyDescent="0.3">
      <c r="A772" s="329" t="s">
        <v>289</v>
      </c>
      <c r="B772" s="330">
        <v>4</v>
      </c>
      <c r="C772" s="298">
        <v>46066</v>
      </c>
      <c r="D772" s="299" t="s">
        <v>329</v>
      </c>
      <c r="E772" s="331">
        <v>37.9</v>
      </c>
      <c r="F772" s="331"/>
      <c r="G772" s="333">
        <f t="shared" si="10"/>
        <v>5764.5299999999934</v>
      </c>
      <c r="H772" s="334"/>
      <c r="I772" s="335"/>
      <c r="J772" s="336"/>
      <c r="K772" s="301"/>
      <c r="L772" s="336"/>
      <c r="M772" s="301"/>
      <c r="N772" s="336"/>
      <c r="O772" s="301"/>
      <c r="P772" s="336"/>
      <c r="Q772" s="301"/>
      <c r="R772" s="336"/>
      <c r="S772" s="301"/>
      <c r="T772" s="336"/>
    </row>
    <row r="773" spans="1:20" ht="12" customHeight="1" x14ac:dyDescent="0.3">
      <c r="A773" s="329" t="s">
        <v>291</v>
      </c>
      <c r="B773" s="330">
        <v>40</v>
      </c>
      <c r="C773" s="298">
        <v>46066</v>
      </c>
      <c r="D773" s="299" t="s">
        <v>316</v>
      </c>
      <c r="E773" s="331"/>
      <c r="F773" s="331">
        <v>427.18</v>
      </c>
      <c r="G773" s="333">
        <f t="shared" si="10"/>
        <v>5802.429999999993</v>
      </c>
      <c r="H773" s="334"/>
      <c r="I773" s="335"/>
      <c r="J773" s="336"/>
      <c r="K773" s="301"/>
      <c r="L773" s="336"/>
      <c r="M773" s="301"/>
      <c r="N773" s="336"/>
      <c r="O773" s="301"/>
      <c r="P773" s="336"/>
      <c r="Q773" s="301"/>
      <c r="R773" s="336"/>
      <c r="S773" s="301"/>
      <c r="T773" s="336"/>
    </row>
    <row r="774" spans="1:20" ht="12" customHeight="1" x14ac:dyDescent="0.3">
      <c r="A774" s="329" t="s">
        <v>291</v>
      </c>
      <c r="B774" s="330">
        <v>38</v>
      </c>
      <c r="C774" s="298">
        <v>46066</v>
      </c>
      <c r="D774" s="299" t="s">
        <v>293</v>
      </c>
      <c r="E774" s="331"/>
      <c r="F774" s="331">
        <v>4278.16</v>
      </c>
      <c r="G774" s="333">
        <f t="shared" si="10"/>
        <v>5375.2499999999927</v>
      </c>
      <c r="H774" s="334"/>
      <c r="I774" s="335"/>
      <c r="J774" s="336"/>
      <c r="K774" s="301"/>
      <c r="L774" s="336"/>
      <c r="M774" s="301"/>
      <c r="N774" s="336"/>
      <c r="O774" s="301"/>
      <c r="P774" s="336"/>
      <c r="Q774" s="301"/>
      <c r="R774" s="336"/>
      <c r="S774" s="301"/>
      <c r="T774" s="336"/>
    </row>
    <row r="775" spans="1:20" ht="12" customHeight="1" x14ac:dyDescent="0.3">
      <c r="A775" s="329" t="s">
        <v>289</v>
      </c>
      <c r="B775" s="330">
        <v>8</v>
      </c>
      <c r="C775" s="298">
        <v>46065</v>
      </c>
      <c r="D775" s="299" t="s">
        <v>357</v>
      </c>
      <c r="E775" s="331">
        <v>111.36</v>
      </c>
      <c r="F775" s="331"/>
      <c r="G775" s="333">
        <f t="shared" si="10"/>
        <v>1097.0899999999931</v>
      </c>
      <c r="H775" s="334"/>
      <c r="I775" s="335"/>
      <c r="J775" s="336"/>
      <c r="K775" s="301"/>
      <c r="L775" s="336"/>
      <c r="M775" s="301"/>
      <c r="N775" s="336"/>
      <c r="O775" s="301"/>
      <c r="P775" s="336"/>
      <c r="Q775" s="301"/>
      <c r="R775" s="336"/>
      <c r="S775" s="301"/>
      <c r="T775" s="336"/>
    </row>
    <row r="776" spans="1:20" ht="12" customHeight="1" x14ac:dyDescent="0.3">
      <c r="A776" s="329" t="s">
        <v>289</v>
      </c>
      <c r="B776" s="330">
        <v>6</v>
      </c>
      <c r="C776" s="298">
        <v>46065</v>
      </c>
      <c r="D776" s="299" t="s">
        <v>442</v>
      </c>
      <c r="E776" s="331">
        <v>16</v>
      </c>
      <c r="F776" s="331"/>
      <c r="G776" s="333">
        <f t="shared" si="10"/>
        <v>1208.449999999993</v>
      </c>
      <c r="H776" s="334"/>
      <c r="I776" s="335"/>
      <c r="J776" s="336"/>
      <c r="K776" s="301"/>
      <c r="L776" s="336"/>
      <c r="M776" s="301"/>
      <c r="N776" s="336"/>
      <c r="O776" s="301"/>
      <c r="P776" s="336"/>
      <c r="Q776" s="301"/>
      <c r="R776" s="336"/>
      <c r="S776" s="301"/>
      <c r="T776" s="336"/>
    </row>
    <row r="777" spans="1:20" ht="12" customHeight="1" x14ac:dyDescent="0.3">
      <c r="A777" s="329" t="s">
        <v>289</v>
      </c>
      <c r="B777" s="330">
        <v>6</v>
      </c>
      <c r="C777" s="298">
        <v>46065</v>
      </c>
      <c r="D777" s="299" t="s">
        <v>300</v>
      </c>
      <c r="E777" s="331">
        <v>29.81</v>
      </c>
      <c r="F777" s="331"/>
      <c r="G777" s="333">
        <f t="shared" si="10"/>
        <v>1224.449999999993</v>
      </c>
      <c r="H777" s="334"/>
      <c r="I777" s="335"/>
      <c r="J777" s="336"/>
      <c r="K777" s="301"/>
      <c r="L777" s="336"/>
      <c r="M777" s="301"/>
      <c r="N777" s="336"/>
      <c r="O777" s="301"/>
      <c r="P777" s="336"/>
      <c r="Q777" s="301"/>
      <c r="R777" s="336"/>
      <c r="S777" s="301"/>
      <c r="T777" s="336"/>
    </row>
    <row r="778" spans="1:20" ht="12" customHeight="1" x14ac:dyDescent="0.3">
      <c r="A778" s="329" t="s">
        <v>294</v>
      </c>
      <c r="B778" s="330">
        <v>19</v>
      </c>
      <c r="C778" s="298">
        <v>46065</v>
      </c>
      <c r="D778" s="299" t="s">
        <v>191</v>
      </c>
      <c r="E778" s="331">
        <v>200</v>
      </c>
      <c r="F778" s="331"/>
      <c r="G778" s="333">
        <f t="shared" si="10"/>
        <v>1254.2599999999929</v>
      </c>
      <c r="H778" s="334"/>
      <c r="I778" s="335"/>
      <c r="J778" s="336"/>
      <c r="K778" s="301"/>
      <c r="L778" s="336"/>
      <c r="M778" s="301"/>
      <c r="N778" s="336"/>
      <c r="O778" s="301"/>
      <c r="P778" s="336"/>
      <c r="Q778" s="301"/>
      <c r="R778" s="336"/>
      <c r="S778" s="301"/>
      <c r="T778" s="336"/>
    </row>
    <row r="779" spans="1:20" ht="12" customHeight="1" x14ac:dyDescent="0.3">
      <c r="A779" s="329" t="s">
        <v>289</v>
      </c>
      <c r="B779" s="330">
        <v>2</v>
      </c>
      <c r="C779" s="298">
        <v>46065</v>
      </c>
      <c r="D779" s="299" t="s">
        <v>296</v>
      </c>
      <c r="E779" s="331">
        <v>7.56</v>
      </c>
      <c r="F779" s="331"/>
      <c r="G779" s="333">
        <f t="shared" si="10"/>
        <v>1454.2599999999929</v>
      </c>
      <c r="H779" s="334"/>
      <c r="I779" s="335"/>
      <c r="J779" s="336"/>
      <c r="K779" s="301"/>
      <c r="L779" s="336"/>
      <c r="M779" s="301"/>
      <c r="N779" s="336"/>
      <c r="O779" s="301"/>
      <c r="P779" s="336"/>
      <c r="Q779" s="301"/>
      <c r="R779" s="336"/>
      <c r="S779" s="301"/>
      <c r="T779" s="336"/>
    </row>
    <row r="780" spans="1:20" ht="12" customHeight="1" x14ac:dyDescent="0.3">
      <c r="A780" s="329" t="s">
        <v>289</v>
      </c>
      <c r="B780" s="330">
        <v>4</v>
      </c>
      <c r="C780" s="298">
        <v>46065</v>
      </c>
      <c r="D780" s="299" t="s">
        <v>296</v>
      </c>
      <c r="E780" s="331">
        <v>65.78</v>
      </c>
      <c r="F780" s="331"/>
      <c r="G780" s="333">
        <f t="shared" si="10"/>
        <v>1461.8199999999929</v>
      </c>
      <c r="H780" s="334"/>
      <c r="I780" s="335"/>
      <c r="J780" s="336"/>
      <c r="K780" s="301"/>
      <c r="L780" s="336"/>
      <c r="M780" s="301"/>
      <c r="N780" s="336"/>
      <c r="O780" s="301"/>
      <c r="P780" s="336"/>
      <c r="Q780" s="301"/>
      <c r="R780" s="336"/>
      <c r="S780" s="301"/>
      <c r="T780" s="336"/>
    </row>
    <row r="781" spans="1:20" ht="12" customHeight="1" x14ac:dyDescent="0.3">
      <c r="A781" s="329" t="s">
        <v>289</v>
      </c>
      <c r="B781" s="330">
        <v>3</v>
      </c>
      <c r="C781" s="298">
        <v>46065</v>
      </c>
      <c r="D781" s="299" t="s">
        <v>296</v>
      </c>
      <c r="E781" s="331">
        <v>3.93</v>
      </c>
      <c r="F781" s="331"/>
      <c r="G781" s="333">
        <f t="shared" si="10"/>
        <v>1527.5999999999929</v>
      </c>
      <c r="H781" s="334"/>
      <c r="I781" s="335"/>
      <c r="J781" s="336"/>
      <c r="K781" s="301"/>
      <c r="L781" s="336"/>
      <c r="M781" s="301"/>
      <c r="N781" s="336"/>
      <c r="O781" s="301"/>
      <c r="P781" s="336"/>
      <c r="Q781" s="301"/>
      <c r="R781" s="336"/>
      <c r="S781" s="301"/>
      <c r="T781" s="336"/>
    </row>
    <row r="782" spans="1:20" ht="12" customHeight="1" x14ac:dyDescent="0.3">
      <c r="A782" s="329" t="s">
        <v>289</v>
      </c>
      <c r="B782" s="330">
        <v>7</v>
      </c>
      <c r="C782" s="298">
        <v>46065</v>
      </c>
      <c r="D782" s="299" t="s">
        <v>443</v>
      </c>
      <c r="E782" s="331">
        <v>564.83000000000004</v>
      </c>
      <c r="F782" s="331"/>
      <c r="G782" s="333">
        <f t="shared" si="10"/>
        <v>1531.5299999999929</v>
      </c>
      <c r="H782" s="334"/>
      <c r="I782" s="335"/>
      <c r="J782" s="336"/>
      <c r="K782" s="301"/>
      <c r="L782" s="336"/>
      <c r="M782" s="301"/>
      <c r="N782" s="336"/>
      <c r="O782" s="301"/>
      <c r="P782" s="336"/>
      <c r="Q782" s="301"/>
      <c r="R782" s="336"/>
      <c r="S782" s="301"/>
      <c r="T782" s="336"/>
    </row>
    <row r="783" spans="1:20" ht="12" customHeight="1" x14ac:dyDescent="0.3">
      <c r="A783" s="329" t="s">
        <v>289</v>
      </c>
      <c r="B783" s="330">
        <v>7</v>
      </c>
      <c r="C783" s="298">
        <v>46065</v>
      </c>
      <c r="D783" s="299" t="s">
        <v>444</v>
      </c>
      <c r="E783" s="331">
        <v>70.180000000000007</v>
      </c>
      <c r="F783" s="331"/>
      <c r="G783" s="333">
        <f t="shared" si="10"/>
        <v>2096.3599999999929</v>
      </c>
      <c r="H783" s="334"/>
      <c r="I783" s="335"/>
      <c r="J783" s="336"/>
      <c r="K783" s="301"/>
      <c r="L783" s="336"/>
      <c r="M783" s="301"/>
      <c r="N783" s="336"/>
      <c r="O783" s="301"/>
      <c r="P783" s="336"/>
      <c r="Q783" s="301"/>
      <c r="R783" s="336"/>
      <c r="S783" s="301"/>
      <c r="T783" s="336"/>
    </row>
    <row r="784" spans="1:20" ht="12" customHeight="1" x14ac:dyDescent="0.3">
      <c r="A784" s="329" t="s">
        <v>289</v>
      </c>
      <c r="B784" s="330">
        <v>6</v>
      </c>
      <c r="C784" s="298">
        <v>46065</v>
      </c>
      <c r="D784" s="299" t="s">
        <v>445</v>
      </c>
      <c r="E784" s="331">
        <v>2.66</v>
      </c>
      <c r="F784" s="331"/>
      <c r="G784" s="333">
        <f t="shared" si="10"/>
        <v>2166.5399999999927</v>
      </c>
      <c r="H784" s="334"/>
      <c r="I784" s="335"/>
      <c r="J784" s="336"/>
      <c r="K784" s="301"/>
      <c r="L784" s="336"/>
      <c r="M784" s="301"/>
      <c r="N784" s="336"/>
      <c r="O784" s="301"/>
      <c r="P784" s="336"/>
      <c r="Q784" s="301"/>
      <c r="R784" s="336"/>
      <c r="S784" s="301"/>
      <c r="T784" s="336"/>
    </row>
    <row r="785" spans="1:20" ht="12" customHeight="1" x14ac:dyDescent="0.3">
      <c r="A785" s="329" t="s">
        <v>289</v>
      </c>
      <c r="B785" s="330">
        <v>5</v>
      </c>
      <c r="C785" s="298">
        <v>46064</v>
      </c>
      <c r="D785" s="299" t="s">
        <v>429</v>
      </c>
      <c r="E785" s="331">
        <v>103.25</v>
      </c>
      <c r="F785" s="331"/>
      <c r="G785" s="333">
        <f t="shared" si="10"/>
        <v>2169.1999999999925</v>
      </c>
      <c r="H785" s="334"/>
      <c r="I785" s="335"/>
      <c r="J785" s="336"/>
      <c r="K785" s="301"/>
      <c r="L785" s="336"/>
      <c r="M785" s="301"/>
      <c r="N785" s="336"/>
      <c r="O785" s="301"/>
      <c r="P785" s="336"/>
      <c r="Q785" s="301"/>
      <c r="R785" s="336"/>
      <c r="S785" s="301"/>
      <c r="T785" s="336"/>
    </row>
    <row r="786" spans="1:20" ht="12" customHeight="1" x14ac:dyDescent="0.3">
      <c r="A786" s="329" t="s">
        <v>289</v>
      </c>
      <c r="B786" s="330">
        <v>4</v>
      </c>
      <c r="C786" s="298">
        <v>46064</v>
      </c>
      <c r="D786" s="299" t="s">
        <v>363</v>
      </c>
      <c r="E786" s="331">
        <v>30.39</v>
      </c>
      <c r="F786" s="331"/>
      <c r="G786" s="333">
        <f t="shared" si="10"/>
        <v>2272.4499999999925</v>
      </c>
      <c r="H786" s="334"/>
      <c r="I786" s="335"/>
      <c r="J786" s="336"/>
      <c r="K786" s="301"/>
      <c r="L786" s="336"/>
      <c r="M786" s="301"/>
      <c r="N786" s="336"/>
      <c r="O786" s="301"/>
      <c r="P786" s="336"/>
      <c r="Q786" s="301"/>
      <c r="R786" s="336"/>
      <c r="S786" s="301"/>
      <c r="T786" s="336"/>
    </row>
    <row r="787" spans="1:20" ht="12" customHeight="1" x14ac:dyDescent="0.3">
      <c r="A787" s="329" t="s">
        <v>289</v>
      </c>
      <c r="B787" s="330">
        <v>2</v>
      </c>
      <c r="C787" s="298">
        <v>46064</v>
      </c>
      <c r="D787" s="299" t="s">
        <v>296</v>
      </c>
      <c r="E787" s="331">
        <v>9.92</v>
      </c>
      <c r="F787" s="331"/>
      <c r="G787" s="333">
        <f t="shared" si="10"/>
        <v>2302.8399999999924</v>
      </c>
      <c r="H787" s="334"/>
      <c r="I787" s="335"/>
      <c r="J787" s="336"/>
      <c r="K787" s="301"/>
      <c r="L787" s="336"/>
      <c r="M787" s="301"/>
      <c r="N787" s="336"/>
      <c r="O787" s="301"/>
      <c r="P787" s="336"/>
      <c r="Q787" s="301"/>
      <c r="R787" s="336"/>
      <c r="S787" s="301"/>
      <c r="T787" s="336"/>
    </row>
    <row r="788" spans="1:20" ht="12" customHeight="1" x14ac:dyDescent="0.3">
      <c r="A788" s="329" t="s">
        <v>289</v>
      </c>
      <c r="B788" s="330">
        <v>3</v>
      </c>
      <c r="C788" s="298">
        <v>46064</v>
      </c>
      <c r="D788" s="299" t="s">
        <v>295</v>
      </c>
      <c r="E788" s="331">
        <v>3.49</v>
      </c>
      <c r="F788" s="331"/>
      <c r="G788" s="333">
        <f t="shared" si="10"/>
        <v>2312.7599999999925</v>
      </c>
      <c r="H788" s="334"/>
      <c r="I788" s="335"/>
      <c r="J788" s="336"/>
      <c r="K788" s="301"/>
      <c r="L788" s="336"/>
      <c r="M788" s="301"/>
      <c r="N788" s="336"/>
      <c r="O788" s="301"/>
      <c r="P788" s="336"/>
      <c r="Q788" s="301"/>
      <c r="R788" s="336"/>
      <c r="S788" s="301"/>
      <c r="T788" s="336"/>
    </row>
    <row r="789" spans="1:20" ht="12" customHeight="1" x14ac:dyDescent="0.3">
      <c r="A789" s="329" t="s">
        <v>294</v>
      </c>
      <c r="B789" s="330">
        <v>22</v>
      </c>
      <c r="C789" s="298">
        <v>46064</v>
      </c>
      <c r="D789" s="299" t="s">
        <v>352</v>
      </c>
      <c r="E789" s="331">
        <v>19.16</v>
      </c>
      <c r="F789" s="331"/>
      <c r="G789" s="333">
        <f t="shared" si="10"/>
        <v>2316.2499999999923</v>
      </c>
      <c r="H789" s="334"/>
      <c r="I789" s="335"/>
      <c r="J789" s="336"/>
      <c r="K789" s="301"/>
      <c r="L789" s="336"/>
      <c r="M789" s="301"/>
      <c r="N789" s="336"/>
      <c r="O789" s="301"/>
      <c r="P789" s="336"/>
      <c r="Q789" s="301"/>
      <c r="R789" s="336"/>
      <c r="S789" s="301"/>
      <c r="T789" s="336"/>
    </row>
    <row r="790" spans="1:20" ht="12" customHeight="1" x14ac:dyDescent="0.3">
      <c r="A790" s="329" t="s">
        <v>289</v>
      </c>
      <c r="B790" s="330">
        <v>6</v>
      </c>
      <c r="C790" s="298">
        <v>46063</v>
      </c>
      <c r="D790" s="299" t="s">
        <v>412</v>
      </c>
      <c r="E790" s="331">
        <v>-8</v>
      </c>
      <c r="F790" s="331"/>
      <c r="G790" s="333">
        <f t="shared" si="10"/>
        <v>2335.4099999999921</v>
      </c>
      <c r="H790" s="334"/>
      <c r="I790" s="335"/>
      <c r="J790" s="336"/>
      <c r="K790" s="301"/>
      <c r="L790" s="336"/>
      <c r="M790" s="301"/>
      <c r="N790" s="336"/>
      <c r="O790" s="301"/>
      <c r="P790" s="336"/>
      <c r="Q790" s="301"/>
      <c r="R790" s="336"/>
      <c r="S790" s="301"/>
      <c r="T790" s="336"/>
    </row>
    <row r="791" spans="1:20" ht="12" customHeight="1" x14ac:dyDescent="0.3">
      <c r="A791" s="329" t="s">
        <v>289</v>
      </c>
      <c r="B791" s="330">
        <v>6</v>
      </c>
      <c r="C791" s="298">
        <v>46063</v>
      </c>
      <c r="D791" s="299" t="s">
        <v>446</v>
      </c>
      <c r="E791" s="331">
        <v>-0.04</v>
      </c>
      <c r="F791" s="331"/>
      <c r="G791" s="333">
        <f t="shared" si="10"/>
        <v>2327.4099999999921</v>
      </c>
      <c r="H791" s="334"/>
      <c r="I791" s="335"/>
      <c r="J791" s="336"/>
      <c r="K791" s="301"/>
      <c r="L791" s="336"/>
      <c r="M791" s="301"/>
      <c r="N791" s="336"/>
      <c r="O791" s="301"/>
      <c r="P791" s="336"/>
      <c r="Q791" s="301"/>
      <c r="R791" s="336"/>
      <c r="S791" s="301"/>
      <c r="T791" s="336"/>
    </row>
    <row r="792" spans="1:20" ht="12" customHeight="1" x14ac:dyDescent="0.3">
      <c r="A792" s="329" t="s">
        <v>335</v>
      </c>
      <c r="B792" s="330" t="s">
        <v>335</v>
      </c>
      <c r="C792" s="298">
        <v>46063</v>
      </c>
      <c r="D792" s="299" t="s">
        <v>447</v>
      </c>
      <c r="E792" s="331">
        <v>65.78</v>
      </c>
      <c r="F792" s="331"/>
      <c r="G792" s="333">
        <f t="shared" si="10"/>
        <v>2327.3699999999922</v>
      </c>
      <c r="H792" s="334"/>
      <c r="I792" s="335"/>
      <c r="J792" s="336"/>
      <c r="K792" s="301"/>
      <c r="L792" s="336"/>
      <c r="M792" s="301"/>
      <c r="N792" s="336"/>
      <c r="O792" s="301"/>
      <c r="P792" s="336"/>
      <c r="Q792" s="301"/>
      <c r="R792" s="336"/>
      <c r="S792" s="301"/>
      <c r="T792" s="336"/>
    </row>
    <row r="793" spans="1:20" ht="12" customHeight="1" x14ac:dyDescent="0.3">
      <c r="A793" s="329" t="s">
        <v>294</v>
      </c>
      <c r="B793" s="330">
        <v>13</v>
      </c>
      <c r="C793" s="298">
        <v>46063</v>
      </c>
      <c r="D793" s="299" t="s">
        <v>182</v>
      </c>
      <c r="E793" s="331">
        <v>159.35</v>
      </c>
      <c r="F793" s="331"/>
      <c r="G793" s="333">
        <f t="shared" si="10"/>
        <v>2393.1499999999924</v>
      </c>
      <c r="H793" s="334"/>
      <c r="I793" s="335"/>
      <c r="J793" s="336"/>
      <c r="K793" s="301"/>
      <c r="L793" s="336"/>
      <c r="M793" s="301"/>
      <c r="N793" s="336"/>
      <c r="O793" s="301"/>
      <c r="P793" s="336"/>
      <c r="Q793" s="301"/>
      <c r="R793" s="336"/>
      <c r="S793" s="301"/>
      <c r="T793" s="336"/>
    </row>
    <row r="794" spans="1:20" ht="12" customHeight="1" x14ac:dyDescent="0.3">
      <c r="A794" s="329" t="s">
        <v>289</v>
      </c>
      <c r="B794" s="330">
        <v>2</v>
      </c>
      <c r="C794" s="298">
        <v>46063</v>
      </c>
      <c r="D794" s="299" t="s">
        <v>296</v>
      </c>
      <c r="E794" s="331">
        <v>16.29</v>
      </c>
      <c r="F794" s="331"/>
      <c r="G794" s="333">
        <f t="shared" si="10"/>
        <v>2552.4999999999923</v>
      </c>
      <c r="H794" s="334"/>
      <c r="I794" s="335"/>
      <c r="J794" s="336"/>
      <c r="K794" s="301"/>
      <c r="L794" s="336"/>
      <c r="M794" s="301"/>
      <c r="N794" s="336"/>
      <c r="O794" s="301"/>
      <c r="P794" s="336"/>
      <c r="Q794" s="301"/>
      <c r="R794" s="336"/>
      <c r="S794" s="301"/>
      <c r="T794" s="336"/>
    </row>
    <row r="795" spans="1:20" ht="12" customHeight="1" x14ac:dyDescent="0.3">
      <c r="A795" s="329" t="s">
        <v>289</v>
      </c>
      <c r="B795" s="330">
        <v>1</v>
      </c>
      <c r="C795" s="298">
        <v>46063</v>
      </c>
      <c r="D795" s="299" t="s">
        <v>311</v>
      </c>
      <c r="E795" s="331">
        <v>19.329999999999998</v>
      </c>
      <c r="F795" s="331"/>
      <c r="G795" s="333">
        <f t="shared" si="10"/>
        <v>2568.7899999999922</v>
      </c>
      <c r="H795" s="334"/>
      <c r="I795" s="335"/>
      <c r="J795" s="336"/>
      <c r="K795" s="301"/>
      <c r="L795" s="336"/>
      <c r="M795" s="301"/>
      <c r="N795" s="336"/>
      <c r="O795" s="301"/>
      <c r="P795" s="336"/>
      <c r="Q795" s="301"/>
      <c r="R795" s="336"/>
      <c r="S795" s="301"/>
      <c r="T795" s="336"/>
    </row>
    <row r="796" spans="1:20" ht="12" customHeight="1" x14ac:dyDescent="0.3">
      <c r="A796" s="329" t="s">
        <v>289</v>
      </c>
      <c r="B796" s="330">
        <v>3</v>
      </c>
      <c r="C796" s="298">
        <v>46062</v>
      </c>
      <c r="D796" s="299" t="s">
        <v>448</v>
      </c>
      <c r="E796" s="331">
        <v>8.61</v>
      </c>
      <c r="F796" s="331"/>
      <c r="G796" s="333">
        <f t="shared" ref="G796:G1041" si="11">G797-E796+F796</f>
        <v>2588.1199999999922</v>
      </c>
      <c r="H796" s="334"/>
      <c r="I796" s="335"/>
      <c r="J796" s="336"/>
      <c r="K796" s="301"/>
      <c r="L796" s="336"/>
      <c r="M796" s="301"/>
      <c r="N796" s="336"/>
      <c r="O796" s="301"/>
      <c r="P796" s="336"/>
      <c r="Q796" s="301"/>
      <c r="R796" s="336"/>
      <c r="S796" s="301"/>
      <c r="T796" s="336"/>
    </row>
    <row r="797" spans="1:20" ht="12" customHeight="1" x14ac:dyDescent="0.3">
      <c r="A797" s="329" t="s">
        <v>289</v>
      </c>
      <c r="B797" s="330">
        <v>2</v>
      </c>
      <c r="C797" s="298">
        <v>46062</v>
      </c>
      <c r="D797" s="299" t="s">
        <v>296</v>
      </c>
      <c r="E797" s="331">
        <v>13.41</v>
      </c>
      <c r="F797" s="331"/>
      <c r="G797" s="333">
        <f t="shared" si="11"/>
        <v>2596.7299999999923</v>
      </c>
      <c r="H797" s="334"/>
      <c r="I797" s="335"/>
      <c r="J797" s="336"/>
      <c r="K797" s="301"/>
      <c r="L797" s="336"/>
      <c r="M797" s="301"/>
      <c r="N797" s="336"/>
      <c r="O797" s="301"/>
      <c r="P797" s="336"/>
      <c r="Q797" s="301"/>
      <c r="R797" s="336"/>
      <c r="S797" s="301"/>
      <c r="T797" s="336"/>
    </row>
    <row r="798" spans="1:20" ht="12" customHeight="1" x14ac:dyDescent="0.3">
      <c r="A798" s="329" t="s">
        <v>294</v>
      </c>
      <c r="B798" s="330">
        <v>18</v>
      </c>
      <c r="C798" s="298">
        <v>46062</v>
      </c>
      <c r="D798" s="299" t="s">
        <v>361</v>
      </c>
      <c r="E798" s="331">
        <v>400</v>
      </c>
      <c r="F798" s="331"/>
      <c r="G798" s="333">
        <f t="shared" si="11"/>
        <v>2610.1399999999921</v>
      </c>
      <c r="H798" s="334"/>
      <c r="I798" s="335"/>
      <c r="J798" s="336"/>
      <c r="K798" s="301"/>
      <c r="L798" s="336"/>
      <c r="M798" s="301"/>
      <c r="N798" s="336"/>
      <c r="O798" s="301"/>
      <c r="P798" s="336"/>
      <c r="Q798" s="301"/>
      <c r="R798" s="336"/>
      <c r="S798" s="301"/>
      <c r="T798" s="336"/>
    </row>
    <row r="799" spans="1:20" ht="12" customHeight="1" x14ac:dyDescent="0.3">
      <c r="A799" s="329" t="s">
        <v>294</v>
      </c>
      <c r="B799" s="330">
        <v>9</v>
      </c>
      <c r="C799" s="298">
        <v>46062</v>
      </c>
      <c r="D799" s="299" t="s">
        <v>58</v>
      </c>
      <c r="E799" s="331">
        <v>1281.53</v>
      </c>
      <c r="F799" s="331"/>
      <c r="G799" s="333">
        <f t="shared" si="11"/>
        <v>3010.1399999999921</v>
      </c>
      <c r="H799" s="334"/>
      <c r="I799" s="335"/>
      <c r="J799" s="336"/>
      <c r="K799" s="301"/>
      <c r="L799" s="336"/>
      <c r="M799" s="301"/>
      <c r="N799" s="336"/>
      <c r="O799" s="301"/>
      <c r="P799" s="336"/>
      <c r="Q799" s="301"/>
      <c r="R799" s="336"/>
      <c r="S799" s="301"/>
      <c r="T799" s="336"/>
    </row>
    <row r="800" spans="1:20" ht="12" customHeight="1" x14ac:dyDescent="0.3">
      <c r="A800" s="329" t="s">
        <v>289</v>
      </c>
      <c r="B800" s="330">
        <v>5</v>
      </c>
      <c r="C800" s="298">
        <v>46062</v>
      </c>
      <c r="D800" s="299" t="s">
        <v>449</v>
      </c>
      <c r="E800" s="331">
        <v>50</v>
      </c>
      <c r="F800" s="331"/>
      <c r="G800" s="333">
        <f t="shared" si="11"/>
        <v>4291.6699999999919</v>
      </c>
      <c r="H800" s="334"/>
      <c r="I800" s="335"/>
      <c r="J800" s="336"/>
      <c r="K800" s="301"/>
      <c r="L800" s="336"/>
      <c r="M800" s="301"/>
      <c r="N800" s="336"/>
      <c r="O800" s="301"/>
      <c r="P800" s="336"/>
      <c r="Q800" s="301"/>
      <c r="R800" s="336"/>
      <c r="S800" s="301"/>
      <c r="T800" s="336"/>
    </row>
    <row r="801" spans="1:20" ht="12" customHeight="1" x14ac:dyDescent="0.3">
      <c r="A801" s="329" t="s">
        <v>289</v>
      </c>
      <c r="B801" s="330">
        <v>2</v>
      </c>
      <c r="C801" s="298">
        <v>46062</v>
      </c>
      <c r="D801" s="299" t="s">
        <v>450</v>
      </c>
      <c r="E801" s="331">
        <v>12.1</v>
      </c>
      <c r="F801" s="331"/>
      <c r="G801" s="333">
        <f t="shared" si="11"/>
        <v>4341.6699999999919</v>
      </c>
      <c r="H801" s="334"/>
      <c r="I801" s="335"/>
      <c r="J801" s="336"/>
      <c r="K801" s="301"/>
      <c r="L801" s="336"/>
      <c r="M801" s="301"/>
      <c r="N801" s="336"/>
      <c r="O801" s="301"/>
      <c r="P801" s="336"/>
      <c r="Q801" s="301"/>
      <c r="R801" s="336"/>
      <c r="S801" s="301"/>
      <c r="T801" s="336"/>
    </row>
    <row r="802" spans="1:20" ht="12" customHeight="1" x14ac:dyDescent="0.3">
      <c r="A802" s="329" t="s">
        <v>289</v>
      </c>
      <c r="B802" s="330">
        <v>1</v>
      </c>
      <c r="C802" s="298">
        <v>46061</v>
      </c>
      <c r="D802" s="299" t="s">
        <v>306</v>
      </c>
      <c r="E802" s="331">
        <v>72.099999999999994</v>
      </c>
      <c r="F802" s="331"/>
      <c r="G802" s="333">
        <f t="shared" si="11"/>
        <v>4353.7699999999923</v>
      </c>
      <c r="H802" s="334"/>
      <c r="I802" s="335"/>
      <c r="J802" s="336"/>
      <c r="K802" s="301"/>
      <c r="L802" s="336"/>
      <c r="M802" s="301"/>
      <c r="N802" s="336"/>
      <c r="O802" s="301"/>
      <c r="P802" s="336"/>
      <c r="Q802" s="301"/>
      <c r="R802" s="336"/>
      <c r="S802" s="301"/>
      <c r="T802" s="336"/>
    </row>
    <row r="803" spans="1:20" ht="12" customHeight="1" x14ac:dyDescent="0.3">
      <c r="A803" s="329" t="s">
        <v>289</v>
      </c>
      <c r="B803" s="330">
        <v>8</v>
      </c>
      <c r="C803" s="298">
        <v>46061</v>
      </c>
      <c r="D803" s="299" t="s">
        <v>319</v>
      </c>
      <c r="E803" s="331">
        <v>30.25</v>
      </c>
      <c r="F803" s="331"/>
      <c r="G803" s="333">
        <f t="shared" si="11"/>
        <v>4425.8699999999926</v>
      </c>
      <c r="H803" s="334"/>
      <c r="I803" s="335"/>
      <c r="J803" s="336"/>
      <c r="K803" s="301"/>
      <c r="L803" s="336"/>
      <c r="M803" s="301"/>
      <c r="N803" s="336"/>
      <c r="O803" s="301"/>
      <c r="P803" s="336"/>
      <c r="Q803" s="301"/>
      <c r="R803" s="336"/>
      <c r="S803" s="301"/>
      <c r="T803" s="336"/>
    </row>
    <row r="804" spans="1:20" ht="12" customHeight="1" x14ac:dyDescent="0.3">
      <c r="A804" s="329" t="s">
        <v>289</v>
      </c>
      <c r="B804" s="330">
        <v>3</v>
      </c>
      <c r="C804" s="298">
        <v>46061</v>
      </c>
      <c r="D804" s="299" t="s">
        <v>296</v>
      </c>
      <c r="E804" s="331">
        <v>3.72</v>
      </c>
      <c r="F804" s="331"/>
      <c r="G804" s="333">
        <f t="shared" si="11"/>
        <v>4456.1199999999926</v>
      </c>
      <c r="H804" s="334"/>
      <c r="I804" s="335"/>
      <c r="J804" s="336"/>
      <c r="K804" s="301"/>
      <c r="L804" s="336"/>
      <c r="M804" s="301"/>
      <c r="N804" s="336"/>
      <c r="O804" s="301"/>
      <c r="P804" s="336"/>
      <c r="Q804" s="301"/>
      <c r="R804" s="336"/>
      <c r="S804" s="301"/>
      <c r="T804" s="336"/>
    </row>
    <row r="805" spans="1:20" ht="12" customHeight="1" x14ac:dyDescent="0.3">
      <c r="A805" s="329" t="s">
        <v>289</v>
      </c>
      <c r="B805" s="330">
        <v>4</v>
      </c>
      <c r="C805" s="298">
        <v>46061</v>
      </c>
      <c r="D805" s="299" t="s">
        <v>296</v>
      </c>
      <c r="E805" s="331">
        <v>41.6</v>
      </c>
      <c r="F805" s="331"/>
      <c r="G805" s="333">
        <f t="shared" si="11"/>
        <v>4459.8399999999929</v>
      </c>
      <c r="H805" s="334"/>
      <c r="I805" s="335"/>
      <c r="J805" s="336"/>
      <c r="K805" s="301"/>
      <c r="L805" s="336"/>
      <c r="M805" s="301"/>
      <c r="N805" s="336"/>
      <c r="O805" s="301"/>
      <c r="P805" s="336"/>
      <c r="Q805" s="301"/>
      <c r="R805" s="336"/>
      <c r="S805" s="301"/>
      <c r="T805" s="336"/>
    </row>
    <row r="806" spans="1:20" ht="12" customHeight="1" x14ac:dyDescent="0.3">
      <c r="A806" s="329" t="s">
        <v>289</v>
      </c>
      <c r="B806" s="330">
        <v>3</v>
      </c>
      <c r="C806" s="298">
        <v>46061</v>
      </c>
      <c r="D806" s="299" t="s">
        <v>451</v>
      </c>
      <c r="E806" s="331">
        <v>1</v>
      </c>
      <c r="F806" s="331"/>
      <c r="G806" s="333">
        <f t="shared" si="11"/>
        <v>4501.4399999999932</v>
      </c>
      <c r="H806" s="334"/>
      <c r="I806" s="335"/>
      <c r="J806" s="336"/>
      <c r="K806" s="301"/>
      <c r="L806" s="336"/>
      <c r="M806" s="301"/>
      <c r="N806" s="336"/>
      <c r="O806" s="301"/>
      <c r="P806" s="336"/>
      <c r="Q806" s="301"/>
      <c r="R806" s="336"/>
      <c r="S806" s="301"/>
      <c r="T806" s="336"/>
    </row>
    <row r="807" spans="1:20" ht="12" customHeight="1" x14ac:dyDescent="0.3">
      <c r="A807" s="329" t="s">
        <v>289</v>
      </c>
      <c r="B807" s="330">
        <v>2</v>
      </c>
      <c r="C807" s="298">
        <v>46061</v>
      </c>
      <c r="D807" s="299" t="s">
        <v>358</v>
      </c>
      <c r="E807" s="331">
        <v>10.17</v>
      </c>
      <c r="F807" s="331"/>
      <c r="G807" s="333">
        <f t="shared" si="11"/>
        <v>4502.4399999999932</v>
      </c>
      <c r="H807" s="334"/>
      <c r="I807" s="335"/>
      <c r="J807" s="336"/>
      <c r="K807" s="301"/>
      <c r="L807" s="336"/>
      <c r="M807" s="301"/>
      <c r="N807" s="336"/>
      <c r="O807" s="301"/>
      <c r="P807" s="336"/>
      <c r="Q807" s="301"/>
      <c r="R807" s="336"/>
      <c r="S807" s="301"/>
      <c r="T807" s="336"/>
    </row>
    <row r="808" spans="1:20" ht="12" customHeight="1" x14ac:dyDescent="0.3">
      <c r="A808" s="329" t="s">
        <v>287</v>
      </c>
      <c r="B808" s="330" t="s">
        <v>287</v>
      </c>
      <c r="C808" s="298">
        <v>46060</v>
      </c>
      <c r="D808" s="299" t="s">
        <v>452</v>
      </c>
      <c r="E808" s="331">
        <v>367.77</v>
      </c>
      <c r="F808" s="331">
        <v>367.77</v>
      </c>
      <c r="G808" s="333">
        <f t="shared" si="11"/>
        <v>4512.6099999999933</v>
      </c>
      <c r="H808" s="334"/>
      <c r="I808" s="335"/>
      <c r="J808" s="336"/>
      <c r="K808" s="301"/>
      <c r="L808" s="336"/>
      <c r="M808" s="301"/>
      <c r="N808" s="336"/>
      <c r="O808" s="301"/>
      <c r="P808" s="336"/>
      <c r="Q808" s="301"/>
      <c r="R808" s="336"/>
      <c r="S808" s="301"/>
      <c r="T808" s="336"/>
    </row>
    <row r="809" spans="1:20" ht="12" customHeight="1" x14ac:dyDescent="0.3">
      <c r="A809" s="329" t="s">
        <v>289</v>
      </c>
      <c r="B809" s="330">
        <v>4</v>
      </c>
      <c r="C809" s="298">
        <v>46060</v>
      </c>
      <c r="D809" s="299" t="s">
        <v>310</v>
      </c>
      <c r="E809" s="331">
        <v>32.36</v>
      </c>
      <c r="F809" s="331"/>
      <c r="G809" s="333">
        <f t="shared" si="11"/>
        <v>4512.6099999999933</v>
      </c>
      <c r="H809" s="334"/>
      <c r="I809" s="335"/>
      <c r="J809" s="336"/>
      <c r="K809" s="301"/>
      <c r="L809" s="336"/>
      <c r="M809" s="301"/>
      <c r="N809" s="336"/>
      <c r="O809" s="301"/>
      <c r="P809" s="336"/>
      <c r="Q809" s="301"/>
      <c r="R809" s="336"/>
      <c r="S809" s="301"/>
      <c r="T809" s="336"/>
    </row>
    <row r="810" spans="1:20" ht="12" customHeight="1" x14ac:dyDescent="0.3">
      <c r="A810" s="329" t="s">
        <v>289</v>
      </c>
      <c r="B810" s="330">
        <v>6</v>
      </c>
      <c r="C810" s="298">
        <v>46060</v>
      </c>
      <c r="D810" s="299" t="s">
        <v>453</v>
      </c>
      <c r="E810" s="331">
        <v>41.39</v>
      </c>
      <c r="F810" s="331"/>
      <c r="G810" s="333">
        <f t="shared" si="11"/>
        <v>4544.969999999993</v>
      </c>
      <c r="H810" s="334"/>
      <c r="I810" s="335"/>
      <c r="J810" s="336"/>
      <c r="K810" s="301"/>
      <c r="L810" s="336"/>
      <c r="M810" s="301"/>
      <c r="N810" s="336"/>
      <c r="O810" s="301"/>
      <c r="P810" s="336"/>
      <c r="Q810" s="301"/>
      <c r="R810" s="336"/>
      <c r="S810" s="301"/>
      <c r="T810" s="336"/>
    </row>
    <row r="811" spans="1:20" ht="12" customHeight="1" x14ac:dyDescent="0.3">
      <c r="A811" s="329" t="s">
        <v>289</v>
      </c>
      <c r="B811" s="330">
        <v>1</v>
      </c>
      <c r="C811" s="298">
        <v>46060</v>
      </c>
      <c r="D811" s="299" t="s">
        <v>445</v>
      </c>
      <c r="E811" s="331">
        <v>35.770000000000003</v>
      </c>
      <c r="F811" s="331"/>
      <c r="G811" s="333">
        <f t="shared" si="11"/>
        <v>4586.3599999999933</v>
      </c>
      <c r="H811" s="334"/>
      <c r="I811" s="335"/>
      <c r="J811" s="336"/>
      <c r="K811" s="301"/>
      <c r="L811" s="336"/>
      <c r="M811" s="301"/>
      <c r="N811" s="336"/>
      <c r="O811" s="301"/>
      <c r="P811" s="336"/>
      <c r="Q811" s="301"/>
      <c r="R811" s="336"/>
      <c r="S811" s="301"/>
      <c r="T811" s="336"/>
    </row>
    <row r="812" spans="1:20" ht="12" customHeight="1" x14ac:dyDescent="0.3">
      <c r="A812" s="329" t="s">
        <v>289</v>
      </c>
      <c r="B812" s="330">
        <v>3</v>
      </c>
      <c r="C812" s="298">
        <v>46060</v>
      </c>
      <c r="D812" s="299" t="s">
        <v>348</v>
      </c>
      <c r="E812" s="331">
        <v>25</v>
      </c>
      <c r="F812" s="331"/>
      <c r="G812" s="333">
        <f t="shared" si="11"/>
        <v>4622.1299999999937</v>
      </c>
      <c r="H812" s="334"/>
      <c r="I812" s="335"/>
      <c r="J812" s="336"/>
      <c r="K812" s="301"/>
      <c r="L812" s="336"/>
      <c r="M812" s="301"/>
      <c r="N812" s="336"/>
      <c r="O812" s="301"/>
      <c r="P812" s="336"/>
      <c r="Q812" s="301"/>
      <c r="R812" s="336"/>
      <c r="S812" s="301"/>
      <c r="T812" s="336"/>
    </row>
    <row r="813" spans="1:20" ht="12" customHeight="1" x14ac:dyDescent="0.3">
      <c r="A813" s="329" t="s">
        <v>289</v>
      </c>
      <c r="B813" s="330">
        <v>8</v>
      </c>
      <c r="C813" s="298">
        <v>46060</v>
      </c>
      <c r="D813" s="299" t="s">
        <v>296</v>
      </c>
      <c r="E813" s="331">
        <v>6.69</v>
      </c>
      <c r="F813" s="331"/>
      <c r="G813" s="333">
        <f t="shared" si="11"/>
        <v>4647.1299999999937</v>
      </c>
      <c r="H813" s="334"/>
      <c r="I813" s="335"/>
      <c r="J813" s="336"/>
      <c r="K813" s="301"/>
      <c r="L813" s="336"/>
      <c r="M813" s="301"/>
      <c r="N813" s="336"/>
      <c r="O813" s="301"/>
      <c r="P813" s="336"/>
      <c r="Q813" s="301"/>
      <c r="R813" s="336"/>
      <c r="S813" s="301"/>
      <c r="T813" s="336"/>
    </row>
    <row r="814" spans="1:20" ht="12" customHeight="1" x14ac:dyDescent="0.3">
      <c r="A814" s="329" t="s">
        <v>289</v>
      </c>
      <c r="B814" s="330">
        <v>4</v>
      </c>
      <c r="C814" s="298">
        <v>46060</v>
      </c>
      <c r="D814" s="299" t="s">
        <v>296</v>
      </c>
      <c r="E814" s="331">
        <v>47.85</v>
      </c>
      <c r="F814" s="331"/>
      <c r="G814" s="333">
        <f t="shared" si="11"/>
        <v>4653.8199999999933</v>
      </c>
      <c r="H814" s="334"/>
      <c r="I814" s="335"/>
      <c r="J814" s="336"/>
      <c r="K814" s="301"/>
      <c r="L814" s="336"/>
      <c r="M814" s="301"/>
      <c r="N814" s="336"/>
      <c r="O814" s="301"/>
      <c r="P814" s="336"/>
      <c r="Q814" s="301"/>
      <c r="R814" s="336"/>
      <c r="S814" s="301"/>
      <c r="T814" s="336"/>
    </row>
    <row r="815" spans="1:20" ht="12" customHeight="1" x14ac:dyDescent="0.3">
      <c r="A815" s="329" t="s">
        <v>289</v>
      </c>
      <c r="B815" s="330">
        <v>2</v>
      </c>
      <c r="C815" s="298">
        <v>46059</v>
      </c>
      <c r="D815" s="299" t="s">
        <v>301</v>
      </c>
      <c r="E815" s="331">
        <v>20</v>
      </c>
      <c r="F815" s="331"/>
      <c r="G815" s="333">
        <f t="shared" si="11"/>
        <v>4701.6699999999937</v>
      </c>
      <c r="H815" s="334"/>
      <c r="I815" s="335"/>
      <c r="J815" s="336"/>
      <c r="K815" s="301"/>
      <c r="L815" s="336"/>
      <c r="M815" s="301"/>
      <c r="N815" s="336"/>
      <c r="O815" s="301"/>
      <c r="P815" s="336"/>
      <c r="Q815" s="301"/>
      <c r="R815" s="336"/>
      <c r="S815" s="301"/>
      <c r="T815" s="336"/>
    </row>
    <row r="816" spans="1:20" ht="12" customHeight="1" x14ac:dyDescent="0.3">
      <c r="A816" s="329" t="s">
        <v>291</v>
      </c>
      <c r="B816" s="330">
        <v>40</v>
      </c>
      <c r="C816" s="298">
        <v>46059</v>
      </c>
      <c r="D816" s="299" t="s">
        <v>316</v>
      </c>
      <c r="E816" s="331"/>
      <c r="F816" s="331">
        <v>822.99</v>
      </c>
      <c r="G816" s="333">
        <f t="shared" si="11"/>
        <v>4721.6699999999937</v>
      </c>
      <c r="H816" s="334"/>
      <c r="I816" s="335"/>
      <c r="J816" s="336"/>
      <c r="K816" s="301"/>
      <c r="L816" s="336"/>
      <c r="M816" s="301"/>
      <c r="N816" s="336"/>
      <c r="O816" s="301"/>
      <c r="P816" s="336"/>
      <c r="Q816" s="301"/>
      <c r="R816" s="336"/>
      <c r="S816" s="301"/>
      <c r="T816" s="336"/>
    </row>
    <row r="817" spans="1:20" ht="12" customHeight="1" x14ac:dyDescent="0.3">
      <c r="A817" s="329" t="s">
        <v>294</v>
      </c>
      <c r="B817" s="330">
        <v>14</v>
      </c>
      <c r="C817" s="298">
        <v>46059</v>
      </c>
      <c r="D817" s="299" t="s">
        <v>366</v>
      </c>
      <c r="E817" s="331">
        <v>66.67</v>
      </c>
      <c r="F817" s="331"/>
      <c r="G817" s="333">
        <f t="shared" si="11"/>
        <v>3898.6799999999935</v>
      </c>
      <c r="H817" s="334"/>
      <c r="I817" s="335"/>
      <c r="J817" s="336"/>
      <c r="K817" s="301"/>
      <c r="L817" s="336"/>
      <c r="M817" s="301"/>
      <c r="N817" s="336"/>
      <c r="O817" s="301"/>
      <c r="P817" s="336"/>
      <c r="Q817" s="301"/>
      <c r="R817" s="336"/>
      <c r="S817" s="301"/>
      <c r="T817" s="336"/>
    </row>
    <row r="818" spans="1:20" ht="12" customHeight="1" x14ac:dyDescent="0.3">
      <c r="A818" s="329" t="s">
        <v>289</v>
      </c>
      <c r="B818" s="330">
        <v>2</v>
      </c>
      <c r="C818" s="298">
        <v>46059</v>
      </c>
      <c r="D818" s="299" t="s">
        <v>296</v>
      </c>
      <c r="E818" s="331">
        <v>9.35</v>
      </c>
      <c r="F818" s="331"/>
      <c r="G818" s="333">
        <f t="shared" si="11"/>
        <v>3965.3499999999935</v>
      </c>
      <c r="H818" s="334"/>
      <c r="I818" s="335"/>
      <c r="J818" s="336"/>
      <c r="K818" s="301"/>
      <c r="L818" s="336"/>
      <c r="M818" s="301"/>
      <c r="N818" s="336"/>
      <c r="O818" s="301"/>
      <c r="P818" s="336"/>
      <c r="Q818" s="301"/>
      <c r="R818" s="336"/>
      <c r="S818" s="301"/>
      <c r="T818" s="336"/>
    </row>
    <row r="819" spans="1:20" ht="12" customHeight="1" x14ac:dyDescent="0.3">
      <c r="A819" s="329" t="s">
        <v>289</v>
      </c>
      <c r="B819" s="330">
        <v>4</v>
      </c>
      <c r="C819" s="298">
        <v>46059</v>
      </c>
      <c r="D819" s="299" t="s">
        <v>296</v>
      </c>
      <c r="E819" s="331">
        <v>45.81</v>
      </c>
      <c r="F819" s="331"/>
      <c r="G819" s="333">
        <f t="shared" si="11"/>
        <v>3974.6999999999935</v>
      </c>
      <c r="H819" s="334"/>
      <c r="I819" s="335"/>
      <c r="J819" s="336"/>
      <c r="K819" s="301"/>
      <c r="L819" s="336"/>
      <c r="M819" s="301"/>
      <c r="N819" s="336"/>
      <c r="O819" s="301"/>
      <c r="P819" s="336"/>
      <c r="Q819" s="301"/>
      <c r="R819" s="336"/>
      <c r="S819" s="301"/>
      <c r="T819" s="336"/>
    </row>
    <row r="820" spans="1:20" ht="12" customHeight="1" x14ac:dyDescent="0.3">
      <c r="A820" s="329" t="s">
        <v>289</v>
      </c>
      <c r="B820" s="330">
        <v>2</v>
      </c>
      <c r="C820" s="298">
        <v>46059</v>
      </c>
      <c r="D820" s="299" t="s">
        <v>353</v>
      </c>
      <c r="E820" s="331">
        <v>22.98</v>
      </c>
      <c r="F820" s="331"/>
      <c r="G820" s="333">
        <f t="shared" si="11"/>
        <v>4020.5099999999934</v>
      </c>
      <c r="H820" s="334"/>
      <c r="I820" s="335"/>
      <c r="J820" s="336"/>
      <c r="K820" s="301"/>
      <c r="L820" s="336"/>
      <c r="M820" s="301"/>
      <c r="N820" s="336"/>
      <c r="O820" s="301"/>
      <c r="P820" s="336"/>
      <c r="Q820" s="301"/>
      <c r="R820" s="336"/>
      <c r="S820" s="301"/>
      <c r="T820" s="336"/>
    </row>
    <row r="821" spans="1:20" ht="12" customHeight="1" x14ac:dyDescent="0.3">
      <c r="A821" s="329" t="s">
        <v>289</v>
      </c>
      <c r="B821" s="330">
        <v>2</v>
      </c>
      <c r="C821" s="298">
        <v>46059</v>
      </c>
      <c r="D821" s="299" t="s">
        <v>301</v>
      </c>
      <c r="E821" s="331">
        <v>46.5</v>
      </c>
      <c r="F821" s="331"/>
      <c r="G821" s="333">
        <f t="shared" si="11"/>
        <v>4043.4899999999934</v>
      </c>
      <c r="H821" s="334"/>
      <c r="I821" s="335"/>
      <c r="J821" s="336"/>
      <c r="K821" s="301"/>
      <c r="L821" s="336"/>
      <c r="M821" s="301"/>
      <c r="N821" s="336"/>
      <c r="O821" s="301"/>
      <c r="P821" s="336"/>
      <c r="Q821" s="301"/>
      <c r="R821" s="336"/>
      <c r="S821" s="301"/>
      <c r="T821" s="336"/>
    </row>
    <row r="822" spans="1:20" ht="12" customHeight="1" x14ac:dyDescent="0.3">
      <c r="A822" s="329" t="s">
        <v>289</v>
      </c>
      <c r="B822" s="330">
        <v>2</v>
      </c>
      <c r="C822" s="298">
        <v>46059</v>
      </c>
      <c r="D822" s="299" t="s">
        <v>358</v>
      </c>
      <c r="E822" s="331">
        <v>10.17</v>
      </c>
      <c r="F822" s="331"/>
      <c r="G822" s="333">
        <f t="shared" si="11"/>
        <v>4089.9899999999934</v>
      </c>
      <c r="H822" s="334"/>
      <c r="I822" s="335"/>
      <c r="J822" s="336"/>
      <c r="K822" s="301"/>
      <c r="L822" s="336"/>
      <c r="M822" s="301"/>
      <c r="N822" s="336"/>
      <c r="O822" s="301"/>
      <c r="P822" s="336"/>
      <c r="Q822" s="301"/>
      <c r="R822" s="336"/>
      <c r="S822" s="301"/>
      <c r="T822" s="336"/>
    </row>
    <row r="823" spans="1:20" ht="12" customHeight="1" x14ac:dyDescent="0.3">
      <c r="A823" s="329" t="s">
        <v>289</v>
      </c>
      <c r="B823" s="330">
        <v>8</v>
      </c>
      <c r="C823" s="298">
        <v>46059</v>
      </c>
      <c r="D823" s="299" t="s">
        <v>435</v>
      </c>
      <c r="E823" s="331">
        <v>81.2</v>
      </c>
      <c r="F823" s="331"/>
      <c r="G823" s="333">
        <f t="shared" si="11"/>
        <v>4100.1599999999935</v>
      </c>
      <c r="H823" s="334"/>
      <c r="I823" s="335"/>
      <c r="J823" s="336"/>
      <c r="K823" s="301"/>
      <c r="L823" s="336"/>
      <c r="M823" s="301"/>
      <c r="N823" s="336"/>
      <c r="O823" s="301"/>
      <c r="P823" s="336"/>
      <c r="Q823" s="301"/>
      <c r="R823" s="336"/>
      <c r="S823" s="301"/>
      <c r="T823" s="336"/>
    </row>
    <row r="824" spans="1:20" ht="12" customHeight="1" x14ac:dyDescent="0.3">
      <c r="A824" s="329" t="s">
        <v>289</v>
      </c>
      <c r="B824" s="330">
        <v>2</v>
      </c>
      <c r="C824" s="298">
        <v>46058</v>
      </c>
      <c r="D824" s="299" t="s">
        <v>301</v>
      </c>
      <c r="E824" s="331">
        <v>21</v>
      </c>
      <c r="F824" s="331"/>
      <c r="G824" s="333">
        <f t="shared" si="11"/>
        <v>4181.3599999999933</v>
      </c>
      <c r="H824" s="334"/>
      <c r="I824" s="335"/>
      <c r="J824" s="336"/>
      <c r="K824" s="301"/>
      <c r="L824" s="336"/>
      <c r="M824" s="301"/>
      <c r="N824" s="336"/>
      <c r="O824" s="301"/>
      <c r="P824" s="336"/>
      <c r="Q824" s="301"/>
      <c r="R824" s="336"/>
      <c r="S824" s="301"/>
      <c r="T824" s="336"/>
    </row>
    <row r="825" spans="1:20" ht="12" customHeight="1" x14ac:dyDescent="0.3">
      <c r="A825" s="329" t="s">
        <v>291</v>
      </c>
      <c r="B825" s="330">
        <v>39</v>
      </c>
      <c r="C825" s="298">
        <v>46058</v>
      </c>
      <c r="D825" s="299" t="s">
        <v>292</v>
      </c>
      <c r="E825" s="331"/>
      <c r="F825" s="331">
        <v>2763.79</v>
      </c>
      <c r="G825" s="333">
        <f t="shared" si="11"/>
        <v>4202.3599999999933</v>
      </c>
      <c r="H825" s="334"/>
      <c r="I825" s="335"/>
      <c r="J825" s="336"/>
      <c r="K825" s="301"/>
      <c r="L825" s="336"/>
      <c r="M825" s="301"/>
      <c r="N825" s="336"/>
      <c r="O825" s="301"/>
      <c r="P825" s="336"/>
      <c r="Q825" s="301"/>
      <c r="R825" s="336"/>
      <c r="S825" s="301"/>
      <c r="T825" s="336"/>
    </row>
    <row r="826" spans="1:20" ht="12" customHeight="1" x14ac:dyDescent="0.3">
      <c r="A826" s="329" t="s">
        <v>289</v>
      </c>
      <c r="B826" s="330">
        <v>8</v>
      </c>
      <c r="C826" s="298">
        <v>46058</v>
      </c>
      <c r="D826" s="299" t="s">
        <v>357</v>
      </c>
      <c r="E826" s="331">
        <v>95.35</v>
      </c>
      <c r="F826" s="331"/>
      <c r="G826" s="333">
        <f t="shared" si="11"/>
        <v>1438.5699999999933</v>
      </c>
      <c r="H826" s="334"/>
      <c r="I826" s="335"/>
      <c r="J826" s="336"/>
      <c r="K826" s="301"/>
      <c r="L826" s="336"/>
      <c r="M826" s="301"/>
      <c r="N826" s="336"/>
      <c r="O826" s="301"/>
      <c r="P826" s="336"/>
      <c r="Q826" s="301"/>
      <c r="R826" s="336"/>
      <c r="S826" s="301"/>
      <c r="T826" s="336"/>
    </row>
    <row r="827" spans="1:20" ht="12" customHeight="1" x14ac:dyDescent="0.3">
      <c r="A827" s="329" t="s">
        <v>289</v>
      </c>
      <c r="B827" s="330">
        <v>2</v>
      </c>
      <c r="C827" s="298">
        <v>46058</v>
      </c>
      <c r="D827" s="299" t="s">
        <v>353</v>
      </c>
      <c r="E827" s="331">
        <v>14.99</v>
      </c>
      <c r="F827" s="331"/>
      <c r="G827" s="333">
        <f t="shared" si="11"/>
        <v>1533.9199999999933</v>
      </c>
      <c r="H827" s="334"/>
      <c r="I827" s="335"/>
      <c r="J827" s="336"/>
      <c r="K827" s="301"/>
      <c r="L827" s="336"/>
      <c r="M827" s="301"/>
      <c r="N827" s="336"/>
      <c r="O827" s="301"/>
      <c r="P827" s="336"/>
      <c r="Q827" s="301"/>
      <c r="R827" s="336"/>
      <c r="S827" s="301"/>
      <c r="T827" s="336"/>
    </row>
    <row r="828" spans="1:20" ht="12" customHeight="1" x14ac:dyDescent="0.3">
      <c r="A828" s="329" t="s">
        <v>287</v>
      </c>
      <c r="B828" s="330" t="s">
        <v>287</v>
      </c>
      <c r="C828" s="298">
        <v>46058</v>
      </c>
      <c r="D828" s="299" t="s">
        <v>452</v>
      </c>
      <c r="E828" s="331">
        <v>77.569999999999993</v>
      </c>
      <c r="F828" s="331">
        <v>77.569999999999993</v>
      </c>
      <c r="G828" s="333">
        <f t="shared" si="11"/>
        <v>1548.9099999999933</v>
      </c>
      <c r="H828" s="334"/>
      <c r="I828" s="335"/>
      <c r="J828" s="336"/>
      <c r="K828" s="301"/>
      <c r="L828" s="336"/>
      <c r="M828" s="301"/>
      <c r="N828" s="336"/>
      <c r="O828" s="301"/>
      <c r="P828" s="336"/>
      <c r="Q828" s="301"/>
      <c r="R828" s="336"/>
      <c r="S828" s="301"/>
      <c r="T828" s="336"/>
    </row>
    <row r="829" spans="1:20" ht="12" customHeight="1" x14ac:dyDescent="0.3">
      <c r="A829" s="329" t="s">
        <v>289</v>
      </c>
      <c r="B829" s="330">
        <v>6</v>
      </c>
      <c r="C829" s="298">
        <v>46057</v>
      </c>
      <c r="D829" s="299" t="s">
        <v>344</v>
      </c>
      <c r="E829" s="331">
        <v>50</v>
      </c>
      <c r="F829" s="331"/>
      <c r="G829" s="333">
        <f t="shared" si="11"/>
        <v>1548.9099999999933</v>
      </c>
      <c r="H829" s="334"/>
      <c r="I829" s="335"/>
      <c r="J829" s="336"/>
      <c r="K829" s="301"/>
      <c r="L829" s="336"/>
      <c r="M829" s="301"/>
      <c r="N829" s="336"/>
      <c r="O829" s="301"/>
      <c r="P829" s="336"/>
      <c r="Q829" s="301"/>
      <c r="R829" s="336"/>
      <c r="S829" s="301"/>
      <c r="T829" s="336"/>
    </row>
    <row r="830" spans="1:20" ht="12" customHeight="1" x14ac:dyDescent="0.3">
      <c r="A830" s="329" t="s">
        <v>289</v>
      </c>
      <c r="B830" s="330">
        <v>1</v>
      </c>
      <c r="C830" s="298">
        <v>46057</v>
      </c>
      <c r="D830" s="299" t="s">
        <v>306</v>
      </c>
      <c r="E830" s="331">
        <v>62.03</v>
      </c>
      <c r="F830" s="331"/>
      <c r="G830" s="333">
        <f t="shared" si="11"/>
        <v>1598.9099999999933</v>
      </c>
      <c r="H830" s="334"/>
      <c r="I830" s="335"/>
      <c r="J830" s="336"/>
      <c r="K830" s="301"/>
      <c r="L830" s="336"/>
      <c r="M830" s="301"/>
      <c r="N830" s="336"/>
      <c r="O830" s="301"/>
      <c r="P830" s="336"/>
      <c r="Q830" s="301"/>
      <c r="R830" s="336"/>
      <c r="S830" s="301"/>
      <c r="T830" s="336"/>
    </row>
    <row r="831" spans="1:20" ht="12" customHeight="1" x14ac:dyDescent="0.3">
      <c r="A831" s="329" t="s">
        <v>289</v>
      </c>
      <c r="B831" s="330">
        <v>2</v>
      </c>
      <c r="C831" s="298">
        <v>46057</v>
      </c>
      <c r="D831" s="299" t="s">
        <v>296</v>
      </c>
      <c r="E831" s="331">
        <v>14.91</v>
      </c>
      <c r="F831" s="331"/>
      <c r="G831" s="333">
        <f t="shared" si="11"/>
        <v>1660.9399999999932</v>
      </c>
      <c r="H831" s="334"/>
      <c r="I831" s="335"/>
      <c r="J831" s="336"/>
      <c r="K831" s="301"/>
      <c r="L831" s="336"/>
      <c r="M831" s="301"/>
      <c r="N831" s="336"/>
      <c r="O831" s="301"/>
      <c r="P831" s="336"/>
      <c r="Q831" s="301"/>
      <c r="R831" s="336"/>
      <c r="S831" s="301"/>
      <c r="T831" s="336"/>
    </row>
    <row r="832" spans="1:20" ht="12" customHeight="1" x14ac:dyDescent="0.3">
      <c r="A832" s="329" t="s">
        <v>289</v>
      </c>
      <c r="B832" s="330">
        <v>4</v>
      </c>
      <c r="C832" s="298">
        <v>46057</v>
      </c>
      <c r="D832" s="299" t="s">
        <v>310</v>
      </c>
      <c r="E832" s="331">
        <v>63.38</v>
      </c>
      <c r="F832" s="331"/>
      <c r="G832" s="333">
        <f t="shared" si="11"/>
        <v>1675.8499999999933</v>
      </c>
      <c r="H832" s="334"/>
      <c r="I832" s="335"/>
      <c r="J832" s="336"/>
      <c r="K832" s="301"/>
      <c r="L832" s="336"/>
      <c r="M832" s="301"/>
      <c r="N832" s="336"/>
      <c r="O832" s="301"/>
      <c r="P832" s="336"/>
      <c r="Q832" s="301"/>
      <c r="R832" s="336"/>
      <c r="S832" s="301"/>
      <c r="T832" s="336"/>
    </row>
    <row r="833" spans="1:20" ht="12" customHeight="1" x14ac:dyDescent="0.3">
      <c r="A833" s="329" t="s">
        <v>287</v>
      </c>
      <c r="B833" s="330" t="s">
        <v>287</v>
      </c>
      <c r="C833" s="298">
        <v>46057</v>
      </c>
      <c r="D833" s="299" t="s">
        <v>454</v>
      </c>
      <c r="E833" s="331">
        <v>192.78</v>
      </c>
      <c r="F833" s="331">
        <v>192.78</v>
      </c>
      <c r="G833" s="333">
        <f t="shared" si="11"/>
        <v>1739.2299999999934</v>
      </c>
      <c r="H833" s="334"/>
      <c r="I833" s="335"/>
      <c r="J833" s="336"/>
      <c r="K833" s="301"/>
      <c r="L833" s="336"/>
      <c r="M833" s="301"/>
      <c r="N833" s="336"/>
      <c r="O833" s="301"/>
      <c r="P833" s="336"/>
      <c r="Q833" s="301"/>
      <c r="R833" s="336"/>
      <c r="S833" s="301"/>
      <c r="T833" s="336"/>
    </row>
    <row r="834" spans="1:20" ht="12" customHeight="1" x14ac:dyDescent="0.3">
      <c r="A834" s="329" t="s">
        <v>294</v>
      </c>
      <c r="B834" s="330">
        <v>14</v>
      </c>
      <c r="C834" s="298">
        <v>46057</v>
      </c>
      <c r="D834" s="299" t="s">
        <v>367</v>
      </c>
      <c r="E834" s="331">
        <v>68.739999999999995</v>
      </c>
      <c r="F834" s="331"/>
      <c r="G834" s="333">
        <f t="shared" si="11"/>
        <v>1739.2299999999934</v>
      </c>
      <c r="H834" s="334"/>
      <c r="I834" s="335"/>
      <c r="J834" s="336"/>
      <c r="K834" s="301"/>
      <c r="L834" s="336"/>
      <c r="M834" s="301"/>
      <c r="N834" s="336"/>
      <c r="O834" s="301"/>
      <c r="P834" s="336"/>
      <c r="Q834" s="301"/>
      <c r="R834" s="336"/>
      <c r="S834" s="301"/>
      <c r="T834" s="336"/>
    </row>
    <row r="835" spans="1:20" ht="12" customHeight="1" x14ac:dyDescent="0.3">
      <c r="A835" s="329" t="s">
        <v>289</v>
      </c>
      <c r="B835" s="330">
        <v>6</v>
      </c>
      <c r="C835" s="298">
        <v>46057</v>
      </c>
      <c r="D835" s="299" t="s">
        <v>300</v>
      </c>
      <c r="E835" s="331">
        <v>-42.58</v>
      </c>
      <c r="F835" s="331"/>
      <c r="G835" s="333">
        <f t="shared" si="11"/>
        <v>1807.9699999999934</v>
      </c>
      <c r="H835" s="334"/>
      <c r="I835" s="335"/>
      <c r="J835" s="336"/>
      <c r="K835" s="301"/>
      <c r="L835" s="336"/>
      <c r="M835" s="301"/>
      <c r="N835" s="336"/>
      <c r="O835" s="301"/>
      <c r="P835" s="336"/>
      <c r="Q835" s="301"/>
      <c r="R835" s="336"/>
      <c r="S835" s="301"/>
      <c r="T835" s="336"/>
    </row>
    <row r="836" spans="1:20" ht="12" customHeight="1" x14ac:dyDescent="0.3">
      <c r="A836" s="329" t="s">
        <v>289</v>
      </c>
      <c r="B836" s="330">
        <v>1</v>
      </c>
      <c r="C836" s="298">
        <v>46057</v>
      </c>
      <c r="D836" s="299" t="s">
        <v>371</v>
      </c>
      <c r="E836" s="331">
        <v>31.36</v>
      </c>
      <c r="F836" s="331"/>
      <c r="G836" s="333">
        <f t="shared" si="11"/>
        <v>1765.3899999999935</v>
      </c>
      <c r="H836" s="334"/>
      <c r="I836" s="335"/>
      <c r="J836" s="336"/>
      <c r="K836" s="301"/>
      <c r="L836" s="336"/>
      <c r="M836" s="301"/>
      <c r="N836" s="336"/>
      <c r="O836" s="301"/>
      <c r="P836" s="336"/>
      <c r="Q836" s="301"/>
      <c r="R836" s="336"/>
      <c r="S836" s="301"/>
      <c r="T836" s="336"/>
    </row>
    <row r="837" spans="1:20" ht="12" customHeight="1" x14ac:dyDescent="0.3">
      <c r="A837" s="329" t="s">
        <v>294</v>
      </c>
      <c r="B837" s="330">
        <v>17</v>
      </c>
      <c r="C837" s="298">
        <v>46057</v>
      </c>
      <c r="D837" s="299" t="s">
        <v>370</v>
      </c>
      <c r="E837" s="331">
        <v>99</v>
      </c>
      <c r="F837" s="331"/>
      <c r="G837" s="333">
        <f t="shared" si="11"/>
        <v>1796.7499999999934</v>
      </c>
      <c r="H837" s="334"/>
      <c r="I837" s="335"/>
      <c r="J837" s="336"/>
      <c r="K837" s="301"/>
      <c r="L837" s="336"/>
      <c r="M837" s="301"/>
      <c r="N837" s="336"/>
      <c r="O837" s="301"/>
      <c r="P837" s="336"/>
      <c r="Q837" s="301"/>
      <c r="R837" s="336"/>
      <c r="S837" s="301"/>
      <c r="T837" s="336"/>
    </row>
    <row r="838" spans="1:20" ht="12" customHeight="1" x14ac:dyDescent="0.3">
      <c r="A838" s="329" t="s">
        <v>284</v>
      </c>
      <c r="B838" s="330">
        <v>36</v>
      </c>
      <c r="C838" s="298">
        <v>46056</v>
      </c>
      <c r="D838" s="299" t="s">
        <v>374</v>
      </c>
      <c r="E838" s="331">
        <v>50</v>
      </c>
      <c r="F838" s="331"/>
      <c r="G838" s="333">
        <f t="shared" si="11"/>
        <v>1895.7499999999934</v>
      </c>
      <c r="H838" s="334"/>
      <c r="I838" s="335"/>
      <c r="J838" s="336"/>
      <c r="K838" s="301"/>
      <c r="L838" s="336"/>
      <c r="M838" s="301"/>
      <c r="N838" s="336"/>
      <c r="O838" s="301"/>
      <c r="P838" s="336"/>
      <c r="Q838" s="301"/>
      <c r="R838" s="336"/>
      <c r="S838" s="301"/>
      <c r="T838" s="336"/>
    </row>
    <row r="839" spans="1:20" ht="12" customHeight="1" x14ac:dyDescent="0.3">
      <c r="A839" s="329" t="s">
        <v>289</v>
      </c>
      <c r="B839" s="330">
        <v>8</v>
      </c>
      <c r="C839" s="298">
        <v>46056</v>
      </c>
      <c r="D839" s="299" t="s">
        <v>319</v>
      </c>
      <c r="E839" s="331">
        <v>7.92</v>
      </c>
      <c r="F839" s="331"/>
      <c r="G839" s="333">
        <f t="shared" si="11"/>
        <v>1945.7499999999934</v>
      </c>
      <c r="H839" s="334"/>
      <c r="I839" s="335"/>
      <c r="J839" s="336"/>
      <c r="K839" s="301"/>
      <c r="L839" s="336"/>
      <c r="M839" s="301"/>
      <c r="N839" s="336"/>
      <c r="O839" s="301"/>
      <c r="P839" s="336"/>
      <c r="Q839" s="301"/>
      <c r="R839" s="336"/>
      <c r="S839" s="301"/>
      <c r="T839" s="336"/>
    </row>
    <row r="840" spans="1:20" ht="12" customHeight="1" x14ac:dyDescent="0.3">
      <c r="A840" s="329" t="s">
        <v>294</v>
      </c>
      <c r="B840" s="330">
        <v>24</v>
      </c>
      <c r="C840" s="298">
        <v>46056</v>
      </c>
      <c r="D840" s="299" t="s">
        <v>860</v>
      </c>
      <c r="E840" s="331">
        <v>83.58</v>
      </c>
      <c r="F840" s="331"/>
      <c r="G840" s="333">
        <f t="shared" si="11"/>
        <v>1953.6699999999935</v>
      </c>
      <c r="H840" s="334"/>
      <c r="I840" s="335"/>
      <c r="J840" s="336"/>
      <c r="K840" s="301"/>
      <c r="L840" s="336"/>
      <c r="M840" s="301"/>
      <c r="N840" s="336"/>
      <c r="O840" s="301"/>
      <c r="P840" s="336"/>
      <c r="Q840" s="301"/>
      <c r="R840" s="336"/>
      <c r="S840" s="301"/>
      <c r="T840" s="336"/>
    </row>
    <row r="841" spans="1:20" ht="12" customHeight="1" x14ac:dyDescent="0.3">
      <c r="A841" s="329" t="s">
        <v>289</v>
      </c>
      <c r="B841" s="330">
        <v>4</v>
      </c>
      <c r="C841" s="298">
        <v>46056</v>
      </c>
      <c r="D841" s="299" t="s">
        <v>455</v>
      </c>
      <c r="E841" s="331">
        <v>28.64</v>
      </c>
      <c r="F841" s="331"/>
      <c r="G841" s="333">
        <f t="shared" si="11"/>
        <v>2037.2499999999934</v>
      </c>
      <c r="H841" s="334"/>
      <c r="I841" s="335"/>
      <c r="J841" s="336"/>
      <c r="K841" s="301"/>
      <c r="L841" s="336"/>
      <c r="M841" s="301"/>
      <c r="N841" s="336"/>
      <c r="O841" s="301"/>
      <c r="P841" s="336"/>
      <c r="Q841" s="301"/>
      <c r="R841" s="336"/>
      <c r="S841" s="301"/>
      <c r="T841" s="336"/>
    </row>
    <row r="842" spans="1:20" ht="12" customHeight="1" x14ac:dyDescent="0.3">
      <c r="A842" s="329" t="s">
        <v>289</v>
      </c>
      <c r="B842" s="330">
        <v>2</v>
      </c>
      <c r="C842" s="298">
        <v>46056</v>
      </c>
      <c r="D842" s="299" t="s">
        <v>358</v>
      </c>
      <c r="E842" s="331">
        <v>9.4700000000000006</v>
      </c>
      <c r="F842" s="331"/>
      <c r="G842" s="333">
        <f t="shared" si="11"/>
        <v>2065.8899999999935</v>
      </c>
      <c r="H842" s="334"/>
      <c r="I842" s="335"/>
      <c r="J842" s="336"/>
      <c r="K842" s="301"/>
      <c r="L842" s="336"/>
      <c r="M842" s="301"/>
      <c r="N842" s="336"/>
      <c r="O842" s="301"/>
      <c r="P842" s="336"/>
      <c r="Q842" s="301"/>
      <c r="R842" s="336"/>
      <c r="S842" s="301"/>
      <c r="T842" s="336"/>
    </row>
    <row r="843" spans="1:20" ht="12" customHeight="1" x14ac:dyDescent="0.3">
      <c r="A843" s="329" t="s">
        <v>289</v>
      </c>
      <c r="B843" s="330">
        <v>6</v>
      </c>
      <c r="C843" s="298">
        <v>46055</v>
      </c>
      <c r="D843" s="299" t="s">
        <v>456</v>
      </c>
      <c r="E843" s="331">
        <v>20</v>
      </c>
      <c r="F843" s="331"/>
      <c r="G843" s="333">
        <f t="shared" si="11"/>
        <v>2075.3599999999933</v>
      </c>
      <c r="H843" s="334"/>
      <c r="I843" s="335"/>
      <c r="J843" s="336"/>
      <c r="K843" s="301"/>
      <c r="L843" s="336"/>
      <c r="M843" s="301"/>
      <c r="N843" s="336"/>
      <c r="O843" s="301"/>
      <c r="P843" s="336"/>
      <c r="Q843" s="301"/>
      <c r="R843" s="336"/>
      <c r="S843" s="301"/>
      <c r="T843" s="336"/>
    </row>
    <row r="844" spans="1:20" ht="12" customHeight="1" x14ac:dyDescent="0.3">
      <c r="A844" s="329" t="s">
        <v>294</v>
      </c>
      <c r="B844" s="330">
        <v>17</v>
      </c>
      <c r="C844" s="298">
        <v>46055</v>
      </c>
      <c r="D844" s="299" t="s">
        <v>188</v>
      </c>
      <c r="E844" s="331">
        <v>41.54</v>
      </c>
      <c r="F844" s="331"/>
      <c r="G844" s="333">
        <f t="shared" si="11"/>
        <v>2095.3599999999933</v>
      </c>
      <c r="H844" s="334"/>
      <c r="I844" s="335"/>
      <c r="J844" s="336"/>
      <c r="K844" s="301"/>
      <c r="L844" s="336"/>
      <c r="M844" s="301"/>
      <c r="N844" s="336"/>
      <c r="O844" s="301"/>
      <c r="P844" s="336"/>
      <c r="Q844" s="301"/>
      <c r="R844" s="336"/>
      <c r="S844" s="301"/>
      <c r="T844" s="336"/>
    </row>
    <row r="845" spans="1:20" ht="12" customHeight="1" x14ac:dyDescent="0.3">
      <c r="A845" s="329" t="s">
        <v>289</v>
      </c>
      <c r="B845" s="330">
        <v>2</v>
      </c>
      <c r="C845" s="298">
        <v>46055</v>
      </c>
      <c r="D845" s="299" t="s">
        <v>296</v>
      </c>
      <c r="E845" s="331">
        <v>9.92</v>
      </c>
      <c r="F845" s="331"/>
      <c r="G845" s="333">
        <f t="shared" si="11"/>
        <v>2136.8999999999933</v>
      </c>
      <c r="H845" s="334"/>
      <c r="I845" s="335"/>
      <c r="J845" s="336"/>
      <c r="K845" s="301"/>
      <c r="L845" s="336"/>
      <c r="M845" s="301"/>
      <c r="N845" s="336"/>
      <c r="O845" s="301"/>
      <c r="P845" s="336"/>
      <c r="Q845" s="301"/>
      <c r="R845" s="336"/>
      <c r="S845" s="301"/>
      <c r="T845" s="336"/>
    </row>
    <row r="846" spans="1:20" ht="12" customHeight="1" x14ac:dyDescent="0.3">
      <c r="A846" s="329" t="s">
        <v>289</v>
      </c>
      <c r="B846" s="330">
        <v>8</v>
      </c>
      <c r="C846" s="298">
        <v>46055</v>
      </c>
      <c r="D846" s="299" t="s">
        <v>457</v>
      </c>
      <c r="E846" s="331">
        <v>155.38</v>
      </c>
      <c r="F846" s="331"/>
      <c r="G846" s="333">
        <f t="shared" si="11"/>
        <v>2146.8199999999933</v>
      </c>
      <c r="H846" s="334"/>
      <c r="I846" s="335"/>
      <c r="J846" s="336"/>
      <c r="K846" s="301"/>
      <c r="L846" s="336"/>
      <c r="M846" s="301"/>
      <c r="N846" s="336"/>
      <c r="O846" s="301"/>
      <c r="P846" s="336"/>
      <c r="Q846" s="301"/>
      <c r="R846" s="336"/>
      <c r="S846" s="301"/>
      <c r="T846" s="336"/>
    </row>
    <row r="847" spans="1:20" ht="12" customHeight="1" x14ac:dyDescent="0.3">
      <c r="A847" s="329" t="s">
        <v>294</v>
      </c>
      <c r="B847" s="330">
        <v>21</v>
      </c>
      <c r="C847" s="298">
        <v>46055</v>
      </c>
      <c r="D847" s="299" t="s">
        <v>194</v>
      </c>
      <c r="E847" s="331">
        <v>27.35</v>
      </c>
      <c r="F847" s="331"/>
      <c r="G847" s="333">
        <f t="shared" si="11"/>
        <v>2302.1999999999935</v>
      </c>
      <c r="H847" s="334"/>
      <c r="I847" s="335"/>
      <c r="J847" s="336"/>
      <c r="K847" s="301"/>
      <c r="L847" s="336"/>
      <c r="M847" s="301"/>
      <c r="N847" s="336"/>
      <c r="O847" s="301"/>
      <c r="P847" s="336"/>
      <c r="Q847" s="301"/>
      <c r="R847" s="336"/>
      <c r="S847" s="301"/>
      <c r="T847" s="336"/>
    </row>
    <row r="848" spans="1:20" ht="12" customHeight="1" x14ac:dyDescent="0.3">
      <c r="A848" s="329" t="s">
        <v>289</v>
      </c>
      <c r="B848" s="330">
        <v>6</v>
      </c>
      <c r="C848" s="298">
        <v>46054</v>
      </c>
      <c r="D848" s="299" t="s">
        <v>300</v>
      </c>
      <c r="E848" s="331">
        <v>59.37</v>
      </c>
      <c r="F848" s="331"/>
      <c r="G848" s="333">
        <f t="shared" si="11"/>
        <v>2329.5499999999934</v>
      </c>
      <c r="H848" s="334"/>
      <c r="I848" s="335"/>
      <c r="J848" s="336"/>
      <c r="K848" s="301"/>
      <c r="L848" s="336"/>
      <c r="M848" s="301"/>
      <c r="N848" s="336"/>
      <c r="O848" s="301"/>
      <c r="P848" s="336"/>
      <c r="Q848" s="301"/>
      <c r="R848" s="336"/>
      <c r="S848" s="301"/>
      <c r="T848" s="336"/>
    </row>
    <row r="849" spans="1:20" ht="12" customHeight="1" x14ac:dyDescent="0.3">
      <c r="A849" s="329" t="s">
        <v>294</v>
      </c>
      <c r="B849" s="330">
        <v>22</v>
      </c>
      <c r="C849" s="298">
        <v>46054</v>
      </c>
      <c r="D849" s="299" t="s">
        <v>375</v>
      </c>
      <c r="E849" s="331">
        <v>6.37</v>
      </c>
      <c r="F849" s="331"/>
      <c r="G849" s="333">
        <f t="shared" si="11"/>
        <v>2388.9199999999933</v>
      </c>
      <c r="H849" s="334"/>
      <c r="I849" s="335"/>
      <c r="J849" s="336"/>
      <c r="K849" s="301"/>
      <c r="L849" s="336"/>
      <c r="M849" s="301"/>
      <c r="N849" s="336"/>
      <c r="O849" s="301"/>
      <c r="P849" s="336"/>
      <c r="Q849" s="301"/>
      <c r="R849" s="336"/>
      <c r="S849" s="301"/>
      <c r="T849" s="336"/>
    </row>
    <row r="850" spans="1:20" ht="12" customHeight="1" x14ac:dyDescent="0.3">
      <c r="A850" s="329" t="s">
        <v>289</v>
      </c>
      <c r="B850" s="330">
        <v>8</v>
      </c>
      <c r="C850" s="298">
        <v>46054</v>
      </c>
      <c r="D850" s="299" t="s">
        <v>458</v>
      </c>
      <c r="E850" s="331">
        <v>44.65</v>
      </c>
      <c r="F850" s="331"/>
      <c r="G850" s="333">
        <f t="shared" si="11"/>
        <v>2395.2899999999931</v>
      </c>
      <c r="H850" s="334"/>
      <c r="I850" s="335"/>
      <c r="J850" s="336"/>
      <c r="K850" s="301"/>
      <c r="L850" s="336"/>
      <c r="M850" s="301"/>
      <c r="N850" s="336"/>
      <c r="O850" s="301"/>
      <c r="P850" s="336"/>
      <c r="Q850" s="301"/>
      <c r="R850" s="336"/>
      <c r="S850" s="301"/>
      <c r="T850" s="336"/>
    </row>
    <row r="851" spans="1:20" ht="12" customHeight="1" x14ac:dyDescent="0.3">
      <c r="A851" s="329" t="s">
        <v>289</v>
      </c>
      <c r="B851" s="330">
        <v>7</v>
      </c>
      <c r="C851" s="298">
        <v>46054</v>
      </c>
      <c r="D851" s="299" t="s">
        <v>338</v>
      </c>
      <c r="E851" s="331">
        <v>35.17</v>
      </c>
      <c r="F851" s="331"/>
      <c r="G851" s="333">
        <f t="shared" si="11"/>
        <v>2439.9399999999932</v>
      </c>
      <c r="H851" s="334"/>
      <c r="I851" s="335"/>
      <c r="J851" s="336"/>
      <c r="K851" s="301"/>
      <c r="L851" s="336"/>
      <c r="M851" s="301"/>
      <c r="N851" s="336"/>
      <c r="O851" s="301"/>
      <c r="P851" s="336"/>
      <c r="Q851" s="301"/>
      <c r="R851" s="336"/>
      <c r="S851" s="301"/>
      <c r="T851" s="336"/>
    </row>
    <row r="852" spans="1:20" ht="12" customHeight="1" x14ac:dyDescent="0.3">
      <c r="A852" s="329" t="s">
        <v>289</v>
      </c>
      <c r="B852" s="330">
        <v>4</v>
      </c>
      <c r="C852" s="298">
        <v>46054</v>
      </c>
      <c r="D852" s="299" t="s">
        <v>310</v>
      </c>
      <c r="E852" s="331">
        <v>28.48</v>
      </c>
      <c r="F852" s="331"/>
      <c r="G852" s="333">
        <f t="shared" si="11"/>
        <v>2475.1099999999933</v>
      </c>
      <c r="H852" s="334"/>
      <c r="I852" s="335"/>
      <c r="J852" s="336"/>
      <c r="K852" s="301"/>
      <c r="L852" s="336"/>
      <c r="M852" s="301"/>
      <c r="N852" s="336"/>
      <c r="O852" s="301"/>
      <c r="P852" s="336"/>
      <c r="Q852" s="301"/>
      <c r="R852" s="336"/>
      <c r="S852" s="301"/>
      <c r="T852" s="336"/>
    </row>
    <row r="853" spans="1:20" ht="12" customHeight="1" x14ac:dyDescent="0.3">
      <c r="A853" s="329" t="s">
        <v>289</v>
      </c>
      <c r="B853" s="330">
        <v>1</v>
      </c>
      <c r="C853" s="298">
        <v>46054</v>
      </c>
      <c r="D853" s="299" t="s">
        <v>311</v>
      </c>
      <c r="E853" s="331">
        <v>125.07</v>
      </c>
      <c r="F853" s="331"/>
      <c r="G853" s="333">
        <f t="shared" si="11"/>
        <v>2503.5899999999933</v>
      </c>
      <c r="H853" s="334"/>
      <c r="I853" s="335"/>
      <c r="J853" s="336"/>
      <c r="K853" s="301"/>
      <c r="L853" s="336"/>
      <c r="M853" s="301"/>
      <c r="N853" s="336"/>
      <c r="O853" s="301"/>
      <c r="P853" s="336"/>
      <c r="Q853" s="301"/>
      <c r="R853" s="336"/>
      <c r="S853" s="301"/>
      <c r="T853" s="336"/>
    </row>
    <row r="854" spans="1:20" ht="12" customHeight="1" x14ac:dyDescent="0.3">
      <c r="A854" s="329" t="s">
        <v>289</v>
      </c>
      <c r="B854" s="330">
        <v>2</v>
      </c>
      <c r="C854" s="298">
        <v>46054</v>
      </c>
      <c r="D854" s="299" t="s">
        <v>458</v>
      </c>
      <c r="E854" s="331">
        <v>100</v>
      </c>
      <c r="F854" s="331"/>
      <c r="G854" s="333">
        <f t="shared" si="11"/>
        <v>2628.6599999999935</v>
      </c>
      <c r="H854" s="334"/>
      <c r="I854" s="335"/>
      <c r="J854" s="336"/>
      <c r="K854" s="301"/>
      <c r="L854" s="336"/>
      <c r="M854" s="301"/>
      <c r="N854" s="336"/>
      <c r="O854" s="301"/>
      <c r="P854" s="336"/>
      <c r="Q854" s="301"/>
      <c r="R854" s="336"/>
      <c r="S854" s="301"/>
      <c r="T854" s="336"/>
    </row>
    <row r="855" spans="1:20" ht="12" customHeight="1" x14ac:dyDescent="0.3">
      <c r="A855" s="329" t="s">
        <v>289</v>
      </c>
      <c r="B855" s="330">
        <v>1</v>
      </c>
      <c r="C855" s="298">
        <v>46054</v>
      </c>
      <c r="D855" s="299" t="s">
        <v>329</v>
      </c>
      <c r="E855" s="331">
        <v>194.96</v>
      </c>
      <c r="F855" s="331"/>
      <c r="G855" s="333">
        <f t="shared" si="11"/>
        <v>2728.6599999999935</v>
      </c>
      <c r="H855" s="334"/>
      <c r="I855" s="335"/>
      <c r="J855" s="336"/>
      <c r="K855" s="301"/>
      <c r="L855" s="336"/>
      <c r="M855" s="301"/>
      <c r="N855" s="336"/>
      <c r="O855" s="301"/>
      <c r="P855" s="336"/>
      <c r="Q855" s="301"/>
      <c r="R855" s="336"/>
      <c r="S855" s="301"/>
      <c r="T855" s="336"/>
    </row>
    <row r="856" spans="1:20" ht="12" customHeight="1" x14ac:dyDescent="0.3">
      <c r="A856" s="329" t="s">
        <v>289</v>
      </c>
      <c r="B856" s="330">
        <v>2</v>
      </c>
      <c r="C856" s="298">
        <v>46054</v>
      </c>
      <c r="D856" s="299" t="s">
        <v>410</v>
      </c>
      <c r="E856" s="331">
        <v>75.53</v>
      </c>
      <c r="F856" s="331"/>
      <c r="G856" s="333">
        <f t="shared" si="11"/>
        <v>2923.6199999999935</v>
      </c>
      <c r="H856" s="334"/>
      <c r="I856" s="335"/>
      <c r="J856" s="336"/>
      <c r="K856" s="301"/>
      <c r="L856" s="336"/>
      <c r="M856" s="301"/>
      <c r="N856" s="336"/>
      <c r="O856" s="301"/>
      <c r="P856" s="336"/>
      <c r="Q856" s="301"/>
      <c r="R856" s="336"/>
      <c r="S856" s="301"/>
      <c r="T856" s="336"/>
    </row>
    <row r="857" spans="1:20" ht="12" customHeight="1" x14ac:dyDescent="0.3">
      <c r="A857" s="329" t="s">
        <v>284</v>
      </c>
      <c r="B857" s="330">
        <v>37</v>
      </c>
      <c r="C857" s="298">
        <v>46053</v>
      </c>
      <c r="D857" s="299" t="s">
        <v>459</v>
      </c>
      <c r="E857" s="331">
        <v>3194.64</v>
      </c>
      <c r="F857" s="331"/>
      <c r="G857" s="333">
        <f t="shared" si="11"/>
        <v>2999.1499999999937</v>
      </c>
      <c r="H857" s="334"/>
      <c r="I857" s="335"/>
      <c r="J857" s="336"/>
      <c r="K857" s="301"/>
      <c r="L857" s="336"/>
      <c r="M857" s="301"/>
      <c r="N857" s="336"/>
      <c r="O857" s="301"/>
      <c r="P857" s="336"/>
      <c r="Q857" s="301"/>
      <c r="R857" s="336"/>
      <c r="S857" s="301"/>
      <c r="T857" s="336"/>
    </row>
    <row r="858" spans="1:20" ht="12" customHeight="1" x14ac:dyDescent="0.3">
      <c r="A858" s="329" t="s">
        <v>286</v>
      </c>
      <c r="B858" s="330">
        <v>25</v>
      </c>
      <c r="C858" s="298">
        <v>46053</v>
      </c>
      <c r="D858" s="298" t="s">
        <v>204</v>
      </c>
      <c r="E858" s="331">
        <v>350</v>
      </c>
      <c r="F858" s="331"/>
      <c r="G858" s="333">
        <f t="shared" si="11"/>
        <v>6193.7899999999936</v>
      </c>
      <c r="H858" s="334"/>
      <c r="I858" s="335"/>
      <c r="J858" s="336"/>
      <c r="K858" s="301"/>
      <c r="L858" s="336"/>
      <c r="M858" s="301"/>
      <c r="N858" s="336"/>
      <c r="O858" s="301"/>
      <c r="P858" s="336"/>
      <c r="Q858" s="301"/>
      <c r="R858" s="336"/>
      <c r="S858" s="301"/>
      <c r="T858" s="336"/>
    </row>
    <row r="859" spans="1:20" ht="12" customHeight="1" x14ac:dyDescent="0.3">
      <c r="A859" s="329" t="s">
        <v>286</v>
      </c>
      <c r="B859" s="330">
        <v>26</v>
      </c>
      <c r="C859" s="298">
        <v>46053</v>
      </c>
      <c r="D859" s="298" t="s">
        <v>205</v>
      </c>
      <c r="E859" s="331">
        <v>320</v>
      </c>
      <c r="F859" s="331"/>
      <c r="G859" s="333">
        <f t="shared" si="11"/>
        <v>6543.7899999999936</v>
      </c>
      <c r="H859" s="334"/>
      <c r="I859" s="335"/>
      <c r="J859" s="336"/>
      <c r="K859" s="301"/>
      <c r="L859" s="336"/>
      <c r="M859" s="301"/>
      <c r="N859" s="336"/>
      <c r="O859" s="301"/>
      <c r="P859" s="336"/>
      <c r="Q859" s="301"/>
      <c r="R859" s="336"/>
      <c r="S859" s="301"/>
      <c r="T859" s="336"/>
    </row>
    <row r="860" spans="1:20" ht="12" customHeight="1" x14ac:dyDescent="0.3">
      <c r="A860" s="329" t="s">
        <v>286</v>
      </c>
      <c r="B860" s="330">
        <v>27</v>
      </c>
      <c r="C860" s="298">
        <v>46053</v>
      </c>
      <c r="D860" s="298" t="s">
        <v>206</v>
      </c>
      <c r="E860" s="331">
        <v>25</v>
      </c>
      <c r="F860" s="331"/>
      <c r="G860" s="333">
        <f t="shared" si="11"/>
        <v>6863.7899999999936</v>
      </c>
      <c r="H860" s="334"/>
      <c r="I860" s="335"/>
      <c r="J860" s="336"/>
      <c r="K860" s="301"/>
      <c r="L860" s="336"/>
      <c r="M860" s="301"/>
      <c r="N860" s="336"/>
      <c r="O860" s="301"/>
      <c r="P860" s="336"/>
      <c r="Q860" s="301"/>
      <c r="R860" s="336"/>
      <c r="S860" s="301"/>
      <c r="T860" s="336"/>
    </row>
    <row r="861" spans="1:20" ht="12" customHeight="1" x14ac:dyDescent="0.3">
      <c r="A861" s="329" t="s">
        <v>286</v>
      </c>
      <c r="B861" s="330">
        <v>28</v>
      </c>
      <c r="C861" s="298">
        <v>46053</v>
      </c>
      <c r="D861" s="298" t="s">
        <v>207</v>
      </c>
      <c r="E861" s="331">
        <v>25</v>
      </c>
      <c r="F861" s="331"/>
      <c r="G861" s="333">
        <f t="shared" si="11"/>
        <v>6888.7899999999936</v>
      </c>
      <c r="H861" s="334"/>
      <c r="I861" s="335"/>
      <c r="J861" s="336"/>
      <c r="K861" s="301"/>
      <c r="L861" s="336"/>
      <c r="M861" s="301"/>
      <c r="N861" s="336"/>
      <c r="O861" s="301"/>
      <c r="P861" s="336"/>
      <c r="Q861" s="301"/>
      <c r="R861" s="336"/>
      <c r="S861" s="301"/>
      <c r="T861" s="336"/>
    </row>
    <row r="862" spans="1:20" ht="12" customHeight="1" x14ac:dyDescent="0.3">
      <c r="A862" s="329" t="s">
        <v>286</v>
      </c>
      <c r="B862" s="330">
        <v>29</v>
      </c>
      <c r="C862" s="298">
        <v>46053</v>
      </c>
      <c r="D862" s="298" t="s">
        <v>208</v>
      </c>
      <c r="E862" s="331">
        <v>45</v>
      </c>
      <c r="F862" s="331"/>
      <c r="G862" s="333">
        <f t="shared" si="11"/>
        <v>6913.7899999999936</v>
      </c>
      <c r="H862" s="334"/>
      <c r="I862" s="335"/>
      <c r="J862" s="336"/>
      <c r="K862" s="301"/>
      <c r="L862" s="336"/>
      <c r="M862" s="301"/>
      <c r="N862" s="336"/>
      <c r="O862" s="301"/>
      <c r="P862" s="336"/>
      <c r="Q862" s="301"/>
      <c r="R862" s="336"/>
      <c r="S862" s="301"/>
      <c r="T862" s="336"/>
    </row>
    <row r="863" spans="1:20" ht="12" customHeight="1" x14ac:dyDescent="0.3">
      <c r="A863" s="329" t="s">
        <v>286</v>
      </c>
      <c r="B863" s="330">
        <v>30</v>
      </c>
      <c r="C863" s="298">
        <v>46053</v>
      </c>
      <c r="D863" s="298" t="s">
        <v>209</v>
      </c>
      <c r="E863" s="331">
        <v>400</v>
      </c>
      <c r="F863" s="331"/>
      <c r="G863" s="333">
        <f t="shared" si="11"/>
        <v>6958.7899999999936</v>
      </c>
      <c r="H863" s="334"/>
      <c r="I863" s="335"/>
      <c r="J863" s="336"/>
      <c r="K863" s="301"/>
      <c r="L863" s="336"/>
      <c r="M863" s="301"/>
      <c r="N863" s="336"/>
      <c r="O863" s="301"/>
      <c r="P863" s="336"/>
      <c r="Q863" s="301"/>
      <c r="R863" s="336"/>
      <c r="S863" s="301"/>
      <c r="T863" s="336"/>
    </row>
    <row r="864" spans="1:20" ht="12" customHeight="1" x14ac:dyDescent="0.3">
      <c r="A864" s="329" t="s">
        <v>286</v>
      </c>
      <c r="B864" s="330">
        <v>31</v>
      </c>
      <c r="C864" s="298">
        <v>46053</v>
      </c>
      <c r="D864" s="298" t="s">
        <v>210</v>
      </c>
      <c r="E864" s="331">
        <v>375</v>
      </c>
      <c r="F864" s="331"/>
      <c r="G864" s="333">
        <f t="shared" si="11"/>
        <v>7358.7899999999936</v>
      </c>
      <c r="H864" s="334"/>
      <c r="I864" s="335"/>
      <c r="J864" s="336"/>
      <c r="K864" s="301"/>
      <c r="L864" s="336"/>
      <c r="M864" s="301"/>
      <c r="N864" s="336"/>
      <c r="O864" s="301"/>
      <c r="P864" s="336"/>
      <c r="Q864" s="301"/>
      <c r="R864" s="336"/>
      <c r="S864" s="301"/>
      <c r="T864" s="336"/>
    </row>
    <row r="865" spans="1:20" ht="12" customHeight="1" x14ac:dyDescent="0.3">
      <c r="A865" s="329" t="s">
        <v>286</v>
      </c>
      <c r="B865" s="330">
        <v>32</v>
      </c>
      <c r="C865" s="298">
        <v>46053</v>
      </c>
      <c r="D865" s="298" t="s">
        <v>211</v>
      </c>
      <c r="E865" s="331">
        <v>100</v>
      </c>
      <c r="F865" s="331"/>
      <c r="G865" s="333">
        <f t="shared" si="11"/>
        <v>7733.7899999999936</v>
      </c>
      <c r="H865" s="334"/>
      <c r="I865" s="335"/>
      <c r="J865" s="336"/>
      <c r="K865" s="301"/>
      <c r="L865" s="336"/>
      <c r="M865" s="301"/>
      <c r="N865" s="336"/>
      <c r="O865" s="301"/>
      <c r="P865" s="336"/>
      <c r="Q865" s="301"/>
      <c r="R865" s="336"/>
      <c r="S865" s="301"/>
      <c r="T865" s="336"/>
    </row>
    <row r="866" spans="1:20" ht="12" customHeight="1" x14ac:dyDescent="0.3">
      <c r="A866" s="329" t="s">
        <v>286</v>
      </c>
      <c r="B866" s="330">
        <v>33</v>
      </c>
      <c r="C866" s="298">
        <v>46053</v>
      </c>
      <c r="D866" s="298" t="s">
        <v>212</v>
      </c>
      <c r="E866" s="331">
        <v>85</v>
      </c>
      <c r="F866" s="331"/>
      <c r="G866" s="333">
        <f t="shared" si="11"/>
        <v>7833.7899999999936</v>
      </c>
      <c r="H866" s="334"/>
      <c r="I866" s="335"/>
      <c r="J866" s="336"/>
      <c r="K866" s="301"/>
      <c r="L866" s="336"/>
      <c r="M866" s="301"/>
      <c r="N866" s="336"/>
      <c r="O866" s="301"/>
      <c r="P866" s="336"/>
      <c r="Q866" s="301"/>
      <c r="R866" s="336"/>
      <c r="S866" s="301"/>
      <c r="T866" s="336"/>
    </row>
    <row r="867" spans="1:20" ht="12" customHeight="1" x14ac:dyDescent="0.3">
      <c r="A867" s="329" t="s">
        <v>286</v>
      </c>
      <c r="B867" s="330">
        <v>34</v>
      </c>
      <c r="C867" s="298">
        <v>46053</v>
      </c>
      <c r="D867" s="298" t="s">
        <v>213</v>
      </c>
      <c r="E867" s="331">
        <v>230</v>
      </c>
      <c r="F867" s="331"/>
      <c r="G867" s="333">
        <f t="shared" si="11"/>
        <v>7918.7899999999936</v>
      </c>
      <c r="H867" s="334"/>
      <c r="I867" s="335"/>
      <c r="J867" s="336"/>
      <c r="K867" s="301"/>
      <c r="L867" s="336"/>
      <c r="M867" s="301"/>
      <c r="N867" s="336"/>
      <c r="O867" s="301"/>
      <c r="P867" s="336"/>
      <c r="Q867" s="301"/>
      <c r="R867" s="336"/>
      <c r="S867" s="301"/>
      <c r="T867" s="336"/>
    </row>
    <row r="868" spans="1:20" ht="12" customHeight="1" x14ac:dyDescent="0.3">
      <c r="A868" s="329" t="s">
        <v>286</v>
      </c>
      <c r="B868" s="330">
        <v>35</v>
      </c>
      <c r="C868" s="298">
        <v>46053</v>
      </c>
      <c r="D868" s="298" t="s">
        <v>214</v>
      </c>
      <c r="E868" s="331">
        <v>45</v>
      </c>
      <c r="F868" s="331"/>
      <c r="G868" s="333">
        <f t="shared" si="11"/>
        <v>8148.7899999999936</v>
      </c>
      <c r="H868" s="334"/>
      <c r="I868" s="335"/>
      <c r="J868" s="336"/>
      <c r="K868" s="301"/>
      <c r="L868" s="336"/>
      <c r="M868" s="301"/>
      <c r="N868" s="336"/>
      <c r="O868" s="301"/>
      <c r="P868" s="336"/>
      <c r="Q868" s="301"/>
      <c r="R868" s="336"/>
      <c r="S868" s="301"/>
      <c r="T868" s="336"/>
    </row>
    <row r="869" spans="1:20" ht="12" customHeight="1" x14ac:dyDescent="0.3">
      <c r="A869" s="329" t="s">
        <v>289</v>
      </c>
      <c r="B869" s="330">
        <v>8</v>
      </c>
      <c r="C869" s="298">
        <v>46053</v>
      </c>
      <c r="D869" s="298" t="s">
        <v>319</v>
      </c>
      <c r="E869" s="331">
        <v>31.03</v>
      </c>
      <c r="F869" s="331"/>
      <c r="G869" s="333">
        <f t="shared" si="11"/>
        <v>8193.7899999999936</v>
      </c>
      <c r="H869" s="334"/>
      <c r="I869" s="335"/>
      <c r="J869" s="336"/>
      <c r="K869" s="301"/>
      <c r="L869" s="336"/>
      <c r="M869" s="301"/>
      <c r="N869" s="336"/>
      <c r="O869" s="301"/>
      <c r="P869" s="336"/>
      <c r="Q869" s="301"/>
      <c r="R869" s="336"/>
      <c r="S869" s="301"/>
      <c r="T869" s="336"/>
    </row>
    <row r="870" spans="1:20" ht="12" customHeight="1" x14ac:dyDescent="0.3">
      <c r="A870" s="329" t="s">
        <v>294</v>
      </c>
      <c r="B870" s="330">
        <v>10</v>
      </c>
      <c r="C870" s="298">
        <v>46053</v>
      </c>
      <c r="D870" s="298" t="s">
        <v>176</v>
      </c>
      <c r="E870" s="331">
        <v>17.899999999999999</v>
      </c>
      <c r="F870" s="331"/>
      <c r="G870" s="333">
        <f t="shared" si="11"/>
        <v>8224.8199999999943</v>
      </c>
      <c r="H870" s="334"/>
      <c r="I870" s="335"/>
      <c r="J870" s="336"/>
      <c r="K870" s="301"/>
      <c r="L870" s="336"/>
      <c r="M870" s="301"/>
      <c r="N870" s="336"/>
      <c r="O870" s="301"/>
      <c r="P870" s="336"/>
      <c r="Q870" s="301"/>
      <c r="R870" s="336"/>
      <c r="S870" s="301"/>
      <c r="T870" s="336"/>
    </row>
    <row r="871" spans="1:20" ht="12" customHeight="1" x14ac:dyDescent="0.3">
      <c r="A871" s="329" t="s">
        <v>289</v>
      </c>
      <c r="B871" s="330">
        <v>3</v>
      </c>
      <c r="C871" s="298">
        <v>46053</v>
      </c>
      <c r="D871" s="298" t="s">
        <v>348</v>
      </c>
      <c r="E871" s="331">
        <v>18.84</v>
      </c>
      <c r="F871" s="331"/>
      <c r="G871" s="333">
        <f t="shared" si="11"/>
        <v>8242.7199999999939</v>
      </c>
      <c r="H871" s="334"/>
      <c r="I871" s="335"/>
      <c r="J871" s="336"/>
      <c r="K871" s="301"/>
      <c r="L871" s="336"/>
      <c r="M871" s="301"/>
      <c r="N871" s="336"/>
      <c r="O871" s="301"/>
      <c r="P871" s="336"/>
      <c r="Q871" s="301"/>
      <c r="R871" s="336"/>
      <c r="S871" s="301"/>
      <c r="T871" s="336"/>
    </row>
    <row r="872" spans="1:20" ht="12" customHeight="1" x14ac:dyDescent="0.3">
      <c r="A872" s="329" t="s">
        <v>289</v>
      </c>
      <c r="B872" s="330">
        <v>8</v>
      </c>
      <c r="C872" s="298">
        <v>46053</v>
      </c>
      <c r="D872" s="298" t="s">
        <v>319</v>
      </c>
      <c r="E872" s="331">
        <v>25.54</v>
      </c>
      <c r="F872" s="331"/>
      <c r="G872" s="333">
        <f t="shared" si="11"/>
        <v>8261.559999999994</v>
      </c>
      <c r="H872" s="334"/>
      <c r="I872" s="335"/>
      <c r="J872" s="336"/>
      <c r="K872" s="301"/>
      <c r="L872" s="336"/>
      <c r="M872" s="301"/>
      <c r="N872" s="336"/>
      <c r="O872" s="301"/>
      <c r="P872" s="336"/>
      <c r="Q872" s="301"/>
      <c r="R872" s="336"/>
      <c r="S872" s="301"/>
      <c r="T872" s="336"/>
    </row>
    <row r="873" spans="1:20" ht="12" customHeight="1" x14ac:dyDescent="0.3">
      <c r="A873" s="329" t="s">
        <v>289</v>
      </c>
      <c r="B873" s="330">
        <v>8</v>
      </c>
      <c r="C873" s="298">
        <v>46053</v>
      </c>
      <c r="D873" s="298" t="s">
        <v>308</v>
      </c>
      <c r="E873" s="331">
        <v>52.59</v>
      </c>
      <c r="F873" s="331"/>
      <c r="G873" s="333">
        <f t="shared" si="11"/>
        <v>8287.0999999999949</v>
      </c>
      <c r="H873" s="334"/>
      <c r="I873" s="335"/>
      <c r="J873" s="336"/>
      <c r="K873" s="301"/>
      <c r="L873" s="336"/>
      <c r="M873" s="301"/>
      <c r="N873" s="336"/>
      <c r="O873" s="301"/>
      <c r="P873" s="336"/>
      <c r="Q873" s="301"/>
      <c r="R873" s="336"/>
      <c r="S873" s="301"/>
      <c r="T873" s="336"/>
    </row>
    <row r="874" spans="1:20" ht="12" customHeight="1" x14ac:dyDescent="0.3">
      <c r="A874" s="329" t="s">
        <v>335</v>
      </c>
      <c r="B874" s="330" t="s">
        <v>335</v>
      </c>
      <c r="C874" s="298">
        <v>46052</v>
      </c>
      <c r="D874" s="299" t="s">
        <v>460</v>
      </c>
      <c r="E874" s="331"/>
      <c r="F874" s="331">
        <v>422</v>
      </c>
      <c r="G874" s="333">
        <f t="shared" si="11"/>
        <v>8339.6899999999951</v>
      </c>
      <c r="H874" s="334"/>
      <c r="I874" s="335"/>
      <c r="J874" s="336"/>
      <c r="K874" s="301"/>
      <c r="L874" s="336"/>
      <c r="M874" s="301"/>
      <c r="N874" s="336"/>
      <c r="O874" s="301"/>
      <c r="P874" s="336"/>
      <c r="Q874" s="301"/>
      <c r="R874" s="336"/>
      <c r="S874" s="301"/>
      <c r="T874" s="336"/>
    </row>
    <row r="875" spans="1:20" ht="12" customHeight="1" x14ac:dyDescent="0.3">
      <c r="A875" s="329" t="s">
        <v>289</v>
      </c>
      <c r="B875" s="330">
        <v>5</v>
      </c>
      <c r="C875" s="298">
        <v>46052</v>
      </c>
      <c r="D875" s="299" t="s">
        <v>864</v>
      </c>
      <c r="E875" s="331">
        <v>200</v>
      </c>
      <c r="F875" s="331"/>
      <c r="G875" s="333">
        <f t="shared" si="11"/>
        <v>7917.6899999999951</v>
      </c>
      <c r="H875" s="334"/>
      <c r="I875" s="335"/>
      <c r="J875" s="336"/>
      <c r="K875" s="301"/>
      <c r="L875" s="336"/>
      <c r="M875" s="301"/>
      <c r="N875" s="336"/>
      <c r="O875" s="301"/>
      <c r="P875" s="336"/>
      <c r="Q875" s="301"/>
      <c r="R875" s="336"/>
      <c r="S875" s="301"/>
      <c r="T875" s="336"/>
    </row>
    <row r="876" spans="1:20" ht="12" customHeight="1" x14ac:dyDescent="0.3">
      <c r="A876" s="329" t="s">
        <v>289</v>
      </c>
      <c r="B876" s="330">
        <v>2</v>
      </c>
      <c r="C876" s="298">
        <v>46052</v>
      </c>
      <c r="D876" s="299" t="s">
        <v>296</v>
      </c>
      <c r="E876" s="331">
        <v>8.52</v>
      </c>
      <c r="F876" s="331"/>
      <c r="G876" s="333">
        <f t="shared" si="11"/>
        <v>8117.6899999999951</v>
      </c>
      <c r="H876" s="334"/>
      <c r="I876" s="335"/>
      <c r="J876" s="336"/>
      <c r="K876" s="301"/>
      <c r="L876" s="336"/>
      <c r="M876" s="301"/>
      <c r="N876" s="336"/>
      <c r="O876" s="301"/>
      <c r="P876" s="336"/>
      <c r="Q876" s="301"/>
      <c r="R876" s="336"/>
      <c r="S876" s="301"/>
      <c r="T876" s="336"/>
    </row>
    <row r="877" spans="1:20" ht="12" customHeight="1" x14ac:dyDescent="0.3">
      <c r="A877" s="329" t="s">
        <v>287</v>
      </c>
      <c r="B877" s="330" t="s">
        <v>287</v>
      </c>
      <c r="C877" s="298">
        <v>46052</v>
      </c>
      <c r="D877" s="299" t="s">
        <v>461</v>
      </c>
      <c r="E877" s="331">
        <v>831.92</v>
      </c>
      <c r="F877" s="331">
        <v>831.92</v>
      </c>
      <c r="G877" s="333">
        <f t="shared" si="11"/>
        <v>8126.2099999999955</v>
      </c>
      <c r="H877" s="334"/>
      <c r="I877" s="335"/>
      <c r="J877" s="336"/>
      <c r="K877" s="301"/>
      <c r="L877" s="336"/>
      <c r="M877" s="301"/>
      <c r="N877" s="336"/>
      <c r="O877" s="301"/>
      <c r="P877" s="336"/>
      <c r="Q877" s="301"/>
      <c r="R877" s="336"/>
      <c r="S877" s="301"/>
      <c r="T877" s="336"/>
    </row>
    <row r="878" spans="1:20" ht="12" customHeight="1" x14ac:dyDescent="0.3">
      <c r="A878" s="329" t="s">
        <v>289</v>
      </c>
      <c r="B878" s="330">
        <v>5</v>
      </c>
      <c r="C878" s="298">
        <v>46052</v>
      </c>
      <c r="D878" s="299" t="s">
        <v>441</v>
      </c>
      <c r="E878" s="331">
        <v>200</v>
      </c>
      <c r="F878" s="331"/>
      <c r="G878" s="333">
        <f t="shared" si="11"/>
        <v>8126.2099999999955</v>
      </c>
      <c r="H878" s="334"/>
      <c r="I878" s="335"/>
      <c r="J878" s="336"/>
      <c r="K878" s="301"/>
      <c r="L878" s="336"/>
      <c r="M878" s="301"/>
      <c r="N878" s="336"/>
      <c r="O878" s="301"/>
      <c r="P878" s="336"/>
      <c r="Q878" s="301"/>
      <c r="R878" s="336"/>
      <c r="S878" s="301"/>
      <c r="T878" s="336"/>
    </row>
    <row r="879" spans="1:20" ht="12" customHeight="1" x14ac:dyDescent="0.3">
      <c r="A879" s="329" t="s">
        <v>289</v>
      </c>
      <c r="B879" s="330">
        <v>2</v>
      </c>
      <c r="C879" s="298">
        <v>46052</v>
      </c>
      <c r="D879" s="299" t="s">
        <v>324</v>
      </c>
      <c r="E879" s="331">
        <v>11.04</v>
      </c>
      <c r="F879" s="331"/>
      <c r="G879" s="333">
        <f t="shared" si="11"/>
        <v>8326.2099999999955</v>
      </c>
      <c r="H879" s="334"/>
      <c r="I879" s="335"/>
      <c r="J879" s="336"/>
      <c r="K879" s="301"/>
      <c r="L879" s="336"/>
      <c r="M879" s="301"/>
      <c r="N879" s="336"/>
      <c r="O879" s="301"/>
      <c r="P879" s="336"/>
      <c r="Q879" s="301"/>
      <c r="R879" s="336"/>
      <c r="S879" s="301"/>
      <c r="T879" s="336"/>
    </row>
    <row r="880" spans="1:20" ht="12" customHeight="1" x14ac:dyDescent="0.3">
      <c r="A880" s="329" t="s">
        <v>291</v>
      </c>
      <c r="B880" s="330">
        <v>38</v>
      </c>
      <c r="C880" s="298">
        <v>46051</v>
      </c>
      <c r="D880" s="299" t="s">
        <v>293</v>
      </c>
      <c r="E880" s="331"/>
      <c r="F880" s="331">
        <v>4365.6499999999996</v>
      </c>
      <c r="G880" s="333">
        <f t="shared" si="11"/>
        <v>8337.2499999999964</v>
      </c>
      <c r="H880" s="334"/>
      <c r="I880" s="335"/>
      <c r="J880" s="336"/>
      <c r="K880" s="301"/>
      <c r="L880" s="336"/>
      <c r="M880" s="301"/>
      <c r="N880" s="336"/>
      <c r="O880" s="301"/>
      <c r="P880" s="336"/>
      <c r="Q880" s="301"/>
      <c r="R880" s="336"/>
      <c r="S880" s="301"/>
      <c r="T880" s="336"/>
    </row>
    <row r="881" spans="1:20" ht="12" customHeight="1" x14ac:dyDescent="0.3">
      <c r="A881" s="329" t="s">
        <v>289</v>
      </c>
      <c r="B881" s="330">
        <v>2</v>
      </c>
      <c r="C881" s="298">
        <v>46051</v>
      </c>
      <c r="D881" s="299" t="s">
        <v>296</v>
      </c>
      <c r="E881" s="331">
        <v>18.28</v>
      </c>
      <c r="F881" s="331"/>
      <c r="G881" s="333">
        <f t="shared" si="11"/>
        <v>3971.5999999999976</v>
      </c>
      <c r="H881" s="334"/>
      <c r="I881" s="335"/>
      <c r="J881" s="336"/>
      <c r="K881" s="301"/>
      <c r="L881" s="336"/>
      <c r="M881" s="301"/>
      <c r="N881" s="336"/>
      <c r="O881" s="301"/>
      <c r="P881" s="336"/>
      <c r="Q881" s="301"/>
      <c r="R881" s="336"/>
      <c r="S881" s="301"/>
      <c r="T881" s="336"/>
    </row>
    <row r="882" spans="1:20" ht="12" customHeight="1" x14ac:dyDescent="0.3">
      <c r="A882" s="329" t="s">
        <v>289</v>
      </c>
      <c r="B882" s="330">
        <v>4</v>
      </c>
      <c r="C882" s="298">
        <v>46051</v>
      </c>
      <c r="D882" s="299" t="s">
        <v>295</v>
      </c>
      <c r="E882" s="331">
        <v>57.06</v>
      </c>
      <c r="F882" s="331"/>
      <c r="G882" s="333">
        <f t="shared" si="11"/>
        <v>3989.8799999999978</v>
      </c>
      <c r="H882" s="334"/>
      <c r="I882" s="335"/>
      <c r="J882" s="336"/>
      <c r="K882" s="301"/>
      <c r="L882" s="336"/>
      <c r="M882" s="301"/>
      <c r="N882" s="336"/>
      <c r="O882" s="301"/>
      <c r="P882" s="336"/>
      <c r="Q882" s="301"/>
      <c r="R882" s="336"/>
      <c r="S882" s="301"/>
      <c r="T882" s="336"/>
    </row>
    <row r="883" spans="1:20" ht="12" customHeight="1" x14ac:dyDescent="0.3">
      <c r="A883" s="329" t="s">
        <v>287</v>
      </c>
      <c r="B883" s="330" t="s">
        <v>287</v>
      </c>
      <c r="C883" s="298">
        <v>46051</v>
      </c>
      <c r="D883" s="299" t="s">
        <v>462</v>
      </c>
      <c r="E883" s="331">
        <v>89.42</v>
      </c>
      <c r="F883" s="331">
        <v>89.42</v>
      </c>
      <c r="G883" s="333">
        <f t="shared" si="11"/>
        <v>4046.9399999999978</v>
      </c>
      <c r="H883" s="334"/>
      <c r="I883" s="335"/>
      <c r="J883" s="336"/>
      <c r="K883" s="301"/>
      <c r="L883" s="336"/>
      <c r="M883" s="301"/>
      <c r="N883" s="336"/>
      <c r="O883" s="301"/>
      <c r="P883" s="336"/>
      <c r="Q883" s="301"/>
      <c r="R883" s="336"/>
      <c r="S883" s="301"/>
      <c r="T883" s="336"/>
    </row>
    <row r="884" spans="1:20" ht="12" customHeight="1" x14ac:dyDescent="0.3">
      <c r="A884" s="329" t="s">
        <v>289</v>
      </c>
      <c r="B884" s="330">
        <v>8</v>
      </c>
      <c r="C884" s="298">
        <v>46051</v>
      </c>
      <c r="D884" s="299" t="s">
        <v>463</v>
      </c>
      <c r="E884" s="331">
        <v>59</v>
      </c>
      <c r="F884" s="331"/>
      <c r="G884" s="333">
        <f t="shared" si="11"/>
        <v>4046.9399999999978</v>
      </c>
      <c r="H884" s="334"/>
      <c r="I884" s="335"/>
      <c r="J884" s="336"/>
      <c r="K884" s="301"/>
      <c r="L884" s="336"/>
      <c r="M884" s="301"/>
      <c r="N884" s="336"/>
      <c r="O884" s="301"/>
      <c r="P884" s="336"/>
      <c r="Q884" s="301"/>
      <c r="R884" s="336"/>
      <c r="S884" s="301"/>
      <c r="T884" s="336"/>
    </row>
    <row r="885" spans="1:20" ht="12" customHeight="1" x14ac:dyDescent="0.3">
      <c r="A885" s="329" t="s">
        <v>289</v>
      </c>
      <c r="B885" s="330">
        <v>2</v>
      </c>
      <c r="C885" s="298">
        <v>46051</v>
      </c>
      <c r="D885" s="299" t="s">
        <v>371</v>
      </c>
      <c r="E885" s="331">
        <v>19.899999999999999</v>
      </c>
      <c r="F885" s="331"/>
      <c r="G885" s="333">
        <f t="shared" si="11"/>
        <v>4105.9399999999978</v>
      </c>
      <c r="H885" s="334"/>
      <c r="I885" s="335"/>
      <c r="J885" s="336"/>
      <c r="K885" s="301"/>
      <c r="L885" s="336"/>
      <c r="M885" s="301"/>
      <c r="N885" s="336"/>
      <c r="O885" s="301"/>
      <c r="P885" s="336"/>
      <c r="Q885" s="301"/>
      <c r="R885" s="336"/>
      <c r="S885" s="301"/>
      <c r="T885" s="336"/>
    </row>
    <row r="886" spans="1:20" ht="12" customHeight="1" x14ac:dyDescent="0.3">
      <c r="A886" s="329" t="s">
        <v>289</v>
      </c>
      <c r="B886" s="330">
        <v>2</v>
      </c>
      <c r="C886" s="298">
        <v>46050</v>
      </c>
      <c r="D886" s="299" t="s">
        <v>353</v>
      </c>
      <c r="E886" s="331">
        <v>14.99</v>
      </c>
      <c r="F886" s="331"/>
      <c r="G886" s="333">
        <f t="shared" si="11"/>
        <v>4125.8399999999974</v>
      </c>
      <c r="H886" s="334"/>
      <c r="I886" s="335"/>
      <c r="J886" s="336"/>
      <c r="K886" s="301"/>
      <c r="L886" s="336"/>
      <c r="M886" s="301"/>
      <c r="N886" s="336"/>
      <c r="O886" s="301"/>
      <c r="P886" s="336"/>
      <c r="Q886" s="301"/>
      <c r="R886" s="336"/>
      <c r="S886" s="301"/>
      <c r="T886" s="336"/>
    </row>
    <row r="887" spans="1:20" ht="12" customHeight="1" x14ac:dyDescent="0.3">
      <c r="A887" s="329" t="s">
        <v>289</v>
      </c>
      <c r="B887" s="330">
        <v>6</v>
      </c>
      <c r="C887" s="298">
        <v>46050</v>
      </c>
      <c r="D887" s="299" t="s">
        <v>464</v>
      </c>
      <c r="E887" s="331">
        <v>25</v>
      </c>
      <c r="F887" s="331"/>
      <c r="G887" s="333">
        <f t="shared" si="11"/>
        <v>4140.8299999999972</v>
      </c>
      <c r="H887" s="334"/>
      <c r="I887" s="335"/>
      <c r="J887" s="336"/>
      <c r="K887" s="301"/>
      <c r="L887" s="336"/>
      <c r="M887" s="301"/>
      <c r="N887" s="336"/>
      <c r="O887" s="301"/>
      <c r="P887" s="336"/>
      <c r="Q887" s="301"/>
      <c r="R887" s="336"/>
      <c r="S887" s="301"/>
      <c r="T887" s="336"/>
    </row>
    <row r="888" spans="1:20" ht="12" customHeight="1" x14ac:dyDescent="0.3">
      <c r="A888" s="329" t="s">
        <v>289</v>
      </c>
      <c r="B888" s="330">
        <v>3</v>
      </c>
      <c r="C888" s="298">
        <v>46050</v>
      </c>
      <c r="D888" s="299" t="s">
        <v>865</v>
      </c>
      <c r="E888" s="331">
        <v>6</v>
      </c>
      <c r="F888" s="331"/>
      <c r="G888" s="333">
        <f t="shared" si="11"/>
        <v>4165.8299999999972</v>
      </c>
      <c r="H888" s="334"/>
      <c r="I888" s="335"/>
      <c r="J888" s="336"/>
      <c r="K888" s="301"/>
      <c r="L888" s="336"/>
      <c r="M888" s="301"/>
      <c r="N888" s="336"/>
      <c r="O888" s="301"/>
      <c r="P888" s="336"/>
      <c r="Q888" s="301"/>
      <c r="R888" s="336"/>
      <c r="S888" s="301"/>
      <c r="T888" s="336"/>
    </row>
    <row r="889" spans="1:20" ht="12" customHeight="1" x14ac:dyDescent="0.3">
      <c r="A889" s="329" t="s">
        <v>289</v>
      </c>
      <c r="B889" s="330">
        <v>2</v>
      </c>
      <c r="C889" s="298">
        <v>46050</v>
      </c>
      <c r="D889" s="299" t="s">
        <v>866</v>
      </c>
      <c r="E889" s="331">
        <v>15</v>
      </c>
      <c r="F889" s="331"/>
      <c r="G889" s="333">
        <f t="shared" si="11"/>
        <v>4171.8299999999972</v>
      </c>
      <c r="H889" s="334"/>
      <c r="I889" s="335"/>
      <c r="J889" s="336"/>
      <c r="K889" s="301"/>
      <c r="L889" s="336"/>
      <c r="M889" s="301"/>
      <c r="N889" s="336"/>
      <c r="O889" s="301"/>
      <c r="P889" s="336"/>
      <c r="Q889" s="301"/>
      <c r="R889" s="336"/>
      <c r="S889" s="301"/>
      <c r="T889" s="336"/>
    </row>
    <row r="890" spans="1:20" ht="12" customHeight="1" x14ac:dyDescent="0.3">
      <c r="A890" s="329" t="s">
        <v>289</v>
      </c>
      <c r="B890" s="330">
        <v>2</v>
      </c>
      <c r="C890" s="298">
        <v>46050</v>
      </c>
      <c r="D890" s="299" t="s">
        <v>296</v>
      </c>
      <c r="E890" s="331">
        <v>12.71</v>
      </c>
      <c r="F890" s="331"/>
      <c r="G890" s="333">
        <f t="shared" si="11"/>
        <v>4186.8299999999972</v>
      </c>
      <c r="H890" s="334"/>
      <c r="I890" s="335"/>
      <c r="J890" s="336"/>
      <c r="K890" s="301"/>
      <c r="L890" s="336"/>
      <c r="M890" s="301"/>
      <c r="N890" s="336"/>
      <c r="O890" s="301"/>
      <c r="P890" s="336"/>
      <c r="Q890" s="301"/>
      <c r="R890" s="336"/>
      <c r="S890" s="301"/>
      <c r="T890" s="336"/>
    </row>
    <row r="891" spans="1:20" ht="12" customHeight="1" x14ac:dyDescent="0.3">
      <c r="A891" s="329" t="s">
        <v>287</v>
      </c>
      <c r="B891" s="330" t="s">
        <v>287</v>
      </c>
      <c r="C891" s="298">
        <v>46050</v>
      </c>
      <c r="D891" s="299" t="s">
        <v>452</v>
      </c>
      <c r="E891" s="331">
        <v>1475.9</v>
      </c>
      <c r="F891" s="331">
        <v>1475.9</v>
      </c>
      <c r="G891" s="333">
        <f t="shared" si="11"/>
        <v>4199.5399999999972</v>
      </c>
      <c r="H891" s="334"/>
      <c r="I891" s="335"/>
      <c r="J891" s="336"/>
      <c r="K891" s="301"/>
      <c r="L891" s="336"/>
      <c r="M891" s="301"/>
      <c r="N891" s="336"/>
      <c r="O891" s="301"/>
      <c r="P891" s="336"/>
      <c r="Q891" s="301"/>
      <c r="R891" s="336"/>
      <c r="S891" s="301"/>
      <c r="T891" s="336"/>
    </row>
    <row r="892" spans="1:20" ht="12" customHeight="1" x14ac:dyDescent="0.3">
      <c r="A892" s="329" t="s">
        <v>289</v>
      </c>
      <c r="B892" s="330">
        <v>8</v>
      </c>
      <c r="C892" s="298">
        <v>46050</v>
      </c>
      <c r="D892" s="299" t="s">
        <v>319</v>
      </c>
      <c r="E892" s="331">
        <v>28.52</v>
      </c>
      <c r="F892" s="331"/>
      <c r="G892" s="333">
        <f t="shared" si="11"/>
        <v>4199.5399999999972</v>
      </c>
      <c r="H892" s="334"/>
      <c r="I892" s="335"/>
      <c r="J892" s="336"/>
      <c r="K892" s="301"/>
      <c r="L892" s="336"/>
      <c r="M892" s="301"/>
      <c r="N892" s="336"/>
      <c r="O892" s="301"/>
      <c r="P892" s="336"/>
      <c r="Q892" s="301"/>
      <c r="R892" s="336"/>
      <c r="S892" s="301"/>
      <c r="T892" s="336"/>
    </row>
    <row r="893" spans="1:20" ht="12" customHeight="1" x14ac:dyDescent="0.3">
      <c r="A893" s="329" t="s">
        <v>289</v>
      </c>
      <c r="B893" s="330">
        <v>2</v>
      </c>
      <c r="C893" s="298">
        <v>46050</v>
      </c>
      <c r="D893" s="299" t="s">
        <v>465</v>
      </c>
      <c r="E893" s="331">
        <v>66.94</v>
      </c>
      <c r="F893" s="331"/>
      <c r="G893" s="333">
        <f t="shared" si="11"/>
        <v>4228.0599999999977</v>
      </c>
      <c r="H893" s="334"/>
      <c r="I893" s="335"/>
      <c r="J893" s="336"/>
      <c r="K893" s="301"/>
      <c r="L893" s="336"/>
      <c r="M893" s="301"/>
      <c r="N893" s="336"/>
      <c r="O893" s="301"/>
      <c r="P893" s="336"/>
      <c r="Q893" s="301"/>
      <c r="R893" s="336"/>
      <c r="S893" s="301"/>
      <c r="T893" s="336"/>
    </row>
    <row r="894" spans="1:20" ht="12" customHeight="1" x14ac:dyDescent="0.3">
      <c r="A894" s="329" t="s">
        <v>289</v>
      </c>
      <c r="B894" s="330">
        <v>8</v>
      </c>
      <c r="C894" s="298">
        <v>46049</v>
      </c>
      <c r="D894" s="299" t="s">
        <v>308</v>
      </c>
      <c r="E894" s="331">
        <v>47.99</v>
      </c>
      <c r="F894" s="331"/>
      <c r="G894" s="333">
        <f t="shared" si="11"/>
        <v>4294.9999999999973</v>
      </c>
      <c r="H894" s="334"/>
      <c r="I894" s="335"/>
      <c r="J894" s="336"/>
      <c r="K894" s="301"/>
      <c r="L894" s="336"/>
      <c r="M894" s="301"/>
      <c r="N894" s="336"/>
      <c r="O894" s="301"/>
      <c r="P894" s="336"/>
      <c r="Q894" s="301"/>
      <c r="R894" s="336"/>
      <c r="S894" s="301"/>
      <c r="T894" s="336"/>
    </row>
    <row r="895" spans="1:20" ht="12" customHeight="1" x14ac:dyDescent="0.3">
      <c r="A895" s="329" t="s">
        <v>287</v>
      </c>
      <c r="B895" s="330" t="s">
        <v>287</v>
      </c>
      <c r="C895" s="298">
        <v>46048</v>
      </c>
      <c r="D895" s="299" t="s">
        <v>466</v>
      </c>
      <c r="E895" s="331"/>
      <c r="F895" s="331">
        <v>425</v>
      </c>
      <c r="G895" s="333">
        <f t="shared" si="11"/>
        <v>4342.9899999999971</v>
      </c>
      <c r="H895" s="334" t="s">
        <v>298</v>
      </c>
      <c r="I895" s="335"/>
      <c r="J895" s="336"/>
      <c r="K895" s="301"/>
      <c r="L895" s="336"/>
      <c r="M895" s="301"/>
      <c r="N895" s="336"/>
      <c r="O895" s="301"/>
      <c r="P895" s="336"/>
      <c r="Q895" s="301"/>
      <c r="R895" s="336"/>
      <c r="S895" s="301"/>
      <c r="T895" s="336"/>
    </row>
    <row r="896" spans="1:20" ht="12" customHeight="1" x14ac:dyDescent="0.3">
      <c r="A896" s="329" t="s">
        <v>287</v>
      </c>
      <c r="B896" s="330" t="s">
        <v>287</v>
      </c>
      <c r="C896" s="298">
        <v>46048</v>
      </c>
      <c r="D896" s="299" t="s">
        <v>466</v>
      </c>
      <c r="E896" s="331">
        <v>425</v>
      </c>
      <c r="F896" s="331"/>
      <c r="G896" s="333">
        <f t="shared" si="11"/>
        <v>3917.9899999999971</v>
      </c>
      <c r="H896" s="334"/>
      <c r="I896" s="335"/>
      <c r="J896" s="336"/>
      <c r="K896" s="301"/>
      <c r="L896" s="336"/>
      <c r="M896" s="301"/>
      <c r="N896" s="336"/>
      <c r="O896" s="301"/>
      <c r="P896" s="336"/>
      <c r="Q896" s="301"/>
      <c r="R896" s="336"/>
      <c r="S896" s="301"/>
      <c r="T896" s="336"/>
    </row>
    <row r="897" spans="1:20" ht="12" customHeight="1" x14ac:dyDescent="0.3">
      <c r="A897" s="329" t="s">
        <v>289</v>
      </c>
      <c r="B897" s="330">
        <v>2</v>
      </c>
      <c r="C897" s="298">
        <v>46048</v>
      </c>
      <c r="D897" s="299" t="s">
        <v>467</v>
      </c>
      <c r="E897" s="331">
        <v>20.12</v>
      </c>
      <c r="F897" s="331"/>
      <c r="G897" s="333">
        <f t="shared" si="11"/>
        <v>4342.9899999999971</v>
      </c>
      <c r="H897" s="334"/>
      <c r="I897" s="335"/>
      <c r="J897" s="336"/>
      <c r="K897" s="301"/>
      <c r="L897" s="336"/>
      <c r="M897" s="301"/>
      <c r="N897" s="336"/>
      <c r="O897" s="301"/>
      <c r="P897" s="336"/>
      <c r="Q897" s="301"/>
      <c r="R897" s="336"/>
      <c r="S897" s="301"/>
      <c r="T897" s="336"/>
    </row>
    <row r="898" spans="1:20" ht="12" customHeight="1" x14ac:dyDescent="0.3">
      <c r="A898" s="329" t="s">
        <v>294</v>
      </c>
      <c r="B898" s="330">
        <v>17</v>
      </c>
      <c r="C898" s="298">
        <v>46048</v>
      </c>
      <c r="D898" s="299" t="s">
        <v>468</v>
      </c>
      <c r="E898" s="331">
        <v>42.68</v>
      </c>
      <c r="F898" s="331"/>
      <c r="G898" s="333">
        <f t="shared" si="11"/>
        <v>4363.1099999999969</v>
      </c>
      <c r="H898" s="334"/>
      <c r="I898" s="335"/>
      <c r="J898" s="336"/>
      <c r="K898" s="301"/>
      <c r="L898" s="336"/>
      <c r="M898" s="301"/>
      <c r="N898" s="336"/>
      <c r="O898" s="301"/>
      <c r="P898" s="336"/>
      <c r="Q898" s="301"/>
      <c r="R898" s="336"/>
      <c r="S898" s="301"/>
      <c r="T898" s="336"/>
    </row>
    <row r="899" spans="1:20" ht="12" customHeight="1" x14ac:dyDescent="0.3">
      <c r="A899" s="329" t="s">
        <v>289</v>
      </c>
      <c r="B899" s="330">
        <v>6</v>
      </c>
      <c r="C899" s="298">
        <v>46048</v>
      </c>
      <c r="D899" s="299" t="s">
        <v>397</v>
      </c>
      <c r="E899" s="331">
        <v>47.9</v>
      </c>
      <c r="F899" s="331"/>
      <c r="G899" s="333">
        <f t="shared" si="11"/>
        <v>4405.7899999999972</v>
      </c>
      <c r="H899" s="334"/>
      <c r="I899" s="335"/>
      <c r="J899" s="336"/>
      <c r="K899" s="301"/>
      <c r="L899" s="336"/>
      <c r="M899" s="301"/>
      <c r="N899" s="336"/>
      <c r="O899" s="301"/>
      <c r="P899" s="336"/>
      <c r="Q899" s="301"/>
      <c r="R899" s="336"/>
      <c r="S899" s="301"/>
      <c r="T899" s="336"/>
    </row>
    <row r="900" spans="1:20" ht="12" customHeight="1" x14ac:dyDescent="0.3">
      <c r="A900" s="329" t="s">
        <v>289</v>
      </c>
      <c r="B900" s="330">
        <v>1</v>
      </c>
      <c r="C900" s="298">
        <v>46047</v>
      </c>
      <c r="D900" s="299" t="s">
        <v>457</v>
      </c>
      <c r="E900" s="331">
        <v>105.79</v>
      </c>
      <c r="F900" s="331"/>
      <c r="G900" s="333">
        <f t="shared" si="11"/>
        <v>4453.6899999999969</v>
      </c>
      <c r="H900" s="334"/>
      <c r="I900" s="335"/>
      <c r="J900" s="336"/>
      <c r="K900" s="301"/>
      <c r="L900" s="336"/>
      <c r="M900" s="301"/>
      <c r="N900" s="336"/>
      <c r="O900" s="301"/>
      <c r="P900" s="336"/>
      <c r="Q900" s="301"/>
      <c r="R900" s="336"/>
      <c r="S900" s="301"/>
      <c r="T900" s="336"/>
    </row>
    <row r="901" spans="1:20" ht="12" customHeight="1" x14ac:dyDescent="0.3">
      <c r="A901" s="329" t="s">
        <v>294</v>
      </c>
      <c r="B901" s="330">
        <v>12</v>
      </c>
      <c r="C901" s="298">
        <v>46047</v>
      </c>
      <c r="D901" s="299" t="s">
        <v>314</v>
      </c>
      <c r="E901" s="331">
        <v>204.83</v>
      </c>
      <c r="F901" s="331"/>
      <c r="G901" s="333">
        <f t="shared" si="11"/>
        <v>4559.4799999999968</v>
      </c>
      <c r="H901" s="334"/>
      <c r="I901" s="335"/>
      <c r="J901" s="336"/>
      <c r="K901" s="301"/>
      <c r="L901" s="336"/>
      <c r="M901" s="301"/>
      <c r="N901" s="336"/>
      <c r="O901" s="301"/>
      <c r="P901" s="336"/>
      <c r="Q901" s="301"/>
      <c r="R901" s="336"/>
      <c r="S901" s="301"/>
      <c r="T901" s="336"/>
    </row>
    <row r="902" spans="1:20" ht="12" customHeight="1" x14ac:dyDescent="0.3">
      <c r="A902" s="329" t="s">
        <v>289</v>
      </c>
      <c r="B902" s="330">
        <v>3</v>
      </c>
      <c r="C902" s="298">
        <v>46047</v>
      </c>
      <c r="D902" s="299" t="s">
        <v>348</v>
      </c>
      <c r="E902" s="331">
        <v>8.51</v>
      </c>
      <c r="F902" s="331"/>
      <c r="G902" s="333">
        <f t="shared" si="11"/>
        <v>4764.3099999999968</v>
      </c>
      <c r="H902" s="334"/>
      <c r="I902" s="335"/>
      <c r="J902" s="336"/>
      <c r="K902" s="301"/>
      <c r="L902" s="336"/>
      <c r="M902" s="301"/>
      <c r="N902" s="336"/>
      <c r="O902" s="301"/>
      <c r="P902" s="336"/>
      <c r="Q902" s="301"/>
      <c r="R902" s="336"/>
      <c r="S902" s="301"/>
      <c r="T902" s="336"/>
    </row>
    <row r="903" spans="1:20" ht="12" customHeight="1" x14ac:dyDescent="0.3">
      <c r="A903" s="329" t="s">
        <v>289</v>
      </c>
      <c r="B903" s="330">
        <v>4</v>
      </c>
      <c r="C903" s="298">
        <v>46046</v>
      </c>
      <c r="D903" s="299" t="s">
        <v>296</v>
      </c>
      <c r="E903" s="331">
        <v>92.96</v>
      </c>
      <c r="F903" s="331"/>
      <c r="G903" s="333">
        <f t="shared" si="11"/>
        <v>4772.819999999997</v>
      </c>
      <c r="H903" s="334"/>
      <c r="I903" s="335"/>
      <c r="J903" s="336"/>
      <c r="K903" s="301"/>
      <c r="L903" s="336"/>
      <c r="M903" s="301"/>
      <c r="N903" s="336"/>
      <c r="O903" s="301"/>
      <c r="P903" s="336"/>
      <c r="Q903" s="301"/>
      <c r="R903" s="336"/>
      <c r="S903" s="301"/>
      <c r="T903" s="336"/>
    </row>
    <row r="904" spans="1:20" ht="12" customHeight="1" x14ac:dyDescent="0.3">
      <c r="A904" s="329" t="s">
        <v>289</v>
      </c>
      <c r="B904" s="330">
        <v>4</v>
      </c>
      <c r="C904" s="298">
        <v>46046</v>
      </c>
      <c r="D904" s="299" t="s">
        <v>334</v>
      </c>
      <c r="E904" s="331">
        <v>30.77</v>
      </c>
      <c r="F904" s="331"/>
      <c r="G904" s="333">
        <f t="shared" si="11"/>
        <v>4865.779999999997</v>
      </c>
      <c r="H904" s="334"/>
      <c r="I904" s="335"/>
      <c r="J904" s="336"/>
      <c r="K904" s="301"/>
      <c r="L904" s="336"/>
      <c r="M904" s="301"/>
      <c r="N904" s="336"/>
      <c r="O904" s="301"/>
      <c r="P904" s="336"/>
      <c r="Q904" s="301"/>
      <c r="R904" s="336"/>
      <c r="S904" s="301"/>
      <c r="T904" s="336"/>
    </row>
    <row r="905" spans="1:20" ht="12" customHeight="1" x14ac:dyDescent="0.3">
      <c r="A905" s="329" t="s">
        <v>289</v>
      </c>
      <c r="B905" s="330">
        <v>2</v>
      </c>
      <c r="C905" s="298">
        <v>46046</v>
      </c>
      <c r="D905" s="299" t="s">
        <v>358</v>
      </c>
      <c r="E905" s="331">
        <v>9.4700000000000006</v>
      </c>
      <c r="F905" s="331"/>
      <c r="G905" s="333">
        <f t="shared" si="11"/>
        <v>4896.5499999999975</v>
      </c>
      <c r="H905" s="334"/>
      <c r="I905" s="335"/>
      <c r="J905" s="336"/>
      <c r="K905" s="301"/>
      <c r="L905" s="336"/>
      <c r="M905" s="301"/>
      <c r="N905" s="336"/>
      <c r="O905" s="301"/>
      <c r="P905" s="336"/>
      <c r="Q905" s="301"/>
      <c r="R905" s="336"/>
      <c r="S905" s="301"/>
      <c r="T905" s="336"/>
    </row>
    <row r="906" spans="1:20" ht="12" customHeight="1" x14ac:dyDescent="0.3">
      <c r="A906" s="329" t="s">
        <v>289</v>
      </c>
      <c r="B906" s="330">
        <v>6</v>
      </c>
      <c r="C906" s="298">
        <v>46046</v>
      </c>
      <c r="D906" s="299" t="s">
        <v>397</v>
      </c>
      <c r="E906" s="331">
        <v>53.59</v>
      </c>
      <c r="F906" s="331"/>
      <c r="G906" s="333">
        <f t="shared" si="11"/>
        <v>4906.0199999999977</v>
      </c>
      <c r="H906" s="334"/>
      <c r="I906" s="335"/>
      <c r="J906" s="336"/>
      <c r="K906" s="301"/>
      <c r="L906" s="336"/>
      <c r="M906" s="301"/>
      <c r="N906" s="336"/>
      <c r="O906" s="301"/>
      <c r="P906" s="336"/>
      <c r="Q906" s="301"/>
      <c r="R906" s="336"/>
      <c r="S906" s="301"/>
      <c r="T906" s="336"/>
    </row>
    <row r="907" spans="1:20" ht="12" customHeight="1" x14ac:dyDescent="0.3">
      <c r="A907" s="329" t="s">
        <v>289</v>
      </c>
      <c r="B907" s="330">
        <v>1</v>
      </c>
      <c r="C907" s="298">
        <v>46046</v>
      </c>
      <c r="D907" s="299" t="s">
        <v>311</v>
      </c>
      <c r="E907" s="331">
        <v>61.64</v>
      </c>
      <c r="F907" s="331"/>
      <c r="G907" s="333">
        <f t="shared" si="11"/>
        <v>4959.6099999999979</v>
      </c>
      <c r="H907" s="334"/>
      <c r="I907" s="335"/>
      <c r="J907" s="336"/>
      <c r="K907" s="301"/>
      <c r="L907" s="336"/>
      <c r="M907" s="301"/>
      <c r="N907" s="336"/>
      <c r="O907" s="301"/>
      <c r="P907" s="336"/>
      <c r="Q907" s="301"/>
      <c r="R907" s="336"/>
      <c r="S907" s="301"/>
      <c r="T907" s="336"/>
    </row>
    <row r="908" spans="1:20" ht="12" customHeight="1" x14ac:dyDescent="0.3">
      <c r="A908" s="329" t="s">
        <v>289</v>
      </c>
      <c r="B908" s="330">
        <v>1</v>
      </c>
      <c r="C908" s="298">
        <v>46045</v>
      </c>
      <c r="D908" s="299" t="s">
        <v>304</v>
      </c>
      <c r="E908" s="331">
        <v>23.17</v>
      </c>
      <c r="F908" s="331"/>
      <c r="G908" s="333">
        <f t="shared" si="11"/>
        <v>5021.2499999999982</v>
      </c>
      <c r="H908" s="334"/>
      <c r="I908" s="335"/>
      <c r="J908" s="336"/>
      <c r="K908" s="301"/>
      <c r="L908" s="336"/>
      <c r="M908" s="301"/>
      <c r="N908" s="336"/>
      <c r="O908" s="301"/>
      <c r="P908" s="336"/>
      <c r="Q908" s="301"/>
      <c r="R908" s="336"/>
      <c r="S908" s="301"/>
      <c r="T908" s="336"/>
    </row>
    <row r="909" spans="1:20" ht="12" customHeight="1" x14ac:dyDescent="0.3">
      <c r="A909" s="329" t="s">
        <v>289</v>
      </c>
      <c r="B909" s="330">
        <v>4</v>
      </c>
      <c r="C909" s="298">
        <v>46045</v>
      </c>
      <c r="D909" s="299" t="s">
        <v>296</v>
      </c>
      <c r="E909" s="331">
        <v>62.77</v>
      </c>
      <c r="F909" s="331"/>
      <c r="G909" s="333">
        <f t="shared" si="11"/>
        <v>5044.4199999999983</v>
      </c>
      <c r="H909" s="334"/>
      <c r="I909" s="335"/>
      <c r="J909" s="336"/>
      <c r="K909" s="301"/>
      <c r="L909" s="336"/>
      <c r="M909" s="301"/>
      <c r="N909" s="336"/>
      <c r="O909" s="301"/>
      <c r="P909" s="336"/>
      <c r="Q909" s="301"/>
      <c r="R909" s="336"/>
      <c r="S909" s="301"/>
      <c r="T909" s="336"/>
    </row>
    <row r="910" spans="1:20" ht="12" customHeight="1" x14ac:dyDescent="0.3">
      <c r="A910" s="329" t="s">
        <v>289</v>
      </c>
      <c r="B910" s="330">
        <v>6</v>
      </c>
      <c r="C910" s="298">
        <v>46045</v>
      </c>
      <c r="D910" s="299" t="s">
        <v>469</v>
      </c>
      <c r="E910" s="331">
        <v>105.51</v>
      </c>
      <c r="F910" s="331"/>
      <c r="G910" s="333">
        <f t="shared" si="11"/>
        <v>5107.1899999999987</v>
      </c>
      <c r="H910" s="334"/>
      <c r="I910" s="335"/>
      <c r="J910" s="336"/>
      <c r="K910" s="301"/>
      <c r="L910" s="336"/>
      <c r="M910" s="301"/>
      <c r="N910" s="336"/>
      <c r="O910" s="301"/>
      <c r="P910" s="336"/>
      <c r="Q910" s="301"/>
      <c r="R910" s="336"/>
      <c r="S910" s="301"/>
      <c r="T910" s="336"/>
    </row>
    <row r="911" spans="1:20" ht="12" customHeight="1" x14ac:dyDescent="0.3">
      <c r="A911" s="329" t="s">
        <v>289</v>
      </c>
      <c r="B911" s="330">
        <v>3</v>
      </c>
      <c r="C911" s="298">
        <v>46045</v>
      </c>
      <c r="D911" s="299" t="s">
        <v>334</v>
      </c>
      <c r="E911" s="331">
        <v>9.9499999999999993</v>
      </c>
      <c r="F911" s="331"/>
      <c r="G911" s="333">
        <f t="shared" si="11"/>
        <v>5212.6999999999989</v>
      </c>
      <c r="H911" s="334"/>
      <c r="I911" s="335"/>
      <c r="J911" s="336"/>
      <c r="K911" s="301"/>
      <c r="L911" s="336"/>
      <c r="M911" s="301"/>
      <c r="N911" s="336"/>
      <c r="O911" s="301"/>
      <c r="P911" s="336"/>
      <c r="Q911" s="301"/>
      <c r="R911" s="336"/>
      <c r="S911" s="301"/>
      <c r="T911" s="336"/>
    </row>
    <row r="912" spans="1:20" ht="12" customHeight="1" x14ac:dyDescent="0.3">
      <c r="A912" s="329" t="s">
        <v>289</v>
      </c>
      <c r="B912" s="330">
        <v>2</v>
      </c>
      <c r="C912" s="298">
        <v>46045</v>
      </c>
      <c r="D912" s="299" t="s">
        <v>358</v>
      </c>
      <c r="E912" s="331">
        <v>10.17</v>
      </c>
      <c r="F912" s="331"/>
      <c r="G912" s="333">
        <f t="shared" si="11"/>
        <v>5222.6499999999987</v>
      </c>
      <c r="H912" s="334"/>
      <c r="I912" s="335"/>
      <c r="J912" s="336"/>
      <c r="K912" s="301"/>
      <c r="L912" s="336"/>
      <c r="M912" s="301"/>
      <c r="N912" s="336"/>
      <c r="O912" s="301"/>
      <c r="P912" s="336"/>
      <c r="Q912" s="301"/>
      <c r="R912" s="336"/>
      <c r="S912" s="301"/>
      <c r="T912" s="336"/>
    </row>
    <row r="913" spans="1:20" ht="12" customHeight="1" x14ac:dyDescent="0.3">
      <c r="A913" s="329" t="s">
        <v>289</v>
      </c>
      <c r="B913" s="330">
        <v>2</v>
      </c>
      <c r="C913" s="298">
        <v>46045</v>
      </c>
      <c r="D913" s="299" t="s">
        <v>301</v>
      </c>
      <c r="E913" s="331">
        <v>32.200000000000003</v>
      </c>
      <c r="F913" s="331"/>
      <c r="G913" s="333">
        <f t="shared" si="11"/>
        <v>5232.8199999999988</v>
      </c>
      <c r="H913" s="334"/>
      <c r="I913" s="335"/>
      <c r="J913" s="336"/>
      <c r="K913" s="301"/>
      <c r="L913" s="336"/>
      <c r="M913" s="301"/>
      <c r="N913" s="336"/>
      <c r="O913" s="301"/>
      <c r="P913" s="336"/>
      <c r="Q913" s="301"/>
      <c r="R913" s="336"/>
      <c r="S913" s="301"/>
      <c r="T913" s="336"/>
    </row>
    <row r="914" spans="1:20" ht="12" customHeight="1" x14ac:dyDescent="0.3">
      <c r="A914" s="329" t="s">
        <v>294</v>
      </c>
      <c r="B914" s="330">
        <v>22</v>
      </c>
      <c r="C914" s="298">
        <v>46045</v>
      </c>
      <c r="D914" s="299" t="s">
        <v>862</v>
      </c>
      <c r="E914" s="331">
        <v>5.31</v>
      </c>
      <c r="F914" s="331"/>
      <c r="G914" s="333">
        <f t="shared" si="11"/>
        <v>5265.0199999999986</v>
      </c>
      <c r="H914" s="334"/>
      <c r="I914" s="335"/>
      <c r="J914" s="336"/>
      <c r="K914" s="301"/>
      <c r="L914" s="336"/>
      <c r="M914" s="301"/>
      <c r="N914" s="336"/>
      <c r="O914" s="301"/>
      <c r="P914" s="336"/>
      <c r="Q914" s="301"/>
      <c r="R914" s="336"/>
      <c r="S914" s="301"/>
      <c r="T914" s="336"/>
    </row>
    <row r="915" spans="1:20" ht="12" customHeight="1" x14ac:dyDescent="0.3">
      <c r="A915" s="329" t="s">
        <v>289</v>
      </c>
      <c r="B915" s="330">
        <v>8</v>
      </c>
      <c r="C915" s="298">
        <v>46044</v>
      </c>
      <c r="D915" s="299" t="s">
        <v>435</v>
      </c>
      <c r="E915" s="331">
        <v>73.95</v>
      </c>
      <c r="F915" s="331"/>
      <c r="G915" s="333">
        <f t="shared" si="11"/>
        <v>5270.329999999999</v>
      </c>
      <c r="H915" s="334"/>
      <c r="I915" s="335"/>
      <c r="J915" s="336"/>
      <c r="K915" s="301"/>
      <c r="L915" s="336"/>
      <c r="M915" s="301"/>
      <c r="N915" s="336"/>
      <c r="O915" s="301"/>
      <c r="P915" s="336"/>
      <c r="Q915" s="301"/>
      <c r="R915" s="336"/>
      <c r="S915" s="301"/>
      <c r="T915" s="336"/>
    </row>
    <row r="916" spans="1:20" ht="12" customHeight="1" x14ac:dyDescent="0.3">
      <c r="A916" s="329" t="s">
        <v>289</v>
      </c>
      <c r="B916" s="330">
        <v>2</v>
      </c>
      <c r="C916" s="298">
        <v>46044</v>
      </c>
      <c r="D916" s="299" t="s">
        <v>470</v>
      </c>
      <c r="E916" s="331">
        <v>28.68</v>
      </c>
      <c r="F916" s="331"/>
      <c r="G916" s="333">
        <f t="shared" si="11"/>
        <v>5344.2799999999988</v>
      </c>
      <c r="H916" s="334"/>
      <c r="I916" s="335"/>
      <c r="J916" s="336"/>
      <c r="K916" s="301"/>
      <c r="L916" s="336"/>
      <c r="M916" s="301"/>
      <c r="N916" s="336"/>
      <c r="O916" s="301"/>
      <c r="P916" s="336"/>
      <c r="Q916" s="301"/>
      <c r="R916" s="336"/>
      <c r="S916" s="301"/>
      <c r="T916" s="336"/>
    </row>
    <row r="917" spans="1:20" ht="12" customHeight="1" x14ac:dyDescent="0.3">
      <c r="A917" s="329" t="s">
        <v>289</v>
      </c>
      <c r="B917" s="330">
        <v>8</v>
      </c>
      <c r="C917" s="298">
        <v>46044</v>
      </c>
      <c r="D917" s="299" t="s">
        <v>357</v>
      </c>
      <c r="E917" s="331">
        <v>57.38</v>
      </c>
      <c r="F917" s="331"/>
      <c r="G917" s="333">
        <f t="shared" si="11"/>
        <v>5372.9599999999991</v>
      </c>
      <c r="H917" s="334"/>
      <c r="I917" s="335"/>
      <c r="J917" s="336"/>
      <c r="K917" s="301"/>
      <c r="L917" s="336"/>
      <c r="M917" s="301"/>
      <c r="N917" s="336"/>
      <c r="O917" s="301"/>
      <c r="P917" s="336"/>
      <c r="Q917" s="301"/>
      <c r="R917" s="336"/>
      <c r="S917" s="301"/>
      <c r="T917" s="336"/>
    </row>
    <row r="918" spans="1:20" ht="12" customHeight="1" x14ac:dyDescent="0.3">
      <c r="A918" s="329" t="s">
        <v>289</v>
      </c>
      <c r="B918" s="330">
        <v>2</v>
      </c>
      <c r="C918" s="298">
        <v>46044</v>
      </c>
      <c r="D918" s="299" t="s">
        <v>358</v>
      </c>
      <c r="E918" s="331">
        <v>9.4700000000000006</v>
      </c>
      <c r="F918" s="331"/>
      <c r="G918" s="333">
        <f t="shared" si="11"/>
        <v>5430.3399999999992</v>
      </c>
      <c r="H918" s="334"/>
      <c r="I918" s="335"/>
      <c r="J918" s="336"/>
      <c r="K918" s="301"/>
      <c r="L918" s="336"/>
      <c r="M918" s="301"/>
      <c r="N918" s="336"/>
      <c r="O918" s="301"/>
      <c r="P918" s="336"/>
      <c r="Q918" s="301"/>
      <c r="R918" s="336"/>
      <c r="S918" s="301"/>
      <c r="T918" s="336"/>
    </row>
    <row r="919" spans="1:20" ht="12" customHeight="1" x14ac:dyDescent="0.3">
      <c r="A919" s="329" t="s">
        <v>289</v>
      </c>
      <c r="B919" s="330">
        <v>2</v>
      </c>
      <c r="C919" s="298">
        <v>46044</v>
      </c>
      <c r="D919" s="299" t="s">
        <v>358</v>
      </c>
      <c r="E919" s="331">
        <v>7.18</v>
      </c>
      <c r="F919" s="331"/>
      <c r="G919" s="333">
        <f t="shared" si="11"/>
        <v>5439.8099999999995</v>
      </c>
      <c r="H919" s="334"/>
      <c r="I919" s="335"/>
      <c r="J919" s="336"/>
      <c r="K919" s="301"/>
      <c r="L919" s="336"/>
      <c r="M919" s="301"/>
      <c r="N919" s="336"/>
      <c r="O919" s="301"/>
      <c r="P919" s="336"/>
      <c r="Q919" s="301"/>
      <c r="R919" s="336"/>
      <c r="S919" s="301"/>
      <c r="T919" s="336"/>
    </row>
    <row r="920" spans="1:20" ht="12" customHeight="1" x14ac:dyDescent="0.3">
      <c r="A920" s="329" t="s">
        <v>287</v>
      </c>
      <c r="B920" s="330" t="s">
        <v>287</v>
      </c>
      <c r="C920" s="298">
        <v>46044</v>
      </c>
      <c r="D920" s="299" t="s">
        <v>315</v>
      </c>
      <c r="E920" s="331">
        <v>126.24</v>
      </c>
      <c r="F920" s="331">
        <v>126.24</v>
      </c>
      <c r="G920" s="333">
        <f t="shared" si="11"/>
        <v>5446.99</v>
      </c>
      <c r="H920" s="334"/>
      <c r="I920" s="335"/>
      <c r="J920" s="336"/>
      <c r="K920" s="301"/>
      <c r="L920" s="336"/>
      <c r="M920" s="301"/>
      <c r="N920" s="336"/>
      <c r="O920" s="301"/>
      <c r="P920" s="336"/>
      <c r="Q920" s="301"/>
      <c r="R920" s="336"/>
      <c r="S920" s="301"/>
      <c r="T920" s="336"/>
    </row>
    <row r="921" spans="1:20" ht="12" customHeight="1" x14ac:dyDescent="0.3">
      <c r="A921" s="329" t="s">
        <v>289</v>
      </c>
      <c r="B921" s="330">
        <v>8</v>
      </c>
      <c r="C921" s="298">
        <v>46043</v>
      </c>
      <c r="D921" s="299" t="s">
        <v>471</v>
      </c>
      <c r="E921" s="331">
        <v>17</v>
      </c>
      <c r="F921" s="331"/>
      <c r="G921" s="333">
        <f t="shared" si="11"/>
        <v>5446.99</v>
      </c>
      <c r="H921" s="334"/>
      <c r="I921" s="335"/>
      <c r="J921" s="336"/>
      <c r="K921" s="301"/>
      <c r="L921" s="336"/>
      <c r="M921" s="301"/>
      <c r="N921" s="336"/>
      <c r="O921" s="301"/>
      <c r="P921" s="336"/>
      <c r="Q921" s="301"/>
      <c r="R921" s="336"/>
      <c r="S921" s="301"/>
      <c r="T921" s="336"/>
    </row>
    <row r="922" spans="1:20" ht="12" customHeight="1" x14ac:dyDescent="0.3">
      <c r="A922" s="329" t="s">
        <v>289</v>
      </c>
      <c r="B922" s="330">
        <v>1</v>
      </c>
      <c r="C922" s="298">
        <v>46043</v>
      </c>
      <c r="D922" s="299" t="s">
        <v>329</v>
      </c>
      <c r="E922" s="331">
        <v>24.75</v>
      </c>
      <c r="F922" s="331"/>
      <c r="G922" s="333">
        <f t="shared" si="11"/>
        <v>5463.99</v>
      </c>
      <c r="H922" s="334"/>
      <c r="I922" s="335"/>
      <c r="J922" s="336"/>
      <c r="K922" s="301"/>
      <c r="L922" s="336"/>
      <c r="M922" s="301"/>
      <c r="N922" s="336"/>
      <c r="O922" s="301"/>
      <c r="P922" s="336"/>
      <c r="Q922" s="301"/>
      <c r="R922" s="336"/>
      <c r="S922" s="301"/>
      <c r="T922" s="336"/>
    </row>
    <row r="923" spans="1:20" ht="12" customHeight="1" x14ac:dyDescent="0.3">
      <c r="A923" s="329" t="s">
        <v>291</v>
      </c>
      <c r="B923" s="330">
        <v>39</v>
      </c>
      <c r="C923" s="298">
        <v>46043</v>
      </c>
      <c r="D923" s="299" t="s">
        <v>292</v>
      </c>
      <c r="E923" s="331"/>
      <c r="F923" s="331">
        <v>3378.82</v>
      </c>
      <c r="G923" s="333">
        <f t="shared" si="11"/>
        <v>5488.74</v>
      </c>
      <c r="H923" s="334"/>
      <c r="I923" s="335"/>
      <c r="J923" s="336"/>
      <c r="K923" s="301"/>
      <c r="L923" s="336"/>
      <c r="M923" s="301"/>
      <c r="N923" s="336"/>
      <c r="O923" s="301"/>
      <c r="P923" s="336"/>
      <c r="Q923" s="301"/>
      <c r="R923" s="336"/>
      <c r="S923" s="301"/>
      <c r="T923" s="336"/>
    </row>
    <row r="924" spans="1:20" ht="12" customHeight="1" x14ac:dyDescent="0.3">
      <c r="A924" s="329" t="s">
        <v>294</v>
      </c>
      <c r="B924" s="330">
        <v>23</v>
      </c>
      <c r="C924" s="298">
        <v>46043</v>
      </c>
      <c r="D924" s="299" t="s">
        <v>67</v>
      </c>
      <c r="E924" s="331">
        <v>650.88</v>
      </c>
      <c r="F924" s="331"/>
      <c r="G924" s="333">
        <f t="shared" si="11"/>
        <v>2109.9199999999992</v>
      </c>
      <c r="H924" s="334"/>
      <c r="I924" s="335"/>
      <c r="J924" s="336"/>
      <c r="K924" s="301"/>
      <c r="L924" s="336"/>
      <c r="M924" s="301"/>
      <c r="N924" s="336"/>
      <c r="O924" s="301"/>
      <c r="P924" s="336"/>
      <c r="Q924" s="301"/>
      <c r="R924" s="336"/>
      <c r="S924" s="301"/>
      <c r="T924" s="336"/>
    </row>
    <row r="925" spans="1:20" ht="12" customHeight="1" x14ac:dyDescent="0.3">
      <c r="A925" s="329" t="s">
        <v>287</v>
      </c>
      <c r="B925" s="330" t="s">
        <v>287</v>
      </c>
      <c r="C925" s="298">
        <v>46043</v>
      </c>
      <c r="D925" s="299" t="s">
        <v>472</v>
      </c>
      <c r="E925" s="331">
        <v>100</v>
      </c>
      <c r="F925" s="331">
        <v>100</v>
      </c>
      <c r="G925" s="333">
        <f t="shared" si="11"/>
        <v>2760.7999999999993</v>
      </c>
      <c r="H925" s="334"/>
      <c r="I925" s="335"/>
      <c r="J925" s="336"/>
      <c r="K925" s="301"/>
      <c r="L925" s="336"/>
      <c r="M925" s="301"/>
      <c r="N925" s="336"/>
      <c r="O925" s="301"/>
      <c r="P925" s="336"/>
      <c r="Q925" s="301"/>
      <c r="R925" s="336"/>
      <c r="S925" s="301"/>
      <c r="T925" s="336"/>
    </row>
    <row r="926" spans="1:20" ht="12" customHeight="1" x14ac:dyDescent="0.3">
      <c r="A926" s="329" t="s">
        <v>289</v>
      </c>
      <c r="B926" s="330">
        <v>2</v>
      </c>
      <c r="C926" s="298">
        <v>46043</v>
      </c>
      <c r="D926" s="299" t="s">
        <v>301</v>
      </c>
      <c r="E926" s="331">
        <v>20</v>
      </c>
      <c r="F926" s="331"/>
      <c r="G926" s="333">
        <f t="shared" si="11"/>
        <v>2760.7999999999993</v>
      </c>
      <c r="H926" s="334"/>
      <c r="I926" s="335"/>
      <c r="J926" s="336"/>
      <c r="K926" s="301"/>
      <c r="L926" s="336"/>
      <c r="M926" s="301"/>
      <c r="N926" s="336"/>
      <c r="O926" s="301"/>
      <c r="P926" s="336"/>
      <c r="Q926" s="301"/>
      <c r="R926" s="336"/>
      <c r="S926" s="301"/>
      <c r="T926" s="336"/>
    </row>
    <row r="927" spans="1:20" ht="12" customHeight="1" x14ac:dyDescent="0.3">
      <c r="A927" s="329" t="s">
        <v>289</v>
      </c>
      <c r="B927" s="330">
        <v>8</v>
      </c>
      <c r="C927" s="298">
        <v>46043</v>
      </c>
      <c r="D927" s="299" t="s">
        <v>295</v>
      </c>
      <c r="E927" s="331">
        <v>6.38</v>
      </c>
      <c r="F927" s="331"/>
      <c r="G927" s="333">
        <f t="shared" si="11"/>
        <v>2780.7999999999993</v>
      </c>
      <c r="H927" s="334"/>
      <c r="I927" s="335"/>
      <c r="J927" s="336"/>
      <c r="K927" s="301"/>
      <c r="L927" s="336"/>
      <c r="M927" s="301"/>
      <c r="N927" s="336"/>
      <c r="O927" s="301"/>
      <c r="P927" s="336"/>
      <c r="Q927" s="301"/>
      <c r="R927" s="336"/>
      <c r="S927" s="301"/>
      <c r="T927" s="336"/>
    </row>
    <row r="928" spans="1:20" ht="12" customHeight="1" x14ac:dyDescent="0.3">
      <c r="A928" s="329" t="s">
        <v>289</v>
      </c>
      <c r="B928" s="330">
        <v>2</v>
      </c>
      <c r="C928" s="298">
        <v>46043</v>
      </c>
      <c r="D928" s="299" t="s">
        <v>295</v>
      </c>
      <c r="E928" s="331">
        <v>17.29</v>
      </c>
      <c r="F928" s="331"/>
      <c r="G928" s="333">
        <f t="shared" si="11"/>
        <v>2787.1799999999994</v>
      </c>
      <c r="H928" s="334"/>
      <c r="I928" s="335"/>
      <c r="J928" s="336"/>
      <c r="K928" s="301"/>
      <c r="L928" s="336"/>
      <c r="M928" s="301"/>
      <c r="N928" s="336"/>
      <c r="O928" s="301"/>
      <c r="P928" s="336"/>
      <c r="Q928" s="301"/>
      <c r="R928" s="336"/>
      <c r="S928" s="301"/>
      <c r="T928" s="336"/>
    </row>
    <row r="929" spans="1:20" ht="12" customHeight="1" x14ac:dyDescent="0.3">
      <c r="A929" s="329" t="s">
        <v>289</v>
      </c>
      <c r="B929" s="330">
        <v>2</v>
      </c>
      <c r="C929" s="298">
        <v>46043</v>
      </c>
      <c r="D929" s="299" t="s">
        <v>358</v>
      </c>
      <c r="E929" s="331">
        <v>14.86</v>
      </c>
      <c r="F929" s="331"/>
      <c r="G929" s="333">
        <f t="shared" si="11"/>
        <v>2804.4699999999993</v>
      </c>
      <c r="H929" s="334"/>
      <c r="I929" s="335"/>
      <c r="J929" s="336"/>
      <c r="K929" s="301"/>
      <c r="L929" s="336"/>
      <c r="M929" s="301"/>
      <c r="N929" s="336"/>
      <c r="O929" s="301"/>
      <c r="P929" s="336"/>
      <c r="Q929" s="301"/>
      <c r="R929" s="336"/>
      <c r="S929" s="301"/>
      <c r="T929" s="336"/>
    </row>
    <row r="930" spans="1:20" ht="12" customHeight="1" x14ac:dyDescent="0.3">
      <c r="A930" s="329" t="s">
        <v>289</v>
      </c>
      <c r="B930" s="330">
        <v>2</v>
      </c>
      <c r="C930" s="298">
        <v>46042</v>
      </c>
      <c r="D930" s="299" t="s">
        <v>371</v>
      </c>
      <c r="E930" s="331">
        <v>13.4</v>
      </c>
      <c r="F930" s="331"/>
      <c r="G930" s="333">
        <f t="shared" si="11"/>
        <v>2819.3299999999995</v>
      </c>
      <c r="H930" s="334"/>
      <c r="I930" s="335"/>
      <c r="J930" s="336"/>
      <c r="K930" s="301"/>
      <c r="L930" s="336"/>
      <c r="M930" s="301"/>
      <c r="N930" s="336"/>
      <c r="O930" s="301"/>
      <c r="P930" s="336"/>
      <c r="Q930" s="301"/>
      <c r="R930" s="336"/>
      <c r="S930" s="301"/>
      <c r="T930" s="336"/>
    </row>
    <row r="931" spans="1:20" ht="12" customHeight="1" x14ac:dyDescent="0.3">
      <c r="A931" s="329" t="s">
        <v>289</v>
      </c>
      <c r="B931" s="330">
        <v>2</v>
      </c>
      <c r="C931" s="298">
        <v>46042</v>
      </c>
      <c r="D931" s="299" t="s">
        <v>371</v>
      </c>
      <c r="E931" s="331">
        <v>5.97</v>
      </c>
      <c r="F931" s="331"/>
      <c r="G931" s="333">
        <f t="shared" si="11"/>
        <v>2832.7299999999996</v>
      </c>
      <c r="H931" s="334"/>
      <c r="I931" s="335"/>
      <c r="J931" s="336"/>
      <c r="K931" s="301"/>
      <c r="L931" s="336"/>
      <c r="M931" s="301"/>
      <c r="N931" s="336"/>
      <c r="O931" s="301"/>
      <c r="P931" s="336"/>
      <c r="Q931" s="301"/>
      <c r="R931" s="336"/>
      <c r="S931" s="301"/>
      <c r="T931" s="336"/>
    </row>
    <row r="932" spans="1:20" ht="12" customHeight="1" x14ac:dyDescent="0.3">
      <c r="A932" s="329" t="s">
        <v>294</v>
      </c>
      <c r="B932" s="330">
        <v>22</v>
      </c>
      <c r="C932" s="298">
        <v>46042</v>
      </c>
      <c r="D932" s="299" t="s">
        <v>323</v>
      </c>
      <c r="E932" s="331">
        <v>18.09</v>
      </c>
      <c r="F932" s="331"/>
      <c r="G932" s="333">
        <f t="shared" si="11"/>
        <v>2838.6999999999994</v>
      </c>
      <c r="H932" s="334"/>
      <c r="I932" s="335"/>
      <c r="J932" s="336"/>
      <c r="K932" s="301"/>
      <c r="L932" s="336"/>
      <c r="M932" s="301"/>
      <c r="N932" s="336"/>
      <c r="O932" s="301"/>
      <c r="P932" s="336"/>
      <c r="Q932" s="301"/>
      <c r="R932" s="336"/>
      <c r="S932" s="301"/>
      <c r="T932" s="336"/>
    </row>
    <row r="933" spans="1:20" ht="12" customHeight="1" x14ac:dyDescent="0.3">
      <c r="A933" s="329" t="s">
        <v>294</v>
      </c>
      <c r="B933" s="330">
        <v>17</v>
      </c>
      <c r="C933" s="298">
        <v>46042</v>
      </c>
      <c r="D933" s="299" t="s">
        <v>188</v>
      </c>
      <c r="E933" s="331">
        <v>42.65</v>
      </c>
      <c r="F933" s="331"/>
      <c r="G933" s="333">
        <f t="shared" si="11"/>
        <v>2856.7899999999995</v>
      </c>
      <c r="H933" s="334"/>
      <c r="I933" s="335"/>
      <c r="J933" s="336"/>
      <c r="K933" s="301"/>
      <c r="L933" s="336"/>
      <c r="M933" s="301"/>
      <c r="N933" s="336"/>
      <c r="O933" s="301"/>
      <c r="P933" s="336"/>
      <c r="Q933" s="301"/>
      <c r="R933" s="336"/>
      <c r="S933" s="301"/>
      <c r="T933" s="336"/>
    </row>
    <row r="934" spans="1:20" ht="12" customHeight="1" x14ac:dyDescent="0.3">
      <c r="A934" s="329" t="s">
        <v>335</v>
      </c>
      <c r="B934" s="330" t="s">
        <v>335</v>
      </c>
      <c r="C934" s="298">
        <v>46042</v>
      </c>
      <c r="D934" s="299" t="s">
        <v>336</v>
      </c>
      <c r="E934" s="331">
        <v>130.51</v>
      </c>
      <c r="F934" s="331"/>
      <c r="G934" s="333">
        <f t="shared" si="11"/>
        <v>2899.4399999999996</v>
      </c>
      <c r="H934" s="334"/>
      <c r="I934" s="335"/>
      <c r="J934" s="336"/>
      <c r="K934" s="301"/>
      <c r="L934" s="336"/>
      <c r="M934" s="301"/>
      <c r="N934" s="336"/>
      <c r="O934" s="301"/>
      <c r="P934" s="336"/>
      <c r="Q934" s="301"/>
      <c r="R934" s="336"/>
      <c r="S934" s="301"/>
      <c r="T934" s="336"/>
    </row>
    <row r="935" spans="1:20" ht="12" customHeight="1" x14ac:dyDescent="0.3">
      <c r="A935" s="329" t="s">
        <v>294</v>
      </c>
      <c r="B935" s="330">
        <v>15</v>
      </c>
      <c r="C935" s="298">
        <v>46042</v>
      </c>
      <c r="D935" s="299" t="s">
        <v>185</v>
      </c>
      <c r="E935" s="331">
        <v>132.4</v>
      </c>
      <c r="F935" s="331"/>
      <c r="G935" s="333">
        <f t="shared" si="11"/>
        <v>3029.9499999999994</v>
      </c>
      <c r="H935" s="334"/>
      <c r="I935" s="335"/>
      <c r="J935" s="336"/>
      <c r="K935" s="301"/>
      <c r="L935" s="336"/>
      <c r="M935" s="301"/>
      <c r="N935" s="336"/>
      <c r="O935" s="301"/>
      <c r="P935" s="336"/>
      <c r="Q935" s="301"/>
      <c r="R935" s="336"/>
      <c r="S935" s="301"/>
      <c r="T935" s="336"/>
    </row>
    <row r="936" spans="1:20" ht="12" customHeight="1" x14ac:dyDescent="0.3">
      <c r="A936" s="329" t="s">
        <v>294</v>
      </c>
      <c r="B936" s="330">
        <v>23</v>
      </c>
      <c r="C936" s="298">
        <v>46042</v>
      </c>
      <c r="D936" s="299" t="s">
        <v>63</v>
      </c>
      <c r="E936" s="331">
        <v>529.46</v>
      </c>
      <c r="F936" s="331"/>
      <c r="G936" s="333">
        <f t="shared" si="11"/>
        <v>3162.3499999999995</v>
      </c>
      <c r="H936" s="334"/>
      <c r="I936" s="335"/>
      <c r="J936" s="336"/>
      <c r="K936" s="301"/>
      <c r="L936" s="336"/>
      <c r="M936" s="301"/>
      <c r="N936" s="336"/>
      <c r="O936" s="301"/>
      <c r="P936" s="336"/>
      <c r="Q936" s="301"/>
      <c r="R936" s="336"/>
      <c r="S936" s="301"/>
      <c r="T936" s="336"/>
    </row>
    <row r="937" spans="1:20" ht="12" customHeight="1" x14ac:dyDescent="0.3">
      <c r="A937" s="329" t="s">
        <v>289</v>
      </c>
      <c r="B937" s="330">
        <v>6</v>
      </c>
      <c r="C937" s="298">
        <v>46042</v>
      </c>
      <c r="D937" s="299" t="s">
        <v>300</v>
      </c>
      <c r="E937" s="331">
        <v>51.63</v>
      </c>
      <c r="F937" s="331"/>
      <c r="G937" s="333">
        <f t="shared" si="11"/>
        <v>3691.8099999999995</v>
      </c>
      <c r="H937" s="334"/>
      <c r="I937" s="335"/>
      <c r="J937" s="336"/>
      <c r="K937" s="301"/>
      <c r="L937" s="336"/>
      <c r="M937" s="301"/>
      <c r="N937" s="336"/>
      <c r="O937" s="301"/>
      <c r="P937" s="336"/>
      <c r="Q937" s="301"/>
      <c r="R937" s="336"/>
      <c r="S937" s="301"/>
      <c r="T937" s="336"/>
    </row>
    <row r="938" spans="1:20" ht="12" customHeight="1" x14ac:dyDescent="0.3">
      <c r="A938" s="329" t="s">
        <v>289</v>
      </c>
      <c r="B938" s="330">
        <v>2</v>
      </c>
      <c r="C938" s="298">
        <v>46042</v>
      </c>
      <c r="D938" s="299" t="s">
        <v>296</v>
      </c>
      <c r="E938" s="331">
        <v>11.17</v>
      </c>
      <c r="F938" s="331"/>
      <c r="G938" s="333">
        <f t="shared" si="11"/>
        <v>3743.4399999999996</v>
      </c>
      <c r="H938" s="334"/>
      <c r="I938" s="335"/>
      <c r="J938" s="336"/>
      <c r="K938" s="301"/>
      <c r="L938" s="336"/>
      <c r="M938" s="301"/>
      <c r="N938" s="336"/>
      <c r="O938" s="301"/>
      <c r="P938" s="336"/>
      <c r="Q938" s="301"/>
      <c r="R938" s="336"/>
      <c r="S938" s="301"/>
      <c r="T938" s="336"/>
    </row>
    <row r="939" spans="1:20" ht="12" customHeight="1" x14ac:dyDescent="0.3">
      <c r="A939" s="329" t="s">
        <v>289</v>
      </c>
      <c r="B939" s="330">
        <v>4</v>
      </c>
      <c r="C939" s="298">
        <v>46042</v>
      </c>
      <c r="D939" s="299" t="s">
        <v>296</v>
      </c>
      <c r="E939" s="331">
        <v>57.37</v>
      </c>
      <c r="F939" s="331"/>
      <c r="G939" s="333">
        <f t="shared" si="11"/>
        <v>3754.6099999999997</v>
      </c>
      <c r="H939" s="334"/>
      <c r="I939" s="335"/>
      <c r="J939" s="336"/>
      <c r="K939" s="301"/>
      <c r="L939" s="336"/>
      <c r="M939" s="301"/>
      <c r="N939" s="336"/>
      <c r="O939" s="301"/>
      <c r="P939" s="336"/>
      <c r="Q939" s="301"/>
      <c r="R939" s="336"/>
      <c r="S939" s="301"/>
      <c r="T939" s="336"/>
    </row>
    <row r="940" spans="1:20" ht="12" customHeight="1" x14ac:dyDescent="0.3">
      <c r="A940" s="329" t="s">
        <v>294</v>
      </c>
      <c r="B940" s="330">
        <v>22</v>
      </c>
      <c r="C940" s="298">
        <v>46042</v>
      </c>
      <c r="D940" s="299" t="s">
        <v>328</v>
      </c>
      <c r="E940" s="331">
        <v>7.46</v>
      </c>
      <c r="F940" s="331"/>
      <c r="G940" s="333">
        <f t="shared" si="11"/>
        <v>3811.9799999999996</v>
      </c>
      <c r="H940" s="334"/>
      <c r="I940" s="335"/>
      <c r="J940" s="336"/>
      <c r="K940" s="301"/>
      <c r="L940" s="336"/>
      <c r="M940" s="301"/>
      <c r="N940" s="336"/>
      <c r="O940" s="301"/>
      <c r="P940" s="336"/>
      <c r="Q940" s="301"/>
      <c r="R940" s="336"/>
      <c r="S940" s="301"/>
      <c r="T940" s="336"/>
    </row>
    <row r="941" spans="1:20" ht="12" customHeight="1" x14ac:dyDescent="0.3">
      <c r="A941" s="329" t="s">
        <v>289</v>
      </c>
      <c r="B941" s="330">
        <v>4</v>
      </c>
      <c r="C941" s="298">
        <v>46042</v>
      </c>
      <c r="D941" s="299" t="s">
        <v>310</v>
      </c>
      <c r="E941" s="331">
        <v>28.91</v>
      </c>
      <c r="F941" s="331"/>
      <c r="G941" s="333">
        <f t="shared" si="11"/>
        <v>3819.4399999999996</v>
      </c>
      <c r="H941" s="334"/>
      <c r="I941" s="335"/>
      <c r="J941" s="336"/>
      <c r="K941" s="301"/>
      <c r="L941" s="336"/>
      <c r="M941" s="301"/>
      <c r="N941" s="336"/>
      <c r="O941" s="301"/>
      <c r="P941" s="336"/>
      <c r="Q941" s="301"/>
      <c r="R941" s="336"/>
      <c r="S941" s="301"/>
      <c r="T941" s="336"/>
    </row>
    <row r="942" spans="1:20" ht="12" customHeight="1" x14ac:dyDescent="0.3">
      <c r="A942" s="329" t="s">
        <v>289</v>
      </c>
      <c r="B942" s="330">
        <v>6</v>
      </c>
      <c r="C942" s="298">
        <v>46040</v>
      </c>
      <c r="D942" s="299" t="s">
        <v>300</v>
      </c>
      <c r="E942" s="331">
        <v>31.35</v>
      </c>
      <c r="F942" s="331"/>
      <c r="G942" s="333">
        <f t="shared" si="11"/>
        <v>3848.3499999999995</v>
      </c>
      <c r="H942" s="334"/>
      <c r="I942" s="335"/>
      <c r="J942" s="336"/>
      <c r="K942" s="301"/>
      <c r="L942" s="336"/>
      <c r="M942" s="301"/>
      <c r="N942" s="336"/>
      <c r="O942" s="301"/>
      <c r="P942" s="336"/>
      <c r="Q942" s="301"/>
      <c r="R942" s="336"/>
      <c r="S942" s="301"/>
      <c r="T942" s="336"/>
    </row>
    <row r="943" spans="1:20" ht="12" customHeight="1" x14ac:dyDescent="0.3">
      <c r="A943" s="329" t="s">
        <v>289</v>
      </c>
      <c r="B943" s="330">
        <v>8</v>
      </c>
      <c r="C943" s="298">
        <v>46040</v>
      </c>
      <c r="D943" s="299" t="s">
        <v>473</v>
      </c>
      <c r="E943" s="331">
        <v>124.75</v>
      </c>
      <c r="F943" s="331"/>
      <c r="G943" s="333">
        <f t="shared" si="11"/>
        <v>3879.6999999999994</v>
      </c>
      <c r="H943" s="334"/>
      <c r="I943" s="335"/>
      <c r="J943" s="336"/>
      <c r="K943" s="301"/>
      <c r="L943" s="336"/>
      <c r="M943" s="301"/>
      <c r="N943" s="336"/>
      <c r="O943" s="301"/>
      <c r="P943" s="336"/>
      <c r="Q943" s="301"/>
      <c r="R943" s="336"/>
      <c r="S943" s="301"/>
      <c r="T943" s="336"/>
    </row>
    <row r="944" spans="1:20" ht="12" customHeight="1" x14ac:dyDescent="0.3">
      <c r="A944" s="329" t="s">
        <v>289</v>
      </c>
      <c r="B944" s="330">
        <v>3</v>
      </c>
      <c r="C944" s="298">
        <v>46040</v>
      </c>
      <c r="D944" s="299" t="s">
        <v>320</v>
      </c>
      <c r="E944" s="331">
        <v>11.3</v>
      </c>
      <c r="F944" s="331"/>
      <c r="G944" s="333">
        <f t="shared" si="11"/>
        <v>4004.4499999999994</v>
      </c>
      <c r="H944" s="334"/>
      <c r="I944" s="335"/>
      <c r="J944" s="336"/>
      <c r="K944" s="301"/>
      <c r="L944" s="336"/>
      <c r="M944" s="301"/>
      <c r="N944" s="336"/>
      <c r="O944" s="301"/>
      <c r="P944" s="336"/>
      <c r="Q944" s="301"/>
      <c r="R944" s="336"/>
      <c r="S944" s="301"/>
      <c r="T944" s="336"/>
    </row>
    <row r="945" spans="1:20" ht="12" customHeight="1" x14ac:dyDescent="0.3">
      <c r="A945" s="329" t="s">
        <v>294</v>
      </c>
      <c r="B945" s="330">
        <v>22</v>
      </c>
      <c r="C945" s="298">
        <v>46040</v>
      </c>
      <c r="D945" s="299" t="s">
        <v>401</v>
      </c>
      <c r="E945" s="331">
        <v>13.84</v>
      </c>
      <c r="F945" s="331"/>
      <c r="G945" s="333">
        <f t="shared" si="11"/>
        <v>4015.7499999999995</v>
      </c>
      <c r="H945" s="334"/>
      <c r="I945" s="335"/>
      <c r="J945" s="336"/>
      <c r="K945" s="301"/>
      <c r="L945" s="336"/>
      <c r="M945" s="301"/>
      <c r="N945" s="336"/>
      <c r="O945" s="301"/>
      <c r="P945" s="336"/>
      <c r="Q945" s="301"/>
      <c r="R945" s="336"/>
      <c r="S945" s="301"/>
      <c r="T945" s="336"/>
    </row>
    <row r="946" spans="1:20" ht="12" customHeight="1" x14ac:dyDescent="0.3">
      <c r="A946" s="329" t="s">
        <v>289</v>
      </c>
      <c r="B946" s="330">
        <v>1</v>
      </c>
      <c r="C946" s="298">
        <v>46040</v>
      </c>
      <c r="D946" s="299" t="s">
        <v>306</v>
      </c>
      <c r="E946" s="331">
        <v>92.06</v>
      </c>
      <c r="F946" s="331"/>
      <c r="G946" s="333">
        <f t="shared" si="11"/>
        <v>4029.5899999999997</v>
      </c>
      <c r="H946" s="334"/>
      <c r="I946" s="335"/>
      <c r="J946" s="336"/>
      <c r="K946" s="301"/>
      <c r="L946" s="336"/>
      <c r="M946" s="301"/>
      <c r="N946" s="336"/>
      <c r="O946" s="301"/>
      <c r="P946" s="336"/>
      <c r="Q946" s="301"/>
      <c r="R946" s="336"/>
      <c r="S946" s="301"/>
      <c r="T946" s="336"/>
    </row>
    <row r="947" spans="1:20" ht="12" customHeight="1" x14ac:dyDescent="0.3">
      <c r="A947" s="329" t="s">
        <v>289</v>
      </c>
      <c r="B947" s="330">
        <v>7</v>
      </c>
      <c r="C947" s="298">
        <v>46040</v>
      </c>
      <c r="D947" s="299" t="s">
        <v>338</v>
      </c>
      <c r="E947" s="331">
        <v>78.47</v>
      </c>
      <c r="F947" s="331"/>
      <c r="G947" s="333">
        <f t="shared" si="11"/>
        <v>4121.6499999999996</v>
      </c>
      <c r="H947" s="334"/>
      <c r="I947" s="335"/>
      <c r="J947" s="336"/>
      <c r="K947" s="301"/>
      <c r="L947" s="336"/>
      <c r="M947" s="301"/>
      <c r="N947" s="336"/>
      <c r="O947" s="301"/>
      <c r="P947" s="336"/>
      <c r="Q947" s="301"/>
      <c r="R947" s="336"/>
      <c r="S947" s="301"/>
      <c r="T947" s="336"/>
    </row>
    <row r="948" spans="1:20" ht="12" customHeight="1" x14ac:dyDescent="0.3">
      <c r="A948" s="329" t="s">
        <v>289</v>
      </c>
      <c r="B948" s="330">
        <v>1</v>
      </c>
      <c r="C948" s="298">
        <v>46040</v>
      </c>
      <c r="D948" s="299" t="s">
        <v>393</v>
      </c>
      <c r="E948" s="331">
        <v>28.22</v>
      </c>
      <c r="F948" s="331"/>
      <c r="G948" s="333">
        <f t="shared" si="11"/>
        <v>4200.12</v>
      </c>
      <c r="H948" s="334"/>
      <c r="I948" s="335"/>
      <c r="J948" s="336"/>
      <c r="K948" s="301"/>
      <c r="L948" s="336"/>
      <c r="M948" s="301"/>
      <c r="N948" s="336"/>
      <c r="O948" s="301"/>
      <c r="P948" s="336"/>
      <c r="Q948" s="301"/>
      <c r="R948" s="336"/>
      <c r="S948" s="301"/>
      <c r="T948" s="336"/>
    </row>
    <row r="949" spans="1:20" ht="12" customHeight="1" x14ac:dyDescent="0.3">
      <c r="A949" s="329" t="s">
        <v>289</v>
      </c>
      <c r="B949" s="330">
        <v>2</v>
      </c>
      <c r="C949" s="298">
        <v>46040</v>
      </c>
      <c r="D949" s="299" t="s">
        <v>392</v>
      </c>
      <c r="E949" s="331">
        <v>32.729999999999997</v>
      </c>
      <c r="F949" s="331"/>
      <c r="G949" s="333">
        <f t="shared" si="11"/>
        <v>4228.34</v>
      </c>
      <c r="H949" s="334"/>
      <c r="I949" s="335"/>
      <c r="J949" s="336"/>
      <c r="K949" s="301"/>
      <c r="L949" s="336"/>
      <c r="M949" s="301"/>
      <c r="N949" s="336"/>
      <c r="O949" s="301"/>
      <c r="P949" s="336"/>
      <c r="Q949" s="301"/>
      <c r="R949" s="336"/>
      <c r="S949" s="301"/>
      <c r="T949" s="336"/>
    </row>
    <row r="950" spans="1:20" ht="12" customHeight="1" x14ac:dyDescent="0.3">
      <c r="A950" s="329" t="s">
        <v>294</v>
      </c>
      <c r="B950" s="330">
        <v>42</v>
      </c>
      <c r="C950" s="298">
        <v>46039</v>
      </c>
      <c r="D950" s="299" t="s">
        <v>333</v>
      </c>
      <c r="E950" s="331">
        <v>29.8</v>
      </c>
      <c r="F950" s="331"/>
      <c r="G950" s="333">
        <f t="shared" si="11"/>
        <v>4261.07</v>
      </c>
      <c r="H950" s="334"/>
      <c r="I950" s="335"/>
      <c r="J950" s="336"/>
      <c r="K950" s="301"/>
      <c r="L950" s="336"/>
      <c r="M950" s="301"/>
      <c r="N950" s="336"/>
      <c r="O950" s="301"/>
      <c r="P950" s="336"/>
      <c r="Q950" s="301"/>
      <c r="R950" s="336"/>
      <c r="S950" s="301"/>
      <c r="T950" s="336"/>
    </row>
    <row r="951" spans="1:20" ht="12" customHeight="1" x14ac:dyDescent="0.3">
      <c r="A951" s="329" t="s">
        <v>294</v>
      </c>
      <c r="B951" s="330">
        <v>43</v>
      </c>
      <c r="C951" s="298">
        <v>46039</v>
      </c>
      <c r="D951" s="299" t="s">
        <v>333</v>
      </c>
      <c r="E951" s="331">
        <v>22.35</v>
      </c>
      <c r="F951" s="331"/>
      <c r="G951" s="333">
        <f t="shared" si="11"/>
        <v>4290.87</v>
      </c>
      <c r="H951" s="334"/>
      <c r="I951" s="335"/>
      <c r="J951" s="336"/>
      <c r="K951" s="301"/>
      <c r="L951" s="336"/>
      <c r="M951" s="301"/>
      <c r="N951" s="336"/>
      <c r="O951" s="301"/>
      <c r="P951" s="336"/>
      <c r="Q951" s="301"/>
      <c r="R951" s="336"/>
      <c r="S951" s="301"/>
      <c r="T951" s="336"/>
    </row>
    <row r="952" spans="1:20" ht="12" customHeight="1" x14ac:dyDescent="0.3">
      <c r="A952" s="329" t="s">
        <v>289</v>
      </c>
      <c r="B952" s="330">
        <v>8</v>
      </c>
      <c r="C952" s="298">
        <v>46039</v>
      </c>
      <c r="D952" s="299" t="s">
        <v>319</v>
      </c>
      <c r="E952" s="331">
        <v>36.92</v>
      </c>
      <c r="F952" s="331"/>
      <c r="G952" s="333">
        <f t="shared" si="11"/>
        <v>4313.22</v>
      </c>
      <c r="H952" s="334"/>
      <c r="I952" s="335"/>
      <c r="J952" s="336"/>
      <c r="K952" s="301"/>
      <c r="L952" s="336"/>
      <c r="M952" s="301"/>
      <c r="N952" s="336"/>
      <c r="O952" s="301"/>
      <c r="P952" s="336"/>
      <c r="Q952" s="301"/>
      <c r="R952" s="336"/>
      <c r="S952" s="301"/>
      <c r="T952" s="336"/>
    </row>
    <row r="953" spans="1:20" ht="12" customHeight="1" x14ac:dyDescent="0.3">
      <c r="A953" s="329" t="s">
        <v>289</v>
      </c>
      <c r="B953" s="330">
        <v>1</v>
      </c>
      <c r="C953" s="298">
        <v>46039</v>
      </c>
      <c r="D953" s="299" t="s">
        <v>311</v>
      </c>
      <c r="E953" s="331">
        <v>117.89</v>
      </c>
      <c r="F953" s="331"/>
      <c r="G953" s="333">
        <f t="shared" si="11"/>
        <v>4350.1400000000003</v>
      </c>
      <c r="H953" s="334"/>
      <c r="I953" s="335"/>
      <c r="J953" s="336"/>
      <c r="K953" s="301"/>
      <c r="L953" s="336"/>
      <c r="M953" s="301"/>
      <c r="N953" s="336"/>
      <c r="O953" s="301"/>
      <c r="P953" s="336"/>
      <c r="Q953" s="301"/>
      <c r="R953" s="336"/>
      <c r="S953" s="301"/>
      <c r="T953" s="336"/>
    </row>
    <row r="954" spans="1:20" ht="12" customHeight="1" x14ac:dyDescent="0.3">
      <c r="A954" s="329" t="s">
        <v>289</v>
      </c>
      <c r="B954" s="330">
        <v>1</v>
      </c>
      <c r="C954" s="298">
        <v>46039</v>
      </c>
      <c r="D954" s="299" t="s">
        <v>329</v>
      </c>
      <c r="E954" s="331">
        <v>196.36</v>
      </c>
      <c r="F954" s="331"/>
      <c r="G954" s="333">
        <f t="shared" si="11"/>
        <v>4468.0300000000007</v>
      </c>
      <c r="H954" s="334"/>
      <c r="I954" s="335"/>
      <c r="J954" s="336"/>
      <c r="K954" s="301"/>
      <c r="L954" s="336"/>
      <c r="M954" s="301"/>
      <c r="N954" s="336"/>
      <c r="O954" s="301"/>
      <c r="P954" s="336"/>
      <c r="Q954" s="301"/>
      <c r="R954" s="336"/>
      <c r="S954" s="301"/>
      <c r="T954" s="336"/>
    </row>
    <row r="955" spans="1:20" ht="12" customHeight="1" x14ac:dyDescent="0.3">
      <c r="A955" s="329" t="s">
        <v>294</v>
      </c>
      <c r="B955" s="330">
        <v>21</v>
      </c>
      <c r="C955" s="298">
        <v>46039</v>
      </c>
      <c r="D955" s="299" t="s">
        <v>194</v>
      </c>
      <c r="E955" s="331">
        <v>70.2</v>
      </c>
      <c r="F955" s="331"/>
      <c r="G955" s="333">
        <f t="shared" si="11"/>
        <v>4664.3900000000003</v>
      </c>
      <c r="H955" s="334"/>
      <c r="I955" s="335"/>
      <c r="J955" s="336"/>
      <c r="K955" s="301"/>
      <c r="L955" s="336"/>
      <c r="M955" s="301"/>
      <c r="N955" s="336"/>
      <c r="O955" s="301"/>
      <c r="P955" s="336"/>
      <c r="Q955" s="301"/>
      <c r="R955" s="336"/>
      <c r="S955" s="301"/>
      <c r="T955" s="336"/>
    </row>
    <row r="956" spans="1:20" ht="12" customHeight="1" x14ac:dyDescent="0.3">
      <c r="A956" s="329" t="s">
        <v>289</v>
      </c>
      <c r="B956" s="330">
        <v>2</v>
      </c>
      <c r="C956" s="298">
        <v>46038</v>
      </c>
      <c r="D956" s="299" t="s">
        <v>324</v>
      </c>
      <c r="E956" s="331">
        <v>13.14</v>
      </c>
      <c r="F956" s="331"/>
      <c r="G956" s="333">
        <f t="shared" si="11"/>
        <v>4734.59</v>
      </c>
      <c r="H956" s="334"/>
      <c r="I956" s="335"/>
      <c r="J956" s="336"/>
      <c r="K956" s="301"/>
      <c r="L956" s="336"/>
      <c r="M956" s="301"/>
      <c r="N956" s="336"/>
      <c r="O956" s="301"/>
      <c r="P956" s="336"/>
      <c r="Q956" s="301"/>
      <c r="R956" s="336"/>
      <c r="S956" s="301"/>
      <c r="T956" s="336"/>
    </row>
    <row r="957" spans="1:20" ht="12" customHeight="1" x14ac:dyDescent="0.3">
      <c r="A957" s="329" t="s">
        <v>289</v>
      </c>
      <c r="B957" s="330">
        <v>2</v>
      </c>
      <c r="C957" s="298">
        <v>46038</v>
      </c>
      <c r="D957" s="299" t="s">
        <v>296</v>
      </c>
      <c r="E957" s="331">
        <v>18.489999999999998</v>
      </c>
      <c r="F957" s="331"/>
      <c r="G957" s="333">
        <f t="shared" si="11"/>
        <v>4747.7300000000005</v>
      </c>
      <c r="H957" s="334"/>
      <c r="I957" s="335"/>
      <c r="J957" s="336"/>
      <c r="K957" s="301"/>
      <c r="L957" s="336"/>
      <c r="M957" s="301"/>
      <c r="N957" s="336"/>
      <c r="O957" s="301"/>
      <c r="P957" s="336"/>
      <c r="Q957" s="301"/>
      <c r="R957" s="336"/>
      <c r="S957" s="301"/>
      <c r="T957" s="336"/>
    </row>
    <row r="958" spans="1:20" ht="12" customHeight="1" x14ac:dyDescent="0.3">
      <c r="A958" s="329" t="s">
        <v>291</v>
      </c>
      <c r="B958" s="330">
        <v>41</v>
      </c>
      <c r="C958" s="298">
        <v>46038</v>
      </c>
      <c r="D958" s="299" t="s">
        <v>474</v>
      </c>
      <c r="E958" s="331"/>
      <c r="F958" s="331">
        <v>800</v>
      </c>
      <c r="G958" s="333">
        <f t="shared" si="11"/>
        <v>4766.22</v>
      </c>
      <c r="H958" s="334" t="s">
        <v>298</v>
      </c>
      <c r="I958" s="335"/>
      <c r="J958" s="336"/>
      <c r="K958" s="301"/>
      <c r="L958" s="336"/>
      <c r="M958" s="301"/>
      <c r="N958" s="336"/>
      <c r="O958" s="301"/>
      <c r="P958" s="336"/>
      <c r="Q958" s="301"/>
      <c r="R958" s="336"/>
      <c r="S958" s="301"/>
      <c r="T958" s="336"/>
    </row>
    <row r="959" spans="1:20" ht="12" customHeight="1" x14ac:dyDescent="0.3">
      <c r="A959" s="329" t="s">
        <v>294</v>
      </c>
      <c r="B959" s="330">
        <v>18</v>
      </c>
      <c r="C959" s="298">
        <v>46038</v>
      </c>
      <c r="D959" s="299" t="s">
        <v>361</v>
      </c>
      <c r="E959" s="331">
        <v>400</v>
      </c>
      <c r="F959" s="331"/>
      <c r="G959" s="333">
        <f t="shared" si="11"/>
        <v>3966.2200000000003</v>
      </c>
      <c r="H959" s="334"/>
      <c r="I959" s="335"/>
      <c r="J959" s="336"/>
      <c r="K959" s="301"/>
      <c r="L959" s="336"/>
      <c r="M959" s="301"/>
      <c r="N959" s="336"/>
      <c r="O959" s="301"/>
      <c r="P959" s="336"/>
      <c r="Q959" s="301"/>
      <c r="R959" s="336"/>
      <c r="S959" s="301"/>
      <c r="T959" s="336"/>
    </row>
    <row r="960" spans="1:20" ht="12" customHeight="1" x14ac:dyDescent="0.3">
      <c r="A960" s="329" t="s">
        <v>294</v>
      </c>
      <c r="B960" s="330">
        <v>19</v>
      </c>
      <c r="C960" s="298">
        <v>46038</v>
      </c>
      <c r="D960" s="299" t="s">
        <v>191</v>
      </c>
      <c r="E960" s="331">
        <v>200</v>
      </c>
      <c r="F960" s="331"/>
      <c r="G960" s="333">
        <f t="shared" si="11"/>
        <v>4366.22</v>
      </c>
      <c r="H960" s="334"/>
      <c r="I960" s="335"/>
      <c r="J960" s="336"/>
      <c r="K960" s="301"/>
      <c r="L960" s="336"/>
      <c r="M960" s="301"/>
      <c r="N960" s="336"/>
      <c r="O960" s="301"/>
      <c r="P960" s="336"/>
      <c r="Q960" s="301"/>
      <c r="R960" s="336"/>
      <c r="S960" s="301"/>
      <c r="T960" s="336"/>
    </row>
    <row r="961" spans="1:20" ht="12" customHeight="1" x14ac:dyDescent="0.3">
      <c r="A961" s="329" t="s">
        <v>294</v>
      </c>
      <c r="B961" s="330">
        <v>11</v>
      </c>
      <c r="C961" s="298">
        <v>46038</v>
      </c>
      <c r="D961" s="299" t="s">
        <v>178</v>
      </c>
      <c r="E961" s="331">
        <v>267.95999999999998</v>
      </c>
      <c r="F961" s="331"/>
      <c r="G961" s="333">
        <f t="shared" si="11"/>
        <v>4566.22</v>
      </c>
      <c r="H961" s="334"/>
      <c r="I961" s="335"/>
      <c r="J961" s="336"/>
      <c r="K961" s="301"/>
      <c r="L961" s="336"/>
      <c r="M961" s="301"/>
      <c r="N961" s="336"/>
      <c r="O961" s="301"/>
      <c r="P961" s="336"/>
      <c r="Q961" s="301"/>
      <c r="R961" s="336"/>
      <c r="S961" s="301"/>
      <c r="T961" s="336"/>
    </row>
    <row r="962" spans="1:20" ht="12" customHeight="1" x14ac:dyDescent="0.3">
      <c r="A962" s="329" t="s">
        <v>289</v>
      </c>
      <c r="B962" s="330">
        <v>8</v>
      </c>
      <c r="C962" s="298">
        <v>46037</v>
      </c>
      <c r="D962" s="299" t="s">
        <v>357</v>
      </c>
      <c r="E962" s="331">
        <v>59.95</v>
      </c>
      <c r="F962" s="331"/>
      <c r="G962" s="333">
        <f t="shared" si="11"/>
        <v>4834.18</v>
      </c>
      <c r="H962" s="334"/>
      <c r="I962" s="335"/>
      <c r="J962" s="336"/>
      <c r="K962" s="301"/>
      <c r="L962" s="336"/>
      <c r="M962" s="301"/>
      <c r="N962" s="336"/>
      <c r="O962" s="301"/>
      <c r="P962" s="336"/>
      <c r="Q962" s="301"/>
      <c r="R962" s="336"/>
      <c r="S962" s="301"/>
      <c r="T962" s="336"/>
    </row>
    <row r="963" spans="1:20" ht="12" customHeight="1" x14ac:dyDescent="0.3">
      <c r="A963" s="329" t="s">
        <v>289</v>
      </c>
      <c r="B963" s="330">
        <v>2</v>
      </c>
      <c r="C963" s="298">
        <v>46037</v>
      </c>
      <c r="D963" s="299" t="s">
        <v>357</v>
      </c>
      <c r="E963" s="331">
        <v>59.96</v>
      </c>
      <c r="F963" s="331"/>
      <c r="G963" s="333">
        <f t="shared" si="11"/>
        <v>4894.13</v>
      </c>
      <c r="H963" s="334"/>
      <c r="I963" s="335"/>
      <c r="J963" s="336"/>
      <c r="K963" s="301"/>
      <c r="L963" s="336"/>
      <c r="M963" s="301"/>
      <c r="N963" s="336"/>
      <c r="O963" s="301"/>
      <c r="P963" s="336"/>
      <c r="Q963" s="301"/>
      <c r="R963" s="336"/>
      <c r="S963" s="301"/>
      <c r="T963" s="336"/>
    </row>
    <row r="964" spans="1:20" ht="12" customHeight="1" x14ac:dyDescent="0.3">
      <c r="A964" s="329" t="s">
        <v>289</v>
      </c>
      <c r="B964" s="330">
        <v>8</v>
      </c>
      <c r="C964" s="298">
        <v>46037</v>
      </c>
      <c r="D964" s="299" t="s">
        <v>319</v>
      </c>
      <c r="E964" s="331">
        <v>12.43</v>
      </c>
      <c r="F964" s="331"/>
      <c r="G964" s="333">
        <f t="shared" si="11"/>
        <v>4954.09</v>
      </c>
      <c r="H964" s="334"/>
      <c r="I964" s="335"/>
      <c r="J964" s="336"/>
      <c r="K964" s="301"/>
      <c r="L964" s="336"/>
      <c r="M964" s="301"/>
      <c r="N964" s="336"/>
      <c r="O964" s="301"/>
      <c r="P964" s="336"/>
      <c r="Q964" s="301"/>
      <c r="R964" s="336"/>
      <c r="S964" s="301"/>
      <c r="T964" s="336"/>
    </row>
    <row r="965" spans="1:20" ht="12" customHeight="1" x14ac:dyDescent="0.3">
      <c r="A965" s="329" t="s">
        <v>289</v>
      </c>
      <c r="B965" s="330">
        <v>2</v>
      </c>
      <c r="C965" s="298">
        <v>46037</v>
      </c>
      <c r="D965" s="299" t="s">
        <v>296</v>
      </c>
      <c r="E965" s="331">
        <v>11.07</v>
      </c>
      <c r="F965" s="331"/>
      <c r="G965" s="333">
        <f t="shared" si="11"/>
        <v>4966.5200000000004</v>
      </c>
      <c r="H965" s="334"/>
      <c r="I965" s="335"/>
      <c r="J965" s="336"/>
      <c r="K965" s="301"/>
      <c r="L965" s="336"/>
      <c r="M965" s="301"/>
      <c r="N965" s="336"/>
      <c r="O965" s="301"/>
      <c r="P965" s="336"/>
      <c r="Q965" s="301"/>
      <c r="R965" s="336"/>
      <c r="S965" s="301"/>
      <c r="T965" s="336"/>
    </row>
    <row r="966" spans="1:20" ht="12" customHeight="1" x14ac:dyDescent="0.3">
      <c r="A966" s="329" t="s">
        <v>289</v>
      </c>
      <c r="B966" s="330">
        <v>4</v>
      </c>
      <c r="C966" s="298">
        <v>46037</v>
      </c>
      <c r="D966" s="299" t="s">
        <v>296</v>
      </c>
      <c r="E966" s="331">
        <v>52.3</v>
      </c>
      <c r="F966" s="331"/>
      <c r="G966" s="333">
        <f t="shared" si="11"/>
        <v>4977.59</v>
      </c>
      <c r="H966" s="334"/>
      <c r="I966" s="335"/>
      <c r="J966" s="336"/>
      <c r="K966" s="301"/>
      <c r="L966" s="336"/>
      <c r="M966" s="301"/>
      <c r="N966" s="336"/>
      <c r="O966" s="301"/>
      <c r="P966" s="336"/>
      <c r="Q966" s="301"/>
      <c r="R966" s="336"/>
      <c r="S966" s="301"/>
      <c r="T966" s="336"/>
    </row>
    <row r="967" spans="1:20" ht="12" customHeight="1" x14ac:dyDescent="0.3">
      <c r="A967" s="329" t="s">
        <v>289</v>
      </c>
      <c r="B967" s="330">
        <v>6</v>
      </c>
      <c r="C967" s="298">
        <v>46037</v>
      </c>
      <c r="D967" s="299" t="s">
        <v>436</v>
      </c>
      <c r="E967" s="331">
        <v>50</v>
      </c>
      <c r="F967" s="331"/>
      <c r="G967" s="333">
        <f t="shared" si="11"/>
        <v>5029.8900000000003</v>
      </c>
      <c r="H967" s="334"/>
      <c r="I967" s="335"/>
      <c r="J967" s="336"/>
      <c r="K967" s="301"/>
      <c r="L967" s="336"/>
      <c r="M967" s="301"/>
      <c r="N967" s="336"/>
      <c r="O967" s="301"/>
      <c r="P967" s="336"/>
      <c r="Q967" s="301"/>
      <c r="R967" s="336"/>
      <c r="S967" s="301"/>
      <c r="T967" s="336"/>
    </row>
    <row r="968" spans="1:20" ht="12" customHeight="1" x14ac:dyDescent="0.3">
      <c r="A968" s="329" t="s">
        <v>291</v>
      </c>
      <c r="B968" s="330">
        <v>38</v>
      </c>
      <c r="C968" s="298">
        <v>46037</v>
      </c>
      <c r="D968" s="299" t="s">
        <v>293</v>
      </c>
      <c r="E968" s="331"/>
      <c r="F968" s="331">
        <v>4365.67</v>
      </c>
      <c r="G968" s="333">
        <f t="shared" si="11"/>
        <v>5079.8900000000003</v>
      </c>
      <c r="H968" s="334"/>
      <c r="I968" s="335"/>
      <c r="J968" s="336"/>
      <c r="K968" s="301"/>
      <c r="L968" s="336"/>
      <c r="M968" s="301"/>
      <c r="N968" s="336"/>
      <c r="O968" s="301"/>
      <c r="P968" s="336"/>
      <c r="Q968" s="301"/>
      <c r="R968" s="336"/>
      <c r="S968" s="301"/>
      <c r="T968" s="336"/>
    </row>
    <row r="969" spans="1:20" ht="12" customHeight="1" x14ac:dyDescent="0.3">
      <c r="A969" s="329" t="s">
        <v>289</v>
      </c>
      <c r="B969" s="330">
        <v>4</v>
      </c>
      <c r="C969" s="298">
        <v>46036</v>
      </c>
      <c r="D969" s="299" t="s">
        <v>295</v>
      </c>
      <c r="E969" s="331">
        <v>30.91</v>
      </c>
      <c r="F969" s="331"/>
      <c r="G969" s="333">
        <f t="shared" si="11"/>
        <v>714.22</v>
      </c>
      <c r="H969" s="334"/>
      <c r="I969" s="335"/>
      <c r="J969" s="336"/>
      <c r="K969" s="301"/>
      <c r="L969" s="336"/>
      <c r="M969" s="301"/>
      <c r="N969" s="336"/>
      <c r="O969" s="301"/>
      <c r="P969" s="336"/>
      <c r="Q969" s="301"/>
      <c r="R969" s="336"/>
      <c r="S969" s="301"/>
      <c r="T969" s="336"/>
    </row>
    <row r="970" spans="1:20" ht="12" customHeight="1" x14ac:dyDescent="0.3">
      <c r="A970" s="329" t="s">
        <v>289</v>
      </c>
      <c r="B970" s="330">
        <v>3</v>
      </c>
      <c r="C970" s="298">
        <v>46036</v>
      </c>
      <c r="D970" s="299" t="s">
        <v>348</v>
      </c>
      <c r="E970" s="331">
        <v>8.67</v>
      </c>
      <c r="F970" s="331"/>
      <c r="G970" s="333">
        <f t="shared" si="11"/>
        <v>745.13</v>
      </c>
      <c r="H970" s="334"/>
      <c r="I970" s="335"/>
      <c r="J970" s="336"/>
      <c r="K970" s="301"/>
      <c r="L970" s="336"/>
      <c r="M970" s="301"/>
      <c r="N970" s="336"/>
      <c r="O970" s="301"/>
      <c r="P970" s="336"/>
      <c r="Q970" s="301"/>
      <c r="R970" s="336"/>
      <c r="S970" s="301"/>
      <c r="T970" s="336"/>
    </row>
    <row r="971" spans="1:20" ht="12" customHeight="1" x14ac:dyDescent="0.3">
      <c r="A971" s="329" t="s">
        <v>289</v>
      </c>
      <c r="B971" s="330">
        <v>3</v>
      </c>
      <c r="C971" s="298">
        <v>46035</v>
      </c>
      <c r="D971" s="299" t="s">
        <v>351</v>
      </c>
      <c r="E971" s="331">
        <v>25.01</v>
      </c>
      <c r="F971" s="331"/>
      <c r="G971" s="333">
        <f t="shared" si="11"/>
        <v>753.8</v>
      </c>
      <c r="H971" s="334"/>
      <c r="I971" s="335"/>
      <c r="J971" s="336"/>
      <c r="K971" s="301"/>
      <c r="L971" s="336"/>
      <c r="M971" s="301"/>
      <c r="N971" s="336"/>
      <c r="O971" s="301"/>
      <c r="P971" s="336"/>
      <c r="Q971" s="301"/>
      <c r="R971" s="336"/>
      <c r="S971" s="301"/>
      <c r="T971" s="336"/>
    </row>
    <row r="972" spans="1:20" ht="12" customHeight="1" x14ac:dyDescent="0.3">
      <c r="A972" s="329" t="s">
        <v>289</v>
      </c>
      <c r="B972" s="330">
        <v>6</v>
      </c>
      <c r="C972" s="298">
        <v>46035</v>
      </c>
      <c r="D972" s="299" t="s">
        <v>412</v>
      </c>
      <c r="E972" s="331">
        <v>-5.9</v>
      </c>
      <c r="F972" s="331"/>
      <c r="G972" s="333">
        <f t="shared" si="11"/>
        <v>778.81</v>
      </c>
      <c r="H972" s="334"/>
      <c r="I972" s="335"/>
      <c r="J972" s="336"/>
      <c r="K972" s="301"/>
      <c r="L972" s="336"/>
      <c r="M972" s="301"/>
      <c r="N972" s="336"/>
      <c r="O972" s="301"/>
      <c r="P972" s="336"/>
      <c r="Q972" s="301"/>
      <c r="R972" s="336"/>
      <c r="S972" s="301"/>
      <c r="T972" s="336"/>
    </row>
    <row r="973" spans="1:20" ht="12" customHeight="1" x14ac:dyDescent="0.3">
      <c r="A973" s="329" t="s">
        <v>289</v>
      </c>
      <c r="B973" s="330">
        <v>6</v>
      </c>
      <c r="C973" s="298">
        <v>46035</v>
      </c>
      <c r="D973" s="299" t="s">
        <v>446</v>
      </c>
      <c r="E973" s="331">
        <v>-0.03</v>
      </c>
      <c r="F973" s="331"/>
      <c r="G973" s="333">
        <f t="shared" si="11"/>
        <v>772.91</v>
      </c>
      <c r="H973" s="334"/>
      <c r="I973" s="335"/>
      <c r="J973" s="336"/>
      <c r="K973" s="301"/>
      <c r="L973" s="336"/>
      <c r="M973" s="301"/>
      <c r="N973" s="336"/>
      <c r="O973" s="301"/>
      <c r="P973" s="336"/>
      <c r="Q973" s="301"/>
      <c r="R973" s="336"/>
      <c r="S973" s="301"/>
      <c r="T973" s="336"/>
    </row>
    <row r="974" spans="1:20" ht="12" customHeight="1" x14ac:dyDescent="0.3">
      <c r="A974" s="329" t="s">
        <v>294</v>
      </c>
      <c r="B974" s="330">
        <v>43</v>
      </c>
      <c r="C974" s="298">
        <v>46035</v>
      </c>
      <c r="D974" s="299" t="s">
        <v>201</v>
      </c>
      <c r="E974" s="331">
        <v>44.18</v>
      </c>
      <c r="F974" s="331"/>
      <c r="G974" s="333">
        <f t="shared" si="11"/>
        <v>772.88</v>
      </c>
      <c r="H974" s="334"/>
      <c r="I974" s="335"/>
      <c r="J974" s="336"/>
      <c r="K974" s="301"/>
      <c r="L974" s="336"/>
      <c r="M974" s="301"/>
      <c r="N974" s="336"/>
      <c r="O974" s="301"/>
      <c r="P974" s="336"/>
      <c r="Q974" s="301"/>
      <c r="R974" s="336"/>
      <c r="S974" s="301"/>
      <c r="T974" s="336"/>
    </row>
    <row r="975" spans="1:20" ht="12" customHeight="1" x14ac:dyDescent="0.3">
      <c r="A975" s="329" t="s">
        <v>294</v>
      </c>
      <c r="B975" s="330">
        <v>42</v>
      </c>
      <c r="C975" s="298">
        <v>46035</v>
      </c>
      <c r="D975" s="299" t="s">
        <v>200</v>
      </c>
      <c r="E975" s="331">
        <v>51.19</v>
      </c>
      <c r="F975" s="331"/>
      <c r="G975" s="333">
        <f t="shared" si="11"/>
        <v>817.06</v>
      </c>
      <c r="H975" s="334"/>
      <c r="I975" s="335"/>
      <c r="J975" s="336"/>
      <c r="K975" s="301"/>
      <c r="L975" s="336"/>
      <c r="M975" s="301"/>
      <c r="N975" s="336"/>
      <c r="O975" s="301"/>
      <c r="P975" s="336"/>
      <c r="Q975" s="301"/>
      <c r="R975" s="336"/>
      <c r="S975" s="301"/>
      <c r="T975" s="336"/>
    </row>
    <row r="976" spans="1:20" ht="12" customHeight="1" x14ac:dyDescent="0.3">
      <c r="A976" s="329" t="s">
        <v>289</v>
      </c>
      <c r="B976" s="330">
        <v>4</v>
      </c>
      <c r="C976" s="298">
        <v>46035</v>
      </c>
      <c r="D976" s="299" t="s">
        <v>295</v>
      </c>
      <c r="E976" s="331">
        <v>28.15</v>
      </c>
      <c r="F976" s="331"/>
      <c r="G976" s="333">
        <f t="shared" si="11"/>
        <v>868.25</v>
      </c>
      <c r="H976" s="334"/>
      <c r="I976" s="335"/>
      <c r="J976" s="336"/>
      <c r="K976" s="301"/>
      <c r="L976" s="336"/>
      <c r="M976" s="301"/>
      <c r="N976" s="336"/>
      <c r="O976" s="301"/>
      <c r="P976" s="336"/>
      <c r="Q976" s="301"/>
      <c r="R976" s="336"/>
      <c r="S976" s="301"/>
      <c r="T976" s="336"/>
    </row>
    <row r="977" spans="1:20" ht="12" customHeight="1" x14ac:dyDescent="0.3">
      <c r="A977" s="329" t="s">
        <v>289</v>
      </c>
      <c r="B977" s="330">
        <v>3</v>
      </c>
      <c r="C977" s="298">
        <v>46035</v>
      </c>
      <c r="D977" s="299" t="s">
        <v>296</v>
      </c>
      <c r="E977" s="331">
        <v>20.85</v>
      </c>
      <c r="F977" s="331"/>
      <c r="G977" s="333">
        <f t="shared" si="11"/>
        <v>896.4</v>
      </c>
      <c r="H977" s="334"/>
      <c r="I977" s="335"/>
      <c r="J977" s="336"/>
      <c r="K977" s="301"/>
      <c r="L977" s="336"/>
      <c r="M977" s="301"/>
      <c r="N977" s="336"/>
      <c r="O977" s="301"/>
      <c r="P977" s="336"/>
      <c r="Q977" s="301"/>
      <c r="R977" s="336"/>
      <c r="S977" s="301"/>
      <c r="T977" s="336"/>
    </row>
    <row r="978" spans="1:20" ht="12" customHeight="1" x14ac:dyDescent="0.3">
      <c r="A978" s="329" t="s">
        <v>289</v>
      </c>
      <c r="B978" s="330">
        <v>1</v>
      </c>
      <c r="C978" s="298">
        <v>46034</v>
      </c>
      <c r="D978" s="299" t="s">
        <v>306</v>
      </c>
      <c r="E978" s="331">
        <v>145.81</v>
      </c>
      <c r="F978" s="331"/>
      <c r="G978" s="333">
        <f t="shared" si="11"/>
        <v>917.25</v>
      </c>
      <c r="H978" s="334"/>
      <c r="I978" s="335"/>
      <c r="J978" s="336"/>
      <c r="K978" s="301"/>
      <c r="L978" s="336"/>
      <c r="M978" s="301"/>
      <c r="N978" s="336"/>
      <c r="O978" s="301"/>
      <c r="P978" s="336"/>
      <c r="Q978" s="301"/>
      <c r="R978" s="336"/>
      <c r="S978" s="301"/>
      <c r="T978" s="336"/>
    </row>
    <row r="979" spans="1:20" ht="12" customHeight="1" x14ac:dyDescent="0.3">
      <c r="A979" s="329" t="s">
        <v>289</v>
      </c>
      <c r="B979" s="330">
        <v>2</v>
      </c>
      <c r="C979" s="298">
        <v>46034</v>
      </c>
      <c r="D979" s="299" t="s">
        <v>424</v>
      </c>
      <c r="E979" s="331">
        <v>25.22</v>
      </c>
      <c r="F979" s="331"/>
      <c r="G979" s="333">
        <f t="shared" si="11"/>
        <v>1063.06</v>
      </c>
      <c r="H979" s="334"/>
      <c r="I979" s="335"/>
      <c r="J979" s="336"/>
      <c r="K979" s="301"/>
      <c r="L979" s="336"/>
      <c r="M979" s="301"/>
      <c r="N979" s="336"/>
      <c r="O979" s="301"/>
      <c r="P979" s="336"/>
      <c r="Q979" s="301"/>
      <c r="R979" s="336"/>
      <c r="S979" s="301"/>
      <c r="T979" s="336"/>
    </row>
    <row r="980" spans="1:20" ht="12" customHeight="1" x14ac:dyDescent="0.3">
      <c r="A980" s="329" t="s">
        <v>289</v>
      </c>
      <c r="B980" s="330">
        <v>2</v>
      </c>
      <c r="C980" s="298">
        <v>46033</v>
      </c>
      <c r="D980" s="299" t="s">
        <v>326</v>
      </c>
      <c r="E980" s="331">
        <v>49.38</v>
      </c>
      <c r="F980" s="331"/>
      <c r="G980" s="333">
        <f t="shared" si="11"/>
        <v>1088.28</v>
      </c>
      <c r="H980" s="334"/>
      <c r="I980" s="335"/>
      <c r="J980" s="336"/>
      <c r="K980" s="301"/>
      <c r="L980" s="336"/>
      <c r="M980" s="301"/>
      <c r="N980" s="336"/>
      <c r="O980" s="301"/>
      <c r="P980" s="336"/>
      <c r="Q980" s="301"/>
      <c r="R980" s="336"/>
      <c r="S980" s="301"/>
      <c r="T980" s="336"/>
    </row>
    <row r="981" spans="1:20" ht="12" customHeight="1" x14ac:dyDescent="0.3">
      <c r="A981" s="329" t="s">
        <v>294</v>
      </c>
      <c r="B981" s="330">
        <v>22</v>
      </c>
      <c r="C981" s="298">
        <v>46033</v>
      </c>
      <c r="D981" s="299" t="s">
        <v>352</v>
      </c>
      <c r="E981" s="331">
        <v>19.16</v>
      </c>
      <c r="F981" s="331"/>
      <c r="G981" s="333">
        <f t="shared" si="11"/>
        <v>1137.6600000000001</v>
      </c>
      <c r="H981" s="334"/>
      <c r="I981" s="335"/>
      <c r="J981" s="336"/>
      <c r="K981" s="301"/>
      <c r="L981" s="336"/>
      <c r="M981" s="301"/>
      <c r="N981" s="336"/>
      <c r="O981" s="301"/>
      <c r="P981" s="336"/>
      <c r="Q981" s="301"/>
      <c r="R981" s="336"/>
      <c r="S981" s="301"/>
      <c r="T981" s="336"/>
    </row>
    <row r="982" spans="1:20" ht="12" customHeight="1" x14ac:dyDescent="0.3">
      <c r="A982" s="329" t="s">
        <v>289</v>
      </c>
      <c r="B982" s="330">
        <v>6</v>
      </c>
      <c r="C982" s="298">
        <v>46033</v>
      </c>
      <c r="D982" s="299" t="s">
        <v>312</v>
      </c>
      <c r="E982" s="331">
        <v>39.86</v>
      </c>
      <c r="F982" s="331"/>
      <c r="G982" s="333">
        <f t="shared" si="11"/>
        <v>1156.8200000000002</v>
      </c>
      <c r="H982" s="334"/>
      <c r="I982" s="335"/>
      <c r="J982" s="336"/>
      <c r="K982" s="301"/>
      <c r="L982" s="336"/>
      <c r="M982" s="301"/>
      <c r="N982" s="336"/>
      <c r="O982" s="301"/>
      <c r="P982" s="336"/>
      <c r="Q982" s="301"/>
      <c r="R982" s="336"/>
      <c r="S982" s="301"/>
      <c r="T982" s="336"/>
    </row>
    <row r="983" spans="1:20" ht="12" customHeight="1" x14ac:dyDescent="0.3">
      <c r="A983" s="329" t="s">
        <v>289</v>
      </c>
      <c r="B983" s="330">
        <v>7</v>
      </c>
      <c r="C983" s="298">
        <v>46033</v>
      </c>
      <c r="D983" s="299" t="s">
        <v>444</v>
      </c>
      <c r="E983" s="331">
        <v>165.05</v>
      </c>
      <c r="F983" s="331"/>
      <c r="G983" s="333">
        <f t="shared" si="11"/>
        <v>1196.68</v>
      </c>
      <c r="H983" s="334"/>
      <c r="I983" s="335"/>
      <c r="J983" s="336"/>
      <c r="K983" s="301"/>
      <c r="L983" s="336"/>
      <c r="M983" s="301"/>
      <c r="N983" s="336"/>
      <c r="O983" s="301"/>
      <c r="P983" s="336"/>
      <c r="Q983" s="301"/>
      <c r="R983" s="336"/>
      <c r="S983" s="301"/>
      <c r="T983" s="336"/>
    </row>
    <row r="984" spans="1:20" ht="12" customHeight="1" x14ac:dyDescent="0.3">
      <c r="A984" s="329" t="s">
        <v>294</v>
      </c>
      <c r="B984" s="330">
        <v>24</v>
      </c>
      <c r="C984" s="298">
        <v>46032</v>
      </c>
      <c r="D984" s="299" t="s">
        <v>860</v>
      </c>
      <c r="E984" s="331">
        <v>83.42</v>
      </c>
      <c r="F984" s="331"/>
      <c r="G984" s="333">
        <f t="shared" si="11"/>
        <v>1361.73</v>
      </c>
      <c r="H984" s="334"/>
      <c r="I984" s="335"/>
      <c r="J984" s="336"/>
      <c r="K984" s="301"/>
      <c r="L984" s="336"/>
      <c r="M984" s="301"/>
      <c r="N984" s="336"/>
      <c r="O984" s="301"/>
      <c r="P984" s="336"/>
      <c r="Q984" s="301"/>
      <c r="R984" s="336"/>
      <c r="S984" s="301"/>
      <c r="T984" s="336"/>
    </row>
    <row r="985" spans="1:20" ht="12" customHeight="1" x14ac:dyDescent="0.3">
      <c r="A985" s="329" t="s">
        <v>289</v>
      </c>
      <c r="B985" s="330">
        <v>4</v>
      </c>
      <c r="C985" s="298">
        <v>46032</v>
      </c>
      <c r="D985" s="299" t="s">
        <v>296</v>
      </c>
      <c r="E985" s="331">
        <v>30.4</v>
      </c>
      <c r="F985" s="331"/>
      <c r="G985" s="333">
        <f t="shared" si="11"/>
        <v>1445.15</v>
      </c>
      <c r="H985" s="334"/>
      <c r="I985" s="335"/>
      <c r="J985" s="336"/>
      <c r="K985" s="301"/>
      <c r="L985" s="336"/>
      <c r="M985" s="301"/>
      <c r="N985" s="336"/>
      <c r="O985" s="301"/>
      <c r="P985" s="336"/>
      <c r="Q985" s="301"/>
      <c r="R985" s="336"/>
      <c r="S985" s="301"/>
      <c r="T985" s="336"/>
    </row>
    <row r="986" spans="1:20" ht="12" customHeight="1" x14ac:dyDescent="0.3">
      <c r="A986" s="329" t="s">
        <v>289</v>
      </c>
      <c r="B986" s="330">
        <v>2</v>
      </c>
      <c r="C986" s="298">
        <v>46032</v>
      </c>
      <c r="D986" s="299" t="s">
        <v>296</v>
      </c>
      <c r="E986" s="331">
        <v>13.83</v>
      </c>
      <c r="F986" s="331"/>
      <c r="G986" s="333">
        <f t="shared" si="11"/>
        <v>1475.5500000000002</v>
      </c>
      <c r="H986" s="334"/>
      <c r="I986" s="335"/>
      <c r="J986" s="336"/>
      <c r="K986" s="301"/>
      <c r="L986" s="336"/>
      <c r="M986" s="301"/>
      <c r="N986" s="336"/>
      <c r="O986" s="301"/>
      <c r="P986" s="336"/>
      <c r="Q986" s="301"/>
      <c r="R986" s="336"/>
      <c r="S986" s="301"/>
      <c r="T986" s="336"/>
    </row>
    <row r="987" spans="1:20" ht="12" customHeight="1" x14ac:dyDescent="0.3">
      <c r="A987" s="329" t="s">
        <v>289</v>
      </c>
      <c r="B987" s="330">
        <v>2</v>
      </c>
      <c r="C987" s="298">
        <v>46032</v>
      </c>
      <c r="D987" s="299" t="s">
        <v>473</v>
      </c>
      <c r="E987" s="331">
        <v>100</v>
      </c>
      <c r="F987" s="331"/>
      <c r="G987" s="333">
        <f t="shared" si="11"/>
        <v>1489.38</v>
      </c>
      <c r="H987" s="334"/>
      <c r="I987" s="335"/>
      <c r="J987" s="336"/>
      <c r="K987" s="301"/>
      <c r="L987" s="336"/>
      <c r="M987" s="301"/>
      <c r="N987" s="336"/>
      <c r="O987" s="301"/>
      <c r="P987" s="336"/>
      <c r="Q987" s="301"/>
      <c r="R987" s="336"/>
      <c r="S987" s="301"/>
      <c r="T987" s="336"/>
    </row>
    <row r="988" spans="1:20" ht="12" customHeight="1" x14ac:dyDescent="0.3">
      <c r="A988" s="329" t="s">
        <v>289</v>
      </c>
      <c r="B988" s="330">
        <v>1</v>
      </c>
      <c r="C988" s="298">
        <v>46032</v>
      </c>
      <c r="D988" s="299" t="s">
        <v>304</v>
      </c>
      <c r="E988" s="331">
        <v>55.68</v>
      </c>
      <c r="F988" s="331"/>
      <c r="G988" s="333">
        <f t="shared" si="11"/>
        <v>1589.38</v>
      </c>
      <c r="H988" s="334"/>
      <c r="I988" s="335"/>
      <c r="J988" s="336"/>
      <c r="K988" s="301"/>
      <c r="L988" s="336"/>
      <c r="M988" s="301"/>
      <c r="N988" s="336"/>
      <c r="O988" s="301"/>
      <c r="P988" s="336"/>
      <c r="Q988" s="301"/>
      <c r="R988" s="336"/>
      <c r="S988" s="301"/>
      <c r="T988" s="336"/>
    </row>
    <row r="989" spans="1:20" ht="12" customHeight="1" x14ac:dyDescent="0.3">
      <c r="A989" s="329" t="s">
        <v>289</v>
      </c>
      <c r="B989" s="330">
        <v>2</v>
      </c>
      <c r="C989" s="298">
        <v>46031</v>
      </c>
      <c r="D989" s="299" t="s">
        <v>358</v>
      </c>
      <c r="E989" s="331">
        <v>9.4700000000000006</v>
      </c>
      <c r="F989" s="331"/>
      <c r="G989" s="333">
        <f t="shared" si="11"/>
        <v>1645.0600000000002</v>
      </c>
      <c r="H989" s="334"/>
      <c r="I989" s="335"/>
      <c r="J989" s="336"/>
      <c r="K989" s="301"/>
      <c r="L989" s="336"/>
      <c r="M989" s="301"/>
      <c r="N989" s="336"/>
      <c r="O989" s="301"/>
      <c r="P989" s="336"/>
      <c r="Q989" s="301"/>
      <c r="R989" s="336"/>
      <c r="S989" s="301"/>
      <c r="T989" s="336"/>
    </row>
    <row r="990" spans="1:20" ht="12" customHeight="1" x14ac:dyDescent="0.3">
      <c r="A990" s="329" t="s">
        <v>289</v>
      </c>
      <c r="B990" s="330">
        <v>5</v>
      </c>
      <c r="C990" s="298">
        <v>46031</v>
      </c>
      <c r="D990" s="299" t="s">
        <v>475</v>
      </c>
      <c r="E990" s="331">
        <v>50</v>
      </c>
      <c r="F990" s="331"/>
      <c r="G990" s="333">
        <f t="shared" si="11"/>
        <v>1654.5300000000002</v>
      </c>
      <c r="H990" s="334"/>
      <c r="I990" s="335"/>
      <c r="J990" s="336"/>
      <c r="K990" s="301"/>
      <c r="L990" s="336"/>
      <c r="M990" s="301"/>
      <c r="N990" s="336"/>
      <c r="O990" s="301"/>
      <c r="P990" s="336"/>
      <c r="Q990" s="301"/>
      <c r="R990" s="336"/>
      <c r="S990" s="301"/>
      <c r="T990" s="336"/>
    </row>
    <row r="991" spans="1:20" ht="12" customHeight="1" x14ac:dyDescent="0.3">
      <c r="A991" s="329" t="s">
        <v>289</v>
      </c>
      <c r="B991" s="330">
        <v>8</v>
      </c>
      <c r="C991" s="298">
        <v>46030</v>
      </c>
      <c r="D991" s="299" t="s">
        <v>476</v>
      </c>
      <c r="E991" s="331">
        <v>32.619999999999997</v>
      </c>
      <c r="F991" s="331"/>
      <c r="G991" s="333">
        <f t="shared" si="11"/>
        <v>1704.5300000000002</v>
      </c>
      <c r="H991" s="334"/>
      <c r="I991" s="335"/>
      <c r="J991" s="336"/>
      <c r="K991" s="301"/>
      <c r="L991" s="336"/>
      <c r="M991" s="301"/>
      <c r="N991" s="336"/>
      <c r="O991" s="301"/>
      <c r="P991" s="336"/>
      <c r="Q991" s="301"/>
      <c r="R991" s="336"/>
      <c r="S991" s="301"/>
      <c r="T991" s="336"/>
    </row>
    <row r="992" spans="1:20" ht="12" customHeight="1" x14ac:dyDescent="0.3">
      <c r="A992" s="329" t="s">
        <v>291</v>
      </c>
      <c r="B992" s="330">
        <v>39</v>
      </c>
      <c r="C992" s="298">
        <v>46030</v>
      </c>
      <c r="D992" s="299" t="s">
        <v>292</v>
      </c>
      <c r="E992" s="331"/>
      <c r="F992" s="331">
        <v>2729.22</v>
      </c>
      <c r="G992" s="333">
        <f t="shared" si="11"/>
        <v>1737.15</v>
      </c>
      <c r="H992" s="334"/>
      <c r="I992" s="335"/>
      <c r="J992" s="336"/>
      <c r="K992" s="301"/>
      <c r="L992" s="336"/>
      <c r="M992" s="301"/>
      <c r="N992" s="336"/>
      <c r="O992" s="301"/>
      <c r="P992" s="336"/>
      <c r="Q992" s="301"/>
      <c r="R992" s="336"/>
      <c r="S992" s="301"/>
      <c r="T992" s="336"/>
    </row>
    <row r="993" spans="1:20" ht="12" customHeight="1" x14ac:dyDescent="0.3">
      <c r="A993" s="329" t="s">
        <v>289</v>
      </c>
      <c r="B993" s="330">
        <v>2</v>
      </c>
      <c r="C993" s="298">
        <v>46030</v>
      </c>
      <c r="D993" s="299" t="s">
        <v>296</v>
      </c>
      <c r="E993" s="331">
        <v>6.37</v>
      </c>
      <c r="F993" s="331"/>
      <c r="G993" s="333">
        <f t="shared" si="11"/>
        <v>-992.06999999999971</v>
      </c>
      <c r="H993" s="334"/>
      <c r="I993" s="335"/>
      <c r="J993" s="336"/>
      <c r="K993" s="301"/>
      <c r="L993" s="336"/>
      <c r="M993" s="301"/>
      <c r="N993" s="336"/>
      <c r="O993" s="301"/>
      <c r="P993" s="336"/>
      <c r="Q993" s="301"/>
      <c r="R993" s="336"/>
      <c r="S993" s="301"/>
      <c r="T993" s="336"/>
    </row>
    <row r="994" spans="1:20" ht="12" customHeight="1" x14ac:dyDescent="0.3">
      <c r="A994" s="329" t="s">
        <v>289</v>
      </c>
      <c r="B994" s="330">
        <v>4</v>
      </c>
      <c r="C994" s="298">
        <v>46030</v>
      </c>
      <c r="D994" s="299" t="s">
        <v>296</v>
      </c>
      <c r="E994" s="331">
        <v>32.119999999999997</v>
      </c>
      <c r="F994" s="331"/>
      <c r="G994" s="333">
        <f t="shared" si="11"/>
        <v>-985.6999999999997</v>
      </c>
      <c r="H994" s="334"/>
      <c r="I994" s="335"/>
      <c r="J994" s="336"/>
      <c r="K994" s="301"/>
      <c r="L994" s="336"/>
      <c r="M994" s="301"/>
      <c r="N994" s="336"/>
      <c r="O994" s="301"/>
      <c r="P994" s="336"/>
      <c r="Q994" s="301"/>
      <c r="R994" s="336"/>
      <c r="S994" s="301"/>
      <c r="T994" s="336"/>
    </row>
    <row r="995" spans="1:20" ht="12" customHeight="1" x14ac:dyDescent="0.3">
      <c r="A995" s="329" t="s">
        <v>289</v>
      </c>
      <c r="B995" s="330">
        <v>2</v>
      </c>
      <c r="C995" s="298">
        <v>46030</v>
      </c>
      <c r="D995" s="299" t="s">
        <v>358</v>
      </c>
      <c r="E995" s="331">
        <v>9.4700000000000006</v>
      </c>
      <c r="F995" s="331"/>
      <c r="G995" s="333">
        <f t="shared" si="11"/>
        <v>-953.5799999999997</v>
      </c>
      <c r="H995" s="334"/>
      <c r="I995" s="335"/>
      <c r="J995" s="336"/>
      <c r="K995" s="301"/>
      <c r="L995" s="336"/>
      <c r="M995" s="301"/>
      <c r="N995" s="336"/>
      <c r="O995" s="301"/>
      <c r="P995" s="336"/>
      <c r="Q995" s="301"/>
      <c r="R995" s="336"/>
      <c r="S995" s="301"/>
      <c r="T995" s="336"/>
    </row>
    <row r="996" spans="1:20" ht="12" customHeight="1" x14ac:dyDescent="0.3">
      <c r="A996" s="329" t="s">
        <v>289</v>
      </c>
      <c r="B996" s="330">
        <v>2</v>
      </c>
      <c r="C996" s="298">
        <v>46030</v>
      </c>
      <c r="D996" s="299" t="s">
        <v>386</v>
      </c>
      <c r="E996" s="331">
        <v>21.18</v>
      </c>
      <c r="F996" s="331"/>
      <c r="G996" s="333">
        <f t="shared" si="11"/>
        <v>-944.10999999999967</v>
      </c>
      <c r="H996" s="334"/>
      <c r="I996" s="335"/>
      <c r="J996" s="336"/>
      <c r="K996" s="301"/>
      <c r="L996" s="336"/>
      <c r="M996" s="301"/>
      <c r="N996" s="336"/>
      <c r="O996" s="301"/>
      <c r="P996" s="336"/>
      <c r="Q996" s="301"/>
      <c r="R996" s="336"/>
      <c r="S996" s="301"/>
      <c r="T996" s="336"/>
    </row>
    <row r="997" spans="1:20" ht="12" customHeight="1" x14ac:dyDescent="0.3">
      <c r="A997" s="329" t="s">
        <v>335</v>
      </c>
      <c r="B997" s="330" t="s">
        <v>335</v>
      </c>
      <c r="C997" s="298">
        <v>46029</v>
      </c>
      <c r="D997" s="299" t="s">
        <v>447</v>
      </c>
      <c r="E997" s="331">
        <v>52.66</v>
      </c>
      <c r="F997" s="331"/>
      <c r="G997" s="333">
        <f t="shared" si="11"/>
        <v>-922.92999999999972</v>
      </c>
      <c r="H997" s="334"/>
      <c r="I997" s="335"/>
      <c r="J997" s="336"/>
      <c r="K997" s="301"/>
      <c r="L997" s="336"/>
      <c r="M997" s="301"/>
      <c r="N997" s="336"/>
      <c r="O997" s="301"/>
      <c r="P997" s="336"/>
      <c r="Q997" s="301"/>
      <c r="R997" s="336"/>
      <c r="S997" s="301"/>
      <c r="T997" s="336"/>
    </row>
    <row r="998" spans="1:20" ht="12" customHeight="1" x14ac:dyDescent="0.3">
      <c r="A998" s="329" t="s">
        <v>294</v>
      </c>
      <c r="B998" s="330">
        <v>13</v>
      </c>
      <c r="C998" s="298">
        <v>46029</v>
      </c>
      <c r="D998" s="299" t="s">
        <v>182</v>
      </c>
      <c r="E998" s="331">
        <v>167.42</v>
      </c>
      <c r="F998" s="331"/>
      <c r="G998" s="333">
        <f t="shared" si="11"/>
        <v>-870.26999999999975</v>
      </c>
      <c r="H998" s="334"/>
      <c r="I998" s="335"/>
      <c r="J998" s="336"/>
      <c r="K998" s="301"/>
      <c r="L998" s="336"/>
      <c r="M998" s="301"/>
      <c r="N998" s="336"/>
      <c r="O998" s="301"/>
      <c r="P998" s="336"/>
      <c r="Q998" s="301"/>
      <c r="R998" s="336"/>
      <c r="S998" s="301"/>
      <c r="T998" s="336"/>
    </row>
    <row r="999" spans="1:20" ht="12" customHeight="1" x14ac:dyDescent="0.3">
      <c r="A999" s="329" t="s">
        <v>289</v>
      </c>
      <c r="B999" s="330">
        <v>4</v>
      </c>
      <c r="C999" s="298">
        <v>46029</v>
      </c>
      <c r="D999" s="299" t="s">
        <v>296</v>
      </c>
      <c r="E999" s="331">
        <v>30.81</v>
      </c>
      <c r="F999" s="331"/>
      <c r="G999" s="333">
        <f t="shared" si="11"/>
        <v>-702.8499999999998</v>
      </c>
      <c r="H999" s="334"/>
      <c r="I999" s="335"/>
      <c r="J999" s="336"/>
      <c r="K999" s="301"/>
      <c r="L999" s="336"/>
      <c r="M999" s="301"/>
      <c r="N999" s="336"/>
      <c r="O999" s="301"/>
      <c r="P999" s="336"/>
      <c r="Q999" s="301"/>
      <c r="R999" s="336"/>
      <c r="S999" s="301"/>
      <c r="T999" s="336"/>
    </row>
    <row r="1000" spans="1:20" ht="12" customHeight="1" x14ac:dyDescent="0.3">
      <c r="A1000" s="329" t="s">
        <v>289</v>
      </c>
      <c r="B1000" s="330">
        <v>2</v>
      </c>
      <c r="C1000" s="298">
        <v>46029</v>
      </c>
      <c r="D1000" s="299" t="s">
        <v>358</v>
      </c>
      <c r="E1000" s="331">
        <v>9.4700000000000006</v>
      </c>
      <c r="F1000" s="331"/>
      <c r="G1000" s="333">
        <f t="shared" si="11"/>
        <v>-672.03999999999985</v>
      </c>
      <c r="H1000" s="334"/>
      <c r="I1000" s="335"/>
      <c r="J1000" s="336"/>
      <c r="K1000" s="301"/>
      <c r="L1000" s="336"/>
      <c r="M1000" s="301"/>
      <c r="N1000" s="336"/>
      <c r="O1000" s="301"/>
      <c r="P1000" s="336"/>
      <c r="Q1000" s="301"/>
      <c r="R1000" s="336"/>
      <c r="S1000" s="301"/>
      <c r="T1000" s="336"/>
    </row>
    <row r="1001" spans="1:20" ht="12" customHeight="1" x14ac:dyDescent="0.3">
      <c r="A1001" s="329" t="s">
        <v>294</v>
      </c>
      <c r="B1001" s="330">
        <v>22</v>
      </c>
      <c r="C1001" s="298">
        <v>46029</v>
      </c>
      <c r="D1001" s="299" t="s">
        <v>477</v>
      </c>
      <c r="E1001" s="331">
        <v>148.04</v>
      </c>
      <c r="F1001" s="331"/>
      <c r="G1001" s="333">
        <f t="shared" si="11"/>
        <v>-662.56999999999982</v>
      </c>
      <c r="H1001" s="334"/>
      <c r="I1001" s="335"/>
      <c r="J1001" s="336"/>
      <c r="K1001" s="301"/>
      <c r="L1001" s="336"/>
      <c r="M1001" s="301"/>
      <c r="N1001" s="336"/>
      <c r="O1001" s="301"/>
      <c r="P1001" s="336"/>
      <c r="Q1001" s="301"/>
      <c r="R1001" s="336"/>
      <c r="S1001" s="301"/>
      <c r="T1001" s="336"/>
    </row>
    <row r="1002" spans="1:20" ht="12" customHeight="1" x14ac:dyDescent="0.3">
      <c r="A1002" s="329" t="s">
        <v>294</v>
      </c>
      <c r="B1002" s="330">
        <v>14</v>
      </c>
      <c r="C1002" s="298">
        <v>46028</v>
      </c>
      <c r="D1002" s="299" t="s">
        <v>366</v>
      </c>
      <c r="E1002" s="331">
        <v>66.67</v>
      </c>
      <c r="F1002" s="331"/>
      <c r="G1002" s="333">
        <f t="shared" si="11"/>
        <v>-514.52999999999986</v>
      </c>
      <c r="H1002" s="334"/>
      <c r="I1002" s="335"/>
      <c r="J1002" s="336"/>
      <c r="K1002" s="301"/>
      <c r="L1002" s="336"/>
      <c r="M1002" s="301"/>
      <c r="N1002" s="336"/>
      <c r="O1002" s="301"/>
      <c r="P1002" s="336"/>
      <c r="Q1002" s="301"/>
      <c r="R1002" s="336"/>
      <c r="S1002" s="301"/>
      <c r="T1002" s="336"/>
    </row>
    <row r="1003" spans="1:20" ht="12" customHeight="1" x14ac:dyDescent="0.3">
      <c r="A1003" s="329" t="s">
        <v>289</v>
      </c>
      <c r="B1003" s="330">
        <v>3</v>
      </c>
      <c r="C1003" s="298">
        <v>46028</v>
      </c>
      <c r="D1003" s="299" t="s">
        <v>296</v>
      </c>
      <c r="E1003" s="331">
        <v>5.7</v>
      </c>
      <c r="F1003" s="331"/>
      <c r="G1003" s="333">
        <f t="shared" si="11"/>
        <v>-447.8599999999999</v>
      </c>
      <c r="H1003" s="334"/>
      <c r="I1003" s="335"/>
      <c r="J1003" s="336"/>
      <c r="K1003" s="301"/>
      <c r="L1003" s="336"/>
      <c r="M1003" s="301"/>
      <c r="N1003" s="336"/>
      <c r="O1003" s="301"/>
      <c r="P1003" s="336"/>
      <c r="Q1003" s="301"/>
      <c r="R1003" s="336"/>
      <c r="S1003" s="301"/>
      <c r="T1003" s="336"/>
    </row>
    <row r="1004" spans="1:20" ht="12" customHeight="1" x14ac:dyDescent="0.3">
      <c r="A1004" s="329" t="s">
        <v>294</v>
      </c>
      <c r="B1004" s="330">
        <v>21</v>
      </c>
      <c r="C1004" s="298">
        <v>46028</v>
      </c>
      <c r="D1004" s="299" t="s">
        <v>194</v>
      </c>
      <c r="E1004" s="331">
        <v>30.59</v>
      </c>
      <c r="F1004" s="331"/>
      <c r="G1004" s="333">
        <f t="shared" si="11"/>
        <v>-442.15999999999991</v>
      </c>
      <c r="H1004" s="334"/>
      <c r="I1004" s="335"/>
      <c r="J1004" s="336"/>
      <c r="K1004" s="301"/>
      <c r="L1004" s="336"/>
      <c r="M1004" s="301"/>
      <c r="N1004" s="336"/>
      <c r="O1004" s="301"/>
      <c r="P1004" s="336"/>
      <c r="Q1004" s="301"/>
      <c r="R1004" s="336"/>
      <c r="S1004" s="301"/>
      <c r="T1004" s="336"/>
    </row>
    <row r="1005" spans="1:20" ht="12" customHeight="1" x14ac:dyDescent="0.3">
      <c r="A1005" s="329" t="s">
        <v>294</v>
      </c>
      <c r="B1005" s="330">
        <v>17</v>
      </c>
      <c r="C1005" s="298">
        <v>46027</v>
      </c>
      <c r="D1005" s="299" t="s">
        <v>370</v>
      </c>
      <c r="E1005" s="331">
        <v>133.91999999999999</v>
      </c>
      <c r="F1005" s="331"/>
      <c r="G1005" s="333">
        <f t="shared" si="11"/>
        <v>-411.56999999999994</v>
      </c>
      <c r="H1005" s="334"/>
      <c r="I1005" s="335"/>
      <c r="J1005" s="336"/>
      <c r="K1005" s="301"/>
      <c r="L1005" s="336"/>
      <c r="M1005" s="301"/>
      <c r="N1005" s="336"/>
      <c r="O1005" s="301"/>
      <c r="P1005" s="336"/>
      <c r="Q1005" s="301"/>
      <c r="R1005" s="336"/>
      <c r="S1005" s="301"/>
      <c r="T1005" s="336"/>
    </row>
    <row r="1006" spans="1:20" ht="12" customHeight="1" x14ac:dyDescent="0.3">
      <c r="A1006" s="329" t="s">
        <v>294</v>
      </c>
      <c r="B1006" s="330">
        <v>17</v>
      </c>
      <c r="C1006" s="298">
        <v>46027</v>
      </c>
      <c r="D1006" s="299" t="s">
        <v>370</v>
      </c>
      <c r="E1006" s="331">
        <v>62</v>
      </c>
      <c r="F1006" s="331"/>
      <c r="G1006" s="333">
        <f t="shared" si="11"/>
        <v>-277.64999999999992</v>
      </c>
      <c r="H1006" s="334"/>
      <c r="I1006" s="335"/>
      <c r="J1006" s="336"/>
      <c r="K1006" s="301"/>
      <c r="L1006" s="336"/>
      <c r="M1006" s="301"/>
      <c r="N1006" s="336"/>
      <c r="O1006" s="301"/>
      <c r="P1006" s="336"/>
      <c r="Q1006" s="301"/>
      <c r="R1006" s="336"/>
      <c r="S1006" s="301"/>
      <c r="T1006" s="336"/>
    </row>
    <row r="1007" spans="1:20" ht="12" customHeight="1" x14ac:dyDescent="0.3">
      <c r="A1007" s="329" t="s">
        <v>289</v>
      </c>
      <c r="B1007" s="330">
        <v>6</v>
      </c>
      <c r="C1007" s="298">
        <v>46027</v>
      </c>
      <c r="D1007" s="299" t="s">
        <v>300</v>
      </c>
      <c r="E1007" s="331">
        <v>10.64</v>
      </c>
      <c r="F1007" s="331"/>
      <c r="G1007" s="333">
        <f t="shared" si="11"/>
        <v>-215.64999999999992</v>
      </c>
      <c r="H1007" s="334"/>
      <c r="I1007" s="335"/>
      <c r="J1007" s="336"/>
      <c r="K1007" s="301"/>
      <c r="L1007" s="336"/>
      <c r="M1007" s="301"/>
      <c r="N1007" s="336"/>
      <c r="O1007" s="301"/>
      <c r="P1007" s="336"/>
      <c r="Q1007" s="301"/>
      <c r="R1007" s="336"/>
      <c r="S1007" s="301"/>
      <c r="T1007" s="336"/>
    </row>
    <row r="1008" spans="1:20" ht="12" customHeight="1" x14ac:dyDescent="0.3">
      <c r="A1008" s="329" t="s">
        <v>289</v>
      </c>
      <c r="B1008" s="330">
        <v>8</v>
      </c>
      <c r="C1008" s="298">
        <v>46027</v>
      </c>
      <c r="D1008" s="299" t="s">
        <v>319</v>
      </c>
      <c r="E1008" s="331">
        <v>17.440000000000001</v>
      </c>
      <c r="F1008" s="331"/>
      <c r="G1008" s="333">
        <f t="shared" si="11"/>
        <v>-205.00999999999991</v>
      </c>
      <c r="H1008" s="334"/>
      <c r="I1008" s="335"/>
      <c r="J1008" s="336"/>
      <c r="K1008" s="301"/>
      <c r="L1008" s="336"/>
      <c r="M1008" s="301"/>
      <c r="N1008" s="336"/>
      <c r="O1008" s="301"/>
      <c r="P1008" s="336"/>
      <c r="Q1008" s="301"/>
      <c r="R1008" s="336"/>
      <c r="S1008" s="301"/>
      <c r="T1008" s="336"/>
    </row>
    <row r="1009" spans="1:20" ht="12" customHeight="1" x14ac:dyDescent="0.3">
      <c r="A1009" s="329" t="s">
        <v>289</v>
      </c>
      <c r="B1009" s="330">
        <v>1</v>
      </c>
      <c r="C1009" s="298">
        <v>46027</v>
      </c>
      <c r="D1009" s="299" t="s">
        <v>306</v>
      </c>
      <c r="E1009" s="331">
        <v>216.19</v>
      </c>
      <c r="F1009" s="331"/>
      <c r="G1009" s="333">
        <f t="shared" si="11"/>
        <v>-187.56999999999991</v>
      </c>
      <c r="H1009" s="334"/>
      <c r="I1009" s="335"/>
      <c r="J1009" s="336"/>
      <c r="K1009" s="301"/>
      <c r="L1009" s="336"/>
      <c r="M1009" s="301"/>
      <c r="N1009" s="336"/>
      <c r="O1009" s="301"/>
      <c r="P1009" s="336"/>
      <c r="Q1009" s="301"/>
      <c r="R1009" s="336"/>
      <c r="S1009" s="301"/>
      <c r="T1009" s="336"/>
    </row>
    <row r="1010" spans="1:20" ht="12" customHeight="1" x14ac:dyDescent="0.3">
      <c r="A1010" s="329" t="s">
        <v>289</v>
      </c>
      <c r="B1010" s="330">
        <v>2</v>
      </c>
      <c r="C1010" s="298">
        <v>46027</v>
      </c>
      <c r="D1010" s="299" t="s">
        <v>478</v>
      </c>
      <c r="E1010" s="331">
        <v>70</v>
      </c>
      <c r="F1010" s="331"/>
      <c r="G1010" s="333">
        <f t="shared" si="11"/>
        <v>28.62000000000009</v>
      </c>
      <c r="H1010" s="334"/>
      <c r="I1010" s="335"/>
      <c r="J1010" s="336"/>
      <c r="K1010" s="301"/>
      <c r="L1010" s="336"/>
      <c r="M1010" s="301"/>
      <c r="N1010" s="336"/>
      <c r="O1010" s="301"/>
      <c r="P1010" s="336"/>
      <c r="Q1010" s="301"/>
      <c r="R1010" s="336"/>
      <c r="S1010" s="301"/>
      <c r="T1010" s="336"/>
    </row>
    <row r="1011" spans="1:20" ht="12" customHeight="1" x14ac:dyDescent="0.3">
      <c r="A1011" s="329" t="s">
        <v>289</v>
      </c>
      <c r="B1011" s="330">
        <v>2</v>
      </c>
      <c r="C1011" s="298">
        <v>46027</v>
      </c>
      <c r="D1011" s="299" t="s">
        <v>358</v>
      </c>
      <c r="E1011" s="331">
        <v>14.05</v>
      </c>
      <c r="F1011" s="331"/>
      <c r="G1011" s="333">
        <f t="shared" si="11"/>
        <v>98.62000000000009</v>
      </c>
      <c r="H1011" s="334"/>
      <c r="I1011" s="335"/>
      <c r="J1011" s="336"/>
      <c r="K1011" s="301"/>
      <c r="L1011" s="336"/>
      <c r="M1011" s="301"/>
      <c r="N1011" s="336"/>
      <c r="O1011" s="301"/>
      <c r="P1011" s="336"/>
      <c r="Q1011" s="301"/>
      <c r="R1011" s="336"/>
      <c r="S1011" s="301"/>
      <c r="T1011" s="336"/>
    </row>
    <row r="1012" spans="1:20" ht="12" customHeight="1" x14ac:dyDescent="0.3">
      <c r="A1012" s="329" t="s">
        <v>294</v>
      </c>
      <c r="B1012" s="330">
        <v>14</v>
      </c>
      <c r="C1012" s="298">
        <v>46027</v>
      </c>
      <c r="D1012" s="299" t="s">
        <v>367</v>
      </c>
      <c r="E1012" s="331">
        <v>68.739999999999995</v>
      </c>
      <c r="F1012" s="331"/>
      <c r="G1012" s="333">
        <f t="shared" si="11"/>
        <v>112.67000000000009</v>
      </c>
      <c r="H1012" s="334"/>
      <c r="I1012" s="335"/>
      <c r="J1012" s="336"/>
      <c r="K1012" s="301"/>
      <c r="L1012" s="336"/>
      <c r="M1012" s="301"/>
      <c r="N1012" s="336"/>
      <c r="O1012" s="301"/>
      <c r="P1012" s="336"/>
      <c r="Q1012" s="301"/>
      <c r="R1012" s="336"/>
      <c r="S1012" s="301"/>
      <c r="T1012" s="336"/>
    </row>
    <row r="1013" spans="1:20" ht="12" customHeight="1" x14ac:dyDescent="0.3">
      <c r="A1013" s="329" t="s">
        <v>289</v>
      </c>
      <c r="B1013" s="330">
        <v>6</v>
      </c>
      <c r="C1013" s="298">
        <v>46027</v>
      </c>
      <c r="D1013" s="299" t="s">
        <v>479</v>
      </c>
      <c r="E1013" s="331">
        <v>120</v>
      </c>
      <c r="F1013" s="331"/>
      <c r="G1013" s="333">
        <f t="shared" si="11"/>
        <v>181.41000000000008</v>
      </c>
      <c r="H1013" s="334"/>
      <c r="I1013" s="335"/>
      <c r="J1013" s="336"/>
      <c r="K1013" s="301"/>
      <c r="L1013" s="336"/>
      <c r="M1013" s="301"/>
      <c r="N1013" s="336"/>
      <c r="O1013" s="301"/>
      <c r="P1013" s="336"/>
      <c r="Q1013" s="301"/>
      <c r="R1013" s="336"/>
      <c r="S1013" s="301"/>
      <c r="T1013" s="336"/>
    </row>
    <row r="1014" spans="1:20" ht="12" customHeight="1" x14ac:dyDescent="0.3">
      <c r="A1014" s="329" t="s">
        <v>294</v>
      </c>
      <c r="B1014" s="330">
        <v>9</v>
      </c>
      <c r="C1014" s="298">
        <v>46027</v>
      </c>
      <c r="D1014" s="299" t="s">
        <v>58</v>
      </c>
      <c r="E1014" s="331">
        <v>1281.53</v>
      </c>
      <c r="F1014" s="331"/>
      <c r="G1014" s="333">
        <f t="shared" si="11"/>
        <v>301.41000000000008</v>
      </c>
      <c r="H1014" s="334"/>
      <c r="I1014" s="335"/>
      <c r="J1014" s="336"/>
      <c r="K1014" s="301"/>
      <c r="L1014" s="336"/>
      <c r="M1014" s="301"/>
      <c r="N1014" s="336"/>
      <c r="O1014" s="301"/>
      <c r="P1014" s="336"/>
      <c r="Q1014" s="301"/>
      <c r="R1014" s="336"/>
      <c r="S1014" s="301"/>
      <c r="T1014" s="336"/>
    </row>
    <row r="1015" spans="1:20" ht="12" customHeight="1" x14ac:dyDescent="0.3">
      <c r="A1015" s="329" t="s">
        <v>289</v>
      </c>
      <c r="B1015" s="330">
        <v>7</v>
      </c>
      <c r="C1015" s="298">
        <v>46026</v>
      </c>
      <c r="D1015" s="299" t="s">
        <v>338</v>
      </c>
      <c r="E1015" s="331">
        <v>18.260000000000002</v>
      </c>
      <c r="F1015" s="331"/>
      <c r="G1015" s="333">
        <f t="shared" si="11"/>
        <v>1582.94</v>
      </c>
      <c r="H1015" s="334"/>
      <c r="I1015" s="335"/>
      <c r="J1015" s="336"/>
      <c r="K1015" s="301"/>
      <c r="L1015" s="336"/>
      <c r="M1015" s="301"/>
      <c r="N1015" s="336"/>
      <c r="O1015" s="301"/>
      <c r="P1015" s="336"/>
      <c r="Q1015" s="301"/>
      <c r="R1015" s="336"/>
      <c r="S1015" s="301"/>
      <c r="T1015" s="336"/>
    </row>
    <row r="1016" spans="1:20" ht="12" customHeight="1" x14ac:dyDescent="0.3">
      <c r="A1016" s="329" t="s">
        <v>287</v>
      </c>
      <c r="B1016" s="330" t="s">
        <v>287</v>
      </c>
      <c r="C1016" s="298">
        <v>46026</v>
      </c>
      <c r="D1016" s="299" t="s">
        <v>300</v>
      </c>
      <c r="E1016" s="331">
        <v>114.91</v>
      </c>
      <c r="F1016" s="331">
        <v>114.91</v>
      </c>
      <c r="G1016" s="333">
        <f t="shared" si="11"/>
        <v>1601.2</v>
      </c>
      <c r="H1016" s="334"/>
      <c r="I1016" s="335"/>
      <c r="J1016" s="336"/>
      <c r="K1016" s="301"/>
      <c r="L1016" s="336"/>
      <c r="M1016" s="301"/>
      <c r="N1016" s="336"/>
      <c r="O1016" s="301"/>
      <c r="P1016" s="336"/>
      <c r="Q1016" s="301"/>
      <c r="R1016" s="336"/>
      <c r="S1016" s="301"/>
      <c r="T1016" s="336"/>
    </row>
    <row r="1017" spans="1:20" ht="12" customHeight="1" x14ac:dyDescent="0.3">
      <c r="A1017" s="329" t="s">
        <v>289</v>
      </c>
      <c r="B1017" s="330">
        <v>5</v>
      </c>
      <c r="C1017" s="298">
        <v>46026</v>
      </c>
      <c r="D1017" s="299" t="s">
        <v>480</v>
      </c>
      <c r="E1017" s="331">
        <v>42.43</v>
      </c>
      <c r="F1017" s="331"/>
      <c r="G1017" s="333">
        <f t="shared" si="11"/>
        <v>1601.2</v>
      </c>
      <c r="H1017" s="334"/>
      <c r="I1017" s="335"/>
      <c r="J1017" s="336"/>
      <c r="K1017" s="301"/>
      <c r="L1017" s="336"/>
      <c r="M1017" s="301"/>
      <c r="N1017" s="336"/>
      <c r="O1017" s="301"/>
      <c r="P1017" s="336"/>
      <c r="Q1017" s="301"/>
      <c r="R1017" s="336"/>
      <c r="S1017" s="301"/>
      <c r="T1017" s="336"/>
    </row>
    <row r="1018" spans="1:20" ht="12" customHeight="1" x14ac:dyDescent="0.3">
      <c r="A1018" s="329" t="s">
        <v>289</v>
      </c>
      <c r="B1018" s="330">
        <v>7</v>
      </c>
      <c r="C1018" s="298">
        <v>46026</v>
      </c>
      <c r="D1018" s="299" t="s">
        <v>300</v>
      </c>
      <c r="E1018" s="331">
        <v>42.59</v>
      </c>
      <c r="F1018" s="331"/>
      <c r="G1018" s="333">
        <f t="shared" si="11"/>
        <v>1643.63</v>
      </c>
      <c r="H1018" s="334"/>
      <c r="I1018" s="335"/>
      <c r="J1018" s="336"/>
      <c r="K1018" s="301"/>
      <c r="L1018" s="336"/>
      <c r="M1018" s="301"/>
      <c r="N1018" s="336"/>
      <c r="O1018" s="301"/>
      <c r="P1018" s="336"/>
      <c r="Q1018" s="301"/>
      <c r="R1018" s="336"/>
      <c r="S1018" s="301"/>
      <c r="T1018" s="336"/>
    </row>
    <row r="1019" spans="1:20" ht="12" customHeight="1" x14ac:dyDescent="0.3">
      <c r="A1019" s="329" t="s">
        <v>289</v>
      </c>
      <c r="B1019" s="330">
        <v>3</v>
      </c>
      <c r="C1019" s="298">
        <v>46025</v>
      </c>
      <c r="D1019" s="299" t="s">
        <v>348</v>
      </c>
      <c r="E1019" s="331">
        <v>14.57</v>
      </c>
      <c r="F1019" s="331"/>
      <c r="G1019" s="333">
        <f t="shared" si="11"/>
        <v>1686.22</v>
      </c>
      <c r="H1019" s="334"/>
      <c r="I1019" s="335"/>
      <c r="J1019" s="336"/>
      <c r="K1019" s="301"/>
      <c r="L1019" s="336"/>
      <c r="M1019" s="301"/>
      <c r="N1019" s="336"/>
      <c r="O1019" s="301"/>
      <c r="P1019" s="336"/>
      <c r="Q1019" s="301"/>
      <c r="R1019" s="336"/>
      <c r="S1019" s="301"/>
      <c r="T1019" s="336"/>
    </row>
    <row r="1020" spans="1:20" ht="12" customHeight="1" x14ac:dyDescent="0.3">
      <c r="A1020" s="329" t="s">
        <v>289</v>
      </c>
      <c r="B1020" s="330">
        <v>2</v>
      </c>
      <c r="C1020" s="298">
        <v>46025</v>
      </c>
      <c r="D1020" s="299" t="s">
        <v>481</v>
      </c>
      <c r="E1020" s="331">
        <v>41.05</v>
      </c>
      <c r="F1020" s="331"/>
      <c r="G1020" s="333">
        <f t="shared" si="11"/>
        <v>1700.79</v>
      </c>
      <c r="H1020" s="334"/>
      <c r="I1020" s="335"/>
      <c r="J1020" s="336"/>
      <c r="K1020" s="301"/>
      <c r="L1020" s="336"/>
      <c r="M1020" s="301"/>
      <c r="N1020" s="336"/>
      <c r="O1020" s="301"/>
      <c r="P1020" s="336"/>
      <c r="Q1020" s="301"/>
      <c r="R1020" s="336"/>
      <c r="S1020" s="301"/>
      <c r="T1020" s="336"/>
    </row>
    <row r="1021" spans="1:20" ht="12" customHeight="1" x14ac:dyDescent="0.3">
      <c r="A1021" s="329" t="s">
        <v>289</v>
      </c>
      <c r="B1021" s="330">
        <v>4</v>
      </c>
      <c r="C1021" s="298">
        <v>46025</v>
      </c>
      <c r="D1021" s="299" t="s">
        <v>310</v>
      </c>
      <c r="E1021" s="331">
        <v>26.88</v>
      </c>
      <c r="F1021" s="331"/>
      <c r="G1021" s="333">
        <f t="shared" si="11"/>
        <v>1741.84</v>
      </c>
      <c r="H1021" s="334"/>
      <c r="I1021" s="335"/>
      <c r="J1021" s="336"/>
      <c r="K1021" s="301"/>
      <c r="L1021" s="336"/>
      <c r="M1021" s="301"/>
      <c r="N1021" s="336"/>
      <c r="O1021" s="301"/>
      <c r="P1021" s="336"/>
      <c r="Q1021" s="301"/>
      <c r="R1021" s="336"/>
      <c r="S1021" s="301"/>
      <c r="T1021" s="336"/>
    </row>
    <row r="1022" spans="1:20" ht="12" customHeight="1" x14ac:dyDescent="0.3">
      <c r="A1022" s="329" t="s">
        <v>289</v>
      </c>
      <c r="B1022" s="330">
        <v>2</v>
      </c>
      <c r="C1022" s="298">
        <v>46025</v>
      </c>
      <c r="D1022" s="299" t="s">
        <v>308</v>
      </c>
      <c r="E1022" s="331">
        <v>130.08000000000001</v>
      </c>
      <c r="F1022" s="331"/>
      <c r="G1022" s="333">
        <f t="shared" si="11"/>
        <v>1768.72</v>
      </c>
      <c r="H1022" s="334"/>
      <c r="I1022" s="335"/>
      <c r="J1022" s="336"/>
      <c r="K1022" s="301"/>
      <c r="L1022" s="336"/>
      <c r="M1022" s="301"/>
      <c r="N1022" s="336"/>
      <c r="O1022" s="301"/>
      <c r="P1022" s="336"/>
      <c r="Q1022" s="301"/>
      <c r="R1022" s="336"/>
      <c r="S1022" s="301"/>
      <c r="T1022" s="336"/>
    </row>
    <row r="1023" spans="1:20" ht="12" customHeight="1" x14ac:dyDescent="0.3">
      <c r="A1023" s="329" t="s">
        <v>289</v>
      </c>
      <c r="B1023" s="330">
        <v>7</v>
      </c>
      <c r="C1023" s="298">
        <v>46025</v>
      </c>
      <c r="D1023" s="299" t="s">
        <v>482</v>
      </c>
      <c r="E1023" s="331">
        <v>222.49</v>
      </c>
      <c r="F1023" s="331"/>
      <c r="G1023" s="333">
        <f t="shared" si="11"/>
        <v>1898.8</v>
      </c>
      <c r="H1023" s="334"/>
      <c r="I1023" s="335"/>
      <c r="J1023" s="336"/>
      <c r="K1023" s="301"/>
      <c r="L1023" s="336"/>
      <c r="M1023" s="301"/>
      <c r="N1023" s="336"/>
      <c r="O1023" s="301"/>
      <c r="P1023" s="336"/>
      <c r="Q1023" s="301"/>
      <c r="R1023" s="336"/>
      <c r="S1023" s="301"/>
      <c r="T1023" s="336"/>
    </row>
    <row r="1024" spans="1:20" ht="12" customHeight="1" x14ac:dyDescent="0.3">
      <c r="A1024" s="329" t="s">
        <v>289</v>
      </c>
      <c r="B1024" s="330">
        <v>7</v>
      </c>
      <c r="C1024" s="298">
        <v>46025</v>
      </c>
      <c r="D1024" s="299" t="s">
        <v>482</v>
      </c>
      <c r="E1024" s="331">
        <v>99.18</v>
      </c>
      <c r="F1024" s="331"/>
      <c r="G1024" s="333">
        <f t="shared" si="11"/>
        <v>2121.29</v>
      </c>
      <c r="H1024" s="334"/>
      <c r="I1024" s="335"/>
      <c r="J1024" s="336"/>
      <c r="K1024" s="301"/>
      <c r="L1024" s="336"/>
      <c r="M1024" s="301"/>
      <c r="N1024" s="336"/>
      <c r="O1024" s="301"/>
      <c r="P1024" s="336"/>
      <c r="Q1024" s="301"/>
      <c r="R1024" s="336"/>
      <c r="S1024" s="301"/>
      <c r="T1024" s="336"/>
    </row>
    <row r="1025" spans="1:20" ht="12" customHeight="1" x14ac:dyDescent="0.3">
      <c r="A1025" s="329" t="s">
        <v>289</v>
      </c>
      <c r="B1025" s="330">
        <v>5</v>
      </c>
      <c r="C1025" s="298">
        <v>46024</v>
      </c>
      <c r="D1025" s="299" t="s">
        <v>483</v>
      </c>
      <c r="E1025" s="331">
        <v>35</v>
      </c>
      <c r="F1025" s="331"/>
      <c r="G1025" s="333">
        <f t="shared" si="11"/>
        <v>2220.4699999999998</v>
      </c>
      <c r="H1025" s="334"/>
      <c r="I1025" s="335"/>
      <c r="J1025" s="336"/>
      <c r="K1025" s="301"/>
      <c r="L1025" s="336"/>
      <c r="M1025" s="301"/>
      <c r="N1025" s="336"/>
      <c r="O1025" s="301"/>
      <c r="P1025" s="336"/>
      <c r="Q1025" s="301"/>
      <c r="R1025" s="336"/>
      <c r="S1025" s="301"/>
      <c r="T1025" s="336"/>
    </row>
    <row r="1026" spans="1:20" ht="12" customHeight="1" x14ac:dyDescent="0.3">
      <c r="A1026" s="329" t="s">
        <v>289</v>
      </c>
      <c r="B1026" s="330">
        <v>3</v>
      </c>
      <c r="C1026" s="298">
        <v>46024</v>
      </c>
      <c r="D1026" s="299" t="s">
        <v>296</v>
      </c>
      <c r="E1026" s="331">
        <v>15.11</v>
      </c>
      <c r="F1026" s="331"/>
      <c r="G1026" s="333">
        <f t="shared" si="11"/>
        <v>2255.4699999999998</v>
      </c>
      <c r="H1026" s="334"/>
      <c r="I1026" s="335"/>
      <c r="J1026" s="336"/>
      <c r="K1026" s="301"/>
      <c r="L1026" s="336"/>
      <c r="M1026" s="301"/>
      <c r="N1026" s="336"/>
      <c r="O1026" s="301"/>
      <c r="P1026" s="336"/>
      <c r="Q1026" s="301"/>
      <c r="R1026" s="336"/>
      <c r="S1026" s="301"/>
      <c r="T1026" s="336"/>
    </row>
    <row r="1027" spans="1:20" ht="12" customHeight="1" x14ac:dyDescent="0.3">
      <c r="A1027" s="329" t="s">
        <v>289</v>
      </c>
      <c r="B1027" s="330">
        <v>5</v>
      </c>
      <c r="C1027" s="298">
        <v>46024</v>
      </c>
      <c r="D1027" s="299" t="s">
        <v>484</v>
      </c>
      <c r="E1027" s="331">
        <v>29.67</v>
      </c>
      <c r="F1027" s="331"/>
      <c r="G1027" s="333">
        <f t="shared" si="11"/>
        <v>2270.58</v>
      </c>
      <c r="H1027" s="334"/>
      <c r="I1027" s="335"/>
      <c r="J1027" s="336"/>
      <c r="K1027" s="301"/>
      <c r="L1027" s="336"/>
      <c r="M1027" s="301"/>
      <c r="N1027" s="336"/>
      <c r="O1027" s="301"/>
      <c r="P1027" s="336"/>
      <c r="Q1027" s="301"/>
      <c r="R1027" s="336"/>
      <c r="S1027" s="301"/>
      <c r="T1027" s="336"/>
    </row>
    <row r="1028" spans="1:20" ht="12" customHeight="1" x14ac:dyDescent="0.3">
      <c r="A1028" s="329" t="s">
        <v>287</v>
      </c>
      <c r="B1028" s="330" t="s">
        <v>287</v>
      </c>
      <c r="C1028" s="298">
        <v>46024</v>
      </c>
      <c r="D1028" s="299" t="s">
        <v>397</v>
      </c>
      <c r="E1028" s="331">
        <v>70.56</v>
      </c>
      <c r="F1028" s="331">
        <v>70.56</v>
      </c>
      <c r="G1028" s="333">
        <f t="shared" si="11"/>
        <v>2300.25</v>
      </c>
      <c r="H1028" s="334"/>
      <c r="I1028" s="335"/>
      <c r="J1028" s="336"/>
      <c r="K1028" s="301"/>
      <c r="L1028" s="336"/>
      <c r="M1028" s="301"/>
      <c r="N1028" s="336"/>
      <c r="O1028" s="301"/>
      <c r="P1028" s="336"/>
      <c r="Q1028" s="301"/>
      <c r="R1028" s="336"/>
      <c r="S1028" s="301"/>
      <c r="T1028" s="336"/>
    </row>
    <row r="1029" spans="1:20" ht="12" customHeight="1" x14ac:dyDescent="0.3">
      <c r="A1029" s="329" t="s">
        <v>287</v>
      </c>
      <c r="B1029" s="330" t="s">
        <v>287</v>
      </c>
      <c r="C1029" s="298">
        <v>46024</v>
      </c>
      <c r="D1029" s="299" t="s">
        <v>485</v>
      </c>
      <c r="E1029" s="331">
        <v>113.94</v>
      </c>
      <c r="F1029" s="331">
        <v>113.94</v>
      </c>
      <c r="G1029" s="333">
        <f t="shared" si="11"/>
        <v>2300.25</v>
      </c>
      <c r="H1029" s="334"/>
      <c r="I1029" s="335"/>
      <c r="J1029" s="336"/>
      <c r="K1029" s="301"/>
      <c r="L1029" s="336"/>
      <c r="M1029" s="301"/>
      <c r="N1029" s="336"/>
      <c r="O1029" s="301"/>
      <c r="P1029" s="336"/>
      <c r="Q1029" s="301"/>
      <c r="R1029" s="336"/>
      <c r="S1029" s="301"/>
      <c r="T1029" s="336"/>
    </row>
    <row r="1030" spans="1:20" ht="12" customHeight="1" x14ac:dyDescent="0.3">
      <c r="A1030" s="329" t="s">
        <v>289</v>
      </c>
      <c r="B1030" s="330">
        <v>2</v>
      </c>
      <c r="C1030" s="298">
        <v>46024</v>
      </c>
      <c r="D1030" s="299" t="s">
        <v>371</v>
      </c>
      <c r="E1030" s="331">
        <v>11.9</v>
      </c>
      <c r="F1030" s="331"/>
      <c r="G1030" s="333">
        <f t="shared" si="11"/>
        <v>2300.25</v>
      </c>
      <c r="H1030" s="334"/>
      <c r="I1030" s="335"/>
      <c r="J1030" s="336"/>
      <c r="K1030" s="301"/>
      <c r="L1030" s="336"/>
      <c r="M1030" s="301"/>
      <c r="N1030" s="336"/>
      <c r="O1030" s="301"/>
      <c r="P1030" s="336"/>
      <c r="Q1030" s="301"/>
      <c r="R1030" s="336"/>
      <c r="S1030" s="301"/>
      <c r="T1030" s="336"/>
    </row>
    <row r="1031" spans="1:20" ht="12" customHeight="1" x14ac:dyDescent="0.3">
      <c r="A1031" s="329" t="s">
        <v>289</v>
      </c>
      <c r="B1031" s="330">
        <v>2</v>
      </c>
      <c r="C1031" s="298">
        <v>46024</v>
      </c>
      <c r="D1031" s="299" t="s">
        <v>408</v>
      </c>
      <c r="E1031" s="331">
        <v>23.9</v>
      </c>
      <c r="F1031" s="331"/>
      <c r="G1031" s="333">
        <f t="shared" si="11"/>
        <v>2312.15</v>
      </c>
      <c r="H1031" s="334"/>
      <c r="I1031" s="335"/>
      <c r="J1031" s="336"/>
      <c r="K1031" s="301"/>
      <c r="L1031" s="336"/>
      <c r="M1031" s="301"/>
      <c r="N1031" s="336"/>
      <c r="O1031" s="301"/>
      <c r="P1031" s="336"/>
      <c r="Q1031" s="301"/>
      <c r="R1031" s="336"/>
      <c r="S1031" s="301"/>
      <c r="T1031" s="336"/>
    </row>
    <row r="1032" spans="1:20" ht="12" customHeight="1" x14ac:dyDescent="0.3">
      <c r="A1032" s="329" t="s">
        <v>289</v>
      </c>
      <c r="B1032" s="330">
        <v>5</v>
      </c>
      <c r="C1032" s="298">
        <v>46024</v>
      </c>
      <c r="D1032" s="299" t="s">
        <v>486</v>
      </c>
      <c r="E1032" s="331">
        <v>160</v>
      </c>
      <c r="F1032" s="331"/>
      <c r="G1032" s="333">
        <f t="shared" si="11"/>
        <v>2336.0500000000002</v>
      </c>
      <c r="H1032" s="334"/>
      <c r="I1032" s="335"/>
      <c r="J1032" s="336"/>
      <c r="K1032" s="301"/>
      <c r="L1032" s="336"/>
      <c r="M1032" s="301"/>
      <c r="N1032" s="336"/>
      <c r="O1032" s="301"/>
      <c r="P1032" s="336"/>
      <c r="Q1032" s="301"/>
      <c r="R1032" s="336"/>
      <c r="S1032" s="301"/>
      <c r="T1032" s="336"/>
    </row>
    <row r="1033" spans="1:20" ht="12" customHeight="1" x14ac:dyDescent="0.3">
      <c r="A1033" s="329" t="s">
        <v>284</v>
      </c>
      <c r="B1033" s="330">
        <v>36</v>
      </c>
      <c r="C1033" s="298">
        <v>46024</v>
      </c>
      <c r="D1033" s="299" t="s">
        <v>374</v>
      </c>
      <c r="E1033" s="331">
        <v>50</v>
      </c>
      <c r="F1033" s="331"/>
      <c r="G1033" s="333">
        <f t="shared" si="11"/>
        <v>2496.0500000000002</v>
      </c>
      <c r="H1033" s="334"/>
      <c r="I1033" s="335"/>
      <c r="J1033" s="336"/>
      <c r="K1033" s="301"/>
      <c r="L1033" s="336"/>
      <c r="M1033" s="301"/>
      <c r="N1033" s="336"/>
      <c r="O1033" s="301"/>
      <c r="P1033" s="336"/>
      <c r="Q1033" s="301"/>
      <c r="R1033" s="336"/>
      <c r="S1033" s="301"/>
      <c r="T1033" s="336"/>
    </row>
    <row r="1034" spans="1:20" ht="12" customHeight="1" x14ac:dyDescent="0.3">
      <c r="A1034" s="329" t="s">
        <v>289</v>
      </c>
      <c r="B1034" s="330">
        <v>6</v>
      </c>
      <c r="C1034" s="298">
        <v>46023</v>
      </c>
      <c r="D1034" s="299" t="s">
        <v>312</v>
      </c>
      <c r="E1034" s="331">
        <v>8</v>
      </c>
      <c r="F1034" s="331"/>
      <c r="G1034" s="333">
        <f t="shared" si="11"/>
        <v>2546.0500000000002</v>
      </c>
      <c r="H1034" s="334"/>
      <c r="I1034" s="335"/>
      <c r="J1034" s="336"/>
      <c r="K1034" s="301"/>
      <c r="L1034" s="336"/>
      <c r="M1034" s="301"/>
      <c r="N1034" s="336"/>
      <c r="O1034" s="301"/>
      <c r="P1034" s="336"/>
      <c r="Q1034" s="301"/>
      <c r="R1034" s="336"/>
      <c r="S1034" s="301"/>
      <c r="T1034" s="336"/>
    </row>
    <row r="1035" spans="1:20" ht="12" customHeight="1" x14ac:dyDescent="0.3">
      <c r="A1035" s="329" t="s">
        <v>289</v>
      </c>
      <c r="B1035" s="330">
        <v>2</v>
      </c>
      <c r="C1035" s="298">
        <v>46023</v>
      </c>
      <c r="D1035" s="299" t="s">
        <v>371</v>
      </c>
      <c r="E1035" s="331">
        <v>13.06</v>
      </c>
      <c r="F1035" s="331"/>
      <c r="G1035" s="333">
        <f t="shared" si="11"/>
        <v>2554.0500000000002</v>
      </c>
      <c r="H1035" s="334"/>
      <c r="I1035" s="335"/>
      <c r="J1035" s="336"/>
      <c r="K1035" s="301"/>
      <c r="L1035" s="336"/>
      <c r="M1035" s="301"/>
      <c r="N1035" s="336"/>
      <c r="O1035" s="301"/>
      <c r="P1035" s="336"/>
      <c r="Q1035" s="301"/>
      <c r="R1035" s="336"/>
      <c r="S1035" s="301"/>
      <c r="T1035" s="336"/>
    </row>
    <row r="1036" spans="1:20" ht="12" customHeight="1" x14ac:dyDescent="0.3">
      <c r="A1036" s="329" t="s">
        <v>294</v>
      </c>
      <c r="B1036" s="330">
        <v>22</v>
      </c>
      <c r="C1036" s="298">
        <v>46023</v>
      </c>
      <c r="D1036" s="299" t="s">
        <v>375</v>
      </c>
      <c r="E1036" s="331">
        <v>6.37</v>
      </c>
      <c r="F1036" s="331"/>
      <c r="G1036" s="333">
        <f t="shared" si="11"/>
        <v>2567.11</v>
      </c>
      <c r="H1036" s="334"/>
      <c r="I1036" s="335"/>
      <c r="J1036" s="336"/>
      <c r="K1036" s="301"/>
      <c r="L1036" s="336"/>
      <c r="M1036" s="301"/>
      <c r="N1036" s="336"/>
      <c r="O1036" s="301"/>
      <c r="P1036" s="336"/>
      <c r="Q1036" s="301"/>
      <c r="R1036" s="336"/>
      <c r="S1036" s="301"/>
      <c r="T1036" s="336"/>
    </row>
    <row r="1037" spans="1:20" ht="12" customHeight="1" x14ac:dyDescent="0.3">
      <c r="A1037" s="329" t="s">
        <v>289</v>
      </c>
      <c r="B1037" s="330">
        <v>2</v>
      </c>
      <c r="C1037" s="298">
        <v>46023</v>
      </c>
      <c r="D1037" s="299" t="s">
        <v>358</v>
      </c>
      <c r="E1037" s="331">
        <v>10.27</v>
      </c>
      <c r="F1037" s="331"/>
      <c r="G1037" s="333">
        <f t="shared" si="11"/>
        <v>2573.48</v>
      </c>
      <c r="H1037" s="334"/>
      <c r="I1037" s="335"/>
      <c r="J1037" s="336"/>
      <c r="K1037" s="301"/>
      <c r="L1037" s="336"/>
      <c r="M1037" s="301"/>
      <c r="N1037" s="336"/>
      <c r="O1037" s="301"/>
      <c r="P1037" s="336"/>
      <c r="Q1037" s="301"/>
      <c r="R1037" s="336"/>
      <c r="S1037" s="301"/>
      <c r="T1037" s="336"/>
    </row>
    <row r="1038" spans="1:20" ht="12" customHeight="1" x14ac:dyDescent="0.3">
      <c r="A1038" s="329" t="s">
        <v>289</v>
      </c>
      <c r="B1038" s="330">
        <v>6</v>
      </c>
      <c r="C1038" s="298">
        <v>46023</v>
      </c>
      <c r="D1038" s="299" t="s">
        <v>487</v>
      </c>
      <c r="E1038" s="331">
        <v>176.57</v>
      </c>
      <c r="F1038" s="331"/>
      <c r="G1038" s="333">
        <f t="shared" si="11"/>
        <v>2583.75</v>
      </c>
      <c r="H1038" s="334"/>
      <c r="I1038" s="335"/>
      <c r="J1038" s="336"/>
      <c r="K1038" s="301"/>
      <c r="L1038" s="336"/>
      <c r="M1038" s="301"/>
      <c r="N1038" s="336"/>
      <c r="O1038" s="301"/>
      <c r="P1038" s="336"/>
      <c r="Q1038" s="301"/>
      <c r="R1038" s="336"/>
      <c r="S1038" s="301"/>
      <c r="T1038" s="336"/>
    </row>
    <row r="1039" spans="1:20" ht="12" customHeight="1" x14ac:dyDescent="0.3">
      <c r="A1039" s="329" t="s">
        <v>287</v>
      </c>
      <c r="B1039" s="330" t="s">
        <v>287</v>
      </c>
      <c r="C1039" s="298">
        <v>46023</v>
      </c>
      <c r="D1039" s="299" t="s">
        <v>300</v>
      </c>
      <c r="E1039" s="331">
        <v>383.39</v>
      </c>
      <c r="F1039" s="331">
        <v>383.39</v>
      </c>
      <c r="G1039" s="333">
        <f t="shared" si="11"/>
        <v>2760.32</v>
      </c>
      <c r="H1039" s="334"/>
      <c r="I1039" s="335"/>
      <c r="J1039" s="336"/>
      <c r="K1039" s="301"/>
      <c r="L1039" s="336"/>
      <c r="M1039" s="301"/>
      <c r="N1039" s="336"/>
      <c r="O1039" s="301"/>
      <c r="P1039" s="336"/>
      <c r="Q1039" s="301"/>
      <c r="R1039" s="336"/>
      <c r="S1039" s="301"/>
      <c r="T1039" s="336"/>
    </row>
    <row r="1040" spans="1:20" ht="12" customHeight="1" x14ac:dyDescent="0.3">
      <c r="A1040" s="329" t="s">
        <v>287</v>
      </c>
      <c r="B1040" s="330" t="s">
        <v>287</v>
      </c>
      <c r="C1040" s="298">
        <v>46023</v>
      </c>
      <c r="D1040" s="299" t="s">
        <v>300</v>
      </c>
      <c r="E1040" s="331">
        <v>53.24</v>
      </c>
      <c r="F1040" s="331">
        <v>53.24</v>
      </c>
      <c r="G1040" s="333">
        <f t="shared" si="11"/>
        <v>2760.32</v>
      </c>
      <c r="H1040" s="334"/>
      <c r="I1040" s="335"/>
      <c r="J1040" s="336"/>
      <c r="K1040" s="301"/>
      <c r="L1040" s="336"/>
      <c r="M1040" s="301"/>
      <c r="N1040" s="336"/>
      <c r="O1040" s="301"/>
      <c r="P1040" s="336"/>
      <c r="Q1040" s="301"/>
      <c r="R1040" s="336"/>
      <c r="S1040" s="301"/>
      <c r="T1040" s="336"/>
    </row>
    <row r="1041" spans="1:20" ht="12" customHeight="1" x14ac:dyDescent="0.3">
      <c r="A1041" s="329" t="s">
        <v>335</v>
      </c>
      <c r="B1041" s="330" t="s">
        <v>335</v>
      </c>
      <c r="C1041" s="298">
        <v>46023</v>
      </c>
      <c r="D1041" s="337" t="s">
        <v>460</v>
      </c>
      <c r="E1041" s="331">
        <v>239.68</v>
      </c>
      <c r="F1041" s="331"/>
      <c r="G1041" s="333">
        <f t="shared" si="11"/>
        <v>2760.32</v>
      </c>
      <c r="H1041" s="334"/>
      <c r="I1041" s="335"/>
      <c r="J1041" s="336"/>
      <c r="K1041" s="301"/>
      <c r="L1041" s="336"/>
      <c r="M1041" s="301"/>
      <c r="N1041" s="336"/>
      <c r="O1041" s="301"/>
      <c r="P1041" s="336"/>
      <c r="Q1041" s="301"/>
      <c r="R1041" s="336"/>
      <c r="S1041" s="301"/>
      <c r="T1041" s="336"/>
    </row>
    <row r="1042" spans="1:20" ht="12" customHeight="1" x14ac:dyDescent="0.3">
      <c r="A1042" s="329" t="s">
        <v>488</v>
      </c>
      <c r="B1042" s="330" t="s">
        <v>488</v>
      </c>
      <c r="C1042" s="298">
        <v>45658</v>
      </c>
      <c r="D1042" s="298" t="s">
        <v>489</v>
      </c>
      <c r="E1042" s="332"/>
      <c r="F1042" s="332"/>
      <c r="G1042" s="333">
        <v>3000</v>
      </c>
      <c r="H1042" s="334"/>
      <c r="I1042" s="335"/>
      <c r="J1042" s="336"/>
      <c r="K1042" s="301"/>
      <c r="L1042" s="336"/>
      <c r="M1042" s="301"/>
      <c r="N1042" s="336"/>
      <c r="O1042" s="301"/>
      <c r="P1042" s="336"/>
      <c r="Q1042" s="301"/>
      <c r="R1042" s="336"/>
      <c r="S1042" s="301"/>
      <c r="T1042" s="336"/>
    </row>
    <row r="1043" spans="1:20" ht="15.75" customHeight="1" x14ac:dyDescent="0.3"/>
    <row r="1044" spans="1:20" ht="15.75" customHeight="1" x14ac:dyDescent="0.3"/>
    <row r="1045" spans="1:20" ht="15.75" customHeight="1" x14ac:dyDescent="0.3"/>
    <row r="1046" spans="1:20" ht="15.75" customHeight="1" x14ac:dyDescent="0.3"/>
    <row r="1047" spans="1:20" ht="15.75" customHeight="1" x14ac:dyDescent="0.3"/>
    <row r="1048" spans="1:20" ht="15.75" customHeight="1" x14ac:dyDescent="0.3"/>
    <row r="1049" spans="1:20" ht="15.75" customHeight="1" x14ac:dyDescent="0.3"/>
    <row r="1050" spans="1:20" ht="15.75" customHeight="1" x14ac:dyDescent="0.3"/>
    <row r="1051" spans="1:20" ht="15.75" customHeight="1" x14ac:dyDescent="0.3"/>
    <row r="1052" spans="1:20" ht="15.75" customHeight="1" x14ac:dyDescent="0.3"/>
    <row r="1053" spans="1:20" ht="15.75" customHeight="1" x14ac:dyDescent="0.3"/>
    <row r="1054" spans="1:20" ht="15.75" customHeight="1" x14ac:dyDescent="0.3"/>
    <row r="1055" spans="1:20" ht="15.75" customHeight="1" x14ac:dyDescent="0.3"/>
    <row r="1056" spans="1:20" ht="15.75" customHeight="1" x14ac:dyDescent="0.3"/>
    <row r="1057" ht="15.75" customHeight="1" x14ac:dyDescent="0.3"/>
    <row r="1058" ht="15.75" customHeight="1" x14ac:dyDescent="0.3"/>
    <row r="1059" ht="15.75" customHeight="1" x14ac:dyDescent="0.3"/>
    <row r="1060" ht="15.75" customHeight="1" x14ac:dyDescent="0.3"/>
    <row r="1061" ht="15.75" customHeight="1" x14ac:dyDescent="0.3"/>
    <row r="1062" ht="15.75" customHeight="1" x14ac:dyDescent="0.3"/>
    <row r="1063" ht="15.75" customHeight="1" x14ac:dyDescent="0.3"/>
    <row r="1064" ht="15.75" customHeight="1" x14ac:dyDescent="0.3"/>
    <row r="1065" ht="15.75" customHeight="1" x14ac:dyDescent="0.3"/>
    <row r="1066" ht="15.75" customHeight="1" x14ac:dyDescent="0.3"/>
    <row r="1067" ht="15.75" customHeight="1" x14ac:dyDescent="0.3"/>
    <row r="1068" ht="15.75" customHeight="1" x14ac:dyDescent="0.3"/>
    <row r="1069" ht="15.75" customHeight="1" x14ac:dyDescent="0.3"/>
    <row r="1070" ht="15.75" customHeight="1" x14ac:dyDescent="0.3"/>
    <row r="1071" ht="15.75" customHeight="1" x14ac:dyDescent="0.3"/>
    <row r="1072" ht="15.75" customHeight="1" x14ac:dyDescent="0.3"/>
    <row r="1073" ht="15.75" customHeight="1" x14ac:dyDescent="0.3"/>
    <row r="1074" ht="15.75" customHeight="1" x14ac:dyDescent="0.3"/>
    <row r="1075" ht="15.75" customHeight="1" x14ac:dyDescent="0.3"/>
    <row r="1076" ht="15.75" customHeight="1" x14ac:dyDescent="0.3"/>
    <row r="1077" ht="15.75" customHeight="1" x14ac:dyDescent="0.3"/>
    <row r="1078" ht="15.75" customHeight="1" x14ac:dyDescent="0.3"/>
    <row r="1079" ht="15.75" customHeight="1" x14ac:dyDescent="0.3"/>
    <row r="1080" ht="15.75" customHeight="1" x14ac:dyDescent="0.3"/>
    <row r="1081" ht="15.75" customHeight="1" x14ac:dyDescent="0.3"/>
    <row r="1082" ht="15.75" customHeight="1" x14ac:dyDescent="0.3"/>
    <row r="1083" ht="15.75" customHeight="1" x14ac:dyDescent="0.3"/>
    <row r="1084" ht="15.75" customHeight="1" x14ac:dyDescent="0.3"/>
    <row r="1085" ht="15.75" customHeight="1" x14ac:dyDescent="0.3"/>
    <row r="1086" ht="15.75" customHeight="1" x14ac:dyDescent="0.3"/>
    <row r="1087" ht="15.75" customHeight="1" x14ac:dyDescent="0.3"/>
    <row r="1088" ht="15.75" customHeight="1" x14ac:dyDescent="0.3"/>
    <row r="1089" ht="15.75" customHeight="1" x14ac:dyDescent="0.3"/>
    <row r="1090" ht="15.75" customHeight="1" x14ac:dyDescent="0.3"/>
    <row r="1091" ht="15.75" customHeight="1" x14ac:dyDescent="0.3"/>
    <row r="1092" ht="15.75" customHeight="1" x14ac:dyDescent="0.3"/>
    <row r="1093" ht="15.75" customHeight="1" x14ac:dyDescent="0.3"/>
    <row r="1094" ht="15.75" customHeight="1" x14ac:dyDescent="0.3"/>
    <row r="1095" ht="15.75" customHeight="1" x14ac:dyDescent="0.3"/>
    <row r="1096" ht="15.75" customHeight="1" x14ac:dyDescent="0.3"/>
    <row r="1097" ht="15.75" customHeight="1" x14ac:dyDescent="0.3"/>
    <row r="1098" ht="15.75" customHeight="1" x14ac:dyDescent="0.3"/>
    <row r="1099" ht="15.75" customHeight="1" x14ac:dyDescent="0.3"/>
    <row r="1100" ht="15.75" customHeight="1" x14ac:dyDescent="0.3"/>
    <row r="1101" ht="15.75" customHeight="1" x14ac:dyDescent="0.3"/>
    <row r="1102" ht="15.75" customHeight="1" x14ac:dyDescent="0.3"/>
    <row r="1103" ht="15.75" customHeight="1" x14ac:dyDescent="0.3"/>
    <row r="1104" ht="15.75" customHeight="1" x14ac:dyDescent="0.3"/>
    <row r="1105" ht="15.75" customHeight="1" x14ac:dyDescent="0.3"/>
    <row r="1106" ht="15.75" customHeight="1" x14ac:dyDescent="0.3"/>
    <row r="1107" ht="15.75" customHeight="1" x14ac:dyDescent="0.3"/>
    <row r="1108" ht="15.75" customHeight="1" x14ac:dyDescent="0.3"/>
    <row r="1109" ht="15.75" customHeight="1" x14ac:dyDescent="0.3"/>
    <row r="1110" ht="15.75" customHeight="1" x14ac:dyDescent="0.3"/>
    <row r="1111" ht="15.75" customHeight="1" x14ac:dyDescent="0.3"/>
    <row r="1112" ht="15.75" customHeight="1" x14ac:dyDescent="0.3"/>
    <row r="1113" ht="15.75" customHeight="1" x14ac:dyDescent="0.3"/>
    <row r="1114" ht="15.75" customHeight="1" x14ac:dyDescent="0.3"/>
    <row r="1115" ht="15.75" customHeight="1" x14ac:dyDescent="0.3"/>
    <row r="1116" ht="15.75" customHeight="1" x14ac:dyDescent="0.3"/>
    <row r="1117" ht="15.75" customHeight="1" x14ac:dyDescent="0.3"/>
    <row r="1118" ht="15.75" customHeight="1" x14ac:dyDescent="0.3"/>
    <row r="1119" ht="15.75" customHeight="1" x14ac:dyDescent="0.3"/>
    <row r="1120" ht="15.75" customHeight="1" x14ac:dyDescent="0.3"/>
    <row r="1121" ht="15.75" customHeight="1" x14ac:dyDescent="0.3"/>
    <row r="1122" ht="15.75" customHeight="1" x14ac:dyDescent="0.3"/>
    <row r="1123" ht="15.75" customHeight="1" x14ac:dyDescent="0.3"/>
    <row r="1124" ht="15.75" customHeight="1" x14ac:dyDescent="0.3"/>
    <row r="1125" ht="15.75" customHeight="1" x14ac:dyDescent="0.3"/>
    <row r="1126" ht="15.75" customHeight="1" x14ac:dyDescent="0.3"/>
    <row r="1127" ht="15.75" customHeight="1" x14ac:dyDescent="0.3"/>
    <row r="1128" ht="15.75" customHeight="1" x14ac:dyDescent="0.3"/>
    <row r="1129" ht="15.75" customHeight="1" x14ac:dyDescent="0.3"/>
    <row r="1130" ht="15.75" customHeight="1" x14ac:dyDescent="0.3"/>
    <row r="1131" ht="15.75" customHeight="1" x14ac:dyDescent="0.3"/>
    <row r="1132" ht="15.75" customHeight="1" x14ac:dyDescent="0.3"/>
    <row r="1133" ht="15.75" customHeight="1" x14ac:dyDescent="0.3"/>
    <row r="1134" ht="15.75" customHeight="1" x14ac:dyDescent="0.3"/>
    <row r="1135" ht="15.75" customHeight="1" x14ac:dyDescent="0.3"/>
    <row r="1136" ht="15.75" customHeight="1" x14ac:dyDescent="0.3"/>
    <row r="1137" ht="15.75" customHeight="1" x14ac:dyDescent="0.3"/>
    <row r="1138" ht="15.75" customHeight="1" x14ac:dyDescent="0.3"/>
    <row r="1139" ht="15.75" customHeight="1" x14ac:dyDescent="0.3"/>
    <row r="1140" ht="15.75" customHeight="1" x14ac:dyDescent="0.3"/>
    <row r="1141" ht="15.75" customHeight="1" x14ac:dyDescent="0.3"/>
    <row r="1142" ht="15.75" customHeight="1" x14ac:dyDescent="0.3"/>
    <row r="1143" ht="15.75" customHeight="1" x14ac:dyDescent="0.3"/>
    <row r="1144" ht="15.75" customHeight="1" x14ac:dyDescent="0.3"/>
    <row r="1145" ht="15.75" customHeight="1" x14ac:dyDescent="0.3"/>
    <row r="1146" ht="15.75" customHeight="1" x14ac:dyDescent="0.3"/>
    <row r="1147" ht="15.75" customHeight="1" x14ac:dyDescent="0.3"/>
    <row r="1148" ht="15.75" customHeight="1" x14ac:dyDescent="0.3"/>
    <row r="1149" ht="15.75" customHeight="1" x14ac:dyDescent="0.3"/>
    <row r="1150" ht="15.75" customHeight="1" x14ac:dyDescent="0.3"/>
    <row r="1151" ht="15.75" customHeight="1" x14ac:dyDescent="0.3"/>
    <row r="1152" ht="15.75" customHeight="1" x14ac:dyDescent="0.3"/>
    <row r="1153" ht="15.75" customHeight="1" x14ac:dyDescent="0.3"/>
    <row r="1154" ht="15.75" customHeight="1" x14ac:dyDescent="0.3"/>
    <row r="1155" ht="15.75" customHeight="1" x14ac:dyDescent="0.3"/>
    <row r="1156" ht="15.75" customHeight="1" x14ac:dyDescent="0.3"/>
    <row r="1157" ht="15.75" customHeight="1" x14ac:dyDescent="0.3"/>
    <row r="1158" ht="15.75" customHeight="1" x14ac:dyDescent="0.3"/>
    <row r="1159" ht="15.75" customHeight="1" x14ac:dyDescent="0.3"/>
    <row r="1160" ht="15.75" customHeight="1" x14ac:dyDescent="0.3"/>
    <row r="1161" ht="15.75" customHeight="1" x14ac:dyDescent="0.3"/>
    <row r="1162" ht="15.75" customHeight="1" x14ac:dyDescent="0.3"/>
    <row r="1163" ht="15.75" customHeight="1" x14ac:dyDescent="0.3"/>
    <row r="1164" ht="15.75" customHeight="1" x14ac:dyDescent="0.3"/>
    <row r="1165" ht="15.75" customHeight="1" x14ac:dyDescent="0.3"/>
    <row r="1166" ht="15.75" customHeight="1" x14ac:dyDescent="0.3"/>
    <row r="1167" ht="15.75" customHeight="1" x14ac:dyDescent="0.3"/>
    <row r="1168" ht="15.75" customHeight="1" x14ac:dyDescent="0.3"/>
    <row r="1169" ht="15.75" customHeight="1" x14ac:dyDescent="0.3"/>
    <row r="1170" ht="15.75" customHeight="1" x14ac:dyDescent="0.3"/>
    <row r="1171" ht="15.75" customHeight="1" x14ac:dyDescent="0.3"/>
    <row r="1172" ht="15.75" customHeight="1" x14ac:dyDescent="0.3"/>
    <row r="1173" ht="15.75" customHeight="1" x14ac:dyDescent="0.3"/>
    <row r="1174" ht="15.75" customHeight="1" x14ac:dyDescent="0.3"/>
    <row r="1175" ht="15.75" customHeight="1" x14ac:dyDescent="0.3"/>
    <row r="1176" ht="15.75" customHeight="1" x14ac:dyDescent="0.3"/>
    <row r="1177" ht="15.75" customHeight="1" x14ac:dyDescent="0.3"/>
    <row r="1178" ht="15.75" customHeight="1" x14ac:dyDescent="0.3"/>
    <row r="1179" ht="15.75" customHeight="1" x14ac:dyDescent="0.3"/>
    <row r="1180" ht="15.75" customHeight="1" x14ac:dyDescent="0.3"/>
    <row r="1181" ht="15.75" customHeight="1" x14ac:dyDescent="0.3"/>
    <row r="1182" ht="15.75" customHeight="1" x14ac:dyDescent="0.3"/>
    <row r="1183" ht="15.75" customHeight="1" x14ac:dyDescent="0.3"/>
    <row r="1184" ht="15.75" customHeight="1" x14ac:dyDescent="0.3"/>
    <row r="1185" ht="15.75" customHeight="1" x14ac:dyDescent="0.3"/>
    <row r="1186" ht="15.75" customHeight="1" x14ac:dyDescent="0.3"/>
    <row r="1187" ht="15.75" customHeight="1" x14ac:dyDescent="0.3"/>
    <row r="1188" ht="15.75" customHeight="1" x14ac:dyDescent="0.3"/>
    <row r="1189" ht="15.75" customHeight="1" x14ac:dyDescent="0.3"/>
    <row r="1190" ht="15.75" customHeight="1" x14ac:dyDescent="0.3"/>
    <row r="1191" ht="15.75" customHeight="1" x14ac:dyDescent="0.3"/>
    <row r="1192" ht="15.75" customHeight="1" x14ac:dyDescent="0.3"/>
    <row r="1193" ht="15.75" customHeight="1" x14ac:dyDescent="0.3"/>
    <row r="1194" ht="15.75" customHeight="1" x14ac:dyDescent="0.3"/>
    <row r="1195" ht="15.75" customHeight="1" x14ac:dyDescent="0.3"/>
    <row r="1196" ht="15.75" customHeight="1" x14ac:dyDescent="0.3"/>
    <row r="1197" ht="15.75" customHeight="1" x14ac:dyDescent="0.3"/>
    <row r="1198" ht="15.75" customHeight="1" x14ac:dyDescent="0.3"/>
    <row r="1199" ht="15.75" customHeight="1" x14ac:dyDescent="0.3"/>
    <row r="1200" ht="15.75" customHeight="1" x14ac:dyDescent="0.3"/>
    <row r="1201" ht="15.75" customHeight="1" x14ac:dyDescent="0.3"/>
    <row r="1202" ht="15.75" customHeight="1" x14ac:dyDescent="0.3"/>
    <row r="1203" ht="15.75" customHeight="1" x14ac:dyDescent="0.3"/>
    <row r="1204" ht="15.75" customHeight="1" x14ac:dyDescent="0.3"/>
    <row r="1205" ht="15.75" customHeight="1" x14ac:dyDescent="0.3"/>
    <row r="1206" ht="15.75" customHeight="1" x14ac:dyDescent="0.3"/>
    <row r="1207" ht="15.75" customHeight="1" x14ac:dyDescent="0.3"/>
    <row r="1208" ht="15.75" customHeight="1" x14ac:dyDescent="0.3"/>
    <row r="1209" ht="15.75" customHeight="1" x14ac:dyDescent="0.3"/>
    <row r="1210" ht="15.75" customHeight="1" x14ac:dyDescent="0.3"/>
    <row r="1211" ht="15.75" customHeight="1" x14ac:dyDescent="0.3"/>
    <row r="1212" ht="15.75" customHeight="1" x14ac:dyDescent="0.3"/>
    <row r="1213" ht="15.75" customHeight="1" x14ac:dyDescent="0.3"/>
    <row r="1214" ht="15.75" customHeight="1" x14ac:dyDescent="0.3"/>
    <row r="1215" ht="15.75" customHeight="1" x14ac:dyDescent="0.3"/>
    <row r="1216" ht="15.75" customHeight="1" x14ac:dyDescent="0.3"/>
    <row r="1217" ht="15.75" customHeight="1" x14ac:dyDescent="0.3"/>
    <row r="1218" ht="15.75" customHeight="1" x14ac:dyDescent="0.3"/>
    <row r="1219" ht="15.75" customHeight="1" x14ac:dyDescent="0.3"/>
    <row r="1220" ht="15.75" customHeight="1" x14ac:dyDescent="0.3"/>
    <row r="1221" ht="15.75" customHeight="1" x14ac:dyDescent="0.3"/>
    <row r="1222" ht="15.75" customHeight="1" x14ac:dyDescent="0.3"/>
    <row r="1223" ht="15.75" customHeight="1" x14ac:dyDescent="0.3"/>
    <row r="1224" ht="15.75" customHeight="1" x14ac:dyDescent="0.3"/>
    <row r="1225" ht="15.75" customHeight="1" x14ac:dyDescent="0.3"/>
    <row r="1226" ht="15.75" customHeight="1" x14ac:dyDescent="0.3"/>
    <row r="1227" ht="15.75" customHeight="1" x14ac:dyDescent="0.3"/>
    <row r="1228" ht="15.75" customHeight="1" x14ac:dyDescent="0.3"/>
    <row r="1229" ht="15.75" customHeight="1" x14ac:dyDescent="0.3"/>
    <row r="1230" ht="15.75" customHeight="1" x14ac:dyDescent="0.3"/>
    <row r="1231" ht="15.75" customHeight="1" x14ac:dyDescent="0.3"/>
    <row r="1232" ht="15.75" customHeight="1" x14ac:dyDescent="0.3"/>
    <row r="1233" ht="15.75" customHeight="1" x14ac:dyDescent="0.3"/>
    <row r="1234" ht="15.75" customHeight="1" x14ac:dyDescent="0.3"/>
    <row r="1235" ht="15.75" customHeight="1" x14ac:dyDescent="0.3"/>
    <row r="1236" ht="15.75" customHeight="1" x14ac:dyDescent="0.3"/>
    <row r="1237" ht="15.75" customHeight="1" x14ac:dyDescent="0.3"/>
    <row r="1238" ht="15.75" customHeight="1" x14ac:dyDescent="0.3"/>
    <row r="1239" ht="15.75" customHeight="1" x14ac:dyDescent="0.3"/>
    <row r="1240" ht="15.75" customHeight="1" x14ac:dyDescent="0.3"/>
    <row r="1241" ht="15.75" customHeight="1" x14ac:dyDescent="0.3"/>
    <row r="1242" ht="15.75" customHeight="1" x14ac:dyDescent="0.3"/>
    <row r="1243" ht="15.75" customHeight="1" x14ac:dyDescent="0.3"/>
    <row r="1244" ht="15.75" customHeight="1" x14ac:dyDescent="0.3"/>
    <row r="1245" ht="15.75" customHeight="1" x14ac:dyDescent="0.3"/>
    <row r="1246" ht="15.75" customHeight="1" x14ac:dyDescent="0.3"/>
    <row r="1247" ht="15.75" customHeight="1" x14ac:dyDescent="0.3"/>
    <row r="1248" ht="15.75" customHeight="1" x14ac:dyDescent="0.3"/>
    <row r="1249" ht="15.75" customHeight="1" x14ac:dyDescent="0.3"/>
    <row r="1250" ht="15.75" customHeight="1" x14ac:dyDescent="0.3"/>
    <row r="1251" ht="15.75" customHeight="1" x14ac:dyDescent="0.3"/>
    <row r="1252" ht="15.75" customHeight="1" x14ac:dyDescent="0.3"/>
    <row r="1253" ht="15.75" customHeight="1" x14ac:dyDescent="0.3"/>
    <row r="1254" ht="15.75" customHeight="1" x14ac:dyDescent="0.3"/>
    <row r="1255" ht="15.75" customHeight="1" x14ac:dyDescent="0.3"/>
    <row r="1256" ht="15.75" customHeight="1" x14ac:dyDescent="0.3"/>
    <row r="1257" ht="15.75" customHeight="1" x14ac:dyDescent="0.3"/>
    <row r="1258" ht="15.75" customHeight="1" x14ac:dyDescent="0.3"/>
    <row r="1259" ht="15.75" customHeight="1" x14ac:dyDescent="0.3"/>
    <row r="1260" ht="15.75" customHeight="1" x14ac:dyDescent="0.3"/>
    <row r="1261" ht="15.75" customHeight="1" x14ac:dyDescent="0.3"/>
    <row r="1262" ht="15.75" customHeight="1" x14ac:dyDescent="0.3"/>
    <row r="1263" ht="15.75" customHeight="1" x14ac:dyDescent="0.3"/>
    <row r="1264" ht="15.75" customHeight="1" x14ac:dyDescent="0.3"/>
    <row r="1265" ht="15.75" customHeight="1" x14ac:dyDescent="0.3"/>
    <row r="1266" ht="15.75" customHeight="1" x14ac:dyDescent="0.3"/>
    <row r="1267" ht="15.75" customHeight="1" x14ac:dyDescent="0.3"/>
    <row r="1268" ht="15.75" customHeight="1" x14ac:dyDescent="0.3"/>
    <row r="1269" ht="15.75" customHeight="1" x14ac:dyDescent="0.3"/>
    <row r="1270" ht="15.75" customHeight="1" x14ac:dyDescent="0.3"/>
    <row r="1271" ht="15.75" customHeight="1" x14ac:dyDescent="0.3"/>
    <row r="1272" ht="15.75" customHeight="1" x14ac:dyDescent="0.3"/>
    <row r="1273" ht="15.75" customHeight="1" x14ac:dyDescent="0.3"/>
    <row r="1274" ht="15.75" customHeight="1" x14ac:dyDescent="0.3"/>
    <row r="1275" ht="15.75" customHeight="1" x14ac:dyDescent="0.3"/>
    <row r="1276" ht="15.75" customHeight="1" x14ac:dyDescent="0.3"/>
    <row r="1277" ht="15.75" customHeight="1" x14ac:dyDescent="0.3"/>
    <row r="1278" ht="15.75" customHeight="1" x14ac:dyDescent="0.3"/>
    <row r="1279" ht="15.75" customHeight="1" x14ac:dyDescent="0.3"/>
    <row r="1280" ht="15.75" customHeight="1" x14ac:dyDescent="0.3"/>
    <row r="1281" ht="15.75" customHeight="1" x14ac:dyDescent="0.3"/>
    <row r="1282" ht="15.75" customHeight="1" x14ac:dyDescent="0.3"/>
    <row r="1283" ht="15.75" customHeight="1" x14ac:dyDescent="0.3"/>
    <row r="1284" ht="15.75" customHeight="1" x14ac:dyDescent="0.3"/>
    <row r="1285" ht="15.75" customHeight="1" x14ac:dyDescent="0.3"/>
    <row r="1286" ht="15.75" customHeight="1" x14ac:dyDescent="0.3"/>
    <row r="1287" ht="15.75" customHeight="1" x14ac:dyDescent="0.3"/>
    <row r="1288" ht="15.75" customHeight="1" x14ac:dyDescent="0.3"/>
    <row r="1289" ht="15.75" customHeight="1" x14ac:dyDescent="0.3"/>
    <row r="1290" ht="15.75" customHeight="1" x14ac:dyDescent="0.3"/>
    <row r="1291" ht="15.75" customHeight="1" x14ac:dyDescent="0.3"/>
    <row r="1292" ht="15.75" customHeight="1" x14ac:dyDescent="0.3"/>
    <row r="1293" ht="15.75" customHeight="1" x14ac:dyDescent="0.3"/>
    <row r="1294" ht="15.75" customHeight="1" x14ac:dyDescent="0.3"/>
    <row r="1295" ht="15.75" customHeight="1" x14ac:dyDescent="0.3"/>
    <row r="1296" ht="15.75" customHeight="1" x14ac:dyDescent="0.3"/>
    <row r="1297" ht="15.75" customHeight="1" x14ac:dyDescent="0.3"/>
    <row r="1298" ht="15.75" customHeight="1" x14ac:dyDescent="0.3"/>
    <row r="1299" ht="15.75" customHeight="1" x14ac:dyDescent="0.3"/>
    <row r="1300" ht="15.75" customHeight="1" x14ac:dyDescent="0.3"/>
    <row r="1301" ht="15.75" customHeight="1" x14ac:dyDescent="0.3"/>
    <row r="1302" ht="15.75" customHeight="1" x14ac:dyDescent="0.3"/>
    <row r="1303" ht="15.75" customHeight="1" x14ac:dyDescent="0.3"/>
    <row r="1304" ht="15.75" customHeight="1" x14ac:dyDescent="0.3"/>
    <row r="1305" ht="15.75" customHeight="1" x14ac:dyDescent="0.3"/>
    <row r="1306" ht="15.75" customHeight="1" x14ac:dyDescent="0.3"/>
    <row r="1307" ht="15.75" customHeight="1" x14ac:dyDescent="0.3"/>
    <row r="1308" ht="15.75" customHeight="1" x14ac:dyDescent="0.3"/>
    <row r="1309" ht="15.75" customHeight="1" x14ac:dyDescent="0.3"/>
    <row r="1310" ht="15.75" customHeight="1" x14ac:dyDescent="0.3"/>
    <row r="1311" ht="15.75" customHeight="1" x14ac:dyDescent="0.3"/>
    <row r="1312" ht="15.75" customHeight="1" x14ac:dyDescent="0.3"/>
    <row r="1313" ht="15.75" customHeight="1" x14ac:dyDescent="0.3"/>
    <row r="1314" ht="15.75" customHeight="1" x14ac:dyDescent="0.3"/>
    <row r="1315" ht="15.75" customHeight="1" x14ac:dyDescent="0.3"/>
    <row r="1316" ht="15.75" customHeight="1" x14ac:dyDescent="0.3"/>
    <row r="1317" ht="15.75" customHeight="1" x14ac:dyDescent="0.3"/>
    <row r="1318" ht="15.75" customHeight="1" x14ac:dyDescent="0.3"/>
    <row r="1319" ht="15.75" customHeight="1" x14ac:dyDescent="0.3"/>
    <row r="1320" ht="15.75" customHeight="1" x14ac:dyDescent="0.3"/>
    <row r="1321" ht="15.75" customHeight="1" x14ac:dyDescent="0.3"/>
    <row r="1322" ht="15.75" customHeight="1" x14ac:dyDescent="0.3"/>
    <row r="1323" ht="15.75" customHeight="1" x14ac:dyDescent="0.3"/>
    <row r="1324" ht="15.75" customHeight="1" x14ac:dyDescent="0.3"/>
    <row r="1325" ht="15.75" customHeight="1" x14ac:dyDescent="0.3"/>
    <row r="1326" ht="15.75" customHeight="1" x14ac:dyDescent="0.3"/>
    <row r="1327" ht="15.75" customHeight="1" x14ac:dyDescent="0.3"/>
    <row r="1328" ht="15.75" customHeight="1" x14ac:dyDescent="0.3"/>
    <row r="1329" ht="15.75" customHeight="1" x14ac:dyDescent="0.3"/>
    <row r="1330" ht="15.75" customHeight="1" x14ac:dyDescent="0.3"/>
    <row r="1331" ht="15.75" customHeight="1" x14ac:dyDescent="0.3"/>
    <row r="1332" ht="15.75" customHeight="1" x14ac:dyDescent="0.3"/>
    <row r="1333" ht="15.75" customHeight="1" x14ac:dyDescent="0.3"/>
    <row r="1334" ht="15.75" customHeight="1" x14ac:dyDescent="0.3"/>
    <row r="1335" ht="15.75" customHeight="1" x14ac:dyDescent="0.3"/>
    <row r="1336" ht="15.75" customHeight="1" x14ac:dyDescent="0.3"/>
    <row r="1337" ht="15.75" customHeight="1" x14ac:dyDescent="0.3"/>
    <row r="1338" ht="15.75" customHeight="1" x14ac:dyDescent="0.3"/>
    <row r="1339" ht="15.75" customHeight="1" x14ac:dyDescent="0.3"/>
    <row r="1340" ht="15.75" customHeight="1" x14ac:dyDescent="0.3"/>
    <row r="1341" ht="15.75" customHeight="1" x14ac:dyDescent="0.3"/>
    <row r="1342" ht="15.75" customHeight="1" x14ac:dyDescent="0.3"/>
    <row r="1343" ht="15.75" customHeight="1" x14ac:dyDescent="0.3"/>
    <row r="1344" ht="15.75" customHeight="1" x14ac:dyDescent="0.3"/>
    <row r="1345" ht="15.75" customHeight="1" x14ac:dyDescent="0.3"/>
    <row r="1346" ht="15.75" customHeight="1" x14ac:dyDescent="0.3"/>
    <row r="1347" ht="15.75" customHeight="1" x14ac:dyDescent="0.3"/>
    <row r="1348" ht="15.75" customHeight="1" x14ac:dyDescent="0.3"/>
    <row r="1349" ht="15.75" customHeight="1" x14ac:dyDescent="0.3"/>
    <row r="1350" ht="15.75" customHeight="1" x14ac:dyDescent="0.3"/>
    <row r="1351" ht="15.75" customHeight="1" x14ac:dyDescent="0.3"/>
    <row r="1352" ht="15.75" customHeight="1" x14ac:dyDescent="0.3"/>
    <row r="1353" ht="15.75" customHeight="1" x14ac:dyDescent="0.3"/>
    <row r="1354" ht="15.75" customHeight="1" x14ac:dyDescent="0.3"/>
    <row r="1355" ht="15.75" customHeight="1" x14ac:dyDescent="0.3"/>
    <row r="1356" ht="15.75" customHeight="1" x14ac:dyDescent="0.3"/>
    <row r="1357" ht="15.75" customHeight="1" x14ac:dyDescent="0.3"/>
    <row r="1358" ht="15.75" customHeight="1" x14ac:dyDescent="0.3"/>
    <row r="1359" ht="15.75" customHeight="1" x14ac:dyDescent="0.3"/>
    <row r="1360" ht="15.75" customHeight="1" x14ac:dyDescent="0.3"/>
    <row r="1361" ht="15.75" customHeight="1" x14ac:dyDescent="0.3"/>
    <row r="1362" ht="15.75" customHeight="1" x14ac:dyDescent="0.3"/>
    <row r="1363" ht="15.75" customHeight="1" x14ac:dyDescent="0.3"/>
    <row r="1364" ht="15.75" customHeight="1" x14ac:dyDescent="0.3"/>
    <row r="1365" ht="15.75" customHeight="1" x14ac:dyDescent="0.3"/>
    <row r="1366" ht="15.75" customHeight="1" x14ac:dyDescent="0.3"/>
    <row r="1367" ht="15.75" customHeight="1" x14ac:dyDescent="0.3"/>
    <row r="1368" ht="15.75" customHeight="1" x14ac:dyDescent="0.3"/>
    <row r="1369" ht="15.75" customHeight="1" x14ac:dyDescent="0.3"/>
    <row r="1370" ht="15.75" customHeight="1" x14ac:dyDescent="0.3"/>
    <row r="1371" ht="15.75" customHeight="1" x14ac:dyDescent="0.3"/>
    <row r="1372" ht="15.75" customHeight="1" x14ac:dyDescent="0.3"/>
    <row r="1373" ht="15.75" customHeight="1" x14ac:dyDescent="0.3"/>
    <row r="1374" ht="15.75" customHeight="1" x14ac:dyDescent="0.3"/>
    <row r="1375" ht="15.75" customHeight="1" x14ac:dyDescent="0.3"/>
    <row r="1376" ht="15.75" customHeight="1" x14ac:dyDescent="0.3"/>
    <row r="1377" ht="15.75" customHeight="1" x14ac:dyDescent="0.3"/>
    <row r="1378" ht="15.75" customHeight="1" x14ac:dyDescent="0.3"/>
    <row r="1379" ht="15.75" customHeight="1" x14ac:dyDescent="0.3"/>
    <row r="1380" ht="15.75" customHeight="1" x14ac:dyDescent="0.3"/>
    <row r="1381" ht="15.75" customHeight="1" x14ac:dyDescent="0.3"/>
    <row r="1382" ht="15.75" customHeight="1" x14ac:dyDescent="0.3"/>
    <row r="1383" ht="15.75" customHeight="1" x14ac:dyDescent="0.3"/>
    <row r="1384" ht="15.75" customHeight="1" x14ac:dyDescent="0.3"/>
    <row r="1385" ht="15.75" customHeight="1" x14ac:dyDescent="0.3"/>
    <row r="1386" ht="15.75" customHeight="1" x14ac:dyDescent="0.3"/>
    <row r="1387" ht="15.75" customHeight="1" x14ac:dyDescent="0.3"/>
    <row r="1388" ht="15.75" customHeight="1" x14ac:dyDescent="0.3"/>
    <row r="1389" ht="15.75" customHeight="1" x14ac:dyDescent="0.3"/>
    <row r="1390" ht="15.75" customHeight="1" x14ac:dyDescent="0.3"/>
    <row r="1391" ht="15.75" customHeight="1" x14ac:dyDescent="0.3"/>
    <row r="1392" ht="15.75" customHeight="1" x14ac:dyDescent="0.3"/>
    <row r="1393" ht="15.75" customHeight="1" x14ac:dyDescent="0.3"/>
    <row r="1394" ht="15.75" customHeight="1" x14ac:dyDescent="0.3"/>
    <row r="1395" ht="15.75" customHeight="1" x14ac:dyDescent="0.3"/>
    <row r="1396" ht="15.75" customHeight="1" x14ac:dyDescent="0.3"/>
    <row r="1397" ht="15.75" customHeight="1" x14ac:dyDescent="0.3"/>
    <row r="1398" ht="15.75" customHeight="1" x14ac:dyDescent="0.3"/>
    <row r="1399" ht="15.75" customHeight="1" x14ac:dyDescent="0.3"/>
    <row r="1400" ht="15.75" customHeight="1" x14ac:dyDescent="0.3"/>
    <row r="1401" ht="15.75" customHeight="1" x14ac:dyDescent="0.3"/>
    <row r="1402" ht="15.75" customHeight="1" x14ac:dyDescent="0.3"/>
    <row r="1403" ht="15.75" customHeight="1" x14ac:dyDescent="0.3"/>
    <row r="1404" ht="15.75" customHeight="1" x14ac:dyDescent="0.3"/>
    <row r="1405" ht="15.75" customHeight="1" x14ac:dyDescent="0.3"/>
    <row r="1406" ht="15.75" customHeight="1" x14ac:dyDescent="0.3"/>
    <row r="1407" ht="15.75" customHeight="1" x14ac:dyDescent="0.3"/>
    <row r="1408" ht="15.75" customHeight="1" x14ac:dyDescent="0.3"/>
    <row r="1409" ht="15.75" customHeight="1" x14ac:dyDescent="0.3"/>
    <row r="1410" ht="15.75" customHeight="1" x14ac:dyDescent="0.3"/>
    <row r="1411" ht="15.75" customHeight="1" x14ac:dyDescent="0.3"/>
    <row r="1412" ht="15.75" customHeight="1" x14ac:dyDescent="0.3"/>
    <row r="1413" ht="15.75" customHeight="1" x14ac:dyDescent="0.3"/>
    <row r="1414" ht="15.75" customHeight="1" x14ac:dyDescent="0.3"/>
    <row r="1415" ht="15.75" customHeight="1" x14ac:dyDescent="0.3"/>
    <row r="1416" ht="15.75" customHeight="1" x14ac:dyDescent="0.3"/>
    <row r="1417" ht="15.75" customHeight="1" x14ac:dyDescent="0.3"/>
    <row r="1418" ht="15.75" customHeight="1" x14ac:dyDescent="0.3"/>
    <row r="1419" ht="15.75" customHeight="1" x14ac:dyDescent="0.3"/>
    <row r="1420" ht="15.75" customHeight="1" x14ac:dyDescent="0.3"/>
    <row r="1421" ht="15.75" customHeight="1" x14ac:dyDescent="0.3"/>
    <row r="1422" ht="15.75" customHeight="1" x14ac:dyDescent="0.3"/>
    <row r="1423" ht="15.75" customHeight="1" x14ac:dyDescent="0.3"/>
    <row r="1424" ht="15.75" customHeight="1" x14ac:dyDescent="0.3"/>
    <row r="1425" ht="15.75" customHeight="1" x14ac:dyDescent="0.3"/>
    <row r="1426" ht="15.75" customHeight="1" x14ac:dyDescent="0.3"/>
    <row r="1427" ht="15.75" customHeight="1" x14ac:dyDescent="0.3"/>
    <row r="1428" ht="15.75" customHeight="1" x14ac:dyDescent="0.3"/>
    <row r="1429" ht="15.75" customHeight="1" x14ac:dyDescent="0.3"/>
    <row r="1430" ht="15.75" customHeight="1" x14ac:dyDescent="0.3"/>
    <row r="1431" ht="15.75" customHeight="1" x14ac:dyDescent="0.3"/>
    <row r="1432" ht="15.75" customHeight="1" x14ac:dyDescent="0.3"/>
    <row r="1433" ht="15.75" customHeight="1" x14ac:dyDescent="0.3"/>
    <row r="1434" ht="15.75" customHeight="1" x14ac:dyDescent="0.3"/>
    <row r="1435" ht="15.75" customHeight="1" x14ac:dyDescent="0.3"/>
    <row r="1436" ht="15.75" customHeight="1" x14ac:dyDescent="0.3"/>
    <row r="1437" ht="15.75" customHeight="1" x14ac:dyDescent="0.3"/>
    <row r="1438" ht="15.75" customHeight="1" x14ac:dyDescent="0.3"/>
    <row r="1439" ht="15.75" customHeight="1" x14ac:dyDescent="0.3"/>
    <row r="1440" ht="15.75" customHeight="1" x14ac:dyDescent="0.3"/>
    <row r="1441" ht="15.75" customHeight="1" x14ac:dyDescent="0.3"/>
    <row r="1442" ht="15.75" customHeight="1" x14ac:dyDescent="0.3"/>
    <row r="1443" ht="15.75" customHeight="1" x14ac:dyDescent="0.3"/>
    <row r="1444" ht="15.75" customHeight="1" x14ac:dyDescent="0.3"/>
    <row r="1445" ht="15.75" customHeight="1" x14ac:dyDescent="0.3"/>
    <row r="1446" ht="15.75" customHeight="1" x14ac:dyDescent="0.3"/>
    <row r="1447" ht="15.75" customHeight="1" x14ac:dyDescent="0.3"/>
    <row r="1448" ht="15.75" customHeight="1" x14ac:dyDescent="0.3"/>
    <row r="1449" ht="15.75" customHeight="1" x14ac:dyDescent="0.3"/>
    <row r="1450" ht="15.75" customHeight="1" x14ac:dyDescent="0.3"/>
    <row r="1451" ht="15.75" customHeight="1" x14ac:dyDescent="0.3"/>
    <row r="1452" ht="15.75" customHeight="1" x14ac:dyDescent="0.3"/>
    <row r="1453" ht="15.75" customHeight="1" x14ac:dyDescent="0.3"/>
    <row r="1454" ht="15.75" customHeight="1" x14ac:dyDescent="0.3"/>
    <row r="1455" ht="15.75" customHeight="1" x14ac:dyDescent="0.3"/>
    <row r="1456" ht="15.75" customHeight="1" x14ac:dyDescent="0.3"/>
    <row r="1457" ht="15.75" customHeight="1" x14ac:dyDescent="0.3"/>
    <row r="1458" ht="15.75" customHeight="1" x14ac:dyDescent="0.3"/>
    <row r="1459" ht="15.75" customHeight="1" x14ac:dyDescent="0.3"/>
    <row r="1460" ht="15.75" customHeight="1" x14ac:dyDescent="0.3"/>
    <row r="1461" ht="15.75" customHeight="1" x14ac:dyDescent="0.3"/>
    <row r="1462" ht="15.75" customHeight="1" x14ac:dyDescent="0.3"/>
    <row r="1463" ht="15.75" customHeight="1" x14ac:dyDescent="0.3"/>
    <row r="1464" ht="15.75" customHeight="1" x14ac:dyDescent="0.3"/>
    <row r="1465" ht="15.75" customHeight="1" x14ac:dyDescent="0.3"/>
    <row r="1466" ht="15.75" customHeight="1" x14ac:dyDescent="0.3"/>
    <row r="1467" ht="15.75" customHeight="1" x14ac:dyDescent="0.3"/>
    <row r="1468" ht="15.75" customHeight="1" x14ac:dyDescent="0.3"/>
    <row r="1469" ht="15.75" customHeight="1" x14ac:dyDescent="0.3"/>
    <row r="1470" ht="15.75" customHeight="1" x14ac:dyDescent="0.3"/>
    <row r="1471" ht="15.75" customHeight="1" x14ac:dyDescent="0.3"/>
    <row r="1472" ht="15.75" customHeight="1" x14ac:dyDescent="0.3"/>
    <row r="1473" ht="15.75" customHeight="1" x14ac:dyDescent="0.3"/>
    <row r="1474" ht="15.75" customHeight="1" x14ac:dyDescent="0.3"/>
    <row r="1475" ht="15.75" customHeight="1" x14ac:dyDescent="0.3"/>
    <row r="1476" ht="15.75" customHeight="1" x14ac:dyDescent="0.3"/>
    <row r="1477" ht="15.75" customHeight="1" x14ac:dyDescent="0.3"/>
    <row r="1478" ht="15.75" customHeight="1" x14ac:dyDescent="0.3"/>
    <row r="1479" ht="15.75" customHeight="1" x14ac:dyDescent="0.3"/>
    <row r="1480" ht="15.75" customHeight="1" x14ac:dyDescent="0.3"/>
    <row r="1481" ht="15.75" customHeight="1" x14ac:dyDescent="0.3"/>
    <row r="1482" ht="15.75" customHeight="1" x14ac:dyDescent="0.3"/>
    <row r="1483" ht="15.75" customHeight="1" x14ac:dyDescent="0.3"/>
    <row r="1484" ht="15.75" customHeight="1" x14ac:dyDescent="0.3"/>
    <row r="1485" ht="15.75" customHeight="1" x14ac:dyDescent="0.3"/>
    <row r="1486" ht="15.75" customHeight="1" x14ac:dyDescent="0.3"/>
    <row r="1487" ht="15.75" customHeight="1" x14ac:dyDescent="0.3"/>
    <row r="1488" ht="15.75" customHeight="1" x14ac:dyDescent="0.3"/>
    <row r="1489" ht="15.75" customHeight="1" x14ac:dyDescent="0.3"/>
    <row r="1490" ht="15.75" customHeight="1" x14ac:dyDescent="0.3"/>
    <row r="1491" ht="15.75" customHeight="1" x14ac:dyDescent="0.3"/>
    <row r="1492" ht="15.75" customHeight="1" x14ac:dyDescent="0.3"/>
    <row r="1493" ht="15.75" customHeight="1" x14ac:dyDescent="0.3"/>
    <row r="1494" ht="15.75" customHeight="1" x14ac:dyDescent="0.3"/>
    <row r="1495" ht="15.75" customHeight="1" x14ac:dyDescent="0.3"/>
    <row r="1496" ht="15.75" customHeight="1" x14ac:dyDescent="0.3"/>
    <row r="1497" ht="15.75" customHeight="1" x14ac:dyDescent="0.3"/>
    <row r="1498" ht="15.75" customHeight="1" x14ac:dyDescent="0.3"/>
    <row r="1499" ht="15.75" customHeight="1" x14ac:dyDescent="0.3"/>
    <row r="1500" ht="15.75" customHeight="1" x14ac:dyDescent="0.3"/>
    <row r="1501" ht="15.75" customHeight="1" x14ac:dyDescent="0.3"/>
    <row r="1502" ht="15.75" customHeight="1" x14ac:dyDescent="0.3"/>
    <row r="1503" ht="15.75" customHeight="1" x14ac:dyDescent="0.3"/>
    <row r="1504" ht="15.75" customHeight="1" x14ac:dyDescent="0.3"/>
    <row r="1505" ht="15.75" customHeight="1" x14ac:dyDescent="0.3"/>
    <row r="1506" ht="15.75" customHeight="1" x14ac:dyDescent="0.3"/>
    <row r="1507" ht="15.75" customHeight="1" x14ac:dyDescent="0.3"/>
    <row r="1508" ht="15.75" customHeight="1" x14ac:dyDescent="0.3"/>
    <row r="1509" ht="15.75" customHeight="1" x14ac:dyDescent="0.3"/>
    <row r="1510" ht="15.75" customHeight="1" x14ac:dyDescent="0.3"/>
    <row r="1511" ht="15.75" customHeight="1" x14ac:dyDescent="0.3"/>
    <row r="1512" ht="15.75" customHeight="1" x14ac:dyDescent="0.3"/>
    <row r="1513" ht="15.75" customHeight="1" x14ac:dyDescent="0.3"/>
    <row r="1514" ht="15.75" customHeight="1" x14ac:dyDescent="0.3"/>
    <row r="1515" ht="15.75" customHeight="1" x14ac:dyDescent="0.3"/>
    <row r="1516" ht="15.75" customHeight="1" x14ac:dyDescent="0.3"/>
    <row r="1517" ht="15.75" customHeight="1" x14ac:dyDescent="0.3"/>
    <row r="1518" ht="15.75" customHeight="1" x14ac:dyDescent="0.3"/>
    <row r="1519" ht="15.75" customHeight="1" x14ac:dyDescent="0.3"/>
    <row r="1520" ht="15.75" customHeight="1" x14ac:dyDescent="0.3"/>
    <row r="1521" ht="15.75" customHeight="1" x14ac:dyDescent="0.3"/>
    <row r="1522" ht="15.75" customHeight="1" x14ac:dyDescent="0.3"/>
    <row r="1523" ht="15.75" customHeight="1" x14ac:dyDescent="0.3"/>
    <row r="1524" ht="15.75" customHeight="1" x14ac:dyDescent="0.3"/>
    <row r="1525" ht="15.75" customHeight="1" x14ac:dyDescent="0.3"/>
    <row r="1526" ht="15.75" customHeight="1" x14ac:dyDescent="0.3"/>
    <row r="1527" ht="15.75" customHeight="1" x14ac:dyDescent="0.3"/>
    <row r="1528" ht="15.75" customHeight="1" x14ac:dyDescent="0.3"/>
    <row r="1529" ht="15.75" customHeight="1" x14ac:dyDescent="0.3"/>
    <row r="1530" ht="15.75" customHeight="1" x14ac:dyDescent="0.3"/>
    <row r="1531" ht="15.75" customHeight="1" x14ac:dyDescent="0.3"/>
    <row r="1532" ht="15.75" customHeight="1" x14ac:dyDescent="0.3"/>
    <row r="1533" ht="15.75" customHeight="1" x14ac:dyDescent="0.3"/>
    <row r="1534" ht="15.75" customHeight="1" x14ac:dyDescent="0.3"/>
    <row r="1535" ht="15.75" customHeight="1" x14ac:dyDescent="0.3"/>
    <row r="1536" ht="15.75" customHeight="1" x14ac:dyDescent="0.3"/>
    <row r="1537" ht="15.75" customHeight="1" x14ac:dyDescent="0.3"/>
    <row r="1538" ht="15.75" customHeight="1" x14ac:dyDescent="0.3"/>
    <row r="1539" ht="15.75" customHeight="1" x14ac:dyDescent="0.3"/>
    <row r="1540" ht="15.75" customHeight="1" x14ac:dyDescent="0.3"/>
    <row r="1541" ht="15.75" customHeight="1" x14ac:dyDescent="0.3"/>
    <row r="1542" ht="15.75" customHeight="1" x14ac:dyDescent="0.3"/>
    <row r="1543" ht="15.75" customHeight="1" x14ac:dyDescent="0.3"/>
    <row r="1544" ht="15.75" customHeight="1" x14ac:dyDescent="0.3"/>
    <row r="1545" ht="15.75" customHeight="1" x14ac:dyDescent="0.3"/>
    <row r="1546" ht="15.75" customHeight="1" x14ac:dyDescent="0.3"/>
    <row r="1547" ht="15.75" customHeight="1" x14ac:dyDescent="0.3"/>
    <row r="1548" ht="15.75" customHeight="1" x14ac:dyDescent="0.3"/>
    <row r="1549" ht="15.75" customHeight="1" x14ac:dyDescent="0.3"/>
    <row r="1550" ht="15.75" customHeight="1" x14ac:dyDescent="0.3"/>
    <row r="1551" ht="15.75" customHeight="1" x14ac:dyDescent="0.3"/>
    <row r="1552" ht="15.75" customHeight="1" x14ac:dyDescent="0.3"/>
    <row r="1553" ht="15.75" customHeight="1" x14ac:dyDescent="0.3"/>
    <row r="1554" ht="15.75" customHeight="1" x14ac:dyDescent="0.3"/>
    <row r="1555" ht="15.75" customHeight="1" x14ac:dyDescent="0.3"/>
    <row r="1556" ht="15.75" customHeight="1" x14ac:dyDescent="0.3"/>
    <row r="1557" ht="15.75" customHeight="1" x14ac:dyDescent="0.3"/>
    <row r="1558" ht="15.75" customHeight="1" x14ac:dyDescent="0.3"/>
    <row r="1559" ht="15.75" customHeight="1" x14ac:dyDescent="0.3"/>
    <row r="1560" ht="15.75" customHeight="1" x14ac:dyDescent="0.3"/>
    <row r="1561" ht="15.75" customHeight="1" x14ac:dyDescent="0.3"/>
    <row r="1562" ht="15.75" customHeight="1" x14ac:dyDescent="0.3"/>
    <row r="1563" ht="15.75" customHeight="1" x14ac:dyDescent="0.3"/>
    <row r="1564" ht="15.75" customHeight="1" x14ac:dyDescent="0.3"/>
    <row r="1565" ht="15.75" customHeight="1" x14ac:dyDescent="0.3"/>
    <row r="1566" ht="15.75" customHeight="1" x14ac:dyDescent="0.3"/>
    <row r="1567" ht="15.75" customHeight="1" x14ac:dyDescent="0.3"/>
    <row r="1568" ht="15.75" customHeight="1" x14ac:dyDescent="0.3"/>
    <row r="1569" ht="15.75" customHeight="1" x14ac:dyDescent="0.3"/>
    <row r="1570" ht="15.75" customHeight="1" x14ac:dyDescent="0.3"/>
    <row r="1571" ht="15.75" customHeight="1" x14ac:dyDescent="0.3"/>
    <row r="1572" ht="15.75" customHeight="1" x14ac:dyDescent="0.3"/>
    <row r="1573" ht="15.75" customHeight="1" x14ac:dyDescent="0.3"/>
    <row r="1574" ht="15.75" customHeight="1" x14ac:dyDescent="0.3"/>
    <row r="1575" ht="15.75" customHeight="1" x14ac:dyDescent="0.3"/>
    <row r="1576" ht="15.75" customHeight="1" x14ac:dyDescent="0.3"/>
    <row r="1577" ht="15.75" customHeight="1" x14ac:dyDescent="0.3"/>
    <row r="1578" ht="15.75" customHeight="1" x14ac:dyDescent="0.3"/>
    <row r="1579" ht="15.75" customHeight="1" x14ac:dyDescent="0.3"/>
    <row r="1580" ht="15.75" customHeight="1" x14ac:dyDescent="0.3"/>
    <row r="1581" ht="15.75" customHeight="1" x14ac:dyDescent="0.3"/>
    <row r="1582" ht="15.75" customHeight="1" x14ac:dyDescent="0.3"/>
    <row r="1583" ht="15.75" customHeight="1" x14ac:dyDescent="0.3"/>
    <row r="1584" ht="15.75" customHeight="1" x14ac:dyDescent="0.3"/>
    <row r="1585" ht="15.75" customHeight="1" x14ac:dyDescent="0.3"/>
    <row r="1586" ht="15.75" customHeight="1" x14ac:dyDescent="0.3"/>
    <row r="1587" ht="15.75" customHeight="1" x14ac:dyDescent="0.3"/>
    <row r="1588" ht="15.75" customHeight="1" x14ac:dyDescent="0.3"/>
    <row r="1589" ht="15.75" customHeight="1" x14ac:dyDescent="0.3"/>
    <row r="1590" ht="15.75" customHeight="1" x14ac:dyDescent="0.3"/>
    <row r="1591" ht="15.75" customHeight="1" x14ac:dyDescent="0.3"/>
    <row r="1592" ht="15.75" customHeight="1" x14ac:dyDescent="0.3"/>
    <row r="1593" ht="15.75" customHeight="1" x14ac:dyDescent="0.3"/>
    <row r="1594" ht="15.75" customHeight="1" x14ac:dyDescent="0.3"/>
    <row r="1595" ht="15.75" customHeight="1" x14ac:dyDescent="0.3"/>
    <row r="1596" ht="15.75" customHeight="1" x14ac:dyDescent="0.3"/>
    <row r="1597" ht="15.75" customHeight="1" x14ac:dyDescent="0.3"/>
    <row r="1598" ht="15.75" customHeight="1" x14ac:dyDescent="0.3"/>
    <row r="1599" ht="15.75" customHeight="1" x14ac:dyDescent="0.3"/>
    <row r="1600" ht="15.75" customHeight="1" x14ac:dyDescent="0.3"/>
    <row r="1601" ht="15.75" customHeight="1" x14ac:dyDescent="0.3"/>
    <row r="1602" ht="15.75" customHeight="1" x14ac:dyDescent="0.3"/>
    <row r="1603" ht="15.75" customHeight="1" x14ac:dyDescent="0.3"/>
    <row r="1604" ht="15.75" customHeight="1" x14ac:dyDescent="0.3"/>
    <row r="1605" ht="15.75" customHeight="1" x14ac:dyDescent="0.3"/>
    <row r="1606" ht="15.75" customHeight="1" x14ac:dyDescent="0.3"/>
    <row r="1607" ht="15.75" customHeight="1" x14ac:dyDescent="0.3"/>
    <row r="1608" ht="15.75" customHeight="1" x14ac:dyDescent="0.3"/>
    <row r="1609" ht="15.75" customHeight="1" x14ac:dyDescent="0.3"/>
    <row r="1610" ht="15.75" customHeight="1" x14ac:dyDescent="0.3"/>
    <row r="1611" ht="15.75" customHeight="1" x14ac:dyDescent="0.3"/>
    <row r="1612" ht="15.75" customHeight="1" x14ac:dyDescent="0.3"/>
    <row r="1613" ht="15.75" customHeight="1" x14ac:dyDescent="0.3"/>
    <row r="1614" ht="15.75" customHeight="1" x14ac:dyDescent="0.3"/>
    <row r="1615" ht="15.75" customHeight="1" x14ac:dyDescent="0.3"/>
    <row r="1616" ht="15.75" customHeight="1" x14ac:dyDescent="0.3"/>
    <row r="1617" ht="15.75" customHeight="1" x14ac:dyDescent="0.3"/>
    <row r="1618" ht="15.75" customHeight="1" x14ac:dyDescent="0.3"/>
    <row r="1619" ht="15.75" customHeight="1" x14ac:dyDescent="0.3"/>
    <row r="1620" ht="15.75" customHeight="1" x14ac:dyDescent="0.3"/>
    <row r="1621" ht="15.75" customHeight="1" x14ac:dyDescent="0.3"/>
    <row r="1622" ht="15.75" customHeight="1" x14ac:dyDescent="0.3"/>
    <row r="1623" ht="15.75" customHeight="1" x14ac:dyDescent="0.3"/>
    <row r="1624" ht="15.75" customHeight="1" x14ac:dyDescent="0.3"/>
    <row r="1625" ht="15.75" customHeight="1" x14ac:dyDescent="0.3"/>
    <row r="1626" ht="15.75" customHeight="1" x14ac:dyDescent="0.3"/>
    <row r="1627" ht="15.75" customHeight="1" x14ac:dyDescent="0.3"/>
    <row r="1628" ht="15.75" customHeight="1" x14ac:dyDescent="0.3"/>
    <row r="1629" ht="15.75" customHeight="1" x14ac:dyDescent="0.3"/>
    <row r="1630" ht="15.75" customHeight="1" x14ac:dyDescent="0.3"/>
    <row r="1631" ht="15.75" customHeight="1" x14ac:dyDescent="0.3"/>
    <row r="1632" ht="15.75" customHeight="1" x14ac:dyDescent="0.3"/>
    <row r="1633" ht="15.75" customHeight="1" x14ac:dyDescent="0.3"/>
    <row r="1634" ht="15.75" customHeight="1" x14ac:dyDescent="0.3"/>
    <row r="1635" ht="15.75" customHeight="1" x14ac:dyDescent="0.3"/>
    <row r="1636" ht="15.75" customHeight="1" x14ac:dyDescent="0.3"/>
    <row r="1637" ht="15.75" customHeight="1" x14ac:dyDescent="0.3"/>
    <row r="1638" ht="15.75" customHeight="1" x14ac:dyDescent="0.3"/>
    <row r="1639" ht="15.75" customHeight="1" x14ac:dyDescent="0.3"/>
    <row r="1640" ht="15.75" customHeight="1" x14ac:dyDescent="0.3"/>
    <row r="1641" ht="15.75" customHeight="1" x14ac:dyDescent="0.3"/>
    <row r="1642" ht="15.75" customHeight="1" x14ac:dyDescent="0.3"/>
    <row r="1643" ht="15.75" customHeight="1" x14ac:dyDescent="0.3"/>
    <row r="1644" ht="15.75" customHeight="1" x14ac:dyDescent="0.3"/>
    <row r="1645" ht="15.75" customHeight="1" x14ac:dyDescent="0.3"/>
    <row r="1646" ht="15.75" customHeight="1" x14ac:dyDescent="0.3"/>
    <row r="1647" ht="15.75" customHeight="1" x14ac:dyDescent="0.3"/>
    <row r="1648" ht="15.75" customHeight="1" x14ac:dyDescent="0.3"/>
    <row r="1649" ht="15.75" customHeight="1" x14ac:dyDescent="0.3"/>
    <row r="1650" ht="15.75" customHeight="1" x14ac:dyDescent="0.3"/>
    <row r="1651" ht="15.75" customHeight="1" x14ac:dyDescent="0.3"/>
    <row r="1652" ht="15.75" customHeight="1" x14ac:dyDescent="0.3"/>
    <row r="1653" ht="15.75" customHeight="1" x14ac:dyDescent="0.3"/>
    <row r="1654" ht="15.75" customHeight="1" x14ac:dyDescent="0.3"/>
    <row r="1655" ht="15.75" customHeight="1" x14ac:dyDescent="0.3"/>
    <row r="1656" ht="15.75" customHeight="1" x14ac:dyDescent="0.3"/>
    <row r="1657" ht="15.75" customHeight="1" x14ac:dyDescent="0.3"/>
    <row r="1658" ht="15.75" customHeight="1" x14ac:dyDescent="0.3"/>
    <row r="1659" ht="15.75" customHeight="1" x14ac:dyDescent="0.3"/>
    <row r="1660" ht="15.75" customHeight="1" x14ac:dyDescent="0.3"/>
    <row r="1661" ht="15.75" customHeight="1" x14ac:dyDescent="0.3"/>
    <row r="1662" ht="15.75" customHeight="1" x14ac:dyDescent="0.3"/>
    <row r="1663" ht="15.75" customHeight="1" x14ac:dyDescent="0.3"/>
    <row r="1664" ht="15.75" customHeight="1" x14ac:dyDescent="0.3"/>
    <row r="1665" ht="15.75" customHeight="1" x14ac:dyDescent="0.3"/>
    <row r="1666" ht="15.75" customHeight="1" x14ac:dyDescent="0.3"/>
    <row r="1667" ht="15.75" customHeight="1" x14ac:dyDescent="0.3"/>
    <row r="1668" ht="15.75" customHeight="1" x14ac:dyDescent="0.3"/>
    <row r="1669" ht="15.75" customHeight="1" x14ac:dyDescent="0.3"/>
    <row r="1670" ht="15.75" customHeight="1" x14ac:dyDescent="0.3"/>
    <row r="1671" ht="15.75" customHeight="1" x14ac:dyDescent="0.3"/>
    <row r="1672" ht="15.75" customHeight="1" x14ac:dyDescent="0.3"/>
    <row r="1673" ht="15.75" customHeight="1" x14ac:dyDescent="0.3"/>
    <row r="1674" ht="15.75" customHeight="1" x14ac:dyDescent="0.3"/>
    <row r="1675" ht="15.75" customHeight="1" x14ac:dyDescent="0.3"/>
    <row r="1676" ht="15.75" customHeight="1" x14ac:dyDescent="0.3"/>
    <row r="1677" ht="15.75" customHeight="1" x14ac:dyDescent="0.3"/>
    <row r="1678" ht="15.75" customHeight="1" x14ac:dyDescent="0.3"/>
    <row r="1679" ht="15.75" customHeight="1" x14ac:dyDescent="0.3"/>
    <row r="1680" ht="15.75" customHeight="1" x14ac:dyDescent="0.3"/>
    <row r="1681" ht="15.75" customHeight="1" x14ac:dyDescent="0.3"/>
    <row r="1682" ht="15.75" customHeight="1" x14ac:dyDescent="0.3"/>
    <row r="1683" ht="15.75" customHeight="1" x14ac:dyDescent="0.3"/>
    <row r="1684" ht="15.75" customHeight="1" x14ac:dyDescent="0.3"/>
    <row r="1685" ht="15.75" customHeight="1" x14ac:dyDescent="0.3"/>
    <row r="1686" ht="15.75" customHeight="1" x14ac:dyDescent="0.3"/>
    <row r="1687" ht="15.75" customHeight="1" x14ac:dyDescent="0.3"/>
    <row r="1688" ht="15.75" customHeight="1" x14ac:dyDescent="0.3"/>
    <row r="1689" ht="15.75" customHeight="1" x14ac:dyDescent="0.3"/>
    <row r="1690" ht="15.75" customHeight="1" x14ac:dyDescent="0.3"/>
    <row r="1691" ht="15.75" customHeight="1" x14ac:dyDescent="0.3"/>
    <row r="1692" ht="15.75" customHeight="1" x14ac:dyDescent="0.3"/>
    <row r="1693" ht="15.75" customHeight="1" x14ac:dyDescent="0.3"/>
    <row r="1694" ht="15.75" customHeight="1" x14ac:dyDescent="0.3"/>
    <row r="1695" ht="15.75" customHeight="1" x14ac:dyDescent="0.3"/>
    <row r="1696" ht="15.75" customHeight="1" x14ac:dyDescent="0.3"/>
    <row r="1697" ht="15.75" customHeight="1" x14ac:dyDescent="0.3"/>
    <row r="1698" ht="15.75" customHeight="1" x14ac:dyDescent="0.3"/>
    <row r="1699" ht="15.75" customHeight="1" x14ac:dyDescent="0.3"/>
    <row r="1700" ht="15.75" customHeight="1" x14ac:dyDescent="0.3"/>
    <row r="1701" ht="15.75" customHeight="1" x14ac:dyDescent="0.3"/>
    <row r="1702" ht="15.75" customHeight="1" x14ac:dyDescent="0.3"/>
    <row r="1703" ht="15.75" customHeight="1" x14ac:dyDescent="0.3"/>
    <row r="1704" ht="15.75" customHeight="1" x14ac:dyDescent="0.3"/>
    <row r="1705" ht="15.75" customHeight="1" x14ac:dyDescent="0.3"/>
    <row r="1706" ht="15.75" customHeight="1" x14ac:dyDescent="0.3"/>
    <row r="1707" ht="15.75" customHeight="1" x14ac:dyDescent="0.3"/>
    <row r="1708" ht="15.75" customHeight="1" x14ac:dyDescent="0.3"/>
    <row r="1709" ht="15.75" customHeight="1" x14ac:dyDescent="0.3"/>
    <row r="1710" ht="15.75" customHeight="1" x14ac:dyDescent="0.3"/>
    <row r="1711" ht="15.75" customHeight="1" x14ac:dyDescent="0.3"/>
    <row r="1712" ht="15.75" customHeight="1" x14ac:dyDescent="0.3"/>
    <row r="1713" ht="15.75" customHeight="1" x14ac:dyDescent="0.3"/>
    <row r="1714" ht="15.75" customHeight="1" x14ac:dyDescent="0.3"/>
    <row r="1715" ht="15.75" customHeight="1" x14ac:dyDescent="0.3"/>
    <row r="1716" ht="15.75" customHeight="1" x14ac:dyDescent="0.3"/>
    <row r="1717" ht="15.75" customHeight="1" x14ac:dyDescent="0.3"/>
    <row r="1718" ht="15.75" customHeight="1" x14ac:dyDescent="0.3"/>
    <row r="1719" ht="15.75" customHeight="1" x14ac:dyDescent="0.3"/>
    <row r="1720" ht="15.75" customHeight="1" x14ac:dyDescent="0.3"/>
    <row r="1721" ht="15.75" customHeight="1" x14ac:dyDescent="0.3"/>
    <row r="1722" ht="15.75" customHeight="1" x14ac:dyDescent="0.3"/>
    <row r="1723" ht="15.75" customHeight="1" x14ac:dyDescent="0.3"/>
    <row r="1724" ht="15.75" customHeight="1" x14ac:dyDescent="0.3"/>
    <row r="1725" ht="15.75" customHeight="1" x14ac:dyDescent="0.3"/>
    <row r="1726" ht="15.75" customHeight="1" x14ac:dyDescent="0.3"/>
    <row r="1727" ht="15.75" customHeight="1" x14ac:dyDescent="0.3"/>
    <row r="1728" ht="15.75" customHeight="1" x14ac:dyDescent="0.3"/>
    <row r="1729" ht="15.75" customHeight="1" x14ac:dyDescent="0.3"/>
    <row r="1730" ht="15.75" customHeight="1" x14ac:dyDescent="0.3"/>
    <row r="1731" ht="15.75" customHeight="1" x14ac:dyDescent="0.3"/>
    <row r="1732" ht="15.75" customHeight="1" x14ac:dyDescent="0.3"/>
    <row r="1733" ht="15.75" customHeight="1" x14ac:dyDescent="0.3"/>
    <row r="1734" ht="15.75" customHeight="1" x14ac:dyDescent="0.3"/>
    <row r="1735" ht="15.75" customHeight="1" x14ac:dyDescent="0.3"/>
    <row r="1736" ht="15.75" customHeight="1" x14ac:dyDescent="0.3"/>
    <row r="1737" ht="15.75" customHeight="1" x14ac:dyDescent="0.3"/>
    <row r="1738" ht="15.75" customHeight="1" x14ac:dyDescent="0.3"/>
    <row r="1739" ht="15.75" customHeight="1" x14ac:dyDescent="0.3"/>
    <row r="1740" ht="15.75" customHeight="1" x14ac:dyDescent="0.3"/>
    <row r="1741" ht="15.75" customHeight="1" x14ac:dyDescent="0.3"/>
    <row r="1742" ht="15.75" customHeight="1" x14ac:dyDescent="0.3"/>
    <row r="1743" ht="15.75" customHeight="1" x14ac:dyDescent="0.3"/>
    <row r="1744" ht="15.75" customHeight="1" x14ac:dyDescent="0.3"/>
    <row r="1745" ht="15.75" customHeight="1" x14ac:dyDescent="0.3"/>
    <row r="1746" ht="15.75" customHeight="1" x14ac:dyDescent="0.3"/>
    <row r="1747" ht="15.75" customHeight="1" x14ac:dyDescent="0.3"/>
    <row r="1748" ht="15.75" customHeight="1" x14ac:dyDescent="0.3"/>
    <row r="1749" ht="15.75" customHeight="1" x14ac:dyDescent="0.3"/>
    <row r="1750" ht="15.75" customHeight="1" x14ac:dyDescent="0.3"/>
    <row r="1751" ht="15.75" customHeight="1" x14ac:dyDescent="0.3"/>
    <row r="1752" ht="15.75" customHeight="1" x14ac:dyDescent="0.3"/>
    <row r="1753" ht="15.75" customHeight="1" x14ac:dyDescent="0.3"/>
    <row r="1754" ht="15.75" customHeight="1" x14ac:dyDescent="0.3"/>
    <row r="1755" ht="15.75" customHeight="1" x14ac:dyDescent="0.3"/>
    <row r="1756" ht="15.75" customHeight="1" x14ac:dyDescent="0.3"/>
    <row r="1757" ht="15.75" customHeight="1" x14ac:dyDescent="0.3"/>
    <row r="1758" ht="15.75" customHeight="1" x14ac:dyDescent="0.3"/>
    <row r="1759" ht="15.75" customHeight="1" x14ac:dyDescent="0.3"/>
    <row r="1760" ht="15.75" customHeight="1" x14ac:dyDescent="0.3"/>
    <row r="1761" ht="15.75" customHeight="1" x14ac:dyDescent="0.3"/>
    <row r="1762" ht="15.75" customHeight="1" x14ac:dyDescent="0.3"/>
    <row r="1763" ht="15.75" customHeight="1" x14ac:dyDescent="0.3"/>
    <row r="1764" ht="15.75" customHeight="1" x14ac:dyDescent="0.3"/>
    <row r="1765" ht="15.75" customHeight="1" x14ac:dyDescent="0.3"/>
    <row r="1766" ht="15.75" customHeight="1" x14ac:dyDescent="0.3"/>
    <row r="1767" ht="15.75" customHeight="1" x14ac:dyDescent="0.3"/>
    <row r="1768" ht="15.75" customHeight="1" x14ac:dyDescent="0.3"/>
    <row r="1769" ht="15.75" customHeight="1" x14ac:dyDescent="0.3"/>
    <row r="1770" ht="15.75" customHeight="1" x14ac:dyDescent="0.3"/>
    <row r="1771" ht="15.75" customHeight="1" x14ac:dyDescent="0.3"/>
    <row r="1772" ht="15.75" customHeight="1" x14ac:dyDescent="0.3"/>
    <row r="1773" ht="15.75" customHeight="1" x14ac:dyDescent="0.3"/>
    <row r="1774" ht="15.75" customHeight="1" x14ac:dyDescent="0.3"/>
    <row r="1775" ht="15.75" customHeight="1" x14ac:dyDescent="0.3"/>
    <row r="1776" ht="15.75" customHeight="1" x14ac:dyDescent="0.3"/>
    <row r="1777" ht="15.75" customHeight="1" x14ac:dyDescent="0.3"/>
    <row r="1778" ht="15.75" customHeight="1" x14ac:dyDescent="0.3"/>
    <row r="1779" ht="15.75" customHeight="1" x14ac:dyDescent="0.3"/>
    <row r="1780" ht="15.75" customHeight="1" x14ac:dyDescent="0.3"/>
    <row r="1781" ht="15.75" customHeight="1" x14ac:dyDescent="0.3"/>
    <row r="1782" ht="15.75" customHeight="1" x14ac:dyDescent="0.3"/>
    <row r="1783" ht="15.75" customHeight="1" x14ac:dyDescent="0.3"/>
    <row r="1784" ht="15.75" customHeight="1" x14ac:dyDescent="0.3"/>
    <row r="1785" ht="15.75" customHeight="1" x14ac:dyDescent="0.3"/>
    <row r="1786" ht="15.75" customHeight="1" x14ac:dyDescent="0.3"/>
    <row r="1787" ht="15.75" customHeight="1" x14ac:dyDescent="0.3"/>
    <row r="1788" ht="15.75" customHeight="1" x14ac:dyDescent="0.3"/>
    <row r="1789" ht="15.75" customHeight="1" x14ac:dyDescent="0.3"/>
    <row r="1790" ht="15.75" customHeight="1" x14ac:dyDescent="0.3"/>
    <row r="1791" ht="15.75" customHeight="1" x14ac:dyDescent="0.3"/>
    <row r="1792" ht="15.75" customHeight="1" x14ac:dyDescent="0.3"/>
    <row r="1793" ht="15.75" customHeight="1" x14ac:dyDescent="0.3"/>
    <row r="1794" ht="15.75" customHeight="1" x14ac:dyDescent="0.3"/>
    <row r="1795" ht="15.75" customHeight="1" x14ac:dyDescent="0.3"/>
    <row r="1796" ht="15.75" customHeight="1" x14ac:dyDescent="0.3"/>
    <row r="1797" ht="15.75" customHeight="1" x14ac:dyDescent="0.3"/>
    <row r="1798" ht="15.75" customHeight="1" x14ac:dyDescent="0.3"/>
    <row r="1799" ht="15.75" customHeight="1" x14ac:dyDescent="0.3"/>
    <row r="1800" ht="15.75" customHeight="1" x14ac:dyDescent="0.3"/>
    <row r="1801" ht="15.75" customHeight="1" x14ac:dyDescent="0.3"/>
    <row r="1802" ht="15.75" customHeight="1" x14ac:dyDescent="0.3"/>
    <row r="1803" ht="15.75" customHeight="1" x14ac:dyDescent="0.3"/>
    <row r="1804" ht="15.75" customHeight="1" x14ac:dyDescent="0.3"/>
    <row r="1805" ht="15.75" customHeight="1" x14ac:dyDescent="0.3"/>
    <row r="1806" ht="15.75" customHeight="1" x14ac:dyDescent="0.3"/>
    <row r="1807" ht="15.75" customHeight="1" x14ac:dyDescent="0.3"/>
    <row r="1808" ht="15.75" customHeight="1" x14ac:dyDescent="0.3"/>
    <row r="1809" ht="15.75" customHeight="1" x14ac:dyDescent="0.3"/>
    <row r="1810" ht="15.75" customHeight="1" x14ac:dyDescent="0.3"/>
    <row r="1811" ht="15.75" customHeight="1" x14ac:dyDescent="0.3"/>
    <row r="1812" ht="15.75" customHeight="1" x14ac:dyDescent="0.3"/>
    <row r="1813" ht="15.75" customHeight="1" x14ac:dyDescent="0.3"/>
    <row r="1814" ht="15.75" customHeight="1" x14ac:dyDescent="0.3"/>
    <row r="1815" ht="15.75" customHeight="1" x14ac:dyDescent="0.3"/>
    <row r="1816" ht="15.75" customHeight="1" x14ac:dyDescent="0.3"/>
    <row r="1817" ht="15.75" customHeight="1" x14ac:dyDescent="0.3"/>
    <row r="1818" ht="15.75" customHeight="1" x14ac:dyDescent="0.3"/>
    <row r="1819" ht="15.75" customHeight="1" x14ac:dyDescent="0.3"/>
    <row r="1820" ht="15.75" customHeight="1" x14ac:dyDescent="0.3"/>
    <row r="1821" ht="15.75" customHeight="1" x14ac:dyDescent="0.3"/>
    <row r="1822" ht="15.75" customHeight="1" x14ac:dyDescent="0.3"/>
    <row r="1823" ht="15.75" customHeight="1" x14ac:dyDescent="0.3"/>
    <row r="1824" ht="15.75" customHeight="1" x14ac:dyDescent="0.3"/>
    <row r="1825" ht="15.75" customHeight="1" x14ac:dyDescent="0.3"/>
    <row r="1826" ht="15.75" customHeight="1" x14ac:dyDescent="0.3"/>
    <row r="1827" ht="15.75" customHeight="1" x14ac:dyDescent="0.3"/>
    <row r="1828" ht="15.75" customHeight="1" x14ac:dyDescent="0.3"/>
    <row r="1829" ht="15.75" customHeight="1" x14ac:dyDescent="0.3"/>
    <row r="1830" ht="15.75" customHeight="1" x14ac:dyDescent="0.3"/>
    <row r="1831" ht="15.75" customHeight="1" x14ac:dyDescent="0.3"/>
    <row r="1832" ht="15.75" customHeight="1" x14ac:dyDescent="0.3"/>
    <row r="1833" ht="15.75" customHeight="1" x14ac:dyDescent="0.3"/>
    <row r="1834" ht="15.75" customHeight="1" x14ac:dyDescent="0.3"/>
    <row r="1835" ht="15.75" customHeight="1" x14ac:dyDescent="0.3"/>
    <row r="1836" ht="15.75" customHeight="1" x14ac:dyDescent="0.3"/>
    <row r="1837" ht="15.75" customHeight="1" x14ac:dyDescent="0.3"/>
    <row r="1838" ht="15.75" customHeight="1" x14ac:dyDescent="0.3"/>
    <row r="1839" ht="15.75" customHeight="1" x14ac:dyDescent="0.3"/>
    <row r="1840" ht="15.75" customHeight="1" x14ac:dyDescent="0.3"/>
    <row r="1841" ht="15.75" customHeight="1" x14ac:dyDescent="0.3"/>
    <row r="1842" ht="15.75" customHeight="1" x14ac:dyDescent="0.3"/>
    <row r="1843" ht="15.75" customHeight="1" x14ac:dyDescent="0.3"/>
    <row r="1844" ht="15.75" customHeight="1" x14ac:dyDescent="0.3"/>
    <row r="1845" ht="15.75" customHeight="1" x14ac:dyDescent="0.3"/>
    <row r="1846" ht="15.75" customHeight="1" x14ac:dyDescent="0.3"/>
    <row r="1847" ht="15.75" customHeight="1" x14ac:dyDescent="0.3"/>
    <row r="1848" ht="15.75" customHeight="1" x14ac:dyDescent="0.3"/>
    <row r="1849" ht="15.75" customHeight="1" x14ac:dyDescent="0.3"/>
    <row r="1850" ht="15.75" customHeight="1" x14ac:dyDescent="0.3"/>
    <row r="1851" ht="15.75" customHeight="1" x14ac:dyDescent="0.3"/>
    <row r="1852" ht="15.75" customHeight="1" x14ac:dyDescent="0.3"/>
    <row r="1853" ht="15.75" customHeight="1" x14ac:dyDescent="0.3"/>
    <row r="1854" ht="15.75" customHeight="1" x14ac:dyDescent="0.3"/>
    <row r="1855" ht="15.75" customHeight="1" x14ac:dyDescent="0.3"/>
    <row r="1856" ht="15.75" customHeight="1" x14ac:dyDescent="0.3"/>
    <row r="1857" ht="15.75" customHeight="1" x14ac:dyDescent="0.3"/>
    <row r="1858" ht="15.75" customHeight="1" x14ac:dyDescent="0.3"/>
    <row r="1859" ht="15.75" customHeight="1" x14ac:dyDescent="0.3"/>
    <row r="1860" ht="15.75" customHeight="1" x14ac:dyDescent="0.3"/>
    <row r="1861" ht="15.75" customHeight="1" x14ac:dyDescent="0.3"/>
    <row r="1862" ht="15.75" customHeight="1" x14ac:dyDescent="0.3"/>
    <row r="1863" ht="15.75" customHeight="1" x14ac:dyDescent="0.3"/>
    <row r="1864" ht="15.75" customHeight="1" x14ac:dyDescent="0.3"/>
    <row r="1865" ht="15.75" customHeight="1" x14ac:dyDescent="0.3"/>
    <row r="1866" ht="15.75" customHeight="1" x14ac:dyDescent="0.3"/>
    <row r="1867" ht="15.75" customHeight="1" x14ac:dyDescent="0.3"/>
    <row r="1868" ht="15.75" customHeight="1" x14ac:dyDescent="0.3"/>
    <row r="1869" ht="15.75" customHeight="1" x14ac:dyDescent="0.3"/>
    <row r="1870" ht="15.75" customHeight="1" x14ac:dyDescent="0.3"/>
    <row r="1871" ht="15.75" customHeight="1" x14ac:dyDescent="0.3"/>
    <row r="1872" ht="15.75" customHeight="1" x14ac:dyDescent="0.3"/>
    <row r="1873" ht="15.75" customHeight="1" x14ac:dyDescent="0.3"/>
    <row r="1874" ht="15.75" customHeight="1" x14ac:dyDescent="0.3"/>
    <row r="1875" ht="15.75" customHeight="1" x14ac:dyDescent="0.3"/>
    <row r="1876" ht="15.75" customHeight="1" x14ac:dyDescent="0.3"/>
    <row r="1877" ht="15.75" customHeight="1" x14ac:dyDescent="0.3"/>
    <row r="1878" ht="15.75" customHeight="1" x14ac:dyDescent="0.3"/>
    <row r="1879" ht="15.75" customHeight="1" x14ac:dyDescent="0.3"/>
    <row r="1880" ht="15.75" customHeight="1" x14ac:dyDescent="0.3"/>
    <row r="1881" ht="15.75" customHeight="1" x14ac:dyDescent="0.3"/>
    <row r="1882" ht="15.75" customHeight="1" x14ac:dyDescent="0.3"/>
    <row r="1883" ht="15.75" customHeight="1" x14ac:dyDescent="0.3"/>
    <row r="1884" ht="15.75" customHeight="1" x14ac:dyDescent="0.3"/>
    <row r="1885" ht="15.75" customHeight="1" x14ac:dyDescent="0.3"/>
    <row r="1886" ht="15.75" customHeight="1" x14ac:dyDescent="0.3"/>
    <row r="1887" ht="15.75" customHeight="1" x14ac:dyDescent="0.3"/>
    <row r="1888" ht="15.75" customHeight="1" x14ac:dyDescent="0.3"/>
    <row r="1889" ht="15.75" customHeight="1" x14ac:dyDescent="0.3"/>
    <row r="1890" ht="15.75" customHeight="1" x14ac:dyDescent="0.3"/>
    <row r="1891" ht="15.75" customHeight="1" x14ac:dyDescent="0.3"/>
    <row r="1892" ht="15.75" customHeight="1" x14ac:dyDescent="0.3"/>
    <row r="1893" ht="15.75" customHeight="1" x14ac:dyDescent="0.3"/>
    <row r="1894" ht="15.75" customHeight="1" x14ac:dyDescent="0.3"/>
    <row r="1895" ht="15.75" customHeight="1" x14ac:dyDescent="0.3"/>
    <row r="1896" ht="15.75" customHeight="1" x14ac:dyDescent="0.3"/>
    <row r="1897" ht="15.75" customHeight="1" x14ac:dyDescent="0.3"/>
    <row r="1898" ht="15.75" customHeight="1" x14ac:dyDescent="0.3"/>
    <row r="1899" ht="15.75" customHeight="1" x14ac:dyDescent="0.3"/>
    <row r="1900" ht="15.75" customHeight="1" x14ac:dyDescent="0.3"/>
    <row r="1901" ht="15.75" customHeight="1" x14ac:dyDescent="0.3"/>
    <row r="1902" ht="15.75" customHeight="1" x14ac:dyDescent="0.3"/>
    <row r="1903" ht="15.75" customHeight="1" x14ac:dyDescent="0.3"/>
    <row r="1904" ht="15.75" customHeight="1" x14ac:dyDescent="0.3"/>
    <row r="1905" ht="15.75" customHeight="1" x14ac:dyDescent="0.3"/>
    <row r="1906" ht="15.75" customHeight="1" x14ac:dyDescent="0.3"/>
    <row r="1907" ht="15.75" customHeight="1" x14ac:dyDescent="0.3"/>
    <row r="1908" ht="15.75" customHeight="1" x14ac:dyDescent="0.3"/>
    <row r="1909" ht="15.75" customHeight="1" x14ac:dyDescent="0.3"/>
    <row r="1910" ht="15.75" customHeight="1" x14ac:dyDescent="0.3"/>
    <row r="1911" ht="15.75" customHeight="1" x14ac:dyDescent="0.3"/>
    <row r="1912" ht="15.75" customHeight="1" x14ac:dyDescent="0.3"/>
    <row r="1913" ht="15.75" customHeight="1" x14ac:dyDescent="0.3"/>
    <row r="1914" ht="15.75" customHeight="1" x14ac:dyDescent="0.3"/>
    <row r="1915" ht="15.75" customHeight="1" x14ac:dyDescent="0.3"/>
    <row r="1916" ht="15.75" customHeight="1" x14ac:dyDescent="0.3"/>
    <row r="1917" ht="15.75" customHeight="1" x14ac:dyDescent="0.3"/>
    <row r="1918" ht="15.75" customHeight="1" x14ac:dyDescent="0.3"/>
    <row r="1919" ht="15.75" customHeight="1" x14ac:dyDescent="0.3"/>
    <row r="1920" ht="15.75" customHeight="1" x14ac:dyDescent="0.3"/>
    <row r="1921" ht="15.75" customHeight="1" x14ac:dyDescent="0.3"/>
    <row r="1922" ht="15.75" customHeight="1" x14ac:dyDescent="0.3"/>
    <row r="1923" ht="15.75" customHeight="1" x14ac:dyDescent="0.3"/>
    <row r="1924" ht="15.75" customHeight="1" x14ac:dyDescent="0.3"/>
    <row r="1925" ht="15.75" customHeight="1" x14ac:dyDescent="0.3"/>
    <row r="1926" ht="15.75" customHeight="1" x14ac:dyDescent="0.3"/>
    <row r="1927" ht="15.75" customHeight="1" x14ac:dyDescent="0.3"/>
    <row r="1928" ht="15.75" customHeight="1" x14ac:dyDescent="0.3"/>
    <row r="1929" ht="15.75" customHeight="1" x14ac:dyDescent="0.3"/>
    <row r="1930" ht="15.75" customHeight="1" x14ac:dyDescent="0.3"/>
    <row r="1931" ht="15.75" customHeight="1" x14ac:dyDescent="0.3"/>
    <row r="1932" ht="15.75" customHeight="1" x14ac:dyDescent="0.3"/>
    <row r="1933" ht="15.75" customHeight="1" x14ac:dyDescent="0.3"/>
    <row r="1934" ht="15.75" customHeight="1" x14ac:dyDescent="0.3"/>
    <row r="1935" ht="15.75" customHeight="1" x14ac:dyDescent="0.3"/>
    <row r="1936" ht="15.75" customHeight="1" x14ac:dyDescent="0.3"/>
    <row r="1937" ht="15.75" customHeight="1" x14ac:dyDescent="0.3"/>
    <row r="1938" ht="15.75" customHeight="1" x14ac:dyDescent="0.3"/>
    <row r="1939" ht="15.75" customHeight="1" x14ac:dyDescent="0.3"/>
    <row r="1940" ht="15.75" customHeight="1" x14ac:dyDescent="0.3"/>
    <row r="1941" ht="15.75" customHeight="1" x14ac:dyDescent="0.3"/>
    <row r="1942" ht="15.75" customHeight="1" x14ac:dyDescent="0.3"/>
    <row r="1943" ht="15.75" customHeight="1" x14ac:dyDescent="0.3"/>
    <row r="1944" ht="15.75" customHeight="1" x14ac:dyDescent="0.3"/>
    <row r="1945" ht="15.75" customHeight="1" x14ac:dyDescent="0.3"/>
    <row r="1946" ht="15.75" customHeight="1" x14ac:dyDescent="0.3"/>
    <row r="1947" ht="15.75" customHeight="1" x14ac:dyDescent="0.3"/>
    <row r="1948" ht="15.75" customHeight="1" x14ac:dyDescent="0.3"/>
    <row r="1949" ht="15.75" customHeight="1" x14ac:dyDescent="0.3"/>
    <row r="1950" ht="15.75" customHeight="1" x14ac:dyDescent="0.3"/>
    <row r="1951" ht="15.75" customHeight="1" x14ac:dyDescent="0.3"/>
    <row r="1952" ht="15.75" customHeight="1" x14ac:dyDescent="0.3"/>
    <row r="1953" ht="15.75" customHeight="1" x14ac:dyDescent="0.3"/>
    <row r="1954" ht="15.75" customHeight="1" x14ac:dyDescent="0.3"/>
    <row r="1955" ht="15.75" customHeight="1" x14ac:dyDescent="0.3"/>
    <row r="1956" ht="15.75" customHeight="1" x14ac:dyDescent="0.3"/>
    <row r="1957" ht="15.75" customHeight="1" x14ac:dyDescent="0.3"/>
    <row r="1958" ht="15.75" customHeight="1" x14ac:dyDescent="0.3"/>
    <row r="1959" ht="15.75" customHeight="1" x14ac:dyDescent="0.3"/>
    <row r="1960" ht="15.75" customHeight="1" x14ac:dyDescent="0.3"/>
    <row r="1961" ht="15.75" customHeight="1" x14ac:dyDescent="0.3"/>
    <row r="1962" ht="15.75" customHeight="1" x14ac:dyDescent="0.3"/>
    <row r="1963" ht="15.75" customHeight="1" x14ac:dyDescent="0.3"/>
    <row r="1964" ht="15.75" customHeight="1" x14ac:dyDescent="0.3"/>
    <row r="1965" ht="15.75" customHeight="1" x14ac:dyDescent="0.3"/>
    <row r="1966" ht="15.75" customHeight="1" x14ac:dyDescent="0.3"/>
    <row r="1967" ht="15.75" customHeight="1" x14ac:dyDescent="0.3"/>
    <row r="1968" ht="15.75" customHeight="1" x14ac:dyDescent="0.3"/>
    <row r="1969" ht="15.75" customHeight="1" x14ac:dyDescent="0.3"/>
    <row r="1970" ht="15.75" customHeight="1" x14ac:dyDescent="0.3"/>
    <row r="1971" ht="15.75" customHeight="1" x14ac:dyDescent="0.3"/>
    <row r="1972" ht="15.75" customHeight="1" x14ac:dyDescent="0.3"/>
    <row r="1973" ht="15.75" customHeight="1" x14ac:dyDescent="0.3"/>
    <row r="1974" ht="15.75" customHeight="1" x14ac:dyDescent="0.3"/>
    <row r="1975" ht="15.75" customHeight="1" x14ac:dyDescent="0.3"/>
    <row r="1976" ht="15.75" customHeight="1" x14ac:dyDescent="0.3"/>
    <row r="1977" ht="15.75" customHeight="1" x14ac:dyDescent="0.3"/>
    <row r="1978" ht="15.75" customHeight="1" x14ac:dyDescent="0.3"/>
    <row r="1979" ht="15.75" customHeight="1" x14ac:dyDescent="0.3"/>
    <row r="1980" ht="15.75" customHeight="1" x14ac:dyDescent="0.3"/>
    <row r="1981" ht="15.75" customHeight="1" x14ac:dyDescent="0.3"/>
    <row r="1982" ht="15.75" customHeight="1" x14ac:dyDescent="0.3"/>
    <row r="1983" ht="15.75" customHeight="1" x14ac:dyDescent="0.3"/>
    <row r="1984" ht="15.75" customHeight="1" x14ac:dyDescent="0.3"/>
    <row r="1985" ht="15.75" customHeight="1" x14ac:dyDescent="0.3"/>
    <row r="1986" ht="15.75" customHeight="1" x14ac:dyDescent="0.3"/>
    <row r="1987" ht="15.75" customHeight="1" x14ac:dyDescent="0.3"/>
    <row r="1988" ht="15.75" customHeight="1" x14ac:dyDescent="0.3"/>
    <row r="1989" ht="15.75" customHeight="1" x14ac:dyDescent="0.3"/>
    <row r="1990" ht="15.75" customHeight="1" x14ac:dyDescent="0.3"/>
    <row r="1991" ht="15.75" customHeight="1" x14ac:dyDescent="0.3"/>
    <row r="1992" ht="15.75" customHeight="1" x14ac:dyDescent="0.3"/>
    <row r="1993" ht="15.75" customHeight="1" x14ac:dyDescent="0.3"/>
    <row r="1994" ht="15.75" customHeight="1" x14ac:dyDescent="0.3"/>
    <row r="1995" ht="15.75" customHeight="1" x14ac:dyDescent="0.3"/>
    <row r="1996" ht="15.75" customHeight="1" x14ac:dyDescent="0.3"/>
    <row r="1997" ht="15.75" customHeight="1" x14ac:dyDescent="0.3"/>
    <row r="1998" ht="15.75" customHeight="1" x14ac:dyDescent="0.3"/>
    <row r="1999" ht="15.75" customHeight="1" x14ac:dyDescent="0.3"/>
    <row r="2000" ht="15.75" customHeight="1" x14ac:dyDescent="0.3"/>
    <row r="2001" ht="15.75" customHeight="1" x14ac:dyDescent="0.3"/>
    <row r="2002" ht="15.75" customHeight="1" x14ac:dyDescent="0.3"/>
    <row r="2003" ht="15.75" customHeight="1" x14ac:dyDescent="0.3"/>
    <row r="2004" ht="15.75" customHeight="1" x14ac:dyDescent="0.3"/>
    <row r="2005" ht="15.75" customHeight="1" x14ac:dyDescent="0.3"/>
    <row r="2006" ht="15.75" customHeight="1" x14ac:dyDescent="0.3"/>
    <row r="2007" ht="15.75" customHeight="1" x14ac:dyDescent="0.3"/>
    <row r="2008" ht="15.75" customHeight="1" x14ac:dyDescent="0.3"/>
    <row r="2009" ht="15.75" customHeight="1" x14ac:dyDescent="0.3"/>
    <row r="2010" ht="15.75" customHeight="1" x14ac:dyDescent="0.3"/>
    <row r="2011" ht="15.75" customHeight="1" x14ac:dyDescent="0.3"/>
    <row r="2012" ht="15.75" customHeight="1" x14ac:dyDescent="0.3"/>
    <row r="2013" ht="15.75" customHeight="1" x14ac:dyDescent="0.3"/>
    <row r="2014" ht="15.75" customHeight="1" x14ac:dyDescent="0.3"/>
    <row r="2015" ht="15.75" customHeight="1" x14ac:dyDescent="0.3"/>
    <row r="2016" ht="15.75" customHeight="1" x14ac:dyDescent="0.3"/>
    <row r="2017" ht="15.75" customHeight="1" x14ac:dyDescent="0.3"/>
    <row r="2018" ht="15.75" customHeight="1" x14ac:dyDescent="0.3"/>
    <row r="2019" ht="15.75" customHeight="1" x14ac:dyDescent="0.3"/>
    <row r="2020" ht="15.75" customHeight="1" x14ac:dyDescent="0.3"/>
    <row r="2021" ht="15.75" customHeight="1" x14ac:dyDescent="0.3"/>
    <row r="2022" ht="15.75" customHeight="1" x14ac:dyDescent="0.3"/>
    <row r="2023" ht="15.75" customHeight="1" x14ac:dyDescent="0.3"/>
    <row r="2024" ht="15.75" customHeight="1" x14ac:dyDescent="0.3"/>
    <row r="2025" ht="15.75" customHeight="1" x14ac:dyDescent="0.3"/>
    <row r="2026" ht="15.75" customHeight="1" x14ac:dyDescent="0.3"/>
    <row r="2027" ht="15.75" customHeight="1" x14ac:dyDescent="0.3"/>
    <row r="2028" ht="15.75" customHeight="1" x14ac:dyDescent="0.3"/>
    <row r="2029" ht="15.75" customHeight="1" x14ac:dyDescent="0.3"/>
    <row r="2030" ht="15.75" customHeight="1" x14ac:dyDescent="0.3"/>
    <row r="2031" ht="15.75" customHeight="1" x14ac:dyDescent="0.3"/>
    <row r="2032" ht="15.75" customHeight="1" x14ac:dyDescent="0.3"/>
    <row r="2033" ht="15.75" customHeight="1" x14ac:dyDescent="0.3"/>
    <row r="2034" ht="15.75" customHeight="1" x14ac:dyDescent="0.3"/>
    <row r="2035" ht="15.75" customHeight="1" x14ac:dyDescent="0.3"/>
    <row r="2036" ht="15.75" customHeight="1" x14ac:dyDescent="0.3"/>
    <row r="2037" ht="15.75" customHeight="1" x14ac:dyDescent="0.3"/>
    <row r="2038" ht="15.75" customHeight="1" x14ac:dyDescent="0.3"/>
    <row r="2039" ht="15.75" customHeight="1" x14ac:dyDescent="0.3"/>
    <row r="2040" ht="15.75" customHeight="1" x14ac:dyDescent="0.3"/>
    <row r="2041" ht="15.75" customHeight="1" x14ac:dyDescent="0.3"/>
    <row r="2042" ht="15.75" customHeight="1" x14ac:dyDescent="0.3"/>
    <row r="2043" ht="15.75" customHeight="1" x14ac:dyDescent="0.3"/>
    <row r="2044" ht="15.75" customHeight="1" x14ac:dyDescent="0.3"/>
    <row r="2045" ht="15.75" customHeight="1" x14ac:dyDescent="0.3"/>
    <row r="2046" ht="15.75" customHeight="1" x14ac:dyDescent="0.3"/>
    <row r="2047" ht="15.75" customHeight="1" x14ac:dyDescent="0.3"/>
    <row r="2048" ht="15.75" customHeight="1" x14ac:dyDescent="0.3"/>
    <row r="2049" ht="15.75" customHeight="1" x14ac:dyDescent="0.3"/>
    <row r="2050" ht="15.75" customHeight="1" x14ac:dyDescent="0.3"/>
    <row r="2051" ht="15.75" customHeight="1" x14ac:dyDescent="0.3"/>
    <row r="2052" ht="15.75" customHeight="1" x14ac:dyDescent="0.3"/>
    <row r="2053" ht="15.75" customHeight="1" x14ac:dyDescent="0.3"/>
    <row r="2054" ht="15.75" customHeight="1" x14ac:dyDescent="0.3"/>
    <row r="2055" ht="15.75" customHeight="1" x14ac:dyDescent="0.3"/>
    <row r="2056" ht="15.75" customHeight="1" x14ac:dyDescent="0.3"/>
    <row r="2057" ht="15.75" customHeight="1" x14ac:dyDescent="0.3"/>
    <row r="2058" ht="15.75" customHeight="1" x14ac:dyDescent="0.3"/>
    <row r="2059" ht="15.75" customHeight="1" x14ac:dyDescent="0.3"/>
    <row r="2060" ht="15.75" customHeight="1" x14ac:dyDescent="0.3"/>
    <row r="2061" ht="15.75" customHeight="1" x14ac:dyDescent="0.3"/>
    <row r="2062" ht="15.75" customHeight="1" x14ac:dyDescent="0.3"/>
    <row r="2063" ht="15.75" customHeight="1" x14ac:dyDescent="0.3"/>
    <row r="2064" ht="15.75" customHeight="1" x14ac:dyDescent="0.3"/>
    <row r="2065" ht="15.75" customHeight="1" x14ac:dyDescent="0.3"/>
    <row r="2066" ht="15.75" customHeight="1" x14ac:dyDescent="0.3"/>
    <row r="2067" ht="15.75" customHeight="1" x14ac:dyDescent="0.3"/>
    <row r="2068" ht="15.75" customHeight="1" x14ac:dyDescent="0.3"/>
    <row r="2069" ht="15.75" customHeight="1" x14ac:dyDescent="0.3"/>
    <row r="2070" ht="15.75" customHeight="1" x14ac:dyDescent="0.3"/>
    <row r="2071" ht="15.75" customHeight="1" x14ac:dyDescent="0.3"/>
    <row r="2072" ht="15.75" customHeight="1" x14ac:dyDescent="0.3"/>
    <row r="2073" ht="15.75" customHeight="1" x14ac:dyDescent="0.3"/>
    <row r="2074" ht="15.75" customHeight="1" x14ac:dyDescent="0.3"/>
    <row r="2075" ht="15.75" customHeight="1" x14ac:dyDescent="0.3"/>
    <row r="2076" ht="15.75" customHeight="1" x14ac:dyDescent="0.3"/>
    <row r="2077" ht="15.75" customHeight="1" x14ac:dyDescent="0.3"/>
    <row r="2078" ht="15.75" customHeight="1" x14ac:dyDescent="0.3"/>
    <row r="2079" ht="15.75" customHeight="1" x14ac:dyDescent="0.3"/>
    <row r="2080" ht="15.75" customHeight="1" x14ac:dyDescent="0.3"/>
    <row r="2081" ht="15.75" customHeight="1" x14ac:dyDescent="0.3"/>
    <row r="2082" ht="15.75" customHeight="1" x14ac:dyDescent="0.3"/>
    <row r="2083" ht="15.75" customHeight="1" x14ac:dyDescent="0.3"/>
    <row r="2084" ht="15.75" customHeight="1" x14ac:dyDescent="0.3"/>
    <row r="2085" ht="15.75" customHeight="1" x14ac:dyDescent="0.3"/>
    <row r="2086" ht="15.75" customHeight="1" x14ac:dyDescent="0.3"/>
    <row r="2087" ht="15.75" customHeight="1" x14ac:dyDescent="0.3"/>
    <row r="2088" ht="15.75" customHeight="1" x14ac:dyDescent="0.3"/>
    <row r="2089" ht="15.75" customHeight="1" x14ac:dyDescent="0.3"/>
    <row r="2090" ht="15.75" customHeight="1" x14ac:dyDescent="0.3"/>
    <row r="2091" ht="15.75" customHeight="1" x14ac:dyDescent="0.3"/>
    <row r="2092" ht="15.75" customHeight="1" x14ac:dyDescent="0.3"/>
    <row r="2093" ht="15.75" customHeight="1" x14ac:dyDescent="0.3"/>
    <row r="2094" ht="15.75" customHeight="1" x14ac:dyDescent="0.3"/>
    <row r="2095" ht="15.75" customHeight="1" x14ac:dyDescent="0.3"/>
    <row r="2096" ht="15.75" customHeight="1" x14ac:dyDescent="0.3"/>
    <row r="2097" ht="15.75" customHeight="1" x14ac:dyDescent="0.3"/>
    <row r="2098" ht="15.75" customHeight="1" x14ac:dyDescent="0.3"/>
    <row r="2099" ht="15.75" customHeight="1" x14ac:dyDescent="0.3"/>
    <row r="2100" ht="15.75" customHeight="1" x14ac:dyDescent="0.3"/>
    <row r="2101" ht="15.75" customHeight="1" x14ac:dyDescent="0.3"/>
    <row r="2102" ht="15.75" customHeight="1" x14ac:dyDescent="0.3"/>
    <row r="2103" ht="15.75" customHeight="1" x14ac:dyDescent="0.3"/>
    <row r="2104" ht="15.75" customHeight="1" x14ac:dyDescent="0.3"/>
    <row r="2105" ht="15.75" customHeight="1" x14ac:dyDescent="0.3"/>
    <row r="2106" ht="15.75" customHeight="1" x14ac:dyDescent="0.3"/>
    <row r="2107" ht="15.75" customHeight="1" x14ac:dyDescent="0.3"/>
    <row r="2108" ht="15.75" customHeight="1" x14ac:dyDescent="0.3"/>
    <row r="2109" ht="15.75" customHeight="1" x14ac:dyDescent="0.3"/>
    <row r="2110" ht="15.75" customHeight="1" x14ac:dyDescent="0.3"/>
    <row r="2111" ht="15.75" customHeight="1" x14ac:dyDescent="0.3"/>
    <row r="2112" ht="15.75" customHeight="1" x14ac:dyDescent="0.3"/>
    <row r="2113" ht="15.75" customHeight="1" x14ac:dyDescent="0.3"/>
    <row r="2114" ht="15.75" customHeight="1" x14ac:dyDescent="0.3"/>
    <row r="2115" ht="15.75" customHeight="1" x14ac:dyDescent="0.3"/>
    <row r="2116" ht="15.75" customHeight="1" x14ac:dyDescent="0.3"/>
    <row r="2117" ht="15.75" customHeight="1" x14ac:dyDescent="0.3"/>
    <row r="2118" ht="15.75" customHeight="1" x14ac:dyDescent="0.3"/>
    <row r="2119" ht="15.75" customHeight="1" x14ac:dyDescent="0.3"/>
    <row r="2120" ht="15.75" customHeight="1" x14ac:dyDescent="0.3"/>
    <row r="2121" ht="15.75" customHeight="1" x14ac:dyDescent="0.3"/>
    <row r="2122" ht="15.75" customHeight="1" x14ac:dyDescent="0.3"/>
    <row r="2123" ht="15.75" customHeight="1" x14ac:dyDescent="0.3"/>
    <row r="2124" ht="15.75" customHeight="1" x14ac:dyDescent="0.3"/>
    <row r="2125" ht="15.75" customHeight="1" x14ac:dyDescent="0.3"/>
    <row r="2126" ht="15.75" customHeight="1" x14ac:dyDescent="0.3"/>
    <row r="2127" ht="15.75" customHeight="1" x14ac:dyDescent="0.3"/>
    <row r="2128" ht="15.75" customHeight="1" x14ac:dyDescent="0.3"/>
    <row r="2129" ht="15.75" customHeight="1" x14ac:dyDescent="0.3"/>
    <row r="2130" ht="15.75" customHeight="1" x14ac:dyDescent="0.3"/>
    <row r="2131" ht="15.75" customHeight="1" x14ac:dyDescent="0.3"/>
    <row r="2132" ht="15.75" customHeight="1" x14ac:dyDescent="0.3"/>
    <row r="2133" ht="15.75" customHeight="1" x14ac:dyDescent="0.3"/>
    <row r="2134" ht="15.75" customHeight="1" x14ac:dyDescent="0.3"/>
    <row r="2135" ht="15.75" customHeight="1" x14ac:dyDescent="0.3"/>
    <row r="2136" ht="15.75" customHeight="1" x14ac:dyDescent="0.3"/>
    <row r="2137" ht="15.75" customHeight="1" x14ac:dyDescent="0.3"/>
    <row r="2138" ht="15.75" customHeight="1" x14ac:dyDescent="0.3"/>
    <row r="2139" ht="15.75" customHeight="1" x14ac:dyDescent="0.3"/>
    <row r="2140" ht="15.75" customHeight="1" x14ac:dyDescent="0.3"/>
    <row r="2141" ht="15.75" customHeight="1" x14ac:dyDescent="0.3"/>
    <row r="2142" ht="15.75" customHeight="1" x14ac:dyDescent="0.3"/>
    <row r="2143" ht="15.75" customHeight="1" x14ac:dyDescent="0.3"/>
    <row r="2144" ht="15.75" customHeight="1" x14ac:dyDescent="0.3"/>
    <row r="2145" ht="15.75" customHeight="1" x14ac:dyDescent="0.3"/>
    <row r="2146" ht="15.75" customHeight="1" x14ac:dyDescent="0.3"/>
    <row r="2147" ht="15.75" customHeight="1" x14ac:dyDescent="0.3"/>
    <row r="2148" ht="15.75" customHeight="1" x14ac:dyDescent="0.3"/>
    <row r="2149" ht="15.75" customHeight="1" x14ac:dyDescent="0.3"/>
    <row r="2150" ht="15.75" customHeight="1" x14ac:dyDescent="0.3"/>
    <row r="2151" ht="15.75" customHeight="1" x14ac:dyDescent="0.3"/>
    <row r="2152" ht="15.75" customHeight="1" x14ac:dyDescent="0.3"/>
    <row r="2153" ht="15.75" customHeight="1" x14ac:dyDescent="0.3"/>
    <row r="2154" ht="15.75" customHeight="1" x14ac:dyDescent="0.3"/>
    <row r="2155" ht="15.75" customHeight="1" x14ac:dyDescent="0.3"/>
    <row r="2156" ht="15.75" customHeight="1" x14ac:dyDescent="0.3"/>
    <row r="2157" ht="15.75" customHeight="1" x14ac:dyDescent="0.3"/>
    <row r="2158" ht="15.75" customHeight="1" x14ac:dyDescent="0.3"/>
    <row r="2159" ht="15.75" customHeight="1" x14ac:dyDescent="0.3"/>
    <row r="2160" ht="15.75" customHeight="1" x14ac:dyDescent="0.3"/>
    <row r="2161" ht="15.75" customHeight="1" x14ac:dyDescent="0.3"/>
    <row r="2162" ht="15.75" customHeight="1" x14ac:dyDescent="0.3"/>
    <row r="2163" ht="15.75" customHeight="1" x14ac:dyDescent="0.3"/>
    <row r="2164" ht="15.75" customHeight="1" x14ac:dyDescent="0.3"/>
    <row r="2165" ht="15.75" customHeight="1" x14ac:dyDescent="0.3"/>
    <row r="2166" ht="15.75" customHeight="1" x14ac:dyDescent="0.3"/>
    <row r="2167" ht="15.75" customHeight="1" x14ac:dyDescent="0.3"/>
    <row r="2168" ht="15.75" customHeight="1" x14ac:dyDescent="0.3"/>
    <row r="2169" ht="15.75" customHeight="1" x14ac:dyDescent="0.3"/>
    <row r="2170" ht="15.75" customHeight="1" x14ac:dyDescent="0.3"/>
    <row r="2171" ht="15.75" customHeight="1" x14ac:dyDescent="0.3"/>
    <row r="2172" ht="15.75" customHeight="1" x14ac:dyDescent="0.3"/>
    <row r="2173" ht="15.75" customHeight="1" x14ac:dyDescent="0.3"/>
    <row r="2174" ht="15.75" customHeight="1" x14ac:dyDescent="0.3"/>
    <row r="2175" ht="15.75" customHeight="1" x14ac:dyDescent="0.3"/>
    <row r="2176" ht="15.75" customHeight="1" x14ac:dyDescent="0.3"/>
    <row r="2177" ht="15.75" customHeight="1" x14ac:dyDescent="0.3"/>
    <row r="2178" ht="15.75" customHeight="1" x14ac:dyDescent="0.3"/>
    <row r="2179" ht="15.75" customHeight="1" x14ac:dyDescent="0.3"/>
    <row r="2180" ht="15.75" customHeight="1" x14ac:dyDescent="0.3"/>
    <row r="2181" ht="15.75" customHeight="1" x14ac:dyDescent="0.3"/>
    <row r="2182" ht="15.75" customHeight="1" x14ac:dyDescent="0.3"/>
    <row r="2183" ht="15.75" customHeight="1" x14ac:dyDescent="0.3"/>
    <row r="2184" ht="15.75" customHeight="1" x14ac:dyDescent="0.3"/>
    <row r="2185" ht="15.75" customHeight="1" x14ac:dyDescent="0.3"/>
    <row r="2186" ht="15.75" customHeight="1" x14ac:dyDescent="0.3"/>
    <row r="2187" ht="15.75" customHeight="1" x14ac:dyDescent="0.3"/>
    <row r="2188" ht="15.75" customHeight="1" x14ac:dyDescent="0.3"/>
    <row r="2189" ht="15.75" customHeight="1" x14ac:dyDescent="0.3"/>
    <row r="2190" ht="15.75" customHeight="1" x14ac:dyDescent="0.3"/>
    <row r="2191" ht="15.75" customHeight="1" x14ac:dyDescent="0.3"/>
    <row r="2192" ht="15.75" customHeight="1" x14ac:dyDescent="0.3"/>
    <row r="2193" ht="15.75" customHeight="1" x14ac:dyDescent="0.3"/>
    <row r="2194" ht="15.75" customHeight="1" x14ac:dyDescent="0.3"/>
    <row r="2195" ht="15.75" customHeight="1" x14ac:dyDescent="0.3"/>
    <row r="2196" ht="15.75" customHeight="1" x14ac:dyDescent="0.3"/>
    <row r="2197" ht="15.75" customHeight="1" x14ac:dyDescent="0.3"/>
    <row r="2198" ht="15.75" customHeight="1" x14ac:dyDescent="0.3"/>
    <row r="2199" ht="15.75" customHeight="1" x14ac:dyDescent="0.3"/>
    <row r="2200" ht="15.75" customHeight="1" x14ac:dyDescent="0.3"/>
    <row r="2201" ht="15.75" customHeight="1" x14ac:dyDescent="0.3"/>
    <row r="2202" ht="15.75" customHeight="1" x14ac:dyDescent="0.3"/>
    <row r="2203" ht="15.75" customHeight="1" x14ac:dyDescent="0.3"/>
    <row r="2204" ht="15.75" customHeight="1" x14ac:dyDescent="0.3"/>
    <row r="2205" ht="15.75" customHeight="1" x14ac:dyDescent="0.3"/>
    <row r="2206" ht="15.75" customHeight="1" x14ac:dyDescent="0.3"/>
    <row r="2207" ht="15.75" customHeight="1" x14ac:dyDescent="0.3"/>
    <row r="2208" ht="15.75" customHeight="1" x14ac:dyDescent="0.3"/>
    <row r="2209" ht="15.75" customHeight="1" x14ac:dyDescent="0.3"/>
    <row r="2210" ht="15.75" customHeight="1" x14ac:dyDescent="0.3"/>
    <row r="2211" ht="15.75" customHeight="1" x14ac:dyDescent="0.3"/>
    <row r="2212" ht="15.75" customHeight="1" x14ac:dyDescent="0.3"/>
    <row r="2213" ht="15.75" customHeight="1" x14ac:dyDescent="0.3"/>
    <row r="2214" ht="15.75" customHeight="1" x14ac:dyDescent="0.3"/>
    <row r="2215" ht="15.75" customHeight="1" x14ac:dyDescent="0.3"/>
    <row r="2216" ht="15.75" customHeight="1" x14ac:dyDescent="0.3"/>
    <row r="2217" ht="15.75" customHeight="1" x14ac:dyDescent="0.3"/>
    <row r="2218" ht="15.75" customHeight="1" x14ac:dyDescent="0.3"/>
    <row r="2219" ht="15.75" customHeight="1" x14ac:dyDescent="0.3"/>
    <row r="2220" ht="15.75" customHeight="1" x14ac:dyDescent="0.3"/>
    <row r="2221" ht="15.75" customHeight="1" x14ac:dyDescent="0.3"/>
    <row r="2222" ht="15.75" customHeight="1" x14ac:dyDescent="0.3"/>
    <row r="2223" ht="15.75" customHeight="1" x14ac:dyDescent="0.3"/>
    <row r="2224" ht="15.75" customHeight="1" x14ac:dyDescent="0.3"/>
    <row r="2225" ht="15.75" customHeight="1" x14ac:dyDescent="0.3"/>
    <row r="2226" ht="15.75" customHeight="1" x14ac:dyDescent="0.3"/>
    <row r="2227" ht="15.75" customHeight="1" x14ac:dyDescent="0.3"/>
    <row r="2228" ht="15.75" customHeight="1" x14ac:dyDescent="0.3"/>
    <row r="2229" ht="15.75" customHeight="1" x14ac:dyDescent="0.3"/>
    <row r="2230" ht="15.75" customHeight="1" x14ac:dyDescent="0.3"/>
    <row r="2231" ht="15.75" customHeight="1" x14ac:dyDescent="0.3"/>
    <row r="2232" ht="15.75" customHeight="1" x14ac:dyDescent="0.3"/>
    <row r="2233" ht="15.75" customHeight="1" x14ac:dyDescent="0.3"/>
    <row r="2234" ht="15.75" customHeight="1" x14ac:dyDescent="0.3"/>
    <row r="2235" ht="15.75" customHeight="1" x14ac:dyDescent="0.3"/>
    <row r="2236" ht="15.75" customHeight="1" x14ac:dyDescent="0.3"/>
    <row r="2237" ht="15.75" customHeight="1" x14ac:dyDescent="0.3"/>
    <row r="2238" ht="15.75" customHeight="1" x14ac:dyDescent="0.3"/>
    <row r="2239" ht="15.75" customHeight="1" x14ac:dyDescent="0.3"/>
    <row r="2240" ht="15.75" customHeight="1" x14ac:dyDescent="0.3"/>
    <row r="2241" ht="15.75" customHeight="1" x14ac:dyDescent="0.3"/>
    <row r="2242" ht="15.75" customHeight="1" x14ac:dyDescent="0.3"/>
    <row r="2243" ht="15.75" customHeight="1" x14ac:dyDescent="0.3"/>
    <row r="2244" ht="15.75" customHeight="1" x14ac:dyDescent="0.3"/>
    <row r="2245" ht="15.75" customHeight="1" x14ac:dyDescent="0.3"/>
    <row r="2246" ht="15.75" customHeight="1" x14ac:dyDescent="0.3"/>
    <row r="2247" ht="15.75" customHeight="1" x14ac:dyDescent="0.3"/>
    <row r="2248" ht="15.75" customHeight="1" x14ac:dyDescent="0.3"/>
    <row r="2249" ht="15.75" customHeight="1" x14ac:dyDescent="0.3"/>
    <row r="2250" ht="15.75" customHeight="1" x14ac:dyDescent="0.3"/>
    <row r="2251" ht="15.75" customHeight="1" x14ac:dyDescent="0.3"/>
    <row r="2252" ht="15.75" customHeight="1" x14ac:dyDescent="0.3"/>
    <row r="2253" ht="15.75" customHeight="1" x14ac:dyDescent="0.3"/>
    <row r="2254" ht="15.75" customHeight="1" x14ac:dyDescent="0.3"/>
    <row r="2255" ht="15.75" customHeight="1" x14ac:dyDescent="0.3"/>
    <row r="2256" ht="15.75" customHeight="1" x14ac:dyDescent="0.3"/>
    <row r="2257" ht="15.75" customHeight="1" x14ac:dyDescent="0.3"/>
    <row r="2258" ht="15.75" customHeight="1" x14ac:dyDescent="0.3"/>
    <row r="2259" ht="15.75" customHeight="1" x14ac:dyDescent="0.3"/>
    <row r="2260" ht="15.75" customHeight="1" x14ac:dyDescent="0.3"/>
    <row r="2261" ht="15.75" customHeight="1" x14ac:dyDescent="0.3"/>
    <row r="2262" ht="15.75" customHeight="1" x14ac:dyDescent="0.3"/>
    <row r="2263" ht="15.75" customHeight="1" x14ac:dyDescent="0.3"/>
    <row r="2264" ht="15.75" customHeight="1" x14ac:dyDescent="0.3"/>
    <row r="2265" ht="15.75" customHeight="1" x14ac:dyDescent="0.3"/>
    <row r="2266" ht="15.75" customHeight="1" x14ac:dyDescent="0.3"/>
    <row r="2267" ht="15.75" customHeight="1" x14ac:dyDescent="0.3"/>
    <row r="2268" ht="15.75" customHeight="1" x14ac:dyDescent="0.3"/>
    <row r="2269" ht="15.75" customHeight="1" x14ac:dyDescent="0.3"/>
    <row r="2270" ht="15.75" customHeight="1" x14ac:dyDescent="0.3"/>
    <row r="2271" ht="15.75" customHeight="1" x14ac:dyDescent="0.3"/>
    <row r="2272" ht="15.75" customHeight="1" x14ac:dyDescent="0.3"/>
    <row r="2273" ht="15.75" customHeight="1" x14ac:dyDescent="0.3"/>
    <row r="2274" ht="15.75" customHeight="1" x14ac:dyDescent="0.3"/>
    <row r="2275" ht="15.75" customHeight="1" x14ac:dyDescent="0.3"/>
    <row r="2276" ht="15.75" customHeight="1" x14ac:dyDescent="0.3"/>
    <row r="2277" ht="15.75" customHeight="1" x14ac:dyDescent="0.3"/>
    <row r="2278" ht="15.75" customHeight="1" x14ac:dyDescent="0.3"/>
    <row r="2279" ht="15.75" customHeight="1" x14ac:dyDescent="0.3"/>
    <row r="2280" ht="15.75" customHeight="1" x14ac:dyDescent="0.3"/>
    <row r="2281" ht="15.75" customHeight="1" x14ac:dyDescent="0.3"/>
    <row r="2282" ht="15.75" customHeight="1" x14ac:dyDescent="0.3"/>
    <row r="2283" ht="15.75" customHeight="1" x14ac:dyDescent="0.3"/>
    <row r="2284" ht="15.75" customHeight="1" x14ac:dyDescent="0.3"/>
    <row r="2285" ht="15.75" customHeight="1" x14ac:dyDescent="0.3"/>
    <row r="2286" ht="15.75" customHeight="1" x14ac:dyDescent="0.3"/>
    <row r="2287" ht="15.75" customHeight="1" x14ac:dyDescent="0.3"/>
    <row r="2288" ht="15.75" customHeight="1" x14ac:dyDescent="0.3"/>
    <row r="2289" ht="15.75" customHeight="1" x14ac:dyDescent="0.3"/>
    <row r="2290" ht="15.75" customHeight="1" x14ac:dyDescent="0.3"/>
    <row r="2291" ht="15.75" customHeight="1" x14ac:dyDescent="0.3"/>
    <row r="2292" ht="15.75" customHeight="1" x14ac:dyDescent="0.3"/>
    <row r="2293" ht="15.75" customHeight="1" x14ac:dyDescent="0.3"/>
    <row r="2294" ht="15.75" customHeight="1" x14ac:dyDescent="0.3"/>
    <row r="2295" ht="15.75" customHeight="1" x14ac:dyDescent="0.3"/>
    <row r="2296" ht="15.75" customHeight="1" x14ac:dyDescent="0.3"/>
    <row r="2297" ht="15.75" customHeight="1" x14ac:dyDescent="0.3"/>
    <row r="2298" ht="15.75" customHeight="1" x14ac:dyDescent="0.3"/>
    <row r="2299" ht="15.75" customHeight="1" x14ac:dyDescent="0.3"/>
    <row r="2300" ht="15.75" customHeight="1" x14ac:dyDescent="0.3"/>
    <row r="2301" ht="15.75" customHeight="1" x14ac:dyDescent="0.3"/>
    <row r="2302" ht="15.75" customHeight="1" x14ac:dyDescent="0.3"/>
    <row r="2303" ht="15.75" customHeight="1" x14ac:dyDescent="0.3"/>
    <row r="2304" ht="15.75" customHeight="1" x14ac:dyDescent="0.3"/>
    <row r="2305" ht="15.75" customHeight="1" x14ac:dyDescent="0.3"/>
    <row r="2306" ht="15.75" customHeight="1" x14ac:dyDescent="0.3"/>
    <row r="2307" ht="15.75" customHeight="1" x14ac:dyDescent="0.3"/>
    <row r="2308" ht="15.75" customHeight="1" x14ac:dyDescent="0.3"/>
    <row r="2309" ht="15.75" customHeight="1" x14ac:dyDescent="0.3"/>
    <row r="2310" ht="15.75" customHeight="1" x14ac:dyDescent="0.3"/>
    <row r="2311" ht="15.75" customHeight="1" x14ac:dyDescent="0.3"/>
    <row r="2312" ht="15.75" customHeight="1" x14ac:dyDescent="0.3"/>
    <row r="2313" ht="15.75" customHeight="1" x14ac:dyDescent="0.3"/>
    <row r="2314" ht="15.75" customHeight="1" x14ac:dyDescent="0.3"/>
    <row r="2315" ht="15.75" customHeight="1" x14ac:dyDescent="0.3"/>
    <row r="2316" ht="15.75" customHeight="1" x14ac:dyDescent="0.3"/>
    <row r="2317" ht="15.75" customHeight="1" x14ac:dyDescent="0.3"/>
    <row r="2318" ht="15.75" customHeight="1" x14ac:dyDescent="0.3"/>
    <row r="2319" ht="15.75" customHeight="1" x14ac:dyDescent="0.3"/>
    <row r="2320" ht="15.75" customHeight="1" x14ac:dyDescent="0.3"/>
    <row r="2321" ht="15.75" customHeight="1" x14ac:dyDescent="0.3"/>
    <row r="2322" ht="15.75" customHeight="1" x14ac:dyDescent="0.3"/>
    <row r="2323" ht="15.75" customHeight="1" x14ac:dyDescent="0.3"/>
    <row r="2324" ht="15.75" customHeight="1" x14ac:dyDescent="0.3"/>
    <row r="2325" ht="15.75" customHeight="1" x14ac:dyDescent="0.3"/>
    <row r="2326" ht="15.75" customHeight="1" x14ac:dyDescent="0.3"/>
    <row r="2327" ht="15.75" customHeight="1" x14ac:dyDescent="0.3"/>
    <row r="2328" ht="15.75" customHeight="1" x14ac:dyDescent="0.3"/>
    <row r="2329" ht="15.75" customHeight="1" x14ac:dyDescent="0.3"/>
    <row r="2330" ht="15.75" customHeight="1" x14ac:dyDescent="0.3"/>
    <row r="2331" ht="15.75" customHeight="1" x14ac:dyDescent="0.3"/>
    <row r="2332" ht="15.75" customHeight="1" x14ac:dyDescent="0.3"/>
    <row r="2333" ht="15.75" customHeight="1" x14ac:dyDescent="0.3"/>
    <row r="2334" ht="15.75" customHeight="1" x14ac:dyDescent="0.3"/>
    <row r="2335" ht="15.75" customHeight="1" x14ac:dyDescent="0.3"/>
    <row r="2336" ht="15.75" customHeight="1" x14ac:dyDescent="0.3"/>
    <row r="2337" ht="15.75" customHeight="1" x14ac:dyDescent="0.3"/>
    <row r="2338" ht="15.75" customHeight="1" x14ac:dyDescent="0.3"/>
    <row r="2339" ht="15.75" customHeight="1" x14ac:dyDescent="0.3"/>
    <row r="2340" ht="15.75" customHeight="1" x14ac:dyDescent="0.3"/>
    <row r="2341" ht="15.75" customHeight="1" x14ac:dyDescent="0.3"/>
    <row r="2342" ht="15.75" customHeight="1" x14ac:dyDescent="0.3"/>
    <row r="2343" ht="15.75" customHeight="1" x14ac:dyDescent="0.3"/>
    <row r="2344" ht="15.75" customHeight="1" x14ac:dyDescent="0.3"/>
    <row r="2345" ht="15.75" customHeight="1" x14ac:dyDescent="0.3"/>
    <row r="2346" ht="15.75" customHeight="1" x14ac:dyDescent="0.3"/>
    <row r="2347" ht="15.75" customHeight="1" x14ac:dyDescent="0.3"/>
    <row r="2348" ht="15.75" customHeight="1" x14ac:dyDescent="0.3"/>
    <row r="2349" ht="15.75" customHeight="1" x14ac:dyDescent="0.3"/>
    <row r="2350" ht="15.75" customHeight="1" x14ac:dyDescent="0.3"/>
    <row r="2351" ht="15.75" customHeight="1" x14ac:dyDescent="0.3"/>
    <row r="2352" ht="15.75" customHeight="1" x14ac:dyDescent="0.3"/>
    <row r="2353" ht="15.75" customHeight="1" x14ac:dyDescent="0.3"/>
    <row r="2354" ht="15.75" customHeight="1" x14ac:dyDescent="0.3"/>
    <row r="2355" ht="15.75" customHeight="1" x14ac:dyDescent="0.3"/>
    <row r="2356" ht="15.75" customHeight="1" x14ac:dyDescent="0.3"/>
    <row r="2357" ht="15.75" customHeight="1" x14ac:dyDescent="0.3"/>
    <row r="2358" ht="15.75" customHeight="1" x14ac:dyDescent="0.3"/>
    <row r="2359" ht="15.75" customHeight="1" x14ac:dyDescent="0.3"/>
    <row r="2360" ht="15.75" customHeight="1" x14ac:dyDescent="0.3"/>
    <row r="2361" ht="15.75" customHeight="1" x14ac:dyDescent="0.3"/>
    <row r="2362" ht="15.75" customHeight="1" x14ac:dyDescent="0.3"/>
    <row r="2363" ht="15.75" customHeight="1" x14ac:dyDescent="0.3"/>
    <row r="2364" ht="15.75" customHeight="1" x14ac:dyDescent="0.3"/>
    <row r="2365" ht="15.75" customHeight="1" x14ac:dyDescent="0.3"/>
    <row r="2366" ht="15.75" customHeight="1" x14ac:dyDescent="0.3"/>
    <row r="2367" ht="15.75" customHeight="1" x14ac:dyDescent="0.3"/>
    <row r="2368" ht="15.75" customHeight="1" x14ac:dyDescent="0.3"/>
    <row r="2369" ht="15.75" customHeight="1" x14ac:dyDescent="0.3"/>
    <row r="2370" ht="15.75" customHeight="1" x14ac:dyDescent="0.3"/>
    <row r="2371" ht="15.75" customHeight="1" x14ac:dyDescent="0.3"/>
    <row r="2372" ht="15.75" customHeight="1" x14ac:dyDescent="0.3"/>
    <row r="2373" ht="15.75" customHeight="1" x14ac:dyDescent="0.3"/>
    <row r="2374" ht="15.75" customHeight="1" x14ac:dyDescent="0.3"/>
    <row r="2375" ht="15.75" customHeight="1" x14ac:dyDescent="0.3"/>
    <row r="2376" ht="15.75" customHeight="1" x14ac:dyDescent="0.3"/>
    <row r="2377" ht="15.75" customHeight="1" x14ac:dyDescent="0.3"/>
    <row r="2378" ht="15.75" customHeight="1" x14ac:dyDescent="0.3"/>
    <row r="2379" ht="15.75" customHeight="1" x14ac:dyDescent="0.3"/>
    <row r="2380" ht="15.75" customHeight="1" x14ac:dyDescent="0.3"/>
    <row r="2381" ht="15.75" customHeight="1" x14ac:dyDescent="0.3"/>
    <row r="2382" ht="15.75" customHeight="1" x14ac:dyDescent="0.3"/>
    <row r="2383" ht="15.75" customHeight="1" x14ac:dyDescent="0.3"/>
    <row r="2384" ht="15.75" customHeight="1" x14ac:dyDescent="0.3"/>
    <row r="2385" ht="15.75" customHeight="1" x14ac:dyDescent="0.3"/>
    <row r="2386" ht="15.75" customHeight="1" x14ac:dyDescent="0.3"/>
    <row r="2387" ht="15.75" customHeight="1" x14ac:dyDescent="0.3"/>
    <row r="2388" ht="15.75" customHeight="1" x14ac:dyDescent="0.3"/>
    <row r="2389" ht="15.75" customHeight="1" x14ac:dyDescent="0.3"/>
    <row r="2390" ht="15.75" customHeight="1" x14ac:dyDescent="0.3"/>
    <row r="2391" ht="15.75" customHeight="1" x14ac:dyDescent="0.3"/>
    <row r="2392" ht="15.75" customHeight="1" x14ac:dyDescent="0.3"/>
    <row r="2393" ht="15.75" customHeight="1" x14ac:dyDescent="0.3"/>
    <row r="2394" ht="15.75" customHeight="1" x14ac:dyDescent="0.3"/>
    <row r="2395" ht="15.75" customHeight="1" x14ac:dyDescent="0.3"/>
    <row r="2396" ht="15.75" customHeight="1" x14ac:dyDescent="0.3"/>
    <row r="2397" ht="15.75" customHeight="1" x14ac:dyDescent="0.3"/>
    <row r="2398" ht="15.75" customHeight="1" x14ac:dyDescent="0.3"/>
    <row r="2399" ht="15.75" customHeight="1" x14ac:dyDescent="0.3"/>
    <row r="2400" ht="15.75" customHeight="1" x14ac:dyDescent="0.3"/>
    <row r="2401" ht="15.75" customHeight="1" x14ac:dyDescent="0.3"/>
    <row r="2402" ht="15.75" customHeight="1" x14ac:dyDescent="0.3"/>
    <row r="2403" ht="15.75" customHeight="1" x14ac:dyDescent="0.3"/>
    <row r="2404" ht="15.75" customHeight="1" x14ac:dyDescent="0.3"/>
    <row r="2405" ht="15.75" customHeight="1" x14ac:dyDescent="0.3"/>
    <row r="2406" ht="15.75" customHeight="1" x14ac:dyDescent="0.3"/>
    <row r="2407" ht="15.75" customHeight="1" x14ac:dyDescent="0.3"/>
    <row r="2408" ht="15.75" customHeight="1" x14ac:dyDescent="0.3"/>
    <row r="2409" ht="15.75" customHeight="1" x14ac:dyDescent="0.3"/>
    <row r="2410" ht="15.75" customHeight="1" x14ac:dyDescent="0.3"/>
    <row r="2411" ht="15.75" customHeight="1" x14ac:dyDescent="0.3"/>
    <row r="2412" ht="15.75" customHeight="1" x14ac:dyDescent="0.3"/>
    <row r="2413" ht="15.75" customHeight="1" x14ac:dyDescent="0.3"/>
    <row r="2414" ht="15.75" customHeight="1" x14ac:dyDescent="0.3"/>
    <row r="2415" ht="15.75" customHeight="1" x14ac:dyDescent="0.3"/>
    <row r="2416" ht="15.75" customHeight="1" x14ac:dyDescent="0.3"/>
    <row r="2417" ht="15.75" customHeight="1" x14ac:dyDescent="0.3"/>
    <row r="2418" ht="15.75" customHeight="1" x14ac:dyDescent="0.3"/>
    <row r="2419" ht="15.75" customHeight="1" x14ac:dyDescent="0.3"/>
    <row r="2420" ht="15.75" customHeight="1" x14ac:dyDescent="0.3"/>
    <row r="2421" ht="15.75" customHeight="1" x14ac:dyDescent="0.3"/>
    <row r="2422" ht="15.75" customHeight="1" x14ac:dyDescent="0.3"/>
    <row r="2423" ht="15.75" customHeight="1" x14ac:dyDescent="0.3"/>
    <row r="2424" ht="15.75" customHeight="1" x14ac:dyDescent="0.3"/>
    <row r="2425" ht="15.75" customHeight="1" x14ac:dyDescent="0.3"/>
    <row r="2426" ht="15.75" customHeight="1" x14ac:dyDescent="0.3"/>
    <row r="2427" ht="15.75" customHeight="1" x14ac:dyDescent="0.3"/>
    <row r="2428" ht="15.75" customHeight="1" x14ac:dyDescent="0.3"/>
    <row r="2429" ht="15.75" customHeight="1" x14ac:dyDescent="0.3"/>
    <row r="2430" ht="15.75" customHeight="1" x14ac:dyDescent="0.3"/>
    <row r="2431" ht="15.75" customHeight="1" x14ac:dyDescent="0.3"/>
    <row r="2432" ht="15.75" customHeight="1" x14ac:dyDescent="0.3"/>
    <row r="2433" ht="15.75" customHeight="1" x14ac:dyDescent="0.3"/>
    <row r="2434" ht="15.75" customHeight="1" x14ac:dyDescent="0.3"/>
    <row r="2435" ht="15.75" customHeight="1" x14ac:dyDescent="0.3"/>
    <row r="2436" ht="15.75" customHeight="1" x14ac:dyDescent="0.3"/>
    <row r="2437" ht="15.75" customHeight="1" x14ac:dyDescent="0.3"/>
    <row r="2438" ht="15.75" customHeight="1" x14ac:dyDescent="0.3"/>
    <row r="2439" ht="15.75" customHeight="1" x14ac:dyDescent="0.3"/>
    <row r="2440" ht="15.75" customHeight="1" x14ac:dyDescent="0.3"/>
    <row r="2441" ht="15.75" customHeight="1" x14ac:dyDescent="0.3"/>
    <row r="2442" ht="15.75" customHeight="1" x14ac:dyDescent="0.3"/>
    <row r="2443" ht="15.75" customHeight="1" x14ac:dyDescent="0.3"/>
    <row r="2444" ht="15.75" customHeight="1" x14ac:dyDescent="0.3"/>
    <row r="2445" ht="15.75" customHeight="1" x14ac:dyDescent="0.3"/>
    <row r="2446" ht="15.75" customHeight="1" x14ac:dyDescent="0.3"/>
    <row r="2447" ht="15.75" customHeight="1" x14ac:dyDescent="0.3"/>
    <row r="2448" ht="15.75" customHeight="1" x14ac:dyDescent="0.3"/>
    <row r="2449" ht="15.75" customHeight="1" x14ac:dyDescent="0.3"/>
    <row r="2450" ht="15.75" customHeight="1" x14ac:dyDescent="0.3"/>
    <row r="2451" ht="15.75" customHeight="1" x14ac:dyDescent="0.3"/>
    <row r="2452" ht="15.75" customHeight="1" x14ac:dyDescent="0.3"/>
    <row r="2453" ht="15.75" customHeight="1" x14ac:dyDescent="0.3"/>
    <row r="2454" ht="15.75" customHeight="1" x14ac:dyDescent="0.3"/>
    <row r="2455" ht="15.75" customHeight="1" x14ac:dyDescent="0.3"/>
    <row r="2456" ht="15.75" customHeight="1" x14ac:dyDescent="0.3"/>
    <row r="2457" ht="15.75" customHeight="1" x14ac:dyDescent="0.3"/>
    <row r="2458" ht="15.75" customHeight="1" x14ac:dyDescent="0.3"/>
    <row r="2459" ht="15.75" customHeight="1" x14ac:dyDescent="0.3"/>
    <row r="2460" ht="15.75" customHeight="1" x14ac:dyDescent="0.3"/>
    <row r="2461" ht="15.75" customHeight="1" x14ac:dyDescent="0.3"/>
    <row r="2462" ht="15.75" customHeight="1" x14ac:dyDescent="0.3"/>
    <row r="2463" ht="15.75" customHeight="1" x14ac:dyDescent="0.3"/>
    <row r="2464" ht="15.75" customHeight="1" x14ac:dyDescent="0.3"/>
    <row r="2465" ht="15.75" customHeight="1" x14ac:dyDescent="0.3"/>
    <row r="2466" ht="15.75" customHeight="1" x14ac:dyDescent="0.3"/>
    <row r="2467" ht="15.75" customHeight="1" x14ac:dyDescent="0.3"/>
    <row r="2468" ht="15.75" customHeight="1" x14ac:dyDescent="0.3"/>
    <row r="2469" ht="15.75" customHeight="1" x14ac:dyDescent="0.3"/>
    <row r="2470" ht="15.75" customHeight="1" x14ac:dyDescent="0.3"/>
    <row r="2471" ht="15.75" customHeight="1" x14ac:dyDescent="0.3"/>
    <row r="2472" ht="15.75" customHeight="1" x14ac:dyDescent="0.3"/>
    <row r="2473" ht="15.75" customHeight="1" x14ac:dyDescent="0.3"/>
    <row r="2474" ht="15.75" customHeight="1" x14ac:dyDescent="0.3"/>
    <row r="2475" ht="15.75" customHeight="1" x14ac:dyDescent="0.3"/>
    <row r="2476" ht="15.75" customHeight="1" x14ac:dyDescent="0.3"/>
    <row r="2477" ht="15.75" customHeight="1" x14ac:dyDescent="0.3"/>
    <row r="2478" ht="15.75" customHeight="1" x14ac:dyDescent="0.3"/>
    <row r="2479" ht="15.75" customHeight="1" x14ac:dyDescent="0.3"/>
    <row r="2480" ht="15.75" customHeight="1" x14ac:dyDescent="0.3"/>
    <row r="2481" ht="15.75" customHeight="1" x14ac:dyDescent="0.3"/>
    <row r="2482" ht="15.75" customHeight="1" x14ac:dyDescent="0.3"/>
    <row r="2483" ht="15.75" customHeight="1" x14ac:dyDescent="0.3"/>
    <row r="2484" ht="15.75" customHeight="1" x14ac:dyDescent="0.3"/>
    <row r="2485" ht="15.75" customHeight="1" x14ac:dyDescent="0.3"/>
    <row r="2486" ht="15.75" customHeight="1" x14ac:dyDescent="0.3"/>
    <row r="2487" ht="15.75" customHeight="1" x14ac:dyDescent="0.3"/>
    <row r="2488" ht="15.75" customHeight="1" x14ac:dyDescent="0.3"/>
    <row r="2489" ht="15.75" customHeight="1" x14ac:dyDescent="0.3"/>
    <row r="2490" ht="15.75" customHeight="1" x14ac:dyDescent="0.3"/>
    <row r="2491" ht="15.75" customHeight="1" x14ac:dyDescent="0.3"/>
    <row r="2492" ht="15.75" customHeight="1" x14ac:dyDescent="0.3"/>
    <row r="2493" ht="15.75" customHeight="1" x14ac:dyDescent="0.3"/>
    <row r="2494" ht="15.75" customHeight="1" x14ac:dyDescent="0.3"/>
    <row r="2495" ht="15.75" customHeight="1" x14ac:dyDescent="0.3"/>
    <row r="2496" ht="15.75" customHeight="1" x14ac:dyDescent="0.3"/>
    <row r="2497" ht="15.75" customHeight="1" x14ac:dyDescent="0.3"/>
    <row r="2498" ht="15.75" customHeight="1" x14ac:dyDescent="0.3"/>
    <row r="2499" ht="15.75" customHeight="1" x14ac:dyDescent="0.3"/>
    <row r="2500" ht="15.75" customHeight="1" x14ac:dyDescent="0.3"/>
    <row r="2501" ht="15.75" customHeight="1" x14ac:dyDescent="0.3"/>
    <row r="2502" ht="15.75" customHeight="1" x14ac:dyDescent="0.3"/>
    <row r="2503" ht="15.75" customHeight="1" x14ac:dyDescent="0.3"/>
    <row r="2504" ht="15.75" customHeight="1" x14ac:dyDescent="0.3"/>
    <row r="2505" ht="15.75" customHeight="1" x14ac:dyDescent="0.3"/>
    <row r="2506" ht="15.75" customHeight="1" x14ac:dyDescent="0.3"/>
    <row r="2507" ht="15.75" customHeight="1" x14ac:dyDescent="0.3"/>
    <row r="2508" ht="15.75" customHeight="1" x14ac:dyDescent="0.3"/>
    <row r="2509" ht="15.75" customHeight="1" x14ac:dyDescent="0.3"/>
    <row r="2510" ht="15.75" customHeight="1" x14ac:dyDescent="0.3"/>
    <row r="2511" ht="15.75" customHeight="1" x14ac:dyDescent="0.3"/>
    <row r="2512" ht="15.75" customHeight="1" x14ac:dyDescent="0.3"/>
    <row r="2513" ht="15.75" customHeight="1" x14ac:dyDescent="0.3"/>
    <row r="2514" ht="15.75" customHeight="1" x14ac:dyDescent="0.3"/>
    <row r="2515" ht="15.75" customHeight="1" x14ac:dyDescent="0.3"/>
    <row r="2516" ht="15.75" customHeight="1" x14ac:dyDescent="0.3"/>
    <row r="2517" ht="15.75" customHeight="1" x14ac:dyDescent="0.3"/>
    <row r="2518" ht="15.75" customHeight="1" x14ac:dyDescent="0.3"/>
    <row r="2519" ht="15.75" customHeight="1" x14ac:dyDescent="0.3"/>
    <row r="2520" ht="15.75" customHeight="1" x14ac:dyDescent="0.3"/>
    <row r="2521" ht="15.75" customHeight="1" x14ac:dyDescent="0.3"/>
    <row r="2522" ht="15.75" customHeight="1" x14ac:dyDescent="0.3"/>
    <row r="2523" ht="15.75" customHeight="1" x14ac:dyDescent="0.3"/>
    <row r="2524" ht="15.75" customHeight="1" x14ac:dyDescent="0.3"/>
    <row r="2525" ht="15.75" customHeight="1" x14ac:dyDescent="0.3"/>
    <row r="2526" ht="15.75" customHeight="1" x14ac:dyDescent="0.3"/>
    <row r="2527" ht="15.75" customHeight="1" x14ac:dyDescent="0.3"/>
    <row r="2528" ht="15.75" customHeight="1" x14ac:dyDescent="0.3"/>
    <row r="2529" ht="15.75" customHeight="1" x14ac:dyDescent="0.3"/>
    <row r="2530" ht="15.75" customHeight="1" x14ac:dyDescent="0.3"/>
    <row r="2531" ht="15.75" customHeight="1" x14ac:dyDescent="0.3"/>
    <row r="2532" ht="15.75" customHeight="1" x14ac:dyDescent="0.3"/>
    <row r="2533" ht="15.75" customHeight="1" x14ac:dyDescent="0.3"/>
    <row r="2534" ht="15.75" customHeight="1" x14ac:dyDescent="0.3"/>
    <row r="2535" ht="15.75" customHeight="1" x14ac:dyDescent="0.3"/>
    <row r="2536" ht="15.75" customHeight="1" x14ac:dyDescent="0.3"/>
    <row r="2537" ht="15.75" customHeight="1" x14ac:dyDescent="0.3"/>
    <row r="2538" ht="15.75" customHeight="1" x14ac:dyDescent="0.3"/>
    <row r="2539" ht="15.75" customHeight="1" x14ac:dyDescent="0.3"/>
    <row r="2540" ht="15.75" customHeight="1" x14ac:dyDescent="0.3"/>
    <row r="2541" ht="15.75" customHeight="1" x14ac:dyDescent="0.3"/>
    <row r="2542" ht="15.75" customHeight="1" x14ac:dyDescent="0.3"/>
    <row r="2543" ht="15.75" customHeight="1" x14ac:dyDescent="0.3"/>
    <row r="2544" ht="15.75" customHeight="1" x14ac:dyDescent="0.3"/>
    <row r="2545" ht="15.75" customHeight="1" x14ac:dyDescent="0.3"/>
    <row r="2546" ht="15.75" customHeight="1" x14ac:dyDescent="0.3"/>
    <row r="2547" ht="15.75" customHeight="1" x14ac:dyDescent="0.3"/>
    <row r="2548" ht="15.75" customHeight="1" x14ac:dyDescent="0.3"/>
    <row r="2549" ht="15.75" customHeight="1" x14ac:dyDescent="0.3"/>
    <row r="2550" ht="15.75" customHeight="1" x14ac:dyDescent="0.3"/>
    <row r="2551" ht="15.75" customHeight="1" x14ac:dyDescent="0.3"/>
    <row r="2552" ht="15.75" customHeight="1" x14ac:dyDescent="0.3"/>
    <row r="2553" ht="15.75" customHeight="1" x14ac:dyDescent="0.3"/>
    <row r="2554" ht="15.75" customHeight="1" x14ac:dyDescent="0.3"/>
    <row r="2555" ht="15.75" customHeight="1" x14ac:dyDescent="0.3"/>
    <row r="2556" ht="15.75" customHeight="1" x14ac:dyDescent="0.3"/>
    <row r="2557" ht="15.75" customHeight="1" x14ac:dyDescent="0.3"/>
    <row r="2558" ht="15.75" customHeight="1" x14ac:dyDescent="0.3"/>
    <row r="2559" ht="15.75" customHeight="1" x14ac:dyDescent="0.3"/>
    <row r="2560" ht="15.75" customHeight="1" x14ac:dyDescent="0.3"/>
    <row r="2561" ht="15.75" customHeight="1" x14ac:dyDescent="0.3"/>
    <row r="2562" ht="15.75" customHeight="1" x14ac:dyDescent="0.3"/>
    <row r="2563" ht="15.75" customHeight="1" x14ac:dyDescent="0.3"/>
    <row r="2564" ht="15.75" customHeight="1" x14ac:dyDescent="0.3"/>
    <row r="2565" ht="15.75" customHeight="1" x14ac:dyDescent="0.3"/>
    <row r="2566" ht="15.75" customHeight="1" x14ac:dyDescent="0.3"/>
    <row r="2567" ht="15.75" customHeight="1" x14ac:dyDescent="0.3"/>
    <row r="2568" ht="15.75" customHeight="1" x14ac:dyDescent="0.3"/>
    <row r="2569" ht="15.75" customHeight="1" x14ac:dyDescent="0.3"/>
    <row r="2570" ht="15.75" customHeight="1" x14ac:dyDescent="0.3"/>
    <row r="2571" ht="15.75" customHeight="1" x14ac:dyDescent="0.3"/>
    <row r="2572" ht="15.75" customHeight="1" x14ac:dyDescent="0.3"/>
    <row r="2573" ht="15.75" customHeight="1" x14ac:dyDescent="0.3"/>
    <row r="2574" ht="15.75" customHeight="1" x14ac:dyDescent="0.3"/>
    <row r="2575" ht="15.75" customHeight="1" x14ac:dyDescent="0.3"/>
    <row r="2576" ht="15.75" customHeight="1" x14ac:dyDescent="0.3"/>
    <row r="2577" ht="15.75" customHeight="1" x14ac:dyDescent="0.3"/>
    <row r="2578" ht="15.75" customHeight="1" x14ac:dyDescent="0.3"/>
    <row r="2579" ht="15.75" customHeight="1" x14ac:dyDescent="0.3"/>
    <row r="2580" ht="15.75" customHeight="1" x14ac:dyDescent="0.3"/>
    <row r="2581" ht="15.75" customHeight="1" x14ac:dyDescent="0.3"/>
    <row r="2582" ht="15.75" customHeight="1" x14ac:dyDescent="0.3"/>
    <row r="2583" ht="15.75" customHeight="1" x14ac:dyDescent="0.3"/>
    <row r="2584" ht="15.75" customHeight="1" x14ac:dyDescent="0.3"/>
    <row r="2585" ht="15.75" customHeight="1" x14ac:dyDescent="0.3"/>
    <row r="2586" ht="15.75" customHeight="1" x14ac:dyDescent="0.3"/>
    <row r="2587" ht="15.75" customHeight="1" x14ac:dyDescent="0.3"/>
    <row r="2588" ht="15.75" customHeight="1" x14ac:dyDescent="0.3"/>
    <row r="2589" ht="15.75" customHeight="1" x14ac:dyDescent="0.3"/>
    <row r="2590" ht="15.75" customHeight="1" x14ac:dyDescent="0.3"/>
    <row r="2591" ht="15.75" customHeight="1" x14ac:dyDescent="0.3"/>
    <row r="2592" ht="15.75" customHeight="1" x14ac:dyDescent="0.3"/>
    <row r="2593" ht="15.75" customHeight="1" x14ac:dyDescent="0.3"/>
    <row r="2594" ht="15.75" customHeight="1" x14ac:dyDescent="0.3"/>
    <row r="2595" ht="15.75" customHeight="1" x14ac:dyDescent="0.3"/>
    <row r="2596" ht="15.75" customHeight="1" x14ac:dyDescent="0.3"/>
    <row r="2597" ht="15.75" customHeight="1" x14ac:dyDescent="0.3"/>
    <row r="2598" ht="15.75" customHeight="1" x14ac:dyDescent="0.3"/>
    <row r="2599" ht="15.75" customHeight="1" x14ac:dyDescent="0.3"/>
    <row r="2600" ht="15.75" customHeight="1" x14ac:dyDescent="0.3"/>
    <row r="2601" ht="15.75" customHeight="1" x14ac:dyDescent="0.3"/>
    <row r="2602" ht="15.75" customHeight="1" x14ac:dyDescent="0.3"/>
    <row r="2603" ht="15.75" customHeight="1" x14ac:dyDescent="0.3"/>
    <row r="2604" ht="15.75" customHeight="1" x14ac:dyDescent="0.3"/>
    <row r="2605" ht="15.75" customHeight="1" x14ac:dyDescent="0.3"/>
    <row r="2606" ht="15.75" customHeight="1" x14ac:dyDescent="0.3"/>
    <row r="2607" ht="15.75" customHeight="1" x14ac:dyDescent="0.3"/>
    <row r="2608" ht="15.75" customHeight="1" x14ac:dyDescent="0.3"/>
    <row r="2609" ht="15.75" customHeight="1" x14ac:dyDescent="0.3"/>
    <row r="2610" ht="15.75" customHeight="1" x14ac:dyDescent="0.3"/>
    <row r="2611" ht="15.75" customHeight="1" x14ac:dyDescent="0.3"/>
    <row r="2612" ht="15.75" customHeight="1" x14ac:dyDescent="0.3"/>
    <row r="2613" ht="15.75" customHeight="1" x14ac:dyDescent="0.3"/>
    <row r="2614" ht="15.75" customHeight="1" x14ac:dyDescent="0.3"/>
    <row r="2615" ht="15.75" customHeight="1" x14ac:dyDescent="0.3"/>
    <row r="2616" ht="15.75" customHeight="1" x14ac:dyDescent="0.3"/>
    <row r="2617" ht="15.75" customHeight="1" x14ac:dyDescent="0.3"/>
    <row r="2618" ht="15.75" customHeight="1" x14ac:dyDescent="0.3"/>
    <row r="2619" ht="15.75" customHeight="1" x14ac:dyDescent="0.3"/>
    <row r="2620" ht="15.75" customHeight="1" x14ac:dyDescent="0.3"/>
    <row r="2621" ht="15.75" customHeight="1" x14ac:dyDescent="0.3"/>
    <row r="2622" ht="15.75" customHeight="1" x14ac:dyDescent="0.3"/>
    <row r="2623" ht="15.75" customHeight="1" x14ac:dyDescent="0.3"/>
    <row r="2624" ht="15.75" customHeight="1" x14ac:dyDescent="0.3"/>
    <row r="2625" ht="15.75" customHeight="1" x14ac:dyDescent="0.3"/>
    <row r="2626" ht="15.75" customHeight="1" x14ac:dyDescent="0.3"/>
    <row r="2627" ht="15.75" customHeight="1" x14ac:dyDescent="0.3"/>
    <row r="2628" ht="15.75" customHeight="1" x14ac:dyDescent="0.3"/>
    <row r="2629" ht="15.75" customHeight="1" x14ac:dyDescent="0.3"/>
    <row r="2630" ht="15.75" customHeight="1" x14ac:dyDescent="0.3"/>
    <row r="2631" ht="15.75" customHeight="1" x14ac:dyDescent="0.3"/>
    <row r="2632" ht="15.75" customHeight="1" x14ac:dyDescent="0.3"/>
    <row r="2633" ht="15.75" customHeight="1" x14ac:dyDescent="0.3"/>
    <row r="2634" ht="15.75" customHeight="1" x14ac:dyDescent="0.3"/>
    <row r="2635" ht="15.75" customHeight="1" x14ac:dyDescent="0.3"/>
    <row r="2636" ht="15.75" customHeight="1" x14ac:dyDescent="0.3"/>
    <row r="2637" ht="15.75" customHeight="1" x14ac:dyDescent="0.3"/>
    <row r="2638" ht="15.75" customHeight="1" x14ac:dyDescent="0.3"/>
    <row r="2639" ht="15.75" customHeight="1" x14ac:dyDescent="0.3"/>
    <row r="2640" ht="15.75" customHeight="1" x14ac:dyDescent="0.3"/>
    <row r="2641" ht="15.75" customHeight="1" x14ac:dyDescent="0.3"/>
    <row r="2642" ht="15.75" customHeight="1" x14ac:dyDescent="0.3"/>
    <row r="2643" ht="15.75" customHeight="1" x14ac:dyDescent="0.3"/>
    <row r="2644" ht="15.75" customHeight="1" x14ac:dyDescent="0.3"/>
    <row r="2645" ht="15.75" customHeight="1" x14ac:dyDescent="0.3"/>
    <row r="2646" ht="15.75" customHeight="1" x14ac:dyDescent="0.3"/>
    <row r="2647" ht="15.75" customHeight="1" x14ac:dyDescent="0.3"/>
    <row r="2648" ht="15.75" customHeight="1" x14ac:dyDescent="0.3"/>
    <row r="2649" ht="15.75" customHeight="1" x14ac:dyDescent="0.3"/>
    <row r="2650" ht="15.75" customHeight="1" x14ac:dyDescent="0.3"/>
    <row r="2651" ht="15.75" customHeight="1" x14ac:dyDescent="0.3"/>
    <row r="2652" ht="15.75" customHeight="1" x14ac:dyDescent="0.3"/>
    <row r="2653" ht="15.75" customHeight="1" x14ac:dyDescent="0.3"/>
    <row r="2654" ht="15.75" customHeight="1" x14ac:dyDescent="0.3"/>
    <row r="2655" ht="15.75" customHeight="1" x14ac:dyDescent="0.3"/>
    <row r="2656" ht="15.75" customHeight="1" x14ac:dyDescent="0.3"/>
    <row r="2657" ht="15.75" customHeight="1" x14ac:dyDescent="0.3"/>
    <row r="2658" ht="15.75" customHeight="1" x14ac:dyDescent="0.3"/>
    <row r="2659" ht="15.75" customHeight="1" x14ac:dyDescent="0.3"/>
    <row r="2660" ht="15.75" customHeight="1" x14ac:dyDescent="0.3"/>
    <row r="2661" ht="15.75" customHeight="1" x14ac:dyDescent="0.3"/>
    <row r="2662" ht="15.75" customHeight="1" x14ac:dyDescent="0.3"/>
    <row r="2663" ht="15.75" customHeight="1" x14ac:dyDescent="0.3"/>
    <row r="2664" ht="15.75" customHeight="1" x14ac:dyDescent="0.3"/>
    <row r="2665" ht="15.75" customHeight="1" x14ac:dyDescent="0.3"/>
    <row r="2666" ht="15.75" customHeight="1" x14ac:dyDescent="0.3"/>
    <row r="2667" ht="15.75" customHeight="1" x14ac:dyDescent="0.3"/>
    <row r="2668" ht="15.75" customHeight="1" x14ac:dyDescent="0.3"/>
    <row r="2669" ht="15.75" customHeight="1" x14ac:dyDescent="0.3"/>
    <row r="2670" ht="15.75" customHeight="1" x14ac:dyDescent="0.3"/>
    <row r="2671" ht="15.75" customHeight="1" x14ac:dyDescent="0.3"/>
    <row r="2672" ht="15.75" customHeight="1" x14ac:dyDescent="0.3"/>
    <row r="2673" ht="15.75" customHeight="1" x14ac:dyDescent="0.3"/>
    <row r="2674" ht="15.75" customHeight="1" x14ac:dyDescent="0.3"/>
    <row r="2675" ht="15.75" customHeight="1" x14ac:dyDescent="0.3"/>
    <row r="2676" ht="15.75" customHeight="1" x14ac:dyDescent="0.3"/>
    <row r="2677" ht="15.75" customHeight="1" x14ac:dyDescent="0.3"/>
    <row r="2678" ht="15.75" customHeight="1" x14ac:dyDescent="0.3"/>
    <row r="2679" ht="15.75" customHeight="1" x14ac:dyDescent="0.3"/>
    <row r="2680" ht="15.75" customHeight="1" x14ac:dyDescent="0.3"/>
    <row r="2681" ht="15.75" customHeight="1" x14ac:dyDescent="0.3"/>
    <row r="2682" ht="15.75" customHeight="1" x14ac:dyDescent="0.3"/>
    <row r="2683" ht="15.75" customHeight="1" x14ac:dyDescent="0.3"/>
    <row r="2684" ht="15.75" customHeight="1" x14ac:dyDescent="0.3"/>
    <row r="2685" ht="15.75" customHeight="1" x14ac:dyDescent="0.3"/>
    <row r="2686" ht="15.75" customHeight="1" x14ac:dyDescent="0.3"/>
    <row r="2687" ht="15.75" customHeight="1" x14ac:dyDescent="0.3"/>
    <row r="2688" ht="15.75" customHeight="1" x14ac:dyDescent="0.3"/>
    <row r="2689" ht="15.75" customHeight="1" x14ac:dyDescent="0.3"/>
    <row r="2690" ht="15.75" customHeight="1" x14ac:dyDescent="0.3"/>
    <row r="2691" ht="15.75" customHeight="1" x14ac:dyDescent="0.3"/>
    <row r="2692" ht="15.75" customHeight="1" x14ac:dyDescent="0.3"/>
    <row r="2693" ht="15.75" customHeight="1" x14ac:dyDescent="0.3"/>
    <row r="2694" ht="15.75" customHeight="1" x14ac:dyDescent="0.3"/>
    <row r="2695" ht="15.75" customHeight="1" x14ac:dyDescent="0.3"/>
    <row r="2696" ht="15.75" customHeight="1" x14ac:dyDescent="0.3"/>
    <row r="2697" ht="15.75" customHeight="1" x14ac:dyDescent="0.3"/>
    <row r="2698" ht="15.75" customHeight="1" x14ac:dyDescent="0.3"/>
    <row r="2699" ht="15.75" customHeight="1" x14ac:dyDescent="0.3"/>
    <row r="2700" ht="15.75" customHeight="1" x14ac:dyDescent="0.3"/>
    <row r="2701" ht="15.75" customHeight="1" x14ac:dyDescent="0.3"/>
    <row r="2702" ht="15.75" customHeight="1" x14ac:dyDescent="0.3"/>
    <row r="2703" ht="15.75" customHeight="1" x14ac:dyDescent="0.3"/>
    <row r="2704" ht="15.75" customHeight="1" x14ac:dyDescent="0.3"/>
    <row r="2705" ht="15.75" customHeight="1" x14ac:dyDescent="0.3"/>
    <row r="2706" ht="15.75" customHeight="1" x14ac:dyDescent="0.3"/>
    <row r="2707" ht="15.75" customHeight="1" x14ac:dyDescent="0.3"/>
    <row r="2708" ht="15.75" customHeight="1" x14ac:dyDescent="0.3"/>
    <row r="2709" ht="15.75" customHeight="1" x14ac:dyDescent="0.3"/>
    <row r="2710" ht="15.75" customHeight="1" x14ac:dyDescent="0.3"/>
    <row r="2711" ht="15.75" customHeight="1" x14ac:dyDescent="0.3"/>
    <row r="2712" ht="15.75" customHeight="1" x14ac:dyDescent="0.3"/>
    <row r="2713" ht="15.75" customHeight="1" x14ac:dyDescent="0.3"/>
    <row r="2714" ht="15.75" customHeight="1" x14ac:dyDescent="0.3"/>
    <row r="2715" ht="15.75" customHeight="1" x14ac:dyDescent="0.3"/>
    <row r="2716" ht="15.75" customHeight="1" x14ac:dyDescent="0.3"/>
    <row r="2717" ht="15.75" customHeight="1" x14ac:dyDescent="0.3"/>
    <row r="2718" ht="15.75" customHeight="1" x14ac:dyDescent="0.3"/>
    <row r="2719" ht="15.75" customHeight="1" x14ac:dyDescent="0.3"/>
    <row r="2720" ht="15.75" customHeight="1" x14ac:dyDescent="0.3"/>
    <row r="2721" ht="15.75" customHeight="1" x14ac:dyDescent="0.3"/>
    <row r="2722" ht="15.75" customHeight="1" x14ac:dyDescent="0.3"/>
    <row r="2723" ht="15.75" customHeight="1" x14ac:dyDescent="0.3"/>
    <row r="2724" ht="15.75" customHeight="1" x14ac:dyDescent="0.3"/>
    <row r="2725" ht="15.75" customHeight="1" x14ac:dyDescent="0.3"/>
    <row r="2726" ht="15.75" customHeight="1" x14ac:dyDescent="0.3"/>
    <row r="2727" ht="15.75" customHeight="1" x14ac:dyDescent="0.3"/>
    <row r="2728" ht="15.75" customHeight="1" x14ac:dyDescent="0.3"/>
    <row r="2729" ht="15.75" customHeight="1" x14ac:dyDescent="0.3"/>
    <row r="2730" ht="15.75" customHeight="1" x14ac:dyDescent="0.3"/>
    <row r="2731" ht="15.75" customHeight="1" x14ac:dyDescent="0.3"/>
    <row r="2732" ht="15.75" customHeight="1" x14ac:dyDescent="0.3"/>
    <row r="2733" ht="15.75" customHeight="1" x14ac:dyDescent="0.3"/>
    <row r="2734" ht="15.75" customHeight="1" x14ac:dyDescent="0.3"/>
    <row r="2735" ht="15.75" customHeight="1" x14ac:dyDescent="0.3"/>
    <row r="2736" ht="15.75" customHeight="1" x14ac:dyDescent="0.3"/>
    <row r="2737" ht="15.75" customHeight="1" x14ac:dyDescent="0.3"/>
    <row r="2738" ht="15.75" customHeight="1" x14ac:dyDescent="0.3"/>
    <row r="2739" ht="15.75" customHeight="1" x14ac:dyDescent="0.3"/>
    <row r="2740" ht="15.75" customHeight="1" x14ac:dyDescent="0.3"/>
    <row r="2741" ht="15.75" customHeight="1" x14ac:dyDescent="0.3"/>
    <row r="2742" ht="15.75" customHeight="1" x14ac:dyDescent="0.3"/>
    <row r="2743" ht="15.75" customHeight="1" x14ac:dyDescent="0.3"/>
    <row r="2744" ht="15.75" customHeight="1" x14ac:dyDescent="0.3"/>
    <row r="2745" ht="15.75" customHeight="1" x14ac:dyDescent="0.3"/>
    <row r="2746" ht="15.75" customHeight="1" x14ac:dyDescent="0.3"/>
    <row r="2747" ht="15.75" customHeight="1" x14ac:dyDescent="0.3"/>
    <row r="2748" ht="15.75" customHeight="1" x14ac:dyDescent="0.3"/>
    <row r="2749" ht="15.75" customHeight="1" x14ac:dyDescent="0.3"/>
    <row r="2750" ht="15.75" customHeight="1" x14ac:dyDescent="0.3"/>
    <row r="2751" ht="15.75" customHeight="1" x14ac:dyDescent="0.3"/>
    <row r="2752" ht="15.75" customHeight="1" x14ac:dyDescent="0.3"/>
    <row r="2753" ht="15.75" customHeight="1" x14ac:dyDescent="0.3"/>
    <row r="2754" ht="15.75" customHeight="1" x14ac:dyDescent="0.3"/>
    <row r="2755" ht="15.75" customHeight="1" x14ac:dyDescent="0.3"/>
    <row r="2756" ht="15.75" customHeight="1" x14ac:dyDescent="0.3"/>
    <row r="2757" ht="15.75" customHeight="1" x14ac:dyDescent="0.3"/>
    <row r="2758" ht="15.75" customHeight="1" x14ac:dyDescent="0.3"/>
    <row r="2759" ht="15.75" customHeight="1" x14ac:dyDescent="0.3"/>
    <row r="2760" ht="15.75" customHeight="1" x14ac:dyDescent="0.3"/>
    <row r="2761" ht="15.75" customHeight="1" x14ac:dyDescent="0.3"/>
    <row r="2762" ht="15.75" customHeight="1" x14ac:dyDescent="0.3"/>
    <row r="2763" ht="15.75" customHeight="1" x14ac:dyDescent="0.3"/>
    <row r="2764" ht="15.75" customHeight="1" x14ac:dyDescent="0.3"/>
    <row r="2765" ht="15.75" customHeight="1" x14ac:dyDescent="0.3"/>
    <row r="2766" ht="15.75" customHeight="1" x14ac:dyDescent="0.3"/>
    <row r="2767" ht="15.75" customHeight="1" x14ac:dyDescent="0.3"/>
    <row r="2768" ht="15.75" customHeight="1" x14ac:dyDescent="0.3"/>
    <row r="2769" spans="9:9" ht="15.75" customHeight="1" x14ac:dyDescent="0.3"/>
    <row r="2770" spans="9:9" ht="15.75" customHeight="1" x14ac:dyDescent="0.3"/>
    <row r="2771" spans="9:9" ht="15.75" customHeight="1" x14ac:dyDescent="0.3"/>
    <row r="2772" spans="9:9" ht="12" customHeight="1" x14ac:dyDescent="0.3">
      <c r="I2772" s="335" t="s">
        <v>225</v>
      </c>
    </row>
    <row r="2773" spans="9:9" ht="12" customHeight="1" x14ac:dyDescent="0.3">
      <c r="I2773" s="335"/>
    </row>
    <row r="2774" spans="9:9" ht="12" customHeight="1" x14ac:dyDescent="0.3">
      <c r="I2774" s="335"/>
    </row>
    <row r="2775" spans="9:9" ht="12" customHeight="1" x14ac:dyDescent="0.3">
      <c r="I2775" s="335"/>
    </row>
    <row r="2776" spans="9:9" ht="12" customHeight="1" x14ac:dyDescent="0.3">
      <c r="I2776" s="335"/>
    </row>
    <row r="2777" spans="9:9" ht="12" customHeight="1" x14ac:dyDescent="0.3">
      <c r="I2777" s="335"/>
    </row>
    <row r="2778" spans="9:9" ht="12" customHeight="1" x14ac:dyDescent="0.3">
      <c r="I2778" s="335"/>
    </row>
    <row r="2779" spans="9:9" ht="12" customHeight="1" x14ac:dyDescent="0.3">
      <c r="I2779" s="335"/>
    </row>
    <row r="2780" spans="9:9" ht="12" customHeight="1" x14ac:dyDescent="0.3">
      <c r="I2780" s="335"/>
    </row>
    <row r="2781" spans="9:9" ht="12" customHeight="1" x14ac:dyDescent="0.3">
      <c r="I2781" s="335" t="s">
        <v>226</v>
      </c>
    </row>
    <row r="2782" spans="9:9" ht="15.75" customHeight="1" x14ac:dyDescent="0.3"/>
    <row r="2783" spans="9:9" ht="15.75" customHeight="1" x14ac:dyDescent="0.3"/>
    <row r="2784" spans="9:9" ht="12" customHeight="1" x14ac:dyDescent="0.3">
      <c r="I2784" s="335" t="s">
        <v>226</v>
      </c>
    </row>
    <row r="2785" spans="9:9" ht="12" customHeight="1" x14ac:dyDescent="0.3">
      <c r="I2785" s="335"/>
    </row>
    <row r="2786" spans="9:9" ht="12" customHeight="1" x14ac:dyDescent="0.3">
      <c r="I2786" s="335"/>
    </row>
    <row r="2787" spans="9:9" ht="12" customHeight="1" x14ac:dyDescent="0.3">
      <c r="I2787" s="335"/>
    </row>
    <row r="2788" spans="9:9" ht="12" customHeight="1" x14ac:dyDescent="0.3">
      <c r="I2788" s="335"/>
    </row>
    <row r="2789" spans="9:9" ht="12" customHeight="1" x14ac:dyDescent="0.3">
      <c r="I2789" s="335"/>
    </row>
    <row r="2790" spans="9:9" ht="12" customHeight="1" x14ac:dyDescent="0.3">
      <c r="I2790" s="335" t="s">
        <v>226</v>
      </c>
    </row>
    <row r="2791" spans="9:9" ht="12" customHeight="1" x14ac:dyDescent="0.3">
      <c r="I2791" s="335" t="s">
        <v>226</v>
      </c>
    </row>
    <row r="2792" spans="9:9" ht="12" customHeight="1" x14ac:dyDescent="0.3">
      <c r="I2792" s="335"/>
    </row>
    <row r="2793" spans="9:9" ht="12" customHeight="1" x14ac:dyDescent="0.3">
      <c r="I2793" s="335"/>
    </row>
    <row r="2794" spans="9:9" ht="12" customHeight="1" x14ac:dyDescent="0.3">
      <c r="I2794" s="335"/>
    </row>
    <row r="2795" spans="9:9" ht="12" customHeight="1" x14ac:dyDescent="0.3">
      <c r="I2795" s="335" t="s">
        <v>226</v>
      </c>
    </row>
    <row r="2796" spans="9:9" ht="12" customHeight="1" x14ac:dyDescent="0.3">
      <c r="I2796" s="335" t="s">
        <v>225</v>
      </c>
    </row>
    <row r="2797" spans="9:9" ht="12" customHeight="1" x14ac:dyDescent="0.3">
      <c r="I2797" s="335" t="s">
        <v>225</v>
      </c>
    </row>
    <row r="2798" spans="9:9" ht="15.75" customHeight="1" x14ac:dyDescent="0.3"/>
    <row r="2799" spans="9:9" ht="15.75" customHeight="1" x14ac:dyDescent="0.3"/>
    <row r="2800" spans="9:9" ht="12" customHeight="1" x14ac:dyDescent="0.3">
      <c r="I2800" s="335" t="s">
        <v>225</v>
      </c>
    </row>
    <row r="2801" spans="9:9" ht="12" customHeight="1" x14ac:dyDescent="0.3">
      <c r="I2801" s="335"/>
    </row>
    <row r="2802" spans="9:9" ht="12" customHeight="1" x14ac:dyDescent="0.3">
      <c r="I2802" s="335" t="s">
        <v>226</v>
      </c>
    </row>
    <row r="2803" spans="9:9" ht="12" customHeight="1" x14ac:dyDescent="0.3">
      <c r="I2803" s="335"/>
    </row>
    <row r="2804" spans="9:9" ht="12" customHeight="1" x14ac:dyDescent="0.3">
      <c r="I2804" s="335"/>
    </row>
    <row r="2805" spans="9:9" ht="12" customHeight="1" x14ac:dyDescent="0.3">
      <c r="I2805" s="335" t="s">
        <v>226</v>
      </c>
    </row>
    <row r="2806" spans="9:9" ht="12" customHeight="1" x14ac:dyDescent="0.3">
      <c r="I2806" s="335"/>
    </row>
    <row r="2807" spans="9:9" ht="12" customHeight="1" x14ac:dyDescent="0.3">
      <c r="I2807" s="335" t="s">
        <v>226</v>
      </c>
    </row>
    <row r="2808" spans="9:9" ht="15.75" customHeight="1" x14ac:dyDescent="0.3"/>
    <row r="2809" spans="9:9" ht="15.75" customHeight="1" x14ac:dyDescent="0.3"/>
    <row r="2810" spans="9:9" ht="15.75" customHeight="1" x14ac:dyDescent="0.3"/>
    <row r="2811" spans="9:9" ht="15.75" customHeight="1" x14ac:dyDescent="0.3"/>
    <row r="2812" spans="9:9" ht="15.75" customHeight="1" x14ac:dyDescent="0.3"/>
    <row r="2813" spans="9:9" ht="15.75" customHeight="1" x14ac:dyDescent="0.3"/>
    <row r="2814" spans="9:9" ht="15.75" customHeight="1" x14ac:dyDescent="0.3"/>
    <row r="2815" spans="9:9" ht="15.75" customHeight="1" x14ac:dyDescent="0.3"/>
    <row r="2816" spans="9:9" ht="12" customHeight="1" x14ac:dyDescent="0.3">
      <c r="I2816" s="335" t="s">
        <v>226</v>
      </c>
    </row>
    <row r="2817" spans="9:9" ht="12" customHeight="1" x14ac:dyDescent="0.3">
      <c r="I2817" s="335"/>
    </row>
    <row r="2818" spans="9:9" ht="12" customHeight="1" x14ac:dyDescent="0.3">
      <c r="I2818" s="335" t="s">
        <v>225</v>
      </c>
    </row>
    <row r="2819" spans="9:9" ht="12" customHeight="1" x14ac:dyDescent="0.3">
      <c r="I2819" s="335"/>
    </row>
    <row r="2820" spans="9:9" ht="12" customHeight="1" x14ac:dyDescent="0.3">
      <c r="I2820" s="335" t="s">
        <v>226</v>
      </c>
    </row>
    <row r="2821" spans="9:9" ht="12" customHeight="1" x14ac:dyDescent="0.3">
      <c r="I2821" s="335" t="s">
        <v>225</v>
      </c>
    </row>
    <row r="2822" spans="9:9" ht="15.75" customHeight="1" x14ac:dyDescent="0.3"/>
    <row r="2823" spans="9:9" ht="15.75" customHeight="1" x14ac:dyDescent="0.3"/>
    <row r="2824" spans="9:9" ht="15.75" customHeight="1" x14ac:dyDescent="0.3"/>
    <row r="2825" spans="9:9" ht="15.75" customHeight="1" x14ac:dyDescent="0.3"/>
    <row r="2826" spans="9:9" ht="15.75" customHeight="1" x14ac:dyDescent="0.3"/>
    <row r="2827" spans="9:9" ht="15.75" customHeight="1" x14ac:dyDescent="0.3"/>
    <row r="2828" spans="9:9" ht="15.75" customHeight="1" x14ac:dyDescent="0.3"/>
    <row r="2829" spans="9:9" ht="15.75" customHeight="1" x14ac:dyDescent="0.3"/>
    <row r="2830" spans="9:9" ht="15.75" customHeight="1" x14ac:dyDescent="0.3"/>
    <row r="2831" spans="9:9" ht="15.75" customHeight="1" x14ac:dyDescent="0.3"/>
    <row r="2832" spans="9:9" ht="15.75" customHeight="1" x14ac:dyDescent="0.3"/>
    <row r="2833" spans="9:9" ht="15.75" customHeight="1" x14ac:dyDescent="0.3"/>
    <row r="2834" spans="9:9" ht="15.75" customHeight="1" x14ac:dyDescent="0.3"/>
    <row r="2835" spans="9:9" ht="15.75" customHeight="1" x14ac:dyDescent="0.3"/>
    <row r="2836" spans="9:9" ht="15.75" customHeight="1" x14ac:dyDescent="0.3"/>
    <row r="2837" spans="9:9" ht="15.75" customHeight="1" x14ac:dyDescent="0.3"/>
    <row r="2838" spans="9:9" ht="15.75" customHeight="1" x14ac:dyDescent="0.3"/>
    <row r="2839" spans="9:9" ht="15.75" customHeight="1" x14ac:dyDescent="0.3"/>
    <row r="2840" spans="9:9" ht="12" customHeight="1" x14ac:dyDescent="0.3">
      <c r="I2840" s="335" t="s">
        <v>226</v>
      </c>
    </row>
  </sheetData>
  <autoFilter ref="A1:G1042" xr:uid="{00000000-0009-0000-0000-000006000000}"/>
  <mergeCells count="5">
    <mergeCell ref="A1:B1"/>
    <mergeCell ref="E1:F1"/>
    <mergeCell ref="Q1:R1"/>
    <mergeCell ref="E2:F2"/>
    <mergeCell ref="E3:F3"/>
  </mergeCells>
  <conditionalFormatting sqref="I1 I4:I2840">
    <cfRule type="cellIs" dxfId="9" priority="1" operator="equal">
      <formula>6</formula>
    </cfRule>
    <cfRule type="cellIs" dxfId="8" priority="2" operator="equal">
      <formula>5</formula>
    </cfRule>
    <cfRule type="cellIs" dxfId="7" priority="3" operator="equal">
      <formula>4</formula>
    </cfRule>
    <cfRule type="cellIs" dxfId="6" priority="4" operator="equal">
      <formula>3</formula>
    </cfRule>
    <cfRule type="cellIs" dxfId="5" priority="5" operator="equal">
      <formula>1</formula>
    </cfRule>
    <cfRule type="cellIs" dxfId="4" priority="6" operator="equal">
      <formula>2</formula>
    </cfRule>
  </conditionalFormatting>
  <pageMargins left="0.7" right="0.7" top="0.75" bottom="0.75" header="0" footer="0"/>
  <pageSetup orientation="portrait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AC1029"/>
  <sheetViews>
    <sheetView workbookViewId="0">
      <pane ySplit="1" topLeftCell="A2" activePane="bottomLeft" state="frozen"/>
      <selection pane="bottomLeft" activeCell="G26" sqref="G26"/>
    </sheetView>
  </sheetViews>
  <sheetFormatPr defaultColWidth="14.44140625" defaultRowHeight="15" customHeight="1" x14ac:dyDescent="0.3"/>
  <cols>
    <col min="1" max="1" width="14.109375" customWidth="1"/>
    <col min="2" max="2" width="12" customWidth="1"/>
    <col min="3" max="3" width="43.88671875" customWidth="1"/>
    <col min="4" max="4" width="11" customWidth="1"/>
    <col min="5" max="5" width="12" customWidth="1"/>
    <col min="6" max="9" width="11" customWidth="1"/>
    <col min="10" max="10" width="10" customWidth="1"/>
    <col min="11" max="11" width="11" customWidth="1"/>
    <col min="12" max="12" width="10" customWidth="1"/>
    <col min="13" max="13" width="11" customWidth="1"/>
    <col min="14" max="16" width="10" customWidth="1"/>
    <col min="17" max="17" width="11" customWidth="1"/>
    <col min="18" max="19" width="11.33203125" customWidth="1"/>
    <col min="20" max="21" width="12.6640625" customWidth="1"/>
    <col min="22" max="22" width="10" customWidth="1"/>
    <col min="23" max="23" width="11" customWidth="1"/>
    <col min="24" max="25" width="10" customWidth="1"/>
    <col min="26" max="27" width="12.109375" customWidth="1"/>
    <col min="28" max="29" width="10" customWidth="1"/>
  </cols>
  <sheetData>
    <row r="1" spans="1:29" ht="14.25" customHeight="1" x14ac:dyDescent="0.3">
      <c r="A1" s="338" t="s">
        <v>490</v>
      </c>
      <c r="B1" s="339"/>
      <c r="C1" s="340"/>
      <c r="D1" s="563" t="s">
        <v>491</v>
      </c>
      <c r="E1" s="547"/>
      <c r="F1" s="564" t="s">
        <v>492</v>
      </c>
      <c r="G1" s="547"/>
      <c r="H1" s="563" t="str">
        <f>'Proposed Budget'!C33</f>
        <v>Vehicle Maintenance</v>
      </c>
      <c r="I1" s="547"/>
      <c r="J1" s="564" t="str">
        <f>'Proposed Budget'!C34</f>
        <v>Car Insurance</v>
      </c>
      <c r="K1" s="547"/>
      <c r="L1" s="563" t="str">
        <f>'Proposed Budget'!C35</f>
        <v>Rental Garbage</v>
      </c>
      <c r="M1" s="547"/>
      <c r="N1" s="564" t="str">
        <f>'Proposed Budget'!C36</f>
        <v>Garbage</v>
      </c>
      <c r="O1" s="547"/>
      <c r="P1" s="563" t="str">
        <f>'Monthly Breakdown'!C37</f>
        <v>Sanitation - Main</v>
      </c>
      <c r="Q1" s="547"/>
      <c r="R1" s="564" t="str">
        <f>'Proposed Budget'!C38</f>
        <v>Camping/Vacation</v>
      </c>
      <c r="S1" s="547"/>
      <c r="T1" s="563" t="str">
        <f>'Proposed Budget'!C39</f>
        <v>Home Maintenance</v>
      </c>
      <c r="U1" s="547"/>
      <c r="V1" s="564" t="str">
        <f>'Proposed Budget'!C40</f>
        <v>Rental Repairs</v>
      </c>
      <c r="W1" s="547"/>
      <c r="X1" s="563" t="str">
        <f>'Proposed Budget'!C41</f>
        <v>Rental Insurance</v>
      </c>
      <c r="Y1" s="547"/>
      <c r="Z1" s="564" t="str">
        <f>'Proposed Budget'!C42</f>
        <v>Rental Property Taxes</v>
      </c>
      <c r="AA1" s="547"/>
      <c r="AB1" s="563" t="str">
        <f>'Proposed Budget'!C43</f>
        <v>Rental Sanitation</v>
      </c>
      <c r="AC1" s="547"/>
    </row>
    <row r="2" spans="1:29" ht="14.25" customHeight="1" x14ac:dyDescent="0.3">
      <c r="A2" s="341">
        <f t="shared" ref="A2:A3" si="0">SUM(G2,E2,U2,I2,S2,O2,K2,M2,Q2,W2,Y2,AA2,AC2)</f>
        <v>-3108.5299999999984</v>
      </c>
      <c r="B2" s="339"/>
      <c r="C2" s="340"/>
      <c r="D2" s="342" t="s">
        <v>493</v>
      </c>
      <c r="E2" s="343">
        <f>E3-E87</f>
        <v>12159.24</v>
      </c>
      <c r="F2" s="344" t="s">
        <v>493</v>
      </c>
      <c r="G2" s="345">
        <f>G3-G87</f>
        <v>754.28</v>
      </c>
      <c r="H2" s="343" t="s">
        <v>493</v>
      </c>
      <c r="I2" s="343">
        <f>I3-I87</f>
        <v>404.75999999999976</v>
      </c>
      <c r="J2" s="344" t="s">
        <v>493</v>
      </c>
      <c r="K2" s="345">
        <f>K3-K87</f>
        <v>-559</v>
      </c>
      <c r="L2" s="343" t="s">
        <v>493</v>
      </c>
      <c r="M2" s="343">
        <f>M3-M87</f>
        <v>-1.960000000000008</v>
      </c>
      <c r="N2" s="345" t="s">
        <v>493</v>
      </c>
      <c r="O2" s="345">
        <f>O3-O87</f>
        <v>-1.960000000000008</v>
      </c>
      <c r="P2" s="343" t="s">
        <v>493</v>
      </c>
      <c r="Q2" s="343">
        <f>Q3-Q87</f>
        <v>39.360000000000014</v>
      </c>
      <c r="R2" s="345" t="s">
        <v>493</v>
      </c>
      <c r="S2" s="345">
        <f>S3-S87</f>
        <v>-1824.7800000000002</v>
      </c>
      <c r="T2" s="346" t="s">
        <v>493</v>
      </c>
      <c r="U2" s="343">
        <f>U3-U87</f>
        <v>-14415.929999999998</v>
      </c>
      <c r="V2" s="345" t="s">
        <v>493</v>
      </c>
      <c r="W2" s="345">
        <f>W3-W87</f>
        <v>500</v>
      </c>
      <c r="X2" s="343" t="s">
        <v>493</v>
      </c>
      <c r="Y2" s="343">
        <f>Y3-Y87</f>
        <v>-75.5</v>
      </c>
      <c r="Z2" s="345" t="s">
        <v>493</v>
      </c>
      <c r="AA2" s="345">
        <f>AA3-AA87</f>
        <v>-126.40000000000009</v>
      </c>
      <c r="AB2" s="343" t="s">
        <v>493</v>
      </c>
      <c r="AC2" s="343">
        <f>AC3-AC87</f>
        <v>39.360000000000014</v>
      </c>
    </row>
    <row r="3" spans="1:29" ht="14.25" customHeight="1" x14ac:dyDescent="0.3">
      <c r="A3" s="341">
        <f t="shared" si="0"/>
        <v>9131.9600000000009</v>
      </c>
      <c r="B3" s="347"/>
      <c r="C3" s="340"/>
      <c r="D3" s="342" t="s">
        <v>494</v>
      </c>
      <c r="E3" s="343">
        <f>SUM(E6:E87)-SUM(D6:D87)</f>
        <v>13869.73</v>
      </c>
      <c r="F3" s="345" t="s">
        <v>494</v>
      </c>
      <c r="G3" s="345">
        <f>SUM(G6:G87)-SUM(F6:F87)</f>
        <v>1254.28</v>
      </c>
      <c r="H3" s="343" t="s">
        <v>494</v>
      </c>
      <c r="I3" s="343">
        <f>SUM(I6:I87)-SUM(H6:H87)</f>
        <v>2404.7599999999998</v>
      </c>
      <c r="J3" s="345" t="s">
        <v>494</v>
      </c>
      <c r="K3" s="345">
        <f>SUM(K6:K87)-SUM(J6:J87)</f>
        <v>441</v>
      </c>
      <c r="L3" s="343" t="s">
        <v>494</v>
      </c>
      <c r="M3" s="343">
        <f>SUM(M6:M87)-SUM(L6:L87)</f>
        <v>63.039999999999992</v>
      </c>
      <c r="N3" s="345" t="s">
        <v>494</v>
      </c>
      <c r="O3" s="345">
        <f>SUM(O6:O87)-SUM(N6:N87)</f>
        <v>63.039999999999992</v>
      </c>
      <c r="P3" s="343" t="s">
        <v>494</v>
      </c>
      <c r="Q3" s="343">
        <f>SUM(Q6:Q87)-SUM(P6:P87)</f>
        <v>139.36000000000001</v>
      </c>
      <c r="R3" s="345" t="s">
        <v>494</v>
      </c>
      <c r="S3" s="345">
        <f>SUM(S6:S87)-SUM(R6:R87)</f>
        <v>175.2199999999998</v>
      </c>
      <c r="T3" s="343" t="s">
        <v>494</v>
      </c>
      <c r="U3" s="343">
        <f>SUM(U6:U87)-SUM(T6:T87)</f>
        <v>-11915.929999999998</v>
      </c>
      <c r="V3" s="345" t="s">
        <v>494</v>
      </c>
      <c r="W3" s="345">
        <f>SUM(W6:W87)-SUM(V6:V87)</f>
        <v>1000</v>
      </c>
      <c r="X3" s="343" t="s">
        <v>494</v>
      </c>
      <c r="Y3" s="343">
        <f>SUM(Y6:Y87)-SUM(X6:X87)</f>
        <v>124.5</v>
      </c>
      <c r="Z3" s="345" t="s">
        <v>494</v>
      </c>
      <c r="AA3" s="345">
        <f>SUM(AA6:AA87)-SUM(Z6:Z87)</f>
        <v>1373.6</v>
      </c>
      <c r="AB3" s="343" t="s">
        <v>494</v>
      </c>
      <c r="AC3" s="343">
        <f>SUM(AC6:AC87)-SUM(AB6:AB87)</f>
        <v>139.36000000000001</v>
      </c>
    </row>
    <row r="4" spans="1:29" ht="14.25" customHeight="1" x14ac:dyDescent="0.3">
      <c r="A4" s="338" t="s">
        <v>495</v>
      </c>
      <c r="B4" s="347"/>
      <c r="C4" s="340"/>
      <c r="D4" s="563" t="s">
        <v>496</v>
      </c>
      <c r="E4" s="547"/>
      <c r="F4" s="564" t="s">
        <v>496</v>
      </c>
      <c r="G4" s="547"/>
      <c r="H4" s="563" t="s">
        <v>496</v>
      </c>
      <c r="I4" s="547"/>
      <c r="J4" s="564" t="s">
        <v>496</v>
      </c>
      <c r="K4" s="547"/>
      <c r="L4" s="563" t="s">
        <v>496</v>
      </c>
      <c r="M4" s="547"/>
      <c r="N4" s="564" t="s">
        <v>496</v>
      </c>
      <c r="O4" s="547"/>
      <c r="P4" s="563" t="s">
        <v>496</v>
      </c>
      <c r="Q4" s="547"/>
      <c r="R4" s="564" t="s">
        <v>497</v>
      </c>
      <c r="S4" s="547"/>
      <c r="T4" s="563" t="s">
        <v>498</v>
      </c>
      <c r="U4" s="547"/>
      <c r="V4" s="564" t="s">
        <v>496</v>
      </c>
      <c r="W4" s="547"/>
      <c r="X4" s="563" t="s">
        <v>496</v>
      </c>
      <c r="Y4" s="547"/>
      <c r="Z4" s="564" t="s">
        <v>496</v>
      </c>
      <c r="AA4" s="547"/>
      <c r="AB4" s="563" t="s">
        <v>496</v>
      </c>
      <c r="AC4" s="547"/>
    </row>
    <row r="5" spans="1:29" ht="14.25" customHeight="1" x14ac:dyDescent="0.3">
      <c r="A5" s="338" t="s">
        <v>499</v>
      </c>
      <c r="B5" s="347"/>
      <c r="C5" s="340"/>
      <c r="D5" s="342">
        <f t="shared" ref="D5:AC5" si="1">SUM(D6:D86)</f>
        <v>7732.5699999999988</v>
      </c>
      <c r="E5" s="343">
        <f t="shared" si="1"/>
        <v>19891.809999999998</v>
      </c>
      <c r="F5" s="345">
        <f t="shared" si="1"/>
        <v>0</v>
      </c>
      <c r="G5" s="345">
        <f t="shared" si="1"/>
        <v>754.28</v>
      </c>
      <c r="H5" s="343">
        <f t="shared" si="1"/>
        <v>1345.2400000000002</v>
      </c>
      <c r="I5" s="343">
        <f t="shared" si="1"/>
        <v>1750</v>
      </c>
      <c r="J5" s="345">
        <f t="shared" si="1"/>
        <v>2159</v>
      </c>
      <c r="K5" s="345">
        <f t="shared" si="1"/>
        <v>1600</v>
      </c>
      <c r="L5" s="343">
        <f t="shared" si="1"/>
        <v>126.96000000000001</v>
      </c>
      <c r="M5" s="343">
        <f t="shared" si="1"/>
        <v>125</v>
      </c>
      <c r="N5" s="345">
        <f t="shared" si="1"/>
        <v>126.96000000000001</v>
      </c>
      <c r="O5" s="345">
        <f t="shared" si="1"/>
        <v>125</v>
      </c>
      <c r="P5" s="343">
        <f t="shared" si="1"/>
        <v>185.64</v>
      </c>
      <c r="Q5" s="343">
        <f t="shared" si="1"/>
        <v>225</v>
      </c>
      <c r="R5" s="345">
        <f t="shared" si="1"/>
        <v>3824.78</v>
      </c>
      <c r="S5" s="345">
        <f t="shared" si="1"/>
        <v>2000</v>
      </c>
      <c r="T5" s="343">
        <f t="shared" si="1"/>
        <v>16290.929999999998</v>
      </c>
      <c r="U5" s="343">
        <f t="shared" si="1"/>
        <v>1875</v>
      </c>
      <c r="V5" s="345">
        <f t="shared" si="1"/>
        <v>0</v>
      </c>
      <c r="W5" s="345">
        <f t="shared" si="1"/>
        <v>500</v>
      </c>
      <c r="X5" s="343">
        <f t="shared" si="1"/>
        <v>500.5</v>
      </c>
      <c r="Y5" s="343">
        <f t="shared" si="1"/>
        <v>425</v>
      </c>
      <c r="Z5" s="345">
        <f t="shared" si="1"/>
        <v>1276.4000000000001</v>
      </c>
      <c r="AA5" s="345">
        <f t="shared" si="1"/>
        <v>1150</v>
      </c>
      <c r="AB5" s="343">
        <f t="shared" si="1"/>
        <v>185.64</v>
      </c>
      <c r="AC5" s="343">
        <f t="shared" si="1"/>
        <v>225</v>
      </c>
    </row>
    <row r="6" spans="1:29" ht="14.25" customHeight="1" x14ac:dyDescent="0.3">
      <c r="A6" s="338" t="s">
        <v>500</v>
      </c>
      <c r="B6" s="347" t="s">
        <v>501</v>
      </c>
      <c r="C6" s="284" t="s">
        <v>502</v>
      </c>
      <c r="D6" s="342" t="s">
        <v>281</v>
      </c>
      <c r="E6" s="343" t="s">
        <v>282</v>
      </c>
      <c r="F6" s="345" t="s">
        <v>281</v>
      </c>
      <c r="G6" s="345" t="s">
        <v>282</v>
      </c>
      <c r="H6" s="343" t="s">
        <v>281</v>
      </c>
      <c r="I6" s="343" t="s">
        <v>282</v>
      </c>
      <c r="J6" s="345" t="s">
        <v>281</v>
      </c>
      <c r="K6" s="345" t="s">
        <v>282</v>
      </c>
      <c r="L6" s="343" t="s">
        <v>281</v>
      </c>
      <c r="M6" s="343" t="s">
        <v>282</v>
      </c>
      <c r="N6" s="345" t="s">
        <v>281</v>
      </c>
      <c r="O6" s="345" t="s">
        <v>282</v>
      </c>
      <c r="P6" s="343" t="s">
        <v>281</v>
      </c>
      <c r="Q6" s="343" t="s">
        <v>282</v>
      </c>
      <c r="R6" s="345" t="s">
        <v>281</v>
      </c>
      <c r="S6" s="345" t="s">
        <v>282</v>
      </c>
      <c r="T6" s="343" t="s">
        <v>281</v>
      </c>
      <c r="U6" s="343" t="s">
        <v>282</v>
      </c>
      <c r="V6" s="345" t="s">
        <v>281</v>
      </c>
      <c r="W6" s="345" t="s">
        <v>282</v>
      </c>
      <c r="X6" s="343" t="s">
        <v>281</v>
      </c>
      <c r="Y6" s="343" t="s">
        <v>282</v>
      </c>
      <c r="Z6" s="345" t="s">
        <v>281</v>
      </c>
      <c r="AA6" s="345" t="s">
        <v>282</v>
      </c>
      <c r="AB6" s="343" t="s">
        <v>281</v>
      </c>
      <c r="AC6" s="343" t="s">
        <v>282</v>
      </c>
    </row>
    <row r="7" spans="1:29" ht="14.25" customHeight="1" x14ac:dyDescent="0.3">
      <c r="A7" s="338">
        <v>46186</v>
      </c>
      <c r="B7" s="347">
        <f t="shared" ref="B7:B15" si="2">SUM(E7,U7,K7,G7,I7,S7,O7,M7,Q7,W7,Y7,AA7,AC7)-SUM(D7,F7,T7,H7,R7,N7,J7,L7,P7,V7,X7,Z7,AB7)</f>
        <v>57.38</v>
      </c>
      <c r="C7" s="348" t="s">
        <v>509</v>
      </c>
      <c r="D7" s="342"/>
      <c r="E7" s="343"/>
      <c r="F7" s="345"/>
      <c r="G7" s="345">
        <v>57.38</v>
      </c>
      <c r="H7" s="343"/>
      <c r="I7" s="343"/>
      <c r="J7" s="345"/>
      <c r="K7" s="345"/>
      <c r="L7" s="343"/>
      <c r="M7" s="343"/>
      <c r="N7" s="345"/>
      <c r="O7" s="345"/>
      <c r="P7" s="343"/>
      <c r="Q7" s="343"/>
      <c r="R7" s="345"/>
      <c r="S7" s="345"/>
      <c r="T7" s="343"/>
      <c r="U7" s="343"/>
      <c r="V7" s="345"/>
      <c r="W7" s="345"/>
      <c r="X7" s="343"/>
      <c r="Y7" s="343"/>
      <c r="Z7" s="345"/>
      <c r="AA7" s="345"/>
      <c r="AB7" s="343"/>
      <c r="AC7" s="343"/>
    </row>
    <row r="8" spans="1:29" ht="14.25" customHeight="1" x14ac:dyDescent="0.3">
      <c r="A8" s="338">
        <v>46184</v>
      </c>
      <c r="B8" s="347">
        <f t="shared" si="2"/>
        <v>-2159</v>
      </c>
      <c r="C8" s="348" t="s">
        <v>911</v>
      </c>
      <c r="D8" s="342"/>
      <c r="E8" s="343"/>
      <c r="F8" s="345"/>
      <c r="G8" s="345"/>
      <c r="H8" s="343"/>
      <c r="I8" s="343"/>
      <c r="J8" s="345">
        <v>2159</v>
      </c>
      <c r="K8" s="345"/>
      <c r="L8" s="343"/>
      <c r="M8" s="343"/>
      <c r="N8" s="345"/>
      <c r="O8" s="345"/>
      <c r="P8" s="343"/>
      <c r="Q8" s="343"/>
      <c r="R8" s="345"/>
      <c r="S8" s="345"/>
      <c r="T8" s="343"/>
      <c r="U8" s="343"/>
      <c r="V8" s="345"/>
      <c r="W8" s="345"/>
      <c r="X8" s="343"/>
      <c r="Y8" s="343"/>
      <c r="Z8" s="345"/>
      <c r="AA8" s="345"/>
      <c r="AB8" s="343"/>
      <c r="AC8" s="343"/>
    </row>
    <row r="9" spans="1:29" ht="14.25" customHeight="1" x14ac:dyDescent="0.3">
      <c r="A9" s="338">
        <v>46183</v>
      </c>
      <c r="B9" s="347">
        <f t="shared" si="2"/>
        <v>-816.19</v>
      </c>
      <c r="C9" s="348" t="s">
        <v>912</v>
      </c>
      <c r="D9" s="342"/>
      <c r="E9" s="343"/>
      <c r="F9" s="345"/>
      <c r="G9" s="345"/>
      <c r="H9" s="343">
        <v>816.19</v>
      </c>
      <c r="I9" s="343"/>
      <c r="J9" s="345"/>
      <c r="K9" s="345"/>
      <c r="L9" s="343"/>
      <c r="M9" s="343"/>
      <c r="N9" s="345"/>
      <c r="O9" s="345"/>
      <c r="P9" s="343"/>
      <c r="Q9" s="343"/>
      <c r="R9" s="345"/>
      <c r="S9" s="345"/>
      <c r="T9" s="343"/>
      <c r="U9" s="343"/>
      <c r="V9" s="345"/>
      <c r="W9" s="345"/>
      <c r="X9" s="343"/>
      <c r="Y9" s="343"/>
      <c r="Z9" s="345"/>
      <c r="AA9" s="345"/>
      <c r="AB9" s="343"/>
      <c r="AC9" s="343"/>
    </row>
    <row r="10" spans="1:29" ht="14.25" customHeight="1" x14ac:dyDescent="0.3">
      <c r="A10" s="338">
        <v>46180</v>
      </c>
      <c r="B10" s="347">
        <f t="shared" si="2"/>
        <v>-313.77999999999997</v>
      </c>
      <c r="C10" s="348" t="s">
        <v>890</v>
      </c>
      <c r="D10" s="342"/>
      <c r="E10" s="343"/>
      <c r="F10" s="345"/>
      <c r="G10" s="345"/>
      <c r="H10" s="343"/>
      <c r="I10" s="343"/>
      <c r="J10" s="345"/>
      <c r="K10" s="345"/>
      <c r="L10" s="343"/>
      <c r="M10" s="343"/>
      <c r="N10" s="345"/>
      <c r="O10" s="345"/>
      <c r="P10" s="343"/>
      <c r="Q10" s="343"/>
      <c r="R10" s="345"/>
      <c r="S10" s="345"/>
      <c r="T10" s="343">
        <v>313.77999999999997</v>
      </c>
      <c r="U10" s="343"/>
      <c r="V10" s="345"/>
      <c r="W10" s="345"/>
      <c r="X10" s="343"/>
      <c r="Y10" s="343"/>
      <c r="Z10" s="345"/>
      <c r="AA10" s="345"/>
      <c r="AB10" s="343"/>
      <c r="AC10" s="343"/>
    </row>
    <row r="11" spans="1:29" ht="14.25" customHeight="1" x14ac:dyDescent="0.3">
      <c r="A11" s="338">
        <v>46176</v>
      </c>
      <c r="B11" s="347">
        <f t="shared" si="2"/>
        <v>-1000</v>
      </c>
      <c r="C11" s="348" t="s">
        <v>901</v>
      </c>
      <c r="D11" s="342"/>
      <c r="E11" s="343"/>
      <c r="F11" s="345"/>
      <c r="G11" s="345"/>
      <c r="H11" s="343"/>
      <c r="I11" s="343"/>
      <c r="J11" s="345"/>
      <c r="K11" s="345"/>
      <c r="L11" s="343"/>
      <c r="M11" s="343"/>
      <c r="N11" s="345"/>
      <c r="O11" s="345"/>
      <c r="P11" s="343"/>
      <c r="Q11" s="343"/>
      <c r="R11" s="345"/>
      <c r="S11" s="345"/>
      <c r="T11" s="343">
        <v>1000</v>
      </c>
      <c r="U11" s="343"/>
      <c r="V11" s="345"/>
      <c r="W11" s="345"/>
      <c r="X11" s="343"/>
      <c r="Y11" s="343"/>
      <c r="Z11" s="345"/>
      <c r="AA11" s="345"/>
      <c r="AB11" s="343"/>
      <c r="AC11" s="343"/>
    </row>
    <row r="12" spans="1:29" ht="14.25" customHeight="1" x14ac:dyDescent="0.3">
      <c r="A12" s="338">
        <v>46174</v>
      </c>
      <c r="B12" s="347">
        <f t="shared" si="2"/>
        <v>-320</v>
      </c>
      <c r="C12" s="348" t="s">
        <v>913</v>
      </c>
      <c r="D12" s="342">
        <v>320</v>
      </c>
      <c r="E12" s="343"/>
      <c r="F12" s="345"/>
      <c r="G12" s="345"/>
      <c r="H12" s="343"/>
      <c r="I12" s="343"/>
      <c r="J12" s="345"/>
      <c r="K12" s="345"/>
      <c r="L12" s="343"/>
      <c r="M12" s="343"/>
      <c r="N12" s="345"/>
      <c r="O12" s="345"/>
      <c r="P12" s="343"/>
      <c r="Q12" s="343"/>
      <c r="R12" s="345"/>
      <c r="S12" s="345"/>
      <c r="T12" s="343"/>
      <c r="U12" s="343"/>
      <c r="V12" s="345"/>
      <c r="W12" s="345"/>
      <c r="X12" s="343"/>
      <c r="Y12" s="343"/>
      <c r="Z12" s="345"/>
      <c r="AA12" s="345"/>
      <c r="AB12" s="343"/>
      <c r="AC12" s="343"/>
    </row>
    <row r="13" spans="1:29" ht="14.25" customHeight="1" x14ac:dyDescent="0.3">
      <c r="A13" s="338">
        <v>46173</v>
      </c>
      <c r="B13" s="347">
        <f t="shared" si="2"/>
        <v>-3000</v>
      </c>
      <c r="C13" s="348" t="s">
        <v>897</v>
      </c>
      <c r="D13" s="342">
        <v>3000</v>
      </c>
      <c r="E13" s="343"/>
      <c r="F13" s="345"/>
      <c r="G13" s="345"/>
      <c r="H13" s="343"/>
      <c r="I13" s="343"/>
      <c r="J13" s="345"/>
      <c r="K13" s="345"/>
      <c r="L13" s="343"/>
      <c r="M13" s="343"/>
      <c r="N13" s="345"/>
      <c r="O13" s="345"/>
      <c r="P13" s="343"/>
      <c r="Q13" s="343"/>
      <c r="R13" s="345"/>
      <c r="S13" s="345"/>
      <c r="T13" s="343"/>
      <c r="U13" s="343"/>
      <c r="V13" s="345"/>
      <c r="W13" s="345"/>
      <c r="X13" s="343"/>
      <c r="Y13" s="343"/>
      <c r="Z13" s="345"/>
      <c r="AA13" s="345"/>
      <c r="AB13" s="343"/>
      <c r="AC13" s="343"/>
    </row>
    <row r="14" spans="1:29" ht="14.25" customHeight="1" x14ac:dyDescent="0.3">
      <c r="A14" s="338">
        <v>46173</v>
      </c>
      <c r="B14" s="347">
        <f t="shared" si="2"/>
        <v>-1000</v>
      </c>
      <c r="C14" s="348" t="s">
        <v>896</v>
      </c>
      <c r="D14" s="342">
        <v>1000</v>
      </c>
      <c r="E14" s="343"/>
      <c r="F14" s="345"/>
      <c r="G14" s="345"/>
      <c r="H14" s="343"/>
      <c r="I14" s="343"/>
      <c r="J14" s="345"/>
      <c r="K14" s="345"/>
      <c r="L14" s="343"/>
      <c r="M14" s="343"/>
      <c r="N14" s="345"/>
      <c r="O14" s="345"/>
      <c r="P14" s="343"/>
      <c r="Q14" s="343"/>
      <c r="R14" s="345"/>
      <c r="S14" s="345"/>
      <c r="T14" s="343"/>
      <c r="U14" s="343"/>
      <c r="V14" s="345"/>
      <c r="W14" s="345"/>
      <c r="X14" s="343"/>
      <c r="Y14" s="343"/>
      <c r="Z14" s="345"/>
      <c r="AA14" s="345"/>
      <c r="AB14" s="343"/>
      <c r="AC14" s="343"/>
    </row>
    <row r="15" spans="1:29" ht="14.25" customHeight="1" x14ac:dyDescent="0.3">
      <c r="A15" s="338">
        <v>46173</v>
      </c>
      <c r="B15" s="347">
        <f t="shared" si="2"/>
        <v>1160.3599999999999</v>
      </c>
      <c r="C15" s="348" t="s">
        <v>895</v>
      </c>
      <c r="D15" s="342"/>
      <c r="E15" s="343">
        <v>1160.3599999999999</v>
      </c>
      <c r="F15" s="345"/>
      <c r="G15" s="345"/>
      <c r="H15" s="343"/>
      <c r="I15" s="343"/>
      <c r="J15" s="345"/>
      <c r="K15" s="345"/>
      <c r="L15" s="343"/>
      <c r="M15" s="343"/>
      <c r="N15" s="345"/>
      <c r="O15" s="345"/>
      <c r="P15" s="343"/>
      <c r="Q15" s="343"/>
      <c r="R15" s="345"/>
      <c r="S15" s="345"/>
      <c r="T15" s="343"/>
      <c r="U15" s="343"/>
      <c r="V15" s="345"/>
      <c r="W15" s="345"/>
      <c r="X15" s="343"/>
      <c r="Y15" s="343"/>
      <c r="Z15" s="345"/>
      <c r="AA15" s="345"/>
      <c r="AB15" s="343"/>
      <c r="AC15" s="343"/>
    </row>
    <row r="16" spans="1:29" ht="14.25" customHeight="1" x14ac:dyDescent="0.3">
      <c r="A16" s="338">
        <v>46173</v>
      </c>
      <c r="B16" s="347">
        <f t="shared" ref="B16:B87" si="3">SUM(E16,U16,K16,G16,I16,S16,O16,M16,Q16,W16,Y16,AA16,AC16)-SUM(D16,F16,T16,H16,R16,N16,J16,L16,P16,V16,X16,Z16,AB16)</f>
        <v>2000</v>
      </c>
      <c r="C16" s="348" t="s">
        <v>886</v>
      </c>
      <c r="D16" s="342"/>
      <c r="E16" s="343"/>
      <c r="F16" s="345"/>
      <c r="G16" s="345"/>
      <c r="H16" s="343"/>
      <c r="I16" s="343">
        <v>350</v>
      </c>
      <c r="J16" s="345"/>
      <c r="K16" s="345">
        <v>320</v>
      </c>
      <c r="L16" s="343"/>
      <c r="M16" s="343">
        <v>25</v>
      </c>
      <c r="N16" s="345"/>
      <c r="O16" s="345">
        <v>25</v>
      </c>
      <c r="P16" s="343"/>
      <c r="Q16" s="343">
        <v>45</v>
      </c>
      <c r="R16" s="345"/>
      <c r="S16" s="345">
        <v>400</v>
      </c>
      <c r="T16" s="343"/>
      <c r="U16" s="343">
        <v>375</v>
      </c>
      <c r="V16" s="345"/>
      <c r="W16" s="345">
        <v>100</v>
      </c>
      <c r="X16" s="343"/>
      <c r="Y16" s="343">
        <v>85</v>
      </c>
      <c r="Z16" s="345"/>
      <c r="AA16" s="345">
        <v>230</v>
      </c>
      <c r="AB16" s="343"/>
      <c r="AC16" s="343">
        <v>45</v>
      </c>
    </row>
    <row r="17" spans="1:29" ht="14.25" customHeight="1" x14ac:dyDescent="0.3">
      <c r="A17" s="338">
        <v>46173</v>
      </c>
      <c r="B17" s="347">
        <f t="shared" si="3"/>
        <v>0.63</v>
      </c>
      <c r="C17" s="348" t="s">
        <v>505</v>
      </c>
      <c r="D17" s="342"/>
      <c r="E17" s="343"/>
      <c r="F17" s="345"/>
      <c r="G17" s="345">
        <v>0.63</v>
      </c>
      <c r="H17" s="343"/>
      <c r="I17" s="343"/>
      <c r="J17" s="345"/>
      <c r="K17" s="345"/>
      <c r="L17" s="343"/>
      <c r="M17" s="343"/>
      <c r="N17" s="345"/>
      <c r="O17" s="345"/>
      <c r="P17" s="343"/>
      <c r="Q17" s="343"/>
      <c r="R17" s="345"/>
      <c r="S17" s="345"/>
      <c r="T17" s="343"/>
      <c r="U17" s="343"/>
      <c r="V17" s="345"/>
      <c r="W17" s="345"/>
      <c r="X17" s="343"/>
      <c r="Y17" s="343"/>
      <c r="Z17" s="345"/>
      <c r="AA17" s="345"/>
      <c r="AB17" s="343"/>
      <c r="AC17" s="343"/>
    </row>
    <row r="18" spans="1:29" ht="14.25" customHeight="1" x14ac:dyDescent="0.3">
      <c r="A18" s="338">
        <v>46172</v>
      </c>
      <c r="B18" s="347">
        <f t="shared" si="3"/>
        <v>-530.36</v>
      </c>
      <c r="C18" s="348" t="s">
        <v>890</v>
      </c>
      <c r="D18" s="342"/>
      <c r="E18" s="343"/>
      <c r="F18" s="345"/>
      <c r="G18" s="345"/>
      <c r="H18" s="343"/>
      <c r="I18" s="343"/>
      <c r="J18" s="345"/>
      <c r="K18" s="345"/>
      <c r="L18" s="343"/>
      <c r="M18" s="343"/>
      <c r="N18" s="345"/>
      <c r="O18" s="345"/>
      <c r="P18" s="343"/>
      <c r="Q18" s="343"/>
      <c r="R18" s="345"/>
      <c r="S18" s="345"/>
      <c r="T18" s="343">
        <v>530.36</v>
      </c>
      <c r="U18" s="343"/>
      <c r="V18" s="345"/>
      <c r="W18" s="345"/>
      <c r="X18" s="343"/>
      <c r="Y18" s="343"/>
      <c r="Z18" s="345"/>
      <c r="AA18" s="345"/>
      <c r="AB18" s="343"/>
      <c r="AC18" s="343"/>
    </row>
    <row r="19" spans="1:29" ht="14.25" customHeight="1" x14ac:dyDescent="0.3">
      <c r="A19" s="338">
        <v>46168</v>
      </c>
      <c r="B19" s="347">
        <f t="shared" si="3"/>
        <v>-400</v>
      </c>
      <c r="C19" s="348" t="s">
        <v>887</v>
      </c>
      <c r="D19" s="342">
        <v>400</v>
      </c>
      <c r="E19" s="343"/>
      <c r="F19" s="345"/>
      <c r="G19" s="345"/>
      <c r="H19" s="343"/>
      <c r="I19" s="343"/>
      <c r="J19" s="345"/>
      <c r="K19" s="345"/>
      <c r="L19" s="343"/>
      <c r="M19" s="343"/>
      <c r="N19" s="345"/>
      <c r="O19" s="345"/>
      <c r="P19" s="343"/>
      <c r="Q19" s="343"/>
      <c r="R19" s="345"/>
      <c r="S19" s="345"/>
      <c r="T19" s="343"/>
      <c r="U19" s="343"/>
      <c r="V19" s="345"/>
      <c r="W19" s="345"/>
      <c r="X19" s="343"/>
      <c r="Y19" s="343"/>
      <c r="Z19" s="345"/>
      <c r="AA19" s="345"/>
      <c r="AB19" s="343"/>
      <c r="AC19" s="343"/>
    </row>
    <row r="20" spans="1:29" ht="14.25" customHeight="1" x14ac:dyDescent="0.3">
      <c r="A20" s="338">
        <v>46170</v>
      </c>
      <c r="B20" s="347">
        <f t="shared" si="3"/>
        <v>87.5</v>
      </c>
      <c r="C20" s="348" t="s">
        <v>509</v>
      </c>
      <c r="D20" s="342"/>
      <c r="E20" s="343"/>
      <c r="F20" s="345"/>
      <c r="G20" s="345">
        <v>87.5</v>
      </c>
      <c r="H20" s="343"/>
      <c r="I20" s="343"/>
      <c r="J20" s="345"/>
      <c r="K20" s="345"/>
      <c r="L20" s="343"/>
      <c r="M20" s="343"/>
      <c r="N20" s="345"/>
      <c r="O20" s="345"/>
      <c r="P20" s="343"/>
      <c r="Q20" s="343"/>
      <c r="R20" s="345"/>
      <c r="S20" s="345"/>
      <c r="T20" s="343"/>
      <c r="U20" s="343"/>
      <c r="V20" s="345"/>
      <c r="W20" s="345"/>
      <c r="X20" s="343"/>
      <c r="Y20" s="343"/>
      <c r="Z20" s="345"/>
      <c r="AA20" s="345"/>
      <c r="AB20" s="343"/>
      <c r="AC20" s="343"/>
    </row>
    <row r="21" spans="1:29" ht="14.25" customHeight="1" x14ac:dyDescent="0.3">
      <c r="A21" s="338">
        <v>46170</v>
      </c>
      <c r="B21" s="347">
        <f t="shared" si="3"/>
        <v>56.18</v>
      </c>
      <c r="C21" s="348" t="s">
        <v>504</v>
      </c>
      <c r="D21" s="342"/>
      <c r="E21" s="343"/>
      <c r="F21" s="345"/>
      <c r="G21" s="345">
        <v>56.18</v>
      </c>
      <c r="H21" s="343"/>
      <c r="I21" s="343"/>
      <c r="J21" s="345"/>
      <c r="K21" s="345"/>
      <c r="L21" s="343"/>
      <c r="M21" s="343"/>
      <c r="N21" s="345"/>
      <c r="O21" s="345"/>
      <c r="P21" s="343"/>
      <c r="Q21" s="343"/>
      <c r="R21" s="345"/>
      <c r="S21" s="345"/>
      <c r="T21" s="343"/>
      <c r="U21" s="343"/>
      <c r="V21" s="345"/>
      <c r="W21" s="345"/>
      <c r="X21" s="343"/>
      <c r="Y21" s="343"/>
      <c r="Z21" s="345"/>
      <c r="AA21" s="345"/>
      <c r="AB21" s="343"/>
      <c r="AC21" s="343"/>
    </row>
    <row r="22" spans="1:29" ht="14.25" customHeight="1" x14ac:dyDescent="0.3">
      <c r="A22" s="338">
        <v>46170</v>
      </c>
      <c r="B22" s="347">
        <f t="shared" si="3"/>
        <v>-4500</v>
      </c>
      <c r="C22" s="348" t="s">
        <v>512</v>
      </c>
      <c r="D22" s="342"/>
      <c r="E22" s="343"/>
      <c r="F22" s="345"/>
      <c r="G22" s="345"/>
      <c r="H22" s="343"/>
      <c r="I22" s="343"/>
      <c r="J22" s="345"/>
      <c r="K22" s="345"/>
      <c r="L22" s="343"/>
      <c r="M22" s="343"/>
      <c r="N22" s="345"/>
      <c r="O22" s="345"/>
      <c r="P22" s="343"/>
      <c r="Q22" s="343"/>
      <c r="R22" s="345"/>
      <c r="S22" s="345"/>
      <c r="T22" s="343">
        <v>4500</v>
      </c>
      <c r="U22" s="343"/>
      <c r="V22" s="345"/>
      <c r="W22" s="345"/>
      <c r="X22" s="343"/>
      <c r="Y22" s="343"/>
      <c r="Z22" s="345"/>
      <c r="AA22" s="345"/>
      <c r="AB22" s="343"/>
      <c r="AC22" s="343"/>
    </row>
    <row r="23" spans="1:29" ht="14.25" customHeight="1" x14ac:dyDescent="0.3">
      <c r="A23" s="338">
        <v>46166</v>
      </c>
      <c r="B23" s="347">
        <f t="shared" si="3"/>
        <v>-69.2</v>
      </c>
      <c r="C23" s="348" t="s">
        <v>858</v>
      </c>
      <c r="D23" s="342">
        <v>69.2</v>
      </c>
      <c r="E23" s="343"/>
      <c r="F23" s="345"/>
      <c r="G23" s="345"/>
      <c r="H23" s="343"/>
      <c r="I23" s="343"/>
      <c r="J23" s="345"/>
      <c r="K23" s="345"/>
      <c r="L23" s="343"/>
      <c r="M23" s="343"/>
      <c r="N23" s="345"/>
      <c r="O23" s="345"/>
      <c r="P23" s="343"/>
      <c r="Q23" s="343"/>
      <c r="R23" s="345"/>
      <c r="S23" s="345"/>
      <c r="T23" s="343"/>
      <c r="U23" s="343"/>
      <c r="V23" s="345"/>
      <c r="W23" s="345"/>
      <c r="X23" s="343"/>
      <c r="Y23" s="343"/>
      <c r="Z23" s="345"/>
      <c r="AA23" s="345"/>
      <c r="AB23" s="343"/>
      <c r="AC23" s="343"/>
    </row>
    <row r="24" spans="1:29" ht="14.25" customHeight="1" x14ac:dyDescent="0.3">
      <c r="A24" s="338">
        <v>46165</v>
      </c>
      <c r="B24" s="347">
        <f t="shared" si="3"/>
        <v>-138.44</v>
      </c>
      <c r="C24" s="348" t="s">
        <v>876</v>
      </c>
      <c r="D24" s="342">
        <v>138.44</v>
      </c>
      <c r="E24" s="343"/>
      <c r="F24" s="345"/>
      <c r="G24" s="345"/>
      <c r="H24" s="343"/>
      <c r="I24" s="343"/>
      <c r="J24" s="345"/>
      <c r="K24" s="345"/>
      <c r="L24" s="343"/>
      <c r="M24" s="343"/>
      <c r="N24" s="345"/>
      <c r="O24" s="345"/>
      <c r="P24" s="343"/>
      <c r="Q24" s="343"/>
      <c r="R24" s="345"/>
      <c r="S24" s="345"/>
      <c r="T24" s="343"/>
      <c r="U24" s="343"/>
      <c r="V24" s="345"/>
      <c r="W24" s="345"/>
      <c r="X24" s="343"/>
      <c r="Y24" s="343"/>
      <c r="Z24" s="345"/>
      <c r="AA24" s="345"/>
      <c r="AB24" s="343"/>
      <c r="AC24" s="343"/>
    </row>
    <row r="25" spans="1:29" ht="14.25" customHeight="1" x14ac:dyDescent="0.3">
      <c r="A25" s="338">
        <v>46158</v>
      </c>
      <c r="B25" s="347">
        <f t="shared" si="3"/>
        <v>-87.13</v>
      </c>
      <c r="C25" s="348" t="s">
        <v>847</v>
      </c>
      <c r="D25" s="342"/>
      <c r="E25" s="343"/>
      <c r="F25" s="345"/>
      <c r="G25" s="345"/>
      <c r="H25" s="343"/>
      <c r="I25" s="343"/>
      <c r="J25" s="345"/>
      <c r="K25" s="345"/>
      <c r="L25" s="343"/>
      <c r="M25" s="343"/>
      <c r="N25" s="345"/>
      <c r="O25" s="345"/>
      <c r="P25" s="343"/>
      <c r="Q25" s="343"/>
      <c r="R25" s="345"/>
      <c r="S25" s="345"/>
      <c r="T25" s="343">
        <v>87.13</v>
      </c>
      <c r="U25" s="343"/>
      <c r="V25" s="345"/>
      <c r="W25" s="345"/>
      <c r="X25" s="343"/>
      <c r="Y25" s="343"/>
      <c r="Z25" s="345"/>
      <c r="AA25" s="345"/>
      <c r="AB25" s="343"/>
      <c r="AC25" s="343"/>
    </row>
    <row r="26" spans="1:29" ht="14.25" customHeight="1" x14ac:dyDescent="0.3">
      <c r="A26" s="338">
        <v>46158</v>
      </c>
      <c r="B26" s="347">
        <f t="shared" si="3"/>
        <v>-95.85</v>
      </c>
      <c r="C26" s="348" t="s">
        <v>849</v>
      </c>
      <c r="D26" s="342"/>
      <c r="E26" s="343"/>
      <c r="F26" s="345"/>
      <c r="G26" s="345"/>
      <c r="H26" s="343"/>
      <c r="I26" s="343"/>
      <c r="J26" s="345"/>
      <c r="K26" s="345"/>
      <c r="L26" s="343"/>
      <c r="M26" s="343"/>
      <c r="N26" s="345"/>
      <c r="O26" s="345"/>
      <c r="P26" s="343"/>
      <c r="Q26" s="343"/>
      <c r="R26" s="345"/>
      <c r="S26" s="345"/>
      <c r="T26" s="343">
        <v>95.85</v>
      </c>
      <c r="U26" s="343"/>
      <c r="V26" s="345"/>
      <c r="W26" s="345"/>
      <c r="X26" s="343"/>
      <c r="Y26" s="343"/>
      <c r="Z26" s="345"/>
      <c r="AA26" s="345"/>
      <c r="AB26" s="343"/>
      <c r="AC26" s="343"/>
    </row>
    <row r="27" spans="1:29" ht="14.25" customHeight="1" x14ac:dyDescent="0.3">
      <c r="A27" s="338">
        <v>46157</v>
      </c>
      <c r="B27" s="347">
        <f t="shared" si="3"/>
        <v>-146.15</v>
      </c>
      <c r="C27" s="348" t="s">
        <v>506</v>
      </c>
      <c r="D27" s="342"/>
      <c r="E27" s="343"/>
      <c r="F27" s="345"/>
      <c r="G27" s="345"/>
      <c r="H27" s="343"/>
      <c r="I27" s="343"/>
      <c r="J27" s="345"/>
      <c r="K27" s="345"/>
      <c r="L27" s="343"/>
      <c r="M27" s="343"/>
      <c r="N27" s="345"/>
      <c r="O27" s="345"/>
      <c r="P27" s="343"/>
      <c r="Q27" s="343"/>
      <c r="R27" s="345"/>
      <c r="S27" s="345"/>
      <c r="T27" s="343">
        <v>146.15</v>
      </c>
      <c r="U27" s="343"/>
      <c r="V27" s="345"/>
      <c r="W27" s="345"/>
      <c r="X27" s="343"/>
      <c r="Y27" s="343"/>
      <c r="Z27" s="345"/>
      <c r="AA27" s="345"/>
      <c r="AB27" s="343"/>
      <c r="AC27" s="343"/>
    </row>
    <row r="28" spans="1:29" ht="14.25" customHeight="1" x14ac:dyDescent="0.3">
      <c r="A28" s="338">
        <v>46155</v>
      </c>
      <c r="B28" s="347">
        <f t="shared" si="3"/>
        <v>-221.4</v>
      </c>
      <c r="C28" s="348" t="s">
        <v>856</v>
      </c>
      <c r="D28" s="342"/>
      <c r="E28" s="343"/>
      <c r="F28" s="345"/>
      <c r="G28" s="345"/>
      <c r="H28" s="343">
        <v>221.4</v>
      </c>
      <c r="I28" s="343"/>
      <c r="J28" s="345"/>
      <c r="K28" s="345"/>
      <c r="L28" s="343"/>
      <c r="M28" s="343"/>
      <c r="N28" s="345"/>
      <c r="O28" s="345"/>
      <c r="P28" s="343"/>
      <c r="Q28" s="343"/>
      <c r="R28" s="345"/>
      <c r="S28" s="345"/>
      <c r="T28" s="343"/>
      <c r="U28" s="343"/>
      <c r="V28" s="345"/>
      <c r="W28" s="345"/>
      <c r="X28" s="343"/>
      <c r="Y28" s="343"/>
      <c r="Z28" s="345"/>
      <c r="AA28" s="345"/>
      <c r="AB28" s="343"/>
      <c r="AC28" s="343"/>
    </row>
    <row r="29" spans="1:29" ht="14.25" customHeight="1" x14ac:dyDescent="0.3">
      <c r="A29" s="338">
        <v>46155</v>
      </c>
      <c r="B29" s="347">
        <f t="shared" si="3"/>
        <v>444.44</v>
      </c>
      <c r="C29" s="348" t="s">
        <v>519</v>
      </c>
      <c r="D29" s="342"/>
      <c r="E29" s="343">
        <v>444.44</v>
      </c>
      <c r="F29" s="345"/>
      <c r="G29" s="345"/>
      <c r="H29" s="343"/>
      <c r="I29" s="343"/>
      <c r="J29" s="345"/>
      <c r="K29" s="345"/>
      <c r="L29" s="343"/>
      <c r="M29" s="343"/>
      <c r="N29" s="345"/>
      <c r="O29" s="345"/>
      <c r="P29" s="343"/>
      <c r="Q29" s="343"/>
      <c r="R29" s="345"/>
      <c r="S29" s="345"/>
      <c r="T29" s="343"/>
      <c r="U29" s="343"/>
      <c r="V29" s="345"/>
      <c r="W29" s="345"/>
      <c r="X29" s="343"/>
      <c r="Y29" s="343"/>
      <c r="Z29" s="345"/>
      <c r="AA29" s="345"/>
      <c r="AB29" s="343"/>
      <c r="AC29" s="343"/>
    </row>
    <row r="30" spans="1:29" ht="14.25" customHeight="1" x14ac:dyDescent="0.3">
      <c r="A30" s="338">
        <v>46155</v>
      </c>
      <c r="B30" s="347">
        <f t="shared" si="3"/>
        <v>351.69</v>
      </c>
      <c r="C30" s="348" t="s">
        <v>859</v>
      </c>
      <c r="D30" s="342"/>
      <c r="E30" s="343">
        <v>351.69</v>
      </c>
      <c r="F30" s="345"/>
      <c r="G30" s="345"/>
      <c r="H30" s="343"/>
      <c r="I30" s="343"/>
      <c r="J30" s="345"/>
      <c r="K30" s="345"/>
      <c r="L30" s="343"/>
      <c r="M30" s="343"/>
      <c r="N30" s="345"/>
      <c r="O30" s="345"/>
      <c r="P30" s="343"/>
      <c r="Q30" s="343"/>
      <c r="R30" s="345"/>
      <c r="S30" s="345"/>
      <c r="T30" s="343"/>
      <c r="U30" s="343"/>
      <c r="V30" s="345"/>
      <c r="W30" s="345"/>
      <c r="X30" s="343"/>
      <c r="Y30" s="343"/>
      <c r="Z30" s="345"/>
      <c r="AA30" s="345"/>
      <c r="AB30" s="343"/>
      <c r="AC30" s="343"/>
    </row>
    <row r="31" spans="1:29" ht="14.25" customHeight="1" x14ac:dyDescent="0.3">
      <c r="A31" s="338">
        <v>46153</v>
      </c>
      <c r="B31" s="347">
        <f t="shared" si="3"/>
        <v>-1045.8699999999999</v>
      </c>
      <c r="C31" s="348" t="s">
        <v>843</v>
      </c>
      <c r="D31" s="342"/>
      <c r="E31" s="343"/>
      <c r="F31" s="345"/>
      <c r="G31" s="345"/>
      <c r="H31" s="343"/>
      <c r="I31" s="343"/>
      <c r="J31" s="345"/>
      <c r="K31" s="345"/>
      <c r="L31" s="343"/>
      <c r="M31" s="343"/>
      <c r="N31" s="345"/>
      <c r="O31" s="345"/>
      <c r="P31" s="343"/>
      <c r="Q31" s="343"/>
      <c r="R31" s="345"/>
      <c r="S31" s="345"/>
      <c r="T31" s="343">
        <v>1045.8699999999999</v>
      </c>
      <c r="U31" s="343"/>
      <c r="V31" s="345"/>
      <c r="W31" s="345"/>
      <c r="X31" s="343"/>
      <c r="Y31" s="343"/>
      <c r="Z31" s="345"/>
      <c r="AA31" s="345"/>
      <c r="AB31" s="343"/>
      <c r="AC31" s="343"/>
    </row>
    <row r="32" spans="1:29" ht="14.25" customHeight="1" x14ac:dyDescent="0.3">
      <c r="A32" s="338">
        <v>46151</v>
      </c>
      <c r="B32" s="347">
        <f t="shared" si="3"/>
        <v>-903.88</v>
      </c>
      <c r="C32" s="348" t="s">
        <v>857</v>
      </c>
      <c r="D32" s="342"/>
      <c r="E32" s="343"/>
      <c r="F32" s="345"/>
      <c r="G32" s="345"/>
      <c r="H32" s="343"/>
      <c r="I32" s="343"/>
      <c r="J32" s="345"/>
      <c r="K32" s="345"/>
      <c r="L32" s="343"/>
      <c r="M32" s="343"/>
      <c r="N32" s="345"/>
      <c r="O32" s="345"/>
      <c r="P32" s="343"/>
      <c r="Q32" s="343"/>
      <c r="R32" s="345"/>
      <c r="S32" s="345"/>
      <c r="T32" s="343">
        <v>903.88</v>
      </c>
      <c r="U32" s="343"/>
      <c r="V32" s="345"/>
      <c r="W32" s="345"/>
      <c r="X32" s="343"/>
      <c r="Y32" s="343"/>
      <c r="Z32" s="345"/>
      <c r="AA32" s="345"/>
      <c r="AB32" s="343"/>
      <c r="AC32" s="343"/>
    </row>
    <row r="33" spans="1:29" ht="14.25" customHeight="1" x14ac:dyDescent="0.3">
      <c r="A33" s="338">
        <v>46149</v>
      </c>
      <c r="B33" s="347">
        <f t="shared" si="3"/>
        <v>69.400000000000006</v>
      </c>
      <c r="C33" s="348" t="s">
        <v>509</v>
      </c>
      <c r="D33" s="342"/>
      <c r="E33" s="343"/>
      <c r="F33" s="345"/>
      <c r="G33" s="345">
        <v>69.400000000000006</v>
      </c>
      <c r="H33" s="343"/>
      <c r="I33" s="343"/>
      <c r="J33" s="345"/>
      <c r="K33" s="345"/>
      <c r="L33" s="343"/>
      <c r="M33" s="343"/>
      <c r="N33" s="345"/>
      <c r="O33" s="345"/>
      <c r="P33" s="343"/>
      <c r="Q33" s="343"/>
      <c r="R33" s="345"/>
      <c r="S33" s="345"/>
      <c r="T33" s="343"/>
      <c r="U33" s="343"/>
      <c r="V33" s="345"/>
      <c r="W33" s="345"/>
      <c r="X33" s="343"/>
      <c r="Y33" s="343"/>
      <c r="Z33" s="345"/>
      <c r="AA33" s="345"/>
      <c r="AB33" s="343"/>
      <c r="AC33" s="343"/>
    </row>
    <row r="34" spans="1:29" ht="14.25" customHeight="1" x14ac:dyDescent="0.3">
      <c r="A34" s="338">
        <v>46148</v>
      </c>
      <c r="B34" s="347">
        <f t="shared" si="3"/>
        <v>-500.5</v>
      </c>
      <c r="C34" s="348" t="s">
        <v>212</v>
      </c>
      <c r="D34" s="342"/>
      <c r="E34" s="343"/>
      <c r="F34" s="345"/>
      <c r="G34" s="345"/>
      <c r="H34" s="343"/>
      <c r="I34" s="343"/>
      <c r="J34" s="345"/>
      <c r="K34" s="345"/>
      <c r="L34" s="343"/>
      <c r="M34" s="343"/>
      <c r="N34" s="345"/>
      <c r="O34" s="345"/>
      <c r="P34" s="343"/>
      <c r="Q34" s="343"/>
      <c r="R34" s="345"/>
      <c r="S34" s="345"/>
      <c r="T34" s="343"/>
      <c r="U34" s="343"/>
      <c r="V34" s="345"/>
      <c r="W34" s="345"/>
      <c r="X34" s="343">
        <v>500.5</v>
      </c>
      <c r="Y34" s="343"/>
      <c r="Z34" s="345"/>
      <c r="AA34" s="345"/>
      <c r="AB34" s="343"/>
      <c r="AC34" s="343"/>
    </row>
    <row r="35" spans="1:29" ht="14.25" customHeight="1" x14ac:dyDescent="0.3">
      <c r="A35" s="338">
        <v>46148</v>
      </c>
      <c r="B35" s="347">
        <f t="shared" si="3"/>
        <v>-457.94</v>
      </c>
      <c r="C35" s="348" t="s">
        <v>858</v>
      </c>
      <c r="D35" s="342">
        <v>457.94</v>
      </c>
      <c r="E35" s="343"/>
      <c r="F35" s="345"/>
      <c r="G35" s="345"/>
      <c r="H35" s="343"/>
      <c r="I35" s="343"/>
      <c r="J35" s="345"/>
      <c r="K35" s="345"/>
      <c r="L35" s="343"/>
      <c r="M35" s="343"/>
      <c r="N35" s="345"/>
      <c r="O35" s="345"/>
      <c r="P35" s="343"/>
      <c r="Q35" s="343"/>
      <c r="R35" s="345"/>
      <c r="S35" s="345"/>
      <c r="T35" s="343"/>
      <c r="U35" s="343"/>
      <c r="V35" s="345"/>
      <c r="W35" s="345"/>
      <c r="X35" s="343"/>
      <c r="Y35" s="343"/>
      <c r="Z35" s="345"/>
      <c r="AA35" s="345"/>
      <c r="AB35" s="343"/>
      <c r="AC35" s="343"/>
    </row>
    <row r="36" spans="1:29" ht="14.25" customHeight="1" x14ac:dyDescent="0.3">
      <c r="A36" s="338">
        <v>46142</v>
      </c>
      <c r="B36" s="347">
        <f t="shared" si="3"/>
        <v>5616.82</v>
      </c>
      <c r="C36" s="348" t="s">
        <v>285</v>
      </c>
      <c r="D36" s="342"/>
      <c r="E36" s="343">
        <v>5616.82</v>
      </c>
      <c r="F36" s="345"/>
      <c r="G36" s="345"/>
      <c r="H36" s="343"/>
      <c r="I36" s="343"/>
      <c r="J36" s="345"/>
      <c r="K36" s="345"/>
      <c r="L36" s="343"/>
      <c r="M36" s="343"/>
      <c r="N36" s="345"/>
      <c r="O36" s="345"/>
      <c r="P36" s="343"/>
      <c r="Q36" s="343"/>
      <c r="R36" s="345"/>
      <c r="S36" s="345"/>
      <c r="T36" s="343"/>
      <c r="U36" s="343"/>
      <c r="V36" s="345"/>
      <c r="W36" s="345"/>
      <c r="X36" s="343"/>
      <c r="Y36" s="343"/>
      <c r="Z36" s="345"/>
      <c r="AA36" s="345"/>
      <c r="AB36" s="343"/>
      <c r="AC36" s="343"/>
    </row>
    <row r="37" spans="1:29" ht="14.25" customHeight="1" x14ac:dyDescent="0.3">
      <c r="A37" s="338">
        <v>46142</v>
      </c>
      <c r="B37" s="347">
        <f t="shared" si="3"/>
        <v>2000</v>
      </c>
      <c r="C37" s="348" t="s">
        <v>503</v>
      </c>
      <c r="D37" s="342"/>
      <c r="E37" s="343"/>
      <c r="F37" s="345"/>
      <c r="G37" s="345"/>
      <c r="H37" s="343"/>
      <c r="I37" s="343">
        <v>350</v>
      </c>
      <c r="J37" s="345"/>
      <c r="K37" s="345">
        <v>320</v>
      </c>
      <c r="L37" s="343"/>
      <c r="M37" s="343">
        <v>25</v>
      </c>
      <c r="N37" s="345"/>
      <c r="O37" s="345">
        <v>25</v>
      </c>
      <c r="P37" s="343"/>
      <c r="Q37" s="343">
        <v>45</v>
      </c>
      <c r="R37" s="345"/>
      <c r="S37" s="345">
        <v>400</v>
      </c>
      <c r="T37" s="343"/>
      <c r="U37" s="343">
        <v>375</v>
      </c>
      <c r="V37" s="345"/>
      <c r="W37" s="345">
        <v>100</v>
      </c>
      <c r="X37" s="343"/>
      <c r="Y37" s="343">
        <v>85</v>
      </c>
      <c r="Z37" s="345"/>
      <c r="AA37" s="345">
        <v>230</v>
      </c>
      <c r="AB37" s="343"/>
      <c r="AC37" s="343">
        <v>45</v>
      </c>
    </row>
    <row r="38" spans="1:29" ht="14.25" customHeight="1" x14ac:dyDescent="0.3">
      <c r="A38" s="338">
        <v>46142</v>
      </c>
      <c r="B38" s="347">
        <f t="shared" si="3"/>
        <v>62.26</v>
      </c>
      <c r="C38" s="348" t="s">
        <v>504</v>
      </c>
      <c r="D38" s="342"/>
      <c r="E38" s="343"/>
      <c r="F38" s="345"/>
      <c r="G38" s="345">
        <v>62.26</v>
      </c>
      <c r="H38" s="343"/>
      <c r="I38" s="343"/>
      <c r="J38" s="345"/>
      <c r="K38" s="345"/>
      <c r="L38" s="343"/>
      <c r="M38" s="343"/>
      <c r="N38" s="345"/>
      <c r="O38" s="345"/>
      <c r="P38" s="343"/>
      <c r="Q38" s="343"/>
      <c r="R38" s="345"/>
      <c r="S38" s="345"/>
      <c r="T38" s="343"/>
      <c r="U38" s="343"/>
      <c r="V38" s="345"/>
      <c r="W38" s="345"/>
      <c r="X38" s="343"/>
      <c r="Y38" s="343"/>
      <c r="Z38" s="345"/>
      <c r="AA38" s="345"/>
      <c r="AB38" s="343"/>
      <c r="AC38" s="343"/>
    </row>
    <row r="39" spans="1:29" ht="14.25" customHeight="1" x14ac:dyDescent="0.3">
      <c r="A39" s="338">
        <v>46142</v>
      </c>
      <c r="B39" s="347">
        <f t="shared" si="3"/>
        <v>-185.64</v>
      </c>
      <c r="C39" s="348" t="s">
        <v>423</v>
      </c>
      <c r="D39" s="342"/>
      <c r="E39" s="343"/>
      <c r="F39" s="345"/>
      <c r="G39" s="345"/>
      <c r="H39" s="343"/>
      <c r="I39" s="343"/>
      <c r="J39" s="345"/>
      <c r="K39" s="345"/>
      <c r="L39" s="343"/>
      <c r="M39" s="343"/>
      <c r="N39" s="345"/>
      <c r="O39" s="345"/>
      <c r="P39" s="343">
        <v>92.82</v>
      </c>
      <c r="Q39" s="343"/>
      <c r="R39" s="345"/>
      <c r="S39" s="345"/>
      <c r="T39" s="343"/>
      <c r="U39" s="343"/>
      <c r="V39" s="345"/>
      <c r="W39" s="345"/>
      <c r="X39" s="343"/>
      <c r="Y39" s="343"/>
      <c r="Z39" s="345"/>
      <c r="AA39" s="345"/>
      <c r="AB39" s="343">
        <v>92.82</v>
      </c>
      <c r="AC39" s="343"/>
    </row>
    <row r="40" spans="1:29" ht="14.25" customHeight="1" x14ac:dyDescent="0.3">
      <c r="A40" s="338">
        <v>46142</v>
      </c>
      <c r="B40" s="347">
        <f t="shared" si="3"/>
        <v>-127.68</v>
      </c>
      <c r="C40" s="348" t="s">
        <v>315</v>
      </c>
      <c r="D40" s="342"/>
      <c r="E40" s="343"/>
      <c r="F40" s="345"/>
      <c r="G40" s="345"/>
      <c r="H40" s="343"/>
      <c r="I40" s="343"/>
      <c r="J40" s="345"/>
      <c r="K40" s="345"/>
      <c r="L40" s="343">
        <v>63.84</v>
      </c>
      <c r="M40" s="343"/>
      <c r="N40" s="345">
        <v>63.84</v>
      </c>
      <c r="O40" s="345"/>
      <c r="P40" s="343"/>
      <c r="Q40" s="343"/>
      <c r="R40" s="345"/>
      <c r="S40" s="345"/>
      <c r="T40" s="343"/>
      <c r="U40" s="343"/>
      <c r="V40" s="345"/>
      <c r="W40" s="345"/>
      <c r="X40" s="343"/>
      <c r="Y40" s="343"/>
      <c r="Z40" s="345"/>
      <c r="AA40" s="345"/>
      <c r="AB40" s="343"/>
      <c r="AC40" s="343"/>
    </row>
    <row r="41" spans="1:29" ht="14.25" customHeight="1" x14ac:dyDescent="0.3">
      <c r="A41" s="338">
        <v>46142</v>
      </c>
      <c r="B41" s="347">
        <f t="shared" si="3"/>
        <v>0.52</v>
      </c>
      <c r="C41" s="348" t="s">
        <v>505</v>
      </c>
      <c r="D41" s="342"/>
      <c r="E41" s="343"/>
      <c r="F41" s="345"/>
      <c r="G41" s="345">
        <v>0.52</v>
      </c>
      <c r="H41" s="343"/>
      <c r="I41" s="343"/>
      <c r="J41" s="345"/>
      <c r="K41" s="345"/>
      <c r="L41" s="343"/>
      <c r="M41" s="343"/>
      <c r="N41" s="345"/>
      <c r="O41" s="345"/>
      <c r="P41" s="343"/>
      <c r="Q41" s="343"/>
      <c r="R41" s="345"/>
      <c r="S41" s="345"/>
      <c r="T41" s="343"/>
      <c r="U41" s="343"/>
      <c r="V41" s="345"/>
      <c r="W41" s="345"/>
      <c r="X41" s="343"/>
      <c r="Y41" s="343"/>
      <c r="Z41" s="345"/>
      <c r="AA41" s="345"/>
      <c r="AB41" s="343"/>
      <c r="AC41" s="343"/>
    </row>
    <row r="42" spans="1:29" ht="14.25" customHeight="1" x14ac:dyDescent="0.3">
      <c r="A42" s="338">
        <v>46130</v>
      </c>
      <c r="B42" s="347">
        <f t="shared" si="3"/>
        <v>-578.57000000000005</v>
      </c>
      <c r="C42" s="348" t="s">
        <v>506</v>
      </c>
      <c r="D42" s="342"/>
      <c r="E42" s="343"/>
      <c r="F42" s="345"/>
      <c r="G42" s="345"/>
      <c r="H42" s="343"/>
      <c r="I42" s="343"/>
      <c r="J42" s="345"/>
      <c r="K42" s="345"/>
      <c r="L42" s="343"/>
      <c r="M42" s="343"/>
      <c r="N42" s="345"/>
      <c r="O42" s="345"/>
      <c r="P42" s="343"/>
      <c r="Q42" s="343"/>
      <c r="R42" s="345"/>
      <c r="S42" s="345"/>
      <c r="T42" s="343">
        <v>578.57000000000005</v>
      </c>
      <c r="U42" s="343"/>
      <c r="V42" s="345"/>
      <c r="W42" s="345"/>
      <c r="X42" s="343"/>
      <c r="Y42" s="343"/>
      <c r="Z42" s="345"/>
      <c r="AA42" s="345"/>
      <c r="AB42" s="343"/>
      <c r="AC42" s="343"/>
    </row>
    <row r="43" spans="1:29" ht="14.25" customHeight="1" x14ac:dyDescent="0.3">
      <c r="A43" s="338">
        <v>46130</v>
      </c>
      <c r="B43" s="347">
        <f t="shared" si="3"/>
        <v>-93.71</v>
      </c>
      <c r="C43" s="348" t="s">
        <v>507</v>
      </c>
      <c r="D43" s="342"/>
      <c r="E43" s="343"/>
      <c r="F43" s="345"/>
      <c r="G43" s="345"/>
      <c r="H43" s="343">
        <v>93.71</v>
      </c>
      <c r="I43" s="343"/>
      <c r="J43" s="345"/>
      <c r="K43" s="345"/>
      <c r="L43" s="343"/>
      <c r="M43" s="343"/>
      <c r="N43" s="345"/>
      <c r="O43" s="345"/>
      <c r="P43" s="343"/>
      <c r="Q43" s="343"/>
      <c r="R43" s="345"/>
      <c r="S43" s="345"/>
      <c r="T43" s="343"/>
      <c r="U43" s="343"/>
      <c r="V43" s="345"/>
      <c r="W43" s="345"/>
      <c r="X43" s="343"/>
      <c r="Y43" s="343"/>
      <c r="Z43" s="345"/>
      <c r="AA43" s="345"/>
      <c r="AB43" s="343"/>
      <c r="AC43" s="343"/>
    </row>
    <row r="44" spans="1:29" ht="14.25" customHeight="1" x14ac:dyDescent="0.3">
      <c r="A44" s="338">
        <v>46130</v>
      </c>
      <c r="B44" s="347">
        <f t="shared" si="3"/>
        <v>-318.36</v>
      </c>
      <c r="C44" s="348" t="s">
        <v>508</v>
      </c>
      <c r="D44" s="342"/>
      <c r="E44" s="343"/>
      <c r="F44" s="345"/>
      <c r="G44" s="345"/>
      <c r="H44" s="343"/>
      <c r="I44" s="343"/>
      <c r="J44" s="345"/>
      <c r="K44" s="345"/>
      <c r="L44" s="343"/>
      <c r="M44" s="343"/>
      <c r="N44" s="345"/>
      <c r="O44" s="345"/>
      <c r="P44" s="343"/>
      <c r="Q44" s="343"/>
      <c r="R44" s="345">
        <v>318.36</v>
      </c>
      <c r="S44" s="345"/>
      <c r="T44" s="343"/>
      <c r="U44" s="343"/>
      <c r="V44" s="345"/>
      <c r="W44" s="345"/>
      <c r="X44" s="343"/>
      <c r="Y44" s="343"/>
      <c r="Z44" s="345"/>
      <c r="AA44" s="345"/>
      <c r="AB44" s="343"/>
      <c r="AC44" s="343"/>
    </row>
    <row r="45" spans="1:29" ht="14.25" customHeight="1" x14ac:dyDescent="0.3">
      <c r="A45" s="338">
        <v>46129</v>
      </c>
      <c r="B45" s="347">
        <f t="shared" si="3"/>
        <v>62.19</v>
      </c>
      <c r="C45" s="348" t="s">
        <v>509</v>
      </c>
      <c r="D45" s="342"/>
      <c r="E45" s="343"/>
      <c r="F45" s="345"/>
      <c r="G45" s="345">
        <v>62.19</v>
      </c>
      <c r="H45" s="343"/>
      <c r="I45" s="343"/>
      <c r="J45" s="345"/>
      <c r="K45" s="345"/>
      <c r="L45" s="343"/>
      <c r="M45" s="343"/>
      <c r="N45" s="345"/>
      <c r="O45" s="345"/>
      <c r="P45" s="343"/>
      <c r="Q45" s="343"/>
      <c r="R45" s="345"/>
      <c r="S45" s="345"/>
      <c r="T45" s="343"/>
      <c r="U45" s="343"/>
      <c r="V45" s="345"/>
      <c r="W45" s="345"/>
      <c r="X45" s="343"/>
      <c r="Y45" s="343"/>
      <c r="Z45" s="345"/>
      <c r="AA45" s="345"/>
      <c r="AB45" s="343"/>
      <c r="AC45" s="343"/>
    </row>
    <row r="46" spans="1:29" ht="14.25" customHeight="1" x14ac:dyDescent="0.3">
      <c r="A46" s="338">
        <v>46112</v>
      </c>
      <c r="B46" s="347">
        <f t="shared" si="3"/>
        <v>4309.58</v>
      </c>
      <c r="C46" s="348" t="s">
        <v>510</v>
      </c>
      <c r="D46" s="342"/>
      <c r="E46" s="343">
        <v>4309.58</v>
      </c>
      <c r="F46" s="345"/>
      <c r="G46" s="345"/>
      <c r="H46" s="343"/>
      <c r="I46" s="343"/>
      <c r="J46" s="345"/>
      <c r="K46" s="345"/>
      <c r="L46" s="343"/>
      <c r="M46" s="343"/>
      <c r="N46" s="345"/>
      <c r="O46" s="345"/>
      <c r="P46" s="343"/>
      <c r="Q46" s="343"/>
      <c r="R46" s="345"/>
      <c r="S46" s="345"/>
      <c r="T46" s="343"/>
      <c r="U46" s="343"/>
      <c r="V46" s="345"/>
      <c r="W46" s="345"/>
      <c r="X46" s="343"/>
      <c r="Y46" s="343"/>
      <c r="Z46" s="345"/>
      <c r="AA46" s="345"/>
      <c r="AB46" s="343"/>
      <c r="AC46" s="343"/>
    </row>
    <row r="47" spans="1:29" ht="14.25" customHeight="1" x14ac:dyDescent="0.3">
      <c r="A47" s="338">
        <v>46112</v>
      </c>
      <c r="B47" s="347">
        <f t="shared" si="3"/>
        <v>2000</v>
      </c>
      <c r="C47" s="348" t="s">
        <v>511</v>
      </c>
      <c r="D47" s="342"/>
      <c r="E47" s="343"/>
      <c r="F47" s="345"/>
      <c r="G47" s="345"/>
      <c r="H47" s="343"/>
      <c r="I47" s="343">
        <v>350</v>
      </c>
      <c r="J47" s="345"/>
      <c r="K47" s="345">
        <v>320</v>
      </c>
      <c r="L47" s="343"/>
      <c r="M47" s="343">
        <v>25</v>
      </c>
      <c r="N47" s="345"/>
      <c r="O47" s="345">
        <v>25</v>
      </c>
      <c r="P47" s="343"/>
      <c r="Q47" s="343">
        <v>45</v>
      </c>
      <c r="R47" s="345"/>
      <c r="S47" s="345">
        <v>400</v>
      </c>
      <c r="T47" s="343"/>
      <c r="U47" s="343">
        <v>375</v>
      </c>
      <c r="V47" s="345"/>
      <c r="W47" s="345">
        <v>100</v>
      </c>
      <c r="X47" s="343"/>
      <c r="Y47" s="343">
        <v>85</v>
      </c>
      <c r="Z47" s="345"/>
      <c r="AA47" s="345">
        <v>230</v>
      </c>
      <c r="AB47" s="343"/>
      <c r="AC47" s="343">
        <v>45</v>
      </c>
    </row>
    <row r="48" spans="1:29" ht="14.25" customHeight="1" x14ac:dyDescent="0.3">
      <c r="A48" s="338">
        <v>46112</v>
      </c>
      <c r="B48" s="347">
        <f t="shared" si="3"/>
        <v>0.34</v>
      </c>
      <c r="C48" s="348" t="s">
        <v>505</v>
      </c>
      <c r="D48" s="342"/>
      <c r="E48" s="343"/>
      <c r="F48" s="345"/>
      <c r="G48" s="345">
        <v>0.34</v>
      </c>
      <c r="H48" s="343"/>
      <c r="I48" s="343"/>
      <c r="J48" s="345"/>
      <c r="K48" s="345"/>
      <c r="L48" s="343"/>
      <c r="M48" s="343"/>
      <c r="N48" s="345"/>
      <c r="O48" s="345"/>
      <c r="P48" s="343"/>
      <c r="Q48" s="343"/>
      <c r="R48" s="345"/>
      <c r="S48" s="345"/>
      <c r="T48" s="343"/>
      <c r="U48" s="343"/>
      <c r="V48" s="345"/>
      <c r="W48" s="345"/>
      <c r="X48" s="343"/>
      <c r="Y48" s="343"/>
      <c r="Z48" s="345"/>
      <c r="AA48" s="345"/>
      <c r="AB48" s="343"/>
      <c r="AC48" s="343"/>
    </row>
    <row r="49" spans="1:29" ht="14.25" customHeight="1" x14ac:dyDescent="0.3">
      <c r="A49" s="338">
        <v>46112</v>
      </c>
      <c r="B49" s="347">
        <f t="shared" si="3"/>
        <v>-1200</v>
      </c>
      <c r="C49" s="348" t="s">
        <v>512</v>
      </c>
      <c r="D49" s="342"/>
      <c r="E49" s="343"/>
      <c r="F49" s="345"/>
      <c r="G49" s="345"/>
      <c r="H49" s="343"/>
      <c r="I49" s="343"/>
      <c r="J49" s="345"/>
      <c r="K49" s="345"/>
      <c r="L49" s="343"/>
      <c r="M49" s="343"/>
      <c r="N49" s="345"/>
      <c r="O49" s="345"/>
      <c r="P49" s="343"/>
      <c r="Q49" s="343"/>
      <c r="R49" s="345"/>
      <c r="S49" s="345"/>
      <c r="T49" s="343">
        <v>1200</v>
      </c>
      <c r="U49" s="343"/>
      <c r="V49" s="345"/>
      <c r="W49" s="345"/>
      <c r="X49" s="343"/>
      <c r="Y49" s="343"/>
      <c r="Z49" s="345"/>
      <c r="AA49" s="345"/>
      <c r="AB49" s="343"/>
      <c r="AC49" s="343"/>
    </row>
    <row r="50" spans="1:29" ht="14.25" customHeight="1" x14ac:dyDescent="0.3">
      <c r="A50" s="338">
        <v>46108</v>
      </c>
      <c r="B50" s="347">
        <f t="shared" si="3"/>
        <v>68.72</v>
      </c>
      <c r="C50" s="348" t="s">
        <v>504</v>
      </c>
      <c r="D50" s="342"/>
      <c r="E50" s="343"/>
      <c r="F50" s="345"/>
      <c r="G50" s="345">
        <v>68.72</v>
      </c>
      <c r="H50" s="343"/>
      <c r="I50" s="343"/>
      <c r="J50" s="345"/>
      <c r="K50" s="345"/>
      <c r="L50" s="343"/>
      <c r="M50" s="343"/>
      <c r="N50" s="345"/>
      <c r="O50" s="345"/>
      <c r="P50" s="343"/>
      <c r="Q50" s="343"/>
      <c r="R50" s="345"/>
      <c r="S50" s="345"/>
      <c r="T50" s="343"/>
      <c r="U50" s="343"/>
      <c r="V50" s="345"/>
      <c r="W50" s="345"/>
      <c r="X50" s="343"/>
      <c r="Y50" s="343"/>
      <c r="Z50" s="345"/>
      <c r="AA50" s="345"/>
      <c r="AB50" s="343"/>
      <c r="AC50" s="343"/>
    </row>
    <row r="51" spans="1:29" ht="14.25" customHeight="1" x14ac:dyDescent="0.3">
      <c r="A51" s="338">
        <v>46104</v>
      </c>
      <c r="B51" s="347">
        <f t="shared" si="3"/>
        <v>-6</v>
      </c>
      <c r="C51" s="348" t="s">
        <v>513</v>
      </c>
      <c r="D51" s="342">
        <v>6</v>
      </c>
      <c r="E51" s="343"/>
      <c r="F51" s="345"/>
      <c r="G51" s="345"/>
      <c r="H51" s="343"/>
      <c r="I51" s="343"/>
      <c r="J51" s="345"/>
      <c r="K51" s="345"/>
      <c r="L51" s="343"/>
      <c r="M51" s="343"/>
      <c r="N51" s="345"/>
      <c r="O51" s="345"/>
      <c r="P51" s="343"/>
      <c r="Q51" s="343"/>
      <c r="R51" s="345"/>
      <c r="S51" s="345"/>
      <c r="T51" s="343"/>
      <c r="U51" s="343"/>
      <c r="V51" s="345"/>
      <c r="W51" s="345"/>
      <c r="X51" s="343"/>
      <c r="Y51" s="343"/>
      <c r="Z51" s="345"/>
      <c r="AA51" s="345"/>
      <c r="AB51" s="343"/>
      <c r="AC51" s="343"/>
    </row>
    <row r="52" spans="1:29" ht="14.25" customHeight="1" x14ac:dyDescent="0.3">
      <c r="A52" s="338">
        <v>46103</v>
      </c>
      <c r="B52" s="347">
        <f t="shared" si="3"/>
        <v>-100</v>
      </c>
      <c r="C52" s="348" t="s">
        <v>514</v>
      </c>
      <c r="D52" s="342">
        <v>100</v>
      </c>
      <c r="E52" s="343"/>
      <c r="F52" s="345"/>
      <c r="G52" s="345"/>
      <c r="H52" s="343"/>
      <c r="I52" s="343"/>
      <c r="J52" s="345"/>
      <c r="K52" s="345"/>
      <c r="L52" s="343"/>
      <c r="M52" s="343"/>
      <c r="N52" s="345"/>
      <c r="O52" s="345"/>
      <c r="P52" s="343"/>
      <c r="Q52" s="343"/>
      <c r="R52" s="345"/>
      <c r="S52" s="345"/>
      <c r="T52" s="343"/>
      <c r="U52" s="343"/>
      <c r="V52" s="345"/>
      <c r="W52" s="345"/>
      <c r="X52" s="343"/>
      <c r="Y52" s="343"/>
      <c r="Z52" s="345"/>
      <c r="AA52" s="345"/>
      <c r="AB52" s="343"/>
      <c r="AC52" s="343"/>
    </row>
    <row r="53" spans="1:29" ht="14.25" customHeight="1" x14ac:dyDescent="0.3">
      <c r="A53" s="338">
        <v>46103</v>
      </c>
      <c r="B53" s="347">
        <f t="shared" si="3"/>
        <v>-100</v>
      </c>
      <c r="C53" s="348" t="s">
        <v>515</v>
      </c>
      <c r="D53" s="342">
        <v>100</v>
      </c>
      <c r="E53" s="343"/>
      <c r="F53" s="345"/>
      <c r="G53" s="345"/>
      <c r="H53" s="343"/>
      <c r="I53" s="343"/>
      <c r="J53" s="345"/>
      <c r="K53" s="345"/>
      <c r="L53" s="343"/>
      <c r="M53" s="343"/>
      <c r="N53" s="345"/>
      <c r="O53" s="345"/>
      <c r="P53" s="343"/>
      <c r="Q53" s="343"/>
      <c r="R53" s="345"/>
      <c r="S53" s="345"/>
      <c r="T53" s="343"/>
      <c r="U53" s="343"/>
      <c r="V53" s="345"/>
      <c r="W53" s="345"/>
      <c r="X53" s="343"/>
      <c r="Y53" s="343"/>
      <c r="Z53" s="345"/>
      <c r="AA53" s="345"/>
      <c r="AB53" s="343"/>
      <c r="AC53" s="343"/>
    </row>
    <row r="54" spans="1:29" ht="14.25" customHeight="1" x14ac:dyDescent="0.3">
      <c r="A54" s="338">
        <v>46103</v>
      </c>
      <c r="B54" s="347">
        <f t="shared" si="3"/>
        <v>-50</v>
      </c>
      <c r="C54" s="348" t="s">
        <v>516</v>
      </c>
      <c r="D54" s="342">
        <v>50</v>
      </c>
      <c r="E54" s="343"/>
      <c r="F54" s="345"/>
      <c r="G54" s="345"/>
      <c r="H54" s="343"/>
      <c r="I54" s="343"/>
      <c r="J54" s="345"/>
      <c r="K54" s="345"/>
      <c r="L54" s="343"/>
      <c r="M54" s="343"/>
      <c r="N54" s="345"/>
      <c r="O54" s="345"/>
      <c r="P54" s="343"/>
      <c r="Q54" s="343"/>
      <c r="R54" s="345"/>
      <c r="S54" s="345"/>
      <c r="T54" s="343"/>
      <c r="U54" s="343"/>
      <c r="V54" s="345"/>
      <c r="W54" s="345"/>
      <c r="X54" s="343"/>
      <c r="Y54" s="343"/>
      <c r="Z54" s="345"/>
      <c r="AA54" s="345"/>
      <c r="AB54" s="343"/>
      <c r="AC54" s="343"/>
    </row>
    <row r="55" spans="1:29" ht="14.25" customHeight="1" x14ac:dyDescent="0.3">
      <c r="A55" s="338">
        <v>46103</v>
      </c>
      <c r="B55" s="347">
        <f t="shared" si="3"/>
        <v>-100</v>
      </c>
      <c r="C55" s="348" t="s">
        <v>517</v>
      </c>
      <c r="D55" s="342">
        <v>100</v>
      </c>
      <c r="E55" s="343"/>
      <c r="F55" s="345"/>
      <c r="G55" s="345"/>
      <c r="H55" s="343"/>
      <c r="I55" s="343"/>
      <c r="J55" s="345"/>
      <c r="K55" s="345"/>
      <c r="L55" s="343"/>
      <c r="M55" s="343"/>
      <c r="N55" s="345"/>
      <c r="O55" s="345"/>
      <c r="P55" s="343"/>
      <c r="Q55" s="343"/>
      <c r="R55" s="345"/>
      <c r="S55" s="345"/>
      <c r="T55" s="343"/>
      <c r="U55" s="343"/>
      <c r="V55" s="345"/>
      <c r="W55" s="345"/>
      <c r="X55" s="343"/>
      <c r="Y55" s="343"/>
      <c r="Z55" s="345"/>
      <c r="AA55" s="345"/>
      <c r="AB55" s="343"/>
      <c r="AC55" s="343"/>
    </row>
    <row r="56" spans="1:29" ht="14.25" customHeight="1" x14ac:dyDescent="0.3">
      <c r="A56" s="338">
        <v>46103</v>
      </c>
      <c r="B56" s="347">
        <f t="shared" si="3"/>
        <v>-100</v>
      </c>
      <c r="C56" s="348" t="s">
        <v>518</v>
      </c>
      <c r="D56" s="342">
        <v>100</v>
      </c>
      <c r="E56" s="343"/>
      <c r="F56" s="345"/>
      <c r="G56" s="345"/>
      <c r="H56" s="343"/>
      <c r="I56" s="343"/>
      <c r="J56" s="345"/>
      <c r="K56" s="345"/>
      <c r="L56" s="343"/>
      <c r="M56" s="343"/>
      <c r="N56" s="345"/>
      <c r="O56" s="345"/>
      <c r="P56" s="343"/>
      <c r="Q56" s="343"/>
      <c r="R56" s="345"/>
      <c r="S56" s="345"/>
      <c r="T56" s="343"/>
      <c r="U56" s="343"/>
      <c r="V56" s="345"/>
      <c r="W56" s="345"/>
      <c r="X56" s="343"/>
      <c r="Y56" s="343"/>
      <c r="Z56" s="345"/>
      <c r="AA56" s="345"/>
      <c r="AB56" s="343"/>
      <c r="AC56" s="343"/>
    </row>
    <row r="57" spans="1:29" ht="14.25" customHeight="1" x14ac:dyDescent="0.3">
      <c r="A57" s="338">
        <v>46102</v>
      </c>
      <c r="B57" s="347">
        <f t="shared" si="3"/>
        <v>-300</v>
      </c>
      <c r="C57" s="348" t="s">
        <v>519</v>
      </c>
      <c r="D57" s="342">
        <v>300</v>
      </c>
      <c r="E57" s="343"/>
      <c r="F57" s="345"/>
      <c r="G57" s="345"/>
      <c r="H57" s="343"/>
      <c r="I57" s="343"/>
      <c r="J57" s="345"/>
      <c r="K57" s="345"/>
      <c r="L57" s="343"/>
      <c r="M57" s="343"/>
      <c r="N57" s="345"/>
      <c r="O57" s="345"/>
      <c r="P57" s="343"/>
      <c r="Q57" s="343"/>
      <c r="R57" s="345"/>
      <c r="S57" s="345"/>
      <c r="T57" s="343"/>
      <c r="U57" s="343"/>
      <c r="V57" s="345"/>
      <c r="W57" s="345"/>
      <c r="X57" s="343"/>
      <c r="Y57" s="343"/>
      <c r="Z57" s="345"/>
      <c r="AA57" s="345"/>
      <c r="AB57" s="343"/>
      <c r="AC57" s="343"/>
    </row>
    <row r="58" spans="1:29" ht="14.25" customHeight="1" x14ac:dyDescent="0.3">
      <c r="A58" s="338">
        <v>46102</v>
      </c>
      <c r="B58" s="347">
        <f t="shared" si="3"/>
        <v>1384.5</v>
      </c>
      <c r="C58" s="348" t="s">
        <v>520</v>
      </c>
      <c r="D58" s="342"/>
      <c r="E58" s="343"/>
      <c r="F58" s="345"/>
      <c r="G58" s="345"/>
      <c r="H58" s="343"/>
      <c r="I58" s="343"/>
      <c r="J58" s="345"/>
      <c r="K58" s="345"/>
      <c r="L58" s="343"/>
      <c r="M58" s="343"/>
      <c r="N58" s="345"/>
      <c r="O58" s="345"/>
      <c r="P58" s="343"/>
      <c r="Q58" s="343"/>
      <c r="R58" s="345">
        <v>-1384.5</v>
      </c>
      <c r="S58" s="345"/>
      <c r="T58" s="343"/>
      <c r="U58" s="343"/>
      <c r="V58" s="345"/>
      <c r="W58" s="345"/>
      <c r="X58" s="343"/>
      <c r="Y58" s="343"/>
      <c r="Z58" s="345"/>
      <c r="AA58" s="345"/>
      <c r="AB58" s="343"/>
      <c r="AC58" s="343"/>
    </row>
    <row r="59" spans="1:29" ht="14.25" customHeight="1" x14ac:dyDescent="0.3">
      <c r="A59" s="338">
        <v>46094</v>
      </c>
      <c r="B59" s="347">
        <f t="shared" si="3"/>
        <v>55.66</v>
      </c>
      <c r="C59" s="348" t="s">
        <v>509</v>
      </c>
      <c r="D59" s="342"/>
      <c r="E59" s="343"/>
      <c r="F59" s="345"/>
      <c r="G59" s="345">
        <v>55.66</v>
      </c>
      <c r="H59" s="343"/>
      <c r="I59" s="343"/>
      <c r="J59" s="345"/>
      <c r="K59" s="345"/>
      <c r="L59" s="343"/>
      <c r="M59" s="343"/>
      <c r="N59" s="345"/>
      <c r="O59" s="345"/>
      <c r="P59" s="343"/>
      <c r="Q59" s="343"/>
      <c r="R59" s="345"/>
      <c r="S59" s="345"/>
      <c r="T59" s="343"/>
      <c r="U59" s="343"/>
      <c r="V59" s="345"/>
      <c r="W59" s="345"/>
      <c r="X59" s="343"/>
      <c r="Y59" s="343"/>
      <c r="Z59" s="345"/>
      <c r="AA59" s="345"/>
      <c r="AB59" s="343"/>
      <c r="AC59" s="343"/>
    </row>
    <row r="60" spans="1:29" ht="14.25" customHeight="1" x14ac:dyDescent="0.3">
      <c r="A60" s="338">
        <v>46090</v>
      </c>
      <c r="B60" s="347">
        <f t="shared" si="3"/>
        <v>-380</v>
      </c>
      <c r="C60" s="348" t="s">
        <v>521</v>
      </c>
      <c r="D60" s="342"/>
      <c r="E60" s="343"/>
      <c r="F60" s="345"/>
      <c r="G60" s="345"/>
      <c r="H60" s="343"/>
      <c r="I60" s="343"/>
      <c r="J60" s="345"/>
      <c r="K60" s="345"/>
      <c r="L60" s="343"/>
      <c r="M60" s="343"/>
      <c r="N60" s="345"/>
      <c r="O60" s="345"/>
      <c r="P60" s="343"/>
      <c r="Q60" s="343"/>
      <c r="R60" s="345">
        <v>380</v>
      </c>
      <c r="S60" s="345"/>
      <c r="T60" s="343"/>
      <c r="U60" s="343"/>
      <c r="V60" s="345"/>
      <c r="W60" s="345"/>
      <c r="X60" s="343"/>
      <c r="Y60" s="343"/>
      <c r="Z60" s="345"/>
      <c r="AA60" s="345"/>
      <c r="AB60" s="343"/>
      <c r="AC60" s="343"/>
    </row>
    <row r="61" spans="1:29" ht="14.25" customHeight="1" x14ac:dyDescent="0.3">
      <c r="A61" s="338">
        <v>46083</v>
      </c>
      <c r="B61" s="347">
        <f t="shared" si="3"/>
        <v>-185.64</v>
      </c>
      <c r="C61" s="348" t="s">
        <v>423</v>
      </c>
      <c r="D61" s="342"/>
      <c r="E61" s="343"/>
      <c r="F61" s="345"/>
      <c r="G61" s="345"/>
      <c r="H61" s="343"/>
      <c r="I61" s="343"/>
      <c r="J61" s="345"/>
      <c r="K61" s="345"/>
      <c r="L61" s="343"/>
      <c r="M61" s="343"/>
      <c r="N61" s="345"/>
      <c r="O61" s="345"/>
      <c r="P61" s="343">
        <v>92.82</v>
      </c>
      <c r="Q61" s="343"/>
      <c r="R61" s="345"/>
      <c r="S61" s="345"/>
      <c r="T61" s="343"/>
      <c r="U61" s="343"/>
      <c r="V61" s="345"/>
      <c r="W61" s="345"/>
      <c r="X61" s="343"/>
      <c r="Y61" s="343"/>
      <c r="Z61" s="345"/>
      <c r="AA61" s="345"/>
      <c r="AB61" s="343">
        <v>92.82</v>
      </c>
      <c r="AC61" s="343"/>
    </row>
    <row r="62" spans="1:29" ht="14.25" customHeight="1" x14ac:dyDescent="0.3">
      <c r="A62" s="338">
        <v>46081</v>
      </c>
      <c r="B62" s="347">
        <f t="shared" si="3"/>
        <v>3764.91</v>
      </c>
      <c r="C62" s="348" t="s">
        <v>425</v>
      </c>
      <c r="D62" s="342"/>
      <c r="E62" s="343">
        <v>3764.91</v>
      </c>
      <c r="F62" s="345"/>
      <c r="G62" s="345"/>
      <c r="H62" s="343"/>
      <c r="I62" s="343"/>
      <c r="J62" s="345"/>
      <c r="K62" s="345"/>
      <c r="L62" s="343"/>
      <c r="M62" s="343"/>
      <c r="N62" s="345"/>
      <c r="O62" s="345"/>
      <c r="P62" s="343"/>
      <c r="Q62" s="343"/>
      <c r="R62" s="345"/>
      <c r="S62" s="345"/>
      <c r="T62" s="343"/>
      <c r="U62" s="343"/>
      <c r="V62" s="345"/>
      <c r="W62" s="345"/>
      <c r="X62" s="343"/>
      <c r="Y62" s="343"/>
      <c r="Z62" s="345"/>
      <c r="AA62" s="345"/>
      <c r="AB62" s="343"/>
      <c r="AC62" s="343"/>
    </row>
    <row r="63" spans="1:29" ht="14.25" customHeight="1" x14ac:dyDescent="0.3">
      <c r="A63" s="338">
        <v>46081</v>
      </c>
      <c r="B63" s="347">
        <f t="shared" si="3"/>
        <v>2000</v>
      </c>
      <c r="C63" s="348" t="s">
        <v>522</v>
      </c>
      <c r="D63" s="342"/>
      <c r="E63" s="343"/>
      <c r="F63" s="345"/>
      <c r="G63" s="345"/>
      <c r="H63" s="343"/>
      <c r="I63" s="343">
        <v>350</v>
      </c>
      <c r="J63" s="345"/>
      <c r="K63" s="345">
        <v>320</v>
      </c>
      <c r="L63" s="343"/>
      <c r="M63" s="343">
        <v>25</v>
      </c>
      <c r="N63" s="345"/>
      <c r="O63" s="345">
        <v>25</v>
      </c>
      <c r="P63" s="343"/>
      <c r="Q63" s="343">
        <v>45</v>
      </c>
      <c r="R63" s="345"/>
      <c r="S63" s="345">
        <v>400</v>
      </c>
      <c r="T63" s="343"/>
      <c r="U63" s="343">
        <v>375</v>
      </c>
      <c r="V63" s="345"/>
      <c r="W63" s="345">
        <v>100</v>
      </c>
      <c r="X63" s="343"/>
      <c r="Y63" s="343">
        <v>85</v>
      </c>
      <c r="Z63" s="345"/>
      <c r="AA63" s="345">
        <v>230</v>
      </c>
      <c r="AB63" s="343"/>
      <c r="AC63" s="343">
        <v>45</v>
      </c>
    </row>
    <row r="64" spans="1:29" ht="14.25" customHeight="1" x14ac:dyDescent="0.3">
      <c r="A64" s="338">
        <v>46081</v>
      </c>
      <c r="B64" s="347">
        <f t="shared" si="3"/>
        <v>0.23</v>
      </c>
      <c r="C64" s="348" t="s">
        <v>505</v>
      </c>
      <c r="D64" s="342"/>
      <c r="E64" s="343"/>
      <c r="F64" s="345"/>
      <c r="G64" s="345">
        <v>0.23</v>
      </c>
      <c r="H64" s="343"/>
      <c r="I64" s="343"/>
      <c r="J64" s="345"/>
      <c r="K64" s="345"/>
      <c r="L64" s="343"/>
      <c r="M64" s="343"/>
      <c r="N64" s="345"/>
      <c r="O64" s="345"/>
      <c r="P64" s="343"/>
      <c r="Q64" s="343"/>
      <c r="R64" s="345"/>
      <c r="S64" s="345"/>
      <c r="T64" s="343"/>
      <c r="U64" s="343"/>
      <c r="V64" s="345"/>
      <c r="W64" s="345"/>
      <c r="X64" s="343"/>
      <c r="Y64" s="343"/>
      <c r="Z64" s="345"/>
      <c r="AA64" s="345"/>
      <c r="AB64" s="343"/>
      <c r="AC64" s="343"/>
    </row>
    <row r="65" spans="1:29" ht="14.25" customHeight="1" x14ac:dyDescent="0.3">
      <c r="A65" s="338">
        <v>46070</v>
      </c>
      <c r="B65" s="347">
        <f t="shared" si="3"/>
        <v>-1920</v>
      </c>
      <c r="C65" s="348" t="s">
        <v>523</v>
      </c>
      <c r="D65" s="342"/>
      <c r="E65" s="343"/>
      <c r="F65" s="345"/>
      <c r="G65" s="345"/>
      <c r="H65" s="343"/>
      <c r="I65" s="343"/>
      <c r="J65" s="345"/>
      <c r="K65" s="345"/>
      <c r="L65" s="343"/>
      <c r="M65" s="343"/>
      <c r="N65" s="345"/>
      <c r="O65" s="345"/>
      <c r="P65" s="343"/>
      <c r="Q65" s="343"/>
      <c r="R65" s="345"/>
      <c r="S65" s="345"/>
      <c r="T65" s="343">
        <v>1920</v>
      </c>
      <c r="U65" s="343"/>
      <c r="V65" s="345"/>
      <c r="W65" s="345"/>
      <c r="X65" s="343"/>
      <c r="Y65" s="343"/>
      <c r="Z65" s="345"/>
      <c r="AA65" s="345"/>
      <c r="AB65" s="343"/>
      <c r="AC65" s="343"/>
    </row>
    <row r="66" spans="1:29" ht="14.25" customHeight="1" x14ac:dyDescent="0.3">
      <c r="A66" s="338">
        <v>46069</v>
      </c>
      <c r="B66" s="347">
        <f t="shared" si="3"/>
        <v>-243.8</v>
      </c>
      <c r="C66" s="348" t="s">
        <v>523</v>
      </c>
      <c r="D66" s="342"/>
      <c r="E66" s="343"/>
      <c r="F66" s="345"/>
      <c r="G66" s="345"/>
      <c r="H66" s="343"/>
      <c r="I66" s="343"/>
      <c r="J66" s="345"/>
      <c r="K66" s="345"/>
      <c r="L66" s="343"/>
      <c r="M66" s="343"/>
      <c r="N66" s="345"/>
      <c r="O66" s="345"/>
      <c r="P66" s="343"/>
      <c r="Q66" s="343"/>
      <c r="R66" s="345"/>
      <c r="S66" s="345"/>
      <c r="T66" s="343">
        <v>243.8</v>
      </c>
      <c r="U66" s="343"/>
      <c r="V66" s="345"/>
      <c r="W66" s="345"/>
      <c r="X66" s="343"/>
      <c r="Y66" s="343"/>
      <c r="Z66" s="345"/>
      <c r="AA66" s="345"/>
      <c r="AB66" s="343"/>
      <c r="AC66" s="343"/>
    </row>
    <row r="67" spans="1:29" ht="14.25" customHeight="1" x14ac:dyDescent="0.3">
      <c r="A67" s="338">
        <v>46068</v>
      </c>
      <c r="B67" s="347">
        <f t="shared" si="3"/>
        <v>63.46</v>
      </c>
      <c r="C67" s="348" t="s">
        <v>509</v>
      </c>
      <c r="D67" s="342"/>
      <c r="E67" s="343"/>
      <c r="F67" s="345"/>
      <c r="G67" s="345">
        <v>63.46</v>
      </c>
      <c r="H67" s="343"/>
      <c r="I67" s="343"/>
      <c r="J67" s="345"/>
      <c r="K67" s="345"/>
      <c r="L67" s="343"/>
      <c r="M67" s="343"/>
      <c r="N67" s="345"/>
      <c r="O67" s="345"/>
      <c r="P67" s="343"/>
      <c r="Q67" s="343"/>
      <c r="R67" s="345"/>
      <c r="S67" s="345"/>
      <c r="T67" s="343"/>
      <c r="U67" s="343"/>
      <c r="V67" s="345"/>
      <c r="W67" s="345"/>
      <c r="X67" s="343"/>
      <c r="Y67" s="343"/>
      <c r="Z67" s="345"/>
      <c r="AA67" s="345"/>
      <c r="AB67" s="343"/>
      <c r="AC67" s="343"/>
    </row>
    <row r="68" spans="1:29" ht="14.25" customHeight="1" x14ac:dyDescent="0.3">
      <c r="A68" s="338">
        <v>46067</v>
      </c>
      <c r="B68" s="347">
        <f t="shared" si="3"/>
        <v>-1007.99</v>
      </c>
      <c r="C68" s="348" t="s">
        <v>524</v>
      </c>
      <c r="D68" s="342">
        <v>1007.99</v>
      </c>
      <c r="E68" s="343"/>
      <c r="F68" s="345"/>
      <c r="G68" s="345"/>
      <c r="H68" s="343"/>
      <c r="I68" s="343"/>
      <c r="J68" s="345"/>
      <c r="K68" s="345"/>
      <c r="L68" s="343"/>
      <c r="M68" s="343"/>
      <c r="N68" s="345"/>
      <c r="O68" s="345"/>
      <c r="P68" s="343"/>
      <c r="Q68" s="343"/>
      <c r="R68" s="345"/>
      <c r="S68" s="345"/>
      <c r="T68" s="343"/>
      <c r="U68" s="343"/>
      <c r="V68" s="345"/>
      <c r="W68" s="345"/>
      <c r="X68" s="343"/>
      <c r="Y68" s="343"/>
      <c r="Z68" s="345"/>
      <c r="AA68" s="345"/>
      <c r="AB68" s="343"/>
      <c r="AC68" s="343"/>
    </row>
    <row r="69" spans="1:29" ht="14.25" customHeight="1" x14ac:dyDescent="0.3">
      <c r="A69" s="338">
        <v>46063</v>
      </c>
      <c r="B69" s="347">
        <f t="shared" si="3"/>
        <v>-1276.4000000000001</v>
      </c>
      <c r="C69" s="348" t="s">
        <v>525</v>
      </c>
      <c r="D69" s="342"/>
      <c r="E69" s="343"/>
      <c r="F69" s="345"/>
      <c r="G69" s="345"/>
      <c r="H69" s="343"/>
      <c r="I69" s="343"/>
      <c r="J69" s="345"/>
      <c r="K69" s="345"/>
      <c r="L69" s="343"/>
      <c r="M69" s="343"/>
      <c r="N69" s="345"/>
      <c r="O69" s="345"/>
      <c r="P69" s="343"/>
      <c r="Q69" s="343"/>
      <c r="R69" s="345"/>
      <c r="S69" s="345"/>
      <c r="T69" s="343"/>
      <c r="U69" s="343"/>
      <c r="V69" s="345"/>
      <c r="W69" s="345"/>
      <c r="X69" s="343"/>
      <c r="Y69" s="343"/>
      <c r="Z69" s="345">
        <v>1276.4000000000001</v>
      </c>
      <c r="AA69" s="345"/>
      <c r="AB69" s="343"/>
      <c r="AC69" s="343"/>
    </row>
    <row r="70" spans="1:29" ht="14.25" customHeight="1" x14ac:dyDescent="0.3">
      <c r="A70" s="338">
        <v>46063</v>
      </c>
      <c r="B70" s="347">
        <f t="shared" si="3"/>
        <v>-955</v>
      </c>
      <c r="C70" s="348" t="s">
        <v>526</v>
      </c>
      <c r="D70" s="342"/>
      <c r="E70" s="343"/>
      <c r="F70" s="345"/>
      <c r="G70" s="345"/>
      <c r="H70" s="343"/>
      <c r="I70" s="343"/>
      <c r="J70" s="345"/>
      <c r="K70" s="345"/>
      <c r="L70" s="343"/>
      <c r="M70" s="343"/>
      <c r="N70" s="345"/>
      <c r="O70" s="345"/>
      <c r="P70" s="343"/>
      <c r="Q70" s="343"/>
      <c r="R70" s="345">
        <v>955</v>
      </c>
      <c r="S70" s="345"/>
      <c r="T70" s="343"/>
      <c r="U70" s="343"/>
      <c r="V70" s="345"/>
      <c r="W70" s="345"/>
      <c r="X70" s="343"/>
      <c r="Y70" s="343"/>
      <c r="Z70" s="345"/>
      <c r="AA70" s="345"/>
      <c r="AB70" s="343"/>
      <c r="AC70" s="343"/>
    </row>
    <row r="71" spans="1:29" ht="14.25" customHeight="1" x14ac:dyDescent="0.3">
      <c r="A71" s="338">
        <v>46063</v>
      </c>
      <c r="B71" s="347">
        <f t="shared" si="3"/>
        <v>59.19</v>
      </c>
      <c r="C71" s="348" t="s">
        <v>504</v>
      </c>
      <c r="D71" s="342"/>
      <c r="E71" s="343"/>
      <c r="F71" s="345"/>
      <c r="G71" s="345">
        <v>59.19</v>
      </c>
      <c r="H71" s="343"/>
      <c r="I71" s="343"/>
      <c r="J71" s="345"/>
      <c r="K71" s="345"/>
      <c r="L71" s="343"/>
      <c r="M71" s="343"/>
      <c r="N71" s="345"/>
      <c r="O71" s="345"/>
      <c r="P71" s="343"/>
      <c r="Q71" s="343"/>
      <c r="R71" s="345"/>
      <c r="S71" s="345"/>
      <c r="T71" s="343"/>
      <c r="U71" s="343"/>
      <c r="V71" s="345"/>
      <c r="W71" s="345"/>
      <c r="X71" s="343"/>
      <c r="Y71" s="343"/>
      <c r="Z71" s="345"/>
      <c r="AA71" s="345"/>
      <c r="AB71" s="343"/>
      <c r="AC71" s="343"/>
    </row>
    <row r="72" spans="1:29" ht="14.25" customHeight="1" x14ac:dyDescent="0.3">
      <c r="A72" s="338">
        <v>46061</v>
      </c>
      <c r="B72" s="347">
        <f t="shared" si="3"/>
        <v>-2203.44</v>
      </c>
      <c r="C72" s="348" t="s">
        <v>523</v>
      </c>
      <c r="D72" s="342"/>
      <c r="E72" s="343"/>
      <c r="F72" s="345"/>
      <c r="G72" s="345"/>
      <c r="H72" s="343"/>
      <c r="I72" s="343"/>
      <c r="J72" s="345"/>
      <c r="K72" s="345"/>
      <c r="L72" s="343"/>
      <c r="M72" s="343"/>
      <c r="N72" s="345"/>
      <c r="O72" s="345"/>
      <c r="P72" s="343"/>
      <c r="Q72" s="343"/>
      <c r="R72" s="345"/>
      <c r="S72" s="345"/>
      <c r="T72" s="343">
        <v>2203.44</v>
      </c>
      <c r="U72" s="343"/>
      <c r="V72" s="345"/>
      <c r="W72" s="345"/>
      <c r="X72" s="343"/>
      <c r="Y72" s="343"/>
      <c r="Z72" s="345"/>
      <c r="AA72" s="345"/>
      <c r="AB72" s="343"/>
      <c r="AC72" s="343"/>
    </row>
    <row r="73" spans="1:29" ht="14.25" customHeight="1" x14ac:dyDescent="0.3">
      <c r="A73" s="338">
        <v>46061</v>
      </c>
      <c r="B73" s="347">
        <f t="shared" si="3"/>
        <v>-831.92</v>
      </c>
      <c r="C73" s="348" t="s">
        <v>527</v>
      </c>
      <c r="D73" s="342"/>
      <c r="E73" s="343"/>
      <c r="F73" s="345"/>
      <c r="G73" s="345"/>
      <c r="H73" s="343"/>
      <c r="I73" s="343"/>
      <c r="J73" s="345"/>
      <c r="K73" s="345"/>
      <c r="L73" s="343"/>
      <c r="M73" s="343"/>
      <c r="N73" s="345"/>
      <c r="O73" s="345"/>
      <c r="P73" s="343"/>
      <c r="Q73" s="343"/>
      <c r="R73" s="345">
        <v>831.92</v>
      </c>
      <c r="S73" s="345"/>
      <c r="T73" s="343"/>
      <c r="U73" s="343"/>
      <c r="V73" s="345"/>
      <c r="W73" s="345"/>
      <c r="X73" s="343"/>
      <c r="Y73" s="343"/>
      <c r="Z73" s="345"/>
      <c r="AA73" s="345"/>
      <c r="AB73" s="343"/>
      <c r="AC73" s="343"/>
    </row>
    <row r="74" spans="1:29" ht="14.25" customHeight="1" x14ac:dyDescent="0.3">
      <c r="A74" s="338">
        <v>46055</v>
      </c>
      <c r="B74" s="347">
        <f t="shared" si="3"/>
        <v>-900</v>
      </c>
      <c r="C74" s="348" t="s">
        <v>512</v>
      </c>
      <c r="D74" s="342"/>
      <c r="E74" s="343"/>
      <c r="F74" s="345"/>
      <c r="G74" s="345"/>
      <c r="H74" s="343"/>
      <c r="I74" s="343"/>
      <c r="J74" s="345"/>
      <c r="K74" s="345"/>
      <c r="L74" s="343"/>
      <c r="M74" s="343"/>
      <c r="N74" s="345"/>
      <c r="O74" s="345"/>
      <c r="P74" s="343"/>
      <c r="Q74" s="343"/>
      <c r="R74" s="345"/>
      <c r="S74" s="345"/>
      <c r="T74" s="343">
        <v>900</v>
      </c>
      <c r="U74" s="343"/>
      <c r="V74" s="345"/>
      <c r="W74" s="345"/>
      <c r="X74" s="343"/>
      <c r="Y74" s="343"/>
      <c r="Z74" s="345"/>
      <c r="AA74" s="345"/>
      <c r="AB74" s="343"/>
      <c r="AC74" s="343"/>
    </row>
    <row r="75" spans="1:29" ht="14.25" customHeight="1" x14ac:dyDescent="0.3">
      <c r="A75" s="338">
        <v>46053</v>
      </c>
      <c r="B75" s="347">
        <f t="shared" si="3"/>
        <v>3194.64</v>
      </c>
      <c r="C75" s="348" t="s">
        <v>459</v>
      </c>
      <c r="D75" s="342"/>
      <c r="E75" s="343">
        <v>3194.64</v>
      </c>
      <c r="F75" s="345"/>
      <c r="G75" s="345"/>
      <c r="H75" s="343"/>
      <c r="I75" s="343"/>
      <c r="J75" s="345"/>
      <c r="K75" s="345"/>
      <c r="L75" s="343"/>
      <c r="M75" s="343"/>
      <c r="N75" s="345"/>
      <c r="O75" s="345"/>
      <c r="P75" s="343"/>
      <c r="Q75" s="343"/>
      <c r="R75" s="345"/>
      <c r="S75" s="345"/>
      <c r="T75" s="343"/>
      <c r="U75" s="343"/>
      <c r="V75" s="345"/>
      <c r="W75" s="345"/>
      <c r="X75" s="343"/>
      <c r="Y75" s="343"/>
      <c r="Z75" s="345"/>
      <c r="AA75" s="345"/>
      <c r="AB75" s="343"/>
      <c r="AC75" s="343"/>
    </row>
    <row r="76" spans="1:29" ht="14.25" customHeight="1" x14ac:dyDescent="0.3">
      <c r="A76" s="338">
        <v>46053</v>
      </c>
      <c r="B76" s="347">
        <f t="shared" si="3"/>
        <v>2000</v>
      </c>
      <c r="C76" s="348" t="s">
        <v>528</v>
      </c>
      <c r="D76" s="342"/>
      <c r="E76" s="343"/>
      <c r="F76" s="345"/>
      <c r="G76" s="345"/>
      <c r="H76" s="343"/>
      <c r="I76" s="343">
        <v>350</v>
      </c>
      <c r="J76" s="345"/>
      <c r="K76" s="345">
        <v>320</v>
      </c>
      <c r="L76" s="343"/>
      <c r="M76" s="343">
        <v>25</v>
      </c>
      <c r="N76" s="345"/>
      <c r="O76" s="345">
        <v>25</v>
      </c>
      <c r="P76" s="343"/>
      <c r="Q76" s="343">
        <v>45</v>
      </c>
      <c r="R76" s="345"/>
      <c r="S76" s="345">
        <v>400</v>
      </c>
      <c r="T76" s="343"/>
      <c r="U76" s="343">
        <v>375</v>
      </c>
      <c r="V76" s="345"/>
      <c r="W76" s="345">
        <v>100</v>
      </c>
      <c r="X76" s="343"/>
      <c r="Y76" s="343">
        <v>85</v>
      </c>
      <c r="Z76" s="345"/>
      <c r="AA76" s="345">
        <v>230</v>
      </c>
      <c r="AB76" s="343"/>
      <c r="AC76" s="343">
        <v>45</v>
      </c>
    </row>
    <row r="77" spans="1:29" ht="14.25" customHeight="1" x14ac:dyDescent="0.3">
      <c r="A77" s="338">
        <v>46053</v>
      </c>
      <c r="B77" s="347">
        <f t="shared" si="3"/>
        <v>0.38</v>
      </c>
      <c r="C77" s="348" t="s">
        <v>505</v>
      </c>
      <c r="D77" s="342"/>
      <c r="E77" s="343"/>
      <c r="F77" s="345"/>
      <c r="G77" s="345">
        <v>0.38</v>
      </c>
      <c r="H77" s="343"/>
      <c r="I77" s="343"/>
      <c r="J77" s="345"/>
      <c r="K77" s="345"/>
      <c r="L77" s="343"/>
      <c r="M77" s="343"/>
      <c r="N77" s="345"/>
      <c r="O77" s="345"/>
      <c r="P77" s="343"/>
      <c r="Q77" s="343"/>
      <c r="R77" s="345"/>
      <c r="S77" s="345"/>
      <c r="T77" s="343"/>
      <c r="U77" s="343"/>
      <c r="V77" s="345"/>
      <c r="W77" s="345"/>
      <c r="X77" s="343"/>
      <c r="Y77" s="343"/>
      <c r="Z77" s="345"/>
      <c r="AA77" s="345"/>
      <c r="AB77" s="343"/>
      <c r="AC77" s="343"/>
    </row>
    <row r="78" spans="1:29" ht="14.25" customHeight="1" x14ac:dyDescent="0.3">
      <c r="A78" s="338">
        <v>46053</v>
      </c>
      <c r="B78" s="347">
        <f t="shared" si="3"/>
        <v>54.55</v>
      </c>
      <c r="C78" s="348" t="s">
        <v>509</v>
      </c>
      <c r="D78" s="342"/>
      <c r="E78" s="343"/>
      <c r="F78" s="345"/>
      <c r="G78" s="345">
        <v>54.55</v>
      </c>
      <c r="H78" s="343"/>
      <c r="I78" s="343"/>
      <c r="J78" s="345"/>
      <c r="K78" s="345"/>
      <c r="L78" s="343"/>
      <c r="M78" s="343"/>
      <c r="N78" s="345"/>
      <c r="O78" s="345"/>
      <c r="P78" s="343"/>
      <c r="Q78" s="343"/>
      <c r="R78" s="345"/>
      <c r="S78" s="345"/>
      <c r="T78" s="343"/>
      <c r="U78" s="343"/>
      <c r="V78" s="345"/>
      <c r="W78" s="345"/>
      <c r="X78" s="343"/>
      <c r="Y78" s="343"/>
      <c r="Z78" s="345"/>
      <c r="AA78" s="345"/>
      <c r="AB78" s="343"/>
      <c r="AC78" s="343"/>
    </row>
    <row r="79" spans="1:29" ht="14.25" customHeight="1" x14ac:dyDescent="0.3">
      <c r="A79" s="338">
        <v>46048</v>
      </c>
      <c r="B79" s="347">
        <f t="shared" si="3"/>
        <v>-583</v>
      </c>
      <c r="C79" s="348" t="s">
        <v>529</v>
      </c>
      <c r="D79" s="342">
        <v>583</v>
      </c>
      <c r="E79" s="343"/>
      <c r="F79" s="345"/>
      <c r="G79" s="345"/>
      <c r="H79" s="343"/>
      <c r="I79" s="343"/>
      <c r="J79" s="345"/>
      <c r="K79" s="345"/>
      <c r="L79" s="343"/>
      <c r="M79" s="343"/>
      <c r="N79" s="345"/>
      <c r="O79" s="345"/>
      <c r="P79" s="343"/>
      <c r="Q79" s="343"/>
      <c r="R79" s="345"/>
      <c r="S79" s="345"/>
      <c r="T79" s="343"/>
      <c r="U79" s="343"/>
      <c r="V79" s="345"/>
      <c r="W79" s="345"/>
      <c r="X79" s="343"/>
      <c r="Y79" s="343"/>
      <c r="Z79" s="345"/>
      <c r="AA79" s="345"/>
      <c r="AB79" s="343"/>
      <c r="AC79" s="343"/>
    </row>
    <row r="80" spans="1:29" ht="14.25" customHeight="1" x14ac:dyDescent="0.3">
      <c r="A80" s="338">
        <v>46044</v>
      </c>
      <c r="B80" s="347">
        <f t="shared" si="3"/>
        <v>-126.24</v>
      </c>
      <c r="C80" s="348" t="s">
        <v>315</v>
      </c>
      <c r="D80" s="342"/>
      <c r="E80" s="343"/>
      <c r="F80" s="345"/>
      <c r="G80" s="345"/>
      <c r="H80" s="343"/>
      <c r="I80" s="343"/>
      <c r="J80" s="345"/>
      <c r="K80" s="345"/>
      <c r="L80" s="343">
        <v>63.12</v>
      </c>
      <c r="M80" s="343"/>
      <c r="N80" s="345">
        <v>63.12</v>
      </c>
      <c r="O80" s="345"/>
      <c r="P80" s="343"/>
      <c r="Q80" s="343"/>
      <c r="R80" s="345"/>
      <c r="S80" s="345"/>
      <c r="T80" s="343"/>
      <c r="U80" s="343"/>
      <c r="V80" s="345"/>
      <c r="W80" s="345"/>
      <c r="X80" s="343"/>
      <c r="Y80" s="343"/>
      <c r="Z80" s="345"/>
      <c r="AA80" s="345"/>
      <c r="AB80" s="343"/>
      <c r="AC80" s="343"/>
    </row>
    <row r="81" spans="1:29" ht="14.25" customHeight="1" x14ac:dyDescent="0.3">
      <c r="A81" s="338">
        <v>46043</v>
      </c>
      <c r="B81" s="347">
        <f t="shared" si="3"/>
        <v>-100</v>
      </c>
      <c r="C81" s="348" t="s">
        <v>530</v>
      </c>
      <c r="D81" s="342"/>
      <c r="E81" s="343"/>
      <c r="F81" s="345"/>
      <c r="G81" s="345"/>
      <c r="H81" s="343">
        <v>100</v>
      </c>
      <c r="I81" s="343"/>
      <c r="J81" s="345"/>
      <c r="K81" s="345"/>
      <c r="L81" s="343"/>
      <c r="M81" s="343"/>
      <c r="N81" s="345"/>
      <c r="O81" s="345"/>
      <c r="P81" s="343"/>
      <c r="Q81" s="343"/>
      <c r="R81" s="345"/>
      <c r="S81" s="345"/>
      <c r="T81" s="343"/>
      <c r="U81" s="343"/>
      <c r="V81" s="345"/>
      <c r="W81" s="345"/>
      <c r="X81" s="343"/>
      <c r="Y81" s="343"/>
      <c r="Z81" s="345"/>
      <c r="AA81" s="345"/>
      <c r="AB81" s="343"/>
      <c r="AC81" s="343"/>
    </row>
    <row r="82" spans="1:29" ht="14.25" customHeight="1" x14ac:dyDescent="0.3">
      <c r="A82" s="338">
        <v>46043</v>
      </c>
      <c r="B82" s="347">
        <f t="shared" si="3"/>
        <v>-2724</v>
      </c>
      <c r="C82" s="348" t="s">
        <v>531</v>
      </c>
      <c r="D82" s="342"/>
      <c r="E82" s="343"/>
      <c r="F82" s="345"/>
      <c r="G82" s="345"/>
      <c r="H82" s="343"/>
      <c r="I82" s="343"/>
      <c r="J82" s="345"/>
      <c r="K82" s="345"/>
      <c r="L82" s="343"/>
      <c r="M82" s="343"/>
      <c r="N82" s="345"/>
      <c r="O82" s="345"/>
      <c r="P82" s="343"/>
      <c r="Q82" s="343"/>
      <c r="R82" s="345">
        <v>2724</v>
      </c>
      <c r="S82" s="345"/>
      <c r="T82" s="343"/>
      <c r="U82" s="343"/>
      <c r="V82" s="345"/>
      <c r="W82" s="345"/>
      <c r="X82" s="343"/>
      <c r="Y82" s="343"/>
      <c r="Z82" s="345"/>
      <c r="AA82" s="345"/>
      <c r="AB82" s="343"/>
      <c r="AC82" s="343"/>
    </row>
    <row r="83" spans="1:29" ht="14.25" customHeight="1" x14ac:dyDescent="0.3">
      <c r="A83" s="338">
        <v>46038</v>
      </c>
      <c r="B83" s="347">
        <f t="shared" si="3"/>
        <v>55.69</v>
      </c>
      <c r="C83" s="348" t="s">
        <v>509</v>
      </c>
      <c r="D83" s="342"/>
      <c r="E83" s="343"/>
      <c r="F83" s="345"/>
      <c r="G83" s="345">
        <v>55.69</v>
      </c>
      <c r="H83" s="343"/>
      <c r="I83" s="343"/>
      <c r="J83" s="345"/>
      <c r="K83" s="345"/>
      <c r="L83" s="343"/>
      <c r="M83" s="343"/>
      <c r="N83" s="345"/>
      <c r="O83" s="345"/>
      <c r="P83" s="343"/>
      <c r="Q83" s="343"/>
      <c r="R83" s="345"/>
      <c r="S83" s="345"/>
      <c r="T83" s="343"/>
      <c r="U83" s="343"/>
      <c r="V83" s="345"/>
      <c r="W83" s="345"/>
      <c r="X83" s="343"/>
      <c r="Y83" s="343"/>
      <c r="Z83" s="345"/>
      <c r="AA83" s="345"/>
      <c r="AB83" s="343"/>
      <c r="AC83" s="343"/>
    </row>
    <row r="84" spans="1:29" ht="14.25" customHeight="1" x14ac:dyDescent="0.3">
      <c r="A84" s="338">
        <v>46030</v>
      </c>
      <c r="B84" s="347">
        <f t="shared" si="3"/>
        <v>1049.3699999999999</v>
      </c>
      <c r="C84" s="340" t="s">
        <v>532</v>
      </c>
      <c r="D84" s="342"/>
      <c r="E84" s="343">
        <v>1049.3699999999999</v>
      </c>
      <c r="F84" s="345"/>
      <c r="G84" s="345"/>
      <c r="H84" s="343"/>
      <c r="I84" s="343"/>
      <c r="J84" s="345"/>
      <c r="K84" s="345"/>
      <c r="L84" s="343"/>
      <c r="M84" s="343"/>
      <c r="N84" s="345"/>
      <c r="O84" s="345"/>
      <c r="P84" s="343"/>
      <c r="Q84" s="343"/>
      <c r="R84" s="345"/>
      <c r="S84" s="345"/>
      <c r="T84" s="343"/>
      <c r="U84" s="343"/>
      <c r="V84" s="345"/>
      <c r="W84" s="345"/>
      <c r="X84" s="343"/>
      <c r="Y84" s="343"/>
      <c r="Z84" s="345"/>
      <c r="AA84" s="345"/>
      <c r="AB84" s="343"/>
      <c r="AC84" s="343"/>
    </row>
    <row r="85" spans="1:29" ht="14.25" customHeight="1" x14ac:dyDescent="0.3">
      <c r="A85" s="338">
        <v>46027</v>
      </c>
      <c r="B85" s="347">
        <f t="shared" si="3"/>
        <v>-113.94</v>
      </c>
      <c r="C85" s="348" t="s">
        <v>533</v>
      </c>
      <c r="D85" s="342"/>
      <c r="E85" s="343"/>
      <c r="F85" s="345"/>
      <c r="G85" s="345"/>
      <c r="H85" s="343">
        <v>113.94</v>
      </c>
      <c r="I85" s="343"/>
      <c r="J85" s="345"/>
      <c r="K85" s="345"/>
      <c r="L85" s="343"/>
      <c r="M85" s="343"/>
      <c r="N85" s="345"/>
      <c r="O85" s="345"/>
      <c r="P85" s="343"/>
      <c r="Q85" s="343"/>
      <c r="R85" s="345"/>
      <c r="S85" s="345"/>
      <c r="T85" s="343"/>
      <c r="U85" s="343"/>
      <c r="V85" s="345"/>
      <c r="W85" s="345"/>
      <c r="X85" s="343"/>
      <c r="Y85" s="343"/>
      <c r="Z85" s="345"/>
      <c r="AA85" s="345"/>
      <c r="AB85" s="343"/>
      <c r="AC85" s="343"/>
    </row>
    <row r="86" spans="1:29" ht="14.25" customHeight="1" x14ac:dyDescent="0.3">
      <c r="A86" s="338">
        <v>46027</v>
      </c>
      <c r="B86" s="347">
        <f t="shared" si="3"/>
        <v>-622.1</v>
      </c>
      <c r="C86" s="348" t="s">
        <v>523</v>
      </c>
      <c r="D86" s="342"/>
      <c r="E86" s="343"/>
      <c r="F86" s="345"/>
      <c r="G86" s="345"/>
      <c r="H86" s="343"/>
      <c r="I86" s="343"/>
      <c r="J86" s="345"/>
      <c r="K86" s="345"/>
      <c r="L86" s="343"/>
      <c r="M86" s="343"/>
      <c r="N86" s="345"/>
      <c r="O86" s="345"/>
      <c r="P86" s="343"/>
      <c r="Q86" s="343"/>
      <c r="R86" s="345"/>
      <c r="S86" s="345"/>
      <c r="T86" s="343">
        <v>622.1</v>
      </c>
      <c r="U86" s="343"/>
      <c r="V86" s="345"/>
      <c r="W86" s="345"/>
      <c r="X86" s="343"/>
      <c r="Y86" s="343"/>
      <c r="Z86" s="345"/>
      <c r="AA86" s="345"/>
      <c r="AB86" s="343"/>
      <c r="AC86" s="343"/>
    </row>
    <row r="87" spans="1:29" ht="14.25" customHeight="1" x14ac:dyDescent="0.3">
      <c r="A87" s="338">
        <v>44562</v>
      </c>
      <c r="B87" s="347">
        <f t="shared" si="3"/>
        <v>12240.49</v>
      </c>
      <c r="C87" s="348" t="s">
        <v>534</v>
      </c>
      <c r="D87" s="342"/>
      <c r="E87" s="343">
        <v>1710.49</v>
      </c>
      <c r="F87" s="345"/>
      <c r="G87" s="345">
        <v>500</v>
      </c>
      <c r="H87" s="343"/>
      <c r="I87" s="343">
        <v>2000</v>
      </c>
      <c r="J87" s="345"/>
      <c r="K87" s="345">
        <v>1000</v>
      </c>
      <c r="L87" s="343"/>
      <c r="M87" s="343">
        <v>65</v>
      </c>
      <c r="N87" s="345"/>
      <c r="O87" s="345">
        <v>65</v>
      </c>
      <c r="P87" s="343"/>
      <c r="Q87" s="343">
        <v>100</v>
      </c>
      <c r="R87" s="345"/>
      <c r="S87" s="345">
        <v>2000</v>
      </c>
      <c r="T87" s="343"/>
      <c r="U87" s="343">
        <v>2500</v>
      </c>
      <c r="V87" s="345"/>
      <c r="W87" s="345">
        <v>500</v>
      </c>
      <c r="X87" s="343"/>
      <c r="Y87" s="343">
        <v>200</v>
      </c>
      <c r="Z87" s="345"/>
      <c r="AA87" s="345">
        <v>1500</v>
      </c>
      <c r="AB87" s="343"/>
      <c r="AC87" s="343">
        <v>100</v>
      </c>
    </row>
    <row r="88" spans="1:29" ht="14.25" customHeight="1" x14ac:dyDescent="0.3"/>
    <row r="89" spans="1:29" ht="14.25" customHeight="1" x14ac:dyDescent="0.3"/>
    <row r="90" spans="1:29" ht="14.25" customHeight="1" x14ac:dyDescent="0.3"/>
    <row r="91" spans="1:29" ht="14.25" customHeight="1" x14ac:dyDescent="0.3"/>
    <row r="92" spans="1:29" ht="14.25" customHeight="1" x14ac:dyDescent="0.3"/>
    <row r="93" spans="1:29" ht="14.25" customHeight="1" x14ac:dyDescent="0.3"/>
    <row r="94" spans="1:29" ht="14.25" customHeight="1" x14ac:dyDescent="0.3"/>
    <row r="95" spans="1:29" ht="14.25" customHeight="1" x14ac:dyDescent="0.3"/>
    <row r="96" spans="1:29" ht="14.25" customHeight="1" x14ac:dyDescent="0.3"/>
    <row r="97" ht="14.25" customHeight="1" x14ac:dyDescent="0.3"/>
    <row r="98" ht="14.25" customHeight="1" x14ac:dyDescent="0.3"/>
    <row r="99" ht="14.25" customHeight="1" x14ac:dyDescent="0.3"/>
    <row r="100" ht="14.25" customHeight="1" x14ac:dyDescent="0.3"/>
    <row r="101" ht="14.25" customHeight="1" x14ac:dyDescent="0.3"/>
    <row r="102" ht="14.25" customHeight="1" x14ac:dyDescent="0.3"/>
    <row r="103" ht="14.25" customHeight="1" x14ac:dyDescent="0.3"/>
    <row r="104" ht="14.25" customHeight="1" x14ac:dyDescent="0.3"/>
    <row r="105" ht="14.25" customHeight="1" x14ac:dyDescent="0.3"/>
    <row r="106" ht="14.25" customHeight="1" x14ac:dyDescent="0.3"/>
    <row r="107" ht="14.25" customHeight="1" x14ac:dyDescent="0.3"/>
    <row r="108" ht="14.25" customHeight="1" x14ac:dyDescent="0.3"/>
    <row r="109" ht="14.25" customHeight="1" x14ac:dyDescent="0.3"/>
    <row r="110" ht="14.25" customHeight="1" x14ac:dyDescent="0.3"/>
    <row r="111" ht="14.25" customHeight="1" x14ac:dyDescent="0.3"/>
    <row r="112" ht="14.25" customHeight="1" x14ac:dyDescent="0.3"/>
    <row r="113" ht="14.25" customHeight="1" x14ac:dyDescent="0.3"/>
    <row r="114" ht="14.25" customHeight="1" x14ac:dyDescent="0.3"/>
    <row r="115" ht="14.25" customHeight="1" x14ac:dyDescent="0.3"/>
    <row r="116" ht="14.25" customHeight="1" x14ac:dyDescent="0.3"/>
    <row r="117" ht="14.25" customHeight="1" x14ac:dyDescent="0.3"/>
    <row r="118" ht="14.25" customHeight="1" x14ac:dyDescent="0.3"/>
    <row r="119" ht="14.25" customHeight="1" x14ac:dyDescent="0.3"/>
    <row r="120" ht="14.25" customHeight="1" x14ac:dyDescent="0.3"/>
    <row r="121" ht="14.25" customHeight="1" x14ac:dyDescent="0.3"/>
    <row r="122" ht="14.25" customHeight="1" x14ac:dyDescent="0.3"/>
    <row r="123" ht="14.25" customHeight="1" x14ac:dyDescent="0.3"/>
    <row r="124" ht="14.25" customHeight="1" x14ac:dyDescent="0.3"/>
    <row r="125" ht="14.25" customHeight="1" x14ac:dyDescent="0.3"/>
    <row r="126" ht="14.25" customHeight="1" x14ac:dyDescent="0.3"/>
    <row r="127" ht="14.25" customHeight="1" x14ac:dyDescent="0.3"/>
    <row r="128" ht="14.25" customHeight="1" x14ac:dyDescent="0.3"/>
    <row r="129" ht="14.25" customHeight="1" x14ac:dyDescent="0.3"/>
    <row r="130" ht="14.25" customHeight="1" x14ac:dyDescent="0.3"/>
    <row r="131" ht="14.25" customHeight="1" x14ac:dyDescent="0.3"/>
    <row r="132" ht="14.25" customHeight="1" x14ac:dyDescent="0.3"/>
    <row r="133" ht="14.25" customHeight="1" x14ac:dyDescent="0.3"/>
    <row r="134" ht="14.25" customHeight="1" x14ac:dyDescent="0.3"/>
    <row r="135" ht="14.25" customHeight="1" x14ac:dyDescent="0.3"/>
    <row r="136" ht="14.25" customHeight="1" x14ac:dyDescent="0.3"/>
    <row r="137" ht="14.25" customHeight="1" x14ac:dyDescent="0.3"/>
    <row r="138" ht="14.25" customHeight="1" x14ac:dyDescent="0.3"/>
    <row r="139" ht="14.25" customHeight="1" x14ac:dyDescent="0.3"/>
    <row r="140" ht="14.25" customHeight="1" x14ac:dyDescent="0.3"/>
    <row r="141" ht="14.25" customHeight="1" x14ac:dyDescent="0.3"/>
    <row r="142" ht="14.25" customHeight="1" x14ac:dyDescent="0.3"/>
    <row r="143" ht="14.25" customHeight="1" x14ac:dyDescent="0.3"/>
    <row r="144" ht="14.25" customHeight="1" x14ac:dyDescent="0.3"/>
    <row r="145" ht="14.25" customHeight="1" x14ac:dyDescent="0.3"/>
    <row r="146" ht="14.25" customHeight="1" x14ac:dyDescent="0.3"/>
    <row r="147" ht="14.25" customHeight="1" x14ac:dyDescent="0.3"/>
    <row r="148" ht="14.25" customHeight="1" x14ac:dyDescent="0.3"/>
    <row r="149" ht="14.25" customHeight="1" x14ac:dyDescent="0.3"/>
    <row r="150" ht="14.25" customHeight="1" x14ac:dyDescent="0.3"/>
    <row r="151" ht="14.25" customHeight="1" x14ac:dyDescent="0.3"/>
    <row r="152" ht="14.25" customHeight="1" x14ac:dyDescent="0.3"/>
    <row r="153" ht="14.25" customHeight="1" x14ac:dyDescent="0.3"/>
    <row r="154" ht="14.25" customHeight="1" x14ac:dyDescent="0.3"/>
    <row r="155" ht="14.25" customHeight="1" x14ac:dyDescent="0.3"/>
    <row r="156" ht="14.25" customHeight="1" x14ac:dyDescent="0.3"/>
    <row r="157" ht="14.25" customHeight="1" x14ac:dyDescent="0.3"/>
    <row r="158" ht="14.25" customHeight="1" x14ac:dyDescent="0.3"/>
    <row r="159" ht="14.25" customHeight="1" x14ac:dyDescent="0.3"/>
    <row r="160" ht="14.25" customHeight="1" x14ac:dyDescent="0.3"/>
    <row r="161" ht="14.25" customHeight="1" x14ac:dyDescent="0.3"/>
    <row r="162" ht="14.25" customHeight="1" x14ac:dyDescent="0.3"/>
    <row r="163" ht="14.25" customHeight="1" x14ac:dyDescent="0.3"/>
    <row r="164" ht="14.25" customHeight="1" x14ac:dyDescent="0.3"/>
    <row r="165" ht="14.25" customHeight="1" x14ac:dyDescent="0.3"/>
    <row r="166" ht="14.25" customHeight="1" x14ac:dyDescent="0.3"/>
    <row r="167" ht="14.25" customHeight="1" x14ac:dyDescent="0.3"/>
    <row r="168" ht="14.25" customHeight="1" x14ac:dyDescent="0.3"/>
    <row r="169" ht="14.25" customHeight="1" x14ac:dyDescent="0.3"/>
    <row r="170" ht="14.25" customHeight="1" x14ac:dyDescent="0.3"/>
    <row r="171" ht="14.25" customHeight="1" x14ac:dyDescent="0.3"/>
    <row r="172" ht="14.25" customHeight="1" x14ac:dyDescent="0.3"/>
    <row r="173" ht="14.25" customHeight="1" x14ac:dyDescent="0.3"/>
    <row r="174" ht="14.25" customHeight="1" x14ac:dyDescent="0.3"/>
    <row r="175" ht="14.25" customHeight="1" x14ac:dyDescent="0.3"/>
    <row r="176" ht="14.25" customHeight="1" x14ac:dyDescent="0.3"/>
    <row r="177" ht="14.25" customHeight="1" x14ac:dyDescent="0.3"/>
    <row r="178" ht="14.25" customHeight="1" x14ac:dyDescent="0.3"/>
    <row r="179" ht="14.25" customHeight="1" x14ac:dyDescent="0.3"/>
    <row r="180" ht="14.25" customHeight="1" x14ac:dyDescent="0.3"/>
    <row r="181" ht="14.25" customHeight="1" x14ac:dyDescent="0.3"/>
    <row r="182" ht="14.25" customHeight="1" x14ac:dyDescent="0.3"/>
    <row r="183" ht="14.25" customHeight="1" x14ac:dyDescent="0.3"/>
    <row r="184" ht="14.25" customHeight="1" x14ac:dyDescent="0.3"/>
    <row r="185" ht="14.25" customHeight="1" x14ac:dyDescent="0.3"/>
    <row r="186" ht="14.25" customHeight="1" x14ac:dyDescent="0.3"/>
    <row r="187" ht="14.25" customHeight="1" x14ac:dyDescent="0.3"/>
    <row r="188" ht="14.25" customHeight="1" x14ac:dyDescent="0.3"/>
    <row r="189" ht="14.25" customHeight="1" x14ac:dyDescent="0.3"/>
    <row r="190" ht="14.25" customHeight="1" x14ac:dyDescent="0.3"/>
    <row r="191" ht="14.25" customHeight="1" x14ac:dyDescent="0.3"/>
    <row r="192" ht="14.25" customHeight="1" x14ac:dyDescent="0.3"/>
    <row r="193" ht="14.25" customHeight="1" x14ac:dyDescent="0.3"/>
    <row r="194" ht="14.25" customHeight="1" x14ac:dyDescent="0.3"/>
    <row r="195" ht="14.25" customHeight="1" x14ac:dyDescent="0.3"/>
    <row r="196" ht="14.25" customHeight="1" x14ac:dyDescent="0.3"/>
    <row r="197" ht="14.25" customHeight="1" x14ac:dyDescent="0.3"/>
    <row r="198" ht="14.25" customHeight="1" x14ac:dyDescent="0.3"/>
    <row r="199" ht="14.25" customHeight="1" x14ac:dyDescent="0.3"/>
    <row r="200" ht="14.25" customHeight="1" x14ac:dyDescent="0.3"/>
    <row r="201" ht="14.25" customHeight="1" x14ac:dyDescent="0.3"/>
    <row r="202" ht="14.25" customHeight="1" x14ac:dyDescent="0.3"/>
    <row r="203" ht="14.25" customHeight="1" x14ac:dyDescent="0.3"/>
    <row r="204" ht="14.25" customHeight="1" x14ac:dyDescent="0.3"/>
    <row r="205" ht="14.25" customHeight="1" x14ac:dyDescent="0.3"/>
    <row r="206" ht="14.25" customHeight="1" x14ac:dyDescent="0.3"/>
    <row r="207" ht="14.25" customHeight="1" x14ac:dyDescent="0.3"/>
    <row r="208" ht="14.25" customHeight="1" x14ac:dyDescent="0.3"/>
    <row r="209" ht="14.25" customHeight="1" x14ac:dyDescent="0.3"/>
    <row r="210" ht="14.25" customHeight="1" x14ac:dyDescent="0.3"/>
    <row r="211" ht="14.25" customHeight="1" x14ac:dyDescent="0.3"/>
    <row r="212" ht="14.25" customHeight="1" x14ac:dyDescent="0.3"/>
    <row r="213" ht="14.25" customHeight="1" x14ac:dyDescent="0.3"/>
    <row r="214" ht="14.25" customHeight="1" x14ac:dyDescent="0.3"/>
    <row r="215" ht="14.25" customHeight="1" x14ac:dyDescent="0.3"/>
    <row r="216" ht="14.25" customHeight="1" x14ac:dyDescent="0.3"/>
    <row r="217" ht="14.25" customHeight="1" x14ac:dyDescent="0.3"/>
    <row r="218" ht="14.25" customHeight="1" x14ac:dyDescent="0.3"/>
    <row r="219" ht="14.25" customHeight="1" x14ac:dyDescent="0.3"/>
    <row r="220" ht="14.25" customHeight="1" x14ac:dyDescent="0.3"/>
    <row r="221" ht="14.25" customHeight="1" x14ac:dyDescent="0.3"/>
    <row r="222" ht="14.25" customHeight="1" x14ac:dyDescent="0.3"/>
    <row r="223" ht="14.25" customHeight="1" x14ac:dyDescent="0.3"/>
    <row r="224" ht="14.25" customHeight="1" x14ac:dyDescent="0.3"/>
    <row r="225" ht="14.25" customHeight="1" x14ac:dyDescent="0.3"/>
    <row r="226" ht="14.25" customHeight="1" x14ac:dyDescent="0.3"/>
    <row r="227" ht="14.25" customHeight="1" x14ac:dyDescent="0.3"/>
    <row r="228" ht="14.25" customHeight="1" x14ac:dyDescent="0.3"/>
    <row r="229" ht="14.25" customHeight="1" x14ac:dyDescent="0.3"/>
    <row r="230" ht="14.25" customHeight="1" x14ac:dyDescent="0.3"/>
    <row r="231" ht="14.25" customHeight="1" x14ac:dyDescent="0.3"/>
    <row r="232" ht="14.25" customHeight="1" x14ac:dyDescent="0.3"/>
    <row r="233" ht="14.25" customHeight="1" x14ac:dyDescent="0.3"/>
    <row r="234" ht="14.25" customHeight="1" x14ac:dyDescent="0.3"/>
    <row r="235" ht="14.25" customHeight="1" x14ac:dyDescent="0.3"/>
    <row r="236" ht="14.25" customHeight="1" x14ac:dyDescent="0.3"/>
    <row r="237" ht="14.25" customHeight="1" x14ac:dyDescent="0.3"/>
    <row r="238" ht="14.25" customHeight="1" x14ac:dyDescent="0.3"/>
    <row r="239" ht="14.25" customHeight="1" x14ac:dyDescent="0.3"/>
    <row r="240" ht="14.25" customHeight="1" x14ac:dyDescent="0.3"/>
    <row r="241" ht="14.25" customHeight="1" x14ac:dyDescent="0.3"/>
    <row r="242" ht="14.25" customHeight="1" x14ac:dyDescent="0.3"/>
    <row r="243" ht="14.25" customHeight="1" x14ac:dyDescent="0.3"/>
    <row r="244" ht="14.25" customHeight="1" x14ac:dyDescent="0.3"/>
    <row r="245" ht="14.25" customHeight="1" x14ac:dyDescent="0.3"/>
    <row r="246" ht="14.25" customHeight="1" x14ac:dyDescent="0.3"/>
    <row r="247" ht="14.25" customHeight="1" x14ac:dyDescent="0.3"/>
    <row r="248" ht="14.25" customHeight="1" x14ac:dyDescent="0.3"/>
    <row r="249" ht="14.25" customHeight="1" x14ac:dyDescent="0.3"/>
    <row r="250" ht="14.25" customHeight="1" x14ac:dyDescent="0.3"/>
    <row r="251" ht="14.25" customHeight="1" x14ac:dyDescent="0.3"/>
    <row r="252" ht="14.25" customHeight="1" x14ac:dyDescent="0.3"/>
    <row r="253" ht="14.25" customHeight="1" x14ac:dyDescent="0.3"/>
    <row r="254" ht="14.25" customHeight="1" x14ac:dyDescent="0.3"/>
    <row r="255" ht="14.25" customHeight="1" x14ac:dyDescent="0.3"/>
    <row r="256" ht="14.25" customHeight="1" x14ac:dyDescent="0.3"/>
    <row r="257" ht="14.25" customHeight="1" x14ac:dyDescent="0.3"/>
    <row r="258" ht="14.25" customHeight="1" x14ac:dyDescent="0.3"/>
    <row r="259" ht="14.25" customHeight="1" x14ac:dyDescent="0.3"/>
    <row r="260" ht="14.25" customHeight="1" x14ac:dyDescent="0.3"/>
    <row r="261" ht="14.25" customHeight="1" x14ac:dyDescent="0.3"/>
    <row r="262" ht="14.25" customHeight="1" x14ac:dyDescent="0.3"/>
    <row r="263" ht="14.25" customHeight="1" x14ac:dyDescent="0.3"/>
    <row r="264" ht="14.25" customHeight="1" x14ac:dyDescent="0.3"/>
    <row r="265" ht="14.25" customHeight="1" x14ac:dyDescent="0.3"/>
    <row r="266" ht="14.25" customHeight="1" x14ac:dyDescent="0.3"/>
    <row r="267" ht="14.25" customHeight="1" x14ac:dyDescent="0.3"/>
    <row r="268" ht="14.25" customHeight="1" x14ac:dyDescent="0.3"/>
    <row r="269" ht="14.25" customHeight="1" x14ac:dyDescent="0.3"/>
    <row r="270" ht="14.25" customHeight="1" x14ac:dyDescent="0.3"/>
    <row r="271" ht="14.25" customHeight="1" x14ac:dyDescent="0.3"/>
    <row r="272" ht="14.25" customHeight="1" x14ac:dyDescent="0.3"/>
    <row r="273" ht="14.25" customHeight="1" x14ac:dyDescent="0.3"/>
    <row r="274" ht="14.25" customHeight="1" x14ac:dyDescent="0.3"/>
    <row r="275" ht="14.25" customHeight="1" x14ac:dyDescent="0.3"/>
    <row r="276" ht="14.25" customHeight="1" x14ac:dyDescent="0.3"/>
    <row r="277" ht="14.25" customHeight="1" x14ac:dyDescent="0.3"/>
    <row r="278" ht="14.25" customHeight="1" x14ac:dyDescent="0.3"/>
    <row r="279" ht="14.25" customHeight="1" x14ac:dyDescent="0.3"/>
    <row r="280" ht="14.25" customHeight="1" x14ac:dyDescent="0.3"/>
    <row r="281" ht="14.25" customHeight="1" x14ac:dyDescent="0.3"/>
    <row r="282" ht="14.25" customHeight="1" x14ac:dyDescent="0.3"/>
    <row r="283" ht="14.25" customHeight="1" x14ac:dyDescent="0.3"/>
    <row r="284" ht="14.25" customHeight="1" x14ac:dyDescent="0.3"/>
    <row r="285" ht="14.25" customHeight="1" x14ac:dyDescent="0.3"/>
    <row r="286" ht="14.25" customHeight="1" x14ac:dyDescent="0.3"/>
    <row r="287" ht="14.25" customHeight="1" x14ac:dyDescent="0.3"/>
    <row r="288" ht="14.25" customHeight="1" x14ac:dyDescent="0.3"/>
    <row r="289" ht="14.25" customHeight="1" x14ac:dyDescent="0.3"/>
    <row r="290" ht="14.25" customHeight="1" x14ac:dyDescent="0.3"/>
    <row r="291" ht="14.25" customHeight="1" x14ac:dyDescent="0.3"/>
    <row r="292" ht="14.25" customHeight="1" x14ac:dyDescent="0.3"/>
    <row r="293" ht="14.25" customHeight="1" x14ac:dyDescent="0.3"/>
    <row r="294" ht="14.25" customHeight="1" x14ac:dyDescent="0.3"/>
    <row r="295" ht="14.25" customHeight="1" x14ac:dyDescent="0.3"/>
    <row r="296" ht="14.25" customHeight="1" x14ac:dyDescent="0.3"/>
    <row r="297" ht="14.25" customHeight="1" x14ac:dyDescent="0.3"/>
    <row r="298" ht="14.25" customHeight="1" x14ac:dyDescent="0.3"/>
    <row r="299" ht="14.25" customHeight="1" x14ac:dyDescent="0.3"/>
    <row r="300" ht="14.25" customHeight="1" x14ac:dyDescent="0.3"/>
    <row r="301" ht="14.25" customHeight="1" x14ac:dyDescent="0.3"/>
    <row r="302" ht="14.25" customHeight="1" x14ac:dyDescent="0.3"/>
    <row r="303" ht="14.25" customHeight="1" x14ac:dyDescent="0.3"/>
    <row r="304" ht="14.25" customHeight="1" x14ac:dyDescent="0.3"/>
    <row r="305" ht="14.25" customHeight="1" x14ac:dyDescent="0.3"/>
    <row r="306" ht="14.25" customHeight="1" x14ac:dyDescent="0.3"/>
    <row r="307" ht="14.25" customHeight="1" x14ac:dyDescent="0.3"/>
    <row r="308" ht="14.25" customHeight="1" x14ac:dyDescent="0.3"/>
    <row r="309" ht="14.25" customHeight="1" x14ac:dyDescent="0.3"/>
    <row r="310" ht="14.25" customHeight="1" x14ac:dyDescent="0.3"/>
    <row r="311" ht="14.25" customHeight="1" x14ac:dyDescent="0.3"/>
    <row r="312" ht="14.25" customHeight="1" x14ac:dyDescent="0.3"/>
    <row r="313" ht="14.25" customHeight="1" x14ac:dyDescent="0.3"/>
    <row r="314" ht="14.25" customHeight="1" x14ac:dyDescent="0.3"/>
    <row r="315" ht="14.25" customHeight="1" x14ac:dyDescent="0.3"/>
    <row r="316" ht="14.25" customHeight="1" x14ac:dyDescent="0.3"/>
    <row r="317" ht="14.25" customHeight="1" x14ac:dyDescent="0.3"/>
    <row r="318" ht="14.25" customHeight="1" x14ac:dyDescent="0.3"/>
    <row r="319" ht="14.25" customHeight="1" x14ac:dyDescent="0.3"/>
    <row r="320" ht="14.25" customHeight="1" x14ac:dyDescent="0.3"/>
    <row r="321" ht="14.25" customHeight="1" x14ac:dyDescent="0.3"/>
    <row r="322" ht="14.25" customHeight="1" x14ac:dyDescent="0.3"/>
    <row r="323" ht="14.25" customHeight="1" x14ac:dyDescent="0.3"/>
    <row r="324" ht="14.25" customHeight="1" x14ac:dyDescent="0.3"/>
    <row r="325" ht="14.25" customHeight="1" x14ac:dyDescent="0.3"/>
    <row r="326" ht="14.25" customHeight="1" x14ac:dyDescent="0.3"/>
    <row r="327" ht="14.25" customHeight="1" x14ac:dyDescent="0.3"/>
    <row r="328" ht="14.25" customHeight="1" x14ac:dyDescent="0.3"/>
    <row r="329" ht="14.25" customHeight="1" x14ac:dyDescent="0.3"/>
    <row r="330" ht="14.25" customHeight="1" x14ac:dyDescent="0.3"/>
    <row r="331" ht="14.25" customHeight="1" x14ac:dyDescent="0.3"/>
    <row r="332" ht="14.25" customHeight="1" x14ac:dyDescent="0.3"/>
    <row r="333" ht="14.25" customHeight="1" x14ac:dyDescent="0.3"/>
    <row r="334" ht="14.25" customHeight="1" x14ac:dyDescent="0.3"/>
    <row r="335" ht="14.25" customHeight="1" x14ac:dyDescent="0.3"/>
    <row r="336" ht="14.25" customHeight="1" x14ac:dyDescent="0.3"/>
    <row r="337" ht="14.25" customHeight="1" x14ac:dyDescent="0.3"/>
    <row r="338" ht="14.25" customHeight="1" x14ac:dyDescent="0.3"/>
    <row r="339" ht="14.25" customHeight="1" x14ac:dyDescent="0.3"/>
    <row r="340" ht="14.25" customHeight="1" x14ac:dyDescent="0.3"/>
    <row r="341" ht="14.25" customHeight="1" x14ac:dyDescent="0.3"/>
    <row r="342" ht="14.25" customHeight="1" x14ac:dyDescent="0.3"/>
    <row r="343" ht="14.25" customHeight="1" x14ac:dyDescent="0.3"/>
    <row r="344" ht="14.25" customHeight="1" x14ac:dyDescent="0.3"/>
    <row r="345" ht="14.25" customHeight="1" x14ac:dyDescent="0.3"/>
    <row r="346" ht="14.25" customHeight="1" x14ac:dyDescent="0.3"/>
    <row r="347" ht="14.25" customHeight="1" x14ac:dyDescent="0.3"/>
    <row r="348" ht="14.25" customHeight="1" x14ac:dyDescent="0.3"/>
    <row r="349" ht="14.25" customHeight="1" x14ac:dyDescent="0.3"/>
    <row r="350" ht="14.25" customHeight="1" x14ac:dyDescent="0.3"/>
    <row r="351" ht="14.25" customHeight="1" x14ac:dyDescent="0.3"/>
    <row r="352" ht="14.25" customHeight="1" x14ac:dyDescent="0.3"/>
    <row r="353" ht="14.25" customHeight="1" x14ac:dyDescent="0.3"/>
    <row r="354" ht="14.25" customHeight="1" x14ac:dyDescent="0.3"/>
    <row r="355" ht="14.25" customHeight="1" x14ac:dyDescent="0.3"/>
    <row r="356" ht="14.25" customHeight="1" x14ac:dyDescent="0.3"/>
    <row r="357" ht="14.25" customHeight="1" x14ac:dyDescent="0.3"/>
    <row r="358" ht="14.25" customHeight="1" x14ac:dyDescent="0.3"/>
    <row r="359" ht="14.25" customHeight="1" x14ac:dyDescent="0.3"/>
    <row r="360" ht="14.25" customHeight="1" x14ac:dyDescent="0.3"/>
    <row r="361" ht="14.25" customHeight="1" x14ac:dyDescent="0.3"/>
    <row r="362" ht="14.25" customHeight="1" x14ac:dyDescent="0.3"/>
    <row r="363" ht="14.25" customHeight="1" x14ac:dyDescent="0.3"/>
    <row r="364" ht="14.25" customHeight="1" x14ac:dyDescent="0.3"/>
    <row r="365" ht="14.25" customHeight="1" x14ac:dyDescent="0.3"/>
    <row r="366" ht="14.25" customHeight="1" x14ac:dyDescent="0.3"/>
    <row r="367" ht="14.25" customHeight="1" x14ac:dyDescent="0.3"/>
    <row r="368" ht="14.25" customHeight="1" x14ac:dyDescent="0.3"/>
    <row r="369" ht="14.25" customHeight="1" x14ac:dyDescent="0.3"/>
    <row r="370" ht="14.25" customHeight="1" x14ac:dyDescent="0.3"/>
    <row r="371" ht="14.25" customHeight="1" x14ac:dyDescent="0.3"/>
    <row r="372" ht="14.25" customHeight="1" x14ac:dyDescent="0.3"/>
    <row r="373" ht="14.25" customHeight="1" x14ac:dyDescent="0.3"/>
    <row r="374" ht="14.25" customHeight="1" x14ac:dyDescent="0.3"/>
    <row r="375" ht="14.25" customHeight="1" x14ac:dyDescent="0.3"/>
    <row r="376" ht="14.25" customHeight="1" x14ac:dyDescent="0.3"/>
    <row r="377" ht="14.25" customHeight="1" x14ac:dyDescent="0.3"/>
    <row r="378" ht="14.25" customHeight="1" x14ac:dyDescent="0.3"/>
    <row r="379" ht="14.25" customHeight="1" x14ac:dyDescent="0.3"/>
    <row r="380" ht="14.25" customHeight="1" x14ac:dyDescent="0.3"/>
    <row r="381" ht="14.25" customHeight="1" x14ac:dyDescent="0.3"/>
    <row r="382" ht="14.25" customHeight="1" x14ac:dyDescent="0.3"/>
    <row r="383" ht="14.25" customHeight="1" x14ac:dyDescent="0.3"/>
    <row r="384" ht="14.25" customHeight="1" x14ac:dyDescent="0.3"/>
    <row r="385" ht="14.25" customHeight="1" x14ac:dyDescent="0.3"/>
    <row r="386" ht="14.25" customHeight="1" x14ac:dyDescent="0.3"/>
    <row r="387" ht="14.25" customHeight="1" x14ac:dyDescent="0.3"/>
    <row r="388" ht="14.25" customHeight="1" x14ac:dyDescent="0.3"/>
    <row r="389" ht="14.25" customHeight="1" x14ac:dyDescent="0.3"/>
    <row r="390" ht="14.25" customHeight="1" x14ac:dyDescent="0.3"/>
    <row r="391" ht="14.25" customHeight="1" x14ac:dyDescent="0.3"/>
    <row r="392" ht="14.25" customHeight="1" x14ac:dyDescent="0.3"/>
    <row r="393" ht="14.25" customHeight="1" x14ac:dyDescent="0.3"/>
    <row r="394" ht="14.25" customHeight="1" x14ac:dyDescent="0.3"/>
    <row r="395" ht="14.25" customHeight="1" x14ac:dyDescent="0.3"/>
    <row r="396" ht="14.25" customHeight="1" x14ac:dyDescent="0.3"/>
    <row r="397" ht="14.25" customHeight="1" x14ac:dyDescent="0.3"/>
    <row r="398" ht="14.25" customHeight="1" x14ac:dyDescent="0.3"/>
    <row r="399" ht="14.25" customHeight="1" x14ac:dyDescent="0.3"/>
    <row r="400" ht="14.25" customHeight="1" x14ac:dyDescent="0.3"/>
    <row r="401" ht="14.25" customHeight="1" x14ac:dyDescent="0.3"/>
    <row r="402" ht="14.25" customHeight="1" x14ac:dyDescent="0.3"/>
    <row r="403" ht="14.25" customHeight="1" x14ac:dyDescent="0.3"/>
    <row r="404" ht="14.25" customHeight="1" x14ac:dyDescent="0.3"/>
    <row r="405" ht="14.25" customHeight="1" x14ac:dyDescent="0.3"/>
    <row r="406" ht="14.25" customHeight="1" x14ac:dyDescent="0.3"/>
    <row r="407" ht="14.25" customHeight="1" x14ac:dyDescent="0.3"/>
    <row r="408" ht="14.25" customHeight="1" x14ac:dyDescent="0.3"/>
    <row r="409" ht="14.25" customHeight="1" x14ac:dyDescent="0.3"/>
    <row r="410" ht="14.25" customHeight="1" x14ac:dyDescent="0.3"/>
    <row r="411" ht="14.25" customHeight="1" x14ac:dyDescent="0.3"/>
    <row r="412" ht="14.25" customHeight="1" x14ac:dyDescent="0.3"/>
    <row r="413" ht="14.25" customHeight="1" x14ac:dyDescent="0.3"/>
    <row r="414" ht="14.25" customHeight="1" x14ac:dyDescent="0.3"/>
    <row r="415" ht="14.25" customHeight="1" x14ac:dyDescent="0.3"/>
    <row r="416" ht="14.25" customHeight="1" x14ac:dyDescent="0.3"/>
    <row r="417" ht="14.25" customHeight="1" x14ac:dyDescent="0.3"/>
    <row r="418" ht="14.25" customHeight="1" x14ac:dyDescent="0.3"/>
    <row r="419" ht="14.25" customHeight="1" x14ac:dyDescent="0.3"/>
    <row r="420" ht="14.25" customHeight="1" x14ac:dyDescent="0.3"/>
    <row r="421" ht="14.25" customHeight="1" x14ac:dyDescent="0.3"/>
    <row r="422" ht="14.25" customHeight="1" x14ac:dyDescent="0.3"/>
    <row r="423" ht="14.25" customHeight="1" x14ac:dyDescent="0.3"/>
    <row r="424" ht="14.25" customHeight="1" x14ac:dyDescent="0.3"/>
    <row r="425" ht="14.25" customHeight="1" x14ac:dyDescent="0.3"/>
    <row r="426" ht="14.25" customHeight="1" x14ac:dyDescent="0.3"/>
    <row r="427" ht="14.25" customHeight="1" x14ac:dyDescent="0.3"/>
    <row r="428" ht="14.25" customHeight="1" x14ac:dyDescent="0.3"/>
    <row r="429" ht="14.25" customHeight="1" x14ac:dyDescent="0.3"/>
    <row r="430" ht="14.25" customHeight="1" x14ac:dyDescent="0.3"/>
    <row r="431" ht="14.25" customHeight="1" x14ac:dyDescent="0.3"/>
    <row r="432" ht="14.25" customHeight="1" x14ac:dyDescent="0.3"/>
    <row r="433" ht="14.25" customHeight="1" x14ac:dyDescent="0.3"/>
    <row r="434" ht="14.25" customHeight="1" x14ac:dyDescent="0.3"/>
    <row r="435" ht="14.25" customHeight="1" x14ac:dyDescent="0.3"/>
    <row r="436" ht="14.25" customHeight="1" x14ac:dyDescent="0.3"/>
    <row r="437" ht="14.25" customHeight="1" x14ac:dyDescent="0.3"/>
    <row r="438" ht="14.25" customHeight="1" x14ac:dyDescent="0.3"/>
    <row r="439" ht="14.25" customHeight="1" x14ac:dyDescent="0.3"/>
    <row r="440" ht="14.25" customHeight="1" x14ac:dyDescent="0.3"/>
    <row r="441" ht="14.25" customHeight="1" x14ac:dyDescent="0.3"/>
    <row r="442" ht="14.25" customHeight="1" x14ac:dyDescent="0.3"/>
    <row r="443" ht="14.25" customHeight="1" x14ac:dyDescent="0.3"/>
    <row r="444" ht="14.25" customHeight="1" x14ac:dyDescent="0.3"/>
    <row r="445" ht="14.25" customHeight="1" x14ac:dyDescent="0.3"/>
    <row r="446" ht="14.25" customHeight="1" x14ac:dyDescent="0.3"/>
    <row r="447" ht="14.25" customHeight="1" x14ac:dyDescent="0.3"/>
    <row r="448" ht="14.25" customHeight="1" x14ac:dyDescent="0.3"/>
    <row r="449" ht="14.25" customHeight="1" x14ac:dyDescent="0.3"/>
    <row r="450" ht="14.25" customHeight="1" x14ac:dyDescent="0.3"/>
    <row r="451" ht="14.25" customHeight="1" x14ac:dyDescent="0.3"/>
    <row r="452" ht="14.25" customHeight="1" x14ac:dyDescent="0.3"/>
    <row r="453" ht="14.25" customHeight="1" x14ac:dyDescent="0.3"/>
    <row r="454" ht="14.25" customHeight="1" x14ac:dyDescent="0.3"/>
    <row r="455" ht="14.25" customHeight="1" x14ac:dyDescent="0.3"/>
    <row r="456" ht="14.25" customHeight="1" x14ac:dyDescent="0.3"/>
    <row r="457" ht="14.25" customHeight="1" x14ac:dyDescent="0.3"/>
    <row r="458" ht="14.25" customHeight="1" x14ac:dyDescent="0.3"/>
    <row r="459" ht="14.25" customHeight="1" x14ac:dyDescent="0.3"/>
    <row r="460" ht="14.25" customHeight="1" x14ac:dyDescent="0.3"/>
    <row r="461" ht="14.25" customHeight="1" x14ac:dyDescent="0.3"/>
    <row r="462" ht="14.25" customHeight="1" x14ac:dyDescent="0.3"/>
    <row r="463" ht="14.25" customHeight="1" x14ac:dyDescent="0.3"/>
    <row r="464" ht="14.25" customHeight="1" x14ac:dyDescent="0.3"/>
    <row r="465" ht="14.25" customHeight="1" x14ac:dyDescent="0.3"/>
    <row r="466" ht="14.25" customHeight="1" x14ac:dyDescent="0.3"/>
    <row r="467" ht="14.25" customHeight="1" x14ac:dyDescent="0.3"/>
    <row r="468" ht="14.25" customHeight="1" x14ac:dyDescent="0.3"/>
    <row r="469" ht="14.25" customHeight="1" x14ac:dyDescent="0.3"/>
    <row r="470" ht="14.25" customHeight="1" x14ac:dyDescent="0.3"/>
    <row r="471" ht="14.25" customHeight="1" x14ac:dyDescent="0.3"/>
    <row r="472" ht="14.25" customHeight="1" x14ac:dyDescent="0.3"/>
    <row r="473" ht="14.25" customHeight="1" x14ac:dyDescent="0.3"/>
    <row r="474" ht="14.25" customHeight="1" x14ac:dyDescent="0.3"/>
    <row r="475" ht="14.25" customHeight="1" x14ac:dyDescent="0.3"/>
    <row r="476" ht="14.25" customHeight="1" x14ac:dyDescent="0.3"/>
    <row r="477" ht="14.25" customHeight="1" x14ac:dyDescent="0.3"/>
    <row r="478" ht="14.25" customHeight="1" x14ac:dyDescent="0.3"/>
    <row r="479" ht="14.25" customHeight="1" x14ac:dyDescent="0.3"/>
    <row r="480" ht="14.25" customHeight="1" x14ac:dyDescent="0.3"/>
    <row r="481" ht="14.25" customHeight="1" x14ac:dyDescent="0.3"/>
    <row r="482" ht="14.25" customHeight="1" x14ac:dyDescent="0.3"/>
    <row r="483" ht="14.25" customHeight="1" x14ac:dyDescent="0.3"/>
    <row r="484" ht="14.25" customHeight="1" x14ac:dyDescent="0.3"/>
    <row r="485" ht="14.25" customHeight="1" x14ac:dyDescent="0.3"/>
    <row r="486" ht="14.25" customHeight="1" x14ac:dyDescent="0.3"/>
    <row r="487" ht="14.25" customHeight="1" x14ac:dyDescent="0.3"/>
    <row r="488" ht="14.25" customHeight="1" x14ac:dyDescent="0.3"/>
    <row r="489" ht="14.25" customHeight="1" x14ac:dyDescent="0.3"/>
    <row r="490" ht="14.25" customHeight="1" x14ac:dyDescent="0.3"/>
    <row r="491" ht="14.25" customHeight="1" x14ac:dyDescent="0.3"/>
    <row r="492" ht="14.25" customHeight="1" x14ac:dyDescent="0.3"/>
    <row r="493" ht="14.25" customHeight="1" x14ac:dyDescent="0.3"/>
    <row r="494" ht="14.25" customHeight="1" x14ac:dyDescent="0.3"/>
    <row r="495" ht="14.25" customHeight="1" x14ac:dyDescent="0.3"/>
    <row r="496" ht="14.25" customHeight="1" x14ac:dyDescent="0.3"/>
    <row r="497" ht="14.25" customHeight="1" x14ac:dyDescent="0.3"/>
    <row r="498" ht="14.25" customHeight="1" x14ac:dyDescent="0.3"/>
    <row r="499" ht="14.25" customHeight="1" x14ac:dyDescent="0.3"/>
    <row r="500" ht="14.25" customHeight="1" x14ac:dyDescent="0.3"/>
    <row r="501" ht="14.25" customHeight="1" x14ac:dyDescent="0.3"/>
    <row r="502" ht="14.25" customHeight="1" x14ac:dyDescent="0.3"/>
    <row r="503" ht="14.25" customHeight="1" x14ac:dyDescent="0.3"/>
    <row r="504" ht="14.25" customHeight="1" x14ac:dyDescent="0.3"/>
    <row r="505" ht="14.25" customHeight="1" x14ac:dyDescent="0.3"/>
    <row r="506" ht="14.25" customHeight="1" x14ac:dyDescent="0.3"/>
    <row r="507" ht="14.25" customHeight="1" x14ac:dyDescent="0.3"/>
    <row r="508" ht="14.25" customHeight="1" x14ac:dyDescent="0.3"/>
    <row r="509" ht="14.25" customHeight="1" x14ac:dyDescent="0.3"/>
    <row r="510" ht="14.25" customHeight="1" x14ac:dyDescent="0.3"/>
    <row r="511" ht="14.25" customHeight="1" x14ac:dyDescent="0.3"/>
    <row r="512" ht="14.25" customHeight="1" x14ac:dyDescent="0.3"/>
    <row r="513" ht="14.25" customHeight="1" x14ac:dyDescent="0.3"/>
    <row r="514" ht="14.25" customHeight="1" x14ac:dyDescent="0.3"/>
    <row r="515" ht="14.25" customHeight="1" x14ac:dyDescent="0.3"/>
    <row r="516" ht="14.25" customHeight="1" x14ac:dyDescent="0.3"/>
    <row r="517" ht="14.25" customHeight="1" x14ac:dyDescent="0.3"/>
    <row r="518" ht="14.25" customHeight="1" x14ac:dyDescent="0.3"/>
    <row r="519" ht="14.25" customHeight="1" x14ac:dyDescent="0.3"/>
    <row r="520" ht="14.25" customHeight="1" x14ac:dyDescent="0.3"/>
    <row r="521" ht="14.25" customHeight="1" x14ac:dyDescent="0.3"/>
    <row r="522" ht="14.25" customHeight="1" x14ac:dyDescent="0.3"/>
    <row r="523" ht="14.25" customHeight="1" x14ac:dyDescent="0.3"/>
    <row r="524" ht="14.25" customHeight="1" x14ac:dyDescent="0.3"/>
    <row r="525" ht="14.25" customHeight="1" x14ac:dyDescent="0.3"/>
    <row r="526" ht="14.25" customHeight="1" x14ac:dyDescent="0.3"/>
    <row r="527" ht="14.25" customHeight="1" x14ac:dyDescent="0.3"/>
    <row r="528" ht="14.25" customHeight="1" x14ac:dyDescent="0.3"/>
    <row r="529" ht="14.25" customHeight="1" x14ac:dyDescent="0.3"/>
    <row r="530" ht="14.25" customHeight="1" x14ac:dyDescent="0.3"/>
    <row r="531" ht="14.25" customHeight="1" x14ac:dyDescent="0.3"/>
    <row r="532" ht="14.25" customHeight="1" x14ac:dyDescent="0.3"/>
    <row r="533" ht="14.25" customHeight="1" x14ac:dyDescent="0.3"/>
    <row r="534" ht="14.25" customHeight="1" x14ac:dyDescent="0.3"/>
    <row r="535" ht="14.25" customHeight="1" x14ac:dyDescent="0.3"/>
    <row r="536" ht="14.25" customHeight="1" x14ac:dyDescent="0.3"/>
    <row r="537" ht="14.25" customHeight="1" x14ac:dyDescent="0.3"/>
    <row r="538" ht="14.25" customHeight="1" x14ac:dyDescent="0.3"/>
    <row r="539" ht="14.25" customHeight="1" x14ac:dyDescent="0.3"/>
    <row r="540" ht="14.25" customHeight="1" x14ac:dyDescent="0.3"/>
    <row r="541" ht="14.25" customHeight="1" x14ac:dyDescent="0.3"/>
    <row r="542" ht="14.25" customHeight="1" x14ac:dyDescent="0.3"/>
    <row r="543" ht="14.25" customHeight="1" x14ac:dyDescent="0.3"/>
    <row r="544" ht="14.25" customHeight="1" x14ac:dyDescent="0.3"/>
    <row r="545" ht="14.25" customHeight="1" x14ac:dyDescent="0.3"/>
    <row r="546" ht="14.25" customHeight="1" x14ac:dyDescent="0.3"/>
    <row r="547" ht="14.25" customHeight="1" x14ac:dyDescent="0.3"/>
    <row r="548" ht="14.25" customHeight="1" x14ac:dyDescent="0.3"/>
    <row r="549" ht="14.25" customHeight="1" x14ac:dyDescent="0.3"/>
    <row r="550" ht="14.25" customHeight="1" x14ac:dyDescent="0.3"/>
    <row r="551" ht="14.25" customHeight="1" x14ac:dyDescent="0.3"/>
    <row r="552" ht="14.25" customHeight="1" x14ac:dyDescent="0.3"/>
    <row r="553" ht="14.25" customHeight="1" x14ac:dyDescent="0.3"/>
    <row r="554" ht="14.25" customHeight="1" x14ac:dyDescent="0.3"/>
    <row r="555" ht="14.25" customHeight="1" x14ac:dyDescent="0.3"/>
    <row r="556" ht="14.25" customHeight="1" x14ac:dyDescent="0.3"/>
    <row r="557" ht="14.25" customHeight="1" x14ac:dyDescent="0.3"/>
    <row r="558" ht="14.25" customHeight="1" x14ac:dyDescent="0.3"/>
    <row r="559" ht="14.25" customHeight="1" x14ac:dyDescent="0.3"/>
    <row r="560" ht="14.25" customHeight="1" x14ac:dyDescent="0.3"/>
    <row r="561" ht="14.25" customHeight="1" x14ac:dyDescent="0.3"/>
    <row r="562" ht="14.25" customHeight="1" x14ac:dyDescent="0.3"/>
    <row r="563" ht="14.25" customHeight="1" x14ac:dyDescent="0.3"/>
    <row r="564" ht="14.25" customHeight="1" x14ac:dyDescent="0.3"/>
    <row r="565" ht="14.25" customHeight="1" x14ac:dyDescent="0.3"/>
    <row r="566" ht="14.25" customHeight="1" x14ac:dyDescent="0.3"/>
    <row r="567" ht="14.25" customHeight="1" x14ac:dyDescent="0.3"/>
    <row r="568" ht="14.25" customHeight="1" x14ac:dyDescent="0.3"/>
    <row r="569" ht="14.25" customHeight="1" x14ac:dyDescent="0.3"/>
    <row r="570" ht="14.25" customHeight="1" x14ac:dyDescent="0.3"/>
    <row r="571" ht="14.25" customHeight="1" x14ac:dyDescent="0.3"/>
    <row r="572" ht="14.25" customHeight="1" x14ac:dyDescent="0.3"/>
    <row r="573" ht="14.25" customHeight="1" x14ac:dyDescent="0.3"/>
    <row r="574" ht="14.25" customHeight="1" x14ac:dyDescent="0.3"/>
    <row r="575" ht="14.25" customHeight="1" x14ac:dyDescent="0.3"/>
    <row r="576" ht="14.25" customHeight="1" x14ac:dyDescent="0.3"/>
    <row r="577" ht="14.25" customHeight="1" x14ac:dyDescent="0.3"/>
    <row r="578" ht="14.25" customHeight="1" x14ac:dyDescent="0.3"/>
    <row r="579" ht="14.25" customHeight="1" x14ac:dyDescent="0.3"/>
    <row r="580" ht="14.25" customHeight="1" x14ac:dyDescent="0.3"/>
    <row r="581" ht="14.25" customHeight="1" x14ac:dyDescent="0.3"/>
    <row r="582" ht="14.25" customHeight="1" x14ac:dyDescent="0.3"/>
    <row r="583" ht="14.25" customHeight="1" x14ac:dyDescent="0.3"/>
    <row r="584" ht="14.25" customHeight="1" x14ac:dyDescent="0.3"/>
    <row r="585" ht="14.25" customHeight="1" x14ac:dyDescent="0.3"/>
    <row r="586" ht="14.25" customHeight="1" x14ac:dyDescent="0.3"/>
    <row r="587" ht="14.25" customHeight="1" x14ac:dyDescent="0.3"/>
    <row r="588" ht="14.25" customHeight="1" x14ac:dyDescent="0.3"/>
    <row r="589" ht="14.25" customHeight="1" x14ac:dyDescent="0.3"/>
    <row r="590" ht="14.25" customHeight="1" x14ac:dyDescent="0.3"/>
    <row r="591" ht="14.25" customHeight="1" x14ac:dyDescent="0.3"/>
    <row r="592" ht="14.25" customHeight="1" x14ac:dyDescent="0.3"/>
    <row r="593" ht="14.25" customHeight="1" x14ac:dyDescent="0.3"/>
    <row r="594" ht="14.25" customHeight="1" x14ac:dyDescent="0.3"/>
    <row r="595" ht="14.25" customHeight="1" x14ac:dyDescent="0.3"/>
    <row r="596" ht="14.25" customHeight="1" x14ac:dyDescent="0.3"/>
    <row r="597" ht="14.25" customHeight="1" x14ac:dyDescent="0.3"/>
    <row r="598" ht="14.25" customHeight="1" x14ac:dyDescent="0.3"/>
    <row r="599" ht="14.25" customHeight="1" x14ac:dyDescent="0.3"/>
    <row r="600" ht="14.25" customHeight="1" x14ac:dyDescent="0.3"/>
    <row r="601" ht="14.25" customHeight="1" x14ac:dyDescent="0.3"/>
    <row r="602" ht="14.25" customHeight="1" x14ac:dyDescent="0.3"/>
    <row r="603" ht="14.25" customHeight="1" x14ac:dyDescent="0.3"/>
    <row r="604" ht="14.25" customHeight="1" x14ac:dyDescent="0.3"/>
    <row r="605" ht="14.25" customHeight="1" x14ac:dyDescent="0.3"/>
    <row r="606" ht="14.25" customHeight="1" x14ac:dyDescent="0.3"/>
    <row r="607" ht="14.25" customHeight="1" x14ac:dyDescent="0.3"/>
    <row r="608" ht="14.25" customHeight="1" x14ac:dyDescent="0.3"/>
    <row r="609" ht="14.25" customHeight="1" x14ac:dyDescent="0.3"/>
    <row r="610" ht="14.25" customHeight="1" x14ac:dyDescent="0.3"/>
    <row r="611" ht="14.25" customHeight="1" x14ac:dyDescent="0.3"/>
    <row r="612" ht="14.25" customHeight="1" x14ac:dyDescent="0.3"/>
    <row r="613" ht="14.25" customHeight="1" x14ac:dyDescent="0.3"/>
    <row r="614" ht="14.25" customHeight="1" x14ac:dyDescent="0.3"/>
    <row r="615" ht="14.25" customHeight="1" x14ac:dyDescent="0.3"/>
    <row r="616" ht="14.25" customHeight="1" x14ac:dyDescent="0.3"/>
    <row r="617" ht="14.25" customHeight="1" x14ac:dyDescent="0.3"/>
    <row r="618" ht="14.25" customHeight="1" x14ac:dyDescent="0.3"/>
    <row r="619" ht="14.25" customHeight="1" x14ac:dyDescent="0.3"/>
    <row r="620" ht="14.25" customHeight="1" x14ac:dyDescent="0.3"/>
    <row r="621" ht="14.25" customHeight="1" x14ac:dyDescent="0.3"/>
    <row r="622" ht="14.25" customHeight="1" x14ac:dyDescent="0.3"/>
    <row r="623" ht="14.25" customHeight="1" x14ac:dyDescent="0.3"/>
    <row r="624" ht="14.25" customHeight="1" x14ac:dyDescent="0.3"/>
    <row r="625" ht="14.25" customHeight="1" x14ac:dyDescent="0.3"/>
    <row r="626" ht="14.25" customHeight="1" x14ac:dyDescent="0.3"/>
    <row r="627" ht="14.25" customHeight="1" x14ac:dyDescent="0.3"/>
    <row r="628" ht="14.25" customHeight="1" x14ac:dyDescent="0.3"/>
    <row r="629" ht="14.25" customHeight="1" x14ac:dyDescent="0.3"/>
    <row r="630" ht="14.25" customHeight="1" x14ac:dyDescent="0.3"/>
    <row r="631" ht="14.25" customHeight="1" x14ac:dyDescent="0.3"/>
    <row r="632" ht="14.25" customHeight="1" x14ac:dyDescent="0.3"/>
    <row r="633" ht="14.25" customHeight="1" x14ac:dyDescent="0.3"/>
    <row r="634" ht="14.25" customHeight="1" x14ac:dyDescent="0.3"/>
    <row r="635" ht="14.25" customHeight="1" x14ac:dyDescent="0.3"/>
    <row r="636" ht="14.25" customHeight="1" x14ac:dyDescent="0.3"/>
    <row r="637" ht="14.25" customHeight="1" x14ac:dyDescent="0.3"/>
    <row r="638" ht="14.25" customHeight="1" x14ac:dyDescent="0.3"/>
    <row r="639" ht="14.25" customHeight="1" x14ac:dyDescent="0.3"/>
    <row r="640" ht="14.25" customHeight="1" x14ac:dyDescent="0.3"/>
    <row r="641" ht="14.25" customHeight="1" x14ac:dyDescent="0.3"/>
    <row r="642" ht="14.25" customHeight="1" x14ac:dyDescent="0.3"/>
    <row r="643" ht="14.25" customHeight="1" x14ac:dyDescent="0.3"/>
    <row r="644" ht="14.25" customHeight="1" x14ac:dyDescent="0.3"/>
    <row r="645" ht="14.25" customHeight="1" x14ac:dyDescent="0.3"/>
    <row r="646" ht="14.25" customHeight="1" x14ac:dyDescent="0.3"/>
    <row r="647" ht="14.25" customHeight="1" x14ac:dyDescent="0.3"/>
    <row r="648" ht="14.25" customHeight="1" x14ac:dyDescent="0.3"/>
    <row r="649" ht="14.25" customHeight="1" x14ac:dyDescent="0.3"/>
    <row r="650" ht="14.25" customHeight="1" x14ac:dyDescent="0.3"/>
    <row r="651" ht="14.25" customHeight="1" x14ac:dyDescent="0.3"/>
    <row r="652" ht="14.25" customHeight="1" x14ac:dyDescent="0.3"/>
    <row r="653" ht="14.25" customHeight="1" x14ac:dyDescent="0.3"/>
    <row r="654" ht="14.25" customHeight="1" x14ac:dyDescent="0.3"/>
    <row r="655" ht="14.25" customHeight="1" x14ac:dyDescent="0.3"/>
    <row r="656" ht="14.25" customHeight="1" x14ac:dyDescent="0.3"/>
    <row r="657" ht="14.25" customHeight="1" x14ac:dyDescent="0.3"/>
    <row r="658" ht="14.25" customHeight="1" x14ac:dyDescent="0.3"/>
    <row r="659" ht="14.25" customHeight="1" x14ac:dyDescent="0.3"/>
    <row r="660" ht="14.25" customHeight="1" x14ac:dyDescent="0.3"/>
    <row r="661" ht="14.25" customHeight="1" x14ac:dyDescent="0.3"/>
    <row r="662" ht="14.25" customHeight="1" x14ac:dyDescent="0.3"/>
    <row r="663" ht="14.25" customHeight="1" x14ac:dyDescent="0.3"/>
    <row r="664" ht="14.25" customHeight="1" x14ac:dyDescent="0.3"/>
    <row r="665" ht="14.25" customHeight="1" x14ac:dyDescent="0.3"/>
    <row r="666" ht="14.25" customHeight="1" x14ac:dyDescent="0.3"/>
    <row r="667" ht="14.25" customHeight="1" x14ac:dyDescent="0.3"/>
    <row r="668" ht="14.25" customHeight="1" x14ac:dyDescent="0.3"/>
    <row r="669" ht="14.25" customHeight="1" x14ac:dyDescent="0.3"/>
    <row r="670" ht="14.25" customHeight="1" x14ac:dyDescent="0.3"/>
    <row r="671" ht="14.25" customHeight="1" x14ac:dyDescent="0.3"/>
    <row r="672" ht="14.25" customHeight="1" x14ac:dyDescent="0.3"/>
    <row r="673" ht="14.25" customHeight="1" x14ac:dyDescent="0.3"/>
    <row r="674" ht="14.25" customHeight="1" x14ac:dyDescent="0.3"/>
    <row r="675" ht="14.25" customHeight="1" x14ac:dyDescent="0.3"/>
    <row r="676" ht="14.25" customHeight="1" x14ac:dyDescent="0.3"/>
    <row r="677" ht="14.25" customHeight="1" x14ac:dyDescent="0.3"/>
    <row r="678" ht="14.25" customHeight="1" x14ac:dyDescent="0.3"/>
    <row r="679" ht="14.25" customHeight="1" x14ac:dyDescent="0.3"/>
    <row r="680" ht="14.25" customHeight="1" x14ac:dyDescent="0.3"/>
    <row r="681" ht="14.25" customHeight="1" x14ac:dyDescent="0.3"/>
    <row r="682" ht="14.25" customHeight="1" x14ac:dyDescent="0.3"/>
    <row r="683" ht="14.25" customHeight="1" x14ac:dyDescent="0.3"/>
    <row r="684" ht="14.25" customHeight="1" x14ac:dyDescent="0.3"/>
    <row r="685" ht="14.25" customHeight="1" x14ac:dyDescent="0.3"/>
    <row r="686" ht="14.25" customHeight="1" x14ac:dyDescent="0.3"/>
    <row r="687" ht="14.25" customHeight="1" x14ac:dyDescent="0.3"/>
    <row r="688" ht="14.25" customHeight="1" x14ac:dyDescent="0.3"/>
    <row r="689" ht="14.25" customHeight="1" x14ac:dyDescent="0.3"/>
    <row r="690" ht="14.25" customHeight="1" x14ac:dyDescent="0.3"/>
    <row r="691" ht="14.25" customHeight="1" x14ac:dyDescent="0.3"/>
    <row r="692" ht="14.25" customHeight="1" x14ac:dyDescent="0.3"/>
    <row r="693" ht="14.25" customHeight="1" x14ac:dyDescent="0.3"/>
    <row r="694" ht="14.25" customHeight="1" x14ac:dyDescent="0.3"/>
    <row r="695" ht="14.25" customHeight="1" x14ac:dyDescent="0.3"/>
    <row r="696" ht="14.25" customHeight="1" x14ac:dyDescent="0.3"/>
    <row r="697" ht="14.25" customHeight="1" x14ac:dyDescent="0.3"/>
    <row r="698" ht="14.25" customHeight="1" x14ac:dyDescent="0.3"/>
    <row r="699" ht="14.25" customHeight="1" x14ac:dyDescent="0.3"/>
    <row r="700" ht="14.25" customHeight="1" x14ac:dyDescent="0.3"/>
    <row r="701" ht="14.25" customHeight="1" x14ac:dyDescent="0.3"/>
    <row r="702" ht="14.25" customHeight="1" x14ac:dyDescent="0.3"/>
    <row r="703" ht="14.25" customHeight="1" x14ac:dyDescent="0.3"/>
    <row r="704" ht="14.25" customHeight="1" x14ac:dyDescent="0.3"/>
    <row r="705" ht="14.25" customHeight="1" x14ac:dyDescent="0.3"/>
    <row r="706" ht="14.25" customHeight="1" x14ac:dyDescent="0.3"/>
    <row r="707" ht="14.25" customHeight="1" x14ac:dyDescent="0.3"/>
    <row r="708" ht="14.25" customHeight="1" x14ac:dyDescent="0.3"/>
    <row r="709" ht="14.25" customHeight="1" x14ac:dyDescent="0.3"/>
    <row r="710" ht="14.25" customHeight="1" x14ac:dyDescent="0.3"/>
    <row r="711" ht="14.25" customHeight="1" x14ac:dyDescent="0.3"/>
    <row r="712" ht="14.25" customHeight="1" x14ac:dyDescent="0.3"/>
    <row r="713" ht="14.25" customHeight="1" x14ac:dyDescent="0.3"/>
    <row r="714" ht="14.25" customHeight="1" x14ac:dyDescent="0.3"/>
    <row r="715" ht="14.25" customHeight="1" x14ac:dyDescent="0.3"/>
    <row r="716" ht="14.25" customHeight="1" x14ac:dyDescent="0.3"/>
    <row r="717" ht="14.25" customHeight="1" x14ac:dyDescent="0.3"/>
    <row r="718" ht="14.25" customHeight="1" x14ac:dyDescent="0.3"/>
    <row r="719" ht="14.25" customHeight="1" x14ac:dyDescent="0.3"/>
    <row r="720" ht="14.25" customHeight="1" x14ac:dyDescent="0.3"/>
    <row r="721" ht="14.25" customHeight="1" x14ac:dyDescent="0.3"/>
    <row r="722" ht="14.25" customHeight="1" x14ac:dyDescent="0.3"/>
    <row r="723" ht="14.25" customHeight="1" x14ac:dyDescent="0.3"/>
    <row r="724" ht="14.25" customHeight="1" x14ac:dyDescent="0.3"/>
    <row r="725" ht="14.25" customHeight="1" x14ac:dyDescent="0.3"/>
    <row r="726" ht="14.25" customHeight="1" x14ac:dyDescent="0.3"/>
    <row r="727" ht="14.25" customHeight="1" x14ac:dyDescent="0.3"/>
    <row r="728" ht="14.25" customHeight="1" x14ac:dyDescent="0.3"/>
    <row r="729" ht="14.25" customHeight="1" x14ac:dyDescent="0.3"/>
    <row r="730" ht="14.25" customHeight="1" x14ac:dyDescent="0.3"/>
    <row r="731" ht="14.25" customHeight="1" x14ac:dyDescent="0.3"/>
    <row r="732" ht="14.25" customHeight="1" x14ac:dyDescent="0.3"/>
    <row r="733" ht="14.25" customHeight="1" x14ac:dyDescent="0.3"/>
    <row r="734" ht="14.25" customHeight="1" x14ac:dyDescent="0.3"/>
    <row r="735" ht="14.25" customHeight="1" x14ac:dyDescent="0.3"/>
    <row r="736" ht="14.25" customHeight="1" x14ac:dyDescent="0.3"/>
    <row r="737" ht="14.25" customHeight="1" x14ac:dyDescent="0.3"/>
    <row r="738" ht="14.25" customHeight="1" x14ac:dyDescent="0.3"/>
    <row r="739" ht="14.25" customHeight="1" x14ac:dyDescent="0.3"/>
    <row r="740" ht="14.25" customHeight="1" x14ac:dyDescent="0.3"/>
    <row r="741" ht="14.25" customHeight="1" x14ac:dyDescent="0.3"/>
    <row r="742" ht="14.25" customHeight="1" x14ac:dyDescent="0.3"/>
    <row r="743" ht="14.25" customHeight="1" x14ac:dyDescent="0.3"/>
    <row r="744" ht="14.25" customHeight="1" x14ac:dyDescent="0.3"/>
    <row r="745" ht="14.25" customHeight="1" x14ac:dyDescent="0.3"/>
    <row r="746" ht="14.25" customHeight="1" x14ac:dyDescent="0.3"/>
    <row r="747" ht="14.25" customHeight="1" x14ac:dyDescent="0.3"/>
    <row r="748" ht="14.25" customHeight="1" x14ac:dyDescent="0.3"/>
    <row r="749" ht="14.25" customHeight="1" x14ac:dyDescent="0.3"/>
    <row r="750" ht="14.25" customHeight="1" x14ac:dyDescent="0.3"/>
    <row r="751" ht="14.25" customHeight="1" x14ac:dyDescent="0.3"/>
    <row r="752" ht="14.25" customHeight="1" x14ac:dyDescent="0.3"/>
    <row r="753" ht="14.25" customHeight="1" x14ac:dyDescent="0.3"/>
    <row r="754" ht="14.25" customHeight="1" x14ac:dyDescent="0.3"/>
    <row r="755" ht="14.25" customHeight="1" x14ac:dyDescent="0.3"/>
    <row r="756" ht="14.25" customHeight="1" x14ac:dyDescent="0.3"/>
    <row r="757" ht="14.25" customHeight="1" x14ac:dyDescent="0.3"/>
    <row r="758" ht="14.25" customHeight="1" x14ac:dyDescent="0.3"/>
    <row r="759" ht="14.25" customHeight="1" x14ac:dyDescent="0.3"/>
    <row r="760" ht="14.25" customHeight="1" x14ac:dyDescent="0.3"/>
    <row r="761" ht="14.25" customHeight="1" x14ac:dyDescent="0.3"/>
    <row r="762" ht="14.25" customHeight="1" x14ac:dyDescent="0.3"/>
    <row r="763" ht="14.25" customHeight="1" x14ac:dyDescent="0.3"/>
    <row r="764" ht="14.25" customHeight="1" x14ac:dyDescent="0.3"/>
    <row r="765" ht="14.25" customHeight="1" x14ac:dyDescent="0.3"/>
    <row r="766" ht="14.25" customHeight="1" x14ac:dyDescent="0.3"/>
    <row r="767" ht="14.25" customHeight="1" x14ac:dyDescent="0.3"/>
    <row r="768" ht="14.25" customHeight="1" x14ac:dyDescent="0.3"/>
    <row r="769" ht="14.25" customHeight="1" x14ac:dyDescent="0.3"/>
    <row r="770" ht="14.25" customHeight="1" x14ac:dyDescent="0.3"/>
    <row r="771" ht="14.25" customHeight="1" x14ac:dyDescent="0.3"/>
    <row r="772" ht="14.25" customHeight="1" x14ac:dyDescent="0.3"/>
    <row r="773" ht="14.25" customHeight="1" x14ac:dyDescent="0.3"/>
    <row r="774" ht="14.25" customHeight="1" x14ac:dyDescent="0.3"/>
    <row r="775" ht="14.25" customHeight="1" x14ac:dyDescent="0.3"/>
    <row r="776" ht="14.25" customHeight="1" x14ac:dyDescent="0.3"/>
    <row r="777" ht="14.25" customHeight="1" x14ac:dyDescent="0.3"/>
    <row r="778" ht="14.25" customHeight="1" x14ac:dyDescent="0.3"/>
    <row r="779" ht="14.25" customHeight="1" x14ac:dyDescent="0.3"/>
    <row r="780" ht="14.25" customHeight="1" x14ac:dyDescent="0.3"/>
    <row r="781" ht="14.25" customHeight="1" x14ac:dyDescent="0.3"/>
    <row r="782" ht="14.25" customHeight="1" x14ac:dyDescent="0.3"/>
    <row r="783" ht="14.25" customHeight="1" x14ac:dyDescent="0.3"/>
    <row r="784" ht="14.25" customHeight="1" x14ac:dyDescent="0.3"/>
    <row r="785" ht="14.25" customHeight="1" x14ac:dyDescent="0.3"/>
    <row r="786" ht="14.25" customHeight="1" x14ac:dyDescent="0.3"/>
    <row r="787" ht="14.25" customHeight="1" x14ac:dyDescent="0.3"/>
    <row r="788" ht="14.25" customHeight="1" x14ac:dyDescent="0.3"/>
    <row r="789" ht="14.25" customHeight="1" x14ac:dyDescent="0.3"/>
    <row r="790" ht="14.25" customHeight="1" x14ac:dyDescent="0.3"/>
    <row r="791" ht="14.25" customHeight="1" x14ac:dyDescent="0.3"/>
    <row r="792" ht="14.25" customHeight="1" x14ac:dyDescent="0.3"/>
    <row r="793" ht="14.25" customHeight="1" x14ac:dyDescent="0.3"/>
    <row r="794" ht="14.25" customHeight="1" x14ac:dyDescent="0.3"/>
    <row r="795" ht="14.25" customHeight="1" x14ac:dyDescent="0.3"/>
    <row r="796" ht="14.25" customHeight="1" x14ac:dyDescent="0.3"/>
    <row r="797" ht="14.25" customHeight="1" x14ac:dyDescent="0.3"/>
    <row r="798" ht="14.25" customHeight="1" x14ac:dyDescent="0.3"/>
    <row r="799" ht="14.25" customHeight="1" x14ac:dyDescent="0.3"/>
    <row r="800" ht="14.25" customHeight="1" x14ac:dyDescent="0.3"/>
    <row r="801" ht="14.25" customHeight="1" x14ac:dyDescent="0.3"/>
    <row r="802" ht="14.25" customHeight="1" x14ac:dyDescent="0.3"/>
    <row r="803" ht="14.25" customHeight="1" x14ac:dyDescent="0.3"/>
    <row r="804" ht="14.25" customHeight="1" x14ac:dyDescent="0.3"/>
    <row r="805" ht="14.25" customHeight="1" x14ac:dyDescent="0.3"/>
    <row r="806" ht="14.25" customHeight="1" x14ac:dyDescent="0.3"/>
    <row r="807" ht="14.25" customHeight="1" x14ac:dyDescent="0.3"/>
    <row r="808" ht="14.25" customHeight="1" x14ac:dyDescent="0.3"/>
    <row r="809" ht="14.25" customHeight="1" x14ac:dyDescent="0.3"/>
    <row r="810" ht="14.25" customHeight="1" x14ac:dyDescent="0.3"/>
    <row r="811" ht="14.25" customHeight="1" x14ac:dyDescent="0.3"/>
    <row r="812" ht="14.25" customHeight="1" x14ac:dyDescent="0.3"/>
    <row r="813" ht="14.25" customHeight="1" x14ac:dyDescent="0.3"/>
    <row r="814" ht="14.25" customHeight="1" x14ac:dyDescent="0.3"/>
    <row r="815" ht="14.25" customHeight="1" x14ac:dyDescent="0.3"/>
    <row r="816" ht="14.25" customHeight="1" x14ac:dyDescent="0.3"/>
    <row r="817" ht="14.25" customHeight="1" x14ac:dyDescent="0.3"/>
    <row r="818" ht="14.25" customHeight="1" x14ac:dyDescent="0.3"/>
    <row r="819" ht="14.25" customHeight="1" x14ac:dyDescent="0.3"/>
    <row r="820" ht="14.25" customHeight="1" x14ac:dyDescent="0.3"/>
    <row r="821" ht="14.25" customHeight="1" x14ac:dyDescent="0.3"/>
    <row r="822" ht="14.25" customHeight="1" x14ac:dyDescent="0.3"/>
    <row r="823" ht="14.25" customHeight="1" x14ac:dyDescent="0.3"/>
    <row r="824" ht="14.25" customHeight="1" x14ac:dyDescent="0.3"/>
    <row r="825" ht="14.25" customHeight="1" x14ac:dyDescent="0.3"/>
    <row r="826" ht="14.25" customHeight="1" x14ac:dyDescent="0.3"/>
    <row r="827" ht="14.25" customHeight="1" x14ac:dyDescent="0.3"/>
    <row r="828" ht="14.25" customHeight="1" x14ac:dyDescent="0.3"/>
    <row r="829" ht="14.25" customHeight="1" x14ac:dyDescent="0.3"/>
    <row r="830" ht="14.25" customHeight="1" x14ac:dyDescent="0.3"/>
    <row r="831" ht="14.25" customHeight="1" x14ac:dyDescent="0.3"/>
    <row r="832" ht="14.25" customHeight="1" x14ac:dyDescent="0.3"/>
    <row r="833" ht="14.25" customHeight="1" x14ac:dyDescent="0.3"/>
    <row r="834" ht="14.25" customHeight="1" x14ac:dyDescent="0.3"/>
    <row r="835" ht="14.25" customHeight="1" x14ac:dyDescent="0.3"/>
    <row r="836" ht="14.25" customHeight="1" x14ac:dyDescent="0.3"/>
    <row r="837" ht="14.25" customHeight="1" x14ac:dyDescent="0.3"/>
    <row r="838" ht="14.25" customHeight="1" x14ac:dyDescent="0.3"/>
    <row r="839" ht="14.25" customHeight="1" x14ac:dyDescent="0.3"/>
    <row r="840" ht="14.25" customHeight="1" x14ac:dyDescent="0.3"/>
    <row r="841" ht="14.25" customHeight="1" x14ac:dyDescent="0.3"/>
    <row r="842" ht="14.25" customHeight="1" x14ac:dyDescent="0.3"/>
    <row r="843" ht="14.25" customHeight="1" x14ac:dyDescent="0.3"/>
    <row r="844" ht="14.25" customHeight="1" x14ac:dyDescent="0.3"/>
    <row r="845" ht="14.25" customHeight="1" x14ac:dyDescent="0.3"/>
    <row r="846" ht="14.25" customHeight="1" x14ac:dyDescent="0.3"/>
    <row r="847" ht="14.25" customHeight="1" x14ac:dyDescent="0.3"/>
    <row r="848" ht="14.25" customHeight="1" x14ac:dyDescent="0.3"/>
    <row r="849" ht="14.25" customHeight="1" x14ac:dyDescent="0.3"/>
    <row r="850" ht="14.25" customHeight="1" x14ac:dyDescent="0.3"/>
    <row r="851" ht="14.25" customHeight="1" x14ac:dyDescent="0.3"/>
    <row r="852" ht="14.25" customHeight="1" x14ac:dyDescent="0.3"/>
    <row r="853" ht="14.25" customHeight="1" x14ac:dyDescent="0.3"/>
    <row r="854" ht="14.25" customHeight="1" x14ac:dyDescent="0.3"/>
    <row r="855" ht="14.25" customHeight="1" x14ac:dyDescent="0.3"/>
    <row r="856" ht="14.25" customHeight="1" x14ac:dyDescent="0.3"/>
    <row r="857" ht="14.25" customHeight="1" x14ac:dyDescent="0.3"/>
    <row r="858" ht="14.25" customHeight="1" x14ac:dyDescent="0.3"/>
    <row r="859" ht="14.25" customHeight="1" x14ac:dyDescent="0.3"/>
    <row r="860" ht="14.25" customHeight="1" x14ac:dyDescent="0.3"/>
    <row r="861" ht="14.25" customHeight="1" x14ac:dyDescent="0.3"/>
    <row r="862" ht="14.25" customHeight="1" x14ac:dyDescent="0.3"/>
    <row r="863" ht="14.25" customHeight="1" x14ac:dyDescent="0.3"/>
    <row r="864" ht="14.25" customHeight="1" x14ac:dyDescent="0.3"/>
    <row r="865" ht="14.25" customHeight="1" x14ac:dyDescent="0.3"/>
    <row r="866" ht="14.25" customHeight="1" x14ac:dyDescent="0.3"/>
    <row r="867" ht="14.25" customHeight="1" x14ac:dyDescent="0.3"/>
    <row r="868" ht="14.25" customHeight="1" x14ac:dyDescent="0.3"/>
    <row r="869" ht="14.25" customHeight="1" x14ac:dyDescent="0.3"/>
    <row r="870" ht="14.25" customHeight="1" x14ac:dyDescent="0.3"/>
    <row r="871" ht="14.25" customHeight="1" x14ac:dyDescent="0.3"/>
    <row r="872" ht="14.25" customHeight="1" x14ac:dyDescent="0.3"/>
    <row r="873" ht="14.25" customHeight="1" x14ac:dyDescent="0.3"/>
    <row r="874" ht="14.25" customHeight="1" x14ac:dyDescent="0.3"/>
    <row r="875" ht="14.25" customHeight="1" x14ac:dyDescent="0.3"/>
    <row r="876" ht="14.25" customHeight="1" x14ac:dyDescent="0.3"/>
    <row r="877" ht="14.25" customHeight="1" x14ac:dyDescent="0.3"/>
    <row r="878" ht="14.25" customHeight="1" x14ac:dyDescent="0.3"/>
    <row r="879" ht="14.25" customHeight="1" x14ac:dyDescent="0.3"/>
    <row r="880" ht="14.25" customHeight="1" x14ac:dyDescent="0.3"/>
    <row r="881" ht="14.25" customHeight="1" x14ac:dyDescent="0.3"/>
    <row r="882" ht="14.25" customHeight="1" x14ac:dyDescent="0.3"/>
    <row r="883" ht="14.25" customHeight="1" x14ac:dyDescent="0.3"/>
    <row r="884" ht="14.25" customHeight="1" x14ac:dyDescent="0.3"/>
    <row r="885" ht="14.25" customHeight="1" x14ac:dyDescent="0.3"/>
    <row r="886" ht="14.25" customHeight="1" x14ac:dyDescent="0.3"/>
    <row r="887" ht="14.25" customHeight="1" x14ac:dyDescent="0.3"/>
    <row r="888" ht="14.25" customHeight="1" x14ac:dyDescent="0.3"/>
    <row r="889" ht="14.25" customHeight="1" x14ac:dyDescent="0.3"/>
    <row r="890" ht="14.25" customHeight="1" x14ac:dyDescent="0.3"/>
    <row r="891" ht="14.25" customHeight="1" x14ac:dyDescent="0.3"/>
    <row r="892" ht="14.25" customHeight="1" x14ac:dyDescent="0.3"/>
    <row r="893" ht="14.25" customHeight="1" x14ac:dyDescent="0.3"/>
    <row r="894" ht="14.25" customHeight="1" x14ac:dyDescent="0.3"/>
    <row r="895" ht="14.25" customHeight="1" x14ac:dyDescent="0.3"/>
    <row r="896" ht="14.25" customHeight="1" x14ac:dyDescent="0.3"/>
    <row r="897" ht="14.25" customHeight="1" x14ac:dyDescent="0.3"/>
    <row r="898" ht="14.25" customHeight="1" x14ac:dyDescent="0.3"/>
    <row r="899" ht="14.25" customHeight="1" x14ac:dyDescent="0.3"/>
    <row r="900" ht="14.25" customHeight="1" x14ac:dyDescent="0.3"/>
    <row r="901" ht="14.25" customHeight="1" x14ac:dyDescent="0.3"/>
    <row r="902" ht="14.25" customHeight="1" x14ac:dyDescent="0.3"/>
    <row r="903" ht="14.25" customHeight="1" x14ac:dyDescent="0.3"/>
    <row r="904" ht="14.25" customHeight="1" x14ac:dyDescent="0.3"/>
    <row r="905" ht="14.25" customHeight="1" x14ac:dyDescent="0.3"/>
    <row r="906" ht="14.25" customHeight="1" x14ac:dyDescent="0.3"/>
    <row r="907" ht="14.25" customHeight="1" x14ac:dyDescent="0.3"/>
    <row r="908" ht="14.25" customHeight="1" x14ac:dyDescent="0.3"/>
    <row r="909" ht="14.25" customHeight="1" x14ac:dyDescent="0.3"/>
    <row r="910" ht="14.25" customHeight="1" x14ac:dyDescent="0.3"/>
    <row r="911" ht="14.25" customHeight="1" x14ac:dyDescent="0.3"/>
    <row r="912" ht="14.25" customHeight="1" x14ac:dyDescent="0.3"/>
    <row r="913" ht="14.25" customHeight="1" x14ac:dyDescent="0.3"/>
    <row r="914" ht="14.25" customHeight="1" x14ac:dyDescent="0.3"/>
    <row r="915" ht="14.25" customHeight="1" x14ac:dyDescent="0.3"/>
    <row r="916" ht="14.25" customHeight="1" x14ac:dyDescent="0.3"/>
    <row r="917" ht="14.25" customHeight="1" x14ac:dyDescent="0.3"/>
    <row r="918" ht="14.25" customHeight="1" x14ac:dyDescent="0.3"/>
    <row r="919" ht="14.25" customHeight="1" x14ac:dyDescent="0.3"/>
    <row r="920" ht="14.25" customHeight="1" x14ac:dyDescent="0.3"/>
    <row r="921" ht="14.25" customHeight="1" x14ac:dyDescent="0.3"/>
    <row r="922" ht="14.25" customHeight="1" x14ac:dyDescent="0.3"/>
    <row r="923" ht="14.25" customHeight="1" x14ac:dyDescent="0.3"/>
    <row r="924" ht="14.25" customHeight="1" x14ac:dyDescent="0.3"/>
    <row r="925" ht="14.25" customHeight="1" x14ac:dyDescent="0.3"/>
    <row r="926" ht="14.25" customHeight="1" x14ac:dyDescent="0.3"/>
    <row r="927" ht="14.25" customHeight="1" x14ac:dyDescent="0.3"/>
    <row r="928" ht="14.25" customHeight="1" x14ac:dyDescent="0.3"/>
    <row r="929" ht="14.25" customHeight="1" x14ac:dyDescent="0.3"/>
    <row r="930" ht="14.25" customHeight="1" x14ac:dyDescent="0.3"/>
    <row r="931" ht="14.25" customHeight="1" x14ac:dyDescent="0.3"/>
    <row r="932" ht="14.25" customHeight="1" x14ac:dyDescent="0.3"/>
    <row r="933" ht="14.25" customHeight="1" x14ac:dyDescent="0.3"/>
    <row r="934" ht="14.25" customHeight="1" x14ac:dyDescent="0.3"/>
    <row r="935" ht="14.25" customHeight="1" x14ac:dyDescent="0.3"/>
    <row r="936" ht="14.25" customHeight="1" x14ac:dyDescent="0.3"/>
    <row r="937" ht="14.25" customHeight="1" x14ac:dyDescent="0.3"/>
    <row r="938" ht="14.25" customHeight="1" x14ac:dyDescent="0.3"/>
    <row r="939" ht="14.25" customHeight="1" x14ac:dyDescent="0.3"/>
    <row r="940" ht="14.25" customHeight="1" x14ac:dyDescent="0.3"/>
    <row r="941" ht="14.25" customHeight="1" x14ac:dyDescent="0.3"/>
    <row r="942" ht="14.25" customHeight="1" x14ac:dyDescent="0.3"/>
    <row r="943" ht="14.25" customHeight="1" x14ac:dyDescent="0.3"/>
    <row r="944" ht="14.25" customHeight="1" x14ac:dyDescent="0.3"/>
    <row r="945" ht="14.25" customHeight="1" x14ac:dyDescent="0.3"/>
    <row r="946" ht="14.25" customHeight="1" x14ac:dyDescent="0.3"/>
    <row r="947" ht="14.25" customHeight="1" x14ac:dyDescent="0.3"/>
    <row r="948" ht="14.25" customHeight="1" x14ac:dyDescent="0.3"/>
    <row r="949" ht="14.25" customHeight="1" x14ac:dyDescent="0.3"/>
    <row r="950" ht="14.25" customHeight="1" x14ac:dyDescent="0.3"/>
    <row r="951" ht="14.25" customHeight="1" x14ac:dyDescent="0.3"/>
    <row r="952" ht="14.25" customHeight="1" x14ac:dyDescent="0.3"/>
    <row r="953" ht="14.25" customHeight="1" x14ac:dyDescent="0.3"/>
    <row r="954" ht="14.25" customHeight="1" x14ac:dyDescent="0.3"/>
    <row r="955" ht="14.25" customHeight="1" x14ac:dyDescent="0.3"/>
    <row r="956" ht="14.25" customHeight="1" x14ac:dyDescent="0.3"/>
    <row r="957" ht="14.25" customHeight="1" x14ac:dyDescent="0.3"/>
    <row r="958" ht="14.25" customHeight="1" x14ac:dyDescent="0.3"/>
    <row r="959" ht="14.25" customHeight="1" x14ac:dyDescent="0.3"/>
    <row r="960" ht="14.25" customHeight="1" x14ac:dyDescent="0.3"/>
    <row r="961" ht="14.25" customHeight="1" x14ac:dyDescent="0.3"/>
    <row r="962" ht="14.25" customHeight="1" x14ac:dyDescent="0.3"/>
    <row r="963" ht="14.25" customHeight="1" x14ac:dyDescent="0.3"/>
    <row r="964" ht="14.25" customHeight="1" x14ac:dyDescent="0.3"/>
    <row r="965" ht="14.25" customHeight="1" x14ac:dyDescent="0.3"/>
    <row r="966" ht="14.25" customHeight="1" x14ac:dyDescent="0.3"/>
    <row r="967" ht="14.25" customHeight="1" x14ac:dyDescent="0.3"/>
    <row r="968" ht="14.25" customHeight="1" x14ac:dyDescent="0.3"/>
    <row r="969" ht="14.25" customHeight="1" x14ac:dyDescent="0.3"/>
    <row r="970" ht="14.25" customHeight="1" x14ac:dyDescent="0.3"/>
    <row r="971" ht="14.25" customHeight="1" x14ac:dyDescent="0.3"/>
    <row r="972" ht="14.25" customHeight="1" x14ac:dyDescent="0.3"/>
    <row r="973" ht="14.25" customHeight="1" x14ac:dyDescent="0.3"/>
    <row r="974" ht="14.25" customHeight="1" x14ac:dyDescent="0.3"/>
    <row r="975" ht="14.25" customHeight="1" x14ac:dyDescent="0.3"/>
    <row r="976" ht="14.25" customHeight="1" x14ac:dyDescent="0.3"/>
    <row r="977" ht="14.25" customHeight="1" x14ac:dyDescent="0.3"/>
    <row r="978" ht="14.25" customHeight="1" x14ac:dyDescent="0.3"/>
    <row r="979" ht="14.25" customHeight="1" x14ac:dyDescent="0.3"/>
    <row r="980" ht="14.25" customHeight="1" x14ac:dyDescent="0.3"/>
    <row r="981" ht="14.25" customHeight="1" x14ac:dyDescent="0.3"/>
    <row r="982" ht="14.25" customHeight="1" x14ac:dyDescent="0.3"/>
    <row r="983" ht="14.25" customHeight="1" x14ac:dyDescent="0.3"/>
    <row r="984" ht="14.25" customHeight="1" x14ac:dyDescent="0.3"/>
    <row r="985" ht="14.25" customHeight="1" x14ac:dyDescent="0.3"/>
    <row r="986" ht="14.25" customHeight="1" x14ac:dyDescent="0.3"/>
    <row r="987" ht="14.25" customHeight="1" x14ac:dyDescent="0.3"/>
    <row r="988" ht="14.25" customHeight="1" x14ac:dyDescent="0.3"/>
    <row r="989" ht="14.25" customHeight="1" x14ac:dyDescent="0.3"/>
    <row r="990" ht="14.25" customHeight="1" x14ac:dyDescent="0.3"/>
    <row r="991" ht="14.25" customHeight="1" x14ac:dyDescent="0.3"/>
    <row r="992" ht="14.25" customHeight="1" x14ac:dyDescent="0.3"/>
    <row r="993" ht="14.25" customHeight="1" x14ac:dyDescent="0.3"/>
    <row r="994" ht="14.25" customHeight="1" x14ac:dyDescent="0.3"/>
    <row r="995" ht="14.25" customHeight="1" x14ac:dyDescent="0.3"/>
    <row r="996" ht="14.25" customHeight="1" x14ac:dyDescent="0.3"/>
    <row r="997" ht="14.25" customHeight="1" x14ac:dyDescent="0.3"/>
    <row r="998" ht="14.25" customHeight="1" x14ac:dyDescent="0.3"/>
    <row r="999" ht="14.25" customHeight="1" x14ac:dyDescent="0.3"/>
    <row r="1000" ht="14.25" customHeight="1" x14ac:dyDescent="0.3"/>
    <row r="1001" ht="14.25" customHeight="1" x14ac:dyDescent="0.3"/>
    <row r="1002" ht="14.25" customHeight="1" x14ac:dyDescent="0.3"/>
    <row r="1003" ht="14.25" customHeight="1" x14ac:dyDescent="0.3"/>
    <row r="1004" ht="14.25" customHeight="1" x14ac:dyDescent="0.3"/>
    <row r="1005" ht="14.25" customHeight="1" x14ac:dyDescent="0.3"/>
    <row r="1006" ht="14.25" customHeight="1" x14ac:dyDescent="0.3"/>
    <row r="1007" ht="14.25" customHeight="1" x14ac:dyDescent="0.3"/>
    <row r="1008" ht="14.25" customHeight="1" x14ac:dyDescent="0.3"/>
    <row r="1009" ht="14.25" customHeight="1" x14ac:dyDescent="0.3"/>
    <row r="1010" ht="14.25" customHeight="1" x14ac:dyDescent="0.3"/>
    <row r="1011" ht="14.25" customHeight="1" x14ac:dyDescent="0.3"/>
    <row r="1012" ht="14.25" customHeight="1" x14ac:dyDescent="0.3"/>
    <row r="1013" ht="14.25" customHeight="1" x14ac:dyDescent="0.3"/>
    <row r="1014" ht="14.25" customHeight="1" x14ac:dyDescent="0.3"/>
    <row r="1015" ht="14.25" customHeight="1" x14ac:dyDescent="0.3"/>
    <row r="1016" ht="14.25" customHeight="1" x14ac:dyDescent="0.3"/>
    <row r="1017" ht="14.25" customHeight="1" x14ac:dyDescent="0.3"/>
    <row r="1018" ht="14.25" customHeight="1" x14ac:dyDescent="0.3"/>
    <row r="1019" ht="14.25" customHeight="1" x14ac:dyDescent="0.3"/>
    <row r="1020" ht="14.25" customHeight="1" x14ac:dyDescent="0.3"/>
    <row r="1021" ht="14.25" customHeight="1" x14ac:dyDescent="0.3"/>
    <row r="1022" ht="14.25" customHeight="1" x14ac:dyDescent="0.3"/>
    <row r="1023" ht="14.25" customHeight="1" x14ac:dyDescent="0.3"/>
    <row r="1024" ht="14.25" customHeight="1" x14ac:dyDescent="0.3"/>
    <row r="1025" ht="14.25" customHeight="1" x14ac:dyDescent="0.3"/>
    <row r="1026" ht="14.25" customHeight="1" x14ac:dyDescent="0.3"/>
    <row r="1027" ht="14.25" customHeight="1" x14ac:dyDescent="0.3"/>
    <row r="1028" ht="14.25" customHeight="1" x14ac:dyDescent="0.3"/>
    <row r="1029" ht="14.25" customHeight="1" x14ac:dyDescent="0.3"/>
  </sheetData>
  <mergeCells count="26">
    <mergeCell ref="AB1:AC1"/>
    <mergeCell ref="D1:E1"/>
    <mergeCell ref="F1:G1"/>
    <mergeCell ref="H1:I1"/>
    <mergeCell ref="J1:K1"/>
    <mergeCell ref="L1:M1"/>
    <mergeCell ref="N1:O1"/>
    <mergeCell ref="P1:Q1"/>
    <mergeCell ref="R1:S1"/>
    <mergeCell ref="T1:U1"/>
    <mergeCell ref="V1:W1"/>
    <mergeCell ref="X1:Y1"/>
    <mergeCell ref="Z1:AA1"/>
    <mergeCell ref="AB4:AC4"/>
    <mergeCell ref="D4:E4"/>
    <mergeCell ref="F4:G4"/>
    <mergeCell ref="H4:I4"/>
    <mergeCell ref="J4:K4"/>
    <mergeCell ref="L4:M4"/>
    <mergeCell ref="N4:O4"/>
    <mergeCell ref="P4:Q4"/>
    <mergeCell ref="R4:S4"/>
    <mergeCell ref="T4:U4"/>
    <mergeCell ref="V4:W4"/>
    <mergeCell ref="X4:Y4"/>
    <mergeCell ref="Z4:AA4"/>
  </mergeCells>
  <pageMargins left="0.7" right="0.7" top="0.75" bottom="0.75" header="0" footer="0"/>
  <pageSetup orientation="portrait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:Q1000"/>
  <sheetViews>
    <sheetView workbookViewId="0"/>
  </sheetViews>
  <sheetFormatPr defaultColWidth="14.44140625" defaultRowHeight="15" customHeight="1" x14ac:dyDescent="0.3"/>
  <cols>
    <col min="1" max="1" width="13.88671875" customWidth="1"/>
    <col min="2" max="5" width="11.33203125" customWidth="1"/>
    <col min="6" max="26" width="8.6640625" customWidth="1"/>
  </cols>
  <sheetData>
    <row r="1" spans="1:17" ht="14.25" customHeight="1" x14ac:dyDescent="0.3">
      <c r="B1" s="23"/>
      <c r="D1" s="25"/>
      <c r="E1" s="25"/>
      <c r="M1" s="12"/>
      <c r="N1" s="118"/>
      <c r="O1" s="118"/>
      <c r="P1" s="118"/>
      <c r="Q1" s="118"/>
    </row>
    <row r="2" spans="1:17" ht="14.25" customHeight="1" x14ac:dyDescent="0.3">
      <c r="B2" s="23"/>
      <c r="D2" s="25" t="s">
        <v>535</v>
      </c>
      <c r="E2" s="25" t="s">
        <v>536</v>
      </c>
      <c r="M2" s="12"/>
      <c r="N2" s="118"/>
      <c r="O2" s="118"/>
      <c r="P2" s="118"/>
      <c r="Q2" s="118"/>
    </row>
    <row r="3" spans="1:17" ht="14.25" customHeight="1" x14ac:dyDescent="0.3">
      <c r="A3" s="92" t="s">
        <v>525</v>
      </c>
      <c r="B3" s="23">
        <v>2700</v>
      </c>
      <c r="C3" s="92" t="s">
        <v>537</v>
      </c>
      <c r="D3" s="25">
        <f t="shared" ref="D3:D4" si="0">B3/12</f>
        <v>225</v>
      </c>
      <c r="E3" s="25">
        <f t="shared" ref="E3:E7" si="1">D3*12</f>
        <v>2700</v>
      </c>
      <c r="M3" s="12"/>
      <c r="N3" s="118"/>
      <c r="O3" s="118"/>
      <c r="P3" s="118"/>
      <c r="Q3" s="118"/>
    </row>
    <row r="4" spans="1:17" ht="14.25" customHeight="1" x14ac:dyDescent="0.3">
      <c r="A4" s="92" t="s">
        <v>538</v>
      </c>
      <c r="B4" s="23">
        <v>780</v>
      </c>
      <c r="C4" s="92" t="s">
        <v>537</v>
      </c>
      <c r="D4" s="25">
        <f t="shared" si="0"/>
        <v>65</v>
      </c>
      <c r="E4" s="25">
        <f t="shared" si="1"/>
        <v>780</v>
      </c>
      <c r="M4" s="12"/>
      <c r="N4" s="118"/>
      <c r="O4" s="118"/>
      <c r="P4" s="118"/>
      <c r="Q4" s="118"/>
    </row>
    <row r="5" spans="1:17" ht="14.25" customHeight="1" x14ac:dyDescent="0.3">
      <c r="A5" s="92" t="s">
        <v>207</v>
      </c>
      <c r="B5" s="23">
        <v>75</v>
      </c>
      <c r="C5" s="92" t="s">
        <v>539</v>
      </c>
      <c r="D5" s="25">
        <f>B5/3</f>
        <v>25</v>
      </c>
      <c r="E5" s="25">
        <f t="shared" si="1"/>
        <v>300</v>
      </c>
      <c r="M5" s="12"/>
      <c r="N5" s="118"/>
      <c r="O5" s="118"/>
      <c r="P5" s="118"/>
      <c r="Q5" s="118"/>
    </row>
    <row r="6" spans="1:17" ht="14.25" customHeight="1" x14ac:dyDescent="0.3">
      <c r="A6" s="92" t="s">
        <v>423</v>
      </c>
      <c r="B6" s="23">
        <v>90</v>
      </c>
      <c r="C6" s="92" t="s">
        <v>540</v>
      </c>
      <c r="D6" s="25">
        <f>B6/2</f>
        <v>45</v>
      </c>
      <c r="E6" s="25">
        <f t="shared" si="1"/>
        <v>540</v>
      </c>
      <c r="M6" s="12"/>
      <c r="N6" s="118"/>
      <c r="O6" s="118"/>
      <c r="P6" s="118"/>
      <c r="Q6" s="118"/>
    </row>
    <row r="7" spans="1:17" ht="14.25" customHeight="1" x14ac:dyDescent="0.3">
      <c r="A7" s="92" t="s">
        <v>541</v>
      </c>
      <c r="B7" s="23">
        <v>60</v>
      </c>
      <c r="C7" s="92" t="s">
        <v>542</v>
      </c>
      <c r="D7" s="25">
        <f>B7</f>
        <v>60</v>
      </c>
      <c r="E7" s="25">
        <f t="shared" si="1"/>
        <v>720</v>
      </c>
      <c r="M7" s="12"/>
      <c r="N7" s="118"/>
      <c r="O7" s="118"/>
      <c r="P7" s="118"/>
      <c r="Q7" s="118"/>
    </row>
    <row r="8" spans="1:17" ht="14.25" customHeight="1" x14ac:dyDescent="0.3">
      <c r="B8" s="23"/>
      <c r="D8" s="25"/>
      <c r="E8" s="25"/>
      <c r="M8" s="12"/>
      <c r="N8" s="118"/>
      <c r="O8" s="118"/>
      <c r="P8" s="118"/>
      <c r="Q8" s="118"/>
    </row>
    <row r="9" spans="1:17" ht="14.25" customHeight="1" x14ac:dyDescent="0.3">
      <c r="A9" s="92" t="s">
        <v>68</v>
      </c>
      <c r="B9" s="23"/>
      <c r="D9" s="25">
        <f>SUM(D3:D7)</f>
        <v>420</v>
      </c>
      <c r="E9" s="25">
        <f>D9*12</f>
        <v>5040</v>
      </c>
      <c r="M9" s="12"/>
      <c r="N9" s="118"/>
      <c r="O9" s="118"/>
      <c r="P9" s="118"/>
      <c r="Q9" s="118"/>
    </row>
    <row r="10" spans="1:17" ht="14.25" customHeight="1" x14ac:dyDescent="0.3">
      <c r="B10" s="23"/>
      <c r="D10" s="25"/>
      <c r="E10" s="25"/>
      <c r="M10" s="12"/>
      <c r="N10" s="118"/>
      <c r="O10" s="118"/>
      <c r="P10" s="118"/>
      <c r="Q10" s="118"/>
    </row>
    <row r="11" spans="1:17" ht="14.25" customHeight="1" x14ac:dyDescent="0.3">
      <c r="A11" s="92" t="s">
        <v>543</v>
      </c>
      <c r="B11" s="23">
        <v>100</v>
      </c>
      <c r="C11" s="92" t="s">
        <v>542</v>
      </c>
      <c r="D11" s="25">
        <f>B11</f>
        <v>100</v>
      </c>
      <c r="E11" s="25">
        <f>D11*12</f>
        <v>1200</v>
      </c>
      <c r="M11" s="12"/>
      <c r="N11" s="118"/>
      <c r="O11" s="118"/>
      <c r="P11" s="118"/>
      <c r="Q11" s="118"/>
    </row>
    <row r="12" spans="1:17" ht="14.25" customHeight="1" x14ac:dyDescent="0.3">
      <c r="B12" s="23"/>
      <c r="D12" s="25"/>
      <c r="E12" s="25"/>
      <c r="M12" s="12"/>
      <c r="N12" s="118"/>
      <c r="O12" s="118"/>
      <c r="P12" s="118"/>
      <c r="Q12" s="118"/>
    </row>
    <row r="13" spans="1:17" ht="14.25" customHeight="1" x14ac:dyDescent="0.3">
      <c r="A13" s="92" t="s">
        <v>544</v>
      </c>
      <c r="B13" s="23"/>
      <c r="D13" s="25">
        <f>SUM(D9+D11)</f>
        <v>520</v>
      </c>
      <c r="E13" s="25">
        <f>D13*12</f>
        <v>6240</v>
      </c>
      <c r="M13" s="12"/>
      <c r="N13" s="118"/>
      <c r="O13" s="118"/>
      <c r="P13" s="118"/>
      <c r="Q13" s="118"/>
    </row>
    <row r="14" spans="1:17" ht="14.25" customHeight="1" x14ac:dyDescent="0.3">
      <c r="B14" s="23"/>
      <c r="D14" s="25"/>
      <c r="E14" s="25"/>
      <c r="M14" s="12"/>
      <c r="N14" s="118"/>
      <c r="O14" s="118"/>
      <c r="P14" s="118"/>
      <c r="Q14" s="118"/>
    </row>
    <row r="15" spans="1:17" ht="14.25" customHeight="1" x14ac:dyDescent="0.3">
      <c r="B15" s="23"/>
      <c r="D15" s="25"/>
      <c r="E15" s="25"/>
      <c r="M15" s="12"/>
      <c r="N15" s="118"/>
      <c r="O15" s="118"/>
      <c r="P15" s="118"/>
      <c r="Q15" s="118"/>
    </row>
    <row r="16" spans="1:17" ht="14.25" customHeight="1" x14ac:dyDescent="0.3">
      <c r="A16" s="92" t="s">
        <v>545</v>
      </c>
      <c r="B16" s="23">
        <v>800</v>
      </c>
      <c r="C16" s="92" t="s">
        <v>542</v>
      </c>
      <c r="D16" s="25">
        <f>B16</f>
        <v>800</v>
      </c>
      <c r="E16" s="25">
        <f>D16*12</f>
        <v>9600</v>
      </c>
      <c r="M16" s="12"/>
      <c r="N16" s="118"/>
      <c r="O16" s="118"/>
      <c r="P16" s="118"/>
      <c r="Q16" s="118"/>
    </row>
    <row r="17" spans="1:17" ht="14.25" customHeight="1" x14ac:dyDescent="0.3">
      <c r="B17" s="23"/>
      <c r="D17" s="25"/>
      <c r="E17" s="25"/>
      <c r="M17" s="12"/>
      <c r="N17" s="118"/>
      <c r="O17" s="118"/>
      <c r="P17" s="118"/>
      <c r="Q17" s="118"/>
    </row>
    <row r="18" spans="1:17" ht="14.25" customHeight="1" x14ac:dyDescent="0.3">
      <c r="A18" s="92" t="s">
        <v>546</v>
      </c>
      <c r="B18" s="23"/>
      <c r="D18" s="25">
        <f>D16-D13</f>
        <v>280</v>
      </c>
      <c r="E18" s="25">
        <f>D18*12</f>
        <v>3360</v>
      </c>
      <c r="M18" s="12"/>
      <c r="N18" s="118"/>
      <c r="O18" s="118"/>
      <c r="P18" s="118"/>
      <c r="Q18" s="118"/>
    </row>
    <row r="19" spans="1:17" ht="14.25" customHeight="1" x14ac:dyDescent="0.3">
      <c r="A19" s="92" t="s">
        <v>547</v>
      </c>
      <c r="B19" s="23"/>
      <c r="D19" s="25"/>
      <c r="E19" s="50">
        <f>(E16-E13)/E13</f>
        <v>0.53846153846153844</v>
      </c>
      <c r="M19" s="12"/>
      <c r="N19" s="118"/>
      <c r="O19" s="118"/>
      <c r="P19" s="118"/>
      <c r="Q19" s="118"/>
    </row>
    <row r="20" spans="1:17" ht="14.25" customHeight="1" x14ac:dyDescent="0.3">
      <c r="B20" s="23"/>
      <c r="D20" s="25"/>
      <c r="E20" s="25"/>
      <c r="M20" s="12"/>
      <c r="N20" s="118"/>
      <c r="O20" s="118"/>
      <c r="P20" s="118"/>
      <c r="Q20" s="118"/>
    </row>
    <row r="21" spans="1:17" ht="14.25" customHeight="1" x14ac:dyDescent="0.3">
      <c r="B21" s="23"/>
      <c r="D21" s="25"/>
      <c r="E21" s="25"/>
      <c r="M21" s="12"/>
      <c r="N21" s="118"/>
      <c r="O21" s="118"/>
      <c r="P21" s="118"/>
      <c r="Q21" s="118"/>
    </row>
    <row r="22" spans="1:17" ht="14.25" customHeight="1" x14ac:dyDescent="0.3">
      <c r="B22" s="23"/>
      <c r="D22" s="25"/>
      <c r="E22" s="25"/>
      <c r="M22" s="12"/>
      <c r="N22" s="118"/>
      <c r="O22" s="118"/>
      <c r="P22" s="118"/>
      <c r="Q22" s="118"/>
    </row>
    <row r="23" spans="1:17" ht="14.25" customHeight="1" x14ac:dyDescent="0.3">
      <c r="B23" s="23"/>
      <c r="D23" s="25"/>
      <c r="E23" s="25"/>
      <c r="M23" s="12"/>
      <c r="N23" s="118"/>
      <c r="O23" s="118"/>
      <c r="P23" s="118"/>
      <c r="Q23" s="118"/>
    </row>
    <row r="24" spans="1:17" ht="14.25" customHeight="1" x14ac:dyDescent="0.3">
      <c r="B24" s="23"/>
      <c r="D24" s="25"/>
      <c r="E24" s="25"/>
      <c r="M24" s="12"/>
      <c r="N24" s="118"/>
      <c r="O24" s="118"/>
      <c r="P24" s="118"/>
      <c r="Q24" s="118"/>
    </row>
    <row r="25" spans="1:17" ht="14.25" customHeight="1" x14ac:dyDescent="0.3">
      <c r="B25" s="23"/>
      <c r="D25" s="25"/>
      <c r="E25" s="25"/>
      <c r="M25" s="12"/>
      <c r="N25" s="118"/>
      <c r="O25" s="118"/>
      <c r="P25" s="118"/>
      <c r="Q25" s="118"/>
    </row>
    <row r="26" spans="1:17" ht="14.25" customHeight="1" x14ac:dyDescent="0.3">
      <c r="B26" s="23"/>
      <c r="D26" s="25"/>
      <c r="E26" s="25"/>
      <c r="M26" s="12"/>
      <c r="N26" s="118"/>
      <c r="O26" s="118"/>
      <c r="P26" s="118"/>
      <c r="Q26" s="118"/>
    </row>
    <row r="27" spans="1:17" ht="14.25" customHeight="1" x14ac:dyDescent="0.3">
      <c r="B27" s="23"/>
      <c r="D27" s="25"/>
      <c r="E27" s="25"/>
      <c r="M27" s="12"/>
      <c r="N27" s="118"/>
      <c r="O27" s="118"/>
      <c r="P27" s="118"/>
      <c r="Q27" s="118"/>
    </row>
    <row r="28" spans="1:17" ht="14.25" customHeight="1" x14ac:dyDescent="0.3">
      <c r="B28" s="23"/>
      <c r="D28" s="25"/>
      <c r="E28" s="25"/>
      <c r="M28" s="12"/>
      <c r="N28" s="118"/>
      <c r="O28" s="118"/>
      <c r="P28" s="118"/>
      <c r="Q28" s="118"/>
    </row>
    <row r="29" spans="1:17" ht="14.25" customHeight="1" x14ac:dyDescent="0.3">
      <c r="B29" s="23"/>
      <c r="D29" s="25"/>
      <c r="E29" s="25"/>
      <c r="M29" s="12"/>
      <c r="N29" s="118"/>
      <c r="O29" s="118"/>
      <c r="P29" s="118"/>
      <c r="Q29" s="118"/>
    </row>
    <row r="30" spans="1:17" ht="14.25" customHeight="1" x14ac:dyDescent="0.3">
      <c r="B30" s="23"/>
      <c r="D30" s="25"/>
      <c r="E30" s="25"/>
      <c r="M30" s="12"/>
      <c r="N30" s="118"/>
      <c r="O30" s="118"/>
      <c r="P30" s="118"/>
      <c r="Q30" s="118"/>
    </row>
    <row r="31" spans="1:17" ht="14.25" customHeight="1" x14ac:dyDescent="0.3">
      <c r="B31" s="23"/>
      <c r="D31" s="25"/>
      <c r="E31" s="25"/>
      <c r="M31" s="12"/>
      <c r="N31" s="118"/>
      <c r="O31" s="118"/>
      <c r="P31" s="118"/>
      <c r="Q31" s="118"/>
    </row>
    <row r="32" spans="1:17" ht="14.25" customHeight="1" x14ac:dyDescent="0.3">
      <c r="B32" s="23"/>
      <c r="D32" s="25"/>
      <c r="E32" s="25"/>
      <c r="M32" s="12"/>
      <c r="N32" s="118"/>
      <c r="O32" s="118"/>
      <c r="P32" s="118"/>
      <c r="Q32" s="118"/>
    </row>
    <row r="33" spans="2:17" ht="14.25" customHeight="1" x14ac:dyDescent="0.3">
      <c r="B33" s="23"/>
      <c r="D33" s="25"/>
      <c r="E33" s="25"/>
      <c r="M33" s="12"/>
      <c r="N33" s="118"/>
      <c r="O33" s="118"/>
      <c r="P33" s="118"/>
      <c r="Q33" s="118"/>
    </row>
    <row r="34" spans="2:17" ht="14.25" customHeight="1" x14ac:dyDescent="0.3">
      <c r="B34" s="23"/>
      <c r="D34" s="25"/>
      <c r="E34" s="25"/>
      <c r="M34" s="12"/>
      <c r="N34" s="118"/>
      <c r="O34" s="118"/>
      <c r="P34" s="118"/>
      <c r="Q34" s="118"/>
    </row>
    <row r="35" spans="2:17" ht="14.25" customHeight="1" x14ac:dyDescent="0.3">
      <c r="B35" s="23"/>
      <c r="D35" s="25"/>
      <c r="E35" s="25"/>
      <c r="M35" s="12"/>
      <c r="N35" s="118"/>
      <c r="O35" s="118"/>
      <c r="P35" s="118"/>
      <c r="Q35" s="118"/>
    </row>
    <row r="36" spans="2:17" ht="14.25" customHeight="1" x14ac:dyDescent="0.3">
      <c r="B36" s="23"/>
      <c r="D36" s="25"/>
      <c r="E36" s="25"/>
      <c r="M36" s="12"/>
      <c r="N36" s="118"/>
      <c r="O36" s="118"/>
      <c r="P36" s="118"/>
      <c r="Q36" s="118"/>
    </row>
    <row r="37" spans="2:17" ht="14.25" customHeight="1" x14ac:dyDescent="0.3">
      <c r="B37" s="23"/>
      <c r="D37" s="25"/>
      <c r="E37" s="25"/>
      <c r="M37" s="12"/>
      <c r="N37" s="118"/>
      <c r="O37" s="118"/>
      <c r="P37" s="118"/>
      <c r="Q37" s="118"/>
    </row>
    <row r="38" spans="2:17" ht="14.25" customHeight="1" x14ac:dyDescent="0.3">
      <c r="B38" s="23"/>
      <c r="D38" s="25"/>
      <c r="E38" s="25"/>
      <c r="M38" s="12"/>
      <c r="N38" s="118"/>
      <c r="O38" s="118"/>
      <c r="P38" s="118"/>
      <c r="Q38" s="118"/>
    </row>
    <row r="39" spans="2:17" ht="14.25" customHeight="1" x14ac:dyDescent="0.3">
      <c r="B39" s="23"/>
      <c r="D39" s="25"/>
      <c r="E39" s="25"/>
      <c r="M39" s="12"/>
      <c r="N39" s="118"/>
      <c r="O39" s="118"/>
      <c r="P39" s="118"/>
      <c r="Q39" s="118"/>
    </row>
    <row r="40" spans="2:17" ht="14.25" customHeight="1" x14ac:dyDescent="0.3">
      <c r="B40" s="23"/>
      <c r="D40" s="25"/>
      <c r="E40" s="25"/>
      <c r="M40" s="12"/>
      <c r="N40" s="118"/>
      <c r="O40" s="118"/>
      <c r="P40" s="118"/>
      <c r="Q40" s="118"/>
    </row>
    <row r="41" spans="2:17" ht="14.25" customHeight="1" x14ac:dyDescent="0.3">
      <c r="B41" s="23"/>
      <c r="D41" s="25"/>
      <c r="E41" s="25"/>
      <c r="M41" s="12"/>
      <c r="N41" s="118"/>
      <c r="O41" s="118"/>
      <c r="P41" s="118"/>
      <c r="Q41" s="118"/>
    </row>
    <row r="42" spans="2:17" ht="14.25" customHeight="1" x14ac:dyDescent="0.3">
      <c r="B42" s="23"/>
      <c r="D42" s="25"/>
      <c r="E42" s="25"/>
      <c r="M42" s="12"/>
      <c r="N42" s="118"/>
      <c r="O42" s="118"/>
      <c r="P42" s="118"/>
      <c r="Q42" s="118"/>
    </row>
    <row r="43" spans="2:17" ht="14.25" customHeight="1" x14ac:dyDescent="0.3">
      <c r="B43" s="23"/>
      <c r="D43" s="25"/>
      <c r="E43" s="25"/>
      <c r="M43" s="12"/>
      <c r="N43" s="118"/>
      <c r="O43" s="118"/>
      <c r="P43" s="118"/>
      <c r="Q43" s="118"/>
    </row>
    <row r="44" spans="2:17" ht="14.25" customHeight="1" x14ac:dyDescent="0.3">
      <c r="B44" s="23"/>
      <c r="D44" s="25"/>
      <c r="E44" s="25"/>
      <c r="M44" s="12"/>
      <c r="N44" s="118"/>
      <c r="O44" s="118"/>
      <c r="P44" s="118"/>
      <c r="Q44" s="118"/>
    </row>
    <row r="45" spans="2:17" ht="14.25" customHeight="1" x14ac:dyDescent="0.3">
      <c r="B45" s="23"/>
      <c r="D45" s="25"/>
      <c r="E45" s="25"/>
      <c r="M45" s="12"/>
      <c r="N45" s="118"/>
      <c r="O45" s="118"/>
      <c r="P45" s="118"/>
      <c r="Q45" s="118"/>
    </row>
    <row r="46" spans="2:17" ht="14.25" customHeight="1" x14ac:dyDescent="0.3">
      <c r="B46" s="23"/>
      <c r="D46" s="25"/>
      <c r="E46" s="25"/>
      <c r="M46" s="12"/>
      <c r="N46" s="118"/>
      <c r="O46" s="118"/>
      <c r="P46" s="118"/>
      <c r="Q46" s="118"/>
    </row>
    <row r="47" spans="2:17" ht="14.25" customHeight="1" x14ac:dyDescent="0.3">
      <c r="B47" s="23"/>
      <c r="D47" s="25"/>
      <c r="E47" s="25"/>
      <c r="M47" s="12"/>
      <c r="N47" s="118"/>
      <c r="O47" s="118"/>
      <c r="P47" s="118"/>
      <c r="Q47" s="118"/>
    </row>
    <row r="48" spans="2:17" ht="14.25" customHeight="1" x14ac:dyDescent="0.3">
      <c r="B48" s="23"/>
      <c r="D48" s="25"/>
      <c r="E48" s="25"/>
      <c r="M48" s="12"/>
      <c r="N48" s="118"/>
      <c r="O48" s="118"/>
      <c r="P48" s="118"/>
      <c r="Q48" s="118"/>
    </row>
    <row r="49" spans="2:17" ht="14.25" customHeight="1" x14ac:dyDescent="0.3">
      <c r="B49" s="23"/>
      <c r="D49" s="25"/>
      <c r="E49" s="25"/>
      <c r="M49" s="12"/>
      <c r="N49" s="118"/>
      <c r="O49" s="118"/>
      <c r="P49" s="118"/>
      <c r="Q49" s="118"/>
    </row>
    <row r="50" spans="2:17" ht="14.25" customHeight="1" x14ac:dyDescent="0.3">
      <c r="B50" s="23"/>
      <c r="D50" s="25"/>
      <c r="E50" s="25"/>
      <c r="M50" s="12"/>
      <c r="N50" s="118"/>
      <c r="O50" s="118"/>
      <c r="P50" s="118"/>
      <c r="Q50" s="118"/>
    </row>
    <row r="51" spans="2:17" ht="14.25" customHeight="1" x14ac:dyDescent="0.3">
      <c r="B51" s="23"/>
      <c r="D51" s="25"/>
      <c r="E51" s="25"/>
      <c r="M51" s="12"/>
      <c r="N51" s="118"/>
      <c r="O51" s="118"/>
      <c r="P51" s="118"/>
      <c r="Q51" s="118"/>
    </row>
    <row r="52" spans="2:17" ht="14.25" customHeight="1" x14ac:dyDescent="0.3">
      <c r="B52" s="23"/>
      <c r="D52" s="25"/>
      <c r="E52" s="25"/>
      <c r="M52" s="12"/>
      <c r="N52" s="118"/>
      <c r="O52" s="118"/>
      <c r="P52" s="118"/>
      <c r="Q52" s="118"/>
    </row>
    <row r="53" spans="2:17" ht="14.25" customHeight="1" x14ac:dyDescent="0.3">
      <c r="B53" s="23"/>
      <c r="D53" s="25"/>
      <c r="E53" s="25"/>
      <c r="M53" s="12"/>
      <c r="N53" s="118"/>
      <c r="O53" s="118"/>
      <c r="P53" s="118"/>
      <c r="Q53" s="118"/>
    </row>
    <row r="54" spans="2:17" ht="14.25" customHeight="1" x14ac:dyDescent="0.3">
      <c r="B54" s="23"/>
      <c r="D54" s="25"/>
      <c r="E54" s="25"/>
      <c r="M54" s="12"/>
      <c r="N54" s="118"/>
      <c r="O54" s="118"/>
      <c r="P54" s="118"/>
      <c r="Q54" s="118"/>
    </row>
    <row r="55" spans="2:17" ht="14.25" customHeight="1" x14ac:dyDescent="0.3">
      <c r="B55" s="23"/>
      <c r="D55" s="25"/>
      <c r="E55" s="25"/>
      <c r="M55" s="12"/>
      <c r="N55" s="118"/>
      <c r="O55" s="118"/>
      <c r="P55" s="118"/>
      <c r="Q55" s="118"/>
    </row>
    <row r="56" spans="2:17" ht="14.25" customHeight="1" x14ac:dyDescent="0.3">
      <c r="B56" s="23"/>
      <c r="D56" s="25"/>
      <c r="E56" s="25"/>
      <c r="M56" s="12"/>
      <c r="N56" s="118"/>
      <c r="O56" s="118"/>
      <c r="P56" s="118"/>
      <c r="Q56" s="118"/>
    </row>
    <row r="57" spans="2:17" ht="14.25" customHeight="1" x14ac:dyDescent="0.3">
      <c r="B57" s="23"/>
      <c r="D57" s="25"/>
      <c r="E57" s="25"/>
      <c r="M57" s="12"/>
      <c r="N57" s="118"/>
      <c r="O57" s="118"/>
      <c r="P57" s="118"/>
      <c r="Q57" s="118"/>
    </row>
    <row r="58" spans="2:17" ht="14.25" customHeight="1" x14ac:dyDescent="0.3">
      <c r="B58" s="23"/>
      <c r="D58" s="25"/>
      <c r="E58" s="25"/>
      <c r="M58" s="12"/>
      <c r="N58" s="118"/>
      <c r="O58" s="118"/>
      <c r="P58" s="118"/>
      <c r="Q58" s="118"/>
    </row>
    <row r="59" spans="2:17" ht="14.25" customHeight="1" x14ac:dyDescent="0.3">
      <c r="B59" s="23"/>
      <c r="D59" s="25"/>
      <c r="E59" s="25"/>
      <c r="M59" s="12"/>
      <c r="N59" s="118"/>
      <c r="O59" s="118"/>
      <c r="P59" s="118"/>
      <c r="Q59" s="118"/>
    </row>
    <row r="60" spans="2:17" ht="14.25" customHeight="1" x14ac:dyDescent="0.3">
      <c r="B60" s="23"/>
      <c r="D60" s="25"/>
      <c r="E60" s="25"/>
      <c r="M60" s="12"/>
      <c r="N60" s="118"/>
      <c r="O60" s="118"/>
      <c r="P60" s="118"/>
      <c r="Q60" s="118"/>
    </row>
    <row r="61" spans="2:17" ht="14.25" customHeight="1" x14ac:dyDescent="0.3">
      <c r="B61" s="23"/>
      <c r="D61" s="25"/>
      <c r="E61" s="25"/>
      <c r="M61" s="12"/>
      <c r="N61" s="118"/>
      <c r="O61" s="118"/>
      <c r="P61" s="118"/>
      <c r="Q61" s="118"/>
    </row>
    <row r="62" spans="2:17" ht="14.25" customHeight="1" x14ac:dyDescent="0.3">
      <c r="B62" s="23"/>
      <c r="D62" s="25"/>
      <c r="E62" s="25"/>
      <c r="M62" s="12"/>
      <c r="N62" s="118"/>
      <c r="O62" s="118"/>
      <c r="P62" s="118"/>
      <c r="Q62" s="118"/>
    </row>
    <row r="63" spans="2:17" ht="14.25" customHeight="1" x14ac:dyDescent="0.3">
      <c r="B63" s="23"/>
      <c r="D63" s="25"/>
      <c r="E63" s="25"/>
      <c r="M63" s="12"/>
      <c r="N63" s="118"/>
      <c r="O63" s="118"/>
      <c r="P63" s="118"/>
      <c r="Q63" s="118"/>
    </row>
    <row r="64" spans="2:17" ht="14.25" customHeight="1" x14ac:dyDescent="0.3">
      <c r="B64" s="23"/>
      <c r="D64" s="25"/>
      <c r="E64" s="25"/>
      <c r="M64" s="12"/>
      <c r="N64" s="118"/>
      <c r="O64" s="118"/>
      <c r="P64" s="118"/>
      <c r="Q64" s="118"/>
    </row>
    <row r="65" spans="2:17" ht="14.25" customHeight="1" x14ac:dyDescent="0.3">
      <c r="B65" s="23"/>
      <c r="D65" s="25"/>
      <c r="E65" s="25"/>
      <c r="M65" s="12"/>
      <c r="N65" s="118"/>
      <c r="O65" s="118"/>
      <c r="P65" s="118"/>
      <c r="Q65" s="118"/>
    </row>
    <row r="66" spans="2:17" ht="14.25" customHeight="1" x14ac:dyDescent="0.3">
      <c r="B66" s="23"/>
      <c r="D66" s="25"/>
      <c r="E66" s="25"/>
      <c r="M66" s="12"/>
      <c r="N66" s="118"/>
      <c r="O66" s="118"/>
      <c r="P66" s="118"/>
      <c r="Q66" s="118"/>
    </row>
    <row r="67" spans="2:17" ht="14.25" customHeight="1" x14ac:dyDescent="0.3">
      <c r="B67" s="23"/>
      <c r="D67" s="25"/>
      <c r="E67" s="25"/>
      <c r="M67" s="12"/>
      <c r="N67" s="118"/>
      <c r="O67" s="118"/>
      <c r="P67" s="118"/>
      <c r="Q67" s="118"/>
    </row>
    <row r="68" spans="2:17" ht="14.25" customHeight="1" x14ac:dyDescent="0.3">
      <c r="B68" s="23"/>
      <c r="D68" s="25"/>
      <c r="E68" s="25"/>
      <c r="M68" s="12"/>
      <c r="N68" s="118"/>
      <c r="O68" s="118"/>
      <c r="P68" s="118"/>
      <c r="Q68" s="118"/>
    </row>
    <row r="69" spans="2:17" ht="14.25" customHeight="1" x14ac:dyDescent="0.3">
      <c r="B69" s="23"/>
      <c r="D69" s="25"/>
      <c r="E69" s="25"/>
      <c r="M69" s="12"/>
      <c r="N69" s="118"/>
      <c r="O69" s="118"/>
      <c r="P69" s="118"/>
      <c r="Q69" s="118"/>
    </row>
    <row r="70" spans="2:17" ht="14.25" customHeight="1" x14ac:dyDescent="0.3">
      <c r="B70" s="23"/>
      <c r="D70" s="25"/>
      <c r="E70" s="25"/>
      <c r="M70" s="12"/>
      <c r="N70" s="118"/>
      <c r="O70" s="118"/>
      <c r="P70" s="118"/>
      <c r="Q70" s="118"/>
    </row>
    <row r="71" spans="2:17" ht="14.25" customHeight="1" x14ac:dyDescent="0.3">
      <c r="B71" s="23"/>
      <c r="D71" s="25"/>
      <c r="E71" s="25"/>
      <c r="M71" s="12"/>
      <c r="N71" s="118"/>
      <c r="O71" s="118"/>
      <c r="P71" s="118"/>
      <c r="Q71" s="118"/>
    </row>
    <row r="72" spans="2:17" ht="14.25" customHeight="1" x14ac:dyDescent="0.3">
      <c r="B72" s="23"/>
      <c r="D72" s="25"/>
      <c r="E72" s="25"/>
      <c r="M72" s="12"/>
      <c r="N72" s="118"/>
      <c r="O72" s="118"/>
      <c r="P72" s="118"/>
      <c r="Q72" s="118"/>
    </row>
    <row r="73" spans="2:17" ht="14.25" customHeight="1" x14ac:dyDescent="0.3">
      <c r="B73" s="23"/>
      <c r="D73" s="25"/>
      <c r="E73" s="25"/>
      <c r="M73" s="12"/>
      <c r="N73" s="118"/>
      <c r="O73" s="118"/>
      <c r="P73" s="118"/>
      <c r="Q73" s="118"/>
    </row>
    <row r="74" spans="2:17" ht="14.25" customHeight="1" x14ac:dyDescent="0.3">
      <c r="B74" s="23"/>
      <c r="D74" s="25"/>
      <c r="E74" s="25"/>
      <c r="M74" s="12"/>
      <c r="N74" s="118"/>
      <c r="O74" s="118"/>
      <c r="P74" s="118"/>
      <c r="Q74" s="118"/>
    </row>
    <row r="75" spans="2:17" ht="14.25" customHeight="1" x14ac:dyDescent="0.3">
      <c r="B75" s="23"/>
      <c r="D75" s="25"/>
      <c r="E75" s="25"/>
      <c r="M75" s="12"/>
      <c r="N75" s="118"/>
      <c r="O75" s="118"/>
      <c r="P75" s="118"/>
      <c r="Q75" s="118"/>
    </row>
    <row r="76" spans="2:17" ht="14.25" customHeight="1" x14ac:dyDescent="0.3">
      <c r="B76" s="23"/>
      <c r="D76" s="25"/>
      <c r="E76" s="25"/>
      <c r="M76" s="12"/>
      <c r="N76" s="118"/>
      <c r="O76" s="118"/>
      <c r="P76" s="118"/>
      <c r="Q76" s="118"/>
    </row>
    <row r="77" spans="2:17" ht="14.25" customHeight="1" x14ac:dyDescent="0.3">
      <c r="B77" s="23"/>
      <c r="D77" s="25"/>
      <c r="E77" s="25"/>
      <c r="M77" s="12"/>
      <c r="N77" s="118"/>
      <c r="O77" s="118"/>
      <c r="P77" s="118"/>
      <c r="Q77" s="118"/>
    </row>
    <row r="78" spans="2:17" ht="14.25" customHeight="1" x14ac:dyDescent="0.3">
      <c r="B78" s="23"/>
      <c r="D78" s="25"/>
      <c r="E78" s="25"/>
      <c r="M78" s="12"/>
      <c r="N78" s="118"/>
      <c r="O78" s="118"/>
      <c r="P78" s="118"/>
      <c r="Q78" s="118"/>
    </row>
    <row r="79" spans="2:17" ht="14.25" customHeight="1" x14ac:dyDescent="0.3">
      <c r="B79" s="23"/>
      <c r="D79" s="25"/>
      <c r="E79" s="25"/>
      <c r="M79" s="12"/>
      <c r="N79" s="118"/>
      <c r="O79" s="118"/>
      <c r="P79" s="118"/>
      <c r="Q79" s="118"/>
    </row>
    <row r="80" spans="2:17" ht="14.25" customHeight="1" x14ac:dyDescent="0.3">
      <c r="B80" s="23"/>
      <c r="D80" s="25"/>
      <c r="E80" s="25"/>
      <c r="M80" s="12"/>
      <c r="N80" s="118"/>
      <c r="O80" s="118"/>
      <c r="P80" s="118"/>
      <c r="Q80" s="118"/>
    </row>
    <row r="81" spans="2:17" ht="14.25" customHeight="1" x14ac:dyDescent="0.3">
      <c r="B81" s="23"/>
      <c r="D81" s="25"/>
      <c r="E81" s="25"/>
      <c r="M81" s="12"/>
      <c r="N81" s="118"/>
      <c r="O81" s="118"/>
      <c r="P81" s="118"/>
      <c r="Q81" s="118"/>
    </row>
    <row r="82" spans="2:17" ht="14.25" customHeight="1" x14ac:dyDescent="0.3">
      <c r="B82" s="23"/>
      <c r="D82" s="25"/>
      <c r="E82" s="25"/>
      <c r="M82" s="12"/>
      <c r="N82" s="118"/>
      <c r="O82" s="118"/>
      <c r="P82" s="118"/>
      <c r="Q82" s="118"/>
    </row>
    <row r="83" spans="2:17" ht="14.25" customHeight="1" x14ac:dyDescent="0.3">
      <c r="B83" s="23"/>
      <c r="D83" s="25"/>
      <c r="E83" s="25"/>
      <c r="M83" s="12"/>
      <c r="N83" s="118"/>
      <c r="O83" s="118"/>
      <c r="P83" s="118"/>
      <c r="Q83" s="118"/>
    </row>
    <row r="84" spans="2:17" ht="14.25" customHeight="1" x14ac:dyDescent="0.3">
      <c r="B84" s="23"/>
      <c r="D84" s="25"/>
      <c r="E84" s="25"/>
      <c r="M84" s="12"/>
      <c r="N84" s="118"/>
      <c r="O84" s="118"/>
      <c r="P84" s="118"/>
      <c r="Q84" s="118"/>
    </row>
    <row r="85" spans="2:17" ht="14.25" customHeight="1" x14ac:dyDescent="0.3">
      <c r="B85" s="23"/>
      <c r="D85" s="25"/>
      <c r="E85" s="25"/>
      <c r="M85" s="12"/>
      <c r="N85" s="118"/>
      <c r="O85" s="118"/>
      <c r="P85" s="118"/>
      <c r="Q85" s="118"/>
    </row>
    <row r="86" spans="2:17" ht="14.25" customHeight="1" x14ac:dyDescent="0.3">
      <c r="B86" s="23"/>
      <c r="D86" s="25"/>
      <c r="E86" s="25"/>
      <c r="M86" s="12"/>
      <c r="N86" s="118"/>
      <c r="O86" s="118"/>
      <c r="P86" s="118"/>
      <c r="Q86" s="118"/>
    </row>
    <row r="87" spans="2:17" ht="14.25" customHeight="1" x14ac:dyDescent="0.3">
      <c r="B87" s="23"/>
      <c r="D87" s="25"/>
      <c r="E87" s="25"/>
      <c r="M87" s="12"/>
      <c r="N87" s="118"/>
      <c r="O87" s="118"/>
      <c r="P87" s="118"/>
      <c r="Q87" s="118"/>
    </row>
    <row r="88" spans="2:17" ht="14.25" customHeight="1" x14ac:dyDescent="0.3">
      <c r="B88" s="23"/>
      <c r="D88" s="25"/>
      <c r="E88" s="25"/>
      <c r="M88" s="12"/>
      <c r="N88" s="118"/>
      <c r="O88" s="118"/>
      <c r="P88" s="118"/>
      <c r="Q88" s="118"/>
    </row>
    <row r="89" spans="2:17" ht="14.25" customHeight="1" x14ac:dyDescent="0.3">
      <c r="B89" s="23"/>
      <c r="D89" s="25"/>
      <c r="E89" s="25"/>
      <c r="M89" s="12"/>
      <c r="N89" s="118"/>
      <c r="O89" s="118"/>
      <c r="P89" s="118"/>
      <c r="Q89" s="118"/>
    </row>
    <row r="90" spans="2:17" ht="14.25" customHeight="1" x14ac:dyDescent="0.3">
      <c r="B90" s="23"/>
      <c r="D90" s="25"/>
      <c r="E90" s="25"/>
      <c r="M90" s="12"/>
      <c r="N90" s="118"/>
      <c r="O90" s="118"/>
      <c r="P90" s="118"/>
      <c r="Q90" s="118"/>
    </row>
    <row r="91" spans="2:17" ht="14.25" customHeight="1" x14ac:dyDescent="0.3">
      <c r="B91" s="23"/>
      <c r="D91" s="25"/>
      <c r="E91" s="25"/>
      <c r="M91" s="12"/>
      <c r="N91" s="118"/>
      <c r="O91" s="118"/>
      <c r="P91" s="118"/>
      <c r="Q91" s="118"/>
    </row>
    <row r="92" spans="2:17" ht="14.25" customHeight="1" x14ac:dyDescent="0.3">
      <c r="B92" s="23"/>
      <c r="D92" s="25"/>
      <c r="E92" s="25"/>
      <c r="M92" s="12"/>
      <c r="N92" s="118"/>
      <c r="O92" s="118"/>
      <c r="P92" s="118"/>
      <c r="Q92" s="118"/>
    </row>
    <row r="93" spans="2:17" ht="14.25" customHeight="1" x14ac:dyDescent="0.3">
      <c r="B93" s="23"/>
      <c r="D93" s="25"/>
      <c r="E93" s="25"/>
      <c r="M93" s="12"/>
      <c r="N93" s="118"/>
      <c r="O93" s="118"/>
      <c r="P93" s="118"/>
      <c r="Q93" s="118"/>
    </row>
    <row r="94" spans="2:17" ht="14.25" customHeight="1" x14ac:dyDescent="0.3">
      <c r="B94" s="23"/>
      <c r="D94" s="25"/>
      <c r="E94" s="25"/>
      <c r="M94" s="12"/>
      <c r="N94" s="118"/>
      <c r="O94" s="118"/>
      <c r="P94" s="118"/>
      <c r="Q94" s="118"/>
    </row>
    <row r="95" spans="2:17" ht="14.25" customHeight="1" x14ac:dyDescent="0.3">
      <c r="B95" s="23"/>
      <c r="D95" s="25"/>
      <c r="E95" s="25"/>
      <c r="M95" s="12"/>
      <c r="N95" s="118"/>
      <c r="O95" s="118"/>
      <c r="P95" s="118"/>
      <c r="Q95" s="118"/>
    </row>
    <row r="96" spans="2:17" ht="14.25" customHeight="1" x14ac:dyDescent="0.3">
      <c r="B96" s="23"/>
      <c r="D96" s="25"/>
      <c r="E96" s="25"/>
      <c r="M96" s="12"/>
      <c r="N96" s="118"/>
      <c r="O96" s="118"/>
      <c r="P96" s="118"/>
      <c r="Q96" s="118"/>
    </row>
    <row r="97" spans="2:17" ht="14.25" customHeight="1" x14ac:dyDescent="0.3">
      <c r="B97" s="23"/>
      <c r="D97" s="25"/>
      <c r="E97" s="25"/>
      <c r="M97" s="12"/>
      <c r="N97" s="118"/>
      <c r="O97" s="118"/>
      <c r="P97" s="118"/>
      <c r="Q97" s="118"/>
    </row>
    <row r="98" spans="2:17" ht="14.25" customHeight="1" x14ac:dyDescent="0.3">
      <c r="B98" s="23"/>
      <c r="D98" s="25"/>
      <c r="E98" s="25"/>
      <c r="M98" s="12"/>
      <c r="N98" s="118"/>
      <c r="O98" s="118"/>
      <c r="P98" s="118"/>
      <c r="Q98" s="118"/>
    </row>
    <row r="99" spans="2:17" ht="14.25" customHeight="1" x14ac:dyDescent="0.3">
      <c r="B99" s="23"/>
      <c r="D99" s="25"/>
      <c r="E99" s="25"/>
      <c r="M99" s="12"/>
      <c r="N99" s="118"/>
      <c r="O99" s="118"/>
      <c r="P99" s="118"/>
      <c r="Q99" s="118"/>
    </row>
    <row r="100" spans="2:17" ht="14.25" customHeight="1" x14ac:dyDescent="0.3">
      <c r="B100" s="23"/>
      <c r="D100" s="25"/>
      <c r="E100" s="25"/>
      <c r="M100" s="12"/>
      <c r="N100" s="118"/>
      <c r="O100" s="118"/>
      <c r="P100" s="118"/>
      <c r="Q100" s="118"/>
    </row>
    <row r="101" spans="2:17" ht="14.25" customHeight="1" x14ac:dyDescent="0.3">
      <c r="B101" s="23"/>
      <c r="D101" s="25"/>
      <c r="E101" s="25"/>
      <c r="M101" s="12"/>
      <c r="N101" s="118"/>
      <c r="O101" s="118"/>
      <c r="P101" s="118"/>
      <c r="Q101" s="118"/>
    </row>
    <row r="102" spans="2:17" ht="14.25" customHeight="1" x14ac:dyDescent="0.3">
      <c r="B102" s="23"/>
      <c r="D102" s="25"/>
      <c r="E102" s="25"/>
      <c r="M102" s="12"/>
      <c r="N102" s="118"/>
      <c r="O102" s="118"/>
      <c r="P102" s="118"/>
      <c r="Q102" s="118"/>
    </row>
    <row r="103" spans="2:17" ht="14.25" customHeight="1" x14ac:dyDescent="0.3">
      <c r="B103" s="23"/>
      <c r="D103" s="25"/>
      <c r="E103" s="25"/>
      <c r="M103" s="12"/>
      <c r="N103" s="118"/>
      <c r="O103" s="118"/>
      <c r="P103" s="118"/>
      <c r="Q103" s="118"/>
    </row>
    <row r="104" spans="2:17" ht="14.25" customHeight="1" x14ac:dyDescent="0.3">
      <c r="B104" s="23"/>
      <c r="D104" s="25"/>
      <c r="E104" s="25"/>
      <c r="M104" s="12"/>
      <c r="N104" s="118"/>
      <c r="O104" s="118"/>
      <c r="P104" s="118"/>
      <c r="Q104" s="118"/>
    </row>
    <row r="105" spans="2:17" ht="14.25" customHeight="1" x14ac:dyDescent="0.3">
      <c r="B105" s="23"/>
      <c r="D105" s="25"/>
      <c r="E105" s="25"/>
      <c r="M105" s="12"/>
      <c r="N105" s="118"/>
      <c r="O105" s="118"/>
      <c r="P105" s="118"/>
      <c r="Q105" s="118"/>
    </row>
    <row r="106" spans="2:17" ht="14.25" customHeight="1" x14ac:dyDescent="0.3">
      <c r="B106" s="23"/>
      <c r="D106" s="25"/>
      <c r="E106" s="25"/>
      <c r="M106" s="12"/>
      <c r="N106" s="118"/>
      <c r="O106" s="118"/>
      <c r="P106" s="118"/>
      <c r="Q106" s="118"/>
    </row>
    <row r="107" spans="2:17" ht="14.25" customHeight="1" x14ac:dyDescent="0.3">
      <c r="B107" s="23"/>
      <c r="D107" s="25"/>
      <c r="E107" s="25"/>
      <c r="M107" s="12"/>
      <c r="N107" s="118"/>
      <c r="O107" s="118"/>
      <c r="P107" s="118"/>
      <c r="Q107" s="118"/>
    </row>
    <row r="108" spans="2:17" ht="14.25" customHeight="1" x14ac:dyDescent="0.3">
      <c r="B108" s="23"/>
      <c r="D108" s="25"/>
      <c r="E108" s="25"/>
      <c r="M108" s="12"/>
      <c r="N108" s="118"/>
      <c r="O108" s="118"/>
      <c r="P108" s="118"/>
      <c r="Q108" s="118"/>
    </row>
    <row r="109" spans="2:17" ht="14.25" customHeight="1" x14ac:dyDescent="0.3">
      <c r="B109" s="23"/>
      <c r="D109" s="25"/>
      <c r="E109" s="25"/>
      <c r="M109" s="12"/>
      <c r="N109" s="118"/>
      <c r="O109" s="118"/>
      <c r="P109" s="118"/>
      <c r="Q109" s="118"/>
    </row>
    <row r="110" spans="2:17" ht="14.25" customHeight="1" x14ac:dyDescent="0.3">
      <c r="B110" s="23"/>
      <c r="D110" s="25"/>
      <c r="E110" s="25"/>
      <c r="M110" s="12"/>
      <c r="N110" s="118"/>
      <c r="O110" s="118"/>
      <c r="P110" s="118"/>
      <c r="Q110" s="118"/>
    </row>
    <row r="111" spans="2:17" ht="14.25" customHeight="1" x14ac:dyDescent="0.3">
      <c r="B111" s="23"/>
      <c r="D111" s="25"/>
      <c r="E111" s="25"/>
      <c r="M111" s="12"/>
      <c r="N111" s="118"/>
      <c r="O111" s="118"/>
      <c r="P111" s="118"/>
      <c r="Q111" s="118"/>
    </row>
    <row r="112" spans="2:17" ht="14.25" customHeight="1" x14ac:dyDescent="0.3">
      <c r="B112" s="23"/>
      <c r="D112" s="25"/>
      <c r="E112" s="25"/>
      <c r="M112" s="12"/>
      <c r="N112" s="118"/>
      <c r="O112" s="118"/>
      <c r="P112" s="118"/>
      <c r="Q112" s="118"/>
    </row>
    <row r="113" spans="2:17" ht="14.25" customHeight="1" x14ac:dyDescent="0.3">
      <c r="B113" s="23"/>
      <c r="D113" s="25"/>
      <c r="E113" s="25"/>
      <c r="M113" s="12"/>
      <c r="N113" s="118"/>
      <c r="O113" s="118"/>
      <c r="P113" s="118"/>
      <c r="Q113" s="118"/>
    </row>
    <row r="114" spans="2:17" ht="14.25" customHeight="1" x14ac:dyDescent="0.3">
      <c r="B114" s="23"/>
      <c r="D114" s="25"/>
      <c r="E114" s="25"/>
      <c r="M114" s="12"/>
      <c r="N114" s="118"/>
      <c r="O114" s="118"/>
      <c r="P114" s="118"/>
      <c r="Q114" s="118"/>
    </row>
    <row r="115" spans="2:17" ht="14.25" customHeight="1" x14ac:dyDescent="0.3">
      <c r="B115" s="23"/>
      <c r="D115" s="25"/>
      <c r="E115" s="25"/>
      <c r="M115" s="12"/>
      <c r="N115" s="118"/>
      <c r="O115" s="118"/>
      <c r="P115" s="118"/>
      <c r="Q115" s="118"/>
    </row>
    <row r="116" spans="2:17" ht="14.25" customHeight="1" x14ac:dyDescent="0.3">
      <c r="B116" s="23"/>
      <c r="D116" s="25"/>
      <c r="E116" s="25"/>
      <c r="M116" s="12"/>
      <c r="N116" s="118"/>
      <c r="O116" s="118"/>
      <c r="P116" s="118"/>
      <c r="Q116" s="118"/>
    </row>
    <row r="117" spans="2:17" ht="14.25" customHeight="1" x14ac:dyDescent="0.3">
      <c r="B117" s="23"/>
      <c r="D117" s="25"/>
      <c r="E117" s="25"/>
      <c r="M117" s="12"/>
      <c r="N117" s="118"/>
      <c r="O117" s="118"/>
      <c r="P117" s="118"/>
      <c r="Q117" s="118"/>
    </row>
    <row r="118" spans="2:17" ht="14.25" customHeight="1" x14ac:dyDescent="0.3">
      <c r="B118" s="23"/>
      <c r="D118" s="25"/>
      <c r="E118" s="25"/>
      <c r="M118" s="12"/>
      <c r="N118" s="118"/>
      <c r="O118" s="118"/>
      <c r="P118" s="118"/>
      <c r="Q118" s="118"/>
    </row>
    <row r="119" spans="2:17" ht="14.25" customHeight="1" x14ac:dyDescent="0.3">
      <c r="B119" s="23"/>
      <c r="D119" s="25"/>
      <c r="E119" s="25"/>
      <c r="M119" s="12"/>
      <c r="N119" s="118"/>
      <c r="O119" s="118"/>
      <c r="P119" s="118"/>
      <c r="Q119" s="118"/>
    </row>
    <row r="120" spans="2:17" ht="14.25" customHeight="1" x14ac:dyDescent="0.3">
      <c r="B120" s="23"/>
      <c r="D120" s="25"/>
      <c r="E120" s="25"/>
      <c r="M120" s="12"/>
      <c r="N120" s="118"/>
      <c r="O120" s="118"/>
      <c r="P120" s="118"/>
      <c r="Q120" s="118"/>
    </row>
    <row r="121" spans="2:17" ht="14.25" customHeight="1" x14ac:dyDescent="0.3">
      <c r="B121" s="23"/>
      <c r="D121" s="25"/>
      <c r="E121" s="25"/>
      <c r="M121" s="12"/>
      <c r="N121" s="118"/>
      <c r="O121" s="118"/>
      <c r="P121" s="118"/>
      <c r="Q121" s="118"/>
    </row>
    <row r="122" spans="2:17" ht="14.25" customHeight="1" x14ac:dyDescent="0.3">
      <c r="B122" s="23"/>
      <c r="D122" s="25"/>
      <c r="E122" s="25"/>
      <c r="M122" s="12"/>
      <c r="N122" s="118"/>
      <c r="O122" s="118"/>
      <c r="P122" s="118"/>
      <c r="Q122" s="118"/>
    </row>
    <row r="123" spans="2:17" ht="14.25" customHeight="1" x14ac:dyDescent="0.3">
      <c r="B123" s="23"/>
      <c r="D123" s="25"/>
      <c r="E123" s="25"/>
      <c r="M123" s="12"/>
      <c r="N123" s="118"/>
      <c r="O123" s="118"/>
      <c r="P123" s="118"/>
      <c r="Q123" s="118"/>
    </row>
    <row r="124" spans="2:17" ht="14.25" customHeight="1" x14ac:dyDescent="0.3">
      <c r="B124" s="23"/>
      <c r="D124" s="25"/>
      <c r="E124" s="25"/>
      <c r="M124" s="12"/>
      <c r="N124" s="118"/>
      <c r="O124" s="118"/>
      <c r="P124" s="118"/>
      <c r="Q124" s="118"/>
    </row>
    <row r="125" spans="2:17" ht="14.25" customHeight="1" x14ac:dyDescent="0.3">
      <c r="B125" s="23"/>
      <c r="D125" s="25"/>
      <c r="E125" s="25"/>
      <c r="M125" s="12"/>
      <c r="N125" s="118"/>
      <c r="O125" s="118"/>
      <c r="P125" s="118"/>
      <c r="Q125" s="118"/>
    </row>
    <row r="126" spans="2:17" ht="14.25" customHeight="1" x14ac:dyDescent="0.3">
      <c r="B126" s="23"/>
      <c r="D126" s="25"/>
      <c r="E126" s="25"/>
      <c r="M126" s="12"/>
      <c r="N126" s="118"/>
      <c r="O126" s="118"/>
      <c r="P126" s="118"/>
      <c r="Q126" s="118"/>
    </row>
    <row r="127" spans="2:17" ht="14.25" customHeight="1" x14ac:dyDescent="0.3">
      <c r="B127" s="23"/>
      <c r="D127" s="25"/>
      <c r="E127" s="25"/>
      <c r="M127" s="12"/>
      <c r="N127" s="118"/>
      <c r="O127" s="118"/>
      <c r="P127" s="118"/>
      <c r="Q127" s="118"/>
    </row>
    <row r="128" spans="2:17" ht="14.25" customHeight="1" x14ac:dyDescent="0.3">
      <c r="B128" s="23"/>
      <c r="D128" s="25"/>
      <c r="E128" s="25"/>
      <c r="M128" s="12"/>
      <c r="N128" s="118"/>
      <c r="O128" s="118"/>
      <c r="P128" s="118"/>
      <c r="Q128" s="118"/>
    </row>
    <row r="129" spans="2:17" ht="14.25" customHeight="1" x14ac:dyDescent="0.3">
      <c r="B129" s="23"/>
      <c r="D129" s="25"/>
      <c r="E129" s="25"/>
      <c r="M129" s="12"/>
      <c r="N129" s="118"/>
      <c r="O129" s="118"/>
      <c r="P129" s="118"/>
      <c r="Q129" s="118"/>
    </row>
    <row r="130" spans="2:17" ht="14.25" customHeight="1" x14ac:dyDescent="0.3">
      <c r="B130" s="23"/>
      <c r="D130" s="25"/>
      <c r="E130" s="25"/>
      <c r="M130" s="12"/>
      <c r="N130" s="118"/>
      <c r="O130" s="118"/>
      <c r="P130" s="118"/>
      <c r="Q130" s="118"/>
    </row>
    <row r="131" spans="2:17" ht="14.25" customHeight="1" x14ac:dyDescent="0.3">
      <c r="B131" s="23"/>
      <c r="D131" s="25"/>
      <c r="E131" s="25"/>
      <c r="M131" s="12"/>
      <c r="N131" s="118"/>
      <c r="O131" s="118"/>
      <c r="P131" s="118"/>
      <c r="Q131" s="118"/>
    </row>
    <row r="132" spans="2:17" ht="14.25" customHeight="1" x14ac:dyDescent="0.3">
      <c r="B132" s="23"/>
      <c r="D132" s="25"/>
      <c r="E132" s="25"/>
      <c r="M132" s="12"/>
      <c r="N132" s="118"/>
      <c r="O132" s="118"/>
      <c r="P132" s="118"/>
      <c r="Q132" s="118"/>
    </row>
    <row r="133" spans="2:17" ht="14.25" customHeight="1" x14ac:dyDescent="0.3">
      <c r="B133" s="23"/>
      <c r="D133" s="25"/>
      <c r="E133" s="25"/>
      <c r="M133" s="12"/>
      <c r="N133" s="118"/>
      <c r="O133" s="118"/>
      <c r="P133" s="118"/>
      <c r="Q133" s="118"/>
    </row>
    <row r="134" spans="2:17" ht="14.25" customHeight="1" x14ac:dyDescent="0.3">
      <c r="B134" s="23"/>
      <c r="D134" s="25"/>
      <c r="E134" s="25"/>
      <c r="M134" s="12"/>
      <c r="N134" s="118"/>
      <c r="O134" s="118"/>
      <c r="P134" s="118"/>
      <c r="Q134" s="118"/>
    </row>
    <row r="135" spans="2:17" ht="14.25" customHeight="1" x14ac:dyDescent="0.3">
      <c r="B135" s="23"/>
      <c r="D135" s="25"/>
      <c r="E135" s="25"/>
      <c r="M135" s="12"/>
      <c r="N135" s="118"/>
      <c r="O135" s="118"/>
      <c r="P135" s="118"/>
      <c r="Q135" s="118"/>
    </row>
    <row r="136" spans="2:17" ht="14.25" customHeight="1" x14ac:dyDescent="0.3">
      <c r="B136" s="23"/>
      <c r="D136" s="25"/>
      <c r="E136" s="25"/>
      <c r="M136" s="12"/>
      <c r="N136" s="118"/>
      <c r="O136" s="118"/>
      <c r="P136" s="118"/>
      <c r="Q136" s="118"/>
    </row>
    <row r="137" spans="2:17" ht="14.25" customHeight="1" x14ac:dyDescent="0.3">
      <c r="B137" s="23"/>
      <c r="D137" s="25"/>
      <c r="E137" s="25"/>
      <c r="M137" s="12"/>
      <c r="N137" s="118"/>
      <c r="O137" s="118"/>
      <c r="P137" s="118"/>
      <c r="Q137" s="118"/>
    </row>
    <row r="138" spans="2:17" ht="14.25" customHeight="1" x14ac:dyDescent="0.3">
      <c r="B138" s="23"/>
      <c r="D138" s="25"/>
      <c r="E138" s="25"/>
      <c r="M138" s="12"/>
      <c r="N138" s="118"/>
      <c r="O138" s="118"/>
      <c r="P138" s="118"/>
      <c r="Q138" s="118"/>
    </row>
    <row r="139" spans="2:17" ht="14.25" customHeight="1" x14ac:dyDescent="0.3">
      <c r="B139" s="23"/>
      <c r="D139" s="25"/>
      <c r="E139" s="25"/>
      <c r="M139" s="12"/>
      <c r="N139" s="118"/>
      <c r="O139" s="118"/>
      <c r="P139" s="118"/>
      <c r="Q139" s="118"/>
    </row>
    <row r="140" spans="2:17" ht="14.25" customHeight="1" x14ac:dyDescent="0.3">
      <c r="B140" s="23"/>
      <c r="D140" s="25"/>
      <c r="E140" s="25"/>
      <c r="M140" s="12"/>
      <c r="N140" s="118"/>
      <c r="O140" s="118"/>
      <c r="P140" s="118"/>
      <c r="Q140" s="118"/>
    </row>
    <row r="141" spans="2:17" ht="14.25" customHeight="1" x14ac:dyDescent="0.3">
      <c r="B141" s="23"/>
      <c r="D141" s="25"/>
      <c r="E141" s="25"/>
      <c r="M141" s="12"/>
      <c r="N141" s="118"/>
      <c r="O141" s="118"/>
      <c r="P141" s="118"/>
      <c r="Q141" s="118"/>
    </row>
    <row r="142" spans="2:17" ht="14.25" customHeight="1" x14ac:dyDescent="0.3">
      <c r="B142" s="23"/>
      <c r="D142" s="25"/>
      <c r="E142" s="25"/>
      <c r="M142" s="12"/>
      <c r="N142" s="118"/>
      <c r="O142" s="118"/>
      <c r="P142" s="118"/>
      <c r="Q142" s="118"/>
    </row>
    <row r="143" spans="2:17" ht="14.25" customHeight="1" x14ac:dyDescent="0.3">
      <c r="B143" s="23"/>
      <c r="D143" s="25"/>
      <c r="E143" s="25"/>
      <c r="M143" s="12"/>
      <c r="N143" s="118"/>
      <c r="O143" s="118"/>
      <c r="P143" s="118"/>
      <c r="Q143" s="118"/>
    </row>
    <row r="144" spans="2:17" ht="14.25" customHeight="1" x14ac:dyDescent="0.3">
      <c r="B144" s="23"/>
      <c r="D144" s="25"/>
      <c r="E144" s="25"/>
      <c r="M144" s="12"/>
      <c r="N144" s="118"/>
      <c r="O144" s="118"/>
      <c r="P144" s="118"/>
      <c r="Q144" s="118"/>
    </row>
    <row r="145" spans="2:17" ht="14.25" customHeight="1" x14ac:dyDescent="0.3">
      <c r="B145" s="23"/>
      <c r="D145" s="25"/>
      <c r="E145" s="25"/>
      <c r="M145" s="12"/>
      <c r="N145" s="118"/>
      <c r="O145" s="118"/>
      <c r="P145" s="118"/>
      <c r="Q145" s="118"/>
    </row>
    <row r="146" spans="2:17" ht="14.25" customHeight="1" x14ac:dyDescent="0.3">
      <c r="B146" s="23"/>
      <c r="D146" s="25"/>
      <c r="E146" s="25"/>
      <c r="M146" s="12"/>
      <c r="N146" s="118"/>
      <c r="O146" s="118"/>
      <c r="P146" s="118"/>
      <c r="Q146" s="118"/>
    </row>
    <row r="147" spans="2:17" ht="14.25" customHeight="1" x14ac:dyDescent="0.3">
      <c r="B147" s="23"/>
      <c r="D147" s="25"/>
      <c r="E147" s="25"/>
      <c r="M147" s="12"/>
      <c r="N147" s="118"/>
      <c r="O147" s="118"/>
      <c r="P147" s="118"/>
      <c r="Q147" s="118"/>
    </row>
    <row r="148" spans="2:17" ht="14.25" customHeight="1" x14ac:dyDescent="0.3">
      <c r="B148" s="23"/>
      <c r="D148" s="25"/>
      <c r="E148" s="25"/>
      <c r="M148" s="12"/>
      <c r="N148" s="118"/>
      <c r="O148" s="118"/>
      <c r="P148" s="118"/>
      <c r="Q148" s="118"/>
    </row>
    <row r="149" spans="2:17" ht="14.25" customHeight="1" x14ac:dyDescent="0.3">
      <c r="B149" s="23"/>
      <c r="D149" s="25"/>
      <c r="E149" s="25"/>
      <c r="M149" s="12"/>
      <c r="N149" s="118"/>
      <c r="O149" s="118"/>
      <c r="P149" s="118"/>
      <c r="Q149" s="118"/>
    </row>
    <row r="150" spans="2:17" ht="14.25" customHeight="1" x14ac:dyDescent="0.3">
      <c r="B150" s="23"/>
      <c r="D150" s="25"/>
      <c r="E150" s="25"/>
      <c r="M150" s="12"/>
      <c r="N150" s="118"/>
      <c r="O150" s="118"/>
      <c r="P150" s="118"/>
      <c r="Q150" s="118"/>
    </row>
    <row r="151" spans="2:17" ht="14.25" customHeight="1" x14ac:dyDescent="0.3">
      <c r="B151" s="23"/>
      <c r="D151" s="25"/>
      <c r="E151" s="25"/>
      <c r="M151" s="12"/>
      <c r="N151" s="118"/>
      <c r="O151" s="118"/>
      <c r="P151" s="118"/>
      <c r="Q151" s="118"/>
    </row>
    <row r="152" spans="2:17" ht="14.25" customHeight="1" x14ac:dyDescent="0.3">
      <c r="B152" s="23"/>
      <c r="D152" s="25"/>
      <c r="E152" s="25"/>
      <c r="M152" s="12"/>
      <c r="N152" s="118"/>
      <c r="O152" s="118"/>
      <c r="P152" s="118"/>
      <c r="Q152" s="118"/>
    </row>
    <row r="153" spans="2:17" ht="14.25" customHeight="1" x14ac:dyDescent="0.3">
      <c r="B153" s="23"/>
      <c r="D153" s="25"/>
      <c r="E153" s="25"/>
      <c r="M153" s="12"/>
      <c r="N153" s="118"/>
      <c r="O153" s="118"/>
      <c r="P153" s="118"/>
      <c r="Q153" s="118"/>
    </row>
    <row r="154" spans="2:17" ht="14.25" customHeight="1" x14ac:dyDescent="0.3">
      <c r="B154" s="23"/>
      <c r="D154" s="25"/>
      <c r="E154" s="25"/>
      <c r="M154" s="12"/>
      <c r="N154" s="118"/>
      <c r="O154" s="118"/>
      <c r="P154" s="118"/>
      <c r="Q154" s="118"/>
    </row>
    <row r="155" spans="2:17" ht="14.25" customHeight="1" x14ac:dyDescent="0.3">
      <c r="B155" s="23"/>
      <c r="D155" s="25"/>
      <c r="E155" s="25"/>
      <c r="M155" s="12"/>
      <c r="N155" s="118"/>
      <c r="O155" s="118"/>
      <c r="P155" s="118"/>
      <c r="Q155" s="118"/>
    </row>
    <row r="156" spans="2:17" ht="14.25" customHeight="1" x14ac:dyDescent="0.3">
      <c r="B156" s="23"/>
      <c r="D156" s="25"/>
      <c r="E156" s="25"/>
      <c r="M156" s="12"/>
      <c r="N156" s="118"/>
      <c r="O156" s="118"/>
      <c r="P156" s="118"/>
      <c r="Q156" s="118"/>
    </row>
    <row r="157" spans="2:17" ht="14.25" customHeight="1" x14ac:dyDescent="0.3">
      <c r="B157" s="23"/>
      <c r="D157" s="25"/>
      <c r="E157" s="25"/>
      <c r="M157" s="12"/>
      <c r="N157" s="118"/>
      <c r="O157" s="118"/>
      <c r="P157" s="118"/>
      <c r="Q157" s="118"/>
    </row>
    <row r="158" spans="2:17" ht="14.25" customHeight="1" x14ac:dyDescent="0.3">
      <c r="B158" s="23"/>
      <c r="D158" s="25"/>
      <c r="E158" s="25"/>
      <c r="M158" s="12"/>
      <c r="N158" s="118"/>
      <c r="O158" s="118"/>
      <c r="P158" s="118"/>
      <c r="Q158" s="118"/>
    </row>
    <row r="159" spans="2:17" ht="14.25" customHeight="1" x14ac:dyDescent="0.3">
      <c r="B159" s="23"/>
      <c r="D159" s="25"/>
      <c r="E159" s="25"/>
      <c r="M159" s="12"/>
      <c r="N159" s="118"/>
      <c r="O159" s="118"/>
      <c r="P159" s="118"/>
      <c r="Q159" s="118"/>
    </row>
    <row r="160" spans="2:17" ht="14.25" customHeight="1" x14ac:dyDescent="0.3">
      <c r="B160" s="23"/>
      <c r="D160" s="25"/>
      <c r="E160" s="25"/>
      <c r="M160" s="12"/>
      <c r="N160" s="118"/>
      <c r="O160" s="118"/>
      <c r="P160" s="118"/>
      <c r="Q160" s="118"/>
    </row>
    <row r="161" spans="2:17" ht="14.25" customHeight="1" x14ac:dyDescent="0.3">
      <c r="B161" s="23"/>
      <c r="D161" s="25"/>
      <c r="E161" s="25"/>
      <c r="M161" s="12"/>
      <c r="N161" s="118"/>
      <c r="O161" s="118"/>
      <c r="P161" s="118"/>
      <c r="Q161" s="118"/>
    </row>
    <row r="162" spans="2:17" ht="14.25" customHeight="1" x14ac:dyDescent="0.3">
      <c r="B162" s="23"/>
      <c r="D162" s="25"/>
      <c r="E162" s="25"/>
      <c r="M162" s="12"/>
      <c r="N162" s="118"/>
      <c r="O162" s="118"/>
      <c r="P162" s="118"/>
      <c r="Q162" s="118"/>
    </row>
    <row r="163" spans="2:17" ht="14.25" customHeight="1" x14ac:dyDescent="0.3">
      <c r="B163" s="23"/>
      <c r="D163" s="25"/>
      <c r="E163" s="25"/>
      <c r="M163" s="12"/>
      <c r="N163" s="118"/>
      <c r="O163" s="118"/>
      <c r="P163" s="118"/>
      <c r="Q163" s="118"/>
    </row>
    <row r="164" spans="2:17" ht="14.25" customHeight="1" x14ac:dyDescent="0.3">
      <c r="B164" s="23"/>
      <c r="D164" s="25"/>
      <c r="E164" s="25"/>
      <c r="M164" s="12"/>
      <c r="N164" s="118"/>
      <c r="O164" s="118"/>
      <c r="P164" s="118"/>
      <c r="Q164" s="118"/>
    </row>
    <row r="165" spans="2:17" ht="14.25" customHeight="1" x14ac:dyDescent="0.3">
      <c r="B165" s="23"/>
      <c r="D165" s="25"/>
      <c r="E165" s="25"/>
      <c r="M165" s="12"/>
      <c r="N165" s="118"/>
      <c r="O165" s="118"/>
      <c r="P165" s="118"/>
      <c r="Q165" s="118"/>
    </row>
    <row r="166" spans="2:17" ht="14.25" customHeight="1" x14ac:dyDescent="0.3">
      <c r="B166" s="23"/>
      <c r="D166" s="25"/>
      <c r="E166" s="25"/>
      <c r="M166" s="12"/>
      <c r="N166" s="118"/>
      <c r="O166" s="118"/>
      <c r="P166" s="118"/>
      <c r="Q166" s="118"/>
    </row>
    <row r="167" spans="2:17" ht="14.25" customHeight="1" x14ac:dyDescent="0.3">
      <c r="B167" s="23"/>
      <c r="D167" s="25"/>
      <c r="E167" s="25"/>
      <c r="M167" s="12"/>
      <c r="N167" s="118"/>
      <c r="O167" s="118"/>
      <c r="P167" s="118"/>
      <c r="Q167" s="118"/>
    </row>
    <row r="168" spans="2:17" ht="14.25" customHeight="1" x14ac:dyDescent="0.3">
      <c r="B168" s="23"/>
      <c r="D168" s="25"/>
      <c r="E168" s="25"/>
      <c r="M168" s="12"/>
      <c r="N168" s="118"/>
      <c r="O168" s="118"/>
      <c r="P168" s="118"/>
      <c r="Q168" s="118"/>
    </row>
    <row r="169" spans="2:17" ht="14.25" customHeight="1" x14ac:dyDescent="0.3">
      <c r="B169" s="23"/>
      <c r="D169" s="25"/>
      <c r="E169" s="25"/>
      <c r="M169" s="12"/>
      <c r="N169" s="118"/>
      <c r="O169" s="118"/>
      <c r="P169" s="118"/>
      <c r="Q169" s="118"/>
    </row>
    <row r="170" spans="2:17" ht="14.25" customHeight="1" x14ac:dyDescent="0.3">
      <c r="B170" s="23"/>
      <c r="D170" s="25"/>
      <c r="E170" s="25"/>
      <c r="M170" s="12"/>
      <c r="N170" s="118"/>
      <c r="O170" s="118"/>
      <c r="P170" s="118"/>
      <c r="Q170" s="118"/>
    </row>
    <row r="171" spans="2:17" ht="14.25" customHeight="1" x14ac:dyDescent="0.3">
      <c r="B171" s="23"/>
      <c r="D171" s="25"/>
      <c r="E171" s="25"/>
      <c r="M171" s="12"/>
      <c r="N171" s="118"/>
      <c r="O171" s="118"/>
      <c r="P171" s="118"/>
      <c r="Q171" s="118"/>
    </row>
    <row r="172" spans="2:17" ht="14.25" customHeight="1" x14ac:dyDescent="0.3">
      <c r="B172" s="23"/>
      <c r="D172" s="25"/>
      <c r="E172" s="25"/>
      <c r="M172" s="12"/>
      <c r="N172" s="118"/>
      <c r="O172" s="118"/>
      <c r="P172" s="118"/>
      <c r="Q172" s="118"/>
    </row>
    <row r="173" spans="2:17" ht="14.25" customHeight="1" x14ac:dyDescent="0.3">
      <c r="B173" s="23"/>
      <c r="D173" s="25"/>
      <c r="E173" s="25"/>
      <c r="M173" s="12"/>
      <c r="N173" s="118"/>
      <c r="O173" s="118"/>
      <c r="P173" s="118"/>
      <c r="Q173" s="118"/>
    </row>
    <row r="174" spans="2:17" ht="14.25" customHeight="1" x14ac:dyDescent="0.3">
      <c r="B174" s="23"/>
      <c r="D174" s="25"/>
      <c r="E174" s="25"/>
      <c r="M174" s="12"/>
      <c r="N174" s="118"/>
      <c r="O174" s="118"/>
      <c r="P174" s="118"/>
      <c r="Q174" s="118"/>
    </row>
    <row r="175" spans="2:17" ht="14.25" customHeight="1" x14ac:dyDescent="0.3">
      <c r="B175" s="23"/>
      <c r="D175" s="25"/>
      <c r="E175" s="25"/>
      <c r="M175" s="12"/>
      <c r="N175" s="118"/>
      <c r="O175" s="118"/>
      <c r="P175" s="118"/>
      <c r="Q175" s="118"/>
    </row>
    <row r="176" spans="2:17" ht="14.25" customHeight="1" x14ac:dyDescent="0.3">
      <c r="B176" s="23"/>
      <c r="D176" s="25"/>
      <c r="E176" s="25"/>
      <c r="M176" s="12"/>
      <c r="N176" s="118"/>
      <c r="O176" s="118"/>
      <c r="P176" s="118"/>
      <c r="Q176" s="118"/>
    </row>
    <row r="177" spans="2:17" ht="14.25" customHeight="1" x14ac:dyDescent="0.3">
      <c r="B177" s="23"/>
      <c r="D177" s="25"/>
      <c r="E177" s="25"/>
      <c r="M177" s="12"/>
      <c r="N177" s="118"/>
      <c r="O177" s="118"/>
      <c r="P177" s="118"/>
      <c r="Q177" s="118"/>
    </row>
    <row r="178" spans="2:17" ht="14.25" customHeight="1" x14ac:dyDescent="0.3">
      <c r="B178" s="23"/>
      <c r="D178" s="25"/>
      <c r="E178" s="25"/>
      <c r="M178" s="12"/>
      <c r="N178" s="118"/>
      <c r="O178" s="118"/>
      <c r="P178" s="118"/>
      <c r="Q178" s="118"/>
    </row>
    <row r="179" spans="2:17" ht="14.25" customHeight="1" x14ac:dyDescent="0.3">
      <c r="B179" s="23"/>
      <c r="D179" s="25"/>
      <c r="E179" s="25"/>
      <c r="M179" s="12"/>
      <c r="N179" s="118"/>
      <c r="O179" s="118"/>
      <c r="P179" s="118"/>
      <c r="Q179" s="118"/>
    </row>
    <row r="180" spans="2:17" ht="14.25" customHeight="1" x14ac:dyDescent="0.3">
      <c r="B180" s="23"/>
      <c r="D180" s="25"/>
      <c r="E180" s="25"/>
      <c r="M180" s="12"/>
      <c r="N180" s="118"/>
      <c r="O180" s="118"/>
      <c r="P180" s="118"/>
      <c r="Q180" s="118"/>
    </row>
    <row r="181" spans="2:17" ht="14.25" customHeight="1" x14ac:dyDescent="0.3">
      <c r="B181" s="23"/>
      <c r="D181" s="25"/>
      <c r="E181" s="25"/>
      <c r="M181" s="12"/>
      <c r="N181" s="118"/>
      <c r="O181" s="118"/>
      <c r="P181" s="118"/>
      <c r="Q181" s="118"/>
    </row>
    <row r="182" spans="2:17" ht="14.25" customHeight="1" x14ac:dyDescent="0.3">
      <c r="B182" s="23"/>
      <c r="D182" s="25"/>
      <c r="E182" s="25"/>
      <c r="M182" s="12"/>
      <c r="N182" s="118"/>
      <c r="O182" s="118"/>
      <c r="P182" s="118"/>
      <c r="Q182" s="118"/>
    </row>
    <row r="183" spans="2:17" ht="14.25" customHeight="1" x14ac:dyDescent="0.3">
      <c r="B183" s="23"/>
      <c r="D183" s="25"/>
      <c r="E183" s="25"/>
      <c r="M183" s="12"/>
      <c r="N183" s="118"/>
      <c r="O183" s="118"/>
      <c r="P183" s="118"/>
      <c r="Q183" s="118"/>
    </row>
    <row r="184" spans="2:17" ht="14.25" customHeight="1" x14ac:dyDescent="0.3">
      <c r="B184" s="23"/>
      <c r="D184" s="25"/>
      <c r="E184" s="25"/>
      <c r="M184" s="12"/>
      <c r="N184" s="118"/>
      <c r="O184" s="118"/>
      <c r="P184" s="118"/>
      <c r="Q184" s="118"/>
    </row>
    <row r="185" spans="2:17" ht="14.25" customHeight="1" x14ac:dyDescent="0.3">
      <c r="B185" s="23"/>
      <c r="D185" s="25"/>
      <c r="E185" s="25"/>
      <c r="M185" s="12"/>
      <c r="N185" s="118"/>
      <c r="O185" s="118"/>
      <c r="P185" s="118"/>
      <c r="Q185" s="118"/>
    </row>
    <row r="186" spans="2:17" ht="14.25" customHeight="1" x14ac:dyDescent="0.3">
      <c r="B186" s="23"/>
      <c r="D186" s="25"/>
      <c r="E186" s="25"/>
      <c r="M186" s="12"/>
      <c r="N186" s="118"/>
      <c r="O186" s="118"/>
      <c r="P186" s="118"/>
      <c r="Q186" s="118"/>
    </row>
    <row r="187" spans="2:17" ht="14.25" customHeight="1" x14ac:dyDescent="0.3">
      <c r="B187" s="23"/>
      <c r="D187" s="25"/>
      <c r="E187" s="25"/>
      <c r="M187" s="12"/>
      <c r="N187" s="118"/>
      <c r="O187" s="118"/>
      <c r="P187" s="118"/>
      <c r="Q187" s="118"/>
    </row>
    <row r="188" spans="2:17" ht="14.25" customHeight="1" x14ac:dyDescent="0.3">
      <c r="B188" s="23"/>
      <c r="D188" s="25"/>
      <c r="E188" s="25"/>
      <c r="M188" s="12"/>
      <c r="N188" s="118"/>
      <c r="O188" s="118"/>
      <c r="P188" s="118"/>
      <c r="Q188" s="118"/>
    </row>
    <row r="189" spans="2:17" ht="14.25" customHeight="1" x14ac:dyDescent="0.3">
      <c r="B189" s="23"/>
      <c r="D189" s="25"/>
      <c r="E189" s="25"/>
      <c r="M189" s="12"/>
      <c r="N189" s="118"/>
      <c r="O189" s="118"/>
      <c r="P189" s="118"/>
      <c r="Q189" s="118"/>
    </row>
    <row r="190" spans="2:17" ht="14.25" customHeight="1" x14ac:dyDescent="0.3">
      <c r="B190" s="23"/>
      <c r="D190" s="25"/>
      <c r="E190" s="25"/>
      <c r="M190" s="12"/>
      <c r="N190" s="118"/>
      <c r="O190" s="118"/>
      <c r="P190" s="118"/>
      <c r="Q190" s="118"/>
    </row>
    <row r="191" spans="2:17" ht="14.25" customHeight="1" x14ac:dyDescent="0.3">
      <c r="B191" s="23"/>
      <c r="D191" s="25"/>
      <c r="E191" s="25"/>
      <c r="M191" s="12"/>
      <c r="N191" s="118"/>
      <c r="O191" s="118"/>
      <c r="P191" s="118"/>
      <c r="Q191" s="118"/>
    </row>
    <row r="192" spans="2:17" ht="14.25" customHeight="1" x14ac:dyDescent="0.3">
      <c r="B192" s="23"/>
      <c r="D192" s="25"/>
      <c r="E192" s="25"/>
      <c r="M192" s="12"/>
      <c r="N192" s="118"/>
      <c r="O192" s="118"/>
      <c r="P192" s="118"/>
      <c r="Q192" s="118"/>
    </row>
    <row r="193" spans="2:17" ht="14.25" customHeight="1" x14ac:dyDescent="0.3">
      <c r="B193" s="23"/>
      <c r="D193" s="25"/>
      <c r="E193" s="25"/>
      <c r="M193" s="12"/>
      <c r="N193" s="118"/>
      <c r="O193" s="118"/>
      <c r="P193" s="118"/>
      <c r="Q193" s="118"/>
    </row>
    <row r="194" spans="2:17" ht="14.25" customHeight="1" x14ac:dyDescent="0.3">
      <c r="B194" s="23"/>
      <c r="D194" s="25"/>
      <c r="E194" s="25"/>
      <c r="M194" s="12"/>
      <c r="N194" s="118"/>
      <c r="O194" s="118"/>
      <c r="P194" s="118"/>
      <c r="Q194" s="118"/>
    </row>
    <row r="195" spans="2:17" ht="14.25" customHeight="1" x14ac:dyDescent="0.3">
      <c r="B195" s="23"/>
      <c r="D195" s="25"/>
      <c r="E195" s="25"/>
      <c r="M195" s="12"/>
      <c r="N195" s="118"/>
      <c r="O195" s="118"/>
      <c r="P195" s="118"/>
      <c r="Q195" s="118"/>
    </row>
    <row r="196" spans="2:17" ht="14.25" customHeight="1" x14ac:dyDescent="0.3">
      <c r="B196" s="23"/>
      <c r="D196" s="25"/>
      <c r="E196" s="25"/>
      <c r="M196" s="12"/>
      <c r="N196" s="118"/>
      <c r="O196" s="118"/>
      <c r="P196" s="118"/>
      <c r="Q196" s="118"/>
    </row>
    <row r="197" spans="2:17" ht="14.25" customHeight="1" x14ac:dyDescent="0.3">
      <c r="B197" s="23"/>
      <c r="D197" s="25"/>
      <c r="E197" s="25"/>
      <c r="M197" s="12"/>
      <c r="N197" s="118"/>
      <c r="O197" s="118"/>
      <c r="P197" s="118"/>
      <c r="Q197" s="118"/>
    </row>
    <row r="198" spans="2:17" ht="14.25" customHeight="1" x14ac:dyDescent="0.3">
      <c r="B198" s="23"/>
      <c r="D198" s="25"/>
      <c r="E198" s="25"/>
      <c r="M198" s="12"/>
      <c r="N198" s="118"/>
      <c r="O198" s="118"/>
      <c r="P198" s="118"/>
      <c r="Q198" s="118"/>
    </row>
    <row r="199" spans="2:17" ht="14.25" customHeight="1" x14ac:dyDescent="0.3">
      <c r="B199" s="23"/>
      <c r="D199" s="25"/>
      <c r="E199" s="25"/>
      <c r="M199" s="12"/>
      <c r="N199" s="118"/>
      <c r="O199" s="118"/>
      <c r="P199" s="118"/>
      <c r="Q199" s="118"/>
    </row>
    <row r="200" spans="2:17" ht="14.25" customHeight="1" x14ac:dyDescent="0.3">
      <c r="B200" s="23"/>
      <c r="D200" s="25"/>
      <c r="E200" s="25"/>
      <c r="M200" s="12"/>
      <c r="N200" s="118"/>
      <c r="O200" s="118"/>
      <c r="P200" s="118"/>
      <c r="Q200" s="118"/>
    </row>
    <row r="201" spans="2:17" ht="14.25" customHeight="1" x14ac:dyDescent="0.3">
      <c r="B201" s="23"/>
      <c r="D201" s="25"/>
      <c r="E201" s="25"/>
      <c r="M201" s="12"/>
      <c r="N201" s="118"/>
      <c r="O201" s="118"/>
      <c r="P201" s="118"/>
      <c r="Q201" s="118"/>
    </row>
    <row r="202" spans="2:17" ht="14.25" customHeight="1" x14ac:dyDescent="0.3">
      <c r="B202" s="23"/>
      <c r="D202" s="25"/>
      <c r="E202" s="25"/>
      <c r="M202" s="12"/>
      <c r="N202" s="118"/>
      <c r="O202" s="118"/>
      <c r="P202" s="118"/>
      <c r="Q202" s="118"/>
    </row>
    <row r="203" spans="2:17" ht="14.25" customHeight="1" x14ac:dyDescent="0.3">
      <c r="B203" s="23"/>
      <c r="D203" s="25"/>
      <c r="E203" s="25"/>
      <c r="M203" s="12"/>
      <c r="N203" s="118"/>
      <c r="O203" s="118"/>
      <c r="P203" s="118"/>
      <c r="Q203" s="118"/>
    </row>
    <row r="204" spans="2:17" ht="14.25" customHeight="1" x14ac:dyDescent="0.3">
      <c r="B204" s="23"/>
      <c r="D204" s="25"/>
      <c r="E204" s="25"/>
      <c r="M204" s="12"/>
      <c r="N204" s="118"/>
      <c r="O204" s="118"/>
      <c r="P204" s="118"/>
      <c r="Q204" s="118"/>
    </row>
    <row r="205" spans="2:17" ht="14.25" customHeight="1" x14ac:dyDescent="0.3">
      <c r="B205" s="23"/>
      <c r="D205" s="25"/>
      <c r="E205" s="25"/>
      <c r="M205" s="12"/>
      <c r="N205" s="118"/>
      <c r="O205" s="118"/>
      <c r="P205" s="118"/>
      <c r="Q205" s="118"/>
    </row>
    <row r="206" spans="2:17" ht="14.25" customHeight="1" x14ac:dyDescent="0.3">
      <c r="B206" s="23"/>
      <c r="D206" s="25"/>
      <c r="E206" s="25"/>
      <c r="M206" s="12"/>
      <c r="N206" s="118"/>
      <c r="O206" s="118"/>
      <c r="P206" s="118"/>
      <c r="Q206" s="118"/>
    </row>
    <row r="207" spans="2:17" ht="14.25" customHeight="1" x14ac:dyDescent="0.3">
      <c r="B207" s="23"/>
      <c r="D207" s="25"/>
      <c r="E207" s="25"/>
      <c r="M207" s="12"/>
      <c r="N207" s="118"/>
      <c r="O207" s="118"/>
      <c r="P207" s="118"/>
      <c r="Q207" s="118"/>
    </row>
    <row r="208" spans="2:17" ht="14.25" customHeight="1" x14ac:dyDescent="0.3">
      <c r="B208" s="23"/>
      <c r="D208" s="25"/>
      <c r="E208" s="25"/>
      <c r="M208" s="12"/>
      <c r="N208" s="118"/>
      <c r="O208" s="118"/>
      <c r="P208" s="118"/>
      <c r="Q208" s="118"/>
    </row>
    <row r="209" spans="2:17" ht="14.25" customHeight="1" x14ac:dyDescent="0.3">
      <c r="B209" s="23"/>
      <c r="D209" s="25"/>
      <c r="E209" s="25"/>
      <c r="M209" s="12"/>
      <c r="N209" s="118"/>
      <c r="O209" s="118"/>
      <c r="P209" s="118"/>
      <c r="Q209" s="118"/>
    </row>
    <row r="210" spans="2:17" ht="14.25" customHeight="1" x14ac:dyDescent="0.3">
      <c r="B210" s="23"/>
      <c r="D210" s="25"/>
      <c r="E210" s="25"/>
      <c r="M210" s="12"/>
      <c r="N210" s="118"/>
      <c r="O210" s="118"/>
      <c r="P210" s="118"/>
      <c r="Q210" s="118"/>
    </row>
    <row r="211" spans="2:17" ht="14.25" customHeight="1" x14ac:dyDescent="0.3">
      <c r="B211" s="23"/>
      <c r="D211" s="25"/>
      <c r="E211" s="25"/>
      <c r="M211" s="12"/>
      <c r="N211" s="118"/>
      <c r="O211" s="118"/>
      <c r="P211" s="118"/>
      <c r="Q211" s="118"/>
    </row>
    <row r="212" spans="2:17" ht="14.25" customHeight="1" x14ac:dyDescent="0.3">
      <c r="B212" s="23"/>
      <c r="D212" s="25"/>
      <c r="E212" s="25"/>
      <c r="M212" s="12"/>
      <c r="N212" s="118"/>
      <c r="O212" s="118"/>
      <c r="P212" s="118"/>
      <c r="Q212" s="118"/>
    </row>
    <row r="213" spans="2:17" ht="14.25" customHeight="1" x14ac:dyDescent="0.3">
      <c r="B213" s="23"/>
      <c r="D213" s="25"/>
      <c r="E213" s="25"/>
      <c r="M213" s="12"/>
      <c r="N213" s="118"/>
      <c r="O213" s="118"/>
      <c r="P213" s="118"/>
      <c r="Q213" s="118"/>
    </row>
    <row r="214" spans="2:17" ht="14.25" customHeight="1" x14ac:dyDescent="0.3">
      <c r="B214" s="23"/>
      <c r="D214" s="25"/>
      <c r="E214" s="25"/>
      <c r="M214" s="12"/>
      <c r="N214" s="118"/>
      <c r="O214" s="118"/>
      <c r="P214" s="118"/>
      <c r="Q214" s="118"/>
    </row>
    <row r="215" spans="2:17" ht="14.25" customHeight="1" x14ac:dyDescent="0.3">
      <c r="B215" s="23"/>
      <c r="D215" s="25"/>
      <c r="E215" s="25"/>
      <c r="M215" s="12"/>
      <c r="N215" s="118"/>
      <c r="O215" s="118"/>
      <c r="P215" s="118"/>
      <c r="Q215" s="118"/>
    </row>
    <row r="216" spans="2:17" ht="14.25" customHeight="1" x14ac:dyDescent="0.3">
      <c r="B216" s="23"/>
      <c r="D216" s="25"/>
      <c r="E216" s="25"/>
      <c r="M216" s="12"/>
      <c r="N216" s="118"/>
      <c r="O216" s="118"/>
      <c r="P216" s="118"/>
      <c r="Q216" s="118"/>
    </row>
    <row r="217" spans="2:17" ht="14.25" customHeight="1" x14ac:dyDescent="0.3">
      <c r="B217" s="23"/>
      <c r="D217" s="25"/>
      <c r="E217" s="25"/>
      <c r="M217" s="12"/>
      <c r="N217" s="118"/>
      <c r="O217" s="118"/>
      <c r="P217" s="118"/>
      <c r="Q217" s="118"/>
    </row>
    <row r="218" spans="2:17" ht="14.25" customHeight="1" x14ac:dyDescent="0.3">
      <c r="B218" s="23"/>
      <c r="D218" s="25"/>
      <c r="E218" s="25"/>
      <c r="M218" s="12"/>
      <c r="N218" s="118"/>
      <c r="O218" s="118"/>
      <c r="P218" s="118"/>
      <c r="Q218" s="118"/>
    </row>
    <row r="219" spans="2:17" ht="14.25" customHeight="1" x14ac:dyDescent="0.3">
      <c r="B219" s="23"/>
      <c r="D219" s="25"/>
      <c r="E219" s="25"/>
      <c r="M219" s="12"/>
      <c r="N219" s="118"/>
      <c r="O219" s="118"/>
      <c r="P219" s="118"/>
      <c r="Q219" s="118"/>
    </row>
    <row r="220" spans="2:17" ht="14.25" customHeight="1" x14ac:dyDescent="0.3">
      <c r="B220" s="23"/>
      <c r="D220" s="25"/>
      <c r="E220" s="25"/>
      <c r="M220" s="12"/>
      <c r="N220" s="118"/>
      <c r="O220" s="118"/>
      <c r="P220" s="118"/>
      <c r="Q220" s="118"/>
    </row>
    <row r="221" spans="2:17" ht="14.25" customHeight="1" x14ac:dyDescent="0.3">
      <c r="B221" s="23"/>
      <c r="D221" s="25"/>
      <c r="E221" s="25"/>
      <c r="M221" s="12"/>
      <c r="N221" s="118"/>
      <c r="O221" s="118"/>
      <c r="P221" s="118"/>
      <c r="Q221" s="118"/>
    </row>
    <row r="222" spans="2:17" ht="14.25" customHeight="1" x14ac:dyDescent="0.3">
      <c r="B222" s="23"/>
      <c r="D222" s="25"/>
      <c r="E222" s="25"/>
      <c r="M222" s="12"/>
      <c r="N222" s="118"/>
      <c r="O222" s="118"/>
      <c r="P222" s="118"/>
      <c r="Q222" s="118"/>
    </row>
    <row r="223" spans="2:17" ht="14.25" customHeight="1" x14ac:dyDescent="0.3">
      <c r="B223" s="23"/>
      <c r="D223" s="25"/>
      <c r="E223" s="25"/>
      <c r="M223" s="12"/>
      <c r="N223" s="118"/>
      <c r="O223" s="118"/>
      <c r="P223" s="118"/>
      <c r="Q223" s="118"/>
    </row>
    <row r="224" spans="2:17" ht="14.25" customHeight="1" x14ac:dyDescent="0.3">
      <c r="B224" s="23"/>
      <c r="D224" s="25"/>
      <c r="E224" s="25"/>
      <c r="M224" s="12"/>
      <c r="N224" s="118"/>
      <c r="O224" s="118"/>
      <c r="P224" s="118"/>
      <c r="Q224" s="118"/>
    </row>
    <row r="225" spans="2:17" ht="14.25" customHeight="1" x14ac:dyDescent="0.3">
      <c r="B225" s="23"/>
      <c r="D225" s="25"/>
      <c r="E225" s="25"/>
      <c r="M225" s="12"/>
      <c r="N225" s="118"/>
      <c r="O225" s="118"/>
      <c r="P225" s="118"/>
      <c r="Q225" s="118"/>
    </row>
    <row r="226" spans="2:17" ht="14.25" customHeight="1" x14ac:dyDescent="0.3">
      <c r="B226" s="23"/>
      <c r="D226" s="25"/>
      <c r="E226" s="25"/>
      <c r="M226" s="12"/>
      <c r="N226" s="118"/>
      <c r="O226" s="118"/>
      <c r="P226" s="118"/>
      <c r="Q226" s="118"/>
    </row>
    <row r="227" spans="2:17" ht="14.25" customHeight="1" x14ac:dyDescent="0.3">
      <c r="B227" s="23"/>
      <c r="D227" s="25"/>
      <c r="E227" s="25"/>
      <c r="M227" s="12"/>
      <c r="N227" s="118"/>
      <c r="O227" s="118"/>
      <c r="P227" s="118"/>
      <c r="Q227" s="118"/>
    </row>
    <row r="228" spans="2:17" ht="14.25" customHeight="1" x14ac:dyDescent="0.3">
      <c r="B228" s="23"/>
      <c r="D228" s="25"/>
      <c r="E228" s="25"/>
      <c r="M228" s="12"/>
      <c r="N228" s="118"/>
      <c r="O228" s="118"/>
      <c r="P228" s="118"/>
      <c r="Q228" s="118"/>
    </row>
    <row r="229" spans="2:17" ht="14.25" customHeight="1" x14ac:dyDescent="0.3">
      <c r="B229" s="23"/>
      <c r="D229" s="25"/>
      <c r="E229" s="25"/>
      <c r="M229" s="12"/>
      <c r="N229" s="118"/>
      <c r="O229" s="118"/>
      <c r="P229" s="118"/>
      <c r="Q229" s="118"/>
    </row>
    <row r="230" spans="2:17" ht="14.25" customHeight="1" x14ac:dyDescent="0.3">
      <c r="B230" s="23"/>
      <c r="D230" s="25"/>
      <c r="E230" s="25"/>
      <c r="M230" s="12"/>
      <c r="N230" s="118"/>
      <c r="O230" s="118"/>
      <c r="P230" s="118"/>
      <c r="Q230" s="118"/>
    </row>
    <row r="231" spans="2:17" ht="14.25" customHeight="1" x14ac:dyDescent="0.3">
      <c r="B231" s="23"/>
      <c r="D231" s="25"/>
      <c r="E231" s="25"/>
      <c r="M231" s="12"/>
      <c r="N231" s="118"/>
      <c r="O231" s="118"/>
      <c r="P231" s="118"/>
      <c r="Q231" s="118"/>
    </row>
    <row r="232" spans="2:17" ht="14.25" customHeight="1" x14ac:dyDescent="0.3">
      <c r="B232" s="23"/>
      <c r="D232" s="25"/>
      <c r="E232" s="25"/>
      <c r="M232" s="12"/>
      <c r="N232" s="118"/>
      <c r="O232" s="118"/>
      <c r="P232" s="118"/>
      <c r="Q232" s="118"/>
    </row>
    <row r="233" spans="2:17" ht="14.25" customHeight="1" x14ac:dyDescent="0.3">
      <c r="B233" s="23"/>
      <c r="D233" s="25"/>
      <c r="E233" s="25"/>
      <c r="M233" s="12"/>
      <c r="N233" s="118"/>
      <c r="O233" s="118"/>
      <c r="P233" s="118"/>
      <c r="Q233" s="118"/>
    </row>
    <row r="234" spans="2:17" ht="14.25" customHeight="1" x14ac:dyDescent="0.3">
      <c r="B234" s="23"/>
      <c r="D234" s="25"/>
      <c r="E234" s="25"/>
      <c r="M234" s="12"/>
      <c r="N234" s="118"/>
      <c r="O234" s="118"/>
      <c r="P234" s="118"/>
      <c r="Q234" s="118"/>
    </row>
    <row r="235" spans="2:17" ht="14.25" customHeight="1" x14ac:dyDescent="0.3">
      <c r="B235" s="23"/>
      <c r="D235" s="25"/>
      <c r="E235" s="25"/>
      <c r="M235" s="12"/>
      <c r="N235" s="118"/>
      <c r="O235" s="118"/>
      <c r="P235" s="118"/>
      <c r="Q235" s="118"/>
    </row>
    <row r="236" spans="2:17" ht="14.25" customHeight="1" x14ac:dyDescent="0.3">
      <c r="B236" s="23"/>
      <c r="D236" s="25"/>
      <c r="E236" s="25"/>
      <c r="M236" s="12"/>
      <c r="N236" s="118"/>
      <c r="O236" s="118"/>
      <c r="P236" s="118"/>
      <c r="Q236" s="118"/>
    </row>
    <row r="237" spans="2:17" ht="14.25" customHeight="1" x14ac:dyDescent="0.3">
      <c r="B237" s="23"/>
      <c r="D237" s="25"/>
      <c r="E237" s="25"/>
      <c r="M237" s="12"/>
      <c r="N237" s="118"/>
      <c r="O237" s="118"/>
      <c r="P237" s="118"/>
      <c r="Q237" s="118"/>
    </row>
    <row r="238" spans="2:17" ht="14.25" customHeight="1" x14ac:dyDescent="0.3">
      <c r="B238" s="23"/>
      <c r="D238" s="25"/>
      <c r="E238" s="25"/>
      <c r="M238" s="12"/>
      <c r="N238" s="118"/>
      <c r="O238" s="118"/>
      <c r="P238" s="118"/>
      <c r="Q238" s="118"/>
    </row>
    <row r="239" spans="2:17" ht="14.25" customHeight="1" x14ac:dyDescent="0.3">
      <c r="B239" s="23"/>
      <c r="D239" s="25"/>
      <c r="E239" s="25"/>
      <c r="M239" s="12"/>
      <c r="N239" s="118"/>
      <c r="O239" s="118"/>
      <c r="P239" s="118"/>
      <c r="Q239" s="118"/>
    </row>
    <row r="240" spans="2:17" ht="14.25" customHeight="1" x14ac:dyDescent="0.3">
      <c r="B240" s="23"/>
      <c r="D240" s="25"/>
      <c r="E240" s="25"/>
      <c r="M240" s="12"/>
      <c r="N240" s="118"/>
      <c r="O240" s="118"/>
      <c r="P240" s="118"/>
      <c r="Q240" s="118"/>
    </row>
    <row r="241" spans="2:17" ht="14.25" customHeight="1" x14ac:dyDescent="0.3">
      <c r="B241" s="23"/>
      <c r="D241" s="25"/>
      <c r="E241" s="25"/>
      <c r="M241" s="12"/>
      <c r="N241" s="118"/>
      <c r="O241" s="118"/>
      <c r="P241" s="118"/>
      <c r="Q241" s="118"/>
    </row>
    <row r="242" spans="2:17" ht="14.25" customHeight="1" x14ac:dyDescent="0.3">
      <c r="B242" s="23"/>
      <c r="D242" s="25"/>
      <c r="E242" s="25"/>
      <c r="M242" s="12"/>
      <c r="N242" s="118"/>
      <c r="O242" s="118"/>
      <c r="P242" s="118"/>
      <c r="Q242" s="118"/>
    </row>
    <row r="243" spans="2:17" ht="14.25" customHeight="1" x14ac:dyDescent="0.3">
      <c r="B243" s="23"/>
      <c r="D243" s="25"/>
      <c r="E243" s="25"/>
      <c r="M243" s="12"/>
      <c r="N243" s="118"/>
      <c r="O243" s="118"/>
      <c r="P243" s="118"/>
      <c r="Q243" s="118"/>
    </row>
    <row r="244" spans="2:17" ht="14.25" customHeight="1" x14ac:dyDescent="0.3">
      <c r="B244" s="23"/>
      <c r="D244" s="25"/>
      <c r="E244" s="25"/>
      <c r="M244" s="12"/>
      <c r="N244" s="118"/>
      <c r="O244" s="118"/>
      <c r="P244" s="118"/>
      <c r="Q244" s="118"/>
    </row>
    <row r="245" spans="2:17" ht="14.25" customHeight="1" x14ac:dyDescent="0.3">
      <c r="B245" s="23"/>
      <c r="D245" s="25"/>
      <c r="E245" s="25"/>
      <c r="M245" s="12"/>
      <c r="N245" s="118"/>
      <c r="O245" s="118"/>
      <c r="P245" s="118"/>
      <c r="Q245" s="118"/>
    </row>
    <row r="246" spans="2:17" ht="14.25" customHeight="1" x14ac:dyDescent="0.3">
      <c r="B246" s="23"/>
      <c r="D246" s="25"/>
      <c r="E246" s="25"/>
      <c r="M246" s="12"/>
      <c r="N246" s="118"/>
      <c r="O246" s="118"/>
      <c r="P246" s="118"/>
      <c r="Q246" s="118"/>
    </row>
    <row r="247" spans="2:17" ht="14.25" customHeight="1" x14ac:dyDescent="0.3">
      <c r="B247" s="23"/>
      <c r="D247" s="25"/>
      <c r="E247" s="25"/>
      <c r="M247" s="12"/>
      <c r="N247" s="118"/>
      <c r="O247" s="118"/>
      <c r="P247" s="118"/>
      <c r="Q247" s="118"/>
    </row>
    <row r="248" spans="2:17" ht="14.25" customHeight="1" x14ac:dyDescent="0.3">
      <c r="B248" s="23"/>
      <c r="D248" s="25"/>
      <c r="E248" s="25"/>
      <c r="M248" s="12"/>
      <c r="N248" s="118"/>
      <c r="O248" s="118"/>
      <c r="P248" s="118"/>
      <c r="Q248" s="118"/>
    </row>
    <row r="249" spans="2:17" ht="14.25" customHeight="1" x14ac:dyDescent="0.3">
      <c r="B249" s="23"/>
      <c r="D249" s="25"/>
      <c r="E249" s="25"/>
      <c r="M249" s="12"/>
      <c r="N249" s="118"/>
      <c r="O249" s="118"/>
      <c r="P249" s="118"/>
      <c r="Q249" s="118"/>
    </row>
    <row r="250" spans="2:17" ht="14.25" customHeight="1" x14ac:dyDescent="0.3">
      <c r="B250" s="23"/>
      <c r="D250" s="25"/>
      <c r="E250" s="25"/>
      <c r="M250" s="12"/>
      <c r="N250" s="118"/>
      <c r="O250" s="118"/>
      <c r="P250" s="118"/>
      <c r="Q250" s="118"/>
    </row>
    <row r="251" spans="2:17" ht="14.25" customHeight="1" x14ac:dyDescent="0.3">
      <c r="B251" s="23"/>
      <c r="D251" s="25"/>
      <c r="E251" s="25"/>
      <c r="M251" s="12"/>
      <c r="N251" s="118"/>
      <c r="O251" s="118"/>
      <c r="P251" s="118"/>
      <c r="Q251" s="118"/>
    </row>
    <row r="252" spans="2:17" ht="14.25" customHeight="1" x14ac:dyDescent="0.3">
      <c r="B252" s="23"/>
      <c r="D252" s="25"/>
      <c r="E252" s="25"/>
      <c r="M252" s="12"/>
      <c r="N252" s="118"/>
      <c r="O252" s="118"/>
      <c r="P252" s="118"/>
      <c r="Q252" s="118"/>
    </row>
    <row r="253" spans="2:17" ht="14.25" customHeight="1" x14ac:dyDescent="0.3">
      <c r="B253" s="23"/>
      <c r="D253" s="25"/>
      <c r="E253" s="25"/>
      <c r="M253" s="12"/>
      <c r="N253" s="118"/>
      <c r="O253" s="118"/>
      <c r="P253" s="118"/>
      <c r="Q253" s="118"/>
    </row>
    <row r="254" spans="2:17" ht="14.25" customHeight="1" x14ac:dyDescent="0.3">
      <c r="B254" s="23"/>
      <c r="D254" s="25"/>
      <c r="E254" s="25"/>
      <c r="M254" s="12"/>
      <c r="N254" s="118"/>
      <c r="O254" s="118"/>
      <c r="P254" s="118"/>
      <c r="Q254" s="118"/>
    </row>
    <row r="255" spans="2:17" ht="14.25" customHeight="1" x14ac:dyDescent="0.3">
      <c r="B255" s="23"/>
      <c r="D255" s="25"/>
      <c r="E255" s="25"/>
      <c r="M255" s="12"/>
      <c r="N255" s="118"/>
      <c r="O255" s="118"/>
      <c r="P255" s="118"/>
      <c r="Q255" s="118"/>
    </row>
    <row r="256" spans="2:17" ht="14.25" customHeight="1" x14ac:dyDescent="0.3">
      <c r="B256" s="23"/>
      <c r="D256" s="25"/>
      <c r="E256" s="25"/>
      <c r="M256" s="12"/>
      <c r="N256" s="118"/>
      <c r="O256" s="118"/>
      <c r="P256" s="118"/>
      <c r="Q256" s="118"/>
    </row>
    <row r="257" spans="2:17" ht="14.25" customHeight="1" x14ac:dyDescent="0.3">
      <c r="B257" s="23"/>
      <c r="D257" s="25"/>
      <c r="E257" s="25"/>
      <c r="M257" s="12"/>
      <c r="N257" s="118"/>
      <c r="O257" s="118"/>
      <c r="P257" s="118"/>
      <c r="Q257" s="118"/>
    </row>
    <row r="258" spans="2:17" ht="14.25" customHeight="1" x14ac:dyDescent="0.3">
      <c r="B258" s="23"/>
      <c r="D258" s="25"/>
      <c r="E258" s="25"/>
      <c r="M258" s="12"/>
      <c r="N258" s="118"/>
      <c r="O258" s="118"/>
      <c r="P258" s="118"/>
      <c r="Q258" s="118"/>
    </row>
    <row r="259" spans="2:17" ht="14.25" customHeight="1" x14ac:dyDescent="0.3">
      <c r="B259" s="23"/>
      <c r="D259" s="25"/>
      <c r="E259" s="25"/>
      <c r="M259" s="12"/>
      <c r="N259" s="118"/>
      <c r="O259" s="118"/>
      <c r="P259" s="118"/>
      <c r="Q259" s="118"/>
    </row>
    <row r="260" spans="2:17" ht="14.25" customHeight="1" x14ac:dyDescent="0.3">
      <c r="B260" s="23"/>
      <c r="D260" s="25"/>
      <c r="E260" s="25"/>
      <c r="M260" s="12"/>
      <c r="N260" s="118"/>
      <c r="O260" s="118"/>
      <c r="P260" s="118"/>
      <c r="Q260" s="118"/>
    </row>
    <row r="261" spans="2:17" ht="14.25" customHeight="1" x14ac:dyDescent="0.3">
      <c r="B261" s="23"/>
      <c r="D261" s="25"/>
      <c r="E261" s="25"/>
      <c r="M261" s="12"/>
      <c r="N261" s="118"/>
      <c r="O261" s="118"/>
      <c r="P261" s="118"/>
      <c r="Q261" s="118"/>
    </row>
    <row r="262" spans="2:17" ht="14.25" customHeight="1" x14ac:dyDescent="0.3">
      <c r="B262" s="23"/>
      <c r="D262" s="25"/>
      <c r="E262" s="25"/>
      <c r="M262" s="12"/>
      <c r="N262" s="118"/>
      <c r="O262" s="118"/>
      <c r="P262" s="118"/>
      <c r="Q262" s="118"/>
    </row>
    <row r="263" spans="2:17" ht="14.25" customHeight="1" x14ac:dyDescent="0.3">
      <c r="B263" s="23"/>
      <c r="D263" s="25"/>
      <c r="E263" s="25"/>
      <c r="M263" s="12"/>
      <c r="N263" s="118"/>
      <c r="O263" s="118"/>
      <c r="P263" s="118"/>
      <c r="Q263" s="118"/>
    </row>
    <row r="264" spans="2:17" ht="14.25" customHeight="1" x14ac:dyDescent="0.3">
      <c r="B264" s="23"/>
      <c r="D264" s="25"/>
      <c r="E264" s="25"/>
      <c r="M264" s="12"/>
      <c r="N264" s="118"/>
      <c r="O264" s="118"/>
      <c r="P264" s="118"/>
      <c r="Q264" s="118"/>
    </row>
    <row r="265" spans="2:17" ht="14.25" customHeight="1" x14ac:dyDescent="0.3">
      <c r="B265" s="23"/>
      <c r="D265" s="25"/>
      <c r="E265" s="25"/>
      <c r="M265" s="12"/>
      <c r="N265" s="118"/>
      <c r="O265" s="118"/>
      <c r="P265" s="118"/>
      <c r="Q265" s="118"/>
    </row>
    <row r="266" spans="2:17" ht="14.25" customHeight="1" x14ac:dyDescent="0.3">
      <c r="B266" s="23"/>
      <c r="D266" s="25"/>
      <c r="E266" s="25"/>
      <c r="M266" s="12"/>
      <c r="N266" s="118"/>
      <c r="O266" s="118"/>
      <c r="P266" s="118"/>
      <c r="Q266" s="118"/>
    </row>
    <row r="267" spans="2:17" ht="14.25" customHeight="1" x14ac:dyDescent="0.3">
      <c r="B267" s="23"/>
      <c r="D267" s="25"/>
      <c r="E267" s="25"/>
      <c r="M267" s="12"/>
      <c r="N267" s="118"/>
      <c r="O267" s="118"/>
      <c r="P267" s="118"/>
      <c r="Q267" s="118"/>
    </row>
    <row r="268" spans="2:17" ht="14.25" customHeight="1" x14ac:dyDescent="0.3">
      <c r="B268" s="23"/>
      <c r="D268" s="25"/>
      <c r="E268" s="25"/>
      <c r="M268" s="12"/>
      <c r="N268" s="118"/>
      <c r="O268" s="118"/>
      <c r="P268" s="118"/>
      <c r="Q268" s="118"/>
    </row>
    <row r="269" spans="2:17" ht="14.25" customHeight="1" x14ac:dyDescent="0.3">
      <c r="B269" s="23"/>
      <c r="D269" s="25"/>
      <c r="E269" s="25"/>
      <c r="M269" s="12"/>
      <c r="N269" s="118"/>
      <c r="O269" s="118"/>
      <c r="P269" s="118"/>
      <c r="Q269" s="118"/>
    </row>
    <row r="270" spans="2:17" ht="14.25" customHeight="1" x14ac:dyDescent="0.3">
      <c r="B270" s="23"/>
      <c r="D270" s="25"/>
      <c r="E270" s="25"/>
      <c r="M270" s="12"/>
      <c r="N270" s="118"/>
      <c r="O270" s="118"/>
      <c r="P270" s="118"/>
      <c r="Q270" s="118"/>
    </row>
    <row r="271" spans="2:17" ht="14.25" customHeight="1" x14ac:dyDescent="0.3">
      <c r="B271" s="23"/>
      <c r="D271" s="25"/>
      <c r="E271" s="25"/>
      <c r="M271" s="12"/>
      <c r="N271" s="118"/>
      <c r="O271" s="118"/>
      <c r="P271" s="118"/>
      <c r="Q271" s="118"/>
    </row>
    <row r="272" spans="2:17" ht="14.25" customHeight="1" x14ac:dyDescent="0.3">
      <c r="B272" s="23"/>
      <c r="D272" s="25"/>
      <c r="E272" s="25"/>
      <c r="M272" s="12"/>
      <c r="N272" s="118"/>
      <c r="O272" s="118"/>
      <c r="P272" s="118"/>
      <c r="Q272" s="118"/>
    </row>
    <row r="273" spans="2:17" ht="14.25" customHeight="1" x14ac:dyDescent="0.3">
      <c r="B273" s="23"/>
      <c r="D273" s="25"/>
      <c r="E273" s="25"/>
      <c r="M273" s="12"/>
      <c r="N273" s="118"/>
      <c r="O273" s="118"/>
      <c r="P273" s="118"/>
      <c r="Q273" s="118"/>
    </row>
    <row r="274" spans="2:17" ht="14.25" customHeight="1" x14ac:dyDescent="0.3">
      <c r="B274" s="23"/>
      <c r="D274" s="25"/>
      <c r="E274" s="25"/>
      <c r="M274" s="12"/>
      <c r="N274" s="118"/>
      <c r="O274" s="118"/>
      <c r="P274" s="118"/>
      <c r="Q274" s="118"/>
    </row>
    <row r="275" spans="2:17" ht="14.25" customHeight="1" x14ac:dyDescent="0.3">
      <c r="B275" s="23"/>
      <c r="D275" s="25"/>
      <c r="E275" s="25"/>
      <c r="M275" s="12"/>
      <c r="N275" s="118"/>
      <c r="O275" s="118"/>
      <c r="P275" s="118"/>
      <c r="Q275" s="118"/>
    </row>
    <row r="276" spans="2:17" ht="14.25" customHeight="1" x14ac:dyDescent="0.3">
      <c r="B276" s="23"/>
      <c r="D276" s="25"/>
      <c r="E276" s="25"/>
      <c r="M276" s="12"/>
      <c r="N276" s="118"/>
      <c r="O276" s="118"/>
      <c r="P276" s="118"/>
      <c r="Q276" s="118"/>
    </row>
    <row r="277" spans="2:17" ht="14.25" customHeight="1" x14ac:dyDescent="0.3">
      <c r="B277" s="23"/>
      <c r="D277" s="25"/>
      <c r="E277" s="25"/>
      <c r="M277" s="12"/>
      <c r="N277" s="118"/>
      <c r="O277" s="118"/>
      <c r="P277" s="118"/>
      <c r="Q277" s="118"/>
    </row>
    <row r="278" spans="2:17" ht="14.25" customHeight="1" x14ac:dyDescent="0.3">
      <c r="B278" s="23"/>
      <c r="D278" s="25"/>
      <c r="E278" s="25"/>
      <c r="M278" s="12"/>
      <c r="N278" s="118"/>
      <c r="O278" s="118"/>
      <c r="P278" s="118"/>
      <c r="Q278" s="118"/>
    </row>
    <row r="279" spans="2:17" ht="14.25" customHeight="1" x14ac:dyDescent="0.3">
      <c r="B279" s="23"/>
      <c r="D279" s="25"/>
      <c r="E279" s="25"/>
      <c r="M279" s="12"/>
      <c r="N279" s="118"/>
      <c r="O279" s="118"/>
      <c r="P279" s="118"/>
      <c r="Q279" s="118"/>
    </row>
    <row r="280" spans="2:17" ht="14.25" customHeight="1" x14ac:dyDescent="0.3">
      <c r="B280" s="23"/>
      <c r="D280" s="25"/>
      <c r="E280" s="25"/>
      <c r="M280" s="12"/>
      <c r="N280" s="118"/>
      <c r="O280" s="118"/>
      <c r="P280" s="118"/>
      <c r="Q280" s="118"/>
    </row>
    <row r="281" spans="2:17" ht="14.25" customHeight="1" x14ac:dyDescent="0.3">
      <c r="B281" s="23"/>
      <c r="D281" s="25"/>
      <c r="E281" s="25"/>
      <c r="M281" s="12"/>
      <c r="N281" s="118"/>
      <c r="O281" s="118"/>
      <c r="P281" s="118"/>
      <c r="Q281" s="118"/>
    </row>
    <row r="282" spans="2:17" ht="14.25" customHeight="1" x14ac:dyDescent="0.3">
      <c r="B282" s="23"/>
      <c r="D282" s="25"/>
      <c r="E282" s="25"/>
      <c r="M282" s="12"/>
      <c r="N282" s="118"/>
      <c r="O282" s="118"/>
      <c r="P282" s="118"/>
      <c r="Q282" s="118"/>
    </row>
    <row r="283" spans="2:17" ht="14.25" customHeight="1" x14ac:dyDescent="0.3">
      <c r="B283" s="23"/>
      <c r="D283" s="25"/>
      <c r="E283" s="25"/>
      <c r="M283" s="12"/>
      <c r="N283" s="118"/>
      <c r="O283" s="118"/>
      <c r="P283" s="118"/>
      <c r="Q283" s="118"/>
    </row>
    <row r="284" spans="2:17" ht="14.25" customHeight="1" x14ac:dyDescent="0.3">
      <c r="B284" s="23"/>
      <c r="D284" s="25"/>
      <c r="E284" s="25"/>
      <c r="M284" s="12"/>
      <c r="N284" s="118"/>
      <c r="O284" s="118"/>
      <c r="P284" s="118"/>
      <c r="Q284" s="118"/>
    </row>
    <row r="285" spans="2:17" ht="14.25" customHeight="1" x14ac:dyDescent="0.3">
      <c r="B285" s="23"/>
      <c r="D285" s="25"/>
      <c r="E285" s="25"/>
      <c r="M285" s="12"/>
      <c r="N285" s="118"/>
      <c r="O285" s="118"/>
      <c r="P285" s="118"/>
      <c r="Q285" s="118"/>
    </row>
    <row r="286" spans="2:17" ht="14.25" customHeight="1" x14ac:dyDescent="0.3">
      <c r="B286" s="23"/>
      <c r="D286" s="25"/>
      <c r="E286" s="25"/>
      <c r="M286" s="12"/>
      <c r="N286" s="118"/>
      <c r="O286" s="118"/>
      <c r="P286" s="118"/>
      <c r="Q286" s="118"/>
    </row>
    <row r="287" spans="2:17" ht="14.25" customHeight="1" x14ac:dyDescent="0.3">
      <c r="B287" s="23"/>
      <c r="D287" s="25"/>
      <c r="E287" s="25"/>
      <c r="M287" s="12"/>
      <c r="N287" s="118"/>
      <c r="O287" s="118"/>
      <c r="P287" s="118"/>
      <c r="Q287" s="118"/>
    </row>
    <row r="288" spans="2:17" ht="14.25" customHeight="1" x14ac:dyDescent="0.3">
      <c r="B288" s="23"/>
      <c r="D288" s="25"/>
      <c r="E288" s="25"/>
      <c r="M288" s="12"/>
      <c r="N288" s="118"/>
      <c r="O288" s="118"/>
      <c r="P288" s="118"/>
      <c r="Q288" s="118"/>
    </row>
    <row r="289" spans="2:17" ht="14.25" customHeight="1" x14ac:dyDescent="0.3">
      <c r="B289" s="23"/>
      <c r="D289" s="25"/>
      <c r="E289" s="25"/>
      <c r="M289" s="12"/>
      <c r="N289" s="118"/>
      <c r="O289" s="118"/>
      <c r="P289" s="118"/>
      <c r="Q289" s="118"/>
    </row>
    <row r="290" spans="2:17" ht="14.25" customHeight="1" x14ac:dyDescent="0.3">
      <c r="B290" s="23"/>
      <c r="D290" s="25"/>
      <c r="E290" s="25"/>
      <c r="M290" s="12"/>
      <c r="N290" s="118"/>
      <c r="O290" s="118"/>
      <c r="P290" s="118"/>
      <c r="Q290" s="118"/>
    </row>
    <row r="291" spans="2:17" ht="14.25" customHeight="1" x14ac:dyDescent="0.3">
      <c r="B291" s="23"/>
      <c r="D291" s="25"/>
      <c r="E291" s="25"/>
      <c r="M291" s="12"/>
      <c r="N291" s="118"/>
      <c r="O291" s="118"/>
      <c r="P291" s="118"/>
      <c r="Q291" s="118"/>
    </row>
    <row r="292" spans="2:17" ht="14.25" customHeight="1" x14ac:dyDescent="0.3">
      <c r="B292" s="23"/>
      <c r="D292" s="25"/>
      <c r="E292" s="25"/>
      <c r="M292" s="12"/>
      <c r="N292" s="118"/>
      <c r="O292" s="118"/>
      <c r="P292" s="118"/>
      <c r="Q292" s="118"/>
    </row>
    <row r="293" spans="2:17" ht="14.25" customHeight="1" x14ac:dyDescent="0.3">
      <c r="B293" s="23"/>
      <c r="D293" s="25"/>
      <c r="E293" s="25"/>
      <c r="M293" s="12"/>
      <c r="N293" s="118"/>
      <c r="O293" s="118"/>
      <c r="P293" s="118"/>
      <c r="Q293" s="118"/>
    </row>
    <row r="294" spans="2:17" ht="14.25" customHeight="1" x14ac:dyDescent="0.3">
      <c r="B294" s="23"/>
      <c r="D294" s="25"/>
      <c r="E294" s="25"/>
      <c r="M294" s="12"/>
      <c r="N294" s="118"/>
      <c r="O294" s="118"/>
      <c r="P294" s="118"/>
      <c r="Q294" s="118"/>
    </row>
    <row r="295" spans="2:17" ht="14.25" customHeight="1" x14ac:dyDescent="0.3">
      <c r="B295" s="23"/>
      <c r="D295" s="25"/>
      <c r="E295" s="25"/>
      <c r="M295" s="12"/>
      <c r="N295" s="118"/>
      <c r="O295" s="118"/>
      <c r="P295" s="118"/>
      <c r="Q295" s="118"/>
    </row>
    <row r="296" spans="2:17" ht="14.25" customHeight="1" x14ac:dyDescent="0.3">
      <c r="B296" s="23"/>
      <c r="D296" s="25"/>
      <c r="E296" s="25"/>
      <c r="M296" s="12"/>
      <c r="N296" s="118"/>
      <c r="O296" s="118"/>
      <c r="P296" s="118"/>
      <c r="Q296" s="118"/>
    </row>
    <row r="297" spans="2:17" ht="14.25" customHeight="1" x14ac:dyDescent="0.3">
      <c r="B297" s="23"/>
      <c r="D297" s="25"/>
      <c r="E297" s="25"/>
      <c r="M297" s="12"/>
      <c r="N297" s="118"/>
      <c r="O297" s="118"/>
      <c r="P297" s="118"/>
      <c r="Q297" s="118"/>
    </row>
    <row r="298" spans="2:17" ht="14.25" customHeight="1" x14ac:dyDescent="0.3">
      <c r="B298" s="23"/>
      <c r="D298" s="25"/>
      <c r="E298" s="25"/>
      <c r="M298" s="12"/>
      <c r="N298" s="118"/>
      <c r="O298" s="118"/>
      <c r="P298" s="118"/>
      <c r="Q298" s="118"/>
    </row>
    <row r="299" spans="2:17" ht="14.25" customHeight="1" x14ac:dyDescent="0.3">
      <c r="B299" s="23"/>
      <c r="D299" s="25"/>
      <c r="E299" s="25"/>
      <c r="M299" s="12"/>
      <c r="N299" s="118"/>
      <c r="O299" s="118"/>
      <c r="P299" s="118"/>
      <c r="Q299" s="118"/>
    </row>
    <row r="300" spans="2:17" ht="14.25" customHeight="1" x14ac:dyDescent="0.3">
      <c r="B300" s="23"/>
      <c r="D300" s="25"/>
      <c r="E300" s="25"/>
      <c r="M300" s="12"/>
      <c r="N300" s="118"/>
      <c r="O300" s="118"/>
      <c r="P300" s="118"/>
      <c r="Q300" s="118"/>
    </row>
    <row r="301" spans="2:17" ht="14.25" customHeight="1" x14ac:dyDescent="0.3">
      <c r="B301" s="23"/>
      <c r="D301" s="25"/>
      <c r="E301" s="25"/>
      <c r="M301" s="12"/>
      <c r="N301" s="118"/>
      <c r="O301" s="118"/>
      <c r="P301" s="118"/>
      <c r="Q301" s="118"/>
    </row>
    <row r="302" spans="2:17" ht="14.25" customHeight="1" x14ac:dyDescent="0.3">
      <c r="B302" s="23"/>
      <c r="D302" s="25"/>
      <c r="E302" s="25"/>
      <c r="M302" s="12"/>
      <c r="N302" s="118"/>
      <c r="O302" s="118"/>
      <c r="P302" s="118"/>
      <c r="Q302" s="118"/>
    </row>
    <row r="303" spans="2:17" ht="14.25" customHeight="1" x14ac:dyDescent="0.3">
      <c r="B303" s="23"/>
      <c r="D303" s="25"/>
      <c r="E303" s="25"/>
      <c r="M303" s="12"/>
      <c r="N303" s="118"/>
      <c r="O303" s="118"/>
      <c r="P303" s="118"/>
      <c r="Q303" s="118"/>
    </row>
    <row r="304" spans="2:17" ht="14.25" customHeight="1" x14ac:dyDescent="0.3">
      <c r="B304" s="23"/>
      <c r="D304" s="25"/>
      <c r="E304" s="25"/>
      <c r="M304" s="12"/>
      <c r="N304" s="118"/>
      <c r="O304" s="118"/>
      <c r="P304" s="118"/>
      <c r="Q304" s="118"/>
    </row>
    <row r="305" spans="2:17" ht="14.25" customHeight="1" x14ac:dyDescent="0.3">
      <c r="B305" s="23"/>
      <c r="D305" s="25"/>
      <c r="E305" s="25"/>
      <c r="M305" s="12"/>
      <c r="N305" s="118"/>
      <c r="O305" s="118"/>
      <c r="P305" s="118"/>
      <c r="Q305" s="118"/>
    </row>
    <row r="306" spans="2:17" ht="14.25" customHeight="1" x14ac:dyDescent="0.3">
      <c r="B306" s="23"/>
      <c r="D306" s="25"/>
      <c r="E306" s="25"/>
      <c r="M306" s="12"/>
      <c r="N306" s="118"/>
      <c r="O306" s="118"/>
      <c r="P306" s="118"/>
      <c r="Q306" s="118"/>
    </row>
    <row r="307" spans="2:17" ht="14.25" customHeight="1" x14ac:dyDescent="0.3">
      <c r="B307" s="23"/>
      <c r="D307" s="25"/>
      <c r="E307" s="25"/>
      <c r="M307" s="12"/>
      <c r="N307" s="118"/>
      <c r="O307" s="118"/>
      <c r="P307" s="118"/>
      <c r="Q307" s="118"/>
    </row>
    <row r="308" spans="2:17" ht="14.25" customHeight="1" x14ac:dyDescent="0.3">
      <c r="B308" s="23"/>
      <c r="D308" s="25"/>
      <c r="E308" s="25"/>
      <c r="M308" s="12"/>
      <c r="N308" s="118"/>
      <c r="O308" s="118"/>
      <c r="P308" s="118"/>
      <c r="Q308" s="118"/>
    </row>
    <row r="309" spans="2:17" ht="14.25" customHeight="1" x14ac:dyDescent="0.3">
      <c r="B309" s="23"/>
      <c r="D309" s="25"/>
      <c r="E309" s="25"/>
      <c r="M309" s="12"/>
      <c r="N309" s="118"/>
      <c r="O309" s="118"/>
      <c r="P309" s="118"/>
      <c r="Q309" s="118"/>
    </row>
    <row r="310" spans="2:17" ht="14.25" customHeight="1" x14ac:dyDescent="0.3">
      <c r="B310" s="23"/>
      <c r="D310" s="25"/>
      <c r="E310" s="25"/>
      <c r="M310" s="12"/>
      <c r="N310" s="118"/>
      <c r="O310" s="118"/>
      <c r="P310" s="118"/>
      <c r="Q310" s="118"/>
    </row>
    <row r="311" spans="2:17" ht="14.25" customHeight="1" x14ac:dyDescent="0.3">
      <c r="B311" s="23"/>
      <c r="D311" s="25"/>
      <c r="E311" s="25"/>
      <c r="M311" s="12"/>
      <c r="N311" s="118"/>
      <c r="O311" s="118"/>
      <c r="P311" s="118"/>
      <c r="Q311" s="118"/>
    </row>
    <row r="312" spans="2:17" ht="14.25" customHeight="1" x14ac:dyDescent="0.3">
      <c r="B312" s="23"/>
      <c r="D312" s="25"/>
      <c r="E312" s="25"/>
      <c r="M312" s="12"/>
      <c r="N312" s="118"/>
      <c r="O312" s="118"/>
      <c r="P312" s="118"/>
      <c r="Q312" s="118"/>
    </row>
    <row r="313" spans="2:17" ht="14.25" customHeight="1" x14ac:dyDescent="0.3">
      <c r="B313" s="23"/>
      <c r="D313" s="25"/>
      <c r="E313" s="25"/>
      <c r="M313" s="12"/>
      <c r="N313" s="118"/>
      <c r="O313" s="118"/>
      <c r="P313" s="118"/>
      <c r="Q313" s="118"/>
    </row>
    <row r="314" spans="2:17" ht="14.25" customHeight="1" x14ac:dyDescent="0.3">
      <c r="B314" s="23"/>
      <c r="D314" s="25"/>
      <c r="E314" s="25"/>
      <c r="M314" s="12"/>
      <c r="N314" s="118"/>
      <c r="O314" s="118"/>
      <c r="P314" s="118"/>
      <c r="Q314" s="118"/>
    </row>
    <row r="315" spans="2:17" ht="14.25" customHeight="1" x14ac:dyDescent="0.3">
      <c r="B315" s="23"/>
      <c r="D315" s="25"/>
      <c r="E315" s="25"/>
      <c r="M315" s="12"/>
      <c r="N315" s="118"/>
      <c r="O315" s="118"/>
      <c r="P315" s="118"/>
      <c r="Q315" s="118"/>
    </row>
    <row r="316" spans="2:17" ht="14.25" customHeight="1" x14ac:dyDescent="0.3">
      <c r="B316" s="23"/>
      <c r="D316" s="25"/>
      <c r="E316" s="25"/>
      <c r="M316" s="12"/>
      <c r="N316" s="118"/>
      <c r="O316" s="118"/>
      <c r="P316" s="118"/>
      <c r="Q316" s="118"/>
    </row>
    <row r="317" spans="2:17" ht="14.25" customHeight="1" x14ac:dyDescent="0.3">
      <c r="B317" s="23"/>
      <c r="D317" s="25"/>
      <c r="E317" s="25"/>
      <c r="M317" s="12"/>
      <c r="N317" s="118"/>
      <c r="O317" s="118"/>
      <c r="P317" s="118"/>
      <c r="Q317" s="118"/>
    </row>
    <row r="318" spans="2:17" ht="14.25" customHeight="1" x14ac:dyDescent="0.3">
      <c r="B318" s="23"/>
      <c r="D318" s="25"/>
      <c r="E318" s="25"/>
      <c r="M318" s="12"/>
      <c r="N318" s="118"/>
      <c r="O318" s="118"/>
      <c r="P318" s="118"/>
      <c r="Q318" s="118"/>
    </row>
    <row r="319" spans="2:17" ht="14.25" customHeight="1" x14ac:dyDescent="0.3">
      <c r="B319" s="23"/>
      <c r="D319" s="25"/>
      <c r="E319" s="25"/>
      <c r="M319" s="12"/>
      <c r="N319" s="118"/>
      <c r="O319" s="118"/>
      <c r="P319" s="118"/>
      <c r="Q319" s="118"/>
    </row>
    <row r="320" spans="2:17" ht="14.25" customHeight="1" x14ac:dyDescent="0.3">
      <c r="B320" s="23"/>
      <c r="D320" s="25"/>
      <c r="E320" s="25"/>
      <c r="M320" s="12"/>
      <c r="N320" s="118"/>
      <c r="O320" s="118"/>
      <c r="P320" s="118"/>
      <c r="Q320" s="118"/>
    </row>
    <row r="321" spans="2:17" ht="14.25" customHeight="1" x14ac:dyDescent="0.3">
      <c r="B321" s="23"/>
      <c r="D321" s="25"/>
      <c r="E321" s="25"/>
      <c r="M321" s="12"/>
      <c r="N321" s="118"/>
      <c r="O321" s="118"/>
      <c r="P321" s="118"/>
      <c r="Q321" s="118"/>
    </row>
    <row r="322" spans="2:17" ht="14.25" customHeight="1" x14ac:dyDescent="0.3">
      <c r="B322" s="23"/>
      <c r="D322" s="25"/>
      <c r="E322" s="25"/>
      <c r="M322" s="12"/>
      <c r="N322" s="118"/>
      <c r="O322" s="118"/>
      <c r="P322" s="118"/>
      <c r="Q322" s="118"/>
    </row>
    <row r="323" spans="2:17" ht="14.25" customHeight="1" x14ac:dyDescent="0.3">
      <c r="B323" s="23"/>
      <c r="D323" s="25"/>
      <c r="E323" s="25"/>
      <c r="M323" s="12"/>
      <c r="N323" s="118"/>
      <c r="O323" s="118"/>
      <c r="P323" s="118"/>
      <c r="Q323" s="118"/>
    </row>
    <row r="324" spans="2:17" ht="14.25" customHeight="1" x14ac:dyDescent="0.3">
      <c r="B324" s="23"/>
      <c r="D324" s="25"/>
      <c r="E324" s="25"/>
      <c r="M324" s="12"/>
      <c r="N324" s="118"/>
      <c r="O324" s="118"/>
      <c r="P324" s="118"/>
      <c r="Q324" s="118"/>
    </row>
    <row r="325" spans="2:17" ht="14.25" customHeight="1" x14ac:dyDescent="0.3">
      <c r="B325" s="23"/>
      <c r="D325" s="25"/>
      <c r="E325" s="25"/>
      <c r="M325" s="12"/>
      <c r="N325" s="118"/>
      <c r="O325" s="118"/>
      <c r="P325" s="118"/>
      <c r="Q325" s="118"/>
    </row>
    <row r="326" spans="2:17" ht="14.25" customHeight="1" x14ac:dyDescent="0.3">
      <c r="B326" s="23"/>
      <c r="D326" s="25"/>
      <c r="E326" s="25"/>
      <c r="M326" s="12"/>
      <c r="N326" s="118"/>
      <c r="O326" s="118"/>
      <c r="P326" s="118"/>
      <c r="Q326" s="118"/>
    </row>
    <row r="327" spans="2:17" ht="14.25" customHeight="1" x14ac:dyDescent="0.3">
      <c r="B327" s="23"/>
      <c r="D327" s="25"/>
      <c r="E327" s="25"/>
      <c r="M327" s="12"/>
      <c r="N327" s="118"/>
      <c r="O327" s="118"/>
      <c r="P327" s="118"/>
      <c r="Q327" s="118"/>
    </row>
    <row r="328" spans="2:17" ht="14.25" customHeight="1" x14ac:dyDescent="0.3">
      <c r="B328" s="23"/>
      <c r="D328" s="25"/>
      <c r="E328" s="25"/>
      <c r="M328" s="12"/>
      <c r="N328" s="118"/>
      <c r="O328" s="118"/>
      <c r="P328" s="118"/>
      <c r="Q328" s="118"/>
    </row>
    <row r="329" spans="2:17" ht="14.25" customHeight="1" x14ac:dyDescent="0.3">
      <c r="B329" s="23"/>
      <c r="D329" s="25"/>
      <c r="E329" s="25"/>
      <c r="M329" s="12"/>
      <c r="N329" s="118"/>
      <c r="O329" s="118"/>
      <c r="P329" s="118"/>
      <c r="Q329" s="118"/>
    </row>
    <row r="330" spans="2:17" ht="14.25" customHeight="1" x14ac:dyDescent="0.3">
      <c r="B330" s="23"/>
      <c r="D330" s="25"/>
      <c r="E330" s="25"/>
      <c r="M330" s="12"/>
      <c r="N330" s="118"/>
      <c r="O330" s="118"/>
      <c r="P330" s="118"/>
      <c r="Q330" s="118"/>
    </row>
    <row r="331" spans="2:17" ht="14.25" customHeight="1" x14ac:dyDescent="0.3">
      <c r="B331" s="23"/>
      <c r="D331" s="25"/>
      <c r="E331" s="25"/>
      <c r="M331" s="12"/>
      <c r="N331" s="118"/>
      <c r="O331" s="118"/>
      <c r="P331" s="118"/>
      <c r="Q331" s="118"/>
    </row>
    <row r="332" spans="2:17" ht="14.25" customHeight="1" x14ac:dyDescent="0.3">
      <c r="B332" s="23"/>
      <c r="D332" s="25"/>
      <c r="E332" s="25"/>
      <c r="M332" s="12"/>
      <c r="N332" s="118"/>
      <c r="O332" s="118"/>
      <c r="P332" s="118"/>
      <c r="Q332" s="118"/>
    </row>
    <row r="333" spans="2:17" ht="14.25" customHeight="1" x14ac:dyDescent="0.3">
      <c r="B333" s="23"/>
      <c r="D333" s="25"/>
      <c r="E333" s="25"/>
      <c r="M333" s="12"/>
      <c r="N333" s="118"/>
      <c r="O333" s="118"/>
      <c r="P333" s="118"/>
      <c r="Q333" s="118"/>
    </row>
    <row r="334" spans="2:17" ht="14.25" customHeight="1" x14ac:dyDescent="0.3">
      <c r="B334" s="23"/>
      <c r="D334" s="25"/>
      <c r="E334" s="25"/>
      <c r="M334" s="12"/>
      <c r="N334" s="118"/>
      <c r="O334" s="118"/>
      <c r="P334" s="118"/>
      <c r="Q334" s="118"/>
    </row>
    <row r="335" spans="2:17" ht="14.25" customHeight="1" x14ac:dyDescent="0.3">
      <c r="B335" s="23"/>
      <c r="D335" s="25"/>
      <c r="E335" s="25"/>
      <c r="M335" s="12"/>
      <c r="N335" s="118"/>
      <c r="O335" s="118"/>
      <c r="P335" s="118"/>
      <c r="Q335" s="118"/>
    </row>
    <row r="336" spans="2:17" ht="14.25" customHeight="1" x14ac:dyDescent="0.3">
      <c r="B336" s="23"/>
      <c r="D336" s="25"/>
      <c r="E336" s="25"/>
      <c r="M336" s="12"/>
      <c r="N336" s="118"/>
      <c r="O336" s="118"/>
      <c r="P336" s="118"/>
      <c r="Q336" s="118"/>
    </row>
    <row r="337" spans="2:17" ht="14.25" customHeight="1" x14ac:dyDescent="0.3">
      <c r="B337" s="23"/>
      <c r="D337" s="25"/>
      <c r="E337" s="25"/>
      <c r="M337" s="12"/>
      <c r="N337" s="118"/>
      <c r="O337" s="118"/>
      <c r="P337" s="118"/>
      <c r="Q337" s="118"/>
    </row>
    <row r="338" spans="2:17" ht="14.25" customHeight="1" x14ac:dyDescent="0.3">
      <c r="B338" s="23"/>
      <c r="D338" s="25"/>
      <c r="E338" s="25"/>
      <c r="M338" s="12"/>
      <c r="N338" s="118"/>
      <c r="O338" s="118"/>
      <c r="P338" s="118"/>
      <c r="Q338" s="118"/>
    </row>
    <row r="339" spans="2:17" ht="14.25" customHeight="1" x14ac:dyDescent="0.3">
      <c r="B339" s="23"/>
      <c r="D339" s="25"/>
      <c r="E339" s="25"/>
      <c r="M339" s="12"/>
      <c r="N339" s="118"/>
      <c r="O339" s="118"/>
      <c r="P339" s="118"/>
      <c r="Q339" s="118"/>
    </row>
    <row r="340" spans="2:17" ht="14.25" customHeight="1" x14ac:dyDescent="0.3">
      <c r="B340" s="23"/>
      <c r="D340" s="25"/>
      <c r="E340" s="25"/>
      <c r="M340" s="12"/>
      <c r="N340" s="118"/>
      <c r="O340" s="118"/>
      <c r="P340" s="118"/>
      <c r="Q340" s="118"/>
    </row>
    <row r="341" spans="2:17" ht="14.25" customHeight="1" x14ac:dyDescent="0.3">
      <c r="B341" s="23"/>
      <c r="D341" s="25"/>
      <c r="E341" s="25"/>
      <c r="M341" s="12"/>
      <c r="N341" s="118"/>
      <c r="O341" s="118"/>
      <c r="P341" s="118"/>
      <c r="Q341" s="118"/>
    </row>
    <row r="342" spans="2:17" ht="14.25" customHeight="1" x14ac:dyDescent="0.3">
      <c r="B342" s="23"/>
      <c r="D342" s="25"/>
      <c r="E342" s="25"/>
      <c r="M342" s="12"/>
      <c r="N342" s="118"/>
      <c r="O342" s="118"/>
      <c r="P342" s="118"/>
      <c r="Q342" s="118"/>
    </row>
    <row r="343" spans="2:17" ht="14.25" customHeight="1" x14ac:dyDescent="0.3">
      <c r="B343" s="23"/>
      <c r="D343" s="25"/>
      <c r="E343" s="25"/>
      <c r="M343" s="12"/>
      <c r="N343" s="118"/>
      <c r="O343" s="118"/>
      <c r="P343" s="118"/>
      <c r="Q343" s="118"/>
    </row>
    <row r="344" spans="2:17" ht="14.25" customHeight="1" x14ac:dyDescent="0.3">
      <c r="B344" s="23"/>
      <c r="D344" s="25"/>
      <c r="E344" s="25"/>
      <c r="M344" s="12"/>
      <c r="N344" s="118"/>
      <c r="O344" s="118"/>
      <c r="P344" s="118"/>
      <c r="Q344" s="118"/>
    </row>
    <row r="345" spans="2:17" ht="14.25" customHeight="1" x14ac:dyDescent="0.3">
      <c r="B345" s="23"/>
      <c r="D345" s="25"/>
      <c r="E345" s="25"/>
      <c r="M345" s="12"/>
      <c r="N345" s="118"/>
      <c r="O345" s="118"/>
      <c r="P345" s="118"/>
      <c r="Q345" s="118"/>
    </row>
    <row r="346" spans="2:17" ht="14.25" customHeight="1" x14ac:dyDescent="0.3">
      <c r="B346" s="23"/>
      <c r="D346" s="25"/>
      <c r="E346" s="25"/>
      <c r="M346" s="12"/>
      <c r="N346" s="118"/>
      <c r="O346" s="118"/>
      <c r="P346" s="118"/>
      <c r="Q346" s="118"/>
    </row>
    <row r="347" spans="2:17" ht="14.25" customHeight="1" x14ac:dyDescent="0.3">
      <c r="B347" s="23"/>
      <c r="D347" s="25"/>
      <c r="E347" s="25"/>
      <c r="M347" s="12"/>
      <c r="N347" s="118"/>
      <c r="O347" s="118"/>
      <c r="P347" s="118"/>
      <c r="Q347" s="118"/>
    </row>
    <row r="348" spans="2:17" ht="14.25" customHeight="1" x14ac:dyDescent="0.3">
      <c r="B348" s="23"/>
      <c r="D348" s="25"/>
      <c r="E348" s="25"/>
      <c r="M348" s="12"/>
      <c r="N348" s="118"/>
      <c r="O348" s="118"/>
      <c r="P348" s="118"/>
      <c r="Q348" s="118"/>
    </row>
    <row r="349" spans="2:17" ht="14.25" customHeight="1" x14ac:dyDescent="0.3">
      <c r="B349" s="23"/>
      <c r="D349" s="25"/>
      <c r="E349" s="25"/>
      <c r="M349" s="12"/>
      <c r="N349" s="118"/>
      <c r="O349" s="118"/>
      <c r="P349" s="118"/>
      <c r="Q349" s="118"/>
    </row>
    <row r="350" spans="2:17" ht="14.25" customHeight="1" x14ac:dyDescent="0.3">
      <c r="B350" s="23"/>
      <c r="D350" s="25"/>
      <c r="E350" s="25"/>
      <c r="M350" s="12"/>
      <c r="N350" s="118"/>
      <c r="O350" s="118"/>
      <c r="P350" s="118"/>
      <c r="Q350" s="118"/>
    </row>
    <row r="351" spans="2:17" ht="14.25" customHeight="1" x14ac:dyDescent="0.3">
      <c r="B351" s="23"/>
      <c r="D351" s="25"/>
      <c r="E351" s="25"/>
      <c r="M351" s="12"/>
      <c r="N351" s="118"/>
      <c r="O351" s="118"/>
      <c r="P351" s="118"/>
      <c r="Q351" s="118"/>
    </row>
    <row r="352" spans="2:17" ht="14.25" customHeight="1" x14ac:dyDescent="0.3">
      <c r="B352" s="23"/>
      <c r="D352" s="25"/>
      <c r="E352" s="25"/>
      <c r="M352" s="12"/>
      <c r="N352" s="118"/>
      <c r="O352" s="118"/>
      <c r="P352" s="118"/>
      <c r="Q352" s="118"/>
    </row>
    <row r="353" spans="2:17" ht="14.25" customHeight="1" x14ac:dyDescent="0.3">
      <c r="B353" s="23"/>
      <c r="D353" s="25"/>
      <c r="E353" s="25"/>
      <c r="M353" s="12"/>
      <c r="N353" s="118"/>
      <c r="O353" s="118"/>
      <c r="P353" s="118"/>
      <c r="Q353" s="118"/>
    </row>
    <row r="354" spans="2:17" ht="14.25" customHeight="1" x14ac:dyDescent="0.3">
      <c r="B354" s="23"/>
      <c r="D354" s="25"/>
      <c r="E354" s="25"/>
      <c r="M354" s="12"/>
      <c r="N354" s="118"/>
      <c r="O354" s="118"/>
      <c r="P354" s="118"/>
      <c r="Q354" s="118"/>
    </row>
    <row r="355" spans="2:17" ht="14.25" customHeight="1" x14ac:dyDescent="0.3">
      <c r="B355" s="23"/>
      <c r="D355" s="25"/>
      <c r="E355" s="25"/>
      <c r="M355" s="12"/>
      <c r="N355" s="118"/>
      <c r="O355" s="118"/>
      <c r="P355" s="118"/>
      <c r="Q355" s="118"/>
    </row>
    <row r="356" spans="2:17" ht="14.25" customHeight="1" x14ac:dyDescent="0.3">
      <c r="B356" s="23"/>
      <c r="D356" s="25"/>
      <c r="E356" s="25"/>
      <c r="M356" s="12"/>
      <c r="N356" s="118"/>
      <c r="O356" s="118"/>
      <c r="P356" s="118"/>
      <c r="Q356" s="118"/>
    </row>
    <row r="357" spans="2:17" ht="14.25" customHeight="1" x14ac:dyDescent="0.3">
      <c r="B357" s="23"/>
      <c r="D357" s="25"/>
      <c r="E357" s="25"/>
      <c r="M357" s="12"/>
      <c r="N357" s="118"/>
      <c r="O357" s="118"/>
      <c r="P357" s="118"/>
      <c r="Q357" s="118"/>
    </row>
    <row r="358" spans="2:17" ht="14.25" customHeight="1" x14ac:dyDescent="0.3">
      <c r="B358" s="23"/>
      <c r="D358" s="25"/>
      <c r="E358" s="25"/>
      <c r="M358" s="12"/>
      <c r="N358" s="118"/>
      <c r="O358" s="118"/>
      <c r="P358" s="118"/>
      <c r="Q358" s="118"/>
    </row>
    <row r="359" spans="2:17" ht="14.25" customHeight="1" x14ac:dyDescent="0.3">
      <c r="B359" s="23"/>
      <c r="D359" s="25"/>
      <c r="E359" s="25"/>
      <c r="M359" s="12"/>
      <c r="N359" s="118"/>
      <c r="O359" s="118"/>
      <c r="P359" s="118"/>
      <c r="Q359" s="118"/>
    </row>
    <row r="360" spans="2:17" ht="14.25" customHeight="1" x14ac:dyDescent="0.3">
      <c r="B360" s="23"/>
      <c r="D360" s="25"/>
      <c r="E360" s="25"/>
      <c r="M360" s="12"/>
      <c r="N360" s="118"/>
      <c r="O360" s="118"/>
      <c r="P360" s="118"/>
      <c r="Q360" s="118"/>
    </row>
    <row r="361" spans="2:17" ht="14.25" customHeight="1" x14ac:dyDescent="0.3">
      <c r="B361" s="23"/>
      <c r="D361" s="25"/>
      <c r="E361" s="25"/>
      <c r="M361" s="12"/>
      <c r="N361" s="118"/>
      <c r="O361" s="118"/>
      <c r="P361" s="118"/>
      <c r="Q361" s="118"/>
    </row>
    <row r="362" spans="2:17" ht="14.25" customHeight="1" x14ac:dyDescent="0.3">
      <c r="B362" s="23"/>
      <c r="D362" s="25"/>
      <c r="E362" s="25"/>
      <c r="M362" s="12"/>
      <c r="N362" s="118"/>
      <c r="O362" s="118"/>
      <c r="P362" s="118"/>
      <c r="Q362" s="118"/>
    </row>
    <row r="363" spans="2:17" ht="14.25" customHeight="1" x14ac:dyDescent="0.3">
      <c r="B363" s="23"/>
      <c r="D363" s="25"/>
      <c r="E363" s="25"/>
      <c r="M363" s="12"/>
      <c r="N363" s="118"/>
      <c r="O363" s="118"/>
      <c r="P363" s="118"/>
      <c r="Q363" s="118"/>
    </row>
    <row r="364" spans="2:17" ht="14.25" customHeight="1" x14ac:dyDescent="0.3">
      <c r="B364" s="23"/>
      <c r="D364" s="25"/>
      <c r="E364" s="25"/>
      <c r="M364" s="12"/>
      <c r="N364" s="118"/>
      <c r="O364" s="118"/>
      <c r="P364" s="118"/>
      <c r="Q364" s="118"/>
    </row>
    <row r="365" spans="2:17" ht="14.25" customHeight="1" x14ac:dyDescent="0.3">
      <c r="B365" s="23"/>
      <c r="D365" s="25"/>
      <c r="E365" s="25"/>
      <c r="M365" s="12"/>
      <c r="N365" s="118"/>
      <c r="O365" s="118"/>
      <c r="P365" s="118"/>
      <c r="Q365" s="118"/>
    </row>
    <row r="366" spans="2:17" ht="14.25" customHeight="1" x14ac:dyDescent="0.3">
      <c r="B366" s="23"/>
      <c r="D366" s="25"/>
      <c r="E366" s="25"/>
      <c r="M366" s="12"/>
      <c r="N366" s="118"/>
      <c r="O366" s="118"/>
      <c r="P366" s="118"/>
      <c r="Q366" s="118"/>
    </row>
    <row r="367" spans="2:17" ht="14.25" customHeight="1" x14ac:dyDescent="0.3">
      <c r="B367" s="23"/>
      <c r="D367" s="25"/>
      <c r="E367" s="25"/>
      <c r="M367" s="12"/>
      <c r="N367" s="118"/>
      <c r="O367" s="118"/>
      <c r="P367" s="118"/>
      <c r="Q367" s="118"/>
    </row>
    <row r="368" spans="2:17" ht="14.25" customHeight="1" x14ac:dyDescent="0.3">
      <c r="B368" s="23"/>
      <c r="D368" s="25"/>
      <c r="E368" s="25"/>
      <c r="M368" s="12"/>
      <c r="N368" s="118"/>
      <c r="O368" s="118"/>
      <c r="P368" s="118"/>
      <c r="Q368" s="118"/>
    </row>
    <row r="369" spans="2:17" ht="14.25" customHeight="1" x14ac:dyDescent="0.3">
      <c r="B369" s="23"/>
      <c r="D369" s="25"/>
      <c r="E369" s="25"/>
      <c r="M369" s="12"/>
      <c r="N369" s="118"/>
      <c r="O369" s="118"/>
      <c r="P369" s="118"/>
      <c r="Q369" s="118"/>
    </row>
    <row r="370" spans="2:17" ht="14.25" customHeight="1" x14ac:dyDescent="0.3">
      <c r="B370" s="23"/>
      <c r="D370" s="25"/>
      <c r="E370" s="25"/>
      <c r="M370" s="12"/>
      <c r="N370" s="118"/>
      <c r="O370" s="118"/>
      <c r="P370" s="118"/>
      <c r="Q370" s="118"/>
    </row>
    <row r="371" spans="2:17" ht="14.25" customHeight="1" x14ac:dyDescent="0.3">
      <c r="B371" s="23"/>
      <c r="D371" s="25"/>
      <c r="E371" s="25"/>
      <c r="M371" s="12"/>
      <c r="N371" s="118"/>
      <c r="O371" s="118"/>
      <c r="P371" s="118"/>
      <c r="Q371" s="118"/>
    </row>
    <row r="372" spans="2:17" ht="14.25" customHeight="1" x14ac:dyDescent="0.3">
      <c r="B372" s="23"/>
      <c r="D372" s="25"/>
      <c r="E372" s="25"/>
      <c r="M372" s="12"/>
      <c r="N372" s="118"/>
      <c r="O372" s="118"/>
      <c r="P372" s="118"/>
      <c r="Q372" s="118"/>
    </row>
    <row r="373" spans="2:17" ht="14.25" customHeight="1" x14ac:dyDescent="0.3">
      <c r="B373" s="23"/>
      <c r="D373" s="25"/>
      <c r="E373" s="25"/>
      <c r="M373" s="12"/>
      <c r="N373" s="118"/>
      <c r="O373" s="118"/>
      <c r="P373" s="118"/>
      <c r="Q373" s="118"/>
    </row>
    <row r="374" spans="2:17" ht="14.25" customHeight="1" x14ac:dyDescent="0.3">
      <c r="B374" s="23"/>
      <c r="D374" s="25"/>
      <c r="E374" s="25"/>
      <c r="M374" s="12"/>
      <c r="N374" s="118"/>
      <c r="O374" s="118"/>
      <c r="P374" s="118"/>
      <c r="Q374" s="118"/>
    </row>
    <row r="375" spans="2:17" ht="14.25" customHeight="1" x14ac:dyDescent="0.3">
      <c r="B375" s="23"/>
      <c r="D375" s="25"/>
      <c r="E375" s="25"/>
      <c r="M375" s="12"/>
      <c r="N375" s="118"/>
      <c r="O375" s="118"/>
      <c r="P375" s="118"/>
      <c r="Q375" s="118"/>
    </row>
    <row r="376" spans="2:17" ht="14.25" customHeight="1" x14ac:dyDescent="0.3">
      <c r="B376" s="23"/>
      <c r="D376" s="25"/>
      <c r="E376" s="25"/>
      <c r="M376" s="12"/>
      <c r="N376" s="118"/>
      <c r="O376" s="118"/>
      <c r="P376" s="118"/>
      <c r="Q376" s="118"/>
    </row>
    <row r="377" spans="2:17" ht="14.25" customHeight="1" x14ac:dyDescent="0.3">
      <c r="B377" s="23"/>
      <c r="D377" s="25"/>
      <c r="E377" s="25"/>
      <c r="M377" s="12"/>
      <c r="N377" s="118"/>
      <c r="O377" s="118"/>
      <c r="P377" s="118"/>
      <c r="Q377" s="118"/>
    </row>
    <row r="378" spans="2:17" ht="14.25" customHeight="1" x14ac:dyDescent="0.3">
      <c r="B378" s="23"/>
      <c r="D378" s="25"/>
      <c r="E378" s="25"/>
      <c r="M378" s="12"/>
      <c r="N378" s="118"/>
      <c r="O378" s="118"/>
      <c r="P378" s="118"/>
      <c r="Q378" s="118"/>
    </row>
    <row r="379" spans="2:17" ht="14.25" customHeight="1" x14ac:dyDescent="0.3">
      <c r="B379" s="23"/>
      <c r="D379" s="25"/>
      <c r="E379" s="25"/>
      <c r="M379" s="12"/>
      <c r="N379" s="118"/>
      <c r="O379" s="118"/>
      <c r="P379" s="118"/>
      <c r="Q379" s="118"/>
    </row>
    <row r="380" spans="2:17" ht="14.25" customHeight="1" x14ac:dyDescent="0.3">
      <c r="B380" s="23"/>
      <c r="D380" s="25"/>
      <c r="E380" s="25"/>
      <c r="M380" s="12"/>
      <c r="N380" s="118"/>
      <c r="O380" s="118"/>
      <c r="P380" s="118"/>
      <c r="Q380" s="118"/>
    </row>
    <row r="381" spans="2:17" ht="14.25" customHeight="1" x14ac:dyDescent="0.3">
      <c r="B381" s="23"/>
      <c r="D381" s="25"/>
      <c r="E381" s="25"/>
      <c r="M381" s="12"/>
      <c r="N381" s="118"/>
      <c r="O381" s="118"/>
      <c r="P381" s="118"/>
      <c r="Q381" s="118"/>
    </row>
    <row r="382" spans="2:17" ht="14.25" customHeight="1" x14ac:dyDescent="0.3">
      <c r="B382" s="23"/>
      <c r="D382" s="25"/>
      <c r="E382" s="25"/>
      <c r="M382" s="12"/>
      <c r="N382" s="118"/>
      <c r="O382" s="118"/>
      <c r="P382" s="118"/>
      <c r="Q382" s="118"/>
    </row>
    <row r="383" spans="2:17" ht="14.25" customHeight="1" x14ac:dyDescent="0.3">
      <c r="B383" s="23"/>
      <c r="D383" s="25"/>
      <c r="E383" s="25"/>
      <c r="M383" s="12"/>
      <c r="N383" s="118"/>
      <c r="O383" s="118"/>
      <c r="P383" s="118"/>
      <c r="Q383" s="118"/>
    </row>
    <row r="384" spans="2:17" ht="14.25" customHeight="1" x14ac:dyDescent="0.3">
      <c r="B384" s="23"/>
      <c r="D384" s="25"/>
      <c r="E384" s="25"/>
      <c r="M384" s="12"/>
      <c r="N384" s="118"/>
      <c r="O384" s="118"/>
      <c r="P384" s="118"/>
      <c r="Q384" s="118"/>
    </row>
    <row r="385" spans="2:17" ht="14.25" customHeight="1" x14ac:dyDescent="0.3">
      <c r="B385" s="23"/>
      <c r="D385" s="25"/>
      <c r="E385" s="25"/>
      <c r="M385" s="12"/>
      <c r="N385" s="118"/>
      <c r="O385" s="118"/>
      <c r="P385" s="118"/>
      <c r="Q385" s="118"/>
    </row>
    <row r="386" spans="2:17" ht="14.25" customHeight="1" x14ac:dyDescent="0.3">
      <c r="B386" s="23"/>
      <c r="D386" s="25"/>
      <c r="E386" s="25"/>
      <c r="M386" s="12"/>
      <c r="N386" s="118"/>
      <c r="O386" s="118"/>
      <c r="P386" s="118"/>
      <c r="Q386" s="118"/>
    </row>
    <row r="387" spans="2:17" ht="14.25" customHeight="1" x14ac:dyDescent="0.3">
      <c r="B387" s="23"/>
      <c r="D387" s="25"/>
      <c r="E387" s="25"/>
      <c r="M387" s="12"/>
      <c r="N387" s="118"/>
      <c r="O387" s="118"/>
      <c r="P387" s="118"/>
      <c r="Q387" s="118"/>
    </row>
    <row r="388" spans="2:17" ht="14.25" customHeight="1" x14ac:dyDescent="0.3">
      <c r="B388" s="23"/>
      <c r="D388" s="25"/>
      <c r="E388" s="25"/>
      <c r="M388" s="12"/>
      <c r="N388" s="118"/>
      <c r="O388" s="118"/>
      <c r="P388" s="118"/>
      <c r="Q388" s="118"/>
    </row>
    <row r="389" spans="2:17" ht="14.25" customHeight="1" x14ac:dyDescent="0.3">
      <c r="B389" s="23"/>
      <c r="D389" s="25"/>
      <c r="E389" s="25"/>
      <c r="M389" s="12"/>
      <c r="N389" s="118"/>
      <c r="O389" s="118"/>
      <c r="P389" s="118"/>
      <c r="Q389" s="118"/>
    </row>
    <row r="390" spans="2:17" ht="14.25" customHeight="1" x14ac:dyDescent="0.3">
      <c r="B390" s="23"/>
      <c r="D390" s="25"/>
      <c r="E390" s="25"/>
      <c r="M390" s="12"/>
      <c r="N390" s="118"/>
      <c r="O390" s="118"/>
      <c r="P390" s="118"/>
      <c r="Q390" s="118"/>
    </row>
    <row r="391" spans="2:17" ht="14.25" customHeight="1" x14ac:dyDescent="0.3">
      <c r="B391" s="23"/>
      <c r="D391" s="25"/>
      <c r="E391" s="25"/>
      <c r="M391" s="12"/>
      <c r="N391" s="118"/>
      <c r="O391" s="118"/>
      <c r="P391" s="118"/>
      <c r="Q391" s="118"/>
    </row>
    <row r="392" spans="2:17" ht="14.25" customHeight="1" x14ac:dyDescent="0.3">
      <c r="B392" s="23"/>
      <c r="D392" s="25"/>
      <c r="E392" s="25"/>
      <c r="M392" s="12"/>
      <c r="N392" s="118"/>
      <c r="O392" s="118"/>
      <c r="P392" s="118"/>
      <c r="Q392" s="118"/>
    </row>
    <row r="393" spans="2:17" ht="14.25" customHeight="1" x14ac:dyDescent="0.3">
      <c r="B393" s="23"/>
      <c r="D393" s="25"/>
      <c r="E393" s="25"/>
      <c r="M393" s="12"/>
      <c r="N393" s="118"/>
      <c r="O393" s="118"/>
      <c r="P393" s="118"/>
      <c r="Q393" s="118"/>
    </row>
    <row r="394" spans="2:17" ht="14.25" customHeight="1" x14ac:dyDescent="0.3">
      <c r="B394" s="23"/>
      <c r="D394" s="25"/>
      <c r="E394" s="25"/>
      <c r="M394" s="12"/>
      <c r="N394" s="118"/>
      <c r="O394" s="118"/>
      <c r="P394" s="118"/>
      <c r="Q394" s="118"/>
    </row>
    <row r="395" spans="2:17" ht="14.25" customHeight="1" x14ac:dyDescent="0.3">
      <c r="B395" s="23"/>
      <c r="D395" s="25"/>
      <c r="E395" s="25"/>
      <c r="M395" s="12"/>
      <c r="N395" s="118"/>
      <c r="O395" s="118"/>
      <c r="P395" s="118"/>
      <c r="Q395" s="118"/>
    </row>
    <row r="396" spans="2:17" ht="14.25" customHeight="1" x14ac:dyDescent="0.3">
      <c r="B396" s="23"/>
      <c r="D396" s="25"/>
      <c r="E396" s="25"/>
      <c r="M396" s="12"/>
      <c r="N396" s="118"/>
      <c r="O396" s="118"/>
      <c r="P396" s="118"/>
      <c r="Q396" s="118"/>
    </row>
    <row r="397" spans="2:17" ht="14.25" customHeight="1" x14ac:dyDescent="0.3">
      <c r="B397" s="23"/>
      <c r="D397" s="25"/>
      <c r="E397" s="25"/>
      <c r="M397" s="12"/>
      <c r="N397" s="118"/>
      <c r="O397" s="118"/>
      <c r="P397" s="118"/>
      <c r="Q397" s="118"/>
    </row>
    <row r="398" spans="2:17" ht="14.25" customHeight="1" x14ac:dyDescent="0.3">
      <c r="B398" s="23"/>
      <c r="D398" s="25"/>
      <c r="E398" s="25"/>
      <c r="M398" s="12"/>
      <c r="N398" s="118"/>
      <c r="O398" s="118"/>
      <c r="P398" s="118"/>
      <c r="Q398" s="118"/>
    </row>
    <row r="399" spans="2:17" ht="14.25" customHeight="1" x14ac:dyDescent="0.3">
      <c r="B399" s="23"/>
      <c r="D399" s="25"/>
      <c r="E399" s="25"/>
      <c r="M399" s="12"/>
      <c r="N399" s="118"/>
      <c r="O399" s="118"/>
      <c r="P399" s="118"/>
      <c r="Q399" s="118"/>
    </row>
    <row r="400" spans="2:17" ht="14.25" customHeight="1" x14ac:dyDescent="0.3">
      <c r="B400" s="23"/>
      <c r="D400" s="25"/>
      <c r="E400" s="25"/>
      <c r="M400" s="12"/>
      <c r="N400" s="118"/>
      <c r="O400" s="118"/>
      <c r="P400" s="118"/>
      <c r="Q400" s="118"/>
    </row>
    <row r="401" spans="2:17" ht="14.25" customHeight="1" x14ac:dyDescent="0.3">
      <c r="B401" s="23"/>
      <c r="D401" s="25"/>
      <c r="E401" s="25"/>
      <c r="M401" s="12"/>
      <c r="N401" s="118"/>
      <c r="O401" s="118"/>
      <c r="P401" s="118"/>
      <c r="Q401" s="118"/>
    </row>
    <row r="402" spans="2:17" ht="14.25" customHeight="1" x14ac:dyDescent="0.3">
      <c r="B402" s="23"/>
      <c r="D402" s="25"/>
      <c r="E402" s="25"/>
      <c r="M402" s="12"/>
      <c r="N402" s="118"/>
      <c r="O402" s="118"/>
      <c r="P402" s="118"/>
      <c r="Q402" s="118"/>
    </row>
    <row r="403" spans="2:17" ht="14.25" customHeight="1" x14ac:dyDescent="0.3">
      <c r="B403" s="23"/>
      <c r="D403" s="25"/>
      <c r="E403" s="25"/>
      <c r="M403" s="12"/>
      <c r="N403" s="118"/>
      <c r="O403" s="118"/>
      <c r="P403" s="118"/>
      <c r="Q403" s="118"/>
    </row>
    <row r="404" spans="2:17" ht="14.25" customHeight="1" x14ac:dyDescent="0.3">
      <c r="B404" s="23"/>
      <c r="D404" s="25"/>
      <c r="E404" s="25"/>
      <c r="M404" s="12"/>
      <c r="N404" s="118"/>
      <c r="O404" s="118"/>
      <c r="P404" s="118"/>
      <c r="Q404" s="118"/>
    </row>
    <row r="405" spans="2:17" ht="14.25" customHeight="1" x14ac:dyDescent="0.3">
      <c r="B405" s="23"/>
      <c r="D405" s="25"/>
      <c r="E405" s="25"/>
      <c r="M405" s="12"/>
      <c r="N405" s="118"/>
      <c r="O405" s="118"/>
      <c r="P405" s="118"/>
      <c r="Q405" s="118"/>
    </row>
    <row r="406" spans="2:17" ht="14.25" customHeight="1" x14ac:dyDescent="0.3">
      <c r="B406" s="23"/>
      <c r="D406" s="25"/>
      <c r="E406" s="25"/>
      <c r="M406" s="12"/>
      <c r="N406" s="118"/>
      <c r="O406" s="118"/>
      <c r="P406" s="118"/>
      <c r="Q406" s="118"/>
    </row>
    <row r="407" spans="2:17" ht="14.25" customHeight="1" x14ac:dyDescent="0.3">
      <c r="B407" s="23"/>
      <c r="D407" s="25"/>
      <c r="E407" s="25"/>
      <c r="M407" s="12"/>
      <c r="N407" s="118"/>
      <c r="O407" s="118"/>
      <c r="P407" s="118"/>
      <c r="Q407" s="118"/>
    </row>
    <row r="408" spans="2:17" ht="14.25" customHeight="1" x14ac:dyDescent="0.3">
      <c r="B408" s="23"/>
      <c r="D408" s="25"/>
      <c r="E408" s="25"/>
      <c r="M408" s="12"/>
      <c r="N408" s="118"/>
      <c r="O408" s="118"/>
      <c r="P408" s="118"/>
      <c r="Q408" s="118"/>
    </row>
    <row r="409" spans="2:17" ht="14.25" customHeight="1" x14ac:dyDescent="0.3">
      <c r="B409" s="23"/>
      <c r="D409" s="25"/>
      <c r="E409" s="25"/>
      <c r="M409" s="12"/>
      <c r="N409" s="118"/>
      <c r="O409" s="118"/>
      <c r="P409" s="118"/>
      <c r="Q409" s="118"/>
    </row>
    <row r="410" spans="2:17" ht="14.25" customHeight="1" x14ac:dyDescent="0.3">
      <c r="B410" s="23"/>
      <c r="D410" s="25"/>
      <c r="E410" s="25"/>
      <c r="M410" s="12"/>
      <c r="N410" s="118"/>
      <c r="O410" s="118"/>
      <c r="P410" s="118"/>
      <c r="Q410" s="118"/>
    </row>
    <row r="411" spans="2:17" ht="14.25" customHeight="1" x14ac:dyDescent="0.3">
      <c r="B411" s="23"/>
      <c r="D411" s="25"/>
      <c r="E411" s="25"/>
      <c r="M411" s="12"/>
      <c r="N411" s="118"/>
      <c r="O411" s="118"/>
      <c r="P411" s="118"/>
      <c r="Q411" s="118"/>
    </row>
    <row r="412" spans="2:17" ht="14.25" customHeight="1" x14ac:dyDescent="0.3">
      <c r="B412" s="23"/>
      <c r="D412" s="25"/>
      <c r="E412" s="25"/>
      <c r="M412" s="12"/>
      <c r="N412" s="118"/>
      <c r="O412" s="118"/>
      <c r="P412" s="118"/>
      <c r="Q412" s="118"/>
    </row>
    <row r="413" spans="2:17" ht="14.25" customHeight="1" x14ac:dyDescent="0.3">
      <c r="B413" s="23"/>
      <c r="D413" s="25"/>
      <c r="E413" s="25"/>
      <c r="M413" s="12"/>
      <c r="N413" s="118"/>
      <c r="O413" s="118"/>
      <c r="P413" s="118"/>
      <c r="Q413" s="118"/>
    </row>
    <row r="414" spans="2:17" ht="14.25" customHeight="1" x14ac:dyDescent="0.3">
      <c r="B414" s="23"/>
      <c r="D414" s="25"/>
      <c r="E414" s="25"/>
      <c r="M414" s="12"/>
      <c r="N414" s="118"/>
      <c r="O414" s="118"/>
      <c r="P414" s="118"/>
      <c r="Q414" s="118"/>
    </row>
    <row r="415" spans="2:17" ht="14.25" customHeight="1" x14ac:dyDescent="0.3">
      <c r="B415" s="23"/>
      <c r="D415" s="25"/>
      <c r="E415" s="25"/>
      <c r="M415" s="12"/>
      <c r="N415" s="118"/>
      <c r="O415" s="118"/>
      <c r="P415" s="118"/>
      <c r="Q415" s="118"/>
    </row>
    <row r="416" spans="2:17" ht="14.25" customHeight="1" x14ac:dyDescent="0.3">
      <c r="B416" s="23"/>
      <c r="D416" s="25"/>
      <c r="E416" s="25"/>
      <c r="M416" s="12"/>
      <c r="N416" s="118"/>
      <c r="O416" s="118"/>
      <c r="P416" s="118"/>
      <c r="Q416" s="118"/>
    </row>
    <row r="417" spans="2:17" ht="14.25" customHeight="1" x14ac:dyDescent="0.3">
      <c r="B417" s="23"/>
      <c r="D417" s="25"/>
      <c r="E417" s="25"/>
      <c r="M417" s="12"/>
      <c r="N417" s="118"/>
      <c r="O417" s="118"/>
      <c r="P417" s="118"/>
      <c r="Q417" s="118"/>
    </row>
    <row r="418" spans="2:17" ht="14.25" customHeight="1" x14ac:dyDescent="0.3">
      <c r="B418" s="23"/>
      <c r="D418" s="25"/>
      <c r="E418" s="25"/>
      <c r="M418" s="12"/>
      <c r="N418" s="118"/>
      <c r="O418" s="118"/>
      <c r="P418" s="118"/>
      <c r="Q418" s="118"/>
    </row>
    <row r="419" spans="2:17" ht="14.25" customHeight="1" x14ac:dyDescent="0.3">
      <c r="B419" s="23"/>
      <c r="D419" s="25"/>
      <c r="E419" s="25"/>
      <c r="M419" s="12"/>
      <c r="N419" s="118"/>
      <c r="O419" s="118"/>
      <c r="P419" s="118"/>
      <c r="Q419" s="118"/>
    </row>
    <row r="420" spans="2:17" ht="14.25" customHeight="1" x14ac:dyDescent="0.3">
      <c r="B420" s="23"/>
      <c r="D420" s="25"/>
      <c r="E420" s="25"/>
      <c r="M420" s="12"/>
      <c r="N420" s="118"/>
      <c r="O420" s="118"/>
      <c r="P420" s="118"/>
      <c r="Q420" s="118"/>
    </row>
    <row r="421" spans="2:17" ht="14.25" customHeight="1" x14ac:dyDescent="0.3">
      <c r="B421" s="23"/>
      <c r="D421" s="25"/>
      <c r="E421" s="25"/>
      <c r="M421" s="12"/>
      <c r="N421" s="118"/>
      <c r="O421" s="118"/>
      <c r="P421" s="118"/>
      <c r="Q421" s="118"/>
    </row>
    <row r="422" spans="2:17" ht="14.25" customHeight="1" x14ac:dyDescent="0.3">
      <c r="B422" s="23"/>
      <c r="D422" s="25"/>
      <c r="E422" s="25"/>
      <c r="M422" s="12"/>
      <c r="N422" s="118"/>
      <c r="O422" s="118"/>
      <c r="P422" s="118"/>
      <c r="Q422" s="118"/>
    </row>
    <row r="423" spans="2:17" ht="14.25" customHeight="1" x14ac:dyDescent="0.3">
      <c r="B423" s="23"/>
      <c r="D423" s="25"/>
      <c r="E423" s="25"/>
      <c r="M423" s="12"/>
      <c r="N423" s="118"/>
      <c r="O423" s="118"/>
      <c r="P423" s="118"/>
      <c r="Q423" s="118"/>
    </row>
    <row r="424" spans="2:17" ht="14.25" customHeight="1" x14ac:dyDescent="0.3">
      <c r="B424" s="23"/>
      <c r="D424" s="25"/>
      <c r="E424" s="25"/>
      <c r="M424" s="12"/>
      <c r="N424" s="118"/>
      <c r="O424" s="118"/>
      <c r="P424" s="118"/>
      <c r="Q424" s="118"/>
    </row>
    <row r="425" spans="2:17" ht="14.25" customHeight="1" x14ac:dyDescent="0.3">
      <c r="B425" s="23"/>
      <c r="D425" s="25"/>
      <c r="E425" s="25"/>
      <c r="M425" s="12"/>
      <c r="N425" s="118"/>
      <c r="O425" s="118"/>
      <c r="P425" s="118"/>
      <c r="Q425" s="118"/>
    </row>
    <row r="426" spans="2:17" ht="14.25" customHeight="1" x14ac:dyDescent="0.3">
      <c r="B426" s="23"/>
      <c r="D426" s="25"/>
      <c r="E426" s="25"/>
      <c r="M426" s="12"/>
      <c r="N426" s="118"/>
      <c r="O426" s="118"/>
      <c r="P426" s="118"/>
      <c r="Q426" s="118"/>
    </row>
    <row r="427" spans="2:17" ht="14.25" customHeight="1" x14ac:dyDescent="0.3">
      <c r="B427" s="23"/>
      <c r="D427" s="25"/>
      <c r="E427" s="25"/>
      <c r="M427" s="12"/>
      <c r="N427" s="118"/>
      <c r="O427" s="118"/>
      <c r="P427" s="118"/>
      <c r="Q427" s="118"/>
    </row>
    <row r="428" spans="2:17" ht="14.25" customHeight="1" x14ac:dyDescent="0.3">
      <c r="B428" s="23"/>
      <c r="D428" s="25"/>
      <c r="E428" s="25"/>
      <c r="M428" s="12"/>
      <c r="N428" s="118"/>
      <c r="O428" s="118"/>
      <c r="P428" s="118"/>
      <c r="Q428" s="118"/>
    </row>
    <row r="429" spans="2:17" ht="14.25" customHeight="1" x14ac:dyDescent="0.3">
      <c r="B429" s="23"/>
      <c r="D429" s="25"/>
      <c r="E429" s="25"/>
      <c r="M429" s="12"/>
      <c r="N429" s="118"/>
      <c r="O429" s="118"/>
      <c r="P429" s="118"/>
      <c r="Q429" s="118"/>
    </row>
    <row r="430" spans="2:17" ht="14.25" customHeight="1" x14ac:dyDescent="0.3">
      <c r="B430" s="23"/>
      <c r="D430" s="25"/>
      <c r="E430" s="25"/>
      <c r="M430" s="12"/>
      <c r="N430" s="118"/>
      <c r="O430" s="118"/>
      <c r="P430" s="118"/>
      <c r="Q430" s="118"/>
    </row>
    <row r="431" spans="2:17" ht="14.25" customHeight="1" x14ac:dyDescent="0.3">
      <c r="B431" s="23"/>
      <c r="D431" s="25"/>
      <c r="E431" s="25"/>
      <c r="M431" s="12"/>
      <c r="N431" s="118"/>
      <c r="O431" s="118"/>
      <c r="P431" s="118"/>
      <c r="Q431" s="118"/>
    </row>
    <row r="432" spans="2:17" ht="14.25" customHeight="1" x14ac:dyDescent="0.3">
      <c r="B432" s="23"/>
      <c r="D432" s="25"/>
      <c r="E432" s="25"/>
      <c r="M432" s="12"/>
      <c r="N432" s="118"/>
      <c r="O432" s="118"/>
      <c r="P432" s="118"/>
      <c r="Q432" s="118"/>
    </row>
    <row r="433" spans="2:17" ht="14.25" customHeight="1" x14ac:dyDescent="0.3">
      <c r="B433" s="23"/>
      <c r="D433" s="25"/>
      <c r="E433" s="25"/>
      <c r="M433" s="12"/>
      <c r="N433" s="118"/>
      <c r="O433" s="118"/>
      <c r="P433" s="118"/>
      <c r="Q433" s="118"/>
    </row>
    <row r="434" spans="2:17" ht="14.25" customHeight="1" x14ac:dyDescent="0.3">
      <c r="B434" s="23"/>
      <c r="D434" s="25"/>
      <c r="E434" s="25"/>
      <c r="M434" s="12"/>
      <c r="N434" s="118"/>
      <c r="O434" s="118"/>
      <c r="P434" s="118"/>
      <c r="Q434" s="118"/>
    </row>
    <row r="435" spans="2:17" ht="14.25" customHeight="1" x14ac:dyDescent="0.3">
      <c r="B435" s="23"/>
      <c r="D435" s="25"/>
      <c r="E435" s="25"/>
      <c r="M435" s="12"/>
      <c r="N435" s="118"/>
      <c r="O435" s="118"/>
      <c r="P435" s="118"/>
      <c r="Q435" s="118"/>
    </row>
    <row r="436" spans="2:17" ht="14.25" customHeight="1" x14ac:dyDescent="0.3">
      <c r="B436" s="23"/>
      <c r="D436" s="25"/>
      <c r="E436" s="25"/>
      <c r="M436" s="12"/>
      <c r="N436" s="118"/>
      <c r="O436" s="118"/>
      <c r="P436" s="118"/>
      <c r="Q436" s="118"/>
    </row>
    <row r="437" spans="2:17" ht="14.25" customHeight="1" x14ac:dyDescent="0.3">
      <c r="B437" s="23"/>
      <c r="D437" s="25"/>
      <c r="E437" s="25"/>
      <c r="M437" s="12"/>
      <c r="N437" s="118"/>
      <c r="O437" s="118"/>
      <c r="P437" s="118"/>
      <c r="Q437" s="118"/>
    </row>
    <row r="438" spans="2:17" ht="14.25" customHeight="1" x14ac:dyDescent="0.3">
      <c r="B438" s="23"/>
      <c r="D438" s="25"/>
      <c r="E438" s="25"/>
      <c r="M438" s="12"/>
      <c r="N438" s="118"/>
      <c r="O438" s="118"/>
      <c r="P438" s="118"/>
      <c r="Q438" s="118"/>
    </row>
    <row r="439" spans="2:17" ht="14.25" customHeight="1" x14ac:dyDescent="0.3">
      <c r="B439" s="23"/>
      <c r="D439" s="25"/>
      <c r="E439" s="25"/>
      <c r="M439" s="12"/>
      <c r="N439" s="118"/>
      <c r="O439" s="118"/>
      <c r="P439" s="118"/>
      <c r="Q439" s="118"/>
    </row>
    <row r="440" spans="2:17" ht="14.25" customHeight="1" x14ac:dyDescent="0.3">
      <c r="B440" s="23"/>
      <c r="D440" s="25"/>
      <c r="E440" s="25"/>
      <c r="M440" s="12"/>
      <c r="N440" s="118"/>
      <c r="O440" s="118"/>
      <c r="P440" s="118"/>
      <c r="Q440" s="118"/>
    </row>
    <row r="441" spans="2:17" ht="14.25" customHeight="1" x14ac:dyDescent="0.3">
      <c r="B441" s="23"/>
      <c r="D441" s="25"/>
      <c r="E441" s="25"/>
      <c r="M441" s="12"/>
      <c r="N441" s="118"/>
      <c r="O441" s="118"/>
      <c r="P441" s="118"/>
      <c r="Q441" s="118"/>
    </row>
    <row r="442" spans="2:17" ht="14.25" customHeight="1" x14ac:dyDescent="0.3">
      <c r="B442" s="23"/>
      <c r="D442" s="25"/>
      <c r="E442" s="25"/>
      <c r="M442" s="12"/>
      <c r="N442" s="118"/>
      <c r="O442" s="118"/>
      <c r="P442" s="118"/>
      <c r="Q442" s="118"/>
    </row>
    <row r="443" spans="2:17" ht="14.25" customHeight="1" x14ac:dyDescent="0.3">
      <c r="B443" s="23"/>
      <c r="D443" s="25"/>
      <c r="E443" s="25"/>
      <c r="M443" s="12"/>
      <c r="N443" s="118"/>
      <c r="O443" s="118"/>
      <c r="P443" s="118"/>
      <c r="Q443" s="118"/>
    </row>
    <row r="444" spans="2:17" ht="14.25" customHeight="1" x14ac:dyDescent="0.3">
      <c r="B444" s="23"/>
      <c r="D444" s="25"/>
      <c r="E444" s="25"/>
      <c r="M444" s="12"/>
      <c r="N444" s="118"/>
      <c r="O444" s="118"/>
      <c r="P444" s="118"/>
      <c r="Q444" s="118"/>
    </row>
    <row r="445" spans="2:17" ht="14.25" customHeight="1" x14ac:dyDescent="0.3">
      <c r="B445" s="23"/>
      <c r="D445" s="25"/>
      <c r="E445" s="25"/>
      <c r="M445" s="12"/>
      <c r="N445" s="118"/>
      <c r="O445" s="118"/>
      <c r="P445" s="118"/>
      <c r="Q445" s="118"/>
    </row>
    <row r="446" spans="2:17" ht="14.25" customHeight="1" x14ac:dyDescent="0.3">
      <c r="B446" s="23"/>
      <c r="D446" s="25"/>
      <c r="E446" s="25"/>
      <c r="M446" s="12"/>
      <c r="N446" s="118"/>
      <c r="O446" s="118"/>
      <c r="P446" s="118"/>
      <c r="Q446" s="118"/>
    </row>
    <row r="447" spans="2:17" ht="14.25" customHeight="1" x14ac:dyDescent="0.3">
      <c r="B447" s="23"/>
      <c r="D447" s="25"/>
      <c r="E447" s="25"/>
      <c r="M447" s="12"/>
      <c r="N447" s="118"/>
      <c r="O447" s="118"/>
      <c r="P447" s="118"/>
      <c r="Q447" s="118"/>
    </row>
    <row r="448" spans="2:17" ht="14.25" customHeight="1" x14ac:dyDescent="0.3">
      <c r="B448" s="23"/>
      <c r="D448" s="25"/>
      <c r="E448" s="25"/>
      <c r="M448" s="12"/>
      <c r="N448" s="118"/>
      <c r="O448" s="118"/>
      <c r="P448" s="118"/>
      <c r="Q448" s="118"/>
    </row>
    <row r="449" spans="2:17" ht="14.25" customHeight="1" x14ac:dyDescent="0.3">
      <c r="B449" s="23"/>
      <c r="D449" s="25"/>
      <c r="E449" s="25"/>
      <c r="M449" s="12"/>
      <c r="N449" s="118"/>
      <c r="O449" s="118"/>
      <c r="P449" s="118"/>
      <c r="Q449" s="118"/>
    </row>
    <row r="450" spans="2:17" ht="14.25" customHeight="1" x14ac:dyDescent="0.3">
      <c r="B450" s="23"/>
      <c r="D450" s="25"/>
      <c r="E450" s="25"/>
      <c r="M450" s="12"/>
      <c r="N450" s="118"/>
      <c r="O450" s="118"/>
      <c r="P450" s="118"/>
      <c r="Q450" s="118"/>
    </row>
    <row r="451" spans="2:17" ht="14.25" customHeight="1" x14ac:dyDescent="0.3">
      <c r="B451" s="23"/>
      <c r="D451" s="25"/>
      <c r="E451" s="25"/>
      <c r="M451" s="12"/>
      <c r="N451" s="118"/>
      <c r="O451" s="118"/>
      <c r="P451" s="118"/>
      <c r="Q451" s="118"/>
    </row>
    <row r="452" spans="2:17" ht="14.25" customHeight="1" x14ac:dyDescent="0.3">
      <c r="B452" s="23"/>
      <c r="D452" s="25"/>
      <c r="E452" s="25"/>
      <c r="M452" s="12"/>
      <c r="N452" s="118"/>
      <c r="O452" s="118"/>
      <c r="P452" s="118"/>
      <c r="Q452" s="118"/>
    </row>
    <row r="453" spans="2:17" ht="14.25" customHeight="1" x14ac:dyDescent="0.3">
      <c r="B453" s="23"/>
      <c r="D453" s="25"/>
      <c r="E453" s="25"/>
      <c r="M453" s="12"/>
      <c r="N453" s="118"/>
      <c r="O453" s="118"/>
      <c r="P453" s="118"/>
      <c r="Q453" s="118"/>
    </row>
    <row r="454" spans="2:17" ht="14.25" customHeight="1" x14ac:dyDescent="0.3">
      <c r="B454" s="23"/>
      <c r="D454" s="25"/>
      <c r="E454" s="25"/>
      <c r="M454" s="12"/>
      <c r="N454" s="118"/>
      <c r="O454" s="118"/>
      <c r="P454" s="118"/>
      <c r="Q454" s="118"/>
    </row>
    <row r="455" spans="2:17" ht="14.25" customHeight="1" x14ac:dyDescent="0.3">
      <c r="B455" s="23"/>
      <c r="D455" s="25"/>
      <c r="E455" s="25"/>
      <c r="M455" s="12"/>
      <c r="N455" s="118"/>
      <c r="O455" s="118"/>
      <c r="P455" s="118"/>
      <c r="Q455" s="118"/>
    </row>
    <row r="456" spans="2:17" ht="14.25" customHeight="1" x14ac:dyDescent="0.3">
      <c r="B456" s="23"/>
      <c r="D456" s="25"/>
      <c r="E456" s="25"/>
      <c r="M456" s="12"/>
      <c r="N456" s="118"/>
      <c r="O456" s="118"/>
      <c r="P456" s="118"/>
      <c r="Q456" s="118"/>
    </row>
    <row r="457" spans="2:17" ht="14.25" customHeight="1" x14ac:dyDescent="0.3">
      <c r="B457" s="23"/>
      <c r="D457" s="25"/>
      <c r="E457" s="25"/>
      <c r="M457" s="12"/>
      <c r="N457" s="118"/>
      <c r="O457" s="118"/>
      <c r="P457" s="118"/>
      <c r="Q457" s="118"/>
    </row>
    <row r="458" spans="2:17" ht="14.25" customHeight="1" x14ac:dyDescent="0.3">
      <c r="B458" s="23"/>
      <c r="D458" s="25"/>
      <c r="E458" s="25"/>
      <c r="M458" s="12"/>
      <c r="N458" s="118"/>
      <c r="O458" s="118"/>
      <c r="P458" s="118"/>
      <c r="Q458" s="118"/>
    </row>
    <row r="459" spans="2:17" ht="14.25" customHeight="1" x14ac:dyDescent="0.3">
      <c r="B459" s="23"/>
      <c r="D459" s="25"/>
      <c r="E459" s="25"/>
      <c r="M459" s="12"/>
      <c r="N459" s="118"/>
      <c r="O459" s="118"/>
      <c r="P459" s="118"/>
      <c r="Q459" s="118"/>
    </row>
    <row r="460" spans="2:17" ht="14.25" customHeight="1" x14ac:dyDescent="0.3">
      <c r="B460" s="23"/>
      <c r="D460" s="25"/>
      <c r="E460" s="25"/>
      <c r="M460" s="12"/>
      <c r="N460" s="118"/>
      <c r="O460" s="118"/>
      <c r="P460" s="118"/>
      <c r="Q460" s="118"/>
    </row>
    <row r="461" spans="2:17" ht="14.25" customHeight="1" x14ac:dyDescent="0.3">
      <c r="B461" s="23"/>
      <c r="D461" s="25"/>
      <c r="E461" s="25"/>
      <c r="M461" s="12"/>
      <c r="N461" s="118"/>
      <c r="O461" s="118"/>
      <c r="P461" s="118"/>
      <c r="Q461" s="118"/>
    </row>
    <row r="462" spans="2:17" ht="14.25" customHeight="1" x14ac:dyDescent="0.3">
      <c r="B462" s="23"/>
      <c r="D462" s="25"/>
      <c r="E462" s="25"/>
      <c r="M462" s="12"/>
      <c r="N462" s="118"/>
      <c r="O462" s="118"/>
      <c r="P462" s="118"/>
      <c r="Q462" s="118"/>
    </row>
    <row r="463" spans="2:17" ht="14.25" customHeight="1" x14ac:dyDescent="0.3">
      <c r="B463" s="23"/>
      <c r="D463" s="25"/>
      <c r="E463" s="25"/>
      <c r="M463" s="12"/>
      <c r="N463" s="118"/>
      <c r="O463" s="118"/>
      <c r="P463" s="118"/>
      <c r="Q463" s="118"/>
    </row>
    <row r="464" spans="2:17" ht="14.25" customHeight="1" x14ac:dyDescent="0.3">
      <c r="B464" s="23"/>
      <c r="D464" s="25"/>
      <c r="E464" s="25"/>
      <c r="M464" s="12"/>
      <c r="N464" s="118"/>
      <c r="O464" s="118"/>
      <c r="P464" s="118"/>
      <c r="Q464" s="118"/>
    </row>
    <row r="465" spans="2:17" ht="14.25" customHeight="1" x14ac:dyDescent="0.3">
      <c r="B465" s="23"/>
      <c r="D465" s="25"/>
      <c r="E465" s="25"/>
      <c r="M465" s="12"/>
      <c r="N465" s="118"/>
      <c r="O465" s="118"/>
      <c r="P465" s="118"/>
      <c r="Q465" s="118"/>
    </row>
    <row r="466" spans="2:17" ht="14.25" customHeight="1" x14ac:dyDescent="0.3">
      <c r="B466" s="23"/>
      <c r="D466" s="25"/>
      <c r="E466" s="25"/>
      <c r="M466" s="12"/>
      <c r="N466" s="118"/>
      <c r="O466" s="118"/>
      <c r="P466" s="118"/>
      <c r="Q466" s="118"/>
    </row>
    <row r="467" spans="2:17" ht="14.25" customHeight="1" x14ac:dyDescent="0.3">
      <c r="B467" s="23"/>
      <c r="D467" s="25"/>
      <c r="E467" s="25"/>
      <c r="M467" s="12"/>
      <c r="N467" s="118"/>
      <c r="O467" s="118"/>
      <c r="P467" s="118"/>
      <c r="Q467" s="118"/>
    </row>
    <row r="468" spans="2:17" ht="14.25" customHeight="1" x14ac:dyDescent="0.3">
      <c r="B468" s="23"/>
      <c r="D468" s="25"/>
      <c r="E468" s="25"/>
      <c r="M468" s="12"/>
      <c r="N468" s="118"/>
      <c r="O468" s="118"/>
      <c r="P468" s="118"/>
      <c r="Q468" s="118"/>
    </row>
    <row r="469" spans="2:17" ht="14.25" customHeight="1" x14ac:dyDescent="0.3">
      <c r="B469" s="23"/>
      <c r="D469" s="25"/>
      <c r="E469" s="25"/>
      <c r="M469" s="12"/>
      <c r="N469" s="118"/>
      <c r="O469" s="118"/>
      <c r="P469" s="118"/>
      <c r="Q469" s="118"/>
    </row>
    <row r="470" spans="2:17" ht="14.25" customHeight="1" x14ac:dyDescent="0.3">
      <c r="B470" s="23"/>
      <c r="D470" s="25"/>
      <c r="E470" s="25"/>
      <c r="M470" s="12"/>
      <c r="N470" s="118"/>
      <c r="O470" s="118"/>
      <c r="P470" s="118"/>
      <c r="Q470" s="118"/>
    </row>
    <row r="471" spans="2:17" ht="14.25" customHeight="1" x14ac:dyDescent="0.3">
      <c r="B471" s="23"/>
      <c r="D471" s="25"/>
      <c r="E471" s="25"/>
      <c r="M471" s="12"/>
      <c r="N471" s="118"/>
      <c r="O471" s="118"/>
      <c r="P471" s="118"/>
      <c r="Q471" s="118"/>
    </row>
    <row r="472" spans="2:17" ht="14.25" customHeight="1" x14ac:dyDescent="0.3">
      <c r="B472" s="23"/>
      <c r="D472" s="25"/>
      <c r="E472" s="25"/>
      <c r="M472" s="12"/>
      <c r="N472" s="118"/>
      <c r="O472" s="118"/>
      <c r="P472" s="118"/>
      <c r="Q472" s="118"/>
    </row>
    <row r="473" spans="2:17" ht="14.25" customHeight="1" x14ac:dyDescent="0.3">
      <c r="B473" s="23"/>
      <c r="D473" s="25"/>
      <c r="E473" s="25"/>
      <c r="M473" s="12"/>
      <c r="N473" s="118"/>
      <c r="O473" s="118"/>
      <c r="P473" s="118"/>
      <c r="Q473" s="118"/>
    </row>
    <row r="474" spans="2:17" ht="14.25" customHeight="1" x14ac:dyDescent="0.3">
      <c r="B474" s="23"/>
      <c r="D474" s="25"/>
      <c r="E474" s="25"/>
      <c r="M474" s="12"/>
      <c r="N474" s="118"/>
      <c r="O474" s="118"/>
      <c r="P474" s="118"/>
      <c r="Q474" s="118"/>
    </row>
    <row r="475" spans="2:17" ht="14.25" customHeight="1" x14ac:dyDescent="0.3">
      <c r="B475" s="23"/>
      <c r="D475" s="25"/>
      <c r="E475" s="25"/>
      <c r="M475" s="12"/>
      <c r="N475" s="118"/>
      <c r="O475" s="118"/>
      <c r="P475" s="118"/>
      <c r="Q475" s="118"/>
    </row>
    <row r="476" spans="2:17" ht="14.25" customHeight="1" x14ac:dyDescent="0.3">
      <c r="B476" s="23"/>
      <c r="D476" s="25"/>
      <c r="E476" s="25"/>
      <c r="M476" s="12"/>
      <c r="N476" s="118"/>
      <c r="O476" s="118"/>
      <c r="P476" s="118"/>
      <c r="Q476" s="118"/>
    </row>
    <row r="477" spans="2:17" ht="14.25" customHeight="1" x14ac:dyDescent="0.3">
      <c r="B477" s="23"/>
      <c r="D477" s="25"/>
      <c r="E477" s="25"/>
      <c r="M477" s="12"/>
      <c r="N477" s="118"/>
      <c r="O477" s="118"/>
      <c r="P477" s="118"/>
      <c r="Q477" s="118"/>
    </row>
    <row r="478" spans="2:17" ht="14.25" customHeight="1" x14ac:dyDescent="0.3">
      <c r="B478" s="23"/>
      <c r="D478" s="25"/>
      <c r="E478" s="25"/>
      <c r="M478" s="12"/>
      <c r="N478" s="118"/>
      <c r="O478" s="118"/>
      <c r="P478" s="118"/>
      <c r="Q478" s="118"/>
    </row>
    <row r="479" spans="2:17" ht="14.25" customHeight="1" x14ac:dyDescent="0.3">
      <c r="B479" s="23"/>
      <c r="D479" s="25"/>
      <c r="E479" s="25"/>
      <c r="M479" s="12"/>
      <c r="N479" s="118"/>
      <c r="O479" s="118"/>
      <c r="P479" s="118"/>
      <c r="Q479" s="118"/>
    </row>
    <row r="480" spans="2:17" ht="14.25" customHeight="1" x14ac:dyDescent="0.3">
      <c r="B480" s="23"/>
      <c r="D480" s="25"/>
      <c r="E480" s="25"/>
      <c r="M480" s="12"/>
      <c r="N480" s="118"/>
      <c r="O480" s="118"/>
      <c r="P480" s="118"/>
      <c r="Q480" s="118"/>
    </row>
    <row r="481" spans="2:17" ht="14.25" customHeight="1" x14ac:dyDescent="0.3">
      <c r="B481" s="23"/>
      <c r="D481" s="25"/>
      <c r="E481" s="25"/>
      <c r="M481" s="12"/>
      <c r="N481" s="118"/>
      <c r="O481" s="118"/>
      <c r="P481" s="118"/>
      <c r="Q481" s="118"/>
    </row>
    <row r="482" spans="2:17" ht="14.25" customHeight="1" x14ac:dyDescent="0.3">
      <c r="B482" s="23"/>
      <c r="D482" s="25"/>
      <c r="E482" s="25"/>
      <c r="M482" s="12"/>
      <c r="N482" s="118"/>
      <c r="O482" s="118"/>
      <c r="P482" s="118"/>
      <c r="Q482" s="118"/>
    </row>
    <row r="483" spans="2:17" ht="14.25" customHeight="1" x14ac:dyDescent="0.3">
      <c r="B483" s="23"/>
      <c r="D483" s="25"/>
      <c r="E483" s="25"/>
      <c r="M483" s="12"/>
      <c r="N483" s="118"/>
      <c r="O483" s="118"/>
      <c r="P483" s="118"/>
      <c r="Q483" s="118"/>
    </row>
    <row r="484" spans="2:17" ht="14.25" customHeight="1" x14ac:dyDescent="0.3">
      <c r="B484" s="23"/>
      <c r="D484" s="25"/>
      <c r="E484" s="25"/>
      <c r="M484" s="12"/>
      <c r="N484" s="118"/>
      <c r="O484" s="118"/>
      <c r="P484" s="118"/>
      <c r="Q484" s="118"/>
    </row>
    <row r="485" spans="2:17" ht="14.25" customHeight="1" x14ac:dyDescent="0.3">
      <c r="B485" s="23"/>
      <c r="D485" s="25"/>
      <c r="E485" s="25"/>
      <c r="M485" s="12"/>
      <c r="N485" s="118"/>
      <c r="O485" s="118"/>
      <c r="P485" s="118"/>
      <c r="Q485" s="118"/>
    </row>
    <row r="486" spans="2:17" ht="14.25" customHeight="1" x14ac:dyDescent="0.3">
      <c r="B486" s="23"/>
      <c r="D486" s="25"/>
      <c r="E486" s="25"/>
      <c r="M486" s="12"/>
      <c r="N486" s="118"/>
      <c r="O486" s="118"/>
      <c r="P486" s="118"/>
      <c r="Q486" s="118"/>
    </row>
    <row r="487" spans="2:17" ht="14.25" customHeight="1" x14ac:dyDescent="0.3">
      <c r="B487" s="23"/>
      <c r="D487" s="25"/>
      <c r="E487" s="25"/>
      <c r="M487" s="12"/>
      <c r="N487" s="118"/>
      <c r="O487" s="118"/>
      <c r="P487" s="118"/>
      <c r="Q487" s="118"/>
    </row>
    <row r="488" spans="2:17" ht="14.25" customHeight="1" x14ac:dyDescent="0.3">
      <c r="B488" s="23"/>
      <c r="D488" s="25"/>
      <c r="E488" s="25"/>
      <c r="M488" s="12"/>
      <c r="N488" s="118"/>
      <c r="O488" s="118"/>
      <c r="P488" s="118"/>
      <c r="Q488" s="118"/>
    </row>
    <row r="489" spans="2:17" ht="14.25" customHeight="1" x14ac:dyDescent="0.3">
      <c r="B489" s="23"/>
      <c r="D489" s="25"/>
      <c r="E489" s="25"/>
      <c r="M489" s="12"/>
      <c r="N489" s="118"/>
      <c r="O489" s="118"/>
      <c r="P489" s="118"/>
      <c r="Q489" s="118"/>
    </row>
    <row r="490" spans="2:17" ht="14.25" customHeight="1" x14ac:dyDescent="0.3">
      <c r="B490" s="23"/>
      <c r="D490" s="25"/>
      <c r="E490" s="25"/>
      <c r="M490" s="12"/>
      <c r="N490" s="118"/>
      <c r="O490" s="118"/>
      <c r="P490" s="118"/>
      <c r="Q490" s="118"/>
    </row>
    <row r="491" spans="2:17" ht="14.25" customHeight="1" x14ac:dyDescent="0.3">
      <c r="B491" s="23"/>
      <c r="D491" s="25"/>
      <c r="E491" s="25"/>
      <c r="M491" s="12"/>
      <c r="N491" s="118"/>
      <c r="O491" s="118"/>
      <c r="P491" s="118"/>
      <c r="Q491" s="118"/>
    </row>
    <row r="492" spans="2:17" ht="14.25" customHeight="1" x14ac:dyDescent="0.3">
      <c r="B492" s="23"/>
      <c r="D492" s="25"/>
      <c r="E492" s="25"/>
      <c r="M492" s="12"/>
      <c r="N492" s="118"/>
      <c r="O492" s="118"/>
      <c r="P492" s="118"/>
      <c r="Q492" s="118"/>
    </row>
    <row r="493" spans="2:17" ht="14.25" customHeight="1" x14ac:dyDescent="0.3">
      <c r="B493" s="23"/>
      <c r="D493" s="25"/>
      <c r="E493" s="25"/>
      <c r="M493" s="12"/>
      <c r="N493" s="118"/>
      <c r="O493" s="118"/>
      <c r="P493" s="118"/>
      <c r="Q493" s="118"/>
    </row>
    <row r="494" spans="2:17" ht="14.25" customHeight="1" x14ac:dyDescent="0.3">
      <c r="B494" s="23"/>
      <c r="D494" s="25"/>
      <c r="E494" s="25"/>
      <c r="M494" s="12"/>
      <c r="N494" s="118"/>
      <c r="O494" s="118"/>
      <c r="P494" s="118"/>
      <c r="Q494" s="118"/>
    </row>
    <row r="495" spans="2:17" ht="14.25" customHeight="1" x14ac:dyDescent="0.3">
      <c r="B495" s="23"/>
      <c r="D495" s="25"/>
      <c r="E495" s="25"/>
      <c r="M495" s="12"/>
      <c r="N495" s="118"/>
      <c r="O495" s="118"/>
      <c r="P495" s="118"/>
      <c r="Q495" s="118"/>
    </row>
    <row r="496" spans="2:17" ht="14.25" customHeight="1" x14ac:dyDescent="0.3">
      <c r="B496" s="23"/>
      <c r="D496" s="25"/>
      <c r="E496" s="25"/>
      <c r="M496" s="12"/>
      <c r="N496" s="118"/>
      <c r="O496" s="118"/>
      <c r="P496" s="118"/>
      <c r="Q496" s="118"/>
    </row>
    <row r="497" spans="2:17" ht="14.25" customHeight="1" x14ac:dyDescent="0.3">
      <c r="B497" s="23"/>
      <c r="D497" s="25"/>
      <c r="E497" s="25"/>
      <c r="M497" s="12"/>
      <c r="N497" s="118"/>
      <c r="O497" s="118"/>
      <c r="P497" s="118"/>
      <c r="Q497" s="118"/>
    </row>
    <row r="498" spans="2:17" ht="14.25" customHeight="1" x14ac:dyDescent="0.3">
      <c r="B498" s="23"/>
      <c r="D498" s="25"/>
      <c r="E498" s="25"/>
      <c r="M498" s="12"/>
      <c r="N498" s="118"/>
      <c r="O498" s="118"/>
      <c r="P498" s="118"/>
      <c r="Q498" s="118"/>
    </row>
    <row r="499" spans="2:17" ht="14.25" customHeight="1" x14ac:dyDescent="0.3">
      <c r="B499" s="23"/>
      <c r="D499" s="25"/>
      <c r="E499" s="25"/>
      <c r="M499" s="12"/>
      <c r="N499" s="118"/>
      <c r="O499" s="118"/>
      <c r="P499" s="118"/>
      <c r="Q499" s="118"/>
    </row>
    <row r="500" spans="2:17" ht="14.25" customHeight="1" x14ac:dyDescent="0.3">
      <c r="B500" s="23"/>
      <c r="D500" s="25"/>
      <c r="E500" s="25"/>
      <c r="M500" s="12"/>
      <c r="N500" s="118"/>
      <c r="O500" s="118"/>
      <c r="P500" s="118"/>
      <c r="Q500" s="118"/>
    </row>
    <row r="501" spans="2:17" ht="14.25" customHeight="1" x14ac:dyDescent="0.3">
      <c r="B501" s="23"/>
      <c r="D501" s="25"/>
      <c r="E501" s="25"/>
      <c r="M501" s="12"/>
      <c r="N501" s="118"/>
      <c r="O501" s="118"/>
      <c r="P501" s="118"/>
      <c r="Q501" s="118"/>
    </row>
    <row r="502" spans="2:17" ht="14.25" customHeight="1" x14ac:dyDescent="0.3">
      <c r="B502" s="23"/>
      <c r="D502" s="25"/>
      <c r="E502" s="25"/>
      <c r="M502" s="12"/>
      <c r="N502" s="118"/>
      <c r="O502" s="118"/>
      <c r="P502" s="118"/>
      <c r="Q502" s="118"/>
    </row>
    <row r="503" spans="2:17" ht="14.25" customHeight="1" x14ac:dyDescent="0.3">
      <c r="B503" s="23"/>
      <c r="D503" s="25"/>
      <c r="E503" s="25"/>
      <c r="M503" s="12"/>
      <c r="N503" s="118"/>
      <c r="O503" s="118"/>
      <c r="P503" s="118"/>
      <c r="Q503" s="118"/>
    </row>
    <row r="504" spans="2:17" ht="14.25" customHeight="1" x14ac:dyDescent="0.3">
      <c r="B504" s="23"/>
      <c r="D504" s="25"/>
      <c r="E504" s="25"/>
      <c r="M504" s="12"/>
      <c r="N504" s="118"/>
      <c r="O504" s="118"/>
      <c r="P504" s="118"/>
      <c r="Q504" s="118"/>
    </row>
    <row r="505" spans="2:17" ht="14.25" customHeight="1" x14ac:dyDescent="0.3">
      <c r="B505" s="23"/>
      <c r="D505" s="25"/>
      <c r="E505" s="25"/>
      <c r="M505" s="12"/>
      <c r="N505" s="118"/>
      <c r="O505" s="118"/>
      <c r="P505" s="118"/>
      <c r="Q505" s="118"/>
    </row>
    <row r="506" spans="2:17" ht="14.25" customHeight="1" x14ac:dyDescent="0.3">
      <c r="B506" s="23"/>
      <c r="D506" s="25"/>
      <c r="E506" s="25"/>
      <c r="M506" s="12"/>
      <c r="N506" s="118"/>
      <c r="O506" s="118"/>
      <c r="P506" s="118"/>
      <c r="Q506" s="118"/>
    </row>
    <row r="507" spans="2:17" ht="14.25" customHeight="1" x14ac:dyDescent="0.3">
      <c r="B507" s="23"/>
      <c r="D507" s="25"/>
      <c r="E507" s="25"/>
      <c r="M507" s="12"/>
      <c r="N507" s="118"/>
      <c r="O507" s="118"/>
      <c r="P507" s="118"/>
      <c r="Q507" s="118"/>
    </row>
    <row r="508" spans="2:17" ht="14.25" customHeight="1" x14ac:dyDescent="0.3">
      <c r="B508" s="23"/>
      <c r="D508" s="25"/>
      <c r="E508" s="25"/>
      <c r="M508" s="12"/>
      <c r="N508" s="118"/>
      <c r="O508" s="118"/>
      <c r="P508" s="118"/>
      <c r="Q508" s="118"/>
    </row>
    <row r="509" spans="2:17" ht="14.25" customHeight="1" x14ac:dyDescent="0.3">
      <c r="B509" s="23"/>
      <c r="D509" s="25"/>
      <c r="E509" s="25"/>
      <c r="M509" s="12"/>
      <c r="N509" s="118"/>
      <c r="O509" s="118"/>
      <c r="P509" s="118"/>
      <c r="Q509" s="118"/>
    </row>
    <row r="510" spans="2:17" ht="14.25" customHeight="1" x14ac:dyDescent="0.3">
      <c r="B510" s="23"/>
      <c r="D510" s="25"/>
      <c r="E510" s="25"/>
      <c r="M510" s="12"/>
      <c r="N510" s="118"/>
      <c r="O510" s="118"/>
      <c r="P510" s="118"/>
      <c r="Q510" s="118"/>
    </row>
    <row r="511" spans="2:17" ht="14.25" customHeight="1" x14ac:dyDescent="0.3">
      <c r="B511" s="23"/>
      <c r="D511" s="25"/>
      <c r="E511" s="25"/>
      <c r="M511" s="12"/>
      <c r="N511" s="118"/>
      <c r="O511" s="118"/>
      <c r="P511" s="118"/>
      <c r="Q511" s="118"/>
    </row>
    <row r="512" spans="2:17" ht="14.25" customHeight="1" x14ac:dyDescent="0.3">
      <c r="B512" s="23"/>
      <c r="D512" s="25"/>
      <c r="E512" s="25"/>
      <c r="M512" s="12"/>
      <c r="N512" s="118"/>
      <c r="O512" s="118"/>
      <c r="P512" s="118"/>
      <c r="Q512" s="118"/>
    </row>
    <row r="513" spans="2:17" ht="14.25" customHeight="1" x14ac:dyDescent="0.3">
      <c r="B513" s="23"/>
      <c r="D513" s="25"/>
      <c r="E513" s="25"/>
      <c r="M513" s="12"/>
      <c r="N513" s="118"/>
      <c r="O513" s="118"/>
      <c r="P513" s="118"/>
      <c r="Q513" s="118"/>
    </row>
    <row r="514" spans="2:17" ht="14.25" customHeight="1" x14ac:dyDescent="0.3">
      <c r="B514" s="23"/>
      <c r="D514" s="25"/>
      <c r="E514" s="25"/>
      <c r="M514" s="12"/>
      <c r="N514" s="118"/>
      <c r="O514" s="118"/>
      <c r="P514" s="118"/>
      <c r="Q514" s="118"/>
    </row>
    <row r="515" spans="2:17" ht="14.25" customHeight="1" x14ac:dyDescent="0.3">
      <c r="B515" s="23"/>
      <c r="D515" s="25"/>
      <c r="E515" s="25"/>
      <c r="M515" s="12"/>
      <c r="N515" s="118"/>
      <c r="O515" s="118"/>
      <c r="P515" s="118"/>
      <c r="Q515" s="118"/>
    </row>
    <row r="516" spans="2:17" ht="14.25" customHeight="1" x14ac:dyDescent="0.3">
      <c r="B516" s="23"/>
      <c r="D516" s="25"/>
      <c r="E516" s="25"/>
      <c r="M516" s="12"/>
      <c r="N516" s="118"/>
      <c r="O516" s="118"/>
      <c r="P516" s="118"/>
      <c r="Q516" s="118"/>
    </row>
    <row r="517" spans="2:17" ht="14.25" customHeight="1" x14ac:dyDescent="0.3">
      <c r="B517" s="23"/>
      <c r="D517" s="25"/>
      <c r="E517" s="25"/>
      <c r="M517" s="12"/>
      <c r="N517" s="118"/>
      <c r="O517" s="118"/>
      <c r="P517" s="118"/>
      <c r="Q517" s="118"/>
    </row>
    <row r="518" spans="2:17" ht="14.25" customHeight="1" x14ac:dyDescent="0.3">
      <c r="B518" s="23"/>
      <c r="D518" s="25"/>
      <c r="E518" s="25"/>
      <c r="M518" s="12"/>
      <c r="N518" s="118"/>
      <c r="O518" s="118"/>
      <c r="P518" s="118"/>
      <c r="Q518" s="118"/>
    </row>
    <row r="519" spans="2:17" ht="14.25" customHeight="1" x14ac:dyDescent="0.3">
      <c r="B519" s="23"/>
      <c r="D519" s="25"/>
      <c r="E519" s="25"/>
      <c r="M519" s="12"/>
      <c r="N519" s="118"/>
      <c r="O519" s="118"/>
      <c r="P519" s="118"/>
      <c r="Q519" s="118"/>
    </row>
    <row r="520" spans="2:17" ht="14.25" customHeight="1" x14ac:dyDescent="0.3">
      <c r="B520" s="23"/>
      <c r="D520" s="25"/>
      <c r="E520" s="25"/>
      <c r="M520" s="12"/>
      <c r="N520" s="118"/>
      <c r="O520" s="118"/>
      <c r="P520" s="118"/>
      <c r="Q520" s="118"/>
    </row>
    <row r="521" spans="2:17" ht="14.25" customHeight="1" x14ac:dyDescent="0.3">
      <c r="B521" s="23"/>
      <c r="D521" s="25"/>
      <c r="E521" s="25"/>
      <c r="M521" s="12"/>
      <c r="N521" s="118"/>
      <c r="O521" s="118"/>
      <c r="P521" s="118"/>
      <c r="Q521" s="118"/>
    </row>
    <row r="522" spans="2:17" ht="14.25" customHeight="1" x14ac:dyDescent="0.3">
      <c r="B522" s="23"/>
      <c r="D522" s="25"/>
      <c r="E522" s="25"/>
      <c r="M522" s="12"/>
      <c r="N522" s="118"/>
      <c r="O522" s="118"/>
      <c r="P522" s="118"/>
      <c r="Q522" s="118"/>
    </row>
    <row r="523" spans="2:17" ht="14.25" customHeight="1" x14ac:dyDescent="0.3">
      <c r="B523" s="23"/>
      <c r="D523" s="25"/>
      <c r="E523" s="25"/>
      <c r="M523" s="12"/>
      <c r="N523" s="118"/>
      <c r="O523" s="118"/>
      <c r="P523" s="118"/>
      <c r="Q523" s="118"/>
    </row>
    <row r="524" spans="2:17" ht="14.25" customHeight="1" x14ac:dyDescent="0.3">
      <c r="B524" s="23"/>
      <c r="D524" s="25"/>
      <c r="E524" s="25"/>
      <c r="M524" s="12"/>
      <c r="N524" s="118"/>
      <c r="O524" s="118"/>
      <c r="P524" s="118"/>
      <c r="Q524" s="118"/>
    </row>
    <row r="525" spans="2:17" ht="14.25" customHeight="1" x14ac:dyDescent="0.3">
      <c r="B525" s="23"/>
      <c r="D525" s="25"/>
      <c r="E525" s="25"/>
      <c r="M525" s="12"/>
      <c r="N525" s="118"/>
      <c r="O525" s="118"/>
      <c r="P525" s="118"/>
      <c r="Q525" s="118"/>
    </row>
    <row r="526" spans="2:17" ht="14.25" customHeight="1" x14ac:dyDescent="0.3">
      <c r="B526" s="23"/>
      <c r="D526" s="25"/>
      <c r="E526" s="25"/>
      <c r="M526" s="12"/>
      <c r="N526" s="118"/>
      <c r="O526" s="118"/>
      <c r="P526" s="118"/>
      <c r="Q526" s="118"/>
    </row>
    <row r="527" spans="2:17" ht="14.25" customHeight="1" x14ac:dyDescent="0.3">
      <c r="B527" s="23"/>
      <c r="D527" s="25"/>
      <c r="E527" s="25"/>
      <c r="M527" s="12"/>
      <c r="N527" s="118"/>
      <c r="O527" s="118"/>
      <c r="P527" s="118"/>
      <c r="Q527" s="118"/>
    </row>
    <row r="528" spans="2:17" ht="14.25" customHeight="1" x14ac:dyDescent="0.3">
      <c r="B528" s="23"/>
      <c r="D528" s="25"/>
      <c r="E528" s="25"/>
      <c r="M528" s="12"/>
      <c r="N528" s="118"/>
      <c r="O528" s="118"/>
      <c r="P528" s="118"/>
      <c r="Q528" s="118"/>
    </row>
    <row r="529" spans="2:17" ht="14.25" customHeight="1" x14ac:dyDescent="0.3">
      <c r="B529" s="23"/>
      <c r="D529" s="25"/>
      <c r="E529" s="25"/>
      <c r="M529" s="12"/>
      <c r="N529" s="118"/>
      <c r="O529" s="118"/>
      <c r="P529" s="118"/>
      <c r="Q529" s="118"/>
    </row>
    <row r="530" spans="2:17" ht="14.25" customHeight="1" x14ac:dyDescent="0.3">
      <c r="B530" s="23"/>
      <c r="D530" s="25"/>
      <c r="E530" s="25"/>
      <c r="M530" s="12"/>
      <c r="N530" s="118"/>
      <c r="O530" s="118"/>
      <c r="P530" s="118"/>
      <c r="Q530" s="118"/>
    </row>
    <row r="531" spans="2:17" ht="14.25" customHeight="1" x14ac:dyDescent="0.3">
      <c r="B531" s="23"/>
      <c r="D531" s="25"/>
      <c r="E531" s="25"/>
      <c r="M531" s="12"/>
      <c r="N531" s="118"/>
      <c r="O531" s="118"/>
      <c r="P531" s="118"/>
      <c r="Q531" s="118"/>
    </row>
    <row r="532" spans="2:17" ht="14.25" customHeight="1" x14ac:dyDescent="0.3">
      <c r="B532" s="23"/>
      <c r="D532" s="25"/>
      <c r="E532" s="25"/>
      <c r="M532" s="12"/>
      <c r="N532" s="118"/>
      <c r="O532" s="118"/>
      <c r="P532" s="118"/>
      <c r="Q532" s="118"/>
    </row>
    <row r="533" spans="2:17" ht="14.25" customHeight="1" x14ac:dyDescent="0.3">
      <c r="B533" s="23"/>
      <c r="D533" s="25"/>
      <c r="E533" s="25"/>
      <c r="M533" s="12"/>
      <c r="N533" s="118"/>
      <c r="O533" s="118"/>
      <c r="P533" s="118"/>
      <c r="Q533" s="118"/>
    </row>
    <row r="534" spans="2:17" ht="14.25" customHeight="1" x14ac:dyDescent="0.3">
      <c r="B534" s="23"/>
      <c r="D534" s="25"/>
      <c r="E534" s="25"/>
      <c r="M534" s="12"/>
      <c r="N534" s="118"/>
      <c r="O534" s="118"/>
      <c r="P534" s="118"/>
      <c r="Q534" s="118"/>
    </row>
    <row r="535" spans="2:17" ht="14.25" customHeight="1" x14ac:dyDescent="0.3">
      <c r="B535" s="23"/>
      <c r="D535" s="25"/>
      <c r="E535" s="25"/>
      <c r="M535" s="12"/>
      <c r="N535" s="118"/>
      <c r="O535" s="118"/>
      <c r="P535" s="118"/>
      <c r="Q535" s="118"/>
    </row>
    <row r="536" spans="2:17" ht="14.25" customHeight="1" x14ac:dyDescent="0.3">
      <c r="B536" s="23"/>
      <c r="D536" s="25"/>
      <c r="E536" s="25"/>
      <c r="M536" s="12"/>
      <c r="N536" s="118"/>
      <c r="O536" s="118"/>
      <c r="P536" s="118"/>
      <c r="Q536" s="118"/>
    </row>
    <row r="537" spans="2:17" ht="14.25" customHeight="1" x14ac:dyDescent="0.3">
      <c r="B537" s="23"/>
      <c r="D537" s="25"/>
      <c r="E537" s="25"/>
      <c r="M537" s="12"/>
      <c r="N537" s="118"/>
      <c r="O537" s="118"/>
      <c r="P537" s="118"/>
      <c r="Q537" s="118"/>
    </row>
    <row r="538" spans="2:17" ht="14.25" customHeight="1" x14ac:dyDescent="0.3">
      <c r="B538" s="23"/>
      <c r="D538" s="25"/>
      <c r="E538" s="25"/>
      <c r="M538" s="12"/>
      <c r="N538" s="118"/>
      <c r="O538" s="118"/>
      <c r="P538" s="118"/>
      <c r="Q538" s="118"/>
    </row>
    <row r="539" spans="2:17" ht="14.25" customHeight="1" x14ac:dyDescent="0.3">
      <c r="B539" s="23"/>
      <c r="D539" s="25"/>
      <c r="E539" s="25"/>
      <c r="M539" s="12"/>
      <c r="N539" s="118"/>
      <c r="O539" s="118"/>
      <c r="P539" s="118"/>
      <c r="Q539" s="118"/>
    </row>
    <row r="540" spans="2:17" ht="14.25" customHeight="1" x14ac:dyDescent="0.3">
      <c r="B540" s="23"/>
      <c r="D540" s="25"/>
      <c r="E540" s="25"/>
      <c r="M540" s="12"/>
      <c r="N540" s="118"/>
      <c r="O540" s="118"/>
      <c r="P540" s="118"/>
      <c r="Q540" s="118"/>
    </row>
    <row r="541" spans="2:17" ht="14.25" customHeight="1" x14ac:dyDescent="0.3">
      <c r="B541" s="23"/>
      <c r="D541" s="25"/>
      <c r="E541" s="25"/>
      <c r="M541" s="12"/>
      <c r="N541" s="118"/>
      <c r="O541" s="118"/>
      <c r="P541" s="118"/>
      <c r="Q541" s="118"/>
    </row>
    <row r="542" spans="2:17" ht="14.25" customHeight="1" x14ac:dyDescent="0.3">
      <c r="B542" s="23"/>
      <c r="D542" s="25"/>
      <c r="E542" s="25"/>
      <c r="M542" s="12"/>
      <c r="N542" s="118"/>
      <c r="O542" s="118"/>
      <c r="P542" s="118"/>
      <c r="Q542" s="118"/>
    </row>
    <row r="543" spans="2:17" ht="14.25" customHeight="1" x14ac:dyDescent="0.3">
      <c r="B543" s="23"/>
      <c r="D543" s="25"/>
      <c r="E543" s="25"/>
      <c r="M543" s="12"/>
      <c r="N543" s="118"/>
      <c r="O543" s="118"/>
      <c r="P543" s="118"/>
      <c r="Q543" s="118"/>
    </row>
    <row r="544" spans="2:17" ht="14.25" customHeight="1" x14ac:dyDescent="0.3">
      <c r="B544" s="23"/>
      <c r="D544" s="25"/>
      <c r="E544" s="25"/>
      <c r="M544" s="12"/>
      <c r="N544" s="118"/>
      <c r="O544" s="118"/>
      <c r="P544" s="118"/>
      <c r="Q544" s="118"/>
    </row>
    <row r="545" spans="2:17" ht="14.25" customHeight="1" x14ac:dyDescent="0.3">
      <c r="B545" s="23"/>
      <c r="D545" s="25"/>
      <c r="E545" s="25"/>
      <c r="M545" s="12"/>
      <c r="N545" s="118"/>
      <c r="O545" s="118"/>
      <c r="P545" s="118"/>
      <c r="Q545" s="118"/>
    </row>
    <row r="546" spans="2:17" ht="14.25" customHeight="1" x14ac:dyDescent="0.3">
      <c r="B546" s="23"/>
      <c r="D546" s="25"/>
      <c r="E546" s="25"/>
      <c r="M546" s="12"/>
      <c r="N546" s="118"/>
      <c r="O546" s="118"/>
      <c r="P546" s="118"/>
      <c r="Q546" s="118"/>
    </row>
    <row r="547" spans="2:17" ht="14.25" customHeight="1" x14ac:dyDescent="0.3">
      <c r="B547" s="23"/>
      <c r="D547" s="25"/>
      <c r="E547" s="25"/>
      <c r="M547" s="12"/>
      <c r="N547" s="118"/>
      <c r="O547" s="118"/>
      <c r="P547" s="118"/>
      <c r="Q547" s="118"/>
    </row>
    <row r="548" spans="2:17" ht="14.25" customHeight="1" x14ac:dyDescent="0.3">
      <c r="B548" s="23"/>
      <c r="D548" s="25"/>
      <c r="E548" s="25"/>
      <c r="M548" s="12"/>
      <c r="N548" s="118"/>
      <c r="O548" s="118"/>
      <c r="P548" s="118"/>
      <c r="Q548" s="118"/>
    </row>
    <row r="549" spans="2:17" ht="14.25" customHeight="1" x14ac:dyDescent="0.3">
      <c r="B549" s="23"/>
      <c r="D549" s="25"/>
      <c r="E549" s="25"/>
      <c r="M549" s="12"/>
      <c r="N549" s="118"/>
      <c r="O549" s="118"/>
      <c r="P549" s="118"/>
      <c r="Q549" s="118"/>
    </row>
    <row r="550" spans="2:17" ht="14.25" customHeight="1" x14ac:dyDescent="0.3">
      <c r="B550" s="23"/>
      <c r="D550" s="25"/>
      <c r="E550" s="25"/>
      <c r="M550" s="12"/>
      <c r="N550" s="118"/>
      <c r="O550" s="118"/>
      <c r="P550" s="118"/>
      <c r="Q550" s="118"/>
    </row>
    <row r="551" spans="2:17" ht="14.25" customHeight="1" x14ac:dyDescent="0.3">
      <c r="B551" s="23"/>
      <c r="D551" s="25"/>
      <c r="E551" s="25"/>
      <c r="M551" s="12"/>
      <c r="N551" s="118"/>
      <c r="O551" s="118"/>
      <c r="P551" s="118"/>
      <c r="Q551" s="118"/>
    </row>
    <row r="552" spans="2:17" ht="14.25" customHeight="1" x14ac:dyDescent="0.3">
      <c r="B552" s="23"/>
      <c r="D552" s="25"/>
      <c r="E552" s="25"/>
      <c r="M552" s="12"/>
      <c r="N552" s="118"/>
      <c r="O552" s="118"/>
      <c r="P552" s="118"/>
      <c r="Q552" s="118"/>
    </row>
    <row r="553" spans="2:17" ht="14.25" customHeight="1" x14ac:dyDescent="0.3">
      <c r="B553" s="23"/>
      <c r="D553" s="25"/>
      <c r="E553" s="25"/>
      <c r="M553" s="12"/>
      <c r="N553" s="118"/>
      <c r="O553" s="118"/>
      <c r="P553" s="118"/>
      <c r="Q553" s="118"/>
    </row>
    <row r="554" spans="2:17" ht="14.25" customHeight="1" x14ac:dyDescent="0.3">
      <c r="B554" s="23"/>
      <c r="D554" s="25"/>
      <c r="E554" s="25"/>
      <c r="M554" s="12"/>
      <c r="N554" s="118"/>
      <c r="O554" s="118"/>
      <c r="P554" s="118"/>
      <c r="Q554" s="118"/>
    </row>
    <row r="555" spans="2:17" ht="14.25" customHeight="1" x14ac:dyDescent="0.3">
      <c r="B555" s="23"/>
      <c r="D555" s="25"/>
      <c r="E555" s="25"/>
      <c r="M555" s="12"/>
      <c r="N555" s="118"/>
      <c r="O555" s="118"/>
      <c r="P555" s="118"/>
      <c r="Q555" s="118"/>
    </row>
    <row r="556" spans="2:17" ht="14.25" customHeight="1" x14ac:dyDescent="0.3">
      <c r="B556" s="23"/>
      <c r="D556" s="25"/>
      <c r="E556" s="25"/>
      <c r="M556" s="12"/>
      <c r="N556" s="118"/>
      <c r="O556" s="118"/>
      <c r="P556" s="118"/>
      <c r="Q556" s="118"/>
    </row>
    <row r="557" spans="2:17" ht="14.25" customHeight="1" x14ac:dyDescent="0.3">
      <c r="B557" s="23"/>
      <c r="D557" s="25"/>
      <c r="E557" s="25"/>
      <c r="M557" s="12"/>
      <c r="N557" s="118"/>
      <c r="O557" s="118"/>
      <c r="P557" s="118"/>
      <c r="Q557" s="118"/>
    </row>
    <row r="558" spans="2:17" ht="14.25" customHeight="1" x14ac:dyDescent="0.3">
      <c r="B558" s="23"/>
      <c r="D558" s="25"/>
      <c r="E558" s="25"/>
      <c r="M558" s="12"/>
      <c r="N558" s="118"/>
      <c r="O558" s="118"/>
      <c r="P558" s="118"/>
      <c r="Q558" s="118"/>
    </row>
    <row r="559" spans="2:17" ht="14.25" customHeight="1" x14ac:dyDescent="0.3">
      <c r="B559" s="23"/>
      <c r="D559" s="25"/>
      <c r="E559" s="25"/>
      <c r="M559" s="12"/>
      <c r="N559" s="118"/>
      <c r="O559" s="118"/>
      <c r="P559" s="118"/>
      <c r="Q559" s="118"/>
    </row>
    <row r="560" spans="2:17" ht="14.25" customHeight="1" x14ac:dyDescent="0.3">
      <c r="B560" s="23"/>
      <c r="D560" s="25"/>
      <c r="E560" s="25"/>
      <c r="M560" s="12"/>
      <c r="N560" s="118"/>
      <c r="O560" s="118"/>
      <c r="P560" s="118"/>
      <c r="Q560" s="118"/>
    </row>
    <row r="561" spans="2:17" ht="14.25" customHeight="1" x14ac:dyDescent="0.3">
      <c r="B561" s="23"/>
      <c r="D561" s="25"/>
      <c r="E561" s="25"/>
      <c r="M561" s="12"/>
      <c r="N561" s="118"/>
      <c r="O561" s="118"/>
      <c r="P561" s="118"/>
      <c r="Q561" s="118"/>
    </row>
    <row r="562" spans="2:17" ht="14.25" customHeight="1" x14ac:dyDescent="0.3">
      <c r="B562" s="23"/>
      <c r="D562" s="25"/>
      <c r="E562" s="25"/>
      <c r="M562" s="12"/>
      <c r="N562" s="118"/>
      <c r="O562" s="118"/>
      <c r="P562" s="118"/>
      <c r="Q562" s="118"/>
    </row>
    <row r="563" spans="2:17" ht="14.25" customHeight="1" x14ac:dyDescent="0.3">
      <c r="B563" s="23"/>
      <c r="D563" s="25"/>
      <c r="E563" s="25"/>
      <c r="M563" s="12"/>
      <c r="N563" s="118"/>
      <c r="O563" s="118"/>
      <c r="P563" s="118"/>
      <c r="Q563" s="118"/>
    </row>
    <row r="564" spans="2:17" ht="14.25" customHeight="1" x14ac:dyDescent="0.3">
      <c r="B564" s="23"/>
      <c r="D564" s="25"/>
      <c r="E564" s="25"/>
      <c r="M564" s="12"/>
      <c r="N564" s="118"/>
      <c r="O564" s="118"/>
      <c r="P564" s="118"/>
      <c r="Q564" s="118"/>
    </row>
    <row r="565" spans="2:17" ht="14.25" customHeight="1" x14ac:dyDescent="0.3">
      <c r="B565" s="23"/>
      <c r="D565" s="25"/>
      <c r="E565" s="25"/>
      <c r="M565" s="12"/>
      <c r="N565" s="118"/>
      <c r="O565" s="118"/>
      <c r="P565" s="118"/>
      <c r="Q565" s="118"/>
    </row>
    <row r="566" spans="2:17" ht="14.25" customHeight="1" x14ac:dyDescent="0.3">
      <c r="B566" s="23"/>
      <c r="D566" s="25"/>
      <c r="E566" s="25"/>
      <c r="M566" s="12"/>
      <c r="N566" s="118"/>
      <c r="O566" s="118"/>
      <c r="P566" s="118"/>
      <c r="Q566" s="118"/>
    </row>
    <row r="567" spans="2:17" ht="14.25" customHeight="1" x14ac:dyDescent="0.3">
      <c r="B567" s="23"/>
      <c r="D567" s="25"/>
      <c r="E567" s="25"/>
      <c r="M567" s="12"/>
      <c r="N567" s="118"/>
      <c r="O567" s="118"/>
      <c r="P567" s="118"/>
      <c r="Q567" s="118"/>
    </row>
    <row r="568" spans="2:17" ht="14.25" customHeight="1" x14ac:dyDescent="0.3">
      <c r="B568" s="23"/>
      <c r="D568" s="25"/>
      <c r="E568" s="25"/>
      <c r="M568" s="12"/>
      <c r="N568" s="118"/>
      <c r="O568" s="118"/>
      <c r="P568" s="118"/>
      <c r="Q568" s="118"/>
    </row>
    <row r="569" spans="2:17" ht="14.25" customHeight="1" x14ac:dyDescent="0.3">
      <c r="B569" s="23"/>
      <c r="D569" s="25"/>
      <c r="E569" s="25"/>
      <c r="M569" s="12"/>
      <c r="N569" s="118"/>
      <c r="O569" s="118"/>
      <c r="P569" s="118"/>
      <c r="Q569" s="118"/>
    </row>
    <row r="570" spans="2:17" ht="14.25" customHeight="1" x14ac:dyDescent="0.3">
      <c r="B570" s="23"/>
      <c r="D570" s="25"/>
      <c r="E570" s="25"/>
      <c r="M570" s="12"/>
      <c r="N570" s="118"/>
      <c r="O570" s="118"/>
      <c r="P570" s="118"/>
      <c r="Q570" s="118"/>
    </row>
    <row r="571" spans="2:17" ht="14.25" customHeight="1" x14ac:dyDescent="0.3">
      <c r="B571" s="23"/>
      <c r="D571" s="25"/>
      <c r="E571" s="25"/>
      <c r="M571" s="12"/>
      <c r="N571" s="118"/>
      <c r="O571" s="118"/>
      <c r="P571" s="118"/>
      <c r="Q571" s="118"/>
    </row>
    <row r="572" spans="2:17" ht="14.25" customHeight="1" x14ac:dyDescent="0.3">
      <c r="B572" s="23"/>
      <c r="D572" s="25"/>
      <c r="E572" s="25"/>
      <c r="M572" s="12"/>
      <c r="N572" s="118"/>
      <c r="O572" s="118"/>
      <c r="P572" s="118"/>
      <c r="Q572" s="118"/>
    </row>
    <row r="573" spans="2:17" ht="14.25" customHeight="1" x14ac:dyDescent="0.3">
      <c r="B573" s="23"/>
      <c r="D573" s="25"/>
      <c r="E573" s="25"/>
      <c r="M573" s="12"/>
      <c r="N573" s="118"/>
      <c r="O573" s="118"/>
      <c r="P573" s="118"/>
      <c r="Q573" s="118"/>
    </row>
    <row r="574" spans="2:17" ht="14.25" customHeight="1" x14ac:dyDescent="0.3">
      <c r="B574" s="23"/>
      <c r="D574" s="25"/>
      <c r="E574" s="25"/>
      <c r="M574" s="12"/>
      <c r="N574" s="118"/>
      <c r="O574" s="118"/>
      <c r="P574" s="118"/>
      <c r="Q574" s="118"/>
    </row>
    <row r="575" spans="2:17" ht="14.25" customHeight="1" x14ac:dyDescent="0.3">
      <c r="B575" s="23"/>
      <c r="D575" s="25"/>
      <c r="E575" s="25"/>
      <c r="M575" s="12"/>
      <c r="N575" s="118"/>
      <c r="O575" s="118"/>
      <c r="P575" s="118"/>
      <c r="Q575" s="118"/>
    </row>
    <row r="576" spans="2:17" ht="14.25" customHeight="1" x14ac:dyDescent="0.3">
      <c r="B576" s="23"/>
      <c r="D576" s="25"/>
      <c r="E576" s="25"/>
      <c r="M576" s="12"/>
      <c r="N576" s="118"/>
      <c r="O576" s="118"/>
      <c r="P576" s="118"/>
      <c r="Q576" s="118"/>
    </row>
    <row r="577" spans="2:17" ht="14.25" customHeight="1" x14ac:dyDescent="0.3">
      <c r="B577" s="23"/>
      <c r="D577" s="25"/>
      <c r="E577" s="25"/>
      <c r="M577" s="12"/>
      <c r="N577" s="118"/>
      <c r="O577" s="118"/>
      <c r="P577" s="118"/>
      <c r="Q577" s="118"/>
    </row>
    <row r="578" spans="2:17" ht="14.25" customHeight="1" x14ac:dyDescent="0.3">
      <c r="B578" s="23"/>
      <c r="D578" s="25"/>
      <c r="E578" s="25"/>
      <c r="M578" s="12"/>
      <c r="N578" s="118"/>
      <c r="O578" s="118"/>
      <c r="P578" s="118"/>
      <c r="Q578" s="118"/>
    </row>
    <row r="579" spans="2:17" ht="14.25" customHeight="1" x14ac:dyDescent="0.3">
      <c r="B579" s="23"/>
      <c r="D579" s="25"/>
      <c r="E579" s="25"/>
      <c r="M579" s="12"/>
      <c r="N579" s="118"/>
      <c r="O579" s="118"/>
      <c r="P579" s="118"/>
      <c r="Q579" s="118"/>
    </row>
    <row r="580" spans="2:17" ht="14.25" customHeight="1" x14ac:dyDescent="0.3">
      <c r="B580" s="23"/>
      <c r="D580" s="25"/>
      <c r="E580" s="25"/>
      <c r="M580" s="12"/>
      <c r="N580" s="118"/>
      <c r="O580" s="118"/>
      <c r="P580" s="118"/>
      <c r="Q580" s="118"/>
    </row>
    <row r="581" spans="2:17" ht="14.25" customHeight="1" x14ac:dyDescent="0.3">
      <c r="B581" s="23"/>
      <c r="D581" s="25"/>
      <c r="E581" s="25"/>
      <c r="M581" s="12"/>
      <c r="N581" s="118"/>
      <c r="O581" s="118"/>
      <c r="P581" s="118"/>
      <c r="Q581" s="118"/>
    </row>
    <row r="582" spans="2:17" ht="14.25" customHeight="1" x14ac:dyDescent="0.3">
      <c r="B582" s="23"/>
      <c r="D582" s="25"/>
      <c r="E582" s="25"/>
      <c r="M582" s="12"/>
      <c r="N582" s="118"/>
      <c r="O582" s="118"/>
      <c r="P582" s="118"/>
      <c r="Q582" s="118"/>
    </row>
    <row r="583" spans="2:17" ht="14.25" customHeight="1" x14ac:dyDescent="0.3">
      <c r="B583" s="23"/>
      <c r="D583" s="25"/>
      <c r="E583" s="25"/>
      <c r="M583" s="12"/>
      <c r="N583" s="118"/>
      <c r="O583" s="118"/>
      <c r="P583" s="118"/>
      <c r="Q583" s="118"/>
    </row>
    <row r="584" spans="2:17" ht="14.25" customHeight="1" x14ac:dyDescent="0.3">
      <c r="B584" s="23"/>
      <c r="D584" s="25"/>
      <c r="E584" s="25"/>
      <c r="M584" s="12"/>
      <c r="N584" s="118"/>
      <c r="O584" s="118"/>
      <c r="P584" s="118"/>
      <c r="Q584" s="118"/>
    </row>
    <row r="585" spans="2:17" ht="14.25" customHeight="1" x14ac:dyDescent="0.3">
      <c r="B585" s="23"/>
      <c r="D585" s="25"/>
      <c r="E585" s="25"/>
      <c r="M585" s="12"/>
      <c r="N585" s="118"/>
      <c r="O585" s="118"/>
      <c r="P585" s="118"/>
      <c r="Q585" s="118"/>
    </row>
    <row r="586" spans="2:17" ht="14.25" customHeight="1" x14ac:dyDescent="0.3">
      <c r="B586" s="23"/>
      <c r="D586" s="25"/>
      <c r="E586" s="25"/>
      <c r="M586" s="12"/>
      <c r="N586" s="118"/>
      <c r="O586" s="118"/>
      <c r="P586" s="118"/>
      <c r="Q586" s="118"/>
    </row>
    <row r="587" spans="2:17" ht="14.25" customHeight="1" x14ac:dyDescent="0.3">
      <c r="B587" s="23"/>
      <c r="D587" s="25"/>
      <c r="E587" s="25"/>
      <c r="M587" s="12"/>
      <c r="N587" s="118"/>
      <c r="O587" s="118"/>
      <c r="P587" s="118"/>
      <c r="Q587" s="118"/>
    </row>
    <row r="588" spans="2:17" ht="14.25" customHeight="1" x14ac:dyDescent="0.3">
      <c r="B588" s="23"/>
      <c r="D588" s="25"/>
      <c r="E588" s="25"/>
      <c r="M588" s="12"/>
      <c r="N588" s="118"/>
      <c r="O588" s="118"/>
      <c r="P588" s="118"/>
      <c r="Q588" s="118"/>
    </row>
    <row r="589" spans="2:17" ht="14.25" customHeight="1" x14ac:dyDescent="0.3">
      <c r="B589" s="23"/>
      <c r="D589" s="25"/>
      <c r="E589" s="25"/>
      <c r="M589" s="12"/>
      <c r="N589" s="118"/>
      <c r="O589" s="118"/>
      <c r="P589" s="118"/>
      <c r="Q589" s="118"/>
    </row>
    <row r="590" spans="2:17" ht="14.25" customHeight="1" x14ac:dyDescent="0.3">
      <c r="B590" s="23"/>
      <c r="D590" s="25"/>
      <c r="E590" s="25"/>
      <c r="M590" s="12"/>
      <c r="N590" s="118"/>
      <c r="O590" s="118"/>
      <c r="P590" s="118"/>
      <c r="Q590" s="118"/>
    </row>
    <row r="591" spans="2:17" ht="14.25" customHeight="1" x14ac:dyDescent="0.3">
      <c r="B591" s="23"/>
      <c r="D591" s="25"/>
      <c r="E591" s="25"/>
      <c r="M591" s="12"/>
      <c r="N591" s="118"/>
      <c r="O591" s="118"/>
      <c r="P591" s="118"/>
      <c r="Q591" s="118"/>
    </row>
    <row r="592" spans="2:17" ht="14.25" customHeight="1" x14ac:dyDescent="0.3">
      <c r="B592" s="23"/>
      <c r="D592" s="25"/>
      <c r="E592" s="25"/>
      <c r="M592" s="12"/>
      <c r="N592" s="118"/>
      <c r="O592" s="118"/>
      <c r="P592" s="118"/>
      <c r="Q592" s="118"/>
    </row>
    <row r="593" spans="2:17" ht="14.25" customHeight="1" x14ac:dyDescent="0.3">
      <c r="B593" s="23"/>
      <c r="D593" s="25"/>
      <c r="E593" s="25"/>
      <c r="M593" s="12"/>
      <c r="N593" s="118"/>
      <c r="O593" s="118"/>
      <c r="P593" s="118"/>
      <c r="Q593" s="118"/>
    </row>
    <row r="594" spans="2:17" ht="14.25" customHeight="1" x14ac:dyDescent="0.3">
      <c r="B594" s="23"/>
      <c r="D594" s="25"/>
      <c r="E594" s="25"/>
      <c r="M594" s="12"/>
      <c r="N594" s="118"/>
      <c r="O594" s="118"/>
      <c r="P594" s="118"/>
      <c r="Q594" s="118"/>
    </row>
    <row r="595" spans="2:17" ht="14.25" customHeight="1" x14ac:dyDescent="0.3">
      <c r="B595" s="23"/>
      <c r="D595" s="25"/>
      <c r="E595" s="25"/>
      <c r="M595" s="12"/>
      <c r="N595" s="118"/>
      <c r="O595" s="118"/>
      <c r="P595" s="118"/>
      <c r="Q595" s="118"/>
    </row>
    <row r="596" spans="2:17" ht="14.25" customHeight="1" x14ac:dyDescent="0.3">
      <c r="B596" s="23"/>
      <c r="D596" s="25"/>
      <c r="E596" s="25"/>
      <c r="M596" s="12"/>
      <c r="N596" s="118"/>
      <c r="O596" s="118"/>
      <c r="P596" s="118"/>
      <c r="Q596" s="118"/>
    </row>
    <row r="597" spans="2:17" ht="14.25" customHeight="1" x14ac:dyDescent="0.3">
      <c r="B597" s="23"/>
      <c r="D597" s="25"/>
      <c r="E597" s="25"/>
      <c r="M597" s="12"/>
      <c r="N597" s="118"/>
      <c r="O597" s="118"/>
      <c r="P597" s="118"/>
      <c r="Q597" s="118"/>
    </row>
    <row r="598" spans="2:17" ht="14.25" customHeight="1" x14ac:dyDescent="0.3">
      <c r="B598" s="23"/>
      <c r="D598" s="25"/>
      <c r="E598" s="25"/>
      <c r="M598" s="12"/>
      <c r="N598" s="118"/>
      <c r="O598" s="118"/>
      <c r="P598" s="118"/>
      <c r="Q598" s="118"/>
    </row>
    <row r="599" spans="2:17" ht="14.25" customHeight="1" x14ac:dyDescent="0.3">
      <c r="B599" s="23"/>
      <c r="D599" s="25"/>
      <c r="E599" s="25"/>
      <c r="M599" s="12"/>
      <c r="N599" s="118"/>
      <c r="O599" s="118"/>
      <c r="P599" s="118"/>
      <c r="Q599" s="118"/>
    </row>
    <row r="600" spans="2:17" ht="14.25" customHeight="1" x14ac:dyDescent="0.3">
      <c r="B600" s="23"/>
      <c r="D600" s="25"/>
      <c r="E600" s="25"/>
      <c r="M600" s="12"/>
      <c r="N600" s="118"/>
      <c r="O600" s="118"/>
      <c r="P600" s="118"/>
      <c r="Q600" s="118"/>
    </row>
    <row r="601" spans="2:17" ht="14.25" customHeight="1" x14ac:dyDescent="0.3">
      <c r="B601" s="23"/>
      <c r="D601" s="25"/>
      <c r="E601" s="25"/>
      <c r="M601" s="12"/>
      <c r="N601" s="118"/>
      <c r="O601" s="118"/>
      <c r="P601" s="118"/>
      <c r="Q601" s="118"/>
    </row>
    <row r="602" spans="2:17" ht="14.25" customHeight="1" x14ac:dyDescent="0.3">
      <c r="B602" s="23"/>
      <c r="D602" s="25"/>
      <c r="E602" s="25"/>
      <c r="M602" s="12"/>
      <c r="N602" s="118"/>
      <c r="O602" s="118"/>
      <c r="P602" s="118"/>
      <c r="Q602" s="118"/>
    </row>
    <row r="603" spans="2:17" ht="14.25" customHeight="1" x14ac:dyDescent="0.3">
      <c r="B603" s="23"/>
      <c r="D603" s="25"/>
      <c r="E603" s="25"/>
      <c r="M603" s="12"/>
      <c r="N603" s="118"/>
      <c r="O603" s="118"/>
      <c r="P603" s="118"/>
      <c r="Q603" s="118"/>
    </row>
    <row r="604" spans="2:17" ht="14.25" customHeight="1" x14ac:dyDescent="0.3">
      <c r="B604" s="23"/>
      <c r="D604" s="25"/>
      <c r="E604" s="25"/>
      <c r="M604" s="12"/>
      <c r="N604" s="118"/>
      <c r="O604" s="118"/>
      <c r="P604" s="118"/>
      <c r="Q604" s="118"/>
    </row>
    <row r="605" spans="2:17" ht="14.25" customHeight="1" x14ac:dyDescent="0.3">
      <c r="B605" s="23"/>
      <c r="D605" s="25"/>
      <c r="E605" s="25"/>
      <c r="M605" s="12"/>
      <c r="N605" s="118"/>
      <c r="O605" s="118"/>
      <c r="P605" s="118"/>
      <c r="Q605" s="118"/>
    </row>
    <row r="606" spans="2:17" ht="14.25" customHeight="1" x14ac:dyDescent="0.3">
      <c r="B606" s="23"/>
      <c r="D606" s="25"/>
      <c r="E606" s="25"/>
      <c r="M606" s="12"/>
      <c r="N606" s="118"/>
      <c r="O606" s="118"/>
      <c r="P606" s="118"/>
      <c r="Q606" s="118"/>
    </row>
    <row r="607" spans="2:17" ht="14.25" customHeight="1" x14ac:dyDescent="0.3">
      <c r="B607" s="23"/>
      <c r="D607" s="25"/>
      <c r="E607" s="25"/>
      <c r="M607" s="12"/>
      <c r="N607" s="118"/>
      <c r="O607" s="118"/>
      <c r="P607" s="118"/>
      <c r="Q607" s="118"/>
    </row>
    <row r="608" spans="2:17" ht="14.25" customHeight="1" x14ac:dyDescent="0.3">
      <c r="B608" s="23"/>
      <c r="D608" s="25"/>
      <c r="E608" s="25"/>
      <c r="M608" s="12"/>
      <c r="N608" s="118"/>
      <c r="O608" s="118"/>
      <c r="P608" s="118"/>
      <c r="Q608" s="118"/>
    </row>
    <row r="609" spans="2:17" ht="14.25" customHeight="1" x14ac:dyDescent="0.3">
      <c r="B609" s="23"/>
      <c r="D609" s="25"/>
      <c r="E609" s="25"/>
      <c r="M609" s="12"/>
      <c r="N609" s="118"/>
      <c r="O609" s="118"/>
      <c r="P609" s="118"/>
      <c r="Q609" s="118"/>
    </row>
    <row r="610" spans="2:17" ht="14.25" customHeight="1" x14ac:dyDescent="0.3">
      <c r="B610" s="23"/>
      <c r="D610" s="25"/>
      <c r="E610" s="25"/>
      <c r="M610" s="12"/>
      <c r="N610" s="118"/>
      <c r="O610" s="118"/>
      <c r="P610" s="118"/>
      <c r="Q610" s="118"/>
    </row>
    <row r="611" spans="2:17" ht="14.25" customHeight="1" x14ac:dyDescent="0.3">
      <c r="B611" s="23"/>
      <c r="D611" s="25"/>
      <c r="E611" s="25"/>
      <c r="M611" s="12"/>
      <c r="N611" s="118"/>
      <c r="O611" s="118"/>
      <c r="P611" s="118"/>
      <c r="Q611" s="118"/>
    </row>
    <row r="612" spans="2:17" ht="14.25" customHeight="1" x14ac:dyDescent="0.3">
      <c r="B612" s="23"/>
      <c r="D612" s="25"/>
      <c r="E612" s="25"/>
      <c r="M612" s="12"/>
      <c r="N612" s="118"/>
      <c r="O612" s="118"/>
      <c r="P612" s="118"/>
      <c r="Q612" s="118"/>
    </row>
    <row r="613" spans="2:17" ht="14.25" customHeight="1" x14ac:dyDescent="0.3">
      <c r="B613" s="23"/>
      <c r="D613" s="25"/>
      <c r="E613" s="25"/>
      <c r="M613" s="12"/>
      <c r="N613" s="118"/>
      <c r="O613" s="118"/>
      <c r="P613" s="118"/>
      <c r="Q613" s="118"/>
    </row>
    <row r="614" spans="2:17" ht="14.25" customHeight="1" x14ac:dyDescent="0.3">
      <c r="B614" s="23"/>
      <c r="D614" s="25"/>
      <c r="E614" s="25"/>
      <c r="M614" s="12"/>
      <c r="N614" s="118"/>
      <c r="O614" s="118"/>
      <c r="P614" s="118"/>
      <c r="Q614" s="118"/>
    </row>
    <row r="615" spans="2:17" ht="14.25" customHeight="1" x14ac:dyDescent="0.3">
      <c r="B615" s="23"/>
      <c r="D615" s="25"/>
      <c r="E615" s="25"/>
      <c r="M615" s="12"/>
      <c r="N615" s="118"/>
      <c r="O615" s="118"/>
      <c r="P615" s="118"/>
      <c r="Q615" s="118"/>
    </row>
    <row r="616" spans="2:17" ht="14.25" customHeight="1" x14ac:dyDescent="0.3">
      <c r="B616" s="23"/>
      <c r="D616" s="25"/>
      <c r="E616" s="25"/>
      <c r="M616" s="12"/>
      <c r="N616" s="118"/>
      <c r="O616" s="118"/>
      <c r="P616" s="118"/>
      <c r="Q616" s="118"/>
    </row>
    <row r="617" spans="2:17" ht="14.25" customHeight="1" x14ac:dyDescent="0.3">
      <c r="B617" s="23"/>
      <c r="D617" s="25"/>
      <c r="E617" s="25"/>
      <c r="M617" s="12"/>
      <c r="N617" s="118"/>
      <c r="O617" s="118"/>
      <c r="P617" s="118"/>
      <c r="Q617" s="118"/>
    </row>
    <row r="618" spans="2:17" ht="14.25" customHeight="1" x14ac:dyDescent="0.3">
      <c r="B618" s="23"/>
      <c r="D618" s="25"/>
      <c r="E618" s="25"/>
      <c r="M618" s="12"/>
      <c r="N618" s="118"/>
      <c r="O618" s="118"/>
      <c r="P618" s="118"/>
      <c r="Q618" s="118"/>
    </row>
    <row r="619" spans="2:17" ht="14.25" customHeight="1" x14ac:dyDescent="0.3">
      <c r="B619" s="23"/>
      <c r="D619" s="25"/>
      <c r="E619" s="25"/>
      <c r="M619" s="12"/>
      <c r="N619" s="118"/>
      <c r="O619" s="118"/>
      <c r="P619" s="118"/>
      <c r="Q619" s="118"/>
    </row>
    <row r="620" spans="2:17" ht="14.25" customHeight="1" x14ac:dyDescent="0.3">
      <c r="B620" s="23"/>
      <c r="D620" s="25"/>
      <c r="E620" s="25"/>
      <c r="M620" s="12"/>
      <c r="N620" s="118"/>
      <c r="O620" s="118"/>
      <c r="P620" s="118"/>
      <c r="Q620" s="118"/>
    </row>
    <row r="621" spans="2:17" ht="14.25" customHeight="1" x14ac:dyDescent="0.3">
      <c r="B621" s="23"/>
      <c r="D621" s="25"/>
      <c r="E621" s="25"/>
      <c r="M621" s="12"/>
      <c r="N621" s="118"/>
      <c r="O621" s="118"/>
      <c r="P621" s="118"/>
      <c r="Q621" s="118"/>
    </row>
    <row r="622" spans="2:17" ht="14.25" customHeight="1" x14ac:dyDescent="0.3">
      <c r="B622" s="23"/>
      <c r="D622" s="25"/>
      <c r="E622" s="25"/>
      <c r="M622" s="12"/>
      <c r="N622" s="118"/>
      <c r="O622" s="118"/>
      <c r="P622" s="118"/>
      <c r="Q622" s="118"/>
    </row>
    <row r="623" spans="2:17" ht="14.25" customHeight="1" x14ac:dyDescent="0.3">
      <c r="B623" s="23"/>
      <c r="D623" s="25"/>
      <c r="E623" s="25"/>
      <c r="M623" s="12"/>
      <c r="N623" s="118"/>
      <c r="O623" s="118"/>
      <c r="P623" s="118"/>
      <c r="Q623" s="118"/>
    </row>
    <row r="624" spans="2:17" ht="14.25" customHeight="1" x14ac:dyDescent="0.3">
      <c r="B624" s="23"/>
      <c r="D624" s="25"/>
      <c r="E624" s="25"/>
      <c r="M624" s="12"/>
      <c r="N624" s="118"/>
      <c r="O624" s="118"/>
      <c r="P624" s="118"/>
      <c r="Q624" s="118"/>
    </row>
    <row r="625" spans="2:17" ht="14.25" customHeight="1" x14ac:dyDescent="0.3">
      <c r="B625" s="23"/>
      <c r="D625" s="25"/>
      <c r="E625" s="25"/>
      <c r="M625" s="12"/>
      <c r="N625" s="118"/>
      <c r="O625" s="118"/>
      <c r="P625" s="118"/>
      <c r="Q625" s="118"/>
    </row>
    <row r="626" spans="2:17" ht="14.25" customHeight="1" x14ac:dyDescent="0.3">
      <c r="B626" s="23"/>
      <c r="D626" s="25"/>
      <c r="E626" s="25"/>
      <c r="M626" s="12"/>
      <c r="N626" s="118"/>
      <c r="O626" s="118"/>
      <c r="P626" s="118"/>
      <c r="Q626" s="118"/>
    </row>
    <row r="627" spans="2:17" ht="14.25" customHeight="1" x14ac:dyDescent="0.3">
      <c r="B627" s="23"/>
      <c r="D627" s="25"/>
      <c r="E627" s="25"/>
      <c r="M627" s="12"/>
      <c r="N627" s="118"/>
      <c r="O627" s="118"/>
      <c r="P627" s="118"/>
      <c r="Q627" s="118"/>
    </row>
    <row r="628" spans="2:17" ht="14.25" customHeight="1" x14ac:dyDescent="0.3">
      <c r="B628" s="23"/>
      <c r="D628" s="25"/>
      <c r="E628" s="25"/>
      <c r="M628" s="12"/>
      <c r="N628" s="118"/>
      <c r="O628" s="118"/>
      <c r="P628" s="118"/>
      <c r="Q628" s="118"/>
    </row>
    <row r="629" spans="2:17" ht="14.25" customHeight="1" x14ac:dyDescent="0.3">
      <c r="B629" s="23"/>
      <c r="D629" s="25"/>
      <c r="E629" s="25"/>
      <c r="M629" s="12"/>
      <c r="N629" s="118"/>
      <c r="O629" s="118"/>
      <c r="P629" s="118"/>
      <c r="Q629" s="118"/>
    </row>
    <row r="630" spans="2:17" ht="14.25" customHeight="1" x14ac:dyDescent="0.3">
      <c r="B630" s="23"/>
      <c r="D630" s="25"/>
      <c r="E630" s="25"/>
      <c r="M630" s="12"/>
      <c r="N630" s="118"/>
      <c r="O630" s="118"/>
      <c r="P630" s="118"/>
      <c r="Q630" s="118"/>
    </row>
    <row r="631" spans="2:17" ht="14.25" customHeight="1" x14ac:dyDescent="0.3">
      <c r="B631" s="23"/>
      <c r="D631" s="25"/>
      <c r="E631" s="25"/>
      <c r="M631" s="12"/>
      <c r="N631" s="118"/>
      <c r="O631" s="118"/>
      <c r="P631" s="118"/>
      <c r="Q631" s="118"/>
    </row>
    <row r="632" spans="2:17" ht="14.25" customHeight="1" x14ac:dyDescent="0.3">
      <c r="B632" s="23"/>
      <c r="D632" s="25"/>
      <c r="E632" s="25"/>
      <c r="M632" s="12"/>
      <c r="N632" s="118"/>
      <c r="O632" s="118"/>
      <c r="P632" s="118"/>
      <c r="Q632" s="118"/>
    </row>
    <row r="633" spans="2:17" ht="14.25" customHeight="1" x14ac:dyDescent="0.3">
      <c r="B633" s="23"/>
      <c r="D633" s="25"/>
      <c r="E633" s="25"/>
      <c r="M633" s="12"/>
      <c r="N633" s="118"/>
      <c r="O633" s="118"/>
      <c r="P633" s="118"/>
      <c r="Q633" s="118"/>
    </row>
    <row r="634" spans="2:17" ht="14.25" customHeight="1" x14ac:dyDescent="0.3">
      <c r="B634" s="23"/>
      <c r="D634" s="25"/>
      <c r="E634" s="25"/>
      <c r="M634" s="12"/>
      <c r="N634" s="118"/>
      <c r="O634" s="118"/>
      <c r="P634" s="118"/>
      <c r="Q634" s="118"/>
    </row>
    <row r="635" spans="2:17" ht="14.25" customHeight="1" x14ac:dyDescent="0.3">
      <c r="B635" s="23"/>
      <c r="D635" s="25"/>
      <c r="E635" s="25"/>
      <c r="M635" s="12"/>
      <c r="N635" s="118"/>
      <c r="O635" s="118"/>
      <c r="P635" s="118"/>
      <c r="Q635" s="118"/>
    </row>
    <row r="636" spans="2:17" ht="14.25" customHeight="1" x14ac:dyDescent="0.3">
      <c r="B636" s="23"/>
      <c r="D636" s="25"/>
      <c r="E636" s="25"/>
      <c r="M636" s="12"/>
      <c r="N636" s="118"/>
      <c r="O636" s="118"/>
      <c r="P636" s="118"/>
      <c r="Q636" s="118"/>
    </row>
    <row r="637" spans="2:17" ht="14.25" customHeight="1" x14ac:dyDescent="0.3">
      <c r="B637" s="23"/>
      <c r="D637" s="25"/>
      <c r="E637" s="25"/>
      <c r="M637" s="12"/>
      <c r="N637" s="118"/>
      <c r="O637" s="118"/>
      <c r="P637" s="118"/>
      <c r="Q637" s="118"/>
    </row>
    <row r="638" spans="2:17" ht="14.25" customHeight="1" x14ac:dyDescent="0.3">
      <c r="B638" s="23"/>
      <c r="D638" s="25"/>
      <c r="E638" s="25"/>
      <c r="M638" s="12"/>
      <c r="N638" s="118"/>
      <c r="O638" s="118"/>
      <c r="P638" s="118"/>
      <c r="Q638" s="118"/>
    </row>
    <row r="639" spans="2:17" ht="14.25" customHeight="1" x14ac:dyDescent="0.3">
      <c r="B639" s="23"/>
      <c r="D639" s="25"/>
      <c r="E639" s="25"/>
      <c r="M639" s="12"/>
      <c r="N639" s="118"/>
      <c r="O639" s="118"/>
      <c r="P639" s="118"/>
      <c r="Q639" s="118"/>
    </row>
    <row r="640" spans="2:17" ht="14.25" customHeight="1" x14ac:dyDescent="0.3">
      <c r="B640" s="23"/>
      <c r="D640" s="25"/>
      <c r="E640" s="25"/>
      <c r="M640" s="12"/>
      <c r="N640" s="118"/>
      <c r="O640" s="118"/>
      <c r="P640" s="118"/>
      <c r="Q640" s="118"/>
    </row>
    <row r="641" spans="2:17" ht="14.25" customHeight="1" x14ac:dyDescent="0.3">
      <c r="B641" s="23"/>
      <c r="D641" s="25"/>
      <c r="E641" s="25"/>
      <c r="M641" s="12"/>
      <c r="N641" s="118"/>
      <c r="O641" s="118"/>
      <c r="P641" s="118"/>
      <c r="Q641" s="118"/>
    </row>
    <row r="642" spans="2:17" ht="14.25" customHeight="1" x14ac:dyDescent="0.3">
      <c r="B642" s="23"/>
      <c r="D642" s="25"/>
      <c r="E642" s="25"/>
      <c r="M642" s="12"/>
      <c r="N642" s="118"/>
      <c r="O642" s="118"/>
      <c r="P642" s="118"/>
      <c r="Q642" s="118"/>
    </row>
    <row r="643" spans="2:17" ht="14.25" customHeight="1" x14ac:dyDescent="0.3">
      <c r="B643" s="23"/>
      <c r="D643" s="25"/>
      <c r="E643" s="25"/>
      <c r="M643" s="12"/>
      <c r="N643" s="118"/>
      <c r="O643" s="118"/>
      <c r="P643" s="118"/>
      <c r="Q643" s="118"/>
    </row>
    <row r="644" spans="2:17" ht="14.25" customHeight="1" x14ac:dyDescent="0.3">
      <c r="B644" s="23"/>
      <c r="D644" s="25"/>
      <c r="E644" s="25"/>
      <c r="M644" s="12"/>
      <c r="N644" s="118"/>
      <c r="O644" s="118"/>
      <c r="P644" s="118"/>
      <c r="Q644" s="118"/>
    </row>
    <row r="645" spans="2:17" ht="14.25" customHeight="1" x14ac:dyDescent="0.3">
      <c r="B645" s="23"/>
      <c r="D645" s="25"/>
      <c r="E645" s="25"/>
      <c r="M645" s="12"/>
      <c r="N645" s="118"/>
      <c r="O645" s="118"/>
      <c r="P645" s="118"/>
      <c r="Q645" s="118"/>
    </row>
    <row r="646" spans="2:17" ht="14.25" customHeight="1" x14ac:dyDescent="0.3">
      <c r="B646" s="23"/>
      <c r="D646" s="25"/>
      <c r="E646" s="25"/>
      <c r="M646" s="12"/>
      <c r="N646" s="118"/>
      <c r="O646" s="118"/>
      <c r="P646" s="118"/>
      <c r="Q646" s="118"/>
    </row>
    <row r="647" spans="2:17" ht="14.25" customHeight="1" x14ac:dyDescent="0.3">
      <c r="B647" s="23"/>
      <c r="D647" s="25"/>
      <c r="E647" s="25"/>
      <c r="M647" s="12"/>
      <c r="N647" s="118"/>
      <c r="O647" s="118"/>
      <c r="P647" s="118"/>
      <c r="Q647" s="118"/>
    </row>
    <row r="648" spans="2:17" ht="14.25" customHeight="1" x14ac:dyDescent="0.3">
      <c r="B648" s="23"/>
      <c r="D648" s="25"/>
      <c r="E648" s="25"/>
      <c r="M648" s="12"/>
      <c r="N648" s="118"/>
      <c r="O648" s="118"/>
      <c r="P648" s="118"/>
      <c r="Q648" s="118"/>
    </row>
    <row r="649" spans="2:17" ht="14.25" customHeight="1" x14ac:dyDescent="0.3">
      <c r="B649" s="23"/>
      <c r="D649" s="25"/>
      <c r="E649" s="25"/>
      <c r="M649" s="12"/>
      <c r="N649" s="118"/>
      <c r="O649" s="118"/>
      <c r="P649" s="118"/>
      <c r="Q649" s="118"/>
    </row>
    <row r="650" spans="2:17" ht="14.25" customHeight="1" x14ac:dyDescent="0.3">
      <c r="B650" s="23"/>
      <c r="D650" s="25"/>
      <c r="E650" s="25"/>
      <c r="M650" s="12"/>
      <c r="N650" s="118"/>
      <c r="O650" s="118"/>
      <c r="P650" s="118"/>
      <c r="Q650" s="118"/>
    </row>
    <row r="651" spans="2:17" ht="14.25" customHeight="1" x14ac:dyDescent="0.3">
      <c r="B651" s="23"/>
      <c r="D651" s="25"/>
      <c r="E651" s="25"/>
      <c r="M651" s="12"/>
      <c r="N651" s="118"/>
      <c r="O651" s="118"/>
      <c r="P651" s="118"/>
      <c r="Q651" s="118"/>
    </row>
    <row r="652" spans="2:17" ht="14.25" customHeight="1" x14ac:dyDescent="0.3">
      <c r="B652" s="23"/>
      <c r="D652" s="25"/>
      <c r="E652" s="25"/>
      <c r="M652" s="12"/>
      <c r="N652" s="118"/>
      <c r="O652" s="118"/>
      <c r="P652" s="118"/>
      <c r="Q652" s="118"/>
    </row>
    <row r="653" spans="2:17" ht="14.25" customHeight="1" x14ac:dyDescent="0.3">
      <c r="B653" s="23"/>
      <c r="D653" s="25"/>
      <c r="E653" s="25"/>
      <c r="M653" s="12"/>
      <c r="N653" s="118"/>
      <c r="O653" s="118"/>
      <c r="P653" s="118"/>
      <c r="Q653" s="118"/>
    </row>
    <row r="654" spans="2:17" ht="14.25" customHeight="1" x14ac:dyDescent="0.3">
      <c r="B654" s="23"/>
      <c r="D654" s="25"/>
      <c r="E654" s="25"/>
      <c r="M654" s="12"/>
      <c r="N654" s="118"/>
      <c r="O654" s="118"/>
      <c r="P654" s="118"/>
      <c r="Q654" s="118"/>
    </row>
    <row r="655" spans="2:17" ht="14.25" customHeight="1" x14ac:dyDescent="0.3">
      <c r="B655" s="23"/>
      <c r="D655" s="25"/>
      <c r="E655" s="25"/>
      <c r="M655" s="12"/>
      <c r="N655" s="118"/>
      <c r="O655" s="118"/>
      <c r="P655" s="118"/>
      <c r="Q655" s="118"/>
    </row>
    <row r="656" spans="2:17" ht="14.25" customHeight="1" x14ac:dyDescent="0.3">
      <c r="B656" s="23"/>
      <c r="D656" s="25"/>
      <c r="E656" s="25"/>
      <c r="M656" s="12"/>
      <c r="N656" s="118"/>
      <c r="O656" s="118"/>
      <c r="P656" s="118"/>
      <c r="Q656" s="118"/>
    </row>
    <row r="657" spans="2:17" ht="14.25" customHeight="1" x14ac:dyDescent="0.3">
      <c r="B657" s="23"/>
      <c r="D657" s="25"/>
      <c r="E657" s="25"/>
      <c r="M657" s="12"/>
      <c r="N657" s="118"/>
      <c r="O657" s="118"/>
      <c r="P657" s="118"/>
      <c r="Q657" s="118"/>
    </row>
    <row r="658" spans="2:17" ht="14.25" customHeight="1" x14ac:dyDescent="0.3">
      <c r="B658" s="23"/>
      <c r="D658" s="25"/>
      <c r="E658" s="25"/>
      <c r="M658" s="12"/>
      <c r="N658" s="118"/>
      <c r="O658" s="118"/>
      <c r="P658" s="118"/>
      <c r="Q658" s="118"/>
    </row>
    <row r="659" spans="2:17" ht="14.25" customHeight="1" x14ac:dyDescent="0.3">
      <c r="B659" s="23"/>
      <c r="D659" s="25"/>
      <c r="E659" s="25"/>
      <c r="M659" s="12"/>
      <c r="N659" s="118"/>
      <c r="O659" s="118"/>
      <c r="P659" s="118"/>
      <c r="Q659" s="118"/>
    </row>
    <row r="660" spans="2:17" ht="14.25" customHeight="1" x14ac:dyDescent="0.3">
      <c r="B660" s="23"/>
      <c r="D660" s="25"/>
      <c r="E660" s="25"/>
      <c r="M660" s="12"/>
      <c r="N660" s="118"/>
      <c r="O660" s="118"/>
      <c r="P660" s="118"/>
      <c r="Q660" s="118"/>
    </row>
    <row r="661" spans="2:17" ht="14.25" customHeight="1" x14ac:dyDescent="0.3">
      <c r="B661" s="23"/>
      <c r="D661" s="25"/>
      <c r="E661" s="25"/>
      <c r="M661" s="12"/>
      <c r="N661" s="118"/>
      <c r="O661" s="118"/>
      <c r="P661" s="118"/>
      <c r="Q661" s="118"/>
    </row>
    <row r="662" spans="2:17" ht="14.25" customHeight="1" x14ac:dyDescent="0.3">
      <c r="B662" s="23"/>
      <c r="D662" s="25"/>
      <c r="E662" s="25"/>
      <c r="M662" s="12"/>
      <c r="N662" s="118"/>
      <c r="O662" s="118"/>
      <c r="P662" s="118"/>
      <c r="Q662" s="118"/>
    </row>
    <row r="663" spans="2:17" ht="14.25" customHeight="1" x14ac:dyDescent="0.3">
      <c r="B663" s="23"/>
      <c r="D663" s="25"/>
      <c r="E663" s="25"/>
      <c r="M663" s="12"/>
      <c r="N663" s="118"/>
      <c r="O663" s="118"/>
      <c r="P663" s="118"/>
      <c r="Q663" s="118"/>
    </row>
    <row r="664" spans="2:17" ht="14.25" customHeight="1" x14ac:dyDescent="0.3">
      <c r="B664" s="23"/>
      <c r="D664" s="25"/>
      <c r="E664" s="25"/>
      <c r="M664" s="12"/>
      <c r="N664" s="118"/>
      <c r="O664" s="118"/>
      <c r="P664" s="118"/>
      <c r="Q664" s="118"/>
    </row>
    <row r="665" spans="2:17" ht="14.25" customHeight="1" x14ac:dyDescent="0.3">
      <c r="B665" s="23"/>
      <c r="D665" s="25"/>
      <c r="E665" s="25"/>
      <c r="M665" s="12"/>
      <c r="N665" s="118"/>
      <c r="O665" s="118"/>
      <c r="P665" s="118"/>
      <c r="Q665" s="118"/>
    </row>
    <row r="666" spans="2:17" ht="14.25" customHeight="1" x14ac:dyDescent="0.3">
      <c r="B666" s="23"/>
      <c r="D666" s="25"/>
      <c r="E666" s="25"/>
      <c r="M666" s="12"/>
      <c r="N666" s="118"/>
      <c r="O666" s="118"/>
      <c r="P666" s="118"/>
      <c r="Q666" s="118"/>
    </row>
    <row r="667" spans="2:17" ht="14.25" customHeight="1" x14ac:dyDescent="0.3">
      <c r="B667" s="23"/>
      <c r="D667" s="25"/>
      <c r="E667" s="25"/>
      <c r="M667" s="12"/>
      <c r="N667" s="118"/>
      <c r="O667" s="118"/>
      <c r="P667" s="118"/>
      <c r="Q667" s="118"/>
    </row>
    <row r="668" spans="2:17" ht="14.25" customHeight="1" x14ac:dyDescent="0.3">
      <c r="B668" s="23"/>
      <c r="D668" s="25"/>
      <c r="E668" s="25"/>
      <c r="M668" s="12"/>
      <c r="N668" s="118"/>
      <c r="O668" s="118"/>
      <c r="P668" s="118"/>
      <c r="Q668" s="118"/>
    </row>
    <row r="669" spans="2:17" ht="14.25" customHeight="1" x14ac:dyDescent="0.3">
      <c r="B669" s="23"/>
      <c r="D669" s="25"/>
      <c r="E669" s="25"/>
      <c r="M669" s="12"/>
      <c r="N669" s="118"/>
      <c r="O669" s="118"/>
      <c r="P669" s="118"/>
      <c r="Q669" s="118"/>
    </row>
    <row r="670" spans="2:17" ht="14.25" customHeight="1" x14ac:dyDescent="0.3">
      <c r="B670" s="23"/>
      <c r="D670" s="25"/>
      <c r="E670" s="25"/>
      <c r="M670" s="12"/>
      <c r="N670" s="118"/>
      <c r="O670" s="118"/>
      <c r="P670" s="118"/>
      <c r="Q670" s="118"/>
    </row>
    <row r="671" spans="2:17" ht="14.25" customHeight="1" x14ac:dyDescent="0.3">
      <c r="B671" s="23"/>
      <c r="D671" s="25"/>
      <c r="E671" s="25"/>
      <c r="M671" s="12"/>
      <c r="N671" s="118"/>
      <c r="O671" s="118"/>
      <c r="P671" s="118"/>
      <c r="Q671" s="118"/>
    </row>
    <row r="672" spans="2:17" ht="14.25" customHeight="1" x14ac:dyDescent="0.3">
      <c r="B672" s="23"/>
      <c r="D672" s="25"/>
      <c r="E672" s="25"/>
      <c r="M672" s="12"/>
      <c r="N672" s="118"/>
      <c r="O672" s="118"/>
      <c r="P672" s="118"/>
      <c r="Q672" s="118"/>
    </row>
    <row r="673" spans="2:17" ht="14.25" customHeight="1" x14ac:dyDescent="0.3">
      <c r="B673" s="23"/>
      <c r="D673" s="25"/>
      <c r="E673" s="25"/>
      <c r="M673" s="12"/>
      <c r="N673" s="118"/>
      <c r="O673" s="118"/>
      <c r="P673" s="118"/>
      <c r="Q673" s="118"/>
    </row>
    <row r="674" spans="2:17" ht="14.25" customHeight="1" x14ac:dyDescent="0.3">
      <c r="B674" s="23"/>
      <c r="D674" s="25"/>
      <c r="E674" s="25"/>
      <c r="M674" s="12"/>
      <c r="N674" s="118"/>
      <c r="O674" s="118"/>
      <c r="P674" s="118"/>
      <c r="Q674" s="118"/>
    </row>
    <row r="675" spans="2:17" ht="14.25" customHeight="1" x14ac:dyDescent="0.3">
      <c r="B675" s="23"/>
      <c r="D675" s="25"/>
      <c r="E675" s="25"/>
      <c r="M675" s="12"/>
      <c r="N675" s="118"/>
      <c r="O675" s="118"/>
      <c r="P675" s="118"/>
      <c r="Q675" s="118"/>
    </row>
    <row r="676" spans="2:17" ht="14.25" customHeight="1" x14ac:dyDescent="0.3">
      <c r="B676" s="23"/>
      <c r="D676" s="25"/>
      <c r="E676" s="25"/>
      <c r="M676" s="12"/>
      <c r="N676" s="118"/>
      <c r="O676" s="118"/>
      <c r="P676" s="118"/>
      <c r="Q676" s="118"/>
    </row>
    <row r="677" spans="2:17" ht="14.25" customHeight="1" x14ac:dyDescent="0.3">
      <c r="B677" s="23"/>
      <c r="D677" s="25"/>
      <c r="E677" s="25"/>
      <c r="M677" s="12"/>
      <c r="N677" s="118"/>
      <c r="O677" s="118"/>
      <c r="P677" s="118"/>
      <c r="Q677" s="118"/>
    </row>
    <row r="678" spans="2:17" ht="14.25" customHeight="1" x14ac:dyDescent="0.3">
      <c r="B678" s="23"/>
      <c r="D678" s="25"/>
      <c r="E678" s="25"/>
      <c r="M678" s="12"/>
      <c r="N678" s="118"/>
      <c r="O678" s="118"/>
      <c r="P678" s="118"/>
      <c r="Q678" s="118"/>
    </row>
    <row r="679" spans="2:17" ht="14.25" customHeight="1" x14ac:dyDescent="0.3">
      <c r="B679" s="23"/>
      <c r="D679" s="25"/>
      <c r="E679" s="25"/>
      <c r="M679" s="12"/>
      <c r="N679" s="118"/>
      <c r="O679" s="118"/>
      <c r="P679" s="118"/>
      <c r="Q679" s="118"/>
    </row>
    <row r="680" spans="2:17" ht="14.25" customHeight="1" x14ac:dyDescent="0.3">
      <c r="B680" s="23"/>
      <c r="D680" s="25"/>
      <c r="E680" s="25"/>
      <c r="M680" s="12"/>
      <c r="N680" s="118"/>
      <c r="O680" s="118"/>
      <c r="P680" s="118"/>
      <c r="Q680" s="118"/>
    </row>
    <row r="681" spans="2:17" ht="14.25" customHeight="1" x14ac:dyDescent="0.3">
      <c r="B681" s="23"/>
      <c r="D681" s="25"/>
      <c r="E681" s="25"/>
      <c r="M681" s="12"/>
      <c r="N681" s="118"/>
      <c r="O681" s="118"/>
      <c r="P681" s="118"/>
      <c r="Q681" s="118"/>
    </row>
    <row r="682" spans="2:17" ht="14.25" customHeight="1" x14ac:dyDescent="0.3">
      <c r="B682" s="23"/>
      <c r="D682" s="25"/>
      <c r="E682" s="25"/>
      <c r="M682" s="12"/>
      <c r="N682" s="118"/>
      <c r="O682" s="118"/>
      <c r="P682" s="118"/>
      <c r="Q682" s="118"/>
    </row>
    <row r="683" spans="2:17" ht="14.25" customHeight="1" x14ac:dyDescent="0.3">
      <c r="B683" s="23"/>
      <c r="D683" s="25"/>
      <c r="E683" s="25"/>
      <c r="M683" s="12"/>
      <c r="N683" s="118"/>
      <c r="O683" s="118"/>
      <c r="P683" s="118"/>
      <c r="Q683" s="118"/>
    </row>
    <row r="684" spans="2:17" ht="14.25" customHeight="1" x14ac:dyDescent="0.3">
      <c r="B684" s="23"/>
      <c r="D684" s="25"/>
      <c r="E684" s="25"/>
      <c r="M684" s="12"/>
      <c r="N684" s="118"/>
      <c r="O684" s="118"/>
      <c r="P684" s="118"/>
      <c r="Q684" s="118"/>
    </row>
    <row r="685" spans="2:17" ht="14.25" customHeight="1" x14ac:dyDescent="0.3">
      <c r="B685" s="23"/>
      <c r="D685" s="25"/>
      <c r="E685" s="25"/>
      <c r="M685" s="12"/>
      <c r="N685" s="118"/>
      <c r="O685" s="118"/>
      <c r="P685" s="118"/>
      <c r="Q685" s="118"/>
    </row>
    <row r="686" spans="2:17" ht="14.25" customHeight="1" x14ac:dyDescent="0.3">
      <c r="B686" s="23"/>
      <c r="D686" s="25"/>
      <c r="E686" s="25"/>
      <c r="M686" s="12"/>
      <c r="N686" s="118"/>
      <c r="O686" s="118"/>
      <c r="P686" s="118"/>
      <c r="Q686" s="118"/>
    </row>
    <row r="687" spans="2:17" ht="14.25" customHeight="1" x14ac:dyDescent="0.3">
      <c r="B687" s="23"/>
      <c r="D687" s="25"/>
      <c r="E687" s="25"/>
      <c r="M687" s="12"/>
      <c r="N687" s="118"/>
      <c r="O687" s="118"/>
      <c r="P687" s="118"/>
      <c r="Q687" s="118"/>
    </row>
    <row r="688" spans="2:17" ht="14.25" customHeight="1" x14ac:dyDescent="0.3">
      <c r="B688" s="23"/>
      <c r="D688" s="25"/>
      <c r="E688" s="25"/>
      <c r="M688" s="12"/>
      <c r="N688" s="118"/>
      <c r="O688" s="118"/>
      <c r="P688" s="118"/>
      <c r="Q688" s="118"/>
    </row>
    <row r="689" spans="2:17" ht="14.25" customHeight="1" x14ac:dyDescent="0.3">
      <c r="B689" s="23"/>
      <c r="D689" s="25"/>
      <c r="E689" s="25"/>
      <c r="M689" s="12"/>
      <c r="N689" s="118"/>
      <c r="O689" s="118"/>
      <c r="P689" s="118"/>
      <c r="Q689" s="118"/>
    </row>
    <row r="690" spans="2:17" ht="14.25" customHeight="1" x14ac:dyDescent="0.3">
      <c r="B690" s="23"/>
      <c r="D690" s="25"/>
      <c r="E690" s="25"/>
      <c r="M690" s="12"/>
      <c r="N690" s="118"/>
      <c r="O690" s="118"/>
      <c r="P690" s="118"/>
      <c r="Q690" s="118"/>
    </row>
    <row r="691" spans="2:17" ht="14.25" customHeight="1" x14ac:dyDescent="0.3">
      <c r="B691" s="23"/>
      <c r="D691" s="25"/>
      <c r="E691" s="25"/>
      <c r="M691" s="12"/>
      <c r="N691" s="118"/>
      <c r="O691" s="118"/>
      <c r="P691" s="118"/>
      <c r="Q691" s="118"/>
    </row>
    <row r="692" spans="2:17" ht="14.25" customHeight="1" x14ac:dyDescent="0.3">
      <c r="B692" s="23"/>
      <c r="D692" s="25"/>
      <c r="E692" s="25"/>
      <c r="M692" s="12"/>
      <c r="N692" s="118"/>
      <c r="O692" s="118"/>
      <c r="P692" s="118"/>
      <c r="Q692" s="118"/>
    </row>
    <row r="693" spans="2:17" ht="14.25" customHeight="1" x14ac:dyDescent="0.3">
      <c r="B693" s="23"/>
      <c r="D693" s="25"/>
      <c r="E693" s="25"/>
      <c r="M693" s="12"/>
      <c r="N693" s="118"/>
      <c r="O693" s="118"/>
      <c r="P693" s="118"/>
      <c r="Q693" s="118"/>
    </row>
    <row r="694" spans="2:17" ht="14.25" customHeight="1" x14ac:dyDescent="0.3">
      <c r="B694" s="23"/>
      <c r="D694" s="25"/>
      <c r="E694" s="25"/>
      <c r="M694" s="12"/>
      <c r="N694" s="118"/>
      <c r="O694" s="118"/>
      <c r="P694" s="118"/>
      <c r="Q694" s="118"/>
    </row>
    <row r="695" spans="2:17" ht="14.25" customHeight="1" x14ac:dyDescent="0.3">
      <c r="B695" s="23"/>
      <c r="D695" s="25"/>
      <c r="E695" s="25"/>
      <c r="M695" s="12"/>
      <c r="N695" s="118"/>
      <c r="O695" s="118"/>
      <c r="P695" s="118"/>
      <c r="Q695" s="118"/>
    </row>
    <row r="696" spans="2:17" ht="14.25" customHeight="1" x14ac:dyDescent="0.3">
      <c r="B696" s="23"/>
      <c r="D696" s="25"/>
      <c r="E696" s="25"/>
      <c r="M696" s="12"/>
      <c r="N696" s="118"/>
      <c r="O696" s="118"/>
      <c r="P696" s="118"/>
      <c r="Q696" s="118"/>
    </row>
    <row r="697" spans="2:17" ht="14.25" customHeight="1" x14ac:dyDescent="0.3">
      <c r="B697" s="23"/>
      <c r="D697" s="25"/>
      <c r="E697" s="25"/>
      <c r="M697" s="12"/>
      <c r="N697" s="118"/>
      <c r="O697" s="118"/>
      <c r="P697" s="118"/>
      <c r="Q697" s="118"/>
    </row>
    <row r="698" spans="2:17" ht="14.25" customHeight="1" x14ac:dyDescent="0.3">
      <c r="B698" s="23"/>
      <c r="D698" s="25"/>
      <c r="E698" s="25"/>
      <c r="M698" s="12"/>
      <c r="N698" s="118"/>
      <c r="O698" s="118"/>
      <c r="P698" s="118"/>
      <c r="Q698" s="118"/>
    </row>
    <row r="699" spans="2:17" ht="14.25" customHeight="1" x14ac:dyDescent="0.3">
      <c r="B699" s="23"/>
      <c r="D699" s="25"/>
      <c r="E699" s="25"/>
      <c r="M699" s="12"/>
      <c r="N699" s="118"/>
      <c r="O699" s="118"/>
      <c r="P699" s="118"/>
      <c r="Q699" s="118"/>
    </row>
    <row r="700" spans="2:17" ht="14.25" customHeight="1" x14ac:dyDescent="0.3">
      <c r="B700" s="23"/>
      <c r="D700" s="25"/>
      <c r="E700" s="25"/>
      <c r="M700" s="12"/>
      <c r="N700" s="118"/>
      <c r="O700" s="118"/>
      <c r="P700" s="118"/>
      <c r="Q700" s="118"/>
    </row>
    <row r="701" spans="2:17" ht="14.25" customHeight="1" x14ac:dyDescent="0.3">
      <c r="B701" s="23"/>
      <c r="D701" s="25"/>
      <c r="E701" s="25"/>
      <c r="M701" s="12"/>
      <c r="N701" s="118"/>
      <c r="O701" s="118"/>
      <c r="P701" s="118"/>
      <c r="Q701" s="118"/>
    </row>
    <row r="702" spans="2:17" ht="14.25" customHeight="1" x14ac:dyDescent="0.3">
      <c r="B702" s="23"/>
      <c r="D702" s="25"/>
      <c r="E702" s="25"/>
      <c r="M702" s="12"/>
      <c r="N702" s="118"/>
      <c r="O702" s="118"/>
      <c r="P702" s="118"/>
      <c r="Q702" s="118"/>
    </row>
    <row r="703" spans="2:17" ht="14.25" customHeight="1" x14ac:dyDescent="0.3">
      <c r="B703" s="23"/>
      <c r="D703" s="25"/>
      <c r="E703" s="25"/>
      <c r="M703" s="12"/>
      <c r="N703" s="118"/>
      <c r="O703" s="118"/>
      <c r="P703" s="118"/>
      <c r="Q703" s="118"/>
    </row>
    <row r="704" spans="2:17" ht="14.25" customHeight="1" x14ac:dyDescent="0.3">
      <c r="B704" s="23"/>
      <c r="D704" s="25"/>
      <c r="E704" s="25"/>
      <c r="M704" s="12"/>
      <c r="N704" s="118"/>
      <c r="O704" s="118"/>
      <c r="P704" s="118"/>
      <c r="Q704" s="118"/>
    </row>
    <row r="705" spans="2:17" ht="14.25" customHeight="1" x14ac:dyDescent="0.3">
      <c r="B705" s="23"/>
      <c r="D705" s="25"/>
      <c r="E705" s="25"/>
      <c r="M705" s="12"/>
      <c r="N705" s="118"/>
      <c r="O705" s="118"/>
      <c r="P705" s="118"/>
      <c r="Q705" s="118"/>
    </row>
    <row r="706" spans="2:17" ht="14.25" customHeight="1" x14ac:dyDescent="0.3">
      <c r="B706" s="23"/>
      <c r="D706" s="25"/>
      <c r="E706" s="25"/>
      <c r="M706" s="12"/>
      <c r="N706" s="118"/>
      <c r="O706" s="118"/>
      <c r="P706" s="118"/>
      <c r="Q706" s="118"/>
    </row>
    <row r="707" spans="2:17" ht="14.25" customHeight="1" x14ac:dyDescent="0.3">
      <c r="B707" s="23"/>
      <c r="D707" s="25"/>
      <c r="E707" s="25"/>
      <c r="M707" s="12"/>
      <c r="N707" s="118"/>
      <c r="O707" s="118"/>
      <c r="P707" s="118"/>
      <c r="Q707" s="118"/>
    </row>
    <row r="708" spans="2:17" ht="14.25" customHeight="1" x14ac:dyDescent="0.3">
      <c r="B708" s="23"/>
      <c r="D708" s="25"/>
      <c r="E708" s="25"/>
      <c r="M708" s="12"/>
      <c r="N708" s="118"/>
      <c r="O708" s="118"/>
      <c r="P708" s="118"/>
      <c r="Q708" s="118"/>
    </row>
    <row r="709" spans="2:17" ht="14.25" customHeight="1" x14ac:dyDescent="0.3">
      <c r="B709" s="23"/>
      <c r="D709" s="25"/>
      <c r="E709" s="25"/>
      <c r="M709" s="12"/>
      <c r="N709" s="118"/>
      <c r="O709" s="118"/>
      <c r="P709" s="118"/>
      <c r="Q709" s="118"/>
    </row>
    <row r="710" spans="2:17" ht="14.25" customHeight="1" x14ac:dyDescent="0.3">
      <c r="B710" s="23"/>
      <c r="D710" s="25"/>
      <c r="E710" s="25"/>
      <c r="M710" s="12"/>
      <c r="N710" s="118"/>
      <c r="O710" s="118"/>
      <c r="P710" s="118"/>
      <c r="Q710" s="118"/>
    </row>
    <row r="711" spans="2:17" ht="14.25" customHeight="1" x14ac:dyDescent="0.3">
      <c r="B711" s="23"/>
      <c r="D711" s="25"/>
      <c r="E711" s="25"/>
      <c r="M711" s="12"/>
      <c r="N711" s="118"/>
      <c r="O711" s="118"/>
      <c r="P711" s="118"/>
      <c r="Q711" s="118"/>
    </row>
    <row r="712" spans="2:17" ht="14.25" customHeight="1" x14ac:dyDescent="0.3">
      <c r="B712" s="23"/>
      <c r="D712" s="25"/>
      <c r="E712" s="25"/>
      <c r="M712" s="12"/>
      <c r="N712" s="118"/>
      <c r="O712" s="118"/>
      <c r="P712" s="118"/>
      <c r="Q712" s="118"/>
    </row>
    <row r="713" spans="2:17" ht="14.25" customHeight="1" x14ac:dyDescent="0.3">
      <c r="B713" s="23"/>
      <c r="D713" s="25"/>
      <c r="E713" s="25"/>
      <c r="M713" s="12"/>
      <c r="N713" s="118"/>
      <c r="O713" s="118"/>
      <c r="P713" s="118"/>
      <c r="Q713" s="118"/>
    </row>
    <row r="714" spans="2:17" ht="14.25" customHeight="1" x14ac:dyDescent="0.3">
      <c r="B714" s="23"/>
      <c r="D714" s="25"/>
      <c r="E714" s="25"/>
      <c r="M714" s="12"/>
      <c r="N714" s="118"/>
      <c r="O714" s="118"/>
      <c r="P714" s="118"/>
      <c r="Q714" s="118"/>
    </row>
    <row r="715" spans="2:17" ht="14.25" customHeight="1" x14ac:dyDescent="0.3">
      <c r="B715" s="23"/>
      <c r="D715" s="25"/>
      <c r="E715" s="25"/>
      <c r="M715" s="12"/>
      <c r="N715" s="118"/>
      <c r="O715" s="118"/>
      <c r="P715" s="118"/>
      <c r="Q715" s="118"/>
    </row>
    <row r="716" spans="2:17" ht="14.25" customHeight="1" x14ac:dyDescent="0.3">
      <c r="B716" s="23"/>
      <c r="D716" s="25"/>
      <c r="E716" s="25"/>
      <c r="M716" s="12"/>
      <c r="N716" s="118"/>
      <c r="O716" s="118"/>
      <c r="P716" s="118"/>
      <c r="Q716" s="118"/>
    </row>
    <row r="717" spans="2:17" ht="14.25" customHeight="1" x14ac:dyDescent="0.3">
      <c r="B717" s="23"/>
      <c r="D717" s="25"/>
      <c r="E717" s="25"/>
      <c r="M717" s="12"/>
      <c r="N717" s="118"/>
      <c r="O717" s="118"/>
      <c r="P717" s="118"/>
      <c r="Q717" s="118"/>
    </row>
    <row r="718" spans="2:17" ht="14.25" customHeight="1" x14ac:dyDescent="0.3">
      <c r="B718" s="23"/>
      <c r="D718" s="25"/>
      <c r="E718" s="25"/>
      <c r="M718" s="12"/>
      <c r="N718" s="118"/>
      <c r="O718" s="118"/>
      <c r="P718" s="118"/>
      <c r="Q718" s="118"/>
    </row>
    <row r="719" spans="2:17" ht="14.25" customHeight="1" x14ac:dyDescent="0.3">
      <c r="B719" s="23"/>
      <c r="D719" s="25"/>
      <c r="E719" s="25"/>
      <c r="M719" s="12"/>
      <c r="N719" s="118"/>
      <c r="O719" s="118"/>
      <c r="P719" s="118"/>
      <c r="Q719" s="118"/>
    </row>
    <row r="720" spans="2:17" ht="14.25" customHeight="1" x14ac:dyDescent="0.3">
      <c r="B720" s="23"/>
      <c r="D720" s="25"/>
      <c r="E720" s="25"/>
      <c r="M720" s="12"/>
      <c r="N720" s="118"/>
      <c r="O720" s="118"/>
      <c r="P720" s="118"/>
      <c r="Q720" s="118"/>
    </row>
    <row r="721" spans="2:17" ht="14.25" customHeight="1" x14ac:dyDescent="0.3">
      <c r="B721" s="23"/>
      <c r="D721" s="25"/>
      <c r="E721" s="25"/>
      <c r="M721" s="12"/>
      <c r="N721" s="118"/>
      <c r="O721" s="118"/>
      <c r="P721" s="118"/>
      <c r="Q721" s="118"/>
    </row>
    <row r="722" spans="2:17" ht="14.25" customHeight="1" x14ac:dyDescent="0.3">
      <c r="B722" s="23"/>
      <c r="D722" s="25"/>
      <c r="E722" s="25"/>
      <c r="M722" s="12"/>
      <c r="N722" s="118"/>
      <c r="O722" s="118"/>
      <c r="P722" s="118"/>
      <c r="Q722" s="118"/>
    </row>
    <row r="723" spans="2:17" ht="14.25" customHeight="1" x14ac:dyDescent="0.3">
      <c r="B723" s="23"/>
      <c r="D723" s="25"/>
      <c r="E723" s="25"/>
      <c r="M723" s="12"/>
      <c r="N723" s="118"/>
      <c r="O723" s="118"/>
      <c r="P723" s="118"/>
      <c r="Q723" s="118"/>
    </row>
    <row r="724" spans="2:17" ht="14.25" customHeight="1" x14ac:dyDescent="0.3">
      <c r="B724" s="23"/>
      <c r="D724" s="25"/>
      <c r="E724" s="25"/>
      <c r="M724" s="12"/>
      <c r="N724" s="118"/>
      <c r="O724" s="118"/>
      <c r="P724" s="118"/>
      <c r="Q724" s="118"/>
    </row>
    <row r="725" spans="2:17" ht="14.25" customHeight="1" x14ac:dyDescent="0.3">
      <c r="B725" s="23"/>
      <c r="D725" s="25"/>
      <c r="E725" s="25"/>
      <c r="M725" s="12"/>
      <c r="N725" s="118"/>
      <c r="O725" s="118"/>
      <c r="P725" s="118"/>
      <c r="Q725" s="118"/>
    </row>
    <row r="726" spans="2:17" ht="14.25" customHeight="1" x14ac:dyDescent="0.3">
      <c r="B726" s="23"/>
      <c r="D726" s="25"/>
      <c r="E726" s="25"/>
      <c r="M726" s="12"/>
      <c r="N726" s="118"/>
      <c r="O726" s="118"/>
      <c r="P726" s="118"/>
      <c r="Q726" s="118"/>
    </row>
    <row r="727" spans="2:17" ht="14.25" customHeight="1" x14ac:dyDescent="0.3">
      <c r="B727" s="23"/>
      <c r="D727" s="25"/>
      <c r="E727" s="25"/>
      <c r="M727" s="12"/>
      <c r="N727" s="118"/>
      <c r="O727" s="118"/>
      <c r="P727" s="118"/>
      <c r="Q727" s="118"/>
    </row>
    <row r="728" spans="2:17" ht="14.25" customHeight="1" x14ac:dyDescent="0.3">
      <c r="B728" s="23"/>
      <c r="D728" s="25"/>
      <c r="E728" s="25"/>
      <c r="M728" s="12"/>
      <c r="N728" s="118"/>
      <c r="O728" s="118"/>
      <c r="P728" s="118"/>
      <c r="Q728" s="118"/>
    </row>
    <row r="729" spans="2:17" ht="14.25" customHeight="1" x14ac:dyDescent="0.3">
      <c r="B729" s="23"/>
      <c r="D729" s="25"/>
      <c r="E729" s="25"/>
      <c r="M729" s="12"/>
      <c r="N729" s="118"/>
      <c r="O729" s="118"/>
      <c r="P729" s="118"/>
      <c r="Q729" s="118"/>
    </row>
    <row r="730" spans="2:17" ht="14.25" customHeight="1" x14ac:dyDescent="0.3">
      <c r="B730" s="23"/>
      <c r="D730" s="25"/>
      <c r="E730" s="25"/>
      <c r="M730" s="12"/>
      <c r="N730" s="118"/>
      <c r="O730" s="118"/>
      <c r="P730" s="118"/>
      <c r="Q730" s="118"/>
    </row>
    <row r="731" spans="2:17" ht="14.25" customHeight="1" x14ac:dyDescent="0.3">
      <c r="B731" s="23"/>
      <c r="D731" s="25"/>
      <c r="E731" s="25"/>
      <c r="M731" s="12"/>
      <c r="N731" s="118"/>
      <c r="O731" s="118"/>
      <c r="P731" s="118"/>
      <c r="Q731" s="118"/>
    </row>
    <row r="732" spans="2:17" ht="14.25" customHeight="1" x14ac:dyDescent="0.3">
      <c r="B732" s="23"/>
      <c r="D732" s="25"/>
      <c r="E732" s="25"/>
      <c r="M732" s="12"/>
      <c r="N732" s="118"/>
      <c r="O732" s="118"/>
      <c r="P732" s="118"/>
      <c r="Q732" s="118"/>
    </row>
    <row r="733" spans="2:17" ht="14.25" customHeight="1" x14ac:dyDescent="0.3">
      <c r="B733" s="23"/>
      <c r="D733" s="25"/>
      <c r="E733" s="25"/>
      <c r="M733" s="12"/>
      <c r="N733" s="118"/>
      <c r="O733" s="118"/>
      <c r="P733" s="118"/>
      <c r="Q733" s="118"/>
    </row>
    <row r="734" spans="2:17" ht="14.25" customHeight="1" x14ac:dyDescent="0.3">
      <c r="B734" s="23"/>
      <c r="D734" s="25"/>
      <c r="E734" s="25"/>
      <c r="M734" s="12"/>
      <c r="N734" s="118"/>
      <c r="O734" s="118"/>
      <c r="P734" s="118"/>
      <c r="Q734" s="118"/>
    </row>
    <row r="735" spans="2:17" ht="14.25" customHeight="1" x14ac:dyDescent="0.3">
      <c r="B735" s="23"/>
      <c r="D735" s="25"/>
      <c r="E735" s="25"/>
      <c r="M735" s="12"/>
      <c r="N735" s="118"/>
      <c r="O735" s="118"/>
      <c r="P735" s="118"/>
      <c r="Q735" s="118"/>
    </row>
    <row r="736" spans="2:17" ht="14.25" customHeight="1" x14ac:dyDescent="0.3">
      <c r="B736" s="23"/>
      <c r="D736" s="25"/>
      <c r="E736" s="25"/>
      <c r="M736" s="12"/>
      <c r="N736" s="118"/>
      <c r="O736" s="118"/>
      <c r="P736" s="118"/>
      <c r="Q736" s="118"/>
    </row>
    <row r="737" spans="2:17" ht="14.25" customHeight="1" x14ac:dyDescent="0.3">
      <c r="B737" s="23"/>
      <c r="D737" s="25"/>
      <c r="E737" s="25"/>
      <c r="M737" s="12"/>
      <c r="N737" s="118"/>
      <c r="O737" s="118"/>
      <c r="P737" s="118"/>
      <c r="Q737" s="118"/>
    </row>
    <row r="738" spans="2:17" ht="14.25" customHeight="1" x14ac:dyDescent="0.3">
      <c r="B738" s="23"/>
      <c r="D738" s="25"/>
      <c r="E738" s="25"/>
      <c r="M738" s="12"/>
      <c r="N738" s="118"/>
      <c r="O738" s="118"/>
      <c r="P738" s="118"/>
      <c r="Q738" s="118"/>
    </row>
    <row r="739" spans="2:17" ht="14.25" customHeight="1" x14ac:dyDescent="0.3">
      <c r="B739" s="23"/>
      <c r="D739" s="25"/>
      <c r="E739" s="25"/>
      <c r="M739" s="12"/>
      <c r="N739" s="118"/>
      <c r="O739" s="118"/>
      <c r="P739" s="118"/>
      <c r="Q739" s="118"/>
    </row>
    <row r="740" spans="2:17" ht="14.25" customHeight="1" x14ac:dyDescent="0.3">
      <c r="B740" s="23"/>
      <c r="D740" s="25"/>
      <c r="E740" s="25"/>
      <c r="M740" s="12"/>
      <c r="N740" s="118"/>
      <c r="O740" s="118"/>
      <c r="P740" s="118"/>
      <c r="Q740" s="118"/>
    </row>
    <row r="741" spans="2:17" ht="14.25" customHeight="1" x14ac:dyDescent="0.3">
      <c r="B741" s="23"/>
      <c r="D741" s="25"/>
      <c r="E741" s="25"/>
      <c r="M741" s="12"/>
      <c r="N741" s="118"/>
      <c r="O741" s="118"/>
      <c r="P741" s="118"/>
      <c r="Q741" s="118"/>
    </row>
    <row r="742" spans="2:17" ht="14.25" customHeight="1" x14ac:dyDescent="0.3">
      <c r="B742" s="23"/>
      <c r="D742" s="25"/>
      <c r="E742" s="25"/>
      <c r="M742" s="12"/>
      <c r="N742" s="118"/>
      <c r="O742" s="118"/>
      <c r="P742" s="118"/>
      <c r="Q742" s="118"/>
    </row>
    <row r="743" spans="2:17" ht="14.25" customHeight="1" x14ac:dyDescent="0.3">
      <c r="B743" s="23"/>
      <c r="D743" s="25"/>
      <c r="E743" s="25"/>
      <c r="M743" s="12"/>
      <c r="N743" s="118"/>
      <c r="O743" s="118"/>
      <c r="P743" s="118"/>
      <c r="Q743" s="118"/>
    </row>
    <row r="744" spans="2:17" ht="14.25" customHeight="1" x14ac:dyDescent="0.3">
      <c r="B744" s="23"/>
      <c r="D744" s="25"/>
      <c r="E744" s="25"/>
      <c r="M744" s="12"/>
      <c r="N744" s="118"/>
      <c r="O744" s="118"/>
      <c r="P744" s="118"/>
      <c r="Q744" s="118"/>
    </row>
    <row r="745" spans="2:17" ht="14.25" customHeight="1" x14ac:dyDescent="0.3">
      <c r="B745" s="23"/>
      <c r="D745" s="25"/>
      <c r="E745" s="25"/>
      <c r="M745" s="12"/>
      <c r="N745" s="118"/>
      <c r="O745" s="118"/>
      <c r="P745" s="118"/>
      <c r="Q745" s="118"/>
    </row>
    <row r="746" spans="2:17" ht="14.25" customHeight="1" x14ac:dyDescent="0.3">
      <c r="B746" s="23"/>
      <c r="D746" s="25"/>
      <c r="E746" s="25"/>
      <c r="M746" s="12"/>
      <c r="N746" s="118"/>
      <c r="O746" s="118"/>
      <c r="P746" s="118"/>
      <c r="Q746" s="118"/>
    </row>
    <row r="747" spans="2:17" ht="14.25" customHeight="1" x14ac:dyDescent="0.3">
      <c r="B747" s="23"/>
      <c r="D747" s="25"/>
      <c r="E747" s="25"/>
      <c r="M747" s="12"/>
      <c r="N747" s="118"/>
      <c r="O747" s="118"/>
      <c r="P747" s="118"/>
      <c r="Q747" s="118"/>
    </row>
    <row r="748" spans="2:17" ht="14.25" customHeight="1" x14ac:dyDescent="0.3">
      <c r="B748" s="23"/>
      <c r="D748" s="25"/>
      <c r="E748" s="25"/>
      <c r="M748" s="12"/>
      <c r="N748" s="118"/>
      <c r="O748" s="118"/>
      <c r="P748" s="118"/>
      <c r="Q748" s="118"/>
    </row>
    <row r="749" spans="2:17" ht="14.25" customHeight="1" x14ac:dyDescent="0.3">
      <c r="B749" s="23"/>
      <c r="D749" s="25"/>
      <c r="E749" s="25"/>
      <c r="M749" s="12"/>
      <c r="N749" s="118"/>
      <c r="O749" s="118"/>
      <c r="P749" s="118"/>
      <c r="Q749" s="118"/>
    </row>
    <row r="750" spans="2:17" ht="14.25" customHeight="1" x14ac:dyDescent="0.3">
      <c r="B750" s="23"/>
      <c r="D750" s="25"/>
      <c r="E750" s="25"/>
      <c r="M750" s="12"/>
      <c r="N750" s="118"/>
      <c r="O750" s="118"/>
      <c r="P750" s="118"/>
      <c r="Q750" s="118"/>
    </row>
    <row r="751" spans="2:17" ht="14.25" customHeight="1" x14ac:dyDescent="0.3">
      <c r="B751" s="23"/>
      <c r="D751" s="25"/>
      <c r="E751" s="25"/>
      <c r="M751" s="12"/>
      <c r="N751" s="118"/>
      <c r="O751" s="118"/>
      <c r="P751" s="118"/>
      <c r="Q751" s="118"/>
    </row>
    <row r="752" spans="2:17" ht="14.25" customHeight="1" x14ac:dyDescent="0.3">
      <c r="B752" s="23"/>
      <c r="D752" s="25"/>
      <c r="E752" s="25"/>
      <c r="M752" s="12"/>
      <c r="N752" s="118"/>
      <c r="O752" s="118"/>
      <c r="P752" s="118"/>
      <c r="Q752" s="118"/>
    </row>
    <row r="753" spans="2:17" ht="14.25" customHeight="1" x14ac:dyDescent="0.3">
      <c r="B753" s="23"/>
      <c r="D753" s="25"/>
      <c r="E753" s="25"/>
      <c r="M753" s="12"/>
      <c r="N753" s="118"/>
      <c r="O753" s="118"/>
      <c r="P753" s="118"/>
      <c r="Q753" s="118"/>
    </row>
    <row r="754" spans="2:17" ht="14.25" customHeight="1" x14ac:dyDescent="0.3">
      <c r="B754" s="23"/>
      <c r="D754" s="25"/>
      <c r="E754" s="25"/>
      <c r="M754" s="12"/>
      <c r="N754" s="118"/>
      <c r="O754" s="118"/>
      <c r="P754" s="118"/>
      <c r="Q754" s="118"/>
    </row>
    <row r="755" spans="2:17" ht="14.25" customHeight="1" x14ac:dyDescent="0.3">
      <c r="B755" s="23"/>
      <c r="D755" s="25"/>
      <c r="E755" s="25"/>
      <c r="M755" s="12"/>
      <c r="N755" s="118"/>
      <c r="O755" s="118"/>
      <c r="P755" s="118"/>
      <c r="Q755" s="118"/>
    </row>
    <row r="756" spans="2:17" ht="14.25" customHeight="1" x14ac:dyDescent="0.3">
      <c r="B756" s="23"/>
      <c r="D756" s="25"/>
      <c r="E756" s="25"/>
      <c r="M756" s="12"/>
      <c r="N756" s="118"/>
      <c r="O756" s="118"/>
      <c r="P756" s="118"/>
      <c r="Q756" s="118"/>
    </row>
    <row r="757" spans="2:17" ht="14.25" customHeight="1" x14ac:dyDescent="0.3">
      <c r="B757" s="23"/>
      <c r="D757" s="25"/>
      <c r="E757" s="25"/>
      <c r="M757" s="12"/>
      <c r="N757" s="118"/>
      <c r="O757" s="118"/>
      <c r="P757" s="118"/>
      <c r="Q757" s="118"/>
    </row>
    <row r="758" spans="2:17" ht="14.25" customHeight="1" x14ac:dyDescent="0.3">
      <c r="B758" s="23"/>
      <c r="D758" s="25"/>
      <c r="E758" s="25"/>
      <c r="M758" s="12"/>
      <c r="N758" s="118"/>
      <c r="O758" s="118"/>
      <c r="P758" s="118"/>
      <c r="Q758" s="118"/>
    </row>
    <row r="759" spans="2:17" ht="14.25" customHeight="1" x14ac:dyDescent="0.3">
      <c r="B759" s="23"/>
      <c r="D759" s="25"/>
      <c r="E759" s="25"/>
      <c r="M759" s="12"/>
      <c r="N759" s="118"/>
      <c r="O759" s="118"/>
      <c r="P759" s="118"/>
      <c r="Q759" s="118"/>
    </row>
    <row r="760" spans="2:17" ht="14.25" customHeight="1" x14ac:dyDescent="0.3">
      <c r="B760" s="23"/>
      <c r="D760" s="25"/>
      <c r="E760" s="25"/>
      <c r="M760" s="12"/>
      <c r="N760" s="118"/>
      <c r="O760" s="118"/>
      <c r="P760" s="118"/>
      <c r="Q760" s="118"/>
    </row>
    <row r="761" spans="2:17" ht="14.25" customHeight="1" x14ac:dyDescent="0.3">
      <c r="B761" s="23"/>
      <c r="D761" s="25"/>
      <c r="E761" s="25"/>
      <c r="M761" s="12"/>
      <c r="N761" s="118"/>
      <c r="O761" s="118"/>
      <c r="P761" s="118"/>
      <c r="Q761" s="118"/>
    </row>
    <row r="762" spans="2:17" ht="14.25" customHeight="1" x14ac:dyDescent="0.3">
      <c r="B762" s="23"/>
      <c r="D762" s="25"/>
      <c r="E762" s="25"/>
      <c r="M762" s="12"/>
      <c r="N762" s="118"/>
      <c r="O762" s="118"/>
      <c r="P762" s="118"/>
      <c r="Q762" s="118"/>
    </row>
    <row r="763" spans="2:17" ht="14.25" customHeight="1" x14ac:dyDescent="0.3">
      <c r="B763" s="23"/>
      <c r="D763" s="25"/>
      <c r="E763" s="25"/>
      <c r="M763" s="12"/>
      <c r="N763" s="118"/>
      <c r="O763" s="118"/>
      <c r="P763" s="118"/>
      <c r="Q763" s="118"/>
    </row>
    <row r="764" spans="2:17" ht="14.25" customHeight="1" x14ac:dyDescent="0.3">
      <c r="B764" s="23"/>
      <c r="D764" s="25"/>
      <c r="E764" s="25"/>
      <c r="M764" s="12"/>
      <c r="N764" s="118"/>
      <c r="O764" s="118"/>
      <c r="P764" s="118"/>
      <c r="Q764" s="118"/>
    </row>
    <row r="765" spans="2:17" ht="14.25" customHeight="1" x14ac:dyDescent="0.3">
      <c r="B765" s="23"/>
      <c r="D765" s="25"/>
      <c r="E765" s="25"/>
      <c r="M765" s="12"/>
      <c r="N765" s="118"/>
      <c r="O765" s="118"/>
      <c r="P765" s="118"/>
      <c r="Q765" s="118"/>
    </row>
    <row r="766" spans="2:17" ht="14.25" customHeight="1" x14ac:dyDescent="0.3">
      <c r="B766" s="23"/>
      <c r="D766" s="25"/>
      <c r="E766" s="25"/>
      <c r="M766" s="12"/>
      <c r="N766" s="118"/>
      <c r="O766" s="118"/>
      <c r="P766" s="118"/>
      <c r="Q766" s="118"/>
    </row>
    <row r="767" spans="2:17" ht="14.25" customHeight="1" x14ac:dyDescent="0.3">
      <c r="B767" s="23"/>
      <c r="D767" s="25"/>
      <c r="E767" s="25"/>
      <c r="M767" s="12"/>
      <c r="N767" s="118"/>
      <c r="O767" s="118"/>
      <c r="P767" s="118"/>
      <c r="Q767" s="118"/>
    </row>
    <row r="768" spans="2:17" ht="14.25" customHeight="1" x14ac:dyDescent="0.3">
      <c r="B768" s="23"/>
      <c r="D768" s="25"/>
      <c r="E768" s="25"/>
      <c r="M768" s="12"/>
      <c r="N768" s="118"/>
      <c r="O768" s="118"/>
      <c r="P768" s="118"/>
      <c r="Q768" s="118"/>
    </row>
    <row r="769" spans="2:17" ht="14.25" customHeight="1" x14ac:dyDescent="0.3">
      <c r="B769" s="23"/>
      <c r="D769" s="25"/>
      <c r="E769" s="25"/>
      <c r="M769" s="12"/>
      <c r="N769" s="118"/>
      <c r="O769" s="118"/>
      <c r="P769" s="118"/>
      <c r="Q769" s="118"/>
    </row>
    <row r="770" spans="2:17" ht="14.25" customHeight="1" x14ac:dyDescent="0.3">
      <c r="B770" s="23"/>
      <c r="D770" s="25"/>
      <c r="E770" s="25"/>
      <c r="M770" s="12"/>
      <c r="N770" s="118"/>
      <c r="O770" s="118"/>
      <c r="P770" s="118"/>
      <c r="Q770" s="118"/>
    </row>
    <row r="771" spans="2:17" ht="14.25" customHeight="1" x14ac:dyDescent="0.3">
      <c r="B771" s="23"/>
      <c r="D771" s="25"/>
      <c r="E771" s="25"/>
      <c r="M771" s="12"/>
      <c r="N771" s="118"/>
      <c r="O771" s="118"/>
      <c r="P771" s="118"/>
      <c r="Q771" s="118"/>
    </row>
    <row r="772" spans="2:17" ht="14.25" customHeight="1" x14ac:dyDescent="0.3">
      <c r="B772" s="23"/>
      <c r="D772" s="25"/>
      <c r="E772" s="25"/>
      <c r="M772" s="12"/>
      <c r="N772" s="118"/>
      <c r="O772" s="118"/>
      <c r="P772" s="118"/>
      <c r="Q772" s="118"/>
    </row>
    <row r="773" spans="2:17" ht="14.25" customHeight="1" x14ac:dyDescent="0.3">
      <c r="B773" s="23"/>
      <c r="D773" s="25"/>
      <c r="E773" s="25"/>
      <c r="M773" s="12"/>
      <c r="N773" s="118"/>
      <c r="O773" s="118"/>
      <c r="P773" s="118"/>
      <c r="Q773" s="118"/>
    </row>
    <row r="774" spans="2:17" ht="14.25" customHeight="1" x14ac:dyDescent="0.3">
      <c r="B774" s="23"/>
      <c r="D774" s="25"/>
      <c r="E774" s="25"/>
      <c r="M774" s="12"/>
      <c r="N774" s="118"/>
      <c r="O774" s="118"/>
      <c r="P774" s="118"/>
      <c r="Q774" s="118"/>
    </row>
    <row r="775" spans="2:17" ht="14.25" customHeight="1" x14ac:dyDescent="0.3">
      <c r="B775" s="23"/>
      <c r="D775" s="25"/>
      <c r="E775" s="25"/>
      <c r="M775" s="12"/>
      <c r="N775" s="118"/>
      <c r="O775" s="118"/>
      <c r="P775" s="118"/>
      <c r="Q775" s="118"/>
    </row>
    <row r="776" spans="2:17" ht="14.25" customHeight="1" x14ac:dyDescent="0.3">
      <c r="B776" s="23"/>
      <c r="D776" s="25"/>
      <c r="E776" s="25"/>
      <c r="M776" s="12"/>
      <c r="N776" s="118"/>
      <c r="O776" s="118"/>
      <c r="P776" s="118"/>
      <c r="Q776" s="118"/>
    </row>
    <row r="777" spans="2:17" ht="14.25" customHeight="1" x14ac:dyDescent="0.3">
      <c r="B777" s="23"/>
      <c r="D777" s="25"/>
      <c r="E777" s="25"/>
      <c r="M777" s="12"/>
      <c r="N777" s="118"/>
      <c r="O777" s="118"/>
      <c r="P777" s="118"/>
      <c r="Q777" s="118"/>
    </row>
    <row r="778" spans="2:17" ht="14.25" customHeight="1" x14ac:dyDescent="0.3">
      <c r="B778" s="23"/>
      <c r="D778" s="25"/>
      <c r="E778" s="25"/>
      <c r="M778" s="12"/>
      <c r="N778" s="118"/>
      <c r="O778" s="118"/>
      <c r="P778" s="118"/>
      <c r="Q778" s="118"/>
    </row>
    <row r="779" spans="2:17" ht="14.25" customHeight="1" x14ac:dyDescent="0.3">
      <c r="B779" s="23"/>
      <c r="D779" s="25"/>
      <c r="E779" s="25"/>
      <c r="M779" s="12"/>
      <c r="N779" s="118"/>
      <c r="O779" s="118"/>
      <c r="P779" s="118"/>
      <c r="Q779" s="118"/>
    </row>
    <row r="780" spans="2:17" ht="14.25" customHeight="1" x14ac:dyDescent="0.3">
      <c r="B780" s="23"/>
      <c r="D780" s="25"/>
      <c r="E780" s="25"/>
      <c r="M780" s="12"/>
      <c r="N780" s="118"/>
      <c r="O780" s="118"/>
      <c r="P780" s="118"/>
      <c r="Q780" s="118"/>
    </row>
    <row r="781" spans="2:17" ht="14.25" customHeight="1" x14ac:dyDescent="0.3">
      <c r="B781" s="23"/>
      <c r="D781" s="25"/>
      <c r="E781" s="25"/>
      <c r="M781" s="12"/>
      <c r="N781" s="118"/>
      <c r="O781" s="118"/>
      <c r="P781" s="118"/>
      <c r="Q781" s="118"/>
    </row>
    <row r="782" spans="2:17" ht="14.25" customHeight="1" x14ac:dyDescent="0.3">
      <c r="B782" s="23"/>
      <c r="D782" s="25"/>
      <c r="E782" s="25"/>
      <c r="M782" s="12"/>
      <c r="N782" s="118"/>
      <c r="O782" s="118"/>
      <c r="P782" s="118"/>
      <c r="Q782" s="118"/>
    </row>
    <row r="783" spans="2:17" ht="14.25" customHeight="1" x14ac:dyDescent="0.3">
      <c r="B783" s="23"/>
      <c r="D783" s="25"/>
      <c r="E783" s="25"/>
      <c r="M783" s="12"/>
      <c r="N783" s="118"/>
      <c r="O783" s="118"/>
      <c r="P783" s="118"/>
      <c r="Q783" s="118"/>
    </row>
    <row r="784" spans="2:17" ht="14.25" customHeight="1" x14ac:dyDescent="0.3">
      <c r="B784" s="23"/>
      <c r="D784" s="25"/>
      <c r="E784" s="25"/>
      <c r="M784" s="12"/>
      <c r="N784" s="118"/>
      <c r="O784" s="118"/>
      <c r="P784" s="118"/>
      <c r="Q784" s="118"/>
    </row>
    <row r="785" spans="2:17" ht="14.25" customHeight="1" x14ac:dyDescent="0.3">
      <c r="B785" s="23"/>
      <c r="D785" s="25"/>
      <c r="E785" s="25"/>
      <c r="M785" s="12"/>
      <c r="N785" s="118"/>
      <c r="O785" s="118"/>
      <c r="P785" s="118"/>
      <c r="Q785" s="118"/>
    </row>
    <row r="786" spans="2:17" ht="14.25" customHeight="1" x14ac:dyDescent="0.3">
      <c r="B786" s="23"/>
      <c r="D786" s="25"/>
      <c r="E786" s="25"/>
      <c r="M786" s="12"/>
      <c r="N786" s="118"/>
      <c r="O786" s="118"/>
      <c r="P786" s="118"/>
      <c r="Q786" s="118"/>
    </row>
    <row r="787" spans="2:17" ht="14.25" customHeight="1" x14ac:dyDescent="0.3">
      <c r="B787" s="23"/>
      <c r="D787" s="25"/>
      <c r="E787" s="25"/>
      <c r="M787" s="12"/>
      <c r="N787" s="118"/>
      <c r="O787" s="118"/>
      <c r="P787" s="118"/>
      <c r="Q787" s="118"/>
    </row>
    <row r="788" spans="2:17" ht="14.25" customHeight="1" x14ac:dyDescent="0.3">
      <c r="B788" s="23"/>
      <c r="D788" s="25"/>
      <c r="E788" s="25"/>
      <c r="M788" s="12"/>
      <c r="N788" s="118"/>
      <c r="O788" s="118"/>
      <c r="P788" s="118"/>
      <c r="Q788" s="118"/>
    </row>
    <row r="789" spans="2:17" ht="14.25" customHeight="1" x14ac:dyDescent="0.3">
      <c r="B789" s="23"/>
      <c r="D789" s="25"/>
      <c r="E789" s="25"/>
      <c r="M789" s="12"/>
      <c r="N789" s="118"/>
      <c r="O789" s="118"/>
      <c r="P789" s="118"/>
      <c r="Q789" s="118"/>
    </row>
    <row r="790" spans="2:17" ht="14.25" customHeight="1" x14ac:dyDescent="0.3">
      <c r="B790" s="23"/>
      <c r="D790" s="25"/>
      <c r="E790" s="25"/>
      <c r="M790" s="12"/>
      <c r="N790" s="118"/>
      <c r="O790" s="118"/>
      <c r="P790" s="118"/>
      <c r="Q790" s="118"/>
    </row>
    <row r="791" spans="2:17" ht="14.25" customHeight="1" x14ac:dyDescent="0.3">
      <c r="B791" s="23"/>
      <c r="D791" s="25"/>
      <c r="E791" s="25"/>
      <c r="M791" s="12"/>
      <c r="N791" s="118"/>
      <c r="O791" s="118"/>
      <c r="P791" s="118"/>
      <c r="Q791" s="118"/>
    </row>
    <row r="792" spans="2:17" ht="14.25" customHeight="1" x14ac:dyDescent="0.3">
      <c r="B792" s="23"/>
      <c r="D792" s="25"/>
      <c r="E792" s="25"/>
      <c r="M792" s="12"/>
      <c r="N792" s="118"/>
      <c r="O792" s="118"/>
      <c r="P792" s="118"/>
      <c r="Q792" s="118"/>
    </row>
    <row r="793" spans="2:17" ht="14.25" customHeight="1" x14ac:dyDescent="0.3">
      <c r="B793" s="23"/>
      <c r="D793" s="25"/>
      <c r="E793" s="25"/>
      <c r="M793" s="12"/>
      <c r="N793" s="118"/>
      <c r="O793" s="118"/>
      <c r="P793" s="118"/>
      <c r="Q793" s="118"/>
    </row>
    <row r="794" spans="2:17" ht="14.25" customHeight="1" x14ac:dyDescent="0.3">
      <c r="B794" s="23"/>
      <c r="D794" s="25"/>
      <c r="E794" s="25"/>
      <c r="M794" s="12"/>
      <c r="N794" s="118"/>
      <c r="O794" s="118"/>
      <c r="P794" s="118"/>
      <c r="Q794" s="118"/>
    </row>
    <row r="795" spans="2:17" ht="14.25" customHeight="1" x14ac:dyDescent="0.3">
      <c r="B795" s="23"/>
      <c r="D795" s="25"/>
      <c r="E795" s="25"/>
      <c r="M795" s="12"/>
      <c r="N795" s="118"/>
      <c r="O795" s="118"/>
      <c r="P795" s="118"/>
      <c r="Q795" s="118"/>
    </row>
    <row r="796" spans="2:17" ht="14.25" customHeight="1" x14ac:dyDescent="0.3">
      <c r="B796" s="23"/>
      <c r="D796" s="25"/>
      <c r="E796" s="25"/>
      <c r="M796" s="12"/>
      <c r="N796" s="118"/>
      <c r="O796" s="118"/>
      <c r="P796" s="118"/>
      <c r="Q796" s="118"/>
    </row>
    <row r="797" spans="2:17" ht="14.25" customHeight="1" x14ac:dyDescent="0.3">
      <c r="B797" s="23"/>
      <c r="D797" s="25"/>
      <c r="E797" s="25"/>
      <c r="M797" s="12"/>
      <c r="N797" s="118"/>
      <c r="O797" s="118"/>
      <c r="P797" s="118"/>
      <c r="Q797" s="118"/>
    </row>
    <row r="798" spans="2:17" ht="14.25" customHeight="1" x14ac:dyDescent="0.3">
      <c r="B798" s="23"/>
      <c r="D798" s="25"/>
      <c r="E798" s="25"/>
      <c r="M798" s="12"/>
      <c r="N798" s="118"/>
      <c r="O798" s="118"/>
      <c r="P798" s="118"/>
      <c r="Q798" s="118"/>
    </row>
    <row r="799" spans="2:17" ht="14.25" customHeight="1" x14ac:dyDescent="0.3">
      <c r="B799" s="23"/>
      <c r="D799" s="25"/>
      <c r="E799" s="25"/>
      <c r="M799" s="12"/>
      <c r="N799" s="118"/>
      <c r="O799" s="118"/>
      <c r="P799" s="118"/>
      <c r="Q799" s="118"/>
    </row>
    <row r="800" spans="2:17" ht="14.25" customHeight="1" x14ac:dyDescent="0.3">
      <c r="B800" s="23"/>
      <c r="D800" s="25"/>
      <c r="E800" s="25"/>
      <c r="M800" s="12"/>
      <c r="N800" s="118"/>
      <c r="O800" s="118"/>
      <c r="P800" s="118"/>
      <c r="Q800" s="118"/>
    </row>
    <row r="801" spans="2:17" ht="14.25" customHeight="1" x14ac:dyDescent="0.3">
      <c r="B801" s="23"/>
      <c r="D801" s="25"/>
      <c r="E801" s="25"/>
      <c r="M801" s="12"/>
      <c r="N801" s="118"/>
      <c r="O801" s="118"/>
      <c r="P801" s="118"/>
      <c r="Q801" s="118"/>
    </row>
    <row r="802" spans="2:17" ht="14.25" customHeight="1" x14ac:dyDescent="0.3">
      <c r="B802" s="23"/>
      <c r="D802" s="25"/>
      <c r="E802" s="25"/>
      <c r="M802" s="12"/>
      <c r="N802" s="118"/>
      <c r="O802" s="118"/>
      <c r="P802" s="118"/>
      <c r="Q802" s="118"/>
    </row>
    <row r="803" spans="2:17" ht="14.25" customHeight="1" x14ac:dyDescent="0.3">
      <c r="B803" s="23"/>
      <c r="D803" s="25"/>
      <c r="E803" s="25"/>
      <c r="M803" s="12"/>
      <c r="N803" s="118"/>
      <c r="O803" s="118"/>
      <c r="P803" s="118"/>
      <c r="Q803" s="118"/>
    </row>
    <row r="804" spans="2:17" ht="14.25" customHeight="1" x14ac:dyDescent="0.3">
      <c r="B804" s="23"/>
      <c r="D804" s="25"/>
      <c r="E804" s="25"/>
      <c r="M804" s="12"/>
      <c r="N804" s="118"/>
      <c r="O804" s="118"/>
      <c r="P804" s="118"/>
      <c r="Q804" s="118"/>
    </row>
    <row r="805" spans="2:17" ht="14.25" customHeight="1" x14ac:dyDescent="0.3">
      <c r="B805" s="23"/>
      <c r="D805" s="25"/>
      <c r="E805" s="25"/>
      <c r="M805" s="12"/>
      <c r="N805" s="118"/>
      <c r="O805" s="118"/>
      <c r="P805" s="118"/>
      <c r="Q805" s="118"/>
    </row>
    <row r="806" spans="2:17" ht="14.25" customHeight="1" x14ac:dyDescent="0.3">
      <c r="B806" s="23"/>
      <c r="D806" s="25"/>
      <c r="E806" s="25"/>
      <c r="M806" s="12"/>
      <c r="N806" s="118"/>
      <c r="O806" s="118"/>
      <c r="P806" s="118"/>
      <c r="Q806" s="118"/>
    </row>
    <row r="807" spans="2:17" ht="14.25" customHeight="1" x14ac:dyDescent="0.3">
      <c r="B807" s="23"/>
      <c r="D807" s="25"/>
      <c r="E807" s="25"/>
      <c r="M807" s="12"/>
      <c r="N807" s="118"/>
      <c r="O807" s="118"/>
      <c r="P807" s="118"/>
      <c r="Q807" s="118"/>
    </row>
    <row r="808" spans="2:17" ht="14.25" customHeight="1" x14ac:dyDescent="0.3">
      <c r="B808" s="23"/>
      <c r="D808" s="25"/>
      <c r="E808" s="25"/>
      <c r="M808" s="12"/>
      <c r="N808" s="118"/>
      <c r="O808" s="118"/>
      <c r="P808" s="118"/>
      <c r="Q808" s="118"/>
    </row>
    <row r="809" spans="2:17" ht="14.25" customHeight="1" x14ac:dyDescent="0.3">
      <c r="B809" s="23"/>
      <c r="D809" s="25"/>
      <c r="E809" s="25"/>
      <c r="M809" s="12"/>
      <c r="N809" s="118"/>
      <c r="O809" s="118"/>
      <c r="P809" s="118"/>
      <c r="Q809" s="118"/>
    </row>
    <row r="810" spans="2:17" ht="14.25" customHeight="1" x14ac:dyDescent="0.3">
      <c r="B810" s="23"/>
      <c r="D810" s="25"/>
      <c r="E810" s="25"/>
      <c r="M810" s="12"/>
      <c r="N810" s="118"/>
      <c r="O810" s="118"/>
      <c r="P810" s="118"/>
      <c r="Q810" s="118"/>
    </row>
    <row r="811" spans="2:17" ht="14.25" customHeight="1" x14ac:dyDescent="0.3">
      <c r="B811" s="23"/>
      <c r="D811" s="25"/>
      <c r="E811" s="25"/>
      <c r="M811" s="12"/>
      <c r="N811" s="118"/>
      <c r="O811" s="118"/>
      <c r="P811" s="118"/>
      <c r="Q811" s="118"/>
    </row>
    <row r="812" spans="2:17" ht="14.25" customHeight="1" x14ac:dyDescent="0.3">
      <c r="B812" s="23"/>
      <c r="D812" s="25"/>
      <c r="E812" s="25"/>
      <c r="M812" s="12"/>
      <c r="N812" s="118"/>
      <c r="O812" s="118"/>
      <c r="P812" s="118"/>
      <c r="Q812" s="118"/>
    </row>
    <row r="813" spans="2:17" ht="14.25" customHeight="1" x14ac:dyDescent="0.3">
      <c r="B813" s="23"/>
      <c r="D813" s="25"/>
      <c r="E813" s="25"/>
      <c r="M813" s="12"/>
      <c r="N813" s="118"/>
      <c r="O813" s="118"/>
      <c r="P813" s="118"/>
      <c r="Q813" s="118"/>
    </row>
    <row r="814" spans="2:17" ht="14.25" customHeight="1" x14ac:dyDescent="0.3">
      <c r="B814" s="23"/>
      <c r="D814" s="25"/>
      <c r="E814" s="25"/>
      <c r="M814" s="12"/>
      <c r="N814" s="118"/>
      <c r="O814" s="118"/>
      <c r="P814" s="118"/>
      <c r="Q814" s="118"/>
    </row>
    <row r="815" spans="2:17" ht="14.25" customHeight="1" x14ac:dyDescent="0.3">
      <c r="B815" s="23"/>
      <c r="D815" s="25"/>
      <c r="E815" s="25"/>
      <c r="M815" s="12"/>
      <c r="N815" s="118"/>
      <c r="O815" s="118"/>
      <c r="P815" s="118"/>
      <c r="Q815" s="118"/>
    </row>
    <row r="816" spans="2:17" ht="14.25" customHeight="1" x14ac:dyDescent="0.3">
      <c r="B816" s="23"/>
      <c r="D816" s="25"/>
      <c r="E816" s="25"/>
      <c r="M816" s="12"/>
      <c r="N816" s="118"/>
      <c r="O816" s="118"/>
      <c r="P816" s="118"/>
      <c r="Q816" s="118"/>
    </row>
    <row r="817" spans="2:17" ht="14.25" customHeight="1" x14ac:dyDescent="0.3">
      <c r="B817" s="23"/>
      <c r="D817" s="25"/>
      <c r="E817" s="25"/>
      <c r="M817" s="12"/>
      <c r="N817" s="118"/>
      <c r="O817" s="118"/>
      <c r="P817" s="118"/>
      <c r="Q817" s="118"/>
    </row>
    <row r="818" spans="2:17" ht="14.25" customHeight="1" x14ac:dyDescent="0.3">
      <c r="B818" s="23"/>
      <c r="D818" s="25"/>
      <c r="E818" s="25"/>
      <c r="M818" s="12"/>
      <c r="N818" s="118"/>
      <c r="O818" s="118"/>
      <c r="P818" s="118"/>
      <c r="Q818" s="118"/>
    </row>
    <row r="819" spans="2:17" ht="14.25" customHeight="1" x14ac:dyDescent="0.3">
      <c r="B819" s="23"/>
      <c r="D819" s="25"/>
      <c r="E819" s="25"/>
      <c r="M819" s="12"/>
      <c r="N819" s="118"/>
      <c r="O819" s="118"/>
      <c r="P819" s="118"/>
      <c r="Q819" s="118"/>
    </row>
    <row r="820" spans="2:17" ht="14.25" customHeight="1" x14ac:dyDescent="0.3">
      <c r="B820" s="23"/>
      <c r="D820" s="25"/>
      <c r="E820" s="25"/>
      <c r="M820" s="12"/>
      <c r="N820" s="118"/>
      <c r="O820" s="118"/>
      <c r="P820" s="118"/>
      <c r="Q820" s="118"/>
    </row>
    <row r="821" spans="2:17" ht="14.25" customHeight="1" x14ac:dyDescent="0.3">
      <c r="B821" s="23"/>
      <c r="D821" s="25"/>
      <c r="E821" s="25"/>
      <c r="M821" s="12"/>
      <c r="N821" s="118"/>
      <c r="O821" s="118"/>
      <c r="P821" s="118"/>
      <c r="Q821" s="118"/>
    </row>
    <row r="822" spans="2:17" ht="14.25" customHeight="1" x14ac:dyDescent="0.3">
      <c r="B822" s="23"/>
      <c r="D822" s="25"/>
      <c r="E822" s="25"/>
      <c r="M822" s="12"/>
      <c r="N822" s="118"/>
      <c r="O822" s="118"/>
      <c r="P822" s="118"/>
      <c r="Q822" s="118"/>
    </row>
    <row r="823" spans="2:17" ht="14.25" customHeight="1" x14ac:dyDescent="0.3">
      <c r="B823" s="23"/>
      <c r="D823" s="25"/>
      <c r="E823" s="25"/>
      <c r="M823" s="12"/>
      <c r="N823" s="118"/>
      <c r="O823" s="118"/>
      <c r="P823" s="118"/>
      <c r="Q823" s="118"/>
    </row>
    <row r="824" spans="2:17" ht="14.25" customHeight="1" x14ac:dyDescent="0.3">
      <c r="B824" s="23"/>
      <c r="D824" s="25"/>
      <c r="E824" s="25"/>
      <c r="M824" s="12"/>
      <c r="N824" s="118"/>
      <c r="O824" s="118"/>
      <c r="P824" s="118"/>
      <c r="Q824" s="118"/>
    </row>
    <row r="825" spans="2:17" ht="14.25" customHeight="1" x14ac:dyDescent="0.3">
      <c r="B825" s="23"/>
      <c r="D825" s="25"/>
      <c r="E825" s="25"/>
      <c r="M825" s="12"/>
      <c r="N825" s="118"/>
      <c r="O825" s="118"/>
      <c r="P825" s="118"/>
      <c r="Q825" s="118"/>
    </row>
    <row r="826" spans="2:17" ht="14.25" customHeight="1" x14ac:dyDescent="0.3">
      <c r="B826" s="23"/>
      <c r="D826" s="25"/>
      <c r="E826" s="25"/>
      <c r="M826" s="12"/>
      <c r="N826" s="118"/>
      <c r="O826" s="118"/>
      <c r="P826" s="118"/>
      <c r="Q826" s="118"/>
    </row>
    <row r="827" spans="2:17" ht="14.25" customHeight="1" x14ac:dyDescent="0.3">
      <c r="B827" s="23"/>
      <c r="D827" s="25"/>
      <c r="E827" s="25"/>
      <c r="M827" s="12"/>
      <c r="N827" s="118"/>
      <c r="O827" s="118"/>
      <c r="P827" s="118"/>
      <c r="Q827" s="118"/>
    </row>
    <row r="828" spans="2:17" ht="14.25" customHeight="1" x14ac:dyDescent="0.3">
      <c r="B828" s="23"/>
      <c r="D828" s="25"/>
      <c r="E828" s="25"/>
      <c r="M828" s="12"/>
      <c r="N828" s="118"/>
      <c r="O828" s="118"/>
      <c r="P828" s="118"/>
      <c r="Q828" s="118"/>
    </row>
    <row r="829" spans="2:17" ht="14.25" customHeight="1" x14ac:dyDescent="0.3">
      <c r="B829" s="23"/>
      <c r="D829" s="25"/>
      <c r="E829" s="25"/>
      <c r="M829" s="12"/>
      <c r="N829" s="118"/>
      <c r="O829" s="118"/>
      <c r="P829" s="118"/>
      <c r="Q829" s="118"/>
    </row>
    <row r="830" spans="2:17" ht="14.25" customHeight="1" x14ac:dyDescent="0.3">
      <c r="B830" s="23"/>
      <c r="D830" s="25"/>
      <c r="E830" s="25"/>
      <c r="M830" s="12"/>
      <c r="N830" s="118"/>
      <c r="O830" s="118"/>
      <c r="P830" s="118"/>
      <c r="Q830" s="118"/>
    </row>
    <row r="831" spans="2:17" ht="14.25" customHeight="1" x14ac:dyDescent="0.3">
      <c r="B831" s="23"/>
      <c r="D831" s="25"/>
      <c r="E831" s="25"/>
      <c r="M831" s="12"/>
      <c r="N831" s="118"/>
      <c r="O831" s="118"/>
      <c r="P831" s="118"/>
      <c r="Q831" s="118"/>
    </row>
    <row r="832" spans="2:17" ht="14.25" customHeight="1" x14ac:dyDescent="0.3">
      <c r="B832" s="23"/>
      <c r="D832" s="25"/>
      <c r="E832" s="25"/>
      <c r="M832" s="12"/>
      <c r="N832" s="118"/>
      <c r="O832" s="118"/>
      <c r="P832" s="118"/>
      <c r="Q832" s="118"/>
    </row>
    <row r="833" spans="2:17" ht="14.25" customHeight="1" x14ac:dyDescent="0.3">
      <c r="B833" s="23"/>
      <c r="D833" s="25"/>
      <c r="E833" s="25"/>
      <c r="M833" s="12"/>
      <c r="N833" s="118"/>
      <c r="O833" s="118"/>
      <c r="P833" s="118"/>
      <c r="Q833" s="118"/>
    </row>
    <row r="834" spans="2:17" ht="14.25" customHeight="1" x14ac:dyDescent="0.3">
      <c r="B834" s="23"/>
      <c r="D834" s="25"/>
      <c r="E834" s="25"/>
      <c r="M834" s="12"/>
      <c r="N834" s="118"/>
      <c r="O834" s="118"/>
      <c r="P834" s="118"/>
      <c r="Q834" s="118"/>
    </row>
    <row r="835" spans="2:17" ht="14.25" customHeight="1" x14ac:dyDescent="0.3">
      <c r="B835" s="23"/>
      <c r="D835" s="25"/>
      <c r="E835" s="25"/>
      <c r="M835" s="12"/>
      <c r="N835" s="118"/>
      <c r="O835" s="118"/>
      <c r="P835" s="118"/>
      <c r="Q835" s="118"/>
    </row>
    <row r="836" spans="2:17" ht="14.25" customHeight="1" x14ac:dyDescent="0.3">
      <c r="B836" s="23"/>
      <c r="D836" s="25"/>
      <c r="E836" s="25"/>
      <c r="M836" s="12"/>
      <c r="N836" s="118"/>
      <c r="O836" s="118"/>
      <c r="P836" s="118"/>
      <c r="Q836" s="118"/>
    </row>
    <row r="837" spans="2:17" ht="14.25" customHeight="1" x14ac:dyDescent="0.3">
      <c r="B837" s="23"/>
      <c r="D837" s="25"/>
      <c r="E837" s="25"/>
      <c r="M837" s="12"/>
      <c r="N837" s="118"/>
      <c r="O837" s="118"/>
      <c r="P837" s="118"/>
      <c r="Q837" s="118"/>
    </row>
    <row r="838" spans="2:17" ht="14.25" customHeight="1" x14ac:dyDescent="0.3">
      <c r="B838" s="23"/>
      <c r="D838" s="25"/>
      <c r="E838" s="25"/>
      <c r="M838" s="12"/>
      <c r="N838" s="118"/>
      <c r="O838" s="118"/>
      <c r="P838" s="118"/>
      <c r="Q838" s="118"/>
    </row>
    <row r="839" spans="2:17" ht="14.25" customHeight="1" x14ac:dyDescent="0.3">
      <c r="B839" s="23"/>
      <c r="D839" s="25"/>
      <c r="E839" s="25"/>
      <c r="M839" s="12"/>
      <c r="N839" s="118"/>
      <c r="O839" s="118"/>
      <c r="P839" s="118"/>
      <c r="Q839" s="118"/>
    </row>
    <row r="840" spans="2:17" ht="14.25" customHeight="1" x14ac:dyDescent="0.3">
      <c r="B840" s="23"/>
      <c r="D840" s="25"/>
      <c r="E840" s="25"/>
      <c r="M840" s="12"/>
      <c r="N840" s="118"/>
      <c r="O840" s="118"/>
      <c r="P840" s="118"/>
      <c r="Q840" s="118"/>
    </row>
    <row r="841" spans="2:17" ht="14.25" customHeight="1" x14ac:dyDescent="0.3">
      <c r="B841" s="23"/>
      <c r="D841" s="25"/>
      <c r="E841" s="25"/>
      <c r="M841" s="12"/>
      <c r="N841" s="118"/>
      <c r="O841" s="118"/>
      <c r="P841" s="118"/>
      <c r="Q841" s="118"/>
    </row>
    <row r="842" spans="2:17" ht="14.25" customHeight="1" x14ac:dyDescent="0.3">
      <c r="B842" s="23"/>
      <c r="D842" s="25"/>
      <c r="E842" s="25"/>
      <c r="M842" s="12"/>
      <c r="N842" s="118"/>
      <c r="O842" s="118"/>
      <c r="P842" s="118"/>
      <c r="Q842" s="118"/>
    </row>
    <row r="843" spans="2:17" ht="14.25" customHeight="1" x14ac:dyDescent="0.3">
      <c r="B843" s="23"/>
      <c r="D843" s="25"/>
      <c r="E843" s="25"/>
      <c r="M843" s="12"/>
      <c r="N843" s="118"/>
      <c r="O843" s="118"/>
      <c r="P843" s="118"/>
      <c r="Q843" s="118"/>
    </row>
    <row r="844" spans="2:17" ht="14.25" customHeight="1" x14ac:dyDescent="0.3">
      <c r="B844" s="23"/>
      <c r="D844" s="25"/>
      <c r="E844" s="25"/>
      <c r="M844" s="12"/>
      <c r="N844" s="118"/>
      <c r="O844" s="118"/>
      <c r="P844" s="118"/>
      <c r="Q844" s="118"/>
    </row>
    <row r="845" spans="2:17" ht="14.25" customHeight="1" x14ac:dyDescent="0.3">
      <c r="B845" s="23"/>
      <c r="D845" s="25"/>
      <c r="E845" s="25"/>
      <c r="M845" s="12"/>
      <c r="N845" s="118"/>
      <c r="O845" s="118"/>
      <c r="P845" s="118"/>
      <c r="Q845" s="118"/>
    </row>
    <row r="846" spans="2:17" ht="14.25" customHeight="1" x14ac:dyDescent="0.3">
      <c r="B846" s="23"/>
      <c r="D846" s="25"/>
      <c r="E846" s="25"/>
      <c r="M846" s="12"/>
      <c r="N846" s="118"/>
      <c r="O846" s="118"/>
      <c r="P846" s="118"/>
      <c r="Q846" s="118"/>
    </row>
    <row r="847" spans="2:17" ht="14.25" customHeight="1" x14ac:dyDescent="0.3">
      <c r="B847" s="23"/>
      <c r="D847" s="25"/>
      <c r="E847" s="25"/>
      <c r="M847" s="12"/>
      <c r="N847" s="118"/>
      <c r="O847" s="118"/>
      <c r="P847" s="118"/>
      <c r="Q847" s="118"/>
    </row>
    <row r="848" spans="2:17" ht="14.25" customHeight="1" x14ac:dyDescent="0.3">
      <c r="B848" s="23"/>
      <c r="D848" s="25"/>
      <c r="E848" s="25"/>
      <c r="M848" s="12"/>
      <c r="N848" s="118"/>
      <c r="O848" s="118"/>
      <c r="P848" s="118"/>
      <c r="Q848" s="118"/>
    </row>
    <row r="849" spans="2:17" ht="14.25" customHeight="1" x14ac:dyDescent="0.3">
      <c r="B849" s="23"/>
      <c r="D849" s="25"/>
      <c r="E849" s="25"/>
      <c r="M849" s="12"/>
      <c r="N849" s="118"/>
      <c r="O849" s="118"/>
      <c r="P849" s="118"/>
      <c r="Q849" s="118"/>
    </row>
    <row r="850" spans="2:17" ht="14.25" customHeight="1" x14ac:dyDescent="0.3">
      <c r="B850" s="23"/>
      <c r="D850" s="25"/>
      <c r="E850" s="25"/>
      <c r="M850" s="12"/>
      <c r="N850" s="118"/>
      <c r="O850" s="118"/>
      <c r="P850" s="118"/>
      <c r="Q850" s="118"/>
    </row>
    <row r="851" spans="2:17" ht="14.25" customHeight="1" x14ac:dyDescent="0.3">
      <c r="B851" s="23"/>
      <c r="D851" s="25"/>
      <c r="E851" s="25"/>
      <c r="M851" s="12"/>
      <c r="N851" s="118"/>
      <c r="O851" s="118"/>
      <c r="P851" s="118"/>
      <c r="Q851" s="118"/>
    </row>
    <row r="852" spans="2:17" ht="14.25" customHeight="1" x14ac:dyDescent="0.3">
      <c r="B852" s="23"/>
      <c r="D852" s="25"/>
      <c r="E852" s="25"/>
      <c r="M852" s="12"/>
      <c r="N852" s="118"/>
      <c r="O852" s="118"/>
      <c r="P852" s="118"/>
      <c r="Q852" s="118"/>
    </row>
    <row r="853" spans="2:17" ht="14.25" customHeight="1" x14ac:dyDescent="0.3">
      <c r="B853" s="23"/>
      <c r="D853" s="25"/>
      <c r="E853" s="25"/>
      <c r="M853" s="12"/>
      <c r="N853" s="118"/>
      <c r="O853" s="118"/>
      <c r="P853" s="118"/>
      <c r="Q853" s="118"/>
    </row>
    <row r="854" spans="2:17" ht="14.25" customHeight="1" x14ac:dyDescent="0.3">
      <c r="B854" s="23"/>
      <c r="D854" s="25"/>
      <c r="E854" s="25"/>
      <c r="M854" s="12"/>
      <c r="N854" s="118"/>
      <c r="O854" s="118"/>
      <c r="P854" s="118"/>
      <c r="Q854" s="118"/>
    </row>
    <row r="855" spans="2:17" ht="14.25" customHeight="1" x14ac:dyDescent="0.3">
      <c r="B855" s="23"/>
      <c r="D855" s="25"/>
      <c r="E855" s="25"/>
      <c r="M855" s="12"/>
      <c r="N855" s="118"/>
      <c r="O855" s="118"/>
      <c r="P855" s="118"/>
      <c r="Q855" s="118"/>
    </row>
    <row r="856" spans="2:17" ht="14.25" customHeight="1" x14ac:dyDescent="0.3">
      <c r="B856" s="23"/>
      <c r="D856" s="25"/>
      <c r="E856" s="25"/>
      <c r="M856" s="12"/>
      <c r="N856" s="118"/>
      <c r="O856" s="118"/>
      <c r="P856" s="118"/>
      <c r="Q856" s="118"/>
    </row>
    <row r="857" spans="2:17" ht="14.25" customHeight="1" x14ac:dyDescent="0.3">
      <c r="B857" s="23"/>
      <c r="D857" s="25"/>
      <c r="E857" s="25"/>
      <c r="M857" s="12"/>
      <c r="N857" s="118"/>
      <c r="O857" s="118"/>
      <c r="P857" s="118"/>
      <c r="Q857" s="118"/>
    </row>
    <row r="858" spans="2:17" ht="14.25" customHeight="1" x14ac:dyDescent="0.3">
      <c r="B858" s="23"/>
      <c r="D858" s="25"/>
      <c r="E858" s="25"/>
      <c r="M858" s="12"/>
      <c r="N858" s="118"/>
      <c r="O858" s="118"/>
      <c r="P858" s="118"/>
      <c r="Q858" s="118"/>
    </row>
    <row r="859" spans="2:17" ht="14.25" customHeight="1" x14ac:dyDescent="0.3">
      <c r="B859" s="23"/>
      <c r="D859" s="25"/>
      <c r="E859" s="25"/>
      <c r="M859" s="12"/>
      <c r="N859" s="118"/>
      <c r="O859" s="118"/>
      <c r="P859" s="118"/>
      <c r="Q859" s="118"/>
    </row>
    <row r="860" spans="2:17" ht="14.25" customHeight="1" x14ac:dyDescent="0.3">
      <c r="B860" s="23"/>
      <c r="D860" s="25"/>
      <c r="E860" s="25"/>
      <c r="M860" s="12"/>
      <c r="N860" s="118"/>
      <c r="O860" s="118"/>
      <c r="P860" s="118"/>
      <c r="Q860" s="118"/>
    </row>
    <row r="861" spans="2:17" ht="14.25" customHeight="1" x14ac:dyDescent="0.3">
      <c r="B861" s="23"/>
      <c r="D861" s="25"/>
      <c r="E861" s="25"/>
      <c r="M861" s="12"/>
      <c r="N861" s="118"/>
      <c r="O861" s="118"/>
      <c r="P861" s="118"/>
      <c r="Q861" s="118"/>
    </row>
    <row r="862" spans="2:17" ht="14.25" customHeight="1" x14ac:dyDescent="0.3">
      <c r="B862" s="23"/>
      <c r="D862" s="25"/>
      <c r="E862" s="25"/>
      <c r="M862" s="12"/>
      <c r="N862" s="118"/>
      <c r="O862" s="118"/>
      <c r="P862" s="118"/>
      <c r="Q862" s="118"/>
    </row>
    <row r="863" spans="2:17" ht="14.25" customHeight="1" x14ac:dyDescent="0.3">
      <c r="B863" s="23"/>
      <c r="D863" s="25"/>
      <c r="E863" s="25"/>
      <c r="M863" s="12"/>
      <c r="N863" s="118"/>
      <c r="O863" s="118"/>
      <c r="P863" s="118"/>
      <c r="Q863" s="118"/>
    </row>
    <row r="864" spans="2:17" ht="14.25" customHeight="1" x14ac:dyDescent="0.3">
      <c r="B864" s="23"/>
      <c r="D864" s="25"/>
      <c r="E864" s="25"/>
      <c r="M864" s="12"/>
      <c r="N864" s="118"/>
      <c r="O864" s="118"/>
      <c r="P864" s="118"/>
      <c r="Q864" s="118"/>
    </row>
    <row r="865" spans="2:17" ht="14.25" customHeight="1" x14ac:dyDescent="0.3">
      <c r="B865" s="23"/>
      <c r="D865" s="25"/>
      <c r="E865" s="25"/>
      <c r="M865" s="12"/>
      <c r="N865" s="118"/>
      <c r="O865" s="118"/>
      <c r="P865" s="118"/>
      <c r="Q865" s="118"/>
    </row>
    <row r="866" spans="2:17" ht="14.25" customHeight="1" x14ac:dyDescent="0.3">
      <c r="B866" s="23"/>
      <c r="D866" s="25"/>
      <c r="E866" s="25"/>
      <c r="M866" s="12"/>
      <c r="N866" s="118"/>
      <c r="O866" s="118"/>
      <c r="P866" s="118"/>
      <c r="Q866" s="118"/>
    </row>
    <row r="867" spans="2:17" ht="14.25" customHeight="1" x14ac:dyDescent="0.3">
      <c r="B867" s="23"/>
      <c r="D867" s="25"/>
      <c r="E867" s="25"/>
      <c r="M867" s="12"/>
      <c r="N867" s="118"/>
      <c r="O867" s="118"/>
      <c r="P867" s="118"/>
      <c r="Q867" s="118"/>
    </row>
    <row r="868" spans="2:17" ht="14.25" customHeight="1" x14ac:dyDescent="0.3">
      <c r="B868" s="23"/>
      <c r="D868" s="25"/>
      <c r="E868" s="25"/>
      <c r="M868" s="12"/>
      <c r="N868" s="118"/>
      <c r="O868" s="118"/>
      <c r="P868" s="118"/>
      <c r="Q868" s="118"/>
    </row>
    <row r="869" spans="2:17" ht="14.25" customHeight="1" x14ac:dyDescent="0.3">
      <c r="B869" s="23"/>
      <c r="D869" s="25"/>
      <c r="E869" s="25"/>
      <c r="M869" s="12"/>
      <c r="N869" s="118"/>
      <c r="O869" s="118"/>
      <c r="P869" s="118"/>
      <c r="Q869" s="118"/>
    </row>
    <row r="870" spans="2:17" ht="14.25" customHeight="1" x14ac:dyDescent="0.3">
      <c r="B870" s="23"/>
      <c r="D870" s="25"/>
      <c r="E870" s="25"/>
      <c r="M870" s="12"/>
      <c r="N870" s="118"/>
      <c r="O870" s="118"/>
      <c r="P870" s="118"/>
      <c r="Q870" s="118"/>
    </row>
    <row r="871" spans="2:17" ht="14.25" customHeight="1" x14ac:dyDescent="0.3">
      <c r="B871" s="23"/>
      <c r="D871" s="25"/>
      <c r="E871" s="25"/>
      <c r="M871" s="12"/>
      <c r="N871" s="118"/>
      <c r="O871" s="118"/>
      <c r="P871" s="118"/>
      <c r="Q871" s="118"/>
    </row>
    <row r="872" spans="2:17" ht="14.25" customHeight="1" x14ac:dyDescent="0.3">
      <c r="B872" s="23"/>
      <c r="D872" s="25"/>
      <c r="E872" s="25"/>
      <c r="M872" s="12"/>
      <c r="N872" s="118"/>
      <c r="O872" s="118"/>
      <c r="P872" s="118"/>
      <c r="Q872" s="118"/>
    </row>
    <row r="873" spans="2:17" ht="14.25" customHeight="1" x14ac:dyDescent="0.3">
      <c r="B873" s="23"/>
      <c r="D873" s="25"/>
      <c r="E873" s="25"/>
      <c r="M873" s="12"/>
      <c r="N873" s="118"/>
      <c r="O873" s="118"/>
      <c r="P873" s="118"/>
      <c r="Q873" s="118"/>
    </row>
    <row r="874" spans="2:17" ht="14.25" customHeight="1" x14ac:dyDescent="0.3">
      <c r="B874" s="23"/>
      <c r="D874" s="25"/>
      <c r="E874" s="25"/>
      <c r="M874" s="12"/>
      <c r="N874" s="118"/>
      <c r="O874" s="118"/>
      <c r="P874" s="118"/>
      <c r="Q874" s="118"/>
    </row>
    <row r="875" spans="2:17" ht="14.25" customHeight="1" x14ac:dyDescent="0.3">
      <c r="B875" s="23"/>
      <c r="D875" s="25"/>
      <c r="E875" s="25"/>
      <c r="M875" s="12"/>
      <c r="N875" s="118"/>
      <c r="O875" s="118"/>
      <c r="P875" s="118"/>
      <c r="Q875" s="118"/>
    </row>
    <row r="876" spans="2:17" ht="14.25" customHeight="1" x14ac:dyDescent="0.3">
      <c r="B876" s="23"/>
      <c r="D876" s="25"/>
      <c r="E876" s="25"/>
      <c r="M876" s="12"/>
      <c r="N876" s="118"/>
      <c r="O876" s="118"/>
      <c r="P876" s="118"/>
      <c r="Q876" s="118"/>
    </row>
    <row r="877" spans="2:17" ht="14.25" customHeight="1" x14ac:dyDescent="0.3">
      <c r="B877" s="23"/>
      <c r="D877" s="25"/>
      <c r="E877" s="25"/>
      <c r="M877" s="12"/>
      <c r="N877" s="118"/>
      <c r="O877" s="118"/>
      <c r="P877" s="118"/>
      <c r="Q877" s="118"/>
    </row>
    <row r="878" spans="2:17" ht="14.25" customHeight="1" x14ac:dyDescent="0.3">
      <c r="B878" s="23"/>
      <c r="D878" s="25"/>
      <c r="E878" s="25"/>
      <c r="M878" s="12"/>
      <c r="N878" s="118"/>
      <c r="O878" s="118"/>
      <c r="P878" s="118"/>
      <c r="Q878" s="118"/>
    </row>
    <row r="879" spans="2:17" ht="14.25" customHeight="1" x14ac:dyDescent="0.3">
      <c r="B879" s="23"/>
      <c r="D879" s="25"/>
      <c r="E879" s="25"/>
      <c r="M879" s="12"/>
      <c r="N879" s="118"/>
      <c r="O879" s="118"/>
      <c r="P879" s="118"/>
      <c r="Q879" s="118"/>
    </row>
    <row r="880" spans="2:17" ht="14.25" customHeight="1" x14ac:dyDescent="0.3">
      <c r="B880" s="23"/>
      <c r="D880" s="25"/>
      <c r="E880" s="25"/>
      <c r="M880" s="12"/>
      <c r="N880" s="118"/>
      <c r="O880" s="118"/>
      <c r="P880" s="118"/>
      <c r="Q880" s="118"/>
    </row>
    <row r="881" spans="2:17" ht="14.25" customHeight="1" x14ac:dyDescent="0.3">
      <c r="B881" s="23"/>
      <c r="D881" s="25"/>
      <c r="E881" s="25"/>
      <c r="M881" s="12"/>
      <c r="N881" s="118"/>
      <c r="O881" s="118"/>
      <c r="P881" s="118"/>
      <c r="Q881" s="118"/>
    </row>
    <row r="882" spans="2:17" ht="14.25" customHeight="1" x14ac:dyDescent="0.3">
      <c r="B882" s="23"/>
      <c r="D882" s="25"/>
      <c r="E882" s="25"/>
      <c r="M882" s="12"/>
      <c r="N882" s="118"/>
      <c r="O882" s="118"/>
      <c r="P882" s="118"/>
      <c r="Q882" s="118"/>
    </row>
    <row r="883" spans="2:17" ht="14.25" customHeight="1" x14ac:dyDescent="0.3">
      <c r="B883" s="23"/>
      <c r="D883" s="25"/>
      <c r="E883" s="25"/>
      <c r="M883" s="12"/>
      <c r="N883" s="118"/>
      <c r="O883" s="118"/>
      <c r="P883" s="118"/>
      <c r="Q883" s="118"/>
    </row>
    <row r="884" spans="2:17" ht="14.25" customHeight="1" x14ac:dyDescent="0.3">
      <c r="B884" s="23"/>
      <c r="D884" s="25"/>
      <c r="E884" s="25"/>
      <c r="M884" s="12"/>
      <c r="N884" s="118"/>
      <c r="O884" s="118"/>
      <c r="P884" s="118"/>
      <c r="Q884" s="118"/>
    </row>
    <row r="885" spans="2:17" ht="14.25" customHeight="1" x14ac:dyDescent="0.3">
      <c r="B885" s="23"/>
      <c r="D885" s="25"/>
      <c r="E885" s="25"/>
      <c r="M885" s="12"/>
      <c r="N885" s="118"/>
      <c r="O885" s="118"/>
      <c r="P885" s="118"/>
      <c r="Q885" s="118"/>
    </row>
    <row r="886" spans="2:17" ht="14.25" customHeight="1" x14ac:dyDescent="0.3">
      <c r="B886" s="23"/>
      <c r="D886" s="25"/>
      <c r="E886" s="25"/>
      <c r="M886" s="12"/>
      <c r="N886" s="118"/>
      <c r="O886" s="118"/>
      <c r="P886" s="118"/>
      <c r="Q886" s="118"/>
    </row>
    <row r="887" spans="2:17" ht="14.25" customHeight="1" x14ac:dyDescent="0.3">
      <c r="B887" s="23"/>
      <c r="D887" s="25"/>
      <c r="E887" s="25"/>
      <c r="M887" s="12"/>
      <c r="N887" s="118"/>
      <c r="O887" s="118"/>
      <c r="P887" s="118"/>
      <c r="Q887" s="118"/>
    </row>
    <row r="888" spans="2:17" ht="14.25" customHeight="1" x14ac:dyDescent="0.3">
      <c r="B888" s="23"/>
      <c r="D888" s="25"/>
      <c r="E888" s="25"/>
      <c r="M888" s="12"/>
      <c r="N888" s="118"/>
      <c r="O888" s="118"/>
      <c r="P888" s="118"/>
      <c r="Q888" s="118"/>
    </row>
    <row r="889" spans="2:17" ht="14.25" customHeight="1" x14ac:dyDescent="0.3">
      <c r="B889" s="23"/>
      <c r="D889" s="25"/>
      <c r="E889" s="25"/>
      <c r="M889" s="12"/>
      <c r="N889" s="118"/>
      <c r="O889" s="118"/>
      <c r="P889" s="118"/>
      <c r="Q889" s="118"/>
    </row>
    <row r="890" spans="2:17" ht="14.25" customHeight="1" x14ac:dyDescent="0.3">
      <c r="B890" s="23"/>
      <c r="D890" s="25"/>
      <c r="E890" s="25"/>
      <c r="M890" s="12"/>
      <c r="N890" s="118"/>
      <c r="O890" s="118"/>
      <c r="P890" s="118"/>
      <c r="Q890" s="118"/>
    </row>
    <row r="891" spans="2:17" ht="14.25" customHeight="1" x14ac:dyDescent="0.3">
      <c r="B891" s="23"/>
      <c r="D891" s="25"/>
      <c r="E891" s="25"/>
      <c r="M891" s="12"/>
      <c r="N891" s="118"/>
      <c r="O891" s="118"/>
      <c r="P891" s="118"/>
      <c r="Q891" s="118"/>
    </row>
    <row r="892" spans="2:17" ht="14.25" customHeight="1" x14ac:dyDescent="0.3">
      <c r="B892" s="23"/>
      <c r="D892" s="25"/>
      <c r="E892" s="25"/>
      <c r="M892" s="12"/>
      <c r="N892" s="118"/>
      <c r="O892" s="118"/>
      <c r="P892" s="118"/>
      <c r="Q892" s="118"/>
    </row>
    <row r="893" spans="2:17" ht="14.25" customHeight="1" x14ac:dyDescent="0.3">
      <c r="B893" s="23"/>
      <c r="D893" s="25"/>
      <c r="E893" s="25"/>
      <c r="M893" s="12"/>
      <c r="N893" s="118"/>
      <c r="O893" s="118"/>
      <c r="P893" s="118"/>
      <c r="Q893" s="118"/>
    </row>
    <row r="894" spans="2:17" ht="14.25" customHeight="1" x14ac:dyDescent="0.3">
      <c r="B894" s="23"/>
      <c r="D894" s="25"/>
      <c r="E894" s="25"/>
      <c r="M894" s="12"/>
      <c r="N894" s="118"/>
      <c r="O894" s="118"/>
      <c r="P894" s="118"/>
      <c r="Q894" s="118"/>
    </row>
    <row r="895" spans="2:17" ht="14.25" customHeight="1" x14ac:dyDescent="0.3">
      <c r="B895" s="23"/>
      <c r="D895" s="25"/>
      <c r="E895" s="25"/>
      <c r="M895" s="12"/>
      <c r="N895" s="118"/>
      <c r="O895" s="118"/>
      <c r="P895" s="118"/>
      <c r="Q895" s="118"/>
    </row>
    <row r="896" spans="2:17" ht="14.25" customHeight="1" x14ac:dyDescent="0.3">
      <c r="B896" s="23"/>
      <c r="D896" s="25"/>
      <c r="E896" s="25"/>
      <c r="M896" s="12"/>
      <c r="N896" s="118"/>
      <c r="O896" s="118"/>
      <c r="P896" s="118"/>
      <c r="Q896" s="118"/>
    </row>
    <row r="897" spans="2:17" ht="14.25" customHeight="1" x14ac:dyDescent="0.3">
      <c r="B897" s="23"/>
      <c r="D897" s="25"/>
      <c r="E897" s="25"/>
      <c r="M897" s="12"/>
      <c r="N897" s="118"/>
      <c r="O897" s="118"/>
      <c r="P897" s="118"/>
      <c r="Q897" s="118"/>
    </row>
    <row r="898" spans="2:17" ht="14.25" customHeight="1" x14ac:dyDescent="0.3">
      <c r="B898" s="23"/>
      <c r="D898" s="25"/>
      <c r="E898" s="25"/>
      <c r="M898" s="12"/>
      <c r="N898" s="118"/>
      <c r="O898" s="118"/>
      <c r="P898" s="118"/>
      <c r="Q898" s="118"/>
    </row>
    <row r="899" spans="2:17" ht="14.25" customHeight="1" x14ac:dyDescent="0.3">
      <c r="B899" s="23"/>
      <c r="D899" s="25"/>
      <c r="E899" s="25"/>
      <c r="M899" s="12"/>
      <c r="N899" s="118"/>
      <c r="O899" s="118"/>
      <c r="P899" s="118"/>
      <c r="Q899" s="118"/>
    </row>
    <row r="900" spans="2:17" ht="14.25" customHeight="1" x14ac:dyDescent="0.3">
      <c r="B900" s="23"/>
      <c r="D900" s="25"/>
      <c r="E900" s="25"/>
      <c r="M900" s="12"/>
      <c r="N900" s="118"/>
      <c r="O900" s="118"/>
      <c r="P900" s="118"/>
      <c r="Q900" s="118"/>
    </row>
    <row r="901" spans="2:17" ht="14.25" customHeight="1" x14ac:dyDescent="0.3">
      <c r="B901" s="23"/>
      <c r="D901" s="25"/>
      <c r="E901" s="25"/>
      <c r="M901" s="12"/>
      <c r="N901" s="118"/>
      <c r="O901" s="118"/>
      <c r="P901" s="118"/>
      <c r="Q901" s="118"/>
    </row>
    <row r="902" spans="2:17" ht="14.25" customHeight="1" x14ac:dyDescent="0.3">
      <c r="B902" s="23"/>
      <c r="D902" s="25"/>
      <c r="E902" s="25"/>
      <c r="M902" s="12"/>
      <c r="N902" s="118"/>
      <c r="O902" s="118"/>
      <c r="P902" s="118"/>
      <c r="Q902" s="118"/>
    </row>
    <row r="903" spans="2:17" ht="14.25" customHeight="1" x14ac:dyDescent="0.3">
      <c r="B903" s="23"/>
      <c r="D903" s="25"/>
      <c r="E903" s="25"/>
      <c r="M903" s="12"/>
      <c r="N903" s="118"/>
      <c r="O903" s="118"/>
      <c r="P903" s="118"/>
      <c r="Q903" s="118"/>
    </row>
    <row r="904" spans="2:17" ht="14.25" customHeight="1" x14ac:dyDescent="0.3">
      <c r="B904" s="23"/>
      <c r="D904" s="25"/>
      <c r="E904" s="25"/>
      <c r="M904" s="12"/>
      <c r="N904" s="118"/>
      <c r="O904" s="118"/>
      <c r="P904" s="118"/>
      <c r="Q904" s="118"/>
    </row>
    <row r="905" spans="2:17" ht="14.25" customHeight="1" x14ac:dyDescent="0.3">
      <c r="B905" s="23"/>
      <c r="D905" s="25"/>
      <c r="E905" s="25"/>
      <c r="M905" s="12"/>
      <c r="N905" s="118"/>
      <c r="O905" s="118"/>
      <c r="P905" s="118"/>
      <c r="Q905" s="118"/>
    </row>
    <row r="906" spans="2:17" ht="14.25" customHeight="1" x14ac:dyDescent="0.3">
      <c r="B906" s="23"/>
      <c r="D906" s="25"/>
      <c r="E906" s="25"/>
      <c r="M906" s="12"/>
      <c r="N906" s="118"/>
      <c r="O906" s="118"/>
      <c r="P906" s="118"/>
      <c r="Q906" s="118"/>
    </row>
    <row r="907" spans="2:17" ht="14.25" customHeight="1" x14ac:dyDescent="0.3">
      <c r="B907" s="23"/>
      <c r="D907" s="25"/>
      <c r="E907" s="25"/>
      <c r="M907" s="12"/>
      <c r="N907" s="118"/>
      <c r="O907" s="118"/>
      <c r="P907" s="118"/>
      <c r="Q907" s="118"/>
    </row>
    <row r="908" spans="2:17" ht="14.25" customHeight="1" x14ac:dyDescent="0.3">
      <c r="B908" s="23"/>
      <c r="D908" s="25"/>
      <c r="E908" s="25"/>
      <c r="M908" s="12"/>
      <c r="N908" s="118"/>
      <c r="O908" s="118"/>
      <c r="P908" s="118"/>
      <c r="Q908" s="118"/>
    </row>
    <row r="909" spans="2:17" ht="14.25" customHeight="1" x14ac:dyDescent="0.3">
      <c r="B909" s="23"/>
      <c r="D909" s="25"/>
      <c r="E909" s="25"/>
      <c r="M909" s="12"/>
      <c r="N909" s="118"/>
      <c r="O909" s="118"/>
      <c r="P909" s="118"/>
      <c r="Q909" s="118"/>
    </row>
    <row r="910" spans="2:17" ht="14.25" customHeight="1" x14ac:dyDescent="0.3">
      <c r="B910" s="23"/>
      <c r="D910" s="25"/>
      <c r="E910" s="25"/>
      <c r="M910" s="12"/>
      <c r="N910" s="118"/>
      <c r="O910" s="118"/>
      <c r="P910" s="118"/>
      <c r="Q910" s="118"/>
    </row>
    <row r="911" spans="2:17" ht="14.25" customHeight="1" x14ac:dyDescent="0.3">
      <c r="B911" s="23"/>
      <c r="D911" s="25"/>
      <c r="E911" s="25"/>
      <c r="M911" s="12"/>
      <c r="N911" s="118"/>
      <c r="O911" s="118"/>
      <c r="P911" s="118"/>
      <c r="Q911" s="118"/>
    </row>
    <row r="912" spans="2:17" ht="14.25" customHeight="1" x14ac:dyDescent="0.3">
      <c r="B912" s="23"/>
      <c r="D912" s="25"/>
      <c r="E912" s="25"/>
      <c r="M912" s="12"/>
      <c r="N912" s="118"/>
      <c r="O912" s="118"/>
      <c r="P912" s="118"/>
      <c r="Q912" s="118"/>
    </row>
    <row r="913" spans="2:17" ht="14.25" customHeight="1" x14ac:dyDescent="0.3">
      <c r="B913" s="23"/>
      <c r="D913" s="25"/>
      <c r="E913" s="25"/>
      <c r="M913" s="12"/>
      <c r="N913" s="118"/>
      <c r="O913" s="118"/>
      <c r="P913" s="118"/>
      <c r="Q913" s="118"/>
    </row>
    <row r="914" spans="2:17" ht="14.25" customHeight="1" x14ac:dyDescent="0.3">
      <c r="B914" s="23"/>
      <c r="D914" s="25"/>
      <c r="E914" s="25"/>
      <c r="M914" s="12"/>
      <c r="N914" s="118"/>
      <c r="O914" s="118"/>
      <c r="P914" s="118"/>
      <c r="Q914" s="118"/>
    </row>
    <row r="915" spans="2:17" ht="14.25" customHeight="1" x14ac:dyDescent="0.3">
      <c r="B915" s="23"/>
      <c r="D915" s="25"/>
      <c r="E915" s="25"/>
      <c r="M915" s="12"/>
      <c r="N915" s="118"/>
      <c r="O915" s="118"/>
      <c r="P915" s="118"/>
      <c r="Q915" s="118"/>
    </row>
    <row r="916" spans="2:17" ht="14.25" customHeight="1" x14ac:dyDescent="0.3">
      <c r="B916" s="23"/>
      <c r="D916" s="25"/>
      <c r="E916" s="25"/>
      <c r="M916" s="12"/>
      <c r="N916" s="118"/>
      <c r="O916" s="118"/>
      <c r="P916" s="118"/>
      <c r="Q916" s="118"/>
    </row>
    <row r="917" spans="2:17" ht="14.25" customHeight="1" x14ac:dyDescent="0.3">
      <c r="B917" s="23"/>
      <c r="D917" s="25"/>
      <c r="E917" s="25"/>
      <c r="M917" s="12"/>
      <c r="N917" s="118"/>
      <c r="O917" s="118"/>
      <c r="P917" s="118"/>
      <c r="Q917" s="118"/>
    </row>
    <row r="918" spans="2:17" ht="14.25" customHeight="1" x14ac:dyDescent="0.3">
      <c r="B918" s="23"/>
      <c r="D918" s="25"/>
      <c r="E918" s="25"/>
      <c r="M918" s="12"/>
      <c r="N918" s="118"/>
      <c r="O918" s="118"/>
      <c r="P918" s="118"/>
      <c r="Q918" s="118"/>
    </row>
    <row r="919" spans="2:17" ht="14.25" customHeight="1" x14ac:dyDescent="0.3">
      <c r="B919" s="23"/>
      <c r="D919" s="25"/>
      <c r="E919" s="25"/>
      <c r="M919" s="12"/>
      <c r="N919" s="118"/>
      <c r="O919" s="118"/>
      <c r="P919" s="118"/>
      <c r="Q919" s="118"/>
    </row>
    <row r="920" spans="2:17" ht="14.25" customHeight="1" x14ac:dyDescent="0.3">
      <c r="B920" s="23"/>
      <c r="D920" s="25"/>
      <c r="E920" s="25"/>
      <c r="M920" s="12"/>
      <c r="N920" s="118"/>
      <c r="O920" s="118"/>
      <c r="P920" s="118"/>
      <c r="Q920" s="118"/>
    </row>
    <row r="921" spans="2:17" ht="14.25" customHeight="1" x14ac:dyDescent="0.3">
      <c r="B921" s="23"/>
      <c r="D921" s="25"/>
      <c r="E921" s="25"/>
      <c r="M921" s="12"/>
      <c r="N921" s="118"/>
      <c r="O921" s="118"/>
      <c r="P921" s="118"/>
      <c r="Q921" s="118"/>
    </row>
    <row r="922" spans="2:17" ht="14.25" customHeight="1" x14ac:dyDescent="0.3">
      <c r="B922" s="23"/>
      <c r="D922" s="25"/>
      <c r="E922" s="25"/>
      <c r="M922" s="12"/>
      <c r="N922" s="118"/>
      <c r="O922" s="118"/>
      <c r="P922" s="118"/>
      <c r="Q922" s="118"/>
    </row>
    <row r="923" spans="2:17" ht="14.25" customHeight="1" x14ac:dyDescent="0.3">
      <c r="B923" s="23"/>
      <c r="D923" s="25"/>
      <c r="E923" s="25"/>
      <c r="M923" s="12"/>
      <c r="N923" s="118"/>
      <c r="O923" s="118"/>
      <c r="P923" s="118"/>
      <c r="Q923" s="118"/>
    </row>
    <row r="924" spans="2:17" ht="14.25" customHeight="1" x14ac:dyDescent="0.3">
      <c r="B924" s="23"/>
      <c r="D924" s="25"/>
      <c r="E924" s="25"/>
      <c r="M924" s="12"/>
      <c r="N924" s="118"/>
      <c r="O924" s="118"/>
      <c r="P924" s="118"/>
      <c r="Q924" s="118"/>
    </row>
    <row r="925" spans="2:17" ht="14.25" customHeight="1" x14ac:dyDescent="0.3">
      <c r="B925" s="23"/>
      <c r="D925" s="25"/>
      <c r="E925" s="25"/>
      <c r="M925" s="12"/>
      <c r="N925" s="118"/>
      <c r="O925" s="118"/>
      <c r="P925" s="118"/>
      <c r="Q925" s="118"/>
    </row>
    <row r="926" spans="2:17" ht="14.25" customHeight="1" x14ac:dyDescent="0.3">
      <c r="B926" s="23"/>
      <c r="D926" s="25"/>
      <c r="E926" s="25"/>
      <c r="M926" s="12"/>
      <c r="N926" s="118"/>
      <c r="O926" s="118"/>
      <c r="P926" s="118"/>
      <c r="Q926" s="118"/>
    </row>
    <row r="927" spans="2:17" ht="14.25" customHeight="1" x14ac:dyDescent="0.3">
      <c r="B927" s="23"/>
      <c r="D927" s="25"/>
      <c r="E927" s="25"/>
      <c r="M927" s="12"/>
      <c r="N927" s="118"/>
      <c r="O927" s="118"/>
      <c r="P927" s="118"/>
      <c r="Q927" s="118"/>
    </row>
    <row r="928" spans="2:17" ht="14.25" customHeight="1" x14ac:dyDescent="0.3">
      <c r="B928" s="23"/>
      <c r="D928" s="25"/>
      <c r="E928" s="25"/>
      <c r="M928" s="12"/>
      <c r="N928" s="118"/>
      <c r="O928" s="118"/>
      <c r="P928" s="118"/>
      <c r="Q928" s="118"/>
    </row>
    <row r="929" spans="2:17" ht="14.25" customHeight="1" x14ac:dyDescent="0.3">
      <c r="B929" s="23"/>
      <c r="D929" s="25"/>
      <c r="E929" s="25"/>
      <c r="M929" s="12"/>
      <c r="N929" s="118"/>
      <c r="O929" s="118"/>
      <c r="P929" s="118"/>
      <c r="Q929" s="118"/>
    </row>
    <row r="930" spans="2:17" ht="14.25" customHeight="1" x14ac:dyDescent="0.3">
      <c r="B930" s="23"/>
      <c r="D930" s="25"/>
      <c r="E930" s="25"/>
      <c r="M930" s="12"/>
      <c r="N930" s="118"/>
      <c r="O930" s="118"/>
      <c r="P930" s="118"/>
      <c r="Q930" s="118"/>
    </row>
    <row r="931" spans="2:17" ht="14.25" customHeight="1" x14ac:dyDescent="0.3">
      <c r="B931" s="23"/>
      <c r="D931" s="25"/>
      <c r="E931" s="25"/>
      <c r="M931" s="12"/>
      <c r="N931" s="118"/>
      <c r="O931" s="118"/>
      <c r="P931" s="118"/>
      <c r="Q931" s="118"/>
    </row>
    <row r="932" spans="2:17" ht="14.25" customHeight="1" x14ac:dyDescent="0.3">
      <c r="B932" s="23"/>
      <c r="D932" s="25"/>
      <c r="E932" s="25"/>
      <c r="M932" s="12"/>
      <c r="N932" s="118"/>
      <c r="O932" s="118"/>
      <c r="P932" s="118"/>
      <c r="Q932" s="118"/>
    </row>
    <row r="933" spans="2:17" ht="14.25" customHeight="1" x14ac:dyDescent="0.3">
      <c r="B933" s="23"/>
      <c r="D933" s="25"/>
      <c r="E933" s="25"/>
      <c r="M933" s="12"/>
      <c r="N933" s="118"/>
      <c r="O933" s="118"/>
      <c r="P933" s="118"/>
      <c r="Q933" s="118"/>
    </row>
    <row r="934" spans="2:17" ht="14.25" customHeight="1" x14ac:dyDescent="0.3">
      <c r="B934" s="23"/>
      <c r="D934" s="25"/>
      <c r="E934" s="25"/>
      <c r="M934" s="12"/>
      <c r="N934" s="118"/>
      <c r="O934" s="118"/>
      <c r="P934" s="118"/>
      <c r="Q934" s="118"/>
    </row>
    <row r="935" spans="2:17" ht="14.25" customHeight="1" x14ac:dyDescent="0.3">
      <c r="B935" s="23"/>
      <c r="D935" s="25"/>
      <c r="E935" s="25"/>
      <c r="M935" s="12"/>
      <c r="N935" s="118"/>
      <c r="O935" s="118"/>
      <c r="P935" s="118"/>
      <c r="Q935" s="118"/>
    </row>
    <row r="936" spans="2:17" ht="14.25" customHeight="1" x14ac:dyDescent="0.3">
      <c r="B936" s="23"/>
      <c r="D936" s="25"/>
      <c r="E936" s="25"/>
      <c r="M936" s="12"/>
      <c r="N936" s="118"/>
      <c r="O936" s="118"/>
      <c r="P936" s="118"/>
      <c r="Q936" s="118"/>
    </row>
    <row r="937" spans="2:17" ht="14.25" customHeight="1" x14ac:dyDescent="0.3">
      <c r="B937" s="23"/>
      <c r="D937" s="25"/>
      <c r="E937" s="25"/>
      <c r="M937" s="12"/>
      <c r="N937" s="118"/>
      <c r="O937" s="118"/>
      <c r="P937" s="118"/>
      <c r="Q937" s="118"/>
    </row>
    <row r="938" spans="2:17" ht="14.25" customHeight="1" x14ac:dyDescent="0.3">
      <c r="B938" s="23"/>
      <c r="D938" s="25"/>
      <c r="E938" s="25"/>
      <c r="M938" s="12"/>
      <c r="N938" s="118"/>
      <c r="O938" s="118"/>
      <c r="P938" s="118"/>
      <c r="Q938" s="118"/>
    </row>
    <row r="939" spans="2:17" ht="14.25" customHeight="1" x14ac:dyDescent="0.3">
      <c r="B939" s="23"/>
      <c r="D939" s="25"/>
      <c r="E939" s="25"/>
      <c r="M939" s="12"/>
      <c r="N939" s="118"/>
      <c r="O939" s="118"/>
      <c r="P939" s="118"/>
      <c r="Q939" s="118"/>
    </row>
    <row r="940" spans="2:17" ht="14.25" customHeight="1" x14ac:dyDescent="0.3">
      <c r="B940" s="23"/>
      <c r="D940" s="25"/>
      <c r="E940" s="25"/>
      <c r="M940" s="12"/>
      <c r="N940" s="118"/>
      <c r="O940" s="118"/>
      <c r="P940" s="118"/>
      <c r="Q940" s="118"/>
    </row>
    <row r="941" spans="2:17" ht="14.25" customHeight="1" x14ac:dyDescent="0.3">
      <c r="B941" s="23"/>
      <c r="D941" s="25"/>
      <c r="E941" s="25"/>
      <c r="M941" s="12"/>
      <c r="N941" s="118"/>
      <c r="O941" s="118"/>
      <c r="P941" s="118"/>
      <c r="Q941" s="118"/>
    </row>
    <row r="942" spans="2:17" ht="14.25" customHeight="1" x14ac:dyDescent="0.3">
      <c r="B942" s="23"/>
      <c r="D942" s="25"/>
      <c r="E942" s="25"/>
      <c r="M942" s="12"/>
      <c r="N942" s="118"/>
      <c r="O942" s="118"/>
      <c r="P942" s="118"/>
      <c r="Q942" s="118"/>
    </row>
    <row r="943" spans="2:17" ht="14.25" customHeight="1" x14ac:dyDescent="0.3">
      <c r="B943" s="23"/>
      <c r="D943" s="25"/>
      <c r="E943" s="25"/>
      <c r="M943" s="12"/>
      <c r="N943" s="118"/>
      <c r="O943" s="118"/>
      <c r="P943" s="118"/>
      <c r="Q943" s="118"/>
    </row>
    <row r="944" spans="2:17" ht="14.25" customHeight="1" x14ac:dyDescent="0.3">
      <c r="B944" s="23"/>
      <c r="D944" s="25"/>
      <c r="E944" s="25"/>
      <c r="M944" s="12"/>
      <c r="N944" s="118"/>
      <c r="O944" s="118"/>
      <c r="P944" s="118"/>
      <c r="Q944" s="118"/>
    </row>
    <row r="945" spans="2:17" ht="14.25" customHeight="1" x14ac:dyDescent="0.3">
      <c r="B945" s="23"/>
      <c r="D945" s="25"/>
      <c r="E945" s="25"/>
      <c r="M945" s="12"/>
      <c r="N945" s="118"/>
      <c r="O945" s="118"/>
      <c r="P945" s="118"/>
      <c r="Q945" s="118"/>
    </row>
    <row r="946" spans="2:17" ht="14.25" customHeight="1" x14ac:dyDescent="0.3">
      <c r="B946" s="23"/>
      <c r="D946" s="25"/>
      <c r="E946" s="25"/>
      <c r="M946" s="12"/>
      <c r="N946" s="118"/>
      <c r="O946" s="118"/>
      <c r="P946" s="118"/>
      <c r="Q946" s="118"/>
    </row>
    <row r="947" spans="2:17" ht="14.25" customHeight="1" x14ac:dyDescent="0.3">
      <c r="B947" s="23"/>
      <c r="D947" s="25"/>
      <c r="E947" s="25"/>
      <c r="M947" s="12"/>
      <c r="N947" s="118"/>
      <c r="O947" s="118"/>
      <c r="P947" s="118"/>
      <c r="Q947" s="118"/>
    </row>
    <row r="948" spans="2:17" ht="14.25" customHeight="1" x14ac:dyDescent="0.3">
      <c r="B948" s="23"/>
      <c r="D948" s="25"/>
      <c r="E948" s="25"/>
      <c r="M948" s="12"/>
      <c r="N948" s="118"/>
      <c r="O948" s="118"/>
      <c r="P948" s="118"/>
      <c r="Q948" s="118"/>
    </row>
    <row r="949" spans="2:17" ht="14.25" customHeight="1" x14ac:dyDescent="0.3">
      <c r="B949" s="23"/>
      <c r="D949" s="25"/>
      <c r="E949" s="25"/>
      <c r="M949" s="12"/>
      <c r="N949" s="118"/>
      <c r="O949" s="118"/>
      <c r="P949" s="118"/>
      <c r="Q949" s="118"/>
    </row>
    <row r="950" spans="2:17" ht="14.25" customHeight="1" x14ac:dyDescent="0.3">
      <c r="B950" s="23"/>
      <c r="D950" s="25"/>
      <c r="E950" s="25"/>
      <c r="M950" s="12"/>
      <c r="N950" s="118"/>
      <c r="O950" s="118"/>
      <c r="P950" s="118"/>
      <c r="Q950" s="118"/>
    </row>
    <row r="951" spans="2:17" ht="14.25" customHeight="1" x14ac:dyDescent="0.3">
      <c r="B951" s="23"/>
      <c r="D951" s="25"/>
      <c r="E951" s="25"/>
      <c r="M951" s="12"/>
      <c r="N951" s="118"/>
      <c r="O951" s="118"/>
      <c r="P951" s="118"/>
      <c r="Q951" s="118"/>
    </row>
    <row r="952" spans="2:17" ht="14.25" customHeight="1" x14ac:dyDescent="0.3">
      <c r="B952" s="23"/>
      <c r="D952" s="25"/>
      <c r="E952" s="25"/>
      <c r="M952" s="12"/>
      <c r="N952" s="118"/>
      <c r="O952" s="118"/>
      <c r="P952" s="118"/>
      <c r="Q952" s="118"/>
    </row>
    <row r="953" spans="2:17" ht="14.25" customHeight="1" x14ac:dyDescent="0.3">
      <c r="B953" s="23"/>
      <c r="D953" s="25"/>
      <c r="E953" s="25"/>
      <c r="M953" s="12"/>
      <c r="N953" s="118"/>
      <c r="O953" s="118"/>
      <c r="P953" s="118"/>
      <c r="Q953" s="118"/>
    </row>
    <row r="954" spans="2:17" ht="14.25" customHeight="1" x14ac:dyDescent="0.3">
      <c r="B954" s="23"/>
      <c r="D954" s="25"/>
      <c r="E954" s="25"/>
      <c r="M954" s="12"/>
      <c r="N954" s="118"/>
      <c r="O954" s="118"/>
      <c r="P954" s="118"/>
      <c r="Q954" s="118"/>
    </row>
    <row r="955" spans="2:17" ht="14.25" customHeight="1" x14ac:dyDescent="0.3">
      <c r="B955" s="23"/>
      <c r="D955" s="25"/>
      <c r="E955" s="25"/>
      <c r="M955" s="12"/>
      <c r="N955" s="118"/>
      <c r="O955" s="118"/>
      <c r="P955" s="118"/>
      <c r="Q955" s="118"/>
    </row>
    <row r="956" spans="2:17" ht="14.25" customHeight="1" x14ac:dyDescent="0.3">
      <c r="B956" s="23"/>
      <c r="D956" s="25"/>
      <c r="E956" s="25"/>
      <c r="M956" s="12"/>
      <c r="N956" s="118"/>
      <c r="O956" s="118"/>
      <c r="P956" s="118"/>
      <c r="Q956" s="118"/>
    </row>
    <row r="957" spans="2:17" ht="14.25" customHeight="1" x14ac:dyDescent="0.3">
      <c r="B957" s="23"/>
      <c r="D957" s="25"/>
      <c r="E957" s="25"/>
      <c r="M957" s="12"/>
      <c r="N957" s="118"/>
      <c r="O957" s="118"/>
      <c r="P957" s="118"/>
      <c r="Q957" s="118"/>
    </row>
    <row r="958" spans="2:17" ht="14.25" customHeight="1" x14ac:dyDescent="0.3">
      <c r="B958" s="23"/>
      <c r="D958" s="25"/>
      <c r="E958" s="25"/>
      <c r="M958" s="12"/>
      <c r="N958" s="118"/>
      <c r="O958" s="118"/>
      <c r="P958" s="118"/>
      <c r="Q958" s="118"/>
    </row>
    <row r="959" spans="2:17" ht="14.25" customHeight="1" x14ac:dyDescent="0.3">
      <c r="B959" s="23"/>
      <c r="D959" s="25"/>
      <c r="E959" s="25"/>
      <c r="M959" s="12"/>
      <c r="N959" s="118"/>
      <c r="O959" s="118"/>
      <c r="P959" s="118"/>
      <c r="Q959" s="118"/>
    </row>
    <row r="960" spans="2:17" ht="14.25" customHeight="1" x14ac:dyDescent="0.3">
      <c r="B960" s="23"/>
      <c r="D960" s="25"/>
      <c r="E960" s="25"/>
      <c r="M960" s="12"/>
      <c r="N960" s="118"/>
      <c r="O960" s="118"/>
      <c r="P960" s="118"/>
      <c r="Q960" s="118"/>
    </row>
    <row r="961" spans="2:17" ht="14.25" customHeight="1" x14ac:dyDescent="0.3">
      <c r="B961" s="23"/>
      <c r="D961" s="25"/>
      <c r="E961" s="25"/>
      <c r="M961" s="12"/>
      <c r="N961" s="118"/>
      <c r="O961" s="118"/>
      <c r="P961" s="118"/>
      <c r="Q961" s="118"/>
    </row>
    <row r="962" spans="2:17" ht="14.25" customHeight="1" x14ac:dyDescent="0.3">
      <c r="B962" s="23"/>
      <c r="D962" s="25"/>
      <c r="E962" s="25"/>
      <c r="M962" s="12"/>
      <c r="N962" s="118"/>
      <c r="O962" s="118"/>
      <c r="P962" s="118"/>
      <c r="Q962" s="118"/>
    </row>
    <row r="963" spans="2:17" ht="14.25" customHeight="1" x14ac:dyDescent="0.3">
      <c r="B963" s="23"/>
      <c r="D963" s="25"/>
      <c r="E963" s="25"/>
      <c r="M963" s="12"/>
      <c r="N963" s="118"/>
      <c r="O963" s="118"/>
      <c r="P963" s="118"/>
      <c r="Q963" s="118"/>
    </row>
    <row r="964" spans="2:17" ht="14.25" customHeight="1" x14ac:dyDescent="0.3">
      <c r="B964" s="23"/>
      <c r="D964" s="25"/>
      <c r="E964" s="25"/>
      <c r="M964" s="12"/>
      <c r="N964" s="118"/>
      <c r="O964" s="118"/>
      <c r="P964" s="118"/>
      <c r="Q964" s="118"/>
    </row>
    <row r="965" spans="2:17" ht="14.25" customHeight="1" x14ac:dyDescent="0.3">
      <c r="B965" s="23"/>
      <c r="D965" s="25"/>
      <c r="E965" s="25"/>
      <c r="M965" s="12"/>
      <c r="N965" s="118"/>
      <c r="O965" s="118"/>
      <c r="P965" s="118"/>
      <c r="Q965" s="118"/>
    </row>
    <row r="966" spans="2:17" ht="14.25" customHeight="1" x14ac:dyDescent="0.3">
      <c r="B966" s="23"/>
      <c r="D966" s="25"/>
      <c r="E966" s="25"/>
      <c r="M966" s="12"/>
      <c r="N966" s="118"/>
      <c r="O966" s="118"/>
      <c r="P966" s="118"/>
      <c r="Q966" s="118"/>
    </row>
    <row r="967" spans="2:17" ht="14.25" customHeight="1" x14ac:dyDescent="0.3">
      <c r="B967" s="23"/>
      <c r="D967" s="25"/>
      <c r="E967" s="25"/>
      <c r="M967" s="12"/>
      <c r="N967" s="118"/>
      <c r="O967" s="118"/>
      <c r="P967" s="118"/>
      <c r="Q967" s="118"/>
    </row>
    <row r="968" spans="2:17" ht="14.25" customHeight="1" x14ac:dyDescent="0.3">
      <c r="B968" s="23"/>
      <c r="D968" s="25"/>
      <c r="E968" s="25"/>
      <c r="M968" s="12"/>
      <c r="N968" s="118"/>
      <c r="O968" s="118"/>
      <c r="P968" s="118"/>
      <c r="Q968" s="118"/>
    </row>
    <row r="969" spans="2:17" ht="14.25" customHeight="1" x14ac:dyDescent="0.3">
      <c r="B969" s="23"/>
      <c r="D969" s="25"/>
      <c r="E969" s="25"/>
      <c r="M969" s="12"/>
      <c r="N969" s="118"/>
      <c r="O969" s="118"/>
      <c r="P969" s="118"/>
      <c r="Q969" s="118"/>
    </row>
    <row r="970" spans="2:17" ht="14.25" customHeight="1" x14ac:dyDescent="0.3">
      <c r="B970" s="23"/>
      <c r="D970" s="25"/>
      <c r="E970" s="25"/>
      <c r="M970" s="12"/>
      <c r="N970" s="118"/>
      <c r="O970" s="118"/>
      <c r="P970" s="118"/>
      <c r="Q970" s="118"/>
    </row>
    <row r="971" spans="2:17" ht="14.25" customHeight="1" x14ac:dyDescent="0.3">
      <c r="B971" s="23"/>
      <c r="D971" s="25"/>
      <c r="E971" s="25"/>
      <c r="M971" s="12"/>
      <c r="N971" s="118"/>
      <c r="O971" s="118"/>
      <c r="P971" s="118"/>
      <c r="Q971" s="118"/>
    </row>
    <row r="972" spans="2:17" ht="14.25" customHeight="1" x14ac:dyDescent="0.3">
      <c r="B972" s="23"/>
      <c r="D972" s="25"/>
      <c r="E972" s="25"/>
      <c r="M972" s="12"/>
      <c r="N972" s="118"/>
      <c r="O972" s="118"/>
      <c r="P972" s="118"/>
      <c r="Q972" s="118"/>
    </row>
    <row r="973" spans="2:17" ht="14.25" customHeight="1" x14ac:dyDescent="0.3">
      <c r="B973" s="23"/>
      <c r="D973" s="25"/>
      <c r="E973" s="25"/>
      <c r="M973" s="12"/>
      <c r="N973" s="118"/>
      <c r="O973" s="118"/>
      <c r="P973" s="118"/>
      <c r="Q973" s="118"/>
    </row>
    <row r="974" spans="2:17" ht="14.25" customHeight="1" x14ac:dyDescent="0.3">
      <c r="B974" s="23"/>
      <c r="D974" s="25"/>
      <c r="E974" s="25"/>
      <c r="M974" s="12"/>
      <c r="N974" s="118"/>
      <c r="O974" s="118"/>
      <c r="P974" s="118"/>
      <c r="Q974" s="118"/>
    </row>
    <row r="975" spans="2:17" ht="14.25" customHeight="1" x14ac:dyDescent="0.3">
      <c r="B975" s="23"/>
      <c r="D975" s="25"/>
      <c r="E975" s="25"/>
      <c r="M975" s="12"/>
      <c r="N975" s="118"/>
      <c r="O975" s="118"/>
      <c r="P975" s="118"/>
      <c r="Q975" s="118"/>
    </row>
    <row r="976" spans="2:17" ht="14.25" customHeight="1" x14ac:dyDescent="0.3">
      <c r="B976" s="23"/>
      <c r="D976" s="25"/>
      <c r="E976" s="25"/>
      <c r="M976" s="12"/>
      <c r="N976" s="118"/>
      <c r="O976" s="118"/>
      <c r="P976" s="118"/>
      <c r="Q976" s="118"/>
    </row>
    <row r="977" spans="2:17" ht="14.25" customHeight="1" x14ac:dyDescent="0.3">
      <c r="B977" s="23"/>
      <c r="D977" s="25"/>
      <c r="E977" s="25"/>
      <c r="M977" s="12"/>
      <c r="N977" s="118"/>
      <c r="O977" s="118"/>
      <c r="P977" s="118"/>
      <c r="Q977" s="118"/>
    </row>
    <row r="978" spans="2:17" ht="14.25" customHeight="1" x14ac:dyDescent="0.3">
      <c r="B978" s="23"/>
      <c r="D978" s="25"/>
      <c r="E978" s="25"/>
      <c r="M978" s="12"/>
      <c r="N978" s="118"/>
      <c r="O978" s="118"/>
      <c r="P978" s="118"/>
      <c r="Q978" s="118"/>
    </row>
    <row r="979" spans="2:17" ht="14.25" customHeight="1" x14ac:dyDescent="0.3">
      <c r="B979" s="23"/>
      <c r="D979" s="25"/>
      <c r="E979" s="25"/>
      <c r="M979" s="12"/>
      <c r="N979" s="118"/>
      <c r="O979" s="118"/>
      <c r="P979" s="118"/>
      <c r="Q979" s="118"/>
    </row>
    <row r="980" spans="2:17" ht="14.25" customHeight="1" x14ac:dyDescent="0.3">
      <c r="B980" s="23"/>
      <c r="D980" s="25"/>
      <c r="E980" s="25"/>
      <c r="M980" s="12"/>
      <c r="N980" s="118"/>
      <c r="O980" s="118"/>
      <c r="P980" s="118"/>
      <c r="Q980" s="118"/>
    </row>
    <row r="981" spans="2:17" ht="14.25" customHeight="1" x14ac:dyDescent="0.3">
      <c r="B981" s="23"/>
      <c r="D981" s="25"/>
      <c r="E981" s="25"/>
      <c r="M981" s="12"/>
      <c r="N981" s="118"/>
      <c r="O981" s="118"/>
      <c r="P981" s="118"/>
      <c r="Q981" s="118"/>
    </row>
    <row r="982" spans="2:17" ht="14.25" customHeight="1" x14ac:dyDescent="0.3">
      <c r="B982" s="23"/>
      <c r="D982" s="25"/>
      <c r="E982" s="25"/>
      <c r="M982" s="12"/>
      <c r="N982" s="118"/>
      <c r="O982" s="118"/>
      <c r="P982" s="118"/>
      <c r="Q982" s="118"/>
    </row>
    <row r="983" spans="2:17" ht="14.25" customHeight="1" x14ac:dyDescent="0.3">
      <c r="B983" s="23"/>
      <c r="D983" s="25"/>
      <c r="E983" s="25"/>
      <c r="M983" s="12"/>
      <c r="N983" s="118"/>
      <c r="O983" s="118"/>
      <c r="P983" s="118"/>
      <c r="Q983" s="118"/>
    </row>
    <row r="984" spans="2:17" ht="14.25" customHeight="1" x14ac:dyDescent="0.3">
      <c r="B984" s="23"/>
      <c r="D984" s="25"/>
      <c r="E984" s="25"/>
      <c r="M984" s="12"/>
      <c r="N984" s="118"/>
      <c r="O984" s="118"/>
      <c r="P984" s="118"/>
      <c r="Q984" s="118"/>
    </row>
    <row r="985" spans="2:17" ht="14.25" customHeight="1" x14ac:dyDescent="0.3">
      <c r="B985" s="23"/>
      <c r="D985" s="25"/>
      <c r="E985" s="25"/>
      <c r="M985" s="12"/>
      <c r="N985" s="118"/>
      <c r="O985" s="118"/>
      <c r="P985" s="118"/>
      <c r="Q985" s="118"/>
    </row>
    <row r="986" spans="2:17" ht="14.25" customHeight="1" x14ac:dyDescent="0.3">
      <c r="B986" s="23"/>
      <c r="D986" s="25"/>
      <c r="E986" s="25"/>
      <c r="M986" s="12"/>
      <c r="N986" s="118"/>
      <c r="O986" s="118"/>
      <c r="P986" s="118"/>
      <c r="Q986" s="118"/>
    </row>
    <row r="987" spans="2:17" ht="14.25" customHeight="1" x14ac:dyDescent="0.3">
      <c r="B987" s="23"/>
      <c r="D987" s="25"/>
      <c r="E987" s="25"/>
      <c r="M987" s="12"/>
      <c r="N987" s="118"/>
      <c r="O987" s="118"/>
      <c r="P987" s="118"/>
      <c r="Q987" s="118"/>
    </row>
    <row r="988" spans="2:17" ht="14.25" customHeight="1" x14ac:dyDescent="0.3">
      <c r="B988" s="23"/>
      <c r="D988" s="25"/>
      <c r="E988" s="25"/>
      <c r="M988" s="12"/>
      <c r="N988" s="118"/>
      <c r="O988" s="118"/>
      <c r="P988" s="118"/>
      <c r="Q988" s="118"/>
    </row>
    <row r="989" spans="2:17" ht="14.25" customHeight="1" x14ac:dyDescent="0.3">
      <c r="B989" s="23"/>
      <c r="D989" s="25"/>
      <c r="E989" s="25"/>
      <c r="M989" s="12"/>
      <c r="N989" s="118"/>
      <c r="O989" s="118"/>
      <c r="P989" s="118"/>
      <c r="Q989" s="118"/>
    </row>
    <row r="990" spans="2:17" ht="14.25" customHeight="1" x14ac:dyDescent="0.3">
      <c r="B990" s="23"/>
      <c r="D990" s="25"/>
      <c r="E990" s="25"/>
      <c r="M990" s="12"/>
      <c r="N990" s="118"/>
      <c r="O990" s="118"/>
      <c r="P990" s="118"/>
      <c r="Q990" s="118"/>
    </row>
    <row r="991" spans="2:17" ht="14.25" customHeight="1" x14ac:dyDescent="0.3">
      <c r="B991" s="23"/>
      <c r="D991" s="25"/>
      <c r="E991" s="25"/>
      <c r="M991" s="12"/>
      <c r="N991" s="118"/>
      <c r="O991" s="118"/>
      <c r="P991" s="118"/>
      <c r="Q991" s="118"/>
    </row>
    <row r="992" spans="2:17" ht="14.25" customHeight="1" x14ac:dyDescent="0.3">
      <c r="B992" s="23"/>
      <c r="D992" s="25"/>
      <c r="E992" s="25"/>
      <c r="M992" s="12"/>
      <c r="N992" s="118"/>
      <c r="O992" s="118"/>
      <c r="P992" s="118"/>
      <c r="Q992" s="118"/>
    </row>
    <row r="993" spans="2:17" ht="14.25" customHeight="1" x14ac:dyDescent="0.3">
      <c r="B993" s="23"/>
      <c r="D993" s="25"/>
      <c r="E993" s="25"/>
      <c r="M993" s="12"/>
      <c r="N993" s="118"/>
      <c r="O993" s="118"/>
      <c r="P993" s="118"/>
      <c r="Q993" s="118"/>
    </row>
    <row r="994" spans="2:17" ht="14.25" customHeight="1" x14ac:dyDescent="0.3">
      <c r="B994" s="23"/>
      <c r="D994" s="25"/>
      <c r="E994" s="25"/>
      <c r="M994" s="12"/>
      <c r="N994" s="118"/>
      <c r="O994" s="118"/>
      <c r="P994" s="118"/>
      <c r="Q994" s="118"/>
    </row>
    <row r="995" spans="2:17" ht="14.25" customHeight="1" x14ac:dyDescent="0.3">
      <c r="B995" s="23"/>
      <c r="D995" s="25"/>
      <c r="E995" s="25"/>
      <c r="M995" s="12"/>
      <c r="N995" s="118"/>
      <c r="O995" s="118"/>
      <c r="P995" s="118"/>
      <c r="Q995" s="118"/>
    </row>
    <row r="996" spans="2:17" ht="14.25" customHeight="1" x14ac:dyDescent="0.3">
      <c r="B996" s="23"/>
      <c r="D996" s="25"/>
      <c r="E996" s="25"/>
      <c r="M996" s="12"/>
      <c r="N996" s="118"/>
      <c r="O996" s="118"/>
      <c r="P996" s="118"/>
      <c r="Q996" s="118"/>
    </row>
    <row r="997" spans="2:17" ht="14.25" customHeight="1" x14ac:dyDescent="0.3">
      <c r="B997" s="23"/>
      <c r="D997" s="25"/>
      <c r="E997" s="25"/>
      <c r="M997" s="12"/>
      <c r="N997" s="118"/>
      <c r="O997" s="118"/>
      <c r="P997" s="118"/>
      <c r="Q997" s="118"/>
    </row>
    <row r="998" spans="2:17" ht="14.25" customHeight="1" x14ac:dyDescent="0.3">
      <c r="B998" s="23"/>
      <c r="D998" s="25"/>
      <c r="E998" s="25"/>
      <c r="M998" s="12"/>
      <c r="N998" s="118"/>
      <c r="O998" s="118"/>
      <c r="P998" s="118"/>
      <c r="Q998" s="118"/>
    </row>
    <row r="999" spans="2:17" ht="14.25" customHeight="1" x14ac:dyDescent="0.3">
      <c r="B999" s="23"/>
      <c r="D999" s="25"/>
      <c r="E999" s="25"/>
      <c r="M999" s="12"/>
      <c r="N999" s="118"/>
      <c r="O999" s="118"/>
      <c r="P999" s="118"/>
      <c r="Q999" s="118"/>
    </row>
    <row r="1000" spans="2:17" ht="14.25" customHeight="1" x14ac:dyDescent="0.3">
      <c r="B1000" s="23"/>
      <c r="D1000" s="25"/>
      <c r="E1000" s="25"/>
      <c r="M1000" s="12"/>
      <c r="N1000" s="118"/>
      <c r="O1000" s="118"/>
      <c r="P1000" s="118"/>
      <c r="Q1000" s="118"/>
    </row>
  </sheetData>
  <pageMargins left="0.7" right="0.7" top="0.75" bottom="0.75" header="0" footer="0"/>
  <pageSetup orientation="landscape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dimension ref="A1:S1171"/>
  <sheetViews>
    <sheetView zoomScale="80" zoomScaleNormal="80" workbookViewId="0">
      <pane ySplit="10" topLeftCell="A11" activePane="bottomLeft" state="frozen"/>
      <selection pane="bottomLeft" activeCell="H4" sqref="H4"/>
    </sheetView>
  </sheetViews>
  <sheetFormatPr defaultColWidth="14.44140625" defaultRowHeight="15" customHeight="1" x14ac:dyDescent="0.3"/>
  <cols>
    <col min="1" max="1" width="22.88671875" customWidth="1"/>
    <col min="2" max="2" width="16.33203125" customWidth="1"/>
    <col min="3" max="3" width="15.33203125" customWidth="1"/>
    <col min="4" max="4" width="12" customWidth="1"/>
    <col min="5" max="5" width="17.6640625" customWidth="1"/>
    <col min="6" max="6" width="13.88671875" customWidth="1"/>
    <col min="7" max="7" width="13.44140625" customWidth="1"/>
    <col min="8" max="8" width="14.88671875" customWidth="1"/>
    <col min="9" max="9" width="13.88671875" customWidth="1"/>
    <col min="10" max="10" width="21.6640625" customWidth="1"/>
    <col min="11" max="11" width="23.88671875" customWidth="1"/>
    <col min="12" max="12" width="9.88671875" customWidth="1"/>
    <col min="13" max="13" width="15.33203125" customWidth="1"/>
    <col min="14" max="14" width="21.5546875" customWidth="1"/>
    <col min="15" max="15" width="20.6640625" customWidth="1"/>
    <col min="16" max="16" width="23.44140625" customWidth="1"/>
    <col min="17" max="17" width="15.5546875" customWidth="1"/>
    <col min="18" max="18" width="16.5546875" customWidth="1"/>
    <col min="19" max="19" width="17.88671875" customWidth="1"/>
  </cols>
  <sheetData>
    <row r="1" spans="1:19" ht="14.4" x14ac:dyDescent="0.3">
      <c r="A1" s="349" t="s">
        <v>548</v>
      </c>
      <c r="B1" s="350">
        <f>SUM(D1:D3)</f>
        <v>284749.59999999998</v>
      </c>
      <c r="C1" s="351" t="s">
        <v>549</v>
      </c>
      <c r="D1" s="352">
        <v>162500</v>
      </c>
      <c r="E1" s="353" t="s">
        <v>550</v>
      </c>
      <c r="F1" s="354" t="s">
        <v>551</v>
      </c>
      <c r="G1" s="354" t="s">
        <v>552</v>
      </c>
      <c r="H1" s="354" t="s">
        <v>553</v>
      </c>
      <c r="I1" s="350" t="s">
        <v>554</v>
      </c>
      <c r="J1" s="353" t="s">
        <v>555</v>
      </c>
      <c r="K1" s="354" t="s">
        <v>556</v>
      </c>
      <c r="L1" s="350" t="s">
        <v>254</v>
      </c>
      <c r="M1" s="565" t="s">
        <v>557</v>
      </c>
      <c r="N1" s="552"/>
      <c r="Q1" s="25"/>
      <c r="R1" s="25"/>
      <c r="S1" s="25"/>
    </row>
    <row r="2" spans="1:19" ht="14.4" x14ac:dyDescent="0.3">
      <c r="A2" s="355" t="s">
        <v>558</v>
      </c>
      <c r="B2" s="356">
        <v>0.65</v>
      </c>
      <c r="C2" s="357" t="s">
        <v>559</v>
      </c>
      <c r="D2" s="358">
        <v>104249.60000000001</v>
      </c>
      <c r="E2" s="359" t="s">
        <v>560</v>
      </c>
      <c r="F2" s="360">
        <v>2420</v>
      </c>
      <c r="G2" s="360">
        <v>3519</v>
      </c>
      <c r="H2" s="360">
        <v>4397</v>
      </c>
      <c r="I2" s="358">
        <v>0</v>
      </c>
      <c r="J2" s="361" t="s">
        <v>561</v>
      </c>
      <c r="K2" s="362">
        <f>'Combined Retirement'!B22</f>
        <v>34444.46742778919</v>
      </c>
      <c r="L2" s="363">
        <f>'Combined Retirement'!B24</f>
        <v>2870.372285649099</v>
      </c>
      <c r="M2" s="359" t="s">
        <v>562</v>
      </c>
      <c r="N2" s="364">
        <f>'Combined Retirement'!N1</f>
        <v>0.21977797398773583</v>
      </c>
      <c r="Q2" s="25"/>
      <c r="R2" s="25"/>
      <c r="S2" s="25"/>
    </row>
    <row r="3" spans="1:19" ht="14.4" x14ac:dyDescent="0.3">
      <c r="A3" s="365" t="s">
        <v>563</v>
      </c>
      <c r="B3" s="366">
        <f>B1*(1+B2)</f>
        <v>469836.83999999991</v>
      </c>
      <c r="C3" s="367" t="s">
        <v>564</v>
      </c>
      <c r="D3" s="368">
        <v>18000</v>
      </c>
      <c r="E3" s="369" t="s">
        <v>565</v>
      </c>
      <c r="F3" s="370">
        <v>2345</v>
      </c>
      <c r="G3" s="370">
        <v>3401</v>
      </c>
      <c r="H3" s="370">
        <v>4262</v>
      </c>
      <c r="I3" s="368">
        <v>0</v>
      </c>
      <c r="J3" s="371" t="s">
        <v>566</v>
      </c>
      <c r="K3" s="372">
        <f>'Combined Retirement'!C22</f>
        <v>39051.173639423083</v>
      </c>
      <c r="L3" s="366">
        <f>'Combined Retirement'!C24</f>
        <v>3254.2644699519233</v>
      </c>
      <c r="M3" s="369" t="s">
        <v>567</v>
      </c>
      <c r="N3" s="373">
        <f>'Combined Retirement'!R1</f>
        <v>103259.78879999998</v>
      </c>
      <c r="Q3" s="25"/>
      <c r="R3" s="25"/>
      <c r="S3" s="25"/>
    </row>
    <row r="4" spans="1:19" ht="14.4" x14ac:dyDescent="0.3">
      <c r="A4" s="374"/>
      <c r="B4" s="25"/>
      <c r="C4" s="11"/>
      <c r="D4" s="86"/>
      <c r="E4" s="23"/>
      <c r="F4" s="23"/>
      <c r="G4" s="23"/>
      <c r="H4" s="23"/>
      <c r="I4" s="23"/>
      <c r="J4" s="23"/>
      <c r="K4" s="23"/>
      <c r="L4" s="23"/>
      <c r="M4" s="86"/>
      <c r="N4" s="25"/>
      <c r="O4" s="25"/>
      <c r="P4" s="25"/>
      <c r="Q4" s="25"/>
      <c r="R4" s="25"/>
      <c r="S4" s="25"/>
    </row>
    <row r="5" spans="1:19" ht="14.4" x14ac:dyDescent="0.3">
      <c r="A5" s="349"/>
      <c r="B5" s="375" t="s">
        <v>568</v>
      </c>
      <c r="C5" s="375" t="s">
        <v>569</v>
      </c>
      <c r="D5" s="375" t="s">
        <v>570</v>
      </c>
      <c r="E5" s="350" t="s">
        <v>571</v>
      </c>
      <c r="F5" s="376" t="s">
        <v>572</v>
      </c>
      <c r="G5" s="377" t="s">
        <v>573</v>
      </c>
      <c r="H5" s="23"/>
      <c r="I5" s="23"/>
      <c r="J5" s="23"/>
      <c r="K5" s="23"/>
      <c r="L5" s="23"/>
      <c r="M5" s="378" t="s">
        <v>574</v>
      </c>
      <c r="N5" s="354">
        <f>N11</f>
        <v>39153.069999999992</v>
      </c>
      <c r="O5" s="379">
        <f t="shared" ref="O5:O7" si="0">N5*12</f>
        <v>469836.83999999991</v>
      </c>
      <c r="P5" s="25"/>
      <c r="Q5" s="25"/>
      <c r="R5" s="25"/>
      <c r="S5" s="25"/>
    </row>
    <row r="6" spans="1:19" ht="14.4" x14ac:dyDescent="0.3">
      <c r="A6" s="355" t="s">
        <v>575</v>
      </c>
      <c r="B6" s="380">
        <v>58.5</v>
      </c>
      <c r="C6" s="381">
        <f t="array" ref="C6">INDEX(B11:B1171,MATCH(MIN(ABS(B11:B1171-B6)),ABS(B11:B1171-B6),0))</f>
        <v>58.540725530458587</v>
      </c>
      <c r="D6" s="382">
        <f t="array" ref="D6">INDEX(A11:A1171,MATCH(C6,B11:B1171,0),0)</f>
        <v>51288</v>
      </c>
      <c r="E6" s="383">
        <f ca="1">'Isaac 401k'!B4</f>
        <v>0</v>
      </c>
      <c r="F6" s="384" t="e">
        <f ca="1">'Isaac 401k'!D4</f>
        <v>#N/A</v>
      </c>
      <c r="G6" s="385" t="e">
        <f ca="1">(F6-B9)/365.25</f>
        <v>#N/A</v>
      </c>
      <c r="H6" s="23"/>
      <c r="I6" s="23"/>
      <c r="J6" s="565" t="s">
        <v>576</v>
      </c>
      <c r="K6" s="552"/>
      <c r="L6" s="23"/>
      <c r="M6" s="386" t="s">
        <v>577</v>
      </c>
      <c r="N6" s="362">
        <f>N3/12</f>
        <v>8604.982399999999</v>
      </c>
      <c r="O6" s="387">
        <f t="shared" si="0"/>
        <v>103259.78879999998</v>
      </c>
      <c r="P6" s="25"/>
      <c r="Q6" s="25"/>
      <c r="R6" s="25"/>
      <c r="S6" s="25"/>
    </row>
    <row r="7" spans="1:19" ht="14.4" x14ac:dyDescent="0.3">
      <c r="A7" s="365" t="s">
        <v>578</v>
      </c>
      <c r="B7" s="388">
        <v>53.9</v>
      </c>
      <c r="C7" s="389">
        <f t="array" ref="C7">INDEX(C11:C1171,MATCH(MIN(ABS(C11:C1171-B7)),ABS(C11:C1171-B7),0))</f>
        <v>53.930184804928132</v>
      </c>
      <c r="D7" s="390">
        <f t="array" ref="D7">INDEX(A11:A1171,MATCH(C7,C11:C1171,0),0)</f>
        <v>51288</v>
      </c>
      <c r="E7" s="391">
        <f ca="1">'Lorri 401b'!B4</f>
        <v>58.25</v>
      </c>
      <c r="F7" s="392">
        <f ca="1">'Lorri 401b'!D4</f>
        <v>72533</v>
      </c>
      <c r="G7" s="393">
        <f ca="1">(F7-C9)/365.25</f>
        <v>112.09582477754962</v>
      </c>
      <c r="H7" s="23"/>
      <c r="I7" s="23"/>
      <c r="J7" s="394">
        <v>0.27938000000000002</v>
      </c>
      <c r="K7" s="395">
        <f>1-J7</f>
        <v>0.72062000000000004</v>
      </c>
      <c r="L7" s="23"/>
      <c r="M7" s="396" t="s">
        <v>579</v>
      </c>
      <c r="N7" s="372">
        <f>N5-N6</f>
        <v>30548.087599999992</v>
      </c>
      <c r="O7" s="397">
        <f t="shared" si="0"/>
        <v>366577.05119999987</v>
      </c>
      <c r="P7" s="25"/>
      <c r="Q7" s="25"/>
      <c r="R7" s="25"/>
      <c r="S7" s="25"/>
    </row>
    <row r="8" spans="1:19" ht="14.4" x14ac:dyDescent="0.3">
      <c r="A8" s="37"/>
      <c r="B8" s="11"/>
      <c r="C8" s="11"/>
      <c r="E8" s="23"/>
      <c r="F8" s="23"/>
      <c r="G8" s="23"/>
      <c r="H8" s="23"/>
      <c r="I8" s="23"/>
      <c r="J8" s="23"/>
      <c r="K8" s="23"/>
      <c r="L8" s="23"/>
      <c r="N8" s="25"/>
      <c r="O8" s="25"/>
      <c r="P8" s="25"/>
      <c r="Q8" s="25"/>
      <c r="R8" s="25"/>
      <c r="S8" s="25"/>
    </row>
    <row r="9" spans="1:19" ht="14.4" x14ac:dyDescent="0.3">
      <c r="A9" s="37"/>
      <c r="B9" s="37">
        <v>29906</v>
      </c>
      <c r="C9" s="37">
        <v>31590</v>
      </c>
      <c r="E9" s="23"/>
      <c r="F9" s="23"/>
      <c r="G9" s="23"/>
      <c r="H9" s="23"/>
      <c r="I9" s="23"/>
      <c r="J9" s="25">
        <f t="shared" ref="J9:K9" si="1">SUM(J11:J607)</f>
        <v>6293671.1446793424</v>
      </c>
      <c r="K9" s="25">
        <f t="shared" si="1"/>
        <v>10846930.502226649</v>
      </c>
      <c r="L9" s="23"/>
      <c r="N9" s="25"/>
      <c r="O9" s="25"/>
      <c r="P9" s="25"/>
      <c r="Q9" s="25"/>
      <c r="R9" s="25"/>
      <c r="S9" s="25"/>
    </row>
    <row r="10" spans="1:19" ht="14.4" x14ac:dyDescent="0.3">
      <c r="A10" s="37" t="s">
        <v>268</v>
      </c>
      <c r="B10" s="11" t="s">
        <v>580</v>
      </c>
      <c r="C10" s="11" t="s">
        <v>581</v>
      </c>
      <c r="E10" s="25" t="s">
        <v>549</v>
      </c>
      <c r="F10" s="25" t="s">
        <v>561</v>
      </c>
      <c r="G10" s="25" t="s">
        <v>566</v>
      </c>
      <c r="H10" s="25" t="s">
        <v>582</v>
      </c>
      <c r="I10" s="25" t="s">
        <v>583</v>
      </c>
      <c r="J10" s="25" t="s">
        <v>584</v>
      </c>
      <c r="K10" s="25" t="s">
        <v>585</v>
      </c>
      <c r="L10" s="25"/>
      <c r="N10" s="25" t="s">
        <v>586</v>
      </c>
      <c r="O10" s="25" t="s">
        <v>587</v>
      </c>
      <c r="P10" s="25" t="s">
        <v>588</v>
      </c>
      <c r="Q10" s="25" t="s">
        <v>589</v>
      </c>
      <c r="R10" s="25" t="s">
        <v>590</v>
      </c>
      <c r="S10" s="25" t="s">
        <v>591</v>
      </c>
    </row>
    <row r="11" spans="1:19" ht="14.4" x14ac:dyDescent="0.3">
      <c r="A11" s="37">
        <v>51288</v>
      </c>
      <c r="B11" s="398">
        <f t="shared" ref="B11:C11" si="2">($A11-B$9)/365.25</f>
        <v>58.540725530458587</v>
      </c>
      <c r="C11" s="398">
        <f t="shared" si="2"/>
        <v>53.930184804928132</v>
      </c>
      <c r="E11" s="25">
        <f>IF(C11&gt;$B$7,0,'Combined Retirement'!$D$13/12)</f>
        <v>0</v>
      </c>
      <c r="F11" s="25">
        <f>IF(H11=0,'Combined Retirement'!$D$32,0)+'Combined Retirement'!$B$24</f>
        <v>4439.3722856490986</v>
      </c>
      <c r="G11" s="25">
        <f>'Combined Retirement'!$C$24</f>
        <v>3254.2644699519233</v>
      </c>
      <c r="H11" s="25">
        <f>IF(B11&lt;62,0,'Combined Retirement'!$I$14)</f>
        <v>0</v>
      </c>
      <c r="I11" s="25">
        <f>IF(C11&lt;62,0,'Combined Retirement'!$I$13)</f>
        <v>0</v>
      </c>
      <c r="J11" s="25">
        <f t="shared" ref="J11:J265" si="3">IF(C11&lt;59.5,P11,P11*$J$7)</f>
        <v>31459.43324439897</v>
      </c>
      <c r="K11" s="25">
        <f t="shared" ref="K11:K265" si="4">IF(C11&lt;59.5,0,IF(C11&lt;$B$7,0,P11*$K$7))</f>
        <v>0</v>
      </c>
      <c r="L11" s="25"/>
      <c r="N11" s="25">
        <f>'Combined Retirement'!$C$18/12</f>
        <v>39153.069999999992</v>
      </c>
      <c r="O11" s="25">
        <f t="shared" ref="O11:O265" si="5">SUM(E11:I11)</f>
        <v>7693.6367556010218</v>
      </c>
      <c r="P11" s="25">
        <f t="shared" ref="P11:P265" si="6">N11-O11</f>
        <v>31459.43324439897</v>
      </c>
      <c r="Q11" s="25">
        <f t="array" aca="1" ref="Q11" ca="1">INDEX('Isaac 401k'!L:L,MATCH('Retirement Calculator'!A11,'Isaac 401k'!N:N,0),0)</f>
        <v>3266238.7251146659</v>
      </c>
      <c r="R11" s="25">
        <f t="array" aca="1" ref="R11" ca="1">INDEX('Lorri 401b'!L:L,MATCH('Retirement Calculator'!A11,'Lorri 401b'!N:N,0),0)</f>
        <v>3497444.1683687428</v>
      </c>
      <c r="S11" s="25">
        <f t="shared" ref="S11:S265" ca="1" si="7">SUM(Q11:R11)</f>
        <v>6763682.8934834087</v>
      </c>
    </row>
    <row r="12" spans="1:19" ht="14.4" x14ac:dyDescent="0.3">
      <c r="A12" s="37">
        <v>51318</v>
      </c>
      <c r="B12" s="398">
        <f t="shared" ref="B12:C12" si="8">($A12-B$9)/365.25</f>
        <v>58.622861054072551</v>
      </c>
      <c r="C12" s="398">
        <f t="shared" si="8"/>
        <v>54.012320328542096</v>
      </c>
      <c r="E12" s="25">
        <f>IF(C12&gt;$B$7,0,'Combined Retirement'!$D$13/12)</f>
        <v>0</v>
      </c>
      <c r="F12" s="25">
        <f>IF(H12=0,'Combined Retirement'!$D$32,0)+'Combined Retirement'!$B$24</f>
        <v>4439.3722856490986</v>
      </c>
      <c r="G12" s="25">
        <f>'Combined Retirement'!$C$24</f>
        <v>3254.2644699519233</v>
      </c>
      <c r="H12" s="25">
        <f>IF(B12&lt;62,0,'Combined Retirement'!$I$14)</f>
        <v>0</v>
      </c>
      <c r="I12" s="25">
        <f>IF(C12&lt;62,0,'Combined Retirement'!$I$13)</f>
        <v>0</v>
      </c>
      <c r="J12" s="25">
        <f t="shared" si="3"/>
        <v>31459.43324439897</v>
      </c>
      <c r="K12" s="25">
        <f t="shared" si="4"/>
        <v>0</v>
      </c>
      <c r="L12" s="25"/>
      <c r="N12" s="25">
        <f>'Combined Retirement'!$C$18/12</f>
        <v>39153.069999999992</v>
      </c>
      <c r="O12" s="25">
        <f t="shared" si="5"/>
        <v>7693.6367556010218</v>
      </c>
      <c r="P12" s="25">
        <f t="shared" si="6"/>
        <v>31459.43324439897</v>
      </c>
      <c r="Q12" s="25">
        <f t="array" aca="1" ref="Q12" ca="1">INDEX('Isaac 401k'!L:L,MATCH('Retirement Calculator'!A12,'Isaac 401k'!N:N,0),0)</f>
        <v>3248257.5389197264</v>
      </c>
      <c r="R12" s="25">
        <f t="array" aca="1" ref="R12" ca="1">INDEX('Lorri 401b'!L:L,MATCH('Retirement Calculator'!A12,'Lorri 401b'!N:N,0),0)</f>
        <v>3512016.8524036123</v>
      </c>
      <c r="S12" s="25">
        <f t="shared" ca="1" si="7"/>
        <v>6760274.3913233392</v>
      </c>
    </row>
    <row r="13" spans="1:19" ht="14.4" x14ac:dyDescent="0.3">
      <c r="A13" s="37">
        <v>51349</v>
      </c>
      <c r="B13" s="398">
        <f t="shared" ref="B13:C13" si="9">($A13-B$9)/365.25</f>
        <v>58.70773442847365</v>
      </c>
      <c r="C13" s="398">
        <f t="shared" si="9"/>
        <v>54.097193702943187</v>
      </c>
      <c r="E13" s="25">
        <f>IF(C13&gt;$B$7,0,'Combined Retirement'!$D$13/12)</f>
        <v>0</v>
      </c>
      <c r="F13" s="25">
        <f>IF(H13=0,'Combined Retirement'!$D$32,0)+'Combined Retirement'!$B$24</f>
        <v>4439.3722856490986</v>
      </c>
      <c r="G13" s="25">
        <f>'Combined Retirement'!$C$24</f>
        <v>3254.2644699519233</v>
      </c>
      <c r="H13" s="25">
        <f>IF(B13&lt;62,0,'Combined Retirement'!$I$14)</f>
        <v>0</v>
      </c>
      <c r="I13" s="25">
        <f>IF(C13&lt;62,0,'Combined Retirement'!$I$13)</f>
        <v>0</v>
      </c>
      <c r="J13" s="25">
        <f t="shared" si="3"/>
        <v>31459.43324439897</v>
      </c>
      <c r="K13" s="25">
        <f t="shared" si="4"/>
        <v>0</v>
      </c>
      <c r="L13" s="25"/>
      <c r="N13" s="25">
        <f>'Combined Retirement'!$C$18/12</f>
        <v>39153.069999999992</v>
      </c>
      <c r="O13" s="25">
        <f t="shared" si="5"/>
        <v>7693.6367556010218</v>
      </c>
      <c r="P13" s="25">
        <f t="shared" si="6"/>
        <v>31459.43324439897</v>
      </c>
      <c r="Q13" s="25">
        <f t="array" aca="1" ref="Q13" ca="1">INDEX('Isaac 401k'!L:L,MATCH('Retirement Calculator'!A13,'Isaac 401k'!N:N,0),0)</f>
        <v>3230201.4311156413</v>
      </c>
      <c r="R13" s="25">
        <f t="array" aca="1" ref="R13" ca="1">INDEX('Lorri 401b'!L:L,MATCH('Retirement Calculator'!A13,'Lorri 401b'!N:N,0),0)</f>
        <v>3526650.2559552942</v>
      </c>
      <c r="S13" s="25">
        <f t="shared" ca="1" si="7"/>
        <v>6756851.687070936</v>
      </c>
    </row>
    <row r="14" spans="1:19" ht="14.4" x14ac:dyDescent="0.3">
      <c r="A14" s="37">
        <v>51380</v>
      </c>
      <c r="B14" s="398">
        <f t="shared" ref="B14:C14" si="10">($A14-B$9)/365.25</f>
        <v>58.792607802874741</v>
      </c>
      <c r="C14" s="398">
        <f t="shared" si="10"/>
        <v>54.182067077344286</v>
      </c>
      <c r="E14" s="25">
        <f>IF(C14&gt;$B$7,0,'Combined Retirement'!$D$13/12)</f>
        <v>0</v>
      </c>
      <c r="F14" s="25">
        <f>IF(H14=0,'Combined Retirement'!$D$32,0)+'Combined Retirement'!$B$24</f>
        <v>4439.3722856490986</v>
      </c>
      <c r="G14" s="25">
        <f>'Combined Retirement'!$C$24</f>
        <v>3254.2644699519233</v>
      </c>
      <c r="H14" s="25">
        <f>IF(B14&lt;62,0,'Combined Retirement'!$I$14)</f>
        <v>0</v>
      </c>
      <c r="I14" s="25">
        <f>IF(C14&lt;62,0,'Combined Retirement'!$I$13)</f>
        <v>0</v>
      </c>
      <c r="J14" s="25">
        <f t="shared" si="3"/>
        <v>31459.43324439897</v>
      </c>
      <c r="K14" s="25">
        <f t="shared" si="4"/>
        <v>0</v>
      </c>
      <c r="L14" s="25"/>
      <c r="N14" s="25">
        <f>'Combined Retirement'!$C$18/12</f>
        <v>39153.069999999992</v>
      </c>
      <c r="O14" s="25">
        <f t="shared" si="5"/>
        <v>7693.6367556010218</v>
      </c>
      <c r="P14" s="25">
        <f t="shared" si="6"/>
        <v>31459.43324439897</v>
      </c>
      <c r="Q14" s="25">
        <f t="array" aca="1" ref="Q14" ca="1">INDEX('Isaac 401k'!L:L,MATCH('Retirement Calculator'!A14,'Isaac 401k'!N:N,0),0)</f>
        <v>3212070.0895290393</v>
      </c>
      <c r="R14" s="25">
        <f t="array" aca="1" ref="R14" ca="1">INDEX('Lorri 401b'!L:L,MATCH('Retirement Calculator'!A14,'Lorri 401b'!N:N,0),0)</f>
        <v>3541344.6320217745</v>
      </c>
      <c r="S14" s="25">
        <f t="shared" ca="1" si="7"/>
        <v>6753414.7215508139</v>
      </c>
    </row>
    <row r="15" spans="1:19" ht="14.4" x14ac:dyDescent="0.3">
      <c r="A15" s="37">
        <v>51410</v>
      </c>
      <c r="B15" s="398">
        <f t="shared" ref="B15:C15" si="11">($A15-B$9)/365.25</f>
        <v>58.874743326488705</v>
      </c>
      <c r="C15" s="398">
        <f t="shared" si="11"/>
        <v>54.264202600958249</v>
      </c>
      <c r="E15" s="25">
        <f>IF(C15&gt;$B$7,0,'Combined Retirement'!$D$13/12)</f>
        <v>0</v>
      </c>
      <c r="F15" s="25">
        <f>IF(H15=0,'Combined Retirement'!$D$32,0)+'Combined Retirement'!$B$24</f>
        <v>4439.3722856490986</v>
      </c>
      <c r="G15" s="25">
        <f>'Combined Retirement'!$C$24</f>
        <v>3254.2644699519233</v>
      </c>
      <c r="H15" s="25">
        <f>IF(B15&lt;62,0,'Combined Retirement'!$I$14)</f>
        <v>0</v>
      </c>
      <c r="I15" s="25">
        <f>IF(C15&lt;62,0,'Combined Retirement'!$I$13)</f>
        <v>0</v>
      </c>
      <c r="J15" s="25">
        <f t="shared" si="3"/>
        <v>31459.43324439897</v>
      </c>
      <c r="K15" s="25">
        <f t="shared" si="4"/>
        <v>0</v>
      </c>
      <c r="L15" s="25"/>
      <c r="N15" s="25">
        <f>'Combined Retirement'!$C$18/12</f>
        <v>39153.069999999992</v>
      </c>
      <c r="O15" s="25">
        <f t="shared" si="5"/>
        <v>7693.6367556010218</v>
      </c>
      <c r="P15" s="25">
        <f t="shared" si="6"/>
        <v>31459.43324439897</v>
      </c>
      <c r="Q15" s="25">
        <f t="array" aca="1" ref="Q15" ca="1">INDEX('Isaac 401k'!L:L,MATCH('Retirement Calculator'!A15,'Isaac 401k'!N:N,0),0)</f>
        <v>3193863.2006858266</v>
      </c>
      <c r="R15" s="25">
        <f t="array" aca="1" ref="R15" ca="1">INDEX('Lorri 401b'!L:L,MATCH('Retirement Calculator'!A15,'Lorri 401b'!N:N,0),0)</f>
        <v>3556100.2346551986</v>
      </c>
      <c r="S15" s="25">
        <f t="shared" ca="1" si="7"/>
        <v>6749963.4353410248</v>
      </c>
    </row>
    <row r="16" spans="1:19" ht="14.4" x14ac:dyDescent="0.3">
      <c r="A16" s="37">
        <v>51441</v>
      </c>
      <c r="B16" s="398">
        <f t="shared" ref="B16:C16" si="12">($A16-B$9)/365.25</f>
        <v>58.959616700889804</v>
      </c>
      <c r="C16" s="398">
        <f t="shared" si="12"/>
        <v>54.349075975359341</v>
      </c>
      <c r="E16" s="25">
        <f>IF(C16&gt;$B$7,0,'Combined Retirement'!$D$13/12)</f>
        <v>0</v>
      </c>
      <c r="F16" s="25">
        <f>IF(H16=0,'Combined Retirement'!$D$32,0)+'Combined Retirement'!$B$24</f>
        <v>4439.3722856490986</v>
      </c>
      <c r="G16" s="25">
        <f>'Combined Retirement'!$C$24</f>
        <v>3254.2644699519233</v>
      </c>
      <c r="H16" s="25">
        <f>IF(B16&lt;62,0,'Combined Retirement'!$I$14)</f>
        <v>0</v>
      </c>
      <c r="I16" s="25">
        <f>IF(C16&lt;62,0,'Combined Retirement'!$I$13)</f>
        <v>0</v>
      </c>
      <c r="J16" s="25">
        <f t="shared" si="3"/>
        <v>31459.43324439897</v>
      </c>
      <c r="K16" s="25">
        <f t="shared" si="4"/>
        <v>0</v>
      </c>
      <c r="L16" s="25"/>
      <c r="N16" s="25">
        <f>'Combined Retirement'!$C$18/12</f>
        <v>39153.069999999992</v>
      </c>
      <c r="O16" s="25">
        <f t="shared" si="5"/>
        <v>7693.6367556010218</v>
      </c>
      <c r="P16" s="25">
        <f t="shared" si="6"/>
        <v>31459.43324439897</v>
      </c>
      <c r="Q16" s="25">
        <f t="array" aca="1" ref="Q16" ca="1">INDEX('Isaac 401k'!L:L,MATCH('Retirement Calculator'!A16,'Isaac 401k'!N:N,0),0)</f>
        <v>3175580.4498057673</v>
      </c>
      <c r="R16" s="25">
        <f t="array" aca="1" ref="R16" ca="1">INDEX('Lorri 401b'!L:L,MATCH('Retirement Calculator'!A16,'Lorri 401b'!N:N,0),0)</f>
        <v>3570917.318966262</v>
      </c>
      <c r="S16" s="25">
        <f t="shared" ca="1" si="7"/>
        <v>6746497.7687720293</v>
      </c>
    </row>
    <row r="17" spans="1:19" ht="14.4" x14ac:dyDescent="0.3">
      <c r="A17" s="37">
        <v>51471</v>
      </c>
      <c r="B17" s="398">
        <f t="shared" ref="B17:C17" si="13">($A17-B$9)/365.25</f>
        <v>59.041752224503767</v>
      </c>
      <c r="C17" s="398">
        <f t="shared" si="13"/>
        <v>54.431211498973305</v>
      </c>
      <c r="E17" s="25">
        <f>IF(C17&gt;$B$7,0,'Combined Retirement'!$D$13/12)</f>
        <v>0</v>
      </c>
      <c r="F17" s="25">
        <f>IF(H17=0,'Combined Retirement'!$D$32,0)+'Combined Retirement'!$B$24</f>
        <v>4439.3722856490986</v>
      </c>
      <c r="G17" s="25">
        <f>'Combined Retirement'!$C$24</f>
        <v>3254.2644699519233</v>
      </c>
      <c r="H17" s="25">
        <f>IF(B17&lt;62,0,'Combined Retirement'!$I$14)</f>
        <v>0</v>
      </c>
      <c r="I17" s="25">
        <f>IF(C17&lt;62,0,'Combined Retirement'!$I$13)</f>
        <v>0</v>
      </c>
      <c r="J17" s="25">
        <f t="shared" si="3"/>
        <v>31459.43324439897</v>
      </c>
      <c r="K17" s="25">
        <f t="shared" si="4"/>
        <v>0</v>
      </c>
      <c r="L17" s="25"/>
      <c r="N17" s="25">
        <f>'Combined Retirement'!$C$18/12</f>
        <v>39153.069999999992</v>
      </c>
      <c r="O17" s="25">
        <f t="shared" si="5"/>
        <v>7693.6367556010218</v>
      </c>
      <c r="P17" s="25">
        <f t="shared" si="6"/>
        <v>31459.43324439897</v>
      </c>
      <c r="Q17" s="25">
        <f t="array" aca="1" ref="Q17" ca="1">INDEX('Isaac 401k'!L:L,MATCH('Retirement Calculator'!A17,'Isaac 401k'!N:N,0),0)</f>
        <v>3157221.5207970408</v>
      </c>
      <c r="R17" s="25">
        <f t="array" aca="1" ref="R17" ca="1">INDEX('Lorri 401b'!L:L,MATCH('Retirement Calculator'!A17,'Lorri 401b'!N:N,0),0)</f>
        <v>3585796.1411286215</v>
      </c>
      <c r="S17" s="25">
        <f t="shared" ca="1" si="7"/>
        <v>6743017.6619256623</v>
      </c>
    </row>
    <row r="18" spans="1:19" ht="14.4" x14ac:dyDescent="0.3">
      <c r="A18" s="37">
        <v>51502</v>
      </c>
      <c r="B18" s="398">
        <f t="shared" ref="B18:C18" si="14">($A18-B$9)/365.25</f>
        <v>59.126625598904859</v>
      </c>
      <c r="C18" s="398">
        <f t="shared" si="14"/>
        <v>54.516084873374403</v>
      </c>
      <c r="E18" s="25">
        <f>IF(C18&gt;$B$7,0,'Combined Retirement'!$D$13/12)</f>
        <v>0</v>
      </c>
      <c r="F18" s="25">
        <f>IF(H18=0,'Combined Retirement'!$D$32,0)+'Combined Retirement'!$B$24</f>
        <v>4439.3722856490986</v>
      </c>
      <c r="G18" s="25">
        <f>'Combined Retirement'!$C$24</f>
        <v>3254.2644699519233</v>
      </c>
      <c r="H18" s="25">
        <f>IF(B18&lt;62,0,'Combined Retirement'!$I$14)</f>
        <v>0</v>
      </c>
      <c r="I18" s="25">
        <f>IF(C18&lt;62,0,'Combined Retirement'!$I$13)</f>
        <v>0</v>
      </c>
      <c r="J18" s="25">
        <f t="shared" si="3"/>
        <v>31459.43324439897</v>
      </c>
      <c r="K18" s="25">
        <f t="shared" si="4"/>
        <v>0</v>
      </c>
      <c r="L18" s="25"/>
      <c r="N18" s="25">
        <f>'Combined Retirement'!$C$18/12</f>
        <v>39153.069999999992</v>
      </c>
      <c r="O18" s="25">
        <f t="shared" si="5"/>
        <v>7693.6367556010218</v>
      </c>
      <c r="P18" s="25">
        <f t="shared" si="6"/>
        <v>31459.43324439897</v>
      </c>
      <c r="Q18" s="25">
        <f t="array" aca="1" ref="Q18" ca="1">INDEX('Isaac 401k'!L:L,MATCH('Retirement Calculator'!A18,'Isaac 401k'!N:N,0),0)</f>
        <v>3138786.0962507781</v>
      </c>
      <c r="R18" s="25">
        <f t="array" aca="1" ref="R18" ca="1">INDEX('Lorri 401b'!L:L,MATCH('Retirement Calculator'!A18,'Lorri 401b'!N:N,0),0)</f>
        <v>3600736.9583833241</v>
      </c>
      <c r="S18" s="25">
        <f t="shared" ca="1" si="7"/>
        <v>6739523.0546341017</v>
      </c>
    </row>
    <row r="19" spans="1:19" ht="14.4" x14ac:dyDescent="0.3">
      <c r="A19" s="37">
        <v>51533</v>
      </c>
      <c r="B19" s="398">
        <f t="shared" ref="B19:C19" si="15">($A19-B$9)/365.25</f>
        <v>59.211498973305957</v>
      </c>
      <c r="C19" s="398">
        <f t="shared" si="15"/>
        <v>54.600958247775495</v>
      </c>
      <c r="E19" s="25">
        <f>IF(C19&gt;$B$7,0,'Combined Retirement'!$D$13/12)</f>
        <v>0</v>
      </c>
      <c r="F19" s="25">
        <f>IF(H19=0,'Combined Retirement'!$D$32,0)+'Combined Retirement'!$B$24</f>
        <v>4439.3722856490986</v>
      </c>
      <c r="G19" s="25">
        <f>'Combined Retirement'!$C$24</f>
        <v>3254.2644699519233</v>
      </c>
      <c r="H19" s="25">
        <f>IF(B19&lt;62,0,'Combined Retirement'!$I$14)</f>
        <v>0</v>
      </c>
      <c r="I19" s="25">
        <f>IF(C19&lt;62,0,'Combined Retirement'!$I$13)</f>
        <v>0</v>
      </c>
      <c r="J19" s="25">
        <f t="shared" si="3"/>
        <v>31459.43324439897</v>
      </c>
      <c r="K19" s="25">
        <f t="shared" si="4"/>
        <v>0</v>
      </c>
      <c r="L19" s="25"/>
      <c r="N19" s="25">
        <f>'Combined Retirement'!$C$18/12</f>
        <v>39153.069999999992</v>
      </c>
      <c r="O19" s="25">
        <f t="shared" si="5"/>
        <v>7693.6367556010218</v>
      </c>
      <c r="P19" s="25">
        <f t="shared" si="6"/>
        <v>31459.43324439897</v>
      </c>
      <c r="Q19" s="25">
        <f t="array" aca="1" ref="Q19" ca="1">INDEX('Isaac 401k'!L:L,MATCH('Retirement Calculator'!A19,'Isaac 401k'!N:N,0),0)</f>
        <v>3120273.8574355724</v>
      </c>
      <c r="R19" s="25">
        <f t="array" aca="1" ref="R19" ca="1">INDEX('Lorri 401b'!L:L,MATCH('Retirement Calculator'!A19,'Lorri 401b'!N:N,0),0)</f>
        <v>3615740.0290432544</v>
      </c>
      <c r="S19" s="25">
        <f t="shared" ca="1" si="7"/>
        <v>6736013.8864788264</v>
      </c>
    </row>
    <row r="20" spans="1:19" ht="14.4" x14ac:dyDescent="0.3">
      <c r="A20" s="37">
        <v>51561</v>
      </c>
      <c r="B20" s="398">
        <f t="shared" ref="B20:C20" si="16">($A20-B$9)/365.25</f>
        <v>59.288158795345652</v>
      </c>
      <c r="C20" s="398">
        <f t="shared" si="16"/>
        <v>54.677618069815196</v>
      </c>
      <c r="E20" s="25">
        <f>IF(C20&gt;$B$7,0,'Combined Retirement'!$D$13/12)</f>
        <v>0</v>
      </c>
      <c r="F20" s="25">
        <f>IF(H20=0,'Combined Retirement'!$D$32,0)+'Combined Retirement'!$B$24</f>
        <v>4439.3722856490986</v>
      </c>
      <c r="G20" s="25">
        <f>'Combined Retirement'!$C$24</f>
        <v>3254.2644699519233</v>
      </c>
      <c r="H20" s="25">
        <f>IF(B20&lt;62,0,'Combined Retirement'!$I$14)</f>
        <v>0</v>
      </c>
      <c r="I20" s="25">
        <f>IF(C20&lt;62,0,'Combined Retirement'!$I$13)</f>
        <v>0</v>
      </c>
      <c r="J20" s="25">
        <f t="shared" si="3"/>
        <v>31459.43324439897</v>
      </c>
      <c r="K20" s="25">
        <f t="shared" si="4"/>
        <v>0</v>
      </c>
      <c r="L20" s="25"/>
      <c r="N20" s="25">
        <f>'Combined Retirement'!$C$18/12</f>
        <v>39153.069999999992</v>
      </c>
      <c r="O20" s="25">
        <f t="shared" si="5"/>
        <v>7693.6367556010218</v>
      </c>
      <c r="P20" s="25">
        <f t="shared" si="6"/>
        <v>31459.43324439897</v>
      </c>
      <c r="Q20" s="25">
        <f t="array" aca="1" ref="Q20" ca="1">INDEX('Isaac 401k'!L:L,MATCH('Retirement Calculator'!A20,'Isaac 401k'!N:N,0),0)</f>
        <v>3101684.4842919703</v>
      </c>
      <c r="R20" s="25">
        <f t="array" aca="1" ref="R20" ca="1">INDEX('Lorri 401b'!L:L,MATCH('Retirement Calculator'!A20,'Lorri 401b'!N:N,0),0)</f>
        <v>3630805.6124976012</v>
      </c>
      <c r="S20" s="25">
        <f t="shared" ca="1" si="7"/>
        <v>6732490.0967895715</v>
      </c>
    </row>
    <row r="21" spans="1:19" ht="15.75" customHeight="1" x14ac:dyDescent="0.3">
      <c r="A21" s="37">
        <v>51592</v>
      </c>
      <c r="B21" s="398">
        <f t="shared" ref="B21:C21" si="17">($A21-B$9)/365.25</f>
        <v>59.37303216974675</v>
      </c>
      <c r="C21" s="398">
        <f t="shared" si="17"/>
        <v>54.762491444216288</v>
      </c>
      <c r="E21" s="25">
        <f>IF(C21&gt;$B$7,0,'Combined Retirement'!$D$13/12)</f>
        <v>0</v>
      </c>
      <c r="F21" s="25">
        <f>IF(H21=0,'Combined Retirement'!$D$32,0)+'Combined Retirement'!$B$24</f>
        <v>4439.3722856490986</v>
      </c>
      <c r="G21" s="25">
        <f>'Combined Retirement'!$C$24</f>
        <v>3254.2644699519233</v>
      </c>
      <c r="H21" s="25">
        <f>IF(B21&lt;62,0,'Combined Retirement'!$I$14)</f>
        <v>0</v>
      </c>
      <c r="I21" s="25">
        <f>IF(C21&lt;62,0,'Combined Retirement'!$I$13)</f>
        <v>0</v>
      </c>
      <c r="J21" s="25">
        <f t="shared" si="3"/>
        <v>31459.43324439897</v>
      </c>
      <c r="K21" s="25">
        <f t="shared" si="4"/>
        <v>0</v>
      </c>
      <c r="L21" s="25"/>
      <c r="N21" s="25">
        <f>'Combined Retirement'!$C$18/12</f>
        <v>39153.069999999992</v>
      </c>
      <c r="O21" s="25">
        <f t="shared" si="5"/>
        <v>7693.6367556010218</v>
      </c>
      <c r="P21" s="25">
        <f t="shared" si="6"/>
        <v>31459.43324439897</v>
      </c>
      <c r="Q21" s="25">
        <f t="array" aca="1" ref="Q21" ca="1">INDEX('Isaac 401k'!L:L,MATCH('Retirement Calculator'!A21,'Isaac 401k'!N:N,0),0)</f>
        <v>3083017.6554269362</v>
      </c>
      <c r="R21" s="25">
        <f t="array" aca="1" ref="R21" ca="1">INDEX('Lorri 401b'!L:L,MATCH('Retirement Calculator'!A21,'Lorri 401b'!N:N,0),0)</f>
        <v>3645933.9692163412</v>
      </c>
      <c r="S21" s="25">
        <f t="shared" ca="1" si="7"/>
        <v>6728951.6246432774</v>
      </c>
    </row>
    <row r="22" spans="1:19" ht="15.75" customHeight="1" x14ac:dyDescent="0.3">
      <c r="A22" s="37">
        <v>51622</v>
      </c>
      <c r="B22" s="398">
        <f t="shared" ref="B22:C22" si="18">($A22-B$9)/365.25</f>
        <v>59.455167693360714</v>
      </c>
      <c r="C22" s="398">
        <f t="shared" si="18"/>
        <v>54.844626967830251</v>
      </c>
      <c r="E22" s="25">
        <f>IF(C22&gt;$B$7,0,'Combined Retirement'!$D$13/12)</f>
        <v>0</v>
      </c>
      <c r="F22" s="25">
        <f>IF(H22=0,'Combined Retirement'!$D$32,0)+'Combined Retirement'!$B$24</f>
        <v>4439.3722856490986</v>
      </c>
      <c r="G22" s="25">
        <f>'Combined Retirement'!$C$24</f>
        <v>3254.2644699519233</v>
      </c>
      <c r="H22" s="25">
        <f>IF(B22&lt;62,0,'Combined Retirement'!$I$14)</f>
        <v>0</v>
      </c>
      <c r="I22" s="25">
        <f>IF(C22&lt;62,0,'Combined Retirement'!$I$13)</f>
        <v>0</v>
      </c>
      <c r="J22" s="25">
        <f t="shared" si="3"/>
        <v>31459.43324439897</v>
      </c>
      <c r="K22" s="25">
        <f t="shared" si="4"/>
        <v>0</v>
      </c>
      <c r="L22" s="25"/>
      <c r="N22" s="25">
        <f>'Combined Retirement'!$C$18/12</f>
        <v>39153.069999999992</v>
      </c>
      <c r="O22" s="25">
        <f t="shared" si="5"/>
        <v>7693.6367556010218</v>
      </c>
      <c r="P22" s="25">
        <f t="shared" si="6"/>
        <v>31459.43324439897</v>
      </c>
      <c r="Q22" s="25">
        <f t="array" aca="1" ref="Q22" ca="1">INDEX('Isaac 401k'!L:L,MATCH('Retirement Calculator'!A22,'Isaac 401k'!N:N,0),0)</f>
        <v>3064273.0481082979</v>
      </c>
      <c r="R22" s="25">
        <f t="array" aca="1" ref="R22" ca="1">INDEX('Lorri 401b'!L:L,MATCH('Retirement Calculator'!A22,'Lorri 401b'!N:N,0),0)</f>
        <v>3661125.3607547428</v>
      </c>
      <c r="S22" s="25">
        <f t="shared" ca="1" si="7"/>
        <v>6725398.4088630406</v>
      </c>
    </row>
    <row r="23" spans="1:19" ht="15.75" customHeight="1" x14ac:dyDescent="0.3">
      <c r="A23" s="37">
        <v>51653</v>
      </c>
      <c r="B23" s="398">
        <f t="shared" ref="B23:C23" si="19">($A23-B$9)/365.25</f>
        <v>59.540041067761805</v>
      </c>
      <c r="C23" s="398">
        <f t="shared" si="19"/>
        <v>54.92950034223135</v>
      </c>
      <c r="E23" s="25">
        <f>IF(C23&gt;$B$7,0,'Combined Retirement'!$D$13/12)</f>
        <v>0</v>
      </c>
      <c r="F23" s="25">
        <f>IF(H23=0,'Combined Retirement'!$D$32,0)+'Combined Retirement'!$B$24</f>
        <v>4439.3722856490986</v>
      </c>
      <c r="G23" s="25">
        <f>'Combined Retirement'!$C$24</f>
        <v>3254.2644699519233</v>
      </c>
      <c r="H23" s="25">
        <f>IF(B23&lt;62,0,'Combined Retirement'!$I$14)</f>
        <v>0</v>
      </c>
      <c r="I23" s="25">
        <f>IF(C23&lt;62,0,'Combined Retirement'!$I$13)</f>
        <v>0</v>
      </c>
      <c r="J23" s="25">
        <f t="shared" si="3"/>
        <v>31459.43324439897</v>
      </c>
      <c r="K23" s="25">
        <f t="shared" si="4"/>
        <v>0</v>
      </c>
      <c r="L23" s="25"/>
      <c r="N23" s="25">
        <f>'Combined Retirement'!$C$18/12</f>
        <v>39153.069999999992</v>
      </c>
      <c r="O23" s="25">
        <f t="shared" si="5"/>
        <v>7693.6367556010218</v>
      </c>
      <c r="P23" s="25">
        <f t="shared" si="6"/>
        <v>31459.43324439897</v>
      </c>
      <c r="Q23" s="25">
        <f t="array" aca="1" ref="Q23" ca="1">INDEX('Isaac 401k'!L:L,MATCH('Retirement Calculator'!A23,'Isaac 401k'!N:N,0),0)</f>
        <v>3045450.3382591652</v>
      </c>
      <c r="R23" s="25">
        <f t="array" aca="1" ref="R23" ca="1">INDEX('Lorri 401b'!L:L,MATCH('Retirement Calculator'!A23,'Lorri 401b'!N:N,0),0)</f>
        <v>3676380.0497578876</v>
      </c>
      <c r="S23" s="25">
        <f t="shared" ca="1" si="7"/>
        <v>6721830.3880170528</v>
      </c>
    </row>
    <row r="24" spans="1:19" ht="15.75" customHeight="1" x14ac:dyDescent="0.3">
      <c r="A24" s="37">
        <v>51683</v>
      </c>
      <c r="B24" s="398">
        <f t="shared" ref="B24:C24" si="20">($A24-B$9)/365.25</f>
        <v>59.622176591375769</v>
      </c>
      <c r="C24" s="398">
        <f t="shared" si="20"/>
        <v>55.011635865845314</v>
      </c>
      <c r="E24" s="25">
        <f>IF(C24&gt;$B$7,0,'Combined Retirement'!$D$13/12)</f>
        <v>0</v>
      </c>
      <c r="F24" s="25">
        <f>IF(H24=0,'Combined Retirement'!$D$32,0)+'Combined Retirement'!$B$24</f>
        <v>4439.3722856490986</v>
      </c>
      <c r="G24" s="25">
        <f>'Combined Retirement'!$C$24</f>
        <v>3254.2644699519233</v>
      </c>
      <c r="H24" s="25">
        <f>IF(B24&lt;62,0,'Combined Retirement'!$I$14)</f>
        <v>0</v>
      </c>
      <c r="I24" s="25">
        <f>IF(C24&lt;62,0,'Combined Retirement'!$I$13)</f>
        <v>0</v>
      </c>
      <c r="J24" s="25">
        <f t="shared" si="3"/>
        <v>31459.43324439897</v>
      </c>
      <c r="K24" s="25">
        <f t="shared" si="4"/>
        <v>0</v>
      </c>
      <c r="L24" s="25"/>
      <c r="N24" s="25">
        <f>'Combined Retirement'!$C$18/12</f>
        <v>39153.069999999992</v>
      </c>
      <c r="O24" s="25">
        <f t="shared" si="5"/>
        <v>7693.6367556010218</v>
      </c>
      <c r="P24" s="25">
        <f t="shared" si="6"/>
        <v>31459.43324439897</v>
      </c>
      <c r="Q24" s="25">
        <f t="array" aca="1" ref="Q24" ca="1">INDEX('Isaac 401k'!L:L,MATCH('Retirement Calculator'!A24,'Isaac 401k'!N:N,0),0)</f>
        <v>3026549.2004523277</v>
      </c>
      <c r="R24" s="25">
        <f t="array" aca="1" ref="R24" ca="1">INDEX('Lorri 401b'!L:L,MATCH('Retirement Calculator'!A24,'Lorri 401b'!N:N,0),0)</f>
        <v>3691698.2999652121</v>
      </c>
      <c r="S24" s="25">
        <f t="shared" ca="1" si="7"/>
        <v>6718247.5004175398</v>
      </c>
    </row>
    <row r="25" spans="1:19" ht="15.75" customHeight="1" x14ac:dyDescent="0.3">
      <c r="A25" s="37">
        <v>51714</v>
      </c>
      <c r="B25" s="398">
        <f t="shared" ref="B25:C25" si="21">($A25-B$9)/365.25</f>
        <v>59.707049965776868</v>
      </c>
      <c r="C25" s="398">
        <f t="shared" si="21"/>
        <v>55.096509240246405</v>
      </c>
      <c r="E25" s="25">
        <f>IF(C25&gt;$B$7,0,'Combined Retirement'!$D$13/12)</f>
        <v>0</v>
      </c>
      <c r="F25" s="25">
        <f>IF(H25=0,'Combined Retirement'!$D$32,0)+'Combined Retirement'!$B$24</f>
        <v>4439.3722856490986</v>
      </c>
      <c r="G25" s="25">
        <f>'Combined Retirement'!$C$24</f>
        <v>3254.2644699519233</v>
      </c>
      <c r="H25" s="25">
        <f>IF(B25&lt;62,0,'Combined Retirement'!$I$14)</f>
        <v>0</v>
      </c>
      <c r="I25" s="25">
        <f>IF(C25&lt;62,0,'Combined Retirement'!$I$13)</f>
        <v>0</v>
      </c>
      <c r="J25" s="25">
        <f t="shared" si="3"/>
        <v>31459.43324439897</v>
      </c>
      <c r="K25" s="25">
        <f t="shared" si="4"/>
        <v>0</v>
      </c>
      <c r="L25" s="25"/>
      <c r="N25" s="25">
        <f>'Combined Retirement'!$C$18/12</f>
        <v>39153.069999999992</v>
      </c>
      <c r="O25" s="25">
        <f t="shared" si="5"/>
        <v>7693.6367556010218</v>
      </c>
      <c r="P25" s="25">
        <f t="shared" si="6"/>
        <v>31459.43324439897</v>
      </c>
      <c r="Q25" s="25">
        <f t="array" aca="1" ref="Q25" ca="1">INDEX('Isaac 401k'!L:L,MATCH('Retirement Calculator'!A25,'Isaac 401k'!N:N,0),0)</f>
        <v>3007569.3079046286</v>
      </c>
      <c r="R25" s="25">
        <f t="array" aca="1" ref="R25" ca="1">INDEX('Lorri 401b'!L:L,MATCH('Retirement Calculator'!A25,'Lorri 401b'!N:N,0),0)</f>
        <v>3707080.3762150672</v>
      </c>
      <c r="S25" s="25">
        <f t="shared" ca="1" si="7"/>
        <v>6714649.6841196958</v>
      </c>
    </row>
    <row r="26" spans="1:19" ht="15.75" customHeight="1" x14ac:dyDescent="0.3">
      <c r="A26" s="37">
        <v>51745</v>
      </c>
      <c r="B26" s="398">
        <f t="shared" ref="B26:C26" si="22">($A26-B$9)/365.25</f>
        <v>59.791923340177959</v>
      </c>
      <c r="C26" s="398">
        <f t="shared" si="22"/>
        <v>55.181382614647504</v>
      </c>
      <c r="E26" s="25">
        <f>IF(C26&gt;$B$7,0,'Combined Retirement'!$D$13/12)</f>
        <v>0</v>
      </c>
      <c r="F26" s="25">
        <f>IF(H26=0,'Combined Retirement'!$D$32,0)+'Combined Retirement'!$B$24</f>
        <v>4439.3722856490986</v>
      </c>
      <c r="G26" s="25">
        <f>'Combined Retirement'!$C$24</f>
        <v>3254.2644699519233</v>
      </c>
      <c r="H26" s="25">
        <f>IF(B26&lt;62,0,'Combined Retirement'!$I$14)</f>
        <v>0</v>
      </c>
      <c r="I26" s="25">
        <f>IF(C26&lt;62,0,'Combined Retirement'!$I$13)</f>
        <v>0</v>
      </c>
      <c r="J26" s="25">
        <f t="shared" si="3"/>
        <v>31459.43324439897</v>
      </c>
      <c r="K26" s="25">
        <f t="shared" si="4"/>
        <v>0</v>
      </c>
      <c r="L26" s="25"/>
      <c r="N26" s="25">
        <f>'Combined Retirement'!$C$18/12</f>
        <v>39153.069999999992</v>
      </c>
      <c r="O26" s="25">
        <f t="shared" si="5"/>
        <v>7693.6367556010218</v>
      </c>
      <c r="P26" s="25">
        <f t="shared" si="6"/>
        <v>31459.43324439897</v>
      </c>
      <c r="Q26" s="25">
        <f t="array" aca="1" ref="Q26" ca="1">INDEX('Isaac 401k'!L:L,MATCH('Retirement Calculator'!A26,'Isaac 401k'!N:N,0),0)</f>
        <v>2988510.3324713139</v>
      </c>
      <c r="R26" s="25">
        <f t="array" aca="1" ref="R26" ca="1">INDEX('Lorri 401b'!L:L,MATCH('Retirement Calculator'!A26,'Lorri 401b'!N:N,0),0)</f>
        <v>3722526.5444492968</v>
      </c>
      <c r="S26" s="25">
        <f t="shared" ca="1" si="7"/>
        <v>6711036.8769206107</v>
      </c>
    </row>
    <row r="27" spans="1:19" ht="15.75" customHeight="1" x14ac:dyDescent="0.3">
      <c r="A27" s="37">
        <v>51775</v>
      </c>
      <c r="B27" s="398">
        <f t="shared" ref="B27:C27" si="23">($A27-B$9)/365.25</f>
        <v>59.874058863791923</v>
      </c>
      <c r="C27" s="398">
        <f t="shared" si="23"/>
        <v>55.263518138261468</v>
      </c>
      <c r="E27" s="25">
        <f>IF(C27&gt;$B$7,0,'Combined Retirement'!$D$13/12)</f>
        <v>0</v>
      </c>
      <c r="F27" s="25">
        <f>IF(H27=0,'Combined Retirement'!$D$32,0)+'Combined Retirement'!$B$24</f>
        <v>4439.3722856490986</v>
      </c>
      <c r="G27" s="25">
        <f>'Combined Retirement'!$C$24</f>
        <v>3254.2644699519233</v>
      </c>
      <c r="H27" s="25">
        <f>IF(B27&lt;62,0,'Combined Retirement'!$I$14)</f>
        <v>0</v>
      </c>
      <c r="I27" s="25">
        <f>IF(C27&lt;62,0,'Combined Retirement'!$I$13)</f>
        <v>0</v>
      </c>
      <c r="J27" s="25">
        <f t="shared" si="3"/>
        <v>31459.43324439897</v>
      </c>
      <c r="K27" s="25">
        <f t="shared" si="4"/>
        <v>0</v>
      </c>
      <c r="L27" s="25"/>
      <c r="N27" s="25">
        <f>'Combined Retirement'!$C$18/12</f>
        <v>39153.069999999992</v>
      </c>
      <c r="O27" s="25">
        <f t="shared" si="5"/>
        <v>7693.6367556010218</v>
      </c>
      <c r="P27" s="25">
        <f t="shared" si="6"/>
        <v>31459.43324439897</v>
      </c>
      <c r="Q27" s="25">
        <f t="array" aca="1" ref="Q27" ca="1">INDEX('Isaac 401k'!L:L,MATCH('Retirement Calculator'!A27,'Isaac 401k'!N:N,0),0)</f>
        <v>2969371.9446403608</v>
      </c>
      <c r="R27" s="25">
        <f t="array" aca="1" ref="R27" ca="1">INDEX('Lorri 401b'!L:L,MATCH('Retirement Calculator'!A27,'Lorri 401b'!N:N,0),0)</f>
        <v>3738037.0717178355</v>
      </c>
      <c r="S27" s="25">
        <f t="shared" ca="1" si="7"/>
        <v>6707409.0163581967</v>
      </c>
    </row>
    <row r="28" spans="1:19" ht="15.75" customHeight="1" x14ac:dyDescent="0.3">
      <c r="A28" s="37">
        <v>51806</v>
      </c>
      <c r="B28" s="398">
        <f t="shared" ref="B28:C28" si="24">($A28-B$9)/365.25</f>
        <v>59.958932238193022</v>
      </c>
      <c r="C28" s="398">
        <f t="shared" si="24"/>
        <v>55.348391512662559</v>
      </c>
      <c r="E28" s="25">
        <f>IF(C28&gt;$B$7,0,'Combined Retirement'!$D$13/12)</f>
        <v>0</v>
      </c>
      <c r="F28" s="25">
        <f>IF(H28=0,'Combined Retirement'!$D$32,0)+'Combined Retirement'!$B$24</f>
        <v>4439.3722856490986</v>
      </c>
      <c r="G28" s="25">
        <f>'Combined Retirement'!$C$24</f>
        <v>3254.2644699519233</v>
      </c>
      <c r="H28" s="25">
        <f>IF(B28&lt;62,0,'Combined Retirement'!$I$14)</f>
        <v>0</v>
      </c>
      <c r="I28" s="25">
        <f>IF(C28&lt;62,0,'Combined Retirement'!$I$13)</f>
        <v>0</v>
      </c>
      <c r="J28" s="25">
        <f t="shared" si="3"/>
        <v>31459.43324439897</v>
      </c>
      <c r="K28" s="25">
        <f t="shared" si="4"/>
        <v>0</v>
      </c>
      <c r="L28" s="25"/>
      <c r="N28" s="25">
        <f>'Combined Retirement'!$C$18/12</f>
        <v>39153.069999999992</v>
      </c>
      <c r="O28" s="25">
        <f t="shared" si="5"/>
        <v>7693.6367556010218</v>
      </c>
      <c r="P28" s="25">
        <f t="shared" si="6"/>
        <v>31459.43324439897</v>
      </c>
      <c r="Q28" s="25">
        <f t="array" aca="1" ref="Q28" ca="1">INDEX('Isaac 401k'!L:L,MATCH('Retirement Calculator'!A28,'Isaac 401k'!N:N,0),0)</f>
        <v>2950153.8135267785</v>
      </c>
      <c r="R28" s="25">
        <f t="array" aca="1" ref="R28" ca="1">INDEX('Lorri 401b'!L:L,MATCH('Retirement Calculator'!A28,'Lorri 401b'!N:N,0),0)</f>
        <v>3753612.2261833264</v>
      </c>
      <c r="S28" s="25">
        <f t="shared" ca="1" si="7"/>
        <v>6703766.0397101045</v>
      </c>
    </row>
    <row r="29" spans="1:19" ht="15.75" customHeight="1" x14ac:dyDescent="0.3">
      <c r="A29" s="37">
        <v>51836</v>
      </c>
      <c r="B29" s="398">
        <f t="shared" ref="B29:C29" si="25">($A29-B$9)/365.25</f>
        <v>60.041067761806978</v>
      </c>
      <c r="C29" s="398">
        <f t="shared" si="25"/>
        <v>55.430527036276523</v>
      </c>
      <c r="E29" s="25">
        <f>IF(C29&gt;$B$7,0,'Combined Retirement'!$D$13/12)</f>
        <v>0</v>
      </c>
      <c r="F29" s="25">
        <f>IF(H29=0,'Combined Retirement'!$D$32,0)+'Combined Retirement'!$B$24</f>
        <v>4439.3722856490986</v>
      </c>
      <c r="G29" s="25">
        <f>'Combined Retirement'!$C$24</f>
        <v>3254.2644699519233</v>
      </c>
      <c r="H29" s="25">
        <f>IF(B29&lt;62,0,'Combined Retirement'!$I$14)</f>
        <v>0</v>
      </c>
      <c r="I29" s="25">
        <f>IF(C29&lt;62,0,'Combined Retirement'!$I$13)</f>
        <v>0</v>
      </c>
      <c r="J29" s="25">
        <f t="shared" si="3"/>
        <v>31459.43324439897</v>
      </c>
      <c r="K29" s="25">
        <f t="shared" si="4"/>
        <v>0</v>
      </c>
      <c r="L29" s="25"/>
      <c r="N29" s="25">
        <f>'Combined Retirement'!$C$18/12</f>
        <v>39153.069999999992</v>
      </c>
      <c r="O29" s="25">
        <f t="shared" si="5"/>
        <v>7693.6367556010218</v>
      </c>
      <c r="P29" s="25">
        <f t="shared" si="6"/>
        <v>31459.43324439897</v>
      </c>
      <c r="Q29" s="25">
        <f t="array" aca="1" ref="Q29" ca="1">INDEX('Isaac 401k'!L:L,MATCH('Retirement Calculator'!A29,'Isaac 401k'!N:N,0),0)</f>
        <v>2930855.6068668896</v>
      </c>
      <c r="R29" s="25">
        <f t="array" aca="1" ref="R29" ca="1">INDEX('Lorri 401b'!L:L,MATCH('Retirement Calculator'!A29,'Lorri 401b'!N:N,0),0)</f>
        <v>3769252.2771257572</v>
      </c>
      <c r="S29" s="25">
        <f t="shared" ca="1" si="7"/>
        <v>6700107.8839926468</v>
      </c>
    </row>
    <row r="30" spans="1:19" ht="15.75" customHeight="1" x14ac:dyDescent="0.3">
      <c r="A30" s="37">
        <v>51867</v>
      </c>
      <c r="B30" s="398">
        <f t="shared" ref="B30:C30" si="26">($A30-B$9)/365.25</f>
        <v>60.125941136208077</v>
      </c>
      <c r="C30" s="398">
        <f t="shared" si="26"/>
        <v>55.515400410677621</v>
      </c>
      <c r="E30" s="25">
        <f>IF(C30&gt;$B$7,0,'Combined Retirement'!$D$13/12)</f>
        <v>0</v>
      </c>
      <c r="F30" s="25">
        <f>IF(H30=0,'Combined Retirement'!$D$32,0)+'Combined Retirement'!$B$24</f>
        <v>4439.3722856490986</v>
      </c>
      <c r="G30" s="25">
        <f>'Combined Retirement'!$C$24</f>
        <v>3254.2644699519233</v>
      </c>
      <c r="H30" s="25">
        <f>IF(B30&lt;62,0,'Combined Retirement'!$I$14)</f>
        <v>0</v>
      </c>
      <c r="I30" s="25">
        <f>IF(C30&lt;62,0,'Combined Retirement'!$I$13)</f>
        <v>0</v>
      </c>
      <c r="J30" s="25">
        <f t="shared" si="3"/>
        <v>31459.43324439897</v>
      </c>
      <c r="K30" s="25">
        <f t="shared" si="4"/>
        <v>0</v>
      </c>
      <c r="L30" s="25"/>
      <c r="N30" s="25">
        <f>'Combined Retirement'!$C$18/12</f>
        <v>39153.069999999992</v>
      </c>
      <c r="O30" s="25">
        <f t="shared" si="5"/>
        <v>7693.6367556010218</v>
      </c>
      <c r="P30" s="25">
        <f t="shared" si="6"/>
        <v>31459.43324439897</v>
      </c>
      <c r="Q30" s="25">
        <f t="array" aca="1" ref="Q30" ca="1">INDEX('Isaac 401k'!L:L,MATCH('Retirement Calculator'!A30,'Isaac 401k'!N:N,0),0)</f>
        <v>2911476.9910125844</v>
      </c>
      <c r="R30" s="25">
        <f t="array" aca="1" ref="R30" ca="1">INDEX('Lorri 401b'!L:L,MATCH('Retirement Calculator'!A30,'Lorri 401b'!N:N,0),0)</f>
        <v>3784957.4949471145</v>
      </c>
      <c r="S30" s="25">
        <f t="shared" ca="1" si="7"/>
        <v>6696434.4859596994</v>
      </c>
    </row>
    <row r="31" spans="1:19" ht="15.75" customHeight="1" x14ac:dyDescent="0.3">
      <c r="A31" s="37">
        <v>51898</v>
      </c>
      <c r="B31" s="398">
        <f t="shared" ref="B31:C31" si="27">($A31-B$9)/365.25</f>
        <v>60.210814510609168</v>
      </c>
      <c r="C31" s="398">
        <f t="shared" si="27"/>
        <v>55.600273785078713</v>
      </c>
      <c r="E31" s="25">
        <f>IF(C31&gt;$B$7,0,'Combined Retirement'!$D$13/12)</f>
        <v>0</v>
      </c>
      <c r="F31" s="25">
        <f>IF(H31=0,'Combined Retirement'!$D$32,0)+'Combined Retirement'!$B$24</f>
        <v>4439.3722856490986</v>
      </c>
      <c r="G31" s="25">
        <f>'Combined Retirement'!$C$24</f>
        <v>3254.2644699519233</v>
      </c>
      <c r="H31" s="25">
        <f>IF(B31&lt;62,0,'Combined Retirement'!$I$14)</f>
        <v>0</v>
      </c>
      <c r="I31" s="25">
        <f>IF(C31&lt;62,0,'Combined Retirement'!$I$13)</f>
        <v>0</v>
      </c>
      <c r="J31" s="25">
        <f t="shared" si="3"/>
        <v>31459.43324439897</v>
      </c>
      <c r="K31" s="25">
        <f t="shared" si="4"/>
        <v>0</v>
      </c>
      <c r="L31" s="25"/>
      <c r="N31" s="25">
        <f>'Combined Retirement'!$C$18/12</f>
        <v>39153.069999999992</v>
      </c>
      <c r="O31" s="25">
        <f t="shared" si="5"/>
        <v>7693.6367556010218</v>
      </c>
      <c r="P31" s="25">
        <f t="shared" si="6"/>
        <v>31459.43324439897</v>
      </c>
      <c r="Q31" s="25">
        <f t="array" aca="1" ref="Q31" ca="1">INDEX('Isaac 401k'!L:L,MATCH('Retirement Calculator'!A31,'Isaac 401k'!N:N,0),0)</f>
        <v>2892017.6309255529</v>
      </c>
      <c r="R31" s="25">
        <f t="array" aca="1" ref="R31" ca="1">INDEX('Lorri 401b'!L:L,MATCH('Retirement Calculator'!A31,'Lorri 401b'!N:N,0),0)</f>
        <v>3800728.151176061</v>
      </c>
      <c r="S31" s="25">
        <f t="shared" ca="1" si="7"/>
        <v>6692745.7821016144</v>
      </c>
    </row>
    <row r="32" spans="1:19" ht="15.75" customHeight="1" x14ac:dyDescent="0.3">
      <c r="A32" s="37">
        <v>51926</v>
      </c>
      <c r="B32" s="398">
        <f t="shared" ref="B32:C32" si="28">($A32-B$9)/365.25</f>
        <v>60.28747433264887</v>
      </c>
      <c r="C32" s="398">
        <f t="shared" si="28"/>
        <v>55.676933607118414</v>
      </c>
      <c r="E32" s="25">
        <f>IF(C32&gt;$B$7,0,'Combined Retirement'!$D$13/12)</f>
        <v>0</v>
      </c>
      <c r="F32" s="25">
        <f>IF(H32=0,'Combined Retirement'!$D$32,0)+'Combined Retirement'!$B$24</f>
        <v>4439.3722856490986</v>
      </c>
      <c r="G32" s="25">
        <f>'Combined Retirement'!$C$24</f>
        <v>3254.2644699519233</v>
      </c>
      <c r="H32" s="25">
        <f>IF(B32&lt;62,0,'Combined Retirement'!$I$14)</f>
        <v>0</v>
      </c>
      <c r="I32" s="25">
        <f>IF(C32&lt;62,0,'Combined Retirement'!$I$13)</f>
        <v>0</v>
      </c>
      <c r="J32" s="25">
        <f t="shared" si="3"/>
        <v>31459.43324439897</v>
      </c>
      <c r="K32" s="25">
        <f t="shared" si="4"/>
        <v>0</v>
      </c>
      <c r="L32" s="25"/>
      <c r="N32" s="25">
        <f>'Combined Retirement'!$C$18/12</f>
        <v>39153.069999999992</v>
      </c>
      <c r="O32" s="25">
        <f t="shared" si="5"/>
        <v>7693.6367556010218</v>
      </c>
      <c r="P32" s="25">
        <f t="shared" si="6"/>
        <v>31459.43324439897</v>
      </c>
      <c r="Q32" s="25">
        <f t="array" aca="1" ref="Q32" ca="1">INDEX('Isaac 401k'!L:L,MATCH('Retirement Calculator'!A32,'Isaac 401k'!N:N,0),0)</f>
        <v>2872477.1901714923</v>
      </c>
      <c r="R32" s="25">
        <f t="array" aca="1" ref="R32" ca="1">INDEX('Lorri 401b'!L:L,MATCH('Retirement Calculator'!A32,'Lorri 401b'!N:N,0),0)</f>
        <v>3816564.5184726277</v>
      </c>
      <c r="S32" s="25">
        <f t="shared" ca="1" si="7"/>
        <v>6689041.70864412</v>
      </c>
    </row>
    <row r="33" spans="1:19" ht="15.75" customHeight="1" x14ac:dyDescent="0.3">
      <c r="A33" s="37">
        <v>51957</v>
      </c>
      <c r="B33" s="398">
        <f t="shared" ref="B33:C33" si="29">($A33-B$9)/365.25</f>
        <v>60.372347707049968</v>
      </c>
      <c r="C33" s="398">
        <f t="shared" si="29"/>
        <v>55.761806981519506</v>
      </c>
      <c r="E33" s="25">
        <f>IF(C33&gt;$B$7,0,'Combined Retirement'!$D$13/12)</f>
        <v>0</v>
      </c>
      <c r="F33" s="25">
        <f>IF(H33=0,'Combined Retirement'!$D$32,0)+'Combined Retirement'!$B$24</f>
        <v>4439.3722856490986</v>
      </c>
      <c r="G33" s="25">
        <f>'Combined Retirement'!$C$24</f>
        <v>3254.2644699519233</v>
      </c>
      <c r="H33" s="25">
        <f>IF(B33&lt;62,0,'Combined Retirement'!$I$14)</f>
        <v>0</v>
      </c>
      <c r="I33" s="25">
        <f>IF(C33&lt;62,0,'Combined Retirement'!$I$13)</f>
        <v>0</v>
      </c>
      <c r="J33" s="25">
        <f t="shared" si="3"/>
        <v>31459.43324439897</v>
      </c>
      <c r="K33" s="25">
        <f t="shared" si="4"/>
        <v>0</v>
      </c>
      <c r="L33" s="25"/>
      <c r="N33" s="25">
        <f>'Combined Retirement'!$C$18/12</f>
        <v>39153.069999999992</v>
      </c>
      <c r="O33" s="25">
        <f t="shared" si="5"/>
        <v>7693.6367556010218</v>
      </c>
      <c r="P33" s="25">
        <f t="shared" si="6"/>
        <v>31459.43324439897</v>
      </c>
      <c r="Q33" s="25">
        <f t="array" aca="1" ref="Q33" ca="1">INDEX('Isaac 401k'!L:L,MATCH('Retirement Calculator'!A33,'Isaac 401k'!N:N,0),0)</f>
        <v>2852855.3309142897</v>
      </c>
      <c r="R33" s="25">
        <f t="array" aca="1" ref="R33" ca="1">INDEX('Lorri 401b'!L:L,MATCH('Retirement Calculator'!A33,'Lorri 401b'!N:N,0),0)</f>
        <v>3832466.8706329302</v>
      </c>
      <c r="S33" s="25">
        <f t="shared" ca="1" si="7"/>
        <v>6685322.2015472203</v>
      </c>
    </row>
    <row r="34" spans="1:19" ht="15.75" customHeight="1" x14ac:dyDescent="0.3">
      <c r="A34" s="37">
        <v>51987</v>
      </c>
      <c r="B34" s="398">
        <f t="shared" ref="B34:C34" si="30">($A34-B$9)/365.25</f>
        <v>60.454483230663932</v>
      </c>
      <c r="C34" s="398">
        <f t="shared" si="30"/>
        <v>55.843942505133469</v>
      </c>
      <c r="E34" s="25">
        <f>IF(C34&gt;$B$7,0,'Combined Retirement'!$D$13/12)</f>
        <v>0</v>
      </c>
      <c r="F34" s="25">
        <f>IF(H34=0,'Combined Retirement'!$D$32,0)+'Combined Retirement'!$B$24</f>
        <v>4439.3722856490986</v>
      </c>
      <c r="G34" s="25">
        <f>'Combined Retirement'!$C$24</f>
        <v>3254.2644699519233</v>
      </c>
      <c r="H34" s="25">
        <f>IF(B34&lt;62,0,'Combined Retirement'!$I$14)</f>
        <v>0</v>
      </c>
      <c r="I34" s="25">
        <f>IF(C34&lt;62,0,'Combined Retirement'!$I$13)</f>
        <v>0</v>
      </c>
      <c r="J34" s="25">
        <f t="shared" si="3"/>
        <v>31459.43324439897</v>
      </c>
      <c r="K34" s="25">
        <f t="shared" si="4"/>
        <v>0</v>
      </c>
      <c r="L34" s="25"/>
      <c r="N34" s="25">
        <f>'Combined Retirement'!$C$18/12</f>
        <v>39153.069999999992</v>
      </c>
      <c r="O34" s="25">
        <f t="shared" si="5"/>
        <v>7693.6367556010218</v>
      </c>
      <c r="P34" s="25">
        <f t="shared" si="6"/>
        <v>31459.43324439897</v>
      </c>
      <c r="Q34" s="25">
        <f t="array" aca="1" ref="Q34" ca="1">INDEX('Isaac 401k'!L:L,MATCH('Retirement Calculator'!A34,'Isaac 401k'!N:N,0),0)</f>
        <v>2833151.713910182</v>
      </c>
      <c r="R34" s="25">
        <f t="array" aca="1" ref="R34" ca="1">INDEX('Lorri 401b'!L:L,MATCH('Retirement Calculator'!A34,'Lorri 401b'!N:N,0),0)</f>
        <v>3848435.4825939005</v>
      </c>
      <c r="S34" s="25">
        <f t="shared" ca="1" si="7"/>
        <v>6681587.1965040825</v>
      </c>
    </row>
    <row r="35" spans="1:19" ht="15.75" customHeight="1" x14ac:dyDescent="0.3">
      <c r="A35" s="37">
        <v>52018</v>
      </c>
      <c r="B35" s="398">
        <f t="shared" ref="B35:C35" si="31">($A35-B$9)/365.25</f>
        <v>60.539356605065024</v>
      </c>
      <c r="C35" s="398">
        <f t="shared" si="31"/>
        <v>55.928815879534568</v>
      </c>
      <c r="E35" s="25">
        <f>IF(C35&gt;$B$7,0,'Combined Retirement'!$D$13/12)</f>
        <v>0</v>
      </c>
      <c r="F35" s="25">
        <f>IF(H35=0,'Combined Retirement'!$D$32,0)+'Combined Retirement'!$B$24</f>
        <v>4439.3722856490986</v>
      </c>
      <c r="G35" s="25">
        <f>'Combined Retirement'!$C$24</f>
        <v>3254.2644699519233</v>
      </c>
      <c r="H35" s="25">
        <f>IF(B35&lt;62,0,'Combined Retirement'!$I$14)</f>
        <v>0</v>
      </c>
      <c r="I35" s="25">
        <f>IF(C35&lt;62,0,'Combined Retirement'!$I$13)</f>
        <v>0</v>
      </c>
      <c r="J35" s="25">
        <f t="shared" si="3"/>
        <v>31459.43324439897</v>
      </c>
      <c r="K35" s="25">
        <f t="shared" si="4"/>
        <v>0</v>
      </c>
      <c r="L35" s="25"/>
      <c r="N35" s="25">
        <f>'Combined Retirement'!$C$18/12</f>
        <v>39153.069999999992</v>
      </c>
      <c r="O35" s="25">
        <f t="shared" si="5"/>
        <v>7693.6367556010218</v>
      </c>
      <c r="P35" s="25">
        <f t="shared" si="6"/>
        <v>31459.43324439897</v>
      </c>
      <c r="Q35" s="25">
        <f t="array" aca="1" ref="Q35" ca="1">INDEX('Isaac 401k'!L:L,MATCH('Retirement Calculator'!A35,'Isaac 401k'!N:N,0),0)</f>
        <v>2813365.9985018908</v>
      </c>
      <c r="R35" s="25">
        <f t="array" aca="1" ref="R35" ca="1">INDEX('Lorri 401b'!L:L,MATCH('Retirement Calculator'!A35,'Lorri 401b'!N:N,0),0)</f>
        <v>3864470.6304380419</v>
      </c>
      <c r="S35" s="25">
        <f t="shared" ca="1" si="7"/>
        <v>6677836.6289399322</v>
      </c>
    </row>
    <row r="36" spans="1:19" ht="15.75" customHeight="1" x14ac:dyDescent="0.3">
      <c r="A36" s="37">
        <v>52048</v>
      </c>
      <c r="B36" s="398">
        <f t="shared" ref="B36:C36" si="32">($A36-B$9)/365.25</f>
        <v>60.621492128678987</v>
      </c>
      <c r="C36" s="398">
        <f t="shared" si="32"/>
        <v>56.010951403148532</v>
      </c>
      <c r="E36" s="25">
        <f>IF(C36&gt;$B$7,0,'Combined Retirement'!$D$13/12)</f>
        <v>0</v>
      </c>
      <c r="F36" s="25">
        <f>IF(H36=0,'Combined Retirement'!$D$32,0)+'Combined Retirement'!$B$24</f>
        <v>4439.3722856490986</v>
      </c>
      <c r="G36" s="25">
        <f>'Combined Retirement'!$C$24</f>
        <v>3254.2644699519233</v>
      </c>
      <c r="H36" s="25">
        <f>IF(B36&lt;62,0,'Combined Retirement'!$I$14)</f>
        <v>0</v>
      </c>
      <c r="I36" s="25">
        <f>IF(C36&lt;62,0,'Combined Retirement'!$I$13)</f>
        <v>0</v>
      </c>
      <c r="J36" s="25">
        <f t="shared" si="3"/>
        <v>31459.43324439897</v>
      </c>
      <c r="K36" s="25">
        <f t="shared" si="4"/>
        <v>0</v>
      </c>
      <c r="L36" s="25"/>
      <c r="N36" s="25">
        <f>'Combined Retirement'!$C$18/12</f>
        <v>39153.069999999992</v>
      </c>
      <c r="O36" s="25">
        <f t="shared" si="5"/>
        <v>7693.6367556010218</v>
      </c>
      <c r="P36" s="25">
        <f t="shared" si="6"/>
        <v>31459.43324439897</v>
      </c>
      <c r="Q36" s="25">
        <f t="array" aca="1" ref="Q36" ca="1">INDEX('Isaac 401k'!L:L,MATCH('Retirement Calculator'!A36,'Isaac 401k'!N:N,0),0)</f>
        <v>2793497.8426127317</v>
      </c>
      <c r="R36" s="25">
        <f t="array" aca="1" ref="R36" ca="1">INDEX('Lorri 401b'!L:L,MATCH('Retirement Calculator'!A36,'Lorri 401b'!N:N,0),0)</f>
        <v>3880572.5913982005</v>
      </c>
      <c r="S36" s="25">
        <f t="shared" ca="1" si="7"/>
        <v>6674070.4340109322</v>
      </c>
    </row>
    <row r="37" spans="1:19" ht="15.75" customHeight="1" x14ac:dyDescent="0.3">
      <c r="A37" s="37">
        <v>52079</v>
      </c>
      <c r="B37" s="398">
        <f t="shared" ref="B37:C37" si="33">($A37-B$9)/365.25</f>
        <v>60.706365503080079</v>
      </c>
      <c r="C37" s="398">
        <f t="shared" si="33"/>
        <v>56.095824777549623</v>
      </c>
      <c r="E37" s="25">
        <f>IF(C37&gt;$B$7,0,'Combined Retirement'!$D$13/12)</f>
        <v>0</v>
      </c>
      <c r="F37" s="25">
        <f>IF(H37=0,'Combined Retirement'!$D$32,0)+'Combined Retirement'!$B$24</f>
        <v>4439.3722856490986</v>
      </c>
      <c r="G37" s="25">
        <f>'Combined Retirement'!$C$24</f>
        <v>3254.2644699519233</v>
      </c>
      <c r="H37" s="25">
        <f>IF(B37&lt;62,0,'Combined Retirement'!$I$14)</f>
        <v>0</v>
      </c>
      <c r="I37" s="25">
        <f>IF(C37&lt;62,0,'Combined Retirement'!$I$13)</f>
        <v>0</v>
      </c>
      <c r="J37" s="25">
        <f t="shared" si="3"/>
        <v>31459.43324439897</v>
      </c>
      <c r="K37" s="25">
        <f t="shared" si="4"/>
        <v>0</v>
      </c>
      <c r="L37" s="25"/>
      <c r="N37" s="25">
        <f>'Combined Retirement'!$C$18/12</f>
        <v>39153.069999999992</v>
      </c>
      <c r="O37" s="25">
        <f t="shared" si="5"/>
        <v>7693.6367556010218</v>
      </c>
      <c r="P37" s="25">
        <f t="shared" si="6"/>
        <v>31459.43324439897</v>
      </c>
      <c r="Q37" s="25">
        <f t="array" aca="1" ref="Q37" ca="1">INDEX('Isaac 401k'!L:L,MATCH('Retirement Calculator'!A37,'Isaac 401k'!N:N,0),0)</f>
        <v>2773546.9027407011</v>
      </c>
      <c r="R37" s="25">
        <f t="array" aca="1" ref="R37" ca="1">INDEX('Lorri 401b'!L:L,MATCH('Retirement Calculator'!A37,'Lorri 401b'!N:N,0),0)</f>
        <v>3896741.6438623597</v>
      </c>
      <c r="S37" s="25">
        <f t="shared" ca="1" si="7"/>
        <v>6670288.5466030613</v>
      </c>
    </row>
    <row r="38" spans="1:19" ht="15.75" customHeight="1" x14ac:dyDescent="0.3">
      <c r="A38" s="37">
        <v>52110</v>
      </c>
      <c r="B38" s="398">
        <f t="shared" ref="B38:C38" si="34">($A38-B$9)/365.25</f>
        <v>60.791238877481177</v>
      </c>
      <c r="C38" s="398">
        <f t="shared" si="34"/>
        <v>56.180698151950722</v>
      </c>
      <c r="E38" s="25">
        <f>IF(C38&gt;$B$7,0,'Combined Retirement'!$D$13/12)</f>
        <v>0</v>
      </c>
      <c r="F38" s="25">
        <f>IF(H38=0,'Combined Retirement'!$D$32,0)+'Combined Retirement'!$B$24</f>
        <v>4439.3722856490986</v>
      </c>
      <c r="G38" s="25">
        <f>'Combined Retirement'!$C$24</f>
        <v>3254.2644699519233</v>
      </c>
      <c r="H38" s="25">
        <f>IF(B38&lt;62,0,'Combined Retirement'!$I$14)</f>
        <v>0</v>
      </c>
      <c r="I38" s="25">
        <f>IF(C38&lt;62,0,'Combined Retirement'!$I$13)</f>
        <v>0</v>
      </c>
      <c r="J38" s="25">
        <f t="shared" si="3"/>
        <v>31459.43324439897</v>
      </c>
      <c r="K38" s="25">
        <f t="shared" si="4"/>
        <v>0</v>
      </c>
      <c r="L38" s="25"/>
      <c r="N38" s="25">
        <f>'Combined Retirement'!$C$18/12</f>
        <v>39153.069999999992</v>
      </c>
      <c r="O38" s="25">
        <f t="shared" si="5"/>
        <v>7693.6367556010218</v>
      </c>
      <c r="P38" s="25">
        <f t="shared" si="6"/>
        <v>31459.43324439897</v>
      </c>
      <c r="Q38" s="25">
        <f t="array" aca="1" ref="Q38" ca="1">INDEX('Isaac 401k'!L:L,MATCH('Retirement Calculator'!A38,'Isaac 401k'!N:N,0),0)</f>
        <v>2753512.8339525368</v>
      </c>
      <c r="R38" s="25">
        <f t="array" aca="1" ref="R38" ca="1">INDEX('Lorri 401b'!L:L,MATCH('Retirement Calculator'!A38,'Lorri 401b'!N:N,0),0)</f>
        <v>3912978.067378453</v>
      </c>
      <c r="S38" s="25">
        <f t="shared" ca="1" si="7"/>
        <v>6666490.9013309898</v>
      </c>
    </row>
    <row r="39" spans="1:19" ht="15.75" customHeight="1" x14ac:dyDescent="0.3">
      <c r="A39" s="37">
        <v>52140</v>
      </c>
      <c r="B39" s="398">
        <f t="shared" ref="B39:C39" si="35">($A39-B$9)/365.25</f>
        <v>60.873374401095141</v>
      </c>
      <c r="C39" s="398">
        <f t="shared" si="35"/>
        <v>56.262833675564679</v>
      </c>
      <c r="E39" s="25">
        <f>IF(C39&gt;$B$7,0,'Combined Retirement'!$D$13/12)</f>
        <v>0</v>
      </c>
      <c r="F39" s="25">
        <f>IF(H39=0,'Combined Retirement'!$D$32,0)+'Combined Retirement'!$B$24</f>
        <v>4439.3722856490986</v>
      </c>
      <c r="G39" s="25">
        <f>'Combined Retirement'!$C$24</f>
        <v>3254.2644699519233</v>
      </c>
      <c r="H39" s="25">
        <f>IF(B39&lt;62,0,'Combined Retirement'!$I$14)</f>
        <v>0</v>
      </c>
      <c r="I39" s="25">
        <f>IF(C39&lt;62,0,'Combined Retirement'!$I$13)</f>
        <v>0</v>
      </c>
      <c r="J39" s="25">
        <f t="shared" si="3"/>
        <v>31459.43324439897</v>
      </c>
      <c r="K39" s="25">
        <f t="shared" si="4"/>
        <v>0</v>
      </c>
      <c r="L39" s="25"/>
      <c r="N39" s="25">
        <f>'Combined Retirement'!$C$18/12</f>
        <v>39153.069999999992</v>
      </c>
      <c r="O39" s="25">
        <f t="shared" si="5"/>
        <v>7693.6367556010218</v>
      </c>
      <c r="P39" s="25">
        <f t="shared" si="6"/>
        <v>31459.43324439897</v>
      </c>
      <c r="Q39" s="25">
        <f t="array" aca="1" ref="Q39" ca="1">INDEX('Isaac 401k'!L:L,MATCH('Retirement Calculator'!A39,'Isaac 401k'!N:N,0),0)</f>
        <v>2733395.2898777551</v>
      </c>
      <c r="R39" s="25">
        <f t="array" aca="1" ref="R39" ca="1">INDEX('Lorri 401b'!L:L,MATCH('Retirement Calculator'!A39,'Lorri 401b'!N:N,0),0)</f>
        <v>3929282.1426591966</v>
      </c>
      <c r="S39" s="25">
        <f t="shared" ca="1" si="7"/>
        <v>6662677.4325369522</v>
      </c>
    </row>
    <row r="40" spans="1:19" ht="15.75" customHeight="1" x14ac:dyDescent="0.3">
      <c r="A40" s="37">
        <v>52171</v>
      </c>
      <c r="B40" s="398">
        <f t="shared" ref="B40:C40" si="36">($A40-B$9)/365.25</f>
        <v>60.958247775496233</v>
      </c>
      <c r="C40" s="398">
        <f t="shared" si="36"/>
        <v>56.347707049965777</v>
      </c>
      <c r="E40" s="25">
        <f>IF(C40&gt;$B$7,0,'Combined Retirement'!$D$13/12)</f>
        <v>0</v>
      </c>
      <c r="F40" s="25">
        <f>IF(H40=0,'Combined Retirement'!$D$32,0)+'Combined Retirement'!$B$24</f>
        <v>4439.3722856490986</v>
      </c>
      <c r="G40" s="25">
        <f>'Combined Retirement'!$C$24</f>
        <v>3254.2644699519233</v>
      </c>
      <c r="H40" s="25">
        <f>IF(B40&lt;62,0,'Combined Retirement'!$I$14)</f>
        <v>0</v>
      </c>
      <c r="I40" s="25">
        <f>IF(C40&lt;62,0,'Combined Retirement'!$I$13)</f>
        <v>0</v>
      </c>
      <c r="J40" s="25">
        <f t="shared" si="3"/>
        <v>31459.43324439897</v>
      </c>
      <c r="K40" s="25">
        <f t="shared" si="4"/>
        <v>0</v>
      </c>
      <c r="L40" s="25"/>
      <c r="N40" s="25">
        <f>'Combined Retirement'!$C$18/12</f>
        <v>39153.069999999992</v>
      </c>
      <c r="O40" s="25">
        <f t="shared" si="5"/>
        <v>7693.6367556010218</v>
      </c>
      <c r="P40" s="25">
        <f t="shared" si="6"/>
        <v>31459.43324439897</v>
      </c>
      <c r="Q40" s="25">
        <f t="array" aca="1" ref="Q40" ca="1">INDEX('Isaac 401k'!L:L,MATCH('Retirement Calculator'!A40,'Isaac 401k'!N:N,0),0)</f>
        <v>2713193.9227026622</v>
      </c>
      <c r="R40" s="25">
        <f t="array" aca="1" ref="R40" ca="1">INDEX('Lorri 401b'!L:L,MATCH('Retirement Calculator'!A40,'Lorri 401b'!N:N,0),0)</f>
        <v>3945654.1515869433</v>
      </c>
      <c r="S40" s="25">
        <f t="shared" ca="1" si="7"/>
        <v>6658848.074289605</v>
      </c>
    </row>
    <row r="41" spans="1:19" ht="15.75" customHeight="1" x14ac:dyDescent="0.3">
      <c r="A41" s="37">
        <v>52201</v>
      </c>
      <c r="B41" s="398">
        <f t="shared" ref="B41:C41" si="37">($A41-B$9)/365.25</f>
        <v>61.040383299110196</v>
      </c>
      <c r="C41" s="398">
        <f t="shared" si="37"/>
        <v>56.429842573579741</v>
      </c>
      <c r="E41" s="25">
        <f>IF(C41&gt;$B$7,0,'Combined Retirement'!$D$13/12)</f>
        <v>0</v>
      </c>
      <c r="F41" s="25">
        <f>IF(H41=0,'Combined Retirement'!$D$32,0)+'Combined Retirement'!$B$24</f>
        <v>4439.3722856490986</v>
      </c>
      <c r="G41" s="25">
        <f>'Combined Retirement'!$C$24</f>
        <v>3254.2644699519233</v>
      </c>
      <c r="H41" s="25">
        <f>IF(B41&lt;62,0,'Combined Retirement'!$I$14)</f>
        <v>0</v>
      </c>
      <c r="I41" s="25">
        <f>IF(C41&lt;62,0,'Combined Retirement'!$I$13)</f>
        <v>0</v>
      </c>
      <c r="J41" s="25">
        <f t="shared" si="3"/>
        <v>31459.43324439897</v>
      </c>
      <c r="K41" s="25">
        <f t="shared" si="4"/>
        <v>0</v>
      </c>
      <c r="L41" s="25"/>
      <c r="N41" s="25">
        <f>'Combined Retirement'!$C$18/12</f>
        <v>39153.069999999992</v>
      </c>
      <c r="O41" s="25">
        <f t="shared" si="5"/>
        <v>7693.6367556010218</v>
      </c>
      <c r="P41" s="25">
        <f t="shared" si="6"/>
        <v>31459.43324439897</v>
      </c>
      <c r="Q41" s="25">
        <f t="array" aca="1" ref="Q41" ca="1">INDEX('Isaac 401k'!L:L,MATCH('Retirement Calculator'!A41,'Isaac 401k'!N:N,0),0)</f>
        <v>2692908.3831643397</v>
      </c>
      <c r="R41" s="25">
        <f t="array" aca="1" ref="R41" ca="1">INDEX('Lorri 401b'!L:L,MATCH('Retirement Calculator'!A41,'Lorri 401b'!N:N,0),0)</f>
        <v>3962094.3772185557</v>
      </c>
      <c r="S41" s="25">
        <f t="shared" ca="1" si="7"/>
        <v>6655002.7603828954</v>
      </c>
    </row>
    <row r="42" spans="1:19" ht="15.75" customHeight="1" x14ac:dyDescent="0.3">
      <c r="A42" s="37">
        <v>52232</v>
      </c>
      <c r="B42" s="398">
        <f t="shared" ref="B42:C42" si="38">($A42-B$9)/365.25</f>
        <v>61.125256673511295</v>
      </c>
      <c r="C42" s="398">
        <f t="shared" si="38"/>
        <v>56.514715947980832</v>
      </c>
      <c r="E42" s="25">
        <f>IF(C42&gt;$B$7,0,'Combined Retirement'!$D$13/12)</f>
        <v>0</v>
      </c>
      <c r="F42" s="25">
        <f>IF(H42=0,'Combined Retirement'!$D$32,0)+'Combined Retirement'!$B$24</f>
        <v>4439.3722856490986</v>
      </c>
      <c r="G42" s="25">
        <f>'Combined Retirement'!$C$24</f>
        <v>3254.2644699519233</v>
      </c>
      <c r="H42" s="25">
        <f>IF(B42&lt;62,0,'Combined Retirement'!$I$14)</f>
        <v>0</v>
      </c>
      <c r="I42" s="25">
        <f>IF(C42&lt;62,0,'Combined Retirement'!$I$13)</f>
        <v>0</v>
      </c>
      <c r="J42" s="25">
        <f t="shared" si="3"/>
        <v>31459.43324439897</v>
      </c>
      <c r="K42" s="25">
        <f t="shared" si="4"/>
        <v>0</v>
      </c>
      <c r="L42" s="25"/>
      <c r="N42" s="25">
        <f>'Combined Retirement'!$C$18/12</f>
        <v>39153.069999999992</v>
      </c>
      <c r="O42" s="25">
        <f t="shared" si="5"/>
        <v>7693.6367556010218</v>
      </c>
      <c r="P42" s="25">
        <f t="shared" si="6"/>
        <v>31459.43324439897</v>
      </c>
      <c r="Q42" s="25">
        <f t="array" aca="1" ref="Q42" ca="1">INDEX('Isaac 401k'!L:L,MATCH('Retirement Calculator'!A42,'Isaac 401k'!N:N,0),0)</f>
        <v>2672538.3205446075</v>
      </c>
      <c r="R42" s="25">
        <f t="array" aca="1" ref="R42" ca="1">INDEX('Lorri 401b'!L:L,MATCH('Retirement Calculator'!A42,'Lorri 401b'!N:N,0),0)</f>
        <v>3978603.1037902995</v>
      </c>
      <c r="S42" s="25">
        <f t="shared" ca="1" si="7"/>
        <v>6651141.424334907</v>
      </c>
    </row>
    <row r="43" spans="1:19" ht="15.75" customHeight="1" x14ac:dyDescent="0.3">
      <c r="A43" s="37">
        <v>52263</v>
      </c>
      <c r="B43" s="398">
        <f t="shared" ref="B43:C43" si="39">($A43-B$9)/365.25</f>
        <v>61.210130047912386</v>
      </c>
      <c r="C43" s="398">
        <f t="shared" si="39"/>
        <v>56.599589322381931</v>
      </c>
      <c r="E43" s="25">
        <f>IF(C43&gt;$B$7,0,'Combined Retirement'!$D$13/12)</f>
        <v>0</v>
      </c>
      <c r="F43" s="25">
        <f>IF(H43=0,'Combined Retirement'!$D$32,0)+'Combined Retirement'!$B$24</f>
        <v>4439.3722856490986</v>
      </c>
      <c r="G43" s="25">
        <f>'Combined Retirement'!$C$24</f>
        <v>3254.2644699519233</v>
      </c>
      <c r="H43" s="25">
        <f>IF(B43&lt;62,0,'Combined Retirement'!$I$14)</f>
        <v>0</v>
      </c>
      <c r="I43" s="25">
        <f>IF(C43&lt;62,0,'Combined Retirement'!$I$13)</f>
        <v>0</v>
      </c>
      <c r="J43" s="25">
        <f t="shared" si="3"/>
        <v>31459.43324439897</v>
      </c>
      <c r="K43" s="25">
        <f t="shared" si="4"/>
        <v>0</v>
      </c>
      <c r="L43" s="25"/>
      <c r="N43" s="25">
        <f>'Combined Retirement'!$C$18/12</f>
        <v>39153.069999999992</v>
      </c>
      <c r="O43" s="25">
        <f t="shared" si="5"/>
        <v>7693.6367556010218</v>
      </c>
      <c r="P43" s="25">
        <f t="shared" si="6"/>
        <v>31459.43324439897</v>
      </c>
      <c r="Q43" s="25">
        <f t="array" aca="1" ref="Q43" ca="1">INDEX('Isaac 401k'!L:L,MATCH('Retirement Calculator'!A43,'Isaac 401k'!N:N,0),0)</f>
        <v>2652083.3826639596</v>
      </c>
      <c r="R43" s="25">
        <f t="array" aca="1" ref="R43" ca="1">INDEX('Lorri 401b'!L:L,MATCH('Retirement Calculator'!A43,'Lorri 401b'!N:N,0),0)</f>
        <v>3995180.6167227589</v>
      </c>
      <c r="S43" s="25">
        <f t="shared" ca="1" si="7"/>
        <v>6647263.9993867185</v>
      </c>
    </row>
    <row r="44" spans="1:19" ht="15.75" customHeight="1" x14ac:dyDescent="0.3">
      <c r="A44" s="37">
        <v>52291</v>
      </c>
      <c r="B44" s="398">
        <f t="shared" ref="B44:C44" si="40">($A44-B$9)/365.25</f>
        <v>61.286789869952088</v>
      </c>
      <c r="C44" s="398">
        <f t="shared" si="40"/>
        <v>56.676249144421632</v>
      </c>
      <c r="E44" s="25">
        <f>IF(C44&gt;$B$7,0,'Combined Retirement'!$D$13/12)</f>
        <v>0</v>
      </c>
      <c r="F44" s="25">
        <f>IF(H44=0,'Combined Retirement'!$D$32,0)+'Combined Retirement'!$B$24</f>
        <v>4439.3722856490986</v>
      </c>
      <c r="G44" s="25">
        <f>'Combined Retirement'!$C$24</f>
        <v>3254.2644699519233</v>
      </c>
      <c r="H44" s="25">
        <f>IF(B44&lt;62,0,'Combined Retirement'!$I$14)</f>
        <v>0</v>
      </c>
      <c r="I44" s="25">
        <f>IF(C44&lt;62,0,'Combined Retirement'!$I$13)</f>
        <v>0</v>
      </c>
      <c r="J44" s="25">
        <f t="shared" si="3"/>
        <v>31459.43324439897</v>
      </c>
      <c r="K44" s="25">
        <f t="shared" si="4"/>
        <v>0</v>
      </c>
      <c r="L44" s="25"/>
      <c r="N44" s="25">
        <f>'Combined Retirement'!$C$18/12</f>
        <v>39153.069999999992</v>
      </c>
      <c r="O44" s="25">
        <f t="shared" si="5"/>
        <v>7693.6367556010218</v>
      </c>
      <c r="P44" s="25">
        <f t="shared" si="6"/>
        <v>31459.43324439897</v>
      </c>
      <c r="Q44" s="25">
        <f t="array" aca="1" ref="Q44" ca="1">INDEX('Isaac 401k'!L:L,MATCH('Retirement Calculator'!A44,'Isaac 401k'!N:N,0),0)</f>
        <v>2631543.2158754757</v>
      </c>
      <c r="R44" s="25">
        <f t="array" aca="1" ref="R44" ca="1">INDEX('Lorri 401b'!L:L,MATCH('Retirement Calculator'!A44,'Lorri 401b'!N:N,0),0)</f>
        <v>4011827.2026257701</v>
      </c>
      <c r="S44" s="25">
        <f t="shared" ca="1" si="7"/>
        <v>6643370.4185012458</v>
      </c>
    </row>
    <row r="45" spans="1:19" ht="15.75" customHeight="1" x14ac:dyDescent="0.3">
      <c r="A45" s="37">
        <v>52322</v>
      </c>
      <c r="B45" s="398">
        <f t="shared" ref="B45:C45" si="41">($A45-B$9)/365.25</f>
        <v>61.371663244353179</v>
      </c>
      <c r="C45" s="398">
        <f t="shared" si="41"/>
        <v>56.761122518822724</v>
      </c>
      <c r="E45" s="25">
        <f>IF(C45&gt;$B$7,0,'Combined Retirement'!$D$13/12)</f>
        <v>0</v>
      </c>
      <c r="F45" s="25">
        <f>IF(H45=0,'Combined Retirement'!$D$32,0)+'Combined Retirement'!$B$24</f>
        <v>4439.3722856490986</v>
      </c>
      <c r="G45" s="25">
        <f>'Combined Retirement'!$C$24</f>
        <v>3254.2644699519233</v>
      </c>
      <c r="H45" s="25">
        <f>IF(B45&lt;62,0,'Combined Retirement'!$I$14)</f>
        <v>0</v>
      </c>
      <c r="I45" s="25">
        <f>IF(C45&lt;62,0,'Combined Retirement'!$I$13)</f>
        <v>0</v>
      </c>
      <c r="J45" s="25">
        <f t="shared" si="3"/>
        <v>31459.43324439897</v>
      </c>
      <c r="K45" s="25">
        <f t="shared" si="4"/>
        <v>0</v>
      </c>
      <c r="L45" s="25"/>
      <c r="N45" s="25">
        <f>'Combined Retirement'!$C$18/12</f>
        <v>39153.069999999992</v>
      </c>
      <c r="O45" s="25">
        <f t="shared" si="5"/>
        <v>7693.6367556010218</v>
      </c>
      <c r="P45" s="25">
        <f t="shared" si="6"/>
        <v>31459.43324439897</v>
      </c>
      <c r="Q45" s="25">
        <f t="array" aca="1" ref="Q45" ca="1">INDEX('Isaac 401k'!L:L,MATCH('Retirement Calculator'!A45,'Isaac 401k'!N:N,0),0)</f>
        <v>2610917.4650587062</v>
      </c>
      <c r="R45" s="25">
        <f t="array" aca="1" ref="R45" ca="1">INDEX('Lorri 401b'!L:L,MATCH('Retirement Calculator'!A45,'Lorri 401b'!N:N,0),0)</f>
        <v>4028543.1493033776</v>
      </c>
      <c r="S45" s="25">
        <f t="shared" ca="1" si="7"/>
        <v>6639460.6143620834</v>
      </c>
    </row>
    <row r="46" spans="1:19" ht="15.75" customHeight="1" x14ac:dyDescent="0.3">
      <c r="A46" s="37">
        <v>52352</v>
      </c>
      <c r="B46" s="398">
        <f t="shared" ref="B46:C46" si="42">($A46-B$9)/365.25</f>
        <v>61.453798767967143</v>
      </c>
      <c r="C46" s="398">
        <f t="shared" si="42"/>
        <v>56.843258042436688</v>
      </c>
      <c r="E46" s="25">
        <f>IF(C46&gt;$B$7,0,'Combined Retirement'!$D$13/12)</f>
        <v>0</v>
      </c>
      <c r="F46" s="25">
        <f>IF(H46=0,'Combined Retirement'!$D$32,0)+'Combined Retirement'!$B$24</f>
        <v>4439.3722856490986</v>
      </c>
      <c r="G46" s="25">
        <f>'Combined Retirement'!$C$24</f>
        <v>3254.2644699519233</v>
      </c>
      <c r="H46" s="25">
        <f>IF(B46&lt;62,0,'Combined Retirement'!$I$14)</f>
        <v>0</v>
      </c>
      <c r="I46" s="25">
        <f>IF(C46&lt;62,0,'Combined Retirement'!$I$13)</f>
        <v>0</v>
      </c>
      <c r="J46" s="25">
        <f t="shared" si="3"/>
        <v>31459.43324439897</v>
      </c>
      <c r="K46" s="25">
        <f t="shared" si="4"/>
        <v>0</v>
      </c>
      <c r="L46" s="25"/>
      <c r="N46" s="25">
        <f>'Combined Retirement'!$C$18/12</f>
        <v>39153.069999999992</v>
      </c>
      <c r="O46" s="25">
        <f t="shared" si="5"/>
        <v>7693.6367556010218</v>
      </c>
      <c r="P46" s="25">
        <f t="shared" si="6"/>
        <v>31459.43324439897</v>
      </c>
      <c r="Q46" s="25">
        <f t="array" aca="1" ref="Q46" ca="1">INDEX('Isaac 401k'!L:L,MATCH('Retirement Calculator'!A46,'Isaac 401k'!N:N,0),0)</f>
        <v>2590205.7736135339</v>
      </c>
      <c r="R46" s="25">
        <f t="array" aca="1" ref="R46" ca="1">INDEX('Lorri 401b'!L:L,MATCH('Retirement Calculator'!A46,'Lorri 401b'!N:N,0),0)</f>
        <v>4045328.7457588082</v>
      </c>
      <c r="S46" s="25">
        <f t="shared" ca="1" si="7"/>
        <v>6635534.5193723422</v>
      </c>
    </row>
    <row r="47" spans="1:19" ht="15.75" customHeight="1" x14ac:dyDescent="0.3">
      <c r="A47" s="37">
        <v>52383</v>
      </c>
      <c r="B47" s="398">
        <f t="shared" ref="B47:C47" si="43">($A47-B$9)/365.25</f>
        <v>61.538672142368242</v>
      </c>
      <c r="C47" s="398">
        <f t="shared" si="43"/>
        <v>56.928131416837779</v>
      </c>
      <c r="E47" s="25">
        <f>IF(C47&gt;$B$7,0,'Combined Retirement'!$D$13/12)</f>
        <v>0</v>
      </c>
      <c r="F47" s="25">
        <f>IF(H47=0,'Combined Retirement'!$D$32,0)+'Combined Retirement'!$B$24</f>
        <v>4439.3722856490986</v>
      </c>
      <c r="G47" s="25">
        <f>'Combined Retirement'!$C$24</f>
        <v>3254.2644699519233</v>
      </c>
      <c r="H47" s="25">
        <f>IF(B47&lt;62,0,'Combined Retirement'!$I$14)</f>
        <v>0</v>
      </c>
      <c r="I47" s="25">
        <f>IF(C47&lt;62,0,'Combined Retirement'!$I$13)</f>
        <v>0</v>
      </c>
      <c r="J47" s="25">
        <f t="shared" si="3"/>
        <v>31459.43324439897</v>
      </c>
      <c r="K47" s="25">
        <f t="shared" si="4"/>
        <v>0</v>
      </c>
      <c r="L47" s="25"/>
      <c r="N47" s="25">
        <f>'Combined Retirement'!$C$18/12</f>
        <v>39153.069999999992</v>
      </c>
      <c r="O47" s="25">
        <f t="shared" si="5"/>
        <v>7693.6367556010218</v>
      </c>
      <c r="P47" s="25">
        <f t="shared" si="6"/>
        <v>31459.43324439897</v>
      </c>
      <c r="Q47" s="25">
        <f t="array" aca="1" ref="Q47" ca="1">INDEX('Isaac 401k'!L:L,MATCH('Retirement Calculator'!A47,'Isaac 401k'!N:N,0),0)</f>
        <v>2569407.7834540065</v>
      </c>
      <c r="R47" s="25">
        <f t="array" aca="1" ref="R47" ca="1">INDEX('Lorri 401b'!L:L,MATCH('Retirement Calculator'!A47,'Lorri 401b'!N:N,0),0)</f>
        <v>4062184.2821994699</v>
      </c>
      <c r="S47" s="25">
        <f t="shared" ca="1" si="7"/>
        <v>6631592.0656534769</v>
      </c>
    </row>
    <row r="48" spans="1:19" ht="15.75" customHeight="1" x14ac:dyDescent="0.3">
      <c r="A48" s="37">
        <v>52413</v>
      </c>
      <c r="B48" s="398">
        <f t="shared" ref="B48:C48" si="44">($A48-B$9)/365.25</f>
        <v>61.620807665982205</v>
      </c>
      <c r="C48" s="398">
        <f t="shared" si="44"/>
        <v>57.010266940451743</v>
      </c>
      <c r="E48" s="25">
        <f>IF(C48&gt;$B$7,0,'Combined Retirement'!$D$13/12)</f>
        <v>0</v>
      </c>
      <c r="F48" s="25">
        <f>IF(H48=0,'Combined Retirement'!$D$32,0)+'Combined Retirement'!$B$24</f>
        <v>4439.3722856490986</v>
      </c>
      <c r="G48" s="25">
        <f>'Combined Retirement'!$C$24</f>
        <v>3254.2644699519233</v>
      </c>
      <c r="H48" s="25">
        <f>IF(B48&lt;62,0,'Combined Retirement'!$I$14)</f>
        <v>0</v>
      </c>
      <c r="I48" s="25">
        <f>IF(C48&lt;62,0,'Combined Retirement'!$I$13)</f>
        <v>0</v>
      </c>
      <c r="J48" s="25">
        <f t="shared" si="3"/>
        <v>31459.43324439897</v>
      </c>
      <c r="K48" s="25">
        <f t="shared" si="4"/>
        <v>0</v>
      </c>
      <c r="L48" s="25"/>
      <c r="N48" s="25">
        <f>'Combined Retirement'!$C$18/12</f>
        <v>39153.069999999992</v>
      </c>
      <c r="O48" s="25">
        <f t="shared" si="5"/>
        <v>7693.6367556010218</v>
      </c>
      <c r="P48" s="25">
        <f t="shared" si="6"/>
        <v>31459.43324439897</v>
      </c>
      <c r="Q48" s="25">
        <f t="array" aca="1" ref="Q48" ca="1">INDEX('Isaac 401k'!L:L,MATCH('Retirement Calculator'!A48,'Isaac 401k'!N:N,0),0)</f>
        <v>2548523.1350021479</v>
      </c>
      <c r="R48" s="25">
        <f t="array" aca="1" ref="R48" ca="1">INDEX('Lorri 401b'!L:L,MATCH('Retirement Calculator'!A48,'Lorri 401b'!N:N,0),0)</f>
        <v>4079110.0500419675</v>
      </c>
      <c r="S48" s="25">
        <f t="shared" ca="1" si="7"/>
        <v>6627633.1850441154</v>
      </c>
    </row>
    <row r="49" spans="1:19" ht="15.75" customHeight="1" x14ac:dyDescent="0.3">
      <c r="A49" s="37">
        <v>52444</v>
      </c>
      <c r="B49" s="398">
        <f t="shared" ref="B49:C49" si="45">($A49-B$9)/365.25</f>
        <v>61.705681040383297</v>
      </c>
      <c r="C49" s="398">
        <f t="shared" si="45"/>
        <v>57.095140314852841</v>
      </c>
      <c r="E49" s="25">
        <f>IF(C49&gt;$B$7,0,'Combined Retirement'!$D$13/12)</f>
        <v>0</v>
      </c>
      <c r="F49" s="25">
        <f>IF(H49=0,'Combined Retirement'!$D$32,0)+'Combined Retirement'!$B$24</f>
        <v>4439.3722856490986</v>
      </c>
      <c r="G49" s="25">
        <f>'Combined Retirement'!$C$24</f>
        <v>3254.2644699519233</v>
      </c>
      <c r="H49" s="25">
        <f>IF(B49&lt;62,0,'Combined Retirement'!$I$14)</f>
        <v>0</v>
      </c>
      <c r="I49" s="25">
        <f>IF(C49&lt;62,0,'Combined Retirement'!$I$13)</f>
        <v>0</v>
      </c>
      <c r="J49" s="25">
        <f t="shared" si="3"/>
        <v>31459.43324439897</v>
      </c>
      <c r="K49" s="25">
        <f t="shared" si="4"/>
        <v>0</v>
      </c>
      <c r="L49" s="25"/>
      <c r="N49" s="25">
        <f>'Combined Retirement'!$C$18/12</f>
        <v>39153.069999999992</v>
      </c>
      <c r="O49" s="25">
        <f t="shared" si="5"/>
        <v>7693.6367556010218</v>
      </c>
      <c r="P49" s="25">
        <f t="shared" si="6"/>
        <v>31459.43324439897</v>
      </c>
      <c r="Q49" s="25">
        <f t="array" aca="1" ref="Q49" ca="1">INDEX('Isaac 401k'!L:L,MATCH('Retirement Calculator'!A49,'Isaac 401k'!N:N,0),0)</f>
        <v>2527551.4671817399</v>
      </c>
      <c r="R49" s="25">
        <f t="array" aca="1" ref="R49" ca="1">INDEX('Lorri 401b'!L:L,MATCH('Retirement Calculator'!A49,'Lorri 401b'!N:N,0),0)</f>
        <v>4096106.3419171423</v>
      </c>
      <c r="S49" s="25">
        <f t="shared" ca="1" si="7"/>
        <v>6623657.8090988826</v>
      </c>
    </row>
    <row r="50" spans="1:19" ht="15.75" customHeight="1" x14ac:dyDescent="0.3">
      <c r="A50" s="37">
        <v>52475</v>
      </c>
      <c r="B50" s="398">
        <f t="shared" ref="B50:C50" si="46">($A50-B$9)/365.25</f>
        <v>61.790554414784395</v>
      </c>
      <c r="C50" s="398">
        <f t="shared" si="46"/>
        <v>57.180013689253933</v>
      </c>
      <c r="E50" s="25">
        <f>IF(C50&gt;$B$7,0,'Combined Retirement'!$D$13/12)</f>
        <v>0</v>
      </c>
      <c r="F50" s="25">
        <f>IF(H50=0,'Combined Retirement'!$D$32,0)+'Combined Retirement'!$B$24</f>
        <v>4439.3722856490986</v>
      </c>
      <c r="G50" s="25">
        <f>'Combined Retirement'!$C$24</f>
        <v>3254.2644699519233</v>
      </c>
      <c r="H50" s="25">
        <f>IF(B50&lt;62,0,'Combined Retirement'!$I$14)</f>
        <v>0</v>
      </c>
      <c r="I50" s="25">
        <f>IF(C50&lt;62,0,'Combined Retirement'!$I$13)</f>
        <v>0</v>
      </c>
      <c r="J50" s="25">
        <f t="shared" si="3"/>
        <v>31459.43324439897</v>
      </c>
      <c r="K50" s="25">
        <f t="shared" si="4"/>
        <v>0</v>
      </c>
      <c r="L50" s="25"/>
      <c r="N50" s="25">
        <f>'Combined Retirement'!$C$18/12</f>
        <v>39153.069999999992</v>
      </c>
      <c r="O50" s="25">
        <f t="shared" si="5"/>
        <v>7693.6367556010218</v>
      </c>
      <c r="P50" s="25">
        <f t="shared" si="6"/>
        <v>31459.43324439897</v>
      </c>
      <c r="Q50" s="25">
        <f t="array" aca="1" ref="Q50" ca="1">INDEX('Isaac 401k'!L:L,MATCH('Retirement Calculator'!A50,'Isaac 401k'!N:N,0),0)</f>
        <v>2506492.4174120799</v>
      </c>
      <c r="R50" s="25">
        <f t="array" aca="1" ref="R50" ca="1">INDEX('Lorri 401b'!L:L,MATCH('Retirement Calculator'!A50,'Lorri 401b'!N:N,0),0)</f>
        <v>4113173.4516751305</v>
      </c>
      <c r="S50" s="25">
        <f t="shared" ca="1" si="7"/>
        <v>6619665.8690872099</v>
      </c>
    </row>
    <row r="51" spans="1:19" ht="15.75" customHeight="1" x14ac:dyDescent="0.3">
      <c r="A51" s="37">
        <v>52505</v>
      </c>
      <c r="B51" s="398">
        <f t="shared" ref="B51:C51" si="47">($A51-B$9)/365.25</f>
        <v>61.872689938398359</v>
      </c>
      <c r="C51" s="398">
        <f t="shared" si="47"/>
        <v>57.262149212867897</v>
      </c>
      <c r="E51" s="25">
        <f>IF(C51&gt;$B$7,0,'Combined Retirement'!$D$13/12)</f>
        <v>0</v>
      </c>
      <c r="F51" s="25">
        <f>IF(H51=0,'Combined Retirement'!$D$32,0)+'Combined Retirement'!$B$24</f>
        <v>4439.3722856490986</v>
      </c>
      <c r="G51" s="25">
        <f>'Combined Retirement'!$C$24</f>
        <v>3254.2644699519233</v>
      </c>
      <c r="H51" s="25">
        <f>IF(B51&lt;62,0,'Combined Retirement'!$I$14)</f>
        <v>0</v>
      </c>
      <c r="I51" s="25">
        <f>IF(C51&lt;62,0,'Combined Retirement'!$I$13)</f>
        <v>0</v>
      </c>
      <c r="J51" s="25">
        <f t="shared" si="3"/>
        <v>31459.43324439897</v>
      </c>
      <c r="K51" s="25">
        <f t="shared" si="4"/>
        <v>0</v>
      </c>
      <c r="L51" s="25"/>
      <c r="N51" s="25">
        <f>'Combined Retirement'!$C$18/12</f>
        <v>39153.069999999992</v>
      </c>
      <c r="O51" s="25">
        <f t="shared" si="5"/>
        <v>7693.6367556010218</v>
      </c>
      <c r="P51" s="25">
        <f t="shared" si="6"/>
        <v>31459.43324439897</v>
      </c>
      <c r="Q51" s="25">
        <f t="array" aca="1" ref="Q51" ca="1">INDEX('Isaac 401k'!L:L,MATCH('Retirement Calculator'!A51,'Isaac 401k'!N:N,0),0)</f>
        <v>2485345.6216017129</v>
      </c>
      <c r="R51" s="25">
        <f t="array" aca="1" ref="R51" ca="1">INDEX('Lorri 401b'!L:L,MATCH('Retirement Calculator'!A51,'Lorri 401b'!N:N,0),0)</f>
        <v>4130311.6743904436</v>
      </c>
      <c r="S51" s="25">
        <f t="shared" ca="1" si="7"/>
        <v>6615657.2959921565</v>
      </c>
    </row>
    <row r="52" spans="1:19" ht="15.75" customHeight="1" x14ac:dyDescent="0.3">
      <c r="A52" s="37">
        <v>52536</v>
      </c>
      <c r="B52" s="398">
        <f t="shared" ref="B52:C52" si="48">($A52-B$9)/365.25</f>
        <v>61.957563312799451</v>
      </c>
      <c r="C52" s="398">
        <f t="shared" si="48"/>
        <v>57.347022587268995</v>
      </c>
      <c r="E52" s="25">
        <f>IF(C52&gt;$B$7,0,'Combined Retirement'!$D$13/12)</f>
        <v>0</v>
      </c>
      <c r="F52" s="25">
        <f>IF(H52=0,'Combined Retirement'!$D$32,0)+'Combined Retirement'!$B$24</f>
        <v>4439.3722856490986</v>
      </c>
      <c r="G52" s="25">
        <f>'Combined Retirement'!$C$24</f>
        <v>3254.2644699519233</v>
      </c>
      <c r="H52" s="25">
        <f>IF(B52&lt;62,0,'Combined Retirement'!$I$14)</f>
        <v>0</v>
      </c>
      <c r="I52" s="25">
        <f>IF(C52&lt;62,0,'Combined Retirement'!$I$13)</f>
        <v>0</v>
      </c>
      <c r="J52" s="25">
        <f t="shared" si="3"/>
        <v>31459.43324439897</v>
      </c>
      <c r="K52" s="25">
        <f t="shared" si="4"/>
        <v>0</v>
      </c>
      <c r="L52" s="25"/>
      <c r="N52" s="25">
        <f>'Combined Retirement'!$C$18/12</f>
        <v>39153.069999999992</v>
      </c>
      <c r="O52" s="25">
        <f t="shared" si="5"/>
        <v>7693.6367556010218</v>
      </c>
      <c r="P52" s="25">
        <f t="shared" si="6"/>
        <v>31459.43324439897</v>
      </c>
      <c r="Q52" s="25">
        <f t="array" aca="1" ref="Q52" ca="1">INDEX('Isaac 401k'!L:L,MATCH('Retirement Calculator'!A52,'Isaac 401k'!N:N,0),0)</f>
        <v>2464110.7141421363</v>
      </c>
      <c r="R52" s="25">
        <f t="array" aca="1" ref="R52" ca="1">INDEX('Lorri 401b'!L:L,MATCH('Retirement Calculator'!A52,'Lorri 401b'!N:N,0),0)</f>
        <v>4147521.3063670704</v>
      </c>
      <c r="S52" s="25">
        <f t="shared" ca="1" si="7"/>
        <v>6611632.0205092067</v>
      </c>
    </row>
    <row r="53" spans="1:19" ht="15.75" customHeight="1" x14ac:dyDescent="0.3">
      <c r="A53" s="37">
        <v>52566</v>
      </c>
      <c r="B53" s="398">
        <f t="shared" ref="B53:C53" si="49">($A53-B$9)/365.25</f>
        <v>62.039698836413415</v>
      </c>
      <c r="C53" s="398">
        <f t="shared" si="49"/>
        <v>57.429158110882959</v>
      </c>
      <c r="E53" s="25">
        <f>IF(C53&gt;$B$7,0,'Combined Retirement'!$D$13/12)</f>
        <v>0</v>
      </c>
      <c r="F53" s="25">
        <f>IF(H53=0,'Combined Retirement'!$D$32,0)+'Combined Retirement'!$B$24</f>
        <v>2870.372285649099</v>
      </c>
      <c r="G53" s="25">
        <f>'Combined Retirement'!$C$24</f>
        <v>3254.2644699519233</v>
      </c>
      <c r="H53" s="25">
        <f>IF(B53&lt;62,0,'Combined Retirement'!$I$14)</f>
        <v>2345</v>
      </c>
      <c r="I53" s="25">
        <f>IF(C53&lt;62,0,'Combined Retirement'!$I$13)</f>
        <v>0</v>
      </c>
      <c r="J53" s="25">
        <f t="shared" si="3"/>
        <v>30683.43324439897</v>
      </c>
      <c r="K53" s="25">
        <f t="shared" si="4"/>
        <v>0</v>
      </c>
      <c r="L53" s="25"/>
      <c r="N53" s="25">
        <f>'Combined Retirement'!$C$18/12</f>
        <v>39153.069999999992</v>
      </c>
      <c r="O53" s="25">
        <f t="shared" si="5"/>
        <v>8469.6367556010227</v>
      </c>
      <c r="P53" s="25">
        <f t="shared" si="6"/>
        <v>30683.43324439897</v>
      </c>
      <c r="Q53" s="25">
        <f t="array" aca="1" ref="Q53" ca="1">INDEX('Isaac 401k'!L:L,MATCH('Retirement Calculator'!A53,'Isaac 401k'!N:N,0),0)</f>
        <v>2443566.5612348113</v>
      </c>
      <c r="R53" s="25">
        <f t="array" aca="1" ref="R53" ca="1">INDEX('Lorri 401b'!L:L,MATCH('Retirement Calculator'!A53,'Lorri 401b'!N:N,0),0)</f>
        <v>4164802.6451435997</v>
      </c>
      <c r="S53" s="25">
        <f t="shared" ca="1" si="7"/>
        <v>6608369.2063784115</v>
      </c>
    </row>
    <row r="54" spans="1:19" ht="15.75" customHeight="1" x14ac:dyDescent="0.3">
      <c r="A54" s="37">
        <v>52597</v>
      </c>
      <c r="B54" s="398">
        <f t="shared" ref="B54:C54" si="50">($A54-B$9)/365.25</f>
        <v>62.124572210814513</v>
      </c>
      <c r="C54" s="398">
        <f t="shared" si="50"/>
        <v>57.51403148528405</v>
      </c>
      <c r="E54" s="25">
        <f>IF(C54&gt;$B$7,0,'Combined Retirement'!$D$13/12)</f>
        <v>0</v>
      </c>
      <c r="F54" s="25">
        <f>IF(H54=0,'Combined Retirement'!$D$32,0)+'Combined Retirement'!$B$24</f>
        <v>2870.372285649099</v>
      </c>
      <c r="G54" s="25">
        <f>'Combined Retirement'!$C$24</f>
        <v>3254.2644699519233</v>
      </c>
      <c r="H54" s="25">
        <f>IF(B54&lt;62,0,'Combined Retirement'!$I$14)</f>
        <v>2345</v>
      </c>
      <c r="I54" s="25">
        <f>IF(C54&lt;62,0,'Combined Retirement'!$I$13)</f>
        <v>0</v>
      </c>
      <c r="J54" s="25">
        <f t="shared" si="3"/>
        <v>30683.43324439897</v>
      </c>
      <c r="K54" s="25">
        <f t="shared" si="4"/>
        <v>0</v>
      </c>
      <c r="L54" s="25"/>
      <c r="N54" s="25">
        <f>'Combined Retirement'!$C$18/12</f>
        <v>39153.069999999992</v>
      </c>
      <c r="O54" s="25">
        <f t="shared" si="5"/>
        <v>8469.6367556010227</v>
      </c>
      <c r="P54" s="25">
        <f t="shared" si="6"/>
        <v>30683.43324439897</v>
      </c>
      <c r="Q54" s="25">
        <f t="array" aca="1" ref="Q54" ca="1">INDEX('Isaac 401k'!L:L,MATCH('Retirement Calculator'!A54,'Isaac 401k'!N:N,0),0)</f>
        <v>2422936.8076903727</v>
      </c>
      <c r="R54" s="25">
        <f t="array" aca="1" ref="R54" ca="1">INDEX('Lorri 401b'!L:L,MATCH('Retirement Calculator'!A54,'Lorri 401b'!N:N,0),0)</f>
        <v>4182155.9894983647</v>
      </c>
      <c r="S54" s="25">
        <f t="shared" ca="1" si="7"/>
        <v>6605092.7971887374</v>
      </c>
    </row>
    <row r="55" spans="1:19" ht="15.75" customHeight="1" x14ac:dyDescent="0.3">
      <c r="A55" s="37">
        <v>52628</v>
      </c>
      <c r="B55" s="398">
        <f t="shared" ref="B55:C55" si="51">($A55-B$9)/365.25</f>
        <v>62.209445585215605</v>
      </c>
      <c r="C55" s="398">
        <f t="shared" si="51"/>
        <v>57.598904859685149</v>
      </c>
      <c r="E55" s="25">
        <f>IF(C55&gt;$B$7,0,'Combined Retirement'!$D$13/12)</f>
        <v>0</v>
      </c>
      <c r="F55" s="25">
        <f>IF(H55=0,'Combined Retirement'!$D$32,0)+'Combined Retirement'!$B$24</f>
        <v>2870.372285649099</v>
      </c>
      <c r="G55" s="25">
        <f>'Combined Retirement'!$C$24</f>
        <v>3254.2644699519233</v>
      </c>
      <c r="H55" s="25">
        <f>IF(B55&lt;62,0,'Combined Retirement'!$I$14)</f>
        <v>2345</v>
      </c>
      <c r="I55" s="25">
        <f>IF(C55&lt;62,0,'Combined Retirement'!$I$13)</f>
        <v>0</v>
      </c>
      <c r="J55" s="25">
        <f t="shared" si="3"/>
        <v>30683.43324439897</v>
      </c>
      <c r="K55" s="25">
        <f t="shared" si="4"/>
        <v>0</v>
      </c>
      <c r="L55" s="25"/>
      <c r="N55" s="25">
        <f>'Combined Retirement'!$C$18/12</f>
        <v>39153.069999999992</v>
      </c>
      <c r="O55" s="25">
        <f t="shared" si="5"/>
        <v>8469.6367556010227</v>
      </c>
      <c r="P55" s="25">
        <f t="shared" si="6"/>
        <v>30683.43324439897</v>
      </c>
      <c r="Q55" s="25">
        <f t="array" aca="1" ref="Q55" ca="1">INDEX('Isaac 401k'!L:L,MATCH('Retirement Calculator'!A55,'Isaac 401k'!N:N,0),0)</f>
        <v>2402221.0968394987</v>
      </c>
      <c r="R55" s="25">
        <f t="array" aca="1" ref="R55" ca="1">INDEX('Lorri 401b'!L:L,MATCH('Retirement Calculator'!A55,'Lorri 401b'!N:N,0),0)</f>
        <v>4199581.6394546079</v>
      </c>
      <c r="S55" s="25">
        <f t="shared" ca="1" si="7"/>
        <v>6601802.7362941066</v>
      </c>
    </row>
    <row r="56" spans="1:19" ht="15.75" customHeight="1" x14ac:dyDescent="0.3">
      <c r="A56" s="37">
        <v>52657</v>
      </c>
      <c r="B56" s="398">
        <f t="shared" ref="B56:C56" si="52">($A56-B$9)/365.25</f>
        <v>62.288843258042434</v>
      </c>
      <c r="C56" s="398">
        <f t="shared" si="52"/>
        <v>57.678302532511978</v>
      </c>
      <c r="E56" s="25">
        <f>IF(C56&gt;$B$7,0,'Combined Retirement'!$D$13/12)</f>
        <v>0</v>
      </c>
      <c r="F56" s="25">
        <f>IF(H56=0,'Combined Retirement'!$D$32,0)+'Combined Retirement'!$B$24</f>
        <v>2870.372285649099</v>
      </c>
      <c r="G56" s="25">
        <f>'Combined Retirement'!$C$24</f>
        <v>3254.2644699519233</v>
      </c>
      <c r="H56" s="25">
        <f>IF(B56&lt;62,0,'Combined Retirement'!$I$14)</f>
        <v>2345</v>
      </c>
      <c r="I56" s="25">
        <f>IF(C56&lt;62,0,'Combined Retirement'!$I$13)</f>
        <v>0</v>
      </c>
      <c r="J56" s="25">
        <f t="shared" si="3"/>
        <v>30683.43324439897</v>
      </c>
      <c r="K56" s="25">
        <f t="shared" si="4"/>
        <v>0</v>
      </c>
      <c r="L56" s="25"/>
      <c r="N56" s="25">
        <f>'Combined Retirement'!$C$18/12</f>
        <v>39153.069999999992</v>
      </c>
      <c r="O56" s="25">
        <f t="shared" si="5"/>
        <v>8469.6367556010227</v>
      </c>
      <c r="P56" s="25">
        <f t="shared" si="6"/>
        <v>30683.43324439897</v>
      </c>
      <c r="Q56" s="25">
        <f t="array" aca="1" ref="Q56" ca="1">INDEX('Isaac 401k'!L:L,MATCH('Retirement Calculator'!A56,'Isaac 401k'!N:N,0),0)</f>
        <v>2381419.0705267461</v>
      </c>
      <c r="R56" s="25">
        <f t="array" aca="1" ref="R56" ca="1">INDEX('Lorri 401b'!L:L,MATCH('Retirement Calculator'!A56,'Lorri 401b'!N:N,0),0)</f>
        <v>4217079.8962856689</v>
      </c>
      <c r="S56" s="25">
        <f t="shared" ca="1" si="7"/>
        <v>6598498.966812415</v>
      </c>
    </row>
    <row r="57" spans="1:19" ht="15.75" customHeight="1" x14ac:dyDescent="0.3">
      <c r="A57" s="37">
        <v>52688</v>
      </c>
      <c r="B57" s="398">
        <f t="shared" ref="B57:C57" si="53">($A57-B$9)/365.25</f>
        <v>62.373716632443532</v>
      </c>
      <c r="C57" s="398">
        <f t="shared" si="53"/>
        <v>57.763175906913077</v>
      </c>
      <c r="E57" s="25">
        <f>IF(C57&gt;$B$7,0,'Combined Retirement'!$D$13/12)</f>
        <v>0</v>
      </c>
      <c r="F57" s="25">
        <f>IF(H57=0,'Combined Retirement'!$D$32,0)+'Combined Retirement'!$B$24</f>
        <v>2870.372285649099</v>
      </c>
      <c r="G57" s="25">
        <f>'Combined Retirement'!$C$24</f>
        <v>3254.2644699519233</v>
      </c>
      <c r="H57" s="25">
        <f>IF(B57&lt;62,0,'Combined Retirement'!$I$14)</f>
        <v>2345</v>
      </c>
      <c r="I57" s="25">
        <f>IF(C57&lt;62,0,'Combined Retirement'!$I$13)</f>
        <v>0</v>
      </c>
      <c r="J57" s="25">
        <f t="shared" si="3"/>
        <v>30683.43324439897</v>
      </c>
      <c r="K57" s="25">
        <f t="shared" si="4"/>
        <v>0</v>
      </c>
      <c r="L57" s="25"/>
      <c r="N57" s="25">
        <f>'Combined Retirement'!$C$18/12</f>
        <v>39153.069999999992</v>
      </c>
      <c r="O57" s="25">
        <f t="shared" si="5"/>
        <v>8469.6367556010227</v>
      </c>
      <c r="P57" s="25">
        <f t="shared" si="6"/>
        <v>30683.43324439897</v>
      </c>
      <c r="Q57" s="25">
        <f t="array" aca="1" ref="Q57" ca="1">INDEX('Isaac 401k'!L:L,MATCH('Retirement Calculator'!A57,'Isaac 401k'!N:N,0),0)</f>
        <v>2360530.369104357</v>
      </c>
      <c r="R57" s="25">
        <f t="array" aca="1" ref="R57" ca="1">INDEX('Lorri 401b'!L:L,MATCH('Retirement Calculator'!A57,'Lorri 401b'!N:N,0),0)</f>
        <v>4234651.0625201929</v>
      </c>
      <c r="S57" s="25">
        <f t="shared" ca="1" si="7"/>
        <v>6595181.4316245504</v>
      </c>
    </row>
    <row r="58" spans="1:19" ht="15.75" customHeight="1" x14ac:dyDescent="0.3">
      <c r="A58" s="37">
        <v>52718</v>
      </c>
      <c r="B58" s="398">
        <f t="shared" ref="B58:C58" si="54">($A58-B$9)/365.25</f>
        <v>62.455852156057496</v>
      </c>
      <c r="C58" s="398">
        <f t="shared" si="54"/>
        <v>57.845311430527033</v>
      </c>
      <c r="E58" s="25">
        <f>IF(C58&gt;$B$7,0,'Combined Retirement'!$D$13/12)</f>
        <v>0</v>
      </c>
      <c r="F58" s="25">
        <f>IF(H58=0,'Combined Retirement'!$D$32,0)+'Combined Retirement'!$B$24</f>
        <v>2870.372285649099</v>
      </c>
      <c r="G58" s="25">
        <f>'Combined Retirement'!$C$24</f>
        <v>3254.2644699519233</v>
      </c>
      <c r="H58" s="25">
        <f>IF(B58&lt;62,0,'Combined Retirement'!$I$14)</f>
        <v>2345</v>
      </c>
      <c r="I58" s="25">
        <f>IF(C58&lt;62,0,'Combined Retirement'!$I$13)</f>
        <v>0</v>
      </c>
      <c r="J58" s="25">
        <f t="shared" si="3"/>
        <v>30683.43324439897</v>
      </c>
      <c r="K58" s="25">
        <f t="shared" si="4"/>
        <v>0</v>
      </c>
      <c r="L58" s="25"/>
      <c r="N58" s="25">
        <f>'Combined Retirement'!$C$18/12</f>
        <v>39153.069999999992</v>
      </c>
      <c r="O58" s="25">
        <f t="shared" si="5"/>
        <v>8469.6367556010227</v>
      </c>
      <c r="P58" s="25">
        <f t="shared" si="6"/>
        <v>30683.43324439897</v>
      </c>
      <c r="Q58" s="25">
        <f t="array" aca="1" ref="Q58" ca="1">INDEX('Isaac 401k'!L:L,MATCH('Retirement Calculator'!A58,'Isaac 401k'!N:N,0),0)</f>
        <v>2339554.6314260415</v>
      </c>
      <c r="R58" s="25">
        <f t="array" aca="1" ref="R58" ca="1">INDEX('Lorri 401b'!L:L,MATCH('Retirement Calculator'!A58,'Lorri 401b'!N:N,0),0)</f>
        <v>4252295.4419473605</v>
      </c>
      <c r="S58" s="25">
        <f t="shared" ca="1" si="7"/>
        <v>6591850.0733734015</v>
      </c>
    </row>
    <row r="59" spans="1:19" ht="15.75" customHeight="1" x14ac:dyDescent="0.3">
      <c r="A59" s="37">
        <v>52749</v>
      </c>
      <c r="B59" s="398">
        <f t="shared" ref="B59:C59" si="55">($A59-B$9)/365.25</f>
        <v>62.540725530458587</v>
      </c>
      <c r="C59" s="398">
        <f t="shared" si="55"/>
        <v>57.930184804928132</v>
      </c>
      <c r="E59" s="25">
        <f>IF(C59&gt;$B$7,0,'Combined Retirement'!$D$13/12)</f>
        <v>0</v>
      </c>
      <c r="F59" s="25">
        <f>IF(H59=0,'Combined Retirement'!$D$32,0)+'Combined Retirement'!$B$24</f>
        <v>2870.372285649099</v>
      </c>
      <c r="G59" s="25">
        <f>'Combined Retirement'!$C$24</f>
        <v>3254.2644699519233</v>
      </c>
      <c r="H59" s="25">
        <f>IF(B59&lt;62,0,'Combined Retirement'!$I$14)</f>
        <v>2345</v>
      </c>
      <c r="I59" s="25">
        <f>IF(C59&lt;62,0,'Combined Retirement'!$I$13)</f>
        <v>0</v>
      </c>
      <c r="J59" s="25">
        <f t="shared" si="3"/>
        <v>30683.43324439897</v>
      </c>
      <c r="K59" s="25">
        <f t="shared" si="4"/>
        <v>0</v>
      </c>
      <c r="L59" s="25"/>
      <c r="N59" s="25">
        <f>'Combined Retirement'!$C$18/12</f>
        <v>39153.069999999992</v>
      </c>
      <c r="O59" s="25">
        <f t="shared" si="5"/>
        <v>8469.6367556010227</v>
      </c>
      <c r="P59" s="25">
        <f t="shared" si="6"/>
        <v>30683.43324439897</v>
      </c>
      <c r="Q59" s="25">
        <f t="array" aca="1" ref="Q59" ca="1">INDEX('Isaac 401k'!L:L,MATCH('Retirement Calculator'!A59,'Isaac 401k'!N:N,0),0)</f>
        <v>2318491.4948407328</v>
      </c>
      <c r="R59" s="25">
        <f t="array" aca="1" ref="R59" ca="1">INDEX('Lorri 401b'!L:L,MATCH('Retirement Calculator'!A59,'Lorri 401b'!N:N,0),0)</f>
        <v>4270013.3396221409</v>
      </c>
      <c r="S59" s="25">
        <f t="shared" ca="1" si="7"/>
        <v>6588504.8344628736</v>
      </c>
    </row>
    <row r="60" spans="1:19" ht="15.75" customHeight="1" x14ac:dyDescent="0.3">
      <c r="A60" s="37">
        <v>52779</v>
      </c>
      <c r="B60" s="398">
        <f t="shared" ref="B60:C60" si="56">($A60-B$9)/365.25</f>
        <v>62.622861054072551</v>
      </c>
      <c r="C60" s="398">
        <f t="shared" si="56"/>
        <v>58.012320328542096</v>
      </c>
      <c r="E60" s="25">
        <f>IF(C60&gt;$B$7,0,'Combined Retirement'!$D$13/12)</f>
        <v>0</v>
      </c>
      <c r="F60" s="25">
        <f>IF(H60=0,'Combined Retirement'!$D$32,0)+'Combined Retirement'!$B$24</f>
        <v>2870.372285649099</v>
      </c>
      <c r="G60" s="25">
        <f>'Combined Retirement'!$C$24</f>
        <v>3254.2644699519233</v>
      </c>
      <c r="H60" s="25">
        <f>IF(B60&lt;62,0,'Combined Retirement'!$I$14)</f>
        <v>2345</v>
      </c>
      <c r="I60" s="25">
        <f>IF(C60&lt;62,0,'Combined Retirement'!$I$13)</f>
        <v>0</v>
      </c>
      <c r="J60" s="25">
        <f t="shared" si="3"/>
        <v>30683.43324439897</v>
      </c>
      <c r="K60" s="25">
        <f t="shared" si="4"/>
        <v>0</v>
      </c>
      <c r="L60" s="25"/>
      <c r="N60" s="25">
        <f>'Combined Retirement'!$C$18/12</f>
        <v>39153.069999999992</v>
      </c>
      <c r="O60" s="25">
        <f t="shared" si="5"/>
        <v>8469.6367556010227</v>
      </c>
      <c r="P60" s="25">
        <f t="shared" si="6"/>
        <v>30683.43324439897</v>
      </c>
      <c r="Q60" s="25">
        <f t="array" aca="1" ref="Q60" ca="1">INDEX('Isaac 401k'!L:L,MATCH('Retirement Calculator'!A60,'Isaac 401k'!N:N,0),0)</f>
        <v>2297340.5951863187</v>
      </c>
      <c r="R60" s="25">
        <f t="array" aca="1" ref="R60" ca="1">INDEX('Lorri 401b'!L:L,MATCH('Retirement Calculator'!A60,'Lorri 401b'!N:N,0),0)</f>
        <v>4287805.0618705666</v>
      </c>
      <c r="S60" s="25">
        <f t="shared" ca="1" si="7"/>
        <v>6585145.6570568848</v>
      </c>
    </row>
    <row r="61" spans="1:19" ht="15.75" customHeight="1" x14ac:dyDescent="0.3">
      <c r="A61" s="37">
        <v>52810</v>
      </c>
      <c r="B61" s="398">
        <f t="shared" ref="B61:C61" si="57">($A61-B$9)/365.25</f>
        <v>62.70773442847365</v>
      </c>
      <c r="C61" s="398">
        <f t="shared" si="57"/>
        <v>58.097193702943187</v>
      </c>
      <c r="E61" s="25">
        <f>IF(C61&gt;$B$7,0,'Combined Retirement'!$D$13/12)</f>
        <v>0</v>
      </c>
      <c r="F61" s="25">
        <f>IF(H61=0,'Combined Retirement'!$D$32,0)+'Combined Retirement'!$B$24</f>
        <v>2870.372285649099</v>
      </c>
      <c r="G61" s="25">
        <f>'Combined Retirement'!$C$24</f>
        <v>3254.2644699519233</v>
      </c>
      <c r="H61" s="25">
        <f>IF(B61&lt;62,0,'Combined Retirement'!$I$14)</f>
        <v>2345</v>
      </c>
      <c r="I61" s="25">
        <f>IF(C61&lt;62,0,'Combined Retirement'!$I$13)</f>
        <v>0</v>
      </c>
      <c r="J61" s="25">
        <f t="shared" si="3"/>
        <v>30683.43324439897</v>
      </c>
      <c r="K61" s="25">
        <f t="shared" si="4"/>
        <v>0</v>
      </c>
      <c r="L61" s="25"/>
      <c r="N61" s="25">
        <f>'Combined Retirement'!$C$18/12</f>
        <v>39153.069999999992</v>
      </c>
      <c r="O61" s="25">
        <f t="shared" si="5"/>
        <v>8469.6367556010227</v>
      </c>
      <c r="P61" s="25">
        <f t="shared" si="6"/>
        <v>30683.43324439897</v>
      </c>
      <c r="Q61" s="25">
        <f t="array" aca="1" ref="Q61" ca="1">INDEX('Isaac 401k'!L:L,MATCH('Retirement Calculator'!A61,'Isaac 401k'!N:N,0),0)</f>
        <v>2276101.5667833448</v>
      </c>
      <c r="R61" s="25">
        <f t="array" aca="1" ref="R61" ca="1">INDEX('Lorri 401b'!L:L,MATCH('Retirement Calculator'!A61,'Lorri 401b'!N:N,0),0)</f>
        <v>4305670.9162950274</v>
      </c>
      <c r="S61" s="25">
        <f t="shared" ca="1" si="7"/>
        <v>6581772.4830783717</v>
      </c>
    </row>
    <row r="62" spans="1:19" ht="15.75" customHeight="1" x14ac:dyDescent="0.3">
      <c r="A62" s="37">
        <v>52841</v>
      </c>
      <c r="B62" s="398">
        <f t="shared" ref="B62:C62" si="58">($A62-B$9)/365.25</f>
        <v>62.792607802874741</v>
      </c>
      <c r="C62" s="398">
        <f t="shared" si="58"/>
        <v>58.182067077344286</v>
      </c>
      <c r="E62" s="25">
        <f>IF(C62&gt;$B$7,0,'Combined Retirement'!$D$13/12)</f>
        <v>0</v>
      </c>
      <c r="F62" s="25">
        <f>IF(H62=0,'Combined Retirement'!$D$32,0)+'Combined Retirement'!$B$24</f>
        <v>2870.372285649099</v>
      </c>
      <c r="G62" s="25">
        <f>'Combined Retirement'!$C$24</f>
        <v>3254.2644699519233</v>
      </c>
      <c r="H62" s="25">
        <f>IF(B62&lt;62,0,'Combined Retirement'!$I$14)</f>
        <v>2345</v>
      </c>
      <c r="I62" s="25">
        <f>IF(C62&lt;62,0,'Combined Retirement'!$I$13)</f>
        <v>0</v>
      </c>
      <c r="J62" s="25">
        <f t="shared" si="3"/>
        <v>30683.43324439897</v>
      </c>
      <c r="K62" s="25">
        <f t="shared" si="4"/>
        <v>0</v>
      </c>
      <c r="L62" s="25"/>
      <c r="N62" s="25">
        <f>'Combined Retirement'!$C$18/12</f>
        <v>39153.069999999992</v>
      </c>
      <c r="O62" s="25">
        <f t="shared" si="5"/>
        <v>8469.6367556010227</v>
      </c>
      <c r="P62" s="25">
        <f t="shared" si="6"/>
        <v>30683.43324439897</v>
      </c>
      <c r="Q62" s="25">
        <f t="array" aca="1" ref="Q62" ca="1">INDEX('Isaac 401k'!L:L,MATCH('Retirement Calculator'!A62,'Isaac 401k'!N:N,0),0)</f>
        <v>2254774.0424286919</v>
      </c>
      <c r="R62" s="25">
        <f t="array" aca="1" ref="R62" ca="1">INDEX('Lorri 401b'!L:L,MATCH('Retirement Calculator'!A62,'Lorri 401b'!N:N,0),0)</f>
        <v>4323611.2117795898</v>
      </c>
      <c r="S62" s="25">
        <f t="shared" ca="1" si="7"/>
        <v>6578385.2542082816</v>
      </c>
    </row>
    <row r="63" spans="1:19" ht="15.75" customHeight="1" x14ac:dyDescent="0.3">
      <c r="A63" s="37">
        <v>52871</v>
      </c>
      <c r="B63" s="398">
        <f t="shared" ref="B63:C63" si="59">($A63-B$9)/365.25</f>
        <v>62.874743326488705</v>
      </c>
      <c r="C63" s="398">
        <f t="shared" si="59"/>
        <v>58.264202600958249</v>
      </c>
      <c r="E63" s="25">
        <f>IF(C63&gt;$B$7,0,'Combined Retirement'!$D$13/12)</f>
        <v>0</v>
      </c>
      <c r="F63" s="25">
        <f>IF(H63=0,'Combined Retirement'!$D$32,0)+'Combined Retirement'!$B$24</f>
        <v>2870.372285649099</v>
      </c>
      <c r="G63" s="25">
        <f>'Combined Retirement'!$C$24</f>
        <v>3254.2644699519233</v>
      </c>
      <c r="H63" s="25">
        <f>IF(B63&lt;62,0,'Combined Retirement'!$I$14)</f>
        <v>2345</v>
      </c>
      <c r="I63" s="25">
        <f>IF(C63&lt;62,0,'Combined Retirement'!$I$13)</f>
        <v>0</v>
      </c>
      <c r="J63" s="25">
        <f t="shared" si="3"/>
        <v>30683.43324439897</v>
      </c>
      <c r="K63" s="25">
        <f t="shared" si="4"/>
        <v>0</v>
      </c>
      <c r="L63" s="25"/>
      <c r="N63" s="25">
        <f>'Combined Retirement'!$C$18/12</f>
        <v>39153.069999999992</v>
      </c>
      <c r="O63" s="25">
        <f t="shared" si="5"/>
        <v>8469.6367556010227</v>
      </c>
      <c r="P63" s="25">
        <f t="shared" si="6"/>
        <v>30683.43324439897</v>
      </c>
      <c r="Q63" s="25">
        <f t="array" aca="1" ref="Q63" ca="1">INDEX('Isaac 401k'!L:L,MATCH('Retirement Calculator'!A63,'Isaac 401k'!N:N,0),0)</f>
        <v>2233357.6533892276</v>
      </c>
      <c r="R63" s="25">
        <f t="array" aca="1" ref="R63" ca="1">INDEX('Lorri 401b'!L:L,MATCH('Retirement Calculator'!A63,'Lorri 401b'!N:N,0),0)</f>
        <v>4341626.2584953383</v>
      </c>
      <c r="S63" s="25">
        <f t="shared" ca="1" si="7"/>
        <v>6574983.9118845658</v>
      </c>
    </row>
    <row r="64" spans="1:19" ht="15.75" customHeight="1" x14ac:dyDescent="0.3">
      <c r="A64" s="37">
        <v>52902</v>
      </c>
      <c r="B64" s="398">
        <f t="shared" ref="B64:C64" si="60">($A64-B$9)/365.25</f>
        <v>62.959616700889804</v>
      </c>
      <c r="C64" s="398">
        <f t="shared" si="60"/>
        <v>58.349075975359341</v>
      </c>
      <c r="E64" s="25">
        <f>IF(C64&gt;$B$7,0,'Combined Retirement'!$D$13/12)</f>
        <v>0</v>
      </c>
      <c r="F64" s="25">
        <f>IF(H64=0,'Combined Retirement'!$D$32,0)+'Combined Retirement'!$B$24</f>
        <v>2870.372285649099</v>
      </c>
      <c r="G64" s="25">
        <f>'Combined Retirement'!$C$24</f>
        <v>3254.2644699519233</v>
      </c>
      <c r="H64" s="25">
        <f>IF(B64&lt;62,0,'Combined Retirement'!$I$14)</f>
        <v>2345</v>
      </c>
      <c r="I64" s="25">
        <f>IF(C64&lt;62,0,'Combined Retirement'!$I$13)</f>
        <v>0</v>
      </c>
      <c r="J64" s="25">
        <f t="shared" si="3"/>
        <v>30683.43324439897</v>
      </c>
      <c r="K64" s="25">
        <f t="shared" si="4"/>
        <v>0</v>
      </c>
      <c r="L64" s="25"/>
      <c r="N64" s="25">
        <f>'Combined Retirement'!$C$18/12</f>
        <v>39153.069999999992</v>
      </c>
      <c r="O64" s="25">
        <f t="shared" si="5"/>
        <v>8469.6367556010227</v>
      </c>
      <c r="P64" s="25">
        <f t="shared" si="6"/>
        <v>30683.43324439897</v>
      </c>
      <c r="Q64" s="25">
        <f t="array" aca="1" ref="Q64" ca="1">INDEX('Isaac 401k'!L:L,MATCH('Retirement Calculator'!A64,'Isaac 401k'!N:N,0),0)</f>
        <v>2211852.0293954322</v>
      </c>
      <c r="R64" s="25">
        <f t="array" aca="1" ref="R64" ca="1">INDEX('Lorri 401b'!L:L,MATCH('Retirement Calculator'!A64,'Lorri 401b'!N:N,0),0)</f>
        <v>4359716.367905736</v>
      </c>
      <c r="S64" s="25">
        <f t="shared" ca="1" si="7"/>
        <v>6571568.3973011682</v>
      </c>
    </row>
    <row r="65" spans="1:19" ht="15.75" customHeight="1" x14ac:dyDescent="0.3">
      <c r="A65" s="37">
        <v>52932</v>
      </c>
      <c r="B65" s="398">
        <f t="shared" ref="B65:C65" si="61">($A65-B$9)/365.25</f>
        <v>63.041752224503767</v>
      </c>
      <c r="C65" s="398">
        <f t="shared" si="61"/>
        <v>58.431211498973305</v>
      </c>
      <c r="E65" s="25">
        <f>IF(C65&gt;$B$7,0,'Combined Retirement'!$D$13/12)</f>
        <v>0</v>
      </c>
      <c r="F65" s="25">
        <f>IF(H65=0,'Combined Retirement'!$D$32,0)+'Combined Retirement'!$B$24</f>
        <v>2870.372285649099</v>
      </c>
      <c r="G65" s="25">
        <f>'Combined Retirement'!$C$24</f>
        <v>3254.2644699519233</v>
      </c>
      <c r="H65" s="25">
        <f>IF(B65&lt;62,0,'Combined Retirement'!$I$14)</f>
        <v>2345</v>
      </c>
      <c r="I65" s="25">
        <f>IF(C65&lt;62,0,'Combined Retirement'!$I$13)</f>
        <v>0</v>
      </c>
      <c r="J65" s="25">
        <f t="shared" si="3"/>
        <v>30683.43324439897</v>
      </c>
      <c r="K65" s="25">
        <f t="shared" si="4"/>
        <v>0</v>
      </c>
      <c r="L65" s="25"/>
      <c r="N65" s="25">
        <f>'Combined Retirement'!$C$18/12</f>
        <v>39153.069999999992</v>
      </c>
      <c r="O65" s="25">
        <f t="shared" si="5"/>
        <v>8469.6367556010227</v>
      </c>
      <c r="P65" s="25">
        <f t="shared" si="6"/>
        <v>30683.43324439897</v>
      </c>
      <c r="Q65" s="25">
        <f t="array" aca="1" ref="Q65" ca="1">INDEX('Isaac 401k'!L:L,MATCH('Retirement Calculator'!A65,'Isaac 401k'!N:N,0),0)</f>
        <v>2190256.7986349962</v>
      </c>
      <c r="R65" s="25">
        <f t="array" aca="1" ref="R65" ca="1">INDEX('Lorri 401b'!L:L,MATCH('Retirement Calculator'!A65,'Lorri 401b'!N:N,0),0)</f>
        <v>4377881.8527720096</v>
      </c>
      <c r="S65" s="25">
        <f t="shared" ca="1" si="7"/>
        <v>6568138.6514070053</v>
      </c>
    </row>
    <row r="66" spans="1:19" ht="15.75" customHeight="1" x14ac:dyDescent="0.3">
      <c r="A66" s="37">
        <v>52963</v>
      </c>
      <c r="B66" s="398">
        <f t="shared" ref="B66:C66" si="62">($A66-B$9)/365.25</f>
        <v>63.126625598904859</v>
      </c>
      <c r="C66" s="398">
        <f t="shared" si="62"/>
        <v>58.516084873374403</v>
      </c>
      <c r="E66" s="25">
        <f>IF(C66&gt;$B$7,0,'Combined Retirement'!$D$13/12)</f>
        <v>0</v>
      </c>
      <c r="F66" s="25">
        <f>IF(H66=0,'Combined Retirement'!$D$32,0)+'Combined Retirement'!$B$24</f>
        <v>2870.372285649099</v>
      </c>
      <c r="G66" s="25">
        <f>'Combined Retirement'!$C$24</f>
        <v>3254.2644699519233</v>
      </c>
      <c r="H66" s="25">
        <f>IF(B66&lt;62,0,'Combined Retirement'!$I$14)</f>
        <v>2345</v>
      </c>
      <c r="I66" s="25">
        <f>IF(C66&lt;62,0,'Combined Retirement'!$I$13)</f>
        <v>0</v>
      </c>
      <c r="J66" s="25">
        <f t="shared" si="3"/>
        <v>30683.43324439897</v>
      </c>
      <c r="K66" s="25">
        <f t="shared" si="4"/>
        <v>0</v>
      </c>
      <c r="L66" s="25"/>
      <c r="N66" s="25">
        <f>'Combined Retirement'!$C$18/12</f>
        <v>39153.069999999992</v>
      </c>
      <c r="O66" s="25">
        <f t="shared" si="5"/>
        <v>8469.6367556010227</v>
      </c>
      <c r="P66" s="25">
        <f t="shared" si="6"/>
        <v>30683.43324439897</v>
      </c>
      <c r="Q66" s="25">
        <f t="array" aca="1" ref="Q66" ca="1">INDEX('Isaac 401k'!L:L,MATCH('Retirement Calculator'!A66,'Isaac 401k'!N:N,0),0)</f>
        <v>2168571.5877463915</v>
      </c>
      <c r="R66" s="25">
        <f t="array" aca="1" ref="R66" ca="1">INDEX('Lorri 401b'!L:L,MATCH('Retirement Calculator'!A66,'Lorri 401b'!N:N,0),0)</f>
        <v>4396123.0271585593</v>
      </c>
      <c r="S66" s="25">
        <f t="shared" ca="1" si="7"/>
        <v>6564694.6149049513</v>
      </c>
    </row>
    <row r="67" spans="1:19" ht="15.75" customHeight="1" x14ac:dyDescent="0.3">
      <c r="A67" s="37">
        <v>52994</v>
      </c>
      <c r="B67" s="398">
        <f t="shared" ref="B67:C67" si="63">($A67-B$9)/365.25</f>
        <v>63.211498973305957</v>
      </c>
      <c r="C67" s="398">
        <f t="shared" si="63"/>
        <v>58.600958247775495</v>
      </c>
      <c r="E67" s="25">
        <f>IF(C67&gt;$B$7,0,'Combined Retirement'!$D$13/12)</f>
        <v>0</v>
      </c>
      <c r="F67" s="25">
        <f>IF(H67=0,'Combined Retirement'!$D$32,0)+'Combined Retirement'!$B$24</f>
        <v>2870.372285649099</v>
      </c>
      <c r="G67" s="25">
        <f>'Combined Retirement'!$C$24</f>
        <v>3254.2644699519233</v>
      </c>
      <c r="H67" s="25">
        <f>IF(B67&lt;62,0,'Combined Retirement'!$I$14)</f>
        <v>2345</v>
      </c>
      <c r="I67" s="25">
        <f>IF(C67&lt;62,0,'Combined Retirement'!$I$13)</f>
        <v>0</v>
      </c>
      <c r="J67" s="25">
        <f t="shared" si="3"/>
        <v>30683.43324439897</v>
      </c>
      <c r="K67" s="25">
        <f t="shared" si="4"/>
        <v>0</v>
      </c>
      <c r="L67" s="25"/>
      <c r="N67" s="25">
        <f>'Combined Retirement'!$C$18/12</f>
        <v>39153.069999999992</v>
      </c>
      <c r="O67" s="25">
        <f t="shared" si="5"/>
        <v>8469.6367556010227</v>
      </c>
      <c r="P67" s="25">
        <f t="shared" si="6"/>
        <v>30683.43324439897</v>
      </c>
      <c r="Q67" s="25">
        <f t="array" aca="1" ref="Q67" ca="1">INDEX('Isaac 401k'!L:L,MATCH('Retirement Calculator'!A67,'Isaac 401k'!N:N,0),0)</f>
        <v>2146796.0218124175</v>
      </c>
      <c r="R67" s="25">
        <f t="array" aca="1" ref="R67" ca="1">INDEX('Lorri 401b'!L:L,MATCH('Retirement Calculator'!A67,'Lorri 401b'!N:N,0),0)</f>
        <v>4414440.2064383868</v>
      </c>
      <c r="S67" s="25">
        <f t="shared" ca="1" si="7"/>
        <v>6561236.2282508044</v>
      </c>
    </row>
    <row r="68" spans="1:19" ht="15.75" customHeight="1" x14ac:dyDescent="0.3">
      <c r="A68" s="37">
        <v>53022</v>
      </c>
      <c r="B68" s="398">
        <f t="shared" ref="B68:C68" si="64">($A68-B$9)/365.25</f>
        <v>63.288158795345652</v>
      </c>
      <c r="C68" s="398">
        <f t="shared" si="64"/>
        <v>58.677618069815196</v>
      </c>
      <c r="E68" s="25">
        <f>IF(C68&gt;$B$7,0,'Combined Retirement'!$D$13/12)</f>
        <v>0</v>
      </c>
      <c r="F68" s="25">
        <f>IF(H68=0,'Combined Retirement'!$D$32,0)+'Combined Retirement'!$B$24</f>
        <v>2870.372285649099</v>
      </c>
      <c r="G68" s="25">
        <f>'Combined Retirement'!$C$24</f>
        <v>3254.2644699519233</v>
      </c>
      <c r="H68" s="25">
        <f>IF(B68&lt;62,0,'Combined Retirement'!$I$14)</f>
        <v>2345</v>
      </c>
      <c r="I68" s="25">
        <f>IF(C68&lt;62,0,'Combined Retirement'!$I$13)</f>
        <v>0</v>
      </c>
      <c r="J68" s="25">
        <f t="shared" si="3"/>
        <v>30683.43324439897</v>
      </c>
      <c r="K68" s="25">
        <f t="shared" si="4"/>
        <v>0</v>
      </c>
      <c r="L68" s="25"/>
      <c r="N68" s="25">
        <f>'Combined Retirement'!$C$18/12</f>
        <v>39153.069999999992</v>
      </c>
      <c r="O68" s="25">
        <f t="shared" si="5"/>
        <v>8469.6367556010227</v>
      </c>
      <c r="P68" s="25">
        <f t="shared" si="6"/>
        <v>30683.43324439897</v>
      </c>
      <c r="Q68" s="25">
        <f t="array" aca="1" ref="Q68" ca="1">INDEX('Isaac 401k'!L:L,MATCH('Retirement Calculator'!A68,'Isaac 401k'!N:N,0),0)</f>
        <v>2124929.724353719</v>
      </c>
      <c r="R68" s="25">
        <f t="array" aca="1" ref="R68" ca="1">INDEX('Lorri 401b'!L:L,MATCH('Retirement Calculator'!A68,'Lorri 401b'!N:N,0),0)</f>
        <v>4432833.707298547</v>
      </c>
      <c r="S68" s="25">
        <f t="shared" ca="1" si="7"/>
        <v>6557763.4316522665</v>
      </c>
    </row>
    <row r="69" spans="1:19" ht="15.75" customHeight="1" x14ac:dyDescent="0.3">
      <c r="A69" s="37">
        <v>53053</v>
      </c>
      <c r="B69" s="398">
        <f t="shared" ref="B69:C69" si="65">($A69-B$9)/365.25</f>
        <v>63.37303216974675</v>
      </c>
      <c r="C69" s="398">
        <f t="shared" si="65"/>
        <v>58.762491444216288</v>
      </c>
      <c r="E69" s="25">
        <f>IF(C69&gt;$B$7,0,'Combined Retirement'!$D$13/12)</f>
        <v>0</v>
      </c>
      <c r="F69" s="25">
        <f>IF(H69=0,'Combined Retirement'!$D$32,0)+'Combined Retirement'!$B$24</f>
        <v>2870.372285649099</v>
      </c>
      <c r="G69" s="25">
        <f>'Combined Retirement'!$C$24</f>
        <v>3254.2644699519233</v>
      </c>
      <c r="H69" s="25">
        <f>IF(B69&lt;62,0,'Combined Retirement'!$I$14)</f>
        <v>2345</v>
      </c>
      <c r="I69" s="25">
        <f>IF(C69&lt;62,0,'Combined Retirement'!$I$13)</f>
        <v>0</v>
      </c>
      <c r="J69" s="25">
        <f t="shared" si="3"/>
        <v>30683.43324439897</v>
      </c>
      <c r="K69" s="25">
        <f t="shared" si="4"/>
        <v>0</v>
      </c>
      <c r="L69" s="25"/>
      <c r="N69" s="25">
        <f>'Combined Retirement'!$C$18/12</f>
        <v>39153.069999999992</v>
      </c>
      <c r="O69" s="25">
        <f t="shared" si="5"/>
        <v>8469.6367556010227</v>
      </c>
      <c r="P69" s="25">
        <f t="shared" si="6"/>
        <v>30683.43324439897</v>
      </c>
      <c r="Q69" s="25">
        <f t="array" aca="1" ref="Q69" ca="1">INDEX('Isaac 401k'!L:L,MATCH('Retirement Calculator'!A69,'Isaac 401k'!N:N,0),0)</f>
        <v>2102972.3173222756</v>
      </c>
      <c r="R69" s="25">
        <f t="array" aca="1" ref="R69" ca="1">INDEX('Lorri 401b'!L:L,MATCH('Retirement Calculator'!A69,'Lorri 401b'!N:N,0),0)</f>
        <v>4451303.8477456244</v>
      </c>
      <c r="S69" s="25">
        <f t="shared" ca="1" si="7"/>
        <v>6554276.1650679</v>
      </c>
    </row>
    <row r="70" spans="1:19" ht="15.75" customHeight="1" x14ac:dyDescent="0.3">
      <c r="A70" s="37">
        <v>53083</v>
      </c>
      <c r="B70" s="398">
        <f t="shared" ref="B70:C70" si="66">($A70-B$9)/365.25</f>
        <v>63.455167693360714</v>
      </c>
      <c r="C70" s="398">
        <f t="shared" si="66"/>
        <v>58.844626967830251</v>
      </c>
      <c r="E70" s="25">
        <f>IF(C70&gt;$B$7,0,'Combined Retirement'!$D$13/12)</f>
        <v>0</v>
      </c>
      <c r="F70" s="25">
        <f>IF(H70=0,'Combined Retirement'!$D$32,0)+'Combined Retirement'!$B$24</f>
        <v>2870.372285649099</v>
      </c>
      <c r="G70" s="25">
        <f>'Combined Retirement'!$C$24</f>
        <v>3254.2644699519233</v>
      </c>
      <c r="H70" s="25">
        <f>IF(B70&lt;62,0,'Combined Retirement'!$I$14)</f>
        <v>2345</v>
      </c>
      <c r="I70" s="25">
        <f>IF(C70&lt;62,0,'Combined Retirement'!$I$13)</f>
        <v>0</v>
      </c>
      <c r="J70" s="25">
        <f t="shared" si="3"/>
        <v>30683.43324439897</v>
      </c>
      <c r="K70" s="25">
        <f t="shared" si="4"/>
        <v>0</v>
      </c>
      <c r="L70" s="25"/>
      <c r="N70" s="25">
        <f>'Combined Retirement'!$C$18/12</f>
        <v>39153.069999999992</v>
      </c>
      <c r="O70" s="25">
        <f t="shared" si="5"/>
        <v>8469.6367556010227</v>
      </c>
      <c r="P70" s="25">
        <f t="shared" si="6"/>
        <v>30683.43324439897</v>
      </c>
      <c r="Q70" s="25">
        <f t="array" aca="1" ref="Q70" ca="1">INDEX('Isaac 401k'!L:L,MATCH('Retirement Calculator'!A70,'Isaac 401k'!N:N,0),0)</f>
        <v>2080923.4210948676</v>
      </c>
      <c r="R70" s="25">
        <f t="array" aca="1" ref="R70" ca="1">INDEX('Lorri 401b'!L:L,MATCH('Retirement Calculator'!A70,'Lorri 401b'!N:N,0),0)</f>
        <v>4469850.9471112313</v>
      </c>
      <c r="S70" s="25">
        <f t="shared" ca="1" si="7"/>
        <v>6550774.3682060987</v>
      </c>
    </row>
    <row r="71" spans="1:19" ht="15.75" customHeight="1" x14ac:dyDescent="0.3">
      <c r="A71" s="37">
        <v>53114</v>
      </c>
      <c r="B71" s="398">
        <f t="shared" ref="B71:C71" si="67">($A71-B$9)/365.25</f>
        <v>63.540041067761805</v>
      </c>
      <c r="C71" s="398">
        <f t="shared" si="67"/>
        <v>58.92950034223135</v>
      </c>
      <c r="E71" s="25">
        <f>IF(C71&gt;$B$7,0,'Combined Retirement'!$D$13/12)</f>
        <v>0</v>
      </c>
      <c r="F71" s="25">
        <f>IF(H71=0,'Combined Retirement'!$D$32,0)+'Combined Retirement'!$B$24</f>
        <v>2870.372285649099</v>
      </c>
      <c r="G71" s="25">
        <f>'Combined Retirement'!$C$24</f>
        <v>3254.2644699519233</v>
      </c>
      <c r="H71" s="25">
        <f>IF(B71&lt;62,0,'Combined Retirement'!$I$14)</f>
        <v>2345</v>
      </c>
      <c r="I71" s="25">
        <f>IF(C71&lt;62,0,'Combined Retirement'!$I$13)</f>
        <v>0</v>
      </c>
      <c r="J71" s="25">
        <f t="shared" si="3"/>
        <v>30683.43324439897</v>
      </c>
      <c r="K71" s="25">
        <f t="shared" si="4"/>
        <v>0</v>
      </c>
      <c r="L71" s="25"/>
      <c r="N71" s="25">
        <f>'Combined Retirement'!$C$18/12</f>
        <v>39153.069999999992</v>
      </c>
      <c r="O71" s="25">
        <f t="shared" si="5"/>
        <v>8469.6367556010227</v>
      </c>
      <c r="P71" s="25">
        <f t="shared" si="6"/>
        <v>30683.43324439897</v>
      </c>
      <c r="Q71" s="25">
        <f t="array" aca="1" ref="Q71" ca="1">INDEX('Isaac 401k'!L:L,MATCH('Retirement Calculator'!A71,'Isaac 401k'!N:N,0),0)</f>
        <v>2058782.6544665121</v>
      </c>
      <c r="R71" s="25">
        <f t="array" aca="1" ref="R71" ca="1">INDEX('Lorri 401b'!L:L,MATCH('Retirement Calculator'!A71,'Lorri 401b'!N:N,0),0)</f>
        <v>4488475.3260575281</v>
      </c>
      <c r="S71" s="25">
        <f t="shared" ca="1" si="7"/>
        <v>6547257.9805240408</v>
      </c>
    </row>
    <row r="72" spans="1:19" ht="15.75" customHeight="1" x14ac:dyDescent="0.3">
      <c r="A72" s="37">
        <v>53144</v>
      </c>
      <c r="B72" s="398">
        <f t="shared" ref="B72:C72" si="68">($A72-B$9)/365.25</f>
        <v>63.622176591375769</v>
      </c>
      <c r="C72" s="398">
        <f t="shared" si="68"/>
        <v>59.011635865845314</v>
      </c>
      <c r="E72" s="25">
        <f>IF(C72&gt;$B$7,0,'Combined Retirement'!$D$13/12)</f>
        <v>0</v>
      </c>
      <c r="F72" s="25">
        <f>IF(H72=0,'Combined Retirement'!$D$32,0)+'Combined Retirement'!$B$24</f>
        <v>2870.372285649099</v>
      </c>
      <c r="G72" s="25">
        <f>'Combined Retirement'!$C$24</f>
        <v>3254.2644699519233</v>
      </c>
      <c r="H72" s="25">
        <f>IF(B72&lt;62,0,'Combined Retirement'!$I$14)</f>
        <v>2345</v>
      </c>
      <c r="I72" s="25">
        <f>IF(C72&lt;62,0,'Combined Retirement'!$I$13)</f>
        <v>0</v>
      </c>
      <c r="J72" s="25">
        <f t="shared" si="3"/>
        <v>30683.43324439897</v>
      </c>
      <c r="K72" s="25">
        <f t="shared" si="4"/>
        <v>0</v>
      </c>
      <c r="L72" s="25"/>
      <c r="N72" s="25">
        <f>'Combined Retirement'!$C$18/12</f>
        <v>39153.069999999992</v>
      </c>
      <c r="O72" s="25">
        <f t="shared" si="5"/>
        <v>8469.6367556010227</v>
      </c>
      <c r="P72" s="25">
        <f t="shared" si="6"/>
        <v>30683.43324439897</v>
      </c>
      <c r="Q72" s="25">
        <f t="array" aca="1" ref="Q72" ca="1">INDEX('Isaac 401k'!L:L,MATCH('Retirement Calculator'!A72,'Isaac 401k'!N:N,0),0)</f>
        <v>2036549.634643872</v>
      </c>
      <c r="R72" s="25">
        <f t="array" aca="1" ref="R72" ca="1">INDEX('Lorri 401b'!L:L,MATCH('Retirement Calculator'!A72,'Lorri 401b'!N:N,0),0)</f>
        <v>4507177.3065827675</v>
      </c>
      <c r="S72" s="25">
        <f t="shared" ca="1" si="7"/>
        <v>6543726.9412266398</v>
      </c>
    </row>
    <row r="73" spans="1:19" ht="15.75" customHeight="1" x14ac:dyDescent="0.3">
      <c r="A73" s="37">
        <v>53175</v>
      </c>
      <c r="B73" s="398">
        <f t="shared" ref="B73:C73" si="69">($A73-B$9)/365.25</f>
        <v>63.707049965776868</v>
      </c>
      <c r="C73" s="398">
        <f t="shared" si="69"/>
        <v>59.096509240246405</v>
      </c>
      <c r="E73" s="25">
        <f>IF(C73&gt;$B$7,0,'Combined Retirement'!$D$13/12)</f>
        <v>0</v>
      </c>
      <c r="F73" s="25">
        <f>IF(H73=0,'Combined Retirement'!$D$32,0)+'Combined Retirement'!$B$24</f>
        <v>2870.372285649099</v>
      </c>
      <c r="G73" s="25">
        <f>'Combined Retirement'!$C$24</f>
        <v>3254.2644699519233</v>
      </c>
      <c r="H73" s="25">
        <f>IF(B73&lt;62,0,'Combined Retirement'!$I$14)</f>
        <v>2345</v>
      </c>
      <c r="I73" s="25">
        <f>IF(C73&lt;62,0,'Combined Retirement'!$I$13)</f>
        <v>0</v>
      </c>
      <c r="J73" s="25">
        <f t="shared" si="3"/>
        <v>30683.43324439897</v>
      </c>
      <c r="K73" s="25">
        <f t="shared" si="4"/>
        <v>0</v>
      </c>
      <c r="L73" s="25"/>
      <c r="N73" s="25">
        <f>'Combined Retirement'!$C$18/12</f>
        <v>39153.069999999992</v>
      </c>
      <c r="O73" s="25">
        <f t="shared" si="5"/>
        <v>8469.6367556010227</v>
      </c>
      <c r="P73" s="25">
        <f t="shared" si="6"/>
        <v>30683.43324439897</v>
      </c>
      <c r="Q73" s="25">
        <f t="array" aca="1" ref="Q73" ca="1">INDEX('Isaac 401k'!L:L,MATCH('Retirement Calculator'!A73,'Isaac 401k'!N:N,0),0)</f>
        <v>2014223.9772386374</v>
      </c>
      <c r="R73" s="25">
        <f t="array" aca="1" ref="R73" ca="1">INDEX('Lorri 401b'!L:L,MATCH('Retirement Calculator'!A73,'Lorri 401b'!N:N,0),0)</f>
        <v>4525957.2120268624</v>
      </c>
      <c r="S73" s="25">
        <f t="shared" ca="1" si="7"/>
        <v>6540181.1892654998</v>
      </c>
    </row>
    <row r="74" spans="1:19" ht="15.75" customHeight="1" x14ac:dyDescent="0.3">
      <c r="A74" s="37">
        <v>53206</v>
      </c>
      <c r="B74" s="398">
        <f t="shared" ref="B74:C74" si="70">($A74-B$9)/365.25</f>
        <v>63.791923340177959</v>
      </c>
      <c r="C74" s="398">
        <f t="shared" si="70"/>
        <v>59.181382614647504</v>
      </c>
      <c r="E74" s="25">
        <f>IF(C74&gt;$B$7,0,'Combined Retirement'!$D$13/12)</f>
        <v>0</v>
      </c>
      <c r="F74" s="25">
        <f>IF(H74=0,'Combined Retirement'!$D$32,0)+'Combined Retirement'!$B$24</f>
        <v>2870.372285649099</v>
      </c>
      <c r="G74" s="25">
        <f>'Combined Retirement'!$C$24</f>
        <v>3254.2644699519233</v>
      </c>
      <c r="H74" s="25">
        <f>IF(B74&lt;62,0,'Combined Retirement'!$I$14)</f>
        <v>2345</v>
      </c>
      <c r="I74" s="25">
        <f>IF(C74&lt;62,0,'Combined Retirement'!$I$13)</f>
        <v>0</v>
      </c>
      <c r="J74" s="25">
        <f t="shared" si="3"/>
        <v>30683.43324439897</v>
      </c>
      <c r="K74" s="25">
        <f t="shared" si="4"/>
        <v>0</v>
      </c>
      <c r="L74" s="25"/>
      <c r="N74" s="25">
        <f>'Combined Retirement'!$C$18/12</f>
        <v>39153.069999999992</v>
      </c>
      <c r="O74" s="25">
        <f t="shared" si="5"/>
        <v>8469.6367556010227</v>
      </c>
      <c r="P74" s="25">
        <f t="shared" si="6"/>
        <v>30683.43324439897</v>
      </c>
      <c r="Q74" s="25">
        <f t="array" aca="1" ref="Q74" ca="1">INDEX('Isaac 401k'!L:L,MATCH('Retirement Calculator'!A74,'Isaac 401k'!N:N,0),0)</f>
        <v>1991805.296260881</v>
      </c>
      <c r="R74" s="25">
        <f t="array" aca="1" ref="R74" ca="1">INDEX('Lorri 401b'!L:L,MATCH('Retirement Calculator'!A74,'Lorri 401b'!N:N,0),0)</f>
        <v>4544815.3670769744</v>
      </c>
      <c r="S74" s="25">
        <f t="shared" ca="1" si="7"/>
        <v>6536620.6633378556</v>
      </c>
    </row>
    <row r="75" spans="1:19" ht="15.75" customHeight="1" x14ac:dyDescent="0.3">
      <c r="A75" s="37">
        <v>53236</v>
      </c>
      <c r="B75" s="398">
        <f t="shared" ref="B75:C75" si="71">($A75-B$9)/365.25</f>
        <v>63.874058863791923</v>
      </c>
      <c r="C75" s="398">
        <f t="shared" si="71"/>
        <v>59.263518138261468</v>
      </c>
      <c r="E75" s="25">
        <f>IF(C75&gt;$B$7,0,'Combined Retirement'!$D$13/12)</f>
        <v>0</v>
      </c>
      <c r="F75" s="25">
        <f>IF(H75=0,'Combined Retirement'!$D$32,0)+'Combined Retirement'!$B$24</f>
        <v>2870.372285649099</v>
      </c>
      <c r="G75" s="25">
        <f>'Combined Retirement'!$C$24</f>
        <v>3254.2644699519233</v>
      </c>
      <c r="H75" s="25">
        <f>IF(B75&lt;62,0,'Combined Retirement'!$I$14)</f>
        <v>2345</v>
      </c>
      <c r="I75" s="25">
        <f>IF(C75&lt;62,0,'Combined Retirement'!$I$13)</f>
        <v>0</v>
      </c>
      <c r="J75" s="25">
        <f t="shared" si="3"/>
        <v>30683.43324439897</v>
      </c>
      <c r="K75" s="25">
        <f t="shared" si="4"/>
        <v>0</v>
      </c>
      <c r="L75" s="25"/>
      <c r="N75" s="25">
        <f>'Combined Retirement'!$C$18/12</f>
        <v>39153.069999999992</v>
      </c>
      <c r="O75" s="25">
        <f t="shared" si="5"/>
        <v>8469.6367556010227</v>
      </c>
      <c r="P75" s="25">
        <f t="shared" si="6"/>
        <v>30683.43324439897</v>
      </c>
      <c r="Q75" s="25">
        <f t="array" aca="1" ref="Q75" ca="1">INDEX('Isaac 401k'!L:L,MATCH('Retirement Calculator'!A75,'Isaac 401k'!N:N,0),0)</f>
        <v>1969293.204112384</v>
      </c>
      <c r="R75" s="25">
        <f t="array" aca="1" ref="R75" ca="1">INDEX('Lorri 401b'!L:L,MATCH('Retirement Calculator'!A75,'Lorri 401b'!N:N,0),0)</f>
        <v>4563752.0977731282</v>
      </c>
      <c r="S75" s="25">
        <f t="shared" ca="1" si="7"/>
        <v>6533045.3018855117</v>
      </c>
    </row>
    <row r="76" spans="1:19" ht="15.75" customHeight="1" x14ac:dyDescent="0.3">
      <c r="A76" s="37">
        <v>53267</v>
      </c>
      <c r="B76" s="398">
        <f t="shared" ref="B76:C76" si="72">($A76-B$9)/365.25</f>
        <v>63.958932238193022</v>
      </c>
      <c r="C76" s="398">
        <f t="shared" si="72"/>
        <v>59.348391512662559</v>
      </c>
      <c r="E76" s="25">
        <f>IF(C76&gt;$B$7,0,'Combined Retirement'!$D$13/12)</f>
        <v>0</v>
      </c>
      <c r="F76" s="25">
        <f>IF(H76=0,'Combined Retirement'!$D$32,0)+'Combined Retirement'!$B$24</f>
        <v>2870.372285649099</v>
      </c>
      <c r="G76" s="25">
        <f>'Combined Retirement'!$C$24</f>
        <v>3254.2644699519233</v>
      </c>
      <c r="H76" s="25">
        <f>IF(B76&lt;62,0,'Combined Retirement'!$I$14)</f>
        <v>2345</v>
      </c>
      <c r="I76" s="25">
        <f>IF(C76&lt;62,0,'Combined Retirement'!$I$13)</f>
        <v>0</v>
      </c>
      <c r="J76" s="25">
        <f t="shared" si="3"/>
        <v>30683.43324439897</v>
      </c>
      <c r="K76" s="25">
        <f t="shared" si="4"/>
        <v>0</v>
      </c>
      <c r="L76" s="25"/>
      <c r="N76" s="25">
        <f>'Combined Retirement'!$C$18/12</f>
        <v>39153.069999999992</v>
      </c>
      <c r="O76" s="25">
        <f t="shared" si="5"/>
        <v>8469.6367556010227</v>
      </c>
      <c r="P76" s="25">
        <f t="shared" si="6"/>
        <v>30683.43324439897</v>
      </c>
      <c r="Q76" s="25">
        <f t="array" aca="1" ref="Q76" ca="1">INDEX('Isaac 401k'!L:L,MATCH('Retirement Calculator'!A76,'Isaac 401k'!N:N,0),0)</f>
        <v>1946687.311579935</v>
      </c>
      <c r="R76" s="25">
        <f t="array" aca="1" ref="R76" ca="1">INDEX('Lorri 401b'!L:L,MATCH('Retirement Calculator'!A76,'Lorri 401b'!N:N,0),0)</f>
        <v>4582767.7315138495</v>
      </c>
      <c r="S76" s="25">
        <f t="shared" ca="1" si="7"/>
        <v>6529455.0430937847</v>
      </c>
    </row>
    <row r="77" spans="1:19" ht="15.75" customHeight="1" x14ac:dyDescent="0.3">
      <c r="A77" s="37">
        <v>53297</v>
      </c>
      <c r="B77" s="398">
        <f t="shared" ref="B77:C77" si="73">($A77-B$9)/365.25</f>
        <v>64.041067761806985</v>
      </c>
      <c r="C77" s="398">
        <f t="shared" si="73"/>
        <v>59.430527036276523</v>
      </c>
      <c r="E77" s="25">
        <f>IF(C77&gt;$B$7,0,'Combined Retirement'!$D$13/12)</f>
        <v>0</v>
      </c>
      <c r="F77" s="25">
        <f>IF(H77=0,'Combined Retirement'!$D$32,0)+'Combined Retirement'!$B$24</f>
        <v>2870.372285649099</v>
      </c>
      <c r="G77" s="25">
        <f>'Combined Retirement'!$C$24</f>
        <v>3254.2644699519233</v>
      </c>
      <c r="H77" s="25">
        <f>IF(B77&lt;62,0,'Combined Retirement'!$I$14)</f>
        <v>2345</v>
      </c>
      <c r="I77" s="25">
        <f>IF(C77&lt;62,0,'Combined Retirement'!$I$13)</f>
        <v>0</v>
      </c>
      <c r="J77" s="25">
        <f t="shared" si="3"/>
        <v>30683.43324439897</v>
      </c>
      <c r="K77" s="25">
        <f t="shared" si="4"/>
        <v>0</v>
      </c>
      <c r="L77" s="25"/>
      <c r="N77" s="25">
        <f>'Combined Retirement'!$C$18/12</f>
        <v>39153.069999999992</v>
      </c>
      <c r="O77" s="25">
        <f t="shared" si="5"/>
        <v>8469.6367556010227</v>
      </c>
      <c r="P77" s="25">
        <f t="shared" si="6"/>
        <v>30683.43324439897</v>
      </c>
      <c r="Q77" s="25">
        <f t="array" aca="1" ref="Q77" ca="1">INDEX('Isaac 401k'!L:L,MATCH('Retirement Calculator'!A77,'Isaac 401k'!N:N,0),0)</f>
        <v>1923987.2278286007</v>
      </c>
      <c r="R77" s="25">
        <f t="array" aca="1" ref="R77" ca="1">INDEX('Lorri 401b'!L:L,MATCH('Retirement Calculator'!A77,'Lorri 401b'!N:N,0),0)</f>
        <v>4601862.5970618241</v>
      </c>
      <c r="S77" s="25">
        <f t="shared" ca="1" si="7"/>
        <v>6525849.8248904245</v>
      </c>
    </row>
    <row r="78" spans="1:19" ht="15.75" customHeight="1" x14ac:dyDescent="0.3">
      <c r="A78" s="37">
        <v>53328</v>
      </c>
      <c r="B78" s="398">
        <f t="shared" ref="B78:C78" si="74">($A78-B$9)/365.25</f>
        <v>64.12594113620807</v>
      </c>
      <c r="C78" s="398">
        <f t="shared" si="74"/>
        <v>59.515400410677621</v>
      </c>
      <c r="E78" s="25">
        <f>IF(C78&gt;$B$7,0,'Combined Retirement'!$D$13/12)</f>
        <v>0</v>
      </c>
      <c r="F78" s="25">
        <f>IF(H78=0,'Combined Retirement'!$D$32,0)+'Combined Retirement'!$B$24</f>
        <v>2870.372285649099</v>
      </c>
      <c r="G78" s="25">
        <f>'Combined Retirement'!$C$24</f>
        <v>3254.2644699519233</v>
      </c>
      <c r="H78" s="25">
        <f>IF(B78&lt;62,0,'Combined Retirement'!$I$14)</f>
        <v>2345</v>
      </c>
      <c r="I78" s="25">
        <f>IF(C78&lt;62,0,'Combined Retirement'!$I$13)</f>
        <v>0</v>
      </c>
      <c r="J78" s="25">
        <f t="shared" si="3"/>
        <v>8572.3375798201851</v>
      </c>
      <c r="K78" s="25">
        <f t="shared" si="4"/>
        <v>22111.095664578788</v>
      </c>
      <c r="L78" s="25"/>
      <c r="N78" s="25">
        <f>'Combined Retirement'!$C$18/12</f>
        <v>39153.069999999992</v>
      </c>
      <c r="O78" s="25">
        <f t="shared" si="5"/>
        <v>8469.6367556010227</v>
      </c>
      <c r="P78" s="25">
        <f t="shared" si="6"/>
        <v>30683.43324439897</v>
      </c>
      <c r="Q78" s="25">
        <f t="array" aca="1" ref="Q78" ca="1">INDEX('Isaac 401k'!L:L,MATCH('Retirement Calculator'!A78,'Isaac 401k'!N:N,0),0)</f>
        <v>1923395.7856248172</v>
      </c>
      <c r="R78" s="25">
        <f t="array" aca="1" ref="R78" ca="1">INDEX('Lorri 401b'!L:L,MATCH('Retirement Calculator'!A78,'Lorri 401b'!N:N,0),0)</f>
        <v>4598833.7993197339</v>
      </c>
      <c r="S78" s="25">
        <f t="shared" ca="1" si="7"/>
        <v>6522229.5849445509</v>
      </c>
    </row>
    <row r="79" spans="1:19" ht="15.75" customHeight="1" x14ac:dyDescent="0.3">
      <c r="A79" s="37">
        <v>53359</v>
      </c>
      <c r="B79" s="398">
        <f t="shared" ref="B79:C79" si="75">($A79-B$9)/365.25</f>
        <v>64.210814510609168</v>
      </c>
      <c r="C79" s="398">
        <f t="shared" si="75"/>
        <v>59.600273785078713</v>
      </c>
      <c r="E79" s="25">
        <f>IF(C79&gt;$B$7,0,'Combined Retirement'!$D$13/12)</f>
        <v>0</v>
      </c>
      <c r="F79" s="25">
        <f>IF(H79=0,'Combined Retirement'!$D$32,0)+'Combined Retirement'!$B$24</f>
        <v>2870.372285649099</v>
      </c>
      <c r="G79" s="25">
        <f>'Combined Retirement'!$C$24</f>
        <v>3254.2644699519233</v>
      </c>
      <c r="H79" s="25">
        <f>IF(B79&lt;62,0,'Combined Retirement'!$I$14)</f>
        <v>2345</v>
      </c>
      <c r="I79" s="25">
        <f>IF(C79&lt;62,0,'Combined Retirement'!$I$13)</f>
        <v>0</v>
      </c>
      <c r="J79" s="25">
        <f t="shared" si="3"/>
        <v>8572.3375798201851</v>
      </c>
      <c r="K79" s="25">
        <f t="shared" si="4"/>
        <v>22111.095664578788</v>
      </c>
      <c r="L79" s="25"/>
      <c r="N79" s="25">
        <f>'Combined Retirement'!$C$18/12</f>
        <v>39153.069999999992</v>
      </c>
      <c r="O79" s="25">
        <f t="shared" si="5"/>
        <v>8469.6367556010227</v>
      </c>
      <c r="P79" s="25">
        <f t="shared" si="6"/>
        <v>30683.43324439897</v>
      </c>
      <c r="Q79" s="25">
        <f t="array" aca="1" ref="Q79" ca="1">INDEX('Isaac 401k'!L:L,MATCH('Retirement Calculator'!A79,'Isaac 401k'!N:N,0),0)</f>
        <v>1922801.8790785179</v>
      </c>
      <c r="R79" s="25">
        <f t="array" aca="1" ref="R79" ca="1">INDEX('Lorri 401b'!L:L,MATCH('Retirement Calculator'!A79,'Lorri 401b'!N:N,0),0)</f>
        <v>4595792.3815870518</v>
      </c>
      <c r="S79" s="25">
        <f t="shared" ca="1" si="7"/>
        <v>6518594.2606655695</v>
      </c>
    </row>
    <row r="80" spans="1:19" ht="15.75" customHeight="1" x14ac:dyDescent="0.3">
      <c r="A80" s="37">
        <v>53387</v>
      </c>
      <c r="B80" s="398">
        <f t="shared" ref="B80:C80" si="76">($A80-B$9)/365.25</f>
        <v>64.28747433264887</v>
      </c>
      <c r="C80" s="398">
        <f t="shared" si="76"/>
        <v>59.676933607118414</v>
      </c>
      <c r="E80" s="25">
        <f>IF(C80&gt;$B$7,0,'Combined Retirement'!$D$13/12)</f>
        <v>0</v>
      </c>
      <c r="F80" s="25">
        <f>IF(H80=0,'Combined Retirement'!$D$32,0)+'Combined Retirement'!$B$24</f>
        <v>2870.372285649099</v>
      </c>
      <c r="G80" s="25">
        <f>'Combined Retirement'!$C$24</f>
        <v>3254.2644699519233</v>
      </c>
      <c r="H80" s="25">
        <f>IF(B80&lt;62,0,'Combined Retirement'!$I$14)</f>
        <v>2345</v>
      </c>
      <c r="I80" s="25">
        <f>IF(C80&lt;62,0,'Combined Retirement'!$I$13)</f>
        <v>0</v>
      </c>
      <c r="J80" s="25">
        <f t="shared" si="3"/>
        <v>8572.3375798201851</v>
      </c>
      <c r="K80" s="25">
        <f t="shared" si="4"/>
        <v>22111.095664578788</v>
      </c>
      <c r="L80" s="25"/>
      <c r="N80" s="25">
        <f>'Combined Retirement'!$C$18/12</f>
        <v>39153.069999999992</v>
      </c>
      <c r="O80" s="25">
        <f t="shared" si="5"/>
        <v>8469.6367556010227</v>
      </c>
      <c r="P80" s="25">
        <f t="shared" si="6"/>
        <v>30683.43324439897</v>
      </c>
      <c r="Q80" s="25">
        <f t="array" aca="1" ref="Q80" ca="1">INDEX('Isaac 401k'!L:L,MATCH('Retirement Calculator'!A80,'Isaac 401k'!N:N,0),0)</f>
        <v>1922205.4979216091</v>
      </c>
      <c r="R80" s="25">
        <f t="array" aca="1" ref="R80" ca="1">INDEX('Lorri 401b'!L:L,MATCH('Retirement Calculator'!A80,'Lorri 401b'!N:N,0),0)</f>
        <v>4592738.2912804838</v>
      </c>
      <c r="S80" s="25">
        <f t="shared" ca="1" si="7"/>
        <v>6514943.7892020931</v>
      </c>
    </row>
    <row r="81" spans="1:19" ht="15.75" customHeight="1" x14ac:dyDescent="0.3">
      <c r="A81" s="37">
        <v>53418</v>
      </c>
      <c r="B81" s="398">
        <f t="shared" ref="B81:C81" si="77">($A81-B$9)/365.25</f>
        <v>64.372347707049968</v>
      </c>
      <c r="C81" s="398">
        <f t="shared" si="77"/>
        <v>59.761806981519506</v>
      </c>
      <c r="E81" s="25">
        <f>IF(C81&gt;$B$7,0,'Combined Retirement'!$D$13/12)</f>
        <v>0</v>
      </c>
      <c r="F81" s="25">
        <f>IF(H81=0,'Combined Retirement'!$D$32,0)+'Combined Retirement'!$B$24</f>
        <v>2870.372285649099</v>
      </c>
      <c r="G81" s="25">
        <f>'Combined Retirement'!$C$24</f>
        <v>3254.2644699519233</v>
      </c>
      <c r="H81" s="25">
        <f>IF(B81&lt;62,0,'Combined Retirement'!$I$14)</f>
        <v>2345</v>
      </c>
      <c r="I81" s="25">
        <f>IF(C81&lt;62,0,'Combined Retirement'!$I$13)</f>
        <v>0</v>
      </c>
      <c r="J81" s="25">
        <f t="shared" si="3"/>
        <v>8572.3375798201851</v>
      </c>
      <c r="K81" s="25">
        <f t="shared" si="4"/>
        <v>22111.095664578788</v>
      </c>
      <c r="L81" s="25"/>
      <c r="N81" s="25">
        <f>'Combined Retirement'!$C$18/12</f>
        <v>39153.069999999992</v>
      </c>
      <c r="O81" s="25">
        <f t="shared" si="5"/>
        <v>8469.6367556010227</v>
      </c>
      <c r="P81" s="25">
        <f t="shared" si="6"/>
        <v>30683.43324439897</v>
      </c>
      <c r="Q81" s="25">
        <f t="array" aca="1" ref="Q81" ca="1">INDEX('Isaac 401k'!L:L,MATCH('Retirement Calculator'!A81,'Isaac 401k'!N:N,0),0)</f>
        <v>1921606.6318432132</v>
      </c>
      <c r="R81" s="25">
        <f t="array" aca="1" ref="R81" ca="1">INDEX('Lorri 401b'!L:L,MATCH('Retirement Calculator'!A81,'Lorri 401b'!N:N,0),0)</f>
        <v>4589671.4755976386</v>
      </c>
      <c r="S81" s="25">
        <f t="shared" ca="1" si="7"/>
        <v>6511278.1074408516</v>
      </c>
    </row>
    <row r="82" spans="1:19" ht="15.75" customHeight="1" x14ac:dyDescent="0.3">
      <c r="A82" s="37">
        <v>53448</v>
      </c>
      <c r="B82" s="398">
        <f t="shared" ref="B82:C82" si="78">($A82-B$9)/365.25</f>
        <v>64.454483230663925</v>
      </c>
      <c r="C82" s="398">
        <f t="shared" si="78"/>
        <v>59.843942505133469</v>
      </c>
      <c r="E82" s="25">
        <f>IF(C82&gt;$B$7,0,'Combined Retirement'!$D$13/12)</f>
        <v>0</v>
      </c>
      <c r="F82" s="25">
        <f>IF(H82=0,'Combined Retirement'!$D$32,0)+'Combined Retirement'!$B$24</f>
        <v>2870.372285649099</v>
      </c>
      <c r="G82" s="25">
        <f>'Combined Retirement'!$C$24</f>
        <v>3254.2644699519233</v>
      </c>
      <c r="H82" s="25">
        <f>IF(B82&lt;62,0,'Combined Retirement'!$I$14)</f>
        <v>2345</v>
      </c>
      <c r="I82" s="25">
        <f>IF(C82&lt;62,0,'Combined Retirement'!$I$13)</f>
        <v>0</v>
      </c>
      <c r="J82" s="25">
        <f t="shared" si="3"/>
        <v>8572.3375798201851</v>
      </c>
      <c r="K82" s="25">
        <f t="shared" si="4"/>
        <v>22111.095664578788</v>
      </c>
      <c r="L82" s="25"/>
      <c r="N82" s="25">
        <f>'Combined Retirement'!$C$18/12</f>
        <v>39153.069999999992</v>
      </c>
      <c r="O82" s="25">
        <f t="shared" si="5"/>
        <v>8469.6367556010227</v>
      </c>
      <c r="P82" s="25">
        <f t="shared" si="6"/>
        <v>30683.43324439897</v>
      </c>
      <c r="Q82" s="25">
        <f t="array" aca="1" ref="Q82" ca="1">INDEX('Isaac 401k'!L:L,MATCH('Retirement Calculator'!A82,'Isaac 401k'!N:N,0),0)</f>
        <v>1921005.2704894906</v>
      </c>
      <c r="R82" s="25">
        <f t="array" aca="1" ref="R82" ca="1">INDEX('Lorri 401b'!L:L,MATCH('Retirement Calculator'!A82,'Lorri 401b'!N:N,0),0)</f>
        <v>4586591.8815161148</v>
      </c>
      <c r="S82" s="25">
        <f t="shared" ca="1" si="7"/>
        <v>6507597.1520056054</v>
      </c>
    </row>
    <row r="83" spans="1:19" ht="15.75" customHeight="1" x14ac:dyDescent="0.3">
      <c r="A83" s="37">
        <v>53479</v>
      </c>
      <c r="B83" s="398">
        <f t="shared" ref="B83:C83" si="79">($A83-B$9)/365.25</f>
        <v>64.539356605065024</v>
      </c>
      <c r="C83" s="398">
        <f t="shared" si="79"/>
        <v>59.928815879534568</v>
      </c>
      <c r="E83" s="25">
        <f>IF(C83&gt;$B$7,0,'Combined Retirement'!$D$13/12)</f>
        <v>0</v>
      </c>
      <c r="F83" s="25">
        <f>IF(H83=0,'Combined Retirement'!$D$32,0)+'Combined Retirement'!$B$24</f>
        <v>2870.372285649099</v>
      </c>
      <c r="G83" s="25">
        <f>'Combined Retirement'!$C$24</f>
        <v>3254.2644699519233</v>
      </c>
      <c r="H83" s="25">
        <f>IF(B83&lt;62,0,'Combined Retirement'!$I$14)</f>
        <v>2345</v>
      </c>
      <c r="I83" s="25">
        <f>IF(C83&lt;62,0,'Combined Retirement'!$I$13)</f>
        <v>0</v>
      </c>
      <c r="J83" s="25">
        <f t="shared" si="3"/>
        <v>8572.3375798201851</v>
      </c>
      <c r="K83" s="25">
        <f t="shared" si="4"/>
        <v>22111.095664578788</v>
      </c>
      <c r="L83" s="25"/>
      <c r="N83" s="25">
        <f>'Combined Retirement'!$C$18/12</f>
        <v>39153.069999999992</v>
      </c>
      <c r="O83" s="25">
        <f t="shared" si="5"/>
        <v>8469.6367556010227</v>
      </c>
      <c r="P83" s="25">
        <f t="shared" si="6"/>
        <v>30683.43324439897</v>
      </c>
      <c r="Q83" s="25">
        <f t="array" aca="1" ref="Q83" ca="1">INDEX('Isaac 401k'!L:L,MATCH('Retirement Calculator'!A83,'Isaac 401k'!N:N,0),0)</f>
        <v>1920401.4034634607</v>
      </c>
      <c r="R83" s="25">
        <f t="array" aca="1" ref="R83" ca="1">INDEX('Lorri 401b'!L:L,MATCH('Retirement Calculator'!A83,'Lorri 401b'!N:N,0),0)</f>
        <v>4583499.4557925845</v>
      </c>
      <c r="S83" s="25">
        <f t="shared" ca="1" si="7"/>
        <v>6503900.859256045</v>
      </c>
    </row>
    <row r="84" spans="1:19" ht="15.75" customHeight="1" x14ac:dyDescent="0.3">
      <c r="A84" s="37">
        <v>53509</v>
      </c>
      <c r="B84" s="398">
        <f t="shared" ref="B84:C84" si="80">($A84-B$9)/365.25</f>
        <v>64.62149212867898</v>
      </c>
      <c r="C84" s="398">
        <f t="shared" si="80"/>
        <v>60.010951403148532</v>
      </c>
      <c r="E84" s="25">
        <f>IF(C84&gt;$B$7,0,'Combined Retirement'!$D$13/12)</f>
        <v>0</v>
      </c>
      <c r="F84" s="25">
        <f>IF(H84=0,'Combined Retirement'!$D$32,0)+'Combined Retirement'!$B$24</f>
        <v>2870.372285649099</v>
      </c>
      <c r="G84" s="25">
        <f>'Combined Retirement'!$C$24</f>
        <v>3254.2644699519233</v>
      </c>
      <c r="H84" s="25">
        <f>IF(B84&lt;62,0,'Combined Retirement'!$I$14)</f>
        <v>2345</v>
      </c>
      <c r="I84" s="25">
        <f>IF(C84&lt;62,0,'Combined Retirement'!$I$13)</f>
        <v>0</v>
      </c>
      <c r="J84" s="25">
        <f t="shared" si="3"/>
        <v>8572.3375798201851</v>
      </c>
      <c r="K84" s="25">
        <f t="shared" si="4"/>
        <v>22111.095664578788</v>
      </c>
      <c r="L84" s="25"/>
      <c r="N84" s="25">
        <f>'Combined Retirement'!$C$18/12</f>
        <v>39153.069999999992</v>
      </c>
      <c r="O84" s="25">
        <f t="shared" si="5"/>
        <v>8469.6367556010227</v>
      </c>
      <c r="P84" s="25">
        <f t="shared" si="6"/>
        <v>30683.43324439897</v>
      </c>
      <c r="Q84" s="25">
        <f t="array" aca="1" ref="Q84" ca="1">INDEX('Isaac 401k'!L:L,MATCH('Retirement Calculator'!A84,'Isaac 401k'!N:N,0),0)</f>
        <v>1919795.0203248225</v>
      </c>
      <c r="R84" s="25">
        <f t="array" aca="1" ref="R84" ca="1">INDEX('Lorri 401b'!L:L,MATCH('Retirement Calculator'!A84,'Lorri 401b'!N:N,0),0)</f>
        <v>4580394.1449618731</v>
      </c>
      <c r="S84" s="25">
        <f t="shared" ca="1" si="7"/>
        <v>6500189.1652866956</v>
      </c>
    </row>
    <row r="85" spans="1:19" ht="15.75" customHeight="1" x14ac:dyDescent="0.3">
      <c r="A85" s="37">
        <v>53540</v>
      </c>
      <c r="B85" s="398">
        <f t="shared" ref="B85:C85" si="81">($A85-B$9)/365.25</f>
        <v>64.706365503080079</v>
      </c>
      <c r="C85" s="398">
        <f t="shared" si="81"/>
        <v>60.095824777549623</v>
      </c>
      <c r="E85" s="25">
        <f>IF(C85&gt;$B$7,0,'Combined Retirement'!$D$13/12)</f>
        <v>0</v>
      </c>
      <c r="F85" s="25">
        <f>IF(H85=0,'Combined Retirement'!$D$32,0)+'Combined Retirement'!$B$24</f>
        <v>2870.372285649099</v>
      </c>
      <c r="G85" s="25">
        <f>'Combined Retirement'!$C$24</f>
        <v>3254.2644699519233</v>
      </c>
      <c r="H85" s="25">
        <f>IF(B85&lt;62,0,'Combined Retirement'!$I$14)</f>
        <v>2345</v>
      </c>
      <c r="I85" s="25">
        <f>IF(C85&lt;62,0,'Combined Retirement'!$I$13)</f>
        <v>0</v>
      </c>
      <c r="J85" s="25">
        <f t="shared" si="3"/>
        <v>8572.3375798201851</v>
      </c>
      <c r="K85" s="25">
        <f t="shared" si="4"/>
        <v>22111.095664578788</v>
      </c>
      <c r="L85" s="25"/>
      <c r="N85" s="25">
        <f>'Combined Retirement'!$C$18/12</f>
        <v>39153.069999999992</v>
      </c>
      <c r="O85" s="25">
        <f t="shared" si="5"/>
        <v>8469.6367556010227</v>
      </c>
      <c r="P85" s="25">
        <f t="shared" si="6"/>
        <v>30683.43324439897</v>
      </c>
      <c r="Q85" s="25">
        <f t="array" aca="1" ref="Q85" ca="1">INDEX('Isaac 401k'!L:L,MATCH('Retirement Calculator'!A85,'Isaac 401k'!N:N,0),0)</f>
        <v>1919186.1105897734</v>
      </c>
      <c r="R85" s="25">
        <f t="array" aca="1" ref="R85" ca="1">INDEX('Lorri 401b'!L:L,MATCH('Retirement Calculator'!A85,'Lorri 401b'!N:N,0),0)</f>
        <v>4577275.8953360328</v>
      </c>
      <c r="S85" s="25">
        <f t="shared" ca="1" si="7"/>
        <v>6496462.0059258062</v>
      </c>
    </row>
    <row r="86" spans="1:19" ht="15.75" customHeight="1" x14ac:dyDescent="0.3">
      <c r="A86" s="37">
        <v>53571</v>
      </c>
      <c r="B86" s="398">
        <f t="shared" ref="B86:C86" si="82">($A86-B$9)/365.25</f>
        <v>64.791238877481177</v>
      </c>
      <c r="C86" s="398">
        <f t="shared" si="82"/>
        <v>60.180698151950722</v>
      </c>
      <c r="E86" s="25">
        <f>IF(C86&gt;$B$7,0,'Combined Retirement'!$D$13/12)</f>
        <v>0</v>
      </c>
      <c r="F86" s="25">
        <f>IF(H86=0,'Combined Retirement'!$D$32,0)+'Combined Retirement'!$B$24</f>
        <v>2870.372285649099</v>
      </c>
      <c r="G86" s="25">
        <f>'Combined Retirement'!$C$24</f>
        <v>3254.2644699519233</v>
      </c>
      <c r="H86" s="25">
        <f>IF(B86&lt;62,0,'Combined Retirement'!$I$14)</f>
        <v>2345</v>
      </c>
      <c r="I86" s="25">
        <f>IF(C86&lt;62,0,'Combined Retirement'!$I$13)</f>
        <v>0</v>
      </c>
      <c r="J86" s="25">
        <f t="shared" si="3"/>
        <v>8572.3375798201851</v>
      </c>
      <c r="K86" s="25">
        <f t="shared" si="4"/>
        <v>22111.095664578788</v>
      </c>
      <c r="L86" s="25"/>
      <c r="N86" s="25">
        <f>'Combined Retirement'!$C$18/12</f>
        <v>39153.069999999992</v>
      </c>
      <c r="O86" s="25">
        <f t="shared" si="5"/>
        <v>8469.6367556010227</v>
      </c>
      <c r="P86" s="25">
        <f t="shared" si="6"/>
        <v>30683.43324439897</v>
      </c>
      <c r="Q86" s="25">
        <f t="array" aca="1" ref="Q86" ca="1">INDEX('Isaac 401k'!L:L,MATCH('Retirement Calculator'!A86,'Isaac 401k'!N:N,0),0)</f>
        <v>1918574.6637308281</v>
      </c>
      <c r="R86" s="25">
        <f t="array" aca="1" ref="R86" ca="1">INDEX('Lorri 401b'!L:L,MATCH('Retirement Calculator'!A86,'Lorri 401b'!N:N,0),0)</f>
        <v>4574144.6530034188</v>
      </c>
      <c r="S86" s="25">
        <f t="shared" ca="1" si="7"/>
        <v>6492719.3167342469</v>
      </c>
    </row>
    <row r="87" spans="1:19" ht="15.75" customHeight="1" x14ac:dyDescent="0.3">
      <c r="A87" s="37">
        <v>53601</v>
      </c>
      <c r="B87" s="398">
        <f t="shared" ref="B87:C87" si="83">($A87-B$9)/365.25</f>
        <v>64.873374401095134</v>
      </c>
      <c r="C87" s="398">
        <f t="shared" si="83"/>
        <v>60.262833675564679</v>
      </c>
      <c r="E87" s="25">
        <f>IF(C87&gt;$B$7,0,'Combined Retirement'!$D$13/12)</f>
        <v>0</v>
      </c>
      <c r="F87" s="25">
        <f>IF(H87=0,'Combined Retirement'!$D$32,0)+'Combined Retirement'!$B$24</f>
        <v>2870.372285649099</v>
      </c>
      <c r="G87" s="25">
        <f>'Combined Retirement'!$C$24</f>
        <v>3254.2644699519233</v>
      </c>
      <c r="H87" s="25">
        <f>IF(B87&lt;62,0,'Combined Retirement'!$I$14)</f>
        <v>2345</v>
      </c>
      <c r="I87" s="25">
        <f>IF(C87&lt;62,0,'Combined Retirement'!$I$13)</f>
        <v>0</v>
      </c>
      <c r="J87" s="25">
        <f t="shared" si="3"/>
        <v>8572.3375798201851</v>
      </c>
      <c r="K87" s="25">
        <f t="shared" si="4"/>
        <v>22111.095664578788</v>
      </c>
      <c r="L87" s="25"/>
      <c r="N87" s="25">
        <f>'Combined Retirement'!$C$18/12</f>
        <v>39153.069999999992</v>
      </c>
      <c r="O87" s="25">
        <f t="shared" si="5"/>
        <v>8469.6367556010227</v>
      </c>
      <c r="P87" s="25">
        <f t="shared" si="6"/>
        <v>30683.43324439897</v>
      </c>
      <c r="Q87" s="25">
        <f t="array" aca="1" ref="Q87" ca="1">INDEX('Isaac 401k'!L:L,MATCH('Retirement Calculator'!A87,'Isaac 401k'!N:N,0),0)</f>
        <v>1917960.6691766372</v>
      </c>
      <c r="R87" s="25">
        <f t="array" aca="1" ref="R87" ca="1">INDEX('Lorri 401b'!L:L,MATCH('Retirement Calculator'!A87,'Lorri 401b'!N:N,0),0)</f>
        <v>4571000.3638277519</v>
      </c>
      <c r="S87" s="25">
        <f t="shared" ca="1" si="7"/>
        <v>6488961.0330043891</v>
      </c>
    </row>
    <row r="88" spans="1:19" ht="15.75" customHeight="1" x14ac:dyDescent="0.3">
      <c r="A88" s="37">
        <v>53632</v>
      </c>
      <c r="B88" s="398">
        <f t="shared" ref="B88:C88" si="84">($A88-B$9)/365.25</f>
        <v>64.958247775496233</v>
      </c>
      <c r="C88" s="398">
        <f t="shared" si="84"/>
        <v>60.347707049965777</v>
      </c>
      <c r="E88" s="25">
        <f>IF(C88&gt;$B$7,0,'Combined Retirement'!$D$13/12)</f>
        <v>0</v>
      </c>
      <c r="F88" s="25">
        <f>IF(H88=0,'Combined Retirement'!$D$32,0)+'Combined Retirement'!$B$24</f>
        <v>2870.372285649099</v>
      </c>
      <c r="G88" s="25">
        <f>'Combined Retirement'!$C$24</f>
        <v>3254.2644699519233</v>
      </c>
      <c r="H88" s="25">
        <f>IF(B88&lt;62,0,'Combined Retirement'!$I$14)</f>
        <v>2345</v>
      </c>
      <c r="I88" s="25">
        <f>IF(C88&lt;62,0,'Combined Retirement'!$I$13)</f>
        <v>0</v>
      </c>
      <c r="J88" s="25">
        <f t="shared" si="3"/>
        <v>8572.3375798201851</v>
      </c>
      <c r="K88" s="25">
        <f t="shared" si="4"/>
        <v>22111.095664578788</v>
      </c>
      <c r="L88" s="25"/>
      <c r="N88" s="25">
        <f>'Combined Retirement'!$C$18/12</f>
        <v>39153.069999999992</v>
      </c>
      <c r="O88" s="25">
        <f t="shared" si="5"/>
        <v>8469.6367556010227</v>
      </c>
      <c r="P88" s="25">
        <f t="shared" si="6"/>
        <v>30683.43324439897</v>
      </c>
      <c r="Q88" s="25">
        <f t="array" aca="1" ref="Q88" ca="1">INDEX('Isaac 401k'!L:L,MATCH('Retirement Calculator'!A88,'Isaac 401k'!N:N,0),0)</f>
        <v>1917344.1163118039</v>
      </c>
      <c r="R88" s="25">
        <f t="array" aca="1" ref="R88" ca="1">INDEX('Lorri 401b'!L:L,MATCH('Retirement Calculator'!A88,'Lorri 401b'!N:N,0),0)</f>
        <v>4567842.9734471869</v>
      </c>
      <c r="S88" s="25">
        <f t="shared" ca="1" si="7"/>
        <v>6485187.0897589903</v>
      </c>
    </row>
    <row r="89" spans="1:19" ht="15.75" customHeight="1" x14ac:dyDescent="0.3">
      <c r="A89" s="37">
        <v>53662</v>
      </c>
      <c r="B89" s="398">
        <f t="shared" ref="B89:C89" si="85">($A89-B$9)/365.25</f>
        <v>65.040383299110204</v>
      </c>
      <c r="C89" s="398">
        <f t="shared" si="85"/>
        <v>60.429842573579741</v>
      </c>
      <c r="E89" s="25">
        <f>IF(C89&gt;$B$7,0,'Combined Retirement'!$D$13/12)</f>
        <v>0</v>
      </c>
      <c r="F89" s="25">
        <f>IF(H89=0,'Combined Retirement'!$D$32,0)+'Combined Retirement'!$B$24</f>
        <v>2870.372285649099</v>
      </c>
      <c r="G89" s="25">
        <f>'Combined Retirement'!$C$24</f>
        <v>3254.2644699519233</v>
      </c>
      <c r="H89" s="25">
        <f>IF(B89&lt;62,0,'Combined Retirement'!$I$14)</f>
        <v>2345</v>
      </c>
      <c r="I89" s="25">
        <f>IF(C89&lt;62,0,'Combined Retirement'!$I$13)</f>
        <v>0</v>
      </c>
      <c r="J89" s="25">
        <f t="shared" si="3"/>
        <v>8572.3375798201851</v>
      </c>
      <c r="K89" s="25">
        <f t="shared" si="4"/>
        <v>22111.095664578788</v>
      </c>
      <c r="L89" s="25"/>
      <c r="N89" s="25">
        <f>'Combined Retirement'!$C$18/12</f>
        <v>39153.069999999992</v>
      </c>
      <c r="O89" s="25">
        <f t="shared" si="5"/>
        <v>8469.6367556010227</v>
      </c>
      <c r="P89" s="25">
        <f t="shared" si="6"/>
        <v>30683.43324439897</v>
      </c>
      <c r="Q89" s="25">
        <f t="array" aca="1" ref="Q89" ca="1">INDEX('Isaac 401k'!L:L,MATCH('Retirement Calculator'!A89,'Isaac 401k'!N:N,0),0)</f>
        <v>1916724.9944767004</v>
      </c>
      <c r="R89" s="25">
        <f t="array" aca="1" ref="R89" ca="1">INDEX('Lorri 401b'!L:L,MATCH('Retirement Calculator'!A89,'Lorri 401b'!N:N,0),0)</f>
        <v>4564672.4272733694</v>
      </c>
      <c r="S89" s="25">
        <f t="shared" ca="1" si="7"/>
        <v>6481397.4217500696</v>
      </c>
    </row>
    <row r="90" spans="1:19" ht="15.75" customHeight="1" x14ac:dyDescent="0.3">
      <c r="A90" s="37">
        <v>53693</v>
      </c>
      <c r="B90" s="398">
        <f t="shared" ref="B90:C90" si="86">($A90-B$9)/365.25</f>
        <v>65.125256673511288</v>
      </c>
      <c r="C90" s="398">
        <f t="shared" si="86"/>
        <v>60.514715947980832</v>
      </c>
      <c r="E90" s="25">
        <f>IF(C90&gt;$B$7,0,'Combined Retirement'!$D$13/12)</f>
        <v>0</v>
      </c>
      <c r="F90" s="25">
        <f>IF(H90=0,'Combined Retirement'!$D$32,0)+'Combined Retirement'!$B$24</f>
        <v>2870.372285649099</v>
      </c>
      <c r="G90" s="25">
        <f>'Combined Retirement'!$C$24</f>
        <v>3254.2644699519233</v>
      </c>
      <c r="H90" s="25">
        <f>IF(B90&lt;62,0,'Combined Retirement'!$I$14)</f>
        <v>2345</v>
      </c>
      <c r="I90" s="25">
        <f>IF(C90&lt;62,0,'Combined Retirement'!$I$13)</f>
        <v>0</v>
      </c>
      <c r="J90" s="25">
        <f t="shared" si="3"/>
        <v>8572.3375798201851</v>
      </c>
      <c r="K90" s="25">
        <f t="shared" si="4"/>
        <v>22111.095664578788</v>
      </c>
      <c r="L90" s="25"/>
      <c r="N90" s="25">
        <f>'Combined Retirement'!$C$18/12</f>
        <v>39153.069999999992</v>
      </c>
      <c r="O90" s="25">
        <f t="shared" si="5"/>
        <v>8469.6367556010227</v>
      </c>
      <c r="P90" s="25">
        <f t="shared" si="6"/>
        <v>30683.43324439897</v>
      </c>
      <c r="Q90" s="25">
        <f t="array" aca="1" ref="Q90" ca="1">INDEX('Isaac 401k'!L:L,MATCH('Retirement Calculator'!A90,'Isaac 401k'!N:N,0),0)</f>
        <v>1916103.2929672841</v>
      </c>
      <c r="R90" s="25">
        <f t="array" aca="1" ref="R90" ca="1">INDEX('Lorri 401b'!L:L,MATCH('Retirement Calculator'!A90,'Lorri 401b'!N:N,0),0)</f>
        <v>4561488.670490494</v>
      </c>
      <c r="S90" s="25">
        <f t="shared" ca="1" si="7"/>
        <v>6477591.9634577781</v>
      </c>
    </row>
    <row r="91" spans="1:19" ht="15.75" customHeight="1" x14ac:dyDescent="0.3">
      <c r="A91" s="37">
        <v>53724</v>
      </c>
      <c r="B91" s="398">
        <f t="shared" ref="B91:C91" si="87">($A91-B$9)/365.25</f>
        <v>65.210130047912386</v>
      </c>
      <c r="C91" s="398">
        <f t="shared" si="87"/>
        <v>60.599589322381931</v>
      </c>
      <c r="E91" s="25">
        <f>IF(C91&gt;$B$7,0,'Combined Retirement'!$D$13/12)</f>
        <v>0</v>
      </c>
      <c r="F91" s="25">
        <f>IF(H91=0,'Combined Retirement'!$D$32,0)+'Combined Retirement'!$B$24</f>
        <v>2870.372285649099</v>
      </c>
      <c r="G91" s="25">
        <f>'Combined Retirement'!$C$24</f>
        <v>3254.2644699519233</v>
      </c>
      <c r="H91" s="25">
        <f>IF(B91&lt;62,0,'Combined Retirement'!$I$14)</f>
        <v>2345</v>
      </c>
      <c r="I91" s="25">
        <f>IF(C91&lt;62,0,'Combined Retirement'!$I$13)</f>
        <v>0</v>
      </c>
      <c r="J91" s="25">
        <f t="shared" si="3"/>
        <v>8572.3375798201851</v>
      </c>
      <c r="K91" s="25">
        <f t="shared" si="4"/>
        <v>22111.095664578788</v>
      </c>
      <c r="L91" s="25"/>
      <c r="N91" s="25">
        <f>'Combined Retirement'!$C$18/12</f>
        <v>39153.069999999992</v>
      </c>
      <c r="O91" s="25">
        <f t="shared" si="5"/>
        <v>8469.6367556010227</v>
      </c>
      <c r="P91" s="25">
        <f t="shared" si="6"/>
        <v>30683.43324439897</v>
      </c>
      <c r="Q91" s="25">
        <f t="array" aca="1" ref="Q91" ca="1">INDEX('Isaac 401k'!L:L,MATCH('Retirement Calculator'!A91,'Isaac 401k'!N:N,0),0)</f>
        <v>1915479.0010349117</v>
      </c>
      <c r="R91" s="25">
        <f t="array" aca="1" ref="R91" ca="1">INDEX('Lorri 401b'!L:L,MATCH('Retirement Calculator'!A91,'Lorri 401b'!N:N,0),0)</f>
        <v>4558291.6480543567</v>
      </c>
      <c r="S91" s="25">
        <f t="shared" ca="1" si="7"/>
        <v>6473770.6490892684</v>
      </c>
    </row>
    <row r="92" spans="1:19" ht="15.75" customHeight="1" x14ac:dyDescent="0.3">
      <c r="A92" s="37">
        <v>53752</v>
      </c>
      <c r="B92" s="398">
        <f t="shared" ref="B92:C92" si="88">($A92-B$9)/365.25</f>
        <v>65.286789869952088</v>
      </c>
      <c r="C92" s="398">
        <f t="shared" si="88"/>
        <v>60.676249144421632</v>
      </c>
      <c r="E92" s="25">
        <f>IF(C92&gt;$B$7,0,'Combined Retirement'!$D$13/12)</f>
        <v>0</v>
      </c>
      <c r="F92" s="25">
        <f>IF(H92=0,'Combined Retirement'!$D$32,0)+'Combined Retirement'!$B$24</f>
        <v>2870.372285649099</v>
      </c>
      <c r="G92" s="25">
        <f>'Combined Retirement'!$C$24</f>
        <v>3254.2644699519233</v>
      </c>
      <c r="H92" s="25">
        <f>IF(B92&lt;62,0,'Combined Retirement'!$I$14)</f>
        <v>2345</v>
      </c>
      <c r="I92" s="25">
        <f>IF(C92&lt;62,0,'Combined Retirement'!$I$13)</f>
        <v>0</v>
      </c>
      <c r="J92" s="25">
        <f t="shared" si="3"/>
        <v>8572.3375798201851</v>
      </c>
      <c r="K92" s="25">
        <f t="shared" si="4"/>
        <v>22111.095664578788</v>
      </c>
      <c r="L92" s="25"/>
      <c r="N92" s="25">
        <f>'Combined Retirement'!$C$18/12</f>
        <v>39153.069999999992</v>
      </c>
      <c r="O92" s="25">
        <f t="shared" si="5"/>
        <v>8469.6367556010227</v>
      </c>
      <c r="P92" s="25">
        <f t="shared" si="6"/>
        <v>30683.43324439897</v>
      </c>
      <c r="Q92" s="25">
        <f t="array" aca="1" ref="Q92" ca="1">INDEX('Isaac 401k'!L:L,MATCH('Retirement Calculator'!A92,'Isaac 401k'!N:N,0),0)</f>
        <v>1914852.1078861544</v>
      </c>
      <c r="R92" s="25">
        <f t="array" aca="1" ref="R92" ca="1">INDEX('Lorri 401b'!L:L,MATCH('Retirement Calculator'!A92,'Lorri 401b'!N:N,0),0)</f>
        <v>4555081.3046914022</v>
      </c>
      <c r="S92" s="25">
        <f t="shared" ca="1" si="7"/>
        <v>6469933.4125775564</v>
      </c>
    </row>
    <row r="93" spans="1:19" ht="15.75" customHeight="1" x14ac:dyDescent="0.3">
      <c r="A93" s="37">
        <v>53783</v>
      </c>
      <c r="B93" s="398">
        <f t="shared" ref="B93:C93" si="89">($A93-B$9)/365.25</f>
        <v>65.371663244353186</v>
      </c>
      <c r="C93" s="398">
        <f t="shared" si="89"/>
        <v>60.761122518822724</v>
      </c>
      <c r="E93" s="25">
        <f>IF(C93&gt;$B$7,0,'Combined Retirement'!$D$13/12)</f>
        <v>0</v>
      </c>
      <c r="F93" s="25">
        <f>IF(H93=0,'Combined Retirement'!$D$32,0)+'Combined Retirement'!$B$24</f>
        <v>2870.372285649099</v>
      </c>
      <c r="G93" s="25">
        <f>'Combined Retirement'!$C$24</f>
        <v>3254.2644699519233</v>
      </c>
      <c r="H93" s="25">
        <f>IF(B93&lt;62,0,'Combined Retirement'!$I$14)</f>
        <v>2345</v>
      </c>
      <c r="I93" s="25">
        <f>IF(C93&lt;62,0,'Combined Retirement'!$I$13)</f>
        <v>0</v>
      </c>
      <c r="J93" s="25">
        <f t="shared" si="3"/>
        <v>8572.3375798201851</v>
      </c>
      <c r="K93" s="25">
        <f t="shared" si="4"/>
        <v>22111.095664578788</v>
      </c>
      <c r="L93" s="25"/>
      <c r="N93" s="25">
        <f>'Combined Retirement'!$C$18/12</f>
        <v>39153.069999999992</v>
      </c>
      <c r="O93" s="25">
        <f t="shared" si="5"/>
        <v>8469.6367556010227</v>
      </c>
      <c r="P93" s="25">
        <f t="shared" si="6"/>
        <v>30683.43324439897</v>
      </c>
      <c r="Q93" s="25">
        <f t="array" aca="1" ref="Q93" ca="1">INDEX('Isaac 401k'!L:L,MATCH('Retirement Calculator'!A93,'Isaac 401k'!N:N,0),0)</f>
        <v>1914222.6026826107</v>
      </c>
      <c r="R93" s="25">
        <f t="array" aca="1" ref="R93" ca="1">INDEX('Lorri 401b'!L:L,MATCH('Retirement Calculator'!A93,'Lorri 401b'!N:N,0),0)</f>
        <v>4551857.5848977687</v>
      </c>
      <c r="S93" s="25">
        <f t="shared" ca="1" si="7"/>
        <v>6466080.1875803797</v>
      </c>
    </row>
    <row r="94" spans="1:19" ht="15.75" customHeight="1" x14ac:dyDescent="0.3">
      <c r="A94" s="37">
        <v>53813</v>
      </c>
      <c r="B94" s="398">
        <f t="shared" ref="B94:C94" si="90">($A94-B$9)/365.25</f>
        <v>65.453798767967143</v>
      </c>
      <c r="C94" s="398">
        <f t="shared" si="90"/>
        <v>60.843258042436688</v>
      </c>
      <c r="E94" s="25">
        <f>IF(C94&gt;$B$7,0,'Combined Retirement'!$D$13/12)</f>
        <v>0</v>
      </c>
      <c r="F94" s="25">
        <f>IF(H94=0,'Combined Retirement'!$D$32,0)+'Combined Retirement'!$B$24</f>
        <v>2870.372285649099</v>
      </c>
      <c r="G94" s="25">
        <f>'Combined Retirement'!$C$24</f>
        <v>3254.2644699519233</v>
      </c>
      <c r="H94" s="25">
        <f>IF(B94&lt;62,0,'Combined Retirement'!$I$14)</f>
        <v>2345</v>
      </c>
      <c r="I94" s="25">
        <f>IF(C94&lt;62,0,'Combined Retirement'!$I$13)</f>
        <v>0</v>
      </c>
      <c r="J94" s="25">
        <f t="shared" si="3"/>
        <v>8572.3375798201851</v>
      </c>
      <c r="K94" s="25">
        <f t="shared" si="4"/>
        <v>22111.095664578788</v>
      </c>
      <c r="L94" s="25"/>
      <c r="N94" s="25">
        <f>'Combined Retirement'!$C$18/12</f>
        <v>39153.069999999992</v>
      </c>
      <c r="O94" s="25">
        <f t="shared" si="5"/>
        <v>8469.6367556010227</v>
      </c>
      <c r="P94" s="25">
        <f t="shared" si="6"/>
        <v>30683.43324439897</v>
      </c>
      <c r="Q94" s="25">
        <f t="array" aca="1" ref="Q94" ca="1">INDEX('Isaac 401k'!L:L,MATCH('Retirement Calculator'!A94,'Isaac 401k'!N:N,0),0)</f>
        <v>1913590.4745407191</v>
      </c>
      <c r="R94" s="25">
        <f t="array" aca="1" ref="R94" ca="1">INDEX('Lorri 401b'!L:L,MATCH('Retirement Calculator'!A94,'Lorri 401b'!N:N,0),0)</f>
        <v>4548620.4329383289</v>
      </c>
      <c r="S94" s="25">
        <f t="shared" ca="1" si="7"/>
        <v>6462210.9074790478</v>
      </c>
    </row>
    <row r="95" spans="1:19" ht="15.75" customHeight="1" x14ac:dyDescent="0.3">
      <c r="A95" s="37">
        <v>53844</v>
      </c>
      <c r="B95" s="398">
        <f t="shared" ref="B95:C95" si="91">($A95-B$9)/365.25</f>
        <v>65.538672142368242</v>
      </c>
      <c r="C95" s="398">
        <f t="shared" si="91"/>
        <v>60.928131416837779</v>
      </c>
      <c r="E95" s="25">
        <f>IF(C95&gt;$B$7,0,'Combined Retirement'!$D$13/12)</f>
        <v>0</v>
      </c>
      <c r="F95" s="25">
        <f>IF(H95=0,'Combined Retirement'!$D$32,0)+'Combined Retirement'!$B$24</f>
        <v>2870.372285649099</v>
      </c>
      <c r="G95" s="25">
        <f>'Combined Retirement'!$C$24</f>
        <v>3254.2644699519233</v>
      </c>
      <c r="H95" s="25">
        <f>IF(B95&lt;62,0,'Combined Retirement'!$I$14)</f>
        <v>2345</v>
      </c>
      <c r="I95" s="25">
        <f>IF(C95&lt;62,0,'Combined Retirement'!$I$13)</f>
        <v>0</v>
      </c>
      <c r="J95" s="25">
        <f t="shared" si="3"/>
        <v>8572.3375798201851</v>
      </c>
      <c r="K95" s="25">
        <f t="shared" si="4"/>
        <v>22111.095664578788</v>
      </c>
      <c r="L95" s="25"/>
      <c r="N95" s="25">
        <f>'Combined Retirement'!$C$18/12</f>
        <v>39153.069999999992</v>
      </c>
      <c r="O95" s="25">
        <f t="shared" si="5"/>
        <v>8469.6367556010227</v>
      </c>
      <c r="P95" s="25">
        <f t="shared" si="6"/>
        <v>30683.43324439897</v>
      </c>
      <c r="Q95" s="25">
        <f t="array" aca="1" ref="Q95" ca="1">INDEX('Isaac 401k'!L:L,MATCH('Retirement Calculator'!A95,'Isaac 401k'!N:N,0),0)</f>
        <v>1912955.7125315694</v>
      </c>
      <c r="R95" s="25">
        <f t="array" aca="1" ref="R95" ca="1">INDEX('Lorri 401b'!L:L,MATCH('Retirement Calculator'!A95,'Lorri 401b'!N:N,0),0)</f>
        <v>4545369.7928457242</v>
      </c>
      <c r="S95" s="25">
        <f t="shared" ca="1" si="7"/>
        <v>6458325.5053772936</v>
      </c>
    </row>
    <row r="96" spans="1:19" ht="15.75" customHeight="1" x14ac:dyDescent="0.3">
      <c r="A96" s="37">
        <v>53874</v>
      </c>
      <c r="B96" s="398">
        <f t="shared" ref="B96:C96" si="92">($A96-B$9)/365.25</f>
        <v>65.620807665982198</v>
      </c>
      <c r="C96" s="398">
        <f t="shared" si="92"/>
        <v>61.010266940451743</v>
      </c>
      <c r="E96" s="25">
        <f>IF(C96&gt;$B$7,0,'Combined Retirement'!$D$13/12)</f>
        <v>0</v>
      </c>
      <c r="F96" s="25">
        <f>IF(H96=0,'Combined Retirement'!$D$32,0)+'Combined Retirement'!$B$24</f>
        <v>2870.372285649099</v>
      </c>
      <c r="G96" s="25">
        <f>'Combined Retirement'!$C$24</f>
        <v>3254.2644699519233</v>
      </c>
      <c r="H96" s="25">
        <f>IF(B96&lt;62,0,'Combined Retirement'!$I$14)</f>
        <v>2345</v>
      </c>
      <c r="I96" s="25">
        <f>IF(C96&lt;62,0,'Combined Retirement'!$I$13)</f>
        <v>0</v>
      </c>
      <c r="J96" s="25">
        <f t="shared" si="3"/>
        <v>8572.3375798201851</v>
      </c>
      <c r="K96" s="25">
        <f t="shared" si="4"/>
        <v>22111.095664578788</v>
      </c>
      <c r="L96" s="25"/>
      <c r="N96" s="25">
        <f>'Combined Retirement'!$C$18/12</f>
        <v>39153.069999999992</v>
      </c>
      <c r="O96" s="25">
        <f t="shared" si="5"/>
        <v>8469.6367556010227</v>
      </c>
      <c r="P96" s="25">
        <f t="shared" si="6"/>
        <v>30683.43324439897</v>
      </c>
      <c r="Q96" s="25">
        <f t="array" aca="1" ref="Q96" ca="1">INDEX('Isaac 401k'!L:L,MATCH('Retirement Calculator'!A96,'Isaac 401k'!N:N,0),0)</f>
        <v>1912318.305680715</v>
      </c>
      <c r="R96" s="25">
        <f t="array" aca="1" ref="R96" ca="1">INDEX('Lorri 401b'!L:L,MATCH('Retirement Calculator'!A96,'Lorri 401b'!N:N,0),0)</f>
        <v>4542105.6084194006</v>
      </c>
      <c r="S96" s="25">
        <f t="shared" ca="1" si="7"/>
        <v>6454423.9141001161</v>
      </c>
    </row>
    <row r="97" spans="1:19" ht="15.75" customHeight="1" x14ac:dyDescent="0.3">
      <c r="A97" s="37">
        <v>53905</v>
      </c>
      <c r="B97" s="398">
        <f t="shared" ref="B97:C97" si="93">($A97-B$9)/365.25</f>
        <v>65.705681040383297</v>
      </c>
      <c r="C97" s="398">
        <f t="shared" si="93"/>
        <v>61.095140314852841</v>
      </c>
      <c r="E97" s="25">
        <f>IF(C97&gt;$B$7,0,'Combined Retirement'!$D$13/12)</f>
        <v>0</v>
      </c>
      <c r="F97" s="25">
        <f>IF(H97=0,'Combined Retirement'!$D$32,0)+'Combined Retirement'!$B$24</f>
        <v>2870.372285649099</v>
      </c>
      <c r="G97" s="25">
        <f>'Combined Retirement'!$C$24</f>
        <v>3254.2644699519233</v>
      </c>
      <c r="H97" s="25">
        <f>IF(B97&lt;62,0,'Combined Retirement'!$I$14)</f>
        <v>2345</v>
      </c>
      <c r="I97" s="25">
        <f>IF(C97&lt;62,0,'Combined Retirement'!$I$13)</f>
        <v>0</v>
      </c>
      <c r="J97" s="25">
        <f t="shared" si="3"/>
        <v>8572.3375798201851</v>
      </c>
      <c r="K97" s="25">
        <f t="shared" si="4"/>
        <v>22111.095664578788</v>
      </c>
      <c r="L97" s="25"/>
      <c r="N97" s="25">
        <f>'Combined Retirement'!$C$18/12</f>
        <v>39153.069999999992</v>
      </c>
      <c r="O97" s="25">
        <f t="shared" si="5"/>
        <v>8469.6367556010227</v>
      </c>
      <c r="P97" s="25">
        <f t="shared" si="6"/>
        <v>30683.43324439897</v>
      </c>
      <c r="Q97" s="25">
        <f t="array" aca="1" ref="Q97" ca="1">INDEX('Isaac 401k'!L:L,MATCH('Retirement Calculator'!A97,'Isaac 401k'!N:N,0),0)</f>
        <v>1911678.2429679821</v>
      </c>
      <c r="R97" s="25">
        <f t="array" aca="1" ref="R97" ca="1">INDEX('Lorri 401b'!L:L,MATCH('Retirement Calculator'!A97,'Lorri 401b'!N:N,0),0)</f>
        <v>4538827.8232246339</v>
      </c>
      <c r="S97" s="25">
        <f t="shared" ca="1" si="7"/>
        <v>6450506.0661926158</v>
      </c>
    </row>
    <row r="98" spans="1:19" ht="15.75" customHeight="1" x14ac:dyDescent="0.3">
      <c r="A98" s="37">
        <v>53936</v>
      </c>
      <c r="B98" s="398">
        <f t="shared" ref="B98:C98" si="94">($A98-B$9)/365.25</f>
        <v>65.790554414784395</v>
      </c>
      <c r="C98" s="398">
        <f t="shared" si="94"/>
        <v>61.180013689253933</v>
      </c>
      <c r="E98" s="25">
        <f>IF(C98&gt;$B$7,0,'Combined Retirement'!$D$13/12)</f>
        <v>0</v>
      </c>
      <c r="F98" s="25">
        <f>IF(H98=0,'Combined Retirement'!$D$32,0)+'Combined Retirement'!$B$24</f>
        <v>2870.372285649099</v>
      </c>
      <c r="G98" s="25">
        <f>'Combined Retirement'!$C$24</f>
        <v>3254.2644699519233</v>
      </c>
      <c r="H98" s="25">
        <f>IF(B98&lt;62,0,'Combined Retirement'!$I$14)</f>
        <v>2345</v>
      </c>
      <c r="I98" s="25">
        <f>IF(C98&lt;62,0,'Combined Retirement'!$I$13)</f>
        <v>0</v>
      </c>
      <c r="J98" s="25">
        <f t="shared" si="3"/>
        <v>8572.3375798201851</v>
      </c>
      <c r="K98" s="25">
        <f t="shared" si="4"/>
        <v>22111.095664578788</v>
      </c>
      <c r="L98" s="25"/>
      <c r="N98" s="25">
        <f>'Combined Retirement'!$C$18/12</f>
        <v>39153.069999999992</v>
      </c>
      <c r="O98" s="25">
        <f t="shared" si="5"/>
        <v>8469.6367556010227</v>
      </c>
      <c r="P98" s="25">
        <f t="shared" si="6"/>
        <v>30683.43324439897</v>
      </c>
      <c r="Q98" s="25">
        <f t="array" aca="1" ref="Q98" ca="1">INDEX('Isaac 401k'!L:L,MATCH('Retirement Calculator'!A98,'Isaac 401k'!N:N,0),0)</f>
        <v>1911035.5133272794</v>
      </c>
      <c r="R98" s="25">
        <f t="array" aca="1" ref="R98" ca="1">INDEX('Lorri 401b'!L:L,MATCH('Retirement Calculator'!A98,'Lorri 401b'!N:N,0),0)</f>
        <v>4535536.3805915555</v>
      </c>
      <c r="S98" s="25">
        <f t="shared" ca="1" si="7"/>
        <v>6446571.8939188346</v>
      </c>
    </row>
    <row r="99" spans="1:19" ht="15.75" customHeight="1" x14ac:dyDescent="0.3">
      <c r="A99" s="37">
        <v>53966</v>
      </c>
      <c r="B99" s="398">
        <f t="shared" ref="B99:C99" si="95">($A99-B$9)/365.25</f>
        <v>65.872689938398352</v>
      </c>
      <c r="C99" s="398">
        <f t="shared" si="95"/>
        <v>61.262149212867897</v>
      </c>
      <c r="E99" s="25">
        <f>IF(C99&gt;$B$7,0,'Combined Retirement'!$D$13/12)</f>
        <v>0</v>
      </c>
      <c r="F99" s="25">
        <f>IF(H99=0,'Combined Retirement'!$D$32,0)+'Combined Retirement'!$B$24</f>
        <v>2870.372285649099</v>
      </c>
      <c r="G99" s="25">
        <f>'Combined Retirement'!$C$24</f>
        <v>3254.2644699519233</v>
      </c>
      <c r="H99" s="25">
        <f>IF(B99&lt;62,0,'Combined Retirement'!$I$14)</f>
        <v>2345</v>
      </c>
      <c r="I99" s="25">
        <f>IF(C99&lt;62,0,'Combined Retirement'!$I$13)</f>
        <v>0</v>
      </c>
      <c r="J99" s="25">
        <f t="shared" si="3"/>
        <v>8572.3375798201851</v>
      </c>
      <c r="K99" s="25">
        <f t="shared" si="4"/>
        <v>22111.095664578788</v>
      </c>
      <c r="L99" s="25"/>
      <c r="N99" s="25">
        <f>'Combined Retirement'!$C$18/12</f>
        <v>39153.069999999992</v>
      </c>
      <c r="O99" s="25">
        <f t="shared" si="5"/>
        <v>8469.6367556010227</v>
      </c>
      <c r="P99" s="25">
        <f t="shared" si="6"/>
        <v>30683.43324439897</v>
      </c>
      <c r="Q99" s="25">
        <f t="array" aca="1" ref="Q99" ca="1">INDEX('Isaac 401k'!L:L,MATCH('Retirement Calculator'!A99,'Isaac 401k'!N:N,0),0)</f>
        <v>1910390.105646407</v>
      </c>
      <c r="R99" s="25">
        <f t="array" aca="1" ref="R99" ca="1">INDEX('Lorri 401b'!L:L,MATCH('Retirement Calculator'!A99,'Lorri 401b'!N:N,0),0)</f>
        <v>4532231.223614173</v>
      </c>
      <c r="S99" s="25">
        <f t="shared" ca="1" si="7"/>
        <v>6442621.3292605802</v>
      </c>
    </row>
    <row r="100" spans="1:19" ht="15.75" customHeight="1" x14ac:dyDescent="0.3">
      <c r="A100" s="37">
        <v>53997</v>
      </c>
      <c r="B100" s="398">
        <f t="shared" ref="B100:C100" si="96">($A100-B$9)/365.25</f>
        <v>65.957563312799451</v>
      </c>
      <c r="C100" s="398">
        <f t="shared" si="96"/>
        <v>61.347022587268995</v>
      </c>
      <c r="E100" s="25">
        <f>IF(C100&gt;$B$7,0,'Combined Retirement'!$D$13/12)</f>
        <v>0</v>
      </c>
      <c r="F100" s="25">
        <f>IF(H100=0,'Combined Retirement'!$D$32,0)+'Combined Retirement'!$B$24</f>
        <v>2870.372285649099</v>
      </c>
      <c r="G100" s="25">
        <f>'Combined Retirement'!$C$24</f>
        <v>3254.2644699519233</v>
      </c>
      <c r="H100" s="25">
        <f>IF(B100&lt;62,0,'Combined Retirement'!$I$14)</f>
        <v>2345</v>
      </c>
      <c r="I100" s="25">
        <f>IF(C100&lt;62,0,'Combined Retirement'!$I$13)</f>
        <v>0</v>
      </c>
      <c r="J100" s="25">
        <f t="shared" si="3"/>
        <v>8572.3375798201851</v>
      </c>
      <c r="K100" s="25">
        <f t="shared" si="4"/>
        <v>22111.095664578788</v>
      </c>
      <c r="L100" s="25"/>
      <c r="N100" s="25">
        <f>'Combined Retirement'!$C$18/12</f>
        <v>39153.069999999992</v>
      </c>
      <c r="O100" s="25">
        <f t="shared" si="5"/>
        <v>8469.6367556010227</v>
      </c>
      <c r="P100" s="25">
        <f t="shared" si="6"/>
        <v>30683.43324439897</v>
      </c>
      <c r="Q100" s="25">
        <f t="array" aca="1" ref="Q100" ca="1">INDEX('Isaac 401k'!L:L,MATCH('Retirement Calculator'!A100,'Isaac 401k'!N:N,0),0)</f>
        <v>1909742.0087668644</v>
      </c>
      <c r="R100" s="25">
        <f t="array" aca="1" ref="R100" ca="1">INDEX('Lorri 401b'!L:L,MATCH('Retirement Calculator'!A100,'Lorri 401b'!N:N,0),0)</f>
        <v>4528912.2951493841</v>
      </c>
      <c r="S100" s="25">
        <f t="shared" ca="1" si="7"/>
        <v>6438654.3039162485</v>
      </c>
    </row>
    <row r="101" spans="1:19" ht="15.75" customHeight="1" x14ac:dyDescent="0.3">
      <c r="A101" s="37">
        <v>54027</v>
      </c>
      <c r="B101" s="398">
        <f t="shared" ref="B101:C101" si="97">($A101-B$9)/365.25</f>
        <v>66.039698836413422</v>
      </c>
      <c r="C101" s="398">
        <f t="shared" si="97"/>
        <v>61.429158110882959</v>
      </c>
      <c r="E101" s="25">
        <f>IF(C101&gt;$B$7,0,'Combined Retirement'!$D$13/12)</f>
        <v>0</v>
      </c>
      <c r="F101" s="25">
        <f>IF(H101=0,'Combined Retirement'!$D$32,0)+'Combined Retirement'!$B$24</f>
        <v>2870.372285649099</v>
      </c>
      <c r="G101" s="25">
        <f>'Combined Retirement'!$C$24</f>
        <v>3254.2644699519233</v>
      </c>
      <c r="H101" s="25">
        <f>IF(B101&lt;62,0,'Combined Retirement'!$I$14)</f>
        <v>2345</v>
      </c>
      <c r="I101" s="25">
        <f>IF(C101&lt;62,0,'Combined Retirement'!$I$13)</f>
        <v>0</v>
      </c>
      <c r="J101" s="25">
        <f t="shared" si="3"/>
        <v>8572.3375798201851</v>
      </c>
      <c r="K101" s="25">
        <f t="shared" si="4"/>
        <v>22111.095664578788</v>
      </c>
      <c r="L101" s="25"/>
      <c r="N101" s="25">
        <f>'Combined Retirement'!$C$18/12</f>
        <v>39153.069999999992</v>
      </c>
      <c r="O101" s="25">
        <f t="shared" si="5"/>
        <v>8469.6367556010227</v>
      </c>
      <c r="P101" s="25">
        <f t="shared" si="6"/>
        <v>30683.43324439897</v>
      </c>
      <c r="Q101" s="25">
        <f t="array" aca="1" ref="Q101" ca="1">INDEX('Isaac 401k'!L:L,MATCH('Retirement Calculator'!A101,'Isaac 401k'!N:N,0),0)</f>
        <v>1909091.2114836571</v>
      </c>
      <c r="R101" s="25">
        <f t="array" aca="1" ref="R101" ca="1">INDEX('Lorri 401b'!L:L,MATCH('Retirement Calculator'!A101,'Lorri 401b'!N:N,0),0)</f>
        <v>4525579.5378159927</v>
      </c>
      <c r="S101" s="25">
        <f t="shared" ca="1" si="7"/>
        <v>6434670.7492996501</v>
      </c>
    </row>
    <row r="102" spans="1:19" ht="15.75" customHeight="1" x14ac:dyDescent="0.3">
      <c r="A102" s="37">
        <v>54058</v>
      </c>
      <c r="B102" s="398">
        <f t="shared" ref="B102:C102" si="98">($A102-B$9)/365.25</f>
        <v>66.124572210814506</v>
      </c>
      <c r="C102" s="398">
        <f t="shared" si="98"/>
        <v>61.51403148528405</v>
      </c>
      <c r="E102" s="25">
        <f>IF(C102&gt;$B$7,0,'Combined Retirement'!$D$13/12)</f>
        <v>0</v>
      </c>
      <c r="F102" s="25">
        <f>IF(H102=0,'Combined Retirement'!$D$32,0)+'Combined Retirement'!$B$24</f>
        <v>2870.372285649099</v>
      </c>
      <c r="G102" s="25">
        <f>'Combined Retirement'!$C$24</f>
        <v>3254.2644699519233</v>
      </c>
      <c r="H102" s="25">
        <f>IF(B102&lt;62,0,'Combined Retirement'!$I$14)</f>
        <v>2345</v>
      </c>
      <c r="I102" s="25">
        <f>IF(C102&lt;62,0,'Combined Retirement'!$I$13)</f>
        <v>0</v>
      </c>
      <c r="J102" s="25">
        <f t="shared" si="3"/>
        <v>8572.3375798201851</v>
      </c>
      <c r="K102" s="25">
        <f t="shared" si="4"/>
        <v>22111.095664578788</v>
      </c>
      <c r="L102" s="25"/>
      <c r="N102" s="25">
        <f>'Combined Retirement'!$C$18/12</f>
        <v>39153.069999999992</v>
      </c>
      <c r="O102" s="25">
        <f t="shared" si="5"/>
        <v>8469.6367556010227</v>
      </c>
      <c r="P102" s="25">
        <f t="shared" si="6"/>
        <v>30683.43324439897</v>
      </c>
      <c r="Q102" s="25">
        <f t="array" aca="1" ref="Q102" ca="1">INDEX('Isaac 401k'!L:L,MATCH('Retirement Calculator'!A102,'Isaac 401k'!N:N,0),0)</f>
        <v>1908437.7025451032</v>
      </c>
      <c r="R102" s="25">
        <f t="array" aca="1" ref="R102" ca="1">INDEX('Lorri 401b'!L:L,MATCH('Retirement Calculator'!A102,'Lorri 401b'!N:N,0),0)</f>
        <v>4522232.893993712</v>
      </c>
      <c r="S102" s="25">
        <f t="shared" ca="1" si="7"/>
        <v>6430670.5965388156</v>
      </c>
    </row>
    <row r="103" spans="1:19" ht="15.75" customHeight="1" x14ac:dyDescent="0.3">
      <c r="A103" s="37">
        <v>54089</v>
      </c>
      <c r="B103" s="398">
        <f t="shared" ref="B103:C103" si="99">($A103-B$9)/365.25</f>
        <v>66.209445585215605</v>
      </c>
      <c r="C103" s="398">
        <f t="shared" si="99"/>
        <v>61.598904859685149</v>
      </c>
      <c r="E103" s="25">
        <f>IF(C103&gt;$B$7,0,'Combined Retirement'!$D$13/12)</f>
        <v>0</v>
      </c>
      <c r="F103" s="25">
        <f>IF(H103=0,'Combined Retirement'!$D$32,0)+'Combined Retirement'!$B$24</f>
        <v>2870.372285649099</v>
      </c>
      <c r="G103" s="25">
        <f>'Combined Retirement'!$C$24</f>
        <v>3254.2644699519233</v>
      </c>
      <c r="H103" s="25">
        <f>IF(B103&lt;62,0,'Combined Retirement'!$I$14)</f>
        <v>2345</v>
      </c>
      <c r="I103" s="25">
        <f>IF(C103&lt;62,0,'Combined Retirement'!$I$13)</f>
        <v>0</v>
      </c>
      <c r="J103" s="25">
        <f t="shared" si="3"/>
        <v>8572.3375798201851</v>
      </c>
      <c r="K103" s="25">
        <f t="shared" si="4"/>
        <v>22111.095664578788</v>
      </c>
      <c r="L103" s="25"/>
      <c r="N103" s="25">
        <f>'Combined Retirement'!$C$18/12</f>
        <v>39153.069999999992</v>
      </c>
      <c r="O103" s="25">
        <f t="shared" si="5"/>
        <v>8469.6367556010227</v>
      </c>
      <c r="P103" s="25">
        <f t="shared" si="6"/>
        <v>30683.43324439897</v>
      </c>
      <c r="Q103" s="25">
        <f t="array" aca="1" ref="Q103" ca="1">INDEX('Isaac 401k'!L:L,MATCH('Retirement Calculator'!A103,'Isaac 401k'!N:N,0),0)</f>
        <v>1907781.4706526385</v>
      </c>
      <c r="R103" s="25">
        <f t="array" aca="1" ref="R103" ca="1">INDEX('Lorri 401b'!L:L,MATCH('Retirement Calculator'!A103,'Lorri 401b'!N:N,0),0)</f>
        <v>4518872.3058221713</v>
      </c>
      <c r="S103" s="25">
        <f t="shared" ca="1" si="7"/>
        <v>6426653.7764748093</v>
      </c>
    </row>
    <row r="104" spans="1:19" ht="15.75" customHeight="1" x14ac:dyDescent="0.3">
      <c r="A104" s="37">
        <v>54118</v>
      </c>
      <c r="B104" s="398">
        <f t="shared" ref="B104:C104" si="100">($A104-B$9)/365.25</f>
        <v>66.288843258042434</v>
      </c>
      <c r="C104" s="398">
        <f t="shared" si="100"/>
        <v>61.678302532511978</v>
      </c>
      <c r="E104" s="25">
        <f>IF(C104&gt;$B$7,0,'Combined Retirement'!$D$13/12)</f>
        <v>0</v>
      </c>
      <c r="F104" s="25">
        <f>IF(H104=0,'Combined Retirement'!$D$32,0)+'Combined Retirement'!$B$24</f>
        <v>2870.372285649099</v>
      </c>
      <c r="G104" s="25">
        <f>'Combined Retirement'!$C$24</f>
        <v>3254.2644699519233</v>
      </c>
      <c r="H104" s="25">
        <f>IF(B104&lt;62,0,'Combined Retirement'!$I$14)</f>
        <v>2345</v>
      </c>
      <c r="I104" s="25">
        <f>IF(C104&lt;62,0,'Combined Retirement'!$I$13)</f>
        <v>0</v>
      </c>
      <c r="J104" s="25">
        <f t="shared" si="3"/>
        <v>8572.3375798201851</v>
      </c>
      <c r="K104" s="25">
        <f t="shared" si="4"/>
        <v>22111.095664578788</v>
      </c>
      <c r="L104" s="25"/>
      <c r="N104" s="25">
        <f>'Combined Retirement'!$C$18/12</f>
        <v>39153.069999999992</v>
      </c>
      <c r="O104" s="25">
        <f t="shared" si="5"/>
        <v>8469.6367556010227</v>
      </c>
      <c r="P104" s="25">
        <f t="shared" si="6"/>
        <v>30683.43324439897</v>
      </c>
      <c r="Q104" s="25">
        <f t="array" aca="1" ref="Q104" ca="1">INDEX('Isaac 401k'!L:L,MATCH('Retirement Calculator'!A104,'Isaac 401k'!N:N,0),0)</f>
        <v>1907122.5044606219</v>
      </c>
      <c r="R104" s="25">
        <f t="array" aca="1" ref="R104" ca="1">INDEX('Lorri 401b'!L:L,MATCH('Retirement Calculator'!A104,'Lorri 401b'!N:N,0),0)</f>
        <v>4515497.7151999157</v>
      </c>
      <c r="S104" s="25">
        <f t="shared" ca="1" si="7"/>
        <v>6422620.2196605373</v>
      </c>
    </row>
    <row r="105" spans="1:19" ht="15.75" customHeight="1" x14ac:dyDescent="0.3">
      <c r="A105" s="37">
        <v>54149</v>
      </c>
      <c r="B105" s="398">
        <f t="shared" ref="B105:C105" si="101">($A105-B$9)/365.25</f>
        <v>66.373716632443532</v>
      </c>
      <c r="C105" s="398">
        <f t="shared" si="101"/>
        <v>61.763175906913077</v>
      </c>
      <c r="E105" s="25">
        <f>IF(C105&gt;$B$7,0,'Combined Retirement'!$D$13/12)</f>
        <v>0</v>
      </c>
      <c r="F105" s="25">
        <f>IF(H105=0,'Combined Retirement'!$D$32,0)+'Combined Retirement'!$B$24</f>
        <v>2870.372285649099</v>
      </c>
      <c r="G105" s="25">
        <f>'Combined Retirement'!$C$24</f>
        <v>3254.2644699519233</v>
      </c>
      <c r="H105" s="25">
        <f>IF(B105&lt;62,0,'Combined Retirement'!$I$14)</f>
        <v>2345</v>
      </c>
      <c r="I105" s="25">
        <f>IF(C105&lt;62,0,'Combined Retirement'!$I$13)</f>
        <v>0</v>
      </c>
      <c r="J105" s="25">
        <f t="shared" si="3"/>
        <v>8572.3375798201851</v>
      </c>
      <c r="K105" s="25">
        <f t="shared" si="4"/>
        <v>22111.095664578788</v>
      </c>
      <c r="L105" s="25"/>
      <c r="N105" s="25">
        <f>'Combined Retirement'!$C$18/12</f>
        <v>39153.069999999992</v>
      </c>
      <c r="O105" s="25">
        <f t="shared" si="5"/>
        <v>8469.6367556010227</v>
      </c>
      <c r="P105" s="25">
        <f t="shared" si="6"/>
        <v>30683.43324439897</v>
      </c>
      <c r="Q105" s="25">
        <f t="array" aca="1" ref="Q105" ca="1">INDEX('Isaac 401k'!L:L,MATCH('Retirement Calculator'!A105,'Isaac 401k'!N:N,0),0)</f>
        <v>1906460.7925761384</v>
      </c>
      <c r="R105" s="25">
        <f t="array" aca="1" ref="R105" ca="1">INDEX('Lorri 401b'!L:L,MATCH('Retirement Calculator'!A105,'Lorri 401b'!N:N,0),0)</f>
        <v>4512109.0637834007</v>
      </c>
      <c r="S105" s="25">
        <f t="shared" ca="1" si="7"/>
        <v>6418569.8563595396</v>
      </c>
    </row>
    <row r="106" spans="1:19" ht="15.75" customHeight="1" x14ac:dyDescent="0.3">
      <c r="A106" s="37">
        <v>54179</v>
      </c>
      <c r="B106" s="398">
        <f t="shared" ref="B106:C106" si="102">($A106-B$9)/365.25</f>
        <v>66.455852156057489</v>
      </c>
      <c r="C106" s="398">
        <f t="shared" si="102"/>
        <v>61.845311430527033</v>
      </c>
      <c r="E106" s="25">
        <f>IF(C106&gt;$B$7,0,'Combined Retirement'!$D$13/12)</f>
        <v>0</v>
      </c>
      <c r="F106" s="25">
        <f>IF(H106=0,'Combined Retirement'!$D$32,0)+'Combined Retirement'!$B$24</f>
        <v>2870.372285649099</v>
      </c>
      <c r="G106" s="25">
        <f>'Combined Retirement'!$C$24</f>
        <v>3254.2644699519233</v>
      </c>
      <c r="H106" s="25">
        <f>IF(B106&lt;62,0,'Combined Retirement'!$I$14)</f>
        <v>2345</v>
      </c>
      <c r="I106" s="25">
        <f>IF(C106&lt;62,0,'Combined Retirement'!$I$13)</f>
        <v>0</v>
      </c>
      <c r="J106" s="25">
        <f t="shared" si="3"/>
        <v>8572.3375798201851</v>
      </c>
      <c r="K106" s="25">
        <f t="shared" si="4"/>
        <v>22111.095664578788</v>
      </c>
      <c r="L106" s="25"/>
      <c r="N106" s="25">
        <f>'Combined Retirement'!$C$18/12</f>
        <v>39153.069999999992</v>
      </c>
      <c r="O106" s="25">
        <f t="shared" si="5"/>
        <v>8469.6367556010227</v>
      </c>
      <c r="P106" s="25">
        <f t="shared" si="6"/>
        <v>30683.43324439897</v>
      </c>
      <c r="Q106" s="25">
        <f t="array" aca="1" ref="Q106" ca="1">INDEX('Isaac 401k'!L:L,MATCH('Retirement Calculator'!A106,'Isaac 401k'!N:N,0),0)</f>
        <v>1905796.3235588029</v>
      </c>
      <c r="R106" s="25">
        <f t="array" aca="1" ref="R106" ca="1">INDEX('Lorri 401b'!L:L,MATCH('Retirement Calculator'!A106,'Lorri 401b'!N:N,0),0)</f>
        <v>4508706.2929859841</v>
      </c>
      <c r="S106" s="25">
        <f t="shared" ca="1" si="7"/>
        <v>6414502.6165447868</v>
      </c>
    </row>
    <row r="107" spans="1:19" ht="15.75" customHeight="1" x14ac:dyDescent="0.3">
      <c r="A107" s="37">
        <v>54210</v>
      </c>
      <c r="B107" s="398">
        <f t="shared" ref="B107:C107" si="103">($A107-B$9)/365.25</f>
        <v>66.540725530458587</v>
      </c>
      <c r="C107" s="398">
        <f t="shared" si="103"/>
        <v>61.930184804928132</v>
      </c>
      <c r="E107" s="25">
        <f>IF(C107&gt;$B$7,0,'Combined Retirement'!$D$13/12)</f>
        <v>0</v>
      </c>
      <c r="F107" s="25">
        <f>IF(H107=0,'Combined Retirement'!$D$32,0)+'Combined Retirement'!$B$24</f>
        <v>2870.372285649099</v>
      </c>
      <c r="G107" s="25">
        <f>'Combined Retirement'!$C$24</f>
        <v>3254.2644699519233</v>
      </c>
      <c r="H107" s="25">
        <f>IF(B107&lt;62,0,'Combined Retirement'!$I$14)</f>
        <v>2345</v>
      </c>
      <c r="I107" s="25">
        <f>IF(C107&lt;62,0,'Combined Retirement'!$I$13)</f>
        <v>0</v>
      </c>
      <c r="J107" s="25">
        <f t="shared" si="3"/>
        <v>8572.3375798201851</v>
      </c>
      <c r="K107" s="25">
        <f t="shared" si="4"/>
        <v>22111.095664578788</v>
      </c>
      <c r="L107" s="25"/>
      <c r="N107" s="25">
        <f>'Combined Retirement'!$C$18/12</f>
        <v>39153.069999999992</v>
      </c>
      <c r="O107" s="25">
        <f t="shared" si="5"/>
        <v>8469.6367556010227</v>
      </c>
      <c r="P107" s="25">
        <f t="shared" si="6"/>
        <v>30683.43324439897</v>
      </c>
      <c r="Q107" s="25">
        <f t="array" aca="1" ref="Q107" ca="1">INDEX('Isaac 401k'!L:L,MATCH('Retirement Calculator'!A107,'Isaac 401k'!N:N,0),0)</f>
        <v>1905129.085920562</v>
      </c>
      <c r="R107" s="25">
        <f t="array" aca="1" ref="R107" ca="1">INDEX('Lorri 401b'!L:L,MATCH('Retirement Calculator'!A107,'Lorri 401b'!N:N,0),0)</f>
        <v>4505289.3439769112</v>
      </c>
      <c r="S107" s="25">
        <f t="shared" ca="1" si="7"/>
        <v>6410418.4298974732</v>
      </c>
    </row>
    <row r="108" spans="1:19" ht="15.75" customHeight="1" x14ac:dyDescent="0.3">
      <c r="A108" s="37">
        <v>54240</v>
      </c>
      <c r="B108" s="398">
        <f t="shared" ref="B108:C108" si="104">($A108-B$9)/365.25</f>
        <v>66.622861054072558</v>
      </c>
      <c r="C108" s="398">
        <f t="shared" si="104"/>
        <v>62.012320328542096</v>
      </c>
      <c r="E108" s="25">
        <f>IF(C108&gt;$B$7,0,'Combined Retirement'!$D$13/12)</f>
        <v>0</v>
      </c>
      <c r="F108" s="25">
        <f>IF(H108=0,'Combined Retirement'!$D$32,0)+'Combined Retirement'!$B$24</f>
        <v>2870.372285649099</v>
      </c>
      <c r="G108" s="25">
        <f>'Combined Retirement'!$C$24</f>
        <v>3254.2644699519233</v>
      </c>
      <c r="H108" s="25">
        <f>IF(B108&lt;62,0,'Combined Retirement'!$I$14)</f>
        <v>2345</v>
      </c>
      <c r="I108" s="25">
        <f>IF(C108&lt;62,0,'Combined Retirement'!$I$13)</f>
        <v>2420</v>
      </c>
      <c r="J108" s="25">
        <f t="shared" si="3"/>
        <v>7896.2379798201846</v>
      </c>
      <c r="K108" s="25">
        <f t="shared" si="4"/>
        <v>20367.195264578786</v>
      </c>
      <c r="L108" s="25"/>
      <c r="N108" s="25">
        <f>'Combined Retirement'!$C$18/12</f>
        <v>39153.069999999992</v>
      </c>
      <c r="O108" s="25">
        <f t="shared" si="5"/>
        <v>10889.636755601023</v>
      </c>
      <c r="P108" s="25">
        <f t="shared" si="6"/>
        <v>28263.43324439897</v>
      </c>
      <c r="Q108" s="25">
        <f t="array" aca="1" ref="Q108" ca="1">INDEX('Isaac 401k'!L:L,MATCH('Retirement Calculator'!A108,'Isaac 401k'!N:N,0),0)</f>
        <v>1905137.9848071616</v>
      </c>
      <c r="R108" s="25">
        <f t="array" aca="1" ref="R108" ca="1">INDEX('Lorri 401b'!L:L,MATCH('Retirement Calculator'!A108,'Lorri 401b'!N:N,0),0)</f>
        <v>4503609.3243319672</v>
      </c>
      <c r="S108" s="25">
        <f t="shared" ca="1" si="7"/>
        <v>6408747.3091391288</v>
      </c>
    </row>
    <row r="109" spans="1:19" ht="15.75" customHeight="1" x14ac:dyDescent="0.3">
      <c r="A109" s="37">
        <v>54271</v>
      </c>
      <c r="B109" s="398">
        <f t="shared" ref="B109:C109" si="105">($A109-B$9)/365.25</f>
        <v>66.707734428473643</v>
      </c>
      <c r="C109" s="398">
        <f t="shared" si="105"/>
        <v>62.097193702943187</v>
      </c>
      <c r="E109" s="25">
        <f>IF(C109&gt;$B$7,0,'Combined Retirement'!$D$13/12)</f>
        <v>0</v>
      </c>
      <c r="F109" s="25">
        <f>IF(H109=0,'Combined Retirement'!$D$32,0)+'Combined Retirement'!$B$24</f>
        <v>2870.372285649099</v>
      </c>
      <c r="G109" s="25">
        <f>'Combined Retirement'!$C$24</f>
        <v>3254.2644699519233</v>
      </c>
      <c r="H109" s="25">
        <f>IF(B109&lt;62,0,'Combined Retirement'!$I$14)</f>
        <v>2345</v>
      </c>
      <c r="I109" s="25">
        <f>IF(C109&lt;62,0,'Combined Retirement'!$I$13)</f>
        <v>2420</v>
      </c>
      <c r="J109" s="25">
        <f t="shared" si="3"/>
        <v>7896.2379798201846</v>
      </c>
      <c r="K109" s="25">
        <f t="shared" si="4"/>
        <v>20367.195264578786</v>
      </c>
      <c r="L109" s="25"/>
      <c r="N109" s="25">
        <f>'Combined Retirement'!$C$18/12</f>
        <v>39153.069999999992</v>
      </c>
      <c r="O109" s="25">
        <f t="shared" si="5"/>
        <v>10889.636755601023</v>
      </c>
      <c r="P109" s="25">
        <f t="shared" si="6"/>
        <v>28263.43324439897</v>
      </c>
      <c r="Q109" s="25">
        <f t="array" aca="1" ref="Q109" ca="1">INDEX('Isaac 401k'!L:L,MATCH('Retirement Calculator'!A109,'Isaac 401k'!N:N,0),0)</f>
        <v>1905146.9207724554</v>
      </c>
      <c r="R109" s="25">
        <f t="array" aca="1" ref="R109" ca="1">INDEX('Lorri 401b'!L:L,MATCH('Retirement Calculator'!A109,'Lorri 401b'!N:N,0),0)</f>
        <v>4501922.3046051692</v>
      </c>
      <c r="S109" s="25">
        <f t="shared" ca="1" si="7"/>
        <v>6407069.2253776249</v>
      </c>
    </row>
    <row r="110" spans="1:19" ht="15.75" customHeight="1" x14ac:dyDescent="0.3">
      <c r="A110" s="37">
        <v>54302</v>
      </c>
      <c r="B110" s="398">
        <f t="shared" ref="B110:C110" si="106">($A110-B$9)/365.25</f>
        <v>66.792607802874741</v>
      </c>
      <c r="C110" s="398">
        <f t="shared" si="106"/>
        <v>62.182067077344286</v>
      </c>
      <c r="E110" s="25">
        <f>IF(C110&gt;$B$7,0,'Combined Retirement'!$D$13/12)</f>
        <v>0</v>
      </c>
      <c r="F110" s="25">
        <f>IF(H110=0,'Combined Retirement'!$D$32,0)+'Combined Retirement'!$B$24</f>
        <v>2870.372285649099</v>
      </c>
      <c r="G110" s="25">
        <f>'Combined Retirement'!$C$24</f>
        <v>3254.2644699519233</v>
      </c>
      <c r="H110" s="25">
        <f>IF(B110&lt;62,0,'Combined Retirement'!$I$14)</f>
        <v>2345</v>
      </c>
      <c r="I110" s="25">
        <f>IF(C110&lt;62,0,'Combined Retirement'!$I$13)</f>
        <v>2420</v>
      </c>
      <c r="J110" s="25">
        <f t="shared" si="3"/>
        <v>7896.2379798201846</v>
      </c>
      <c r="K110" s="25">
        <f t="shared" si="4"/>
        <v>20367.195264578786</v>
      </c>
      <c r="L110" s="25"/>
      <c r="N110" s="25">
        <f>'Combined Retirement'!$C$18/12</f>
        <v>39153.069999999992</v>
      </c>
      <c r="O110" s="25">
        <f t="shared" si="5"/>
        <v>10889.636755601023</v>
      </c>
      <c r="P110" s="25">
        <f t="shared" si="6"/>
        <v>28263.43324439897</v>
      </c>
      <c r="Q110" s="25">
        <f t="array" aca="1" ref="Q110" ca="1">INDEX('Isaac 401k'!L:L,MATCH('Retirement Calculator'!A110,'Isaac 401k'!N:N,0),0)</f>
        <v>1905155.8939709377</v>
      </c>
      <c r="R110" s="25">
        <f t="array" aca="1" ref="R110" ca="1">INDEX('Lorri 401b'!L:L,MATCH('Retirement Calculator'!A110,'Lorri 401b'!N:N,0),0)</f>
        <v>4500228.2556295097</v>
      </c>
      <c r="S110" s="25">
        <f t="shared" ca="1" si="7"/>
        <v>6405384.1496004472</v>
      </c>
    </row>
    <row r="111" spans="1:19" ht="15.75" customHeight="1" x14ac:dyDescent="0.3">
      <c r="A111" s="37">
        <v>54332</v>
      </c>
      <c r="B111" s="398">
        <f t="shared" ref="B111:C111" si="107">($A111-B$9)/365.25</f>
        <v>66.874743326488712</v>
      </c>
      <c r="C111" s="398">
        <f t="shared" si="107"/>
        <v>62.264202600958249</v>
      </c>
      <c r="E111" s="25">
        <f>IF(C111&gt;$B$7,0,'Combined Retirement'!$D$13/12)</f>
        <v>0</v>
      </c>
      <c r="F111" s="25">
        <f>IF(H111=0,'Combined Retirement'!$D$32,0)+'Combined Retirement'!$B$24</f>
        <v>2870.372285649099</v>
      </c>
      <c r="G111" s="25">
        <f>'Combined Retirement'!$C$24</f>
        <v>3254.2644699519233</v>
      </c>
      <c r="H111" s="25">
        <f>IF(B111&lt;62,0,'Combined Retirement'!$I$14)</f>
        <v>2345</v>
      </c>
      <c r="I111" s="25">
        <f>IF(C111&lt;62,0,'Combined Retirement'!$I$13)</f>
        <v>2420</v>
      </c>
      <c r="J111" s="25">
        <f t="shared" si="3"/>
        <v>7896.2379798201846</v>
      </c>
      <c r="K111" s="25">
        <f t="shared" si="4"/>
        <v>20367.195264578786</v>
      </c>
      <c r="L111" s="25"/>
      <c r="N111" s="25">
        <f>'Combined Retirement'!$C$18/12</f>
        <v>39153.069999999992</v>
      </c>
      <c r="O111" s="25">
        <f t="shared" si="5"/>
        <v>10889.636755601023</v>
      </c>
      <c r="P111" s="25">
        <f t="shared" si="6"/>
        <v>28263.43324439897</v>
      </c>
      <c r="Q111" s="25">
        <f t="array" aca="1" ref="Q111" ca="1">INDEX('Isaac 401k'!L:L,MATCH('Retirement Calculator'!A111,'Isaac 401k'!N:N,0),0)</f>
        <v>1905164.9045577471</v>
      </c>
      <c r="R111" s="25">
        <f t="array" aca="1" ref="R111" ca="1">INDEX('Lorri 401b'!L:L,MATCH('Retirement Calculator'!A111,'Lorri 401b'!N:N,0),0)</f>
        <v>4498527.1481164517</v>
      </c>
      <c r="S111" s="25">
        <f t="shared" ca="1" si="7"/>
        <v>6403692.0526741985</v>
      </c>
    </row>
    <row r="112" spans="1:19" ht="15.75" customHeight="1" x14ac:dyDescent="0.3">
      <c r="A112" s="37">
        <v>54363</v>
      </c>
      <c r="B112" s="398">
        <f t="shared" ref="B112:C112" si="108">($A112-B$9)/365.25</f>
        <v>66.959616700889796</v>
      </c>
      <c r="C112" s="398">
        <f t="shared" si="108"/>
        <v>62.349075975359341</v>
      </c>
      <c r="E112" s="25">
        <f>IF(C112&gt;$B$7,0,'Combined Retirement'!$D$13/12)</f>
        <v>0</v>
      </c>
      <c r="F112" s="25">
        <f>IF(H112=0,'Combined Retirement'!$D$32,0)+'Combined Retirement'!$B$24</f>
        <v>2870.372285649099</v>
      </c>
      <c r="G112" s="25">
        <f>'Combined Retirement'!$C$24</f>
        <v>3254.2644699519233</v>
      </c>
      <c r="H112" s="25">
        <f>IF(B112&lt;62,0,'Combined Retirement'!$I$14)</f>
        <v>2345</v>
      </c>
      <c r="I112" s="25">
        <f>IF(C112&lt;62,0,'Combined Retirement'!$I$13)</f>
        <v>2420</v>
      </c>
      <c r="J112" s="25">
        <f t="shared" si="3"/>
        <v>7896.2379798201846</v>
      </c>
      <c r="K112" s="25">
        <f t="shared" si="4"/>
        <v>20367.195264578786</v>
      </c>
      <c r="L112" s="25"/>
      <c r="N112" s="25">
        <f>'Combined Retirement'!$C$18/12</f>
        <v>39153.069999999992</v>
      </c>
      <c r="O112" s="25">
        <f t="shared" si="5"/>
        <v>10889.636755601023</v>
      </c>
      <c r="P112" s="25">
        <f t="shared" si="6"/>
        <v>28263.43324439897</v>
      </c>
      <c r="Q112" s="25">
        <f t="array" aca="1" ref="Q112" ca="1">INDEX('Isaac 401k'!L:L,MATCH('Retirement Calculator'!A112,'Isaac 401k'!N:N,0),0)</f>
        <v>1905173.9526886682</v>
      </c>
      <c r="R112" s="25">
        <f t="array" aca="1" ref="R112" ca="1">INDEX('Lorri 401b'!L:L,MATCH('Retirement Calculator'!A112,'Lorri 401b'!N:N,0),0)</f>
        <v>4496818.9526554225</v>
      </c>
      <c r="S112" s="25">
        <f t="shared" ca="1" si="7"/>
        <v>6401992.9053440904</v>
      </c>
    </row>
    <row r="113" spans="1:19" ht="15.75" customHeight="1" x14ac:dyDescent="0.3">
      <c r="A113" s="37">
        <v>54393</v>
      </c>
      <c r="B113" s="398">
        <f t="shared" ref="B113:C113" si="109">($A113-B$9)/365.25</f>
        <v>67.041752224503767</v>
      </c>
      <c r="C113" s="398">
        <f t="shared" si="109"/>
        <v>62.431211498973305</v>
      </c>
      <c r="E113" s="25">
        <f>IF(C113&gt;$B$7,0,'Combined Retirement'!$D$13/12)</f>
        <v>0</v>
      </c>
      <c r="F113" s="25">
        <f>IF(H113=0,'Combined Retirement'!$D$32,0)+'Combined Retirement'!$B$24</f>
        <v>2870.372285649099</v>
      </c>
      <c r="G113" s="25">
        <f>'Combined Retirement'!$C$24</f>
        <v>3254.2644699519233</v>
      </c>
      <c r="H113" s="25">
        <f>IF(B113&lt;62,0,'Combined Retirement'!$I$14)</f>
        <v>2345</v>
      </c>
      <c r="I113" s="25">
        <f>IF(C113&lt;62,0,'Combined Retirement'!$I$13)</f>
        <v>2420</v>
      </c>
      <c r="J113" s="25">
        <f t="shared" si="3"/>
        <v>7896.2379798201846</v>
      </c>
      <c r="K113" s="25">
        <f t="shared" si="4"/>
        <v>20367.195264578786</v>
      </c>
      <c r="L113" s="25"/>
      <c r="N113" s="25">
        <f>'Combined Retirement'!$C$18/12</f>
        <v>39153.069999999992</v>
      </c>
      <c r="O113" s="25">
        <f t="shared" si="5"/>
        <v>10889.636755601023</v>
      </c>
      <c r="P113" s="25">
        <f t="shared" si="6"/>
        <v>28263.43324439897</v>
      </c>
      <c r="Q113" s="25">
        <f t="array" aca="1" ref="Q113" ca="1">INDEX('Isaac 401k'!L:L,MATCH('Retirement Calculator'!A113,'Isaac 401k'!N:N,0),0)</f>
        <v>1905183.0385201348</v>
      </c>
      <c r="R113" s="25">
        <f t="array" aca="1" ref="R113" ca="1">INDEX('Lorri 401b'!L:L,MATCH('Retirement Calculator'!A113,'Lorri 401b'!N:N,0),0)</f>
        <v>4495103.639713306</v>
      </c>
      <c r="S113" s="25">
        <f t="shared" ca="1" si="7"/>
        <v>6400286.678233441</v>
      </c>
    </row>
    <row r="114" spans="1:19" ht="15.75" customHeight="1" x14ac:dyDescent="0.3">
      <c r="A114" s="37">
        <v>54424</v>
      </c>
      <c r="B114" s="398">
        <f t="shared" ref="B114:C114" si="110">($A114-B$9)/365.25</f>
        <v>67.126625598904866</v>
      </c>
      <c r="C114" s="398">
        <f t="shared" si="110"/>
        <v>62.516084873374403</v>
      </c>
      <c r="E114" s="25">
        <f>IF(C114&gt;$B$7,0,'Combined Retirement'!$D$13/12)</f>
        <v>0</v>
      </c>
      <c r="F114" s="25">
        <f>IF(H114=0,'Combined Retirement'!$D$32,0)+'Combined Retirement'!$B$24</f>
        <v>2870.372285649099</v>
      </c>
      <c r="G114" s="25">
        <f>'Combined Retirement'!$C$24</f>
        <v>3254.2644699519233</v>
      </c>
      <c r="H114" s="25">
        <f>IF(B114&lt;62,0,'Combined Retirement'!$I$14)</f>
        <v>2345</v>
      </c>
      <c r="I114" s="25">
        <f>IF(C114&lt;62,0,'Combined Retirement'!$I$13)</f>
        <v>2420</v>
      </c>
      <c r="J114" s="25">
        <f t="shared" si="3"/>
        <v>7896.2379798201846</v>
      </c>
      <c r="K114" s="25">
        <f t="shared" si="4"/>
        <v>20367.195264578786</v>
      </c>
      <c r="L114" s="25"/>
      <c r="N114" s="25">
        <f>'Combined Retirement'!$C$18/12</f>
        <v>39153.069999999992</v>
      </c>
      <c r="O114" s="25">
        <f t="shared" si="5"/>
        <v>10889.636755601023</v>
      </c>
      <c r="P114" s="25">
        <f t="shared" si="6"/>
        <v>28263.43324439897</v>
      </c>
      <c r="Q114" s="25">
        <f t="array" aca="1" ref="Q114" ca="1">INDEX('Isaac 401k'!L:L,MATCH('Retirement Calculator'!A114,'Isaac 401k'!N:N,0),0)</f>
        <v>1905192.1622092326</v>
      </c>
      <c r="R114" s="25">
        <f t="array" aca="1" ref="R114" ca="1">INDEX('Lorri 401b'!L:L,MATCH('Retirement Calculator'!A114,'Lorri 401b'!N:N,0),0)</f>
        <v>4493381.1796339303</v>
      </c>
      <c r="S114" s="25">
        <f t="shared" ca="1" si="7"/>
        <v>6398573.3418431627</v>
      </c>
    </row>
    <row r="115" spans="1:19" ht="15.75" customHeight="1" x14ac:dyDescent="0.3">
      <c r="A115" s="37">
        <v>54455</v>
      </c>
      <c r="B115" s="398">
        <f t="shared" ref="B115:C115" si="111">($A115-B$9)/365.25</f>
        <v>67.21149897330595</v>
      </c>
      <c r="C115" s="398">
        <f t="shared" si="111"/>
        <v>62.600958247775495</v>
      </c>
      <c r="E115" s="25">
        <f>IF(C115&gt;$B$7,0,'Combined Retirement'!$D$13/12)</f>
        <v>0</v>
      </c>
      <c r="F115" s="25">
        <f>IF(H115=0,'Combined Retirement'!$D$32,0)+'Combined Retirement'!$B$24</f>
        <v>2870.372285649099</v>
      </c>
      <c r="G115" s="25">
        <f>'Combined Retirement'!$C$24</f>
        <v>3254.2644699519233</v>
      </c>
      <c r="H115" s="25">
        <f>IF(B115&lt;62,0,'Combined Retirement'!$I$14)</f>
        <v>2345</v>
      </c>
      <c r="I115" s="25">
        <f>IF(C115&lt;62,0,'Combined Retirement'!$I$13)</f>
        <v>2420</v>
      </c>
      <c r="J115" s="25">
        <f t="shared" si="3"/>
        <v>7896.2379798201846</v>
      </c>
      <c r="K115" s="25">
        <f t="shared" si="4"/>
        <v>20367.195264578786</v>
      </c>
      <c r="L115" s="25"/>
      <c r="N115" s="25">
        <f>'Combined Retirement'!$C$18/12</f>
        <v>39153.069999999992</v>
      </c>
      <c r="O115" s="25">
        <f t="shared" si="5"/>
        <v>10889.636755601023</v>
      </c>
      <c r="P115" s="25">
        <f t="shared" si="6"/>
        <v>28263.43324439897</v>
      </c>
      <c r="Q115" s="25">
        <f t="array" aca="1" ref="Q115" ca="1">INDEX('Isaac 401k'!L:L,MATCH('Retirement Calculator'!A115,'Isaac 401k'!N:N,0),0)</f>
        <v>1905201.3239137016</v>
      </c>
      <c r="R115" s="25">
        <f t="array" aca="1" ref="R115" ca="1">INDEX('Lorri 401b'!L:L,MATCH('Retirement Calculator'!A115,'Lorri 401b'!N:N,0),0)</f>
        <v>4491651.5426375568</v>
      </c>
      <c r="S115" s="25">
        <f t="shared" ca="1" si="7"/>
        <v>6396852.8665512586</v>
      </c>
    </row>
    <row r="116" spans="1:19" ht="15.75" customHeight="1" x14ac:dyDescent="0.3">
      <c r="A116" s="37">
        <v>54483</v>
      </c>
      <c r="B116" s="398">
        <f t="shared" ref="B116:C116" si="112">($A116-B$9)/365.25</f>
        <v>67.288158795345652</v>
      </c>
      <c r="C116" s="398">
        <f t="shared" si="112"/>
        <v>62.677618069815196</v>
      </c>
      <c r="E116" s="25">
        <f>IF(C116&gt;$B$7,0,'Combined Retirement'!$D$13/12)</f>
        <v>0</v>
      </c>
      <c r="F116" s="25">
        <f>IF(H116=0,'Combined Retirement'!$D$32,0)+'Combined Retirement'!$B$24</f>
        <v>2870.372285649099</v>
      </c>
      <c r="G116" s="25">
        <f>'Combined Retirement'!$C$24</f>
        <v>3254.2644699519233</v>
      </c>
      <c r="H116" s="25">
        <f>IF(B116&lt;62,0,'Combined Retirement'!$I$14)</f>
        <v>2345</v>
      </c>
      <c r="I116" s="25">
        <f>IF(C116&lt;62,0,'Combined Retirement'!$I$13)</f>
        <v>2420</v>
      </c>
      <c r="J116" s="25">
        <f t="shared" si="3"/>
        <v>7896.2379798201846</v>
      </c>
      <c r="K116" s="25">
        <f t="shared" si="4"/>
        <v>20367.195264578786</v>
      </c>
      <c r="L116" s="25"/>
      <c r="N116" s="25">
        <f>'Combined Retirement'!$C$18/12</f>
        <v>39153.069999999992</v>
      </c>
      <c r="O116" s="25">
        <f t="shared" si="5"/>
        <v>10889.636755601023</v>
      </c>
      <c r="P116" s="25">
        <f t="shared" si="6"/>
        <v>28263.43324439897</v>
      </c>
      <c r="Q116" s="25">
        <f t="array" aca="1" ref="Q116" ca="1">INDEX('Isaac 401k'!L:L,MATCH('Retirement Calculator'!A116,'Isaac 401k'!N:N,0),0)</f>
        <v>1905210.5237919393</v>
      </c>
      <c r="R116" s="25">
        <f t="array" aca="1" ref="R116" ca="1">INDEX('Lorri 401b'!L:L,MATCH('Retirement Calculator'!A116,'Lorri 401b'!N:N,0),0)</f>
        <v>4489914.6988203656</v>
      </c>
      <c r="S116" s="25">
        <f t="shared" ca="1" si="7"/>
        <v>6395125.2226123046</v>
      </c>
    </row>
    <row r="117" spans="1:19" ht="15.75" customHeight="1" x14ac:dyDescent="0.3">
      <c r="A117" s="37">
        <v>54514</v>
      </c>
      <c r="B117" s="398">
        <f t="shared" ref="B117:C117" si="113">($A117-B$9)/365.25</f>
        <v>67.37303216974675</v>
      </c>
      <c r="C117" s="398">
        <f t="shared" si="113"/>
        <v>62.762491444216288</v>
      </c>
      <c r="E117" s="25">
        <f>IF(C117&gt;$B$7,0,'Combined Retirement'!$D$13/12)</f>
        <v>0</v>
      </c>
      <c r="F117" s="25">
        <f>IF(H117=0,'Combined Retirement'!$D$32,0)+'Combined Retirement'!$B$24</f>
        <v>2870.372285649099</v>
      </c>
      <c r="G117" s="25">
        <f>'Combined Retirement'!$C$24</f>
        <v>3254.2644699519233</v>
      </c>
      <c r="H117" s="25">
        <f>IF(B117&lt;62,0,'Combined Retirement'!$I$14)</f>
        <v>2345</v>
      </c>
      <c r="I117" s="25">
        <f>IF(C117&lt;62,0,'Combined Retirement'!$I$13)</f>
        <v>2420</v>
      </c>
      <c r="J117" s="25">
        <f t="shared" si="3"/>
        <v>7896.2379798201846</v>
      </c>
      <c r="K117" s="25">
        <f t="shared" si="4"/>
        <v>20367.195264578786</v>
      </c>
      <c r="L117" s="25"/>
      <c r="N117" s="25">
        <f>'Combined Retirement'!$C$18/12</f>
        <v>39153.069999999992</v>
      </c>
      <c r="O117" s="25">
        <f t="shared" si="5"/>
        <v>10889.636755601023</v>
      </c>
      <c r="P117" s="25">
        <f t="shared" si="6"/>
        <v>28263.43324439897</v>
      </c>
      <c r="Q117" s="25">
        <f t="array" aca="1" ref="Q117" ca="1">INDEX('Isaac 401k'!L:L,MATCH('Retirement Calculator'!A117,'Isaac 401k'!N:N,0),0)</f>
        <v>1905219.7620030029</v>
      </c>
      <c r="R117" s="25">
        <f t="array" aca="1" ref="R117" ca="1">INDEX('Lorri 401b'!L:L,MATCH('Retirement Calculator'!A117,'Lorri 401b'!N:N,0),0)</f>
        <v>4488170.6181539362</v>
      </c>
      <c r="S117" s="25">
        <f t="shared" ca="1" si="7"/>
        <v>6393390.3801569389</v>
      </c>
    </row>
    <row r="118" spans="1:19" ht="15.75" customHeight="1" x14ac:dyDescent="0.3">
      <c r="A118" s="37">
        <v>54544</v>
      </c>
      <c r="B118" s="398">
        <f t="shared" ref="B118:C118" si="114">($A118-B$9)/365.25</f>
        <v>67.455167693360707</v>
      </c>
      <c r="C118" s="398">
        <f t="shared" si="114"/>
        <v>62.844626967830251</v>
      </c>
      <c r="E118" s="25">
        <f>IF(C118&gt;$B$7,0,'Combined Retirement'!$D$13/12)</f>
        <v>0</v>
      </c>
      <c r="F118" s="25">
        <f>IF(H118=0,'Combined Retirement'!$D$32,0)+'Combined Retirement'!$B$24</f>
        <v>2870.372285649099</v>
      </c>
      <c r="G118" s="25">
        <f>'Combined Retirement'!$C$24</f>
        <v>3254.2644699519233</v>
      </c>
      <c r="H118" s="25">
        <f>IF(B118&lt;62,0,'Combined Retirement'!$I$14)</f>
        <v>2345</v>
      </c>
      <c r="I118" s="25">
        <f>IF(C118&lt;62,0,'Combined Retirement'!$I$13)</f>
        <v>2420</v>
      </c>
      <c r="J118" s="25">
        <f t="shared" si="3"/>
        <v>7896.2379798201846</v>
      </c>
      <c r="K118" s="25">
        <f t="shared" si="4"/>
        <v>20367.195264578786</v>
      </c>
      <c r="L118" s="25"/>
      <c r="N118" s="25">
        <f>'Combined Retirement'!$C$18/12</f>
        <v>39153.069999999992</v>
      </c>
      <c r="O118" s="25">
        <f t="shared" si="5"/>
        <v>10889.636755601023</v>
      </c>
      <c r="P118" s="25">
        <f t="shared" si="6"/>
        <v>28263.43324439897</v>
      </c>
      <c r="Q118" s="25">
        <f t="array" aca="1" ref="Q118" ca="1">INDEX('Isaac 401k'!L:L,MATCH('Retirement Calculator'!A118,'Isaac 401k'!N:N,0),0)</f>
        <v>1905229.0387066125</v>
      </c>
      <c r="R118" s="25">
        <f t="array" aca="1" ref="R118" ca="1">INDEX('Lorri 401b'!L:L,MATCH('Retirement Calculator'!A118,'Lorri 401b'!N:N,0),0)</f>
        <v>4486419.2704847297</v>
      </c>
      <c r="S118" s="25">
        <f t="shared" ca="1" si="7"/>
        <v>6391648.3091913424</v>
      </c>
    </row>
    <row r="119" spans="1:19" ht="15.75" customHeight="1" x14ac:dyDescent="0.3">
      <c r="A119" s="37">
        <v>54575</v>
      </c>
      <c r="B119" s="398">
        <f t="shared" ref="B119:C119" si="115">($A119-B$9)/365.25</f>
        <v>67.540041067761805</v>
      </c>
      <c r="C119" s="398">
        <f t="shared" si="115"/>
        <v>62.92950034223135</v>
      </c>
      <c r="E119" s="25">
        <f>IF(C119&gt;$B$7,0,'Combined Retirement'!$D$13/12)</f>
        <v>0</v>
      </c>
      <c r="F119" s="25">
        <f>IF(H119=0,'Combined Retirement'!$D$32,0)+'Combined Retirement'!$B$24</f>
        <v>2870.372285649099</v>
      </c>
      <c r="G119" s="25">
        <f>'Combined Retirement'!$C$24</f>
        <v>3254.2644699519233</v>
      </c>
      <c r="H119" s="25">
        <f>IF(B119&lt;62,0,'Combined Retirement'!$I$14)</f>
        <v>2345</v>
      </c>
      <c r="I119" s="25">
        <f>IF(C119&lt;62,0,'Combined Retirement'!$I$13)</f>
        <v>2420</v>
      </c>
      <c r="J119" s="25">
        <f t="shared" si="3"/>
        <v>7896.2379798201846</v>
      </c>
      <c r="K119" s="25">
        <f t="shared" si="4"/>
        <v>20367.195264578786</v>
      </c>
      <c r="L119" s="25"/>
      <c r="N119" s="25">
        <f>'Combined Retirement'!$C$18/12</f>
        <v>39153.069999999992</v>
      </c>
      <c r="O119" s="25">
        <f t="shared" si="5"/>
        <v>10889.636755601023</v>
      </c>
      <c r="P119" s="25">
        <f t="shared" si="6"/>
        <v>28263.43324439897</v>
      </c>
      <c r="Q119" s="25">
        <f t="array" aca="1" ref="Q119" ca="1">INDEX('Isaac 401k'!L:L,MATCH('Retirement Calculator'!A119,'Isaac 401k'!N:N,0),0)</f>
        <v>1905238.354063154</v>
      </c>
      <c r="R119" s="25">
        <f t="array" aca="1" ref="R119" ca="1">INDEX('Lorri 401b'!L:L,MATCH('Retirement Calculator'!A119,'Lorri 401b'!N:N,0),0)</f>
        <v>4484660.6255335677</v>
      </c>
      <c r="S119" s="25">
        <f t="shared" ca="1" si="7"/>
        <v>6389898.9795967219</v>
      </c>
    </row>
    <row r="120" spans="1:19" ht="15.75" customHeight="1" x14ac:dyDescent="0.3">
      <c r="A120" s="37">
        <v>54605</v>
      </c>
      <c r="B120" s="398">
        <f t="shared" ref="B120:C120" si="116">($A120-B$9)/365.25</f>
        <v>67.622176591375776</v>
      </c>
      <c r="C120" s="398">
        <f t="shared" si="116"/>
        <v>63.011635865845314</v>
      </c>
      <c r="E120" s="25">
        <f>IF(C120&gt;$B$7,0,'Combined Retirement'!$D$13/12)</f>
        <v>0</v>
      </c>
      <c r="F120" s="25">
        <f>IF(H120=0,'Combined Retirement'!$D$32,0)+'Combined Retirement'!$B$24</f>
        <v>2870.372285649099</v>
      </c>
      <c r="G120" s="25">
        <f>'Combined Retirement'!$C$24</f>
        <v>3254.2644699519233</v>
      </c>
      <c r="H120" s="25">
        <f>IF(B120&lt;62,0,'Combined Retirement'!$I$14)</f>
        <v>2345</v>
      </c>
      <c r="I120" s="25">
        <f>IF(C120&lt;62,0,'Combined Retirement'!$I$13)</f>
        <v>2420</v>
      </c>
      <c r="J120" s="25">
        <f t="shared" si="3"/>
        <v>7896.2379798201846</v>
      </c>
      <c r="K120" s="25">
        <f t="shared" si="4"/>
        <v>20367.195264578786</v>
      </c>
      <c r="L120" s="25"/>
      <c r="N120" s="25">
        <f>'Combined Retirement'!$C$18/12</f>
        <v>39153.069999999992</v>
      </c>
      <c r="O120" s="25">
        <f t="shared" si="5"/>
        <v>10889.636755601023</v>
      </c>
      <c r="P120" s="25">
        <f t="shared" si="6"/>
        <v>28263.43324439897</v>
      </c>
      <c r="Q120" s="25">
        <f t="array" aca="1" ref="Q120" ca="1">INDEX('Isaac 401k'!L:L,MATCH('Retirement Calculator'!A120,'Isaac 401k'!N:N,0),0)</f>
        <v>1905247.708233681</v>
      </c>
      <c r="R120" s="25">
        <f t="array" aca="1" ref="R120" ca="1">INDEX('Lorri 401b'!L:L,MATCH('Retirement Calculator'!A120,'Lorri 401b'!N:N,0),0)</f>
        <v>4482894.6528951097</v>
      </c>
      <c r="S120" s="25">
        <f t="shared" ca="1" si="7"/>
        <v>6388142.3611287903</v>
      </c>
    </row>
    <row r="121" spans="1:19" ht="15.75" customHeight="1" x14ac:dyDescent="0.3">
      <c r="A121" s="37">
        <v>54636</v>
      </c>
      <c r="B121" s="398">
        <f t="shared" ref="B121:C121" si="117">($A121-B$9)/365.25</f>
        <v>67.707049965776861</v>
      </c>
      <c r="C121" s="398">
        <f t="shared" si="117"/>
        <v>63.096509240246405</v>
      </c>
      <c r="E121" s="25">
        <f>IF(C121&gt;$B$7,0,'Combined Retirement'!$D$13/12)</f>
        <v>0</v>
      </c>
      <c r="F121" s="25">
        <f>IF(H121=0,'Combined Retirement'!$D$32,0)+'Combined Retirement'!$B$24</f>
        <v>2870.372285649099</v>
      </c>
      <c r="G121" s="25">
        <f>'Combined Retirement'!$C$24</f>
        <v>3254.2644699519233</v>
      </c>
      <c r="H121" s="25">
        <f>IF(B121&lt;62,0,'Combined Retirement'!$I$14)</f>
        <v>2345</v>
      </c>
      <c r="I121" s="25">
        <f>IF(C121&lt;62,0,'Combined Retirement'!$I$13)</f>
        <v>2420</v>
      </c>
      <c r="J121" s="25">
        <f t="shared" si="3"/>
        <v>7896.2379798201846</v>
      </c>
      <c r="K121" s="25">
        <f t="shared" si="4"/>
        <v>20367.195264578786</v>
      </c>
      <c r="L121" s="25"/>
      <c r="N121" s="25">
        <f>'Combined Retirement'!$C$18/12</f>
        <v>39153.069999999992</v>
      </c>
      <c r="O121" s="25">
        <f t="shared" si="5"/>
        <v>10889.636755601023</v>
      </c>
      <c r="P121" s="25">
        <f t="shared" si="6"/>
        <v>28263.43324439897</v>
      </c>
      <c r="Q121" s="25">
        <f t="array" aca="1" ref="Q121" ca="1">INDEX('Isaac 401k'!L:L,MATCH('Retirement Calculator'!A121,'Isaac 401k'!N:N,0),0)</f>
        <v>1905257.1013799186</v>
      </c>
      <c r="R121" s="25">
        <f t="array" aca="1" ref="R121" ca="1">INDEX('Lorri 401b'!L:L,MATCH('Retirement Calculator'!A121,'Lorri 401b'!N:N,0),0)</f>
        <v>4481121.3220373252</v>
      </c>
      <c r="S121" s="25">
        <f t="shared" ca="1" si="7"/>
        <v>6386378.4234172441</v>
      </c>
    </row>
    <row r="122" spans="1:19" ht="15.75" customHeight="1" x14ac:dyDescent="0.3">
      <c r="A122" s="37">
        <v>54667</v>
      </c>
      <c r="B122" s="398">
        <f t="shared" ref="B122:C122" si="118">($A122-B$9)/365.25</f>
        <v>67.791923340177959</v>
      </c>
      <c r="C122" s="398">
        <f t="shared" si="118"/>
        <v>63.181382614647504</v>
      </c>
      <c r="E122" s="25">
        <f>IF(C122&gt;$B$7,0,'Combined Retirement'!$D$13/12)</f>
        <v>0</v>
      </c>
      <c r="F122" s="25">
        <f>IF(H122=0,'Combined Retirement'!$D$32,0)+'Combined Retirement'!$B$24</f>
        <v>2870.372285649099</v>
      </c>
      <c r="G122" s="25">
        <f>'Combined Retirement'!$C$24</f>
        <v>3254.2644699519233</v>
      </c>
      <c r="H122" s="25">
        <f>IF(B122&lt;62,0,'Combined Retirement'!$I$14)</f>
        <v>2345</v>
      </c>
      <c r="I122" s="25">
        <f>IF(C122&lt;62,0,'Combined Retirement'!$I$13)</f>
        <v>2420</v>
      </c>
      <c r="J122" s="25">
        <f t="shared" si="3"/>
        <v>7896.2379798201846</v>
      </c>
      <c r="K122" s="25">
        <f t="shared" si="4"/>
        <v>20367.195264578786</v>
      </c>
      <c r="L122" s="25"/>
      <c r="N122" s="25">
        <f>'Combined Retirement'!$C$18/12</f>
        <v>39153.069999999992</v>
      </c>
      <c r="O122" s="25">
        <f t="shared" si="5"/>
        <v>10889.636755601023</v>
      </c>
      <c r="P122" s="25">
        <f t="shared" si="6"/>
        <v>28263.43324439897</v>
      </c>
      <c r="Q122" s="25">
        <f t="array" aca="1" ref="Q122" ca="1">INDEX('Isaac 401k'!L:L,MATCH('Retirement Calculator'!A122,'Isaac 401k'!N:N,0),0)</f>
        <v>1905266.5336642654</v>
      </c>
      <c r="R122" s="25">
        <f t="array" aca="1" ref="R122" ca="1">INDEX('Lorri 401b'!L:L,MATCH('Retirement Calculator'!A122,'Lorri 401b'!N:N,0),0)</f>
        <v>4479340.6023009662</v>
      </c>
      <c r="S122" s="25">
        <f t="shared" ca="1" si="7"/>
        <v>6384607.1359652318</v>
      </c>
    </row>
    <row r="123" spans="1:19" ht="15.75" customHeight="1" x14ac:dyDescent="0.3">
      <c r="A123" s="37">
        <v>54697</v>
      </c>
      <c r="B123" s="398">
        <f t="shared" ref="B123:C123" si="119">($A123-B$9)/365.25</f>
        <v>67.87405886379193</v>
      </c>
      <c r="C123" s="398">
        <f t="shared" si="119"/>
        <v>63.263518138261468</v>
      </c>
      <c r="E123" s="25">
        <f>IF(C123&gt;$B$7,0,'Combined Retirement'!$D$13/12)</f>
        <v>0</v>
      </c>
      <c r="F123" s="25">
        <f>IF(H123=0,'Combined Retirement'!$D$32,0)+'Combined Retirement'!$B$24</f>
        <v>2870.372285649099</v>
      </c>
      <c r="G123" s="25">
        <f>'Combined Retirement'!$C$24</f>
        <v>3254.2644699519233</v>
      </c>
      <c r="H123" s="25">
        <f>IF(B123&lt;62,0,'Combined Retirement'!$I$14)</f>
        <v>2345</v>
      </c>
      <c r="I123" s="25">
        <f>IF(C123&lt;62,0,'Combined Retirement'!$I$13)</f>
        <v>2420</v>
      </c>
      <c r="J123" s="25">
        <f t="shared" si="3"/>
        <v>7896.2379798201846</v>
      </c>
      <c r="K123" s="25">
        <f t="shared" si="4"/>
        <v>20367.195264578786</v>
      </c>
      <c r="L123" s="25"/>
      <c r="N123" s="25">
        <f>'Combined Retirement'!$C$18/12</f>
        <v>39153.069999999992</v>
      </c>
      <c r="O123" s="25">
        <f t="shared" si="5"/>
        <v>10889.636755601023</v>
      </c>
      <c r="P123" s="25">
        <f t="shared" si="6"/>
        <v>28263.43324439897</v>
      </c>
      <c r="Q123" s="25">
        <f t="array" aca="1" ref="Q123" ca="1">INDEX('Isaac 401k'!L:L,MATCH('Retirement Calculator'!A123,'Isaac 401k'!N:N,0),0)</f>
        <v>1905276.0052497971</v>
      </c>
      <c r="R123" s="25">
        <f t="array" aca="1" ref="R123" ca="1">INDEX('Lorri 401b'!L:L,MATCH('Retirement Calculator'!A123,'Lorri 401b'!N:N,0),0)</f>
        <v>4477552.4628990386</v>
      </c>
      <c r="S123" s="25">
        <f t="shared" ca="1" si="7"/>
        <v>6382828.4681488359</v>
      </c>
    </row>
    <row r="124" spans="1:19" ht="15.75" customHeight="1" x14ac:dyDescent="0.3">
      <c r="A124" s="37">
        <v>54728</v>
      </c>
      <c r="B124" s="398">
        <f t="shared" ref="B124:C124" si="120">($A124-B$9)/365.25</f>
        <v>67.958932238193015</v>
      </c>
      <c r="C124" s="398">
        <f t="shared" si="120"/>
        <v>63.348391512662559</v>
      </c>
      <c r="E124" s="25">
        <f>IF(C124&gt;$B$7,0,'Combined Retirement'!$D$13/12)</f>
        <v>0</v>
      </c>
      <c r="F124" s="25">
        <f>IF(H124=0,'Combined Retirement'!$D$32,0)+'Combined Retirement'!$B$24</f>
        <v>2870.372285649099</v>
      </c>
      <c r="G124" s="25">
        <f>'Combined Retirement'!$C$24</f>
        <v>3254.2644699519233</v>
      </c>
      <c r="H124" s="25">
        <f>IF(B124&lt;62,0,'Combined Retirement'!$I$14)</f>
        <v>2345</v>
      </c>
      <c r="I124" s="25">
        <f>IF(C124&lt;62,0,'Combined Retirement'!$I$13)</f>
        <v>2420</v>
      </c>
      <c r="J124" s="25">
        <f t="shared" si="3"/>
        <v>7896.2379798201846</v>
      </c>
      <c r="K124" s="25">
        <f t="shared" si="4"/>
        <v>20367.195264578786</v>
      </c>
      <c r="L124" s="25"/>
      <c r="N124" s="25">
        <f>'Combined Retirement'!$C$18/12</f>
        <v>39153.069999999992</v>
      </c>
      <c r="O124" s="25">
        <f t="shared" si="5"/>
        <v>10889.636755601023</v>
      </c>
      <c r="P124" s="25">
        <f t="shared" si="6"/>
        <v>28263.43324439897</v>
      </c>
      <c r="Q124" s="25">
        <f t="array" aca="1" ref="Q124" ca="1">INDEX('Isaac 401k'!L:L,MATCH('Retirement Calculator'!A124,'Isaac 401k'!N:N,0),0)</f>
        <v>1905285.5163002685</v>
      </c>
      <c r="R124" s="25">
        <f t="array" aca="1" ref="R124" ca="1">INDEX('Lorri 401b'!L:L,MATCH('Retirement Calculator'!A124,'Lorri 401b'!N:N,0),0)</f>
        <v>4475756.87291627</v>
      </c>
      <c r="S124" s="25">
        <f t="shared" ca="1" si="7"/>
        <v>6381042.3892165385</v>
      </c>
    </row>
    <row r="125" spans="1:19" ht="15.75" customHeight="1" x14ac:dyDescent="0.3">
      <c r="A125" s="37">
        <v>54758</v>
      </c>
      <c r="B125" s="398">
        <f t="shared" ref="B125:C125" si="121">($A125-B$9)/365.25</f>
        <v>68.041067761806985</v>
      </c>
      <c r="C125" s="398">
        <f t="shared" si="121"/>
        <v>63.430527036276523</v>
      </c>
      <c r="E125" s="25">
        <f>IF(C125&gt;$B$7,0,'Combined Retirement'!$D$13/12)</f>
        <v>0</v>
      </c>
      <c r="F125" s="25">
        <f>IF(H125=0,'Combined Retirement'!$D$32,0)+'Combined Retirement'!$B$24</f>
        <v>2870.372285649099</v>
      </c>
      <c r="G125" s="25">
        <f>'Combined Retirement'!$C$24</f>
        <v>3254.2644699519233</v>
      </c>
      <c r="H125" s="25">
        <f>IF(B125&lt;62,0,'Combined Retirement'!$I$14)</f>
        <v>2345</v>
      </c>
      <c r="I125" s="25">
        <f>IF(C125&lt;62,0,'Combined Retirement'!$I$13)</f>
        <v>2420</v>
      </c>
      <c r="J125" s="25">
        <f t="shared" si="3"/>
        <v>7896.2379798201846</v>
      </c>
      <c r="K125" s="25">
        <f t="shared" si="4"/>
        <v>20367.195264578786</v>
      </c>
      <c r="L125" s="25"/>
      <c r="N125" s="25">
        <f>'Combined Retirement'!$C$18/12</f>
        <v>39153.069999999992</v>
      </c>
      <c r="O125" s="25">
        <f t="shared" si="5"/>
        <v>10889.636755601023</v>
      </c>
      <c r="P125" s="25">
        <f t="shared" si="6"/>
        <v>28263.43324439897</v>
      </c>
      <c r="Q125" s="25">
        <f t="array" aca="1" ref="Q125" ca="1">INDEX('Isaac 401k'!L:L,MATCH('Retirement Calculator'!A125,'Isaac 401k'!N:N,0),0)</f>
        <v>1905295.0669801168</v>
      </c>
      <c r="R125" s="25">
        <f t="array" aca="1" ref="R125" ca="1">INDEX('Lorri 401b'!L:L,MATCH('Retirement Calculator'!A125,'Lorri 401b'!N:N,0),0)</f>
        <v>4473953.8013085732</v>
      </c>
      <c r="S125" s="25">
        <f t="shared" ca="1" si="7"/>
        <v>6379248.8682886902</v>
      </c>
    </row>
    <row r="126" spans="1:19" ht="15.75" customHeight="1" x14ac:dyDescent="0.3">
      <c r="A126" s="37">
        <v>54789</v>
      </c>
      <c r="B126" s="398">
        <f t="shared" ref="B126:C126" si="122">($A126-B$9)/365.25</f>
        <v>68.12594113620807</v>
      </c>
      <c r="C126" s="398">
        <f t="shared" si="122"/>
        <v>63.515400410677621</v>
      </c>
      <c r="E126" s="25">
        <f>IF(C126&gt;$B$7,0,'Combined Retirement'!$D$13/12)</f>
        <v>0</v>
      </c>
      <c r="F126" s="25">
        <f>IF(H126=0,'Combined Retirement'!$D$32,0)+'Combined Retirement'!$B$24</f>
        <v>2870.372285649099</v>
      </c>
      <c r="G126" s="25">
        <f>'Combined Retirement'!$C$24</f>
        <v>3254.2644699519233</v>
      </c>
      <c r="H126" s="25">
        <f>IF(B126&lt;62,0,'Combined Retirement'!$I$14)</f>
        <v>2345</v>
      </c>
      <c r="I126" s="25">
        <f>IF(C126&lt;62,0,'Combined Retirement'!$I$13)</f>
        <v>2420</v>
      </c>
      <c r="J126" s="25">
        <f t="shared" si="3"/>
        <v>7896.2379798201846</v>
      </c>
      <c r="K126" s="25">
        <f t="shared" si="4"/>
        <v>20367.195264578786</v>
      </c>
      <c r="L126" s="25"/>
      <c r="N126" s="25">
        <f>'Combined Retirement'!$C$18/12</f>
        <v>39153.069999999992</v>
      </c>
      <c r="O126" s="25">
        <f t="shared" si="5"/>
        <v>10889.636755601023</v>
      </c>
      <c r="P126" s="25">
        <f t="shared" si="6"/>
        <v>28263.43324439897</v>
      </c>
      <c r="Q126" s="25">
        <f t="array" aca="1" ref="Q126" ca="1">INDEX('Isaac 401k'!L:L,MATCH('Retirement Calculator'!A126,'Isaac 401k'!N:N,0),0)</f>
        <v>1905304.6574544644</v>
      </c>
      <c r="R126" s="25">
        <f t="array" aca="1" ref="R126" ca="1">INDEX('Lorri 401b'!L:L,MATCH('Retirement Calculator'!A126,'Lorri 401b'!N:N,0),0)</f>
        <v>4472143.2169025112</v>
      </c>
      <c r="S126" s="25">
        <f t="shared" ca="1" si="7"/>
        <v>6377447.8743569758</v>
      </c>
    </row>
    <row r="127" spans="1:19" ht="15.75" customHeight="1" x14ac:dyDescent="0.3">
      <c r="A127" s="37">
        <v>54820</v>
      </c>
      <c r="B127" s="398">
        <f t="shared" ref="B127:C127" si="123">($A127-B$9)/365.25</f>
        <v>68.210814510609168</v>
      </c>
      <c r="C127" s="398">
        <f t="shared" si="123"/>
        <v>63.600273785078713</v>
      </c>
      <c r="E127" s="25">
        <f>IF(C127&gt;$B$7,0,'Combined Retirement'!$D$13/12)</f>
        <v>0</v>
      </c>
      <c r="F127" s="25">
        <f>IF(H127=0,'Combined Retirement'!$D$32,0)+'Combined Retirement'!$B$24</f>
        <v>2870.372285649099</v>
      </c>
      <c r="G127" s="25">
        <f>'Combined Retirement'!$C$24</f>
        <v>3254.2644699519233</v>
      </c>
      <c r="H127" s="25">
        <f>IF(B127&lt;62,0,'Combined Retirement'!$I$14)</f>
        <v>2345</v>
      </c>
      <c r="I127" s="25">
        <f>IF(C127&lt;62,0,'Combined Retirement'!$I$13)</f>
        <v>2420</v>
      </c>
      <c r="J127" s="25">
        <f t="shared" si="3"/>
        <v>7896.2379798201846</v>
      </c>
      <c r="K127" s="25">
        <f t="shared" si="4"/>
        <v>20367.195264578786</v>
      </c>
      <c r="L127" s="25"/>
      <c r="N127" s="25">
        <f>'Combined Retirement'!$C$18/12</f>
        <v>39153.069999999992</v>
      </c>
      <c r="O127" s="25">
        <f t="shared" si="5"/>
        <v>10889.636755601023</v>
      </c>
      <c r="P127" s="25">
        <f t="shared" si="6"/>
        <v>28263.43324439897</v>
      </c>
      <c r="Q127" s="25">
        <f t="array" aca="1" ref="Q127" ca="1">INDEX('Isaac 401k'!L:L,MATCH('Retirement Calculator'!A127,'Isaac 401k'!N:N,0),0)</f>
        <v>1905314.2878891218</v>
      </c>
      <c r="R127" s="25">
        <f t="array" aca="1" ref="R127" ca="1">INDEX('Lorri 401b'!L:L,MATCH('Retirement Calculator'!A127,'Lorri 401b'!N:N,0),0)</f>
        <v>4470325.0883947574</v>
      </c>
      <c r="S127" s="25">
        <f t="shared" ca="1" si="7"/>
        <v>6375639.3762838794</v>
      </c>
    </row>
    <row r="128" spans="1:19" ht="15.75" customHeight="1" x14ac:dyDescent="0.3">
      <c r="A128" s="37">
        <v>54848</v>
      </c>
      <c r="B128" s="398">
        <f t="shared" ref="B128:C128" si="124">($A128-B$9)/365.25</f>
        <v>68.28747433264887</v>
      </c>
      <c r="C128" s="398">
        <f t="shared" si="124"/>
        <v>63.676933607118414</v>
      </c>
      <c r="E128" s="25">
        <f>IF(C128&gt;$B$7,0,'Combined Retirement'!$D$13/12)</f>
        <v>0</v>
      </c>
      <c r="F128" s="25">
        <f>IF(H128=0,'Combined Retirement'!$D$32,0)+'Combined Retirement'!$B$24</f>
        <v>2870.372285649099</v>
      </c>
      <c r="G128" s="25">
        <f>'Combined Retirement'!$C$24</f>
        <v>3254.2644699519233</v>
      </c>
      <c r="H128" s="25">
        <f>IF(B128&lt;62,0,'Combined Retirement'!$I$14)</f>
        <v>2345</v>
      </c>
      <c r="I128" s="25">
        <f>IF(C128&lt;62,0,'Combined Retirement'!$I$13)</f>
        <v>2420</v>
      </c>
      <c r="J128" s="25">
        <f t="shared" si="3"/>
        <v>7896.2379798201846</v>
      </c>
      <c r="K128" s="25">
        <f t="shared" si="4"/>
        <v>20367.195264578786</v>
      </c>
      <c r="L128" s="25"/>
      <c r="N128" s="25">
        <f>'Combined Retirement'!$C$18/12</f>
        <v>39153.069999999992</v>
      </c>
      <c r="O128" s="25">
        <f t="shared" si="5"/>
        <v>10889.636755601023</v>
      </c>
      <c r="P128" s="25">
        <f t="shared" si="6"/>
        <v>28263.43324439897</v>
      </c>
      <c r="Q128" s="25">
        <f t="array" aca="1" ref="Q128" ca="1">INDEX('Isaac 401k'!L:L,MATCH('Retirement Calculator'!A128,'Isaac 401k'!N:N,0),0)</f>
        <v>1905323.9584505903</v>
      </c>
      <c r="R128" s="25">
        <f t="array" aca="1" ref="R128" ca="1">INDEX('Lorri 401b'!L:L,MATCH('Retirement Calculator'!A128,'Lorri 401b'!N:N,0),0)</f>
        <v>4468499.3843515543</v>
      </c>
      <c r="S128" s="25">
        <f t="shared" ca="1" si="7"/>
        <v>6373823.3428021446</v>
      </c>
    </row>
    <row r="129" spans="1:19" ht="15.75" customHeight="1" x14ac:dyDescent="0.3">
      <c r="A129" s="37">
        <v>54879</v>
      </c>
      <c r="B129" s="398">
        <f t="shared" ref="B129:C129" si="125">($A129-B$9)/365.25</f>
        <v>68.372347707049968</v>
      </c>
      <c r="C129" s="398">
        <f t="shared" si="125"/>
        <v>63.761806981519506</v>
      </c>
      <c r="E129" s="25">
        <f>IF(C129&gt;$B$7,0,'Combined Retirement'!$D$13/12)</f>
        <v>0</v>
      </c>
      <c r="F129" s="25">
        <f>IF(H129=0,'Combined Retirement'!$D$32,0)+'Combined Retirement'!$B$24</f>
        <v>2870.372285649099</v>
      </c>
      <c r="G129" s="25">
        <f>'Combined Retirement'!$C$24</f>
        <v>3254.2644699519233</v>
      </c>
      <c r="H129" s="25">
        <f>IF(B129&lt;62,0,'Combined Retirement'!$I$14)</f>
        <v>2345</v>
      </c>
      <c r="I129" s="25">
        <f>IF(C129&lt;62,0,'Combined Retirement'!$I$13)</f>
        <v>2420</v>
      </c>
      <c r="J129" s="25">
        <f t="shared" si="3"/>
        <v>7896.2379798201846</v>
      </c>
      <c r="K129" s="25">
        <f t="shared" si="4"/>
        <v>20367.195264578786</v>
      </c>
      <c r="L129" s="25"/>
      <c r="N129" s="25">
        <f>'Combined Retirement'!$C$18/12</f>
        <v>39153.069999999992</v>
      </c>
      <c r="O129" s="25">
        <f t="shared" si="5"/>
        <v>10889.636755601023</v>
      </c>
      <c r="P129" s="25">
        <f t="shared" si="6"/>
        <v>28263.43324439897</v>
      </c>
      <c r="Q129" s="25">
        <f t="array" aca="1" ref="Q129" ca="1">INDEX('Isaac 401k'!L:L,MATCH('Retirement Calculator'!A129,'Isaac 401k'!N:N,0),0)</f>
        <v>1905333.669306065</v>
      </c>
      <c r="R129" s="25">
        <f t="array" aca="1" ref="R129" ca="1">INDEX('Lorri 401b'!L:L,MATCH('Retirement Calculator'!A129,'Lorri 401b'!N:N,0),0)</f>
        <v>4466666.0732081709</v>
      </c>
      <c r="S129" s="25">
        <f t="shared" ca="1" si="7"/>
        <v>6371999.7425142359</v>
      </c>
    </row>
    <row r="130" spans="1:19" ht="15.75" customHeight="1" x14ac:dyDescent="0.3">
      <c r="A130" s="37">
        <v>54909</v>
      </c>
      <c r="B130" s="398">
        <f t="shared" ref="B130:C130" si="126">($A130-B$9)/365.25</f>
        <v>68.454483230663925</v>
      </c>
      <c r="C130" s="398">
        <f t="shared" si="126"/>
        <v>63.843942505133469</v>
      </c>
      <c r="E130" s="25">
        <f>IF(C130&gt;$B$7,0,'Combined Retirement'!$D$13/12)</f>
        <v>0</v>
      </c>
      <c r="F130" s="25">
        <f>IF(H130=0,'Combined Retirement'!$D$32,0)+'Combined Retirement'!$B$24</f>
        <v>2870.372285649099</v>
      </c>
      <c r="G130" s="25">
        <f>'Combined Retirement'!$C$24</f>
        <v>3254.2644699519233</v>
      </c>
      <c r="H130" s="25">
        <f>IF(B130&lt;62,0,'Combined Retirement'!$I$14)</f>
        <v>2345</v>
      </c>
      <c r="I130" s="25">
        <f>IF(C130&lt;62,0,'Combined Retirement'!$I$13)</f>
        <v>2420</v>
      </c>
      <c r="J130" s="25">
        <f t="shared" si="3"/>
        <v>7896.2379798201846</v>
      </c>
      <c r="K130" s="25">
        <f t="shared" si="4"/>
        <v>20367.195264578786</v>
      </c>
      <c r="L130" s="25"/>
      <c r="N130" s="25">
        <f>'Combined Retirement'!$C$18/12</f>
        <v>39153.069999999992</v>
      </c>
      <c r="O130" s="25">
        <f t="shared" si="5"/>
        <v>10889.636755601023</v>
      </c>
      <c r="P130" s="25">
        <f t="shared" si="6"/>
        <v>28263.43324439897</v>
      </c>
      <c r="Q130" s="25">
        <f t="array" aca="1" ref="Q130" ca="1">INDEX('Isaac 401k'!L:L,MATCH('Retirement Calculator'!A130,'Isaac 401k'!N:N,0),0)</f>
        <v>1905343.4206234375</v>
      </c>
      <c r="R130" s="25">
        <f t="array" aca="1" ref="R130" ca="1">INDEX('Lorri 401b'!L:L,MATCH('Retirement Calculator'!A130,'Lorri 401b'!N:N,0),0)</f>
        <v>4464825.1232683575</v>
      </c>
      <c r="S130" s="25">
        <f t="shared" ca="1" si="7"/>
        <v>6370168.543891795</v>
      </c>
    </row>
    <row r="131" spans="1:19" ht="15.75" customHeight="1" x14ac:dyDescent="0.3">
      <c r="A131" s="37">
        <v>54940</v>
      </c>
      <c r="B131" s="398">
        <f t="shared" ref="B131:C131" si="127">($A131-B$9)/365.25</f>
        <v>68.539356605065024</v>
      </c>
      <c r="C131" s="398">
        <f t="shared" si="127"/>
        <v>63.928815879534568</v>
      </c>
      <c r="E131" s="25">
        <f>IF(C131&gt;$B$7,0,'Combined Retirement'!$D$13/12)</f>
        <v>0</v>
      </c>
      <c r="F131" s="25">
        <f>IF(H131=0,'Combined Retirement'!$D$32,0)+'Combined Retirement'!$B$24</f>
        <v>2870.372285649099</v>
      </c>
      <c r="G131" s="25">
        <f>'Combined Retirement'!$C$24</f>
        <v>3254.2644699519233</v>
      </c>
      <c r="H131" s="25">
        <f>IF(B131&lt;62,0,'Combined Retirement'!$I$14)</f>
        <v>2345</v>
      </c>
      <c r="I131" s="25">
        <f>IF(C131&lt;62,0,'Combined Retirement'!$I$13)</f>
        <v>2420</v>
      </c>
      <c r="J131" s="25">
        <f t="shared" si="3"/>
        <v>7896.2379798201846</v>
      </c>
      <c r="K131" s="25">
        <f t="shared" si="4"/>
        <v>20367.195264578786</v>
      </c>
      <c r="L131" s="25"/>
      <c r="N131" s="25">
        <f>'Combined Retirement'!$C$18/12</f>
        <v>39153.069999999992</v>
      </c>
      <c r="O131" s="25">
        <f t="shared" si="5"/>
        <v>10889.636755601023</v>
      </c>
      <c r="P131" s="25">
        <f t="shared" si="6"/>
        <v>28263.43324439897</v>
      </c>
      <c r="Q131" s="25">
        <f t="array" aca="1" ref="Q131" ca="1">INDEX('Isaac 401k'!L:L,MATCH('Retirement Calculator'!A131,'Isaac 401k'!N:N,0),0)</f>
        <v>1905353.2125712989</v>
      </c>
      <c r="R131" s="25">
        <f t="array" aca="1" ref="R131" ca="1">INDEX('Lorri 401b'!L:L,MATCH('Retirement Calculator'!A131,'Lorri 401b'!N:N,0),0)</f>
        <v>4462976.5027037943</v>
      </c>
      <c r="S131" s="25">
        <f t="shared" ca="1" si="7"/>
        <v>6368329.715275093</v>
      </c>
    </row>
    <row r="132" spans="1:19" ht="15.75" customHeight="1" x14ac:dyDescent="0.3">
      <c r="A132" s="37">
        <v>54970</v>
      </c>
      <c r="B132" s="398">
        <f t="shared" ref="B132:C132" si="128">($A132-B$9)/365.25</f>
        <v>68.62149212867898</v>
      </c>
      <c r="C132" s="398">
        <f t="shared" si="128"/>
        <v>64.010951403148525</v>
      </c>
      <c r="E132" s="25">
        <f>IF(C132&gt;$B$7,0,'Combined Retirement'!$D$13/12)</f>
        <v>0</v>
      </c>
      <c r="F132" s="25">
        <f>IF(H132=0,'Combined Retirement'!$D$32,0)+'Combined Retirement'!$B$24</f>
        <v>2870.372285649099</v>
      </c>
      <c r="G132" s="25">
        <f>'Combined Retirement'!$C$24</f>
        <v>3254.2644699519233</v>
      </c>
      <c r="H132" s="25">
        <f>IF(B132&lt;62,0,'Combined Retirement'!$I$14)</f>
        <v>2345</v>
      </c>
      <c r="I132" s="25">
        <f>IF(C132&lt;62,0,'Combined Retirement'!$I$13)</f>
        <v>2420</v>
      </c>
      <c r="J132" s="25">
        <f t="shared" si="3"/>
        <v>7896.2379798201846</v>
      </c>
      <c r="K132" s="25">
        <f t="shared" si="4"/>
        <v>20367.195264578786</v>
      </c>
      <c r="L132" s="25"/>
      <c r="N132" s="25">
        <f>'Combined Retirement'!$C$18/12</f>
        <v>39153.069999999992</v>
      </c>
      <c r="O132" s="25">
        <f t="shared" si="5"/>
        <v>10889.636755601023</v>
      </c>
      <c r="P132" s="25">
        <f t="shared" si="6"/>
        <v>28263.43324439897</v>
      </c>
      <c r="Q132" s="25">
        <f t="array" aca="1" ref="Q132" ca="1">INDEX('Isaac 401k'!L:L,MATCH('Retirement Calculator'!A132,'Isaac 401k'!N:N,0),0)</f>
        <v>1905363.0453189432</v>
      </c>
      <c r="R132" s="25">
        <f t="array" aca="1" ref="R132" ca="1">INDEX('Lorri 401b'!L:L,MATCH('Retirement Calculator'!A132,'Lorri 401b'!N:N,0),0)</f>
        <v>4461120.179553546</v>
      </c>
      <c r="S132" s="25">
        <f t="shared" ca="1" si="7"/>
        <v>6366483.2248724895</v>
      </c>
    </row>
    <row r="133" spans="1:19" ht="15.75" customHeight="1" x14ac:dyDescent="0.3">
      <c r="A133" s="37">
        <v>55001</v>
      </c>
      <c r="B133" s="398">
        <f t="shared" ref="B133:C133" si="129">($A133-B$9)/365.25</f>
        <v>68.706365503080079</v>
      </c>
      <c r="C133" s="398">
        <f t="shared" si="129"/>
        <v>64.095824777549623</v>
      </c>
      <c r="E133" s="25">
        <f>IF(C133&gt;$B$7,0,'Combined Retirement'!$D$13/12)</f>
        <v>0</v>
      </c>
      <c r="F133" s="25">
        <f>IF(H133=0,'Combined Retirement'!$D$32,0)+'Combined Retirement'!$B$24</f>
        <v>2870.372285649099</v>
      </c>
      <c r="G133" s="25">
        <f>'Combined Retirement'!$C$24</f>
        <v>3254.2644699519233</v>
      </c>
      <c r="H133" s="25">
        <f>IF(B133&lt;62,0,'Combined Retirement'!$I$14)</f>
        <v>2345</v>
      </c>
      <c r="I133" s="25">
        <f>IF(C133&lt;62,0,'Combined Retirement'!$I$13)</f>
        <v>2420</v>
      </c>
      <c r="J133" s="25">
        <f t="shared" si="3"/>
        <v>7896.2379798201846</v>
      </c>
      <c r="K133" s="25">
        <f t="shared" si="4"/>
        <v>20367.195264578786</v>
      </c>
      <c r="L133" s="25"/>
      <c r="N133" s="25">
        <f>'Combined Retirement'!$C$18/12</f>
        <v>39153.069999999992</v>
      </c>
      <c r="O133" s="25">
        <f t="shared" si="5"/>
        <v>10889.636755601023</v>
      </c>
      <c r="P133" s="25">
        <f t="shared" si="6"/>
        <v>28263.43324439897</v>
      </c>
      <c r="Q133" s="25">
        <f t="array" aca="1" ref="Q133" ca="1">INDEX('Isaac 401k'!L:L,MATCH('Retirement Calculator'!A133,'Isaac 401k'!N:N,0),0)</f>
        <v>1905372.9190363693</v>
      </c>
      <c r="R133" s="25">
        <f t="array" aca="1" ref="R133" ca="1">INDEX('Lorri 401b'!L:L,MATCH('Retirement Calculator'!A133,'Lorri 401b'!N:N,0),0)</f>
        <v>4459256.1217235047</v>
      </c>
      <c r="S133" s="25">
        <f t="shared" ca="1" si="7"/>
        <v>6364629.0407598745</v>
      </c>
    </row>
    <row r="134" spans="1:19" ht="15.75" customHeight="1" x14ac:dyDescent="0.3">
      <c r="A134" s="37">
        <v>55032</v>
      </c>
      <c r="B134" s="398">
        <f t="shared" ref="B134:C134" si="130">($A134-B$9)/365.25</f>
        <v>68.791238877481177</v>
      </c>
      <c r="C134" s="398">
        <f t="shared" si="130"/>
        <v>64.180698151950722</v>
      </c>
      <c r="E134" s="25">
        <f>IF(C134&gt;$B$7,0,'Combined Retirement'!$D$13/12)</f>
        <v>0</v>
      </c>
      <c r="F134" s="25">
        <f>IF(H134=0,'Combined Retirement'!$D$32,0)+'Combined Retirement'!$B$24</f>
        <v>2870.372285649099</v>
      </c>
      <c r="G134" s="25">
        <f>'Combined Retirement'!$C$24</f>
        <v>3254.2644699519233</v>
      </c>
      <c r="H134" s="25">
        <f>IF(B134&lt;62,0,'Combined Retirement'!$I$14)</f>
        <v>2345</v>
      </c>
      <c r="I134" s="25">
        <f>IF(C134&lt;62,0,'Combined Retirement'!$I$13)</f>
        <v>2420</v>
      </c>
      <c r="J134" s="25">
        <f t="shared" si="3"/>
        <v>7896.2379798201846</v>
      </c>
      <c r="K134" s="25">
        <f t="shared" si="4"/>
        <v>20367.195264578786</v>
      </c>
      <c r="L134" s="25"/>
      <c r="N134" s="25">
        <f>'Combined Retirement'!$C$18/12</f>
        <v>39153.069999999992</v>
      </c>
      <c r="O134" s="25">
        <f t="shared" si="5"/>
        <v>10889.636755601023</v>
      </c>
      <c r="P134" s="25">
        <f t="shared" si="6"/>
        <v>28263.43324439897</v>
      </c>
      <c r="Q134" s="25">
        <f t="array" aca="1" ref="Q134" ca="1">INDEX('Isaac 401k'!L:L,MATCH('Retirement Calculator'!A134,'Isaac 401k'!N:N,0),0)</f>
        <v>1905382.8338942847</v>
      </c>
      <c r="R134" s="25">
        <f t="array" aca="1" ref="R134" ca="1">INDEX('Lorri 401b'!L:L,MATCH('Retirement Calculator'!A134,'Lorri 401b'!N:N,0),0)</f>
        <v>4457384.2969858386</v>
      </c>
      <c r="S134" s="25">
        <f t="shared" ca="1" si="7"/>
        <v>6362767.130880123</v>
      </c>
    </row>
    <row r="135" spans="1:19" ht="15.75" customHeight="1" x14ac:dyDescent="0.3">
      <c r="A135" s="37">
        <v>55062</v>
      </c>
      <c r="B135" s="398">
        <f t="shared" ref="B135:C135" si="131">($A135-B$9)/365.25</f>
        <v>68.873374401095134</v>
      </c>
      <c r="C135" s="398">
        <f t="shared" si="131"/>
        <v>64.262833675564679</v>
      </c>
      <c r="E135" s="25">
        <f>IF(C135&gt;$B$7,0,'Combined Retirement'!$D$13/12)</f>
        <v>0</v>
      </c>
      <c r="F135" s="25">
        <f>IF(H135=0,'Combined Retirement'!$D$32,0)+'Combined Retirement'!$B$24</f>
        <v>2870.372285649099</v>
      </c>
      <c r="G135" s="25">
        <f>'Combined Retirement'!$C$24</f>
        <v>3254.2644699519233</v>
      </c>
      <c r="H135" s="25">
        <f>IF(B135&lt;62,0,'Combined Retirement'!$I$14)</f>
        <v>2345</v>
      </c>
      <c r="I135" s="25">
        <f>IF(C135&lt;62,0,'Combined Retirement'!$I$13)</f>
        <v>2420</v>
      </c>
      <c r="J135" s="25">
        <f t="shared" si="3"/>
        <v>7896.2379798201846</v>
      </c>
      <c r="K135" s="25">
        <f t="shared" si="4"/>
        <v>20367.195264578786</v>
      </c>
      <c r="L135" s="25"/>
      <c r="N135" s="25">
        <f>'Combined Retirement'!$C$18/12</f>
        <v>39153.069999999992</v>
      </c>
      <c r="O135" s="25">
        <f t="shared" si="5"/>
        <v>10889.636755601023</v>
      </c>
      <c r="P135" s="25">
        <f t="shared" si="6"/>
        <v>28263.43324439897</v>
      </c>
      <c r="Q135" s="25">
        <f t="array" aca="1" ref="Q135" ca="1">INDEX('Isaac 401k'!L:L,MATCH('Retirement Calculator'!A135,'Isaac 401k'!N:N,0),0)</f>
        <v>1905392.7900641081</v>
      </c>
      <c r="R135" s="25">
        <f t="array" aca="1" ref="R135" ca="1">INDEX('Lorri 401b'!L:L,MATCH('Retirement Calculator'!A135,'Lorri 401b'!N:N,0),0)</f>
        <v>4455504.6729784319</v>
      </c>
      <c r="S135" s="25">
        <f t="shared" ca="1" si="7"/>
        <v>6360897.4630425405</v>
      </c>
    </row>
    <row r="136" spans="1:19" ht="15.75" customHeight="1" x14ac:dyDescent="0.3">
      <c r="A136" s="37">
        <v>55093</v>
      </c>
      <c r="B136" s="398">
        <f t="shared" ref="B136:C136" si="132">($A136-B$9)/365.25</f>
        <v>68.958247775496233</v>
      </c>
      <c r="C136" s="398">
        <f t="shared" si="132"/>
        <v>64.347707049965777</v>
      </c>
      <c r="E136" s="25">
        <f>IF(C136&gt;$B$7,0,'Combined Retirement'!$D$13/12)</f>
        <v>0</v>
      </c>
      <c r="F136" s="25">
        <f>IF(H136=0,'Combined Retirement'!$D$32,0)+'Combined Retirement'!$B$24</f>
        <v>2870.372285649099</v>
      </c>
      <c r="G136" s="25">
        <f>'Combined Retirement'!$C$24</f>
        <v>3254.2644699519233</v>
      </c>
      <c r="H136" s="25">
        <f>IF(B136&lt;62,0,'Combined Retirement'!$I$14)</f>
        <v>2345</v>
      </c>
      <c r="I136" s="25">
        <f>IF(C136&lt;62,0,'Combined Retirement'!$I$13)</f>
        <v>2420</v>
      </c>
      <c r="J136" s="25">
        <f t="shared" si="3"/>
        <v>7896.2379798201846</v>
      </c>
      <c r="K136" s="25">
        <f t="shared" si="4"/>
        <v>20367.195264578786</v>
      </c>
      <c r="L136" s="25"/>
      <c r="N136" s="25">
        <f>'Combined Retirement'!$C$18/12</f>
        <v>39153.069999999992</v>
      </c>
      <c r="O136" s="25">
        <f t="shared" si="5"/>
        <v>10889.636755601023</v>
      </c>
      <c r="P136" s="25">
        <f t="shared" si="6"/>
        <v>28263.43324439897</v>
      </c>
      <c r="Q136" s="25">
        <f t="array" aca="1" ref="Q136" ca="1">INDEX('Isaac 401k'!L:L,MATCH('Retirement Calculator'!A136,'Isaac 401k'!N:N,0),0)</f>
        <v>1905402.7877179724</v>
      </c>
      <c r="R136" s="25">
        <f t="array" aca="1" ref="R136" ca="1">INDEX('Lorri 401b'!L:L,MATCH('Retirement Calculator'!A136,'Lorri 401b'!N:N,0),0)</f>
        <v>4453617.2172043277</v>
      </c>
      <c r="S136" s="25">
        <f t="shared" ca="1" si="7"/>
        <v>6359020.0049223006</v>
      </c>
    </row>
    <row r="137" spans="1:19" ht="15.75" customHeight="1" x14ac:dyDescent="0.3">
      <c r="A137" s="37">
        <v>55123</v>
      </c>
      <c r="B137" s="398">
        <f t="shared" ref="B137:C137" si="133">($A137-B$9)/365.25</f>
        <v>69.040383299110204</v>
      </c>
      <c r="C137" s="398">
        <f t="shared" si="133"/>
        <v>64.429842573579734</v>
      </c>
      <c r="E137" s="25">
        <f>IF(C137&gt;$B$7,0,'Combined Retirement'!$D$13/12)</f>
        <v>0</v>
      </c>
      <c r="F137" s="25">
        <f>IF(H137=0,'Combined Retirement'!$D$32,0)+'Combined Retirement'!$B$24</f>
        <v>2870.372285649099</v>
      </c>
      <c r="G137" s="25">
        <f>'Combined Retirement'!$C$24</f>
        <v>3254.2644699519233</v>
      </c>
      <c r="H137" s="25">
        <f>IF(B137&lt;62,0,'Combined Retirement'!$I$14)</f>
        <v>2345</v>
      </c>
      <c r="I137" s="25">
        <f>IF(C137&lt;62,0,'Combined Retirement'!$I$13)</f>
        <v>2420</v>
      </c>
      <c r="J137" s="25">
        <f t="shared" si="3"/>
        <v>7896.2379798201846</v>
      </c>
      <c r="K137" s="25">
        <f t="shared" si="4"/>
        <v>20367.195264578786</v>
      </c>
      <c r="L137" s="25"/>
      <c r="N137" s="25">
        <f>'Combined Retirement'!$C$18/12</f>
        <v>39153.069999999992</v>
      </c>
      <c r="O137" s="25">
        <f t="shared" si="5"/>
        <v>10889.636755601023</v>
      </c>
      <c r="P137" s="25">
        <f t="shared" si="6"/>
        <v>28263.43324439897</v>
      </c>
      <c r="Q137" s="25">
        <f t="array" aca="1" ref="Q137" ca="1">INDEX('Isaac 401k'!L:L,MATCH('Retirement Calculator'!A137,'Isaac 401k'!N:N,0),0)</f>
        <v>1905412.8270287279</v>
      </c>
      <c r="R137" s="25">
        <f t="array" aca="1" ref="R137" ca="1">INDEX('Lorri 401b'!L:L,MATCH('Retirement Calculator'!A137,'Lorri 401b'!N:N,0),0)</f>
        <v>4451721.8970311647</v>
      </c>
      <c r="S137" s="25">
        <f t="shared" ca="1" si="7"/>
        <v>6357134.7240598928</v>
      </c>
    </row>
    <row r="138" spans="1:19" ht="15.75" customHeight="1" x14ac:dyDescent="0.3">
      <c r="A138" s="37">
        <v>55154</v>
      </c>
      <c r="B138" s="398">
        <f t="shared" ref="B138:C138" si="134">($A138-B$9)/365.25</f>
        <v>69.125256673511288</v>
      </c>
      <c r="C138" s="398">
        <f t="shared" si="134"/>
        <v>64.514715947980832</v>
      </c>
      <c r="E138" s="25">
        <f>IF(C138&gt;$B$7,0,'Combined Retirement'!$D$13/12)</f>
        <v>0</v>
      </c>
      <c r="F138" s="25">
        <f>IF(H138=0,'Combined Retirement'!$D$32,0)+'Combined Retirement'!$B$24</f>
        <v>2870.372285649099</v>
      </c>
      <c r="G138" s="25">
        <f>'Combined Retirement'!$C$24</f>
        <v>3254.2644699519233</v>
      </c>
      <c r="H138" s="25">
        <f>IF(B138&lt;62,0,'Combined Retirement'!$I$14)</f>
        <v>2345</v>
      </c>
      <c r="I138" s="25">
        <f>IF(C138&lt;62,0,'Combined Retirement'!$I$13)</f>
        <v>2420</v>
      </c>
      <c r="J138" s="25">
        <f t="shared" si="3"/>
        <v>7896.2379798201846</v>
      </c>
      <c r="K138" s="25">
        <f t="shared" si="4"/>
        <v>20367.195264578786</v>
      </c>
      <c r="L138" s="25"/>
      <c r="N138" s="25">
        <f>'Combined Retirement'!$C$18/12</f>
        <v>39153.069999999992</v>
      </c>
      <c r="O138" s="25">
        <f t="shared" si="5"/>
        <v>10889.636755601023</v>
      </c>
      <c r="P138" s="25">
        <f t="shared" si="6"/>
        <v>28263.43324439897</v>
      </c>
      <c r="Q138" s="25">
        <f t="array" aca="1" ref="Q138" ca="1">INDEX('Isaac 401k'!L:L,MATCH('Retirement Calculator'!A138,'Isaac 401k'!N:N,0),0)</f>
        <v>1905422.9081699448</v>
      </c>
      <c r="R138" s="25">
        <f t="array" aca="1" ref="R138" ca="1">INDEX('Lorri 401b'!L:L,MATCH('Retirement Calculator'!A138,'Lorri 401b'!N:N,0),0)</f>
        <v>4449818.6796906134</v>
      </c>
      <c r="S138" s="25">
        <f t="shared" ca="1" si="7"/>
        <v>6355241.5878605582</v>
      </c>
    </row>
    <row r="139" spans="1:19" ht="15.75" customHeight="1" x14ac:dyDescent="0.3">
      <c r="A139" s="37">
        <v>55185</v>
      </c>
      <c r="B139" s="398">
        <f t="shared" ref="B139:C139" si="135">($A139-B$9)/365.25</f>
        <v>69.210130047912386</v>
      </c>
      <c r="C139" s="398">
        <f t="shared" si="135"/>
        <v>64.599589322381931</v>
      </c>
      <c r="E139" s="25">
        <f>IF(C139&gt;$B$7,0,'Combined Retirement'!$D$13/12)</f>
        <v>0</v>
      </c>
      <c r="F139" s="25">
        <f>IF(H139=0,'Combined Retirement'!$D$32,0)+'Combined Retirement'!$B$24</f>
        <v>2870.372285649099</v>
      </c>
      <c r="G139" s="25">
        <f>'Combined Retirement'!$C$24</f>
        <v>3254.2644699519233</v>
      </c>
      <c r="H139" s="25">
        <f>IF(B139&lt;62,0,'Combined Retirement'!$I$14)</f>
        <v>2345</v>
      </c>
      <c r="I139" s="25">
        <f>IF(C139&lt;62,0,'Combined Retirement'!$I$13)</f>
        <v>2420</v>
      </c>
      <c r="J139" s="25">
        <f t="shared" si="3"/>
        <v>7896.2379798201846</v>
      </c>
      <c r="K139" s="25">
        <f t="shared" si="4"/>
        <v>20367.195264578786</v>
      </c>
      <c r="L139" s="25"/>
      <c r="N139" s="25">
        <f>'Combined Retirement'!$C$18/12</f>
        <v>39153.069999999992</v>
      </c>
      <c r="O139" s="25">
        <f t="shared" si="5"/>
        <v>10889.636755601023</v>
      </c>
      <c r="P139" s="25">
        <f t="shared" si="6"/>
        <v>28263.43324439897</v>
      </c>
      <c r="Q139" s="25">
        <f t="array" aca="1" ref="Q139" ca="1">INDEX('Isaac 401k'!L:L,MATCH('Retirement Calculator'!A139,'Isaac 401k'!N:N,0),0)</f>
        <v>1905433.0313159167</v>
      </c>
      <c r="R139" s="25">
        <f t="array" aca="1" ref="R139" ca="1">INDEX('Lorri 401b'!L:L,MATCH('Retirement Calculator'!A139,'Lorri 401b'!N:N,0),0)</f>
        <v>4447907.5322778095</v>
      </c>
      <c r="S139" s="25">
        <f t="shared" ca="1" si="7"/>
        <v>6353340.5635937266</v>
      </c>
    </row>
    <row r="140" spans="1:19" ht="15.75" customHeight="1" x14ac:dyDescent="0.3">
      <c r="A140" s="37">
        <v>55213</v>
      </c>
      <c r="B140" s="398">
        <f t="shared" ref="B140:C140" si="136">($A140-B$9)/365.25</f>
        <v>69.286789869952088</v>
      </c>
      <c r="C140" s="398">
        <f t="shared" si="136"/>
        <v>64.676249144421632</v>
      </c>
      <c r="E140" s="25">
        <f>IF(C140&gt;$B$7,0,'Combined Retirement'!$D$13/12)</f>
        <v>0</v>
      </c>
      <c r="F140" s="25">
        <f>IF(H140=0,'Combined Retirement'!$D$32,0)+'Combined Retirement'!$B$24</f>
        <v>2870.372285649099</v>
      </c>
      <c r="G140" s="25">
        <f>'Combined Retirement'!$C$24</f>
        <v>3254.2644699519233</v>
      </c>
      <c r="H140" s="25">
        <f>IF(B140&lt;62,0,'Combined Retirement'!$I$14)</f>
        <v>2345</v>
      </c>
      <c r="I140" s="25">
        <f>IF(C140&lt;62,0,'Combined Retirement'!$I$13)</f>
        <v>2420</v>
      </c>
      <c r="J140" s="25">
        <f t="shared" si="3"/>
        <v>7896.2379798201846</v>
      </c>
      <c r="K140" s="25">
        <f t="shared" si="4"/>
        <v>20367.195264578786</v>
      </c>
      <c r="L140" s="25"/>
      <c r="N140" s="25">
        <f>'Combined Retirement'!$C$18/12</f>
        <v>39153.069999999992</v>
      </c>
      <c r="O140" s="25">
        <f t="shared" si="5"/>
        <v>10889.636755601023</v>
      </c>
      <c r="P140" s="25">
        <f t="shared" si="6"/>
        <v>28263.43324439897</v>
      </c>
      <c r="Q140" s="25">
        <f t="array" aca="1" ref="Q140" ca="1">INDEX('Isaac 401k'!L:L,MATCH('Retirement Calculator'!A140,'Isaac 401k'!N:N,0),0)</f>
        <v>1905443.1966416636</v>
      </c>
      <c r="R140" s="25">
        <f t="array" aca="1" ref="R140" ca="1">INDEX('Lorri 401b'!L:L,MATCH('Retirement Calculator'!A140,'Lorri 401b'!N:N,0),0)</f>
        <v>4445988.4217507858</v>
      </c>
      <c r="S140" s="25">
        <f t="shared" ca="1" si="7"/>
        <v>6351431.6183924489</v>
      </c>
    </row>
    <row r="141" spans="1:19" ht="15.75" customHeight="1" x14ac:dyDescent="0.3">
      <c r="A141" s="37">
        <v>55244</v>
      </c>
      <c r="B141" s="398">
        <f t="shared" ref="B141:C141" si="137">($A141-B$9)/365.25</f>
        <v>69.371663244353186</v>
      </c>
      <c r="C141" s="398">
        <f t="shared" si="137"/>
        <v>64.761122518822731</v>
      </c>
      <c r="E141" s="25">
        <f>IF(C141&gt;$B$7,0,'Combined Retirement'!$D$13/12)</f>
        <v>0</v>
      </c>
      <c r="F141" s="25">
        <f>IF(H141=0,'Combined Retirement'!$D$32,0)+'Combined Retirement'!$B$24</f>
        <v>2870.372285649099</v>
      </c>
      <c r="G141" s="25">
        <f>'Combined Retirement'!$C$24</f>
        <v>3254.2644699519233</v>
      </c>
      <c r="H141" s="25">
        <f>IF(B141&lt;62,0,'Combined Retirement'!$I$14)</f>
        <v>2345</v>
      </c>
      <c r="I141" s="25">
        <f>IF(C141&lt;62,0,'Combined Retirement'!$I$13)</f>
        <v>2420</v>
      </c>
      <c r="J141" s="25">
        <f t="shared" si="3"/>
        <v>7896.2379798201846</v>
      </c>
      <c r="K141" s="25">
        <f t="shared" si="4"/>
        <v>20367.195264578786</v>
      </c>
      <c r="L141" s="25"/>
      <c r="N141" s="25">
        <f>'Combined Retirement'!$C$18/12</f>
        <v>39153.069999999992</v>
      </c>
      <c r="O141" s="25">
        <f t="shared" si="5"/>
        <v>10889.636755601023</v>
      </c>
      <c r="P141" s="25">
        <f t="shared" si="6"/>
        <v>28263.43324439897</v>
      </c>
      <c r="Q141" s="25">
        <f t="array" aca="1" ref="Q141" ca="1">INDEX('Isaac 401k'!L:L,MATCH('Retirement Calculator'!A141,'Isaac 401k'!N:N,0),0)</f>
        <v>1905453.4043229343</v>
      </c>
      <c r="R141" s="25">
        <f t="array" aca="1" ref="R141" ca="1">INDEX('Lorri 401b'!L:L,MATCH('Retirement Calculator'!A141,'Lorri 401b'!N:N,0),0)</f>
        <v>4444061.3149298998</v>
      </c>
      <c r="S141" s="25">
        <f t="shared" ca="1" si="7"/>
        <v>6349514.7192528341</v>
      </c>
    </row>
    <row r="142" spans="1:19" ht="15.75" customHeight="1" x14ac:dyDescent="0.3">
      <c r="A142" s="37">
        <v>55274</v>
      </c>
      <c r="B142" s="398">
        <f t="shared" ref="B142:C142" si="138">($A142-B$9)/365.25</f>
        <v>69.453798767967143</v>
      </c>
      <c r="C142" s="398">
        <f t="shared" si="138"/>
        <v>64.843258042436688</v>
      </c>
      <c r="E142" s="25">
        <f>IF(C142&gt;$B$7,0,'Combined Retirement'!$D$13/12)</f>
        <v>0</v>
      </c>
      <c r="F142" s="25">
        <f>IF(H142=0,'Combined Retirement'!$D$32,0)+'Combined Retirement'!$B$24</f>
        <v>2870.372285649099</v>
      </c>
      <c r="G142" s="25">
        <f>'Combined Retirement'!$C$24</f>
        <v>3254.2644699519233</v>
      </c>
      <c r="H142" s="25">
        <f>IF(B142&lt;62,0,'Combined Retirement'!$I$14)</f>
        <v>2345</v>
      </c>
      <c r="I142" s="25">
        <f>IF(C142&lt;62,0,'Combined Retirement'!$I$13)</f>
        <v>2420</v>
      </c>
      <c r="J142" s="25">
        <f t="shared" si="3"/>
        <v>7896.2379798201846</v>
      </c>
      <c r="K142" s="25">
        <f t="shared" si="4"/>
        <v>20367.195264578786</v>
      </c>
      <c r="L142" s="25"/>
      <c r="N142" s="25">
        <f>'Combined Retirement'!$C$18/12</f>
        <v>39153.069999999992</v>
      </c>
      <c r="O142" s="25">
        <f t="shared" si="5"/>
        <v>10889.636755601023</v>
      </c>
      <c r="P142" s="25">
        <f t="shared" si="6"/>
        <v>28263.43324439897</v>
      </c>
      <c r="Q142" s="25">
        <f t="array" aca="1" ref="Q142" ca="1">INDEX('Isaac 401k'!L:L,MATCH('Retirement Calculator'!A142,'Isaac 401k'!N:N,0),0)</f>
        <v>1905463.6545362105</v>
      </c>
      <c r="R142" s="25">
        <f t="array" aca="1" ref="R142" ca="1">INDEX('Lorri 401b'!L:L,MATCH('Retirement Calculator'!A142,'Lorri 401b'!N:N,0),0)</f>
        <v>4442126.1784972595</v>
      </c>
      <c r="S142" s="25">
        <f t="shared" ca="1" si="7"/>
        <v>6347589.8330334704</v>
      </c>
    </row>
    <row r="143" spans="1:19" ht="15.75" customHeight="1" x14ac:dyDescent="0.3">
      <c r="A143" s="37">
        <v>55305</v>
      </c>
      <c r="B143" s="398">
        <f t="shared" ref="B143:C143" si="139">($A143-B$9)/365.25</f>
        <v>69.538672142368242</v>
      </c>
      <c r="C143" s="398">
        <f t="shared" si="139"/>
        <v>64.928131416837786</v>
      </c>
      <c r="E143" s="25">
        <f>IF(C143&gt;$B$7,0,'Combined Retirement'!$D$13/12)</f>
        <v>0</v>
      </c>
      <c r="F143" s="25">
        <f>IF(H143=0,'Combined Retirement'!$D$32,0)+'Combined Retirement'!$B$24</f>
        <v>2870.372285649099</v>
      </c>
      <c r="G143" s="25">
        <f>'Combined Retirement'!$C$24</f>
        <v>3254.2644699519233</v>
      </c>
      <c r="H143" s="25">
        <f>IF(B143&lt;62,0,'Combined Retirement'!$I$14)</f>
        <v>2345</v>
      </c>
      <c r="I143" s="25">
        <f>IF(C143&lt;62,0,'Combined Retirement'!$I$13)</f>
        <v>2420</v>
      </c>
      <c r="J143" s="25">
        <f t="shared" si="3"/>
        <v>7896.2379798201846</v>
      </c>
      <c r="K143" s="25">
        <f t="shared" si="4"/>
        <v>20367.195264578786</v>
      </c>
      <c r="L143" s="25"/>
      <c r="N143" s="25">
        <f>'Combined Retirement'!$C$18/12</f>
        <v>39153.069999999992</v>
      </c>
      <c r="O143" s="25">
        <f t="shared" si="5"/>
        <v>10889.636755601023</v>
      </c>
      <c r="P143" s="25">
        <f t="shared" si="6"/>
        <v>28263.43324439897</v>
      </c>
      <c r="Q143" s="25">
        <f t="array" aca="1" ref="Q143" ca="1">INDEX('Isaac 401k'!L:L,MATCH('Retirement Calculator'!A143,'Isaac 401k'!N:N,0),0)</f>
        <v>1905473.9474587084</v>
      </c>
      <c r="R143" s="25">
        <f t="array" aca="1" ref="R143" ca="1">INDEX('Lorri 401b'!L:L,MATCH('Retirement Calculator'!A143,'Lorri 401b'!N:N,0),0)</f>
        <v>4440182.9789961502</v>
      </c>
      <c r="S143" s="25">
        <f t="shared" ca="1" si="7"/>
        <v>6345656.9264548589</v>
      </c>
    </row>
    <row r="144" spans="1:19" ht="15.75" customHeight="1" x14ac:dyDescent="0.3">
      <c r="A144" s="37">
        <v>55335</v>
      </c>
      <c r="B144" s="398">
        <f t="shared" ref="B144:C144" si="140">($A144-B$9)/365.25</f>
        <v>69.620807665982198</v>
      </c>
      <c r="C144" s="398">
        <f t="shared" si="140"/>
        <v>65.010266940451743</v>
      </c>
      <c r="E144" s="25">
        <f>IF(C144&gt;$B$7,0,'Combined Retirement'!$D$13/12)</f>
        <v>0</v>
      </c>
      <c r="F144" s="25">
        <f>IF(H144=0,'Combined Retirement'!$D$32,0)+'Combined Retirement'!$B$24</f>
        <v>2870.372285649099</v>
      </c>
      <c r="G144" s="25">
        <f>'Combined Retirement'!$C$24</f>
        <v>3254.2644699519233</v>
      </c>
      <c r="H144" s="25">
        <f>IF(B144&lt;62,0,'Combined Retirement'!$I$14)</f>
        <v>2345</v>
      </c>
      <c r="I144" s="25">
        <f>IF(C144&lt;62,0,'Combined Retirement'!$I$13)</f>
        <v>2420</v>
      </c>
      <c r="J144" s="25">
        <f t="shared" si="3"/>
        <v>7896.2379798201846</v>
      </c>
      <c r="K144" s="25">
        <f t="shared" si="4"/>
        <v>20367.195264578786</v>
      </c>
      <c r="L144" s="25"/>
      <c r="N144" s="25">
        <f>'Combined Retirement'!$C$18/12</f>
        <v>39153.069999999992</v>
      </c>
      <c r="O144" s="25">
        <f t="shared" si="5"/>
        <v>10889.636755601023</v>
      </c>
      <c r="P144" s="25">
        <f t="shared" si="6"/>
        <v>28263.43324439897</v>
      </c>
      <c r="Q144" s="25">
        <f t="array" aca="1" ref="Q144" ca="1">INDEX('Isaac 401k'!L:L,MATCH('Retirement Calculator'!A144,'Isaac 401k'!N:N,0),0)</f>
        <v>1905484.2832683835</v>
      </c>
      <c r="R144" s="25">
        <f t="array" aca="1" ref="R144" ca="1">INDEX('Lorri 401b'!L:L,MATCH('Retirement Calculator'!A144,'Lorri 401b'!N:N,0),0)</f>
        <v>4438231.6828304529</v>
      </c>
      <c r="S144" s="25">
        <f t="shared" ca="1" si="7"/>
        <v>6343715.9660988366</v>
      </c>
    </row>
    <row r="145" spans="1:19" ht="15.75" customHeight="1" x14ac:dyDescent="0.3">
      <c r="A145" s="37">
        <v>55366</v>
      </c>
      <c r="B145" s="398">
        <f t="shared" ref="B145:C145" si="141">($A145-B$9)/365.25</f>
        <v>69.705681040383297</v>
      </c>
      <c r="C145" s="398">
        <f t="shared" si="141"/>
        <v>65.095140314852841</v>
      </c>
      <c r="E145" s="25">
        <f>IF(C145&gt;$B$7,0,'Combined Retirement'!$D$13/12)</f>
        <v>0</v>
      </c>
      <c r="F145" s="25">
        <f>IF(H145=0,'Combined Retirement'!$D$32,0)+'Combined Retirement'!$B$24</f>
        <v>2870.372285649099</v>
      </c>
      <c r="G145" s="25">
        <f>'Combined Retirement'!$C$24</f>
        <v>3254.2644699519233</v>
      </c>
      <c r="H145" s="25">
        <f>IF(B145&lt;62,0,'Combined Retirement'!$I$14)</f>
        <v>2345</v>
      </c>
      <c r="I145" s="25">
        <f>IF(C145&lt;62,0,'Combined Retirement'!$I$13)</f>
        <v>2420</v>
      </c>
      <c r="J145" s="25">
        <f t="shared" si="3"/>
        <v>7896.2379798201846</v>
      </c>
      <c r="K145" s="25">
        <f t="shared" si="4"/>
        <v>20367.195264578786</v>
      </c>
      <c r="L145" s="25"/>
      <c r="N145" s="25">
        <f>'Combined Retirement'!$C$18/12</f>
        <v>39153.069999999992</v>
      </c>
      <c r="O145" s="25">
        <f t="shared" si="5"/>
        <v>10889.636755601023</v>
      </c>
      <c r="P145" s="25">
        <f t="shared" si="6"/>
        <v>28263.43324439897</v>
      </c>
      <c r="Q145" s="25">
        <f t="array" aca="1" ref="Q145" ca="1">INDEX('Isaac 401k'!L:L,MATCH('Retirement Calculator'!A145,'Isaac 401k'!N:N,0),0)</f>
        <v>1905494.6621439322</v>
      </c>
      <c r="R145" s="25">
        <f t="array" aca="1" ref="R145" ca="1">INDEX('Lorri 401b'!L:L,MATCH('Retirement Calculator'!A145,'Lorri 401b'!N:N,0),0)</f>
        <v>4436272.2562640654</v>
      </c>
      <c r="S145" s="25">
        <f t="shared" ca="1" si="7"/>
        <v>6341766.9184079971</v>
      </c>
    </row>
    <row r="146" spans="1:19" ht="15.75" customHeight="1" x14ac:dyDescent="0.3">
      <c r="A146" s="37">
        <v>55397</v>
      </c>
      <c r="B146" s="398">
        <f t="shared" ref="B146:C146" si="142">($A146-B$9)/365.25</f>
        <v>69.790554414784395</v>
      </c>
      <c r="C146" s="398">
        <f t="shared" si="142"/>
        <v>65.18001368925394</v>
      </c>
      <c r="E146" s="25">
        <f>IF(C146&gt;$B$7,0,'Combined Retirement'!$D$13/12)</f>
        <v>0</v>
      </c>
      <c r="F146" s="25">
        <f>IF(H146=0,'Combined Retirement'!$D$32,0)+'Combined Retirement'!$B$24</f>
        <v>2870.372285649099</v>
      </c>
      <c r="G146" s="25">
        <f>'Combined Retirement'!$C$24</f>
        <v>3254.2644699519233</v>
      </c>
      <c r="H146" s="25">
        <f>IF(B146&lt;62,0,'Combined Retirement'!$I$14)</f>
        <v>2345</v>
      </c>
      <c r="I146" s="25">
        <f>IF(C146&lt;62,0,'Combined Retirement'!$I$13)</f>
        <v>2420</v>
      </c>
      <c r="J146" s="25">
        <f t="shared" si="3"/>
        <v>7896.2379798201846</v>
      </c>
      <c r="K146" s="25">
        <f t="shared" si="4"/>
        <v>20367.195264578786</v>
      </c>
      <c r="L146" s="25"/>
      <c r="N146" s="25">
        <f>'Combined Retirement'!$C$18/12</f>
        <v>39153.069999999992</v>
      </c>
      <c r="O146" s="25">
        <f t="shared" si="5"/>
        <v>10889.636755601023</v>
      </c>
      <c r="P146" s="25">
        <f t="shared" si="6"/>
        <v>28263.43324439897</v>
      </c>
      <c r="Q146" s="25">
        <f t="array" aca="1" ref="Q146" ca="1">INDEX('Isaac 401k'!L:L,MATCH('Retirement Calculator'!A146,'Isaac 401k'!N:N,0),0)</f>
        <v>1905505.0842647958</v>
      </c>
      <c r="R146" s="25">
        <f t="array" aca="1" ref="R146" ca="1">INDEX('Lorri 401b'!L:L,MATCH('Retirement Calculator'!A146,'Lorri 401b'!N:N,0),0)</f>
        <v>4434304.665420318</v>
      </c>
      <c r="S146" s="25">
        <f t="shared" ca="1" si="7"/>
        <v>6339809.7496851142</v>
      </c>
    </row>
    <row r="147" spans="1:19" ht="15.75" customHeight="1" x14ac:dyDescent="0.3">
      <c r="A147" s="37">
        <v>55427</v>
      </c>
      <c r="B147" s="398">
        <f t="shared" ref="B147:C147" si="143">($A147-B$9)/365.25</f>
        <v>69.872689938398352</v>
      </c>
      <c r="C147" s="398">
        <f t="shared" si="143"/>
        <v>65.262149212867897</v>
      </c>
      <c r="E147" s="25">
        <f>IF(C147&gt;$B$7,0,'Combined Retirement'!$D$13/12)</f>
        <v>0</v>
      </c>
      <c r="F147" s="25">
        <f>IF(H147=0,'Combined Retirement'!$D$32,0)+'Combined Retirement'!$B$24</f>
        <v>2870.372285649099</v>
      </c>
      <c r="G147" s="25">
        <f>'Combined Retirement'!$C$24</f>
        <v>3254.2644699519233</v>
      </c>
      <c r="H147" s="25">
        <f>IF(B147&lt;62,0,'Combined Retirement'!$I$14)</f>
        <v>2345</v>
      </c>
      <c r="I147" s="25">
        <f>IF(C147&lt;62,0,'Combined Retirement'!$I$13)</f>
        <v>2420</v>
      </c>
      <c r="J147" s="25">
        <f t="shared" si="3"/>
        <v>7896.2379798201846</v>
      </c>
      <c r="K147" s="25">
        <f t="shared" si="4"/>
        <v>20367.195264578786</v>
      </c>
      <c r="L147" s="25"/>
      <c r="N147" s="25">
        <f>'Combined Retirement'!$C$18/12</f>
        <v>39153.069999999992</v>
      </c>
      <c r="O147" s="25">
        <f t="shared" si="5"/>
        <v>10889.636755601023</v>
      </c>
      <c r="P147" s="25">
        <f t="shared" si="6"/>
        <v>28263.43324439897</v>
      </c>
      <c r="Q147" s="25">
        <f t="array" aca="1" ref="Q147" ca="1">INDEX('Isaac 401k'!L:L,MATCH('Retirement Calculator'!A147,'Isaac 401k'!N:N,0),0)</f>
        <v>1905515.549811163</v>
      </c>
      <c r="R147" s="25">
        <f t="array" aca="1" ref="R147" ca="1">INDEX('Lorri 401b'!L:L,MATCH('Retirement Calculator'!A147,'Lorri 401b'!N:N,0),0)</f>
        <v>4432328.8762813881</v>
      </c>
      <c r="S147" s="25">
        <f t="shared" ca="1" si="7"/>
        <v>6337844.4260925511</v>
      </c>
    </row>
    <row r="148" spans="1:19" ht="15.75" customHeight="1" x14ac:dyDescent="0.3">
      <c r="A148" s="37">
        <v>55458</v>
      </c>
      <c r="B148" s="398">
        <f t="shared" ref="B148:C148" si="144">($A148-B$9)/365.25</f>
        <v>69.957563312799451</v>
      </c>
      <c r="C148" s="398">
        <f t="shared" si="144"/>
        <v>65.347022587268995</v>
      </c>
      <c r="E148" s="25">
        <f>IF(C148&gt;$B$7,0,'Combined Retirement'!$D$13/12)</f>
        <v>0</v>
      </c>
      <c r="F148" s="25">
        <f>IF(H148=0,'Combined Retirement'!$D$32,0)+'Combined Retirement'!$B$24</f>
        <v>2870.372285649099</v>
      </c>
      <c r="G148" s="25">
        <f>'Combined Retirement'!$C$24</f>
        <v>3254.2644699519233</v>
      </c>
      <c r="H148" s="25">
        <f>IF(B148&lt;62,0,'Combined Retirement'!$I$14)</f>
        <v>2345</v>
      </c>
      <c r="I148" s="25">
        <f>IF(C148&lt;62,0,'Combined Retirement'!$I$13)</f>
        <v>2420</v>
      </c>
      <c r="J148" s="25">
        <f t="shared" si="3"/>
        <v>7896.2379798201846</v>
      </c>
      <c r="K148" s="25">
        <f t="shared" si="4"/>
        <v>20367.195264578786</v>
      </c>
      <c r="L148" s="25"/>
      <c r="N148" s="25">
        <f>'Combined Retirement'!$C$18/12</f>
        <v>39153.069999999992</v>
      </c>
      <c r="O148" s="25">
        <f t="shared" si="5"/>
        <v>10889.636755601023</v>
      </c>
      <c r="P148" s="25">
        <f t="shared" si="6"/>
        <v>28263.43324439897</v>
      </c>
      <c r="Q148" s="25">
        <f t="array" aca="1" ref="Q148" ca="1">INDEX('Isaac 401k'!L:L,MATCH('Retirement Calculator'!A148,'Isaac 401k'!N:N,0),0)</f>
        <v>1905526.0589639733</v>
      </c>
      <c r="R148" s="25">
        <f t="array" aca="1" ref="R148" ca="1">INDEX('Lorri 401b'!L:L,MATCH('Retirement Calculator'!A148,'Lorri 401b'!N:N,0),0)</f>
        <v>4430344.8546877131</v>
      </c>
      <c r="S148" s="25">
        <f t="shared" ca="1" si="7"/>
        <v>6335870.9136516862</v>
      </c>
    </row>
    <row r="149" spans="1:19" ht="15.75" customHeight="1" x14ac:dyDescent="0.3">
      <c r="A149" s="37">
        <v>55488</v>
      </c>
      <c r="B149" s="398">
        <f t="shared" ref="B149:C149" si="145">($A149-B$9)/365.25</f>
        <v>70.039698836413422</v>
      </c>
      <c r="C149" s="398">
        <f t="shared" si="145"/>
        <v>65.429158110882952</v>
      </c>
      <c r="E149" s="25">
        <f>IF(C149&gt;$B$7,0,'Combined Retirement'!$D$13/12)</f>
        <v>0</v>
      </c>
      <c r="F149" s="25">
        <f>IF(H149=0,'Combined Retirement'!$D$32,0)+'Combined Retirement'!$B$24</f>
        <v>2870.372285649099</v>
      </c>
      <c r="G149" s="25">
        <f>'Combined Retirement'!$C$24</f>
        <v>3254.2644699519233</v>
      </c>
      <c r="H149" s="25">
        <f>IF(B149&lt;62,0,'Combined Retirement'!$I$14)</f>
        <v>2345</v>
      </c>
      <c r="I149" s="25">
        <f>IF(C149&lt;62,0,'Combined Retirement'!$I$13)</f>
        <v>2420</v>
      </c>
      <c r="J149" s="25">
        <f t="shared" si="3"/>
        <v>7896.2379798201846</v>
      </c>
      <c r="K149" s="25">
        <f t="shared" si="4"/>
        <v>20367.195264578786</v>
      </c>
      <c r="L149" s="25"/>
      <c r="N149" s="25">
        <f>'Combined Retirement'!$C$18/12</f>
        <v>39153.069999999992</v>
      </c>
      <c r="O149" s="25">
        <f t="shared" si="5"/>
        <v>10889.636755601023</v>
      </c>
      <c r="P149" s="25">
        <f t="shared" si="6"/>
        <v>28263.43324439897</v>
      </c>
      <c r="Q149" s="25">
        <f t="array" aca="1" ref="Q149" ca="1">INDEX('Isaac 401k'!L:L,MATCH('Retirement Calculator'!A149,'Isaac 401k'!N:N,0),0)</f>
        <v>1905536.6119049203</v>
      </c>
      <c r="R149" s="25">
        <f t="array" aca="1" ref="R149" ca="1">INDEX('Lorri 401b'!L:L,MATCH('Retirement Calculator'!A149,'Lorri 401b'!N:N,0),0)</f>
        <v>4428352.5663373973</v>
      </c>
      <c r="S149" s="25">
        <f t="shared" ca="1" si="7"/>
        <v>6333889.1782423174</v>
      </c>
    </row>
    <row r="150" spans="1:19" ht="15.75" customHeight="1" x14ac:dyDescent="0.3">
      <c r="A150" s="37">
        <v>55519</v>
      </c>
      <c r="B150" s="398">
        <f t="shared" ref="B150:C150" si="146">($A150-B$9)/365.25</f>
        <v>70.124572210814506</v>
      </c>
      <c r="C150" s="398">
        <f t="shared" si="146"/>
        <v>65.51403148528405</v>
      </c>
      <c r="E150" s="25">
        <f>IF(C150&gt;$B$7,0,'Combined Retirement'!$D$13/12)</f>
        <v>0</v>
      </c>
      <c r="F150" s="25">
        <f>IF(H150=0,'Combined Retirement'!$D$32,0)+'Combined Retirement'!$B$24</f>
        <v>2870.372285649099</v>
      </c>
      <c r="G150" s="25">
        <f>'Combined Retirement'!$C$24</f>
        <v>3254.2644699519233</v>
      </c>
      <c r="H150" s="25">
        <f>IF(B150&lt;62,0,'Combined Retirement'!$I$14)</f>
        <v>2345</v>
      </c>
      <c r="I150" s="25">
        <f>IF(C150&lt;62,0,'Combined Retirement'!$I$13)</f>
        <v>2420</v>
      </c>
      <c r="J150" s="25">
        <f t="shared" si="3"/>
        <v>7896.2379798201846</v>
      </c>
      <c r="K150" s="25">
        <f t="shared" si="4"/>
        <v>20367.195264578786</v>
      </c>
      <c r="L150" s="25"/>
      <c r="N150" s="25">
        <f>'Combined Retirement'!$C$18/12</f>
        <v>39153.069999999992</v>
      </c>
      <c r="O150" s="25">
        <f t="shared" si="5"/>
        <v>10889.636755601023</v>
      </c>
      <c r="P150" s="25">
        <f t="shared" si="6"/>
        <v>28263.43324439897</v>
      </c>
      <c r="Q150" s="25">
        <f t="array" aca="1" ref="Q150" ca="1">INDEX('Isaac 401k'!L:L,MATCH('Retirement Calculator'!A150,'Isaac 401k'!N:N,0),0)</f>
        <v>1905547.2088164547</v>
      </c>
      <c r="R150" s="25">
        <f t="array" aca="1" ref="R150" ca="1">INDEX('Lorri 401b'!L:L,MATCH('Retirement Calculator'!A150,'Lorri 401b'!N:N,0),0)</f>
        <v>4426351.9767856216</v>
      </c>
      <c r="S150" s="25">
        <f t="shared" ca="1" si="7"/>
        <v>6331899.1856020764</v>
      </c>
    </row>
    <row r="151" spans="1:19" ht="15.75" customHeight="1" x14ac:dyDescent="0.3">
      <c r="A151" s="37">
        <v>55550</v>
      </c>
      <c r="B151" s="398">
        <f t="shared" ref="B151:C151" si="147">($A151-B$9)/365.25</f>
        <v>70.209445585215605</v>
      </c>
      <c r="C151" s="398">
        <f t="shared" si="147"/>
        <v>65.598904859685149</v>
      </c>
      <c r="E151" s="25">
        <f>IF(C151&gt;$B$7,0,'Combined Retirement'!$D$13/12)</f>
        <v>0</v>
      </c>
      <c r="F151" s="25">
        <f>IF(H151=0,'Combined Retirement'!$D$32,0)+'Combined Retirement'!$B$24</f>
        <v>2870.372285649099</v>
      </c>
      <c r="G151" s="25">
        <f>'Combined Retirement'!$C$24</f>
        <v>3254.2644699519233</v>
      </c>
      <c r="H151" s="25">
        <f>IF(B151&lt;62,0,'Combined Retirement'!$I$14)</f>
        <v>2345</v>
      </c>
      <c r="I151" s="25">
        <f>IF(C151&lt;62,0,'Combined Retirement'!$I$13)</f>
        <v>2420</v>
      </c>
      <c r="J151" s="25">
        <f t="shared" si="3"/>
        <v>7896.2379798201846</v>
      </c>
      <c r="K151" s="25">
        <f t="shared" si="4"/>
        <v>20367.195264578786</v>
      </c>
      <c r="L151" s="25"/>
      <c r="N151" s="25">
        <f>'Combined Retirement'!$C$18/12</f>
        <v>39153.069999999992</v>
      </c>
      <c r="O151" s="25">
        <f t="shared" si="5"/>
        <v>10889.636755601023</v>
      </c>
      <c r="P151" s="25">
        <f t="shared" si="6"/>
        <v>28263.43324439897</v>
      </c>
      <c r="Q151" s="25">
        <f t="array" aca="1" ref="Q151" ca="1">INDEX('Isaac 401k'!L:L,MATCH('Retirement Calculator'!A151,'Isaac 401k'!N:N,0),0)</f>
        <v>1905557.8498817871</v>
      </c>
      <c r="R151" s="25">
        <f t="array" aca="1" ref="R151" ca="1">INDEX('Lorri 401b'!L:L,MATCH('Retirement Calculator'!A151,'Lorri 401b'!N:N,0),0)</f>
        <v>4424343.0514440471</v>
      </c>
      <c r="S151" s="25">
        <f t="shared" ca="1" si="7"/>
        <v>6329900.901325834</v>
      </c>
    </row>
    <row r="152" spans="1:19" ht="15.75" customHeight="1" x14ac:dyDescent="0.3">
      <c r="A152" s="37">
        <v>55579</v>
      </c>
      <c r="B152" s="398">
        <f t="shared" ref="B152:C152" si="148">($A152-B$9)/365.25</f>
        <v>70.288843258042434</v>
      </c>
      <c r="C152" s="398">
        <f t="shared" si="148"/>
        <v>65.678302532511978</v>
      </c>
      <c r="E152" s="25">
        <f>IF(C152&gt;$B$7,0,'Combined Retirement'!$D$13/12)</f>
        <v>0</v>
      </c>
      <c r="F152" s="25">
        <f>IF(H152=0,'Combined Retirement'!$D$32,0)+'Combined Retirement'!$B$24</f>
        <v>2870.372285649099</v>
      </c>
      <c r="G152" s="25">
        <f>'Combined Retirement'!$C$24</f>
        <v>3254.2644699519233</v>
      </c>
      <c r="H152" s="25">
        <f>IF(B152&lt;62,0,'Combined Retirement'!$I$14)</f>
        <v>2345</v>
      </c>
      <c r="I152" s="25">
        <f>IF(C152&lt;62,0,'Combined Retirement'!$I$13)</f>
        <v>2420</v>
      </c>
      <c r="J152" s="25">
        <f t="shared" si="3"/>
        <v>7896.2379798201846</v>
      </c>
      <c r="K152" s="25">
        <f t="shared" si="4"/>
        <v>20367.195264578786</v>
      </c>
      <c r="L152" s="25"/>
      <c r="N152" s="25">
        <f>'Combined Retirement'!$C$18/12</f>
        <v>39153.069999999992</v>
      </c>
      <c r="O152" s="25">
        <f t="shared" si="5"/>
        <v>10889.636755601023</v>
      </c>
      <c r="P152" s="25">
        <f t="shared" si="6"/>
        <v>28263.43324439897</v>
      </c>
      <c r="Q152" s="25">
        <f t="array" aca="1" ref="Q152" ca="1">INDEX('Isaac 401k'!L:L,MATCH('Retirement Calculator'!A152,'Isaac 401k'!N:N,0),0)</f>
        <v>1905568.5352848917</v>
      </c>
      <c r="R152" s="25">
        <f t="array" aca="1" ref="R152" ca="1">INDEX('Lorri 401b'!L:L,MATCH('Retirement Calculator'!A152,'Lorri 401b'!N:N,0),0)</f>
        <v>4422325.7555802157</v>
      </c>
      <c r="S152" s="25">
        <f t="shared" ca="1" si="7"/>
        <v>6327894.2908651074</v>
      </c>
    </row>
    <row r="153" spans="1:19" ht="15.75" customHeight="1" x14ac:dyDescent="0.3">
      <c r="A153" s="37">
        <v>55610</v>
      </c>
      <c r="B153" s="398">
        <f t="shared" ref="B153:C153" si="149">($A153-B$9)/365.25</f>
        <v>70.373716632443532</v>
      </c>
      <c r="C153" s="398">
        <f t="shared" si="149"/>
        <v>65.763175906913077</v>
      </c>
      <c r="E153" s="25">
        <f>IF(C153&gt;$B$7,0,'Combined Retirement'!$D$13/12)</f>
        <v>0</v>
      </c>
      <c r="F153" s="25">
        <f>IF(H153=0,'Combined Retirement'!$D$32,0)+'Combined Retirement'!$B$24</f>
        <v>2870.372285649099</v>
      </c>
      <c r="G153" s="25">
        <f>'Combined Retirement'!$C$24</f>
        <v>3254.2644699519233</v>
      </c>
      <c r="H153" s="25">
        <f>IF(B153&lt;62,0,'Combined Retirement'!$I$14)</f>
        <v>2345</v>
      </c>
      <c r="I153" s="25">
        <f>IF(C153&lt;62,0,'Combined Retirement'!$I$13)</f>
        <v>2420</v>
      </c>
      <c r="J153" s="25">
        <f t="shared" si="3"/>
        <v>7896.2379798201846</v>
      </c>
      <c r="K153" s="25">
        <f t="shared" si="4"/>
        <v>20367.195264578786</v>
      </c>
      <c r="L153" s="25"/>
      <c r="N153" s="25">
        <f>'Combined Retirement'!$C$18/12</f>
        <v>39153.069999999992</v>
      </c>
      <c r="O153" s="25">
        <f t="shared" si="5"/>
        <v>10889.636755601023</v>
      </c>
      <c r="P153" s="25">
        <f t="shared" si="6"/>
        <v>28263.43324439897</v>
      </c>
      <c r="Q153" s="25">
        <f t="array" aca="1" ref="Q153" ca="1">INDEX('Isaac 401k'!L:L,MATCH('Retirement Calculator'!A153,'Isaac 401k'!N:N,0),0)</f>
        <v>1905579.2652105093</v>
      </c>
      <c r="R153" s="25">
        <f t="array" aca="1" ref="R153" ca="1">INDEX('Lorri 401b'!L:L,MATCH('Retirement Calculator'!A153,'Lorri 401b'!N:N,0),0)</f>
        <v>4420300.0543169519</v>
      </c>
      <c r="S153" s="25">
        <f t="shared" ca="1" si="7"/>
        <v>6325879.3195274612</v>
      </c>
    </row>
    <row r="154" spans="1:19" ht="15.75" customHeight="1" x14ac:dyDescent="0.3">
      <c r="A154" s="37">
        <v>55640</v>
      </c>
      <c r="B154" s="398">
        <f t="shared" ref="B154:C154" si="150">($A154-B$9)/365.25</f>
        <v>70.455852156057489</v>
      </c>
      <c r="C154" s="398">
        <f t="shared" si="150"/>
        <v>65.845311430527033</v>
      </c>
      <c r="E154" s="25">
        <f>IF(C154&gt;$B$7,0,'Combined Retirement'!$D$13/12)</f>
        <v>0</v>
      </c>
      <c r="F154" s="25">
        <f>IF(H154=0,'Combined Retirement'!$D$32,0)+'Combined Retirement'!$B$24</f>
        <v>2870.372285649099</v>
      </c>
      <c r="G154" s="25">
        <f>'Combined Retirement'!$C$24</f>
        <v>3254.2644699519233</v>
      </c>
      <c r="H154" s="25">
        <f>IF(B154&lt;62,0,'Combined Retirement'!$I$14)</f>
        <v>2345</v>
      </c>
      <c r="I154" s="25">
        <f>IF(C154&lt;62,0,'Combined Retirement'!$I$13)</f>
        <v>2420</v>
      </c>
      <c r="J154" s="25">
        <f t="shared" si="3"/>
        <v>7896.2379798201846</v>
      </c>
      <c r="K154" s="25">
        <f t="shared" si="4"/>
        <v>20367.195264578786</v>
      </c>
      <c r="L154" s="25"/>
      <c r="N154" s="25">
        <f>'Combined Retirement'!$C$18/12</f>
        <v>39153.069999999992</v>
      </c>
      <c r="O154" s="25">
        <f t="shared" si="5"/>
        <v>10889.636755601023</v>
      </c>
      <c r="P154" s="25">
        <f t="shared" si="6"/>
        <v>28263.43324439897</v>
      </c>
      <c r="Q154" s="25">
        <f t="array" aca="1" ref="Q154" ca="1">INDEX('Isaac 401k'!L:L,MATCH('Retirement Calculator'!A154,'Isaac 401k'!N:N,0),0)</f>
        <v>1905590.0398441502</v>
      </c>
      <c r="R154" s="25">
        <f t="array" aca="1" ref="R154" ca="1">INDEX('Lorri 401b'!L:L,MATCH('Retirement Calculator'!A154,'Lorri 401b'!N:N,0),0)</f>
        <v>4418265.9126317576</v>
      </c>
      <c r="S154" s="25">
        <f t="shared" ca="1" si="7"/>
        <v>6323855.9524759073</v>
      </c>
    </row>
    <row r="155" spans="1:19" ht="15.75" customHeight="1" x14ac:dyDescent="0.3">
      <c r="A155" s="37">
        <v>55671</v>
      </c>
      <c r="B155" s="398">
        <f t="shared" ref="B155:C155" si="151">($A155-B$9)/365.25</f>
        <v>70.540725530458587</v>
      </c>
      <c r="C155" s="398">
        <f t="shared" si="151"/>
        <v>65.930184804928132</v>
      </c>
      <c r="E155" s="25">
        <f>IF(C155&gt;$B$7,0,'Combined Retirement'!$D$13/12)</f>
        <v>0</v>
      </c>
      <c r="F155" s="25">
        <f>IF(H155=0,'Combined Retirement'!$D$32,0)+'Combined Retirement'!$B$24</f>
        <v>2870.372285649099</v>
      </c>
      <c r="G155" s="25">
        <f>'Combined Retirement'!$C$24</f>
        <v>3254.2644699519233</v>
      </c>
      <c r="H155" s="25">
        <f>IF(B155&lt;62,0,'Combined Retirement'!$I$14)</f>
        <v>2345</v>
      </c>
      <c r="I155" s="25">
        <f>IF(C155&lt;62,0,'Combined Retirement'!$I$13)</f>
        <v>2420</v>
      </c>
      <c r="J155" s="25">
        <f t="shared" si="3"/>
        <v>7896.2379798201846</v>
      </c>
      <c r="K155" s="25">
        <f t="shared" si="4"/>
        <v>20367.195264578786</v>
      </c>
      <c r="L155" s="25"/>
      <c r="N155" s="25">
        <f>'Combined Retirement'!$C$18/12</f>
        <v>39153.069999999992</v>
      </c>
      <c r="O155" s="25">
        <f t="shared" si="5"/>
        <v>10889.636755601023</v>
      </c>
      <c r="P155" s="25">
        <f t="shared" si="6"/>
        <v>28263.43324439897</v>
      </c>
      <c r="Q155" s="25">
        <f t="array" aca="1" ref="Q155" ca="1">INDEX('Isaac 401k'!L:L,MATCH('Retirement Calculator'!A155,'Isaac 401k'!N:N,0),0)</f>
        <v>1905600.859372098</v>
      </c>
      <c r="R155" s="25">
        <f t="array" aca="1" ref="R155" ca="1">INDEX('Lorri 401b'!L:L,MATCH('Retirement Calculator'!A155,'Lorri 401b'!N:N,0),0)</f>
        <v>4416223.2953562085</v>
      </c>
      <c r="S155" s="25">
        <f t="shared" ca="1" si="7"/>
        <v>6321824.1547283065</v>
      </c>
    </row>
    <row r="156" spans="1:19" ht="15.75" customHeight="1" x14ac:dyDescent="0.3">
      <c r="A156" s="37">
        <v>55701</v>
      </c>
      <c r="B156" s="398">
        <f t="shared" ref="B156:C156" si="152">($A156-B$9)/365.25</f>
        <v>70.622861054072558</v>
      </c>
      <c r="C156" s="398">
        <f t="shared" si="152"/>
        <v>66.012320328542089</v>
      </c>
      <c r="E156" s="25">
        <f>IF(C156&gt;$B$7,0,'Combined Retirement'!$D$13/12)</f>
        <v>0</v>
      </c>
      <c r="F156" s="25">
        <f>IF(H156=0,'Combined Retirement'!$D$32,0)+'Combined Retirement'!$B$24</f>
        <v>2870.372285649099</v>
      </c>
      <c r="G156" s="25">
        <f>'Combined Retirement'!$C$24</f>
        <v>3254.2644699519233</v>
      </c>
      <c r="H156" s="25">
        <f>IF(B156&lt;62,0,'Combined Retirement'!$I$14)</f>
        <v>2345</v>
      </c>
      <c r="I156" s="25">
        <f>IF(C156&lt;62,0,'Combined Retirement'!$I$13)</f>
        <v>2420</v>
      </c>
      <c r="J156" s="25">
        <f t="shared" si="3"/>
        <v>7896.2379798201846</v>
      </c>
      <c r="K156" s="25">
        <f t="shared" si="4"/>
        <v>20367.195264578786</v>
      </c>
      <c r="L156" s="25"/>
      <c r="N156" s="25">
        <f>'Combined Retirement'!$C$18/12</f>
        <v>39153.069999999992</v>
      </c>
      <c r="O156" s="25">
        <f t="shared" si="5"/>
        <v>10889.636755601023</v>
      </c>
      <c r="P156" s="25">
        <f t="shared" si="6"/>
        <v>28263.43324439897</v>
      </c>
      <c r="Q156" s="25">
        <f t="array" aca="1" ref="Q156" ca="1">INDEX('Isaac 401k'!L:L,MATCH('Retirement Calculator'!A156,'Isaac 401k'!N:N,0),0)</f>
        <v>1905611.7239814124</v>
      </c>
      <c r="R156" s="25">
        <f t="array" aca="1" ref="R156" ca="1">INDEX('Lorri 401b'!L:L,MATCH('Retirement Calculator'!A156,'Lorri 401b'!N:N,0),0)</f>
        <v>4414172.1671753451</v>
      </c>
      <c r="S156" s="25">
        <f t="shared" ca="1" si="7"/>
        <v>6319783.8911567573</v>
      </c>
    </row>
    <row r="157" spans="1:19" ht="15.75" customHeight="1" x14ac:dyDescent="0.3">
      <c r="A157" s="37">
        <v>55732</v>
      </c>
      <c r="B157" s="398">
        <f t="shared" ref="B157:C157" si="153">($A157-B$9)/365.25</f>
        <v>70.707734428473643</v>
      </c>
      <c r="C157" s="398">
        <f t="shared" si="153"/>
        <v>66.097193702943187</v>
      </c>
      <c r="E157" s="25">
        <f>IF(C157&gt;$B$7,0,'Combined Retirement'!$D$13/12)</f>
        <v>0</v>
      </c>
      <c r="F157" s="25">
        <f>IF(H157=0,'Combined Retirement'!$D$32,0)+'Combined Retirement'!$B$24</f>
        <v>2870.372285649099</v>
      </c>
      <c r="G157" s="25">
        <f>'Combined Retirement'!$C$24</f>
        <v>3254.2644699519233</v>
      </c>
      <c r="H157" s="25">
        <f>IF(B157&lt;62,0,'Combined Retirement'!$I$14)</f>
        <v>2345</v>
      </c>
      <c r="I157" s="25">
        <f>IF(C157&lt;62,0,'Combined Retirement'!$I$13)</f>
        <v>2420</v>
      </c>
      <c r="J157" s="25">
        <f t="shared" si="3"/>
        <v>7896.2379798201846</v>
      </c>
      <c r="K157" s="25">
        <f t="shared" si="4"/>
        <v>20367.195264578786</v>
      </c>
      <c r="L157" s="25"/>
      <c r="N157" s="25">
        <f>'Combined Retirement'!$C$18/12</f>
        <v>39153.069999999992</v>
      </c>
      <c r="O157" s="25">
        <f t="shared" si="5"/>
        <v>10889.636755601023</v>
      </c>
      <c r="P157" s="25">
        <f t="shared" si="6"/>
        <v>28263.43324439897</v>
      </c>
      <c r="Q157" s="25">
        <f t="array" aca="1" ref="Q157" ca="1">INDEX('Isaac 401k'!L:L,MATCH('Retirement Calculator'!A157,'Isaac 401k'!N:N,0),0)</f>
        <v>1905622.6338599322</v>
      </c>
      <c r="R157" s="25">
        <f t="array" aca="1" ref="R157" ca="1">INDEX('Lorri 401b'!L:L,MATCH('Retirement Calculator'!A157,'Lorri 401b'!N:N,0),0)</f>
        <v>4412112.492627061</v>
      </c>
      <c r="S157" s="25">
        <f t="shared" ca="1" si="7"/>
        <v>6317735.1264869934</v>
      </c>
    </row>
    <row r="158" spans="1:19" ht="15.75" customHeight="1" x14ac:dyDescent="0.3">
      <c r="A158" s="37">
        <v>55763</v>
      </c>
      <c r="B158" s="398">
        <f t="shared" ref="B158:C158" si="154">($A158-B$9)/365.25</f>
        <v>70.792607802874741</v>
      </c>
      <c r="C158" s="398">
        <f t="shared" si="154"/>
        <v>66.182067077344286</v>
      </c>
      <c r="E158" s="25">
        <f>IF(C158&gt;$B$7,0,'Combined Retirement'!$D$13/12)</f>
        <v>0</v>
      </c>
      <c r="F158" s="25">
        <f>IF(H158=0,'Combined Retirement'!$D$32,0)+'Combined Retirement'!$B$24</f>
        <v>2870.372285649099</v>
      </c>
      <c r="G158" s="25">
        <f>'Combined Retirement'!$C$24</f>
        <v>3254.2644699519233</v>
      </c>
      <c r="H158" s="25">
        <f>IF(B158&lt;62,0,'Combined Retirement'!$I$14)</f>
        <v>2345</v>
      </c>
      <c r="I158" s="25">
        <f>IF(C158&lt;62,0,'Combined Retirement'!$I$13)</f>
        <v>2420</v>
      </c>
      <c r="J158" s="25">
        <f t="shared" si="3"/>
        <v>7896.2379798201846</v>
      </c>
      <c r="K158" s="25">
        <f t="shared" si="4"/>
        <v>20367.195264578786</v>
      </c>
      <c r="L158" s="25"/>
      <c r="N158" s="25">
        <f>'Combined Retirement'!$C$18/12</f>
        <v>39153.069999999992</v>
      </c>
      <c r="O158" s="25">
        <f t="shared" si="5"/>
        <v>10889.636755601023</v>
      </c>
      <c r="P158" s="25">
        <f t="shared" si="6"/>
        <v>28263.43324439897</v>
      </c>
      <c r="Q158" s="25">
        <f t="array" aca="1" ref="Q158" ca="1">INDEX('Isaac 401k'!L:L,MATCH('Retirement Calculator'!A158,'Isaac 401k'!N:N,0),0)</f>
        <v>1905633.5891962792</v>
      </c>
      <c r="R158" s="25">
        <f t="array" aca="1" ref="R158" ca="1">INDEX('Lorri 401b'!L:L,MATCH('Retirement Calculator'!A158,'Lorri 401b'!N:N,0),0)</f>
        <v>4410044.2361014923</v>
      </c>
      <c r="S158" s="25">
        <f t="shared" ca="1" si="7"/>
        <v>6315677.825297771</v>
      </c>
    </row>
    <row r="159" spans="1:19" ht="15.75" customHeight="1" x14ac:dyDescent="0.3">
      <c r="A159" s="37">
        <v>55793</v>
      </c>
      <c r="B159" s="398">
        <f t="shared" ref="B159:C159" si="155">($A159-B$9)/365.25</f>
        <v>70.874743326488712</v>
      </c>
      <c r="C159" s="398">
        <f t="shared" si="155"/>
        <v>66.264202600958242</v>
      </c>
      <c r="E159" s="25">
        <f>IF(C159&gt;$B$7,0,'Combined Retirement'!$D$13/12)</f>
        <v>0</v>
      </c>
      <c r="F159" s="25">
        <f>IF(H159=0,'Combined Retirement'!$D$32,0)+'Combined Retirement'!$B$24</f>
        <v>2870.372285649099</v>
      </c>
      <c r="G159" s="25">
        <f>'Combined Retirement'!$C$24</f>
        <v>3254.2644699519233</v>
      </c>
      <c r="H159" s="25">
        <f>IF(B159&lt;62,0,'Combined Retirement'!$I$14)</f>
        <v>2345</v>
      </c>
      <c r="I159" s="25">
        <f>IF(C159&lt;62,0,'Combined Retirement'!$I$13)</f>
        <v>2420</v>
      </c>
      <c r="J159" s="25">
        <f t="shared" si="3"/>
        <v>7896.2379798201846</v>
      </c>
      <c r="K159" s="25">
        <f t="shared" si="4"/>
        <v>20367.195264578786</v>
      </c>
      <c r="L159" s="25"/>
      <c r="N159" s="25">
        <f>'Combined Retirement'!$C$18/12</f>
        <v>39153.069999999992</v>
      </c>
      <c r="O159" s="25">
        <f t="shared" si="5"/>
        <v>10889.636755601023</v>
      </c>
      <c r="P159" s="25">
        <f t="shared" si="6"/>
        <v>28263.43324439897</v>
      </c>
      <c r="Q159" s="25">
        <f t="array" aca="1" ref="Q159" ca="1">INDEX('Isaac 401k'!L:L,MATCH('Retirement Calculator'!A159,'Isaac 401k'!N:N,0),0)</f>
        <v>1905644.5901798608</v>
      </c>
      <c r="R159" s="25">
        <f t="array" aca="1" ref="R159" ca="1">INDEX('Lorri 401b'!L:L,MATCH('Retirement Calculator'!A159,'Lorri 401b'!N:N,0),0)</f>
        <v>4407967.3618404008</v>
      </c>
      <c r="S159" s="25">
        <f t="shared" ca="1" si="7"/>
        <v>6313611.9520202614</v>
      </c>
    </row>
    <row r="160" spans="1:19" ht="15.75" customHeight="1" x14ac:dyDescent="0.3">
      <c r="A160" s="37">
        <v>55824</v>
      </c>
      <c r="B160" s="398">
        <f t="shared" ref="B160:C160" si="156">($A160-B$9)/365.25</f>
        <v>70.959616700889796</v>
      </c>
      <c r="C160" s="398">
        <f t="shared" si="156"/>
        <v>66.349075975359341</v>
      </c>
      <c r="E160" s="25">
        <f>IF(C160&gt;$B$7,0,'Combined Retirement'!$D$13/12)</f>
        <v>0</v>
      </c>
      <c r="F160" s="25">
        <f>IF(H160=0,'Combined Retirement'!$D$32,0)+'Combined Retirement'!$B$24</f>
        <v>2870.372285649099</v>
      </c>
      <c r="G160" s="25">
        <f>'Combined Retirement'!$C$24</f>
        <v>3254.2644699519233</v>
      </c>
      <c r="H160" s="25">
        <f>IF(B160&lt;62,0,'Combined Retirement'!$I$14)</f>
        <v>2345</v>
      </c>
      <c r="I160" s="25">
        <f>IF(C160&lt;62,0,'Combined Retirement'!$I$13)</f>
        <v>2420</v>
      </c>
      <c r="J160" s="25">
        <f t="shared" si="3"/>
        <v>7896.2379798201846</v>
      </c>
      <c r="K160" s="25">
        <f t="shared" si="4"/>
        <v>20367.195264578786</v>
      </c>
      <c r="L160" s="25"/>
      <c r="N160" s="25">
        <f>'Combined Retirement'!$C$18/12</f>
        <v>39153.069999999992</v>
      </c>
      <c r="O160" s="25">
        <f t="shared" si="5"/>
        <v>10889.636755601023</v>
      </c>
      <c r="P160" s="25">
        <f t="shared" si="6"/>
        <v>28263.43324439897</v>
      </c>
      <c r="Q160" s="25">
        <f t="array" aca="1" ref="Q160" ca="1">INDEX('Isaac 401k'!L:L,MATCH('Retirement Calculator'!A160,'Isaac 401k'!N:N,0),0)</f>
        <v>1905655.6370008742</v>
      </c>
      <c r="R160" s="25">
        <f t="array" aca="1" ref="R160" ca="1">INDEX('Lorri 401b'!L:L,MATCH('Retirement Calculator'!A160,'Lorri 401b'!N:N,0),0)</f>
        <v>4405881.8339365544</v>
      </c>
      <c r="S160" s="25">
        <f t="shared" ca="1" si="7"/>
        <v>6311537.470937429</v>
      </c>
    </row>
    <row r="161" spans="1:19" ht="15.75" customHeight="1" x14ac:dyDescent="0.3">
      <c r="A161" s="37">
        <v>55854</v>
      </c>
      <c r="B161" s="398">
        <f t="shared" ref="B161:C161" si="157">($A161-B$9)/365.25</f>
        <v>71.041752224503767</v>
      </c>
      <c r="C161" s="398">
        <f t="shared" si="157"/>
        <v>66.431211498973312</v>
      </c>
      <c r="E161" s="25">
        <f>IF(C161&gt;$B$7,0,'Combined Retirement'!$D$13/12)</f>
        <v>0</v>
      </c>
      <c r="F161" s="25">
        <f>IF(H161=0,'Combined Retirement'!$D$32,0)+'Combined Retirement'!$B$24</f>
        <v>2870.372285649099</v>
      </c>
      <c r="G161" s="25">
        <f>'Combined Retirement'!$C$24</f>
        <v>3254.2644699519233</v>
      </c>
      <c r="H161" s="25">
        <f>IF(B161&lt;62,0,'Combined Retirement'!$I$14)</f>
        <v>2345</v>
      </c>
      <c r="I161" s="25">
        <f>IF(C161&lt;62,0,'Combined Retirement'!$I$13)</f>
        <v>2420</v>
      </c>
      <c r="J161" s="25">
        <f t="shared" si="3"/>
        <v>7896.2379798201846</v>
      </c>
      <c r="K161" s="25">
        <f t="shared" si="4"/>
        <v>20367.195264578786</v>
      </c>
      <c r="L161" s="25"/>
      <c r="N161" s="25">
        <f>'Combined Retirement'!$C$18/12</f>
        <v>39153.069999999992</v>
      </c>
      <c r="O161" s="25">
        <f t="shared" si="5"/>
        <v>10889.636755601023</v>
      </c>
      <c r="P161" s="25">
        <f t="shared" si="6"/>
        <v>28263.43324439897</v>
      </c>
      <c r="Q161" s="25">
        <f t="array" aca="1" ref="Q161" ca="1">INDEX('Isaac 401k'!L:L,MATCH('Retirement Calculator'!A161,'Isaac 401k'!N:N,0),0)</f>
        <v>1905666.7298503083</v>
      </c>
      <c r="R161" s="25">
        <f t="array" aca="1" ref="R161" ca="1">INDEX('Lorri 401b'!L:L,MATCH('Retirement Calculator'!A161,'Lorri 401b'!N:N,0),0)</f>
        <v>4403787.6163331084</v>
      </c>
      <c r="S161" s="25">
        <f t="shared" ca="1" si="7"/>
        <v>6309454.3461834164</v>
      </c>
    </row>
    <row r="162" spans="1:19" ht="15.75" customHeight="1" x14ac:dyDescent="0.3">
      <c r="A162" s="37">
        <v>55885</v>
      </c>
      <c r="B162" s="398">
        <f t="shared" ref="B162:C162" si="158">($A162-B$9)/365.25</f>
        <v>71.126625598904866</v>
      </c>
      <c r="C162" s="398">
        <f t="shared" si="158"/>
        <v>66.516084873374396</v>
      </c>
      <c r="E162" s="25">
        <f>IF(C162&gt;$B$7,0,'Combined Retirement'!$D$13/12)</f>
        <v>0</v>
      </c>
      <c r="F162" s="25">
        <f>IF(H162=0,'Combined Retirement'!$D$32,0)+'Combined Retirement'!$B$24</f>
        <v>2870.372285649099</v>
      </c>
      <c r="G162" s="25">
        <f>'Combined Retirement'!$C$24</f>
        <v>3254.2644699519233</v>
      </c>
      <c r="H162" s="25">
        <f>IF(B162&lt;62,0,'Combined Retirement'!$I$14)</f>
        <v>2345</v>
      </c>
      <c r="I162" s="25">
        <f>IF(C162&lt;62,0,'Combined Retirement'!$I$13)</f>
        <v>2420</v>
      </c>
      <c r="J162" s="25">
        <f t="shared" si="3"/>
        <v>7896.2379798201846</v>
      </c>
      <c r="K162" s="25">
        <f t="shared" si="4"/>
        <v>20367.195264578786</v>
      </c>
      <c r="L162" s="25"/>
      <c r="N162" s="25">
        <f>'Combined Retirement'!$C$18/12</f>
        <v>39153.069999999992</v>
      </c>
      <c r="O162" s="25">
        <f t="shared" si="5"/>
        <v>10889.636755601023</v>
      </c>
      <c r="P162" s="25">
        <f t="shared" si="6"/>
        <v>28263.43324439897</v>
      </c>
      <c r="Q162" s="25">
        <f t="array" aca="1" ref="Q162" ca="1">INDEX('Isaac 401k'!L:L,MATCH('Retirement Calculator'!A162,'Isaac 401k'!N:N,0),0)</f>
        <v>1905677.8689199483</v>
      </c>
      <c r="R162" s="25">
        <f t="array" aca="1" ref="R162" ca="1">INDEX('Lorri 401b'!L:L,MATCH('Retirement Calculator'!A162,'Lorri 401b'!N:N,0),0)</f>
        <v>4401684.6728229821</v>
      </c>
      <c r="S162" s="25">
        <f t="shared" ca="1" si="7"/>
        <v>6307362.5417429302</v>
      </c>
    </row>
    <row r="163" spans="1:19" ht="15.75" customHeight="1" x14ac:dyDescent="0.3">
      <c r="A163" s="37">
        <v>55916</v>
      </c>
      <c r="B163" s="398">
        <f t="shared" ref="B163:C163" si="159">($A163-B$9)/365.25</f>
        <v>71.21149897330595</v>
      </c>
      <c r="C163" s="398">
        <f t="shared" si="159"/>
        <v>66.600958247775495</v>
      </c>
      <c r="E163" s="25">
        <f>IF(C163&gt;$B$7,0,'Combined Retirement'!$D$13/12)</f>
        <v>0</v>
      </c>
      <c r="F163" s="25">
        <f>IF(H163=0,'Combined Retirement'!$D$32,0)+'Combined Retirement'!$B$24</f>
        <v>2870.372285649099</v>
      </c>
      <c r="G163" s="25">
        <f>'Combined Retirement'!$C$24</f>
        <v>3254.2644699519233</v>
      </c>
      <c r="H163" s="25">
        <f>IF(B163&lt;62,0,'Combined Retirement'!$I$14)</f>
        <v>2345</v>
      </c>
      <c r="I163" s="25">
        <f>IF(C163&lt;62,0,'Combined Retirement'!$I$13)</f>
        <v>2420</v>
      </c>
      <c r="J163" s="25">
        <f t="shared" si="3"/>
        <v>7896.2379798201846</v>
      </c>
      <c r="K163" s="25">
        <f t="shared" si="4"/>
        <v>20367.195264578786</v>
      </c>
      <c r="L163" s="25"/>
      <c r="N163" s="25">
        <f>'Combined Retirement'!$C$18/12</f>
        <v>39153.069999999992</v>
      </c>
      <c r="O163" s="25">
        <f t="shared" si="5"/>
        <v>10889.636755601023</v>
      </c>
      <c r="P163" s="25">
        <f t="shared" si="6"/>
        <v>28263.43324439897</v>
      </c>
      <c r="Q163" s="25">
        <f t="array" aca="1" ref="Q163" ca="1">INDEX('Isaac 401k'!L:L,MATCH('Retirement Calculator'!A163,'Isaac 401k'!N:N,0),0)</f>
        <v>1905689.0544023786</v>
      </c>
      <c r="R163" s="25">
        <f t="array" aca="1" ref="R163" ca="1">INDEX('Lorri 401b'!L:L,MATCH('Retirement Calculator'!A163,'Lorri 401b'!N:N,0),0)</f>
        <v>4399572.9670482296</v>
      </c>
      <c r="S163" s="25">
        <f t="shared" ca="1" si="7"/>
        <v>6305262.021450608</v>
      </c>
    </row>
    <row r="164" spans="1:19" ht="15.75" customHeight="1" x14ac:dyDescent="0.3">
      <c r="A164" s="37">
        <v>55944</v>
      </c>
      <c r="B164" s="398">
        <f t="shared" ref="B164:C164" si="160">($A164-B$9)/365.25</f>
        <v>71.288158795345652</v>
      </c>
      <c r="C164" s="398">
        <f t="shared" si="160"/>
        <v>66.677618069815196</v>
      </c>
      <c r="E164" s="25">
        <f>IF(C164&gt;$B$7,0,'Combined Retirement'!$D$13/12)</f>
        <v>0</v>
      </c>
      <c r="F164" s="25">
        <f>IF(H164=0,'Combined Retirement'!$D$32,0)+'Combined Retirement'!$B$24</f>
        <v>2870.372285649099</v>
      </c>
      <c r="G164" s="25">
        <f>'Combined Retirement'!$C$24</f>
        <v>3254.2644699519233</v>
      </c>
      <c r="H164" s="25">
        <f>IF(B164&lt;62,0,'Combined Retirement'!$I$14)</f>
        <v>2345</v>
      </c>
      <c r="I164" s="25">
        <f>IF(C164&lt;62,0,'Combined Retirement'!$I$13)</f>
        <v>2420</v>
      </c>
      <c r="J164" s="25">
        <f t="shared" si="3"/>
        <v>7896.2379798201846</v>
      </c>
      <c r="K164" s="25">
        <f t="shared" si="4"/>
        <v>20367.195264578786</v>
      </c>
      <c r="L164" s="25"/>
      <c r="N164" s="25">
        <f>'Combined Retirement'!$C$18/12</f>
        <v>39153.069999999992</v>
      </c>
      <c r="O164" s="25">
        <f t="shared" si="5"/>
        <v>10889.636755601023</v>
      </c>
      <c r="P164" s="25">
        <f t="shared" si="6"/>
        <v>28263.43324439897</v>
      </c>
      <c r="Q164" s="25">
        <f t="array" aca="1" ref="Q164" ca="1">INDEX('Isaac 401k'!L:L,MATCH('Retirement Calculator'!A164,'Isaac 401k'!N:N,0),0)</f>
        <v>1905700.2864909857</v>
      </c>
      <c r="R164" s="25">
        <f t="array" aca="1" ref="R164" ca="1">INDEX('Lorri 401b'!L:L,MATCH('Retirement Calculator'!A164,'Lorri 401b'!N:N,0),0)</f>
        <v>4397452.4624994164</v>
      </c>
      <c r="S164" s="25">
        <f t="shared" ca="1" si="7"/>
        <v>6303152.7489904016</v>
      </c>
    </row>
    <row r="165" spans="1:19" ht="15.75" customHeight="1" x14ac:dyDescent="0.3">
      <c r="A165" s="37">
        <v>55975</v>
      </c>
      <c r="B165" s="398">
        <f t="shared" ref="B165:C165" si="161">($A165-B$9)/365.25</f>
        <v>71.37303216974675</v>
      </c>
      <c r="C165" s="398">
        <f t="shared" si="161"/>
        <v>66.762491444216295</v>
      </c>
      <c r="E165" s="25">
        <f>IF(C165&gt;$B$7,0,'Combined Retirement'!$D$13/12)</f>
        <v>0</v>
      </c>
      <c r="F165" s="25">
        <f>IF(H165=0,'Combined Retirement'!$D$32,0)+'Combined Retirement'!$B$24</f>
        <v>2870.372285649099</v>
      </c>
      <c r="G165" s="25">
        <f>'Combined Retirement'!$C$24</f>
        <v>3254.2644699519233</v>
      </c>
      <c r="H165" s="25">
        <f>IF(B165&lt;62,0,'Combined Retirement'!$I$14)</f>
        <v>2345</v>
      </c>
      <c r="I165" s="25">
        <f>IF(C165&lt;62,0,'Combined Retirement'!$I$13)</f>
        <v>2420</v>
      </c>
      <c r="J165" s="25">
        <f t="shared" si="3"/>
        <v>7896.2379798201846</v>
      </c>
      <c r="K165" s="25">
        <f t="shared" si="4"/>
        <v>20367.195264578786</v>
      </c>
      <c r="L165" s="25"/>
      <c r="N165" s="25">
        <f>'Combined Retirement'!$C$18/12</f>
        <v>39153.069999999992</v>
      </c>
      <c r="O165" s="25">
        <f t="shared" si="5"/>
        <v>10889.636755601023</v>
      </c>
      <c r="P165" s="25">
        <f t="shared" si="6"/>
        <v>28263.43324439897</v>
      </c>
      <c r="Q165" s="25">
        <f t="array" aca="1" ref="Q165" ca="1">INDEX('Isaac 401k'!L:L,MATCH('Retirement Calculator'!A165,'Isaac 401k'!N:N,0),0)</f>
        <v>1905711.5653799619</v>
      </c>
      <c r="R165" s="25">
        <f t="array" aca="1" ref="R165" ca="1">INDEX('Lorri 401b'!L:L,MATCH('Retirement Calculator'!A165,'Lorri 401b'!N:N,0),0)</f>
        <v>4395323.1225149827</v>
      </c>
      <c r="S165" s="25">
        <f t="shared" ca="1" si="7"/>
        <v>6301034.6878949441</v>
      </c>
    </row>
    <row r="166" spans="1:19" ht="15.75" customHeight="1" x14ac:dyDescent="0.3">
      <c r="A166" s="37">
        <v>56005</v>
      </c>
      <c r="B166" s="398">
        <f t="shared" ref="B166:C166" si="162">($A166-B$9)/365.25</f>
        <v>71.455167693360707</v>
      </c>
      <c r="C166" s="398">
        <f t="shared" si="162"/>
        <v>66.844626967830251</v>
      </c>
      <c r="E166" s="25">
        <f>IF(C166&gt;$B$7,0,'Combined Retirement'!$D$13/12)</f>
        <v>0</v>
      </c>
      <c r="F166" s="25">
        <f>IF(H166=0,'Combined Retirement'!$D$32,0)+'Combined Retirement'!$B$24</f>
        <v>2870.372285649099</v>
      </c>
      <c r="G166" s="25">
        <f>'Combined Retirement'!$C$24</f>
        <v>3254.2644699519233</v>
      </c>
      <c r="H166" s="25">
        <f>IF(B166&lt;62,0,'Combined Retirement'!$I$14)</f>
        <v>2345</v>
      </c>
      <c r="I166" s="25">
        <f>IF(C166&lt;62,0,'Combined Retirement'!$I$13)</f>
        <v>2420</v>
      </c>
      <c r="J166" s="25">
        <f t="shared" si="3"/>
        <v>7896.2379798201846</v>
      </c>
      <c r="K166" s="25">
        <f t="shared" si="4"/>
        <v>20367.195264578786</v>
      </c>
      <c r="L166" s="25"/>
      <c r="N166" s="25">
        <f>'Combined Retirement'!$C$18/12</f>
        <v>39153.069999999992</v>
      </c>
      <c r="O166" s="25">
        <f t="shared" si="5"/>
        <v>10889.636755601023</v>
      </c>
      <c r="P166" s="25">
        <f t="shared" si="6"/>
        <v>28263.43324439897</v>
      </c>
      <c r="Q166" s="25">
        <f t="array" aca="1" ref="Q166" ca="1">INDEX('Isaac 401k'!L:L,MATCH('Retirement Calculator'!A166,'Isaac 401k'!N:N,0),0)</f>
        <v>1905722.8912643089</v>
      </c>
      <c r="R166" s="25">
        <f t="array" aca="1" ref="R166" ca="1">INDEX('Lorri 401b'!L:L,MATCH('Retirement Calculator'!A166,'Lorri 401b'!N:N,0),0)</f>
        <v>4393184.9102806142</v>
      </c>
      <c r="S166" s="25">
        <f t="shared" ca="1" si="7"/>
        <v>6298907.8015449233</v>
      </c>
    </row>
    <row r="167" spans="1:19" ht="15.75" customHeight="1" x14ac:dyDescent="0.3">
      <c r="A167" s="37">
        <v>56036</v>
      </c>
      <c r="B167" s="398">
        <f t="shared" ref="B167:C167" si="163">($A167-B$9)/365.25</f>
        <v>71.540041067761805</v>
      </c>
      <c r="C167" s="398">
        <f t="shared" si="163"/>
        <v>66.92950034223135</v>
      </c>
      <c r="E167" s="25">
        <f>IF(C167&gt;$B$7,0,'Combined Retirement'!$D$13/12)</f>
        <v>0</v>
      </c>
      <c r="F167" s="25">
        <f>IF(H167=0,'Combined Retirement'!$D$32,0)+'Combined Retirement'!$B$24</f>
        <v>2870.372285649099</v>
      </c>
      <c r="G167" s="25">
        <f>'Combined Retirement'!$C$24</f>
        <v>3254.2644699519233</v>
      </c>
      <c r="H167" s="25">
        <f>IF(B167&lt;62,0,'Combined Retirement'!$I$14)</f>
        <v>2345</v>
      </c>
      <c r="I167" s="25">
        <f>IF(C167&lt;62,0,'Combined Retirement'!$I$13)</f>
        <v>2420</v>
      </c>
      <c r="J167" s="25">
        <f t="shared" si="3"/>
        <v>7896.2379798201846</v>
      </c>
      <c r="K167" s="25">
        <f t="shared" si="4"/>
        <v>20367.195264578786</v>
      </c>
      <c r="L167" s="25"/>
      <c r="N167" s="25">
        <f>'Combined Retirement'!$C$18/12</f>
        <v>39153.069999999992</v>
      </c>
      <c r="O167" s="25">
        <f t="shared" si="5"/>
        <v>10889.636755601023</v>
      </c>
      <c r="P167" s="25">
        <f t="shared" si="6"/>
        <v>28263.43324439897</v>
      </c>
      <c r="Q167" s="25">
        <f t="array" aca="1" ref="Q167" ca="1">INDEX('Isaac 401k'!L:L,MATCH('Retirement Calculator'!A167,'Isaac 401k'!N:N,0),0)</f>
        <v>1905734.2643398407</v>
      </c>
      <c r="R167" s="25">
        <f t="array" aca="1" ref="R167" ca="1">INDEX('Lorri 401b'!L:L,MATCH('Retirement Calculator'!A167,'Lorri 401b'!N:N,0),0)</f>
        <v>4391037.7888286021</v>
      </c>
      <c r="S167" s="25">
        <f t="shared" ca="1" si="7"/>
        <v>6296772.053168443</v>
      </c>
    </row>
    <row r="168" spans="1:19" ht="15.75" customHeight="1" x14ac:dyDescent="0.3">
      <c r="A168" s="37">
        <v>56066</v>
      </c>
      <c r="B168" s="398">
        <f t="shared" ref="B168:C168" si="164">($A168-B$9)/365.25</f>
        <v>71.622176591375776</v>
      </c>
      <c r="C168" s="398">
        <f t="shared" si="164"/>
        <v>67.011635865845307</v>
      </c>
      <c r="E168" s="25">
        <f>IF(C168&gt;$B$7,0,'Combined Retirement'!$D$13/12)</f>
        <v>0</v>
      </c>
      <c r="F168" s="25">
        <f>IF(H168=0,'Combined Retirement'!$D$32,0)+'Combined Retirement'!$B$24</f>
        <v>2870.372285649099</v>
      </c>
      <c r="G168" s="25">
        <f>'Combined Retirement'!$C$24</f>
        <v>3254.2644699519233</v>
      </c>
      <c r="H168" s="25">
        <f>IF(B168&lt;62,0,'Combined Retirement'!$I$14)</f>
        <v>2345</v>
      </c>
      <c r="I168" s="25">
        <f>IF(C168&lt;62,0,'Combined Retirement'!$I$13)</f>
        <v>2420</v>
      </c>
      <c r="J168" s="25">
        <f t="shared" si="3"/>
        <v>7896.2379798201846</v>
      </c>
      <c r="K168" s="25">
        <f t="shared" si="4"/>
        <v>20367.195264578786</v>
      </c>
      <c r="L168" s="25"/>
      <c r="N168" s="25">
        <f>'Combined Retirement'!$C$18/12</f>
        <v>39153.069999999992</v>
      </c>
      <c r="O168" s="25">
        <f t="shared" si="5"/>
        <v>10889.636755601023</v>
      </c>
      <c r="P168" s="25">
        <f t="shared" si="6"/>
        <v>28263.43324439897</v>
      </c>
      <c r="Q168" s="25">
        <f t="array" aca="1" ref="Q168" ca="1">INDEX('Isaac 401k'!L:L,MATCH('Retirement Calculator'!A168,'Isaac 401k'!N:N,0),0)</f>
        <v>1905745.6848031871</v>
      </c>
      <c r="R168" s="25">
        <f t="array" aca="1" ref="R168" ca="1">INDEX('Lorri 401b'!L:L,MATCH('Retirement Calculator'!A168,'Lorri 401b'!N:N,0),0)</f>
        <v>4388881.7210372062</v>
      </c>
      <c r="S168" s="25">
        <f t="shared" ca="1" si="7"/>
        <v>6294627.4058403932</v>
      </c>
    </row>
    <row r="169" spans="1:19" ht="15.75" customHeight="1" x14ac:dyDescent="0.3">
      <c r="A169" s="37">
        <v>56097</v>
      </c>
      <c r="B169" s="398">
        <f t="shared" ref="B169:C169" si="165">($A169-B$9)/365.25</f>
        <v>71.707049965776861</v>
      </c>
      <c r="C169" s="398">
        <f t="shared" si="165"/>
        <v>67.096509240246405</v>
      </c>
      <c r="E169" s="25">
        <f>IF(C169&gt;$B$7,0,'Combined Retirement'!$D$13/12)</f>
        <v>0</v>
      </c>
      <c r="F169" s="25">
        <f>IF(H169=0,'Combined Retirement'!$D$32,0)+'Combined Retirement'!$B$24</f>
        <v>2870.372285649099</v>
      </c>
      <c r="G169" s="25">
        <f>'Combined Retirement'!$C$24</f>
        <v>3254.2644699519233</v>
      </c>
      <c r="H169" s="25">
        <f>IF(B169&lt;62,0,'Combined Retirement'!$I$14)</f>
        <v>2345</v>
      </c>
      <c r="I169" s="25">
        <f>IF(C169&lt;62,0,'Combined Retirement'!$I$13)</f>
        <v>2420</v>
      </c>
      <c r="J169" s="25">
        <f t="shared" si="3"/>
        <v>7896.2379798201846</v>
      </c>
      <c r="K169" s="25">
        <f t="shared" si="4"/>
        <v>20367.195264578786</v>
      </c>
      <c r="L169" s="25"/>
      <c r="N169" s="25">
        <f>'Combined Retirement'!$C$18/12</f>
        <v>39153.069999999992</v>
      </c>
      <c r="O169" s="25">
        <f t="shared" si="5"/>
        <v>10889.636755601023</v>
      </c>
      <c r="P169" s="25">
        <f t="shared" si="6"/>
        <v>28263.43324439897</v>
      </c>
      <c r="Q169" s="25">
        <f t="array" aca="1" ref="Q169" ca="1">INDEX('Isaac 401k'!L:L,MATCH('Retirement Calculator'!A169,'Isaac 401k'!N:N,0),0)</f>
        <v>1905757.1528517976</v>
      </c>
      <c r="R169" s="25">
        <f t="array" aca="1" ref="R169" ca="1">INDEX('Lorri 401b'!L:L,MATCH('Retirement Calculator'!A169,'Lorri 401b'!N:N,0),0)</f>
        <v>4386716.6696300134</v>
      </c>
      <c r="S169" s="25">
        <f t="shared" ca="1" si="7"/>
        <v>6292473.822481811</v>
      </c>
    </row>
    <row r="170" spans="1:19" ht="15.75" customHeight="1" x14ac:dyDescent="0.3">
      <c r="A170" s="37">
        <v>56128</v>
      </c>
      <c r="B170" s="398">
        <f t="shared" ref="B170:C170" si="166">($A170-B$9)/365.25</f>
        <v>71.791923340177959</v>
      </c>
      <c r="C170" s="398">
        <f t="shared" si="166"/>
        <v>67.181382614647504</v>
      </c>
      <c r="E170" s="25">
        <f>IF(C170&gt;$B$7,0,'Combined Retirement'!$D$13/12)</f>
        <v>0</v>
      </c>
      <c r="F170" s="25">
        <f>IF(H170=0,'Combined Retirement'!$D$32,0)+'Combined Retirement'!$B$24</f>
        <v>2870.372285649099</v>
      </c>
      <c r="G170" s="25">
        <f>'Combined Retirement'!$C$24</f>
        <v>3254.2644699519233</v>
      </c>
      <c r="H170" s="25">
        <f>IF(B170&lt;62,0,'Combined Retirement'!$I$14)</f>
        <v>2345</v>
      </c>
      <c r="I170" s="25">
        <f>IF(C170&lt;62,0,'Combined Retirement'!$I$13)</f>
        <v>2420</v>
      </c>
      <c r="J170" s="25">
        <f t="shared" si="3"/>
        <v>7896.2379798201846</v>
      </c>
      <c r="K170" s="25">
        <f t="shared" si="4"/>
        <v>20367.195264578786</v>
      </c>
      <c r="L170" s="25"/>
      <c r="N170" s="25">
        <f>'Combined Retirement'!$C$18/12</f>
        <v>39153.069999999992</v>
      </c>
      <c r="O170" s="25">
        <f t="shared" si="5"/>
        <v>10889.636755601023</v>
      </c>
      <c r="P170" s="25">
        <f t="shared" si="6"/>
        <v>28263.43324439897</v>
      </c>
      <c r="Q170" s="25">
        <f t="array" aca="1" ref="Q170" ca="1">INDEX('Isaac 401k'!L:L,MATCH('Retirement Calculator'!A170,'Isaac 401k'!N:N,0),0)</f>
        <v>1905768.668683944</v>
      </c>
      <c r="R170" s="25">
        <f t="array" aca="1" ref="R170" ca="1">INDEX('Lorri 401b'!L:L,MATCH('Retirement Calculator'!A170,'Lorri 401b'!N:N,0),0)</f>
        <v>4384542.5971752908</v>
      </c>
      <c r="S170" s="25">
        <f t="shared" ca="1" si="7"/>
        <v>6290311.2658592351</v>
      </c>
    </row>
    <row r="171" spans="1:19" ht="15.75" customHeight="1" x14ac:dyDescent="0.3">
      <c r="A171" s="37">
        <v>56158</v>
      </c>
      <c r="B171" s="398">
        <f t="shared" ref="B171:C171" si="167">($A171-B$9)/365.25</f>
        <v>71.87405886379193</v>
      </c>
      <c r="C171" s="398">
        <f t="shared" si="167"/>
        <v>67.26351813826146</v>
      </c>
      <c r="E171" s="25">
        <f>IF(C171&gt;$B$7,0,'Combined Retirement'!$D$13/12)</f>
        <v>0</v>
      </c>
      <c r="F171" s="25">
        <f>IF(H171=0,'Combined Retirement'!$D$32,0)+'Combined Retirement'!$B$24</f>
        <v>2870.372285649099</v>
      </c>
      <c r="G171" s="25">
        <f>'Combined Retirement'!$C$24</f>
        <v>3254.2644699519233</v>
      </c>
      <c r="H171" s="25">
        <f>IF(B171&lt;62,0,'Combined Retirement'!$I$14)</f>
        <v>2345</v>
      </c>
      <c r="I171" s="25">
        <f>IF(C171&lt;62,0,'Combined Retirement'!$I$13)</f>
        <v>2420</v>
      </c>
      <c r="J171" s="25">
        <f t="shared" si="3"/>
        <v>7896.2379798201846</v>
      </c>
      <c r="K171" s="25">
        <f t="shared" si="4"/>
        <v>20367.195264578786</v>
      </c>
      <c r="L171" s="25"/>
      <c r="N171" s="25">
        <f>'Combined Retirement'!$C$18/12</f>
        <v>39153.069999999992</v>
      </c>
      <c r="O171" s="25">
        <f t="shared" si="5"/>
        <v>10889.636755601023</v>
      </c>
      <c r="P171" s="25">
        <f t="shared" si="6"/>
        <v>28263.43324439897</v>
      </c>
      <c r="Q171" s="25">
        <f t="array" aca="1" ref="Q171" ca="1">INDEX('Isaac 401k'!L:L,MATCH('Retirement Calculator'!A171,'Isaac 401k'!N:N,0),0)</f>
        <v>1905780.2324987242</v>
      </c>
      <c r="R171" s="25">
        <f t="array" aca="1" ref="R171" ca="1">INDEX('Lorri 401b'!L:L,MATCH('Retirement Calculator'!A171,'Lorri 401b'!N:N,0),0)</f>
        <v>4382359.4660853399</v>
      </c>
      <c r="S171" s="25">
        <f t="shared" ca="1" si="7"/>
        <v>6288139.6985840639</v>
      </c>
    </row>
    <row r="172" spans="1:19" ht="15.75" customHeight="1" x14ac:dyDescent="0.3">
      <c r="A172" s="37">
        <v>56189</v>
      </c>
      <c r="B172" s="398">
        <f t="shared" ref="B172:C172" si="168">($A172-B$9)/365.25</f>
        <v>71.958932238193015</v>
      </c>
      <c r="C172" s="398">
        <f t="shared" si="168"/>
        <v>67.348391512662559</v>
      </c>
      <c r="E172" s="25">
        <f>IF(C172&gt;$B$7,0,'Combined Retirement'!$D$13/12)</f>
        <v>0</v>
      </c>
      <c r="F172" s="25">
        <f>IF(H172=0,'Combined Retirement'!$D$32,0)+'Combined Retirement'!$B$24</f>
        <v>2870.372285649099</v>
      </c>
      <c r="G172" s="25">
        <f>'Combined Retirement'!$C$24</f>
        <v>3254.2644699519233</v>
      </c>
      <c r="H172" s="25">
        <f>IF(B172&lt;62,0,'Combined Retirement'!$I$14)</f>
        <v>2345</v>
      </c>
      <c r="I172" s="25">
        <f>IF(C172&lt;62,0,'Combined Retirement'!$I$13)</f>
        <v>2420</v>
      </c>
      <c r="J172" s="25">
        <f t="shared" si="3"/>
        <v>7896.2379798201846</v>
      </c>
      <c r="K172" s="25">
        <f t="shared" si="4"/>
        <v>20367.195264578786</v>
      </c>
      <c r="L172" s="25"/>
      <c r="N172" s="25">
        <f>'Combined Retirement'!$C$18/12</f>
        <v>39153.069999999992</v>
      </c>
      <c r="O172" s="25">
        <f t="shared" si="5"/>
        <v>10889.636755601023</v>
      </c>
      <c r="P172" s="25">
        <f t="shared" si="6"/>
        <v>28263.43324439897</v>
      </c>
      <c r="Q172" s="25">
        <f t="array" aca="1" ref="Q172" ca="1">INDEX('Isaac 401k'!L:L,MATCH('Retirement Calculator'!A172,'Isaac 401k'!N:N,0),0)</f>
        <v>1905791.8444960662</v>
      </c>
      <c r="R172" s="25">
        <f t="array" aca="1" ref="R172" ca="1">INDEX('Lorri 401b'!L:L,MATCH('Retirement Calculator'!A172,'Lorri 401b'!N:N,0),0)</f>
        <v>4380167.2386158472</v>
      </c>
      <c r="S172" s="25">
        <f t="shared" ca="1" si="7"/>
        <v>6285959.0831119139</v>
      </c>
    </row>
    <row r="173" spans="1:19" ht="15.75" customHeight="1" x14ac:dyDescent="0.3">
      <c r="A173" s="37">
        <v>56219</v>
      </c>
      <c r="B173" s="398">
        <f t="shared" ref="B173:C173" si="169">($A173-B$9)/365.25</f>
        <v>72.041067761806985</v>
      </c>
      <c r="C173" s="398">
        <f t="shared" si="169"/>
        <v>67.43052703627653</v>
      </c>
      <c r="E173" s="25">
        <f>IF(C173&gt;$B$7,0,'Combined Retirement'!$D$13/12)</f>
        <v>0</v>
      </c>
      <c r="F173" s="25">
        <f>IF(H173=0,'Combined Retirement'!$D$32,0)+'Combined Retirement'!$B$24</f>
        <v>2870.372285649099</v>
      </c>
      <c r="G173" s="25">
        <f>'Combined Retirement'!$C$24</f>
        <v>3254.2644699519233</v>
      </c>
      <c r="H173" s="25">
        <f>IF(B173&lt;62,0,'Combined Retirement'!$I$14)</f>
        <v>2345</v>
      </c>
      <c r="I173" s="25">
        <f>IF(C173&lt;62,0,'Combined Retirement'!$I$13)</f>
        <v>2420</v>
      </c>
      <c r="J173" s="25">
        <f t="shared" si="3"/>
        <v>7896.2379798201846</v>
      </c>
      <c r="K173" s="25">
        <f t="shared" si="4"/>
        <v>20367.195264578786</v>
      </c>
      <c r="L173" s="25"/>
      <c r="N173" s="25">
        <f>'Combined Retirement'!$C$18/12</f>
        <v>39153.069999999992</v>
      </c>
      <c r="O173" s="25">
        <f t="shared" si="5"/>
        <v>10889.636755601023</v>
      </c>
      <c r="P173" s="25">
        <f t="shared" si="6"/>
        <v>28263.43324439897</v>
      </c>
      <c r="Q173" s="25">
        <f t="array" aca="1" ref="Q173" ca="1">INDEX('Isaac 401k'!L:L,MATCH('Retirement Calculator'!A173,'Isaac 401k'!N:N,0),0)</f>
        <v>1905803.5048767303</v>
      </c>
      <c r="R173" s="25">
        <f t="array" aca="1" ref="R173" ca="1">INDEX('Lorri 401b'!L:L,MATCH('Retirement Calculator'!A173,'Lorri 401b'!N:N,0),0)</f>
        <v>4377965.8768652324</v>
      </c>
      <c r="S173" s="25">
        <f t="shared" ca="1" si="7"/>
        <v>6283769.3817419624</v>
      </c>
    </row>
    <row r="174" spans="1:19" ht="15.75" customHeight="1" x14ac:dyDescent="0.3">
      <c r="A174" s="37">
        <v>56250</v>
      </c>
      <c r="B174" s="398">
        <f t="shared" ref="B174:C174" si="170">($A174-B$9)/365.25</f>
        <v>72.12594113620807</v>
      </c>
      <c r="C174" s="398">
        <f t="shared" si="170"/>
        <v>67.515400410677614</v>
      </c>
      <c r="E174" s="25">
        <f>IF(C174&gt;$B$7,0,'Combined Retirement'!$D$13/12)</f>
        <v>0</v>
      </c>
      <c r="F174" s="25">
        <f>IF(H174=0,'Combined Retirement'!$D$32,0)+'Combined Retirement'!$B$24</f>
        <v>2870.372285649099</v>
      </c>
      <c r="G174" s="25">
        <f>'Combined Retirement'!$C$24</f>
        <v>3254.2644699519233</v>
      </c>
      <c r="H174" s="25">
        <f>IF(B174&lt;62,0,'Combined Retirement'!$I$14)</f>
        <v>2345</v>
      </c>
      <c r="I174" s="25">
        <f>IF(C174&lt;62,0,'Combined Retirement'!$I$13)</f>
        <v>2420</v>
      </c>
      <c r="J174" s="25">
        <f t="shared" si="3"/>
        <v>7896.2379798201846</v>
      </c>
      <c r="K174" s="25">
        <f t="shared" si="4"/>
        <v>20367.195264578786</v>
      </c>
      <c r="L174" s="25"/>
      <c r="N174" s="25">
        <f>'Combined Retirement'!$C$18/12</f>
        <v>39153.069999999992</v>
      </c>
      <c r="O174" s="25">
        <f t="shared" si="5"/>
        <v>10889.636755601023</v>
      </c>
      <c r="P174" s="25">
        <f t="shared" si="6"/>
        <v>28263.43324439897</v>
      </c>
      <c r="Q174" s="25">
        <f t="array" aca="1" ref="Q174" ca="1">INDEX('Isaac 401k'!L:L,MATCH('Retirement Calculator'!A174,'Isaac 401k'!N:N,0),0)</f>
        <v>1905815.2138423137</v>
      </c>
      <c r="R174" s="25">
        <f t="array" aca="1" ref="R174" ca="1">INDEX('Lorri 401b'!L:L,MATCH('Retirement Calculator'!A174,'Lorri 401b'!N:N,0),0)</f>
        <v>4375755.3427739898</v>
      </c>
      <c r="S174" s="25">
        <f t="shared" ca="1" si="7"/>
        <v>6281570.5566163035</v>
      </c>
    </row>
    <row r="175" spans="1:19" ht="15.75" customHeight="1" x14ac:dyDescent="0.3">
      <c r="A175" s="37">
        <v>56281</v>
      </c>
      <c r="B175" s="398">
        <f t="shared" ref="B175:C175" si="171">($A175-B$9)/365.25</f>
        <v>72.210814510609168</v>
      </c>
      <c r="C175" s="398">
        <f t="shared" si="171"/>
        <v>67.600273785078713</v>
      </c>
      <c r="E175" s="25">
        <f>IF(C175&gt;$B$7,0,'Combined Retirement'!$D$13/12)</f>
        <v>0</v>
      </c>
      <c r="F175" s="25">
        <f>IF(H175=0,'Combined Retirement'!$D$32,0)+'Combined Retirement'!$B$24</f>
        <v>2870.372285649099</v>
      </c>
      <c r="G175" s="25">
        <f>'Combined Retirement'!$C$24</f>
        <v>3254.2644699519233</v>
      </c>
      <c r="H175" s="25">
        <f>IF(B175&lt;62,0,'Combined Retirement'!$I$14)</f>
        <v>2345</v>
      </c>
      <c r="I175" s="25">
        <f>IF(C175&lt;62,0,'Combined Retirement'!$I$13)</f>
        <v>2420</v>
      </c>
      <c r="J175" s="25">
        <f t="shared" si="3"/>
        <v>7896.2379798201846</v>
      </c>
      <c r="K175" s="25">
        <f t="shared" si="4"/>
        <v>20367.195264578786</v>
      </c>
      <c r="L175" s="25"/>
      <c r="N175" s="25">
        <f>'Combined Retirement'!$C$18/12</f>
        <v>39153.069999999992</v>
      </c>
      <c r="O175" s="25">
        <f t="shared" si="5"/>
        <v>10889.636755601023</v>
      </c>
      <c r="P175" s="25">
        <f t="shared" si="6"/>
        <v>28263.43324439897</v>
      </c>
      <c r="Q175" s="25">
        <f t="array" aca="1" ref="Q175" ca="1">INDEX('Isaac 401k'!L:L,MATCH('Retirement Calculator'!A175,'Isaac 401k'!N:N,0),0)</f>
        <v>1905826.9715952538</v>
      </c>
      <c r="R175" s="25">
        <f t="array" aca="1" ref="R175" ca="1">INDEX('Lorri 401b'!L:L,MATCH('Retirement Calculator'!A175,'Lorri 401b'!N:N,0),0)</f>
        <v>4373535.5981240338</v>
      </c>
      <c r="S175" s="25">
        <f t="shared" ca="1" si="7"/>
        <v>6279362.5697192876</v>
      </c>
    </row>
    <row r="176" spans="1:19" ht="15.75" customHeight="1" x14ac:dyDescent="0.3">
      <c r="A176" s="37">
        <v>56309</v>
      </c>
      <c r="B176" s="398">
        <f t="shared" ref="B176:C176" si="172">($A176-B$9)/365.25</f>
        <v>72.28747433264887</v>
      </c>
      <c r="C176" s="398">
        <f t="shared" si="172"/>
        <v>67.676933607118414</v>
      </c>
      <c r="E176" s="25">
        <f>IF(C176&gt;$B$7,0,'Combined Retirement'!$D$13/12)</f>
        <v>0</v>
      </c>
      <c r="F176" s="25">
        <f>IF(H176=0,'Combined Retirement'!$D$32,0)+'Combined Retirement'!$B$24</f>
        <v>2870.372285649099</v>
      </c>
      <c r="G176" s="25">
        <f>'Combined Retirement'!$C$24</f>
        <v>3254.2644699519233</v>
      </c>
      <c r="H176" s="25">
        <f>IF(B176&lt;62,0,'Combined Retirement'!$I$14)</f>
        <v>2345</v>
      </c>
      <c r="I176" s="25">
        <f>IF(C176&lt;62,0,'Combined Retirement'!$I$13)</f>
        <v>2420</v>
      </c>
      <c r="J176" s="25">
        <f t="shared" si="3"/>
        <v>7896.2379798201846</v>
      </c>
      <c r="K176" s="25">
        <f t="shared" si="4"/>
        <v>20367.195264578786</v>
      </c>
      <c r="L176" s="25"/>
      <c r="N176" s="25">
        <f>'Combined Retirement'!$C$18/12</f>
        <v>39153.069999999992</v>
      </c>
      <c r="O176" s="25">
        <f t="shared" si="5"/>
        <v>10889.636755601023</v>
      </c>
      <c r="P176" s="25">
        <f t="shared" si="6"/>
        <v>28263.43324439897</v>
      </c>
      <c r="Q176" s="25">
        <f t="array" aca="1" ref="Q176" ca="1">INDEX('Isaac 401k'!L:L,MATCH('Retirement Calculator'!A176,'Isaac 401k'!N:N,0),0)</f>
        <v>1905838.7783388312</v>
      </c>
      <c r="R176" s="25">
        <f t="array" aca="1" ref="R176" ca="1">INDEX('Lorri 401b'!L:L,MATCH('Retirement Calculator'!A176,'Lorri 401b'!N:N,0),0)</f>
        <v>4371306.6045380356</v>
      </c>
      <c r="S176" s="25">
        <f t="shared" ca="1" si="7"/>
        <v>6277145.3828768665</v>
      </c>
    </row>
    <row r="177" spans="1:19" ht="15.75" customHeight="1" x14ac:dyDescent="0.3">
      <c r="A177" s="37">
        <v>56340</v>
      </c>
      <c r="B177" s="398">
        <f t="shared" ref="B177:C177" si="173">($A177-B$9)/365.25</f>
        <v>72.372347707049968</v>
      </c>
      <c r="C177" s="398">
        <f t="shared" si="173"/>
        <v>67.761806981519513</v>
      </c>
      <c r="E177" s="25">
        <f>IF(C177&gt;$B$7,0,'Combined Retirement'!$D$13/12)</f>
        <v>0</v>
      </c>
      <c r="F177" s="25">
        <f>IF(H177=0,'Combined Retirement'!$D$32,0)+'Combined Retirement'!$B$24</f>
        <v>2870.372285649099</v>
      </c>
      <c r="G177" s="25">
        <f>'Combined Retirement'!$C$24</f>
        <v>3254.2644699519233</v>
      </c>
      <c r="H177" s="25">
        <f>IF(B177&lt;62,0,'Combined Retirement'!$I$14)</f>
        <v>2345</v>
      </c>
      <c r="I177" s="25">
        <f>IF(C177&lt;62,0,'Combined Retirement'!$I$13)</f>
        <v>2420</v>
      </c>
      <c r="J177" s="25">
        <f t="shared" si="3"/>
        <v>7896.2379798201846</v>
      </c>
      <c r="K177" s="25">
        <f t="shared" si="4"/>
        <v>20367.195264578786</v>
      </c>
      <c r="L177" s="25"/>
      <c r="N177" s="25">
        <f>'Combined Retirement'!$C$18/12</f>
        <v>39153.069999999992</v>
      </c>
      <c r="O177" s="25">
        <f t="shared" si="5"/>
        <v>10889.636755601023</v>
      </c>
      <c r="P177" s="25">
        <f t="shared" si="6"/>
        <v>28263.43324439897</v>
      </c>
      <c r="Q177" s="25">
        <f t="array" aca="1" ref="Q177" ca="1">INDEX('Isaac 401k'!L:L,MATCH('Retirement Calculator'!A177,'Isaac 401k'!N:N,0),0)</f>
        <v>1905850.6342771736</v>
      </c>
      <c r="R177" s="25">
        <f t="array" aca="1" ref="R177" ca="1">INDEX('Lorri 401b'!L:L,MATCH('Retirement Calculator'!A177,'Lorri 401b'!N:N,0),0)</f>
        <v>4369068.323478763</v>
      </c>
      <c r="S177" s="25">
        <f t="shared" ca="1" si="7"/>
        <v>6274918.9577559363</v>
      </c>
    </row>
    <row r="178" spans="1:19" ht="15.75" customHeight="1" x14ac:dyDescent="0.3">
      <c r="A178" s="37">
        <v>56370</v>
      </c>
      <c r="B178" s="398">
        <f t="shared" ref="B178:C178" si="174">($A178-B$9)/365.25</f>
        <v>72.454483230663925</v>
      </c>
      <c r="C178" s="398">
        <f t="shared" si="174"/>
        <v>67.843942505133469</v>
      </c>
      <c r="E178" s="25">
        <f>IF(C178&gt;$B$7,0,'Combined Retirement'!$D$13/12)</f>
        <v>0</v>
      </c>
      <c r="F178" s="25">
        <f>IF(H178=0,'Combined Retirement'!$D$32,0)+'Combined Retirement'!$B$24</f>
        <v>2870.372285649099</v>
      </c>
      <c r="G178" s="25">
        <f>'Combined Retirement'!$C$24</f>
        <v>3254.2644699519233</v>
      </c>
      <c r="H178" s="25">
        <f>IF(B178&lt;62,0,'Combined Retirement'!$I$14)</f>
        <v>2345</v>
      </c>
      <c r="I178" s="25">
        <f>IF(C178&lt;62,0,'Combined Retirement'!$I$13)</f>
        <v>2420</v>
      </c>
      <c r="J178" s="25">
        <f t="shared" si="3"/>
        <v>7896.2379798201846</v>
      </c>
      <c r="K178" s="25">
        <f t="shared" si="4"/>
        <v>20367.195264578786</v>
      </c>
      <c r="L178" s="25"/>
      <c r="N178" s="25">
        <f>'Combined Retirement'!$C$18/12</f>
        <v>39153.069999999992</v>
      </c>
      <c r="O178" s="25">
        <f t="shared" si="5"/>
        <v>10889.636755601023</v>
      </c>
      <c r="P178" s="25">
        <f t="shared" si="6"/>
        <v>28263.43324439897</v>
      </c>
      <c r="Q178" s="25">
        <f t="array" aca="1" ref="Q178" ca="1">INDEX('Isaac 401k'!L:L,MATCH('Retirement Calculator'!A178,'Isaac 401k'!N:N,0),0)</f>
        <v>1905862.539615259</v>
      </c>
      <c r="R178" s="25">
        <f t="array" aca="1" ref="R178" ca="1">INDEX('Lorri 401b'!L:L,MATCH('Retirement Calculator'!A178,'Lorri 401b'!N:N,0),0)</f>
        <v>4366820.7162484098</v>
      </c>
      <c r="S178" s="25">
        <f t="shared" ca="1" si="7"/>
        <v>6272683.2558636684</v>
      </c>
    </row>
    <row r="179" spans="1:19" ht="15.75" customHeight="1" x14ac:dyDescent="0.3">
      <c r="A179" s="37">
        <v>56401</v>
      </c>
      <c r="B179" s="398">
        <f t="shared" ref="B179:C179" si="175">($A179-B$9)/365.25</f>
        <v>72.539356605065024</v>
      </c>
      <c r="C179" s="398">
        <f t="shared" si="175"/>
        <v>67.928815879534568</v>
      </c>
      <c r="E179" s="25">
        <f>IF(C179&gt;$B$7,0,'Combined Retirement'!$D$13/12)</f>
        <v>0</v>
      </c>
      <c r="F179" s="25">
        <f>IF(H179=0,'Combined Retirement'!$D$32,0)+'Combined Retirement'!$B$24</f>
        <v>2870.372285649099</v>
      </c>
      <c r="G179" s="25">
        <f>'Combined Retirement'!$C$24</f>
        <v>3254.2644699519233</v>
      </c>
      <c r="H179" s="25">
        <f>IF(B179&lt;62,0,'Combined Retirement'!$I$14)</f>
        <v>2345</v>
      </c>
      <c r="I179" s="25">
        <f>IF(C179&lt;62,0,'Combined Retirement'!$I$13)</f>
        <v>2420</v>
      </c>
      <c r="J179" s="25">
        <f t="shared" si="3"/>
        <v>7896.2379798201846</v>
      </c>
      <c r="K179" s="25">
        <f t="shared" si="4"/>
        <v>20367.195264578786</v>
      </c>
      <c r="L179" s="25"/>
      <c r="N179" s="25">
        <f>'Combined Retirement'!$C$18/12</f>
        <v>39153.069999999992</v>
      </c>
      <c r="O179" s="25">
        <f t="shared" si="5"/>
        <v>10889.636755601023</v>
      </c>
      <c r="P179" s="25">
        <f t="shared" si="6"/>
        <v>28263.43324439897</v>
      </c>
      <c r="Q179" s="25">
        <f t="array" aca="1" ref="Q179" ca="1">INDEX('Isaac 401k'!L:L,MATCH('Retirement Calculator'!A179,'Isaac 401k'!N:N,0),0)</f>
        <v>1905874.4945589199</v>
      </c>
      <c r="R179" s="25">
        <f t="array" aca="1" ref="R179" ca="1">INDEX('Lorri 401b'!L:L,MATCH('Retirement Calculator'!A179,'Lorri 401b'!N:N,0),0)</f>
        <v>4364563.74398793</v>
      </c>
      <c r="S179" s="25">
        <f t="shared" ca="1" si="7"/>
        <v>6270438.2385468502</v>
      </c>
    </row>
    <row r="180" spans="1:19" ht="15.75" customHeight="1" x14ac:dyDescent="0.3">
      <c r="A180" s="37">
        <v>56431</v>
      </c>
      <c r="B180" s="398">
        <f t="shared" ref="B180:C180" si="176">($A180-B$9)/365.25</f>
        <v>72.62149212867898</v>
      </c>
      <c r="C180" s="398">
        <f t="shared" si="176"/>
        <v>68.010951403148525</v>
      </c>
      <c r="E180" s="25">
        <f>IF(C180&gt;$B$7,0,'Combined Retirement'!$D$13/12)</f>
        <v>0</v>
      </c>
      <c r="F180" s="25">
        <f>IF(H180=0,'Combined Retirement'!$D$32,0)+'Combined Retirement'!$B$24</f>
        <v>2870.372285649099</v>
      </c>
      <c r="G180" s="25">
        <f>'Combined Retirement'!$C$24</f>
        <v>3254.2644699519233</v>
      </c>
      <c r="H180" s="25">
        <f>IF(B180&lt;62,0,'Combined Retirement'!$I$14)</f>
        <v>2345</v>
      </c>
      <c r="I180" s="25">
        <f>IF(C180&lt;62,0,'Combined Retirement'!$I$13)</f>
        <v>2420</v>
      </c>
      <c r="J180" s="25">
        <f t="shared" si="3"/>
        <v>7896.2379798201846</v>
      </c>
      <c r="K180" s="25">
        <f t="shared" si="4"/>
        <v>20367.195264578786</v>
      </c>
      <c r="L180" s="25"/>
      <c r="N180" s="25">
        <f>'Combined Retirement'!$C$18/12</f>
        <v>39153.069999999992</v>
      </c>
      <c r="O180" s="25">
        <f t="shared" si="5"/>
        <v>10889.636755601023</v>
      </c>
      <c r="P180" s="25">
        <f t="shared" si="6"/>
        <v>28263.43324439897</v>
      </c>
      <c r="Q180" s="25">
        <f t="array" aca="1" ref="Q180" ca="1">INDEX('Isaac 401k'!L:L,MATCH('Retirement Calculator'!A180,'Isaac 401k'!N:N,0),0)</f>
        <v>1905886.499314846</v>
      </c>
      <c r="R180" s="25">
        <f t="array" aca="1" ref="R180" ca="1">INDEX('Lorri 401b'!L:L,MATCH('Retirement Calculator'!A180,'Lorri 401b'!N:N,0),0)</f>
        <v>4362297.3676763652</v>
      </c>
      <c r="S180" s="25">
        <f t="shared" ca="1" si="7"/>
        <v>6268183.8669912107</v>
      </c>
    </row>
    <row r="181" spans="1:19" ht="15.75" customHeight="1" x14ac:dyDescent="0.3">
      <c r="A181" s="37">
        <v>56462</v>
      </c>
      <c r="B181" s="398">
        <f t="shared" ref="B181:C181" si="177">($A181-B$9)/365.25</f>
        <v>72.706365503080079</v>
      </c>
      <c r="C181" s="398">
        <f t="shared" si="177"/>
        <v>68.095824777549623</v>
      </c>
      <c r="E181" s="25">
        <f>IF(C181&gt;$B$7,0,'Combined Retirement'!$D$13/12)</f>
        <v>0</v>
      </c>
      <c r="F181" s="25">
        <f>IF(H181=0,'Combined Retirement'!$D$32,0)+'Combined Retirement'!$B$24</f>
        <v>2870.372285649099</v>
      </c>
      <c r="G181" s="25">
        <f>'Combined Retirement'!$C$24</f>
        <v>3254.2644699519233</v>
      </c>
      <c r="H181" s="25">
        <f>IF(B181&lt;62,0,'Combined Retirement'!$I$14)</f>
        <v>2345</v>
      </c>
      <c r="I181" s="25">
        <f>IF(C181&lt;62,0,'Combined Retirement'!$I$13)</f>
        <v>2420</v>
      </c>
      <c r="J181" s="25">
        <f t="shared" si="3"/>
        <v>7896.2379798201846</v>
      </c>
      <c r="K181" s="25">
        <f t="shared" si="4"/>
        <v>20367.195264578786</v>
      </c>
      <c r="L181" s="25"/>
      <c r="N181" s="25">
        <f>'Combined Retirement'!$C$18/12</f>
        <v>39153.069999999992</v>
      </c>
      <c r="O181" s="25">
        <f t="shared" si="5"/>
        <v>10889.636755601023</v>
      </c>
      <c r="P181" s="25">
        <f t="shared" si="6"/>
        <v>28263.43324439897</v>
      </c>
      <c r="Q181" s="25">
        <f t="array" aca="1" ref="Q181" ca="1">INDEX('Isaac 401k'!L:L,MATCH('Retirement Calculator'!A181,'Isaac 401k'!N:N,0),0)</f>
        <v>1905898.5540905884</v>
      </c>
      <c r="R181" s="25">
        <f t="array" aca="1" ref="R181" ca="1">INDEX('Lorri 401b'!L:L,MATCH('Retirement Calculator'!A181,'Lorri 401b'!N:N,0),0)</f>
        <v>4360021.5481301686</v>
      </c>
      <c r="S181" s="25">
        <f t="shared" ca="1" si="7"/>
        <v>6265920.1022207569</v>
      </c>
    </row>
    <row r="182" spans="1:19" ht="15.75" customHeight="1" x14ac:dyDescent="0.3">
      <c r="A182" s="37">
        <v>56493</v>
      </c>
      <c r="B182" s="398">
        <f t="shared" ref="B182:C182" si="178">($A182-B$9)/365.25</f>
        <v>72.791238877481177</v>
      </c>
      <c r="C182" s="398">
        <f t="shared" si="178"/>
        <v>68.180698151950722</v>
      </c>
      <c r="E182" s="25">
        <f>IF(C182&gt;$B$7,0,'Combined Retirement'!$D$13/12)</f>
        <v>0</v>
      </c>
      <c r="F182" s="25">
        <f>IF(H182=0,'Combined Retirement'!$D$32,0)+'Combined Retirement'!$B$24</f>
        <v>2870.372285649099</v>
      </c>
      <c r="G182" s="25">
        <f>'Combined Retirement'!$C$24</f>
        <v>3254.2644699519233</v>
      </c>
      <c r="H182" s="25">
        <f>IF(B182&lt;62,0,'Combined Retirement'!$I$14)</f>
        <v>2345</v>
      </c>
      <c r="I182" s="25">
        <f>IF(C182&lt;62,0,'Combined Retirement'!$I$13)</f>
        <v>2420</v>
      </c>
      <c r="J182" s="25">
        <f t="shared" si="3"/>
        <v>7896.2379798201846</v>
      </c>
      <c r="K182" s="25">
        <f t="shared" si="4"/>
        <v>20367.195264578786</v>
      </c>
      <c r="L182" s="25"/>
      <c r="N182" s="25">
        <f>'Combined Retirement'!$C$18/12</f>
        <v>39153.069999999992</v>
      </c>
      <c r="O182" s="25">
        <f t="shared" si="5"/>
        <v>10889.636755601023</v>
      </c>
      <c r="P182" s="25">
        <f t="shared" si="6"/>
        <v>28263.43324439897</v>
      </c>
      <c r="Q182" s="25">
        <f t="array" aca="1" ref="Q182" ca="1">INDEX('Isaac 401k'!L:L,MATCH('Retirement Calculator'!A182,'Isaac 401k'!N:N,0),0)</f>
        <v>1905910.659094563</v>
      </c>
      <c r="R182" s="25">
        <f t="array" aca="1" ref="R182" ca="1">INDEX('Lorri 401b'!L:L,MATCH('Retirement Calculator'!A182,'Lorri 401b'!N:N,0),0)</f>
        <v>4357736.2460025297</v>
      </c>
      <c r="S182" s="25">
        <f t="shared" ca="1" si="7"/>
        <v>6263646.9050970925</v>
      </c>
    </row>
    <row r="183" spans="1:19" ht="15.75" customHeight="1" x14ac:dyDescent="0.3">
      <c r="A183" s="37">
        <v>56523</v>
      </c>
      <c r="B183" s="398">
        <f t="shared" ref="B183:C183" si="179">($A183-B$9)/365.25</f>
        <v>72.873374401095134</v>
      </c>
      <c r="C183" s="398">
        <f t="shared" si="179"/>
        <v>68.262833675564679</v>
      </c>
      <c r="E183" s="25">
        <f>IF(C183&gt;$B$7,0,'Combined Retirement'!$D$13/12)</f>
        <v>0</v>
      </c>
      <c r="F183" s="25">
        <f>IF(H183=0,'Combined Retirement'!$D$32,0)+'Combined Retirement'!$B$24</f>
        <v>2870.372285649099</v>
      </c>
      <c r="G183" s="25">
        <f>'Combined Retirement'!$C$24</f>
        <v>3254.2644699519233</v>
      </c>
      <c r="H183" s="25">
        <f>IF(B183&lt;62,0,'Combined Retirement'!$I$14)</f>
        <v>2345</v>
      </c>
      <c r="I183" s="25">
        <f>IF(C183&lt;62,0,'Combined Retirement'!$I$13)</f>
        <v>2420</v>
      </c>
      <c r="J183" s="25">
        <f t="shared" si="3"/>
        <v>7896.2379798201846</v>
      </c>
      <c r="K183" s="25">
        <f t="shared" si="4"/>
        <v>20367.195264578786</v>
      </c>
      <c r="L183" s="25"/>
      <c r="N183" s="25">
        <f>'Combined Retirement'!$C$18/12</f>
        <v>39153.069999999992</v>
      </c>
      <c r="O183" s="25">
        <f t="shared" si="5"/>
        <v>10889.636755601023</v>
      </c>
      <c r="P183" s="25">
        <f t="shared" si="6"/>
        <v>28263.43324439897</v>
      </c>
      <c r="Q183" s="25">
        <f t="array" aca="1" ref="Q183" ca="1">INDEX('Isaac 401k'!L:L,MATCH('Retirement Calculator'!A183,'Isaac 401k'!N:N,0),0)</f>
        <v>1905922.8145360542</v>
      </c>
      <c r="R183" s="25">
        <f t="array" aca="1" ref="R183" ca="1">INDEX('Lorri 401b'!L:L,MATCH('Retirement Calculator'!A183,'Lorri 401b'!N:N,0),0)</f>
        <v>4355441.421782692</v>
      </c>
      <c r="S183" s="25">
        <f t="shared" ca="1" si="7"/>
        <v>6261364.2363187466</v>
      </c>
    </row>
    <row r="184" spans="1:19" ht="15.75" customHeight="1" x14ac:dyDescent="0.3">
      <c r="A184" s="37">
        <v>56554</v>
      </c>
      <c r="B184" s="398">
        <f t="shared" ref="B184:C184" si="180">($A184-B$9)/365.25</f>
        <v>72.958247775496233</v>
      </c>
      <c r="C184" s="398">
        <f t="shared" si="180"/>
        <v>68.347707049965777</v>
      </c>
      <c r="E184" s="25">
        <f>IF(C184&gt;$B$7,0,'Combined Retirement'!$D$13/12)</f>
        <v>0</v>
      </c>
      <c r="F184" s="25">
        <f>IF(H184=0,'Combined Retirement'!$D$32,0)+'Combined Retirement'!$B$24</f>
        <v>2870.372285649099</v>
      </c>
      <c r="G184" s="25">
        <f>'Combined Retirement'!$C$24</f>
        <v>3254.2644699519233</v>
      </c>
      <c r="H184" s="25">
        <f>IF(B184&lt;62,0,'Combined Retirement'!$I$14)</f>
        <v>2345</v>
      </c>
      <c r="I184" s="25">
        <f>IF(C184&lt;62,0,'Combined Retirement'!$I$13)</f>
        <v>2420</v>
      </c>
      <c r="J184" s="25">
        <f t="shared" si="3"/>
        <v>7896.2379798201846</v>
      </c>
      <c r="K184" s="25">
        <f t="shared" si="4"/>
        <v>20367.195264578786</v>
      </c>
      <c r="L184" s="25"/>
      <c r="N184" s="25">
        <f>'Combined Retirement'!$C$18/12</f>
        <v>39153.069999999992</v>
      </c>
      <c r="O184" s="25">
        <f t="shared" si="5"/>
        <v>10889.636755601023</v>
      </c>
      <c r="P184" s="25">
        <f t="shared" si="6"/>
        <v>28263.43324439897</v>
      </c>
      <c r="Q184" s="25">
        <f t="array" aca="1" ref="Q184" ca="1">INDEX('Isaac 401k'!L:L,MATCH('Retirement Calculator'!A184,'Isaac 401k'!N:N,0),0)</f>
        <v>1905935.0206252183</v>
      </c>
      <c r="R184" s="25">
        <f t="array" aca="1" ref="R184" ca="1">INDEX('Lorri 401b'!L:L,MATCH('Retirement Calculator'!A184,'Lorri 401b'!N:N,0),0)</f>
        <v>4353137.0357952723</v>
      </c>
      <c r="S184" s="25">
        <f t="shared" ca="1" si="7"/>
        <v>6259072.0564204901</v>
      </c>
    </row>
    <row r="185" spans="1:19" ht="15.75" customHeight="1" x14ac:dyDescent="0.3">
      <c r="A185" s="37">
        <v>56584</v>
      </c>
      <c r="B185" s="398">
        <f t="shared" ref="B185:C185" si="181">($A185-B$9)/365.25</f>
        <v>73.040383299110204</v>
      </c>
      <c r="C185" s="398">
        <f t="shared" si="181"/>
        <v>68.429842573579734</v>
      </c>
      <c r="E185" s="25">
        <f>IF(C185&gt;$B$7,0,'Combined Retirement'!$D$13/12)</f>
        <v>0</v>
      </c>
      <c r="F185" s="25">
        <f>IF(H185=0,'Combined Retirement'!$D$32,0)+'Combined Retirement'!$B$24</f>
        <v>2870.372285649099</v>
      </c>
      <c r="G185" s="25">
        <f>'Combined Retirement'!$C$24</f>
        <v>3254.2644699519233</v>
      </c>
      <c r="H185" s="25">
        <f>IF(B185&lt;62,0,'Combined Retirement'!$I$14)</f>
        <v>2345</v>
      </c>
      <c r="I185" s="25">
        <f>IF(C185&lt;62,0,'Combined Retirement'!$I$13)</f>
        <v>2420</v>
      </c>
      <c r="J185" s="25">
        <f t="shared" si="3"/>
        <v>7896.2379798201846</v>
      </c>
      <c r="K185" s="25">
        <f t="shared" si="4"/>
        <v>20367.195264578786</v>
      </c>
      <c r="L185" s="25"/>
      <c r="N185" s="25">
        <f>'Combined Retirement'!$C$18/12</f>
        <v>39153.069999999992</v>
      </c>
      <c r="O185" s="25">
        <f t="shared" si="5"/>
        <v>10889.636755601023</v>
      </c>
      <c r="P185" s="25">
        <f t="shared" si="6"/>
        <v>28263.43324439897</v>
      </c>
      <c r="Q185" s="25">
        <f t="array" aca="1" ref="Q185" ca="1">INDEX('Isaac 401k'!L:L,MATCH('Retirement Calculator'!A185,'Isaac 401k'!N:N,0),0)</f>
        <v>1905947.2775730873</v>
      </c>
      <c r="R185" s="25">
        <f t="array" aca="1" ref="R185" ca="1">INDEX('Lorri 401b'!L:L,MATCH('Retirement Calculator'!A185,'Lorri 401b'!N:N,0),0)</f>
        <v>4350823.0481995717</v>
      </c>
      <c r="S185" s="25">
        <f t="shared" ca="1" si="7"/>
        <v>6256770.3257726589</v>
      </c>
    </row>
    <row r="186" spans="1:19" ht="15.75" customHeight="1" x14ac:dyDescent="0.3">
      <c r="A186" s="37">
        <v>56615</v>
      </c>
      <c r="B186" s="398">
        <f t="shared" ref="B186:C186" si="182">($A186-B$9)/365.25</f>
        <v>73.125256673511288</v>
      </c>
      <c r="C186" s="398">
        <f t="shared" si="182"/>
        <v>68.514715947980832</v>
      </c>
      <c r="E186" s="25">
        <f>IF(C186&gt;$B$7,0,'Combined Retirement'!$D$13/12)</f>
        <v>0</v>
      </c>
      <c r="F186" s="25">
        <f>IF(H186=0,'Combined Retirement'!$D$32,0)+'Combined Retirement'!$B$24</f>
        <v>2870.372285649099</v>
      </c>
      <c r="G186" s="25">
        <f>'Combined Retirement'!$C$24</f>
        <v>3254.2644699519233</v>
      </c>
      <c r="H186" s="25">
        <f>IF(B186&lt;62,0,'Combined Retirement'!$I$14)</f>
        <v>2345</v>
      </c>
      <c r="I186" s="25">
        <f>IF(C186&lt;62,0,'Combined Retirement'!$I$13)</f>
        <v>2420</v>
      </c>
      <c r="J186" s="25">
        <f t="shared" si="3"/>
        <v>7896.2379798201846</v>
      </c>
      <c r="K186" s="25">
        <f t="shared" si="4"/>
        <v>20367.195264578786</v>
      </c>
      <c r="L186" s="25"/>
      <c r="N186" s="25">
        <f>'Combined Retirement'!$C$18/12</f>
        <v>39153.069999999992</v>
      </c>
      <c r="O186" s="25">
        <f t="shared" si="5"/>
        <v>10889.636755601023</v>
      </c>
      <c r="P186" s="25">
        <f t="shared" si="6"/>
        <v>28263.43324439897</v>
      </c>
      <c r="Q186" s="25">
        <f t="array" aca="1" ref="Q186" ca="1">INDEX('Isaac 401k'!L:L,MATCH('Retirement Calculator'!A186,'Isaac 401k'!N:N,0),0)</f>
        <v>1905959.5855915723</v>
      </c>
      <c r="R186" s="25">
        <f t="array" aca="1" ref="R186" ca="1">INDEX('Lorri 401b'!L:L,MATCH('Retirement Calculator'!A186,'Lorri 401b'!N:N,0),0)</f>
        <v>4348499.4189888891</v>
      </c>
      <c r="S186" s="25">
        <f t="shared" ca="1" si="7"/>
        <v>6254459.0045804614</v>
      </c>
    </row>
    <row r="187" spans="1:19" ht="15.75" customHeight="1" x14ac:dyDescent="0.3">
      <c r="A187" s="37">
        <v>56646</v>
      </c>
      <c r="B187" s="398">
        <f t="shared" ref="B187:C187" si="183">($A187-B$9)/365.25</f>
        <v>73.210130047912386</v>
      </c>
      <c r="C187" s="398">
        <f t="shared" si="183"/>
        <v>68.599589322381931</v>
      </c>
      <c r="E187" s="25">
        <f>IF(C187&gt;$B$7,0,'Combined Retirement'!$D$13/12)</f>
        <v>0</v>
      </c>
      <c r="F187" s="25">
        <f>IF(H187=0,'Combined Retirement'!$D$32,0)+'Combined Retirement'!$B$24</f>
        <v>2870.372285649099</v>
      </c>
      <c r="G187" s="25">
        <f>'Combined Retirement'!$C$24</f>
        <v>3254.2644699519233</v>
      </c>
      <c r="H187" s="25">
        <f>IF(B187&lt;62,0,'Combined Retirement'!$I$14)</f>
        <v>2345</v>
      </c>
      <c r="I187" s="25">
        <f>IF(C187&lt;62,0,'Combined Retirement'!$I$13)</f>
        <v>2420</v>
      </c>
      <c r="J187" s="25">
        <f t="shared" si="3"/>
        <v>7896.2379798201846</v>
      </c>
      <c r="K187" s="25">
        <f t="shared" si="4"/>
        <v>20367.195264578786</v>
      </c>
      <c r="L187" s="25"/>
      <c r="N187" s="25">
        <f>'Combined Retirement'!$C$18/12</f>
        <v>39153.069999999992</v>
      </c>
      <c r="O187" s="25">
        <f t="shared" si="5"/>
        <v>10889.636755601023</v>
      </c>
      <c r="P187" s="25">
        <f t="shared" si="6"/>
        <v>28263.43324439897</v>
      </c>
      <c r="Q187" s="25">
        <f t="array" aca="1" ref="Q187" ca="1">INDEX('Isaac 401k'!L:L,MATCH('Retirement Calculator'!A187,'Isaac 401k'!N:N,0),0)</f>
        <v>1905971.9448934677</v>
      </c>
      <c r="R187" s="25">
        <f t="array" aca="1" ref="R187" ca="1">INDEX('Lorri 401b'!L:L,MATCH('Retirement Calculator'!A187,'Lorri 401b'!N:N,0),0)</f>
        <v>4346166.1079898281</v>
      </c>
      <c r="S187" s="25">
        <f t="shared" ca="1" si="7"/>
        <v>6252138.0528832953</v>
      </c>
    </row>
    <row r="188" spans="1:19" ht="15.75" customHeight="1" x14ac:dyDescent="0.3">
      <c r="A188" s="37">
        <v>56674</v>
      </c>
      <c r="B188" s="398">
        <f t="shared" ref="B188:C188" si="184">($A188-B$9)/365.25</f>
        <v>73.286789869952088</v>
      </c>
      <c r="C188" s="398">
        <f t="shared" si="184"/>
        <v>68.676249144421632</v>
      </c>
      <c r="E188" s="25">
        <f>IF(C188&gt;$B$7,0,'Combined Retirement'!$D$13/12)</f>
        <v>0</v>
      </c>
      <c r="F188" s="25">
        <f>IF(H188=0,'Combined Retirement'!$D$32,0)+'Combined Retirement'!$B$24</f>
        <v>2870.372285649099</v>
      </c>
      <c r="G188" s="25">
        <f>'Combined Retirement'!$C$24</f>
        <v>3254.2644699519233</v>
      </c>
      <c r="H188" s="25">
        <f>IF(B188&lt;62,0,'Combined Retirement'!$I$14)</f>
        <v>2345</v>
      </c>
      <c r="I188" s="25">
        <f>IF(C188&lt;62,0,'Combined Retirement'!$I$13)</f>
        <v>2420</v>
      </c>
      <c r="J188" s="25">
        <f t="shared" si="3"/>
        <v>7896.2379798201846</v>
      </c>
      <c r="K188" s="25">
        <f t="shared" si="4"/>
        <v>20367.195264578786</v>
      </c>
      <c r="L188" s="25"/>
      <c r="N188" s="25">
        <f>'Combined Retirement'!$C$18/12</f>
        <v>39153.069999999992</v>
      </c>
      <c r="O188" s="25">
        <f t="shared" si="5"/>
        <v>10889.636755601023</v>
      </c>
      <c r="P188" s="25">
        <f t="shared" si="6"/>
        <v>28263.43324439897</v>
      </c>
      <c r="Q188" s="25">
        <f t="array" aca="1" ref="Q188" ca="1">INDEX('Isaac 401k'!L:L,MATCH('Retirement Calculator'!A188,'Isaac 401k'!N:N,0),0)</f>
        <v>1905984.3556924544</v>
      </c>
      <c r="R188" s="25">
        <f t="array" aca="1" ref="R188" ca="1">INDEX('Lorri 401b'!L:L,MATCH('Retirement Calculator'!A188,'Lorri 401b'!N:N,0),0)</f>
        <v>4343823.0748616047</v>
      </c>
      <c r="S188" s="25">
        <f t="shared" ca="1" si="7"/>
        <v>6249807.4305540593</v>
      </c>
    </row>
    <row r="189" spans="1:19" ht="15.75" customHeight="1" x14ac:dyDescent="0.3">
      <c r="A189" s="37">
        <v>56705</v>
      </c>
      <c r="B189" s="398">
        <f t="shared" ref="B189:C189" si="185">($A189-B$9)/365.25</f>
        <v>73.371663244353186</v>
      </c>
      <c r="C189" s="398">
        <f t="shared" si="185"/>
        <v>68.761122518822731</v>
      </c>
      <c r="E189" s="25">
        <f>IF(C189&gt;$B$7,0,'Combined Retirement'!$D$13/12)</f>
        <v>0</v>
      </c>
      <c r="F189" s="25">
        <f>IF(H189=0,'Combined Retirement'!$D$32,0)+'Combined Retirement'!$B$24</f>
        <v>2870.372285649099</v>
      </c>
      <c r="G189" s="25">
        <f>'Combined Retirement'!$C$24</f>
        <v>3254.2644699519233</v>
      </c>
      <c r="H189" s="25">
        <f>IF(B189&lt;62,0,'Combined Retirement'!$I$14)</f>
        <v>2345</v>
      </c>
      <c r="I189" s="25">
        <f>IF(C189&lt;62,0,'Combined Retirement'!$I$13)</f>
        <v>2420</v>
      </c>
      <c r="J189" s="25">
        <f t="shared" si="3"/>
        <v>7896.2379798201846</v>
      </c>
      <c r="K189" s="25">
        <f t="shared" si="4"/>
        <v>20367.195264578786</v>
      </c>
      <c r="L189" s="25"/>
      <c r="N189" s="25">
        <f>'Combined Retirement'!$C$18/12</f>
        <v>39153.069999999992</v>
      </c>
      <c r="O189" s="25">
        <f t="shared" si="5"/>
        <v>10889.636755601023</v>
      </c>
      <c r="P189" s="25">
        <f t="shared" si="6"/>
        <v>28263.43324439897</v>
      </c>
      <c r="Q189" s="25">
        <f t="array" aca="1" ref="Q189" ca="1">INDEX('Isaac 401k'!L:L,MATCH('Retirement Calculator'!A189,'Isaac 401k'!N:N,0),0)</f>
        <v>1905996.8182031035</v>
      </c>
      <c r="R189" s="25">
        <f t="array" aca="1" ref="R189" ca="1">INDEX('Lorri 401b'!L:L,MATCH('Retirement Calculator'!A189,'Lorri 401b'!N:N,0),0)</f>
        <v>4341470.279095347</v>
      </c>
      <c r="S189" s="25">
        <f t="shared" ca="1" si="7"/>
        <v>6247467.0972984508</v>
      </c>
    </row>
    <row r="190" spans="1:19" ht="15.75" customHeight="1" x14ac:dyDescent="0.3">
      <c r="A190" s="37">
        <v>56735</v>
      </c>
      <c r="B190" s="398">
        <f t="shared" ref="B190:C190" si="186">($A190-B$9)/365.25</f>
        <v>73.453798767967143</v>
      </c>
      <c r="C190" s="398">
        <f t="shared" si="186"/>
        <v>68.843258042436688</v>
      </c>
      <c r="E190" s="25">
        <f>IF(C190&gt;$B$7,0,'Combined Retirement'!$D$13/12)</f>
        <v>0</v>
      </c>
      <c r="F190" s="25">
        <f>IF(H190=0,'Combined Retirement'!$D$32,0)+'Combined Retirement'!$B$24</f>
        <v>2870.372285649099</v>
      </c>
      <c r="G190" s="25">
        <f>'Combined Retirement'!$C$24</f>
        <v>3254.2644699519233</v>
      </c>
      <c r="H190" s="25">
        <f>IF(B190&lt;62,0,'Combined Retirement'!$I$14)</f>
        <v>2345</v>
      </c>
      <c r="I190" s="25">
        <f>IF(C190&lt;62,0,'Combined Retirement'!$I$13)</f>
        <v>2420</v>
      </c>
      <c r="J190" s="25">
        <f t="shared" si="3"/>
        <v>7896.2379798201846</v>
      </c>
      <c r="K190" s="25">
        <f t="shared" si="4"/>
        <v>20367.195264578786</v>
      </c>
      <c r="L190" s="25"/>
      <c r="N190" s="25">
        <f>'Combined Retirement'!$C$18/12</f>
        <v>39153.069999999992</v>
      </c>
      <c r="O190" s="25">
        <f t="shared" si="5"/>
        <v>10889.636755601023</v>
      </c>
      <c r="P190" s="25">
        <f t="shared" si="6"/>
        <v>28263.43324439897</v>
      </c>
      <c r="Q190" s="25">
        <f t="array" aca="1" ref="Q190" ca="1">INDEX('Isaac 401k'!L:L,MATCH('Retirement Calculator'!A190,'Isaac 401k'!N:N,0),0)</f>
        <v>1906009.3326408803</v>
      </c>
      <c r="R190" s="25">
        <f t="array" aca="1" ref="R190" ca="1">INDEX('Lorri 401b'!L:L,MATCH('Retirement Calculator'!A190,'Lorri 401b'!N:N,0),0)</f>
        <v>4339107.6800133968</v>
      </c>
      <c r="S190" s="25">
        <f t="shared" ca="1" si="7"/>
        <v>6245117.0126542766</v>
      </c>
    </row>
    <row r="191" spans="1:19" ht="15.75" customHeight="1" x14ac:dyDescent="0.3">
      <c r="A191" s="37">
        <v>56766</v>
      </c>
      <c r="B191" s="398">
        <f t="shared" ref="B191:C191" si="187">($A191-B$9)/365.25</f>
        <v>73.538672142368242</v>
      </c>
      <c r="C191" s="398">
        <f t="shared" si="187"/>
        <v>68.928131416837786</v>
      </c>
      <c r="E191" s="25">
        <f>IF(C191&gt;$B$7,0,'Combined Retirement'!$D$13/12)</f>
        <v>0</v>
      </c>
      <c r="F191" s="25">
        <f>IF(H191=0,'Combined Retirement'!$D$32,0)+'Combined Retirement'!$B$24</f>
        <v>2870.372285649099</v>
      </c>
      <c r="G191" s="25">
        <f>'Combined Retirement'!$C$24</f>
        <v>3254.2644699519233</v>
      </c>
      <c r="H191" s="25">
        <f>IF(B191&lt;62,0,'Combined Retirement'!$I$14)</f>
        <v>2345</v>
      </c>
      <c r="I191" s="25">
        <f>IF(C191&lt;62,0,'Combined Retirement'!$I$13)</f>
        <v>2420</v>
      </c>
      <c r="J191" s="25">
        <f t="shared" si="3"/>
        <v>7896.2379798201846</v>
      </c>
      <c r="K191" s="25">
        <f t="shared" si="4"/>
        <v>20367.195264578786</v>
      </c>
      <c r="L191" s="25"/>
      <c r="N191" s="25">
        <f>'Combined Retirement'!$C$18/12</f>
        <v>39153.069999999992</v>
      </c>
      <c r="O191" s="25">
        <f t="shared" si="5"/>
        <v>10889.636755601023</v>
      </c>
      <c r="P191" s="25">
        <f t="shared" si="6"/>
        <v>28263.43324439897</v>
      </c>
      <c r="Q191" s="25">
        <f t="array" aca="1" ref="Q191" ca="1">INDEX('Isaac 401k'!L:L,MATCH('Retirement Calculator'!A191,'Isaac 401k'!N:N,0),0)</f>
        <v>1906021.8992221479</v>
      </c>
      <c r="R191" s="25">
        <f t="array" aca="1" ref="R191" ca="1">INDEX('Lorri 401b'!L:L,MATCH('Retirement Calculator'!A191,'Lorri 401b'!N:N,0),0)</f>
        <v>4336735.2367686052</v>
      </c>
      <c r="S191" s="25">
        <f t="shared" ca="1" si="7"/>
        <v>6242757.1359907528</v>
      </c>
    </row>
    <row r="192" spans="1:19" ht="15.75" customHeight="1" x14ac:dyDescent="0.3">
      <c r="A192" s="37">
        <v>56796</v>
      </c>
      <c r="B192" s="398">
        <f t="shared" ref="B192:C192" si="188">($A192-B$9)/365.25</f>
        <v>73.620807665982198</v>
      </c>
      <c r="C192" s="398">
        <f t="shared" si="188"/>
        <v>69.010266940451743</v>
      </c>
      <c r="E192" s="25">
        <f>IF(C192&gt;$B$7,0,'Combined Retirement'!$D$13/12)</f>
        <v>0</v>
      </c>
      <c r="F192" s="25">
        <f>IF(H192=0,'Combined Retirement'!$D$32,0)+'Combined Retirement'!$B$24</f>
        <v>2870.372285649099</v>
      </c>
      <c r="G192" s="25">
        <f>'Combined Retirement'!$C$24</f>
        <v>3254.2644699519233</v>
      </c>
      <c r="H192" s="25">
        <f>IF(B192&lt;62,0,'Combined Retirement'!$I$14)</f>
        <v>2345</v>
      </c>
      <c r="I192" s="25">
        <f>IF(C192&lt;62,0,'Combined Retirement'!$I$13)</f>
        <v>2420</v>
      </c>
      <c r="J192" s="25">
        <f t="shared" si="3"/>
        <v>7896.2379798201846</v>
      </c>
      <c r="K192" s="25">
        <f t="shared" si="4"/>
        <v>20367.195264578786</v>
      </c>
      <c r="L192" s="25"/>
      <c r="N192" s="25">
        <f>'Combined Retirement'!$C$18/12</f>
        <v>39153.069999999992</v>
      </c>
      <c r="O192" s="25">
        <f t="shared" si="5"/>
        <v>10889.636755601023</v>
      </c>
      <c r="P192" s="25">
        <f t="shared" si="6"/>
        <v>28263.43324439897</v>
      </c>
      <c r="Q192" s="25">
        <f t="array" aca="1" ref="Q192" ca="1">INDEX('Isaac 401k'!L:L,MATCH('Retirement Calculator'!A192,'Isaac 401k'!N:N,0),0)</f>
        <v>1906034.5181641707</v>
      </c>
      <c r="R192" s="25">
        <f t="array" aca="1" ref="R192" ca="1">INDEX('Lorri 401b'!L:L,MATCH('Retirement Calculator'!A192,'Lorri 401b'!N:N,0),0)</f>
        <v>4334352.9083436262</v>
      </c>
      <c r="S192" s="25">
        <f t="shared" ca="1" si="7"/>
        <v>6240387.4265077971</v>
      </c>
    </row>
    <row r="193" spans="1:19" ht="15.75" customHeight="1" x14ac:dyDescent="0.3">
      <c r="A193" s="37">
        <v>56827</v>
      </c>
      <c r="B193" s="398">
        <f t="shared" ref="B193:C193" si="189">($A193-B$9)/365.25</f>
        <v>73.705681040383297</v>
      </c>
      <c r="C193" s="398">
        <f t="shared" si="189"/>
        <v>69.095140314852841</v>
      </c>
      <c r="E193" s="25">
        <f>IF(C193&gt;$B$7,0,'Combined Retirement'!$D$13/12)</f>
        <v>0</v>
      </c>
      <c r="F193" s="25">
        <f>IF(H193=0,'Combined Retirement'!$D$32,0)+'Combined Retirement'!$B$24</f>
        <v>2870.372285649099</v>
      </c>
      <c r="G193" s="25">
        <f>'Combined Retirement'!$C$24</f>
        <v>3254.2644699519233</v>
      </c>
      <c r="H193" s="25">
        <f>IF(B193&lt;62,0,'Combined Retirement'!$I$14)</f>
        <v>2345</v>
      </c>
      <c r="I193" s="25">
        <f>IF(C193&lt;62,0,'Combined Retirement'!$I$13)</f>
        <v>2420</v>
      </c>
      <c r="J193" s="25">
        <f t="shared" si="3"/>
        <v>7896.2379798201846</v>
      </c>
      <c r="K193" s="25">
        <f t="shared" si="4"/>
        <v>20367.195264578786</v>
      </c>
      <c r="L193" s="25"/>
      <c r="N193" s="25">
        <f>'Combined Retirement'!$C$18/12</f>
        <v>39153.069999999992</v>
      </c>
      <c r="O193" s="25">
        <f t="shared" si="5"/>
        <v>10889.636755601023</v>
      </c>
      <c r="P193" s="25">
        <f t="shared" si="6"/>
        <v>28263.43324439897</v>
      </c>
      <c r="Q193" s="25">
        <f t="array" aca="1" ref="Q193" ca="1">INDEX('Isaac 401k'!L:L,MATCH('Retirement Calculator'!A193,'Isaac 401k'!N:N,0),0)</f>
        <v>1906047.1896851186</v>
      </c>
      <c r="R193" s="25">
        <f t="array" aca="1" ref="R193" ca="1">INDEX('Lorri 401b'!L:L,MATCH('Retirement Calculator'!A193,'Lorri 401b'!N:N,0),0)</f>
        <v>4331960.6535502104</v>
      </c>
      <c r="S193" s="25">
        <f t="shared" ca="1" si="7"/>
        <v>6238007.8432353288</v>
      </c>
    </row>
    <row r="194" spans="1:19" ht="15.75" customHeight="1" x14ac:dyDescent="0.3">
      <c r="A194" s="37">
        <v>56858</v>
      </c>
      <c r="B194" s="398">
        <f t="shared" ref="B194:C194" si="190">($A194-B$9)/365.25</f>
        <v>73.790554414784395</v>
      </c>
      <c r="C194" s="398">
        <f t="shared" si="190"/>
        <v>69.18001368925394</v>
      </c>
      <c r="E194" s="25">
        <f>IF(C194&gt;$B$7,0,'Combined Retirement'!$D$13/12)</f>
        <v>0</v>
      </c>
      <c r="F194" s="25">
        <f>IF(H194=0,'Combined Retirement'!$D$32,0)+'Combined Retirement'!$B$24</f>
        <v>2870.372285649099</v>
      </c>
      <c r="G194" s="25">
        <f>'Combined Retirement'!$C$24</f>
        <v>3254.2644699519233</v>
      </c>
      <c r="H194" s="25">
        <f>IF(B194&lt;62,0,'Combined Retirement'!$I$14)</f>
        <v>2345</v>
      </c>
      <c r="I194" s="25">
        <f>IF(C194&lt;62,0,'Combined Retirement'!$I$13)</f>
        <v>2420</v>
      </c>
      <c r="J194" s="25">
        <f t="shared" si="3"/>
        <v>7896.2379798201846</v>
      </c>
      <c r="K194" s="25">
        <f t="shared" si="4"/>
        <v>20367.195264578786</v>
      </c>
      <c r="L194" s="25"/>
      <c r="N194" s="25">
        <f>'Combined Retirement'!$C$18/12</f>
        <v>39153.069999999992</v>
      </c>
      <c r="O194" s="25">
        <f t="shared" si="5"/>
        <v>10889.636755601023</v>
      </c>
      <c r="P194" s="25">
        <f t="shared" si="6"/>
        <v>28263.43324439897</v>
      </c>
      <c r="Q194" s="25">
        <f t="array" aca="1" ref="Q194" ca="1">INDEX('Isaac 401k'!L:L,MATCH('Retirement Calculator'!A194,'Isaac 401k'!N:N,0),0)</f>
        <v>1906059.9140040705</v>
      </c>
      <c r="R194" s="25">
        <f t="array" aca="1" ref="R194" ca="1">INDEX('Lorri 401b'!L:L,MATCH('Retirement Calculator'!A194,'Lorri 401b'!N:N,0),0)</f>
        <v>4329558.4310284881</v>
      </c>
      <c r="S194" s="25">
        <f t="shared" ca="1" si="7"/>
        <v>6235618.3450325588</v>
      </c>
    </row>
    <row r="195" spans="1:19" ht="15.75" customHeight="1" x14ac:dyDescent="0.3">
      <c r="A195" s="37">
        <v>56888</v>
      </c>
      <c r="B195" s="398">
        <f t="shared" ref="B195:C195" si="191">($A195-B$9)/365.25</f>
        <v>73.872689938398352</v>
      </c>
      <c r="C195" s="398">
        <f t="shared" si="191"/>
        <v>69.262149212867897</v>
      </c>
      <c r="E195" s="25">
        <f>IF(C195&gt;$B$7,0,'Combined Retirement'!$D$13/12)</f>
        <v>0</v>
      </c>
      <c r="F195" s="25">
        <f>IF(H195=0,'Combined Retirement'!$D$32,0)+'Combined Retirement'!$B$24</f>
        <v>2870.372285649099</v>
      </c>
      <c r="G195" s="25">
        <f>'Combined Retirement'!$C$24</f>
        <v>3254.2644699519233</v>
      </c>
      <c r="H195" s="25">
        <f>IF(B195&lt;62,0,'Combined Retirement'!$I$14)</f>
        <v>2345</v>
      </c>
      <c r="I195" s="25">
        <f>IF(C195&lt;62,0,'Combined Retirement'!$I$13)</f>
        <v>2420</v>
      </c>
      <c r="J195" s="25">
        <f t="shared" si="3"/>
        <v>7896.2379798201846</v>
      </c>
      <c r="K195" s="25">
        <f t="shared" si="4"/>
        <v>20367.195264578786</v>
      </c>
      <c r="L195" s="25"/>
      <c r="N195" s="25">
        <f>'Combined Retirement'!$C$18/12</f>
        <v>39153.069999999992</v>
      </c>
      <c r="O195" s="25">
        <f t="shared" si="5"/>
        <v>10889.636755601023</v>
      </c>
      <c r="P195" s="25">
        <f t="shared" si="6"/>
        <v>28263.43324439897</v>
      </c>
      <c r="Q195" s="25">
        <f t="array" aca="1" ref="Q195" ca="1">INDEX('Isaac 401k'!L:L,MATCH('Retirement Calculator'!A195,'Isaac 401k'!N:N,0),0)</f>
        <v>1906072.6913410178</v>
      </c>
      <c r="R195" s="25">
        <f t="array" aca="1" ref="R195" ca="1">INDEX('Lorri 401b'!L:L,MATCH('Retirement Calculator'!A195,'Lorri 401b'!N:N,0),0)</f>
        <v>4327146.1992462585</v>
      </c>
      <c r="S195" s="25">
        <f t="shared" ca="1" si="7"/>
        <v>6233218.8905872758</v>
      </c>
    </row>
    <row r="196" spans="1:19" ht="15.75" customHeight="1" x14ac:dyDescent="0.3">
      <c r="A196" s="37">
        <v>56919</v>
      </c>
      <c r="B196" s="398">
        <f t="shared" ref="B196:C196" si="192">($A196-B$9)/365.25</f>
        <v>73.957563312799451</v>
      </c>
      <c r="C196" s="398">
        <f t="shared" si="192"/>
        <v>69.347022587268995</v>
      </c>
      <c r="E196" s="25">
        <f>IF(C196&gt;$B$7,0,'Combined Retirement'!$D$13/12)</f>
        <v>0</v>
      </c>
      <c r="F196" s="25">
        <f>IF(H196=0,'Combined Retirement'!$D$32,0)+'Combined Retirement'!$B$24</f>
        <v>2870.372285649099</v>
      </c>
      <c r="G196" s="25">
        <f>'Combined Retirement'!$C$24</f>
        <v>3254.2644699519233</v>
      </c>
      <c r="H196" s="25">
        <f>IF(B196&lt;62,0,'Combined Retirement'!$I$14)</f>
        <v>2345</v>
      </c>
      <c r="I196" s="25">
        <f>IF(C196&lt;62,0,'Combined Retirement'!$I$13)</f>
        <v>2420</v>
      </c>
      <c r="J196" s="25">
        <f t="shared" si="3"/>
        <v>7896.2379798201846</v>
      </c>
      <c r="K196" s="25">
        <f t="shared" si="4"/>
        <v>20367.195264578786</v>
      </c>
      <c r="L196" s="25"/>
      <c r="N196" s="25">
        <f>'Combined Retirement'!$C$18/12</f>
        <v>39153.069999999992</v>
      </c>
      <c r="O196" s="25">
        <f t="shared" si="5"/>
        <v>10889.636755601023</v>
      </c>
      <c r="P196" s="25">
        <f t="shared" si="6"/>
        <v>28263.43324439897</v>
      </c>
      <c r="Q196" s="25">
        <f t="array" aca="1" ref="Q196" ca="1">INDEX('Isaac 401k'!L:L,MATCH('Retirement Calculator'!A196,'Isaac 401k'!N:N,0),0)</f>
        <v>1906085.5219168693</v>
      </c>
      <c r="R196" s="25">
        <f t="array" aca="1" ref="R196" ca="1">INDEX('Lorri 401b'!L:L,MATCH('Retirement Calculator'!A196,'Lorri 401b'!N:N,0),0)</f>
        <v>4324723.9164982699</v>
      </c>
      <c r="S196" s="25">
        <f t="shared" ca="1" si="7"/>
        <v>6230809.438415139</v>
      </c>
    </row>
    <row r="197" spans="1:19" ht="15.75" customHeight="1" x14ac:dyDescent="0.3">
      <c r="A197" s="37">
        <v>56949</v>
      </c>
      <c r="B197" s="398">
        <f t="shared" ref="B197:C197" si="193">($A197-B$9)/365.25</f>
        <v>74.039698836413422</v>
      </c>
      <c r="C197" s="398">
        <f t="shared" si="193"/>
        <v>69.429158110882952</v>
      </c>
      <c r="E197" s="25">
        <f>IF(C197&gt;$B$7,0,'Combined Retirement'!$D$13/12)</f>
        <v>0</v>
      </c>
      <c r="F197" s="25">
        <f>IF(H197=0,'Combined Retirement'!$D$32,0)+'Combined Retirement'!$B$24</f>
        <v>2870.372285649099</v>
      </c>
      <c r="G197" s="25">
        <f>'Combined Retirement'!$C$24</f>
        <v>3254.2644699519233</v>
      </c>
      <c r="H197" s="25">
        <f>IF(B197&lt;62,0,'Combined Retirement'!$I$14)</f>
        <v>2345</v>
      </c>
      <c r="I197" s="25">
        <f>IF(C197&lt;62,0,'Combined Retirement'!$I$13)</f>
        <v>2420</v>
      </c>
      <c r="J197" s="25">
        <f t="shared" si="3"/>
        <v>7896.2379798201846</v>
      </c>
      <c r="K197" s="25">
        <f t="shared" si="4"/>
        <v>20367.195264578786</v>
      </c>
      <c r="L197" s="25"/>
      <c r="N197" s="25">
        <f>'Combined Retirement'!$C$18/12</f>
        <v>39153.069999999992</v>
      </c>
      <c r="O197" s="25">
        <f t="shared" si="5"/>
        <v>10889.636755601023</v>
      </c>
      <c r="P197" s="25">
        <f t="shared" si="6"/>
        <v>28263.43324439897</v>
      </c>
      <c r="Q197" s="25">
        <f t="array" aca="1" ref="Q197" ca="1">INDEX('Isaac 401k'!L:L,MATCH('Retirement Calculator'!A197,'Isaac 401k'!N:N,0),0)</f>
        <v>1906098.4059534534</v>
      </c>
      <c r="R197" s="25">
        <f t="array" aca="1" ref="R197" ca="1">INDEX('Lorri 401b'!L:L,MATCH('Retirement Calculator'!A197,'Lorri 401b'!N:N,0),0)</f>
        <v>4322291.540905498</v>
      </c>
      <c r="S197" s="25">
        <f t="shared" ca="1" si="7"/>
        <v>6228389.9468589518</v>
      </c>
    </row>
    <row r="198" spans="1:19" ht="15.75" customHeight="1" x14ac:dyDescent="0.3">
      <c r="A198" s="37">
        <v>56980</v>
      </c>
      <c r="B198" s="398">
        <f t="shared" ref="B198:C198" si="194">($A198-B$9)/365.25</f>
        <v>74.124572210814506</v>
      </c>
      <c r="C198" s="398">
        <f t="shared" si="194"/>
        <v>69.51403148528405</v>
      </c>
      <c r="E198" s="25">
        <f>IF(C198&gt;$B$7,0,'Combined Retirement'!$D$13/12)</f>
        <v>0</v>
      </c>
      <c r="F198" s="25">
        <f>IF(H198=0,'Combined Retirement'!$D$32,0)+'Combined Retirement'!$B$24</f>
        <v>2870.372285649099</v>
      </c>
      <c r="G198" s="25">
        <f>'Combined Retirement'!$C$24</f>
        <v>3254.2644699519233</v>
      </c>
      <c r="H198" s="25">
        <f>IF(B198&lt;62,0,'Combined Retirement'!$I$14)</f>
        <v>2345</v>
      </c>
      <c r="I198" s="25">
        <f>IF(C198&lt;62,0,'Combined Retirement'!$I$13)</f>
        <v>2420</v>
      </c>
      <c r="J198" s="25">
        <f t="shared" si="3"/>
        <v>7896.2379798201846</v>
      </c>
      <c r="K198" s="25">
        <f t="shared" si="4"/>
        <v>20367.195264578786</v>
      </c>
      <c r="L198" s="25"/>
      <c r="N198" s="25">
        <f>'Combined Retirement'!$C$18/12</f>
        <v>39153.069999999992</v>
      </c>
      <c r="O198" s="25">
        <f t="shared" si="5"/>
        <v>10889.636755601023</v>
      </c>
      <c r="P198" s="25">
        <f t="shared" si="6"/>
        <v>28263.43324439897</v>
      </c>
      <c r="Q198" s="25">
        <f t="array" aca="1" ref="Q198" ca="1">INDEX('Isaac 401k'!L:L,MATCH('Retirement Calculator'!A198,'Isaac 401k'!N:N,0),0)</f>
        <v>1906111.3436735233</v>
      </c>
      <c r="R198" s="25">
        <f t="array" aca="1" ref="R198" ca="1">INDEX('Lorri 401b'!L:L,MATCH('Retirement Calculator'!A198,'Lorri 401b'!N:N,0),0)</f>
        <v>4319849.030414423</v>
      </c>
      <c r="S198" s="25">
        <f t="shared" ca="1" si="7"/>
        <v>6225960.3740879465</v>
      </c>
    </row>
    <row r="199" spans="1:19" ht="15.75" customHeight="1" x14ac:dyDescent="0.3">
      <c r="A199" s="37">
        <v>57011</v>
      </c>
      <c r="B199" s="398">
        <f t="shared" ref="B199:C199" si="195">($A199-B$9)/365.25</f>
        <v>74.209445585215605</v>
      </c>
      <c r="C199" s="398">
        <f t="shared" si="195"/>
        <v>69.598904859685149</v>
      </c>
      <c r="E199" s="25">
        <f>IF(C199&gt;$B$7,0,'Combined Retirement'!$D$13/12)</f>
        <v>0</v>
      </c>
      <c r="F199" s="25">
        <f>IF(H199=0,'Combined Retirement'!$D$32,0)+'Combined Retirement'!$B$24</f>
        <v>2870.372285649099</v>
      </c>
      <c r="G199" s="25">
        <f>'Combined Retirement'!$C$24</f>
        <v>3254.2644699519233</v>
      </c>
      <c r="H199" s="25">
        <f>IF(B199&lt;62,0,'Combined Retirement'!$I$14)</f>
        <v>2345</v>
      </c>
      <c r="I199" s="25">
        <f>IF(C199&lt;62,0,'Combined Retirement'!$I$13)</f>
        <v>2420</v>
      </c>
      <c r="J199" s="25">
        <f t="shared" si="3"/>
        <v>7896.2379798201846</v>
      </c>
      <c r="K199" s="25">
        <f t="shared" si="4"/>
        <v>20367.195264578786</v>
      </c>
      <c r="L199" s="25"/>
      <c r="N199" s="25">
        <f>'Combined Retirement'!$C$18/12</f>
        <v>39153.069999999992</v>
      </c>
      <c r="O199" s="25">
        <f t="shared" si="5"/>
        <v>10889.636755601023</v>
      </c>
      <c r="P199" s="25">
        <f t="shared" si="6"/>
        <v>28263.43324439897</v>
      </c>
      <c r="Q199" s="25">
        <f t="array" aca="1" ref="Q199" ca="1">INDEX('Isaac 401k'!L:L,MATCH('Retirement Calculator'!A199,'Isaac 401k'!N:N,0),0)</f>
        <v>1906124.3353007601</v>
      </c>
      <c r="R199" s="25">
        <f t="array" aca="1" ref="R199" ca="1">INDEX('Lorri 401b'!L:L,MATCH('Retirement Calculator'!A199,'Lorri 401b'!N:N,0),0)</f>
        <v>4317396.3427963015</v>
      </c>
      <c r="S199" s="25">
        <f t="shared" ca="1" si="7"/>
        <v>6223520.6780970618</v>
      </c>
    </row>
    <row r="200" spans="1:19" ht="15.75" customHeight="1" x14ac:dyDescent="0.3">
      <c r="A200" s="37">
        <v>57040</v>
      </c>
      <c r="B200" s="398">
        <f t="shared" ref="B200:C200" si="196">($A200-B$9)/365.25</f>
        <v>74.288843258042434</v>
      </c>
      <c r="C200" s="398">
        <f t="shared" si="196"/>
        <v>69.678302532511978</v>
      </c>
      <c r="E200" s="25">
        <f>IF(C200&gt;$B$7,0,'Combined Retirement'!$D$13/12)</f>
        <v>0</v>
      </c>
      <c r="F200" s="25">
        <f>IF(H200=0,'Combined Retirement'!$D$32,0)+'Combined Retirement'!$B$24</f>
        <v>2870.372285649099</v>
      </c>
      <c r="G200" s="25">
        <f>'Combined Retirement'!$C$24</f>
        <v>3254.2644699519233</v>
      </c>
      <c r="H200" s="25">
        <f>IF(B200&lt;62,0,'Combined Retirement'!$I$14)</f>
        <v>2345</v>
      </c>
      <c r="I200" s="25">
        <f>IF(C200&lt;62,0,'Combined Retirement'!$I$13)</f>
        <v>2420</v>
      </c>
      <c r="J200" s="25">
        <f t="shared" si="3"/>
        <v>7896.2379798201846</v>
      </c>
      <c r="K200" s="25">
        <f t="shared" si="4"/>
        <v>20367.195264578786</v>
      </c>
      <c r="L200" s="25"/>
      <c r="N200" s="25">
        <f>'Combined Retirement'!$C$18/12</f>
        <v>39153.069999999992</v>
      </c>
      <c r="O200" s="25">
        <f t="shared" si="5"/>
        <v>10889.636755601023</v>
      </c>
      <c r="P200" s="25">
        <f t="shared" si="6"/>
        <v>28263.43324439897</v>
      </c>
      <c r="Q200" s="25">
        <f t="array" aca="1" ref="Q200" ca="1">INDEX('Isaac 401k'!L:L,MATCH('Retirement Calculator'!A200,'Isaac 401k'!N:N,0),0)</f>
        <v>1906137.3810597772</v>
      </c>
      <c r="R200" s="25">
        <f t="array" aca="1" ref="R200" ca="1">INDEX('Lorri 401b'!L:L,MATCH('Retirement Calculator'!A200,'Lorri 401b'!N:N,0),0)</f>
        <v>4314933.435646438</v>
      </c>
      <c r="S200" s="25">
        <f t="shared" ca="1" si="7"/>
        <v>6221070.816706215</v>
      </c>
    </row>
    <row r="201" spans="1:19" ht="15.75" customHeight="1" x14ac:dyDescent="0.3">
      <c r="A201" s="37">
        <v>57071</v>
      </c>
      <c r="B201" s="398">
        <f t="shared" ref="B201:C201" si="197">($A201-B$9)/365.25</f>
        <v>74.373716632443532</v>
      </c>
      <c r="C201" s="398">
        <f t="shared" si="197"/>
        <v>69.763175906913077</v>
      </c>
      <c r="E201" s="25">
        <f>IF(C201&gt;$B$7,0,'Combined Retirement'!$D$13/12)</f>
        <v>0</v>
      </c>
      <c r="F201" s="25">
        <f>IF(H201=0,'Combined Retirement'!$D$32,0)+'Combined Retirement'!$B$24</f>
        <v>2870.372285649099</v>
      </c>
      <c r="G201" s="25">
        <f>'Combined Retirement'!$C$24</f>
        <v>3254.2644699519233</v>
      </c>
      <c r="H201" s="25">
        <f>IF(B201&lt;62,0,'Combined Retirement'!$I$14)</f>
        <v>2345</v>
      </c>
      <c r="I201" s="25">
        <f>IF(C201&lt;62,0,'Combined Retirement'!$I$13)</f>
        <v>2420</v>
      </c>
      <c r="J201" s="25">
        <f t="shared" si="3"/>
        <v>7896.2379798201846</v>
      </c>
      <c r="K201" s="25">
        <f t="shared" si="4"/>
        <v>20367.195264578786</v>
      </c>
      <c r="L201" s="25"/>
      <c r="N201" s="25">
        <f>'Combined Retirement'!$C$18/12</f>
        <v>39153.069999999992</v>
      </c>
      <c r="O201" s="25">
        <f t="shared" si="5"/>
        <v>10889.636755601023</v>
      </c>
      <c r="P201" s="25">
        <f t="shared" si="6"/>
        <v>28263.43324439897</v>
      </c>
      <c r="Q201" s="25">
        <f t="array" aca="1" ref="Q201" ca="1">INDEX('Isaac 401k'!L:L,MATCH('Retirement Calculator'!A201,'Isaac 401k'!N:N,0),0)</f>
        <v>1906150.4811761235</v>
      </c>
      <c r="R201" s="25">
        <f t="array" aca="1" ref="R201" ca="1">INDEX('Lorri 401b'!L:L,MATCH('Retirement Calculator'!A201,'Lorri 401b'!N:N,0),0)</f>
        <v>4312460.2663834505</v>
      </c>
      <c r="S201" s="25">
        <f t="shared" ca="1" si="7"/>
        <v>6218610.7475595735</v>
      </c>
    </row>
    <row r="202" spans="1:19" ht="15.75" customHeight="1" x14ac:dyDescent="0.3">
      <c r="A202" s="37">
        <v>57101</v>
      </c>
      <c r="B202" s="398">
        <f t="shared" ref="B202:C202" si="198">($A202-B$9)/365.25</f>
        <v>74.455852156057489</v>
      </c>
      <c r="C202" s="398">
        <f t="shared" si="198"/>
        <v>69.845311430527033</v>
      </c>
      <c r="E202" s="25">
        <f>IF(C202&gt;$B$7,0,'Combined Retirement'!$D$13/12)</f>
        <v>0</v>
      </c>
      <c r="F202" s="25">
        <f>IF(H202=0,'Combined Retirement'!$D$32,0)+'Combined Retirement'!$B$24</f>
        <v>2870.372285649099</v>
      </c>
      <c r="G202" s="25">
        <f>'Combined Retirement'!$C$24</f>
        <v>3254.2644699519233</v>
      </c>
      <c r="H202" s="25">
        <f>IF(B202&lt;62,0,'Combined Retirement'!$I$14)</f>
        <v>2345</v>
      </c>
      <c r="I202" s="25">
        <f>IF(C202&lt;62,0,'Combined Retirement'!$I$13)</f>
        <v>2420</v>
      </c>
      <c r="J202" s="25">
        <f t="shared" si="3"/>
        <v>7896.2379798201846</v>
      </c>
      <c r="K202" s="25">
        <f t="shared" si="4"/>
        <v>20367.195264578786</v>
      </c>
      <c r="L202" s="25"/>
      <c r="N202" s="25">
        <f>'Combined Retirement'!$C$18/12</f>
        <v>39153.069999999992</v>
      </c>
      <c r="O202" s="25">
        <f t="shared" si="5"/>
        <v>10889.636755601023</v>
      </c>
      <c r="P202" s="25">
        <f t="shared" si="6"/>
        <v>28263.43324439897</v>
      </c>
      <c r="Q202" s="25">
        <f t="array" aca="1" ref="Q202" ca="1">INDEX('Isaac 401k'!L:L,MATCH('Retirement Calculator'!A202,'Isaac 401k'!N:N,0),0)</f>
        <v>1906163.6358762879</v>
      </c>
      <c r="R202" s="25">
        <f t="array" aca="1" ref="R202" ca="1">INDEX('Lorri 401b'!L:L,MATCH('Retirement Calculator'!A202,'Lorri 401b'!N:N,0),0)</f>
        <v>4309976.792248534</v>
      </c>
      <c r="S202" s="25">
        <f t="shared" ca="1" si="7"/>
        <v>6216140.4281248217</v>
      </c>
    </row>
    <row r="203" spans="1:19" ht="15.75" customHeight="1" x14ac:dyDescent="0.3">
      <c r="A203" s="37">
        <v>57132</v>
      </c>
      <c r="B203" s="398">
        <f t="shared" ref="B203:C203" si="199">($A203-B$9)/365.25</f>
        <v>74.540725530458587</v>
      </c>
      <c r="C203" s="398">
        <f t="shared" si="199"/>
        <v>69.930184804928132</v>
      </c>
      <c r="E203" s="25">
        <f>IF(C203&gt;$B$7,0,'Combined Retirement'!$D$13/12)</f>
        <v>0</v>
      </c>
      <c r="F203" s="25">
        <f>IF(H203=0,'Combined Retirement'!$D$32,0)+'Combined Retirement'!$B$24</f>
        <v>2870.372285649099</v>
      </c>
      <c r="G203" s="25">
        <f>'Combined Retirement'!$C$24</f>
        <v>3254.2644699519233</v>
      </c>
      <c r="H203" s="25">
        <f>IF(B203&lt;62,0,'Combined Retirement'!$I$14)</f>
        <v>2345</v>
      </c>
      <c r="I203" s="25">
        <f>IF(C203&lt;62,0,'Combined Retirement'!$I$13)</f>
        <v>2420</v>
      </c>
      <c r="J203" s="25">
        <f t="shared" si="3"/>
        <v>7896.2379798201846</v>
      </c>
      <c r="K203" s="25">
        <f t="shared" si="4"/>
        <v>20367.195264578786</v>
      </c>
      <c r="L203" s="25"/>
      <c r="N203" s="25">
        <f>'Combined Retirement'!$C$18/12</f>
        <v>39153.069999999992</v>
      </c>
      <c r="O203" s="25">
        <f t="shared" si="5"/>
        <v>10889.636755601023</v>
      </c>
      <c r="P203" s="25">
        <f t="shared" si="6"/>
        <v>28263.43324439897</v>
      </c>
      <c r="Q203" s="25">
        <f t="array" aca="1" ref="Q203" ca="1">INDEX('Isaac 401k'!L:L,MATCH('Retirement Calculator'!A203,'Isaac 401k'!N:N,0),0)</f>
        <v>1906176.845387703</v>
      </c>
      <c r="R203" s="25">
        <f t="array" aca="1" ref="R203" ca="1">INDEX('Lorri 401b'!L:L,MATCH('Retirement Calculator'!A203,'Lorri 401b'!N:N,0),0)</f>
        <v>4307482.970304722</v>
      </c>
      <c r="S203" s="25">
        <f t="shared" ca="1" si="7"/>
        <v>6213659.8156924248</v>
      </c>
    </row>
    <row r="204" spans="1:19" ht="15.75" customHeight="1" x14ac:dyDescent="0.3">
      <c r="A204" s="37">
        <v>57162</v>
      </c>
      <c r="B204" s="398">
        <f t="shared" ref="B204:C204" si="200">($A204-B$9)/365.25</f>
        <v>74.622861054072558</v>
      </c>
      <c r="C204" s="398">
        <f t="shared" si="200"/>
        <v>70.012320328542089</v>
      </c>
      <c r="E204" s="25">
        <f>IF(C204&gt;$B$7,0,'Combined Retirement'!$D$13/12)</f>
        <v>0</v>
      </c>
      <c r="F204" s="25">
        <f>IF(H204=0,'Combined Retirement'!$D$32,0)+'Combined Retirement'!$B$24</f>
        <v>2870.372285649099</v>
      </c>
      <c r="G204" s="25">
        <f>'Combined Retirement'!$C$24</f>
        <v>3254.2644699519233</v>
      </c>
      <c r="H204" s="25">
        <f>IF(B204&lt;62,0,'Combined Retirement'!$I$14)</f>
        <v>2345</v>
      </c>
      <c r="I204" s="25">
        <f>IF(C204&lt;62,0,'Combined Retirement'!$I$13)</f>
        <v>2420</v>
      </c>
      <c r="J204" s="25">
        <f t="shared" si="3"/>
        <v>7896.2379798201846</v>
      </c>
      <c r="K204" s="25">
        <f t="shared" si="4"/>
        <v>20367.195264578786</v>
      </c>
      <c r="L204" s="25"/>
      <c r="N204" s="25">
        <f>'Combined Retirement'!$C$18/12</f>
        <v>39153.069999999992</v>
      </c>
      <c r="O204" s="25">
        <f t="shared" si="5"/>
        <v>10889.636755601023</v>
      </c>
      <c r="P204" s="25">
        <f t="shared" si="6"/>
        <v>28263.43324439897</v>
      </c>
      <c r="Q204" s="25">
        <f t="array" aca="1" ref="Q204" ca="1">INDEX('Isaac 401k'!L:L,MATCH('Retirement Calculator'!A204,'Isaac 401k'!N:N,0),0)</f>
        <v>1906190.1099387489</v>
      </c>
      <c r="R204" s="25">
        <f t="array" aca="1" ref="R204" ca="1">INDEX('Lorri 401b'!L:L,MATCH('Retirement Calculator'!A204,'Lorri 401b'!N:N,0),0)</f>
        <v>4304978.7574361442</v>
      </c>
      <c r="S204" s="25">
        <f t="shared" ca="1" si="7"/>
        <v>6211168.8673748933</v>
      </c>
    </row>
    <row r="205" spans="1:19" ht="15.75" customHeight="1" x14ac:dyDescent="0.3">
      <c r="A205" s="37">
        <v>57193</v>
      </c>
      <c r="B205" s="398">
        <f t="shared" ref="B205:C205" si="201">($A205-B$9)/365.25</f>
        <v>74.707734428473643</v>
      </c>
      <c r="C205" s="398">
        <f t="shared" si="201"/>
        <v>70.097193702943187</v>
      </c>
      <c r="E205" s="25">
        <f>IF(C205&gt;$B$7,0,'Combined Retirement'!$D$13/12)</f>
        <v>0</v>
      </c>
      <c r="F205" s="25">
        <f>IF(H205=0,'Combined Retirement'!$D$32,0)+'Combined Retirement'!$B$24</f>
        <v>2870.372285649099</v>
      </c>
      <c r="G205" s="25">
        <f>'Combined Retirement'!$C$24</f>
        <v>3254.2644699519233</v>
      </c>
      <c r="H205" s="25">
        <f>IF(B205&lt;62,0,'Combined Retirement'!$I$14)</f>
        <v>2345</v>
      </c>
      <c r="I205" s="25">
        <f>IF(C205&lt;62,0,'Combined Retirement'!$I$13)</f>
        <v>2420</v>
      </c>
      <c r="J205" s="25">
        <f t="shared" si="3"/>
        <v>7896.2379798201846</v>
      </c>
      <c r="K205" s="25">
        <f t="shared" si="4"/>
        <v>20367.195264578786</v>
      </c>
      <c r="L205" s="25"/>
      <c r="N205" s="25">
        <f>'Combined Retirement'!$C$18/12</f>
        <v>39153.069999999992</v>
      </c>
      <c r="O205" s="25">
        <f t="shared" si="5"/>
        <v>10889.636755601023</v>
      </c>
      <c r="P205" s="25">
        <f t="shared" si="6"/>
        <v>28263.43324439897</v>
      </c>
      <c r="Q205" s="25">
        <f t="array" aca="1" ref="Q205" ca="1">INDEX('Isaac 401k'!L:L,MATCH('Retirement Calculator'!A205,'Isaac 401k'!N:N,0),0)</f>
        <v>1906203.4297587576</v>
      </c>
      <c r="R205" s="25">
        <f t="array" aca="1" ref="R205" ca="1">INDEX('Lorri 401b'!L:L,MATCH('Retirement Calculator'!A205,'Lorri 401b'!N:N,0),0)</f>
        <v>4302464.1103472803</v>
      </c>
      <c r="S205" s="25">
        <f t="shared" ca="1" si="7"/>
        <v>6208667.5401060376</v>
      </c>
    </row>
    <row r="206" spans="1:19" ht="15.75" customHeight="1" x14ac:dyDescent="0.3">
      <c r="A206" s="37">
        <v>57224</v>
      </c>
      <c r="B206" s="398">
        <f t="shared" ref="B206:C206" si="202">($A206-B$9)/365.25</f>
        <v>74.792607802874741</v>
      </c>
      <c r="C206" s="398">
        <f t="shared" si="202"/>
        <v>70.182067077344286</v>
      </c>
      <c r="E206" s="25">
        <f>IF(C206&gt;$B$7,0,'Combined Retirement'!$D$13/12)</f>
        <v>0</v>
      </c>
      <c r="F206" s="25">
        <f>IF(H206=0,'Combined Retirement'!$D$32,0)+'Combined Retirement'!$B$24</f>
        <v>2870.372285649099</v>
      </c>
      <c r="G206" s="25">
        <f>'Combined Retirement'!$C$24</f>
        <v>3254.2644699519233</v>
      </c>
      <c r="H206" s="25">
        <f>IF(B206&lt;62,0,'Combined Retirement'!$I$14)</f>
        <v>2345</v>
      </c>
      <c r="I206" s="25">
        <f>IF(C206&lt;62,0,'Combined Retirement'!$I$13)</f>
        <v>2420</v>
      </c>
      <c r="J206" s="25">
        <f t="shared" si="3"/>
        <v>7896.2379798201846</v>
      </c>
      <c r="K206" s="25">
        <f t="shared" si="4"/>
        <v>20367.195264578786</v>
      </c>
      <c r="L206" s="25"/>
      <c r="N206" s="25">
        <f>'Combined Retirement'!$C$18/12</f>
        <v>39153.069999999992</v>
      </c>
      <c r="O206" s="25">
        <f t="shared" si="5"/>
        <v>10889.636755601023</v>
      </c>
      <c r="P206" s="25">
        <f t="shared" si="6"/>
        <v>28263.43324439897</v>
      </c>
      <c r="Q206" s="25">
        <f t="array" aca="1" ref="Q206" ca="1">INDEX('Isaac 401k'!L:L,MATCH('Retirement Calculator'!A206,'Isaac 401k'!N:N,0),0)</f>
        <v>1906216.8050780164</v>
      </c>
      <c r="R206" s="25">
        <f t="array" aca="1" ref="R206" ca="1">INDEX('Lorri 401b'!L:L,MATCH('Retirement Calculator'!A206,'Lorri 401b'!N:N,0),0)</f>
        <v>4299938.9855622128</v>
      </c>
      <c r="S206" s="25">
        <f t="shared" ca="1" si="7"/>
        <v>6206155.7906402294</v>
      </c>
    </row>
    <row r="207" spans="1:19" ht="15.75" customHeight="1" x14ac:dyDescent="0.3">
      <c r="A207" s="37">
        <v>57254</v>
      </c>
      <c r="B207" s="398">
        <f t="shared" ref="B207:C207" si="203">($A207-B$9)/365.25</f>
        <v>74.874743326488712</v>
      </c>
      <c r="C207" s="398">
        <f t="shared" si="203"/>
        <v>70.264202600958242</v>
      </c>
      <c r="E207" s="25">
        <f>IF(C207&gt;$B$7,0,'Combined Retirement'!$D$13/12)</f>
        <v>0</v>
      </c>
      <c r="F207" s="25">
        <f>IF(H207=0,'Combined Retirement'!$D$32,0)+'Combined Retirement'!$B$24</f>
        <v>2870.372285649099</v>
      </c>
      <c r="G207" s="25">
        <f>'Combined Retirement'!$C$24</f>
        <v>3254.2644699519233</v>
      </c>
      <c r="H207" s="25">
        <f>IF(B207&lt;62,0,'Combined Retirement'!$I$14)</f>
        <v>2345</v>
      </c>
      <c r="I207" s="25">
        <f>IF(C207&lt;62,0,'Combined Retirement'!$I$13)</f>
        <v>2420</v>
      </c>
      <c r="J207" s="25">
        <f t="shared" si="3"/>
        <v>7896.2379798201846</v>
      </c>
      <c r="K207" s="25">
        <f t="shared" si="4"/>
        <v>20367.195264578786</v>
      </c>
      <c r="L207" s="25"/>
      <c r="N207" s="25">
        <f>'Combined Retirement'!$C$18/12</f>
        <v>39153.069999999992</v>
      </c>
      <c r="O207" s="25">
        <f t="shared" si="5"/>
        <v>10889.636755601023</v>
      </c>
      <c r="P207" s="25">
        <f t="shared" si="6"/>
        <v>28263.43324439897</v>
      </c>
      <c r="Q207" s="25">
        <f t="array" aca="1" ref="Q207" ca="1">INDEX('Isaac 401k'!L:L,MATCH('Retirement Calculator'!A207,'Isaac 401k'!N:N,0),0)</f>
        <v>1906230.2361277719</v>
      </c>
      <c r="R207" s="25">
        <f t="array" aca="1" ref="R207" ca="1">INDEX('Lorri 401b'!L:L,MATCH('Retirement Calculator'!A207,'Lorri 401b'!N:N,0),0)</f>
        <v>4297403.3394238744</v>
      </c>
      <c r="S207" s="25">
        <f t="shared" ca="1" si="7"/>
        <v>6203633.5755516458</v>
      </c>
    </row>
    <row r="208" spans="1:19" ht="15.75" customHeight="1" x14ac:dyDescent="0.3">
      <c r="A208" s="37">
        <v>57285</v>
      </c>
      <c r="B208" s="398">
        <f t="shared" ref="B208:C208" si="204">($A208-B$9)/365.25</f>
        <v>74.959616700889796</v>
      </c>
      <c r="C208" s="398">
        <f t="shared" si="204"/>
        <v>70.349075975359341</v>
      </c>
      <c r="E208" s="25">
        <f>IF(C208&gt;$B$7,0,'Combined Retirement'!$D$13/12)</f>
        <v>0</v>
      </c>
      <c r="F208" s="25">
        <f>IF(H208=0,'Combined Retirement'!$D$32,0)+'Combined Retirement'!$B$24</f>
        <v>2870.372285649099</v>
      </c>
      <c r="G208" s="25">
        <f>'Combined Retirement'!$C$24</f>
        <v>3254.2644699519233</v>
      </c>
      <c r="H208" s="25">
        <f>IF(B208&lt;62,0,'Combined Retirement'!$I$14)</f>
        <v>2345</v>
      </c>
      <c r="I208" s="25">
        <f>IF(C208&lt;62,0,'Combined Retirement'!$I$13)</f>
        <v>2420</v>
      </c>
      <c r="J208" s="25">
        <f t="shared" si="3"/>
        <v>7896.2379798201846</v>
      </c>
      <c r="K208" s="25">
        <f t="shared" si="4"/>
        <v>20367.195264578786</v>
      </c>
      <c r="L208" s="25"/>
      <c r="N208" s="25">
        <f>'Combined Retirement'!$C$18/12</f>
        <v>39153.069999999992</v>
      </c>
      <c r="O208" s="25">
        <f t="shared" si="5"/>
        <v>10889.636755601023</v>
      </c>
      <c r="P208" s="25">
        <f t="shared" si="6"/>
        <v>28263.43324439897</v>
      </c>
      <c r="Q208" s="25">
        <f t="array" aca="1" ref="Q208" ca="1">INDEX('Isaac 401k'!L:L,MATCH('Retirement Calculator'!A208,'Isaac 401k'!N:N,0),0)</f>
        <v>1906243.7231402348</v>
      </c>
      <c r="R208" s="25">
        <f t="array" aca="1" ref="R208" ca="1">INDEX('Lorri 401b'!L:L,MATCH('Retirement Calculator'!A208,'Lorri 401b'!N:N,0),0)</f>
        <v>4294857.1280932929</v>
      </c>
      <c r="S208" s="25">
        <f t="shared" ca="1" si="7"/>
        <v>6201100.851233528</v>
      </c>
    </row>
    <row r="209" spans="1:19" ht="15.75" customHeight="1" x14ac:dyDescent="0.3">
      <c r="A209" s="37">
        <v>57315</v>
      </c>
      <c r="B209" s="398">
        <f t="shared" ref="B209:C209" si="205">($A209-B$9)/365.25</f>
        <v>75.041752224503767</v>
      </c>
      <c r="C209" s="398">
        <f t="shared" si="205"/>
        <v>70.431211498973312</v>
      </c>
      <c r="E209" s="25">
        <f>IF(C209&gt;$B$7,0,'Combined Retirement'!$D$13/12)</f>
        <v>0</v>
      </c>
      <c r="F209" s="25">
        <f>IF(H209=0,'Combined Retirement'!$D$32,0)+'Combined Retirement'!$B$24</f>
        <v>2870.372285649099</v>
      </c>
      <c r="G209" s="25">
        <f>'Combined Retirement'!$C$24</f>
        <v>3254.2644699519233</v>
      </c>
      <c r="H209" s="25">
        <f>IF(B209&lt;62,0,'Combined Retirement'!$I$14)</f>
        <v>2345</v>
      </c>
      <c r="I209" s="25">
        <f>IF(C209&lt;62,0,'Combined Retirement'!$I$13)</f>
        <v>2420</v>
      </c>
      <c r="J209" s="25">
        <f t="shared" si="3"/>
        <v>7896.2379798201846</v>
      </c>
      <c r="K209" s="25">
        <f t="shared" si="4"/>
        <v>20367.195264578786</v>
      </c>
      <c r="L209" s="25"/>
      <c r="N209" s="25">
        <f>'Combined Retirement'!$C$18/12</f>
        <v>39153.069999999992</v>
      </c>
      <c r="O209" s="25">
        <f t="shared" si="5"/>
        <v>10889.636755601023</v>
      </c>
      <c r="P209" s="25">
        <f t="shared" si="6"/>
        <v>28263.43324439897</v>
      </c>
      <c r="Q209" s="25">
        <f t="array" aca="1" ref="Q209" ca="1">INDEX('Isaac 401k'!L:L,MATCH('Retirement Calculator'!A209,'Isaac 401k'!N:N,0),0)</f>
        <v>1906257.2663485829</v>
      </c>
      <c r="R209" s="25">
        <f t="array" aca="1" ref="R209" ca="1">INDEX('Lorri 401b'!L:L,MATCH('Retirement Calculator'!A209,'Lorri 401b'!N:N,0),0)</f>
        <v>4292300.307548834</v>
      </c>
      <c r="S209" s="25">
        <f t="shared" ca="1" si="7"/>
        <v>6198557.5738974167</v>
      </c>
    </row>
    <row r="210" spans="1:19" ht="15.75" customHeight="1" x14ac:dyDescent="0.3">
      <c r="A210" s="37">
        <v>57346</v>
      </c>
      <c r="B210" s="398">
        <f t="shared" ref="B210:C210" si="206">($A210-B$9)/365.25</f>
        <v>75.126625598904866</v>
      </c>
      <c r="C210" s="398">
        <f t="shared" si="206"/>
        <v>70.516084873374396</v>
      </c>
      <c r="E210" s="25">
        <f>IF(C210&gt;$B$7,0,'Combined Retirement'!$D$13/12)</f>
        <v>0</v>
      </c>
      <c r="F210" s="25">
        <f>IF(H210=0,'Combined Retirement'!$D$32,0)+'Combined Retirement'!$B$24</f>
        <v>2870.372285649099</v>
      </c>
      <c r="G210" s="25">
        <f>'Combined Retirement'!$C$24</f>
        <v>3254.2644699519233</v>
      </c>
      <c r="H210" s="25">
        <f>IF(B210&lt;62,0,'Combined Retirement'!$I$14)</f>
        <v>2345</v>
      </c>
      <c r="I210" s="25">
        <f>IF(C210&lt;62,0,'Combined Retirement'!$I$13)</f>
        <v>2420</v>
      </c>
      <c r="J210" s="25">
        <f t="shared" si="3"/>
        <v>7896.2379798201846</v>
      </c>
      <c r="K210" s="25">
        <f t="shared" si="4"/>
        <v>20367.195264578786</v>
      </c>
      <c r="L210" s="25"/>
      <c r="N210" s="25">
        <f>'Combined Retirement'!$C$18/12</f>
        <v>39153.069999999992</v>
      </c>
      <c r="O210" s="25">
        <f t="shared" si="5"/>
        <v>10889.636755601023</v>
      </c>
      <c r="P210" s="25">
        <f t="shared" si="6"/>
        <v>28263.43324439897</v>
      </c>
      <c r="Q210" s="25">
        <f t="array" aca="1" ref="Q210" ca="1">INDEX('Isaac 401k'!L:L,MATCH('Retirement Calculator'!A210,'Isaac 401k'!N:N,0),0)</f>
        <v>1906270.8659869658</v>
      </c>
      <c r="R210" s="25">
        <f t="array" aca="1" ref="R210" ca="1">INDEX('Lorri 401b'!L:L,MATCH('Retirement Calculator'!A210,'Lorri 401b'!N:N,0),0)</f>
        <v>4289732.8335854392</v>
      </c>
      <c r="S210" s="25">
        <f t="shared" ca="1" si="7"/>
        <v>6196003.6995724048</v>
      </c>
    </row>
    <row r="211" spans="1:19" ht="15.75" customHeight="1" x14ac:dyDescent="0.3">
      <c r="A211" s="37">
        <v>57377</v>
      </c>
      <c r="B211" s="398">
        <f t="shared" ref="B211:C211" si="207">($A211-B$9)/365.25</f>
        <v>75.21149897330595</v>
      </c>
      <c r="C211" s="398">
        <f t="shared" si="207"/>
        <v>70.600958247775495</v>
      </c>
      <c r="E211" s="25">
        <f>IF(C211&gt;$B$7,0,'Combined Retirement'!$D$13/12)</f>
        <v>0</v>
      </c>
      <c r="F211" s="25">
        <f>IF(H211=0,'Combined Retirement'!$D$32,0)+'Combined Retirement'!$B$24</f>
        <v>2870.372285649099</v>
      </c>
      <c r="G211" s="25">
        <f>'Combined Retirement'!$C$24</f>
        <v>3254.2644699519233</v>
      </c>
      <c r="H211" s="25">
        <f>IF(B211&lt;62,0,'Combined Retirement'!$I$14)</f>
        <v>2345</v>
      </c>
      <c r="I211" s="25">
        <f>IF(C211&lt;62,0,'Combined Retirement'!$I$13)</f>
        <v>2420</v>
      </c>
      <c r="J211" s="25">
        <f t="shared" si="3"/>
        <v>7896.2379798201846</v>
      </c>
      <c r="K211" s="25">
        <f t="shared" si="4"/>
        <v>20367.195264578786</v>
      </c>
      <c r="L211" s="25"/>
      <c r="N211" s="25">
        <f>'Combined Retirement'!$C$18/12</f>
        <v>39153.069999999992</v>
      </c>
      <c r="O211" s="25">
        <f t="shared" si="5"/>
        <v>10889.636755601023</v>
      </c>
      <c r="P211" s="25">
        <f t="shared" si="6"/>
        <v>28263.43324439897</v>
      </c>
      <c r="Q211" s="25">
        <f t="array" aca="1" ref="Q211" ca="1">INDEX('Isaac 401k'!L:L,MATCH('Retirement Calculator'!A211,'Isaac 401k'!N:N,0),0)</f>
        <v>1906284.5222905087</v>
      </c>
      <c r="R211" s="25">
        <f t="array" aca="1" ref="R211" ca="1">INDEX('Lorri 401b'!L:L,MATCH('Retirement Calculator'!A211,'Lorri 401b'!N:N,0),0)</f>
        <v>4287154.6618138645</v>
      </c>
      <c r="S211" s="25">
        <f t="shared" ca="1" si="7"/>
        <v>6193439.1841043737</v>
      </c>
    </row>
    <row r="212" spans="1:19" ht="15.75" customHeight="1" x14ac:dyDescent="0.3">
      <c r="A212" s="37">
        <v>57405</v>
      </c>
      <c r="B212" s="398">
        <f t="shared" ref="B212:C212" si="208">($A212-B$9)/365.25</f>
        <v>75.288158795345652</v>
      </c>
      <c r="C212" s="398">
        <f t="shared" si="208"/>
        <v>70.677618069815196</v>
      </c>
      <c r="E212" s="25">
        <f>IF(C212&gt;$B$7,0,'Combined Retirement'!$D$13/12)</f>
        <v>0</v>
      </c>
      <c r="F212" s="25">
        <f>IF(H212=0,'Combined Retirement'!$D$32,0)+'Combined Retirement'!$B$24</f>
        <v>2870.372285649099</v>
      </c>
      <c r="G212" s="25">
        <f>'Combined Retirement'!$C$24</f>
        <v>3254.2644699519233</v>
      </c>
      <c r="H212" s="25">
        <f>IF(B212&lt;62,0,'Combined Retirement'!$I$14)</f>
        <v>2345</v>
      </c>
      <c r="I212" s="25">
        <f>IF(C212&lt;62,0,'Combined Retirement'!$I$13)</f>
        <v>2420</v>
      </c>
      <c r="J212" s="25">
        <f t="shared" si="3"/>
        <v>7896.2379798201846</v>
      </c>
      <c r="K212" s="25">
        <f t="shared" si="4"/>
        <v>20367.195264578786</v>
      </c>
      <c r="L212" s="25"/>
      <c r="N212" s="25">
        <f>'Combined Retirement'!$C$18/12</f>
        <v>39153.069999999992</v>
      </c>
      <c r="O212" s="25">
        <f t="shared" si="5"/>
        <v>10889.636755601023</v>
      </c>
      <c r="P212" s="25">
        <f t="shared" si="6"/>
        <v>28263.43324439897</v>
      </c>
      <c r="Q212" s="25">
        <f t="array" aca="1" ref="Q212" ca="1">INDEX('Isaac 401k'!L:L,MATCH('Retirement Calculator'!A212,'Isaac 401k'!N:N,0),0)</f>
        <v>1906298.2354953163</v>
      </c>
      <c r="R212" s="25">
        <f t="array" aca="1" ref="R212" ca="1">INDEX('Lorri 401b'!L:L,MATCH('Retirement Calculator'!A212,'Lorri 401b'!N:N,0),0)</f>
        <v>4284565.7476599077</v>
      </c>
      <c r="S212" s="25">
        <f t="shared" ca="1" si="7"/>
        <v>6190863.9831552245</v>
      </c>
    </row>
    <row r="213" spans="1:19" ht="15.75" customHeight="1" x14ac:dyDescent="0.3">
      <c r="A213" s="37">
        <v>57436</v>
      </c>
      <c r="B213" s="398">
        <f t="shared" ref="B213:C213" si="209">($A213-B$9)/365.25</f>
        <v>75.37303216974675</v>
      </c>
      <c r="C213" s="398">
        <f t="shared" si="209"/>
        <v>70.762491444216295</v>
      </c>
      <c r="E213" s="25">
        <f>IF(C213&gt;$B$7,0,'Combined Retirement'!$D$13/12)</f>
        <v>0</v>
      </c>
      <c r="F213" s="25">
        <f>IF(H213=0,'Combined Retirement'!$D$32,0)+'Combined Retirement'!$B$24</f>
        <v>2870.372285649099</v>
      </c>
      <c r="G213" s="25">
        <f>'Combined Retirement'!$C$24</f>
        <v>3254.2644699519233</v>
      </c>
      <c r="H213" s="25">
        <f>IF(B213&lt;62,0,'Combined Retirement'!$I$14)</f>
        <v>2345</v>
      </c>
      <c r="I213" s="25">
        <f>IF(C213&lt;62,0,'Combined Retirement'!$I$13)</f>
        <v>2420</v>
      </c>
      <c r="J213" s="25">
        <f t="shared" si="3"/>
        <v>7896.2379798201846</v>
      </c>
      <c r="K213" s="25">
        <f t="shared" si="4"/>
        <v>20367.195264578786</v>
      </c>
      <c r="L213" s="25"/>
      <c r="N213" s="25">
        <f>'Combined Retirement'!$C$18/12</f>
        <v>39153.069999999992</v>
      </c>
      <c r="O213" s="25">
        <f t="shared" si="5"/>
        <v>10889.636755601023</v>
      </c>
      <c r="P213" s="25">
        <f t="shared" si="6"/>
        <v>28263.43324439897</v>
      </c>
      <c r="Q213" s="25">
        <f t="array" aca="1" ref="Q213" ca="1">INDEX('Isaac 401k'!L:L,MATCH('Retirement Calculator'!A213,'Isaac 401k'!N:N,0),0)</f>
        <v>1906312.0058384773</v>
      </c>
      <c r="R213" s="25">
        <f t="array" aca="1" ref="R213" ca="1">INDEX('Lorri 401b'!L:L,MATCH('Retirement Calculator'!A213,'Lorri 401b'!N:N,0),0)</f>
        <v>4281966.0463636424</v>
      </c>
      <c r="S213" s="25">
        <f t="shared" ca="1" si="7"/>
        <v>6188278.0522021195</v>
      </c>
    </row>
    <row r="214" spans="1:19" ht="15.75" customHeight="1" x14ac:dyDescent="0.3">
      <c r="A214" s="37">
        <v>57466</v>
      </c>
      <c r="B214" s="398">
        <f t="shared" ref="B214:C214" si="210">($A214-B$9)/365.25</f>
        <v>75.455167693360707</v>
      </c>
      <c r="C214" s="398">
        <f t="shared" si="210"/>
        <v>70.844626967830251</v>
      </c>
      <c r="E214" s="25">
        <f>IF(C214&gt;$B$7,0,'Combined Retirement'!$D$13/12)</f>
        <v>0</v>
      </c>
      <c r="F214" s="25">
        <f>IF(H214=0,'Combined Retirement'!$D$32,0)+'Combined Retirement'!$B$24</f>
        <v>2870.372285649099</v>
      </c>
      <c r="G214" s="25">
        <f>'Combined Retirement'!$C$24</f>
        <v>3254.2644699519233</v>
      </c>
      <c r="H214" s="25">
        <f>IF(B214&lt;62,0,'Combined Retirement'!$I$14)</f>
        <v>2345</v>
      </c>
      <c r="I214" s="25">
        <f>IF(C214&lt;62,0,'Combined Retirement'!$I$13)</f>
        <v>2420</v>
      </c>
      <c r="J214" s="25">
        <f t="shared" si="3"/>
        <v>7896.2379798201846</v>
      </c>
      <c r="K214" s="25">
        <f t="shared" si="4"/>
        <v>20367.195264578786</v>
      </c>
      <c r="L214" s="25"/>
      <c r="N214" s="25">
        <f>'Combined Retirement'!$C$18/12</f>
        <v>39153.069999999992</v>
      </c>
      <c r="O214" s="25">
        <f t="shared" si="5"/>
        <v>10889.636755601023</v>
      </c>
      <c r="P214" s="25">
        <f t="shared" si="6"/>
        <v>28263.43324439897</v>
      </c>
      <c r="Q214" s="25">
        <f t="array" aca="1" ref="Q214" ca="1">INDEX('Isaac 401k'!L:L,MATCH('Retirement Calculator'!A214,'Isaac 401k'!N:N,0),0)</f>
        <v>1906325.8335580681</v>
      </c>
      <c r="R214" s="25">
        <f t="array" aca="1" ref="R214" ca="1">INDEX('Lorri 401b'!L:L,MATCH('Retirement Calculator'!A214,'Lorri 401b'!N:N,0),0)</f>
        <v>4279355.5129786432</v>
      </c>
      <c r="S214" s="25">
        <f t="shared" ca="1" si="7"/>
        <v>6185681.3465367109</v>
      </c>
    </row>
    <row r="215" spans="1:19" ht="15.75" customHeight="1" x14ac:dyDescent="0.3">
      <c r="A215" s="37">
        <v>57497</v>
      </c>
      <c r="B215" s="398">
        <f t="shared" ref="B215:C215" si="211">($A215-B$9)/365.25</f>
        <v>75.540041067761805</v>
      </c>
      <c r="C215" s="398">
        <f t="shared" si="211"/>
        <v>70.92950034223135</v>
      </c>
      <c r="E215" s="25">
        <f>IF(C215&gt;$B$7,0,'Combined Retirement'!$D$13/12)</f>
        <v>0</v>
      </c>
      <c r="F215" s="25">
        <f>IF(H215=0,'Combined Retirement'!$D$32,0)+'Combined Retirement'!$B$24</f>
        <v>2870.372285649099</v>
      </c>
      <c r="G215" s="25">
        <f>'Combined Retirement'!$C$24</f>
        <v>3254.2644699519233</v>
      </c>
      <c r="H215" s="25">
        <f>IF(B215&lt;62,0,'Combined Retirement'!$I$14)</f>
        <v>2345</v>
      </c>
      <c r="I215" s="25">
        <f>IF(C215&lt;62,0,'Combined Retirement'!$I$13)</f>
        <v>2420</v>
      </c>
      <c r="J215" s="25">
        <f t="shared" si="3"/>
        <v>7896.2379798201846</v>
      </c>
      <c r="K215" s="25">
        <f t="shared" si="4"/>
        <v>20367.195264578786</v>
      </c>
      <c r="L215" s="25"/>
      <c r="N215" s="25">
        <f>'Combined Retirement'!$C$18/12</f>
        <v>39153.069999999992</v>
      </c>
      <c r="O215" s="25">
        <f t="shared" si="5"/>
        <v>10889.636755601023</v>
      </c>
      <c r="P215" s="25">
        <f t="shared" si="6"/>
        <v>28263.43324439897</v>
      </c>
      <c r="Q215" s="25">
        <f t="array" aca="1" ref="Q215" ca="1">INDEX('Isaac 401k'!L:L,MATCH('Retirement Calculator'!A215,'Isaac 401k'!N:N,0),0)</f>
        <v>1906339.7188931573</v>
      </c>
      <c r="R215" s="25">
        <f t="array" aca="1" ref="R215" ca="1">INDEX('Lorri 401b'!L:L,MATCH('Retirement Calculator'!A215,'Lorri 401b'!N:N,0),0)</f>
        <v>4276734.1023712065</v>
      </c>
      <c r="S215" s="25">
        <f t="shared" ca="1" si="7"/>
        <v>6183073.8212643638</v>
      </c>
    </row>
    <row r="216" spans="1:19" ht="15.75" customHeight="1" x14ac:dyDescent="0.3">
      <c r="A216" s="37">
        <v>57527</v>
      </c>
      <c r="B216" s="398">
        <f t="shared" ref="B216:C216" si="212">($A216-B$9)/365.25</f>
        <v>75.622176591375776</v>
      </c>
      <c r="C216" s="398">
        <f t="shared" si="212"/>
        <v>71.011635865845307</v>
      </c>
      <c r="E216" s="25">
        <f>IF(C216&gt;$B$7,0,'Combined Retirement'!$D$13/12)</f>
        <v>0</v>
      </c>
      <c r="F216" s="25">
        <f>IF(H216=0,'Combined Retirement'!$D$32,0)+'Combined Retirement'!$B$24</f>
        <v>2870.372285649099</v>
      </c>
      <c r="G216" s="25">
        <f>'Combined Retirement'!$C$24</f>
        <v>3254.2644699519233</v>
      </c>
      <c r="H216" s="25">
        <f>IF(B216&lt;62,0,'Combined Retirement'!$I$14)</f>
        <v>2345</v>
      </c>
      <c r="I216" s="25">
        <f>IF(C216&lt;62,0,'Combined Retirement'!$I$13)</f>
        <v>2420</v>
      </c>
      <c r="J216" s="25">
        <f t="shared" si="3"/>
        <v>7896.2379798201846</v>
      </c>
      <c r="K216" s="25">
        <f t="shared" si="4"/>
        <v>20367.195264578786</v>
      </c>
      <c r="L216" s="25"/>
      <c r="N216" s="25">
        <f>'Combined Retirement'!$C$18/12</f>
        <v>39153.069999999992</v>
      </c>
      <c r="O216" s="25">
        <f t="shared" si="5"/>
        <v>10889.636755601023</v>
      </c>
      <c r="P216" s="25">
        <f t="shared" si="6"/>
        <v>28263.43324439897</v>
      </c>
      <c r="Q216" s="25">
        <f t="array" aca="1" ref="Q216" ca="1">INDEX('Isaac 401k'!L:L,MATCH('Retirement Calculator'!A216,'Isaac 401k'!N:N,0),0)</f>
        <v>1906353.6620838093</v>
      </c>
      <c r="R216" s="25">
        <f t="array" aca="1" ref="R216" ca="1">INDEX('Lorri 401b'!L:L,MATCH('Retirement Calculator'!A216,'Lorri 401b'!N:N,0),0)</f>
        <v>4274101.7692195717</v>
      </c>
      <c r="S216" s="25">
        <f t="shared" ca="1" si="7"/>
        <v>6180455.431303381</v>
      </c>
    </row>
    <row r="217" spans="1:19" ht="15.75" customHeight="1" x14ac:dyDescent="0.3">
      <c r="A217" s="37">
        <v>57558</v>
      </c>
      <c r="B217" s="398">
        <f t="shared" ref="B217:C217" si="213">($A217-B$9)/365.25</f>
        <v>75.707049965776861</v>
      </c>
      <c r="C217" s="398">
        <f t="shared" si="213"/>
        <v>71.096509240246405</v>
      </c>
      <c r="E217" s="25">
        <f>IF(C217&gt;$B$7,0,'Combined Retirement'!$D$13/12)</f>
        <v>0</v>
      </c>
      <c r="F217" s="25">
        <f>IF(H217=0,'Combined Retirement'!$D$32,0)+'Combined Retirement'!$B$24</f>
        <v>2870.372285649099</v>
      </c>
      <c r="G217" s="25">
        <f>'Combined Retirement'!$C$24</f>
        <v>3254.2644699519233</v>
      </c>
      <c r="H217" s="25">
        <f>IF(B217&lt;62,0,'Combined Retirement'!$I$14)</f>
        <v>2345</v>
      </c>
      <c r="I217" s="25">
        <f>IF(C217&lt;62,0,'Combined Retirement'!$I$13)</f>
        <v>2420</v>
      </c>
      <c r="J217" s="25">
        <f t="shared" si="3"/>
        <v>7896.2379798201846</v>
      </c>
      <c r="K217" s="25">
        <f t="shared" si="4"/>
        <v>20367.195264578786</v>
      </c>
      <c r="L217" s="25"/>
      <c r="N217" s="25">
        <f>'Combined Retirement'!$C$18/12</f>
        <v>39153.069999999992</v>
      </c>
      <c r="O217" s="25">
        <f t="shared" si="5"/>
        <v>10889.636755601023</v>
      </c>
      <c r="P217" s="25">
        <f t="shared" si="6"/>
        <v>28263.43324439897</v>
      </c>
      <c r="Q217" s="25">
        <f t="array" aca="1" ref="Q217" ca="1">INDEX('Isaac 401k'!L:L,MATCH('Retirement Calculator'!A217,'Isaac 401k'!N:N,0),0)</f>
        <v>1906367.6633710889</v>
      </c>
      <c r="R217" s="25">
        <f t="array" aca="1" ref="R217" ca="1">INDEX('Lorri 401b'!L:L,MATCH('Retirement Calculator'!A217,'Lorri 401b'!N:N,0),0)</f>
        <v>4271458.4680131385</v>
      </c>
      <c r="S217" s="25">
        <f t="shared" ca="1" si="7"/>
        <v>6177826.1313842274</v>
      </c>
    </row>
    <row r="218" spans="1:19" ht="15.75" customHeight="1" x14ac:dyDescent="0.3">
      <c r="A218" s="37">
        <v>57589</v>
      </c>
      <c r="B218" s="398">
        <f t="shared" ref="B218:C218" si="214">($A218-B$9)/365.25</f>
        <v>75.791923340177959</v>
      </c>
      <c r="C218" s="398">
        <f t="shared" si="214"/>
        <v>71.181382614647504</v>
      </c>
      <c r="E218" s="25">
        <f>IF(C218&gt;$B$7,0,'Combined Retirement'!$D$13/12)</f>
        <v>0</v>
      </c>
      <c r="F218" s="25">
        <f>IF(H218=0,'Combined Retirement'!$D$32,0)+'Combined Retirement'!$B$24</f>
        <v>2870.372285649099</v>
      </c>
      <c r="G218" s="25">
        <f>'Combined Retirement'!$C$24</f>
        <v>3254.2644699519233</v>
      </c>
      <c r="H218" s="25">
        <f>IF(B218&lt;62,0,'Combined Retirement'!$I$14)</f>
        <v>2345</v>
      </c>
      <c r="I218" s="25">
        <f>IF(C218&lt;62,0,'Combined Retirement'!$I$13)</f>
        <v>2420</v>
      </c>
      <c r="J218" s="25">
        <f t="shared" si="3"/>
        <v>7896.2379798201846</v>
      </c>
      <c r="K218" s="25">
        <f t="shared" si="4"/>
        <v>20367.195264578786</v>
      </c>
      <c r="L218" s="25"/>
      <c r="N218" s="25">
        <f>'Combined Retirement'!$C$18/12</f>
        <v>39153.069999999992</v>
      </c>
      <c r="O218" s="25">
        <f t="shared" si="5"/>
        <v>10889.636755601023</v>
      </c>
      <c r="P218" s="25">
        <f t="shared" si="6"/>
        <v>28263.43324439897</v>
      </c>
      <c r="Q218" s="25">
        <f t="array" aca="1" ref="Q218" ca="1">INDEX('Isaac 401k'!L:L,MATCH('Retirement Calculator'!A218,'Isaac 401k'!N:N,0),0)</f>
        <v>1906381.7229970656</v>
      </c>
      <c r="R218" s="25">
        <f t="array" aca="1" ref="R218" ca="1">INDEX('Lorri 401b'!L:L,MATCH('Retirement Calculator'!A218,'Lorri 401b'!N:N,0),0)</f>
        <v>4268804.153051679</v>
      </c>
      <c r="S218" s="25">
        <f t="shared" ca="1" si="7"/>
        <v>6175185.8760487447</v>
      </c>
    </row>
    <row r="219" spans="1:19" ht="15.75" customHeight="1" x14ac:dyDescent="0.3">
      <c r="A219" s="37">
        <v>57619</v>
      </c>
      <c r="B219" s="398">
        <f t="shared" ref="B219:C219" si="215">($A219-B$9)/365.25</f>
        <v>75.87405886379193</v>
      </c>
      <c r="C219" s="398">
        <f t="shared" si="215"/>
        <v>71.26351813826146</v>
      </c>
      <c r="E219" s="25">
        <f>IF(C219&gt;$B$7,0,'Combined Retirement'!$D$13/12)</f>
        <v>0</v>
      </c>
      <c r="F219" s="25">
        <f>IF(H219=0,'Combined Retirement'!$D$32,0)+'Combined Retirement'!$B$24</f>
        <v>2870.372285649099</v>
      </c>
      <c r="G219" s="25">
        <f>'Combined Retirement'!$C$24</f>
        <v>3254.2644699519233</v>
      </c>
      <c r="H219" s="25">
        <f>IF(B219&lt;62,0,'Combined Retirement'!$I$14)</f>
        <v>2345</v>
      </c>
      <c r="I219" s="25">
        <f>IF(C219&lt;62,0,'Combined Retirement'!$I$13)</f>
        <v>2420</v>
      </c>
      <c r="J219" s="25">
        <f t="shared" si="3"/>
        <v>7896.2379798201846</v>
      </c>
      <c r="K219" s="25">
        <f t="shared" si="4"/>
        <v>20367.195264578786</v>
      </c>
      <c r="L219" s="25"/>
      <c r="N219" s="25">
        <f>'Combined Retirement'!$C$18/12</f>
        <v>39153.069999999992</v>
      </c>
      <c r="O219" s="25">
        <f t="shared" si="5"/>
        <v>10889.636755601023</v>
      </c>
      <c r="P219" s="25">
        <f t="shared" si="6"/>
        <v>28263.43324439897</v>
      </c>
      <c r="Q219" s="25">
        <f t="array" aca="1" ref="Q219" ca="1">INDEX('Isaac 401k'!L:L,MATCH('Retirement Calculator'!A219,'Isaac 401k'!N:N,0),0)</f>
        <v>1906395.8412048172</v>
      </c>
      <c r="R219" s="25">
        <f t="array" aca="1" ref="R219" ca="1">INDEX('Lorri 401b'!L:L,MATCH('Retirement Calculator'!A219,'Lorri 401b'!N:N,0),0)</f>
        <v>4266138.7784445463</v>
      </c>
      <c r="S219" s="25">
        <f t="shared" ca="1" si="7"/>
        <v>6172534.6196493637</v>
      </c>
    </row>
    <row r="220" spans="1:19" ht="15.75" customHeight="1" x14ac:dyDescent="0.3">
      <c r="A220" s="37">
        <v>57650</v>
      </c>
      <c r="B220" s="398">
        <f t="shared" ref="B220:C220" si="216">($A220-B$9)/365.25</f>
        <v>75.958932238193015</v>
      </c>
      <c r="C220" s="398">
        <f t="shared" si="216"/>
        <v>71.348391512662559</v>
      </c>
      <c r="E220" s="25">
        <f>IF(C220&gt;$B$7,0,'Combined Retirement'!$D$13/12)</f>
        <v>0</v>
      </c>
      <c r="F220" s="25">
        <f>IF(H220=0,'Combined Retirement'!$D$32,0)+'Combined Retirement'!$B$24</f>
        <v>2870.372285649099</v>
      </c>
      <c r="G220" s="25">
        <f>'Combined Retirement'!$C$24</f>
        <v>3254.2644699519233</v>
      </c>
      <c r="H220" s="25">
        <f>IF(B220&lt;62,0,'Combined Retirement'!$I$14)</f>
        <v>2345</v>
      </c>
      <c r="I220" s="25">
        <f>IF(C220&lt;62,0,'Combined Retirement'!$I$13)</f>
        <v>2420</v>
      </c>
      <c r="J220" s="25">
        <f t="shared" si="3"/>
        <v>7896.2379798201846</v>
      </c>
      <c r="K220" s="25">
        <f t="shared" si="4"/>
        <v>20367.195264578786</v>
      </c>
      <c r="L220" s="25"/>
      <c r="N220" s="25">
        <f>'Combined Retirement'!$C$18/12</f>
        <v>39153.069999999992</v>
      </c>
      <c r="O220" s="25">
        <f t="shared" si="5"/>
        <v>10889.636755601023</v>
      </c>
      <c r="P220" s="25">
        <f t="shared" si="6"/>
        <v>28263.43324439897</v>
      </c>
      <c r="Q220" s="25">
        <f t="array" aca="1" ref="Q220" ca="1">INDEX('Isaac 401k'!L:L,MATCH('Retirement Calculator'!A220,'Isaac 401k'!N:N,0),0)</f>
        <v>1906410.0182384343</v>
      </c>
      <c r="R220" s="25">
        <f t="array" aca="1" ref="R220" ca="1">INDEX('Lorri 401b'!L:L,MATCH('Retirement Calculator'!A220,'Lorri 401b'!N:N,0),0)</f>
        <v>4263462.2981098844</v>
      </c>
      <c r="S220" s="25">
        <f t="shared" ca="1" si="7"/>
        <v>6169872.3163483189</v>
      </c>
    </row>
    <row r="221" spans="1:19" ht="15.75" customHeight="1" x14ac:dyDescent="0.3">
      <c r="A221" s="37">
        <v>57680</v>
      </c>
      <c r="B221" s="398">
        <f t="shared" ref="B221:C221" si="217">($A221-B$9)/365.25</f>
        <v>76.041067761806985</v>
      </c>
      <c r="C221" s="398">
        <f t="shared" si="217"/>
        <v>71.43052703627653</v>
      </c>
      <c r="E221" s="25">
        <f>IF(C221&gt;$B$7,0,'Combined Retirement'!$D$13/12)</f>
        <v>0</v>
      </c>
      <c r="F221" s="25">
        <f>IF(H221=0,'Combined Retirement'!$D$32,0)+'Combined Retirement'!$B$24</f>
        <v>2870.372285649099</v>
      </c>
      <c r="G221" s="25">
        <f>'Combined Retirement'!$C$24</f>
        <v>3254.2644699519233</v>
      </c>
      <c r="H221" s="25">
        <f>IF(B221&lt;62,0,'Combined Retirement'!$I$14)</f>
        <v>2345</v>
      </c>
      <c r="I221" s="25">
        <f>IF(C221&lt;62,0,'Combined Retirement'!$I$13)</f>
        <v>2420</v>
      </c>
      <c r="J221" s="25">
        <f t="shared" si="3"/>
        <v>7896.2379798201846</v>
      </c>
      <c r="K221" s="25">
        <f t="shared" si="4"/>
        <v>20367.195264578786</v>
      </c>
      <c r="L221" s="25"/>
      <c r="N221" s="25">
        <f>'Combined Retirement'!$C$18/12</f>
        <v>39153.069999999992</v>
      </c>
      <c r="O221" s="25">
        <f t="shared" si="5"/>
        <v>10889.636755601023</v>
      </c>
      <c r="P221" s="25">
        <f t="shared" si="6"/>
        <v>28263.43324439897</v>
      </c>
      <c r="Q221" s="25">
        <f t="array" aca="1" ref="Q221" ca="1">INDEX('Isaac 401k'!L:L,MATCH('Retirement Calculator'!A221,'Isaac 401k'!N:N,0),0)</f>
        <v>1906424.2543430249</v>
      </c>
      <c r="R221" s="25">
        <f t="array" aca="1" ref="R221" ca="1">INDEX('Lorri 401b'!L:L,MATCH('Retirement Calculator'!A221,'Lorri 401b'!N:N,0),0)</f>
        <v>4260774.6657738276</v>
      </c>
      <c r="S221" s="25">
        <f t="shared" ca="1" si="7"/>
        <v>6167198.920116853</v>
      </c>
    </row>
    <row r="222" spans="1:19" ht="15.75" customHeight="1" x14ac:dyDescent="0.3">
      <c r="A222" s="37">
        <v>57711</v>
      </c>
      <c r="B222" s="398">
        <f t="shared" ref="B222:C222" si="218">($A222-B$9)/365.25</f>
        <v>76.12594113620807</v>
      </c>
      <c r="C222" s="398">
        <f t="shared" si="218"/>
        <v>71.515400410677614</v>
      </c>
      <c r="E222" s="25">
        <f>IF(C222&gt;$B$7,0,'Combined Retirement'!$D$13/12)</f>
        <v>0</v>
      </c>
      <c r="F222" s="25">
        <f>IF(H222=0,'Combined Retirement'!$D$32,0)+'Combined Retirement'!$B$24</f>
        <v>2870.372285649099</v>
      </c>
      <c r="G222" s="25">
        <f>'Combined Retirement'!$C$24</f>
        <v>3254.2644699519233</v>
      </c>
      <c r="H222" s="25">
        <f>IF(B222&lt;62,0,'Combined Retirement'!$I$14)</f>
        <v>2345</v>
      </c>
      <c r="I222" s="25">
        <f>IF(C222&lt;62,0,'Combined Retirement'!$I$13)</f>
        <v>2420</v>
      </c>
      <c r="J222" s="25">
        <f t="shared" si="3"/>
        <v>7896.2379798201846</v>
      </c>
      <c r="K222" s="25">
        <f t="shared" si="4"/>
        <v>20367.195264578786</v>
      </c>
      <c r="L222" s="25"/>
      <c r="N222" s="25">
        <f>'Combined Retirement'!$C$18/12</f>
        <v>39153.069999999992</v>
      </c>
      <c r="O222" s="25">
        <f t="shared" si="5"/>
        <v>10889.636755601023</v>
      </c>
      <c r="P222" s="25">
        <f t="shared" si="6"/>
        <v>28263.43324439897</v>
      </c>
      <c r="Q222" s="25">
        <f t="array" aca="1" ref="Q222" ca="1">INDEX('Isaac 401k'!L:L,MATCH('Retirement Calculator'!A222,'Isaac 401k'!N:N,0),0)</f>
        <v>1906438.5497647179</v>
      </c>
      <c r="R222" s="25">
        <f t="array" aca="1" ref="R222" ca="1">INDEX('Lorri 401b'!L:L,MATCH('Retirement Calculator'!A222,'Lorri 401b'!N:N,0),0)</f>
        <v>4258075.834969704</v>
      </c>
      <c r="S222" s="25">
        <f t="shared" ca="1" si="7"/>
        <v>6164514.384734422</v>
      </c>
    </row>
    <row r="223" spans="1:19" ht="15.75" customHeight="1" x14ac:dyDescent="0.3">
      <c r="A223" s="37">
        <v>57742</v>
      </c>
      <c r="B223" s="398">
        <f t="shared" ref="B223:C223" si="219">($A223-B$9)/365.25</f>
        <v>76.210814510609168</v>
      </c>
      <c r="C223" s="398">
        <f t="shared" si="219"/>
        <v>71.600273785078713</v>
      </c>
      <c r="E223" s="25">
        <f>IF(C223&gt;$B$7,0,'Combined Retirement'!$D$13/12)</f>
        <v>0</v>
      </c>
      <c r="F223" s="25">
        <f>IF(H223=0,'Combined Retirement'!$D$32,0)+'Combined Retirement'!$B$24</f>
        <v>2870.372285649099</v>
      </c>
      <c r="G223" s="25">
        <f>'Combined Retirement'!$C$24</f>
        <v>3254.2644699519233</v>
      </c>
      <c r="H223" s="25">
        <f>IF(B223&lt;62,0,'Combined Retirement'!$I$14)</f>
        <v>2345</v>
      </c>
      <c r="I223" s="25">
        <f>IF(C223&lt;62,0,'Combined Retirement'!$I$13)</f>
        <v>2420</v>
      </c>
      <c r="J223" s="25">
        <f t="shared" si="3"/>
        <v>7896.2379798201846</v>
      </c>
      <c r="K223" s="25">
        <f t="shared" si="4"/>
        <v>20367.195264578786</v>
      </c>
      <c r="L223" s="25"/>
      <c r="N223" s="25">
        <f>'Combined Retirement'!$C$18/12</f>
        <v>39153.069999999992</v>
      </c>
      <c r="O223" s="25">
        <f t="shared" si="5"/>
        <v>10889.636755601023</v>
      </c>
      <c r="P223" s="25">
        <f t="shared" si="6"/>
        <v>28263.43324439897</v>
      </c>
      <c r="Q223" s="25">
        <f t="array" aca="1" ref="Q223" ca="1">INDEX('Isaac 401k'!L:L,MATCH('Retirement Calculator'!A223,'Isaac 401k'!N:N,0),0)</f>
        <v>1906452.9047506682</v>
      </c>
      <c r="R223" s="25">
        <f t="array" aca="1" ref="R223" ca="1">INDEX('Lorri 401b'!L:L,MATCH('Retirement Calculator'!A223,'Lorri 401b'!N:N,0),0)</f>
        <v>4255365.7590372302</v>
      </c>
      <c r="S223" s="25">
        <f t="shared" ca="1" si="7"/>
        <v>6161818.6637878986</v>
      </c>
    </row>
    <row r="224" spans="1:19" ht="15.75" customHeight="1" x14ac:dyDescent="0.3">
      <c r="A224" s="37">
        <v>57770</v>
      </c>
      <c r="B224" s="398">
        <f t="shared" ref="B224:C224" si="220">($A224-B$9)/365.25</f>
        <v>76.28747433264887</v>
      </c>
      <c r="C224" s="398">
        <f t="shared" si="220"/>
        <v>71.676933607118414</v>
      </c>
      <c r="E224" s="25">
        <f>IF(C224&gt;$B$7,0,'Combined Retirement'!$D$13/12)</f>
        <v>0</v>
      </c>
      <c r="F224" s="25">
        <f>IF(H224=0,'Combined Retirement'!$D$32,0)+'Combined Retirement'!$B$24</f>
        <v>2870.372285649099</v>
      </c>
      <c r="G224" s="25">
        <f>'Combined Retirement'!$C$24</f>
        <v>3254.2644699519233</v>
      </c>
      <c r="H224" s="25">
        <f>IF(B224&lt;62,0,'Combined Retirement'!$I$14)</f>
        <v>2345</v>
      </c>
      <c r="I224" s="25">
        <f>IF(C224&lt;62,0,'Combined Retirement'!$I$13)</f>
        <v>2420</v>
      </c>
      <c r="J224" s="25">
        <f t="shared" si="3"/>
        <v>7896.2379798201846</v>
      </c>
      <c r="K224" s="25">
        <f t="shared" si="4"/>
        <v>20367.195264578786</v>
      </c>
      <c r="L224" s="25"/>
      <c r="N224" s="25">
        <f>'Combined Retirement'!$C$18/12</f>
        <v>39153.069999999992</v>
      </c>
      <c r="O224" s="25">
        <f t="shared" si="5"/>
        <v>10889.636755601023</v>
      </c>
      <c r="P224" s="25">
        <f t="shared" si="6"/>
        <v>28263.43324439897</v>
      </c>
      <c r="Q224" s="25">
        <f t="array" aca="1" ref="Q224" ca="1">INDEX('Isaac 401k'!L:L,MATCH('Retirement Calculator'!A224,'Isaac 401k'!N:N,0),0)</f>
        <v>1906467.31954906</v>
      </c>
      <c r="R224" s="25">
        <f t="array" aca="1" ref="R224" ca="1">INDEX('Lorri 401b'!L:L,MATCH('Retirement Calculator'!A224,'Lorri 401b'!N:N,0),0)</f>
        <v>4252644.3911217041</v>
      </c>
      <c r="S224" s="25">
        <f t="shared" ca="1" si="7"/>
        <v>6159111.7106707636</v>
      </c>
    </row>
    <row r="225" spans="1:19" ht="15.75" customHeight="1" x14ac:dyDescent="0.3">
      <c r="A225" s="37">
        <v>57801</v>
      </c>
      <c r="B225" s="398">
        <f t="shared" ref="B225:C225" si="221">($A225-B$9)/365.25</f>
        <v>76.372347707049968</v>
      </c>
      <c r="C225" s="398">
        <f t="shared" si="221"/>
        <v>71.761806981519513</v>
      </c>
      <c r="E225" s="25">
        <f>IF(C225&gt;$B$7,0,'Combined Retirement'!$D$13/12)</f>
        <v>0</v>
      </c>
      <c r="F225" s="25">
        <f>IF(H225=0,'Combined Retirement'!$D$32,0)+'Combined Retirement'!$B$24</f>
        <v>2870.372285649099</v>
      </c>
      <c r="G225" s="25">
        <f>'Combined Retirement'!$C$24</f>
        <v>3254.2644699519233</v>
      </c>
      <c r="H225" s="25">
        <f>IF(B225&lt;62,0,'Combined Retirement'!$I$14)</f>
        <v>2345</v>
      </c>
      <c r="I225" s="25">
        <f>IF(C225&lt;62,0,'Combined Retirement'!$I$13)</f>
        <v>2420</v>
      </c>
      <c r="J225" s="25">
        <f t="shared" si="3"/>
        <v>7896.2379798201846</v>
      </c>
      <c r="K225" s="25">
        <f t="shared" si="4"/>
        <v>20367.195264578786</v>
      </c>
      <c r="L225" s="25"/>
      <c r="N225" s="25">
        <f>'Combined Retirement'!$C$18/12</f>
        <v>39153.069999999992</v>
      </c>
      <c r="O225" s="25">
        <f t="shared" si="5"/>
        <v>10889.636755601023</v>
      </c>
      <c r="P225" s="25">
        <f t="shared" si="6"/>
        <v>28263.43324439897</v>
      </c>
      <c r="Q225" s="25">
        <f t="array" aca="1" ref="Q225" ca="1">INDEX('Isaac 401k'!L:L,MATCH('Retirement Calculator'!A225,'Isaac 401k'!N:N,0),0)</f>
        <v>1906481.7944091116</v>
      </c>
      <c r="R225" s="25">
        <f t="array" aca="1" ref="R225" ca="1">INDEX('Lorri 401b'!L:L,MATCH('Retirement Calculator'!A225,'Lorri 401b'!N:N,0),0)</f>
        <v>4249911.6841731966</v>
      </c>
      <c r="S225" s="25">
        <f t="shared" ca="1" si="7"/>
        <v>6156393.4785823077</v>
      </c>
    </row>
    <row r="226" spans="1:19" ht="15.75" customHeight="1" x14ac:dyDescent="0.3">
      <c r="A226" s="37">
        <v>57831</v>
      </c>
      <c r="B226" s="398">
        <f t="shared" ref="B226:C226" si="222">($A226-B$9)/365.25</f>
        <v>76.454483230663925</v>
      </c>
      <c r="C226" s="398">
        <f t="shared" si="222"/>
        <v>71.843942505133469</v>
      </c>
      <c r="E226" s="25">
        <f>IF(C226&gt;$B$7,0,'Combined Retirement'!$D$13/12)</f>
        <v>0</v>
      </c>
      <c r="F226" s="25">
        <f>IF(H226=0,'Combined Retirement'!$D$32,0)+'Combined Retirement'!$B$24</f>
        <v>2870.372285649099</v>
      </c>
      <c r="G226" s="25">
        <f>'Combined Retirement'!$C$24</f>
        <v>3254.2644699519233</v>
      </c>
      <c r="H226" s="25">
        <f>IF(B226&lt;62,0,'Combined Retirement'!$I$14)</f>
        <v>2345</v>
      </c>
      <c r="I226" s="25">
        <f>IF(C226&lt;62,0,'Combined Retirement'!$I$13)</f>
        <v>2420</v>
      </c>
      <c r="J226" s="25">
        <f t="shared" si="3"/>
        <v>7896.2379798201846</v>
      </c>
      <c r="K226" s="25">
        <f t="shared" si="4"/>
        <v>20367.195264578786</v>
      </c>
      <c r="L226" s="25"/>
      <c r="N226" s="25">
        <f>'Combined Retirement'!$C$18/12</f>
        <v>39153.069999999992</v>
      </c>
      <c r="O226" s="25">
        <f t="shared" si="5"/>
        <v>10889.636755601023</v>
      </c>
      <c r="P226" s="25">
        <f t="shared" si="6"/>
        <v>28263.43324439897</v>
      </c>
      <c r="Q226" s="25">
        <f t="array" aca="1" ref="Q226" ca="1">INDEX('Isaac 401k'!L:L,MATCH('Retirement Calculator'!A226,'Isaac 401k'!N:N,0),0)</f>
        <v>1906496.32958108</v>
      </c>
      <c r="R226" s="25">
        <f t="array" aca="1" ref="R226" ca="1">INDEX('Lorri 401b'!L:L,MATCH('Retirement Calculator'!A226,'Lorri 401b'!N:N,0),0)</f>
        <v>4247167.5909457374</v>
      </c>
      <c r="S226" s="25">
        <f t="shared" ca="1" si="7"/>
        <v>6153663.9205268174</v>
      </c>
    </row>
    <row r="227" spans="1:19" ht="15.75" customHeight="1" x14ac:dyDescent="0.3">
      <c r="A227" s="37">
        <v>57862</v>
      </c>
      <c r="B227" s="398">
        <f t="shared" ref="B227:C227" si="223">($A227-B$9)/365.25</f>
        <v>76.539356605065024</v>
      </c>
      <c r="C227" s="398">
        <f t="shared" si="223"/>
        <v>71.928815879534568</v>
      </c>
      <c r="E227" s="25">
        <f>IF(C227&gt;$B$7,0,'Combined Retirement'!$D$13/12)</f>
        <v>0</v>
      </c>
      <c r="F227" s="25">
        <f>IF(H227=0,'Combined Retirement'!$D$32,0)+'Combined Retirement'!$B$24</f>
        <v>2870.372285649099</v>
      </c>
      <c r="G227" s="25">
        <f>'Combined Retirement'!$C$24</f>
        <v>3254.2644699519233</v>
      </c>
      <c r="H227" s="25">
        <f>IF(B227&lt;62,0,'Combined Retirement'!$I$14)</f>
        <v>2345</v>
      </c>
      <c r="I227" s="25">
        <f>IF(C227&lt;62,0,'Combined Retirement'!$I$13)</f>
        <v>2420</v>
      </c>
      <c r="J227" s="25">
        <f t="shared" si="3"/>
        <v>7896.2379798201846</v>
      </c>
      <c r="K227" s="25">
        <f t="shared" si="4"/>
        <v>20367.195264578786</v>
      </c>
      <c r="L227" s="25"/>
      <c r="N227" s="25">
        <f>'Combined Retirement'!$C$18/12</f>
        <v>39153.069999999992</v>
      </c>
      <c r="O227" s="25">
        <f t="shared" si="5"/>
        <v>10889.636755601023</v>
      </c>
      <c r="P227" s="25">
        <f t="shared" si="6"/>
        <v>28263.43324439897</v>
      </c>
      <c r="Q227" s="25">
        <f t="array" aca="1" ref="Q227" ca="1">INDEX('Isaac 401k'!L:L,MATCH('Retirement Calculator'!A227,'Isaac 401k'!N:N,0),0)</f>
        <v>1906510.9253162651</v>
      </c>
      <c r="R227" s="25">
        <f t="array" aca="1" ref="R227" ca="1">INDEX('Lorri 401b'!L:L,MATCH('Retirement Calculator'!A227,'Lorri 401b'!N:N,0),0)</f>
        <v>4244412.0639964966</v>
      </c>
      <c r="S227" s="25">
        <f t="shared" ca="1" si="7"/>
        <v>6150922.9893127615</v>
      </c>
    </row>
    <row r="228" spans="1:19" ht="15.75" customHeight="1" x14ac:dyDescent="0.3">
      <c r="A228" s="37">
        <v>57892</v>
      </c>
      <c r="B228" s="398">
        <f t="shared" ref="B228:C228" si="224">($A228-B$9)/365.25</f>
        <v>76.62149212867898</v>
      </c>
      <c r="C228" s="398">
        <f t="shared" si="224"/>
        <v>72.010951403148525</v>
      </c>
      <c r="E228" s="25">
        <f>IF(C228&gt;$B$7,0,'Combined Retirement'!$D$13/12)</f>
        <v>0</v>
      </c>
      <c r="F228" s="25">
        <f>IF(H228=0,'Combined Retirement'!$D$32,0)+'Combined Retirement'!$B$24</f>
        <v>2870.372285649099</v>
      </c>
      <c r="G228" s="25">
        <f>'Combined Retirement'!$C$24</f>
        <v>3254.2644699519233</v>
      </c>
      <c r="H228" s="25">
        <f>IF(B228&lt;62,0,'Combined Retirement'!$I$14)</f>
        <v>2345</v>
      </c>
      <c r="I228" s="25">
        <f>IF(C228&lt;62,0,'Combined Retirement'!$I$13)</f>
        <v>2420</v>
      </c>
      <c r="J228" s="25">
        <f t="shared" si="3"/>
        <v>7896.2379798201846</v>
      </c>
      <c r="K228" s="25">
        <f t="shared" si="4"/>
        <v>20367.195264578786</v>
      </c>
      <c r="L228" s="25"/>
      <c r="N228" s="25">
        <f>'Combined Retirement'!$C$18/12</f>
        <v>39153.069999999992</v>
      </c>
      <c r="O228" s="25">
        <f t="shared" si="5"/>
        <v>10889.636755601023</v>
      </c>
      <c r="P228" s="25">
        <f t="shared" si="6"/>
        <v>28263.43324439897</v>
      </c>
      <c r="Q228" s="25">
        <f t="array" aca="1" ref="Q228" ca="1">INDEX('Isaac 401k'!L:L,MATCH('Retirement Calculator'!A228,'Isaac 401k'!N:N,0),0)</f>
        <v>1906525.5818670134</v>
      </c>
      <c r="R228" s="25">
        <f t="array" aca="1" ref="R228" ca="1">INDEX('Lorri 401b'!L:L,MATCH('Retirement Calculator'!A228,'Lorri 401b'!N:N,0),0)</f>
        <v>4241645.0556849679</v>
      </c>
      <c r="S228" s="25">
        <f t="shared" ca="1" si="7"/>
        <v>6148170.637551981</v>
      </c>
    </row>
    <row r="229" spans="1:19" ht="15.75" customHeight="1" x14ac:dyDescent="0.3">
      <c r="A229" s="37">
        <v>57923</v>
      </c>
      <c r="B229" s="398">
        <f t="shared" ref="B229:C229" si="225">($A229-B$9)/365.25</f>
        <v>76.706365503080079</v>
      </c>
      <c r="C229" s="398">
        <f t="shared" si="225"/>
        <v>72.095824777549623</v>
      </c>
      <c r="E229" s="25">
        <f>IF(C229&gt;$B$7,0,'Combined Retirement'!$D$13/12)</f>
        <v>0</v>
      </c>
      <c r="F229" s="25">
        <f>IF(H229=0,'Combined Retirement'!$D$32,0)+'Combined Retirement'!$B$24</f>
        <v>2870.372285649099</v>
      </c>
      <c r="G229" s="25">
        <f>'Combined Retirement'!$C$24</f>
        <v>3254.2644699519233</v>
      </c>
      <c r="H229" s="25">
        <f>IF(B229&lt;62,0,'Combined Retirement'!$I$14)</f>
        <v>2345</v>
      </c>
      <c r="I229" s="25">
        <f>IF(C229&lt;62,0,'Combined Retirement'!$I$13)</f>
        <v>2420</v>
      </c>
      <c r="J229" s="25">
        <f t="shared" si="3"/>
        <v>7896.2379798201846</v>
      </c>
      <c r="K229" s="25">
        <f t="shared" si="4"/>
        <v>20367.195264578786</v>
      </c>
      <c r="L229" s="25"/>
      <c r="N229" s="25">
        <f>'Combined Retirement'!$C$18/12</f>
        <v>39153.069999999992</v>
      </c>
      <c r="O229" s="25">
        <f t="shared" si="5"/>
        <v>10889.636755601023</v>
      </c>
      <c r="P229" s="25">
        <f t="shared" si="6"/>
        <v>28263.43324439897</v>
      </c>
      <c r="Q229" s="25">
        <f t="array" aca="1" ref="Q229" ca="1">INDEX('Isaac 401k'!L:L,MATCH('Retirement Calculator'!A229,'Isaac 401k'!N:N,0),0)</f>
        <v>1906540.299486723</v>
      </c>
      <c r="R229" s="25">
        <f t="array" aca="1" ref="R229" ca="1">INDEX('Lorri 401b'!L:L,MATCH('Retirement Calculator'!A229,'Lorri 401b'!N:N,0),0)</f>
        <v>4238866.5181721412</v>
      </c>
      <c r="S229" s="25">
        <f t="shared" ca="1" si="7"/>
        <v>6145406.817658864</v>
      </c>
    </row>
    <row r="230" spans="1:19" ht="15.75" customHeight="1" x14ac:dyDescent="0.3">
      <c r="A230" s="37">
        <v>57954</v>
      </c>
      <c r="B230" s="398">
        <f t="shared" ref="B230:C230" si="226">($A230-B$9)/365.25</f>
        <v>76.791238877481177</v>
      </c>
      <c r="C230" s="398">
        <f t="shared" si="226"/>
        <v>72.180698151950722</v>
      </c>
      <c r="E230" s="25">
        <f>IF(C230&gt;$B$7,0,'Combined Retirement'!$D$13/12)</f>
        <v>0</v>
      </c>
      <c r="F230" s="25">
        <f>IF(H230=0,'Combined Retirement'!$D$32,0)+'Combined Retirement'!$B$24</f>
        <v>2870.372285649099</v>
      </c>
      <c r="G230" s="25">
        <f>'Combined Retirement'!$C$24</f>
        <v>3254.2644699519233</v>
      </c>
      <c r="H230" s="25">
        <f>IF(B230&lt;62,0,'Combined Retirement'!$I$14)</f>
        <v>2345</v>
      </c>
      <c r="I230" s="25">
        <f>IF(C230&lt;62,0,'Combined Retirement'!$I$13)</f>
        <v>2420</v>
      </c>
      <c r="J230" s="25">
        <f t="shared" si="3"/>
        <v>7896.2379798201846</v>
      </c>
      <c r="K230" s="25">
        <f t="shared" si="4"/>
        <v>20367.195264578786</v>
      </c>
      <c r="L230" s="25"/>
      <c r="N230" s="25">
        <f>'Combined Retirement'!$C$18/12</f>
        <v>39153.069999999992</v>
      </c>
      <c r="O230" s="25">
        <f t="shared" si="5"/>
        <v>10889.636755601023</v>
      </c>
      <c r="P230" s="25">
        <f t="shared" si="6"/>
        <v>28263.43324439897</v>
      </c>
      <c r="Q230" s="25">
        <f t="array" aca="1" ref="Q230" ca="1">INDEX('Isaac 401k'!L:L,MATCH('Retirement Calculator'!A230,'Isaac 401k'!N:N,0),0)</f>
        <v>1906555.0784298482</v>
      </c>
      <c r="R230" s="25">
        <f t="array" aca="1" ref="R230" ca="1">INDEX('Lorri 401b'!L:L,MATCH('Retirement Calculator'!A230,'Lorri 401b'!N:N,0),0)</f>
        <v>4236076.4034196772</v>
      </c>
      <c r="S230" s="25">
        <f t="shared" ca="1" si="7"/>
        <v>6142631.4818495251</v>
      </c>
    </row>
    <row r="231" spans="1:19" ht="15.75" customHeight="1" x14ac:dyDescent="0.3">
      <c r="A231" s="37">
        <v>57984</v>
      </c>
      <c r="B231" s="398">
        <f t="shared" ref="B231:C231" si="227">($A231-B$9)/365.25</f>
        <v>76.873374401095134</v>
      </c>
      <c r="C231" s="398">
        <f t="shared" si="227"/>
        <v>72.262833675564679</v>
      </c>
      <c r="E231" s="25">
        <f>IF(C231&gt;$B$7,0,'Combined Retirement'!$D$13/12)</f>
        <v>0</v>
      </c>
      <c r="F231" s="25">
        <f>IF(H231=0,'Combined Retirement'!$D$32,0)+'Combined Retirement'!$B$24</f>
        <v>2870.372285649099</v>
      </c>
      <c r="G231" s="25">
        <f>'Combined Retirement'!$C$24</f>
        <v>3254.2644699519233</v>
      </c>
      <c r="H231" s="25">
        <f>IF(B231&lt;62,0,'Combined Retirement'!$I$14)</f>
        <v>2345</v>
      </c>
      <c r="I231" s="25">
        <f>IF(C231&lt;62,0,'Combined Retirement'!$I$13)</f>
        <v>2420</v>
      </c>
      <c r="J231" s="25">
        <f t="shared" si="3"/>
        <v>7896.2379798201846</v>
      </c>
      <c r="K231" s="25">
        <f t="shared" si="4"/>
        <v>20367.195264578786</v>
      </c>
      <c r="L231" s="25"/>
      <c r="N231" s="25">
        <f>'Combined Retirement'!$C$18/12</f>
        <v>39153.069999999992</v>
      </c>
      <c r="O231" s="25">
        <f t="shared" si="5"/>
        <v>10889.636755601023</v>
      </c>
      <c r="P231" s="25">
        <f t="shared" si="6"/>
        <v>28263.43324439897</v>
      </c>
      <c r="Q231" s="25">
        <f t="array" aca="1" ref="Q231" ca="1">INDEX('Isaac 401k'!L:L,MATCH('Retirement Calculator'!A231,'Isaac 401k'!N:N,0),0)</f>
        <v>1906569.918951903</v>
      </c>
      <c r="R231" s="25">
        <f t="array" aca="1" ref="R231" ca="1">INDEX('Lorri 401b'!L:L,MATCH('Retirement Calculator'!A231,'Lorri 401b'!N:N,0),0)</f>
        <v>4233274.6631890777</v>
      </c>
      <c r="S231" s="25">
        <f t="shared" ca="1" si="7"/>
        <v>6139844.5821409803</v>
      </c>
    </row>
    <row r="232" spans="1:19" ht="15.75" customHeight="1" x14ac:dyDescent="0.3">
      <c r="A232" s="37">
        <v>58015</v>
      </c>
      <c r="B232" s="398">
        <f t="shared" ref="B232:C232" si="228">($A232-B$9)/365.25</f>
        <v>76.958247775496233</v>
      </c>
      <c r="C232" s="398">
        <f t="shared" si="228"/>
        <v>72.347707049965777</v>
      </c>
      <c r="E232" s="25">
        <f>IF(C232&gt;$B$7,0,'Combined Retirement'!$D$13/12)</f>
        <v>0</v>
      </c>
      <c r="F232" s="25">
        <f>IF(H232=0,'Combined Retirement'!$D$32,0)+'Combined Retirement'!$B$24</f>
        <v>2870.372285649099</v>
      </c>
      <c r="G232" s="25">
        <f>'Combined Retirement'!$C$24</f>
        <v>3254.2644699519233</v>
      </c>
      <c r="H232" s="25">
        <f>IF(B232&lt;62,0,'Combined Retirement'!$I$14)</f>
        <v>2345</v>
      </c>
      <c r="I232" s="25">
        <f>IF(C232&lt;62,0,'Combined Retirement'!$I$13)</f>
        <v>2420</v>
      </c>
      <c r="J232" s="25">
        <f t="shared" si="3"/>
        <v>7896.2379798201846</v>
      </c>
      <c r="K232" s="25">
        <f t="shared" si="4"/>
        <v>20367.195264578786</v>
      </c>
      <c r="L232" s="25"/>
      <c r="N232" s="25">
        <f>'Combined Retirement'!$C$18/12</f>
        <v>39153.069999999992</v>
      </c>
      <c r="O232" s="25">
        <f t="shared" si="5"/>
        <v>10889.636755601023</v>
      </c>
      <c r="P232" s="25">
        <f t="shared" si="6"/>
        <v>28263.43324439897</v>
      </c>
      <c r="Q232" s="25">
        <f t="array" aca="1" ref="Q232" ca="1">INDEX('Isaac 401k'!L:L,MATCH('Retirement Calculator'!A232,'Isaac 401k'!N:N,0),0)</f>
        <v>1906584.8213094664</v>
      </c>
      <c r="R232" s="25">
        <f t="array" aca="1" ref="R232" ca="1">INDEX('Lorri 401b'!L:L,MATCH('Retirement Calculator'!A232,'Lorri 401b'!N:N,0),0)</f>
        <v>4230461.2490408514</v>
      </c>
      <c r="S232" s="25">
        <f t="shared" ca="1" si="7"/>
        <v>6137046.0703503173</v>
      </c>
    </row>
    <row r="233" spans="1:19" ht="15.75" customHeight="1" x14ac:dyDescent="0.3">
      <c r="A233" s="37">
        <v>58045</v>
      </c>
      <c r="B233" s="398">
        <f t="shared" ref="B233:C233" si="229">($A233-B$9)/365.25</f>
        <v>77.040383299110204</v>
      </c>
      <c r="C233" s="398">
        <f t="shared" si="229"/>
        <v>72.429842573579734</v>
      </c>
      <c r="E233" s="25">
        <f>IF(C233&gt;$B$7,0,'Combined Retirement'!$D$13/12)</f>
        <v>0</v>
      </c>
      <c r="F233" s="25">
        <f>IF(H233=0,'Combined Retirement'!$D$32,0)+'Combined Retirement'!$B$24</f>
        <v>2870.372285649099</v>
      </c>
      <c r="G233" s="25">
        <f>'Combined Retirement'!$C$24</f>
        <v>3254.2644699519233</v>
      </c>
      <c r="H233" s="25">
        <f>IF(B233&lt;62,0,'Combined Retirement'!$I$14)</f>
        <v>2345</v>
      </c>
      <c r="I233" s="25">
        <f>IF(C233&lt;62,0,'Combined Retirement'!$I$13)</f>
        <v>2420</v>
      </c>
      <c r="J233" s="25">
        <f t="shared" si="3"/>
        <v>7896.2379798201846</v>
      </c>
      <c r="K233" s="25">
        <f t="shared" si="4"/>
        <v>20367.195264578786</v>
      </c>
      <c r="L233" s="25"/>
      <c r="N233" s="25">
        <f>'Combined Retirement'!$C$18/12</f>
        <v>39153.069999999992</v>
      </c>
      <c r="O233" s="25">
        <f t="shared" si="5"/>
        <v>10889.636755601023</v>
      </c>
      <c r="P233" s="25">
        <f t="shared" si="6"/>
        <v>28263.43324439897</v>
      </c>
      <c r="Q233" s="25">
        <f t="array" aca="1" ref="Q233" ca="1">INDEX('Isaac 401k'!L:L,MATCH('Retirement Calculator'!A233,'Isaac 401k'!N:N,0),0)</f>
        <v>1906599.7857601864</v>
      </c>
      <c r="R233" s="25">
        <f t="array" aca="1" ref="R233" ca="1">INDEX('Lorri 401b'!L:L,MATCH('Retirement Calculator'!A233,'Lorri 401b'!N:N,0),0)</f>
        <v>4227636.112333674</v>
      </c>
      <c r="S233" s="25">
        <f t="shared" ca="1" si="7"/>
        <v>6134235.8980938606</v>
      </c>
    </row>
    <row r="234" spans="1:19" ht="15.75" customHeight="1" x14ac:dyDescent="0.3">
      <c r="A234" s="37">
        <v>58076</v>
      </c>
      <c r="B234" s="398">
        <f t="shared" ref="B234:C234" si="230">($A234-B$9)/365.25</f>
        <v>77.125256673511288</v>
      </c>
      <c r="C234" s="398">
        <f t="shared" si="230"/>
        <v>72.514715947980832</v>
      </c>
      <c r="E234" s="25">
        <f>IF(C234&gt;$B$7,0,'Combined Retirement'!$D$13/12)</f>
        <v>0</v>
      </c>
      <c r="F234" s="25">
        <f>IF(H234=0,'Combined Retirement'!$D$32,0)+'Combined Retirement'!$B$24</f>
        <v>2870.372285649099</v>
      </c>
      <c r="G234" s="25">
        <f>'Combined Retirement'!$C$24</f>
        <v>3254.2644699519233</v>
      </c>
      <c r="H234" s="25">
        <f>IF(B234&lt;62,0,'Combined Retirement'!$I$14)</f>
        <v>2345</v>
      </c>
      <c r="I234" s="25">
        <f>IF(C234&lt;62,0,'Combined Retirement'!$I$13)</f>
        <v>2420</v>
      </c>
      <c r="J234" s="25">
        <f t="shared" si="3"/>
        <v>7896.2379798201846</v>
      </c>
      <c r="K234" s="25">
        <f t="shared" si="4"/>
        <v>20367.195264578786</v>
      </c>
      <c r="L234" s="25"/>
      <c r="N234" s="25">
        <f>'Combined Retirement'!$C$18/12</f>
        <v>39153.069999999992</v>
      </c>
      <c r="O234" s="25">
        <f t="shared" si="5"/>
        <v>10889.636755601023</v>
      </c>
      <c r="P234" s="25">
        <f t="shared" si="6"/>
        <v>28263.43324439897</v>
      </c>
      <c r="Q234" s="25">
        <f t="array" aca="1" ref="Q234" ca="1">INDEX('Isaac 401k'!L:L,MATCH('Retirement Calculator'!A234,'Isaac 401k'!N:N,0),0)</f>
        <v>1906614.8125627844</v>
      </c>
      <c r="R234" s="25">
        <f t="array" aca="1" ref="R234" ca="1">INDEX('Lorri 401b'!L:L,MATCH('Retirement Calculator'!A234,'Lorri 401b'!N:N,0),0)</f>
        <v>4224799.2042235499</v>
      </c>
      <c r="S234" s="25">
        <f t="shared" ca="1" si="7"/>
        <v>6131414.0167863341</v>
      </c>
    </row>
    <row r="235" spans="1:19" ht="15.75" customHeight="1" x14ac:dyDescent="0.3">
      <c r="A235" s="37">
        <v>58107</v>
      </c>
      <c r="B235" s="398">
        <f t="shared" ref="B235:C235" si="231">($A235-B$9)/365.25</f>
        <v>77.210130047912386</v>
      </c>
      <c r="C235" s="398">
        <f t="shared" si="231"/>
        <v>72.599589322381931</v>
      </c>
      <c r="E235" s="25">
        <f>IF(C235&gt;$B$7,0,'Combined Retirement'!$D$13/12)</f>
        <v>0</v>
      </c>
      <c r="F235" s="25">
        <f>IF(H235=0,'Combined Retirement'!$D$32,0)+'Combined Retirement'!$B$24</f>
        <v>2870.372285649099</v>
      </c>
      <c r="G235" s="25">
        <f>'Combined Retirement'!$C$24</f>
        <v>3254.2644699519233</v>
      </c>
      <c r="H235" s="25">
        <f>IF(B235&lt;62,0,'Combined Retirement'!$I$14)</f>
        <v>2345</v>
      </c>
      <c r="I235" s="25">
        <f>IF(C235&lt;62,0,'Combined Retirement'!$I$13)</f>
        <v>2420</v>
      </c>
      <c r="J235" s="25">
        <f t="shared" si="3"/>
        <v>7896.2379798201846</v>
      </c>
      <c r="K235" s="25">
        <f t="shared" si="4"/>
        <v>20367.195264578786</v>
      </c>
      <c r="L235" s="25"/>
      <c r="N235" s="25">
        <f>'Combined Retirement'!$C$18/12</f>
        <v>39153.069999999992</v>
      </c>
      <c r="O235" s="25">
        <f t="shared" si="5"/>
        <v>10889.636755601023</v>
      </c>
      <c r="P235" s="25">
        <f t="shared" si="6"/>
        <v>28263.43324439897</v>
      </c>
      <c r="Q235" s="25">
        <f t="array" aca="1" ref="Q235" ca="1">INDEX('Isaac 401k'!L:L,MATCH('Retirement Calculator'!A235,'Isaac 401k'!N:N,0),0)</f>
        <v>1906629.9019770599</v>
      </c>
      <c r="R235" s="25">
        <f t="array" aca="1" ref="R235" ca="1">INDEX('Lorri 401b'!L:L,MATCH('Retirement Calculator'!A235,'Lorri 401b'!N:N,0),0)</f>
        <v>4221950.4756629672</v>
      </c>
      <c r="S235" s="25">
        <f t="shared" ca="1" si="7"/>
        <v>6128580.3776400276</v>
      </c>
    </row>
    <row r="236" spans="1:19" ht="15.75" customHeight="1" x14ac:dyDescent="0.3">
      <c r="A236" s="37">
        <v>58135</v>
      </c>
      <c r="B236" s="398">
        <f t="shared" ref="B236:C236" si="232">($A236-B$9)/365.25</f>
        <v>77.286789869952088</v>
      </c>
      <c r="C236" s="398">
        <f t="shared" si="232"/>
        <v>72.676249144421632</v>
      </c>
      <c r="E236" s="25">
        <f>IF(C236&gt;$B$7,0,'Combined Retirement'!$D$13/12)</f>
        <v>0</v>
      </c>
      <c r="F236" s="25">
        <f>IF(H236=0,'Combined Retirement'!$D$32,0)+'Combined Retirement'!$B$24</f>
        <v>2870.372285649099</v>
      </c>
      <c r="G236" s="25">
        <f>'Combined Retirement'!$C$24</f>
        <v>3254.2644699519233</v>
      </c>
      <c r="H236" s="25">
        <f>IF(B236&lt;62,0,'Combined Retirement'!$I$14)</f>
        <v>2345</v>
      </c>
      <c r="I236" s="25">
        <f>IF(C236&lt;62,0,'Combined Retirement'!$I$13)</f>
        <v>2420</v>
      </c>
      <c r="J236" s="25">
        <f t="shared" si="3"/>
        <v>7896.2379798201846</v>
      </c>
      <c r="K236" s="25">
        <f t="shared" si="4"/>
        <v>20367.195264578786</v>
      </c>
      <c r="L236" s="25"/>
      <c r="N236" s="25">
        <f>'Combined Retirement'!$C$18/12</f>
        <v>39153.069999999992</v>
      </c>
      <c r="O236" s="25">
        <f t="shared" si="5"/>
        <v>10889.636755601023</v>
      </c>
      <c r="P236" s="25">
        <f t="shared" si="6"/>
        <v>28263.43324439897</v>
      </c>
      <c r="Q236" s="25">
        <f t="array" aca="1" ref="Q236" ca="1">INDEX('Isaac 401k'!L:L,MATCH('Retirement Calculator'!A236,'Isaac 401k'!N:N,0),0)</f>
        <v>1906645.0542638949</v>
      </c>
      <c r="R236" s="25">
        <f t="array" aca="1" ref="R236" ca="1">INDEX('Lorri 401b'!L:L,MATCH('Retirement Calculator'!A236,'Lorri 401b'!N:N,0),0)</f>
        <v>4219089.8774000481</v>
      </c>
      <c r="S236" s="25">
        <f t="shared" ca="1" si="7"/>
        <v>6125734.9316639435</v>
      </c>
    </row>
    <row r="237" spans="1:19" ht="15.75" customHeight="1" x14ac:dyDescent="0.3">
      <c r="A237" s="37">
        <v>58166</v>
      </c>
      <c r="B237" s="398">
        <f t="shared" ref="B237:C237" si="233">($A237-B$9)/365.25</f>
        <v>77.371663244353186</v>
      </c>
      <c r="C237" s="398">
        <f t="shared" si="233"/>
        <v>72.761122518822731</v>
      </c>
      <c r="E237" s="25">
        <f>IF(C237&gt;$B$7,0,'Combined Retirement'!$D$13/12)</f>
        <v>0</v>
      </c>
      <c r="F237" s="25">
        <f>IF(H237=0,'Combined Retirement'!$D$32,0)+'Combined Retirement'!$B$24</f>
        <v>2870.372285649099</v>
      </c>
      <c r="G237" s="25">
        <f>'Combined Retirement'!$C$24</f>
        <v>3254.2644699519233</v>
      </c>
      <c r="H237" s="25">
        <f>IF(B237&lt;62,0,'Combined Retirement'!$I$14)</f>
        <v>2345</v>
      </c>
      <c r="I237" s="25">
        <f>IF(C237&lt;62,0,'Combined Retirement'!$I$13)</f>
        <v>2420</v>
      </c>
      <c r="J237" s="25">
        <f t="shared" si="3"/>
        <v>7896.2379798201846</v>
      </c>
      <c r="K237" s="25">
        <f t="shared" si="4"/>
        <v>20367.195264578786</v>
      </c>
      <c r="L237" s="25"/>
      <c r="N237" s="25">
        <f>'Combined Retirement'!$C$18/12</f>
        <v>39153.069999999992</v>
      </c>
      <c r="O237" s="25">
        <f t="shared" si="5"/>
        <v>10889.636755601023</v>
      </c>
      <c r="P237" s="25">
        <f t="shared" si="6"/>
        <v>28263.43324439897</v>
      </c>
      <c r="Q237" s="25">
        <f t="array" aca="1" ref="Q237" ca="1">INDEX('Isaac 401k'!L:L,MATCH('Retirement Calculator'!A237,'Isaac 401k'!N:N,0),0)</f>
        <v>1906660.2696852584</v>
      </c>
      <c r="R237" s="25">
        <f t="array" aca="1" ref="R237" ca="1">INDEX('Lorri 401b'!L:L,MATCH('Retirement Calculator'!A237,'Lorri 401b'!N:N,0),0)</f>
        <v>4216217.3599777007</v>
      </c>
      <c r="S237" s="25">
        <f t="shared" ca="1" si="7"/>
        <v>6122877.6296629589</v>
      </c>
    </row>
    <row r="238" spans="1:19" ht="15.75" customHeight="1" x14ac:dyDescent="0.3">
      <c r="A238" s="37">
        <v>58196</v>
      </c>
      <c r="B238" s="398">
        <f t="shared" ref="B238:C238" si="234">($A238-B$9)/365.25</f>
        <v>77.453798767967143</v>
      </c>
      <c r="C238" s="398">
        <f t="shared" si="234"/>
        <v>72.843258042436688</v>
      </c>
      <c r="E238" s="25">
        <f>IF(C238&gt;$B$7,0,'Combined Retirement'!$D$13/12)</f>
        <v>0</v>
      </c>
      <c r="F238" s="25">
        <f>IF(H238=0,'Combined Retirement'!$D$32,0)+'Combined Retirement'!$B$24</f>
        <v>2870.372285649099</v>
      </c>
      <c r="G238" s="25">
        <f>'Combined Retirement'!$C$24</f>
        <v>3254.2644699519233</v>
      </c>
      <c r="H238" s="25">
        <f>IF(B238&lt;62,0,'Combined Retirement'!$I$14)</f>
        <v>2345</v>
      </c>
      <c r="I238" s="25">
        <f>IF(C238&lt;62,0,'Combined Retirement'!$I$13)</f>
        <v>2420</v>
      </c>
      <c r="J238" s="25">
        <f t="shared" si="3"/>
        <v>7896.2379798201846</v>
      </c>
      <c r="K238" s="25">
        <f t="shared" si="4"/>
        <v>20367.195264578786</v>
      </c>
      <c r="L238" s="25"/>
      <c r="N238" s="25">
        <f>'Combined Retirement'!$C$18/12</f>
        <v>39153.069999999992</v>
      </c>
      <c r="O238" s="25">
        <f t="shared" si="5"/>
        <v>10889.636755601023</v>
      </c>
      <c r="P238" s="25">
        <f t="shared" si="6"/>
        <v>28263.43324439897</v>
      </c>
      <c r="Q238" s="25">
        <f t="array" aca="1" ref="Q238" ca="1">INDEX('Isaac 401k'!L:L,MATCH('Retirement Calculator'!A238,'Isaac 401k'!N:N,0),0)</f>
        <v>1906675.5485042108</v>
      </c>
      <c r="R238" s="25">
        <f t="array" aca="1" ref="R238" ca="1">INDEX('Lorri 401b'!L:L,MATCH('Retirement Calculator'!A238,'Lorri 401b'!N:N,0),0)</f>
        <v>4213332.8737327596</v>
      </c>
      <c r="S238" s="25">
        <f t="shared" ca="1" si="7"/>
        <v>6120008.4222369706</v>
      </c>
    </row>
    <row r="239" spans="1:19" ht="15.75" customHeight="1" x14ac:dyDescent="0.3">
      <c r="A239" s="37">
        <v>58227</v>
      </c>
      <c r="B239" s="398">
        <f t="shared" ref="B239:C239" si="235">($A239-B$9)/365.25</f>
        <v>77.538672142368242</v>
      </c>
      <c r="C239" s="398">
        <f t="shared" si="235"/>
        <v>72.928131416837786</v>
      </c>
      <c r="E239" s="25">
        <f>IF(C239&gt;$B$7,0,'Combined Retirement'!$D$13/12)</f>
        <v>0</v>
      </c>
      <c r="F239" s="25">
        <f>IF(H239=0,'Combined Retirement'!$D$32,0)+'Combined Retirement'!$B$24</f>
        <v>2870.372285649099</v>
      </c>
      <c r="G239" s="25">
        <f>'Combined Retirement'!$C$24</f>
        <v>3254.2644699519233</v>
      </c>
      <c r="H239" s="25">
        <f>IF(B239&lt;62,0,'Combined Retirement'!$I$14)</f>
        <v>2345</v>
      </c>
      <c r="I239" s="25">
        <f>IF(C239&lt;62,0,'Combined Retirement'!$I$13)</f>
        <v>2420</v>
      </c>
      <c r="J239" s="25">
        <f t="shared" si="3"/>
        <v>7896.2379798201846</v>
      </c>
      <c r="K239" s="25">
        <f t="shared" si="4"/>
        <v>20367.195264578786</v>
      </c>
      <c r="L239" s="25"/>
      <c r="N239" s="25">
        <f>'Combined Retirement'!$C$18/12</f>
        <v>39153.069999999992</v>
      </c>
      <c r="O239" s="25">
        <f t="shared" si="5"/>
        <v>10889.636755601023</v>
      </c>
      <c r="P239" s="25">
        <f t="shared" si="6"/>
        <v>28263.43324439897</v>
      </c>
      <c r="Q239" s="25">
        <f t="array" aca="1" ref="Q239" ca="1">INDEX('Isaac 401k'!L:L,MATCH('Retirement Calculator'!A239,'Isaac 401k'!N:N,0),0)</f>
        <v>1906690.8909849089</v>
      </c>
      <c r="R239" s="25">
        <f t="array" aca="1" ref="R239" ca="1">INDEX('Lorri 401b'!L:L,MATCH('Retirement Calculator'!A239,'Lorri 401b'!N:N,0),0)</f>
        <v>4210436.3687951313</v>
      </c>
      <c r="S239" s="25">
        <f t="shared" ca="1" si="7"/>
        <v>6117127.25978004</v>
      </c>
    </row>
    <row r="240" spans="1:19" ht="15.75" customHeight="1" x14ac:dyDescent="0.3">
      <c r="A240" s="37">
        <v>58257</v>
      </c>
      <c r="B240" s="398">
        <f t="shared" ref="B240:C240" si="236">($A240-B$9)/365.25</f>
        <v>77.620807665982198</v>
      </c>
      <c r="C240" s="398">
        <f t="shared" si="236"/>
        <v>73.010266940451743</v>
      </c>
      <c r="E240" s="25">
        <f>IF(C240&gt;$B$7,0,'Combined Retirement'!$D$13/12)</f>
        <v>0</v>
      </c>
      <c r="F240" s="25">
        <f>IF(H240=0,'Combined Retirement'!$D$32,0)+'Combined Retirement'!$B$24</f>
        <v>2870.372285649099</v>
      </c>
      <c r="G240" s="25">
        <f>'Combined Retirement'!$C$24</f>
        <v>3254.2644699519233</v>
      </c>
      <c r="H240" s="25">
        <f>IF(B240&lt;62,0,'Combined Retirement'!$I$14)</f>
        <v>2345</v>
      </c>
      <c r="I240" s="25">
        <f>IF(C240&lt;62,0,'Combined Retirement'!$I$13)</f>
        <v>2420</v>
      </c>
      <c r="J240" s="25">
        <f t="shared" si="3"/>
        <v>7896.2379798201846</v>
      </c>
      <c r="K240" s="25">
        <f t="shared" si="4"/>
        <v>20367.195264578786</v>
      </c>
      <c r="L240" s="25"/>
      <c r="N240" s="25">
        <f>'Combined Retirement'!$C$18/12</f>
        <v>39153.069999999992</v>
      </c>
      <c r="O240" s="25">
        <f t="shared" si="5"/>
        <v>10889.636755601023</v>
      </c>
      <c r="P240" s="25">
        <f t="shared" si="6"/>
        <v>28263.43324439897</v>
      </c>
      <c r="Q240" s="25">
        <f t="array" aca="1" ref="Q240" ca="1">INDEX('Isaac 401k'!L:L,MATCH('Retirement Calculator'!A240,'Isaac 401k'!N:N,0),0)</f>
        <v>1906706.29739261</v>
      </c>
      <c r="R240" s="25">
        <f t="array" aca="1" ref="R240" ca="1">INDEX('Lorri 401b'!L:L,MATCH('Retirement Calculator'!A240,'Lorri 401b'!N:N,0),0)</f>
        <v>4207527.7950869296</v>
      </c>
      <c r="S240" s="25">
        <f t="shared" ca="1" si="7"/>
        <v>6114234.09247954</v>
      </c>
    </row>
    <row r="241" spans="1:19" ht="15.75" customHeight="1" x14ac:dyDescent="0.3">
      <c r="A241" s="37">
        <v>58288</v>
      </c>
      <c r="B241" s="398">
        <f t="shared" ref="B241:C241" si="237">($A241-B$9)/365.25</f>
        <v>77.705681040383297</v>
      </c>
      <c r="C241" s="398">
        <f t="shared" si="237"/>
        <v>73.095140314852841</v>
      </c>
      <c r="E241" s="25">
        <f>IF(C241&gt;$B$7,0,'Combined Retirement'!$D$13/12)</f>
        <v>0</v>
      </c>
      <c r="F241" s="25">
        <f>IF(H241=0,'Combined Retirement'!$D$32,0)+'Combined Retirement'!$B$24</f>
        <v>2870.372285649099</v>
      </c>
      <c r="G241" s="25">
        <f>'Combined Retirement'!$C$24</f>
        <v>3254.2644699519233</v>
      </c>
      <c r="H241" s="25">
        <f>IF(B241&lt;62,0,'Combined Retirement'!$I$14)</f>
        <v>2345</v>
      </c>
      <c r="I241" s="25">
        <f>IF(C241&lt;62,0,'Combined Retirement'!$I$13)</f>
        <v>2420</v>
      </c>
      <c r="J241" s="25">
        <f t="shared" si="3"/>
        <v>7896.2379798201846</v>
      </c>
      <c r="K241" s="25">
        <f t="shared" si="4"/>
        <v>20367.195264578786</v>
      </c>
      <c r="L241" s="25"/>
      <c r="N241" s="25">
        <f>'Combined Retirement'!$C$18/12</f>
        <v>39153.069999999992</v>
      </c>
      <c r="O241" s="25">
        <f t="shared" si="5"/>
        <v>10889.636755601023</v>
      </c>
      <c r="P241" s="25">
        <f t="shared" si="6"/>
        <v>28263.43324439897</v>
      </c>
      <c r="Q241" s="25">
        <f t="array" aca="1" ref="Q241" ca="1">INDEX('Isaac 401k'!L:L,MATCH('Retirement Calculator'!A241,'Isaac 401k'!N:N,0),0)</f>
        <v>1906721.7679936765</v>
      </c>
      <c r="R241" s="25">
        <f t="array" aca="1" ref="R241" ca="1">INDEX('Lorri 401b'!L:L,MATCH('Retirement Calculator'!A241,'Lorri 401b'!N:N,0),0)</f>
        <v>4204607.1023216108</v>
      </c>
      <c r="S241" s="25">
        <f t="shared" ca="1" si="7"/>
        <v>6111328.8703152873</v>
      </c>
    </row>
    <row r="242" spans="1:19" ht="15.75" customHeight="1" x14ac:dyDescent="0.3">
      <c r="A242" s="37">
        <v>58319</v>
      </c>
      <c r="B242" s="398">
        <f t="shared" ref="B242:C242" si="238">($A242-B$9)/365.25</f>
        <v>77.790554414784395</v>
      </c>
      <c r="C242" s="398">
        <f t="shared" si="238"/>
        <v>73.18001368925394</v>
      </c>
      <c r="E242" s="25">
        <f>IF(C242&gt;$B$7,0,'Combined Retirement'!$D$13/12)</f>
        <v>0</v>
      </c>
      <c r="F242" s="25">
        <f>IF(H242=0,'Combined Retirement'!$D$32,0)+'Combined Retirement'!$B$24</f>
        <v>2870.372285649099</v>
      </c>
      <c r="G242" s="25">
        <f>'Combined Retirement'!$C$24</f>
        <v>3254.2644699519233</v>
      </c>
      <c r="H242" s="25">
        <f>IF(B242&lt;62,0,'Combined Retirement'!$I$14)</f>
        <v>2345</v>
      </c>
      <c r="I242" s="25">
        <f>IF(C242&lt;62,0,'Combined Retirement'!$I$13)</f>
        <v>2420</v>
      </c>
      <c r="J242" s="25">
        <f t="shared" si="3"/>
        <v>7896.2379798201846</v>
      </c>
      <c r="K242" s="25">
        <f t="shared" si="4"/>
        <v>20367.195264578786</v>
      </c>
      <c r="L242" s="25"/>
      <c r="N242" s="25">
        <f>'Combined Retirement'!$C$18/12</f>
        <v>39153.069999999992</v>
      </c>
      <c r="O242" s="25">
        <f t="shared" si="5"/>
        <v>10889.636755601023</v>
      </c>
      <c r="P242" s="25">
        <f t="shared" si="6"/>
        <v>28263.43324439897</v>
      </c>
      <c r="Q242" s="25">
        <f t="array" aca="1" ref="Q242" ca="1">INDEX('Isaac 401k'!L:L,MATCH('Retirement Calculator'!A242,'Isaac 401k'!N:N,0),0)</f>
        <v>1906737.3030555807</v>
      </c>
      <c r="R242" s="25">
        <f t="array" aca="1" ref="R242" ca="1">INDEX('Lorri 401b'!L:L,MATCH('Retirement Calculator'!A242,'Lorri 401b'!N:N,0),0)</f>
        <v>4201674.2400031034</v>
      </c>
      <c r="S242" s="25">
        <f t="shared" ca="1" si="7"/>
        <v>6108411.5430586841</v>
      </c>
    </row>
    <row r="243" spans="1:19" ht="15.75" customHeight="1" x14ac:dyDescent="0.3">
      <c r="A243" s="37">
        <v>58349</v>
      </c>
      <c r="B243" s="398">
        <f t="shared" ref="B243:C243" si="239">($A243-B$9)/365.25</f>
        <v>77.872689938398352</v>
      </c>
      <c r="C243" s="398">
        <f t="shared" si="239"/>
        <v>73.262149212867897</v>
      </c>
      <c r="E243" s="25">
        <f>IF(C243&gt;$B$7,0,'Combined Retirement'!$D$13/12)</f>
        <v>0</v>
      </c>
      <c r="F243" s="25">
        <f>IF(H243=0,'Combined Retirement'!$D$32,0)+'Combined Retirement'!$B$24</f>
        <v>2870.372285649099</v>
      </c>
      <c r="G243" s="25">
        <f>'Combined Retirement'!$C$24</f>
        <v>3254.2644699519233</v>
      </c>
      <c r="H243" s="25">
        <f>IF(B243&lt;62,0,'Combined Retirement'!$I$14)</f>
        <v>2345</v>
      </c>
      <c r="I243" s="25">
        <f>IF(C243&lt;62,0,'Combined Retirement'!$I$13)</f>
        <v>2420</v>
      </c>
      <c r="J243" s="25">
        <f t="shared" si="3"/>
        <v>7896.2379798201846</v>
      </c>
      <c r="K243" s="25">
        <f t="shared" si="4"/>
        <v>20367.195264578786</v>
      </c>
      <c r="L243" s="25"/>
      <c r="N243" s="25">
        <f>'Combined Retirement'!$C$18/12</f>
        <v>39153.069999999992</v>
      </c>
      <c r="O243" s="25">
        <f t="shared" si="5"/>
        <v>10889.636755601023</v>
      </c>
      <c r="P243" s="25">
        <f t="shared" si="6"/>
        <v>28263.43324439897</v>
      </c>
      <c r="Q243" s="25">
        <f t="array" aca="1" ref="Q243" ca="1">INDEX('Isaac 401k'!L:L,MATCH('Retirement Calculator'!A243,'Isaac 401k'!N:N,0),0)</f>
        <v>1906752.9028469094</v>
      </c>
      <c r="R243" s="25">
        <f t="array" aca="1" ref="R243" ca="1">INDEX('Lorri 401b'!L:L,MATCH('Retirement Calculator'!A243,'Lorri 401b'!N:N,0),0)</f>
        <v>4198729.1574249351</v>
      </c>
      <c r="S243" s="25">
        <f t="shared" ca="1" si="7"/>
        <v>6105482.0602718443</v>
      </c>
    </row>
    <row r="244" spans="1:19" ht="15.75" customHeight="1" x14ac:dyDescent="0.3">
      <c r="A244" s="37">
        <v>58380</v>
      </c>
      <c r="B244" s="398">
        <f t="shared" ref="B244:C244" si="240">($A244-B$9)/365.25</f>
        <v>77.957563312799451</v>
      </c>
      <c r="C244" s="398">
        <f t="shared" si="240"/>
        <v>73.347022587268995</v>
      </c>
      <c r="E244" s="25">
        <f>IF(C244&gt;$B$7,0,'Combined Retirement'!$D$13/12)</f>
        <v>0</v>
      </c>
      <c r="F244" s="25">
        <f>IF(H244=0,'Combined Retirement'!$D$32,0)+'Combined Retirement'!$B$24</f>
        <v>2870.372285649099</v>
      </c>
      <c r="G244" s="25">
        <f>'Combined Retirement'!$C$24</f>
        <v>3254.2644699519233</v>
      </c>
      <c r="H244" s="25">
        <f>IF(B244&lt;62,0,'Combined Retirement'!$I$14)</f>
        <v>2345</v>
      </c>
      <c r="I244" s="25">
        <f>IF(C244&lt;62,0,'Combined Retirement'!$I$13)</f>
        <v>2420</v>
      </c>
      <c r="J244" s="25">
        <f t="shared" si="3"/>
        <v>7896.2379798201846</v>
      </c>
      <c r="K244" s="25">
        <f t="shared" si="4"/>
        <v>20367.195264578786</v>
      </c>
      <c r="L244" s="25"/>
      <c r="N244" s="25">
        <f>'Combined Retirement'!$C$18/12</f>
        <v>39153.069999999992</v>
      </c>
      <c r="O244" s="25">
        <f t="shared" si="5"/>
        <v>10889.636755601023</v>
      </c>
      <c r="P244" s="25">
        <f t="shared" si="6"/>
        <v>28263.43324439897</v>
      </c>
      <c r="Q244" s="25">
        <f t="array" aca="1" ref="Q244" ca="1">INDEX('Isaac 401k'!L:L,MATCH('Retirement Calculator'!A244,'Isaac 401k'!N:N,0),0)</f>
        <v>1906768.5676373686</v>
      </c>
      <c r="R244" s="25">
        <f t="array" aca="1" ref="R244" ca="1">INDEX('Lorri 401b'!L:L,MATCH('Retirement Calculator'!A244,'Lorri 401b'!N:N,0),0)</f>
        <v>4195771.8036693577</v>
      </c>
      <c r="S244" s="25">
        <f t="shared" ca="1" si="7"/>
        <v>6102540.3713067267</v>
      </c>
    </row>
    <row r="245" spans="1:19" ht="15.75" customHeight="1" x14ac:dyDescent="0.3">
      <c r="A245" s="37">
        <v>58410</v>
      </c>
      <c r="B245" s="398">
        <f t="shared" ref="B245:C245" si="241">($A245-B$9)/365.25</f>
        <v>78.039698836413422</v>
      </c>
      <c r="C245" s="398">
        <f t="shared" si="241"/>
        <v>73.429158110882952</v>
      </c>
      <c r="E245" s="25">
        <f>IF(C245&gt;$B$7,0,'Combined Retirement'!$D$13/12)</f>
        <v>0</v>
      </c>
      <c r="F245" s="25">
        <f>IF(H245=0,'Combined Retirement'!$D$32,0)+'Combined Retirement'!$B$24</f>
        <v>2870.372285649099</v>
      </c>
      <c r="G245" s="25">
        <f>'Combined Retirement'!$C$24</f>
        <v>3254.2644699519233</v>
      </c>
      <c r="H245" s="25">
        <f>IF(B245&lt;62,0,'Combined Retirement'!$I$14)</f>
        <v>2345</v>
      </c>
      <c r="I245" s="25">
        <f>IF(C245&lt;62,0,'Combined Retirement'!$I$13)</f>
        <v>2420</v>
      </c>
      <c r="J245" s="25">
        <f t="shared" si="3"/>
        <v>7896.2379798201846</v>
      </c>
      <c r="K245" s="25">
        <f t="shared" si="4"/>
        <v>20367.195264578786</v>
      </c>
      <c r="L245" s="25"/>
      <c r="N245" s="25">
        <f>'Combined Retirement'!$C$18/12</f>
        <v>39153.069999999992</v>
      </c>
      <c r="O245" s="25">
        <f t="shared" si="5"/>
        <v>10889.636755601023</v>
      </c>
      <c r="P245" s="25">
        <f t="shared" si="6"/>
        <v>28263.43324439897</v>
      </c>
      <c r="Q245" s="25">
        <f t="array" aca="1" ref="Q245" ca="1">INDEX('Isaac 401k'!L:L,MATCH('Retirement Calculator'!A245,'Isaac 401k'!N:N,0),0)</f>
        <v>1906784.2976977881</v>
      </c>
      <c r="R245" s="25">
        <f t="array" aca="1" ref="R245" ca="1">INDEX('Lorri 401b'!L:L,MATCH('Retirement Calculator'!A245,'Lorri 401b'!N:N,0),0)</f>
        <v>4192802.1276064655</v>
      </c>
      <c r="S245" s="25">
        <f t="shared" ca="1" si="7"/>
        <v>6099586.4253042536</v>
      </c>
    </row>
    <row r="246" spans="1:19" ht="15.75" customHeight="1" x14ac:dyDescent="0.3">
      <c r="A246" s="37">
        <v>58441</v>
      </c>
      <c r="B246" s="398">
        <f t="shared" ref="B246:C246" si="242">($A246-B$9)/365.25</f>
        <v>78.124572210814506</v>
      </c>
      <c r="C246" s="398">
        <f t="shared" si="242"/>
        <v>73.51403148528405</v>
      </c>
      <c r="E246" s="25">
        <f>IF(C246&gt;$B$7,0,'Combined Retirement'!$D$13/12)</f>
        <v>0</v>
      </c>
      <c r="F246" s="25">
        <f>IF(H246=0,'Combined Retirement'!$D$32,0)+'Combined Retirement'!$B$24</f>
        <v>2870.372285649099</v>
      </c>
      <c r="G246" s="25">
        <f>'Combined Retirement'!$C$24</f>
        <v>3254.2644699519233</v>
      </c>
      <c r="H246" s="25">
        <f>IF(B246&lt;62,0,'Combined Retirement'!$I$14)</f>
        <v>2345</v>
      </c>
      <c r="I246" s="25">
        <f>IF(C246&lt;62,0,'Combined Retirement'!$I$13)</f>
        <v>2420</v>
      </c>
      <c r="J246" s="25">
        <f t="shared" si="3"/>
        <v>7896.2379798201846</v>
      </c>
      <c r="K246" s="25">
        <f t="shared" si="4"/>
        <v>20367.195264578786</v>
      </c>
      <c r="L246" s="25"/>
      <c r="N246" s="25">
        <f>'Combined Retirement'!$C$18/12</f>
        <v>39153.069999999992</v>
      </c>
      <c r="O246" s="25">
        <f t="shared" si="5"/>
        <v>10889.636755601023</v>
      </c>
      <c r="P246" s="25">
        <f t="shared" si="6"/>
        <v>28263.43324439897</v>
      </c>
      <c r="Q246" s="25">
        <f t="array" aca="1" ref="Q246" ca="1">INDEX('Isaac 401k'!L:L,MATCH('Retirement Calculator'!A246,'Isaac 401k'!N:N,0),0)</f>
        <v>1906800.093300126</v>
      </c>
      <c r="R246" s="25">
        <f t="array" aca="1" ref="R246" ca="1">INDEX('Lorri 401b'!L:L,MATCH('Retirement Calculator'!A246,'Lorri 401b'!N:N,0),0)</f>
        <v>4189820.0778933112</v>
      </c>
      <c r="S246" s="25">
        <f t="shared" ca="1" si="7"/>
        <v>6096620.1711934377</v>
      </c>
    </row>
    <row r="247" spans="1:19" ht="15.75" customHeight="1" x14ac:dyDescent="0.3">
      <c r="A247" s="37">
        <v>58472</v>
      </c>
      <c r="B247" s="398">
        <f t="shared" ref="B247:C247" si="243">($A247-B$9)/365.25</f>
        <v>78.209445585215605</v>
      </c>
      <c r="C247" s="398">
        <f t="shared" si="243"/>
        <v>73.598904859685149</v>
      </c>
      <c r="E247" s="25">
        <f>IF(C247&gt;$B$7,0,'Combined Retirement'!$D$13/12)</f>
        <v>0</v>
      </c>
      <c r="F247" s="25">
        <f>IF(H247=0,'Combined Retirement'!$D$32,0)+'Combined Retirement'!$B$24</f>
        <v>2870.372285649099</v>
      </c>
      <c r="G247" s="25">
        <f>'Combined Retirement'!$C$24</f>
        <v>3254.2644699519233</v>
      </c>
      <c r="H247" s="25">
        <f>IF(B247&lt;62,0,'Combined Retirement'!$I$14)</f>
        <v>2345</v>
      </c>
      <c r="I247" s="25">
        <f>IF(C247&lt;62,0,'Combined Retirement'!$I$13)</f>
        <v>2420</v>
      </c>
      <c r="J247" s="25">
        <f t="shared" si="3"/>
        <v>7896.2379798201846</v>
      </c>
      <c r="K247" s="25">
        <f t="shared" si="4"/>
        <v>20367.195264578786</v>
      </c>
      <c r="L247" s="25"/>
      <c r="N247" s="25">
        <f>'Combined Retirement'!$C$18/12</f>
        <v>39153.069999999992</v>
      </c>
      <c r="O247" s="25">
        <f t="shared" si="5"/>
        <v>10889.636755601023</v>
      </c>
      <c r="P247" s="25">
        <f t="shared" si="6"/>
        <v>28263.43324439897</v>
      </c>
      <c r="Q247" s="25">
        <f t="array" aca="1" ref="Q247" ca="1">INDEX('Isaac 401k'!L:L,MATCH('Retirement Calculator'!A247,'Isaac 401k'!N:N,0),0)</f>
        <v>1906815.9547174738</v>
      </c>
      <c r="R247" s="25">
        <f t="array" aca="1" ref="R247" ca="1">INDEX('Lorri 401b'!L:L,MATCH('Retirement Calculator'!A247,'Lorri 401b'!N:N,0),0)</f>
        <v>4186825.6029730188</v>
      </c>
      <c r="S247" s="25">
        <f t="shared" ca="1" si="7"/>
        <v>6093641.5576904928</v>
      </c>
    </row>
    <row r="248" spans="1:19" ht="15.75" customHeight="1" x14ac:dyDescent="0.3">
      <c r="A248" s="37">
        <v>58501</v>
      </c>
      <c r="B248" s="398">
        <f t="shared" ref="B248:C248" si="244">($A248-B$9)/365.25</f>
        <v>78.288843258042434</v>
      </c>
      <c r="C248" s="398">
        <f t="shared" si="244"/>
        <v>73.678302532511978</v>
      </c>
      <c r="E248" s="25">
        <f>IF(C248&gt;$B$7,0,'Combined Retirement'!$D$13/12)</f>
        <v>0</v>
      </c>
      <c r="F248" s="25">
        <f>IF(H248=0,'Combined Retirement'!$D$32,0)+'Combined Retirement'!$B$24</f>
        <v>2870.372285649099</v>
      </c>
      <c r="G248" s="25">
        <f>'Combined Retirement'!$C$24</f>
        <v>3254.2644699519233</v>
      </c>
      <c r="H248" s="25">
        <f>IF(B248&lt;62,0,'Combined Retirement'!$I$14)</f>
        <v>2345</v>
      </c>
      <c r="I248" s="25">
        <f>IF(C248&lt;62,0,'Combined Retirement'!$I$13)</f>
        <v>2420</v>
      </c>
      <c r="J248" s="25">
        <f t="shared" si="3"/>
        <v>7896.2379798201846</v>
      </c>
      <c r="K248" s="25">
        <f t="shared" si="4"/>
        <v>20367.195264578786</v>
      </c>
      <c r="L248" s="25"/>
      <c r="N248" s="25">
        <f>'Combined Retirement'!$C$18/12</f>
        <v>39153.069999999992</v>
      </c>
      <c r="O248" s="25">
        <f t="shared" si="5"/>
        <v>10889.636755601023</v>
      </c>
      <c r="P248" s="25">
        <f t="shared" si="6"/>
        <v>28263.43324439897</v>
      </c>
      <c r="Q248" s="25">
        <f t="array" aca="1" ref="Q248" ca="1">INDEX('Isaac 401k'!L:L,MATCH('Retirement Calculator'!A248,'Isaac 401k'!N:N,0),0)</f>
        <v>1906831.8822240606</v>
      </c>
      <c r="R248" s="25">
        <f t="array" aca="1" ref="R248" ca="1">INDEX('Lorri 401b'!L:L,MATCH('Retirement Calculator'!A248,'Lorri 401b'!N:N,0),0)</f>
        <v>4183818.6510738917</v>
      </c>
      <c r="S248" s="25">
        <f t="shared" ca="1" si="7"/>
        <v>6090650.5332979523</v>
      </c>
    </row>
    <row r="249" spans="1:19" ht="15.75" customHeight="1" x14ac:dyDescent="0.3">
      <c r="A249" s="37">
        <v>58532</v>
      </c>
      <c r="B249" s="398">
        <f t="shared" ref="B249:C249" si="245">($A249-B$9)/365.25</f>
        <v>78.373716632443532</v>
      </c>
      <c r="C249" s="398">
        <f t="shared" si="245"/>
        <v>73.763175906913077</v>
      </c>
      <c r="E249" s="25">
        <f>IF(C249&gt;$B$7,0,'Combined Retirement'!$D$13/12)</f>
        <v>0</v>
      </c>
      <c r="F249" s="25">
        <f>IF(H249=0,'Combined Retirement'!$D$32,0)+'Combined Retirement'!$B$24</f>
        <v>2870.372285649099</v>
      </c>
      <c r="G249" s="25">
        <f>'Combined Retirement'!$C$24</f>
        <v>3254.2644699519233</v>
      </c>
      <c r="H249" s="25">
        <f>IF(B249&lt;62,0,'Combined Retirement'!$I$14)</f>
        <v>2345</v>
      </c>
      <c r="I249" s="25">
        <f>IF(C249&lt;62,0,'Combined Retirement'!$I$13)</f>
        <v>2420</v>
      </c>
      <c r="J249" s="25">
        <f t="shared" si="3"/>
        <v>7896.2379798201846</v>
      </c>
      <c r="K249" s="25">
        <f t="shared" si="4"/>
        <v>20367.195264578786</v>
      </c>
      <c r="L249" s="25"/>
      <c r="N249" s="25">
        <f>'Combined Retirement'!$C$18/12</f>
        <v>39153.069999999992</v>
      </c>
      <c r="O249" s="25">
        <f t="shared" si="5"/>
        <v>10889.636755601023</v>
      </c>
      <c r="P249" s="25">
        <f t="shared" si="6"/>
        <v>28263.43324439897</v>
      </c>
      <c r="Q249" s="25">
        <f t="array" aca="1" ref="Q249" ca="1">INDEX('Isaac 401k'!L:L,MATCH('Retirement Calculator'!A249,'Isaac 401k'!N:N,0),0)</f>
        <v>1906847.8760952579</v>
      </c>
      <c r="R249" s="25">
        <f t="array" aca="1" ref="R249" ca="1">INDEX('Lorri 401b'!L:L,MATCH('Retirement Calculator'!A249,'Lorri 401b'!N:N,0),0)</f>
        <v>4180799.1702085184</v>
      </c>
      <c r="S249" s="25">
        <f t="shared" ca="1" si="7"/>
        <v>6087647.0463037761</v>
      </c>
    </row>
    <row r="250" spans="1:19" ht="15.75" customHeight="1" x14ac:dyDescent="0.3">
      <c r="A250" s="37">
        <v>58562</v>
      </c>
      <c r="B250" s="398">
        <f t="shared" ref="B250:C250" si="246">($A250-B$9)/365.25</f>
        <v>78.455852156057489</v>
      </c>
      <c r="C250" s="398">
        <f t="shared" si="246"/>
        <v>73.845311430527033</v>
      </c>
      <c r="E250" s="25">
        <f>IF(C250&gt;$B$7,0,'Combined Retirement'!$D$13/12)</f>
        <v>0</v>
      </c>
      <c r="F250" s="25">
        <f>IF(H250=0,'Combined Retirement'!$D$32,0)+'Combined Retirement'!$B$24</f>
        <v>2870.372285649099</v>
      </c>
      <c r="G250" s="25">
        <f>'Combined Retirement'!$C$24</f>
        <v>3254.2644699519233</v>
      </c>
      <c r="H250" s="25">
        <f>IF(B250&lt;62,0,'Combined Retirement'!$I$14)</f>
        <v>2345</v>
      </c>
      <c r="I250" s="25">
        <f>IF(C250&lt;62,0,'Combined Retirement'!$I$13)</f>
        <v>2420</v>
      </c>
      <c r="J250" s="25">
        <f t="shared" si="3"/>
        <v>7896.2379798201846</v>
      </c>
      <c r="K250" s="25">
        <f t="shared" si="4"/>
        <v>20367.195264578786</v>
      </c>
      <c r="L250" s="25"/>
      <c r="N250" s="25">
        <f>'Combined Retirement'!$C$18/12</f>
        <v>39153.069999999992</v>
      </c>
      <c r="O250" s="25">
        <f t="shared" si="5"/>
        <v>10889.636755601023</v>
      </c>
      <c r="P250" s="25">
        <f t="shared" si="6"/>
        <v>28263.43324439897</v>
      </c>
      <c r="Q250" s="25">
        <f t="array" aca="1" ref="Q250" ca="1">INDEX('Isaac 401k'!L:L,MATCH('Retirement Calculator'!A250,'Isaac 401k'!N:N,0),0)</f>
        <v>1906863.9366075853</v>
      </c>
      <c r="R250" s="25">
        <f t="array" aca="1" ref="R250" ca="1">INDEX('Lorri 401b'!L:L,MATCH('Retirement Calculator'!A250,'Lorri 401b'!N:N,0),0)</f>
        <v>4177767.1081728726</v>
      </c>
      <c r="S250" s="25">
        <f t="shared" ca="1" si="7"/>
        <v>6084631.0447804574</v>
      </c>
    </row>
    <row r="251" spans="1:19" ht="15.75" customHeight="1" x14ac:dyDescent="0.3">
      <c r="A251" s="37">
        <v>58593</v>
      </c>
      <c r="B251" s="398">
        <f t="shared" ref="B251:C251" si="247">($A251-B$9)/365.25</f>
        <v>78.540725530458587</v>
      </c>
      <c r="C251" s="398">
        <f t="shared" si="247"/>
        <v>73.930184804928132</v>
      </c>
      <c r="E251" s="25">
        <f>IF(C251&gt;$B$7,0,'Combined Retirement'!$D$13/12)</f>
        <v>0</v>
      </c>
      <c r="F251" s="25">
        <f>IF(H251=0,'Combined Retirement'!$D$32,0)+'Combined Retirement'!$B$24</f>
        <v>2870.372285649099</v>
      </c>
      <c r="G251" s="25">
        <f>'Combined Retirement'!$C$24</f>
        <v>3254.2644699519233</v>
      </c>
      <c r="H251" s="25">
        <f>IF(B251&lt;62,0,'Combined Retirement'!$I$14)</f>
        <v>2345</v>
      </c>
      <c r="I251" s="25">
        <f>IF(C251&lt;62,0,'Combined Retirement'!$I$13)</f>
        <v>2420</v>
      </c>
      <c r="J251" s="25">
        <f t="shared" si="3"/>
        <v>7896.2379798201846</v>
      </c>
      <c r="K251" s="25">
        <f t="shared" si="4"/>
        <v>20367.195264578786</v>
      </c>
      <c r="L251" s="25"/>
      <c r="N251" s="25">
        <f>'Combined Retirement'!$C$18/12</f>
        <v>39153.069999999992</v>
      </c>
      <c r="O251" s="25">
        <f t="shared" si="5"/>
        <v>10889.636755601023</v>
      </c>
      <c r="P251" s="25">
        <f t="shared" si="6"/>
        <v>28263.43324439897</v>
      </c>
      <c r="Q251" s="25">
        <f t="array" aca="1" ref="Q251" ca="1">INDEX('Isaac 401k'!L:L,MATCH('Retirement Calculator'!A251,'Isaac 401k'!N:N,0),0)</f>
        <v>1906880.0640387142</v>
      </c>
      <c r="R251" s="25">
        <f t="array" aca="1" ref="R251" ca="1">INDEX('Lorri 401b'!L:L,MATCH('Retirement Calculator'!A251,'Lorri 401b'!N:N,0),0)</f>
        <v>4174722.4125454118</v>
      </c>
      <c r="S251" s="25">
        <f t="shared" ca="1" si="7"/>
        <v>6081602.4765841262</v>
      </c>
    </row>
    <row r="252" spans="1:19" ht="15.75" customHeight="1" x14ac:dyDescent="0.3">
      <c r="A252" s="37">
        <v>58623</v>
      </c>
      <c r="B252" s="398">
        <f t="shared" ref="B252:C252" si="248">($A252-B$9)/365.25</f>
        <v>78.622861054072558</v>
      </c>
      <c r="C252" s="398">
        <f t="shared" si="248"/>
        <v>74.012320328542089</v>
      </c>
      <c r="E252" s="25">
        <f>IF(C252&gt;$B$7,0,'Combined Retirement'!$D$13/12)</f>
        <v>0</v>
      </c>
      <c r="F252" s="25">
        <f>IF(H252=0,'Combined Retirement'!$D$32,0)+'Combined Retirement'!$B$24</f>
        <v>2870.372285649099</v>
      </c>
      <c r="G252" s="25">
        <f>'Combined Retirement'!$C$24</f>
        <v>3254.2644699519233</v>
      </c>
      <c r="H252" s="25">
        <f>IF(B252&lt;62,0,'Combined Retirement'!$I$14)</f>
        <v>2345</v>
      </c>
      <c r="I252" s="25">
        <f>IF(C252&lt;62,0,'Combined Retirement'!$I$13)</f>
        <v>2420</v>
      </c>
      <c r="J252" s="25">
        <f t="shared" si="3"/>
        <v>7896.2379798201846</v>
      </c>
      <c r="K252" s="25">
        <f t="shared" si="4"/>
        <v>20367.195264578786</v>
      </c>
      <c r="L252" s="25"/>
      <c r="N252" s="25">
        <f>'Combined Retirement'!$C$18/12</f>
        <v>39153.069999999992</v>
      </c>
      <c r="O252" s="25">
        <f t="shared" si="5"/>
        <v>10889.636755601023</v>
      </c>
      <c r="P252" s="25">
        <f t="shared" si="6"/>
        <v>28263.43324439897</v>
      </c>
      <c r="Q252" s="25">
        <f t="array" aca="1" ref="Q252" ca="1">INDEX('Isaac 401k'!L:L,MATCH('Retirement Calculator'!A252,'Isaac 401k'!N:N,0),0)</f>
        <v>1906896.2586674727</v>
      </c>
      <c r="R252" s="25">
        <f t="array" aca="1" ref="R252" ca="1">INDEX('Lorri 401b'!L:L,MATCH('Retirement Calculator'!A252,'Lorri 401b'!N:N,0),0)</f>
        <v>4171665.0306861699</v>
      </c>
      <c r="S252" s="25">
        <f t="shared" ca="1" si="7"/>
        <v>6078561.2893536426</v>
      </c>
    </row>
    <row r="253" spans="1:19" ht="15.75" customHeight="1" x14ac:dyDescent="0.3">
      <c r="A253" s="37">
        <v>58654</v>
      </c>
      <c r="B253" s="398">
        <f t="shared" ref="B253:C253" si="249">($A253-B$9)/365.25</f>
        <v>78.707734428473643</v>
      </c>
      <c r="C253" s="398">
        <f t="shared" si="249"/>
        <v>74.097193702943187</v>
      </c>
      <c r="E253" s="25">
        <f>IF(C253&gt;$B$7,0,'Combined Retirement'!$D$13/12)</f>
        <v>0</v>
      </c>
      <c r="F253" s="25">
        <f>IF(H253=0,'Combined Retirement'!$D$32,0)+'Combined Retirement'!$B$24</f>
        <v>2870.372285649099</v>
      </c>
      <c r="G253" s="25">
        <f>'Combined Retirement'!$C$24</f>
        <v>3254.2644699519233</v>
      </c>
      <c r="H253" s="25">
        <f>IF(B253&lt;62,0,'Combined Retirement'!$I$14)</f>
        <v>2345</v>
      </c>
      <c r="I253" s="25">
        <f>IF(C253&lt;62,0,'Combined Retirement'!$I$13)</f>
        <v>2420</v>
      </c>
      <c r="J253" s="25">
        <f t="shared" si="3"/>
        <v>7896.2379798201846</v>
      </c>
      <c r="K253" s="25">
        <f t="shared" si="4"/>
        <v>20367.195264578786</v>
      </c>
      <c r="L253" s="25"/>
      <c r="N253" s="25">
        <f>'Combined Retirement'!$C$18/12</f>
        <v>39153.069999999992</v>
      </c>
      <c r="O253" s="25">
        <f t="shared" si="5"/>
        <v>10889.636755601023</v>
      </c>
      <c r="P253" s="25">
        <f t="shared" si="6"/>
        <v>28263.43324439897</v>
      </c>
      <c r="Q253" s="25">
        <f t="array" aca="1" ref="Q253" ca="1">INDEX('Isaac 401k'!L:L,MATCH('Retirement Calculator'!A253,'Isaac 401k'!N:N,0),0)</f>
        <v>1906912.5207738511</v>
      </c>
      <c r="R253" s="25">
        <f t="array" aca="1" ref="R253" ca="1">INDEX('Lorri 401b'!L:L,MATCH('Retirement Calculator'!A253,'Lorri 401b'!N:N,0),0)</f>
        <v>4168594.9097358477</v>
      </c>
      <c r="S253" s="25">
        <f t="shared" ca="1" si="7"/>
        <v>6075507.4305096986</v>
      </c>
    </row>
    <row r="254" spans="1:19" ht="15.75" customHeight="1" x14ac:dyDescent="0.3">
      <c r="A254" s="37">
        <v>58685</v>
      </c>
      <c r="B254" s="398">
        <f t="shared" ref="B254:C254" si="250">($A254-B$9)/365.25</f>
        <v>78.792607802874741</v>
      </c>
      <c r="C254" s="398">
        <f t="shared" si="250"/>
        <v>74.182067077344286</v>
      </c>
      <c r="E254" s="25">
        <f>IF(C254&gt;$B$7,0,'Combined Retirement'!$D$13/12)</f>
        <v>0</v>
      </c>
      <c r="F254" s="25">
        <f>IF(H254=0,'Combined Retirement'!$D$32,0)+'Combined Retirement'!$B$24</f>
        <v>2870.372285649099</v>
      </c>
      <c r="G254" s="25">
        <f>'Combined Retirement'!$C$24</f>
        <v>3254.2644699519233</v>
      </c>
      <c r="H254" s="25">
        <f>IF(B254&lt;62,0,'Combined Retirement'!$I$14)</f>
        <v>2345</v>
      </c>
      <c r="I254" s="25">
        <f>IF(C254&lt;62,0,'Combined Retirement'!$I$13)</f>
        <v>2420</v>
      </c>
      <c r="J254" s="25">
        <f t="shared" si="3"/>
        <v>7896.2379798201846</v>
      </c>
      <c r="K254" s="25">
        <f t="shared" si="4"/>
        <v>20367.195264578786</v>
      </c>
      <c r="L254" s="25"/>
      <c r="N254" s="25">
        <f>'Combined Retirement'!$C$18/12</f>
        <v>39153.069999999992</v>
      </c>
      <c r="O254" s="25">
        <f t="shared" si="5"/>
        <v>10889.636755601023</v>
      </c>
      <c r="P254" s="25">
        <f t="shared" si="6"/>
        <v>28263.43324439897</v>
      </c>
      <c r="Q254" s="25">
        <f t="array" aca="1" ref="Q254" ca="1">INDEX('Isaac 401k'!L:L,MATCH('Retirement Calculator'!A254,'Isaac 401k'!N:N,0),0)</f>
        <v>1906928.8506390059</v>
      </c>
      <c r="R254" s="25">
        <f t="array" aca="1" ref="R254" ca="1">INDEX('Lorri 401b'!L:L,MATCH('Retirement Calculator'!A254,'Lorri 401b'!N:N,0),0)</f>
        <v>4165511.996614899</v>
      </c>
      <c r="S254" s="25">
        <f t="shared" ca="1" si="7"/>
        <v>6072440.8472539047</v>
      </c>
    </row>
    <row r="255" spans="1:19" ht="15.75" customHeight="1" x14ac:dyDescent="0.3">
      <c r="A255" s="37">
        <v>58715</v>
      </c>
      <c r="B255" s="398">
        <f t="shared" ref="B255:C255" si="251">($A255-B$9)/365.25</f>
        <v>78.874743326488712</v>
      </c>
      <c r="C255" s="398">
        <f t="shared" si="251"/>
        <v>74.264202600958242</v>
      </c>
      <c r="E255" s="25">
        <f>IF(C255&gt;$B$7,0,'Combined Retirement'!$D$13/12)</f>
        <v>0</v>
      </c>
      <c r="F255" s="25">
        <f>IF(H255=0,'Combined Retirement'!$D$32,0)+'Combined Retirement'!$B$24</f>
        <v>2870.372285649099</v>
      </c>
      <c r="G255" s="25">
        <f>'Combined Retirement'!$C$24</f>
        <v>3254.2644699519233</v>
      </c>
      <c r="H255" s="25">
        <f>IF(B255&lt;62,0,'Combined Retirement'!$I$14)</f>
        <v>2345</v>
      </c>
      <c r="I255" s="25">
        <f>IF(C255&lt;62,0,'Combined Retirement'!$I$13)</f>
        <v>2420</v>
      </c>
      <c r="J255" s="25">
        <f t="shared" si="3"/>
        <v>7896.2379798201846</v>
      </c>
      <c r="K255" s="25">
        <f t="shared" si="4"/>
        <v>20367.195264578786</v>
      </c>
      <c r="L255" s="25"/>
      <c r="N255" s="25">
        <f>'Combined Retirement'!$C$18/12</f>
        <v>39153.069999999992</v>
      </c>
      <c r="O255" s="25">
        <f t="shared" si="5"/>
        <v>10889.636755601023</v>
      </c>
      <c r="P255" s="25">
        <f t="shared" si="6"/>
        <v>28263.43324439897</v>
      </c>
      <c r="Q255" s="25">
        <f t="array" aca="1" ref="Q255" ca="1">INDEX('Isaac 401k'!L:L,MATCH('Retirement Calculator'!A255,'Isaac 401k'!N:N,0),0)</f>
        <v>1906945.2485452655</v>
      </c>
      <c r="R255" s="25">
        <f t="array" aca="1" ref="R255" ca="1">INDEX('Lorri 401b'!L:L,MATCH('Retirement Calculator'!A255,'Lorri 401b'!N:N,0),0)</f>
        <v>4162416.2380226133</v>
      </c>
      <c r="S255" s="25">
        <f t="shared" ca="1" si="7"/>
        <v>6069361.4865678791</v>
      </c>
    </row>
    <row r="256" spans="1:19" ht="15.75" customHeight="1" x14ac:dyDescent="0.3">
      <c r="A256" s="37">
        <v>58746</v>
      </c>
      <c r="B256" s="398">
        <f t="shared" ref="B256:C256" si="252">($A256-B$9)/365.25</f>
        <v>78.959616700889796</v>
      </c>
      <c r="C256" s="398">
        <f t="shared" si="252"/>
        <v>74.349075975359341</v>
      </c>
      <c r="E256" s="25">
        <f>IF(C256&gt;$B$7,0,'Combined Retirement'!$D$13/12)</f>
        <v>0</v>
      </c>
      <c r="F256" s="25">
        <f>IF(H256=0,'Combined Retirement'!$D$32,0)+'Combined Retirement'!$B$24</f>
        <v>2870.372285649099</v>
      </c>
      <c r="G256" s="25">
        <f>'Combined Retirement'!$C$24</f>
        <v>3254.2644699519233</v>
      </c>
      <c r="H256" s="25">
        <f>IF(B256&lt;62,0,'Combined Retirement'!$I$14)</f>
        <v>2345</v>
      </c>
      <c r="I256" s="25">
        <f>IF(C256&lt;62,0,'Combined Retirement'!$I$13)</f>
        <v>2420</v>
      </c>
      <c r="J256" s="25">
        <f t="shared" si="3"/>
        <v>7896.2379798201846</v>
      </c>
      <c r="K256" s="25">
        <f t="shared" si="4"/>
        <v>20367.195264578786</v>
      </c>
      <c r="L256" s="25"/>
      <c r="N256" s="25">
        <f>'Combined Retirement'!$C$18/12</f>
        <v>39153.069999999992</v>
      </c>
      <c r="O256" s="25">
        <f t="shared" si="5"/>
        <v>10889.636755601023</v>
      </c>
      <c r="P256" s="25">
        <f t="shared" si="6"/>
        <v>28263.43324439897</v>
      </c>
      <c r="Q256" s="25">
        <f t="array" aca="1" ref="Q256" ca="1">INDEX('Isaac 401k'!L:L,MATCH('Retirement Calculator'!A256,'Isaac 401k'!N:N,0),0)</f>
        <v>1906961.7147761346</v>
      </c>
      <c r="R256" s="25">
        <f t="array" aca="1" ref="R256" ca="1">INDEX('Lorri 401b'!L:L,MATCH('Retirement Calculator'!A256,'Lorri 401b'!N:N,0),0)</f>
        <v>4159307.5804361929</v>
      </c>
      <c r="S256" s="25">
        <f t="shared" ca="1" si="7"/>
        <v>6066269.2952123275</v>
      </c>
    </row>
    <row r="257" spans="1:19" ht="15.75" customHeight="1" x14ac:dyDescent="0.3">
      <c r="A257" s="37">
        <v>58776</v>
      </c>
      <c r="B257" s="398">
        <f t="shared" ref="B257:C257" si="253">($A257-B$9)/365.25</f>
        <v>79.041752224503767</v>
      </c>
      <c r="C257" s="398">
        <f t="shared" si="253"/>
        <v>74.431211498973312</v>
      </c>
      <c r="E257" s="25">
        <f>IF(C257&gt;$B$7,0,'Combined Retirement'!$D$13/12)</f>
        <v>0</v>
      </c>
      <c r="F257" s="25">
        <f>IF(H257=0,'Combined Retirement'!$D$32,0)+'Combined Retirement'!$B$24</f>
        <v>2870.372285649099</v>
      </c>
      <c r="G257" s="25">
        <f>'Combined Retirement'!$C$24</f>
        <v>3254.2644699519233</v>
      </c>
      <c r="H257" s="25">
        <f>IF(B257&lt;62,0,'Combined Retirement'!$I$14)</f>
        <v>2345</v>
      </c>
      <c r="I257" s="25">
        <f>IF(C257&lt;62,0,'Combined Retirement'!$I$13)</f>
        <v>2420</v>
      </c>
      <c r="J257" s="25">
        <f t="shared" si="3"/>
        <v>7896.2379798201846</v>
      </c>
      <c r="K257" s="25">
        <f t="shared" si="4"/>
        <v>20367.195264578786</v>
      </c>
      <c r="L257" s="25"/>
      <c r="N257" s="25">
        <f>'Combined Retirement'!$C$18/12</f>
        <v>39153.069999999992</v>
      </c>
      <c r="O257" s="25">
        <f t="shared" si="5"/>
        <v>10889.636755601023</v>
      </c>
      <c r="P257" s="25">
        <f t="shared" si="6"/>
        <v>28263.43324439897</v>
      </c>
      <c r="Q257" s="25">
        <f t="array" aca="1" ref="Q257" ca="1">INDEX('Isaac 401k'!L:L,MATCH('Retirement Calculator'!A257,'Isaac 401k'!N:N,0),0)</f>
        <v>1906978.2496162991</v>
      </c>
      <c r="R257" s="25">
        <f t="array" aca="1" ref="R257" ca="1">INDEX('Lorri 401b'!L:L,MATCH('Retirement Calculator'!A257,'Lorri 401b'!N:N,0),0)</f>
        <v>4156185.9701098292</v>
      </c>
      <c r="S257" s="25">
        <f t="shared" ca="1" si="7"/>
        <v>6063164.2197261285</v>
      </c>
    </row>
    <row r="258" spans="1:19" ht="15.75" customHeight="1" x14ac:dyDescent="0.3">
      <c r="A258" s="37">
        <v>58807</v>
      </c>
      <c r="B258" s="398">
        <f t="shared" ref="B258:C258" si="254">($A258-B$9)/365.25</f>
        <v>79.126625598904866</v>
      </c>
      <c r="C258" s="398">
        <f t="shared" si="254"/>
        <v>74.516084873374396</v>
      </c>
      <c r="E258" s="25">
        <f>IF(C258&gt;$B$7,0,'Combined Retirement'!$D$13/12)</f>
        <v>0</v>
      </c>
      <c r="F258" s="25">
        <f>IF(H258=0,'Combined Retirement'!$D$32,0)+'Combined Retirement'!$B$24</f>
        <v>2870.372285649099</v>
      </c>
      <c r="G258" s="25">
        <f>'Combined Retirement'!$C$24</f>
        <v>3254.2644699519233</v>
      </c>
      <c r="H258" s="25">
        <f>IF(B258&lt;62,0,'Combined Retirement'!$I$14)</f>
        <v>2345</v>
      </c>
      <c r="I258" s="25">
        <f>IF(C258&lt;62,0,'Combined Retirement'!$I$13)</f>
        <v>2420</v>
      </c>
      <c r="J258" s="25">
        <f t="shared" si="3"/>
        <v>7896.2379798201846</v>
      </c>
      <c r="K258" s="25">
        <f t="shared" si="4"/>
        <v>20367.195264578786</v>
      </c>
      <c r="L258" s="25"/>
      <c r="N258" s="25">
        <f>'Combined Retirement'!$C$18/12</f>
        <v>39153.069999999992</v>
      </c>
      <c r="O258" s="25">
        <f t="shared" si="5"/>
        <v>10889.636755601023</v>
      </c>
      <c r="P258" s="25">
        <f t="shared" si="6"/>
        <v>28263.43324439897</v>
      </c>
      <c r="Q258" s="25">
        <f t="array" aca="1" ref="Q258" ca="1">INDEX('Isaac 401k'!L:L,MATCH('Retirement Calculator'!A258,'Isaac 401k'!N:N,0),0)</f>
        <v>1906994.8533516307</v>
      </c>
      <c r="R258" s="25">
        <f t="array" aca="1" ref="R258" ca="1">INDEX('Lorri 401b'!L:L,MATCH('Retirement Calculator'!A258,'Lorri 401b'!N:N,0),0)</f>
        <v>4153051.3530737725</v>
      </c>
      <c r="S258" s="25">
        <f t="shared" ca="1" si="7"/>
        <v>6060046.2064254032</v>
      </c>
    </row>
    <row r="259" spans="1:19" ht="15.75" customHeight="1" x14ac:dyDescent="0.3">
      <c r="A259" s="37">
        <v>58838</v>
      </c>
      <c r="B259" s="398">
        <f t="shared" ref="B259:C259" si="255">($A259-B$9)/365.25</f>
        <v>79.21149897330595</v>
      </c>
      <c r="C259" s="398">
        <f t="shared" si="255"/>
        <v>74.600958247775495</v>
      </c>
      <c r="E259" s="25">
        <f>IF(C259&gt;$B$7,0,'Combined Retirement'!$D$13/12)</f>
        <v>0</v>
      </c>
      <c r="F259" s="25">
        <f>IF(H259=0,'Combined Retirement'!$D$32,0)+'Combined Retirement'!$B$24</f>
        <v>2870.372285649099</v>
      </c>
      <c r="G259" s="25">
        <f>'Combined Retirement'!$C$24</f>
        <v>3254.2644699519233</v>
      </c>
      <c r="H259" s="25">
        <f>IF(B259&lt;62,0,'Combined Retirement'!$I$14)</f>
        <v>2345</v>
      </c>
      <c r="I259" s="25">
        <f>IF(C259&lt;62,0,'Combined Retirement'!$I$13)</f>
        <v>2420</v>
      </c>
      <c r="J259" s="25">
        <f t="shared" si="3"/>
        <v>7896.2379798201846</v>
      </c>
      <c r="K259" s="25">
        <f t="shared" si="4"/>
        <v>20367.195264578786</v>
      </c>
      <c r="L259" s="25"/>
      <c r="N259" s="25">
        <f>'Combined Retirement'!$C$18/12</f>
        <v>39153.069999999992</v>
      </c>
      <c r="O259" s="25">
        <f t="shared" si="5"/>
        <v>10889.636755601023</v>
      </c>
      <c r="P259" s="25">
        <f t="shared" si="6"/>
        <v>28263.43324439897</v>
      </c>
      <c r="Q259" s="25">
        <f t="array" aca="1" ref="Q259" ca="1">INDEX('Isaac 401k'!L:L,MATCH('Retirement Calculator'!A259,'Isaac 401k'!N:N,0),0)</f>
        <v>1907011.526269193</v>
      </c>
      <c r="R259" s="25">
        <f t="array" aca="1" ref="R259" ca="1">INDEX('Lorri 401b'!L:L,MATCH('Retirement Calculator'!A259,'Lorri 401b'!N:N,0),0)</f>
        <v>4149903.6751333987</v>
      </c>
      <c r="S259" s="25">
        <f t="shared" ca="1" si="7"/>
        <v>6056915.2014025915</v>
      </c>
    </row>
    <row r="260" spans="1:19" ht="15.75" customHeight="1" x14ac:dyDescent="0.3">
      <c r="A260" s="37">
        <v>58866</v>
      </c>
      <c r="B260" s="398">
        <f t="shared" ref="B260:C260" si="256">($A260-B$9)/365.25</f>
        <v>79.288158795345652</v>
      </c>
      <c r="C260" s="398">
        <f t="shared" si="256"/>
        <v>74.677618069815196</v>
      </c>
      <c r="E260" s="25">
        <f>IF(C260&gt;$B$7,0,'Combined Retirement'!$D$13/12)</f>
        <v>0</v>
      </c>
      <c r="F260" s="25">
        <f>IF(H260=0,'Combined Retirement'!$D$32,0)+'Combined Retirement'!$B$24</f>
        <v>2870.372285649099</v>
      </c>
      <c r="G260" s="25">
        <f>'Combined Retirement'!$C$24</f>
        <v>3254.2644699519233</v>
      </c>
      <c r="H260" s="25">
        <f>IF(B260&lt;62,0,'Combined Retirement'!$I$14)</f>
        <v>2345</v>
      </c>
      <c r="I260" s="25">
        <f>IF(C260&lt;62,0,'Combined Retirement'!$I$13)</f>
        <v>2420</v>
      </c>
      <c r="J260" s="25">
        <f t="shared" si="3"/>
        <v>7896.2379798201846</v>
      </c>
      <c r="K260" s="25">
        <f t="shared" si="4"/>
        <v>20367.195264578786</v>
      </c>
      <c r="L260" s="25"/>
      <c r="N260" s="25">
        <f>'Combined Retirement'!$C$18/12</f>
        <v>39153.069999999992</v>
      </c>
      <c r="O260" s="25">
        <f t="shared" si="5"/>
        <v>10889.636755601023</v>
      </c>
      <c r="P260" s="25">
        <f t="shared" si="6"/>
        <v>28263.43324439897</v>
      </c>
      <c r="Q260" s="25">
        <f t="array" aca="1" ref="Q260" ca="1">INDEX('Isaac 401k'!L:L,MATCH('Retirement Calculator'!A260,'Isaac 401k'!N:N,0),0)</f>
        <v>1907028.2686572452</v>
      </c>
      <c r="R260" s="25">
        <f t="array" aca="1" ref="R260" ca="1">INDEX('Lorri 401b'!L:L,MATCH('Retirement Calculator'!A260,'Lorri 401b'!N:N,0),0)</f>
        <v>4146742.8818682735</v>
      </c>
      <c r="S260" s="25">
        <f t="shared" ca="1" si="7"/>
        <v>6053771.1505255187</v>
      </c>
    </row>
    <row r="261" spans="1:19" ht="15.75" customHeight="1" x14ac:dyDescent="0.3">
      <c r="A261" s="37">
        <v>58897</v>
      </c>
      <c r="B261" s="398">
        <f t="shared" ref="B261:C261" si="257">($A261-B$9)/365.25</f>
        <v>79.37303216974675</v>
      </c>
      <c r="C261" s="398">
        <f t="shared" si="257"/>
        <v>74.762491444216295</v>
      </c>
      <c r="E261" s="25">
        <f>IF(C261&gt;$B$7,0,'Combined Retirement'!$D$13/12)</f>
        <v>0</v>
      </c>
      <c r="F261" s="25">
        <f>IF(H261=0,'Combined Retirement'!$D$32,0)+'Combined Retirement'!$B$24</f>
        <v>2870.372285649099</v>
      </c>
      <c r="G261" s="25">
        <f>'Combined Retirement'!$C$24</f>
        <v>3254.2644699519233</v>
      </c>
      <c r="H261" s="25">
        <f>IF(B261&lt;62,0,'Combined Retirement'!$I$14)</f>
        <v>2345</v>
      </c>
      <c r="I261" s="25">
        <f>IF(C261&lt;62,0,'Combined Retirement'!$I$13)</f>
        <v>2420</v>
      </c>
      <c r="J261" s="25">
        <f t="shared" si="3"/>
        <v>7896.2379798201846</v>
      </c>
      <c r="K261" s="25">
        <f t="shared" si="4"/>
        <v>20367.195264578786</v>
      </c>
      <c r="L261" s="25"/>
      <c r="N261" s="25">
        <f>'Combined Retirement'!$C$18/12</f>
        <v>39153.069999999992</v>
      </c>
      <c r="O261" s="25">
        <f t="shared" si="5"/>
        <v>10889.636755601023</v>
      </c>
      <c r="P261" s="25">
        <f t="shared" si="6"/>
        <v>28263.43324439897</v>
      </c>
      <c r="Q261" s="25">
        <f t="array" aca="1" ref="Q261" ca="1">INDEX('Isaac 401k'!L:L,MATCH('Retirement Calculator'!A261,'Isaac 401k'!N:N,0),0)</f>
        <v>1907045.0808052476</v>
      </c>
      <c r="R261" s="25">
        <f t="array" aca="1" ref="R261" ca="1">INDEX('Lorri 401b'!L:L,MATCH('Retirement Calculator'!A261,'Lorri 401b'!N:N,0),0)</f>
        <v>4143568.91863121</v>
      </c>
      <c r="S261" s="25">
        <f t="shared" ca="1" si="7"/>
        <v>6050613.9994364576</v>
      </c>
    </row>
    <row r="262" spans="1:19" ht="15.75" customHeight="1" x14ac:dyDescent="0.3">
      <c r="A262" s="37">
        <v>58927</v>
      </c>
      <c r="B262" s="398">
        <f t="shared" ref="B262:C262" si="258">($A262-B$9)/365.25</f>
        <v>79.455167693360707</v>
      </c>
      <c r="C262" s="398">
        <f t="shared" si="258"/>
        <v>74.844626967830251</v>
      </c>
      <c r="E262" s="25">
        <f>IF(C262&gt;$B$7,0,'Combined Retirement'!$D$13/12)</f>
        <v>0</v>
      </c>
      <c r="F262" s="25">
        <f>IF(H262=0,'Combined Retirement'!$D$32,0)+'Combined Retirement'!$B$24</f>
        <v>2870.372285649099</v>
      </c>
      <c r="G262" s="25">
        <f>'Combined Retirement'!$C$24</f>
        <v>3254.2644699519233</v>
      </c>
      <c r="H262" s="25">
        <f>IF(B262&lt;62,0,'Combined Retirement'!$I$14)</f>
        <v>2345</v>
      </c>
      <c r="I262" s="25">
        <f>IF(C262&lt;62,0,'Combined Retirement'!$I$13)</f>
        <v>2420</v>
      </c>
      <c r="J262" s="25">
        <f t="shared" si="3"/>
        <v>7896.2379798201846</v>
      </c>
      <c r="K262" s="25">
        <f t="shared" si="4"/>
        <v>20367.195264578786</v>
      </c>
      <c r="L262" s="25"/>
      <c r="N262" s="25">
        <f>'Combined Retirement'!$C$18/12</f>
        <v>39153.069999999992</v>
      </c>
      <c r="O262" s="25">
        <f t="shared" si="5"/>
        <v>10889.636755601023</v>
      </c>
      <c r="P262" s="25">
        <f t="shared" si="6"/>
        <v>28263.43324439897</v>
      </c>
      <c r="Q262" s="25">
        <f t="array" aca="1" ref="Q262" ca="1">INDEX('Isaac 401k'!L:L,MATCH('Retirement Calculator'!A262,'Isaac 401k'!N:N,0),0)</f>
        <v>1907061.9630038666</v>
      </c>
      <c r="R262" s="25">
        <f t="array" aca="1" ref="R262" ca="1">INDEX('Lorri 401b'!L:L,MATCH('Retirement Calculator'!A262,'Lorri 401b'!N:N,0),0)</f>
        <v>4140381.7305473257</v>
      </c>
      <c r="S262" s="25">
        <f t="shared" ca="1" si="7"/>
        <v>6047443.6935511921</v>
      </c>
    </row>
    <row r="263" spans="1:19" ht="15.75" customHeight="1" x14ac:dyDescent="0.3">
      <c r="A263" s="37">
        <v>58958</v>
      </c>
      <c r="B263" s="398">
        <f t="shared" ref="B263:C263" si="259">($A263-B$9)/365.25</f>
        <v>79.540041067761805</v>
      </c>
      <c r="C263" s="398">
        <f t="shared" si="259"/>
        <v>74.92950034223135</v>
      </c>
      <c r="E263" s="25">
        <f>IF(C263&gt;$B$7,0,'Combined Retirement'!$D$13/12)</f>
        <v>0</v>
      </c>
      <c r="F263" s="25">
        <f>IF(H263=0,'Combined Retirement'!$D$32,0)+'Combined Retirement'!$B$24</f>
        <v>2870.372285649099</v>
      </c>
      <c r="G263" s="25">
        <f>'Combined Retirement'!$C$24</f>
        <v>3254.2644699519233</v>
      </c>
      <c r="H263" s="25">
        <f>IF(B263&lt;62,0,'Combined Retirement'!$I$14)</f>
        <v>2345</v>
      </c>
      <c r="I263" s="25">
        <f>IF(C263&lt;62,0,'Combined Retirement'!$I$13)</f>
        <v>2420</v>
      </c>
      <c r="J263" s="25">
        <f t="shared" si="3"/>
        <v>7896.2379798201846</v>
      </c>
      <c r="K263" s="25">
        <f t="shared" si="4"/>
        <v>20367.195264578786</v>
      </c>
      <c r="L263" s="25"/>
      <c r="N263" s="25">
        <f>'Combined Retirement'!$C$18/12</f>
        <v>39153.069999999992</v>
      </c>
      <c r="O263" s="25">
        <f t="shared" si="5"/>
        <v>10889.636755601023</v>
      </c>
      <c r="P263" s="25">
        <f t="shared" si="6"/>
        <v>28263.43324439897</v>
      </c>
      <c r="Q263" s="25">
        <f t="array" aca="1" ref="Q263" ca="1">INDEX('Isaac 401k'!L:L,MATCH('Retirement Calculator'!A263,'Isaac 401k'!N:N,0),0)</f>
        <v>1907078.91554498</v>
      </c>
      <c r="R263" s="25">
        <f t="array" aca="1" ref="R263" ca="1">INDEX('Lorri 401b'!L:L,MATCH('Retirement Calculator'!A263,'Lorri 401b'!N:N,0),0)</f>
        <v>4137181.2625130918</v>
      </c>
      <c r="S263" s="25">
        <f t="shared" ca="1" si="7"/>
        <v>6044260.178058072</v>
      </c>
    </row>
    <row r="264" spans="1:19" ht="15.75" customHeight="1" x14ac:dyDescent="0.3">
      <c r="A264" s="37">
        <v>58988</v>
      </c>
      <c r="B264" s="398">
        <f t="shared" ref="B264:C264" si="260">($A264-B$9)/365.25</f>
        <v>79.622176591375776</v>
      </c>
      <c r="C264" s="398">
        <f t="shared" si="260"/>
        <v>75.011635865845307</v>
      </c>
      <c r="E264" s="25">
        <f>IF(C264&gt;$B$7,0,'Combined Retirement'!$D$13/12)</f>
        <v>0</v>
      </c>
      <c r="F264" s="25">
        <f>IF(H264=0,'Combined Retirement'!$D$32,0)+'Combined Retirement'!$B$24</f>
        <v>2870.372285649099</v>
      </c>
      <c r="G264" s="25">
        <f>'Combined Retirement'!$C$24</f>
        <v>3254.2644699519233</v>
      </c>
      <c r="H264" s="25">
        <f>IF(B264&lt;62,0,'Combined Retirement'!$I$14)</f>
        <v>2345</v>
      </c>
      <c r="I264" s="25">
        <f>IF(C264&lt;62,0,'Combined Retirement'!$I$13)</f>
        <v>2420</v>
      </c>
      <c r="J264" s="25">
        <f t="shared" si="3"/>
        <v>7896.2379798201846</v>
      </c>
      <c r="K264" s="25">
        <f t="shared" si="4"/>
        <v>20367.195264578786</v>
      </c>
      <c r="L264" s="25"/>
      <c r="N264" s="25">
        <f>'Combined Retirement'!$C$18/12</f>
        <v>39153.069999999992</v>
      </c>
      <c r="O264" s="25">
        <f t="shared" si="5"/>
        <v>10889.636755601023</v>
      </c>
      <c r="P264" s="25">
        <f t="shared" si="6"/>
        <v>28263.43324439897</v>
      </c>
      <c r="Q264" s="25">
        <f t="array" aca="1" ref="Q264" ca="1">INDEX('Isaac 401k'!L:L,MATCH('Retirement Calculator'!A264,'Isaac 401k'!N:N,0),0)</f>
        <v>1907095.9387216812</v>
      </c>
      <c r="R264" s="25">
        <f t="array" aca="1" ref="R264" ca="1">INDEX('Lorri 401b'!L:L,MATCH('Retirement Calculator'!A264,'Lorri 401b'!N:N,0),0)</f>
        <v>4133967.459195382</v>
      </c>
      <c r="S264" s="25">
        <f t="shared" ca="1" si="7"/>
        <v>6041063.397917063</v>
      </c>
    </row>
    <row r="265" spans="1:19" ht="15.75" customHeight="1" x14ac:dyDescent="0.3">
      <c r="A265" s="37">
        <v>59019</v>
      </c>
      <c r="B265" s="398">
        <f t="shared" ref="B265:C265" si="261">($A265-B$9)/365.25</f>
        <v>79.707049965776861</v>
      </c>
      <c r="C265" s="398">
        <f t="shared" si="261"/>
        <v>75.096509240246405</v>
      </c>
      <c r="E265" s="25">
        <f>IF(C265&gt;$B$7,0,'Combined Retirement'!$D$13/12)</f>
        <v>0</v>
      </c>
      <c r="F265" s="25">
        <f>IF(H265=0,'Combined Retirement'!$D$32,0)+'Combined Retirement'!$B$24</f>
        <v>2870.372285649099</v>
      </c>
      <c r="G265" s="25">
        <f>'Combined Retirement'!$C$24</f>
        <v>3254.2644699519233</v>
      </c>
      <c r="H265" s="25">
        <f>IF(B265&lt;62,0,'Combined Retirement'!$I$14)</f>
        <v>2345</v>
      </c>
      <c r="I265" s="25">
        <f>IF(C265&lt;62,0,'Combined Retirement'!$I$13)</f>
        <v>2420</v>
      </c>
      <c r="J265" s="25">
        <f t="shared" si="3"/>
        <v>7896.2379798201846</v>
      </c>
      <c r="K265" s="25">
        <f t="shared" si="4"/>
        <v>20367.195264578786</v>
      </c>
      <c r="L265" s="25"/>
      <c r="N265" s="25">
        <f>'Combined Retirement'!$C$18/12</f>
        <v>39153.069999999992</v>
      </c>
      <c r="O265" s="25">
        <f t="shared" si="5"/>
        <v>10889.636755601023</v>
      </c>
      <c r="P265" s="25">
        <f t="shared" si="6"/>
        <v>28263.43324439897</v>
      </c>
      <c r="Q265" s="25">
        <f t="array" aca="1" ref="Q265" ca="1">INDEX('Isaac 401k'!L:L,MATCH('Retirement Calculator'!A265,'Isaac 401k'!N:N,0),0)</f>
        <v>1907113.0328282854</v>
      </c>
      <c r="R265" s="25">
        <f t="array" aca="1" ref="R265" ca="1">INDEX('Lorri 401b'!L:L,MATCH('Retirement Calculator'!A265,'Lorri 401b'!N:N,0),0)</f>
        <v>4130740.2650305149</v>
      </c>
      <c r="S265" s="25">
        <f t="shared" ca="1" si="7"/>
        <v>6037853.2978588007</v>
      </c>
    </row>
    <row r="266" spans="1:19" ht="15.75" customHeight="1" x14ac:dyDescent="0.3">
      <c r="A266" s="37">
        <v>59050</v>
      </c>
      <c r="B266" s="398">
        <f t="shared" ref="B266:C266" si="262">($A266-B$9)/365.25</f>
        <v>79.791923340177959</v>
      </c>
      <c r="C266" s="398">
        <f t="shared" si="262"/>
        <v>75.181382614647504</v>
      </c>
      <c r="E266" s="25">
        <f>IF(C266&gt;$B$7,0,'Combined Retirement'!$D$13/12)</f>
        <v>0</v>
      </c>
      <c r="F266" s="25">
        <f>IF(H266=0,'Combined Retirement'!$D$32,0)+'Combined Retirement'!$B$24</f>
        <v>2870.372285649099</v>
      </c>
      <c r="G266" s="25">
        <f>'Combined Retirement'!$C$24</f>
        <v>3254.2644699519233</v>
      </c>
      <c r="H266" s="25">
        <f>IF(B266&lt;62,0,'Combined Retirement'!$I$14)</f>
        <v>2345</v>
      </c>
      <c r="I266" s="25">
        <f>IF(C266&lt;62,0,'Combined Retirement'!$I$13)</f>
        <v>2420</v>
      </c>
      <c r="J266" s="25">
        <f t="shared" ref="J266:J520" si="263">IF(C266&lt;59.5,P266,P266*$J$7)</f>
        <v>7896.2379798201846</v>
      </c>
      <c r="K266" s="25">
        <f t="shared" ref="K266:K520" si="264">IF(C266&lt;59.5,0,IF(C266&lt;$B$7,0,P266*$K$7))</f>
        <v>20367.195264578786</v>
      </c>
      <c r="L266" s="25"/>
      <c r="N266" s="25">
        <f>'Combined Retirement'!$C$18/12</f>
        <v>39153.069999999992</v>
      </c>
      <c r="O266" s="25">
        <f t="shared" ref="O266:O520" si="265">SUM(E266:I266)</f>
        <v>10889.636755601023</v>
      </c>
      <c r="P266" s="25">
        <f t="shared" ref="P266:P520" si="266">N266-O266</f>
        <v>28263.43324439897</v>
      </c>
      <c r="Q266" s="25">
        <f t="array" aca="1" ref="Q266" ca="1">INDEX('Isaac 401k'!L:L,MATCH('Retirement Calculator'!A266,'Isaac 401k'!N:N,0),0)</f>
        <v>1907130.1981603338</v>
      </c>
      <c r="R266" s="25">
        <f t="array" aca="1" ref="R266" ca="1">INDEX('Lorri 401b'!L:L,MATCH('Retirement Calculator'!A266,'Lorri 401b'!N:N,0),0)</f>
        <v>4127499.6242232942</v>
      </c>
      <c r="S266" s="25">
        <f t="shared" ref="S266:S520" ca="1" si="267">SUM(Q266:R266)</f>
        <v>6034629.8223836282</v>
      </c>
    </row>
    <row r="267" spans="1:19" ht="15.75" customHeight="1" x14ac:dyDescent="0.3">
      <c r="A267" s="37">
        <v>59080</v>
      </c>
      <c r="B267" s="398">
        <f t="shared" ref="B267:C267" si="268">($A267-B$9)/365.25</f>
        <v>79.87405886379193</v>
      </c>
      <c r="C267" s="398">
        <f t="shared" si="268"/>
        <v>75.26351813826146</v>
      </c>
      <c r="E267" s="25">
        <f>IF(C267&gt;$B$7,0,'Combined Retirement'!$D$13/12)</f>
        <v>0</v>
      </c>
      <c r="F267" s="25">
        <f>IF(H267=0,'Combined Retirement'!$D$32,0)+'Combined Retirement'!$B$24</f>
        <v>2870.372285649099</v>
      </c>
      <c r="G267" s="25">
        <f>'Combined Retirement'!$C$24</f>
        <v>3254.2644699519233</v>
      </c>
      <c r="H267" s="25">
        <f>IF(B267&lt;62,0,'Combined Retirement'!$I$14)</f>
        <v>2345</v>
      </c>
      <c r="I267" s="25">
        <f>IF(C267&lt;62,0,'Combined Retirement'!$I$13)</f>
        <v>2420</v>
      </c>
      <c r="J267" s="25">
        <f t="shared" si="263"/>
        <v>7896.2379798201846</v>
      </c>
      <c r="K267" s="25">
        <f t="shared" si="264"/>
        <v>20367.195264578786</v>
      </c>
      <c r="L267" s="25"/>
      <c r="N267" s="25">
        <f>'Combined Retirement'!$C$18/12</f>
        <v>39153.069999999992</v>
      </c>
      <c r="O267" s="25">
        <f t="shared" si="265"/>
        <v>10889.636755601023</v>
      </c>
      <c r="P267" s="25">
        <f t="shared" si="266"/>
        <v>28263.43324439897</v>
      </c>
      <c r="Q267" s="25">
        <f t="array" aca="1" ref="Q267" ca="1">INDEX('Isaac 401k'!L:L,MATCH('Retirement Calculator'!A267,'Isaac 401k'!N:N,0),0)</f>
        <v>1907147.435014599</v>
      </c>
      <c r="R267" s="25">
        <f t="array" aca="1" ref="R267" ca="1">INDEX('Lorri 401b'!L:L,MATCH('Retirement Calculator'!A267,'Lorri 401b'!N:N,0),0)</f>
        <v>4124245.4807460434</v>
      </c>
      <c r="S267" s="25">
        <f t="shared" ca="1" si="267"/>
        <v>6031392.9157606419</v>
      </c>
    </row>
    <row r="268" spans="1:19" ht="15.75" customHeight="1" x14ac:dyDescent="0.3">
      <c r="A268" s="37">
        <v>59111</v>
      </c>
      <c r="B268" s="398">
        <f t="shared" ref="B268:C268" si="269">($A268-B$9)/365.25</f>
        <v>79.958932238193015</v>
      </c>
      <c r="C268" s="398">
        <f t="shared" si="269"/>
        <v>75.348391512662559</v>
      </c>
      <c r="E268" s="25">
        <f>IF(C268&gt;$B$7,0,'Combined Retirement'!$D$13/12)</f>
        <v>0</v>
      </c>
      <c r="F268" s="25">
        <f>IF(H268=0,'Combined Retirement'!$D$32,0)+'Combined Retirement'!$B$24</f>
        <v>2870.372285649099</v>
      </c>
      <c r="G268" s="25">
        <f>'Combined Retirement'!$C$24</f>
        <v>3254.2644699519233</v>
      </c>
      <c r="H268" s="25">
        <f>IF(B268&lt;62,0,'Combined Retirement'!$I$14)</f>
        <v>2345</v>
      </c>
      <c r="I268" s="25">
        <f>IF(C268&lt;62,0,'Combined Retirement'!$I$13)</f>
        <v>2420</v>
      </c>
      <c r="J268" s="25">
        <f t="shared" si="263"/>
        <v>7896.2379798201846</v>
      </c>
      <c r="K268" s="25">
        <f t="shared" si="264"/>
        <v>20367.195264578786</v>
      </c>
      <c r="L268" s="25"/>
      <c r="N268" s="25">
        <f>'Combined Retirement'!$C$18/12</f>
        <v>39153.069999999992</v>
      </c>
      <c r="O268" s="25">
        <f t="shared" si="265"/>
        <v>10889.636755601023</v>
      </c>
      <c r="P268" s="25">
        <f t="shared" si="266"/>
        <v>28263.43324439897</v>
      </c>
      <c r="Q268" s="25">
        <f t="array" aca="1" ref="Q268" ca="1">INDEX('Isaac 401k'!L:L,MATCH('Retirement Calculator'!A268,'Isaac 401k'!N:N,0),0)</f>
        <v>1907164.7436890902</v>
      </c>
      <c r="R268" s="25">
        <f t="array" aca="1" ref="R268" ca="1">INDEX('Lorri 401b'!L:L,MATCH('Retirement Calculator'!A268,'Lorri 401b'!N:N,0),0)</f>
        <v>4120977.7783376374</v>
      </c>
      <c r="S268" s="25">
        <f t="shared" ca="1" si="267"/>
        <v>6028142.5220267279</v>
      </c>
    </row>
    <row r="269" spans="1:19" ht="15.75" customHeight="1" x14ac:dyDescent="0.3">
      <c r="A269" s="37">
        <v>59141</v>
      </c>
      <c r="B269" s="398">
        <f t="shared" ref="B269:C269" si="270">($A269-B$9)/365.25</f>
        <v>80.041067761806985</v>
      </c>
      <c r="C269" s="398">
        <f t="shared" si="270"/>
        <v>75.43052703627653</v>
      </c>
      <c r="E269" s="25">
        <f>IF(C269&gt;$B$7,0,'Combined Retirement'!$D$13/12)</f>
        <v>0</v>
      </c>
      <c r="F269" s="25">
        <f>IF(H269=0,'Combined Retirement'!$D$32,0)+'Combined Retirement'!$B$24</f>
        <v>2870.372285649099</v>
      </c>
      <c r="G269" s="25">
        <f>'Combined Retirement'!$C$24</f>
        <v>3254.2644699519233</v>
      </c>
      <c r="H269" s="25">
        <f>IF(B269&lt;62,0,'Combined Retirement'!$I$14)</f>
        <v>2345</v>
      </c>
      <c r="I269" s="25">
        <f>IF(C269&lt;62,0,'Combined Retirement'!$I$13)</f>
        <v>2420</v>
      </c>
      <c r="J269" s="25">
        <f t="shared" si="263"/>
        <v>7896.2379798201846</v>
      </c>
      <c r="K269" s="25">
        <f t="shared" si="264"/>
        <v>20367.195264578786</v>
      </c>
      <c r="L269" s="25"/>
      <c r="N269" s="25">
        <f>'Combined Retirement'!$C$18/12</f>
        <v>39153.069999999992</v>
      </c>
      <c r="O269" s="25">
        <f t="shared" si="265"/>
        <v>10889.636755601023</v>
      </c>
      <c r="P269" s="25">
        <f t="shared" si="266"/>
        <v>28263.43324439897</v>
      </c>
      <c r="Q269" s="25">
        <f t="array" aca="1" ref="Q269" ca="1">INDEX('Isaac 401k'!L:L,MATCH('Retirement Calculator'!A269,'Isaac 401k'!N:N,0),0)</f>
        <v>1907182.1244830587</v>
      </c>
      <c r="R269" s="25">
        <f t="array" aca="1" ref="R269" ca="1">INDEX('Lorri 401b'!L:L,MATCH('Retirement Calculator'!A269,'Lorri 401b'!N:N,0),0)</f>
        <v>4117696.4605025295</v>
      </c>
      <c r="S269" s="25">
        <f t="shared" ca="1" si="267"/>
        <v>6024878.5849855877</v>
      </c>
    </row>
    <row r="270" spans="1:19" ht="15.75" customHeight="1" x14ac:dyDescent="0.3">
      <c r="A270" s="37">
        <v>59172</v>
      </c>
      <c r="B270" s="398">
        <f t="shared" ref="B270:C270" si="271">($A270-B$9)/365.25</f>
        <v>80.12594113620807</v>
      </c>
      <c r="C270" s="398">
        <f t="shared" si="271"/>
        <v>75.515400410677614</v>
      </c>
      <c r="E270" s="25">
        <f>IF(C270&gt;$B$7,0,'Combined Retirement'!$D$13/12)</f>
        <v>0</v>
      </c>
      <c r="F270" s="25">
        <f>IF(H270=0,'Combined Retirement'!$D$32,0)+'Combined Retirement'!$B$24</f>
        <v>2870.372285649099</v>
      </c>
      <c r="G270" s="25">
        <f>'Combined Retirement'!$C$24</f>
        <v>3254.2644699519233</v>
      </c>
      <c r="H270" s="25">
        <f>IF(B270&lt;62,0,'Combined Retirement'!$I$14)</f>
        <v>2345</v>
      </c>
      <c r="I270" s="25">
        <f>IF(C270&lt;62,0,'Combined Retirement'!$I$13)</f>
        <v>2420</v>
      </c>
      <c r="J270" s="25">
        <f t="shared" si="263"/>
        <v>7896.2379798201846</v>
      </c>
      <c r="K270" s="25">
        <f t="shared" si="264"/>
        <v>20367.195264578786</v>
      </c>
      <c r="L270" s="25"/>
      <c r="N270" s="25">
        <f>'Combined Retirement'!$C$18/12</f>
        <v>39153.069999999992</v>
      </c>
      <c r="O270" s="25">
        <f t="shared" si="265"/>
        <v>10889.636755601023</v>
      </c>
      <c r="P270" s="25">
        <f t="shared" si="266"/>
        <v>28263.43324439897</v>
      </c>
      <c r="Q270" s="25">
        <f t="array" aca="1" ref="Q270" ca="1">INDEX('Isaac 401k'!L:L,MATCH('Retirement Calculator'!A270,'Isaac 401k'!N:N,0),0)</f>
        <v>1907199.5776970019</v>
      </c>
      <c r="R270" s="25">
        <f t="array" aca="1" ref="R270" ca="1">INDEX('Lorri 401b'!L:L,MATCH('Retirement Calculator'!A270,'Lorri 401b'!N:N,0),0)</f>
        <v>4114401.4705097754</v>
      </c>
      <c r="S270" s="25">
        <f t="shared" ca="1" si="267"/>
        <v>6021601.0482067773</v>
      </c>
    </row>
    <row r="271" spans="1:19" ht="15.75" customHeight="1" x14ac:dyDescent="0.3">
      <c r="A271" s="37">
        <v>59203</v>
      </c>
      <c r="B271" s="398">
        <f t="shared" ref="B271:C271" si="272">($A271-B$9)/365.25</f>
        <v>80.210814510609168</v>
      </c>
      <c r="C271" s="398">
        <f t="shared" si="272"/>
        <v>75.600273785078713</v>
      </c>
      <c r="E271" s="25">
        <f>IF(C271&gt;$B$7,0,'Combined Retirement'!$D$13/12)</f>
        <v>0</v>
      </c>
      <c r="F271" s="25">
        <f>IF(H271=0,'Combined Retirement'!$D$32,0)+'Combined Retirement'!$B$24</f>
        <v>2870.372285649099</v>
      </c>
      <c r="G271" s="25">
        <f>'Combined Retirement'!$C$24</f>
        <v>3254.2644699519233</v>
      </c>
      <c r="H271" s="25">
        <f>IF(B271&lt;62,0,'Combined Retirement'!$I$14)</f>
        <v>2345</v>
      </c>
      <c r="I271" s="25">
        <f>IF(C271&lt;62,0,'Combined Retirement'!$I$13)</f>
        <v>2420</v>
      </c>
      <c r="J271" s="25">
        <f t="shared" si="263"/>
        <v>7896.2379798201846</v>
      </c>
      <c r="K271" s="25">
        <f t="shared" si="264"/>
        <v>20367.195264578786</v>
      </c>
      <c r="L271" s="25"/>
      <c r="N271" s="25">
        <f>'Combined Retirement'!$C$18/12</f>
        <v>39153.069999999992</v>
      </c>
      <c r="O271" s="25">
        <f t="shared" si="265"/>
        <v>10889.636755601023</v>
      </c>
      <c r="P271" s="25">
        <f t="shared" si="266"/>
        <v>28263.43324439897</v>
      </c>
      <c r="Q271" s="25">
        <f t="array" aca="1" ref="Q271" ca="1">INDEX('Isaac 401k'!L:L,MATCH('Retirement Calculator'!A271,'Isaac 401k'!N:N,0),0)</f>
        <v>1907217.1036326699</v>
      </c>
      <c r="R271" s="25">
        <f t="array" aca="1" ref="R271" ca="1">INDEX('Lorri 401b'!L:L,MATCH('Retirement Calculator'!A271,'Lorri 401b'!N:N,0),0)</f>
        <v>4111092.7513920516</v>
      </c>
      <c r="S271" s="25">
        <f t="shared" ca="1" si="267"/>
        <v>6018309.8550247215</v>
      </c>
    </row>
    <row r="272" spans="1:19" ht="15.75" customHeight="1" x14ac:dyDescent="0.3">
      <c r="A272" s="37">
        <v>59231</v>
      </c>
      <c r="B272" s="398">
        <f t="shared" ref="B272:C272" si="273">($A272-B$9)/365.25</f>
        <v>80.28747433264887</v>
      </c>
      <c r="C272" s="398">
        <f t="shared" si="273"/>
        <v>75.676933607118414</v>
      </c>
      <c r="E272" s="25">
        <f>IF(C272&gt;$B$7,0,'Combined Retirement'!$D$13/12)</f>
        <v>0</v>
      </c>
      <c r="F272" s="25">
        <f>IF(H272=0,'Combined Retirement'!$D$32,0)+'Combined Retirement'!$B$24</f>
        <v>2870.372285649099</v>
      </c>
      <c r="G272" s="25">
        <f>'Combined Retirement'!$C$24</f>
        <v>3254.2644699519233</v>
      </c>
      <c r="H272" s="25">
        <f>IF(B272&lt;62,0,'Combined Retirement'!$I$14)</f>
        <v>2345</v>
      </c>
      <c r="I272" s="25">
        <f>IF(C272&lt;62,0,'Combined Retirement'!$I$13)</f>
        <v>2420</v>
      </c>
      <c r="J272" s="25">
        <f t="shared" si="263"/>
        <v>7896.2379798201846</v>
      </c>
      <c r="K272" s="25">
        <f t="shared" si="264"/>
        <v>20367.195264578786</v>
      </c>
      <c r="L272" s="25"/>
      <c r="N272" s="25">
        <f>'Combined Retirement'!$C$18/12</f>
        <v>39153.069999999992</v>
      </c>
      <c r="O272" s="25">
        <f t="shared" si="265"/>
        <v>10889.636755601023</v>
      </c>
      <c r="P272" s="25">
        <f t="shared" si="266"/>
        <v>28263.43324439897</v>
      </c>
      <c r="Q272" s="25">
        <f t="array" aca="1" ref="Q272" ca="1">INDEX('Isaac 401k'!L:L,MATCH('Retirement Calculator'!A272,'Isaac 401k'!N:N,0),0)</f>
        <v>1907234.7025930698</v>
      </c>
      <c r="R272" s="25">
        <f t="array" aca="1" ref="R272" ca="1">INDEX('Lorri 401b'!L:L,MATCH('Retirement Calculator'!A272,'Lorri 401b'!N:N,0),0)</f>
        <v>4107770.2459446704</v>
      </c>
      <c r="S272" s="25">
        <f t="shared" ca="1" si="267"/>
        <v>6015004.9485377399</v>
      </c>
    </row>
    <row r="273" spans="1:19" ht="15.75" customHeight="1" x14ac:dyDescent="0.3">
      <c r="A273" s="37">
        <v>59262</v>
      </c>
      <c r="B273" s="398">
        <f t="shared" ref="B273:C273" si="274">($A273-B$9)/365.25</f>
        <v>80.372347707049968</v>
      </c>
      <c r="C273" s="398">
        <f t="shared" si="274"/>
        <v>75.761806981519513</v>
      </c>
      <c r="E273" s="25">
        <f>IF(C273&gt;$B$7,0,'Combined Retirement'!$D$13/12)</f>
        <v>0</v>
      </c>
      <c r="F273" s="25">
        <f>IF(H273=0,'Combined Retirement'!$D$32,0)+'Combined Retirement'!$B$24</f>
        <v>2870.372285649099</v>
      </c>
      <c r="G273" s="25">
        <f>'Combined Retirement'!$C$24</f>
        <v>3254.2644699519233</v>
      </c>
      <c r="H273" s="25">
        <f>IF(B273&lt;62,0,'Combined Retirement'!$I$14)</f>
        <v>2345</v>
      </c>
      <c r="I273" s="25">
        <f>IF(C273&lt;62,0,'Combined Retirement'!$I$13)</f>
        <v>2420</v>
      </c>
      <c r="J273" s="25">
        <f t="shared" si="263"/>
        <v>7896.2379798201846</v>
      </c>
      <c r="K273" s="25">
        <f t="shared" si="264"/>
        <v>20367.195264578786</v>
      </c>
      <c r="L273" s="25"/>
      <c r="N273" s="25">
        <f>'Combined Retirement'!$C$18/12</f>
        <v>39153.069999999992</v>
      </c>
      <c r="O273" s="25">
        <f t="shared" si="265"/>
        <v>10889.636755601023</v>
      </c>
      <c r="P273" s="25">
        <f t="shared" si="266"/>
        <v>28263.43324439897</v>
      </c>
      <c r="Q273" s="25">
        <f t="array" aca="1" ref="Q273" ca="1">INDEX('Isaac 401k'!L:L,MATCH('Retirement Calculator'!A273,'Isaac 401k'!N:N,0),0)</f>
        <v>1907252.3748824713</v>
      </c>
      <c r="R273" s="25">
        <f t="array" aca="1" ref="R273" ca="1">INDEX('Lorri 401b'!L:L,MATCH('Retirement Calculator'!A273,'Lorri 401b'!N:N,0),0)</f>
        <v>4104433.896724592</v>
      </c>
      <c r="S273" s="25">
        <f t="shared" ca="1" si="267"/>
        <v>6011686.2716070637</v>
      </c>
    </row>
    <row r="274" spans="1:19" ht="15.75" customHeight="1" x14ac:dyDescent="0.3">
      <c r="A274" s="37">
        <v>59292</v>
      </c>
      <c r="B274" s="398">
        <f t="shared" ref="B274:C274" si="275">($A274-B$9)/365.25</f>
        <v>80.454483230663925</v>
      </c>
      <c r="C274" s="398">
        <f t="shared" si="275"/>
        <v>75.843942505133469</v>
      </c>
      <c r="E274" s="25">
        <f>IF(C274&gt;$B$7,0,'Combined Retirement'!$D$13/12)</f>
        <v>0</v>
      </c>
      <c r="F274" s="25">
        <f>IF(H274=0,'Combined Retirement'!$D$32,0)+'Combined Retirement'!$B$24</f>
        <v>2870.372285649099</v>
      </c>
      <c r="G274" s="25">
        <f>'Combined Retirement'!$C$24</f>
        <v>3254.2644699519233</v>
      </c>
      <c r="H274" s="25">
        <f>IF(B274&lt;62,0,'Combined Retirement'!$I$14)</f>
        <v>2345</v>
      </c>
      <c r="I274" s="25">
        <f>IF(C274&lt;62,0,'Combined Retirement'!$I$13)</f>
        <v>2420</v>
      </c>
      <c r="J274" s="25">
        <f t="shared" si="263"/>
        <v>7896.2379798201846</v>
      </c>
      <c r="K274" s="25">
        <f t="shared" si="264"/>
        <v>20367.195264578786</v>
      </c>
      <c r="L274" s="25"/>
      <c r="N274" s="25">
        <f>'Combined Retirement'!$C$18/12</f>
        <v>39153.069999999992</v>
      </c>
      <c r="O274" s="25">
        <f t="shared" si="265"/>
        <v>10889.636755601023</v>
      </c>
      <c r="P274" s="25">
        <f t="shared" si="266"/>
        <v>28263.43324439897</v>
      </c>
      <c r="Q274" s="25">
        <f t="array" aca="1" ref="Q274" ca="1">INDEX('Isaac 401k'!L:L,MATCH('Retirement Calculator'!A274,'Isaac 401k'!N:N,0),0)</f>
        <v>1907270.1208064121</v>
      </c>
      <c r="R274" s="25">
        <f t="array" aca="1" ref="R274" ca="1">INDEX('Lorri 401b'!L:L,MATCH('Retirement Calculator'!A274,'Lorri 401b'!N:N,0),0)</f>
        <v>4101083.6460494297</v>
      </c>
      <c r="S274" s="25">
        <f t="shared" ca="1" si="267"/>
        <v>6008353.7668558415</v>
      </c>
    </row>
    <row r="275" spans="1:19" ht="15.75" customHeight="1" x14ac:dyDescent="0.3">
      <c r="A275" s="37">
        <v>59323</v>
      </c>
      <c r="B275" s="398">
        <f t="shared" ref="B275:C275" si="276">($A275-B$9)/365.25</f>
        <v>80.539356605065024</v>
      </c>
      <c r="C275" s="398">
        <f t="shared" si="276"/>
        <v>75.928815879534568</v>
      </c>
      <c r="E275" s="25">
        <f>IF(C275&gt;$B$7,0,'Combined Retirement'!$D$13/12)</f>
        <v>0</v>
      </c>
      <c r="F275" s="25">
        <f>IF(H275=0,'Combined Retirement'!$D$32,0)+'Combined Retirement'!$B$24</f>
        <v>2870.372285649099</v>
      </c>
      <c r="G275" s="25">
        <f>'Combined Retirement'!$C$24</f>
        <v>3254.2644699519233</v>
      </c>
      <c r="H275" s="25">
        <f>IF(B275&lt;62,0,'Combined Retirement'!$I$14)</f>
        <v>2345</v>
      </c>
      <c r="I275" s="25">
        <f>IF(C275&lt;62,0,'Combined Retirement'!$I$13)</f>
        <v>2420</v>
      </c>
      <c r="J275" s="25">
        <f t="shared" si="263"/>
        <v>7896.2379798201846</v>
      </c>
      <c r="K275" s="25">
        <f t="shared" si="264"/>
        <v>20367.195264578786</v>
      </c>
      <c r="L275" s="25"/>
      <c r="N275" s="25">
        <f>'Combined Retirement'!$C$18/12</f>
        <v>39153.069999999992</v>
      </c>
      <c r="O275" s="25">
        <f t="shared" si="265"/>
        <v>10889.636755601023</v>
      </c>
      <c r="P275" s="25">
        <f t="shared" si="266"/>
        <v>28263.43324439897</v>
      </c>
      <c r="Q275" s="25">
        <f t="array" aca="1" ref="Q275" ca="1">INDEX('Isaac 401k'!L:L,MATCH('Retirement Calculator'!A275,'Isaac 401k'!N:N,0),0)</f>
        <v>1907287.9406717026</v>
      </c>
      <c r="R275" s="25">
        <f t="array" aca="1" ref="R275" ca="1">INDEX('Lorri 401b'!L:L,MATCH('Retirement Calculator'!A275,'Lorri 401b'!N:N,0),0)</f>
        <v>4097719.4359964542</v>
      </c>
      <c r="S275" s="25">
        <f t="shared" ca="1" si="267"/>
        <v>6005007.3766681571</v>
      </c>
    </row>
    <row r="276" spans="1:19" ht="15.75" customHeight="1" x14ac:dyDescent="0.3">
      <c r="A276" s="37">
        <v>59353</v>
      </c>
      <c r="B276" s="398">
        <f t="shared" ref="B276:C276" si="277">($A276-B$9)/365.25</f>
        <v>80.62149212867898</v>
      </c>
      <c r="C276" s="398">
        <f t="shared" si="277"/>
        <v>76.010951403148525</v>
      </c>
      <c r="E276" s="25">
        <f>IF(C276&gt;$B$7,0,'Combined Retirement'!$D$13/12)</f>
        <v>0</v>
      </c>
      <c r="F276" s="25">
        <f>IF(H276=0,'Combined Retirement'!$D$32,0)+'Combined Retirement'!$B$24</f>
        <v>2870.372285649099</v>
      </c>
      <c r="G276" s="25">
        <f>'Combined Retirement'!$C$24</f>
        <v>3254.2644699519233</v>
      </c>
      <c r="H276" s="25">
        <f>IF(B276&lt;62,0,'Combined Retirement'!$I$14)</f>
        <v>2345</v>
      </c>
      <c r="I276" s="25">
        <f>IF(C276&lt;62,0,'Combined Retirement'!$I$13)</f>
        <v>2420</v>
      </c>
      <c r="J276" s="25">
        <f t="shared" si="263"/>
        <v>7896.2379798201846</v>
      </c>
      <c r="K276" s="25">
        <f t="shared" si="264"/>
        <v>20367.195264578786</v>
      </c>
      <c r="L276" s="25"/>
      <c r="N276" s="25">
        <f>'Combined Retirement'!$C$18/12</f>
        <v>39153.069999999992</v>
      </c>
      <c r="O276" s="25">
        <f t="shared" si="265"/>
        <v>10889.636755601023</v>
      </c>
      <c r="P276" s="25">
        <f t="shared" si="266"/>
        <v>28263.43324439897</v>
      </c>
      <c r="Q276" s="25">
        <f t="array" aca="1" ref="Q276" ca="1">INDEX('Isaac 401k'!L:L,MATCH('Retirement Calculator'!A276,'Isaac 401k'!N:N,0),0)</f>
        <v>1907305.8347864319</v>
      </c>
      <c r="R276" s="25">
        <f t="array" aca="1" ref="R276" ca="1">INDEX('Lorri 401b'!L:L,MATCH('Retirement Calculator'!A276,'Lorri 401b'!N:N,0),0)</f>
        <v>4094341.2084015915</v>
      </c>
      <c r="S276" s="25">
        <f t="shared" ca="1" si="267"/>
        <v>6001647.0431880234</v>
      </c>
    </row>
    <row r="277" spans="1:19" ht="15.75" customHeight="1" x14ac:dyDescent="0.3">
      <c r="A277" s="37">
        <v>59384</v>
      </c>
      <c r="B277" s="398">
        <f t="shared" ref="B277:C277" si="278">($A277-B$9)/365.25</f>
        <v>80.706365503080079</v>
      </c>
      <c r="C277" s="398">
        <f t="shared" si="278"/>
        <v>76.095824777549623</v>
      </c>
      <c r="E277" s="25">
        <f>IF(C277&gt;$B$7,0,'Combined Retirement'!$D$13/12)</f>
        <v>0</v>
      </c>
      <c r="F277" s="25">
        <f>IF(H277=0,'Combined Retirement'!$D$32,0)+'Combined Retirement'!$B$24</f>
        <v>2870.372285649099</v>
      </c>
      <c r="G277" s="25">
        <f>'Combined Retirement'!$C$24</f>
        <v>3254.2644699519233</v>
      </c>
      <c r="H277" s="25">
        <f>IF(B277&lt;62,0,'Combined Retirement'!$I$14)</f>
        <v>2345</v>
      </c>
      <c r="I277" s="25">
        <f>IF(C277&lt;62,0,'Combined Retirement'!$I$13)</f>
        <v>2420</v>
      </c>
      <c r="J277" s="25">
        <f t="shared" si="263"/>
        <v>7896.2379798201846</v>
      </c>
      <c r="K277" s="25">
        <f t="shared" si="264"/>
        <v>20367.195264578786</v>
      </c>
      <c r="L277" s="25"/>
      <c r="N277" s="25">
        <f>'Combined Retirement'!$C$18/12</f>
        <v>39153.069999999992</v>
      </c>
      <c r="O277" s="25">
        <f t="shared" si="265"/>
        <v>10889.636755601023</v>
      </c>
      <c r="P277" s="25">
        <f t="shared" si="266"/>
        <v>28263.43324439897</v>
      </c>
      <c r="Q277" s="25">
        <f t="array" aca="1" ref="Q277" ca="1">INDEX('Isaac 401k'!L:L,MATCH('Retirement Calculator'!A277,'Isaac 401k'!N:N,0),0)</f>
        <v>1907323.8034599726</v>
      </c>
      <c r="R277" s="25">
        <f t="array" aca="1" ref="R277" ca="1">INDEX('Lorri 401b'!L:L,MATCH('Retirement Calculator'!A277,'Lorri 401b'!N:N,0),0)</f>
        <v>4090948.9048584169</v>
      </c>
      <c r="S277" s="25">
        <f t="shared" ca="1" si="267"/>
        <v>5998272.70831839</v>
      </c>
    </row>
    <row r="278" spans="1:19" ht="15.75" customHeight="1" x14ac:dyDescent="0.3">
      <c r="A278" s="37">
        <v>59415</v>
      </c>
      <c r="B278" s="398">
        <f t="shared" ref="B278:C278" si="279">($A278-B$9)/365.25</f>
        <v>80.791238877481177</v>
      </c>
      <c r="C278" s="398">
        <f t="shared" si="279"/>
        <v>76.180698151950722</v>
      </c>
      <c r="E278" s="25">
        <f>IF(C278&gt;$B$7,0,'Combined Retirement'!$D$13/12)</f>
        <v>0</v>
      </c>
      <c r="F278" s="25">
        <f>IF(H278=0,'Combined Retirement'!$D$32,0)+'Combined Retirement'!$B$24</f>
        <v>2870.372285649099</v>
      </c>
      <c r="G278" s="25">
        <f>'Combined Retirement'!$C$24</f>
        <v>3254.2644699519233</v>
      </c>
      <c r="H278" s="25">
        <f>IF(B278&lt;62,0,'Combined Retirement'!$I$14)</f>
        <v>2345</v>
      </c>
      <c r="I278" s="25">
        <f>IF(C278&lt;62,0,'Combined Retirement'!$I$13)</f>
        <v>2420</v>
      </c>
      <c r="J278" s="25">
        <f t="shared" si="263"/>
        <v>7896.2379798201846</v>
      </c>
      <c r="K278" s="25">
        <f t="shared" si="264"/>
        <v>20367.195264578786</v>
      </c>
      <c r="L278" s="25"/>
      <c r="N278" s="25">
        <f>'Combined Retirement'!$C$18/12</f>
        <v>39153.069999999992</v>
      </c>
      <c r="O278" s="25">
        <f t="shared" si="265"/>
        <v>10889.636755601023</v>
      </c>
      <c r="P278" s="25">
        <f t="shared" si="266"/>
        <v>28263.43324439897</v>
      </c>
      <c r="Q278" s="25">
        <f t="array" aca="1" ref="Q278" ca="1">INDEX('Isaac 401k'!L:L,MATCH('Retirement Calculator'!A278,'Isaac 401k'!N:N,0),0)</f>
        <v>1907341.8470029864</v>
      </c>
      <c r="R278" s="25">
        <f t="array" aca="1" ref="R278" ca="1">INDEX('Lorri 401b'!L:L,MATCH('Retirement Calculator'!A278,'Lorri 401b'!N:N,0),0)</f>
        <v>4087542.4667171459</v>
      </c>
      <c r="S278" s="25">
        <f t="shared" ca="1" si="267"/>
        <v>5994884.3137201322</v>
      </c>
    </row>
    <row r="279" spans="1:19" ht="15.75" customHeight="1" x14ac:dyDescent="0.3">
      <c r="A279" s="37">
        <v>59445</v>
      </c>
      <c r="B279" s="398">
        <f t="shared" ref="B279:C279" si="280">($A279-B$9)/365.25</f>
        <v>80.873374401095134</v>
      </c>
      <c r="C279" s="398">
        <f t="shared" si="280"/>
        <v>76.262833675564679</v>
      </c>
      <c r="E279" s="25">
        <f>IF(C279&gt;$B$7,0,'Combined Retirement'!$D$13/12)</f>
        <v>0</v>
      </c>
      <c r="F279" s="25">
        <f>IF(H279=0,'Combined Retirement'!$D$32,0)+'Combined Retirement'!$B$24</f>
        <v>2870.372285649099</v>
      </c>
      <c r="G279" s="25">
        <f>'Combined Retirement'!$C$24</f>
        <v>3254.2644699519233</v>
      </c>
      <c r="H279" s="25">
        <f>IF(B279&lt;62,0,'Combined Retirement'!$I$14)</f>
        <v>2345</v>
      </c>
      <c r="I279" s="25">
        <f>IF(C279&lt;62,0,'Combined Retirement'!$I$13)</f>
        <v>2420</v>
      </c>
      <c r="J279" s="25">
        <f t="shared" si="263"/>
        <v>7896.2379798201846</v>
      </c>
      <c r="K279" s="25">
        <f t="shared" si="264"/>
        <v>20367.195264578786</v>
      </c>
      <c r="L279" s="25"/>
      <c r="N279" s="25">
        <f>'Combined Retirement'!$C$18/12</f>
        <v>39153.069999999992</v>
      </c>
      <c r="O279" s="25">
        <f t="shared" si="265"/>
        <v>10889.636755601023</v>
      </c>
      <c r="P279" s="25">
        <f t="shared" si="266"/>
        <v>28263.43324439897</v>
      </c>
      <c r="Q279" s="25">
        <f t="array" aca="1" ref="Q279" ca="1">INDEX('Isaac 401k'!L:L,MATCH('Retirement Calculator'!A279,'Isaac 401k'!N:N,0),0)</f>
        <v>1907359.9657274294</v>
      </c>
      <c r="R279" s="25">
        <f t="array" aca="1" ref="R279" ca="1">INDEX('Lorri 401b'!L:L,MATCH('Retirement Calculator'!A279,'Lorri 401b'!N:N,0),0)</f>
        <v>4084121.8350836192</v>
      </c>
      <c r="S279" s="25">
        <f t="shared" ca="1" si="267"/>
        <v>5991481.8008110486</v>
      </c>
    </row>
    <row r="280" spans="1:19" ht="15.75" customHeight="1" x14ac:dyDescent="0.3">
      <c r="A280" s="37">
        <v>59476</v>
      </c>
      <c r="B280" s="398">
        <f t="shared" ref="B280:C280" si="281">($A280-B$9)/365.25</f>
        <v>80.958247775496233</v>
      </c>
      <c r="C280" s="398">
        <f t="shared" si="281"/>
        <v>76.347707049965777</v>
      </c>
      <c r="E280" s="25">
        <f>IF(C280&gt;$B$7,0,'Combined Retirement'!$D$13/12)</f>
        <v>0</v>
      </c>
      <c r="F280" s="25">
        <f>IF(H280=0,'Combined Retirement'!$D$32,0)+'Combined Retirement'!$B$24</f>
        <v>2870.372285649099</v>
      </c>
      <c r="G280" s="25">
        <f>'Combined Retirement'!$C$24</f>
        <v>3254.2644699519233</v>
      </c>
      <c r="H280" s="25">
        <f>IF(B280&lt;62,0,'Combined Retirement'!$I$14)</f>
        <v>2345</v>
      </c>
      <c r="I280" s="25">
        <f>IF(C280&lt;62,0,'Combined Retirement'!$I$13)</f>
        <v>2420</v>
      </c>
      <c r="J280" s="25">
        <f t="shared" si="263"/>
        <v>7896.2379798201846</v>
      </c>
      <c r="K280" s="25">
        <f t="shared" si="264"/>
        <v>20367.195264578786</v>
      </c>
      <c r="L280" s="25"/>
      <c r="N280" s="25">
        <f>'Combined Retirement'!$C$18/12</f>
        <v>39153.069999999992</v>
      </c>
      <c r="O280" s="25">
        <f t="shared" si="265"/>
        <v>10889.636755601023</v>
      </c>
      <c r="P280" s="25">
        <f t="shared" si="266"/>
        <v>28263.43324439897</v>
      </c>
      <c r="Q280" s="25">
        <f t="array" aca="1" ref="Q280" ca="1">INDEX('Isaac 401k'!L:L,MATCH('Retirement Calculator'!A280,'Isaac 401k'!N:N,0),0)</f>
        <v>1907378.1599465576</v>
      </c>
      <c r="R280" s="25">
        <f t="array" aca="1" ref="R280" ca="1">INDEX('Lorri 401b'!L:L,MATCH('Retirement Calculator'!A280,'Lorri 401b'!N:N,0),0)</f>
        <v>4080686.9508182863</v>
      </c>
      <c r="S280" s="25">
        <f t="shared" ca="1" si="267"/>
        <v>5988065.1107648443</v>
      </c>
    </row>
    <row r="281" spans="1:19" ht="15.75" customHeight="1" x14ac:dyDescent="0.3">
      <c r="A281" s="37">
        <v>59506</v>
      </c>
      <c r="B281" s="398">
        <f t="shared" ref="B281:C281" si="282">($A281-B$9)/365.25</f>
        <v>81.040383299110204</v>
      </c>
      <c r="C281" s="398">
        <f t="shared" si="282"/>
        <v>76.429842573579734</v>
      </c>
      <c r="E281" s="25">
        <f>IF(C281&gt;$B$7,0,'Combined Retirement'!$D$13/12)</f>
        <v>0</v>
      </c>
      <c r="F281" s="25">
        <f>IF(H281=0,'Combined Retirement'!$D$32,0)+'Combined Retirement'!$B$24</f>
        <v>2870.372285649099</v>
      </c>
      <c r="G281" s="25">
        <f>'Combined Retirement'!$C$24</f>
        <v>3254.2644699519233</v>
      </c>
      <c r="H281" s="25">
        <f>IF(B281&lt;62,0,'Combined Retirement'!$I$14)</f>
        <v>2345</v>
      </c>
      <c r="I281" s="25">
        <f>IF(C281&lt;62,0,'Combined Retirement'!$I$13)</f>
        <v>2420</v>
      </c>
      <c r="J281" s="25">
        <f t="shared" si="263"/>
        <v>7896.2379798201846</v>
      </c>
      <c r="K281" s="25">
        <f t="shared" si="264"/>
        <v>20367.195264578786</v>
      </c>
      <c r="L281" s="25"/>
      <c r="N281" s="25">
        <f>'Combined Retirement'!$C$18/12</f>
        <v>39153.069999999992</v>
      </c>
      <c r="O281" s="25">
        <f t="shared" si="265"/>
        <v>10889.636755601023</v>
      </c>
      <c r="P281" s="25">
        <f t="shared" si="266"/>
        <v>28263.43324439897</v>
      </c>
      <c r="Q281" s="25">
        <f t="array" aca="1" ref="Q281" ca="1">INDEX('Isaac 401k'!L:L,MATCH('Retirement Calculator'!A281,'Isaac 401k'!N:N,0),0)</f>
        <v>1907396.4299749322</v>
      </c>
      <c r="R281" s="25">
        <f t="array" aca="1" ref="R281" ca="1">INDEX('Lorri 401b'!L:L,MATCH('Retirement Calculator'!A281,'Lorri 401b'!N:N,0),0)</f>
        <v>4077237.7545351814</v>
      </c>
      <c r="S281" s="25">
        <f t="shared" ca="1" si="267"/>
        <v>5984634.1845101137</v>
      </c>
    </row>
    <row r="282" spans="1:19" ht="15.75" customHeight="1" x14ac:dyDescent="0.3">
      <c r="A282" s="37">
        <v>59537</v>
      </c>
      <c r="B282" s="398">
        <f t="shared" ref="B282:C282" si="283">($A282-B$9)/365.25</f>
        <v>81.125256673511288</v>
      </c>
      <c r="C282" s="398">
        <f t="shared" si="283"/>
        <v>76.514715947980832</v>
      </c>
      <c r="E282" s="25">
        <f>IF(C282&gt;$B$7,0,'Combined Retirement'!$D$13/12)</f>
        <v>0</v>
      </c>
      <c r="F282" s="25">
        <f>IF(H282=0,'Combined Retirement'!$D$32,0)+'Combined Retirement'!$B$24</f>
        <v>2870.372285649099</v>
      </c>
      <c r="G282" s="25">
        <f>'Combined Retirement'!$C$24</f>
        <v>3254.2644699519233</v>
      </c>
      <c r="H282" s="25">
        <f>IF(B282&lt;62,0,'Combined Retirement'!$I$14)</f>
        <v>2345</v>
      </c>
      <c r="I282" s="25">
        <f>IF(C282&lt;62,0,'Combined Retirement'!$I$13)</f>
        <v>2420</v>
      </c>
      <c r="J282" s="25">
        <f t="shared" si="263"/>
        <v>7896.2379798201846</v>
      </c>
      <c r="K282" s="25">
        <f t="shared" si="264"/>
        <v>20367.195264578786</v>
      </c>
      <c r="L282" s="25"/>
      <c r="N282" s="25">
        <f>'Combined Retirement'!$C$18/12</f>
        <v>39153.069999999992</v>
      </c>
      <c r="O282" s="25">
        <f t="shared" si="265"/>
        <v>10889.636755601023</v>
      </c>
      <c r="P282" s="25">
        <f t="shared" si="266"/>
        <v>28263.43324439897</v>
      </c>
      <c r="Q282" s="25">
        <f t="array" aca="1" ref="Q282" ca="1">INDEX('Isaac 401k'!L:L,MATCH('Retirement Calculator'!A282,'Isaac 401k'!N:N,0),0)</f>
        <v>1907414.776128425</v>
      </c>
      <c r="R282" s="25">
        <f t="array" aca="1" ref="R282" ca="1">INDEX('Lorri 401b'!L:L,MATCH('Retirement Calculator'!A282,'Lorri 401b'!N:N,0),0)</f>
        <v>4073774.186600897</v>
      </c>
      <c r="S282" s="25">
        <f t="shared" ca="1" si="267"/>
        <v>5981188.9627293218</v>
      </c>
    </row>
    <row r="283" spans="1:19" ht="15.75" customHeight="1" x14ac:dyDescent="0.3">
      <c r="A283" s="37">
        <v>59568</v>
      </c>
      <c r="B283" s="398">
        <f t="shared" ref="B283:C283" si="284">($A283-B$9)/365.25</f>
        <v>81.210130047912386</v>
      </c>
      <c r="C283" s="398">
        <f t="shared" si="284"/>
        <v>76.599589322381931</v>
      </c>
      <c r="E283" s="25">
        <f>IF(C283&gt;$B$7,0,'Combined Retirement'!$D$13/12)</f>
        <v>0</v>
      </c>
      <c r="F283" s="25">
        <f>IF(H283=0,'Combined Retirement'!$D$32,0)+'Combined Retirement'!$B$24</f>
        <v>2870.372285649099</v>
      </c>
      <c r="G283" s="25">
        <f>'Combined Retirement'!$C$24</f>
        <v>3254.2644699519233</v>
      </c>
      <c r="H283" s="25">
        <f>IF(B283&lt;62,0,'Combined Retirement'!$I$14)</f>
        <v>2345</v>
      </c>
      <c r="I283" s="25">
        <f>IF(C283&lt;62,0,'Combined Retirement'!$I$13)</f>
        <v>2420</v>
      </c>
      <c r="J283" s="25">
        <f t="shared" si="263"/>
        <v>7896.2379798201846</v>
      </c>
      <c r="K283" s="25">
        <f t="shared" si="264"/>
        <v>20367.195264578786</v>
      </c>
      <c r="L283" s="25"/>
      <c r="N283" s="25">
        <f>'Combined Retirement'!$C$18/12</f>
        <v>39153.069999999992</v>
      </c>
      <c r="O283" s="25">
        <f t="shared" si="265"/>
        <v>10889.636755601023</v>
      </c>
      <c r="P283" s="25">
        <f t="shared" si="266"/>
        <v>28263.43324439897</v>
      </c>
      <c r="Q283" s="25">
        <f t="array" aca="1" ref="Q283" ca="1">INDEX('Isaac 401k'!L:L,MATCH('Retirement Calculator'!A283,'Isaac 401k'!N:N,0),0)</f>
        <v>1907433.198724224</v>
      </c>
      <c r="R283" s="25">
        <f t="array" aca="1" ref="R283" ca="1">INDEX('Lorri 401b'!L:L,MATCH('Retirement Calculator'!A283,'Lorri 401b'!N:N,0),0)</f>
        <v>4070296.187133553</v>
      </c>
      <c r="S283" s="25">
        <f t="shared" ca="1" si="267"/>
        <v>5977729.3858577767</v>
      </c>
    </row>
    <row r="284" spans="1:19" ht="15.75" customHeight="1" x14ac:dyDescent="0.3">
      <c r="A284" s="37">
        <v>59596</v>
      </c>
      <c r="B284" s="398">
        <f t="shared" ref="B284:C284" si="285">($A284-B$9)/365.25</f>
        <v>81.286789869952088</v>
      </c>
      <c r="C284" s="398">
        <f t="shared" si="285"/>
        <v>76.676249144421632</v>
      </c>
      <c r="E284" s="25">
        <f>IF(C284&gt;$B$7,0,'Combined Retirement'!$D$13/12)</f>
        <v>0</v>
      </c>
      <c r="F284" s="25">
        <f>IF(H284=0,'Combined Retirement'!$D$32,0)+'Combined Retirement'!$B$24</f>
        <v>2870.372285649099</v>
      </c>
      <c r="G284" s="25">
        <f>'Combined Retirement'!$C$24</f>
        <v>3254.2644699519233</v>
      </c>
      <c r="H284" s="25">
        <f>IF(B284&lt;62,0,'Combined Retirement'!$I$14)</f>
        <v>2345</v>
      </c>
      <c r="I284" s="25">
        <f>IF(C284&lt;62,0,'Combined Retirement'!$I$13)</f>
        <v>2420</v>
      </c>
      <c r="J284" s="25">
        <f t="shared" si="263"/>
        <v>7896.2379798201846</v>
      </c>
      <c r="K284" s="25">
        <f t="shared" si="264"/>
        <v>20367.195264578786</v>
      </c>
      <c r="L284" s="25"/>
      <c r="N284" s="25">
        <f>'Combined Retirement'!$C$18/12</f>
        <v>39153.069999999992</v>
      </c>
      <c r="O284" s="25">
        <f t="shared" si="265"/>
        <v>10889.636755601023</v>
      </c>
      <c r="P284" s="25">
        <f t="shared" si="266"/>
        <v>28263.43324439897</v>
      </c>
      <c r="Q284" s="25">
        <f t="array" aca="1" ref="Q284" ca="1">INDEX('Isaac 401k'!L:L,MATCH('Retirement Calculator'!A284,'Isaac 401k'!N:N,0),0)</f>
        <v>1907451.6980808389</v>
      </c>
      <c r="R284" s="25">
        <f t="array" aca="1" ref="R284" ca="1">INDEX('Lorri 401b'!L:L,MATCH('Retirement Calculator'!A284,'Lorri 401b'!N:N,0),0)</f>
        <v>4066803.6960017616</v>
      </c>
      <c r="S284" s="25">
        <f t="shared" ca="1" si="267"/>
        <v>5974255.3940826003</v>
      </c>
    </row>
    <row r="285" spans="1:19" ht="15.75" customHeight="1" x14ac:dyDescent="0.3">
      <c r="A285" s="37">
        <v>59627</v>
      </c>
      <c r="B285" s="398">
        <f t="shared" ref="B285:C285" si="286">($A285-B$9)/365.25</f>
        <v>81.371663244353186</v>
      </c>
      <c r="C285" s="398">
        <f t="shared" si="286"/>
        <v>76.761122518822731</v>
      </c>
      <c r="E285" s="25">
        <f>IF(C285&gt;$B$7,0,'Combined Retirement'!$D$13/12)</f>
        <v>0</v>
      </c>
      <c r="F285" s="25">
        <f>IF(H285=0,'Combined Retirement'!$D$32,0)+'Combined Retirement'!$B$24</f>
        <v>2870.372285649099</v>
      </c>
      <c r="G285" s="25">
        <f>'Combined Retirement'!$C$24</f>
        <v>3254.2644699519233</v>
      </c>
      <c r="H285" s="25">
        <f>IF(B285&lt;62,0,'Combined Retirement'!$I$14)</f>
        <v>2345</v>
      </c>
      <c r="I285" s="25">
        <f>IF(C285&lt;62,0,'Combined Retirement'!$I$13)</f>
        <v>2420</v>
      </c>
      <c r="J285" s="25">
        <f t="shared" si="263"/>
        <v>7896.2379798201846</v>
      </c>
      <c r="K285" s="25">
        <f t="shared" si="264"/>
        <v>20367.195264578786</v>
      </c>
      <c r="L285" s="25"/>
      <c r="N285" s="25">
        <f>'Combined Retirement'!$C$18/12</f>
        <v>39153.069999999992</v>
      </c>
      <c r="O285" s="25">
        <f t="shared" si="265"/>
        <v>10889.636755601023</v>
      </c>
      <c r="P285" s="25">
        <f t="shared" si="266"/>
        <v>28263.43324439897</v>
      </c>
      <c r="Q285" s="25">
        <f t="array" aca="1" ref="Q285" ca="1">INDEX('Isaac 401k'!L:L,MATCH('Retirement Calculator'!A285,'Isaac 401k'!N:N,0),0)</f>
        <v>1907470.2745181061</v>
      </c>
      <c r="R285" s="25">
        <f t="array" aca="1" ref="R285" ca="1">INDEX('Lorri 401b'!L:L,MATCH('Retirement Calculator'!A285,'Lorri 401b'!N:N,0),0)</f>
        <v>4063296.6528235879</v>
      </c>
      <c r="S285" s="25">
        <f t="shared" ca="1" si="267"/>
        <v>5970766.927341694</v>
      </c>
    </row>
    <row r="286" spans="1:19" ht="15.75" customHeight="1" x14ac:dyDescent="0.3">
      <c r="A286" s="37">
        <v>59657</v>
      </c>
      <c r="B286" s="398">
        <f t="shared" ref="B286:C286" si="287">($A286-B$9)/365.25</f>
        <v>81.453798767967143</v>
      </c>
      <c r="C286" s="398">
        <f t="shared" si="287"/>
        <v>76.843258042436688</v>
      </c>
      <c r="E286" s="25">
        <f>IF(C286&gt;$B$7,0,'Combined Retirement'!$D$13/12)</f>
        <v>0</v>
      </c>
      <c r="F286" s="25">
        <f>IF(H286=0,'Combined Retirement'!$D$32,0)+'Combined Retirement'!$B$24</f>
        <v>2870.372285649099</v>
      </c>
      <c r="G286" s="25">
        <f>'Combined Retirement'!$C$24</f>
        <v>3254.2644699519233</v>
      </c>
      <c r="H286" s="25">
        <f>IF(B286&lt;62,0,'Combined Retirement'!$I$14)</f>
        <v>2345</v>
      </c>
      <c r="I286" s="25">
        <f>IF(C286&lt;62,0,'Combined Retirement'!$I$13)</f>
        <v>2420</v>
      </c>
      <c r="J286" s="25">
        <f t="shared" si="263"/>
        <v>7896.2379798201846</v>
      </c>
      <c r="K286" s="25">
        <f t="shared" si="264"/>
        <v>20367.195264578786</v>
      </c>
      <c r="L286" s="25"/>
      <c r="N286" s="25">
        <f>'Combined Retirement'!$C$18/12</f>
        <v>39153.069999999992</v>
      </c>
      <c r="O286" s="25">
        <f t="shared" si="265"/>
        <v>10889.636755601023</v>
      </c>
      <c r="P286" s="25">
        <f t="shared" si="266"/>
        <v>28263.43324439897</v>
      </c>
      <c r="Q286" s="25">
        <f t="array" aca="1" ref="Q286" ca="1">INDEX('Isaac 401k'!L:L,MATCH('Retirement Calculator'!A286,'Isaac 401k'!N:N,0),0)</f>
        <v>1907488.9283571953</v>
      </c>
      <c r="R286" s="25">
        <f t="array" aca="1" ref="R286" ca="1">INDEX('Lorri 401b'!L:L,MATCH('Retirement Calculator'!A286,'Lorri 401b'!N:N,0),0)</f>
        <v>4059774.9969655052</v>
      </c>
      <c r="S286" s="25">
        <f t="shared" ca="1" si="267"/>
        <v>5967263.9253227003</v>
      </c>
    </row>
    <row r="287" spans="1:19" ht="15.75" customHeight="1" x14ac:dyDescent="0.3">
      <c r="A287" s="37">
        <v>59688</v>
      </c>
      <c r="B287" s="398">
        <f t="shared" ref="B287:C287" si="288">($A287-B$9)/365.25</f>
        <v>81.538672142368242</v>
      </c>
      <c r="C287" s="398">
        <f t="shared" si="288"/>
        <v>76.928131416837786</v>
      </c>
      <c r="E287" s="25">
        <f>IF(C287&gt;$B$7,0,'Combined Retirement'!$D$13/12)</f>
        <v>0</v>
      </c>
      <c r="F287" s="25">
        <f>IF(H287=0,'Combined Retirement'!$D$32,0)+'Combined Retirement'!$B$24</f>
        <v>2870.372285649099</v>
      </c>
      <c r="G287" s="25">
        <f>'Combined Retirement'!$C$24</f>
        <v>3254.2644699519233</v>
      </c>
      <c r="H287" s="25">
        <f>IF(B287&lt;62,0,'Combined Retirement'!$I$14)</f>
        <v>2345</v>
      </c>
      <c r="I287" s="25">
        <f>IF(C287&lt;62,0,'Combined Retirement'!$I$13)</f>
        <v>2420</v>
      </c>
      <c r="J287" s="25">
        <f t="shared" si="263"/>
        <v>7896.2379798201846</v>
      </c>
      <c r="K287" s="25">
        <f t="shared" si="264"/>
        <v>20367.195264578786</v>
      </c>
      <c r="L287" s="25"/>
      <c r="N287" s="25">
        <f>'Combined Retirement'!$C$18/12</f>
        <v>39153.069999999992</v>
      </c>
      <c r="O287" s="25">
        <f t="shared" si="265"/>
        <v>10889.636755601023</v>
      </c>
      <c r="P287" s="25">
        <f t="shared" si="266"/>
        <v>28263.43324439897</v>
      </c>
      <c r="Q287" s="25">
        <f t="array" aca="1" ref="Q287" ca="1">INDEX('Isaac 401k'!L:L,MATCH('Retirement Calculator'!A287,'Isaac 401k'!N:N,0),0)</f>
        <v>1907507.6599206142</v>
      </c>
      <c r="R287" s="25">
        <f t="array" aca="1" ref="R287" ca="1">INDEX('Lorri 401b'!L:L,MATCH('Retirement Calculator'!A287,'Lorri 401b'!N:N,0),0)</f>
        <v>4056238.667541347</v>
      </c>
      <c r="S287" s="25">
        <f t="shared" ca="1" si="267"/>
        <v>5963746.3274619617</v>
      </c>
    </row>
    <row r="288" spans="1:19" ht="15.75" customHeight="1" x14ac:dyDescent="0.3">
      <c r="A288" s="37">
        <v>59718</v>
      </c>
      <c r="B288" s="398">
        <f t="shared" ref="B288:C288" si="289">($A288-B$9)/365.25</f>
        <v>81.620807665982198</v>
      </c>
      <c r="C288" s="398">
        <f t="shared" si="289"/>
        <v>77.010266940451743</v>
      </c>
      <c r="E288" s="25">
        <f>IF(C288&gt;$B$7,0,'Combined Retirement'!$D$13/12)</f>
        <v>0</v>
      </c>
      <c r="F288" s="25">
        <f>IF(H288=0,'Combined Retirement'!$D$32,0)+'Combined Retirement'!$B$24</f>
        <v>2870.372285649099</v>
      </c>
      <c r="G288" s="25">
        <f>'Combined Retirement'!$C$24</f>
        <v>3254.2644699519233</v>
      </c>
      <c r="H288" s="25">
        <f>IF(B288&lt;62,0,'Combined Retirement'!$I$14)</f>
        <v>2345</v>
      </c>
      <c r="I288" s="25">
        <f>IF(C288&lt;62,0,'Combined Retirement'!$I$13)</f>
        <v>2420</v>
      </c>
      <c r="J288" s="25">
        <f t="shared" si="263"/>
        <v>7896.2379798201846</v>
      </c>
      <c r="K288" s="25">
        <f t="shared" si="264"/>
        <v>20367.195264578786</v>
      </c>
      <c r="L288" s="25"/>
      <c r="N288" s="25">
        <f>'Combined Retirement'!$C$18/12</f>
        <v>39153.069999999992</v>
      </c>
      <c r="O288" s="25">
        <f t="shared" si="265"/>
        <v>10889.636755601023</v>
      </c>
      <c r="P288" s="25">
        <f t="shared" si="266"/>
        <v>28263.43324439897</v>
      </c>
      <c r="Q288" s="25">
        <f t="array" aca="1" ref="Q288" ca="1">INDEX('Isaac 401k'!L:L,MATCH('Retirement Calculator'!A288,'Isaac 401k'!N:N,0),0)</f>
        <v>1907526.4695322139</v>
      </c>
      <c r="R288" s="25">
        <f t="array" aca="1" ref="R288" ca="1">INDEX('Lorri 401b'!L:L,MATCH('Retirement Calculator'!A288,'Lorri 401b'!N:N,0),0)</f>
        <v>4052687.6034112549</v>
      </c>
      <c r="S288" s="25">
        <f t="shared" ca="1" si="267"/>
        <v>5960214.0729434686</v>
      </c>
    </row>
    <row r="289" spans="1:19" ht="15.75" customHeight="1" x14ac:dyDescent="0.3">
      <c r="A289" s="37">
        <v>59749</v>
      </c>
      <c r="B289" s="398">
        <f t="shared" ref="B289:C289" si="290">($A289-B$9)/365.25</f>
        <v>81.705681040383297</v>
      </c>
      <c r="C289" s="398">
        <f t="shared" si="290"/>
        <v>77.095140314852841</v>
      </c>
      <c r="E289" s="25">
        <f>IF(C289&gt;$B$7,0,'Combined Retirement'!$D$13/12)</f>
        <v>0</v>
      </c>
      <c r="F289" s="25">
        <f>IF(H289=0,'Combined Retirement'!$D$32,0)+'Combined Retirement'!$B$24</f>
        <v>2870.372285649099</v>
      </c>
      <c r="G289" s="25">
        <f>'Combined Retirement'!$C$24</f>
        <v>3254.2644699519233</v>
      </c>
      <c r="H289" s="25">
        <f>IF(B289&lt;62,0,'Combined Retirement'!$I$14)</f>
        <v>2345</v>
      </c>
      <c r="I289" s="25">
        <f>IF(C289&lt;62,0,'Combined Retirement'!$I$13)</f>
        <v>2420</v>
      </c>
      <c r="J289" s="25">
        <f t="shared" si="263"/>
        <v>7896.2379798201846</v>
      </c>
      <c r="K289" s="25">
        <f t="shared" si="264"/>
        <v>20367.195264578786</v>
      </c>
      <c r="L289" s="25"/>
      <c r="N289" s="25">
        <f>'Combined Retirement'!$C$18/12</f>
        <v>39153.069999999992</v>
      </c>
      <c r="O289" s="25">
        <f t="shared" si="265"/>
        <v>10889.636755601023</v>
      </c>
      <c r="P289" s="25">
        <f t="shared" si="266"/>
        <v>28263.43324439897</v>
      </c>
      <c r="Q289" s="25">
        <f t="array" aca="1" ref="Q289" ca="1">INDEX('Isaac 401k'!L:L,MATCH('Retirement Calculator'!A289,'Isaac 401k'!N:N,0),0)</f>
        <v>1907545.3575171952</v>
      </c>
      <c r="R289" s="25">
        <f t="array" aca="1" ref="R289" ca="1">INDEX('Lorri 401b'!L:L,MATCH('Retirement Calculator'!A289,'Lorri 401b'!N:N,0),0)</f>
        <v>4049121.7431806205</v>
      </c>
      <c r="S289" s="25">
        <f t="shared" ca="1" si="267"/>
        <v>5956667.1006978154</v>
      </c>
    </row>
    <row r="290" spans="1:19" ht="15.75" customHeight="1" x14ac:dyDescent="0.3">
      <c r="A290" s="37">
        <v>59780</v>
      </c>
      <c r="B290" s="398">
        <f t="shared" ref="B290:C290" si="291">($A290-B$9)/365.25</f>
        <v>81.790554414784395</v>
      </c>
      <c r="C290" s="398">
        <f t="shared" si="291"/>
        <v>77.18001368925394</v>
      </c>
      <c r="E290" s="25">
        <f>IF(C290&gt;$B$7,0,'Combined Retirement'!$D$13/12)</f>
        <v>0</v>
      </c>
      <c r="F290" s="25">
        <f>IF(H290=0,'Combined Retirement'!$D$32,0)+'Combined Retirement'!$B$24</f>
        <v>2870.372285649099</v>
      </c>
      <c r="G290" s="25">
        <f>'Combined Retirement'!$C$24</f>
        <v>3254.2644699519233</v>
      </c>
      <c r="H290" s="25">
        <f>IF(B290&lt;62,0,'Combined Retirement'!$I$14)</f>
        <v>2345</v>
      </c>
      <c r="I290" s="25">
        <f>IF(C290&lt;62,0,'Combined Retirement'!$I$13)</f>
        <v>2420</v>
      </c>
      <c r="J290" s="25">
        <f t="shared" si="263"/>
        <v>7896.2379798201846</v>
      </c>
      <c r="K290" s="25">
        <f t="shared" si="264"/>
        <v>20367.195264578786</v>
      </c>
      <c r="L290" s="25"/>
      <c r="N290" s="25">
        <f>'Combined Retirement'!$C$18/12</f>
        <v>39153.069999999992</v>
      </c>
      <c r="O290" s="25">
        <f t="shared" si="265"/>
        <v>10889.636755601023</v>
      </c>
      <c r="P290" s="25">
        <f t="shared" si="266"/>
        <v>28263.43324439897</v>
      </c>
      <c r="Q290" s="25">
        <f t="array" aca="1" ref="Q290" ca="1">INDEX('Isaac 401k'!L:L,MATCH('Retirement Calculator'!A290,'Isaac 401k'!N:N,0),0)</f>
        <v>1907564.324202114</v>
      </c>
      <c r="R290" s="25">
        <f t="array" aca="1" ref="R290" ca="1">INDEX('Lorri 401b'!L:L,MATCH('Retirement Calculator'!A290,'Lorri 401b'!N:N,0),0)</f>
        <v>4045541.0251990254</v>
      </c>
      <c r="S290" s="25">
        <f t="shared" ca="1" si="267"/>
        <v>5953105.3494011397</v>
      </c>
    </row>
    <row r="291" spans="1:19" ht="15.75" customHeight="1" x14ac:dyDescent="0.3">
      <c r="A291" s="37">
        <v>59810</v>
      </c>
      <c r="B291" s="398">
        <f t="shared" ref="B291:C291" si="292">($A291-B$9)/365.25</f>
        <v>81.872689938398352</v>
      </c>
      <c r="C291" s="398">
        <f t="shared" si="292"/>
        <v>77.262149212867897</v>
      </c>
      <c r="E291" s="25">
        <f>IF(C291&gt;$B$7,0,'Combined Retirement'!$D$13/12)</f>
        <v>0</v>
      </c>
      <c r="F291" s="25">
        <f>IF(H291=0,'Combined Retirement'!$D$32,0)+'Combined Retirement'!$B$24</f>
        <v>2870.372285649099</v>
      </c>
      <c r="G291" s="25">
        <f>'Combined Retirement'!$C$24</f>
        <v>3254.2644699519233</v>
      </c>
      <c r="H291" s="25">
        <f>IF(B291&lt;62,0,'Combined Retirement'!$I$14)</f>
        <v>2345</v>
      </c>
      <c r="I291" s="25">
        <f>IF(C291&lt;62,0,'Combined Retirement'!$I$13)</f>
        <v>2420</v>
      </c>
      <c r="J291" s="25">
        <f t="shared" si="263"/>
        <v>7896.2379798201846</v>
      </c>
      <c r="K291" s="25">
        <f t="shared" si="264"/>
        <v>20367.195264578786</v>
      </c>
      <c r="L291" s="25"/>
      <c r="N291" s="25">
        <f>'Combined Retirement'!$C$18/12</f>
        <v>39153.069999999992</v>
      </c>
      <c r="O291" s="25">
        <f t="shared" si="265"/>
        <v>10889.636755601023</v>
      </c>
      <c r="P291" s="25">
        <f t="shared" si="266"/>
        <v>28263.43324439897</v>
      </c>
      <c r="Q291" s="25">
        <f t="array" aca="1" ref="Q291" ca="1">INDEX('Isaac 401k'!L:L,MATCH('Retirement Calculator'!A291,'Isaac 401k'!N:N,0),0)</f>
        <v>1907583.3699148868</v>
      </c>
      <c r="R291" s="25">
        <f t="array" aca="1" ref="R291" ca="1">INDEX('Lorri 401b'!L:L,MATCH('Retirement Calculator'!A291,'Lorri 401b'!N:N,0),0)</f>
        <v>4041945.3875591736</v>
      </c>
      <c r="S291" s="25">
        <f t="shared" ca="1" si="267"/>
        <v>5949528.7574740602</v>
      </c>
    </row>
    <row r="292" spans="1:19" ht="15.75" customHeight="1" x14ac:dyDescent="0.3">
      <c r="A292" s="37">
        <v>59841</v>
      </c>
      <c r="B292" s="398">
        <f t="shared" ref="B292:C292" si="293">($A292-B$9)/365.25</f>
        <v>81.957563312799451</v>
      </c>
      <c r="C292" s="398">
        <f t="shared" si="293"/>
        <v>77.347022587268995</v>
      </c>
      <c r="E292" s="25">
        <f>IF(C292&gt;$B$7,0,'Combined Retirement'!$D$13/12)</f>
        <v>0</v>
      </c>
      <c r="F292" s="25">
        <f>IF(H292=0,'Combined Retirement'!$D$32,0)+'Combined Retirement'!$B$24</f>
        <v>2870.372285649099</v>
      </c>
      <c r="G292" s="25">
        <f>'Combined Retirement'!$C$24</f>
        <v>3254.2644699519233</v>
      </c>
      <c r="H292" s="25">
        <f>IF(B292&lt;62,0,'Combined Retirement'!$I$14)</f>
        <v>2345</v>
      </c>
      <c r="I292" s="25">
        <f>IF(C292&lt;62,0,'Combined Retirement'!$I$13)</f>
        <v>2420</v>
      </c>
      <c r="J292" s="25">
        <f t="shared" si="263"/>
        <v>7896.2379798201846</v>
      </c>
      <c r="K292" s="25">
        <f t="shared" si="264"/>
        <v>20367.195264578786</v>
      </c>
      <c r="L292" s="25"/>
      <c r="N292" s="25">
        <f>'Combined Retirement'!$C$18/12</f>
        <v>39153.069999999992</v>
      </c>
      <c r="O292" s="25">
        <f t="shared" si="265"/>
        <v>10889.636755601023</v>
      </c>
      <c r="P292" s="25">
        <f t="shared" si="266"/>
        <v>28263.43324439897</v>
      </c>
      <c r="Q292" s="25">
        <f t="array" aca="1" ref="Q292" ca="1">INDEX('Isaac 401k'!L:L,MATCH('Retirement Calculator'!A292,'Isaac 401k'!N:N,0),0)</f>
        <v>1907602.494984796</v>
      </c>
      <c r="R292" s="25">
        <f t="array" aca="1" ref="R292" ca="1">INDEX('Lorri 401b'!L:L,MATCH('Retirement Calculator'!A292,'Lorri 401b'!N:N,0),0)</f>
        <v>4038334.7680958225</v>
      </c>
      <c r="S292" s="25">
        <f t="shared" ca="1" si="267"/>
        <v>5945937.2630806183</v>
      </c>
    </row>
    <row r="293" spans="1:19" ht="15.75" customHeight="1" x14ac:dyDescent="0.3">
      <c r="A293" s="37">
        <v>59871</v>
      </c>
      <c r="B293" s="398">
        <f t="shared" ref="B293:C293" si="294">($A293-B$9)/365.25</f>
        <v>82.039698836413422</v>
      </c>
      <c r="C293" s="398">
        <f t="shared" si="294"/>
        <v>77.429158110882952</v>
      </c>
      <c r="E293" s="25">
        <f>IF(C293&gt;$B$7,0,'Combined Retirement'!$D$13/12)</f>
        <v>0</v>
      </c>
      <c r="F293" s="25">
        <f>IF(H293=0,'Combined Retirement'!$D$32,0)+'Combined Retirement'!$B$24</f>
        <v>2870.372285649099</v>
      </c>
      <c r="G293" s="25">
        <f>'Combined Retirement'!$C$24</f>
        <v>3254.2644699519233</v>
      </c>
      <c r="H293" s="25">
        <f>IF(B293&lt;62,0,'Combined Retirement'!$I$14)</f>
        <v>2345</v>
      </c>
      <c r="I293" s="25">
        <f>IF(C293&lt;62,0,'Combined Retirement'!$I$13)</f>
        <v>2420</v>
      </c>
      <c r="J293" s="25">
        <f t="shared" si="263"/>
        <v>7896.2379798201846</v>
      </c>
      <c r="K293" s="25">
        <f t="shared" si="264"/>
        <v>20367.195264578786</v>
      </c>
      <c r="L293" s="25"/>
      <c r="N293" s="25">
        <f>'Combined Retirement'!$C$18/12</f>
        <v>39153.069999999992</v>
      </c>
      <c r="O293" s="25">
        <f t="shared" si="265"/>
        <v>10889.636755601023</v>
      </c>
      <c r="P293" s="25">
        <f t="shared" si="266"/>
        <v>28263.43324439897</v>
      </c>
      <c r="Q293" s="25">
        <f t="array" aca="1" ref="Q293" ca="1">INDEX('Isaac 401k'!L:L,MATCH('Retirement Calculator'!A293,'Isaac 401k'!N:N,0),0)</f>
        <v>1907621.6997424965</v>
      </c>
      <c r="R293" s="25">
        <f t="array" aca="1" ref="R293" ca="1">INDEX('Lorri 401b'!L:L,MATCH('Retirement Calculator'!A293,'Lorri 401b'!N:N,0),0)</f>
        <v>4034709.1043847073</v>
      </c>
      <c r="S293" s="25">
        <f t="shared" ca="1" si="267"/>
        <v>5942330.8041272033</v>
      </c>
    </row>
    <row r="294" spans="1:19" ht="15.75" customHeight="1" x14ac:dyDescent="0.3">
      <c r="A294" s="37">
        <v>59902</v>
      </c>
      <c r="B294" s="398">
        <f t="shared" ref="B294:C294" si="295">($A294-B$9)/365.25</f>
        <v>82.124572210814506</v>
      </c>
      <c r="C294" s="398">
        <f t="shared" si="295"/>
        <v>77.51403148528405</v>
      </c>
      <c r="E294" s="25">
        <f>IF(C294&gt;$B$7,0,'Combined Retirement'!$D$13/12)</f>
        <v>0</v>
      </c>
      <c r="F294" s="25">
        <f>IF(H294=0,'Combined Retirement'!$D$32,0)+'Combined Retirement'!$B$24</f>
        <v>2870.372285649099</v>
      </c>
      <c r="G294" s="25">
        <f>'Combined Retirement'!$C$24</f>
        <v>3254.2644699519233</v>
      </c>
      <c r="H294" s="25">
        <f>IF(B294&lt;62,0,'Combined Retirement'!$I$14)</f>
        <v>2345</v>
      </c>
      <c r="I294" s="25">
        <f>IF(C294&lt;62,0,'Combined Retirement'!$I$13)</f>
        <v>2420</v>
      </c>
      <c r="J294" s="25">
        <f t="shared" si="263"/>
        <v>7896.2379798201846</v>
      </c>
      <c r="K294" s="25">
        <f t="shared" si="264"/>
        <v>20367.195264578786</v>
      </c>
      <c r="L294" s="25"/>
      <c r="N294" s="25">
        <f>'Combined Retirement'!$C$18/12</f>
        <v>39153.069999999992</v>
      </c>
      <c r="O294" s="25">
        <f t="shared" si="265"/>
        <v>10889.636755601023</v>
      </c>
      <c r="P294" s="25">
        <f t="shared" si="266"/>
        <v>28263.43324439897</v>
      </c>
      <c r="Q294" s="25">
        <f t="array" aca="1" ref="Q294" ca="1">INDEX('Isaac 401k'!L:L,MATCH('Retirement Calculator'!A294,'Isaac 401k'!N:N,0),0)</f>
        <v>1907640.9845200207</v>
      </c>
      <c r="R294" s="25">
        <f t="array" aca="1" ref="R294" ca="1">INDEX('Lorri 401b'!L:L,MATCH('Retirement Calculator'!A294,'Lorri 401b'!N:N,0),0)</f>
        <v>4031068.3337414623</v>
      </c>
      <c r="S294" s="25">
        <f t="shared" ca="1" si="267"/>
        <v>5938709.3182614828</v>
      </c>
    </row>
    <row r="295" spans="1:19" ht="15.75" customHeight="1" x14ac:dyDescent="0.3">
      <c r="A295" s="37">
        <v>59933</v>
      </c>
      <c r="B295" s="398">
        <f t="shared" ref="B295:C295" si="296">($A295-B$9)/365.25</f>
        <v>82.209445585215605</v>
      </c>
      <c r="C295" s="398">
        <f t="shared" si="296"/>
        <v>77.598904859685149</v>
      </c>
      <c r="E295" s="25">
        <f>IF(C295&gt;$B$7,0,'Combined Retirement'!$D$13/12)</f>
        <v>0</v>
      </c>
      <c r="F295" s="25">
        <f>IF(H295=0,'Combined Retirement'!$D$32,0)+'Combined Retirement'!$B$24</f>
        <v>2870.372285649099</v>
      </c>
      <c r="G295" s="25">
        <f>'Combined Retirement'!$C$24</f>
        <v>3254.2644699519233</v>
      </c>
      <c r="H295" s="25">
        <f>IF(B295&lt;62,0,'Combined Retirement'!$I$14)</f>
        <v>2345</v>
      </c>
      <c r="I295" s="25">
        <f>IF(C295&lt;62,0,'Combined Retirement'!$I$13)</f>
        <v>2420</v>
      </c>
      <c r="J295" s="25">
        <f t="shared" si="263"/>
        <v>7896.2379798201846</v>
      </c>
      <c r="K295" s="25">
        <f t="shared" si="264"/>
        <v>20367.195264578786</v>
      </c>
      <c r="L295" s="25"/>
      <c r="N295" s="25">
        <f>'Combined Retirement'!$C$18/12</f>
        <v>39153.069999999992</v>
      </c>
      <c r="O295" s="25">
        <f t="shared" si="265"/>
        <v>10889.636755601023</v>
      </c>
      <c r="P295" s="25">
        <f t="shared" si="266"/>
        <v>28263.43324439897</v>
      </c>
      <c r="Q295" s="25">
        <f t="array" aca="1" ref="Q295" ca="1">INDEX('Isaac 401k'!L:L,MATCH('Retirement Calculator'!A295,'Isaac 401k'!N:N,0),0)</f>
        <v>1907660.3496507846</v>
      </c>
      <c r="R295" s="25">
        <f t="array" aca="1" ref="R295" ca="1">INDEX('Lorri 401b'!L:L,MATCH('Retirement Calculator'!A295,'Lorri 401b'!N:N,0),0)</f>
        <v>4027412.3932205373</v>
      </c>
      <c r="S295" s="25">
        <f t="shared" ca="1" si="267"/>
        <v>5935072.7428713217</v>
      </c>
    </row>
    <row r="296" spans="1:19" ht="15.75" customHeight="1" x14ac:dyDescent="0.3">
      <c r="A296" s="37">
        <v>59962</v>
      </c>
      <c r="B296" s="398">
        <f t="shared" ref="B296:C296" si="297">($A296-B$9)/365.25</f>
        <v>82.288843258042434</v>
      </c>
      <c r="C296" s="398">
        <f t="shared" si="297"/>
        <v>77.678302532511978</v>
      </c>
      <c r="E296" s="25">
        <f>IF(C296&gt;$B$7,0,'Combined Retirement'!$D$13/12)</f>
        <v>0</v>
      </c>
      <c r="F296" s="25">
        <f>IF(H296=0,'Combined Retirement'!$D$32,0)+'Combined Retirement'!$B$24</f>
        <v>2870.372285649099</v>
      </c>
      <c r="G296" s="25">
        <f>'Combined Retirement'!$C$24</f>
        <v>3254.2644699519233</v>
      </c>
      <c r="H296" s="25">
        <f>IF(B296&lt;62,0,'Combined Retirement'!$I$14)</f>
        <v>2345</v>
      </c>
      <c r="I296" s="25">
        <f>IF(C296&lt;62,0,'Combined Retirement'!$I$13)</f>
        <v>2420</v>
      </c>
      <c r="J296" s="25">
        <f t="shared" si="263"/>
        <v>7896.2379798201846</v>
      </c>
      <c r="K296" s="25">
        <f t="shared" si="264"/>
        <v>20367.195264578786</v>
      </c>
      <c r="L296" s="25"/>
      <c r="N296" s="25">
        <f>'Combined Retirement'!$C$18/12</f>
        <v>39153.069999999992</v>
      </c>
      <c r="O296" s="25">
        <f t="shared" si="265"/>
        <v>10889.636755601023</v>
      </c>
      <c r="P296" s="25">
        <f t="shared" si="266"/>
        <v>28263.43324439897</v>
      </c>
      <c r="Q296" s="25">
        <f t="array" aca="1" ref="Q296" ca="1">INDEX('Isaac 401k'!L:L,MATCH('Retirement Calculator'!A296,'Isaac 401k'!N:N,0),0)</f>
        <v>1907679.7954695935</v>
      </c>
      <c r="R296" s="25">
        <f t="array" aca="1" ref="R296" ca="1">INDEX('Lorri 401b'!L:L,MATCH('Retirement Calculator'!A296,'Lorri 401b'!N:N,0),0)</f>
        <v>4023741.2196141086</v>
      </c>
      <c r="S296" s="25">
        <f t="shared" ca="1" si="267"/>
        <v>5931421.0150837023</v>
      </c>
    </row>
    <row r="297" spans="1:19" ht="15.75" customHeight="1" x14ac:dyDescent="0.3">
      <c r="A297" s="37">
        <v>59993</v>
      </c>
      <c r="B297" s="398">
        <f t="shared" ref="B297:C297" si="298">($A297-B$9)/365.25</f>
        <v>82.373716632443532</v>
      </c>
      <c r="C297" s="398">
        <f t="shared" si="298"/>
        <v>77.763175906913077</v>
      </c>
      <c r="E297" s="25">
        <f>IF(C297&gt;$B$7,0,'Combined Retirement'!$D$13/12)</f>
        <v>0</v>
      </c>
      <c r="F297" s="25">
        <f>IF(H297=0,'Combined Retirement'!$D$32,0)+'Combined Retirement'!$B$24</f>
        <v>2870.372285649099</v>
      </c>
      <c r="G297" s="25">
        <f>'Combined Retirement'!$C$24</f>
        <v>3254.2644699519233</v>
      </c>
      <c r="H297" s="25">
        <f>IF(B297&lt;62,0,'Combined Retirement'!$I$14)</f>
        <v>2345</v>
      </c>
      <c r="I297" s="25">
        <f>IF(C297&lt;62,0,'Combined Retirement'!$I$13)</f>
        <v>2420</v>
      </c>
      <c r="J297" s="25">
        <f t="shared" si="263"/>
        <v>7896.2379798201846</v>
      </c>
      <c r="K297" s="25">
        <f t="shared" si="264"/>
        <v>20367.195264578786</v>
      </c>
      <c r="L297" s="25"/>
      <c r="N297" s="25">
        <f>'Combined Retirement'!$C$18/12</f>
        <v>39153.069999999992</v>
      </c>
      <c r="O297" s="25">
        <f t="shared" si="265"/>
        <v>10889.636755601023</v>
      </c>
      <c r="P297" s="25">
        <f t="shared" si="266"/>
        <v>28263.43324439897</v>
      </c>
      <c r="Q297" s="25">
        <f t="array" aca="1" ref="Q297" ca="1">INDEX('Isaac 401k'!L:L,MATCH('Retirement Calculator'!A297,'Isaac 401k'!N:N,0),0)</f>
        <v>1907699.3223126472</v>
      </c>
      <c r="R297" s="25">
        <f t="array" aca="1" ref="R297" ca="1">INDEX('Lorri 401b'!L:L,MATCH('Retirement Calculator'!A297,'Lorri 401b'!N:N,0),0)</f>
        <v>4020054.7494509863</v>
      </c>
      <c r="S297" s="25">
        <f t="shared" ca="1" si="267"/>
        <v>5927754.0717636338</v>
      </c>
    </row>
    <row r="298" spans="1:19" ht="15.75" customHeight="1" x14ac:dyDescent="0.3">
      <c r="A298" s="37">
        <v>60023</v>
      </c>
      <c r="B298" s="398">
        <f t="shared" ref="B298:C298" si="299">($A298-B$9)/365.25</f>
        <v>82.455852156057489</v>
      </c>
      <c r="C298" s="398">
        <f t="shared" si="299"/>
        <v>77.845311430527033</v>
      </c>
      <c r="E298" s="25">
        <f>IF(C298&gt;$B$7,0,'Combined Retirement'!$D$13/12)</f>
        <v>0</v>
      </c>
      <c r="F298" s="25">
        <f>IF(H298=0,'Combined Retirement'!$D$32,0)+'Combined Retirement'!$B$24</f>
        <v>2870.372285649099</v>
      </c>
      <c r="G298" s="25">
        <f>'Combined Retirement'!$C$24</f>
        <v>3254.2644699519233</v>
      </c>
      <c r="H298" s="25">
        <f>IF(B298&lt;62,0,'Combined Retirement'!$I$14)</f>
        <v>2345</v>
      </c>
      <c r="I298" s="25">
        <f>IF(C298&lt;62,0,'Combined Retirement'!$I$13)</f>
        <v>2420</v>
      </c>
      <c r="J298" s="25">
        <f t="shared" si="263"/>
        <v>7896.2379798201846</v>
      </c>
      <c r="K298" s="25">
        <f t="shared" si="264"/>
        <v>20367.195264578786</v>
      </c>
      <c r="L298" s="25"/>
      <c r="N298" s="25">
        <f>'Combined Retirement'!$C$18/12</f>
        <v>39153.069999999992</v>
      </c>
      <c r="O298" s="25">
        <f t="shared" si="265"/>
        <v>10889.636755601023</v>
      </c>
      <c r="P298" s="25">
        <f t="shared" si="266"/>
        <v>28263.43324439897</v>
      </c>
      <c r="Q298" s="25">
        <f t="array" aca="1" ref="Q298" ca="1">INDEX('Isaac 401k'!L:L,MATCH('Retirement Calculator'!A298,'Isaac 401k'!N:N,0),0)</f>
        <v>1907718.9305175471</v>
      </c>
      <c r="R298" s="25">
        <f t="array" aca="1" ref="R298" ca="1">INDEX('Lorri 401b'!L:L,MATCH('Retirement Calculator'!A298,'Lorri 401b'!N:N,0),0)</f>
        <v>4016352.9189955173</v>
      </c>
      <c r="S298" s="25">
        <f t="shared" ca="1" si="267"/>
        <v>5924071.8495130641</v>
      </c>
    </row>
    <row r="299" spans="1:19" ht="15.75" customHeight="1" x14ac:dyDescent="0.3">
      <c r="A299" s="37">
        <v>60054</v>
      </c>
      <c r="B299" s="398">
        <f t="shared" ref="B299:C299" si="300">($A299-B$9)/365.25</f>
        <v>82.540725530458587</v>
      </c>
      <c r="C299" s="398">
        <f t="shared" si="300"/>
        <v>77.930184804928132</v>
      </c>
      <c r="E299" s="25">
        <f>IF(C299&gt;$B$7,0,'Combined Retirement'!$D$13/12)</f>
        <v>0</v>
      </c>
      <c r="F299" s="25">
        <f>IF(H299=0,'Combined Retirement'!$D$32,0)+'Combined Retirement'!$B$24</f>
        <v>2870.372285649099</v>
      </c>
      <c r="G299" s="25">
        <f>'Combined Retirement'!$C$24</f>
        <v>3254.2644699519233</v>
      </c>
      <c r="H299" s="25">
        <f>IF(B299&lt;62,0,'Combined Retirement'!$I$14)</f>
        <v>2345</v>
      </c>
      <c r="I299" s="25">
        <f>IF(C299&lt;62,0,'Combined Retirement'!$I$13)</f>
        <v>2420</v>
      </c>
      <c r="J299" s="25">
        <f t="shared" si="263"/>
        <v>7896.2379798201846</v>
      </c>
      <c r="K299" s="25">
        <f t="shared" si="264"/>
        <v>20367.195264578786</v>
      </c>
      <c r="L299" s="25"/>
      <c r="N299" s="25">
        <f>'Combined Retirement'!$C$18/12</f>
        <v>39153.069999999992</v>
      </c>
      <c r="O299" s="25">
        <f t="shared" si="265"/>
        <v>10889.636755601023</v>
      </c>
      <c r="P299" s="25">
        <f t="shared" si="266"/>
        <v>28263.43324439897</v>
      </c>
      <c r="Q299" s="25">
        <f t="array" aca="1" ref="Q299" ca="1">INDEX('Isaac 401k'!L:L,MATCH('Retirement Calculator'!A299,'Isaac 401k'!N:N,0),0)</f>
        <v>1907738.6204233007</v>
      </c>
      <c r="R299" s="25">
        <f t="array" aca="1" ref="R299" ca="1">INDEX('Lorri 401b'!L:L,MATCH('Retirement Calculator'!A299,'Lorri 401b'!N:N,0),0)</f>
        <v>4012635.6642464842</v>
      </c>
      <c r="S299" s="25">
        <f t="shared" ca="1" si="267"/>
        <v>5920374.2846697848</v>
      </c>
    </row>
    <row r="300" spans="1:19" ht="15.75" customHeight="1" x14ac:dyDescent="0.3">
      <c r="A300" s="37">
        <v>60084</v>
      </c>
      <c r="B300" s="398">
        <f t="shared" ref="B300:C300" si="301">($A300-B$9)/365.25</f>
        <v>82.622861054072558</v>
      </c>
      <c r="C300" s="398">
        <f t="shared" si="301"/>
        <v>78.012320328542089</v>
      </c>
      <c r="E300" s="25">
        <f>IF(C300&gt;$B$7,0,'Combined Retirement'!$D$13/12)</f>
        <v>0</v>
      </c>
      <c r="F300" s="25">
        <f>IF(H300=0,'Combined Retirement'!$D$32,0)+'Combined Retirement'!$B$24</f>
        <v>2870.372285649099</v>
      </c>
      <c r="G300" s="25">
        <f>'Combined Retirement'!$C$24</f>
        <v>3254.2644699519233</v>
      </c>
      <c r="H300" s="25">
        <f>IF(B300&lt;62,0,'Combined Retirement'!$I$14)</f>
        <v>2345</v>
      </c>
      <c r="I300" s="25">
        <f>IF(C300&lt;62,0,'Combined Retirement'!$I$13)</f>
        <v>2420</v>
      </c>
      <c r="J300" s="25">
        <f t="shared" si="263"/>
        <v>7896.2379798201846</v>
      </c>
      <c r="K300" s="25">
        <f t="shared" si="264"/>
        <v>20367.195264578786</v>
      </c>
      <c r="L300" s="25"/>
      <c r="N300" s="25">
        <f>'Combined Retirement'!$C$18/12</f>
        <v>39153.069999999992</v>
      </c>
      <c r="O300" s="25">
        <f t="shared" si="265"/>
        <v>10889.636755601023</v>
      </c>
      <c r="P300" s="25">
        <f t="shared" si="266"/>
        <v>28263.43324439897</v>
      </c>
      <c r="Q300" s="25">
        <f t="array" aca="1" ref="Q300" ca="1">INDEX('Isaac 401k'!L:L,MATCH('Retirement Calculator'!A300,'Isaac 401k'!N:N,0),0)</f>
        <v>1907758.3923703283</v>
      </c>
      <c r="R300" s="25">
        <f t="array" aca="1" ref="R300" ca="1">INDEX('Lorri 401b'!L:L,MATCH('Retirement Calculator'!A300,'Lorri 401b'!N:N,0),0)</f>
        <v>4008902.9209359968</v>
      </c>
      <c r="S300" s="25">
        <f t="shared" ca="1" si="267"/>
        <v>5916661.3133063251</v>
      </c>
    </row>
    <row r="301" spans="1:19" ht="15.75" customHeight="1" x14ac:dyDescent="0.3">
      <c r="A301" s="37">
        <v>60115</v>
      </c>
      <c r="B301" s="398">
        <f t="shared" ref="B301:C301" si="302">($A301-B$9)/365.25</f>
        <v>82.707734428473643</v>
      </c>
      <c r="C301" s="398">
        <f t="shared" si="302"/>
        <v>78.097193702943187</v>
      </c>
      <c r="E301" s="25">
        <f>IF(C301&gt;$B$7,0,'Combined Retirement'!$D$13/12)</f>
        <v>0</v>
      </c>
      <c r="F301" s="25">
        <f>IF(H301=0,'Combined Retirement'!$D$32,0)+'Combined Retirement'!$B$24</f>
        <v>2870.372285649099</v>
      </c>
      <c r="G301" s="25">
        <f>'Combined Retirement'!$C$24</f>
        <v>3254.2644699519233</v>
      </c>
      <c r="H301" s="25">
        <f>IF(B301&lt;62,0,'Combined Retirement'!$I$14)</f>
        <v>2345</v>
      </c>
      <c r="I301" s="25">
        <f>IF(C301&lt;62,0,'Combined Retirement'!$I$13)</f>
        <v>2420</v>
      </c>
      <c r="J301" s="25">
        <f t="shared" si="263"/>
        <v>7896.2379798201846</v>
      </c>
      <c r="K301" s="25">
        <f t="shared" si="264"/>
        <v>20367.195264578786</v>
      </c>
      <c r="L301" s="25"/>
      <c r="N301" s="25">
        <f>'Combined Retirement'!$C$18/12</f>
        <v>39153.069999999992</v>
      </c>
      <c r="O301" s="25">
        <f t="shared" si="265"/>
        <v>10889.636755601023</v>
      </c>
      <c r="P301" s="25">
        <f t="shared" si="266"/>
        <v>28263.43324439897</v>
      </c>
      <c r="Q301" s="25">
        <f t="array" aca="1" ref="Q301" ca="1">INDEX('Isaac 401k'!L:L,MATCH('Retirement Calculator'!A301,'Isaac 401k'!N:N,0),0)</f>
        <v>1907778.2467004685</v>
      </c>
      <c r="R301" s="25">
        <f t="array" aca="1" ref="R301" ca="1">INDEX('Lorri 401b'!L:L,MATCH('Retirement Calculator'!A301,'Lorri 401b'!N:N,0),0)</f>
        <v>4005154.6245283824</v>
      </c>
      <c r="S301" s="25">
        <f t="shared" ca="1" si="267"/>
        <v>5912932.8712288514</v>
      </c>
    </row>
    <row r="302" spans="1:19" ht="15.75" customHeight="1" x14ac:dyDescent="0.3">
      <c r="A302" s="37">
        <v>60146</v>
      </c>
      <c r="B302" s="398">
        <f t="shared" ref="B302:C302" si="303">($A302-B$9)/365.25</f>
        <v>82.792607802874741</v>
      </c>
      <c r="C302" s="398">
        <f t="shared" si="303"/>
        <v>78.182067077344286</v>
      </c>
      <c r="E302" s="25">
        <f>IF(C302&gt;$B$7,0,'Combined Retirement'!$D$13/12)</f>
        <v>0</v>
      </c>
      <c r="F302" s="25">
        <f>IF(H302=0,'Combined Retirement'!$D$32,0)+'Combined Retirement'!$B$24</f>
        <v>2870.372285649099</v>
      </c>
      <c r="G302" s="25">
        <f>'Combined Retirement'!$C$24</f>
        <v>3254.2644699519233</v>
      </c>
      <c r="H302" s="25">
        <f>IF(B302&lt;62,0,'Combined Retirement'!$I$14)</f>
        <v>2345</v>
      </c>
      <c r="I302" s="25">
        <f>IF(C302&lt;62,0,'Combined Retirement'!$I$13)</f>
        <v>2420</v>
      </c>
      <c r="J302" s="25">
        <f t="shared" si="263"/>
        <v>7896.2379798201846</v>
      </c>
      <c r="K302" s="25">
        <f t="shared" si="264"/>
        <v>20367.195264578786</v>
      </c>
      <c r="L302" s="25"/>
      <c r="N302" s="25">
        <f>'Combined Retirement'!$C$18/12</f>
        <v>39153.069999999992</v>
      </c>
      <c r="O302" s="25">
        <f t="shared" si="265"/>
        <v>10889.636755601023</v>
      </c>
      <c r="P302" s="25">
        <f t="shared" si="266"/>
        <v>28263.43324439897</v>
      </c>
      <c r="Q302" s="25">
        <f t="array" aca="1" ref="Q302" ca="1">INDEX('Isaac 401k'!L:L,MATCH('Retirement Calculator'!A302,'Isaac 401k'!N:N,0),0)</f>
        <v>1907798.1837569843</v>
      </c>
      <c r="R302" s="25">
        <f t="array" aca="1" ref="R302" ca="1">INDEX('Lorri 401b'!L:L,MATCH('Retirement Calculator'!A302,'Lorri 401b'!N:N,0),0)</f>
        <v>4001390.7102190694</v>
      </c>
      <c r="S302" s="25">
        <f t="shared" ca="1" si="267"/>
        <v>5909188.8939760532</v>
      </c>
    </row>
    <row r="303" spans="1:19" ht="15.75" customHeight="1" x14ac:dyDescent="0.3">
      <c r="A303" s="37">
        <v>60176</v>
      </c>
      <c r="B303" s="398">
        <f t="shared" ref="B303:C303" si="304">($A303-B$9)/365.25</f>
        <v>82.874743326488712</v>
      </c>
      <c r="C303" s="398">
        <f t="shared" si="304"/>
        <v>78.264202600958242</v>
      </c>
      <c r="E303" s="25">
        <f>IF(C303&gt;$B$7,0,'Combined Retirement'!$D$13/12)</f>
        <v>0</v>
      </c>
      <c r="F303" s="25">
        <f>IF(H303=0,'Combined Retirement'!$D$32,0)+'Combined Retirement'!$B$24</f>
        <v>2870.372285649099</v>
      </c>
      <c r="G303" s="25">
        <f>'Combined Retirement'!$C$24</f>
        <v>3254.2644699519233</v>
      </c>
      <c r="H303" s="25">
        <f>IF(B303&lt;62,0,'Combined Retirement'!$I$14)</f>
        <v>2345</v>
      </c>
      <c r="I303" s="25">
        <f>IF(C303&lt;62,0,'Combined Retirement'!$I$13)</f>
        <v>2420</v>
      </c>
      <c r="J303" s="25">
        <f t="shared" si="263"/>
        <v>7896.2379798201846</v>
      </c>
      <c r="K303" s="25">
        <f t="shared" si="264"/>
        <v>20367.195264578786</v>
      </c>
      <c r="L303" s="25"/>
      <c r="N303" s="25">
        <f>'Combined Retirement'!$C$18/12</f>
        <v>39153.069999999992</v>
      </c>
      <c r="O303" s="25">
        <f t="shared" si="265"/>
        <v>10889.636755601023</v>
      </c>
      <c r="P303" s="25">
        <f t="shared" si="266"/>
        <v>28263.43324439897</v>
      </c>
      <c r="Q303" s="25">
        <f t="array" aca="1" ref="Q303" ca="1">INDEX('Isaac 401k'!L:L,MATCH('Retirement Calculator'!A303,'Isaac 401k'!N:N,0),0)</f>
        <v>1907818.203884569</v>
      </c>
      <c r="R303" s="25">
        <f t="array" aca="1" ref="R303" ca="1">INDEX('Lorri 401b'!L:L,MATCH('Retirement Calculator'!A303,'Lorri 401b'!N:N,0),0)</f>
        <v>3997611.1129334676</v>
      </c>
      <c r="S303" s="25">
        <f t="shared" ca="1" si="267"/>
        <v>5905429.3168180361</v>
      </c>
    </row>
    <row r="304" spans="1:19" ht="15.75" customHeight="1" x14ac:dyDescent="0.3">
      <c r="A304" s="37">
        <v>60207</v>
      </c>
      <c r="B304" s="398">
        <f t="shared" ref="B304:C304" si="305">($A304-B$9)/365.25</f>
        <v>82.959616700889796</v>
      </c>
      <c r="C304" s="398">
        <f t="shared" si="305"/>
        <v>78.349075975359341</v>
      </c>
      <c r="E304" s="25">
        <f>IF(C304&gt;$B$7,0,'Combined Retirement'!$D$13/12)</f>
        <v>0</v>
      </c>
      <c r="F304" s="25">
        <f>IF(H304=0,'Combined Retirement'!$D$32,0)+'Combined Retirement'!$B$24</f>
        <v>2870.372285649099</v>
      </c>
      <c r="G304" s="25">
        <f>'Combined Retirement'!$C$24</f>
        <v>3254.2644699519233</v>
      </c>
      <c r="H304" s="25">
        <f>IF(B304&lt;62,0,'Combined Retirement'!$I$14)</f>
        <v>2345</v>
      </c>
      <c r="I304" s="25">
        <f>IF(C304&lt;62,0,'Combined Retirement'!$I$13)</f>
        <v>2420</v>
      </c>
      <c r="J304" s="25">
        <f t="shared" si="263"/>
        <v>7896.2379798201846</v>
      </c>
      <c r="K304" s="25">
        <f t="shared" si="264"/>
        <v>20367.195264578786</v>
      </c>
      <c r="L304" s="25"/>
      <c r="N304" s="25">
        <f>'Combined Retirement'!$C$18/12</f>
        <v>39153.069999999992</v>
      </c>
      <c r="O304" s="25">
        <f t="shared" si="265"/>
        <v>10889.636755601023</v>
      </c>
      <c r="P304" s="25">
        <f t="shared" si="266"/>
        <v>28263.43324439897</v>
      </c>
      <c r="Q304" s="25">
        <f t="array" aca="1" ref="Q304" ca="1">INDEX('Isaac 401k'!L:L,MATCH('Retirement Calculator'!A304,'Isaac 401k'!N:N,0),0)</f>
        <v>1907838.3074293518</v>
      </c>
      <c r="R304" s="25">
        <f t="array" aca="1" ref="R304" ca="1">INDEX('Lorri 401b'!L:L,MATCH('Retirement Calculator'!A304,'Lorri 401b'!N:N,0),0)</f>
        <v>3993815.7673258423</v>
      </c>
      <c r="S304" s="25">
        <f t="shared" ca="1" si="267"/>
        <v>5901654.0747551937</v>
      </c>
    </row>
    <row r="305" spans="1:19" ht="15.75" customHeight="1" x14ac:dyDescent="0.3">
      <c r="A305" s="37">
        <v>60237</v>
      </c>
      <c r="B305" s="398">
        <f t="shared" ref="B305:C305" si="306">($A305-B$9)/365.25</f>
        <v>83.041752224503767</v>
      </c>
      <c r="C305" s="398">
        <f t="shared" si="306"/>
        <v>78.431211498973312</v>
      </c>
      <c r="E305" s="25">
        <f>IF(C305&gt;$B$7,0,'Combined Retirement'!$D$13/12)</f>
        <v>0</v>
      </c>
      <c r="F305" s="25">
        <f>IF(H305=0,'Combined Retirement'!$D$32,0)+'Combined Retirement'!$B$24</f>
        <v>2870.372285649099</v>
      </c>
      <c r="G305" s="25">
        <f>'Combined Retirement'!$C$24</f>
        <v>3254.2644699519233</v>
      </c>
      <c r="H305" s="25">
        <f>IF(B305&lt;62,0,'Combined Retirement'!$I$14)</f>
        <v>2345</v>
      </c>
      <c r="I305" s="25">
        <f>IF(C305&lt;62,0,'Combined Retirement'!$I$13)</f>
        <v>2420</v>
      </c>
      <c r="J305" s="25">
        <f t="shared" si="263"/>
        <v>7896.2379798201846</v>
      </c>
      <c r="K305" s="25">
        <f t="shared" si="264"/>
        <v>20367.195264578786</v>
      </c>
      <c r="L305" s="25"/>
      <c r="N305" s="25">
        <f>'Combined Retirement'!$C$18/12</f>
        <v>39153.069999999992</v>
      </c>
      <c r="O305" s="25">
        <f t="shared" si="265"/>
        <v>10889.636755601023</v>
      </c>
      <c r="P305" s="25">
        <f t="shared" si="266"/>
        <v>28263.43324439897</v>
      </c>
      <c r="Q305" s="25">
        <f t="array" aca="1" ref="Q305" ca="1">INDEX('Isaac 401k'!L:L,MATCH('Retirement Calculator'!A305,'Isaac 401k'!N:N,0),0)</f>
        <v>1907858.4947389048</v>
      </c>
      <c r="R305" s="25">
        <f t="array" aca="1" ref="R305" ca="1">INDEX('Lorri 401b'!L:L,MATCH('Retirement Calculator'!A305,'Lorri 401b'!N:N,0),0)</f>
        <v>3990004.6077781855</v>
      </c>
      <c r="S305" s="25">
        <f t="shared" ca="1" si="267"/>
        <v>5897863.1025170907</v>
      </c>
    </row>
    <row r="306" spans="1:19" ht="15.75" customHeight="1" x14ac:dyDescent="0.3">
      <c r="A306" s="37">
        <v>60268</v>
      </c>
      <c r="B306" s="398">
        <f t="shared" ref="B306:C306" si="307">($A306-B$9)/365.25</f>
        <v>83.126625598904866</v>
      </c>
      <c r="C306" s="398">
        <f t="shared" si="307"/>
        <v>78.516084873374396</v>
      </c>
      <c r="E306" s="25">
        <f>IF(C306&gt;$B$7,0,'Combined Retirement'!$D$13/12)</f>
        <v>0</v>
      </c>
      <c r="F306" s="25">
        <f>IF(H306=0,'Combined Retirement'!$D$32,0)+'Combined Retirement'!$B$24</f>
        <v>2870.372285649099</v>
      </c>
      <c r="G306" s="25">
        <f>'Combined Retirement'!$C$24</f>
        <v>3254.2644699519233</v>
      </c>
      <c r="H306" s="25">
        <f>IF(B306&lt;62,0,'Combined Retirement'!$I$14)</f>
        <v>2345</v>
      </c>
      <c r="I306" s="25">
        <f>IF(C306&lt;62,0,'Combined Retirement'!$I$13)</f>
        <v>2420</v>
      </c>
      <c r="J306" s="25">
        <f t="shared" si="263"/>
        <v>7896.2379798201846</v>
      </c>
      <c r="K306" s="25">
        <f t="shared" si="264"/>
        <v>20367.195264578786</v>
      </c>
      <c r="L306" s="25"/>
      <c r="N306" s="25">
        <f>'Combined Retirement'!$C$18/12</f>
        <v>39153.069999999992</v>
      </c>
      <c r="O306" s="25">
        <f t="shared" si="265"/>
        <v>10889.636755601023</v>
      </c>
      <c r="P306" s="25">
        <f t="shared" si="266"/>
        <v>28263.43324439897</v>
      </c>
      <c r="Q306" s="25">
        <f t="array" aca="1" ref="Q306" ca="1">INDEX('Isaac 401k'!L:L,MATCH('Retirement Calculator'!A306,'Isaac 401k'!N:N,0),0)</f>
        <v>1907878.7661622474</v>
      </c>
      <c r="R306" s="25">
        <f t="array" aca="1" ref="R306" ca="1">INDEX('Lorri 401b'!L:L,MATCH('Retirement Calculator'!A306,'Lorri 401b'!N:N,0),0)</f>
        <v>3986177.5683990801</v>
      </c>
      <c r="S306" s="25">
        <f t="shared" ca="1" si="267"/>
        <v>5894056.3345613275</v>
      </c>
    </row>
    <row r="307" spans="1:19" ht="15.75" customHeight="1" x14ac:dyDescent="0.3">
      <c r="A307" s="37">
        <v>60299</v>
      </c>
      <c r="B307" s="398">
        <f t="shared" ref="B307:C307" si="308">($A307-B$9)/365.25</f>
        <v>83.21149897330595</v>
      </c>
      <c r="C307" s="398">
        <f t="shared" si="308"/>
        <v>78.600958247775495</v>
      </c>
      <c r="E307" s="25">
        <f>IF(C307&gt;$B$7,0,'Combined Retirement'!$D$13/12)</f>
        <v>0</v>
      </c>
      <c r="F307" s="25">
        <f>IF(H307=0,'Combined Retirement'!$D$32,0)+'Combined Retirement'!$B$24</f>
        <v>2870.372285649099</v>
      </c>
      <c r="G307" s="25">
        <f>'Combined Retirement'!$C$24</f>
        <v>3254.2644699519233</v>
      </c>
      <c r="H307" s="25">
        <f>IF(B307&lt;62,0,'Combined Retirement'!$I$14)</f>
        <v>2345</v>
      </c>
      <c r="I307" s="25">
        <f>IF(C307&lt;62,0,'Combined Retirement'!$I$13)</f>
        <v>2420</v>
      </c>
      <c r="J307" s="25">
        <f t="shared" si="263"/>
        <v>7896.2379798201846</v>
      </c>
      <c r="K307" s="25">
        <f t="shared" si="264"/>
        <v>20367.195264578786</v>
      </c>
      <c r="L307" s="25"/>
      <c r="N307" s="25">
        <f>'Combined Retirement'!$C$18/12</f>
        <v>39153.069999999992</v>
      </c>
      <c r="O307" s="25">
        <f t="shared" si="265"/>
        <v>10889.636755601023</v>
      </c>
      <c r="P307" s="25">
        <f t="shared" si="266"/>
        <v>28263.43324439897</v>
      </c>
      <c r="Q307" s="25">
        <f t="array" aca="1" ref="Q307" ca="1">INDEX('Isaac 401k'!L:L,MATCH('Retirement Calculator'!A307,'Isaac 401k'!N:N,0),0)</f>
        <v>1907899.1220498539</v>
      </c>
      <c r="R307" s="25">
        <f t="array" aca="1" ref="R307" ca="1">INDEX('Lorri 401b'!L:L,MATCH('Retirement Calculator'!A307,'Lorri 401b'!N:N,0),0)</f>
        <v>3982334.5830225619</v>
      </c>
      <c r="S307" s="25">
        <f t="shared" ca="1" si="267"/>
        <v>5890233.705072416</v>
      </c>
    </row>
    <row r="308" spans="1:19" ht="15.75" customHeight="1" x14ac:dyDescent="0.3">
      <c r="A308" s="37">
        <v>60327</v>
      </c>
      <c r="B308" s="398">
        <f t="shared" ref="B308:C308" si="309">($A308-B$9)/365.25</f>
        <v>83.288158795345652</v>
      </c>
      <c r="C308" s="398">
        <f t="shared" si="309"/>
        <v>78.677618069815196</v>
      </c>
      <c r="E308" s="25">
        <f>IF(C308&gt;$B$7,0,'Combined Retirement'!$D$13/12)</f>
        <v>0</v>
      </c>
      <c r="F308" s="25">
        <f>IF(H308=0,'Combined Retirement'!$D$32,0)+'Combined Retirement'!$B$24</f>
        <v>2870.372285649099</v>
      </c>
      <c r="G308" s="25">
        <f>'Combined Retirement'!$C$24</f>
        <v>3254.2644699519233</v>
      </c>
      <c r="H308" s="25">
        <f>IF(B308&lt;62,0,'Combined Retirement'!$I$14)</f>
        <v>2345</v>
      </c>
      <c r="I308" s="25">
        <f>IF(C308&lt;62,0,'Combined Retirement'!$I$13)</f>
        <v>2420</v>
      </c>
      <c r="J308" s="25">
        <f t="shared" si="263"/>
        <v>7896.2379798201846</v>
      </c>
      <c r="K308" s="25">
        <f t="shared" si="264"/>
        <v>20367.195264578786</v>
      </c>
      <c r="L308" s="25"/>
      <c r="N308" s="25">
        <f>'Combined Retirement'!$C$18/12</f>
        <v>39153.069999999992</v>
      </c>
      <c r="O308" s="25">
        <f t="shared" si="265"/>
        <v>10889.636755601023</v>
      </c>
      <c r="P308" s="25">
        <f t="shared" si="266"/>
        <v>28263.43324439897</v>
      </c>
      <c r="Q308" s="25">
        <f t="array" aca="1" ref="Q308" ca="1">INDEX('Isaac 401k'!L:L,MATCH('Retirement Calculator'!A308,'Isaac 401k'!N:N,0),0)</f>
        <v>1907919.5627536587</v>
      </c>
      <c r="R308" s="25">
        <f t="array" aca="1" ref="R308" ca="1">INDEX('Lorri 401b'!L:L,MATCH('Retirement Calculator'!A308,'Lorri 401b'!N:N,0),0)</f>
        <v>3978475.5852069748</v>
      </c>
      <c r="S308" s="25">
        <f t="shared" ca="1" si="267"/>
        <v>5886395.147960633</v>
      </c>
    </row>
    <row r="309" spans="1:19" ht="15.75" customHeight="1" x14ac:dyDescent="0.3">
      <c r="A309" s="37">
        <v>60358</v>
      </c>
      <c r="B309" s="398">
        <f t="shared" ref="B309:C309" si="310">($A309-B$9)/365.25</f>
        <v>83.37303216974675</v>
      </c>
      <c r="C309" s="398">
        <f t="shared" si="310"/>
        <v>78.762491444216295</v>
      </c>
      <c r="E309" s="25">
        <f>IF(C309&gt;$B$7,0,'Combined Retirement'!$D$13/12)</f>
        <v>0</v>
      </c>
      <c r="F309" s="25">
        <f>IF(H309=0,'Combined Retirement'!$D$32,0)+'Combined Retirement'!$B$24</f>
        <v>2870.372285649099</v>
      </c>
      <c r="G309" s="25">
        <f>'Combined Retirement'!$C$24</f>
        <v>3254.2644699519233</v>
      </c>
      <c r="H309" s="25">
        <f>IF(B309&lt;62,0,'Combined Retirement'!$I$14)</f>
        <v>2345</v>
      </c>
      <c r="I309" s="25">
        <f>IF(C309&lt;62,0,'Combined Retirement'!$I$13)</f>
        <v>2420</v>
      </c>
      <c r="J309" s="25">
        <f t="shared" si="263"/>
        <v>7896.2379798201846</v>
      </c>
      <c r="K309" s="25">
        <f t="shared" si="264"/>
        <v>20367.195264578786</v>
      </c>
      <c r="L309" s="25"/>
      <c r="N309" s="25">
        <f>'Combined Retirement'!$C$18/12</f>
        <v>39153.069999999992</v>
      </c>
      <c r="O309" s="25">
        <f t="shared" si="265"/>
        <v>10889.636755601023</v>
      </c>
      <c r="P309" s="25">
        <f t="shared" si="266"/>
        <v>28263.43324439897</v>
      </c>
      <c r="Q309" s="25">
        <f t="array" aca="1" ref="Q309" ca="1">INDEX('Isaac 401k'!L:L,MATCH('Retirement Calculator'!A309,'Isaac 401k'!N:N,0),0)</f>
        <v>1907940.0886270627</v>
      </c>
      <c r="R309" s="25">
        <f t="array" aca="1" ref="R309" ca="1">INDEX('Lorri 401b'!L:L,MATCH('Retirement Calculator'!A309,'Lorri 401b'!N:N,0),0)</f>
        <v>3974600.5082338224</v>
      </c>
      <c r="S309" s="25">
        <f t="shared" ca="1" si="267"/>
        <v>5882540.5968608856</v>
      </c>
    </row>
    <row r="310" spans="1:19" ht="15.75" customHeight="1" x14ac:dyDescent="0.3">
      <c r="A310" s="37">
        <v>60388</v>
      </c>
      <c r="B310" s="398">
        <f t="shared" ref="B310:C310" si="311">($A310-B$9)/365.25</f>
        <v>83.455167693360707</v>
      </c>
      <c r="C310" s="398">
        <f t="shared" si="311"/>
        <v>78.844626967830251</v>
      </c>
      <c r="E310" s="25">
        <f>IF(C310&gt;$B$7,0,'Combined Retirement'!$D$13/12)</f>
        <v>0</v>
      </c>
      <c r="F310" s="25">
        <f>IF(H310=0,'Combined Retirement'!$D$32,0)+'Combined Retirement'!$B$24</f>
        <v>2870.372285649099</v>
      </c>
      <c r="G310" s="25">
        <f>'Combined Retirement'!$C$24</f>
        <v>3254.2644699519233</v>
      </c>
      <c r="H310" s="25">
        <f>IF(B310&lt;62,0,'Combined Retirement'!$I$14)</f>
        <v>2345</v>
      </c>
      <c r="I310" s="25">
        <f>IF(C310&lt;62,0,'Combined Retirement'!$I$13)</f>
        <v>2420</v>
      </c>
      <c r="J310" s="25">
        <f t="shared" si="263"/>
        <v>7896.2379798201846</v>
      </c>
      <c r="K310" s="25">
        <f t="shared" si="264"/>
        <v>20367.195264578786</v>
      </c>
      <c r="L310" s="25"/>
      <c r="N310" s="25">
        <f>'Combined Retirement'!$C$18/12</f>
        <v>39153.069999999992</v>
      </c>
      <c r="O310" s="25">
        <f t="shared" si="265"/>
        <v>10889.636755601023</v>
      </c>
      <c r="P310" s="25">
        <f t="shared" si="266"/>
        <v>28263.43324439897</v>
      </c>
      <c r="Q310" s="25">
        <f t="array" aca="1" ref="Q310" ca="1">INDEX('Isaac 401k'!L:L,MATCH('Retirement Calculator'!A310,'Isaac 401k'!N:N,0),0)</f>
        <v>1907960.7000249394</v>
      </c>
      <c r="R310" s="25">
        <f t="array" aca="1" ref="R310" ca="1">INDEX('Lorri 401b'!L:L,MATCH('Retirement Calculator'!A310,'Lorri 401b'!N:N,0),0)</f>
        <v>3970709.2851066156</v>
      </c>
      <c r="S310" s="25">
        <f t="shared" ca="1" si="267"/>
        <v>5878669.9851315552</v>
      </c>
    </row>
    <row r="311" spans="1:19" ht="15.75" customHeight="1" x14ac:dyDescent="0.3">
      <c r="A311" s="37">
        <v>60419</v>
      </c>
      <c r="B311" s="398">
        <f t="shared" ref="B311:C311" si="312">($A311-B$9)/365.25</f>
        <v>83.540041067761805</v>
      </c>
      <c r="C311" s="398">
        <f t="shared" si="312"/>
        <v>78.92950034223135</v>
      </c>
      <c r="E311" s="25">
        <f>IF(C311&gt;$B$7,0,'Combined Retirement'!$D$13/12)</f>
        <v>0</v>
      </c>
      <c r="F311" s="25">
        <f>IF(H311=0,'Combined Retirement'!$D$32,0)+'Combined Retirement'!$B$24</f>
        <v>2870.372285649099</v>
      </c>
      <c r="G311" s="25">
        <f>'Combined Retirement'!$C$24</f>
        <v>3254.2644699519233</v>
      </c>
      <c r="H311" s="25">
        <f>IF(B311&lt;62,0,'Combined Retirement'!$I$14)</f>
        <v>2345</v>
      </c>
      <c r="I311" s="25">
        <f>IF(C311&lt;62,0,'Combined Retirement'!$I$13)</f>
        <v>2420</v>
      </c>
      <c r="J311" s="25">
        <f t="shared" si="263"/>
        <v>7896.2379798201846</v>
      </c>
      <c r="K311" s="25">
        <f t="shared" si="264"/>
        <v>20367.195264578786</v>
      </c>
      <c r="L311" s="25"/>
      <c r="N311" s="25">
        <f>'Combined Retirement'!$C$18/12</f>
        <v>39153.069999999992</v>
      </c>
      <c r="O311" s="25">
        <f t="shared" si="265"/>
        <v>10889.636755601023</v>
      </c>
      <c r="P311" s="25">
        <f t="shared" si="266"/>
        <v>28263.43324439897</v>
      </c>
      <c r="Q311" s="25">
        <f t="array" aca="1" ref="Q311" ca="1">INDEX('Isaac 401k'!L:L,MATCH('Retirement Calculator'!A311,'Isaac 401k'!N:N,0),0)</f>
        <v>1907981.3973036404</v>
      </c>
      <c r="R311" s="25">
        <f t="array" aca="1" ref="R311" ca="1">INDEX('Lorri 401b'!L:L,MATCH('Retirement Calculator'!A311,'Lorri 401b'!N:N,0),0)</f>
        <v>3966801.848549712</v>
      </c>
      <c r="S311" s="25">
        <f t="shared" ca="1" si="267"/>
        <v>5874783.2458533524</v>
      </c>
    </row>
    <row r="312" spans="1:19" ht="15.75" customHeight="1" x14ac:dyDescent="0.3">
      <c r="A312" s="37">
        <v>60449</v>
      </c>
      <c r="B312" s="398">
        <f t="shared" ref="B312:C312" si="313">($A312-B$9)/365.25</f>
        <v>83.622176591375776</v>
      </c>
      <c r="C312" s="398">
        <f t="shared" si="313"/>
        <v>79.011635865845307</v>
      </c>
      <c r="E312" s="25">
        <f>IF(C312&gt;$B$7,0,'Combined Retirement'!$D$13/12)</f>
        <v>0</v>
      </c>
      <c r="F312" s="25">
        <f>IF(H312=0,'Combined Retirement'!$D$32,0)+'Combined Retirement'!$B$24</f>
        <v>2870.372285649099</v>
      </c>
      <c r="G312" s="25">
        <f>'Combined Retirement'!$C$24</f>
        <v>3254.2644699519233</v>
      </c>
      <c r="H312" s="25">
        <f>IF(B312&lt;62,0,'Combined Retirement'!$I$14)</f>
        <v>2345</v>
      </c>
      <c r="I312" s="25">
        <f>IF(C312&lt;62,0,'Combined Retirement'!$I$13)</f>
        <v>2420</v>
      </c>
      <c r="J312" s="25">
        <f t="shared" si="263"/>
        <v>7896.2379798201846</v>
      </c>
      <c r="K312" s="25">
        <f t="shared" si="264"/>
        <v>20367.195264578786</v>
      </c>
      <c r="L312" s="25"/>
      <c r="N312" s="25">
        <f>'Combined Retirement'!$C$18/12</f>
        <v>39153.069999999992</v>
      </c>
      <c r="O312" s="25">
        <f t="shared" si="265"/>
        <v>10889.636755601023</v>
      </c>
      <c r="P312" s="25">
        <f t="shared" si="266"/>
        <v>28263.43324439897</v>
      </c>
      <c r="Q312" s="25">
        <f t="array" aca="1" ref="Q312" ca="1">INDEX('Isaac 401k'!L:L,MATCH('Retirement Calculator'!A312,'Isaac 401k'!N:N,0),0)</f>
        <v>1908002.1808210027</v>
      </c>
      <c r="R312" s="25">
        <f t="array" aca="1" ref="R312" ca="1">INDEX('Lorri 401b'!L:L,MATCH('Retirement Calculator'!A312,'Lorri 401b'!N:N,0),0)</f>
        <v>3962878.1310071545</v>
      </c>
      <c r="S312" s="25">
        <f t="shared" ca="1" si="267"/>
        <v>5870880.3118281569</v>
      </c>
    </row>
    <row r="313" spans="1:19" ht="15.75" customHeight="1" x14ac:dyDescent="0.3">
      <c r="A313" s="37">
        <v>60480</v>
      </c>
      <c r="B313" s="398">
        <f t="shared" ref="B313:C313" si="314">($A313-B$9)/365.25</f>
        <v>83.707049965776861</v>
      </c>
      <c r="C313" s="398">
        <f t="shared" si="314"/>
        <v>79.096509240246405</v>
      </c>
      <c r="E313" s="25">
        <f>IF(C313&gt;$B$7,0,'Combined Retirement'!$D$13/12)</f>
        <v>0</v>
      </c>
      <c r="F313" s="25">
        <f>IF(H313=0,'Combined Retirement'!$D$32,0)+'Combined Retirement'!$B$24</f>
        <v>2870.372285649099</v>
      </c>
      <c r="G313" s="25">
        <f>'Combined Retirement'!$C$24</f>
        <v>3254.2644699519233</v>
      </c>
      <c r="H313" s="25">
        <f>IF(B313&lt;62,0,'Combined Retirement'!$I$14)</f>
        <v>2345</v>
      </c>
      <c r="I313" s="25">
        <f>IF(C313&lt;62,0,'Combined Retirement'!$I$13)</f>
        <v>2420</v>
      </c>
      <c r="J313" s="25">
        <f t="shared" si="263"/>
        <v>7896.2379798201846</v>
      </c>
      <c r="K313" s="25">
        <f t="shared" si="264"/>
        <v>20367.195264578786</v>
      </c>
      <c r="L313" s="25"/>
      <c r="N313" s="25">
        <f>'Combined Retirement'!$C$18/12</f>
        <v>39153.069999999992</v>
      </c>
      <c r="O313" s="25">
        <f t="shared" si="265"/>
        <v>10889.636755601023</v>
      </c>
      <c r="P313" s="25">
        <f t="shared" si="266"/>
        <v>28263.43324439897</v>
      </c>
      <c r="Q313" s="25">
        <f t="array" aca="1" ref="Q313" ca="1">INDEX('Isaac 401k'!L:L,MATCH('Retirement Calculator'!A313,'Isaac 401k'!N:N,0),0)</f>
        <v>1908023.0509363541</v>
      </c>
      <c r="R313" s="25">
        <f t="array" aca="1" ref="R313" ca="1">INDEX('Lorri 401b'!L:L,MATCH('Retirement Calculator'!A313,'Lorri 401b'!N:N,0),0)</f>
        <v>3958938.0646415032</v>
      </c>
      <c r="S313" s="25">
        <f t="shared" ca="1" si="267"/>
        <v>5866961.115577857</v>
      </c>
    </row>
    <row r="314" spans="1:19" ht="15.75" customHeight="1" x14ac:dyDescent="0.3">
      <c r="A314" s="37">
        <v>60511</v>
      </c>
      <c r="B314" s="398">
        <f t="shared" ref="B314:C314" si="315">($A314-B$9)/365.25</f>
        <v>83.791923340177959</v>
      </c>
      <c r="C314" s="398">
        <f t="shared" si="315"/>
        <v>79.181382614647504</v>
      </c>
      <c r="E314" s="25">
        <f>IF(C314&gt;$B$7,0,'Combined Retirement'!$D$13/12)</f>
        <v>0</v>
      </c>
      <c r="F314" s="25">
        <f>IF(H314=0,'Combined Retirement'!$D$32,0)+'Combined Retirement'!$B$24</f>
        <v>2870.372285649099</v>
      </c>
      <c r="G314" s="25">
        <f>'Combined Retirement'!$C$24</f>
        <v>3254.2644699519233</v>
      </c>
      <c r="H314" s="25">
        <f>IF(B314&lt;62,0,'Combined Retirement'!$I$14)</f>
        <v>2345</v>
      </c>
      <c r="I314" s="25">
        <f>IF(C314&lt;62,0,'Combined Retirement'!$I$13)</f>
        <v>2420</v>
      </c>
      <c r="J314" s="25">
        <f t="shared" si="263"/>
        <v>7896.2379798201846</v>
      </c>
      <c r="K314" s="25">
        <f t="shared" si="264"/>
        <v>20367.195264578786</v>
      </c>
      <c r="L314" s="25"/>
      <c r="N314" s="25">
        <f>'Combined Retirement'!$C$18/12</f>
        <v>39153.069999999992</v>
      </c>
      <c r="O314" s="25">
        <f t="shared" si="265"/>
        <v>10889.636755601023</v>
      </c>
      <c r="P314" s="25">
        <f t="shared" si="266"/>
        <v>28263.43324439897</v>
      </c>
      <c r="Q314" s="25">
        <f t="array" aca="1" ref="Q314" ca="1">INDEX('Isaac 401k'!L:L,MATCH('Retirement Calculator'!A314,'Isaac 401k'!N:N,0),0)</f>
        <v>1908044.0080105194</v>
      </c>
      <c r="R314" s="25">
        <f t="array" aca="1" ref="R314" ca="1">INDEX('Lorri 401b'!L:L,MATCH('Retirement Calculator'!A314,'Lorri 401b'!N:N,0),0)</f>
        <v>3954981.5813326617</v>
      </c>
      <c r="S314" s="25">
        <f t="shared" ca="1" si="267"/>
        <v>5863025.5893431809</v>
      </c>
    </row>
    <row r="315" spans="1:19" ht="15.75" customHeight="1" x14ac:dyDescent="0.3">
      <c r="A315" s="37">
        <v>60541</v>
      </c>
      <c r="B315" s="398">
        <f t="shared" ref="B315:C315" si="316">($A315-B$9)/365.25</f>
        <v>83.87405886379193</v>
      </c>
      <c r="C315" s="398">
        <f t="shared" si="316"/>
        <v>79.26351813826146</v>
      </c>
      <c r="E315" s="25">
        <f>IF(C315&gt;$B$7,0,'Combined Retirement'!$D$13/12)</f>
        <v>0</v>
      </c>
      <c r="F315" s="25">
        <f>IF(H315=0,'Combined Retirement'!$D$32,0)+'Combined Retirement'!$B$24</f>
        <v>2870.372285649099</v>
      </c>
      <c r="G315" s="25">
        <f>'Combined Retirement'!$C$24</f>
        <v>3254.2644699519233</v>
      </c>
      <c r="H315" s="25">
        <f>IF(B315&lt;62,0,'Combined Retirement'!$I$14)</f>
        <v>2345</v>
      </c>
      <c r="I315" s="25">
        <f>IF(C315&lt;62,0,'Combined Retirement'!$I$13)</f>
        <v>2420</v>
      </c>
      <c r="J315" s="25">
        <f t="shared" si="263"/>
        <v>7896.2379798201846</v>
      </c>
      <c r="K315" s="25">
        <f t="shared" si="264"/>
        <v>20367.195264578786</v>
      </c>
      <c r="L315" s="25"/>
      <c r="N315" s="25">
        <f>'Combined Retirement'!$C$18/12</f>
        <v>39153.069999999992</v>
      </c>
      <c r="O315" s="25">
        <f t="shared" si="265"/>
        <v>10889.636755601023</v>
      </c>
      <c r="P315" s="25">
        <f t="shared" si="266"/>
        <v>28263.43324439897</v>
      </c>
      <c r="Q315" s="25">
        <f t="array" aca="1" ref="Q315" ca="1">INDEX('Isaac 401k'!L:L,MATCH('Retirement Calculator'!A315,'Isaac 401k'!N:N,0),0)</f>
        <v>1908065.0524058272</v>
      </c>
      <c r="R315" s="25">
        <f t="array" aca="1" ref="R315" ca="1">INDEX('Lorri 401b'!L:L,MATCH('Retirement Calculator'!A315,'Lorri 401b'!N:N,0),0)</f>
        <v>3951008.6126767001</v>
      </c>
      <c r="S315" s="25">
        <f t="shared" ca="1" si="267"/>
        <v>5859073.6650825273</v>
      </c>
    </row>
    <row r="316" spans="1:19" ht="15.75" customHeight="1" x14ac:dyDescent="0.3">
      <c r="A316" s="37">
        <v>60572</v>
      </c>
      <c r="B316" s="398">
        <f t="shared" ref="B316:C316" si="317">($A316-B$9)/365.25</f>
        <v>83.958932238193015</v>
      </c>
      <c r="C316" s="398">
        <f t="shared" si="317"/>
        <v>79.348391512662559</v>
      </c>
      <c r="E316" s="25">
        <f>IF(C316&gt;$B$7,0,'Combined Retirement'!$D$13/12)</f>
        <v>0</v>
      </c>
      <c r="F316" s="25">
        <f>IF(H316=0,'Combined Retirement'!$D$32,0)+'Combined Retirement'!$B$24</f>
        <v>2870.372285649099</v>
      </c>
      <c r="G316" s="25">
        <f>'Combined Retirement'!$C$24</f>
        <v>3254.2644699519233</v>
      </c>
      <c r="H316" s="25">
        <f>IF(B316&lt;62,0,'Combined Retirement'!$I$14)</f>
        <v>2345</v>
      </c>
      <c r="I316" s="25">
        <f>IF(C316&lt;62,0,'Combined Retirement'!$I$13)</f>
        <v>2420</v>
      </c>
      <c r="J316" s="25">
        <f t="shared" si="263"/>
        <v>7896.2379798201846</v>
      </c>
      <c r="K316" s="25">
        <f t="shared" si="264"/>
        <v>20367.195264578786</v>
      </c>
      <c r="L316" s="25"/>
      <c r="N316" s="25">
        <f>'Combined Retirement'!$C$18/12</f>
        <v>39153.069999999992</v>
      </c>
      <c r="O316" s="25">
        <f t="shared" si="265"/>
        <v>10889.636755601023</v>
      </c>
      <c r="P316" s="25">
        <f t="shared" si="266"/>
        <v>28263.43324439897</v>
      </c>
      <c r="Q316" s="25">
        <f t="array" aca="1" ref="Q316" ca="1">INDEX('Isaac 401k'!L:L,MATCH('Retirement Calculator'!A316,'Isaac 401k'!N:N,0),0)</f>
        <v>1908086.1844861154</v>
      </c>
      <c r="R316" s="25">
        <f t="array" aca="1" ref="R316" ca="1">INDEX('Lorri 401b'!L:L,MATCH('Retirement Calculator'!A316,'Lorri 401b'!N:N,0),0)</f>
        <v>3947019.0899846717</v>
      </c>
      <c r="S316" s="25">
        <f t="shared" ca="1" si="267"/>
        <v>5855105.2744707875</v>
      </c>
    </row>
    <row r="317" spans="1:19" ht="15.75" customHeight="1" x14ac:dyDescent="0.3">
      <c r="A317" s="37">
        <v>60602</v>
      </c>
      <c r="B317" s="398">
        <f t="shared" ref="B317:C317" si="318">($A317-B$9)/365.25</f>
        <v>84.041067761806985</v>
      </c>
      <c r="C317" s="398">
        <f t="shared" si="318"/>
        <v>79.43052703627653</v>
      </c>
      <c r="E317" s="25">
        <f>IF(C317&gt;$B$7,0,'Combined Retirement'!$D$13/12)</f>
        <v>0</v>
      </c>
      <c r="F317" s="25">
        <f>IF(H317=0,'Combined Retirement'!$D$32,0)+'Combined Retirement'!$B$24</f>
        <v>2870.372285649099</v>
      </c>
      <c r="G317" s="25">
        <f>'Combined Retirement'!$C$24</f>
        <v>3254.2644699519233</v>
      </c>
      <c r="H317" s="25">
        <f>IF(B317&lt;62,0,'Combined Retirement'!$I$14)</f>
        <v>2345</v>
      </c>
      <c r="I317" s="25">
        <f>IF(C317&lt;62,0,'Combined Retirement'!$I$13)</f>
        <v>2420</v>
      </c>
      <c r="J317" s="25">
        <f t="shared" si="263"/>
        <v>7896.2379798201846</v>
      </c>
      <c r="K317" s="25">
        <f t="shared" si="264"/>
        <v>20367.195264578786</v>
      </c>
      <c r="L317" s="25"/>
      <c r="N317" s="25">
        <f>'Combined Retirement'!$C$18/12</f>
        <v>39153.069999999992</v>
      </c>
      <c r="O317" s="25">
        <f t="shared" si="265"/>
        <v>10889.636755601023</v>
      </c>
      <c r="P317" s="25">
        <f t="shared" si="266"/>
        <v>28263.43324439897</v>
      </c>
      <c r="Q317" s="25">
        <f t="array" aca="1" ref="Q317" ca="1">INDEX('Isaac 401k'!L:L,MATCH('Retirement Calculator'!A317,'Isaac 401k'!N:N,0),0)</f>
        <v>1908107.404616738</v>
      </c>
      <c r="R317" s="25">
        <f t="array" aca="1" ref="R317" ca="1">INDEX('Lorri 401b'!L:L,MATCH('Retirement Calculator'!A317,'Lorri 401b'!N:N,0),0)</f>
        <v>3943012.9442814267</v>
      </c>
      <c r="S317" s="25">
        <f t="shared" ca="1" si="267"/>
        <v>5851120.3488981649</v>
      </c>
    </row>
    <row r="318" spans="1:19" ht="15.75" customHeight="1" x14ac:dyDescent="0.3">
      <c r="A318" s="37">
        <v>60633</v>
      </c>
      <c r="B318" s="398">
        <f t="shared" ref="B318:C318" si="319">($A318-B$9)/365.25</f>
        <v>84.12594113620807</v>
      </c>
      <c r="C318" s="398">
        <f t="shared" si="319"/>
        <v>79.515400410677614</v>
      </c>
      <c r="E318" s="25">
        <f>IF(C318&gt;$B$7,0,'Combined Retirement'!$D$13/12)</f>
        <v>0</v>
      </c>
      <c r="F318" s="25">
        <f>IF(H318=0,'Combined Retirement'!$D$32,0)+'Combined Retirement'!$B$24</f>
        <v>2870.372285649099</v>
      </c>
      <c r="G318" s="25">
        <f>'Combined Retirement'!$C$24</f>
        <v>3254.2644699519233</v>
      </c>
      <c r="H318" s="25">
        <f>IF(B318&lt;62,0,'Combined Retirement'!$I$14)</f>
        <v>2345</v>
      </c>
      <c r="I318" s="25">
        <f>IF(C318&lt;62,0,'Combined Retirement'!$I$13)</f>
        <v>2420</v>
      </c>
      <c r="J318" s="25">
        <f t="shared" si="263"/>
        <v>7896.2379798201846</v>
      </c>
      <c r="K318" s="25">
        <f t="shared" si="264"/>
        <v>20367.195264578786</v>
      </c>
      <c r="L318" s="25"/>
      <c r="N318" s="25">
        <f>'Combined Retirement'!$C$18/12</f>
        <v>39153.069999999992</v>
      </c>
      <c r="O318" s="25">
        <f t="shared" si="265"/>
        <v>10889.636755601023</v>
      </c>
      <c r="P318" s="25">
        <f t="shared" si="266"/>
        <v>28263.43324439897</v>
      </c>
      <c r="Q318" s="25">
        <f t="array" aca="1" ref="Q318" ca="1">INDEX('Isaac 401k'!L:L,MATCH('Retirement Calculator'!A318,'Isaac 401k'!N:N,0),0)</f>
        <v>1908128.7131645717</v>
      </c>
      <c r="R318" s="25">
        <f t="array" aca="1" ref="R318" ca="1">INDEX('Lorri 401b'!L:L,MATCH('Retirement Calculator'!A318,'Lorri 401b'!N:N,0),0)</f>
        <v>3938990.1063044183</v>
      </c>
      <c r="S318" s="25">
        <f t="shared" ca="1" si="267"/>
        <v>5847118.81946899</v>
      </c>
    </row>
    <row r="319" spans="1:19" ht="15.75" customHeight="1" x14ac:dyDescent="0.3">
      <c r="A319" s="37">
        <v>60664</v>
      </c>
      <c r="B319" s="398">
        <f t="shared" ref="B319:C319" si="320">($A319-B$9)/365.25</f>
        <v>84.210814510609168</v>
      </c>
      <c r="C319" s="398">
        <f t="shared" si="320"/>
        <v>79.600273785078713</v>
      </c>
      <c r="E319" s="25">
        <f>IF(C319&gt;$B$7,0,'Combined Retirement'!$D$13/12)</f>
        <v>0</v>
      </c>
      <c r="F319" s="25">
        <f>IF(H319=0,'Combined Retirement'!$D$32,0)+'Combined Retirement'!$B$24</f>
        <v>2870.372285649099</v>
      </c>
      <c r="G319" s="25">
        <f>'Combined Retirement'!$C$24</f>
        <v>3254.2644699519233</v>
      </c>
      <c r="H319" s="25">
        <f>IF(B319&lt;62,0,'Combined Retirement'!$I$14)</f>
        <v>2345</v>
      </c>
      <c r="I319" s="25">
        <f>IF(C319&lt;62,0,'Combined Retirement'!$I$13)</f>
        <v>2420</v>
      </c>
      <c r="J319" s="25">
        <f t="shared" si="263"/>
        <v>7896.2379798201846</v>
      </c>
      <c r="K319" s="25">
        <f t="shared" si="264"/>
        <v>20367.195264578786</v>
      </c>
      <c r="L319" s="25"/>
      <c r="N319" s="25">
        <f>'Combined Retirement'!$C$18/12</f>
        <v>39153.069999999992</v>
      </c>
      <c r="O319" s="25">
        <f t="shared" si="265"/>
        <v>10889.636755601023</v>
      </c>
      <c r="P319" s="25">
        <f t="shared" si="266"/>
        <v>28263.43324439897</v>
      </c>
      <c r="Q319" s="25">
        <f t="array" aca="1" ref="Q319" ca="1">INDEX('Isaac 401k'!L:L,MATCH('Retirement Calculator'!A319,'Isaac 401k'!N:N,0),0)</f>
        <v>1908150.1104980214</v>
      </c>
      <c r="R319" s="25">
        <f t="array" aca="1" ref="R319" ca="1">INDEX('Lorri 401b'!L:L,MATCH('Retirement Calculator'!A319,'Lorri 401b'!N:N,0),0)</f>
        <v>3934950.5065025054</v>
      </c>
      <c r="S319" s="25">
        <f t="shared" ca="1" si="267"/>
        <v>5843100.6170005267</v>
      </c>
    </row>
    <row r="320" spans="1:19" ht="15.75" customHeight="1" x14ac:dyDescent="0.3">
      <c r="A320" s="37">
        <v>60692</v>
      </c>
      <c r="B320" s="398">
        <f t="shared" ref="B320:C320" si="321">($A320-B$9)/365.25</f>
        <v>84.28747433264887</v>
      </c>
      <c r="C320" s="398">
        <f t="shared" si="321"/>
        <v>79.676933607118414</v>
      </c>
      <c r="E320" s="25">
        <f>IF(C320&gt;$B$7,0,'Combined Retirement'!$D$13/12)</f>
        <v>0</v>
      </c>
      <c r="F320" s="25">
        <f>IF(H320=0,'Combined Retirement'!$D$32,0)+'Combined Retirement'!$B$24</f>
        <v>2870.372285649099</v>
      </c>
      <c r="G320" s="25">
        <f>'Combined Retirement'!$C$24</f>
        <v>3254.2644699519233</v>
      </c>
      <c r="H320" s="25">
        <f>IF(B320&lt;62,0,'Combined Retirement'!$I$14)</f>
        <v>2345</v>
      </c>
      <c r="I320" s="25">
        <f>IF(C320&lt;62,0,'Combined Retirement'!$I$13)</f>
        <v>2420</v>
      </c>
      <c r="J320" s="25">
        <f t="shared" si="263"/>
        <v>7896.2379798201846</v>
      </c>
      <c r="K320" s="25">
        <f t="shared" si="264"/>
        <v>20367.195264578786</v>
      </c>
      <c r="L320" s="25"/>
      <c r="N320" s="25">
        <f>'Combined Retirement'!$C$18/12</f>
        <v>39153.069999999992</v>
      </c>
      <c r="O320" s="25">
        <f t="shared" si="265"/>
        <v>10889.636755601023</v>
      </c>
      <c r="P320" s="25">
        <f t="shared" si="266"/>
        <v>28263.43324439897</v>
      </c>
      <c r="Q320" s="25">
        <f t="array" aca="1" ref="Q320" ca="1">INDEX('Isaac 401k'!L:L,MATCH('Retirement Calculator'!A320,'Isaac 401k'!N:N,0),0)</f>
        <v>1908171.596987027</v>
      </c>
      <c r="R320" s="25">
        <f t="array" aca="1" ref="R320" ca="1">INDEX('Lorri 401b'!L:L,MATCH('Retirement Calculator'!A320,'Lorri 401b'!N:N,0),0)</f>
        <v>3930894.0750347511</v>
      </c>
      <c r="S320" s="25">
        <f t="shared" ca="1" si="267"/>
        <v>5839065.6720217783</v>
      </c>
    </row>
    <row r="321" spans="1:19" ht="15.75" customHeight="1" x14ac:dyDescent="0.3">
      <c r="A321" s="37">
        <v>60723</v>
      </c>
      <c r="B321" s="398">
        <f t="shared" ref="B321:C321" si="322">($A321-B$9)/365.25</f>
        <v>84.372347707049968</v>
      </c>
      <c r="C321" s="398">
        <f t="shared" si="322"/>
        <v>79.761806981519513</v>
      </c>
      <c r="E321" s="25">
        <f>IF(C321&gt;$B$7,0,'Combined Retirement'!$D$13/12)</f>
        <v>0</v>
      </c>
      <c r="F321" s="25">
        <f>IF(H321=0,'Combined Retirement'!$D$32,0)+'Combined Retirement'!$B$24</f>
        <v>2870.372285649099</v>
      </c>
      <c r="G321" s="25">
        <f>'Combined Retirement'!$C$24</f>
        <v>3254.2644699519233</v>
      </c>
      <c r="H321" s="25">
        <f>IF(B321&lt;62,0,'Combined Retirement'!$I$14)</f>
        <v>2345</v>
      </c>
      <c r="I321" s="25">
        <f>IF(C321&lt;62,0,'Combined Retirement'!$I$13)</f>
        <v>2420</v>
      </c>
      <c r="J321" s="25">
        <f t="shared" si="263"/>
        <v>7896.2379798201846</v>
      </c>
      <c r="K321" s="25">
        <f t="shared" si="264"/>
        <v>20367.195264578786</v>
      </c>
      <c r="L321" s="25"/>
      <c r="N321" s="25">
        <f>'Combined Retirement'!$C$18/12</f>
        <v>39153.069999999992</v>
      </c>
      <c r="O321" s="25">
        <f t="shared" si="265"/>
        <v>10889.636755601023</v>
      </c>
      <c r="P321" s="25">
        <f t="shared" si="266"/>
        <v>28263.43324439897</v>
      </c>
      <c r="Q321" s="25">
        <f t="array" aca="1" ref="Q321" ca="1">INDEX('Isaac 401k'!L:L,MATCH('Retirement Calculator'!A321,'Isaac 401k'!N:N,0),0)</f>
        <v>1908193.1730030701</v>
      </c>
      <c r="R321" s="25">
        <f t="array" aca="1" ref="R321" ca="1">INDEX('Lorri 401b'!L:L,MATCH('Retirement Calculator'!A321,'Lorri 401b'!N:N,0),0)</f>
        <v>3926820.7417692146</v>
      </c>
      <c r="S321" s="25">
        <f t="shared" ca="1" si="267"/>
        <v>5835013.9147722851</v>
      </c>
    </row>
    <row r="322" spans="1:19" ht="15.75" customHeight="1" x14ac:dyDescent="0.3">
      <c r="A322" s="37">
        <v>60753</v>
      </c>
      <c r="B322" s="398">
        <f t="shared" ref="B322:C322" si="323">($A322-B$9)/365.25</f>
        <v>84.454483230663925</v>
      </c>
      <c r="C322" s="398">
        <f t="shared" si="323"/>
        <v>79.843942505133469</v>
      </c>
      <c r="E322" s="25">
        <f>IF(C322&gt;$B$7,0,'Combined Retirement'!$D$13/12)</f>
        <v>0</v>
      </c>
      <c r="F322" s="25">
        <f>IF(H322=0,'Combined Retirement'!$D$32,0)+'Combined Retirement'!$B$24</f>
        <v>2870.372285649099</v>
      </c>
      <c r="G322" s="25">
        <f>'Combined Retirement'!$C$24</f>
        <v>3254.2644699519233</v>
      </c>
      <c r="H322" s="25">
        <f>IF(B322&lt;62,0,'Combined Retirement'!$I$14)</f>
        <v>2345</v>
      </c>
      <c r="I322" s="25">
        <f>IF(C322&lt;62,0,'Combined Retirement'!$I$13)</f>
        <v>2420</v>
      </c>
      <c r="J322" s="25">
        <f t="shared" si="263"/>
        <v>7896.2379798201846</v>
      </c>
      <c r="K322" s="25">
        <f t="shared" si="264"/>
        <v>20367.195264578786</v>
      </c>
      <c r="L322" s="25"/>
      <c r="N322" s="25">
        <f>'Combined Retirement'!$C$18/12</f>
        <v>39153.069999999992</v>
      </c>
      <c r="O322" s="25">
        <f t="shared" si="265"/>
        <v>10889.636755601023</v>
      </c>
      <c r="P322" s="25">
        <f t="shared" si="266"/>
        <v>28263.43324439897</v>
      </c>
      <c r="Q322" s="25">
        <f t="array" aca="1" ref="Q322" ca="1">INDEX('Isaac 401k'!L:L,MATCH('Retirement Calculator'!A322,'Isaac 401k'!N:N,0),0)</f>
        <v>1908214.83891918</v>
      </c>
      <c r="R322" s="25">
        <f t="array" aca="1" ref="R322" ca="1">INDEX('Lorri 401b'!L:L,MATCH('Retirement Calculator'!A322,'Lorri 401b'!N:N,0),0)</f>
        <v>3922730.4362817383</v>
      </c>
      <c r="S322" s="25">
        <f t="shared" ca="1" si="267"/>
        <v>5830945.2752009183</v>
      </c>
    </row>
    <row r="323" spans="1:19" ht="15.75" customHeight="1" x14ac:dyDescent="0.3">
      <c r="A323" s="37">
        <v>60784</v>
      </c>
      <c r="B323" s="398">
        <f t="shared" ref="B323:C323" si="324">($A323-B$9)/365.25</f>
        <v>84.539356605065024</v>
      </c>
      <c r="C323" s="398">
        <f t="shared" si="324"/>
        <v>79.928815879534568</v>
      </c>
      <c r="E323" s="25">
        <f>IF(C323&gt;$B$7,0,'Combined Retirement'!$D$13/12)</f>
        <v>0</v>
      </c>
      <c r="F323" s="25">
        <f>IF(H323=0,'Combined Retirement'!$D$32,0)+'Combined Retirement'!$B$24</f>
        <v>2870.372285649099</v>
      </c>
      <c r="G323" s="25">
        <f>'Combined Retirement'!$C$24</f>
        <v>3254.2644699519233</v>
      </c>
      <c r="H323" s="25">
        <f>IF(B323&lt;62,0,'Combined Retirement'!$I$14)</f>
        <v>2345</v>
      </c>
      <c r="I323" s="25">
        <f>IF(C323&lt;62,0,'Combined Retirement'!$I$13)</f>
        <v>2420</v>
      </c>
      <c r="J323" s="25">
        <f t="shared" si="263"/>
        <v>7896.2379798201846</v>
      </c>
      <c r="K323" s="25">
        <f t="shared" si="264"/>
        <v>20367.195264578786</v>
      </c>
      <c r="L323" s="25"/>
      <c r="N323" s="25">
        <f>'Combined Retirement'!$C$18/12</f>
        <v>39153.069999999992</v>
      </c>
      <c r="O323" s="25">
        <f t="shared" si="265"/>
        <v>10889.636755601023</v>
      </c>
      <c r="P323" s="25">
        <f t="shared" si="266"/>
        <v>28263.43324439897</v>
      </c>
      <c r="Q323" s="25">
        <f t="array" aca="1" ref="Q323" ca="1">INDEX('Isaac 401k'!L:L,MATCH('Retirement Calculator'!A323,'Isaac 401k'!N:N,0),0)</f>
        <v>1908236.5951099405</v>
      </c>
      <c r="R323" s="25">
        <f t="array" aca="1" ref="R323" ca="1">INDEX('Lorri 401b'!L:L,MATCH('Retirement Calculator'!A323,'Lorri 401b'!N:N,0),0)</f>
        <v>3918623.0878547309</v>
      </c>
      <c r="S323" s="25">
        <f t="shared" ca="1" si="267"/>
        <v>5826859.6829646714</v>
      </c>
    </row>
    <row r="324" spans="1:19" ht="15.75" customHeight="1" x14ac:dyDescent="0.3">
      <c r="A324" s="37">
        <v>60814</v>
      </c>
      <c r="B324" s="398">
        <f t="shared" ref="B324:C324" si="325">($A324-B$9)/365.25</f>
        <v>84.62149212867898</v>
      </c>
      <c r="C324" s="398">
        <f t="shared" si="325"/>
        <v>80.010951403148525</v>
      </c>
      <c r="E324" s="25">
        <f>IF(C324&gt;$B$7,0,'Combined Retirement'!$D$13/12)</f>
        <v>0</v>
      </c>
      <c r="F324" s="25">
        <f>IF(H324=0,'Combined Retirement'!$D$32,0)+'Combined Retirement'!$B$24</f>
        <v>2870.372285649099</v>
      </c>
      <c r="G324" s="25">
        <f>'Combined Retirement'!$C$24</f>
        <v>3254.2644699519233</v>
      </c>
      <c r="H324" s="25">
        <f>IF(B324&lt;62,0,'Combined Retirement'!$I$14)</f>
        <v>2345</v>
      </c>
      <c r="I324" s="25">
        <f>IF(C324&lt;62,0,'Combined Retirement'!$I$13)</f>
        <v>2420</v>
      </c>
      <c r="J324" s="25">
        <f t="shared" si="263"/>
        <v>7896.2379798201846</v>
      </c>
      <c r="K324" s="25">
        <f t="shared" si="264"/>
        <v>20367.195264578786</v>
      </c>
      <c r="L324" s="25"/>
      <c r="N324" s="25">
        <f>'Combined Retirement'!$C$18/12</f>
        <v>39153.069999999992</v>
      </c>
      <c r="O324" s="25">
        <f t="shared" si="265"/>
        <v>10889.636755601023</v>
      </c>
      <c r="P324" s="25">
        <f t="shared" si="266"/>
        <v>28263.43324439897</v>
      </c>
      <c r="Q324" s="25">
        <f t="array" aca="1" ref="Q324" ca="1">INDEX('Isaac 401k'!L:L,MATCH('Retirement Calculator'!A324,'Isaac 401k'!N:N,0),0)</f>
        <v>1908258.4419514958</v>
      </c>
      <c r="R324" s="25">
        <f t="array" aca="1" ref="R324" ca="1">INDEX('Lorri 401b'!L:L,MATCH('Retirement Calculator'!A324,'Lorri 401b'!N:N,0),0)</f>
        <v>3914498.6254759445</v>
      </c>
      <c r="S324" s="25">
        <f t="shared" ca="1" si="267"/>
        <v>5822757.0674274405</v>
      </c>
    </row>
    <row r="325" spans="1:19" ht="15.75" customHeight="1" x14ac:dyDescent="0.3">
      <c r="A325" s="37">
        <v>60845</v>
      </c>
      <c r="B325" s="398">
        <f t="shared" ref="B325:C325" si="326">($A325-B$9)/365.25</f>
        <v>84.706365503080079</v>
      </c>
      <c r="C325" s="398">
        <f t="shared" si="326"/>
        <v>80.095824777549623</v>
      </c>
      <c r="E325" s="25">
        <f>IF(C325&gt;$B$7,0,'Combined Retirement'!$D$13/12)</f>
        <v>0</v>
      </c>
      <c r="F325" s="25">
        <f>IF(H325=0,'Combined Retirement'!$D$32,0)+'Combined Retirement'!$B$24</f>
        <v>2870.372285649099</v>
      </c>
      <c r="G325" s="25">
        <f>'Combined Retirement'!$C$24</f>
        <v>3254.2644699519233</v>
      </c>
      <c r="H325" s="25">
        <f>IF(B325&lt;62,0,'Combined Retirement'!$I$14)</f>
        <v>2345</v>
      </c>
      <c r="I325" s="25">
        <f>IF(C325&lt;62,0,'Combined Retirement'!$I$13)</f>
        <v>2420</v>
      </c>
      <c r="J325" s="25">
        <f t="shared" si="263"/>
        <v>7896.2379798201846</v>
      </c>
      <c r="K325" s="25">
        <f t="shared" si="264"/>
        <v>20367.195264578786</v>
      </c>
      <c r="L325" s="25"/>
      <c r="N325" s="25">
        <f>'Combined Retirement'!$C$18/12</f>
        <v>39153.069999999992</v>
      </c>
      <c r="O325" s="25">
        <f t="shared" si="265"/>
        <v>10889.636755601023</v>
      </c>
      <c r="P325" s="25">
        <f t="shared" si="266"/>
        <v>28263.43324439897</v>
      </c>
      <c r="Q325" s="25">
        <f t="array" aca="1" ref="Q325" ca="1">INDEX('Isaac 401k'!L:L,MATCH('Retirement Calculator'!A325,'Isaac 401k'!N:N,0),0)</f>
        <v>1908280.3798215576</v>
      </c>
      <c r="R325" s="25">
        <f t="array" aca="1" ref="R325" ca="1">INDEX('Lorri 401b'!L:L,MATCH('Retirement Calculator'!A325,'Lorri 401b'!N:N,0),0)</f>
        <v>3910356.9778372464</v>
      </c>
      <c r="S325" s="25">
        <f t="shared" ca="1" si="267"/>
        <v>5818637.3576588035</v>
      </c>
    </row>
    <row r="326" spans="1:19" ht="15.75" customHeight="1" x14ac:dyDescent="0.3">
      <c r="A326" s="37">
        <v>60876</v>
      </c>
      <c r="B326" s="398">
        <f t="shared" ref="B326:C326" si="327">($A326-B$9)/365.25</f>
        <v>84.791238877481177</v>
      </c>
      <c r="C326" s="398">
        <f t="shared" si="327"/>
        <v>80.180698151950722</v>
      </c>
      <c r="E326" s="25">
        <f>IF(C326&gt;$B$7,0,'Combined Retirement'!$D$13/12)</f>
        <v>0</v>
      </c>
      <c r="F326" s="25">
        <f>IF(H326=0,'Combined Retirement'!$D$32,0)+'Combined Retirement'!$B$24</f>
        <v>2870.372285649099</v>
      </c>
      <c r="G326" s="25">
        <f>'Combined Retirement'!$C$24</f>
        <v>3254.2644699519233</v>
      </c>
      <c r="H326" s="25">
        <f>IF(B326&lt;62,0,'Combined Retirement'!$I$14)</f>
        <v>2345</v>
      </c>
      <c r="I326" s="25">
        <f>IF(C326&lt;62,0,'Combined Retirement'!$I$13)</f>
        <v>2420</v>
      </c>
      <c r="J326" s="25">
        <f t="shared" si="263"/>
        <v>7896.2379798201846</v>
      </c>
      <c r="K326" s="25">
        <f t="shared" si="264"/>
        <v>20367.195264578786</v>
      </c>
      <c r="L326" s="25"/>
      <c r="N326" s="25">
        <f>'Combined Retirement'!$C$18/12</f>
        <v>39153.069999999992</v>
      </c>
      <c r="O326" s="25">
        <f t="shared" si="265"/>
        <v>10889.636755601023</v>
      </c>
      <c r="P326" s="25">
        <f t="shared" si="266"/>
        <v>28263.43324439897</v>
      </c>
      <c r="Q326" s="25">
        <f t="array" aca="1" ref="Q326" ca="1">INDEX('Isaac 401k'!L:L,MATCH('Retirement Calculator'!A326,'Isaac 401k'!N:N,0),0)</f>
        <v>1908302.4090994112</v>
      </c>
      <c r="R326" s="25">
        <f t="array" aca="1" ref="R326" ca="1">INDEX('Lorri 401b'!L:L,MATCH('Retirement Calculator'!A326,'Lorri 401b'!N:N,0),0)</f>
        <v>3906198.0733333868</v>
      </c>
      <c r="S326" s="25">
        <f t="shared" ca="1" si="267"/>
        <v>5814500.4824327976</v>
      </c>
    </row>
    <row r="327" spans="1:19" ht="15.75" customHeight="1" x14ac:dyDescent="0.3">
      <c r="A327" s="37">
        <v>60906</v>
      </c>
      <c r="B327" s="398">
        <f t="shared" ref="B327:C327" si="328">($A327-B$9)/365.25</f>
        <v>84.873374401095134</v>
      </c>
      <c r="C327" s="398">
        <f t="shared" si="328"/>
        <v>80.262833675564679</v>
      </c>
      <c r="E327" s="25">
        <f>IF(C327&gt;$B$7,0,'Combined Retirement'!$D$13/12)</f>
        <v>0</v>
      </c>
      <c r="F327" s="25">
        <f>IF(H327=0,'Combined Retirement'!$D$32,0)+'Combined Retirement'!$B$24</f>
        <v>2870.372285649099</v>
      </c>
      <c r="G327" s="25">
        <f>'Combined Retirement'!$C$24</f>
        <v>3254.2644699519233</v>
      </c>
      <c r="H327" s="25">
        <f>IF(B327&lt;62,0,'Combined Retirement'!$I$14)</f>
        <v>2345</v>
      </c>
      <c r="I327" s="25">
        <f>IF(C327&lt;62,0,'Combined Retirement'!$I$13)</f>
        <v>2420</v>
      </c>
      <c r="J327" s="25">
        <f t="shared" si="263"/>
        <v>7896.2379798201846</v>
      </c>
      <c r="K327" s="25">
        <f t="shared" si="264"/>
        <v>20367.195264578786</v>
      </c>
      <c r="L327" s="25"/>
      <c r="N327" s="25">
        <f>'Combined Retirement'!$C$18/12</f>
        <v>39153.069999999992</v>
      </c>
      <c r="O327" s="25">
        <f t="shared" si="265"/>
        <v>10889.636755601023</v>
      </c>
      <c r="P327" s="25">
        <f t="shared" si="266"/>
        <v>28263.43324439897</v>
      </c>
      <c r="Q327" s="25">
        <f t="array" aca="1" ref="Q327" ca="1">INDEX('Isaac 401k'!L:L,MATCH('Retirement Calculator'!A327,'Isaac 401k'!N:N,0),0)</f>
        <v>1908324.5301659226</v>
      </c>
      <c r="R327" s="25">
        <f t="array" aca="1" ref="R327" ca="1">INDEX('Lorri 401b'!L:L,MATCH('Retirement Calculator'!A327,'Lorri 401b'!N:N,0),0)</f>
        <v>3902021.8400607612</v>
      </c>
      <c r="S327" s="25">
        <f t="shared" ca="1" si="267"/>
        <v>5810346.370226684</v>
      </c>
    </row>
    <row r="328" spans="1:19" ht="15.75" customHeight="1" x14ac:dyDescent="0.3">
      <c r="A328" s="37">
        <v>60937</v>
      </c>
      <c r="B328" s="398">
        <f t="shared" ref="B328:C328" si="329">($A328-B$9)/365.25</f>
        <v>84.958247775496233</v>
      </c>
      <c r="C328" s="398">
        <f t="shared" si="329"/>
        <v>80.347707049965777</v>
      </c>
      <c r="E328" s="25">
        <f>IF(C328&gt;$B$7,0,'Combined Retirement'!$D$13/12)</f>
        <v>0</v>
      </c>
      <c r="F328" s="25">
        <f>IF(H328=0,'Combined Retirement'!$D$32,0)+'Combined Retirement'!$B$24</f>
        <v>2870.372285649099</v>
      </c>
      <c r="G328" s="25">
        <f>'Combined Retirement'!$C$24</f>
        <v>3254.2644699519233</v>
      </c>
      <c r="H328" s="25">
        <f>IF(B328&lt;62,0,'Combined Retirement'!$I$14)</f>
        <v>2345</v>
      </c>
      <c r="I328" s="25">
        <f>IF(C328&lt;62,0,'Combined Retirement'!$I$13)</f>
        <v>2420</v>
      </c>
      <c r="J328" s="25">
        <f t="shared" si="263"/>
        <v>7896.2379798201846</v>
      </c>
      <c r="K328" s="25">
        <f t="shared" si="264"/>
        <v>20367.195264578786</v>
      </c>
      <c r="L328" s="25"/>
      <c r="N328" s="25">
        <f>'Combined Retirement'!$C$18/12</f>
        <v>39153.069999999992</v>
      </c>
      <c r="O328" s="25">
        <f t="shared" si="265"/>
        <v>10889.636755601023</v>
      </c>
      <c r="P328" s="25">
        <f t="shared" si="266"/>
        <v>28263.43324439897</v>
      </c>
      <c r="Q328" s="25">
        <f t="array" aca="1" ref="Q328" ca="1">INDEX('Isaac 401k'!L:L,MATCH('Retirement Calculator'!A328,'Isaac 401k'!N:N,0),0)</f>
        <v>1908346.7434035444</v>
      </c>
      <c r="R328" s="25">
        <f t="array" aca="1" ref="R328" ca="1">INDEX('Lorri 401b'!L:L,MATCH('Retirement Calculator'!A328,'Lorri 401b'!N:N,0),0)</f>
        <v>3897828.2058161665</v>
      </c>
      <c r="S328" s="25">
        <f t="shared" ca="1" si="267"/>
        <v>5806174.9492197111</v>
      </c>
    </row>
    <row r="329" spans="1:19" ht="15.75" customHeight="1" x14ac:dyDescent="0.3">
      <c r="A329" s="37">
        <v>60967</v>
      </c>
      <c r="B329" s="398">
        <f t="shared" ref="B329:C329" si="330">($A329-B$9)/365.25</f>
        <v>85.040383299110204</v>
      </c>
      <c r="C329" s="398">
        <f t="shared" si="330"/>
        <v>80.429842573579734</v>
      </c>
      <c r="E329" s="25">
        <f>IF(C329&gt;$B$7,0,'Combined Retirement'!$D$13/12)</f>
        <v>0</v>
      </c>
      <c r="F329" s="25">
        <f>IF(H329=0,'Combined Retirement'!$D$32,0)+'Combined Retirement'!$B$24</f>
        <v>2870.372285649099</v>
      </c>
      <c r="G329" s="25">
        <f>'Combined Retirement'!$C$24</f>
        <v>3254.2644699519233</v>
      </c>
      <c r="H329" s="25">
        <f>IF(B329&lt;62,0,'Combined Retirement'!$I$14)</f>
        <v>2345</v>
      </c>
      <c r="I329" s="25">
        <f>IF(C329&lt;62,0,'Combined Retirement'!$I$13)</f>
        <v>2420</v>
      </c>
      <c r="J329" s="25">
        <f t="shared" si="263"/>
        <v>7896.2379798201846</v>
      </c>
      <c r="K329" s="25">
        <f t="shared" si="264"/>
        <v>20367.195264578786</v>
      </c>
      <c r="L329" s="25"/>
      <c r="N329" s="25">
        <f>'Combined Retirement'!$C$18/12</f>
        <v>39153.069999999992</v>
      </c>
      <c r="O329" s="25">
        <f t="shared" si="265"/>
        <v>10889.636755601023</v>
      </c>
      <c r="P329" s="25">
        <f t="shared" si="266"/>
        <v>28263.43324439897</v>
      </c>
      <c r="Q329" s="25">
        <f t="array" aca="1" ref="Q329" ca="1">INDEX('Isaac 401k'!L:L,MATCH('Retirement Calculator'!A329,'Isaac 401k'!N:N,0),0)</f>
        <v>1908369.0491963231</v>
      </c>
      <c r="R329" s="25">
        <f t="array" aca="1" ref="R329" ca="1">INDEX('Lorri 401b'!L:L,MATCH('Retirement Calculator'!A329,'Lorri 401b'!N:N,0),0)</f>
        <v>3893617.0980955525</v>
      </c>
      <c r="S329" s="25">
        <f t="shared" ca="1" si="267"/>
        <v>5801986.1472918754</v>
      </c>
    </row>
    <row r="330" spans="1:19" ht="15.75" customHeight="1" x14ac:dyDescent="0.3">
      <c r="A330" s="37">
        <v>60998</v>
      </c>
      <c r="B330" s="398">
        <f t="shared" ref="B330:C330" si="331">($A330-B$9)/365.25</f>
        <v>85.125256673511288</v>
      </c>
      <c r="C330" s="398">
        <f t="shared" si="331"/>
        <v>80.514715947980832</v>
      </c>
      <c r="E330" s="25">
        <f>IF(C330&gt;$B$7,0,'Combined Retirement'!$D$13/12)</f>
        <v>0</v>
      </c>
      <c r="F330" s="25">
        <f>IF(H330=0,'Combined Retirement'!$D$32,0)+'Combined Retirement'!$B$24</f>
        <v>2870.372285649099</v>
      </c>
      <c r="G330" s="25">
        <f>'Combined Retirement'!$C$24</f>
        <v>3254.2644699519233</v>
      </c>
      <c r="H330" s="25">
        <f>IF(B330&lt;62,0,'Combined Retirement'!$I$14)</f>
        <v>2345</v>
      </c>
      <c r="I330" s="25">
        <f>IF(C330&lt;62,0,'Combined Retirement'!$I$13)</f>
        <v>2420</v>
      </c>
      <c r="J330" s="25">
        <f t="shared" si="263"/>
        <v>7896.2379798201846</v>
      </c>
      <c r="K330" s="25">
        <f t="shared" si="264"/>
        <v>20367.195264578786</v>
      </c>
      <c r="L330" s="25"/>
      <c r="N330" s="25">
        <f>'Combined Retirement'!$C$18/12</f>
        <v>39153.069999999992</v>
      </c>
      <c r="O330" s="25">
        <f t="shared" si="265"/>
        <v>10889.636755601023</v>
      </c>
      <c r="P330" s="25">
        <f t="shared" si="266"/>
        <v>28263.43324439897</v>
      </c>
      <c r="Q330" s="25">
        <f t="array" aca="1" ref="Q330" ca="1">INDEX('Isaac 401k'!L:L,MATCH('Retirement Calculator'!A330,'Isaac 401k'!N:N,0),0)</f>
        <v>1908391.447929905</v>
      </c>
      <c r="R330" s="25">
        <f t="array" aca="1" ref="R330" ca="1">INDEX('Lorri 401b'!L:L,MATCH('Retirement Calculator'!A330,'Lorri 401b'!N:N,0),0)</f>
        <v>3889388.4440927696</v>
      </c>
      <c r="S330" s="25">
        <f t="shared" ca="1" si="267"/>
        <v>5797779.8920226749</v>
      </c>
    </row>
    <row r="331" spans="1:19" ht="15.75" customHeight="1" x14ac:dyDescent="0.3">
      <c r="A331" s="37">
        <v>61029</v>
      </c>
      <c r="B331" s="398">
        <f t="shared" ref="B331:C331" si="332">($A331-B$9)/365.25</f>
        <v>85.210130047912386</v>
      </c>
      <c r="C331" s="398">
        <f t="shared" si="332"/>
        <v>80.599589322381931</v>
      </c>
      <c r="E331" s="25">
        <f>IF(C331&gt;$B$7,0,'Combined Retirement'!$D$13/12)</f>
        <v>0</v>
      </c>
      <c r="F331" s="25">
        <f>IF(H331=0,'Combined Retirement'!$D$32,0)+'Combined Retirement'!$B$24</f>
        <v>2870.372285649099</v>
      </c>
      <c r="G331" s="25">
        <f>'Combined Retirement'!$C$24</f>
        <v>3254.2644699519233</v>
      </c>
      <c r="H331" s="25">
        <f>IF(B331&lt;62,0,'Combined Retirement'!$I$14)</f>
        <v>2345</v>
      </c>
      <c r="I331" s="25">
        <f>IF(C331&lt;62,0,'Combined Retirement'!$I$13)</f>
        <v>2420</v>
      </c>
      <c r="J331" s="25">
        <f t="shared" si="263"/>
        <v>7896.2379798201846</v>
      </c>
      <c r="K331" s="25">
        <f t="shared" si="264"/>
        <v>20367.195264578786</v>
      </c>
      <c r="L331" s="25"/>
      <c r="N331" s="25">
        <f>'Combined Retirement'!$C$18/12</f>
        <v>39153.069999999992</v>
      </c>
      <c r="O331" s="25">
        <f t="shared" si="265"/>
        <v>10889.636755601023</v>
      </c>
      <c r="P331" s="25">
        <f t="shared" si="266"/>
        <v>28263.43324439897</v>
      </c>
      <c r="Q331" s="25">
        <f t="array" aca="1" ref="Q331" ca="1">INDEX('Isaac 401k'!L:L,MATCH('Retirement Calculator'!A331,'Isaac 401k'!N:N,0),0)</f>
        <v>1908413.9399915435</v>
      </c>
      <c r="R331" s="25">
        <f t="array" aca="1" ref="R331" ca="1">INDEX('Lorri 401b'!L:L,MATCH('Retirement Calculator'!A331,'Lorri 401b'!N:N,0),0)</f>
        <v>3885142.1706983084</v>
      </c>
      <c r="S331" s="25">
        <f t="shared" ca="1" si="267"/>
        <v>5793556.1106898524</v>
      </c>
    </row>
    <row r="332" spans="1:19" ht="15.75" customHeight="1" x14ac:dyDescent="0.3">
      <c r="A332" s="37">
        <v>61057</v>
      </c>
      <c r="B332" s="398">
        <f t="shared" ref="B332:C332" si="333">($A332-B$9)/365.25</f>
        <v>85.286789869952088</v>
      </c>
      <c r="C332" s="398">
        <f t="shared" si="333"/>
        <v>80.676249144421632</v>
      </c>
      <c r="E332" s="25">
        <f>IF(C332&gt;$B$7,0,'Combined Retirement'!$D$13/12)</f>
        <v>0</v>
      </c>
      <c r="F332" s="25">
        <f>IF(H332=0,'Combined Retirement'!$D$32,0)+'Combined Retirement'!$B$24</f>
        <v>2870.372285649099</v>
      </c>
      <c r="G332" s="25">
        <f>'Combined Retirement'!$C$24</f>
        <v>3254.2644699519233</v>
      </c>
      <c r="H332" s="25">
        <f>IF(B332&lt;62,0,'Combined Retirement'!$I$14)</f>
        <v>2345</v>
      </c>
      <c r="I332" s="25">
        <f>IF(C332&lt;62,0,'Combined Retirement'!$I$13)</f>
        <v>2420</v>
      </c>
      <c r="J332" s="25">
        <f t="shared" si="263"/>
        <v>7896.2379798201846</v>
      </c>
      <c r="K332" s="25">
        <f t="shared" si="264"/>
        <v>20367.195264578786</v>
      </c>
      <c r="L332" s="25"/>
      <c r="N332" s="25">
        <f>'Combined Retirement'!$C$18/12</f>
        <v>39153.069999999992</v>
      </c>
      <c r="O332" s="25">
        <f t="shared" si="265"/>
        <v>10889.636755601023</v>
      </c>
      <c r="P332" s="25">
        <f t="shared" si="266"/>
        <v>28263.43324439897</v>
      </c>
      <c r="Q332" s="25">
        <f t="array" aca="1" ref="Q332" ca="1">INDEX('Isaac 401k'!L:L,MATCH('Retirement Calculator'!A332,'Isaac 401k'!N:N,0),0)</f>
        <v>1908436.5257701054</v>
      </c>
      <c r="R332" s="25">
        <f t="array" aca="1" ref="R332" ca="1">INDEX('Lorri 401b'!L:L,MATCH('Retirement Calculator'!A332,'Lorri 401b'!N:N,0),0)</f>
        <v>3880878.2044980368</v>
      </c>
      <c r="S332" s="25">
        <f t="shared" ca="1" si="267"/>
        <v>5789314.7302681422</v>
      </c>
    </row>
    <row r="333" spans="1:19" ht="15.75" customHeight="1" x14ac:dyDescent="0.3">
      <c r="A333" s="37">
        <v>61088</v>
      </c>
      <c r="B333" s="398">
        <f t="shared" ref="B333:C333" si="334">($A333-B$9)/365.25</f>
        <v>85.371663244353186</v>
      </c>
      <c r="C333" s="398">
        <f t="shared" si="334"/>
        <v>80.761122518822731</v>
      </c>
      <c r="E333" s="25">
        <f>IF(C333&gt;$B$7,0,'Combined Retirement'!$D$13/12)</f>
        <v>0</v>
      </c>
      <c r="F333" s="25">
        <f>IF(H333=0,'Combined Retirement'!$D$32,0)+'Combined Retirement'!$B$24</f>
        <v>2870.372285649099</v>
      </c>
      <c r="G333" s="25">
        <f>'Combined Retirement'!$C$24</f>
        <v>3254.2644699519233</v>
      </c>
      <c r="H333" s="25">
        <f>IF(B333&lt;62,0,'Combined Retirement'!$I$14)</f>
        <v>2345</v>
      </c>
      <c r="I333" s="25">
        <f>IF(C333&lt;62,0,'Combined Retirement'!$I$13)</f>
        <v>2420</v>
      </c>
      <c r="J333" s="25">
        <f t="shared" si="263"/>
        <v>7896.2379798201846</v>
      </c>
      <c r="K333" s="25">
        <f t="shared" si="264"/>
        <v>20367.195264578786</v>
      </c>
      <c r="L333" s="25"/>
      <c r="N333" s="25">
        <f>'Combined Retirement'!$C$18/12</f>
        <v>39153.069999999992</v>
      </c>
      <c r="O333" s="25">
        <f t="shared" si="265"/>
        <v>10889.636755601023</v>
      </c>
      <c r="P333" s="25">
        <f t="shared" si="266"/>
        <v>28263.43324439897</v>
      </c>
      <c r="Q333" s="25">
        <f t="array" aca="1" ref="Q333" ca="1">INDEX('Isaac 401k'!L:L,MATCH('Retirement Calculator'!A333,'Isaac 401k'!N:N,0),0)</f>
        <v>1908459.2056560779</v>
      </c>
      <c r="R333" s="25">
        <f t="array" aca="1" ref="R333" ca="1">INDEX('Lorri 401b'!L:L,MATCH('Retirement Calculator'!A333,'Lorri 401b'!N:N,0),0)</f>
        <v>3876596.4717719308</v>
      </c>
      <c r="S333" s="25">
        <f t="shared" ca="1" si="267"/>
        <v>5785055.677428009</v>
      </c>
    </row>
    <row r="334" spans="1:19" ht="15.75" customHeight="1" x14ac:dyDescent="0.3">
      <c r="A334" s="37">
        <v>61118</v>
      </c>
      <c r="B334" s="398">
        <f t="shared" ref="B334:C334" si="335">($A334-B$9)/365.25</f>
        <v>85.453798767967143</v>
      </c>
      <c r="C334" s="398">
        <f t="shared" si="335"/>
        <v>80.843258042436688</v>
      </c>
      <c r="E334" s="25">
        <f>IF(C334&gt;$B$7,0,'Combined Retirement'!$D$13/12)</f>
        <v>0</v>
      </c>
      <c r="F334" s="25">
        <f>IF(H334=0,'Combined Retirement'!$D$32,0)+'Combined Retirement'!$B$24</f>
        <v>2870.372285649099</v>
      </c>
      <c r="G334" s="25">
        <f>'Combined Retirement'!$C$24</f>
        <v>3254.2644699519233</v>
      </c>
      <c r="H334" s="25">
        <f>IF(B334&lt;62,0,'Combined Retirement'!$I$14)</f>
        <v>2345</v>
      </c>
      <c r="I334" s="25">
        <f>IF(C334&lt;62,0,'Combined Retirement'!$I$13)</f>
        <v>2420</v>
      </c>
      <c r="J334" s="25">
        <f t="shared" si="263"/>
        <v>7896.2379798201846</v>
      </c>
      <c r="K334" s="25">
        <f t="shared" si="264"/>
        <v>20367.195264578786</v>
      </c>
      <c r="L334" s="25"/>
      <c r="N334" s="25">
        <f>'Combined Retirement'!$C$18/12</f>
        <v>39153.069999999992</v>
      </c>
      <c r="O334" s="25">
        <f t="shared" si="265"/>
        <v>10889.636755601023</v>
      </c>
      <c r="P334" s="25">
        <f t="shared" si="266"/>
        <v>28263.43324439897</v>
      </c>
      <c r="Q334" s="25">
        <f t="array" aca="1" ref="Q334" ca="1">INDEX('Isaac 401k'!L:L,MATCH('Retirement Calculator'!A334,'Isaac 401k'!N:N,0),0)</f>
        <v>1908481.9800415754</v>
      </c>
      <c r="R334" s="25">
        <f t="array" aca="1" ref="R334" ca="1">INDEX('Lorri 401b'!L:L,MATCH('Retirement Calculator'!A334,'Lorri 401b'!N:N,0),0)</f>
        <v>3872296.8984927991</v>
      </c>
      <c r="S334" s="25">
        <f t="shared" ca="1" si="267"/>
        <v>5780778.8785343748</v>
      </c>
    </row>
    <row r="335" spans="1:19" ht="15.75" customHeight="1" x14ac:dyDescent="0.3">
      <c r="A335" s="37">
        <v>61149</v>
      </c>
      <c r="B335" s="398">
        <f t="shared" ref="B335:C335" si="336">($A335-B$9)/365.25</f>
        <v>85.538672142368242</v>
      </c>
      <c r="C335" s="398">
        <f t="shared" si="336"/>
        <v>80.928131416837786</v>
      </c>
      <c r="E335" s="25">
        <f>IF(C335&gt;$B$7,0,'Combined Retirement'!$D$13/12)</f>
        <v>0</v>
      </c>
      <c r="F335" s="25">
        <f>IF(H335=0,'Combined Retirement'!$D$32,0)+'Combined Retirement'!$B$24</f>
        <v>2870.372285649099</v>
      </c>
      <c r="G335" s="25">
        <f>'Combined Retirement'!$C$24</f>
        <v>3254.2644699519233</v>
      </c>
      <c r="H335" s="25">
        <f>IF(B335&lt;62,0,'Combined Retirement'!$I$14)</f>
        <v>2345</v>
      </c>
      <c r="I335" s="25">
        <f>IF(C335&lt;62,0,'Combined Retirement'!$I$13)</f>
        <v>2420</v>
      </c>
      <c r="J335" s="25">
        <f t="shared" si="263"/>
        <v>7896.2379798201846</v>
      </c>
      <c r="K335" s="25">
        <f t="shared" si="264"/>
        <v>20367.195264578786</v>
      </c>
      <c r="L335" s="25"/>
      <c r="N335" s="25">
        <f>'Combined Retirement'!$C$18/12</f>
        <v>39153.069999999992</v>
      </c>
      <c r="O335" s="25">
        <f t="shared" si="265"/>
        <v>10889.636755601023</v>
      </c>
      <c r="P335" s="25">
        <f t="shared" si="266"/>
        <v>28263.43324439897</v>
      </c>
      <c r="Q335" s="25">
        <f t="array" aca="1" ref="Q335" ca="1">INDEX('Isaac 401k'!L:L,MATCH('Retirement Calculator'!A335,'Isaac 401k'!N:N,0),0)</f>
        <v>1908504.8493203458</v>
      </c>
      <c r="R335" s="25">
        <f t="array" aca="1" ref="R335" ca="1">INDEX('Lorri 401b'!L:L,MATCH('Retirement Calculator'!A335,'Lorri 401b'!N:N,0),0)</f>
        <v>3867979.4103250047</v>
      </c>
      <c r="S335" s="25">
        <f t="shared" ca="1" si="267"/>
        <v>5776484.2596453503</v>
      </c>
    </row>
    <row r="336" spans="1:19" ht="15.75" customHeight="1" x14ac:dyDescent="0.3">
      <c r="A336" s="37">
        <v>61179</v>
      </c>
      <c r="B336" s="398">
        <f t="shared" ref="B336:C336" si="337">($A336-B$9)/365.25</f>
        <v>85.620807665982198</v>
      </c>
      <c r="C336" s="398">
        <f t="shared" si="337"/>
        <v>81.010266940451743</v>
      </c>
      <c r="E336" s="25">
        <f>IF(C336&gt;$B$7,0,'Combined Retirement'!$D$13/12)</f>
        <v>0</v>
      </c>
      <c r="F336" s="25">
        <f>IF(H336=0,'Combined Retirement'!$D$32,0)+'Combined Retirement'!$B$24</f>
        <v>2870.372285649099</v>
      </c>
      <c r="G336" s="25">
        <f>'Combined Retirement'!$C$24</f>
        <v>3254.2644699519233</v>
      </c>
      <c r="H336" s="25">
        <f>IF(B336&lt;62,0,'Combined Retirement'!$I$14)</f>
        <v>2345</v>
      </c>
      <c r="I336" s="25">
        <f>IF(C336&lt;62,0,'Combined Retirement'!$I$13)</f>
        <v>2420</v>
      </c>
      <c r="J336" s="25">
        <f t="shared" si="263"/>
        <v>7896.2379798201846</v>
      </c>
      <c r="K336" s="25">
        <f t="shared" si="264"/>
        <v>20367.195264578786</v>
      </c>
      <c r="L336" s="25"/>
      <c r="N336" s="25">
        <f>'Combined Retirement'!$C$18/12</f>
        <v>39153.069999999992</v>
      </c>
      <c r="O336" s="25">
        <f t="shared" si="265"/>
        <v>10889.636755601023</v>
      </c>
      <c r="P336" s="25">
        <f t="shared" si="266"/>
        <v>28263.43324439897</v>
      </c>
      <c r="Q336" s="25">
        <f t="array" aca="1" ref="Q336" ca="1">INDEX('Isaac 401k'!L:L,MATCH('Retirement Calculator'!A336,'Isaac 401k'!N:N,0),0)</f>
        <v>1908527.8138877777</v>
      </c>
      <c r="R336" s="25">
        <f t="array" aca="1" ref="R336" ca="1">INDEX('Lorri 401b'!L:L,MATCH('Retirement Calculator'!A336,'Lorri 401b'!N:N,0),0)</f>
        <v>3863643.9326231778</v>
      </c>
      <c r="S336" s="25">
        <f t="shared" ca="1" si="267"/>
        <v>5772171.7465109555</v>
      </c>
    </row>
    <row r="337" spans="1:19" ht="15.75" customHeight="1" x14ac:dyDescent="0.3">
      <c r="A337" s="37">
        <v>61210</v>
      </c>
      <c r="B337" s="398">
        <f t="shared" ref="B337:C337" si="338">($A337-B$9)/365.25</f>
        <v>85.705681040383297</v>
      </c>
      <c r="C337" s="398">
        <f t="shared" si="338"/>
        <v>81.095140314852841</v>
      </c>
      <c r="E337" s="25">
        <f>IF(C337&gt;$B$7,0,'Combined Retirement'!$D$13/12)</f>
        <v>0</v>
      </c>
      <c r="F337" s="25">
        <f>IF(H337=0,'Combined Retirement'!$D$32,0)+'Combined Retirement'!$B$24</f>
        <v>2870.372285649099</v>
      </c>
      <c r="G337" s="25">
        <f>'Combined Retirement'!$C$24</f>
        <v>3254.2644699519233</v>
      </c>
      <c r="H337" s="25">
        <f>IF(B337&lt;62,0,'Combined Retirement'!$I$14)</f>
        <v>2345</v>
      </c>
      <c r="I337" s="25">
        <f>IF(C337&lt;62,0,'Combined Retirement'!$I$13)</f>
        <v>2420</v>
      </c>
      <c r="J337" s="25">
        <f t="shared" si="263"/>
        <v>7896.2379798201846</v>
      </c>
      <c r="K337" s="25">
        <f t="shared" si="264"/>
        <v>20367.195264578786</v>
      </c>
      <c r="L337" s="25"/>
      <c r="N337" s="25">
        <f>'Combined Retirement'!$C$18/12</f>
        <v>39153.069999999992</v>
      </c>
      <c r="O337" s="25">
        <f t="shared" si="265"/>
        <v>10889.636755601023</v>
      </c>
      <c r="P337" s="25">
        <f t="shared" si="266"/>
        <v>28263.43324439897</v>
      </c>
      <c r="Q337" s="25">
        <f t="array" aca="1" ref="Q337" ca="1">INDEX('Isaac 401k'!L:L,MATCH('Retirement Calculator'!A337,'Isaac 401k'!N:N,0),0)</f>
        <v>1908550.8741409073</v>
      </c>
      <c r="R337" s="25">
        <f t="array" aca="1" ref="R337" ca="1">INDEX('Lorri 401b'!L:L,MATCH('Retirement Calculator'!A337,'Lorri 401b'!N:N,0),0)</f>
        <v>3859290.3904309263</v>
      </c>
      <c r="S337" s="25">
        <f t="shared" ca="1" si="267"/>
        <v>5767841.2645718334</v>
      </c>
    </row>
    <row r="338" spans="1:19" ht="15.75" customHeight="1" x14ac:dyDescent="0.3">
      <c r="A338" s="37">
        <v>61241</v>
      </c>
      <c r="B338" s="398">
        <f t="shared" ref="B338:C338" si="339">($A338-B$9)/365.25</f>
        <v>85.790554414784395</v>
      </c>
      <c r="C338" s="398">
        <f t="shared" si="339"/>
        <v>81.18001368925394</v>
      </c>
      <c r="E338" s="25">
        <f>IF(C338&gt;$B$7,0,'Combined Retirement'!$D$13/12)</f>
        <v>0</v>
      </c>
      <c r="F338" s="25">
        <f>IF(H338=0,'Combined Retirement'!$D$32,0)+'Combined Retirement'!$B$24</f>
        <v>2870.372285649099</v>
      </c>
      <c r="G338" s="25">
        <f>'Combined Retirement'!$C$24</f>
        <v>3254.2644699519233</v>
      </c>
      <c r="H338" s="25">
        <f>IF(B338&lt;62,0,'Combined Retirement'!$I$14)</f>
        <v>2345</v>
      </c>
      <c r="I338" s="25">
        <f>IF(C338&lt;62,0,'Combined Retirement'!$I$13)</f>
        <v>2420</v>
      </c>
      <c r="J338" s="25">
        <f t="shared" si="263"/>
        <v>7896.2379798201846</v>
      </c>
      <c r="K338" s="25">
        <f t="shared" si="264"/>
        <v>20367.195264578786</v>
      </c>
      <c r="L338" s="25"/>
      <c r="N338" s="25">
        <f>'Combined Retirement'!$C$18/12</f>
        <v>39153.069999999992</v>
      </c>
      <c r="O338" s="25">
        <f t="shared" si="265"/>
        <v>10889.636755601023</v>
      </c>
      <c r="P338" s="25">
        <f t="shared" si="266"/>
        <v>28263.43324439897</v>
      </c>
      <c r="Q338" s="25">
        <f t="array" aca="1" ref="Q338" ca="1">INDEX('Isaac 401k'!L:L,MATCH('Retirement Calculator'!A338,'Isaac 401k'!N:N,0),0)</f>
        <v>1908574.0304784249</v>
      </c>
      <c r="R338" s="25">
        <f t="array" aca="1" ref="R338" ca="1">INDEX('Lorri 401b'!L:L,MATCH('Retirement Calculator'!A338,'Lorri 401b'!N:N,0),0)</f>
        <v>3854918.7084795409</v>
      </c>
      <c r="S338" s="25">
        <f t="shared" ca="1" si="267"/>
        <v>5763492.7389579657</v>
      </c>
    </row>
    <row r="339" spans="1:19" ht="15.75" customHeight="1" x14ac:dyDescent="0.3">
      <c r="A339" s="37">
        <v>61271</v>
      </c>
      <c r="B339" s="398">
        <f t="shared" ref="B339:C339" si="340">($A339-B$9)/365.25</f>
        <v>85.872689938398352</v>
      </c>
      <c r="C339" s="398">
        <f t="shared" si="340"/>
        <v>81.262149212867897</v>
      </c>
      <c r="E339" s="25">
        <f>IF(C339&gt;$B$7,0,'Combined Retirement'!$D$13/12)</f>
        <v>0</v>
      </c>
      <c r="F339" s="25">
        <f>IF(H339=0,'Combined Retirement'!$D$32,0)+'Combined Retirement'!$B$24</f>
        <v>2870.372285649099</v>
      </c>
      <c r="G339" s="25">
        <f>'Combined Retirement'!$C$24</f>
        <v>3254.2644699519233</v>
      </c>
      <c r="H339" s="25">
        <f>IF(B339&lt;62,0,'Combined Retirement'!$I$14)</f>
        <v>2345</v>
      </c>
      <c r="I339" s="25">
        <f>IF(C339&lt;62,0,'Combined Retirement'!$I$13)</f>
        <v>2420</v>
      </c>
      <c r="J339" s="25">
        <f t="shared" si="263"/>
        <v>7896.2379798201846</v>
      </c>
      <c r="K339" s="25">
        <f t="shared" si="264"/>
        <v>20367.195264578786</v>
      </c>
      <c r="L339" s="25"/>
      <c r="N339" s="25">
        <f>'Combined Retirement'!$C$18/12</f>
        <v>39153.069999999992</v>
      </c>
      <c r="O339" s="25">
        <f t="shared" si="265"/>
        <v>10889.636755601023</v>
      </c>
      <c r="P339" s="25">
        <f t="shared" si="266"/>
        <v>28263.43324439897</v>
      </c>
      <c r="Q339" s="25">
        <f t="array" aca="1" ref="Q339" ca="1">INDEX('Isaac 401k'!L:L,MATCH('Retirement Calculator'!A339,'Isaac 401k'!N:N,0),0)</f>
        <v>1908597.2833006822</v>
      </c>
      <c r="R339" s="25">
        <f t="array" aca="1" ref="R339" ca="1">INDEX('Lorri 401b'!L:L,MATCH('Retirement Calculator'!A339,'Lorri 401b'!N:N,0),0)</f>
        <v>3850528.8111866913</v>
      </c>
      <c r="S339" s="25">
        <f t="shared" ca="1" si="267"/>
        <v>5759126.0944873737</v>
      </c>
    </row>
    <row r="340" spans="1:19" ht="15.75" customHeight="1" x14ac:dyDescent="0.3">
      <c r="A340" s="37">
        <v>61302</v>
      </c>
      <c r="B340" s="398">
        <f t="shared" ref="B340:C340" si="341">($A340-B$9)/365.25</f>
        <v>85.957563312799451</v>
      </c>
      <c r="C340" s="398">
        <f t="shared" si="341"/>
        <v>81.347022587268995</v>
      </c>
      <c r="E340" s="25">
        <f>IF(C340&gt;$B$7,0,'Combined Retirement'!$D$13/12)</f>
        <v>0</v>
      </c>
      <c r="F340" s="25">
        <f>IF(H340=0,'Combined Retirement'!$D$32,0)+'Combined Retirement'!$B$24</f>
        <v>2870.372285649099</v>
      </c>
      <c r="G340" s="25">
        <f>'Combined Retirement'!$C$24</f>
        <v>3254.2644699519233</v>
      </c>
      <c r="H340" s="25">
        <f>IF(B340&lt;62,0,'Combined Retirement'!$I$14)</f>
        <v>2345</v>
      </c>
      <c r="I340" s="25">
        <f>IF(C340&lt;62,0,'Combined Retirement'!$I$13)</f>
        <v>2420</v>
      </c>
      <c r="J340" s="25">
        <f t="shared" si="263"/>
        <v>7896.2379798201846</v>
      </c>
      <c r="K340" s="25">
        <f t="shared" si="264"/>
        <v>20367.195264578786</v>
      </c>
      <c r="L340" s="25"/>
      <c r="N340" s="25">
        <f>'Combined Retirement'!$C$18/12</f>
        <v>39153.069999999992</v>
      </c>
      <c r="O340" s="25">
        <f t="shared" si="265"/>
        <v>10889.636755601023</v>
      </c>
      <c r="P340" s="25">
        <f t="shared" si="266"/>
        <v>28263.43324439897</v>
      </c>
      <c r="Q340" s="25">
        <f t="array" aca="1" ref="Q340" ca="1">INDEX('Isaac 401k'!L:L,MATCH('Retirement Calculator'!A340,'Isaac 401k'!N:N,0),0)</f>
        <v>1908620.6330096989</v>
      </c>
      <c r="R340" s="25">
        <f t="array" aca="1" ref="R340" ca="1">INDEX('Lorri 401b'!L:L,MATCH('Retirement Calculator'!A340,'Lorri 401b'!N:N,0),0)</f>
        <v>3846120.6226551211</v>
      </c>
      <c r="S340" s="25">
        <f t="shared" ca="1" si="267"/>
        <v>5754741.2556648199</v>
      </c>
    </row>
    <row r="341" spans="1:19" ht="15.75" customHeight="1" x14ac:dyDescent="0.3">
      <c r="A341" s="37">
        <v>61332</v>
      </c>
      <c r="B341" s="398">
        <f t="shared" ref="B341:C341" si="342">($A341-B$9)/365.25</f>
        <v>86.039698836413422</v>
      </c>
      <c r="C341" s="398">
        <f t="shared" si="342"/>
        <v>81.429158110882952</v>
      </c>
      <c r="E341" s="25">
        <f>IF(C341&gt;$B$7,0,'Combined Retirement'!$D$13/12)</f>
        <v>0</v>
      </c>
      <c r="F341" s="25">
        <f>IF(H341=0,'Combined Retirement'!$D$32,0)+'Combined Retirement'!$B$24</f>
        <v>2870.372285649099</v>
      </c>
      <c r="G341" s="25">
        <f>'Combined Retirement'!$C$24</f>
        <v>3254.2644699519233</v>
      </c>
      <c r="H341" s="25">
        <f>IF(B341&lt;62,0,'Combined Retirement'!$I$14)</f>
        <v>2345</v>
      </c>
      <c r="I341" s="25">
        <f>IF(C341&lt;62,0,'Combined Retirement'!$I$13)</f>
        <v>2420</v>
      </c>
      <c r="J341" s="25">
        <f t="shared" si="263"/>
        <v>7896.2379798201846</v>
      </c>
      <c r="K341" s="25">
        <f t="shared" si="264"/>
        <v>20367.195264578786</v>
      </c>
      <c r="L341" s="25"/>
      <c r="N341" s="25">
        <f>'Combined Retirement'!$C$18/12</f>
        <v>39153.069999999992</v>
      </c>
      <c r="O341" s="25">
        <f t="shared" si="265"/>
        <v>10889.636755601023</v>
      </c>
      <c r="P341" s="25">
        <f t="shared" si="266"/>
        <v>28263.43324439897</v>
      </c>
      <c r="Q341" s="25">
        <f t="array" aca="1" ref="Q341" ca="1">INDEX('Isaac 401k'!L:L,MATCH('Retirement Calculator'!A341,'Isaac 401k'!N:N,0),0)</f>
        <v>1908644.0800091699</v>
      </c>
      <c r="R341" s="25">
        <f t="array" aca="1" ref="R341" ca="1">INDEX('Lorri 401b'!L:L,MATCH('Retirement Calculator'!A341,'Lorri 401b'!N:N,0),0)</f>
        <v>3841694.0666713361</v>
      </c>
      <c r="S341" s="25">
        <f t="shared" ca="1" si="267"/>
        <v>5750338.1466805059</v>
      </c>
    </row>
    <row r="342" spans="1:19" ht="15.75" customHeight="1" x14ac:dyDescent="0.3">
      <c r="A342" s="37">
        <v>61363</v>
      </c>
      <c r="B342" s="398">
        <f t="shared" ref="B342:C342" si="343">($A342-B$9)/365.25</f>
        <v>86.124572210814506</v>
      </c>
      <c r="C342" s="398">
        <f t="shared" si="343"/>
        <v>81.51403148528405</v>
      </c>
      <c r="E342" s="25">
        <f>IF(C342&gt;$B$7,0,'Combined Retirement'!$D$13/12)</f>
        <v>0</v>
      </c>
      <c r="F342" s="25">
        <f>IF(H342=0,'Combined Retirement'!$D$32,0)+'Combined Retirement'!$B$24</f>
        <v>2870.372285649099</v>
      </c>
      <c r="G342" s="25">
        <f>'Combined Retirement'!$C$24</f>
        <v>3254.2644699519233</v>
      </c>
      <c r="H342" s="25">
        <f>IF(B342&lt;62,0,'Combined Retirement'!$I$14)</f>
        <v>2345</v>
      </c>
      <c r="I342" s="25">
        <f>IF(C342&lt;62,0,'Combined Retirement'!$I$13)</f>
        <v>2420</v>
      </c>
      <c r="J342" s="25">
        <f t="shared" si="263"/>
        <v>7896.2379798201846</v>
      </c>
      <c r="K342" s="25">
        <f t="shared" si="264"/>
        <v>20367.195264578786</v>
      </c>
      <c r="L342" s="25"/>
      <c r="N342" s="25">
        <f>'Combined Retirement'!$C$18/12</f>
        <v>39153.069999999992</v>
      </c>
      <c r="O342" s="25">
        <f t="shared" si="265"/>
        <v>10889.636755601023</v>
      </c>
      <c r="P342" s="25">
        <f t="shared" si="266"/>
        <v>28263.43324439897</v>
      </c>
      <c r="Q342" s="25">
        <f t="array" aca="1" ref="Q342" ca="1">INDEX('Isaac 401k'!L:L,MATCH('Retirement Calculator'!A342,'Isaac 401k'!N:N,0),0)</f>
        <v>1908667.624704472</v>
      </c>
      <c r="R342" s="25">
        <f t="array" aca="1" ref="R342" ca="1">INDEX('Lorri 401b'!L:L,MATCH('Retirement Calculator'!A342,'Lorri 401b'!N:N,0),0)</f>
        <v>3837249.0667042853</v>
      </c>
      <c r="S342" s="25">
        <f t="shared" ca="1" si="267"/>
        <v>5745916.6914087571</v>
      </c>
    </row>
    <row r="343" spans="1:19" ht="15.75" customHeight="1" x14ac:dyDescent="0.3">
      <c r="A343" s="37">
        <v>61394</v>
      </c>
      <c r="B343" s="398">
        <f t="shared" ref="B343:C343" si="344">($A343-B$9)/365.25</f>
        <v>86.209445585215605</v>
      </c>
      <c r="C343" s="398">
        <f t="shared" si="344"/>
        <v>81.598904859685149</v>
      </c>
      <c r="E343" s="25">
        <f>IF(C343&gt;$B$7,0,'Combined Retirement'!$D$13/12)</f>
        <v>0</v>
      </c>
      <c r="F343" s="25">
        <f>IF(H343=0,'Combined Retirement'!$D$32,0)+'Combined Retirement'!$B$24</f>
        <v>2870.372285649099</v>
      </c>
      <c r="G343" s="25">
        <f>'Combined Retirement'!$C$24</f>
        <v>3254.2644699519233</v>
      </c>
      <c r="H343" s="25">
        <f>IF(B343&lt;62,0,'Combined Retirement'!$I$14)</f>
        <v>2345</v>
      </c>
      <c r="I343" s="25">
        <f>IF(C343&lt;62,0,'Combined Retirement'!$I$13)</f>
        <v>2420</v>
      </c>
      <c r="J343" s="25">
        <f t="shared" si="263"/>
        <v>7896.2379798201846</v>
      </c>
      <c r="K343" s="25">
        <f t="shared" si="264"/>
        <v>20367.195264578786</v>
      </c>
      <c r="L343" s="25"/>
      <c r="N343" s="25">
        <f>'Combined Retirement'!$C$18/12</f>
        <v>39153.069999999992</v>
      </c>
      <c r="O343" s="25">
        <f t="shared" si="265"/>
        <v>10889.636755601023</v>
      </c>
      <c r="P343" s="25">
        <f t="shared" si="266"/>
        <v>28263.43324439897</v>
      </c>
      <c r="Q343" s="25">
        <f t="array" aca="1" ref="Q343" ca="1">INDEX('Isaac 401k'!L:L,MATCH('Retirement Calculator'!A343,'Isaac 401k'!N:N,0),0)</f>
        <v>1908691.2675026711</v>
      </c>
      <c r="R343" s="25">
        <f t="array" aca="1" ref="R343" ca="1">INDEX('Lorri 401b'!L:L,MATCH('Retirement Calculator'!A343,'Lorri 401b'!N:N,0),0)</f>
        <v>3832785.5459040385</v>
      </c>
      <c r="S343" s="25">
        <f t="shared" ca="1" si="267"/>
        <v>5741476.8134067096</v>
      </c>
    </row>
    <row r="344" spans="1:19" ht="15.75" customHeight="1" x14ac:dyDescent="0.3">
      <c r="A344" s="37">
        <v>61423</v>
      </c>
      <c r="B344" s="398">
        <f t="shared" ref="B344:C344" si="345">($A344-B$9)/365.25</f>
        <v>86.288843258042434</v>
      </c>
      <c r="C344" s="398">
        <f t="shared" si="345"/>
        <v>81.678302532511978</v>
      </c>
      <c r="E344" s="25">
        <f>IF(C344&gt;$B$7,0,'Combined Retirement'!$D$13/12)</f>
        <v>0</v>
      </c>
      <c r="F344" s="25">
        <f>IF(H344=0,'Combined Retirement'!$D$32,0)+'Combined Retirement'!$B$24</f>
        <v>2870.372285649099</v>
      </c>
      <c r="G344" s="25">
        <f>'Combined Retirement'!$C$24</f>
        <v>3254.2644699519233</v>
      </c>
      <c r="H344" s="25">
        <f>IF(B344&lt;62,0,'Combined Retirement'!$I$14)</f>
        <v>2345</v>
      </c>
      <c r="I344" s="25">
        <f>IF(C344&lt;62,0,'Combined Retirement'!$I$13)</f>
        <v>2420</v>
      </c>
      <c r="J344" s="25">
        <f t="shared" si="263"/>
        <v>7896.2379798201846</v>
      </c>
      <c r="K344" s="25">
        <f t="shared" si="264"/>
        <v>20367.195264578786</v>
      </c>
      <c r="L344" s="25"/>
      <c r="N344" s="25">
        <f>'Combined Retirement'!$C$18/12</f>
        <v>39153.069999999992</v>
      </c>
      <c r="O344" s="25">
        <f t="shared" si="265"/>
        <v>10889.636755601023</v>
      </c>
      <c r="P344" s="25">
        <f t="shared" si="266"/>
        <v>28263.43324439897</v>
      </c>
      <c r="Q344" s="25">
        <f t="array" aca="1" ref="Q344" ca="1">INDEX('Isaac 401k'!L:L,MATCH('Retirement Calculator'!A344,'Isaac 401k'!N:N,0),0)</f>
        <v>1908715.0088125295</v>
      </c>
      <c r="R344" s="25">
        <f t="array" aca="1" ref="R344" ca="1">INDEX('Lorri 401b'!L:L,MATCH('Retirement Calculator'!A344,'Lorri 401b'!N:N,0),0)</f>
        <v>3828303.4271004573</v>
      </c>
      <c r="S344" s="25">
        <f t="shared" ca="1" si="267"/>
        <v>5737018.4359129872</v>
      </c>
    </row>
    <row r="345" spans="1:19" ht="15.75" customHeight="1" x14ac:dyDescent="0.3">
      <c r="A345" s="37">
        <v>61454</v>
      </c>
      <c r="B345" s="398">
        <f t="shared" ref="B345:C345" si="346">($A345-B$9)/365.25</f>
        <v>86.373716632443532</v>
      </c>
      <c r="C345" s="398">
        <f t="shared" si="346"/>
        <v>81.763175906913077</v>
      </c>
      <c r="E345" s="25">
        <f>IF(C345&gt;$B$7,0,'Combined Retirement'!$D$13/12)</f>
        <v>0</v>
      </c>
      <c r="F345" s="25">
        <f>IF(H345=0,'Combined Retirement'!$D$32,0)+'Combined Retirement'!$B$24</f>
        <v>2870.372285649099</v>
      </c>
      <c r="G345" s="25">
        <f>'Combined Retirement'!$C$24</f>
        <v>3254.2644699519233</v>
      </c>
      <c r="H345" s="25">
        <f>IF(B345&lt;62,0,'Combined Retirement'!$I$14)</f>
        <v>2345</v>
      </c>
      <c r="I345" s="25">
        <f>IF(C345&lt;62,0,'Combined Retirement'!$I$13)</f>
        <v>2420</v>
      </c>
      <c r="J345" s="25">
        <f t="shared" si="263"/>
        <v>7896.2379798201846</v>
      </c>
      <c r="K345" s="25">
        <f t="shared" si="264"/>
        <v>20367.195264578786</v>
      </c>
      <c r="L345" s="25"/>
      <c r="N345" s="25">
        <f>'Combined Retirement'!$C$18/12</f>
        <v>39153.069999999992</v>
      </c>
      <c r="O345" s="25">
        <f t="shared" si="265"/>
        <v>10889.636755601023</v>
      </c>
      <c r="P345" s="25">
        <f t="shared" si="266"/>
        <v>28263.43324439897</v>
      </c>
      <c r="Q345" s="25">
        <f t="array" aca="1" ref="Q345" ca="1">INDEX('Isaac 401k'!L:L,MATCH('Retirement Calculator'!A345,'Isaac 401k'!N:N,0),0)</f>
        <v>1908738.8490445123</v>
      </c>
      <c r="R345" s="25">
        <f t="array" aca="1" ref="R345" ca="1">INDEX('Lorri 401b'!L:L,MATCH('Retirement Calculator'!A345,'Lorri 401b'!N:N,0),0)</f>
        <v>3823802.6328018615</v>
      </c>
      <c r="S345" s="25">
        <f t="shared" ca="1" si="267"/>
        <v>5732541.4818463735</v>
      </c>
    </row>
    <row r="346" spans="1:19" ht="15.75" customHeight="1" x14ac:dyDescent="0.3">
      <c r="A346" s="37">
        <v>61484</v>
      </c>
      <c r="B346" s="398">
        <f t="shared" ref="B346:C346" si="347">($A346-B$9)/365.25</f>
        <v>86.455852156057489</v>
      </c>
      <c r="C346" s="398">
        <f t="shared" si="347"/>
        <v>81.845311430527033</v>
      </c>
      <c r="E346" s="25">
        <f>IF(C346&gt;$B$7,0,'Combined Retirement'!$D$13/12)</f>
        <v>0</v>
      </c>
      <c r="F346" s="25">
        <f>IF(H346=0,'Combined Retirement'!$D$32,0)+'Combined Retirement'!$B$24</f>
        <v>2870.372285649099</v>
      </c>
      <c r="G346" s="25">
        <f>'Combined Retirement'!$C$24</f>
        <v>3254.2644699519233</v>
      </c>
      <c r="H346" s="25">
        <f>IF(B346&lt;62,0,'Combined Retirement'!$I$14)</f>
        <v>2345</v>
      </c>
      <c r="I346" s="25">
        <f>IF(C346&lt;62,0,'Combined Retirement'!$I$13)</f>
        <v>2420</v>
      </c>
      <c r="J346" s="25">
        <f t="shared" si="263"/>
        <v>7896.2379798201846</v>
      </c>
      <c r="K346" s="25">
        <f t="shared" si="264"/>
        <v>20367.195264578786</v>
      </c>
      <c r="L346" s="25"/>
      <c r="N346" s="25">
        <f>'Combined Retirement'!$C$18/12</f>
        <v>39153.069999999992</v>
      </c>
      <c r="O346" s="25">
        <f t="shared" si="265"/>
        <v>10889.636755601023</v>
      </c>
      <c r="P346" s="25">
        <f t="shared" si="266"/>
        <v>28263.43324439897</v>
      </c>
      <c r="Q346" s="25">
        <f t="array" aca="1" ref="Q346" ca="1">INDEX('Isaac 401k'!L:L,MATCH('Retirement Calculator'!A346,'Isaac 401k'!N:N,0),0)</f>
        <v>1908762.7886107948</v>
      </c>
      <c r="R346" s="25">
        <f t="array" aca="1" ref="R346" ca="1">INDEX('Lorri 401b'!L:L,MATCH('Retirement Calculator'!A346,'Lorri 401b'!N:N,0),0)</f>
        <v>3819283.085193688</v>
      </c>
      <c r="S346" s="25">
        <f t="shared" ca="1" si="267"/>
        <v>5728045.8738044826</v>
      </c>
    </row>
    <row r="347" spans="1:19" ht="15.75" customHeight="1" x14ac:dyDescent="0.3">
      <c r="A347" s="37">
        <v>61515</v>
      </c>
      <c r="B347" s="398">
        <f t="shared" ref="B347:C347" si="348">($A347-B$9)/365.25</f>
        <v>86.540725530458587</v>
      </c>
      <c r="C347" s="398">
        <f t="shared" si="348"/>
        <v>81.930184804928132</v>
      </c>
      <c r="E347" s="25">
        <f>IF(C347&gt;$B$7,0,'Combined Retirement'!$D$13/12)</f>
        <v>0</v>
      </c>
      <c r="F347" s="25">
        <f>IF(H347=0,'Combined Retirement'!$D$32,0)+'Combined Retirement'!$B$24</f>
        <v>2870.372285649099</v>
      </c>
      <c r="G347" s="25">
        <f>'Combined Retirement'!$C$24</f>
        <v>3254.2644699519233</v>
      </c>
      <c r="H347" s="25">
        <f>IF(B347&lt;62,0,'Combined Retirement'!$I$14)</f>
        <v>2345</v>
      </c>
      <c r="I347" s="25">
        <f>IF(C347&lt;62,0,'Combined Retirement'!$I$13)</f>
        <v>2420</v>
      </c>
      <c r="J347" s="25">
        <f t="shared" si="263"/>
        <v>7896.2379798201846</v>
      </c>
      <c r="K347" s="25">
        <f t="shared" si="264"/>
        <v>20367.195264578786</v>
      </c>
      <c r="L347" s="25"/>
      <c r="N347" s="25">
        <f>'Combined Retirement'!$C$18/12</f>
        <v>39153.069999999992</v>
      </c>
      <c r="O347" s="25">
        <f t="shared" si="265"/>
        <v>10889.636755601023</v>
      </c>
      <c r="P347" s="25">
        <f t="shared" si="266"/>
        <v>28263.43324439897</v>
      </c>
      <c r="Q347" s="25">
        <f t="array" aca="1" ref="Q347" ca="1">INDEX('Isaac 401k'!L:L,MATCH('Retirement Calculator'!A347,'Isaac 401k'!N:N,0),0)</f>
        <v>1908786.8279252704</v>
      </c>
      <c r="R347" s="25">
        <f t="array" aca="1" ref="R347" ca="1">INDEX('Lorri 401b'!L:L,MATCH('Retirement Calculator'!A347,'Lorri 401b'!N:N,0),0)</f>
        <v>3814744.7061371473</v>
      </c>
      <c r="S347" s="25">
        <f t="shared" ca="1" si="267"/>
        <v>5723531.5340624172</v>
      </c>
    </row>
    <row r="348" spans="1:19" ht="15.75" customHeight="1" x14ac:dyDescent="0.3">
      <c r="A348" s="37">
        <v>61545</v>
      </c>
      <c r="B348" s="398">
        <f t="shared" ref="B348:C348" si="349">($A348-B$9)/365.25</f>
        <v>86.622861054072558</v>
      </c>
      <c r="C348" s="398">
        <f t="shared" si="349"/>
        <v>82.012320328542089</v>
      </c>
      <c r="E348" s="25">
        <f>IF(C348&gt;$B$7,0,'Combined Retirement'!$D$13/12)</f>
        <v>0</v>
      </c>
      <c r="F348" s="25">
        <f>IF(H348=0,'Combined Retirement'!$D$32,0)+'Combined Retirement'!$B$24</f>
        <v>2870.372285649099</v>
      </c>
      <c r="G348" s="25">
        <f>'Combined Retirement'!$C$24</f>
        <v>3254.2644699519233</v>
      </c>
      <c r="H348" s="25">
        <f>IF(B348&lt;62,0,'Combined Retirement'!$I$14)</f>
        <v>2345</v>
      </c>
      <c r="I348" s="25">
        <f>IF(C348&lt;62,0,'Combined Retirement'!$I$13)</f>
        <v>2420</v>
      </c>
      <c r="J348" s="25">
        <f t="shared" si="263"/>
        <v>7896.2379798201846</v>
      </c>
      <c r="K348" s="25">
        <f t="shared" si="264"/>
        <v>20367.195264578786</v>
      </c>
      <c r="L348" s="25"/>
      <c r="N348" s="25">
        <f>'Combined Retirement'!$C$18/12</f>
        <v>39153.069999999992</v>
      </c>
      <c r="O348" s="25">
        <f t="shared" si="265"/>
        <v>10889.636755601023</v>
      </c>
      <c r="P348" s="25">
        <f t="shared" si="266"/>
        <v>28263.43324439897</v>
      </c>
      <c r="Q348" s="25">
        <f t="array" aca="1" ref="Q348" ca="1">INDEX('Isaac 401k'!L:L,MATCH('Retirement Calculator'!A348,'Isaac 401k'!N:N,0),0)</f>
        <v>1908810.9674035562</v>
      </c>
      <c r="R348" s="25">
        <f t="array" aca="1" ref="R348" ca="1">INDEX('Lorri 401b'!L:L,MATCH('Retirement Calculator'!A348,'Lorri 401b'!N:N,0),0)</f>
        <v>3810187.4171678708</v>
      </c>
      <c r="S348" s="25">
        <f t="shared" ca="1" si="267"/>
        <v>5718998.3845714275</v>
      </c>
    </row>
    <row r="349" spans="1:19" ht="15.75" customHeight="1" x14ac:dyDescent="0.3">
      <c r="A349" s="37">
        <v>61576</v>
      </c>
      <c r="B349" s="398">
        <f t="shared" ref="B349:C349" si="350">($A349-B$9)/365.25</f>
        <v>86.707734428473643</v>
      </c>
      <c r="C349" s="398">
        <f t="shared" si="350"/>
        <v>82.097193702943187</v>
      </c>
      <c r="E349" s="25">
        <f>IF(C349&gt;$B$7,0,'Combined Retirement'!$D$13/12)</f>
        <v>0</v>
      </c>
      <c r="F349" s="25">
        <f>IF(H349=0,'Combined Retirement'!$D$32,0)+'Combined Retirement'!$B$24</f>
        <v>2870.372285649099</v>
      </c>
      <c r="G349" s="25">
        <f>'Combined Retirement'!$C$24</f>
        <v>3254.2644699519233</v>
      </c>
      <c r="H349" s="25">
        <f>IF(B349&lt;62,0,'Combined Retirement'!$I$14)</f>
        <v>2345</v>
      </c>
      <c r="I349" s="25">
        <f>IF(C349&lt;62,0,'Combined Retirement'!$I$13)</f>
        <v>2420</v>
      </c>
      <c r="J349" s="25">
        <f t="shared" si="263"/>
        <v>7896.2379798201846</v>
      </c>
      <c r="K349" s="25">
        <f t="shared" si="264"/>
        <v>20367.195264578786</v>
      </c>
      <c r="L349" s="25"/>
      <c r="N349" s="25">
        <f>'Combined Retirement'!$C$18/12</f>
        <v>39153.069999999992</v>
      </c>
      <c r="O349" s="25">
        <f t="shared" si="265"/>
        <v>10889.636755601023</v>
      </c>
      <c r="P349" s="25">
        <f t="shared" si="266"/>
        <v>28263.43324439897</v>
      </c>
      <c r="Q349" s="25">
        <f t="array" aca="1" ref="Q349" ca="1">INDEX('Isaac 401k'!L:L,MATCH('Retirement Calculator'!A349,'Isaac 401k'!N:N,0),0)</f>
        <v>1908835.2074630016</v>
      </c>
      <c r="R349" s="25">
        <f t="array" aca="1" ref="R349" ca="1">INDEX('Lorri 401b'!L:L,MATCH('Retirement Calculator'!A349,'Lorri 401b'!N:N,0),0)</f>
        <v>3805611.1394945555</v>
      </c>
      <c r="S349" s="25">
        <f t="shared" ca="1" si="267"/>
        <v>5714446.3469575569</v>
      </c>
    </row>
    <row r="350" spans="1:19" ht="15.75" customHeight="1" x14ac:dyDescent="0.3">
      <c r="A350" s="37">
        <v>61607</v>
      </c>
      <c r="B350" s="398">
        <f t="shared" ref="B350:C350" si="351">($A350-B$9)/365.25</f>
        <v>86.792607802874741</v>
      </c>
      <c r="C350" s="398">
        <f t="shared" si="351"/>
        <v>82.182067077344286</v>
      </c>
      <c r="E350" s="25">
        <f>IF(C350&gt;$B$7,0,'Combined Retirement'!$D$13/12)</f>
        <v>0</v>
      </c>
      <c r="F350" s="25">
        <f>IF(H350=0,'Combined Retirement'!$D$32,0)+'Combined Retirement'!$B$24</f>
        <v>2870.372285649099</v>
      </c>
      <c r="G350" s="25">
        <f>'Combined Retirement'!$C$24</f>
        <v>3254.2644699519233</v>
      </c>
      <c r="H350" s="25">
        <f>IF(B350&lt;62,0,'Combined Retirement'!$I$14)</f>
        <v>2345</v>
      </c>
      <c r="I350" s="25">
        <f>IF(C350&lt;62,0,'Combined Retirement'!$I$13)</f>
        <v>2420</v>
      </c>
      <c r="J350" s="25">
        <f t="shared" si="263"/>
        <v>7896.2379798201846</v>
      </c>
      <c r="K350" s="25">
        <f t="shared" si="264"/>
        <v>20367.195264578786</v>
      </c>
      <c r="L350" s="25"/>
      <c r="N350" s="25">
        <f>'Combined Retirement'!$C$18/12</f>
        <v>39153.069999999992</v>
      </c>
      <c r="O350" s="25">
        <f t="shared" si="265"/>
        <v>10889.636755601023</v>
      </c>
      <c r="P350" s="25">
        <f t="shared" si="266"/>
        <v>28263.43324439897</v>
      </c>
      <c r="Q350" s="25">
        <f t="array" aca="1" ref="Q350" ca="1">INDEX('Isaac 401k'!L:L,MATCH('Retirement Calculator'!A350,'Isaac 401k'!N:N,0),0)</f>
        <v>1908859.5485226947</v>
      </c>
      <c r="R350" s="25">
        <f t="array" aca="1" ref="R350" ca="1">INDEX('Lorri 401b'!L:L,MATCH('Retirement Calculator'!A350,'Lorri 401b'!N:N,0),0)</f>
        <v>3801015.7939976016</v>
      </c>
      <c r="S350" s="25">
        <f t="shared" ca="1" si="267"/>
        <v>5709875.3425202966</v>
      </c>
    </row>
    <row r="351" spans="1:19" ht="15.75" customHeight="1" x14ac:dyDescent="0.3">
      <c r="A351" s="37">
        <v>61637</v>
      </c>
      <c r="B351" s="398">
        <f t="shared" ref="B351:C351" si="352">($A351-B$9)/365.25</f>
        <v>86.874743326488712</v>
      </c>
      <c r="C351" s="398">
        <f t="shared" si="352"/>
        <v>82.264202600958242</v>
      </c>
      <c r="E351" s="25">
        <f>IF(C351&gt;$B$7,0,'Combined Retirement'!$D$13/12)</f>
        <v>0</v>
      </c>
      <c r="F351" s="25">
        <f>IF(H351=0,'Combined Retirement'!$D$32,0)+'Combined Retirement'!$B$24</f>
        <v>2870.372285649099</v>
      </c>
      <c r="G351" s="25">
        <f>'Combined Retirement'!$C$24</f>
        <v>3254.2644699519233</v>
      </c>
      <c r="H351" s="25">
        <f>IF(B351&lt;62,0,'Combined Retirement'!$I$14)</f>
        <v>2345</v>
      </c>
      <c r="I351" s="25">
        <f>IF(C351&lt;62,0,'Combined Retirement'!$I$13)</f>
        <v>2420</v>
      </c>
      <c r="J351" s="25">
        <f t="shared" si="263"/>
        <v>7896.2379798201846</v>
      </c>
      <c r="K351" s="25">
        <f t="shared" si="264"/>
        <v>20367.195264578786</v>
      </c>
      <c r="L351" s="25"/>
      <c r="N351" s="25">
        <f>'Combined Retirement'!$C$18/12</f>
        <v>39153.069999999992</v>
      </c>
      <c r="O351" s="25">
        <f t="shared" si="265"/>
        <v>10889.636755601023</v>
      </c>
      <c r="P351" s="25">
        <f t="shared" si="266"/>
        <v>28263.43324439897</v>
      </c>
      <c r="Q351" s="25">
        <f t="array" aca="1" ref="Q351" ca="1">INDEX('Isaac 401k'!L:L,MATCH('Retirement Calculator'!A351,'Isaac 401k'!N:N,0),0)</f>
        <v>1908883.9910034698</v>
      </c>
      <c r="R351" s="25">
        <f t="array" aca="1" ref="R351" ca="1">INDEX('Lorri 401b'!L:L,MATCH('Retirement Calculator'!A351,'Lorri 401b'!N:N,0),0)</f>
        <v>3796401.3012277437</v>
      </c>
      <c r="S351" s="25">
        <f t="shared" ca="1" si="267"/>
        <v>5705285.2922312133</v>
      </c>
    </row>
    <row r="352" spans="1:19" ht="15.75" customHeight="1" x14ac:dyDescent="0.3">
      <c r="A352" s="37">
        <v>61668</v>
      </c>
      <c r="B352" s="398">
        <f t="shared" ref="B352:C352" si="353">($A352-B$9)/365.25</f>
        <v>86.959616700889796</v>
      </c>
      <c r="C352" s="398">
        <f t="shared" si="353"/>
        <v>82.349075975359341</v>
      </c>
      <c r="E352" s="25">
        <f>IF(C352&gt;$B$7,0,'Combined Retirement'!$D$13/12)</f>
        <v>0</v>
      </c>
      <c r="F352" s="25">
        <f>IF(H352=0,'Combined Retirement'!$D$32,0)+'Combined Retirement'!$B$24</f>
        <v>2870.372285649099</v>
      </c>
      <c r="G352" s="25">
        <f>'Combined Retirement'!$C$24</f>
        <v>3254.2644699519233</v>
      </c>
      <c r="H352" s="25">
        <f>IF(B352&lt;62,0,'Combined Retirement'!$I$14)</f>
        <v>2345</v>
      </c>
      <c r="I352" s="25">
        <f>IF(C352&lt;62,0,'Combined Retirement'!$I$13)</f>
        <v>2420</v>
      </c>
      <c r="J352" s="25">
        <f t="shared" si="263"/>
        <v>7896.2379798201846</v>
      </c>
      <c r="K352" s="25">
        <f t="shared" si="264"/>
        <v>20367.195264578786</v>
      </c>
      <c r="L352" s="25"/>
      <c r="N352" s="25">
        <f>'Combined Retirement'!$C$18/12</f>
        <v>39153.069999999992</v>
      </c>
      <c r="O352" s="25">
        <f t="shared" si="265"/>
        <v>10889.636755601023</v>
      </c>
      <c r="P352" s="25">
        <f t="shared" si="266"/>
        <v>28263.43324439897</v>
      </c>
      <c r="Q352" s="25">
        <f t="array" aca="1" ref="Q352" ca="1">INDEX('Isaac 401k'!L:L,MATCH('Retirement Calculator'!A352,'Isaac 401k'!N:N,0),0)</f>
        <v>1908908.5353279149</v>
      </c>
      <c r="R352" s="25">
        <f t="array" aca="1" ref="R352" ca="1">INDEX('Lorri 401b'!L:L,MATCH('Retirement Calculator'!A352,'Lorri 401b'!N:N,0),0)</f>
        <v>3791767.5814046781</v>
      </c>
      <c r="S352" s="25">
        <f t="shared" ca="1" si="267"/>
        <v>5700676.1167325927</v>
      </c>
    </row>
    <row r="353" spans="1:19" ht="15.75" customHeight="1" x14ac:dyDescent="0.3">
      <c r="A353" s="37">
        <v>61698</v>
      </c>
      <c r="B353" s="398">
        <f t="shared" ref="B353:C353" si="354">($A353-B$9)/365.25</f>
        <v>87.041752224503767</v>
      </c>
      <c r="C353" s="398">
        <f t="shared" si="354"/>
        <v>82.431211498973312</v>
      </c>
      <c r="E353" s="25">
        <f>IF(C353&gt;$B$7,0,'Combined Retirement'!$D$13/12)</f>
        <v>0</v>
      </c>
      <c r="F353" s="25">
        <f>IF(H353=0,'Combined Retirement'!$D$32,0)+'Combined Retirement'!$B$24</f>
        <v>2870.372285649099</v>
      </c>
      <c r="G353" s="25">
        <f>'Combined Retirement'!$C$24</f>
        <v>3254.2644699519233</v>
      </c>
      <c r="H353" s="25">
        <f>IF(B353&lt;62,0,'Combined Retirement'!$I$14)</f>
        <v>2345</v>
      </c>
      <c r="I353" s="25">
        <f>IF(C353&lt;62,0,'Combined Retirement'!$I$13)</f>
        <v>2420</v>
      </c>
      <c r="J353" s="25">
        <f t="shared" si="263"/>
        <v>7896.2379798201846</v>
      </c>
      <c r="K353" s="25">
        <f t="shared" si="264"/>
        <v>20367.195264578786</v>
      </c>
      <c r="L353" s="25"/>
      <c r="N353" s="25">
        <f>'Combined Retirement'!$C$18/12</f>
        <v>39153.069999999992</v>
      </c>
      <c r="O353" s="25">
        <f t="shared" si="265"/>
        <v>10889.636755601023</v>
      </c>
      <c r="P353" s="25">
        <f t="shared" si="266"/>
        <v>28263.43324439897</v>
      </c>
      <c r="Q353" s="25">
        <f t="array" aca="1" ref="Q353" ca="1">INDEX('Isaac 401k'!L:L,MATCH('Retirement Calculator'!A353,'Isaac 401k'!N:N,0),0)</f>
        <v>1908933.1819203785</v>
      </c>
      <c r="R353" s="25">
        <f t="array" aca="1" ref="R353" ca="1">INDEX('Lorri 401b'!L:L,MATCH('Retirement Calculator'!A353,'Lorri 401b'!N:N,0),0)</f>
        <v>3787114.5544156828</v>
      </c>
      <c r="S353" s="25">
        <f t="shared" ca="1" si="267"/>
        <v>5696047.7363360617</v>
      </c>
    </row>
    <row r="354" spans="1:19" ht="15.75" customHeight="1" x14ac:dyDescent="0.3">
      <c r="A354" s="37">
        <v>61729</v>
      </c>
      <c r="B354" s="398">
        <f t="shared" ref="B354:C354" si="355">($A354-B$9)/365.25</f>
        <v>87.126625598904866</v>
      </c>
      <c r="C354" s="398">
        <f t="shared" si="355"/>
        <v>82.516084873374396</v>
      </c>
      <c r="E354" s="25">
        <f>IF(C354&gt;$B$7,0,'Combined Retirement'!$D$13/12)</f>
        <v>0</v>
      </c>
      <c r="F354" s="25">
        <f>IF(H354=0,'Combined Retirement'!$D$32,0)+'Combined Retirement'!$B$24</f>
        <v>2870.372285649099</v>
      </c>
      <c r="G354" s="25">
        <f>'Combined Retirement'!$C$24</f>
        <v>3254.2644699519233</v>
      </c>
      <c r="H354" s="25">
        <f>IF(B354&lt;62,0,'Combined Retirement'!$I$14)</f>
        <v>2345</v>
      </c>
      <c r="I354" s="25">
        <f>IF(C354&lt;62,0,'Combined Retirement'!$I$13)</f>
        <v>2420</v>
      </c>
      <c r="J354" s="25">
        <f t="shared" si="263"/>
        <v>7896.2379798201846</v>
      </c>
      <c r="K354" s="25">
        <f t="shared" si="264"/>
        <v>20367.195264578786</v>
      </c>
      <c r="L354" s="25"/>
      <c r="N354" s="25">
        <f>'Combined Retirement'!$C$18/12</f>
        <v>39153.069999999992</v>
      </c>
      <c r="O354" s="25">
        <f t="shared" si="265"/>
        <v>10889.636755601023</v>
      </c>
      <c r="P354" s="25">
        <f t="shared" si="266"/>
        <v>28263.43324439897</v>
      </c>
      <c r="Q354" s="25">
        <f t="array" aca="1" ref="Q354" ca="1">INDEX('Isaac 401k'!L:L,MATCH('Retirement Calculator'!A354,'Isaac 401k'!N:N,0),0)</f>
        <v>1908957.9312069772</v>
      </c>
      <c r="R354" s="25">
        <f t="array" aca="1" ref="R354" ca="1">INDEX('Lorri 401b'!L:L,MATCH('Retirement Calculator'!A354,'Lorri 401b'!N:N,0),0)</f>
        <v>3782442.1398142334</v>
      </c>
      <c r="S354" s="25">
        <f t="shared" ca="1" si="267"/>
        <v>5691400.0710212104</v>
      </c>
    </row>
    <row r="355" spans="1:19" ht="15.75" customHeight="1" x14ac:dyDescent="0.3">
      <c r="A355" s="37">
        <v>61760</v>
      </c>
      <c r="B355" s="398">
        <f t="shared" ref="B355:C355" si="356">($A355-B$9)/365.25</f>
        <v>87.21149897330595</v>
      </c>
      <c r="C355" s="398">
        <f t="shared" si="356"/>
        <v>82.600958247775495</v>
      </c>
      <c r="E355" s="25">
        <f>IF(C355&gt;$B$7,0,'Combined Retirement'!$D$13/12)</f>
        <v>0</v>
      </c>
      <c r="F355" s="25">
        <f>IF(H355=0,'Combined Retirement'!$D$32,0)+'Combined Retirement'!$B$24</f>
        <v>2870.372285649099</v>
      </c>
      <c r="G355" s="25">
        <f>'Combined Retirement'!$C$24</f>
        <v>3254.2644699519233</v>
      </c>
      <c r="H355" s="25">
        <f>IF(B355&lt;62,0,'Combined Retirement'!$I$14)</f>
        <v>2345</v>
      </c>
      <c r="I355" s="25">
        <f>IF(C355&lt;62,0,'Combined Retirement'!$I$13)</f>
        <v>2420</v>
      </c>
      <c r="J355" s="25">
        <f t="shared" si="263"/>
        <v>7896.2379798201846</v>
      </c>
      <c r="K355" s="25">
        <f t="shared" si="264"/>
        <v>20367.195264578786</v>
      </c>
      <c r="L355" s="25"/>
      <c r="N355" s="25">
        <f>'Combined Retirement'!$C$18/12</f>
        <v>39153.069999999992</v>
      </c>
      <c r="O355" s="25">
        <f t="shared" si="265"/>
        <v>10889.636755601023</v>
      </c>
      <c r="P355" s="25">
        <f t="shared" si="266"/>
        <v>28263.43324439897</v>
      </c>
      <c r="Q355" s="25">
        <f t="array" aca="1" ref="Q355" ca="1">INDEX('Isaac 401k'!L:L,MATCH('Retirement Calculator'!A355,'Isaac 401k'!N:N,0),0)</f>
        <v>1908982.7836156036</v>
      </c>
      <c r="R355" s="25">
        <f t="array" aca="1" ref="R355" ca="1">INDEX('Lorri 401b'!L:L,MATCH('Retirement Calculator'!A355,'Lorri 401b'!N:N,0),0)</f>
        <v>3777750.2568186116</v>
      </c>
      <c r="S355" s="25">
        <f t="shared" ca="1" si="267"/>
        <v>5686733.0404342152</v>
      </c>
    </row>
    <row r="356" spans="1:19" ht="15.75" customHeight="1" x14ac:dyDescent="0.3">
      <c r="A356" s="37">
        <v>61788</v>
      </c>
      <c r="B356" s="398">
        <f t="shared" ref="B356:C356" si="357">($A356-B$9)/365.25</f>
        <v>87.288158795345652</v>
      </c>
      <c r="C356" s="398">
        <f t="shared" si="357"/>
        <v>82.677618069815196</v>
      </c>
      <c r="E356" s="25">
        <f>IF(C356&gt;$B$7,0,'Combined Retirement'!$D$13/12)</f>
        <v>0</v>
      </c>
      <c r="F356" s="25">
        <f>IF(H356=0,'Combined Retirement'!$D$32,0)+'Combined Retirement'!$B$24</f>
        <v>2870.372285649099</v>
      </c>
      <c r="G356" s="25">
        <f>'Combined Retirement'!$C$24</f>
        <v>3254.2644699519233</v>
      </c>
      <c r="H356" s="25">
        <f>IF(B356&lt;62,0,'Combined Retirement'!$I$14)</f>
        <v>2345</v>
      </c>
      <c r="I356" s="25">
        <f>IF(C356&lt;62,0,'Combined Retirement'!$I$13)</f>
        <v>2420</v>
      </c>
      <c r="J356" s="25">
        <f t="shared" si="263"/>
        <v>7896.2379798201846</v>
      </c>
      <c r="K356" s="25">
        <f t="shared" si="264"/>
        <v>20367.195264578786</v>
      </c>
      <c r="L356" s="25"/>
      <c r="N356" s="25">
        <f>'Combined Retirement'!$C$18/12</f>
        <v>39153.069999999992</v>
      </c>
      <c r="O356" s="25">
        <f t="shared" si="265"/>
        <v>10889.636755601023</v>
      </c>
      <c r="P356" s="25">
        <f t="shared" si="266"/>
        <v>28263.43324439897</v>
      </c>
      <c r="Q356" s="25">
        <f t="array" aca="1" ref="Q356" ca="1">INDEX('Isaac 401k'!L:L,MATCH('Retirement Calculator'!A356,'Isaac 401k'!N:N,0),0)</f>
        <v>1909007.7395759325</v>
      </c>
      <c r="R356" s="25">
        <f t="array" aca="1" ref="R356" ca="1">INDEX('Lorri 401b'!L:L,MATCH('Retirement Calculator'!A356,'Lorri 401b'!N:N,0),0)</f>
        <v>3773038.8243105081</v>
      </c>
      <c r="S356" s="25">
        <f t="shared" ca="1" si="267"/>
        <v>5682046.5638864404</v>
      </c>
    </row>
    <row r="357" spans="1:19" ht="15.75" customHeight="1" x14ac:dyDescent="0.3">
      <c r="A357" s="37">
        <v>61819</v>
      </c>
      <c r="B357" s="398">
        <f t="shared" ref="B357:C357" si="358">($A357-B$9)/365.25</f>
        <v>87.37303216974675</v>
      </c>
      <c r="C357" s="398">
        <f t="shared" si="358"/>
        <v>82.762491444216295</v>
      </c>
      <c r="E357" s="25">
        <f>IF(C357&gt;$B$7,0,'Combined Retirement'!$D$13/12)</f>
        <v>0</v>
      </c>
      <c r="F357" s="25">
        <f>IF(H357=0,'Combined Retirement'!$D$32,0)+'Combined Retirement'!$B$24</f>
        <v>2870.372285649099</v>
      </c>
      <c r="G357" s="25">
        <f>'Combined Retirement'!$C$24</f>
        <v>3254.2644699519233</v>
      </c>
      <c r="H357" s="25">
        <f>IF(B357&lt;62,0,'Combined Retirement'!$I$14)</f>
        <v>2345</v>
      </c>
      <c r="I357" s="25">
        <f>IF(C357&lt;62,0,'Combined Retirement'!$I$13)</f>
        <v>2420</v>
      </c>
      <c r="J357" s="25">
        <f t="shared" si="263"/>
        <v>7896.2379798201846</v>
      </c>
      <c r="K357" s="25">
        <f t="shared" si="264"/>
        <v>20367.195264578786</v>
      </c>
      <c r="L357" s="25"/>
      <c r="N357" s="25">
        <f>'Combined Retirement'!$C$18/12</f>
        <v>39153.069999999992</v>
      </c>
      <c r="O357" s="25">
        <f t="shared" si="265"/>
        <v>10889.636755601023</v>
      </c>
      <c r="P357" s="25">
        <f t="shared" si="266"/>
        <v>28263.43324439897</v>
      </c>
      <c r="Q357" s="25">
        <f t="array" aca="1" ref="Q357" ca="1">INDEX('Isaac 401k'!L:L,MATCH('Retirement Calculator'!A357,'Isaac 401k'!N:N,0),0)</f>
        <v>1909032.7995194294</v>
      </c>
      <c r="R357" s="25">
        <f t="array" aca="1" ref="R357" ca="1">INDEX('Lorri 401b'!L:L,MATCH('Retirement Calculator'!A357,'Lorri 401b'!N:N,0),0)</f>
        <v>3768307.7608336206</v>
      </c>
      <c r="S357" s="25">
        <f t="shared" ca="1" si="267"/>
        <v>5677340.56035305</v>
      </c>
    </row>
    <row r="358" spans="1:19" ht="15.75" customHeight="1" x14ac:dyDescent="0.3">
      <c r="A358" s="37">
        <v>61849</v>
      </c>
      <c r="B358" s="398">
        <f t="shared" ref="B358:C358" si="359">($A358-B$9)/365.25</f>
        <v>87.455167693360707</v>
      </c>
      <c r="C358" s="398">
        <f t="shared" si="359"/>
        <v>82.844626967830251</v>
      </c>
      <c r="E358" s="25">
        <f>IF(C358&gt;$B$7,0,'Combined Retirement'!$D$13/12)</f>
        <v>0</v>
      </c>
      <c r="F358" s="25">
        <f>IF(H358=0,'Combined Retirement'!$D$32,0)+'Combined Retirement'!$B$24</f>
        <v>2870.372285649099</v>
      </c>
      <c r="G358" s="25">
        <f>'Combined Retirement'!$C$24</f>
        <v>3254.2644699519233</v>
      </c>
      <c r="H358" s="25">
        <f>IF(B358&lt;62,0,'Combined Retirement'!$I$14)</f>
        <v>2345</v>
      </c>
      <c r="I358" s="25">
        <f>IF(C358&lt;62,0,'Combined Retirement'!$I$13)</f>
        <v>2420</v>
      </c>
      <c r="J358" s="25">
        <f t="shared" si="263"/>
        <v>7896.2379798201846</v>
      </c>
      <c r="K358" s="25">
        <f t="shared" si="264"/>
        <v>20367.195264578786</v>
      </c>
      <c r="L358" s="25"/>
      <c r="N358" s="25">
        <f>'Combined Retirement'!$C$18/12</f>
        <v>39153.069999999992</v>
      </c>
      <c r="O358" s="25">
        <f t="shared" si="265"/>
        <v>10889.636755601023</v>
      </c>
      <c r="P358" s="25">
        <f t="shared" si="266"/>
        <v>28263.43324439897</v>
      </c>
      <c r="Q358" s="25">
        <f t="array" aca="1" ref="Q358" ca="1">INDEX('Isaac 401k'!L:L,MATCH('Retirement Calculator'!A358,'Isaac 401k'!N:N,0),0)</f>
        <v>1909057.9638793576</v>
      </c>
      <c r="R358" s="25">
        <f t="array" aca="1" ref="R358" ca="1">INDEX('Lorri 401b'!L:L,MATCH('Retirement Calculator'!A358,'Lorri 401b'!N:N,0),0)</f>
        <v>3763556.9845922459</v>
      </c>
      <c r="S358" s="25">
        <f t="shared" ca="1" si="267"/>
        <v>5672614.9484716039</v>
      </c>
    </row>
    <row r="359" spans="1:19" ht="15.75" customHeight="1" x14ac:dyDescent="0.3">
      <c r="A359" s="37">
        <v>61880</v>
      </c>
      <c r="B359" s="398">
        <f t="shared" ref="B359:C359" si="360">($A359-B$9)/365.25</f>
        <v>87.540041067761805</v>
      </c>
      <c r="C359" s="398">
        <f t="shared" si="360"/>
        <v>82.92950034223135</v>
      </c>
      <c r="E359" s="25">
        <f>IF(C359&gt;$B$7,0,'Combined Retirement'!$D$13/12)</f>
        <v>0</v>
      </c>
      <c r="F359" s="25">
        <f>IF(H359=0,'Combined Retirement'!$D$32,0)+'Combined Retirement'!$B$24</f>
        <v>2870.372285649099</v>
      </c>
      <c r="G359" s="25">
        <f>'Combined Retirement'!$C$24</f>
        <v>3254.2644699519233</v>
      </c>
      <c r="H359" s="25">
        <f>IF(B359&lt;62,0,'Combined Retirement'!$I$14)</f>
        <v>2345</v>
      </c>
      <c r="I359" s="25">
        <f>IF(C359&lt;62,0,'Combined Retirement'!$I$13)</f>
        <v>2420</v>
      </c>
      <c r="J359" s="25">
        <f t="shared" si="263"/>
        <v>7896.2379798201846</v>
      </c>
      <c r="K359" s="25">
        <f t="shared" si="264"/>
        <v>20367.195264578786</v>
      </c>
      <c r="L359" s="25"/>
      <c r="N359" s="25">
        <f>'Combined Retirement'!$C$18/12</f>
        <v>39153.069999999992</v>
      </c>
      <c r="O359" s="25">
        <f t="shared" si="265"/>
        <v>10889.636755601023</v>
      </c>
      <c r="P359" s="25">
        <f t="shared" si="266"/>
        <v>28263.43324439897</v>
      </c>
      <c r="Q359" s="25">
        <f t="array" aca="1" ref="Q359" ca="1">INDEX('Isaac 401k'!L:L,MATCH('Retirement Calculator'!A359,'Isaac 401k'!N:N,0),0)</f>
        <v>1909083.2330907853</v>
      </c>
      <c r="R359" s="25">
        <f t="array" aca="1" ref="R359" ca="1">INDEX('Lorri 401b'!L:L,MATCH('Retirement Calculator'!A359,'Lorri 401b'!N:N,0),0)</f>
        <v>3758786.4134498658</v>
      </c>
      <c r="S359" s="25">
        <f t="shared" ca="1" si="267"/>
        <v>5667869.6465406511</v>
      </c>
    </row>
    <row r="360" spans="1:19" ht="15.75" customHeight="1" x14ac:dyDescent="0.3">
      <c r="A360" s="37">
        <v>61910</v>
      </c>
      <c r="B360" s="398">
        <f t="shared" ref="B360:C360" si="361">($A360-B$9)/365.25</f>
        <v>87.622176591375776</v>
      </c>
      <c r="C360" s="398">
        <f t="shared" si="361"/>
        <v>83.011635865845307</v>
      </c>
      <c r="E360" s="25">
        <f>IF(C360&gt;$B$7,0,'Combined Retirement'!$D$13/12)</f>
        <v>0</v>
      </c>
      <c r="F360" s="25">
        <f>IF(H360=0,'Combined Retirement'!$D$32,0)+'Combined Retirement'!$B$24</f>
        <v>2870.372285649099</v>
      </c>
      <c r="G360" s="25">
        <f>'Combined Retirement'!$C$24</f>
        <v>3254.2644699519233</v>
      </c>
      <c r="H360" s="25">
        <f>IF(B360&lt;62,0,'Combined Retirement'!$I$14)</f>
        <v>2345</v>
      </c>
      <c r="I360" s="25">
        <f>IF(C360&lt;62,0,'Combined Retirement'!$I$13)</f>
        <v>2420</v>
      </c>
      <c r="J360" s="25">
        <f t="shared" si="263"/>
        <v>7896.2379798201846</v>
      </c>
      <c r="K360" s="25">
        <f t="shared" si="264"/>
        <v>20367.195264578786</v>
      </c>
      <c r="L360" s="25"/>
      <c r="N360" s="25">
        <f>'Combined Retirement'!$C$18/12</f>
        <v>39153.069999999992</v>
      </c>
      <c r="O360" s="25">
        <f t="shared" si="265"/>
        <v>10889.636755601023</v>
      </c>
      <c r="P360" s="25">
        <f t="shared" si="266"/>
        <v>28263.43324439897</v>
      </c>
      <c r="Q360" s="25">
        <f t="array" aca="1" ref="Q360" ca="1">INDEX('Isaac 401k'!L:L,MATCH('Retirement Calculator'!A360,'Isaac 401k'!N:N,0),0)</f>
        <v>1909108.6075905941</v>
      </c>
      <c r="R360" s="25">
        <f t="array" aca="1" ref="R360" ca="1">INDEX('Lorri 401b'!L:L,MATCH('Retirement Calculator'!A360,'Lorri 401b'!N:N,0),0)</f>
        <v>3753995.9649277255</v>
      </c>
      <c r="S360" s="25">
        <f t="shared" ca="1" si="267"/>
        <v>5663104.5725183198</v>
      </c>
    </row>
    <row r="361" spans="1:19" ht="15.75" customHeight="1" x14ac:dyDescent="0.3">
      <c r="A361" s="37">
        <v>61941</v>
      </c>
      <c r="B361" s="398">
        <f t="shared" ref="B361:C361" si="362">($A361-B$9)/365.25</f>
        <v>87.707049965776861</v>
      </c>
      <c r="C361" s="398">
        <f t="shared" si="362"/>
        <v>83.096509240246405</v>
      </c>
      <c r="E361" s="25">
        <f>IF(C361&gt;$B$7,0,'Combined Retirement'!$D$13/12)</f>
        <v>0</v>
      </c>
      <c r="F361" s="25">
        <f>IF(H361=0,'Combined Retirement'!$D$32,0)+'Combined Retirement'!$B$24</f>
        <v>2870.372285649099</v>
      </c>
      <c r="G361" s="25">
        <f>'Combined Retirement'!$C$24</f>
        <v>3254.2644699519233</v>
      </c>
      <c r="H361" s="25">
        <f>IF(B361&lt;62,0,'Combined Retirement'!$I$14)</f>
        <v>2345</v>
      </c>
      <c r="I361" s="25">
        <f>IF(C361&lt;62,0,'Combined Retirement'!$I$13)</f>
        <v>2420</v>
      </c>
      <c r="J361" s="25">
        <f t="shared" si="263"/>
        <v>7896.2379798201846</v>
      </c>
      <c r="K361" s="25">
        <f t="shared" si="264"/>
        <v>20367.195264578786</v>
      </c>
      <c r="L361" s="25"/>
      <c r="N361" s="25">
        <f>'Combined Retirement'!$C$18/12</f>
        <v>39153.069999999992</v>
      </c>
      <c r="O361" s="25">
        <f t="shared" si="265"/>
        <v>10889.636755601023</v>
      </c>
      <c r="P361" s="25">
        <f t="shared" si="266"/>
        <v>28263.43324439897</v>
      </c>
      <c r="Q361" s="25">
        <f t="array" aca="1" ref="Q361" ca="1">INDEX('Isaac 401k'!L:L,MATCH('Retirement Calculator'!A361,'Isaac 401k'!N:N,0),0)</f>
        <v>1909134.0878174854</v>
      </c>
      <c r="R361" s="25">
        <f t="array" aca="1" ref="R361" ca="1">INDEX('Lorri 401b'!L:L,MATCH('Retirement Calculator'!A361,'Lorri 401b'!N:N,0),0)</f>
        <v>3749185.55620341</v>
      </c>
      <c r="S361" s="25">
        <f t="shared" ca="1" si="267"/>
        <v>5658319.6440208955</v>
      </c>
    </row>
    <row r="362" spans="1:19" ht="15.75" customHeight="1" x14ac:dyDescent="0.3">
      <c r="A362" s="37">
        <v>61972</v>
      </c>
      <c r="B362" s="398">
        <f t="shared" ref="B362:C362" si="363">($A362-B$9)/365.25</f>
        <v>87.791923340177959</v>
      </c>
      <c r="C362" s="398">
        <f t="shared" si="363"/>
        <v>83.181382614647504</v>
      </c>
      <c r="E362" s="25">
        <f>IF(C362&gt;$B$7,0,'Combined Retirement'!$D$13/12)</f>
        <v>0</v>
      </c>
      <c r="F362" s="25">
        <f>IF(H362=0,'Combined Retirement'!$D$32,0)+'Combined Retirement'!$B$24</f>
        <v>2870.372285649099</v>
      </c>
      <c r="G362" s="25">
        <f>'Combined Retirement'!$C$24</f>
        <v>3254.2644699519233</v>
      </c>
      <c r="H362" s="25">
        <f>IF(B362&lt;62,0,'Combined Retirement'!$I$14)</f>
        <v>2345</v>
      </c>
      <c r="I362" s="25">
        <f>IF(C362&lt;62,0,'Combined Retirement'!$I$13)</f>
        <v>2420</v>
      </c>
      <c r="J362" s="25">
        <f t="shared" si="263"/>
        <v>7896.2379798201846</v>
      </c>
      <c r="K362" s="25">
        <f t="shared" si="264"/>
        <v>20367.195264578786</v>
      </c>
      <c r="L362" s="25"/>
      <c r="N362" s="25">
        <f>'Combined Retirement'!$C$18/12</f>
        <v>39153.069999999992</v>
      </c>
      <c r="O362" s="25">
        <f t="shared" si="265"/>
        <v>10889.636755601023</v>
      </c>
      <c r="P362" s="25">
        <f t="shared" si="266"/>
        <v>28263.43324439897</v>
      </c>
      <c r="Q362" s="25">
        <f t="array" aca="1" ref="Q362" ca="1">INDEX('Isaac 401k'!L:L,MATCH('Retirement Calculator'!A362,'Isaac 401k'!N:N,0),0)</f>
        <v>1909159.6742119889</v>
      </c>
      <c r="R362" s="25">
        <f t="array" aca="1" ref="R362" ca="1">INDEX('Lorri 401b'!L:L,MATCH('Retirement Calculator'!A362,'Lorri 401b'!N:N,0),0)</f>
        <v>3744355.1041094097</v>
      </c>
      <c r="S362" s="25">
        <f t="shared" ca="1" si="267"/>
        <v>5653514.7783213984</v>
      </c>
    </row>
    <row r="363" spans="1:19" ht="15.75" customHeight="1" x14ac:dyDescent="0.3">
      <c r="A363" s="37">
        <v>62002</v>
      </c>
      <c r="B363" s="398">
        <f t="shared" ref="B363:C363" si="364">($A363-B$9)/365.25</f>
        <v>87.87405886379193</v>
      </c>
      <c r="C363" s="398">
        <f t="shared" si="364"/>
        <v>83.26351813826146</v>
      </c>
      <c r="E363" s="25">
        <f>IF(C363&gt;$B$7,0,'Combined Retirement'!$D$13/12)</f>
        <v>0</v>
      </c>
      <c r="F363" s="25">
        <f>IF(H363=0,'Combined Retirement'!$D$32,0)+'Combined Retirement'!$B$24</f>
        <v>2870.372285649099</v>
      </c>
      <c r="G363" s="25">
        <f>'Combined Retirement'!$C$24</f>
        <v>3254.2644699519233</v>
      </c>
      <c r="H363" s="25">
        <f>IF(B363&lt;62,0,'Combined Retirement'!$I$14)</f>
        <v>2345</v>
      </c>
      <c r="I363" s="25">
        <f>IF(C363&lt;62,0,'Combined Retirement'!$I$13)</f>
        <v>2420</v>
      </c>
      <c r="J363" s="25">
        <f t="shared" si="263"/>
        <v>7896.2379798201846</v>
      </c>
      <c r="K363" s="25">
        <f t="shared" si="264"/>
        <v>20367.195264578786</v>
      </c>
      <c r="L363" s="25"/>
      <c r="N363" s="25">
        <f>'Combined Retirement'!$C$18/12</f>
        <v>39153.069999999992</v>
      </c>
      <c r="O363" s="25">
        <f t="shared" si="265"/>
        <v>10889.636755601023</v>
      </c>
      <c r="P363" s="25">
        <f t="shared" si="266"/>
        <v>28263.43324439897</v>
      </c>
      <c r="Q363" s="25">
        <f t="array" aca="1" ref="Q363" ca="1">INDEX('Isaac 401k'!L:L,MATCH('Retirement Calculator'!A363,'Isaac 401k'!N:N,0),0)</f>
        <v>1909185.3672164695</v>
      </c>
      <c r="R363" s="25">
        <f t="array" aca="1" ref="R363" ca="1">INDEX('Lorri 401b'!L:L,MATCH('Retirement Calculator'!A363,'Lorri 401b'!N:N,0),0)</f>
        <v>3739504.5251316843</v>
      </c>
      <c r="S363" s="25">
        <f t="shared" ca="1" si="267"/>
        <v>5648689.8923481535</v>
      </c>
    </row>
    <row r="364" spans="1:19" ht="15.75" customHeight="1" x14ac:dyDescent="0.3">
      <c r="A364" s="37">
        <v>62033</v>
      </c>
      <c r="B364" s="398">
        <f t="shared" ref="B364:C364" si="365">($A364-B$9)/365.25</f>
        <v>87.958932238193015</v>
      </c>
      <c r="C364" s="398">
        <f t="shared" si="365"/>
        <v>83.348391512662559</v>
      </c>
      <c r="E364" s="25">
        <f>IF(C364&gt;$B$7,0,'Combined Retirement'!$D$13/12)</f>
        <v>0</v>
      </c>
      <c r="F364" s="25">
        <f>IF(H364=0,'Combined Retirement'!$D$32,0)+'Combined Retirement'!$B$24</f>
        <v>2870.372285649099</v>
      </c>
      <c r="G364" s="25">
        <f>'Combined Retirement'!$C$24</f>
        <v>3254.2644699519233</v>
      </c>
      <c r="H364" s="25">
        <f>IF(B364&lt;62,0,'Combined Retirement'!$I$14)</f>
        <v>2345</v>
      </c>
      <c r="I364" s="25">
        <f>IF(C364&lt;62,0,'Combined Retirement'!$I$13)</f>
        <v>2420</v>
      </c>
      <c r="J364" s="25">
        <f t="shared" si="263"/>
        <v>7896.2379798201846</v>
      </c>
      <c r="K364" s="25">
        <f t="shared" si="264"/>
        <v>20367.195264578786</v>
      </c>
      <c r="L364" s="25"/>
      <c r="N364" s="25">
        <f>'Combined Retirement'!$C$18/12</f>
        <v>39153.069999999992</v>
      </c>
      <c r="O364" s="25">
        <f t="shared" si="265"/>
        <v>10889.636755601023</v>
      </c>
      <c r="P364" s="25">
        <f t="shared" si="266"/>
        <v>28263.43324439897</v>
      </c>
      <c r="Q364" s="25">
        <f t="array" aca="1" ref="Q364" ca="1">INDEX('Isaac 401k'!L:L,MATCH('Retirement Calculator'!A364,'Isaac 401k'!N:N,0),0)</f>
        <v>1909211.1672751354</v>
      </c>
      <c r="R364" s="25">
        <f t="array" aca="1" ref="R364" ca="1">INDEX('Lorri 401b'!L:L,MATCH('Retirement Calculator'!A364,'Lorri 401b'!N:N,0),0)</f>
        <v>3734633.7354082186</v>
      </c>
      <c r="S364" s="25">
        <f t="shared" ca="1" si="267"/>
        <v>5643844.902683354</v>
      </c>
    </row>
    <row r="365" spans="1:19" ht="15.75" customHeight="1" x14ac:dyDescent="0.3">
      <c r="A365" s="37">
        <v>62063</v>
      </c>
      <c r="B365" s="398">
        <f t="shared" ref="B365:C365" si="366">($A365-B$9)/365.25</f>
        <v>88.041067761806985</v>
      </c>
      <c r="C365" s="398">
        <f t="shared" si="366"/>
        <v>83.43052703627653</v>
      </c>
      <c r="E365" s="25">
        <f>IF(C365&gt;$B$7,0,'Combined Retirement'!$D$13/12)</f>
        <v>0</v>
      </c>
      <c r="F365" s="25">
        <f>IF(H365=0,'Combined Retirement'!$D$32,0)+'Combined Retirement'!$B$24</f>
        <v>2870.372285649099</v>
      </c>
      <c r="G365" s="25">
        <f>'Combined Retirement'!$C$24</f>
        <v>3254.2644699519233</v>
      </c>
      <c r="H365" s="25">
        <f>IF(B365&lt;62,0,'Combined Retirement'!$I$14)</f>
        <v>2345</v>
      </c>
      <c r="I365" s="25">
        <f>IF(C365&lt;62,0,'Combined Retirement'!$I$13)</f>
        <v>2420</v>
      </c>
      <c r="J365" s="25">
        <f t="shared" si="263"/>
        <v>7896.2379798201846</v>
      </c>
      <c r="K365" s="25">
        <f t="shared" si="264"/>
        <v>20367.195264578786</v>
      </c>
      <c r="L365" s="25"/>
      <c r="N365" s="25">
        <f>'Combined Retirement'!$C$18/12</f>
        <v>39153.069999999992</v>
      </c>
      <c r="O365" s="25">
        <f t="shared" si="265"/>
        <v>10889.636755601023</v>
      </c>
      <c r="P365" s="25">
        <f t="shared" si="266"/>
        <v>28263.43324439897</v>
      </c>
      <c r="Q365" s="25">
        <f t="array" aca="1" ref="Q365" ca="1">INDEX('Isaac 401k'!L:L,MATCH('Retirement Calculator'!A365,'Isaac 401k'!N:N,0),0)</f>
        <v>1909237.0748340457</v>
      </c>
      <c r="R365" s="25">
        <f t="array" aca="1" ref="R365" ca="1">INDEX('Lorri 401b'!L:L,MATCH('Retirement Calculator'!A365,'Lorri 401b'!N:N,0),0)</f>
        <v>3729742.6507275715</v>
      </c>
      <c r="S365" s="25">
        <f t="shared" ca="1" si="267"/>
        <v>5638979.7255616169</v>
      </c>
    </row>
    <row r="366" spans="1:19" ht="15.75" customHeight="1" x14ac:dyDescent="0.3">
      <c r="A366" s="37">
        <v>62094</v>
      </c>
      <c r="B366" s="398">
        <f t="shared" ref="B366:C366" si="367">($A366-B$9)/365.25</f>
        <v>88.12594113620807</v>
      </c>
      <c r="C366" s="398">
        <f t="shared" si="367"/>
        <v>83.515400410677614</v>
      </c>
      <c r="E366" s="25">
        <f>IF(C366&gt;$B$7,0,'Combined Retirement'!$D$13/12)</f>
        <v>0</v>
      </c>
      <c r="F366" s="25">
        <f>IF(H366=0,'Combined Retirement'!$D$32,0)+'Combined Retirement'!$B$24</f>
        <v>2870.372285649099</v>
      </c>
      <c r="G366" s="25">
        <f>'Combined Retirement'!$C$24</f>
        <v>3254.2644699519233</v>
      </c>
      <c r="H366" s="25">
        <f>IF(B366&lt;62,0,'Combined Retirement'!$I$14)</f>
        <v>2345</v>
      </c>
      <c r="I366" s="25">
        <f>IF(C366&lt;62,0,'Combined Retirement'!$I$13)</f>
        <v>2420</v>
      </c>
      <c r="J366" s="25">
        <f t="shared" si="263"/>
        <v>7896.2379798201846</v>
      </c>
      <c r="K366" s="25">
        <f t="shared" si="264"/>
        <v>20367.195264578786</v>
      </c>
      <c r="L366" s="25"/>
      <c r="N366" s="25">
        <f>'Combined Retirement'!$C$18/12</f>
        <v>39153.069999999992</v>
      </c>
      <c r="O366" s="25">
        <f t="shared" si="265"/>
        <v>10889.636755601023</v>
      </c>
      <c r="P366" s="25">
        <f t="shared" si="266"/>
        <v>28263.43324439897</v>
      </c>
      <c r="Q366" s="25">
        <f t="array" aca="1" ref="Q366" ca="1">INDEX('Isaac 401k'!L:L,MATCH('Retirement Calculator'!A366,'Isaac 401k'!N:N,0),0)</f>
        <v>1909263.0903411182</v>
      </c>
      <c r="R366" s="25">
        <f t="array" aca="1" ref="R366" ca="1">INDEX('Lorri 401b'!L:L,MATCH('Retirement Calculator'!A366,'Lorri 401b'!N:N,0),0)</f>
        <v>3724831.1865274217</v>
      </c>
      <c r="S366" s="25">
        <f t="shared" ca="1" si="267"/>
        <v>5634094.2768685399</v>
      </c>
    </row>
    <row r="367" spans="1:19" ht="15.75" customHeight="1" x14ac:dyDescent="0.3">
      <c r="A367" s="37">
        <v>62125</v>
      </c>
      <c r="B367" s="398">
        <f t="shared" ref="B367:C367" si="368">($A367-B$9)/365.25</f>
        <v>88.210814510609168</v>
      </c>
      <c r="C367" s="398">
        <f t="shared" si="368"/>
        <v>83.600273785078713</v>
      </c>
      <c r="E367" s="25">
        <f>IF(C367&gt;$B$7,0,'Combined Retirement'!$D$13/12)</f>
        <v>0</v>
      </c>
      <c r="F367" s="25">
        <f>IF(H367=0,'Combined Retirement'!$D$32,0)+'Combined Retirement'!$B$24</f>
        <v>2870.372285649099</v>
      </c>
      <c r="G367" s="25">
        <f>'Combined Retirement'!$C$24</f>
        <v>3254.2644699519233</v>
      </c>
      <c r="H367" s="25">
        <f>IF(B367&lt;62,0,'Combined Retirement'!$I$14)</f>
        <v>2345</v>
      </c>
      <c r="I367" s="25">
        <f>IF(C367&lt;62,0,'Combined Retirement'!$I$13)</f>
        <v>2420</v>
      </c>
      <c r="J367" s="25">
        <f t="shared" si="263"/>
        <v>7896.2379798201846</v>
      </c>
      <c r="K367" s="25">
        <f t="shared" si="264"/>
        <v>20367.195264578786</v>
      </c>
      <c r="L367" s="25"/>
      <c r="N367" s="25">
        <f>'Combined Retirement'!$C$18/12</f>
        <v>39153.069999999992</v>
      </c>
      <c r="O367" s="25">
        <f t="shared" si="265"/>
        <v>10889.636755601023</v>
      </c>
      <c r="P367" s="25">
        <f t="shared" si="266"/>
        <v>28263.43324439897</v>
      </c>
      <c r="Q367" s="25">
        <f t="array" aca="1" ref="Q367" ca="1">INDEX('Isaac 401k'!L:L,MATCH('Retirement Calculator'!A367,'Isaac 401k'!N:N,0),0)</f>
        <v>1909289.2142461366</v>
      </c>
      <c r="R367" s="25">
        <f t="array" aca="1" ref="R367" ca="1">INDEX('Lorri 401b'!L:L,MATCH('Retirement Calculator'!A367,'Lorri 401b'!N:N,0),0)</f>
        <v>3719899.2578931046</v>
      </c>
      <c r="S367" s="25">
        <f t="shared" ca="1" si="267"/>
        <v>5629188.4721392412</v>
      </c>
    </row>
    <row r="368" spans="1:19" ht="15.75" customHeight="1" x14ac:dyDescent="0.3">
      <c r="A368" s="37">
        <v>62153</v>
      </c>
      <c r="B368" s="398">
        <f t="shared" ref="B368:C368" si="369">($A368-B$9)/365.25</f>
        <v>88.28747433264887</v>
      </c>
      <c r="C368" s="398">
        <f t="shared" si="369"/>
        <v>83.676933607118414</v>
      </c>
      <c r="E368" s="25">
        <f>IF(C368&gt;$B$7,0,'Combined Retirement'!$D$13/12)</f>
        <v>0</v>
      </c>
      <c r="F368" s="25">
        <f>IF(H368=0,'Combined Retirement'!$D$32,0)+'Combined Retirement'!$B$24</f>
        <v>2870.372285649099</v>
      </c>
      <c r="G368" s="25">
        <f>'Combined Retirement'!$C$24</f>
        <v>3254.2644699519233</v>
      </c>
      <c r="H368" s="25">
        <f>IF(B368&lt;62,0,'Combined Retirement'!$I$14)</f>
        <v>2345</v>
      </c>
      <c r="I368" s="25">
        <f>IF(C368&lt;62,0,'Combined Retirement'!$I$13)</f>
        <v>2420</v>
      </c>
      <c r="J368" s="25">
        <f t="shared" si="263"/>
        <v>7896.2379798201846</v>
      </c>
      <c r="K368" s="25">
        <f t="shared" si="264"/>
        <v>20367.195264578786</v>
      </c>
      <c r="L368" s="25"/>
      <c r="N368" s="25">
        <f>'Combined Retirement'!$C$18/12</f>
        <v>39153.069999999992</v>
      </c>
      <c r="O368" s="25">
        <f t="shared" si="265"/>
        <v>10889.636755601023</v>
      </c>
      <c r="P368" s="25">
        <f t="shared" si="266"/>
        <v>28263.43324439897</v>
      </c>
      <c r="Q368" s="25">
        <f t="array" aca="1" ref="Q368" ca="1">INDEX('Isaac 401k'!L:L,MATCH('Retirement Calculator'!A368,'Isaac 401k'!N:N,0),0)</f>
        <v>1909315.4470007594</v>
      </c>
      <c r="R368" s="25">
        <f t="array" aca="1" ref="R368" ca="1">INDEX('Lorri 401b'!L:L,MATCH('Retirement Calculator'!A368,'Lorri 401b'!N:N,0),0)</f>
        <v>3714946.7795561445</v>
      </c>
      <c r="S368" s="25">
        <f t="shared" ca="1" si="267"/>
        <v>5624262.2265569037</v>
      </c>
    </row>
    <row r="369" spans="1:19" ht="15.75" customHeight="1" x14ac:dyDescent="0.3">
      <c r="A369" s="37">
        <v>62184</v>
      </c>
      <c r="B369" s="398">
        <f t="shared" ref="B369:C369" si="370">($A369-B$9)/365.25</f>
        <v>88.372347707049968</v>
      </c>
      <c r="C369" s="398">
        <f t="shared" si="370"/>
        <v>83.761806981519513</v>
      </c>
      <c r="E369" s="25">
        <f>IF(C369&gt;$B$7,0,'Combined Retirement'!$D$13/12)</f>
        <v>0</v>
      </c>
      <c r="F369" s="25">
        <f>IF(H369=0,'Combined Retirement'!$D$32,0)+'Combined Retirement'!$B$24</f>
        <v>2870.372285649099</v>
      </c>
      <c r="G369" s="25">
        <f>'Combined Retirement'!$C$24</f>
        <v>3254.2644699519233</v>
      </c>
      <c r="H369" s="25">
        <f>IF(B369&lt;62,0,'Combined Retirement'!$I$14)</f>
        <v>2345</v>
      </c>
      <c r="I369" s="25">
        <f>IF(C369&lt;62,0,'Combined Retirement'!$I$13)</f>
        <v>2420</v>
      </c>
      <c r="J369" s="25">
        <f t="shared" si="263"/>
        <v>7896.2379798201846</v>
      </c>
      <c r="K369" s="25">
        <f t="shared" si="264"/>
        <v>20367.195264578786</v>
      </c>
      <c r="L369" s="25"/>
      <c r="N369" s="25">
        <f>'Combined Retirement'!$C$18/12</f>
        <v>39153.069999999992</v>
      </c>
      <c r="O369" s="25">
        <f t="shared" si="265"/>
        <v>10889.636755601023</v>
      </c>
      <c r="P369" s="25">
        <f t="shared" si="266"/>
        <v>28263.43324439897</v>
      </c>
      <c r="Q369" s="25">
        <f t="array" aca="1" ref="Q369" ca="1">INDEX('Isaac 401k'!L:L,MATCH('Retirement Calculator'!A369,'Isaac 401k'!N:N,0),0)</f>
        <v>1909341.7890585265</v>
      </c>
      <c r="R369" s="25">
        <f t="array" aca="1" ref="R369" ca="1">INDEX('Lorri 401b'!L:L,MATCH('Retirement Calculator'!A369,'Lorri 401b'!N:N,0),0)</f>
        <v>3709973.6658927808</v>
      </c>
      <c r="S369" s="25">
        <f t="shared" ca="1" si="267"/>
        <v>5619315.4549513068</v>
      </c>
    </row>
    <row r="370" spans="1:19" ht="15.75" customHeight="1" x14ac:dyDescent="0.3">
      <c r="A370" s="37">
        <v>62214</v>
      </c>
      <c r="B370" s="398">
        <f t="shared" ref="B370:C370" si="371">($A370-B$9)/365.25</f>
        <v>88.454483230663925</v>
      </c>
      <c r="C370" s="398">
        <f t="shared" si="371"/>
        <v>83.843942505133469</v>
      </c>
      <c r="E370" s="25">
        <f>IF(C370&gt;$B$7,0,'Combined Retirement'!$D$13/12)</f>
        <v>0</v>
      </c>
      <c r="F370" s="25">
        <f>IF(H370=0,'Combined Retirement'!$D$32,0)+'Combined Retirement'!$B$24</f>
        <v>2870.372285649099</v>
      </c>
      <c r="G370" s="25">
        <f>'Combined Retirement'!$C$24</f>
        <v>3254.2644699519233</v>
      </c>
      <c r="H370" s="25">
        <f>IF(B370&lt;62,0,'Combined Retirement'!$I$14)</f>
        <v>2345</v>
      </c>
      <c r="I370" s="25">
        <f>IF(C370&lt;62,0,'Combined Retirement'!$I$13)</f>
        <v>2420</v>
      </c>
      <c r="J370" s="25">
        <f t="shared" si="263"/>
        <v>7896.2379798201846</v>
      </c>
      <c r="K370" s="25">
        <f t="shared" si="264"/>
        <v>20367.195264578786</v>
      </c>
      <c r="L370" s="25"/>
      <c r="N370" s="25">
        <f>'Combined Retirement'!$C$18/12</f>
        <v>39153.069999999992</v>
      </c>
      <c r="O370" s="25">
        <f t="shared" si="265"/>
        <v>10889.636755601023</v>
      </c>
      <c r="P370" s="25">
        <f t="shared" si="266"/>
        <v>28263.43324439897</v>
      </c>
      <c r="Q370" s="25">
        <f t="array" aca="1" ref="Q370" ca="1">INDEX('Isaac 401k'!L:L,MATCH('Retirement Calculator'!A370,'Isaac 401k'!N:N,0),0)</f>
        <v>1909368.2408748677</v>
      </c>
      <c r="R370" s="25">
        <f t="array" aca="1" ref="R370" ca="1">INDEX('Lorri 401b'!L:L,MATCH('Retirement Calculator'!A370,'Lorri 401b'!N:N,0),0)</f>
        <v>3704979.8309224863</v>
      </c>
      <c r="S370" s="25">
        <f t="shared" ca="1" si="267"/>
        <v>5614348.0717973541</v>
      </c>
    </row>
    <row r="371" spans="1:19" ht="15.75" customHeight="1" x14ac:dyDescent="0.3">
      <c r="A371" s="37">
        <v>62245</v>
      </c>
      <c r="B371" s="398">
        <f t="shared" ref="B371:C371" si="372">($A371-B$9)/365.25</f>
        <v>88.539356605065024</v>
      </c>
      <c r="C371" s="398">
        <f t="shared" si="372"/>
        <v>83.928815879534568</v>
      </c>
      <c r="E371" s="25">
        <f>IF(C371&gt;$B$7,0,'Combined Retirement'!$D$13/12)</f>
        <v>0</v>
      </c>
      <c r="F371" s="25">
        <f>IF(H371=0,'Combined Retirement'!$D$32,0)+'Combined Retirement'!$B$24</f>
        <v>2870.372285649099</v>
      </c>
      <c r="G371" s="25">
        <f>'Combined Retirement'!$C$24</f>
        <v>3254.2644699519233</v>
      </c>
      <c r="H371" s="25">
        <f>IF(B371&lt;62,0,'Combined Retirement'!$I$14)</f>
        <v>2345</v>
      </c>
      <c r="I371" s="25">
        <f>IF(C371&lt;62,0,'Combined Retirement'!$I$13)</f>
        <v>2420</v>
      </c>
      <c r="J371" s="25">
        <f t="shared" si="263"/>
        <v>7896.2379798201846</v>
      </c>
      <c r="K371" s="25">
        <f t="shared" si="264"/>
        <v>20367.195264578786</v>
      </c>
      <c r="L371" s="25"/>
      <c r="N371" s="25">
        <f>'Combined Retirement'!$C$18/12</f>
        <v>39153.069999999992</v>
      </c>
      <c r="O371" s="25">
        <f t="shared" si="265"/>
        <v>10889.636755601023</v>
      </c>
      <c r="P371" s="25">
        <f t="shared" si="266"/>
        <v>28263.43324439897</v>
      </c>
      <c r="Q371" s="25">
        <f t="array" aca="1" ref="Q371" ca="1">INDEX('Isaac 401k'!L:L,MATCH('Retirement Calculator'!A371,'Isaac 401k'!N:N,0),0)</f>
        <v>1909394.8029071102</v>
      </c>
      <c r="R371" s="25">
        <f t="array" aca="1" ref="R371" ca="1">INDEX('Lorri 401b'!L:L,MATCH('Retirement Calculator'!A371,'Lorri 401b'!N:N,0),0)</f>
        <v>3699965.188306482</v>
      </c>
      <c r="S371" s="25">
        <f t="shared" ca="1" si="267"/>
        <v>5609359.9912135918</v>
      </c>
    </row>
    <row r="372" spans="1:19" ht="15.75" customHeight="1" x14ac:dyDescent="0.3">
      <c r="A372" s="37">
        <v>62275</v>
      </c>
      <c r="B372" s="398">
        <f t="shared" ref="B372:C372" si="373">($A372-B$9)/365.25</f>
        <v>88.62149212867898</v>
      </c>
      <c r="C372" s="398">
        <f t="shared" si="373"/>
        <v>84.010951403148525</v>
      </c>
      <c r="E372" s="25">
        <f>IF(C372&gt;$B$7,0,'Combined Retirement'!$D$13/12)</f>
        <v>0</v>
      </c>
      <c r="F372" s="25">
        <f>IF(H372=0,'Combined Retirement'!$D$32,0)+'Combined Retirement'!$B$24</f>
        <v>2870.372285649099</v>
      </c>
      <c r="G372" s="25">
        <f>'Combined Retirement'!$C$24</f>
        <v>3254.2644699519233</v>
      </c>
      <c r="H372" s="25">
        <f>IF(B372&lt;62,0,'Combined Retirement'!$I$14)</f>
        <v>2345</v>
      </c>
      <c r="I372" s="25">
        <f>IF(C372&lt;62,0,'Combined Retirement'!$I$13)</f>
        <v>2420</v>
      </c>
      <c r="J372" s="25">
        <f t="shared" si="263"/>
        <v>7896.2379798201846</v>
      </c>
      <c r="K372" s="25">
        <f t="shared" si="264"/>
        <v>20367.195264578786</v>
      </c>
      <c r="L372" s="25"/>
      <c r="N372" s="25">
        <f>'Combined Retirement'!$C$18/12</f>
        <v>39153.069999999992</v>
      </c>
      <c r="O372" s="25">
        <f t="shared" si="265"/>
        <v>10889.636755601023</v>
      </c>
      <c r="P372" s="25">
        <f t="shared" si="266"/>
        <v>28263.43324439897</v>
      </c>
      <c r="Q372" s="25">
        <f t="array" aca="1" ref="Q372" ca="1">INDEX('Isaac 401k'!L:L,MATCH('Retirement Calculator'!A372,'Isaac 401k'!N:N,0),0)</f>
        <v>1909421.475614487</v>
      </c>
      <c r="R372" s="25">
        <f t="array" aca="1" ref="R372" ca="1">INDEX('Lorri 401b'!L:L,MATCH('Retirement Calculator'!A372,'Lorri 401b'!N:N,0),0)</f>
        <v>3694929.6513462444</v>
      </c>
      <c r="S372" s="25">
        <f t="shared" ca="1" si="267"/>
        <v>5604351.1269607311</v>
      </c>
    </row>
    <row r="373" spans="1:19" ht="15.75" customHeight="1" x14ac:dyDescent="0.3">
      <c r="A373" s="37">
        <v>62306</v>
      </c>
      <c r="B373" s="398">
        <f t="shared" ref="B373:C373" si="374">($A373-B$9)/365.25</f>
        <v>88.706365503080079</v>
      </c>
      <c r="C373" s="398">
        <f t="shared" si="374"/>
        <v>84.095824777549623</v>
      </c>
      <c r="E373" s="25">
        <f>IF(C373&gt;$B$7,0,'Combined Retirement'!$D$13/12)</f>
        <v>0</v>
      </c>
      <c r="F373" s="25">
        <f>IF(H373=0,'Combined Retirement'!$D$32,0)+'Combined Retirement'!$B$24</f>
        <v>2870.372285649099</v>
      </c>
      <c r="G373" s="25">
        <f>'Combined Retirement'!$C$24</f>
        <v>3254.2644699519233</v>
      </c>
      <c r="H373" s="25">
        <f>IF(B373&lt;62,0,'Combined Retirement'!$I$14)</f>
        <v>2345</v>
      </c>
      <c r="I373" s="25">
        <f>IF(C373&lt;62,0,'Combined Retirement'!$I$13)</f>
        <v>2420</v>
      </c>
      <c r="J373" s="25">
        <f t="shared" si="263"/>
        <v>7896.2379798201846</v>
      </c>
      <c r="K373" s="25">
        <f t="shared" si="264"/>
        <v>20367.195264578786</v>
      </c>
      <c r="L373" s="25"/>
      <c r="N373" s="25">
        <f>'Combined Retirement'!$C$18/12</f>
        <v>39153.069999999992</v>
      </c>
      <c r="O373" s="25">
        <f t="shared" si="265"/>
        <v>10889.636755601023</v>
      </c>
      <c r="P373" s="25">
        <f t="shared" si="266"/>
        <v>28263.43324439897</v>
      </c>
      <c r="Q373" s="25">
        <f t="array" aca="1" ref="Q373" ca="1">INDEX('Isaac 401k'!L:L,MATCH('Retirement Calculator'!A373,'Isaac 401k'!N:N,0),0)</f>
        <v>1909448.2594581444</v>
      </c>
      <c r="R373" s="25">
        <f t="array" aca="1" ref="R373" ca="1">INDEX('Lorri 401b'!L:L,MATCH('Retirement Calculator'!A373,'Lorri 401b'!N:N,0),0)</f>
        <v>3689873.1329820058</v>
      </c>
      <c r="S373" s="25">
        <f t="shared" ca="1" si="267"/>
        <v>5599321.3924401505</v>
      </c>
    </row>
    <row r="374" spans="1:19" ht="15.75" customHeight="1" x14ac:dyDescent="0.3">
      <c r="A374" s="37">
        <v>62337</v>
      </c>
      <c r="B374" s="398">
        <f t="shared" ref="B374:C374" si="375">($A374-B$9)/365.25</f>
        <v>88.791238877481177</v>
      </c>
      <c r="C374" s="398">
        <f t="shared" si="375"/>
        <v>84.180698151950722</v>
      </c>
      <c r="E374" s="25">
        <f>IF(C374&gt;$B$7,0,'Combined Retirement'!$D$13/12)</f>
        <v>0</v>
      </c>
      <c r="F374" s="25">
        <f>IF(H374=0,'Combined Retirement'!$D$32,0)+'Combined Retirement'!$B$24</f>
        <v>2870.372285649099</v>
      </c>
      <c r="G374" s="25">
        <f>'Combined Retirement'!$C$24</f>
        <v>3254.2644699519233</v>
      </c>
      <c r="H374" s="25">
        <f>IF(B374&lt;62,0,'Combined Retirement'!$I$14)</f>
        <v>2345</v>
      </c>
      <c r="I374" s="25">
        <f>IF(C374&lt;62,0,'Combined Retirement'!$I$13)</f>
        <v>2420</v>
      </c>
      <c r="J374" s="25">
        <f t="shared" si="263"/>
        <v>7896.2379798201846</v>
      </c>
      <c r="K374" s="25">
        <f t="shared" si="264"/>
        <v>20367.195264578786</v>
      </c>
      <c r="L374" s="25"/>
      <c r="N374" s="25">
        <f>'Combined Retirement'!$C$18/12</f>
        <v>39153.069999999992</v>
      </c>
      <c r="O374" s="25">
        <f t="shared" si="265"/>
        <v>10889.636755601023</v>
      </c>
      <c r="P374" s="25">
        <f t="shared" si="266"/>
        <v>28263.43324439897</v>
      </c>
      <c r="Q374" s="25">
        <f t="array" aca="1" ref="Q374" ca="1">INDEX('Isaac 401k'!L:L,MATCH('Retirement Calculator'!A374,'Isaac 401k'!N:N,0),0)</f>
        <v>1909475.1549011506</v>
      </c>
      <c r="R374" s="25">
        <f t="array" aca="1" ref="R374" ca="1">INDEX('Lorri 401b'!L:L,MATCH('Retirement Calculator'!A374,'Lorri 401b'!N:N,0),0)</f>
        <v>3684795.5457912497</v>
      </c>
      <c r="S374" s="25">
        <f t="shared" ca="1" si="267"/>
        <v>5594270.7006924003</v>
      </c>
    </row>
    <row r="375" spans="1:19" ht="15.75" customHeight="1" x14ac:dyDescent="0.3">
      <c r="A375" s="37">
        <v>62367</v>
      </c>
      <c r="B375" s="398">
        <f t="shared" ref="B375:C375" si="376">($A375-B$9)/365.25</f>
        <v>88.873374401095134</v>
      </c>
      <c r="C375" s="398">
        <f t="shared" si="376"/>
        <v>84.262833675564679</v>
      </c>
      <c r="E375" s="25">
        <f>IF(C375&gt;$B$7,0,'Combined Retirement'!$D$13/12)</f>
        <v>0</v>
      </c>
      <c r="F375" s="25">
        <f>IF(H375=0,'Combined Retirement'!$D$32,0)+'Combined Retirement'!$B$24</f>
        <v>2870.372285649099</v>
      </c>
      <c r="G375" s="25">
        <f>'Combined Retirement'!$C$24</f>
        <v>3254.2644699519233</v>
      </c>
      <c r="H375" s="25">
        <f>IF(B375&lt;62,0,'Combined Retirement'!$I$14)</f>
        <v>2345</v>
      </c>
      <c r="I375" s="25">
        <f>IF(C375&lt;62,0,'Combined Retirement'!$I$13)</f>
        <v>2420</v>
      </c>
      <c r="J375" s="25">
        <f t="shared" si="263"/>
        <v>7896.2379798201846</v>
      </c>
      <c r="K375" s="25">
        <f t="shared" si="264"/>
        <v>20367.195264578786</v>
      </c>
      <c r="L375" s="25"/>
      <c r="N375" s="25">
        <f>'Combined Retirement'!$C$18/12</f>
        <v>39153.069999999992</v>
      </c>
      <c r="O375" s="25">
        <f t="shared" si="265"/>
        <v>10889.636755601023</v>
      </c>
      <c r="P375" s="25">
        <f t="shared" si="266"/>
        <v>28263.43324439897</v>
      </c>
      <c r="Q375" s="25">
        <f t="array" aca="1" ref="Q375" ca="1">INDEX('Isaac 401k'!L:L,MATCH('Retirement Calculator'!A375,'Isaac 401k'!N:N,0),0)</f>
        <v>1909502.1624085025</v>
      </c>
      <c r="R375" s="25">
        <f t="array" aca="1" ref="R375" ca="1">INDEX('Lorri 401b'!L:L,MATCH('Retirement Calculator'!A375,'Lorri 401b'!N:N,0),0)</f>
        <v>3679696.8019871986</v>
      </c>
      <c r="S375" s="25">
        <f t="shared" ca="1" si="267"/>
        <v>5589198.964395701</v>
      </c>
    </row>
    <row r="376" spans="1:19" ht="15.75" customHeight="1" x14ac:dyDescent="0.3">
      <c r="A376" s="37">
        <v>62398</v>
      </c>
      <c r="B376" s="398">
        <f t="shared" ref="B376:C376" si="377">($A376-B$9)/365.25</f>
        <v>88.958247775496233</v>
      </c>
      <c r="C376" s="398">
        <f t="shared" si="377"/>
        <v>84.347707049965777</v>
      </c>
      <c r="E376" s="25">
        <f>IF(C376&gt;$B$7,0,'Combined Retirement'!$D$13/12)</f>
        <v>0</v>
      </c>
      <c r="F376" s="25">
        <f>IF(H376=0,'Combined Retirement'!$D$32,0)+'Combined Retirement'!$B$24</f>
        <v>2870.372285649099</v>
      </c>
      <c r="G376" s="25">
        <f>'Combined Retirement'!$C$24</f>
        <v>3254.2644699519233</v>
      </c>
      <c r="H376" s="25">
        <f>IF(B376&lt;62,0,'Combined Retirement'!$I$14)</f>
        <v>2345</v>
      </c>
      <c r="I376" s="25">
        <f>IF(C376&lt;62,0,'Combined Retirement'!$I$13)</f>
        <v>2420</v>
      </c>
      <c r="J376" s="25">
        <f t="shared" si="263"/>
        <v>7896.2379798201846</v>
      </c>
      <c r="K376" s="25">
        <f t="shared" si="264"/>
        <v>20367.195264578786</v>
      </c>
      <c r="L376" s="25"/>
      <c r="N376" s="25">
        <f>'Combined Retirement'!$C$18/12</f>
        <v>39153.069999999992</v>
      </c>
      <c r="O376" s="25">
        <f t="shared" si="265"/>
        <v>10889.636755601023</v>
      </c>
      <c r="P376" s="25">
        <f t="shared" si="266"/>
        <v>28263.43324439897</v>
      </c>
      <c r="Q376" s="25">
        <f t="array" aca="1" ref="Q376" ca="1">INDEX('Isaac 401k'!L:L,MATCH('Retirement Calculator'!A376,'Isaac 401k'!N:N,0),0)</f>
        <v>1909529.2824471351</v>
      </c>
      <c r="R376" s="25">
        <f t="array" aca="1" ref="R376" ca="1">INDEX('Lorri 401b'!L:L,MATCH('Retirement Calculator'!A376,'Lorri 401b'!N:N,0),0)</f>
        <v>3674576.8134172973</v>
      </c>
      <c r="S376" s="25">
        <f t="shared" ca="1" si="267"/>
        <v>5584106.0958644319</v>
      </c>
    </row>
    <row r="377" spans="1:19" ht="15.75" customHeight="1" x14ac:dyDescent="0.3">
      <c r="A377" s="37">
        <v>62428</v>
      </c>
      <c r="B377" s="398">
        <f t="shared" ref="B377:C377" si="378">($A377-B$9)/365.25</f>
        <v>89.040383299110204</v>
      </c>
      <c r="C377" s="398">
        <f t="shared" si="378"/>
        <v>84.429842573579734</v>
      </c>
      <c r="E377" s="25">
        <f>IF(C377&gt;$B$7,0,'Combined Retirement'!$D$13/12)</f>
        <v>0</v>
      </c>
      <c r="F377" s="25">
        <f>IF(H377=0,'Combined Retirement'!$D$32,0)+'Combined Retirement'!$B$24</f>
        <v>2870.372285649099</v>
      </c>
      <c r="G377" s="25">
        <f>'Combined Retirement'!$C$24</f>
        <v>3254.2644699519233</v>
      </c>
      <c r="H377" s="25">
        <f>IF(B377&lt;62,0,'Combined Retirement'!$I$14)</f>
        <v>2345</v>
      </c>
      <c r="I377" s="25">
        <f>IF(C377&lt;62,0,'Combined Retirement'!$I$13)</f>
        <v>2420</v>
      </c>
      <c r="J377" s="25">
        <f t="shared" si="263"/>
        <v>7896.2379798201846</v>
      </c>
      <c r="K377" s="25">
        <f t="shared" si="264"/>
        <v>20367.195264578786</v>
      </c>
      <c r="L377" s="25"/>
      <c r="N377" s="25">
        <f>'Combined Retirement'!$C$18/12</f>
        <v>39153.069999999992</v>
      </c>
      <c r="O377" s="25">
        <f t="shared" si="265"/>
        <v>10889.636755601023</v>
      </c>
      <c r="P377" s="25">
        <f t="shared" si="266"/>
        <v>28263.43324439897</v>
      </c>
      <c r="Q377" s="25">
        <f t="array" aca="1" ref="Q377" ca="1">INDEX('Isaac 401k'!L:L,MATCH('Retirement Calculator'!A377,'Isaac 401k'!N:N,0),0)</f>
        <v>1909556.5154859286</v>
      </c>
      <c r="R377" s="25">
        <f t="array" aca="1" ref="R377" ca="1">INDEX('Lorri 401b'!L:L,MATCH('Retirement Calculator'!A377,'Lorri 401b'!N:N,0),0)</f>
        <v>3669435.491561688</v>
      </c>
      <c r="S377" s="25">
        <f t="shared" ca="1" si="267"/>
        <v>5578992.0070476169</v>
      </c>
    </row>
    <row r="378" spans="1:19" ht="15.75" customHeight="1" x14ac:dyDescent="0.3">
      <c r="A378" s="37">
        <v>62459</v>
      </c>
      <c r="B378" s="398">
        <f t="shared" ref="B378:C378" si="379">($A378-B$9)/365.25</f>
        <v>89.125256673511288</v>
      </c>
      <c r="C378" s="398">
        <f t="shared" si="379"/>
        <v>84.514715947980832</v>
      </c>
      <c r="E378" s="25">
        <f>IF(C378&gt;$B$7,0,'Combined Retirement'!$D$13/12)</f>
        <v>0</v>
      </c>
      <c r="F378" s="25">
        <f>IF(H378=0,'Combined Retirement'!$D$32,0)+'Combined Retirement'!$B$24</f>
        <v>2870.372285649099</v>
      </c>
      <c r="G378" s="25">
        <f>'Combined Retirement'!$C$24</f>
        <v>3254.2644699519233</v>
      </c>
      <c r="H378" s="25">
        <f>IF(B378&lt;62,0,'Combined Retirement'!$I$14)</f>
        <v>2345</v>
      </c>
      <c r="I378" s="25">
        <f>IF(C378&lt;62,0,'Combined Retirement'!$I$13)</f>
        <v>2420</v>
      </c>
      <c r="J378" s="25">
        <f t="shared" si="263"/>
        <v>7896.2379798201846</v>
      </c>
      <c r="K378" s="25">
        <f t="shared" si="264"/>
        <v>20367.195264578786</v>
      </c>
      <c r="L378" s="25"/>
      <c r="N378" s="25">
        <f>'Combined Retirement'!$C$18/12</f>
        <v>39153.069999999992</v>
      </c>
      <c r="O378" s="25">
        <f t="shared" si="265"/>
        <v>10889.636755601023</v>
      </c>
      <c r="P378" s="25">
        <f t="shared" si="266"/>
        <v>28263.43324439897</v>
      </c>
      <c r="Q378" s="25">
        <f t="array" aca="1" ref="Q378" ca="1">INDEX('Isaac 401k'!L:L,MATCH('Retirement Calculator'!A378,'Isaac 401k'!N:N,0),0)</f>
        <v>1909583.8619957173</v>
      </c>
      <c r="R378" s="25">
        <f t="array" aca="1" ref="R378" ca="1">INDEX('Lorri 401b'!L:L,MATCH('Retirement Calculator'!A378,'Lorri 401b'!N:N,0),0)</f>
        <v>3664272.7475316804</v>
      </c>
      <c r="S378" s="25">
        <f t="shared" ca="1" si="267"/>
        <v>5573856.6095273979</v>
      </c>
    </row>
    <row r="379" spans="1:19" ht="15.75" customHeight="1" x14ac:dyDescent="0.3">
      <c r="A379" s="37">
        <v>62490</v>
      </c>
      <c r="B379" s="398">
        <f t="shared" ref="B379:C379" si="380">($A379-B$9)/365.25</f>
        <v>89.210130047912386</v>
      </c>
      <c r="C379" s="398">
        <f t="shared" si="380"/>
        <v>84.599589322381931</v>
      </c>
      <c r="E379" s="25">
        <f>IF(C379&gt;$B$7,0,'Combined Retirement'!$D$13/12)</f>
        <v>0</v>
      </c>
      <c r="F379" s="25">
        <f>IF(H379=0,'Combined Retirement'!$D$32,0)+'Combined Retirement'!$B$24</f>
        <v>2870.372285649099</v>
      </c>
      <c r="G379" s="25">
        <f>'Combined Retirement'!$C$24</f>
        <v>3254.2644699519233</v>
      </c>
      <c r="H379" s="25">
        <f>IF(B379&lt;62,0,'Combined Retirement'!$I$14)</f>
        <v>2345</v>
      </c>
      <c r="I379" s="25">
        <f>IF(C379&lt;62,0,'Combined Retirement'!$I$13)</f>
        <v>2420</v>
      </c>
      <c r="J379" s="25">
        <f t="shared" si="263"/>
        <v>7896.2379798201846</v>
      </c>
      <c r="K379" s="25">
        <f t="shared" si="264"/>
        <v>20367.195264578786</v>
      </c>
      <c r="L379" s="25"/>
      <c r="N379" s="25">
        <f>'Combined Retirement'!$C$18/12</f>
        <v>39153.069999999992</v>
      </c>
      <c r="O379" s="25">
        <f t="shared" si="265"/>
        <v>10889.636755601023</v>
      </c>
      <c r="P379" s="25">
        <f t="shared" si="266"/>
        <v>28263.43324439897</v>
      </c>
      <c r="Q379" s="25">
        <f t="array" aca="1" ref="Q379" ca="1">INDEX('Isaac 401k'!L:L,MATCH('Retirement Calculator'!A379,'Isaac 401k'!N:N,0),0)</f>
        <v>1909611.3224492967</v>
      </c>
      <c r="R379" s="25">
        <f t="array" aca="1" ref="R379" ca="1">INDEX('Lorri 401b'!L:L,MATCH('Retirement Calculator'!A379,'Lorri 401b'!N:N,0),0)</f>
        <v>3659088.4920682143</v>
      </c>
      <c r="S379" s="25">
        <f t="shared" ca="1" si="267"/>
        <v>5568699.8145175111</v>
      </c>
    </row>
    <row r="380" spans="1:19" ht="15.75" customHeight="1" x14ac:dyDescent="0.3">
      <c r="A380" s="37">
        <v>62518</v>
      </c>
      <c r="B380" s="398">
        <f t="shared" ref="B380:C380" si="381">($A380-B$9)/365.25</f>
        <v>89.286789869952088</v>
      </c>
      <c r="C380" s="398">
        <f t="shared" si="381"/>
        <v>84.676249144421632</v>
      </c>
      <c r="E380" s="25">
        <f>IF(C380&gt;$B$7,0,'Combined Retirement'!$D$13/12)</f>
        <v>0</v>
      </c>
      <c r="F380" s="25">
        <f>IF(H380=0,'Combined Retirement'!$D$32,0)+'Combined Retirement'!$B$24</f>
        <v>2870.372285649099</v>
      </c>
      <c r="G380" s="25">
        <f>'Combined Retirement'!$C$24</f>
        <v>3254.2644699519233</v>
      </c>
      <c r="H380" s="25">
        <f>IF(B380&lt;62,0,'Combined Retirement'!$I$14)</f>
        <v>2345</v>
      </c>
      <c r="I380" s="25">
        <f>IF(C380&lt;62,0,'Combined Retirement'!$I$13)</f>
        <v>2420</v>
      </c>
      <c r="J380" s="25">
        <f t="shared" si="263"/>
        <v>7896.2379798201846</v>
      </c>
      <c r="K380" s="25">
        <f t="shared" si="264"/>
        <v>20367.195264578786</v>
      </c>
      <c r="L380" s="25"/>
      <c r="N380" s="25">
        <f>'Combined Retirement'!$C$18/12</f>
        <v>39153.069999999992</v>
      </c>
      <c r="O380" s="25">
        <f t="shared" si="265"/>
        <v>10889.636755601023</v>
      </c>
      <c r="P380" s="25">
        <f t="shared" si="266"/>
        <v>28263.43324439897</v>
      </c>
      <c r="Q380" s="25">
        <f t="array" aca="1" ref="Q380" ca="1">INDEX('Isaac 401k'!L:L,MATCH('Retirement Calculator'!A380,'Isaac 401k'!N:N,0),0)</f>
        <v>1909638.8973214326</v>
      </c>
      <c r="R380" s="25">
        <f t="array" aca="1" ref="R380" ca="1">INDEX('Lorri 401b'!L:L,MATCH('Retirement Calculator'!A380,'Lorri 401b'!N:N,0),0)</f>
        <v>3653882.6355403173</v>
      </c>
      <c r="S380" s="25">
        <f t="shared" ca="1" si="267"/>
        <v>5563521.5328617496</v>
      </c>
    </row>
    <row r="381" spans="1:19" ht="15.75" customHeight="1" x14ac:dyDescent="0.3">
      <c r="A381" s="37">
        <v>62549</v>
      </c>
      <c r="B381" s="398">
        <f t="shared" ref="B381:C381" si="382">($A381-B$9)/365.25</f>
        <v>89.371663244353186</v>
      </c>
      <c r="C381" s="398">
        <f t="shared" si="382"/>
        <v>84.761122518822731</v>
      </c>
      <c r="E381" s="25">
        <f>IF(C381&gt;$B$7,0,'Combined Retirement'!$D$13/12)</f>
        <v>0</v>
      </c>
      <c r="F381" s="25">
        <f>IF(H381=0,'Combined Retirement'!$D$32,0)+'Combined Retirement'!$B$24</f>
        <v>2870.372285649099</v>
      </c>
      <c r="G381" s="25">
        <f>'Combined Retirement'!$C$24</f>
        <v>3254.2644699519233</v>
      </c>
      <c r="H381" s="25">
        <f>IF(B381&lt;62,0,'Combined Retirement'!$I$14)</f>
        <v>2345</v>
      </c>
      <c r="I381" s="25">
        <f>IF(C381&lt;62,0,'Combined Retirement'!$I$13)</f>
        <v>2420</v>
      </c>
      <c r="J381" s="25">
        <f t="shared" si="263"/>
        <v>7896.2379798201846</v>
      </c>
      <c r="K381" s="25">
        <f t="shared" si="264"/>
        <v>20367.195264578786</v>
      </c>
      <c r="L381" s="25"/>
      <c r="N381" s="25">
        <f>'Combined Retirement'!$C$18/12</f>
        <v>39153.069999999992</v>
      </c>
      <c r="O381" s="25">
        <f t="shared" si="265"/>
        <v>10889.636755601023</v>
      </c>
      <c r="P381" s="25">
        <f t="shared" si="266"/>
        <v>28263.43324439897</v>
      </c>
      <c r="Q381" s="25">
        <f t="array" aca="1" ref="Q381" ca="1">INDEX('Isaac 401k'!L:L,MATCH('Retirement Calculator'!A381,'Isaac 401k'!N:N,0),0)</f>
        <v>1909666.5870888692</v>
      </c>
      <c r="R381" s="25">
        <f t="array" aca="1" ref="R381" ca="1">INDEX('Lorri 401b'!L:L,MATCH('Retirement Calculator'!A381,'Lorri 401b'!N:N,0),0)</f>
        <v>3648655.0879435539</v>
      </c>
      <c r="S381" s="25">
        <f t="shared" ca="1" si="267"/>
        <v>5558321.6750324229</v>
      </c>
    </row>
    <row r="382" spans="1:19" ht="15.75" customHeight="1" x14ac:dyDescent="0.3">
      <c r="A382" s="37">
        <v>62579</v>
      </c>
      <c r="B382" s="398">
        <f t="shared" ref="B382:C382" si="383">($A382-B$9)/365.25</f>
        <v>89.453798767967143</v>
      </c>
      <c r="C382" s="398">
        <f t="shared" si="383"/>
        <v>84.843258042436688</v>
      </c>
      <c r="E382" s="25">
        <f>IF(C382&gt;$B$7,0,'Combined Retirement'!$D$13/12)</f>
        <v>0</v>
      </c>
      <c r="F382" s="25">
        <f>IF(H382=0,'Combined Retirement'!$D$32,0)+'Combined Retirement'!$B$24</f>
        <v>2870.372285649099</v>
      </c>
      <c r="G382" s="25">
        <f>'Combined Retirement'!$C$24</f>
        <v>3254.2644699519233</v>
      </c>
      <c r="H382" s="25">
        <f>IF(B382&lt;62,0,'Combined Retirement'!$I$14)</f>
        <v>2345</v>
      </c>
      <c r="I382" s="25">
        <f>IF(C382&lt;62,0,'Combined Retirement'!$I$13)</f>
        <v>2420</v>
      </c>
      <c r="J382" s="25">
        <f t="shared" si="263"/>
        <v>7896.2379798201846</v>
      </c>
      <c r="K382" s="25">
        <f t="shared" si="264"/>
        <v>20367.195264578786</v>
      </c>
      <c r="L382" s="25"/>
      <c r="N382" s="25">
        <f>'Combined Retirement'!$C$18/12</f>
        <v>39153.069999999992</v>
      </c>
      <c r="O382" s="25">
        <f t="shared" si="265"/>
        <v>10889.636755601023</v>
      </c>
      <c r="P382" s="25">
        <f t="shared" si="266"/>
        <v>28263.43324439897</v>
      </c>
      <c r="Q382" s="25">
        <f t="array" aca="1" ref="Q382" ca="1">INDEX('Isaac 401k'!L:L,MATCH('Retirement Calculator'!A382,'Isaac 401k'!N:N,0),0)</f>
        <v>1909694.3922303366</v>
      </c>
      <c r="R382" s="25">
        <f t="array" aca="1" ref="R382" ca="1">INDEX('Lorri 401b'!L:L,MATCH('Retirement Calculator'!A382,'Lorri 401b'!N:N,0),0)</f>
        <v>3643405.758898471</v>
      </c>
      <c r="S382" s="25">
        <f t="shared" ca="1" si="267"/>
        <v>5553100.151128808</v>
      </c>
    </row>
    <row r="383" spans="1:19" ht="15.75" customHeight="1" x14ac:dyDescent="0.3">
      <c r="A383" s="37">
        <v>62610</v>
      </c>
      <c r="B383" s="398">
        <f t="shared" ref="B383:C383" si="384">($A383-B$9)/365.25</f>
        <v>89.538672142368242</v>
      </c>
      <c r="C383" s="398">
        <f t="shared" si="384"/>
        <v>84.928131416837786</v>
      </c>
      <c r="E383" s="25">
        <f>IF(C383&gt;$B$7,0,'Combined Retirement'!$D$13/12)</f>
        <v>0</v>
      </c>
      <c r="F383" s="25">
        <f>IF(H383=0,'Combined Retirement'!$D$32,0)+'Combined Retirement'!$B$24</f>
        <v>2870.372285649099</v>
      </c>
      <c r="G383" s="25">
        <f>'Combined Retirement'!$C$24</f>
        <v>3254.2644699519233</v>
      </c>
      <c r="H383" s="25">
        <f>IF(B383&lt;62,0,'Combined Retirement'!$I$14)</f>
        <v>2345</v>
      </c>
      <c r="I383" s="25">
        <f>IF(C383&lt;62,0,'Combined Retirement'!$I$13)</f>
        <v>2420</v>
      </c>
      <c r="J383" s="25">
        <f t="shared" si="263"/>
        <v>7896.2379798201846</v>
      </c>
      <c r="K383" s="25">
        <f t="shared" si="264"/>
        <v>20367.195264578786</v>
      </c>
      <c r="L383" s="25"/>
      <c r="N383" s="25">
        <f>'Combined Retirement'!$C$18/12</f>
        <v>39153.069999999992</v>
      </c>
      <c r="O383" s="25">
        <f t="shared" si="265"/>
        <v>10889.636755601023</v>
      </c>
      <c r="P383" s="25">
        <f t="shared" si="266"/>
        <v>28263.43324439897</v>
      </c>
      <c r="Q383" s="25">
        <f t="array" aca="1" ref="Q383" ca="1">INDEX('Isaac 401k'!L:L,MATCH('Retirement Calculator'!A383,'Isaac 401k'!N:N,0),0)</f>
        <v>1909722.3132265601</v>
      </c>
      <c r="R383" s="25">
        <f t="array" aca="1" ref="R383" ca="1">INDEX('Lorri 401b'!L:L,MATCH('Retirement Calculator'!A383,'Lorri 401b'!N:N,0),0)</f>
        <v>3638134.5576490336</v>
      </c>
      <c r="S383" s="25">
        <f t="shared" ca="1" si="267"/>
        <v>5547856.8708755933</v>
      </c>
    </row>
    <row r="384" spans="1:19" ht="15.75" customHeight="1" x14ac:dyDescent="0.3">
      <c r="A384" s="37">
        <v>62640</v>
      </c>
      <c r="B384" s="398">
        <f t="shared" ref="B384:C384" si="385">($A384-B$9)/365.25</f>
        <v>89.620807665982198</v>
      </c>
      <c r="C384" s="398">
        <f t="shared" si="385"/>
        <v>85.010266940451743</v>
      </c>
      <c r="E384" s="25">
        <f>IF(C384&gt;$B$7,0,'Combined Retirement'!$D$13/12)</f>
        <v>0</v>
      </c>
      <c r="F384" s="25">
        <f>IF(H384=0,'Combined Retirement'!$D$32,0)+'Combined Retirement'!$B$24</f>
        <v>2870.372285649099</v>
      </c>
      <c r="G384" s="25">
        <f>'Combined Retirement'!$C$24</f>
        <v>3254.2644699519233</v>
      </c>
      <c r="H384" s="25">
        <f>IF(B384&lt;62,0,'Combined Retirement'!$I$14)</f>
        <v>2345</v>
      </c>
      <c r="I384" s="25">
        <f>IF(C384&lt;62,0,'Combined Retirement'!$I$13)</f>
        <v>2420</v>
      </c>
      <c r="J384" s="25">
        <f t="shared" si="263"/>
        <v>7896.2379798201846</v>
      </c>
      <c r="K384" s="25">
        <f t="shared" si="264"/>
        <v>20367.195264578786</v>
      </c>
      <c r="L384" s="25"/>
      <c r="N384" s="25">
        <f>'Combined Retirement'!$C$18/12</f>
        <v>39153.069999999992</v>
      </c>
      <c r="O384" s="25">
        <f t="shared" si="265"/>
        <v>10889.636755601023</v>
      </c>
      <c r="P384" s="25">
        <f t="shared" si="266"/>
        <v>28263.43324439897</v>
      </c>
      <c r="Q384" s="25">
        <f t="array" aca="1" ref="Q384" ca="1">INDEX('Isaac 401k'!L:L,MATCH('Retirement Calculator'!A384,'Isaac 401k'!N:N,0),0)</f>
        <v>1909750.3505602679</v>
      </c>
      <c r="R384" s="25">
        <f t="array" aca="1" ref="R384" ca="1">INDEX('Lorri 401b'!L:L,MATCH('Retirement Calculator'!A384,'Lorri 401b'!N:N,0),0)</f>
        <v>3632841.3930610567</v>
      </c>
      <c r="S384" s="25">
        <f t="shared" ca="1" si="267"/>
        <v>5542591.7436213251</v>
      </c>
    </row>
    <row r="385" spans="1:19" ht="15.75" customHeight="1" x14ac:dyDescent="0.3">
      <c r="A385" s="37">
        <v>62671</v>
      </c>
      <c r="B385" s="398">
        <f t="shared" ref="B385:C385" si="386">($A385-B$9)/365.25</f>
        <v>89.705681040383297</v>
      </c>
      <c r="C385" s="398">
        <f t="shared" si="386"/>
        <v>85.095140314852841</v>
      </c>
      <c r="E385" s="25">
        <f>IF(C385&gt;$B$7,0,'Combined Retirement'!$D$13/12)</f>
        <v>0</v>
      </c>
      <c r="F385" s="25">
        <f>IF(H385=0,'Combined Retirement'!$D$32,0)+'Combined Retirement'!$B$24</f>
        <v>2870.372285649099</v>
      </c>
      <c r="G385" s="25">
        <f>'Combined Retirement'!$C$24</f>
        <v>3254.2644699519233</v>
      </c>
      <c r="H385" s="25">
        <f>IF(B385&lt;62,0,'Combined Retirement'!$I$14)</f>
        <v>2345</v>
      </c>
      <c r="I385" s="25">
        <f>IF(C385&lt;62,0,'Combined Retirement'!$I$13)</f>
        <v>2420</v>
      </c>
      <c r="J385" s="25">
        <f t="shared" si="263"/>
        <v>7896.2379798201846</v>
      </c>
      <c r="K385" s="25">
        <f t="shared" si="264"/>
        <v>20367.195264578786</v>
      </c>
      <c r="L385" s="25"/>
      <c r="N385" s="25">
        <f>'Combined Retirement'!$C$18/12</f>
        <v>39153.069999999992</v>
      </c>
      <c r="O385" s="25">
        <f t="shared" si="265"/>
        <v>10889.636755601023</v>
      </c>
      <c r="P385" s="25">
        <f t="shared" si="266"/>
        <v>28263.43324439897</v>
      </c>
      <c r="Q385" s="25">
        <f t="array" aca="1" ref="Q385" ca="1">INDEX('Isaac 401k'!L:L,MATCH('Retirement Calculator'!A385,'Isaac 401k'!N:N,0),0)</f>
        <v>1909778.5047161996</v>
      </c>
      <c r="R385" s="25">
        <f t="array" aca="1" ref="R385" ca="1">INDEX('Lorri 401b'!L:L,MATCH('Retirement Calculator'!A385,'Lorri 401b'!N:N,0),0)</f>
        <v>3627526.1736206301</v>
      </c>
      <c r="S385" s="25">
        <f t="shared" ca="1" si="267"/>
        <v>5537304.6783368299</v>
      </c>
    </row>
    <row r="386" spans="1:19" ht="15.75" customHeight="1" x14ac:dyDescent="0.3">
      <c r="A386" s="37">
        <v>62702</v>
      </c>
      <c r="B386" s="398">
        <f t="shared" ref="B386:C386" si="387">($A386-B$9)/365.25</f>
        <v>89.790554414784395</v>
      </c>
      <c r="C386" s="398">
        <f t="shared" si="387"/>
        <v>85.18001368925394</v>
      </c>
      <c r="E386" s="25">
        <f>IF(C386&gt;$B$7,0,'Combined Retirement'!$D$13/12)</f>
        <v>0</v>
      </c>
      <c r="F386" s="25">
        <f>IF(H386=0,'Combined Retirement'!$D$32,0)+'Combined Retirement'!$B$24</f>
        <v>2870.372285649099</v>
      </c>
      <c r="G386" s="25">
        <f>'Combined Retirement'!$C$24</f>
        <v>3254.2644699519233</v>
      </c>
      <c r="H386" s="25">
        <f>IF(B386&lt;62,0,'Combined Retirement'!$I$14)</f>
        <v>2345</v>
      </c>
      <c r="I386" s="25">
        <f>IF(C386&lt;62,0,'Combined Retirement'!$I$13)</f>
        <v>2420</v>
      </c>
      <c r="J386" s="25">
        <f t="shared" si="263"/>
        <v>7896.2379798201846</v>
      </c>
      <c r="K386" s="25">
        <f t="shared" si="264"/>
        <v>20367.195264578786</v>
      </c>
      <c r="L386" s="25"/>
      <c r="N386" s="25">
        <f>'Combined Retirement'!$C$18/12</f>
        <v>39153.069999999992</v>
      </c>
      <c r="O386" s="25">
        <f t="shared" si="265"/>
        <v>10889.636755601023</v>
      </c>
      <c r="P386" s="25">
        <f t="shared" si="266"/>
        <v>28263.43324439897</v>
      </c>
      <c r="Q386" s="25">
        <f t="array" aca="1" ref="Q386" ca="1">INDEX('Isaac 401k'!L:L,MATCH('Retirement Calculator'!A386,'Isaac 401k'!N:N,0),0)</f>
        <v>1909806.7761811144</v>
      </c>
      <c r="R386" s="25">
        <f t="array" aca="1" ref="R386" ca="1">INDEX('Lorri 401b'!L:L,MATCH('Retirement Calculator'!A386,'Lorri 401b'!N:N,0),0)</f>
        <v>3622188.8074325346</v>
      </c>
      <c r="S386" s="25">
        <f t="shared" ca="1" si="267"/>
        <v>5531995.583613649</v>
      </c>
    </row>
    <row r="387" spans="1:19" ht="15.75" customHeight="1" x14ac:dyDescent="0.3">
      <c r="A387" s="37">
        <v>62732</v>
      </c>
      <c r="B387" s="398">
        <f t="shared" ref="B387:C387" si="388">($A387-B$9)/365.25</f>
        <v>89.872689938398352</v>
      </c>
      <c r="C387" s="398">
        <f t="shared" si="388"/>
        <v>85.262149212867897</v>
      </c>
      <c r="E387" s="25">
        <f>IF(C387&gt;$B$7,0,'Combined Retirement'!$D$13/12)</f>
        <v>0</v>
      </c>
      <c r="F387" s="25">
        <f>IF(H387=0,'Combined Retirement'!$D$32,0)+'Combined Retirement'!$B$24</f>
        <v>2870.372285649099</v>
      </c>
      <c r="G387" s="25">
        <f>'Combined Retirement'!$C$24</f>
        <v>3254.2644699519233</v>
      </c>
      <c r="H387" s="25">
        <f>IF(B387&lt;62,0,'Combined Retirement'!$I$14)</f>
        <v>2345</v>
      </c>
      <c r="I387" s="25">
        <f>IF(C387&lt;62,0,'Combined Retirement'!$I$13)</f>
        <v>2420</v>
      </c>
      <c r="J387" s="25">
        <f t="shared" si="263"/>
        <v>7896.2379798201846</v>
      </c>
      <c r="K387" s="25">
        <f t="shared" si="264"/>
        <v>20367.195264578786</v>
      </c>
      <c r="L387" s="25"/>
      <c r="N387" s="25">
        <f>'Combined Retirement'!$C$18/12</f>
        <v>39153.069999999992</v>
      </c>
      <c r="O387" s="25">
        <f t="shared" si="265"/>
        <v>10889.636755601023</v>
      </c>
      <c r="P387" s="25">
        <f t="shared" si="266"/>
        <v>28263.43324439897</v>
      </c>
      <c r="Q387" s="25">
        <f t="array" aca="1" ref="Q387" ca="1">INDEX('Isaac 401k'!L:L,MATCH('Retirement Calculator'!A387,'Isaac 401k'!N:N,0),0)</f>
        <v>1909835.1654437995</v>
      </c>
      <c r="R387" s="25">
        <f t="array" aca="1" ref="R387" ca="1">INDEX('Lorri 401b'!L:L,MATCH('Retirement Calculator'!A387,'Lorri 401b'!N:N,0),0)</f>
        <v>3616829.2022186555</v>
      </c>
      <c r="S387" s="25">
        <f t="shared" ca="1" si="267"/>
        <v>5526664.367662455</v>
      </c>
    </row>
    <row r="388" spans="1:19" ht="15.75" customHeight="1" x14ac:dyDescent="0.3">
      <c r="A388" s="37">
        <v>62763</v>
      </c>
      <c r="B388" s="398">
        <f t="shared" ref="B388:C388" si="389">($A388-B$9)/365.25</f>
        <v>89.957563312799451</v>
      </c>
      <c r="C388" s="398">
        <f t="shared" si="389"/>
        <v>85.347022587268995</v>
      </c>
      <c r="E388" s="25">
        <f>IF(C388&gt;$B$7,0,'Combined Retirement'!$D$13/12)</f>
        <v>0</v>
      </c>
      <c r="F388" s="25">
        <f>IF(H388=0,'Combined Retirement'!$D$32,0)+'Combined Retirement'!$B$24</f>
        <v>2870.372285649099</v>
      </c>
      <c r="G388" s="25">
        <f>'Combined Retirement'!$C$24</f>
        <v>3254.2644699519233</v>
      </c>
      <c r="H388" s="25">
        <f>IF(B388&lt;62,0,'Combined Retirement'!$I$14)</f>
        <v>2345</v>
      </c>
      <c r="I388" s="25">
        <f>IF(C388&lt;62,0,'Combined Retirement'!$I$13)</f>
        <v>2420</v>
      </c>
      <c r="J388" s="25">
        <f t="shared" si="263"/>
        <v>7896.2379798201846</v>
      </c>
      <c r="K388" s="25">
        <f t="shared" si="264"/>
        <v>20367.195264578786</v>
      </c>
      <c r="L388" s="25"/>
      <c r="N388" s="25">
        <f>'Combined Retirement'!$C$18/12</f>
        <v>39153.069999999992</v>
      </c>
      <c r="O388" s="25">
        <f t="shared" si="265"/>
        <v>10889.636755601023</v>
      </c>
      <c r="P388" s="25">
        <f t="shared" si="266"/>
        <v>28263.43324439897</v>
      </c>
      <c r="Q388" s="25">
        <f t="array" aca="1" ref="Q388" ca="1">INDEX('Isaac 401k'!L:L,MATCH('Retirement Calculator'!A388,'Isaac 401k'!N:N,0),0)</f>
        <v>1909863.6729950791</v>
      </c>
      <c r="R388" s="25">
        <f t="array" aca="1" ref="R388" ca="1">INDEX('Lorri 401b'!L:L,MATCH('Retirement Calculator'!A388,'Lorri 401b'!N:N,0),0)</f>
        <v>3611447.2653163853</v>
      </c>
      <c r="S388" s="25">
        <f t="shared" ca="1" si="267"/>
        <v>5521310.9383114642</v>
      </c>
    </row>
    <row r="389" spans="1:19" ht="15.75" customHeight="1" x14ac:dyDescent="0.3">
      <c r="A389" s="37">
        <v>62793</v>
      </c>
      <c r="B389" s="398">
        <f t="shared" ref="B389:C389" si="390">($A389-B$9)/365.25</f>
        <v>90.039698836413422</v>
      </c>
      <c r="C389" s="398">
        <f t="shared" si="390"/>
        <v>85.429158110882952</v>
      </c>
      <c r="E389" s="25">
        <f>IF(C389&gt;$B$7,0,'Combined Retirement'!$D$13/12)</f>
        <v>0</v>
      </c>
      <c r="F389" s="25">
        <f>IF(H389=0,'Combined Retirement'!$D$32,0)+'Combined Retirement'!$B$24</f>
        <v>2870.372285649099</v>
      </c>
      <c r="G389" s="25">
        <f>'Combined Retirement'!$C$24</f>
        <v>3254.2644699519233</v>
      </c>
      <c r="H389" s="25">
        <f>IF(B389&lt;62,0,'Combined Retirement'!$I$14)</f>
        <v>2345</v>
      </c>
      <c r="I389" s="25">
        <f>IF(C389&lt;62,0,'Combined Retirement'!$I$13)</f>
        <v>2420</v>
      </c>
      <c r="J389" s="25">
        <f t="shared" si="263"/>
        <v>7896.2379798201846</v>
      </c>
      <c r="K389" s="25">
        <f t="shared" si="264"/>
        <v>20367.195264578786</v>
      </c>
      <c r="L389" s="25"/>
      <c r="N389" s="25">
        <f>'Combined Retirement'!$C$18/12</f>
        <v>39153.069999999992</v>
      </c>
      <c r="O389" s="25">
        <f t="shared" si="265"/>
        <v>10889.636755601023</v>
      </c>
      <c r="P389" s="25">
        <f t="shared" si="266"/>
        <v>28263.43324439897</v>
      </c>
      <c r="Q389" s="25">
        <f t="array" aca="1" ref="Q389" ca="1">INDEX('Isaac 401k'!L:L,MATCH('Retirement Calculator'!A389,'Isaac 401k'!N:N,0),0)</f>
        <v>1909892.2993278224</v>
      </c>
      <c r="R389" s="25">
        <f t="array" aca="1" ref="R389" ca="1">INDEX('Lorri 401b'!L:L,MATCH('Retirement Calculator'!A389,'Lorri 401b'!N:N,0),0)</f>
        <v>3606042.9036770226</v>
      </c>
      <c r="S389" s="25">
        <f t="shared" ca="1" si="267"/>
        <v>5515935.2030048445</v>
      </c>
    </row>
    <row r="390" spans="1:19" ht="15.75" customHeight="1" x14ac:dyDescent="0.3">
      <c r="A390" s="37">
        <v>62824</v>
      </c>
      <c r="B390" s="398">
        <f t="shared" ref="B390:C390" si="391">($A390-B$9)/365.25</f>
        <v>90.124572210814506</v>
      </c>
      <c r="C390" s="398">
        <f t="shared" si="391"/>
        <v>85.51403148528405</v>
      </c>
      <c r="E390" s="25">
        <f>IF(C390&gt;$B$7,0,'Combined Retirement'!$D$13/12)</f>
        <v>0</v>
      </c>
      <c r="F390" s="25">
        <f>IF(H390=0,'Combined Retirement'!$D$32,0)+'Combined Retirement'!$B$24</f>
        <v>2870.372285649099</v>
      </c>
      <c r="G390" s="25">
        <f>'Combined Retirement'!$C$24</f>
        <v>3254.2644699519233</v>
      </c>
      <c r="H390" s="25">
        <f>IF(B390&lt;62,0,'Combined Retirement'!$I$14)</f>
        <v>2345</v>
      </c>
      <c r="I390" s="25">
        <f>IF(C390&lt;62,0,'Combined Retirement'!$I$13)</f>
        <v>2420</v>
      </c>
      <c r="J390" s="25">
        <f t="shared" si="263"/>
        <v>7896.2379798201846</v>
      </c>
      <c r="K390" s="25">
        <f t="shared" si="264"/>
        <v>20367.195264578786</v>
      </c>
      <c r="L390" s="25"/>
      <c r="N390" s="25">
        <f>'Combined Retirement'!$C$18/12</f>
        <v>39153.069999999992</v>
      </c>
      <c r="O390" s="25">
        <f t="shared" si="265"/>
        <v>10889.636755601023</v>
      </c>
      <c r="P390" s="25">
        <f t="shared" si="266"/>
        <v>28263.43324439897</v>
      </c>
      <c r="Q390" s="25">
        <f t="array" aca="1" ref="Q390" ca="1">INDEX('Isaac 401k'!L:L,MATCH('Retirement Calculator'!A390,'Isaac 401k'!N:N,0),0)</f>
        <v>1909921.0449369522</v>
      </c>
      <c r="R390" s="25">
        <f t="array" aca="1" ref="R390" ca="1">INDEX('Lorri 401b'!L:L,MATCH('Retirement Calculator'!A390,'Lorri 401b'!N:N,0),0)</f>
        <v>3600616.0238641622</v>
      </c>
      <c r="S390" s="25">
        <f t="shared" ca="1" si="267"/>
        <v>5510537.0688011143</v>
      </c>
    </row>
    <row r="391" spans="1:19" ht="15.75" customHeight="1" x14ac:dyDescent="0.3">
      <c r="A391" s="37">
        <v>62855</v>
      </c>
      <c r="B391" s="398">
        <f t="shared" ref="B391:C391" si="392">($A391-B$9)/365.25</f>
        <v>90.209445585215605</v>
      </c>
      <c r="C391" s="398">
        <f t="shared" si="392"/>
        <v>85.598904859685149</v>
      </c>
      <c r="E391" s="25">
        <f>IF(C391&gt;$B$7,0,'Combined Retirement'!$D$13/12)</f>
        <v>0</v>
      </c>
      <c r="F391" s="25">
        <f>IF(H391=0,'Combined Retirement'!$D$32,0)+'Combined Retirement'!$B$24</f>
        <v>2870.372285649099</v>
      </c>
      <c r="G391" s="25">
        <f>'Combined Retirement'!$C$24</f>
        <v>3254.2644699519233</v>
      </c>
      <c r="H391" s="25">
        <f>IF(B391&lt;62,0,'Combined Retirement'!$I$14)</f>
        <v>2345</v>
      </c>
      <c r="I391" s="25">
        <f>IF(C391&lt;62,0,'Combined Retirement'!$I$13)</f>
        <v>2420</v>
      </c>
      <c r="J391" s="25">
        <f t="shared" si="263"/>
        <v>7896.2379798201846</v>
      </c>
      <c r="K391" s="25">
        <f t="shared" si="264"/>
        <v>20367.195264578786</v>
      </c>
      <c r="L391" s="25"/>
      <c r="N391" s="25">
        <f>'Combined Retirement'!$C$18/12</f>
        <v>39153.069999999992</v>
      </c>
      <c r="O391" s="25">
        <f t="shared" si="265"/>
        <v>10889.636755601023</v>
      </c>
      <c r="P391" s="25">
        <f t="shared" si="266"/>
        <v>28263.43324439897</v>
      </c>
      <c r="Q391" s="25">
        <f t="array" aca="1" ref="Q391" ca="1">INDEX('Isaac 401k'!L:L,MATCH('Retirement Calculator'!A391,'Isaac 401k'!N:N,0),0)</f>
        <v>1909949.9103194533</v>
      </c>
      <c r="R391" s="25">
        <f t="array" aca="1" ref="R391" ca="1">INDEX('Lorri 401b'!L:L,MATCH('Retirement Calculator'!A391,'Lorri 401b'!N:N,0),0)</f>
        <v>3595166.5320520815</v>
      </c>
      <c r="S391" s="25">
        <f t="shared" ca="1" si="267"/>
        <v>5505116.4423715351</v>
      </c>
    </row>
    <row r="392" spans="1:19" ht="15.75" customHeight="1" x14ac:dyDescent="0.3">
      <c r="A392" s="37">
        <v>62884</v>
      </c>
      <c r="B392" s="398">
        <f t="shared" ref="B392:C392" si="393">($A392-B$9)/365.25</f>
        <v>90.288843258042434</v>
      </c>
      <c r="C392" s="398">
        <f t="shared" si="393"/>
        <v>85.678302532511978</v>
      </c>
      <c r="E392" s="25">
        <f>IF(C392&gt;$B$7,0,'Combined Retirement'!$D$13/12)</f>
        <v>0</v>
      </c>
      <c r="F392" s="25">
        <f>IF(H392=0,'Combined Retirement'!$D$32,0)+'Combined Retirement'!$B$24</f>
        <v>2870.372285649099</v>
      </c>
      <c r="G392" s="25">
        <f>'Combined Retirement'!$C$24</f>
        <v>3254.2644699519233</v>
      </c>
      <c r="H392" s="25">
        <f>IF(B392&lt;62,0,'Combined Retirement'!$I$14)</f>
        <v>2345</v>
      </c>
      <c r="I392" s="25">
        <f>IF(C392&lt;62,0,'Combined Retirement'!$I$13)</f>
        <v>2420</v>
      </c>
      <c r="J392" s="25">
        <f t="shared" si="263"/>
        <v>7896.2379798201846</v>
      </c>
      <c r="K392" s="25">
        <f t="shared" si="264"/>
        <v>20367.195264578786</v>
      </c>
      <c r="L392" s="25"/>
      <c r="N392" s="25">
        <f>'Combined Retirement'!$C$18/12</f>
        <v>39153.069999999992</v>
      </c>
      <c r="O392" s="25">
        <f t="shared" si="265"/>
        <v>10889.636755601023</v>
      </c>
      <c r="P392" s="25">
        <f t="shared" si="266"/>
        <v>28263.43324439897</v>
      </c>
      <c r="Q392" s="25">
        <f t="array" aca="1" ref="Q392" ca="1">INDEX('Isaac 401k'!L:L,MATCH('Retirement Calculator'!A392,'Isaac 401k'!N:N,0),0)</f>
        <v>1909978.8959743816</v>
      </c>
      <c r="R392" s="25">
        <f t="array" aca="1" ref="R392" ca="1">INDEX('Lorri 401b'!L:L,MATCH('Retirement Calculator'!A392,'Lorri 401b'!N:N,0),0)</f>
        <v>3589694.3340241173</v>
      </c>
      <c r="S392" s="25">
        <f t="shared" ca="1" si="267"/>
        <v>5499673.2299984992</v>
      </c>
    </row>
    <row r="393" spans="1:19" ht="15.75" customHeight="1" x14ac:dyDescent="0.3">
      <c r="A393" s="37">
        <v>62915</v>
      </c>
      <c r="B393" s="398">
        <f t="shared" ref="B393:C393" si="394">($A393-B$9)/365.25</f>
        <v>90.373716632443532</v>
      </c>
      <c r="C393" s="398">
        <f t="shared" si="394"/>
        <v>85.763175906913077</v>
      </c>
      <c r="E393" s="25">
        <f>IF(C393&gt;$B$7,0,'Combined Retirement'!$D$13/12)</f>
        <v>0</v>
      </c>
      <c r="F393" s="25">
        <f>IF(H393=0,'Combined Retirement'!$D$32,0)+'Combined Retirement'!$B$24</f>
        <v>2870.372285649099</v>
      </c>
      <c r="G393" s="25">
        <f>'Combined Retirement'!$C$24</f>
        <v>3254.2644699519233</v>
      </c>
      <c r="H393" s="25">
        <f>IF(B393&lt;62,0,'Combined Retirement'!$I$14)</f>
        <v>2345</v>
      </c>
      <c r="I393" s="25">
        <f>IF(C393&lt;62,0,'Combined Retirement'!$I$13)</f>
        <v>2420</v>
      </c>
      <c r="J393" s="25">
        <f t="shared" si="263"/>
        <v>7896.2379798201846</v>
      </c>
      <c r="K393" s="25">
        <f t="shared" si="264"/>
        <v>20367.195264578786</v>
      </c>
      <c r="L393" s="25"/>
      <c r="N393" s="25">
        <f>'Combined Retirement'!$C$18/12</f>
        <v>39153.069999999992</v>
      </c>
      <c r="O393" s="25">
        <f t="shared" si="265"/>
        <v>10889.636755601023</v>
      </c>
      <c r="P393" s="25">
        <f t="shared" si="266"/>
        <v>28263.43324439897</v>
      </c>
      <c r="Q393" s="25">
        <f t="array" aca="1" ref="Q393" ca="1">INDEX('Isaac 401k'!L:L,MATCH('Retirement Calculator'!A393,'Isaac 401k'!N:N,0),0)</f>
        <v>1910008.0024028721</v>
      </c>
      <c r="R393" s="25">
        <f t="array" aca="1" ref="R393" ca="1">INDEX('Lorri 401b'!L:L,MATCH('Retirement Calculator'!A393,'Lorri 401b'!N:N,0),0)</f>
        <v>3584199.3351710364</v>
      </c>
      <c r="S393" s="25">
        <f t="shared" ca="1" si="267"/>
        <v>5494207.3375739083</v>
      </c>
    </row>
    <row r="394" spans="1:19" ht="15.75" customHeight="1" x14ac:dyDescent="0.3">
      <c r="A394" s="37">
        <v>62945</v>
      </c>
      <c r="B394" s="398">
        <f t="shared" ref="B394:C394" si="395">($A394-B$9)/365.25</f>
        <v>90.455852156057489</v>
      </c>
      <c r="C394" s="398">
        <f t="shared" si="395"/>
        <v>85.845311430527033</v>
      </c>
      <c r="E394" s="25">
        <f>IF(C394&gt;$B$7,0,'Combined Retirement'!$D$13/12)</f>
        <v>0</v>
      </c>
      <c r="F394" s="25">
        <f>IF(H394=0,'Combined Retirement'!$D$32,0)+'Combined Retirement'!$B$24</f>
        <v>2870.372285649099</v>
      </c>
      <c r="G394" s="25">
        <f>'Combined Retirement'!$C$24</f>
        <v>3254.2644699519233</v>
      </c>
      <c r="H394" s="25">
        <f>IF(B394&lt;62,0,'Combined Retirement'!$I$14)</f>
        <v>2345</v>
      </c>
      <c r="I394" s="25">
        <f>IF(C394&lt;62,0,'Combined Retirement'!$I$13)</f>
        <v>2420</v>
      </c>
      <c r="J394" s="25">
        <f t="shared" si="263"/>
        <v>7896.2379798201846</v>
      </c>
      <c r="K394" s="25">
        <f t="shared" si="264"/>
        <v>20367.195264578786</v>
      </c>
      <c r="L394" s="25"/>
      <c r="N394" s="25">
        <f>'Combined Retirement'!$C$18/12</f>
        <v>39153.069999999992</v>
      </c>
      <c r="O394" s="25">
        <f t="shared" si="265"/>
        <v>10889.636755601023</v>
      </c>
      <c r="P394" s="25">
        <f t="shared" si="266"/>
        <v>28263.43324439897</v>
      </c>
      <c r="Q394" s="25">
        <f t="array" aca="1" ref="Q394" ca="1">INDEX('Isaac 401k'!L:L,MATCH('Retirement Calculator'!A394,'Isaac 401k'!N:N,0),0)</f>
        <v>1910037.230108148</v>
      </c>
      <c r="R394" s="25">
        <f t="array" aca="1" ref="R394" ca="1">INDEX('Lorri 401b'!L:L,MATCH('Retirement Calculator'!A394,'Lorri 401b'!N:N,0),0)</f>
        <v>3578681.4404894011</v>
      </c>
      <c r="S394" s="25">
        <f t="shared" ca="1" si="267"/>
        <v>5488718.6705975495</v>
      </c>
    </row>
    <row r="395" spans="1:19" ht="15.75" customHeight="1" x14ac:dyDescent="0.3">
      <c r="A395" s="37">
        <v>62976</v>
      </c>
      <c r="B395" s="398">
        <f t="shared" ref="B395:C395" si="396">($A395-B$9)/365.25</f>
        <v>90.540725530458587</v>
      </c>
      <c r="C395" s="398">
        <f t="shared" si="396"/>
        <v>85.930184804928132</v>
      </c>
      <c r="E395" s="25">
        <f>IF(C395&gt;$B$7,0,'Combined Retirement'!$D$13/12)</f>
        <v>0</v>
      </c>
      <c r="F395" s="25">
        <f>IF(H395=0,'Combined Retirement'!$D$32,0)+'Combined Retirement'!$B$24</f>
        <v>2870.372285649099</v>
      </c>
      <c r="G395" s="25">
        <f>'Combined Retirement'!$C$24</f>
        <v>3254.2644699519233</v>
      </c>
      <c r="H395" s="25">
        <f>IF(B395&lt;62,0,'Combined Retirement'!$I$14)</f>
        <v>2345</v>
      </c>
      <c r="I395" s="25">
        <f>IF(C395&lt;62,0,'Combined Retirement'!$I$13)</f>
        <v>2420</v>
      </c>
      <c r="J395" s="25">
        <f t="shared" si="263"/>
        <v>7896.2379798201846</v>
      </c>
      <c r="K395" s="25">
        <f t="shared" si="264"/>
        <v>20367.195264578786</v>
      </c>
      <c r="L395" s="25"/>
      <c r="N395" s="25">
        <f>'Combined Retirement'!$C$18/12</f>
        <v>39153.069999999992</v>
      </c>
      <c r="O395" s="25">
        <f t="shared" si="265"/>
        <v>10889.636755601023</v>
      </c>
      <c r="P395" s="25">
        <f t="shared" si="266"/>
        <v>28263.43324439897</v>
      </c>
      <c r="Q395" s="25">
        <f t="array" aca="1" ref="Q395" ca="1">INDEX('Isaac 401k'!L:L,MATCH('Retirement Calculator'!A395,'Isaac 401k'!N:N,0),0)</f>
        <v>1910066.579595529</v>
      </c>
      <c r="R395" s="25">
        <f t="array" aca="1" ref="R395" ca="1">INDEX('Lorri 401b'!L:L,MATCH('Retirement Calculator'!A395,'Lorri 401b'!N:N,0),0)</f>
        <v>3573140.5545799257</v>
      </c>
      <c r="S395" s="25">
        <f t="shared" ca="1" si="267"/>
        <v>5483207.1341754552</v>
      </c>
    </row>
    <row r="396" spans="1:19" ht="15.75" customHeight="1" x14ac:dyDescent="0.3">
      <c r="A396" s="37">
        <v>63006</v>
      </c>
      <c r="B396" s="398">
        <f t="shared" ref="B396:C396" si="397">($A396-B$9)/365.25</f>
        <v>90.622861054072558</v>
      </c>
      <c r="C396" s="398">
        <f t="shared" si="397"/>
        <v>86.012320328542089</v>
      </c>
      <c r="E396" s="25">
        <f>IF(C396&gt;$B$7,0,'Combined Retirement'!$D$13/12)</f>
        <v>0</v>
      </c>
      <c r="F396" s="25">
        <f>IF(H396=0,'Combined Retirement'!$D$32,0)+'Combined Retirement'!$B$24</f>
        <v>2870.372285649099</v>
      </c>
      <c r="G396" s="25">
        <f>'Combined Retirement'!$C$24</f>
        <v>3254.2644699519233</v>
      </c>
      <c r="H396" s="25">
        <f>IF(B396&lt;62,0,'Combined Retirement'!$I$14)</f>
        <v>2345</v>
      </c>
      <c r="I396" s="25">
        <f>IF(C396&lt;62,0,'Combined Retirement'!$I$13)</f>
        <v>2420</v>
      </c>
      <c r="J396" s="25">
        <f t="shared" si="263"/>
        <v>7896.2379798201846</v>
      </c>
      <c r="K396" s="25">
        <f t="shared" si="264"/>
        <v>20367.195264578786</v>
      </c>
      <c r="L396" s="25"/>
      <c r="N396" s="25">
        <f>'Combined Retirement'!$C$18/12</f>
        <v>39153.069999999992</v>
      </c>
      <c r="O396" s="25">
        <f t="shared" si="265"/>
        <v>10889.636755601023</v>
      </c>
      <c r="P396" s="25">
        <f t="shared" si="266"/>
        <v>28263.43324439897</v>
      </c>
      <c r="Q396" s="25">
        <f t="array" aca="1" ref="Q396" ca="1">INDEX('Isaac 401k'!L:L,MATCH('Retirement Calculator'!A396,'Isaac 401k'!N:N,0),0)</f>
        <v>1910096.051372441</v>
      </c>
      <c r="R396" s="25">
        <f t="array" aca="1" ref="R396" ca="1">INDEX('Lorri 401b'!L:L,MATCH('Retirement Calculator'!A396,'Lorri 401b'!N:N,0),0)</f>
        <v>3567576.5816458277</v>
      </c>
      <c r="S396" s="25">
        <f t="shared" ca="1" si="267"/>
        <v>5477672.6330182683</v>
      </c>
    </row>
    <row r="397" spans="1:19" ht="15.75" customHeight="1" x14ac:dyDescent="0.3">
      <c r="A397" s="37">
        <v>63037</v>
      </c>
      <c r="B397" s="398">
        <f t="shared" ref="B397:C397" si="398">($A397-B$9)/365.25</f>
        <v>90.707734428473643</v>
      </c>
      <c r="C397" s="398">
        <f t="shared" si="398"/>
        <v>86.097193702943187</v>
      </c>
      <c r="E397" s="25">
        <f>IF(C397&gt;$B$7,0,'Combined Retirement'!$D$13/12)</f>
        <v>0</v>
      </c>
      <c r="F397" s="25">
        <f>IF(H397=0,'Combined Retirement'!$D$32,0)+'Combined Retirement'!$B$24</f>
        <v>2870.372285649099</v>
      </c>
      <c r="G397" s="25">
        <f>'Combined Retirement'!$C$24</f>
        <v>3254.2644699519233</v>
      </c>
      <c r="H397" s="25">
        <f>IF(B397&lt;62,0,'Combined Retirement'!$I$14)</f>
        <v>2345</v>
      </c>
      <c r="I397" s="25">
        <f>IF(C397&lt;62,0,'Combined Retirement'!$I$13)</f>
        <v>2420</v>
      </c>
      <c r="J397" s="25">
        <f t="shared" si="263"/>
        <v>7896.2379798201846</v>
      </c>
      <c r="K397" s="25">
        <f t="shared" si="264"/>
        <v>20367.195264578786</v>
      </c>
      <c r="L397" s="25"/>
      <c r="N397" s="25">
        <f>'Combined Retirement'!$C$18/12</f>
        <v>39153.069999999992</v>
      </c>
      <c r="O397" s="25">
        <f t="shared" si="265"/>
        <v>10889.636755601023</v>
      </c>
      <c r="P397" s="25">
        <f t="shared" si="266"/>
        <v>28263.43324439897</v>
      </c>
      <c r="Q397" s="25">
        <f t="array" aca="1" ref="Q397" ca="1">INDEX('Isaac 401k'!L:L,MATCH('Retirement Calculator'!A397,'Isaac 401k'!N:N,0),0)</f>
        <v>1910125.6459484233</v>
      </c>
      <c r="R397" s="25">
        <f t="array" aca="1" ref="R397" ca="1">INDEX('Lorri 401b'!L:L,MATCH('Retirement Calculator'!A397,'Lorri 401b'!N:N,0),0)</f>
        <v>3561989.425491171</v>
      </c>
      <c r="S397" s="25">
        <f t="shared" ca="1" si="267"/>
        <v>5472115.071439594</v>
      </c>
    </row>
    <row r="398" spans="1:19" ht="15.75" customHeight="1" x14ac:dyDescent="0.3">
      <c r="A398" s="37">
        <v>63068</v>
      </c>
      <c r="B398" s="398">
        <f t="shared" ref="B398:C398" si="399">($A398-B$9)/365.25</f>
        <v>90.792607802874741</v>
      </c>
      <c r="C398" s="398">
        <f t="shared" si="399"/>
        <v>86.182067077344286</v>
      </c>
      <c r="E398" s="25">
        <f>IF(C398&gt;$B$7,0,'Combined Retirement'!$D$13/12)</f>
        <v>0</v>
      </c>
      <c r="F398" s="25">
        <f>IF(H398=0,'Combined Retirement'!$D$32,0)+'Combined Retirement'!$B$24</f>
        <v>2870.372285649099</v>
      </c>
      <c r="G398" s="25">
        <f>'Combined Retirement'!$C$24</f>
        <v>3254.2644699519233</v>
      </c>
      <c r="H398" s="25">
        <f>IF(B398&lt;62,0,'Combined Retirement'!$I$14)</f>
        <v>2345</v>
      </c>
      <c r="I398" s="25">
        <f>IF(C398&lt;62,0,'Combined Retirement'!$I$13)</f>
        <v>2420</v>
      </c>
      <c r="J398" s="25">
        <f t="shared" si="263"/>
        <v>7896.2379798201846</v>
      </c>
      <c r="K398" s="25">
        <f t="shared" si="264"/>
        <v>20367.195264578786</v>
      </c>
      <c r="L398" s="25"/>
      <c r="N398" s="25">
        <f>'Combined Retirement'!$C$18/12</f>
        <v>39153.069999999992</v>
      </c>
      <c r="O398" s="25">
        <f t="shared" si="265"/>
        <v>10889.636755601023</v>
      </c>
      <c r="P398" s="25">
        <f t="shared" si="266"/>
        <v>28263.43324439897</v>
      </c>
      <c r="Q398" s="25">
        <f t="array" aca="1" ref="Q398" ca="1">INDEX('Isaac 401k'!L:L,MATCH('Retirement Calculator'!A398,'Isaac 401k'!N:N,0),0)</f>
        <v>1910155.363835139</v>
      </c>
      <c r="R398" s="25">
        <f t="array" aca="1" ref="R398" ca="1">INDEX('Lorri 401b'!L:L,MATCH('Retirement Calculator'!A398,'Lorri 401b'!N:N,0),0)</f>
        <v>3556378.9895192031</v>
      </c>
      <c r="S398" s="25">
        <f t="shared" ca="1" si="267"/>
        <v>5466534.3533543423</v>
      </c>
    </row>
    <row r="399" spans="1:19" ht="15.75" customHeight="1" x14ac:dyDescent="0.3">
      <c r="A399" s="37">
        <v>63098</v>
      </c>
      <c r="B399" s="398">
        <f t="shared" ref="B399:C399" si="400">($A399-B$9)/365.25</f>
        <v>90.874743326488712</v>
      </c>
      <c r="C399" s="398">
        <f t="shared" si="400"/>
        <v>86.264202600958242</v>
      </c>
      <c r="E399" s="25">
        <f>IF(C399&gt;$B$7,0,'Combined Retirement'!$D$13/12)</f>
        <v>0</v>
      </c>
      <c r="F399" s="25">
        <f>IF(H399=0,'Combined Retirement'!$D$32,0)+'Combined Retirement'!$B$24</f>
        <v>2870.372285649099</v>
      </c>
      <c r="G399" s="25">
        <f>'Combined Retirement'!$C$24</f>
        <v>3254.2644699519233</v>
      </c>
      <c r="H399" s="25">
        <f>IF(B399&lt;62,0,'Combined Retirement'!$I$14)</f>
        <v>2345</v>
      </c>
      <c r="I399" s="25">
        <f>IF(C399&lt;62,0,'Combined Retirement'!$I$13)</f>
        <v>2420</v>
      </c>
      <c r="J399" s="25">
        <f t="shared" si="263"/>
        <v>7896.2379798201846</v>
      </c>
      <c r="K399" s="25">
        <f t="shared" si="264"/>
        <v>20367.195264578786</v>
      </c>
      <c r="L399" s="25"/>
      <c r="N399" s="25">
        <f>'Combined Retirement'!$C$18/12</f>
        <v>39153.069999999992</v>
      </c>
      <c r="O399" s="25">
        <f t="shared" si="265"/>
        <v>10889.636755601023</v>
      </c>
      <c r="P399" s="25">
        <f t="shared" si="266"/>
        <v>28263.43324439897</v>
      </c>
      <c r="Q399" s="25">
        <f t="array" aca="1" ref="Q399" ca="1">INDEX('Isaac 401k'!L:L,MATCH('Retirement Calculator'!A399,'Isaac 401k'!N:N,0),0)</f>
        <v>1910185.2055463826</v>
      </c>
      <c r="R399" s="25">
        <f t="array" aca="1" ref="R399" ca="1">INDEX('Lorri 401b'!L:L,MATCH('Retirement Calculator'!A399,'Lorri 401b'!N:N,0),0)</f>
        <v>3550745.1767306854</v>
      </c>
      <c r="S399" s="25">
        <f t="shared" ca="1" si="267"/>
        <v>5460930.3822770678</v>
      </c>
    </row>
    <row r="400" spans="1:19" ht="15.75" customHeight="1" x14ac:dyDescent="0.3">
      <c r="A400" s="37">
        <v>63129</v>
      </c>
      <c r="B400" s="398">
        <f t="shared" ref="B400:C400" si="401">($A400-B$9)/365.25</f>
        <v>90.959616700889796</v>
      </c>
      <c r="C400" s="398">
        <f t="shared" si="401"/>
        <v>86.349075975359341</v>
      </c>
      <c r="E400" s="25">
        <f>IF(C400&gt;$B$7,0,'Combined Retirement'!$D$13/12)</f>
        <v>0</v>
      </c>
      <c r="F400" s="25">
        <f>IF(H400=0,'Combined Retirement'!$D$32,0)+'Combined Retirement'!$B$24</f>
        <v>2870.372285649099</v>
      </c>
      <c r="G400" s="25">
        <f>'Combined Retirement'!$C$24</f>
        <v>3254.2644699519233</v>
      </c>
      <c r="H400" s="25">
        <f>IF(B400&lt;62,0,'Combined Retirement'!$I$14)</f>
        <v>2345</v>
      </c>
      <c r="I400" s="25">
        <f>IF(C400&lt;62,0,'Combined Retirement'!$I$13)</f>
        <v>2420</v>
      </c>
      <c r="J400" s="25">
        <f t="shared" si="263"/>
        <v>7896.2379798201846</v>
      </c>
      <c r="K400" s="25">
        <f t="shared" si="264"/>
        <v>20367.195264578786</v>
      </c>
      <c r="L400" s="25"/>
      <c r="N400" s="25">
        <f>'Combined Retirement'!$C$18/12</f>
        <v>39153.069999999992</v>
      </c>
      <c r="O400" s="25">
        <f t="shared" si="265"/>
        <v>10889.636755601023</v>
      </c>
      <c r="P400" s="25">
        <f t="shared" si="266"/>
        <v>28263.43324439897</v>
      </c>
      <c r="Q400" s="25">
        <f t="array" aca="1" ref="Q400" ca="1">INDEX('Isaac 401k'!L:L,MATCH('Retirement Calculator'!A400,'Isaac 401k'!N:N,0),0)</f>
        <v>1910215.1715980896</v>
      </c>
      <c r="R400" s="25">
        <f t="array" aca="1" ref="R400" ca="1">INDEX('Lorri 401b'!L:L,MATCH('Retirement Calculator'!A400,'Lorri 401b'!N:N,0),0)</f>
        <v>3545087.8897222155</v>
      </c>
      <c r="S400" s="25">
        <f t="shared" ca="1" si="267"/>
        <v>5455303.0613203049</v>
      </c>
    </row>
    <row r="401" spans="1:19" ht="15.75" customHeight="1" x14ac:dyDescent="0.3">
      <c r="A401" s="37">
        <v>63159</v>
      </c>
      <c r="B401" s="398">
        <f t="shared" ref="B401:C401" si="402">($A401-B$9)/365.25</f>
        <v>91.041752224503767</v>
      </c>
      <c r="C401" s="398">
        <f t="shared" si="402"/>
        <v>86.431211498973312</v>
      </c>
      <c r="E401" s="25">
        <f>IF(C401&gt;$B$7,0,'Combined Retirement'!$D$13/12)</f>
        <v>0</v>
      </c>
      <c r="F401" s="25">
        <f>IF(H401=0,'Combined Retirement'!$D$32,0)+'Combined Retirement'!$B$24</f>
        <v>2870.372285649099</v>
      </c>
      <c r="G401" s="25">
        <f>'Combined Retirement'!$C$24</f>
        <v>3254.2644699519233</v>
      </c>
      <c r="H401" s="25">
        <f>IF(B401&lt;62,0,'Combined Retirement'!$I$14)</f>
        <v>2345</v>
      </c>
      <c r="I401" s="25">
        <f>IF(C401&lt;62,0,'Combined Retirement'!$I$13)</f>
        <v>2420</v>
      </c>
      <c r="J401" s="25">
        <f t="shared" si="263"/>
        <v>7896.2379798201846</v>
      </c>
      <c r="K401" s="25">
        <f t="shared" si="264"/>
        <v>20367.195264578786</v>
      </c>
      <c r="L401" s="25"/>
      <c r="N401" s="25">
        <f>'Combined Retirement'!$C$18/12</f>
        <v>39153.069999999992</v>
      </c>
      <c r="O401" s="25">
        <f t="shared" si="265"/>
        <v>10889.636755601023</v>
      </c>
      <c r="P401" s="25">
        <f t="shared" si="266"/>
        <v>28263.43324439897</v>
      </c>
      <c r="Q401" s="25">
        <f t="array" aca="1" ref="Q401" ca="1">INDEX('Isaac 401k'!L:L,MATCH('Retirement Calculator'!A401,'Isaac 401k'!N:N,0),0)</f>
        <v>1910245.2625083455</v>
      </c>
      <c r="R401" s="25">
        <f t="array" aca="1" ref="R401" ca="1">INDEX('Lorri 401b'!L:L,MATCH('Retirement Calculator'!A401,'Lorri 401b'!N:N,0),0)</f>
        <v>3539407.0306845433</v>
      </c>
      <c r="S401" s="25">
        <f t="shared" ca="1" si="267"/>
        <v>5449652.2931928886</v>
      </c>
    </row>
    <row r="402" spans="1:19" ht="15.75" customHeight="1" x14ac:dyDescent="0.3">
      <c r="A402" s="37">
        <v>63190</v>
      </c>
      <c r="B402" s="398">
        <f t="shared" ref="B402:C402" si="403">($A402-B$9)/365.25</f>
        <v>91.126625598904866</v>
      </c>
      <c r="C402" s="398">
        <f t="shared" si="403"/>
        <v>86.516084873374396</v>
      </c>
      <c r="E402" s="25">
        <f>IF(C402&gt;$B$7,0,'Combined Retirement'!$D$13/12)</f>
        <v>0</v>
      </c>
      <c r="F402" s="25">
        <f>IF(H402=0,'Combined Retirement'!$D$32,0)+'Combined Retirement'!$B$24</f>
        <v>2870.372285649099</v>
      </c>
      <c r="G402" s="25">
        <f>'Combined Retirement'!$C$24</f>
        <v>3254.2644699519233</v>
      </c>
      <c r="H402" s="25">
        <f>IF(B402&lt;62,0,'Combined Retirement'!$I$14)</f>
        <v>2345</v>
      </c>
      <c r="I402" s="25">
        <f>IF(C402&lt;62,0,'Combined Retirement'!$I$13)</f>
        <v>2420</v>
      </c>
      <c r="J402" s="25">
        <f t="shared" si="263"/>
        <v>7896.2379798201846</v>
      </c>
      <c r="K402" s="25">
        <f t="shared" si="264"/>
        <v>20367.195264578786</v>
      </c>
      <c r="L402" s="25"/>
      <c r="N402" s="25">
        <f>'Combined Retirement'!$C$18/12</f>
        <v>39153.069999999992</v>
      </c>
      <c r="O402" s="25">
        <f t="shared" si="265"/>
        <v>10889.636755601023</v>
      </c>
      <c r="P402" s="25">
        <f t="shared" si="266"/>
        <v>28263.43324439897</v>
      </c>
      <c r="Q402" s="25">
        <f t="array" aca="1" ref="Q402" ca="1">INDEX('Isaac 401k'!L:L,MATCH('Retirement Calculator'!A402,'Isaac 401k'!N:N,0),0)</f>
        <v>1910275.4787973941</v>
      </c>
      <c r="R402" s="25">
        <f t="array" aca="1" ref="R402" ca="1">INDEX('Lorri 401b'!L:L,MATCH('Retirement Calculator'!A402,'Lorri 401b'!N:N,0),0)</f>
        <v>3533702.501400881</v>
      </c>
      <c r="S402" s="25">
        <f t="shared" ca="1" si="267"/>
        <v>5443977.9801982753</v>
      </c>
    </row>
    <row r="403" spans="1:19" ht="15.75" customHeight="1" x14ac:dyDescent="0.3">
      <c r="A403" s="37">
        <v>63221</v>
      </c>
      <c r="B403" s="398">
        <f t="shared" ref="B403:C403" si="404">($A403-B$9)/365.25</f>
        <v>91.21149897330595</v>
      </c>
      <c r="C403" s="398">
        <f t="shared" si="404"/>
        <v>86.600958247775495</v>
      </c>
      <c r="E403" s="25">
        <f>IF(C403&gt;$B$7,0,'Combined Retirement'!$D$13/12)</f>
        <v>0</v>
      </c>
      <c r="F403" s="25">
        <f>IF(H403=0,'Combined Retirement'!$D$32,0)+'Combined Retirement'!$B$24</f>
        <v>2870.372285649099</v>
      </c>
      <c r="G403" s="25">
        <f>'Combined Retirement'!$C$24</f>
        <v>3254.2644699519233</v>
      </c>
      <c r="H403" s="25">
        <f>IF(B403&lt;62,0,'Combined Retirement'!$I$14)</f>
        <v>2345</v>
      </c>
      <c r="I403" s="25">
        <f>IF(C403&lt;62,0,'Combined Retirement'!$I$13)</f>
        <v>2420</v>
      </c>
      <c r="J403" s="25">
        <f t="shared" si="263"/>
        <v>7896.2379798201846</v>
      </c>
      <c r="K403" s="25">
        <f t="shared" si="264"/>
        <v>20367.195264578786</v>
      </c>
      <c r="L403" s="25"/>
      <c r="N403" s="25">
        <f>'Combined Retirement'!$C$18/12</f>
        <v>39153.069999999992</v>
      </c>
      <c r="O403" s="25">
        <f t="shared" si="265"/>
        <v>10889.636755601023</v>
      </c>
      <c r="P403" s="25">
        <f t="shared" si="266"/>
        <v>28263.43324439897</v>
      </c>
      <c r="Q403" s="25">
        <f t="array" aca="1" ref="Q403" ca="1">INDEX('Isaac 401k'!L:L,MATCH('Retirement Calculator'!A403,'Isaac 401k'!N:N,0),0)</f>
        <v>1910305.8209876472</v>
      </c>
      <c r="R403" s="25">
        <f t="array" aca="1" ref="R403" ca="1">INDEX('Lorri 401b'!L:L,MATCH('Retirement Calculator'!A403,'Lorri 401b'!N:N,0),0)</f>
        <v>3527974.2032452035</v>
      </c>
      <c r="S403" s="25">
        <f t="shared" ca="1" si="267"/>
        <v>5438280.0242328504</v>
      </c>
    </row>
    <row r="404" spans="1:19" ht="15.75" customHeight="1" x14ac:dyDescent="0.3">
      <c r="A404" s="37">
        <v>63249</v>
      </c>
      <c r="B404" s="398">
        <f t="shared" ref="B404:C404" si="405">($A404-B$9)/365.25</f>
        <v>91.288158795345652</v>
      </c>
      <c r="C404" s="398">
        <f t="shared" si="405"/>
        <v>86.677618069815196</v>
      </c>
      <c r="E404" s="25">
        <f>IF(C404&gt;$B$7,0,'Combined Retirement'!$D$13/12)</f>
        <v>0</v>
      </c>
      <c r="F404" s="25">
        <f>IF(H404=0,'Combined Retirement'!$D$32,0)+'Combined Retirement'!$B$24</f>
        <v>2870.372285649099</v>
      </c>
      <c r="G404" s="25">
        <f>'Combined Retirement'!$C$24</f>
        <v>3254.2644699519233</v>
      </c>
      <c r="H404" s="25">
        <f>IF(B404&lt;62,0,'Combined Retirement'!$I$14)</f>
        <v>2345</v>
      </c>
      <c r="I404" s="25">
        <f>IF(C404&lt;62,0,'Combined Retirement'!$I$13)</f>
        <v>2420</v>
      </c>
      <c r="J404" s="25">
        <f t="shared" si="263"/>
        <v>7896.2379798201846</v>
      </c>
      <c r="K404" s="25">
        <f t="shared" si="264"/>
        <v>20367.195264578786</v>
      </c>
      <c r="L404" s="25"/>
      <c r="N404" s="25">
        <f>'Combined Retirement'!$C$18/12</f>
        <v>39153.069999999992</v>
      </c>
      <c r="O404" s="25">
        <f t="shared" si="265"/>
        <v>10889.636755601023</v>
      </c>
      <c r="P404" s="25">
        <f t="shared" si="266"/>
        <v>28263.43324439897</v>
      </c>
      <c r="Q404" s="25">
        <f t="array" aca="1" ref="Q404" ca="1">INDEX('Isaac 401k'!L:L,MATCH('Retirement Calculator'!A404,'Isaac 401k'!N:N,0),0)</f>
        <v>1910336.2896036929</v>
      </c>
      <c r="R404" s="25">
        <f t="array" aca="1" ref="R404" ca="1">INDEX('Lorri 401b'!L:L,MATCH('Retirement Calculator'!A404,'Lorri 401b'!N:N,0),0)</f>
        <v>3522222.0371805439</v>
      </c>
      <c r="S404" s="25">
        <f t="shared" ca="1" si="267"/>
        <v>5432558.3267842364</v>
      </c>
    </row>
    <row r="405" spans="1:19" ht="15.75" customHeight="1" x14ac:dyDescent="0.3">
      <c r="A405" s="37">
        <v>63280</v>
      </c>
      <c r="B405" s="398">
        <f t="shared" ref="B405:C405" si="406">($A405-B$9)/365.25</f>
        <v>91.37303216974675</v>
      </c>
      <c r="C405" s="398">
        <f t="shared" si="406"/>
        <v>86.762491444216295</v>
      </c>
      <c r="E405" s="25">
        <f>IF(C405&gt;$B$7,0,'Combined Retirement'!$D$13/12)</f>
        <v>0</v>
      </c>
      <c r="F405" s="25">
        <f>IF(H405=0,'Combined Retirement'!$D$32,0)+'Combined Retirement'!$B$24</f>
        <v>2870.372285649099</v>
      </c>
      <c r="G405" s="25">
        <f>'Combined Retirement'!$C$24</f>
        <v>3254.2644699519233</v>
      </c>
      <c r="H405" s="25">
        <f>IF(B405&lt;62,0,'Combined Retirement'!$I$14)</f>
        <v>2345</v>
      </c>
      <c r="I405" s="25">
        <f>IF(C405&lt;62,0,'Combined Retirement'!$I$13)</f>
        <v>2420</v>
      </c>
      <c r="J405" s="25">
        <f t="shared" si="263"/>
        <v>7896.2379798201846</v>
      </c>
      <c r="K405" s="25">
        <f t="shared" si="264"/>
        <v>20367.195264578786</v>
      </c>
      <c r="L405" s="25"/>
      <c r="N405" s="25">
        <f>'Combined Retirement'!$C$18/12</f>
        <v>39153.069999999992</v>
      </c>
      <c r="O405" s="25">
        <f t="shared" si="265"/>
        <v>10889.636755601023</v>
      </c>
      <c r="P405" s="25">
        <f t="shared" si="266"/>
        <v>28263.43324439897</v>
      </c>
      <c r="Q405" s="25">
        <f t="array" aca="1" ref="Q405" ca="1">INDEX('Isaac 401k'!L:L,MATCH('Retirement Calculator'!A405,'Isaac 401k'!N:N,0),0)</f>
        <v>1910366.8851723056</v>
      </c>
      <c r="R405" s="25">
        <f t="array" aca="1" ref="R405" ca="1">INDEX('Lorri 401b'!L:L,MATCH('Retirement Calculator'!A405,'Lorri 401b'!N:N,0),0)</f>
        <v>3516445.9037572816</v>
      </c>
      <c r="S405" s="25">
        <f t="shared" ca="1" si="267"/>
        <v>5426812.7889295872</v>
      </c>
    </row>
    <row r="406" spans="1:19" ht="15.75" customHeight="1" x14ac:dyDescent="0.3">
      <c r="A406" s="37">
        <v>63310</v>
      </c>
      <c r="B406" s="398">
        <f t="shared" ref="B406:C406" si="407">($A406-B$9)/365.25</f>
        <v>91.455167693360707</v>
      </c>
      <c r="C406" s="398">
        <f t="shared" si="407"/>
        <v>86.844626967830251</v>
      </c>
      <c r="E406" s="25">
        <f>IF(C406&gt;$B$7,0,'Combined Retirement'!$D$13/12)</f>
        <v>0</v>
      </c>
      <c r="F406" s="25">
        <f>IF(H406=0,'Combined Retirement'!$D$32,0)+'Combined Retirement'!$B$24</f>
        <v>2870.372285649099</v>
      </c>
      <c r="G406" s="25">
        <f>'Combined Retirement'!$C$24</f>
        <v>3254.2644699519233</v>
      </c>
      <c r="H406" s="25">
        <f>IF(B406&lt;62,0,'Combined Retirement'!$I$14)</f>
        <v>2345</v>
      </c>
      <c r="I406" s="25">
        <f>IF(C406&lt;62,0,'Combined Retirement'!$I$13)</f>
        <v>2420</v>
      </c>
      <c r="J406" s="25">
        <f t="shared" si="263"/>
        <v>7896.2379798201846</v>
      </c>
      <c r="K406" s="25">
        <f t="shared" si="264"/>
        <v>20367.195264578786</v>
      </c>
      <c r="L406" s="25"/>
      <c r="N406" s="25">
        <f>'Combined Retirement'!$C$18/12</f>
        <v>39153.069999999992</v>
      </c>
      <c r="O406" s="25">
        <f t="shared" si="265"/>
        <v>10889.636755601023</v>
      </c>
      <c r="P406" s="25">
        <f t="shared" si="266"/>
        <v>28263.43324439897</v>
      </c>
      <c r="Q406" s="25">
        <f t="array" aca="1" ref="Q406" ca="1">INDEX('Isaac 401k'!L:L,MATCH('Retirement Calculator'!A406,'Isaac 401k'!N:N,0),0)</f>
        <v>1910397.6082224541</v>
      </c>
      <c r="R406" s="25">
        <f t="array" aca="1" ref="R406" ca="1">INDEX('Lorri 401b'!L:L,MATCH('Retirement Calculator'!A406,'Lorri 401b'!N:N,0),0)</f>
        <v>3510645.7031114222</v>
      </c>
      <c r="S406" s="25">
        <f t="shared" ca="1" si="267"/>
        <v>5421043.3113338761</v>
      </c>
    </row>
    <row r="407" spans="1:19" ht="15.75" customHeight="1" x14ac:dyDescent="0.3">
      <c r="A407" s="37">
        <v>63341</v>
      </c>
      <c r="B407" s="398">
        <f t="shared" ref="B407:C407" si="408">($A407-B$9)/365.25</f>
        <v>91.540041067761805</v>
      </c>
      <c r="C407" s="398">
        <f t="shared" si="408"/>
        <v>86.92950034223135</v>
      </c>
      <c r="E407" s="25">
        <f>IF(C407&gt;$B$7,0,'Combined Retirement'!$D$13/12)</f>
        <v>0</v>
      </c>
      <c r="F407" s="25">
        <f>IF(H407=0,'Combined Retirement'!$D$32,0)+'Combined Retirement'!$B$24</f>
        <v>2870.372285649099</v>
      </c>
      <c r="G407" s="25">
        <f>'Combined Retirement'!$C$24</f>
        <v>3254.2644699519233</v>
      </c>
      <c r="H407" s="25">
        <f>IF(B407&lt;62,0,'Combined Retirement'!$I$14)</f>
        <v>2345</v>
      </c>
      <c r="I407" s="25">
        <f>IF(C407&lt;62,0,'Combined Retirement'!$I$13)</f>
        <v>2420</v>
      </c>
      <c r="J407" s="25">
        <f t="shared" si="263"/>
        <v>7896.2379798201846</v>
      </c>
      <c r="K407" s="25">
        <f t="shared" si="264"/>
        <v>20367.195264578786</v>
      </c>
      <c r="L407" s="25"/>
      <c r="N407" s="25">
        <f>'Combined Retirement'!$C$18/12</f>
        <v>39153.069999999992</v>
      </c>
      <c r="O407" s="25">
        <f t="shared" si="265"/>
        <v>10889.636755601023</v>
      </c>
      <c r="P407" s="25">
        <f t="shared" si="266"/>
        <v>28263.43324439897</v>
      </c>
      <c r="Q407" s="25">
        <f t="array" aca="1" ref="Q407" ca="1">INDEX('Isaac 401k'!L:L,MATCH('Retirement Calculator'!A407,'Isaac 401k'!N:N,0),0)</f>
        <v>1910428.4592853114</v>
      </c>
      <c r="R407" s="25">
        <f t="array" aca="1" ref="R407" ca="1">INDEX('Lorri 401b'!L:L,MATCH('Retirement Calculator'!A407,'Lorri 401b'!N:N,0),0)</f>
        <v>3504821.3349628719</v>
      </c>
      <c r="S407" s="25">
        <f t="shared" ca="1" si="267"/>
        <v>5415249.7942481833</v>
      </c>
    </row>
    <row r="408" spans="1:19" ht="15.75" customHeight="1" x14ac:dyDescent="0.3">
      <c r="A408" s="37">
        <v>63371</v>
      </c>
      <c r="B408" s="398">
        <f t="shared" ref="B408:C408" si="409">($A408-B$9)/365.25</f>
        <v>91.622176591375776</v>
      </c>
      <c r="C408" s="398">
        <f t="shared" si="409"/>
        <v>87.011635865845307</v>
      </c>
      <c r="E408" s="25">
        <f>IF(C408&gt;$B$7,0,'Combined Retirement'!$D$13/12)</f>
        <v>0</v>
      </c>
      <c r="F408" s="25">
        <f>IF(H408=0,'Combined Retirement'!$D$32,0)+'Combined Retirement'!$B$24</f>
        <v>2870.372285649099</v>
      </c>
      <c r="G408" s="25">
        <f>'Combined Retirement'!$C$24</f>
        <v>3254.2644699519233</v>
      </c>
      <c r="H408" s="25">
        <f>IF(B408&lt;62,0,'Combined Retirement'!$I$14)</f>
        <v>2345</v>
      </c>
      <c r="I408" s="25">
        <f>IF(C408&lt;62,0,'Combined Retirement'!$I$13)</f>
        <v>2420</v>
      </c>
      <c r="J408" s="25">
        <f t="shared" si="263"/>
        <v>7896.2379798201846</v>
      </c>
      <c r="K408" s="25">
        <f t="shared" si="264"/>
        <v>20367.195264578786</v>
      </c>
      <c r="L408" s="25"/>
      <c r="N408" s="25">
        <f>'Combined Retirement'!$C$18/12</f>
        <v>39153.069999999992</v>
      </c>
      <c r="O408" s="25">
        <f t="shared" si="265"/>
        <v>10889.636755601023</v>
      </c>
      <c r="P408" s="25">
        <f t="shared" si="266"/>
        <v>28263.43324439897</v>
      </c>
      <c r="Q408" s="25">
        <f t="array" aca="1" ref="Q408" ca="1">INDEX('Isaac 401k'!L:L,MATCH('Retirement Calculator'!A408,'Isaac 401k'!N:N,0),0)</f>
        <v>1910459.4388942639</v>
      </c>
      <c r="R408" s="25">
        <f t="array" aca="1" ref="R408" ca="1">INDEX('Lorri 401b'!L:L,MATCH('Retirement Calculator'!A408,'Lorri 401b'!N:N,0),0)</f>
        <v>3498972.6986137028</v>
      </c>
      <c r="S408" s="25">
        <f t="shared" ca="1" si="267"/>
        <v>5409432.1375079667</v>
      </c>
    </row>
    <row r="409" spans="1:19" ht="15.75" customHeight="1" x14ac:dyDescent="0.3">
      <c r="A409" s="37">
        <v>63402</v>
      </c>
      <c r="B409" s="398">
        <f t="shared" ref="B409:C409" si="410">($A409-B$9)/365.25</f>
        <v>91.707049965776861</v>
      </c>
      <c r="C409" s="398">
        <f t="shared" si="410"/>
        <v>87.096509240246405</v>
      </c>
      <c r="E409" s="25">
        <f>IF(C409&gt;$B$7,0,'Combined Retirement'!$D$13/12)</f>
        <v>0</v>
      </c>
      <c r="F409" s="25">
        <f>IF(H409=0,'Combined Retirement'!$D$32,0)+'Combined Retirement'!$B$24</f>
        <v>2870.372285649099</v>
      </c>
      <c r="G409" s="25">
        <f>'Combined Retirement'!$C$24</f>
        <v>3254.2644699519233</v>
      </c>
      <c r="H409" s="25">
        <f>IF(B409&lt;62,0,'Combined Retirement'!$I$14)</f>
        <v>2345</v>
      </c>
      <c r="I409" s="25">
        <f>IF(C409&lt;62,0,'Combined Retirement'!$I$13)</f>
        <v>2420</v>
      </c>
      <c r="J409" s="25">
        <f t="shared" si="263"/>
        <v>7896.2379798201846</v>
      </c>
      <c r="K409" s="25">
        <f t="shared" si="264"/>
        <v>20367.195264578786</v>
      </c>
      <c r="L409" s="25"/>
      <c r="N409" s="25">
        <f>'Combined Retirement'!$C$18/12</f>
        <v>39153.069999999992</v>
      </c>
      <c r="O409" s="25">
        <f t="shared" si="265"/>
        <v>10889.636755601023</v>
      </c>
      <c r="P409" s="25">
        <f t="shared" si="266"/>
        <v>28263.43324439897</v>
      </c>
      <c r="Q409" s="25">
        <f t="array" aca="1" ref="Q409" ca="1">INDEX('Isaac 401k'!L:L,MATCH('Retirement Calculator'!A409,'Isaac 401k'!N:N,0),0)</f>
        <v>1910490.5475849207</v>
      </c>
      <c r="R409" s="25">
        <f t="array" aca="1" ref="R409" ca="1">INDEX('Lorri 401b'!L:L,MATCH('Retirement Calculator'!A409,'Lorri 401b'!N:N,0),0)</f>
        <v>3493099.6929464121</v>
      </c>
      <c r="S409" s="25">
        <f t="shared" ca="1" si="267"/>
        <v>5403590.2405313328</v>
      </c>
    </row>
    <row r="410" spans="1:19" ht="15.75" customHeight="1" x14ac:dyDescent="0.3">
      <c r="A410" s="37">
        <v>63433</v>
      </c>
      <c r="B410" s="398">
        <f t="shared" ref="B410:C410" si="411">($A410-B$9)/365.25</f>
        <v>91.791923340177959</v>
      </c>
      <c r="C410" s="398">
        <f t="shared" si="411"/>
        <v>87.181382614647504</v>
      </c>
      <c r="E410" s="25">
        <f>IF(C410&gt;$B$7,0,'Combined Retirement'!$D$13/12)</f>
        <v>0</v>
      </c>
      <c r="F410" s="25">
        <f>IF(H410=0,'Combined Retirement'!$D$32,0)+'Combined Retirement'!$B$24</f>
        <v>2870.372285649099</v>
      </c>
      <c r="G410" s="25">
        <f>'Combined Retirement'!$C$24</f>
        <v>3254.2644699519233</v>
      </c>
      <c r="H410" s="25">
        <f>IF(B410&lt;62,0,'Combined Retirement'!$I$14)</f>
        <v>2345</v>
      </c>
      <c r="I410" s="25">
        <f>IF(C410&lt;62,0,'Combined Retirement'!$I$13)</f>
        <v>2420</v>
      </c>
      <c r="J410" s="25">
        <f t="shared" si="263"/>
        <v>7896.2379798201846</v>
      </c>
      <c r="K410" s="25">
        <f t="shared" si="264"/>
        <v>20367.195264578786</v>
      </c>
      <c r="L410" s="25"/>
      <c r="N410" s="25">
        <f>'Combined Retirement'!$C$18/12</f>
        <v>39153.069999999992</v>
      </c>
      <c r="O410" s="25">
        <f t="shared" si="265"/>
        <v>10889.636755601023</v>
      </c>
      <c r="P410" s="25">
        <f t="shared" si="266"/>
        <v>28263.43324439897</v>
      </c>
      <c r="Q410" s="25">
        <f t="array" aca="1" ref="Q410" ca="1">INDEX('Isaac 401k'!L:L,MATCH('Retirement Calculator'!A410,'Isaac 401k'!N:N,0),0)</f>
        <v>1910521.7858951217</v>
      </c>
      <c r="R410" s="25">
        <f t="array" aca="1" ref="R410" ca="1">INDEX('Lorri 401b'!L:L,MATCH('Retirement Calculator'!A410,'Lorri 401b'!N:N,0),0)</f>
        <v>3487202.2164221741</v>
      </c>
      <c r="S410" s="25">
        <f t="shared" ca="1" si="267"/>
        <v>5397724.0023172963</v>
      </c>
    </row>
    <row r="411" spans="1:19" ht="15.75" customHeight="1" x14ac:dyDescent="0.3">
      <c r="A411" s="37">
        <v>63463</v>
      </c>
      <c r="B411" s="398">
        <f t="shared" ref="B411:C411" si="412">($A411-B$9)/365.25</f>
        <v>91.87405886379193</v>
      </c>
      <c r="C411" s="398">
        <f t="shared" si="412"/>
        <v>87.26351813826146</v>
      </c>
      <c r="E411" s="25">
        <f>IF(C411&gt;$B$7,0,'Combined Retirement'!$D$13/12)</f>
        <v>0</v>
      </c>
      <c r="F411" s="25">
        <f>IF(H411=0,'Combined Retirement'!$D$32,0)+'Combined Retirement'!$B$24</f>
        <v>2870.372285649099</v>
      </c>
      <c r="G411" s="25">
        <f>'Combined Retirement'!$C$24</f>
        <v>3254.2644699519233</v>
      </c>
      <c r="H411" s="25">
        <f>IF(B411&lt;62,0,'Combined Retirement'!$I$14)</f>
        <v>2345</v>
      </c>
      <c r="I411" s="25">
        <f>IF(C411&lt;62,0,'Combined Retirement'!$I$13)</f>
        <v>2420</v>
      </c>
      <c r="J411" s="25">
        <f t="shared" si="263"/>
        <v>7896.2379798201846</v>
      </c>
      <c r="K411" s="25">
        <f t="shared" si="264"/>
        <v>20367.195264578786</v>
      </c>
      <c r="L411" s="25"/>
      <c r="N411" s="25">
        <f>'Combined Retirement'!$C$18/12</f>
        <v>39153.069999999992</v>
      </c>
      <c r="O411" s="25">
        <f t="shared" si="265"/>
        <v>10889.636755601023</v>
      </c>
      <c r="P411" s="25">
        <f t="shared" si="266"/>
        <v>28263.43324439897</v>
      </c>
      <c r="Q411" s="25">
        <f t="array" aca="1" ref="Q411" ca="1">INDEX('Isaac 401k'!L:L,MATCH('Retirement Calculator'!A411,'Isaac 401k'!N:N,0),0)</f>
        <v>1910553.1543649486</v>
      </c>
      <c r="R411" s="25">
        <f t="array" aca="1" ref="R411" ca="1">INDEX('Lorri 401b'!L:L,MATCH('Retirement Calculator'!A411,'Lorri 401b'!N:N,0),0)</f>
        <v>3481280.1670790855</v>
      </c>
      <c r="S411" s="25">
        <f t="shared" ca="1" si="267"/>
        <v>5391833.3214440346</v>
      </c>
    </row>
    <row r="412" spans="1:19" ht="15.75" customHeight="1" x14ac:dyDescent="0.3">
      <c r="A412" s="37">
        <v>63494</v>
      </c>
      <c r="B412" s="398">
        <f t="shared" ref="B412:C412" si="413">($A412-B$9)/365.25</f>
        <v>91.958932238193015</v>
      </c>
      <c r="C412" s="398">
        <f t="shared" si="413"/>
        <v>87.348391512662559</v>
      </c>
      <c r="E412" s="25">
        <f>IF(C412&gt;$B$7,0,'Combined Retirement'!$D$13/12)</f>
        <v>0</v>
      </c>
      <c r="F412" s="25">
        <f>IF(H412=0,'Combined Retirement'!$D$32,0)+'Combined Retirement'!$B$24</f>
        <v>2870.372285649099</v>
      </c>
      <c r="G412" s="25">
        <f>'Combined Retirement'!$C$24</f>
        <v>3254.2644699519233</v>
      </c>
      <c r="H412" s="25">
        <f>IF(B412&lt;62,0,'Combined Retirement'!$I$14)</f>
        <v>2345</v>
      </c>
      <c r="I412" s="25">
        <f>IF(C412&lt;62,0,'Combined Retirement'!$I$13)</f>
        <v>2420</v>
      </c>
      <c r="J412" s="25">
        <f t="shared" si="263"/>
        <v>7896.2379798201846</v>
      </c>
      <c r="K412" s="25">
        <f t="shared" si="264"/>
        <v>20367.195264578786</v>
      </c>
      <c r="L412" s="25"/>
      <c r="N412" s="25">
        <f>'Combined Retirement'!$C$18/12</f>
        <v>39153.069999999992</v>
      </c>
      <c r="O412" s="25">
        <f t="shared" si="265"/>
        <v>10889.636755601023</v>
      </c>
      <c r="P412" s="25">
        <f t="shared" si="266"/>
        <v>28263.43324439897</v>
      </c>
      <c r="Q412" s="25">
        <f t="array" aca="1" ref="Q412" ca="1">INDEX('Isaac 401k'!L:L,MATCH('Retirement Calculator'!A412,'Isaac 401k'!N:N,0),0)</f>
        <v>1910584.653536733</v>
      </c>
      <c r="R412" s="25">
        <f t="array" aca="1" ref="R412" ca="1">INDEX('Lorri 401b'!L:L,MATCH('Retirement Calculator'!A412,'Lorri 401b'!N:N,0),0)</f>
        <v>3475333.4425304006</v>
      </c>
      <c r="S412" s="25">
        <f t="shared" ca="1" si="267"/>
        <v>5385918.0960671334</v>
      </c>
    </row>
    <row r="413" spans="1:19" ht="15.75" customHeight="1" x14ac:dyDescent="0.3">
      <c r="A413" s="37">
        <v>63524</v>
      </c>
      <c r="B413" s="398">
        <f t="shared" ref="B413:C413" si="414">($A413-B$9)/365.25</f>
        <v>92.041067761806985</v>
      </c>
      <c r="C413" s="398">
        <f t="shared" si="414"/>
        <v>87.43052703627653</v>
      </c>
      <c r="E413" s="25">
        <f>IF(C413&gt;$B$7,0,'Combined Retirement'!$D$13/12)</f>
        <v>0</v>
      </c>
      <c r="F413" s="25">
        <f>IF(H413=0,'Combined Retirement'!$D$32,0)+'Combined Retirement'!$B$24</f>
        <v>2870.372285649099</v>
      </c>
      <c r="G413" s="25">
        <f>'Combined Retirement'!$C$24</f>
        <v>3254.2644699519233</v>
      </c>
      <c r="H413" s="25">
        <f>IF(B413&lt;62,0,'Combined Retirement'!$I$14)</f>
        <v>2345</v>
      </c>
      <c r="I413" s="25">
        <f>IF(C413&lt;62,0,'Combined Retirement'!$I$13)</f>
        <v>2420</v>
      </c>
      <c r="J413" s="25">
        <f t="shared" si="263"/>
        <v>7896.2379798201846</v>
      </c>
      <c r="K413" s="25">
        <f t="shared" si="264"/>
        <v>20367.195264578786</v>
      </c>
      <c r="L413" s="25"/>
      <c r="N413" s="25">
        <f>'Combined Retirement'!$C$18/12</f>
        <v>39153.069999999992</v>
      </c>
      <c r="O413" s="25">
        <f t="shared" si="265"/>
        <v>10889.636755601023</v>
      </c>
      <c r="P413" s="25">
        <f t="shared" si="266"/>
        <v>28263.43324439897</v>
      </c>
      <c r="Q413" s="25">
        <f t="array" aca="1" ref="Q413" ca="1">INDEX('Isaac 401k'!L:L,MATCH('Retirement Calculator'!A413,'Isaac 401k'!N:N,0),0)</f>
        <v>1910616.2839550665</v>
      </c>
      <c r="R413" s="25">
        <f t="array" aca="1" ref="R413" ca="1">INDEX('Lorri 401b'!L:L,MATCH('Retirement Calculator'!A413,'Lorri 401b'!N:N,0),0)</f>
        <v>3469361.9399627629</v>
      </c>
      <c r="S413" s="25">
        <f t="shared" ca="1" si="267"/>
        <v>5379978.2239178289</v>
      </c>
    </row>
    <row r="414" spans="1:19" ht="15.75" customHeight="1" x14ac:dyDescent="0.3">
      <c r="A414" s="37">
        <v>63555</v>
      </c>
      <c r="B414" s="398">
        <f t="shared" ref="B414:C414" si="415">($A414-B$9)/365.25</f>
        <v>92.12594113620807</v>
      </c>
      <c r="C414" s="398">
        <f t="shared" si="415"/>
        <v>87.515400410677614</v>
      </c>
      <c r="E414" s="25">
        <f>IF(C414&gt;$B$7,0,'Combined Retirement'!$D$13/12)</f>
        <v>0</v>
      </c>
      <c r="F414" s="25">
        <f>IF(H414=0,'Combined Retirement'!$D$32,0)+'Combined Retirement'!$B$24</f>
        <v>2870.372285649099</v>
      </c>
      <c r="G414" s="25">
        <f>'Combined Retirement'!$C$24</f>
        <v>3254.2644699519233</v>
      </c>
      <c r="H414" s="25">
        <f>IF(B414&lt;62,0,'Combined Retirement'!$I$14)</f>
        <v>2345</v>
      </c>
      <c r="I414" s="25">
        <f>IF(C414&lt;62,0,'Combined Retirement'!$I$13)</f>
        <v>2420</v>
      </c>
      <c r="J414" s="25">
        <f t="shared" si="263"/>
        <v>7896.2379798201846</v>
      </c>
      <c r="K414" s="25">
        <f t="shared" si="264"/>
        <v>20367.195264578786</v>
      </c>
      <c r="L414" s="25"/>
      <c r="N414" s="25">
        <f>'Combined Retirement'!$C$18/12</f>
        <v>39153.069999999992</v>
      </c>
      <c r="O414" s="25">
        <f t="shared" si="265"/>
        <v>10889.636755601023</v>
      </c>
      <c r="P414" s="25">
        <f t="shared" si="266"/>
        <v>28263.43324439897</v>
      </c>
      <c r="Q414" s="25">
        <f t="array" aca="1" ref="Q414" ca="1">INDEX('Isaac 401k'!L:L,MATCH('Retirement Calculator'!A414,'Isaac 401k'!N:N,0),0)</f>
        <v>1910648.0461668097</v>
      </c>
      <c r="R414" s="25">
        <f t="array" aca="1" ref="R414" ca="1">INDEX('Lorri 401b'!L:L,MATCH('Retirement Calculator'!A414,'Lorri 401b'!N:N,0),0)</f>
        <v>3463365.5561344265</v>
      </c>
      <c r="S414" s="25">
        <f t="shared" ca="1" si="267"/>
        <v>5374013.6023012362</v>
      </c>
    </row>
    <row r="415" spans="1:19" ht="15.75" customHeight="1" x14ac:dyDescent="0.3">
      <c r="A415" s="37">
        <v>63586</v>
      </c>
      <c r="B415" s="398">
        <f t="shared" ref="B415:C415" si="416">($A415-B$9)/365.25</f>
        <v>92.210814510609168</v>
      </c>
      <c r="C415" s="398">
        <f t="shared" si="416"/>
        <v>87.600273785078713</v>
      </c>
      <c r="E415" s="25">
        <f>IF(C415&gt;$B$7,0,'Combined Retirement'!$D$13/12)</f>
        <v>0</v>
      </c>
      <c r="F415" s="25">
        <f>IF(H415=0,'Combined Retirement'!$D$32,0)+'Combined Retirement'!$B$24</f>
        <v>2870.372285649099</v>
      </c>
      <c r="G415" s="25">
        <f>'Combined Retirement'!$C$24</f>
        <v>3254.2644699519233</v>
      </c>
      <c r="H415" s="25">
        <f>IF(B415&lt;62,0,'Combined Retirement'!$I$14)</f>
        <v>2345</v>
      </c>
      <c r="I415" s="25">
        <f>IF(C415&lt;62,0,'Combined Retirement'!$I$13)</f>
        <v>2420</v>
      </c>
      <c r="J415" s="25">
        <f t="shared" si="263"/>
        <v>7896.2379798201846</v>
      </c>
      <c r="K415" s="25">
        <f t="shared" si="264"/>
        <v>20367.195264578786</v>
      </c>
      <c r="L415" s="25"/>
      <c r="N415" s="25">
        <f>'Combined Retirement'!$C$18/12</f>
        <v>39153.069999999992</v>
      </c>
      <c r="O415" s="25">
        <f t="shared" si="265"/>
        <v>10889.636755601023</v>
      </c>
      <c r="P415" s="25">
        <f t="shared" si="266"/>
        <v>28263.43324439897</v>
      </c>
      <c r="Q415" s="25">
        <f t="array" aca="1" ref="Q415" ca="1">INDEX('Isaac 401k'!L:L,MATCH('Retirement Calculator'!A415,'Isaac 401k'!N:N,0),0)</f>
        <v>1910679.9407211021</v>
      </c>
      <c r="R415" s="25">
        <f t="array" aca="1" ref="R415" ca="1">INDEX('Lorri 401b'!L:L,MATCH('Retirement Calculator'!A415,'Lorri 401b'!N:N,0),0)</f>
        <v>3457344.1873734719</v>
      </c>
      <c r="S415" s="25">
        <f t="shared" ca="1" si="267"/>
        <v>5368024.1280945744</v>
      </c>
    </row>
    <row r="416" spans="1:19" ht="15.75" customHeight="1" x14ac:dyDescent="0.3">
      <c r="A416" s="37">
        <v>63614</v>
      </c>
      <c r="B416" s="398">
        <f t="shared" ref="B416:C416" si="417">($A416-B$9)/365.25</f>
        <v>92.28747433264887</v>
      </c>
      <c r="C416" s="398">
        <f t="shared" si="417"/>
        <v>87.676933607118414</v>
      </c>
      <c r="E416" s="25">
        <f>IF(C416&gt;$B$7,0,'Combined Retirement'!$D$13/12)</f>
        <v>0</v>
      </c>
      <c r="F416" s="25">
        <f>IF(H416=0,'Combined Retirement'!$D$32,0)+'Combined Retirement'!$B$24</f>
        <v>2870.372285649099</v>
      </c>
      <c r="G416" s="25">
        <f>'Combined Retirement'!$C$24</f>
        <v>3254.2644699519233</v>
      </c>
      <c r="H416" s="25">
        <f>IF(B416&lt;62,0,'Combined Retirement'!$I$14)</f>
        <v>2345</v>
      </c>
      <c r="I416" s="25">
        <f>IF(C416&lt;62,0,'Combined Retirement'!$I$13)</f>
        <v>2420</v>
      </c>
      <c r="J416" s="25">
        <f t="shared" si="263"/>
        <v>7896.2379798201846</v>
      </c>
      <c r="K416" s="25">
        <f t="shared" si="264"/>
        <v>20367.195264578786</v>
      </c>
      <c r="L416" s="25"/>
      <c r="N416" s="25">
        <f>'Combined Retirement'!$C$18/12</f>
        <v>39153.069999999992</v>
      </c>
      <c r="O416" s="25">
        <f t="shared" si="265"/>
        <v>10889.636755601023</v>
      </c>
      <c r="P416" s="25">
        <f t="shared" si="266"/>
        <v>28263.43324439897</v>
      </c>
      <c r="Q416" s="25">
        <f t="array" aca="1" ref="Q416" ca="1">INDEX('Isaac 401k'!L:L,MATCH('Retirement Calculator'!A416,'Isaac 401k'!N:N,0),0)</f>
        <v>1910711.9681693704</v>
      </c>
      <c r="R416" s="25">
        <f t="array" aca="1" ref="R416" ca="1">INDEX('Lorri 401b'!L:L,MATCH('Retirement Calculator'!A416,'Lorri 401b'!N:N,0),0)</f>
        <v>3451297.7295760135</v>
      </c>
      <c r="S416" s="25">
        <f t="shared" ca="1" si="267"/>
        <v>5362009.6977453837</v>
      </c>
    </row>
    <row r="417" spans="1:19" ht="15.75" customHeight="1" x14ac:dyDescent="0.3">
      <c r="A417" s="37">
        <v>63645</v>
      </c>
      <c r="B417" s="398">
        <f t="shared" ref="B417:C417" si="418">($A417-B$9)/365.25</f>
        <v>92.372347707049968</v>
      </c>
      <c r="C417" s="398">
        <f t="shared" si="418"/>
        <v>87.761806981519513</v>
      </c>
      <c r="E417" s="25">
        <f>IF(C417&gt;$B$7,0,'Combined Retirement'!$D$13/12)</f>
        <v>0</v>
      </c>
      <c r="F417" s="25">
        <f>IF(H417=0,'Combined Retirement'!$D$32,0)+'Combined Retirement'!$B$24</f>
        <v>2870.372285649099</v>
      </c>
      <c r="G417" s="25">
        <f>'Combined Retirement'!$C$24</f>
        <v>3254.2644699519233</v>
      </c>
      <c r="H417" s="25">
        <f>IF(B417&lt;62,0,'Combined Retirement'!$I$14)</f>
        <v>2345</v>
      </c>
      <c r="I417" s="25">
        <f>IF(C417&lt;62,0,'Combined Retirement'!$I$13)</f>
        <v>2420</v>
      </c>
      <c r="J417" s="25">
        <f t="shared" si="263"/>
        <v>7896.2379798201846</v>
      </c>
      <c r="K417" s="25">
        <f t="shared" si="264"/>
        <v>20367.195264578786</v>
      </c>
      <c r="L417" s="25"/>
      <c r="N417" s="25">
        <f>'Combined Retirement'!$C$18/12</f>
        <v>39153.069999999992</v>
      </c>
      <c r="O417" s="25">
        <f t="shared" si="265"/>
        <v>10889.636755601023</v>
      </c>
      <c r="P417" s="25">
        <f t="shared" si="266"/>
        <v>28263.43324439897</v>
      </c>
      <c r="Q417" s="25">
        <f t="array" aca="1" ref="Q417" ca="1">INDEX('Isaac 401k'!L:L,MATCH('Retirement Calculator'!A417,'Isaac 401k'!N:N,0),0)</f>
        <v>1910744.1290653399</v>
      </c>
      <c r="R417" s="25">
        <f t="array" aca="1" ref="R417" ca="1">INDEX('Lorri 401b'!L:L,MATCH('Retirement Calculator'!A417,'Lorri 401b'!N:N,0),0)</f>
        <v>3445226.078204399</v>
      </c>
      <c r="S417" s="25">
        <f t="shared" ca="1" si="267"/>
        <v>5355970.2072697394</v>
      </c>
    </row>
    <row r="418" spans="1:19" ht="15.75" customHeight="1" x14ac:dyDescent="0.3">
      <c r="A418" s="37">
        <v>63675</v>
      </c>
      <c r="B418" s="398">
        <f t="shared" ref="B418:C418" si="419">($A418-B$9)/365.25</f>
        <v>92.454483230663925</v>
      </c>
      <c r="C418" s="398">
        <f t="shared" si="419"/>
        <v>87.843942505133469</v>
      </c>
      <c r="E418" s="25">
        <f>IF(C418&gt;$B$7,0,'Combined Retirement'!$D$13/12)</f>
        <v>0</v>
      </c>
      <c r="F418" s="25">
        <f>IF(H418=0,'Combined Retirement'!$D$32,0)+'Combined Retirement'!$B$24</f>
        <v>2870.372285649099</v>
      </c>
      <c r="G418" s="25">
        <f>'Combined Retirement'!$C$24</f>
        <v>3254.2644699519233</v>
      </c>
      <c r="H418" s="25">
        <f>IF(B418&lt;62,0,'Combined Retirement'!$I$14)</f>
        <v>2345</v>
      </c>
      <c r="I418" s="25">
        <f>IF(C418&lt;62,0,'Combined Retirement'!$I$13)</f>
        <v>2420</v>
      </c>
      <c r="J418" s="25">
        <f t="shared" si="263"/>
        <v>7896.2379798201846</v>
      </c>
      <c r="K418" s="25">
        <f t="shared" si="264"/>
        <v>20367.195264578786</v>
      </c>
      <c r="L418" s="25"/>
      <c r="N418" s="25">
        <f>'Combined Retirement'!$C$18/12</f>
        <v>39153.069999999992</v>
      </c>
      <c r="O418" s="25">
        <f t="shared" si="265"/>
        <v>10889.636755601023</v>
      </c>
      <c r="P418" s="25">
        <f t="shared" si="266"/>
        <v>28263.43324439897</v>
      </c>
      <c r="Q418" s="25">
        <f t="array" aca="1" ref="Q418" ca="1">INDEX('Isaac 401k'!L:L,MATCH('Retirement Calculator'!A418,'Isaac 401k'!N:N,0),0)</f>
        <v>1910776.4239650427</v>
      </c>
      <c r="R418" s="25">
        <f t="array" aca="1" ref="R418" ca="1">INDEX('Lorri 401b'!L:L,MATCH('Retirement Calculator'!A418,'Lorri 401b'!N:N,0),0)</f>
        <v>3439129.1282854029</v>
      </c>
      <c r="S418" s="25">
        <f t="shared" ca="1" si="267"/>
        <v>5349905.5522504458</v>
      </c>
    </row>
    <row r="419" spans="1:19" ht="15.75" customHeight="1" x14ac:dyDescent="0.3">
      <c r="A419" s="37">
        <v>63706</v>
      </c>
      <c r="B419" s="398">
        <f t="shared" ref="B419:C419" si="420">($A419-B$9)/365.25</f>
        <v>92.539356605065024</v>
      </c>
      <c r="C419" s="398">
        <f t="shared" si="420"/>
        <v>87.928815879534568</v>
      </c>
      <c r="E419" s="25">
        <f>IF(C419&gt;$B$7,0,'Combined Retirement'!$D$13/12)</f>
        <v>0</v>
      </c>
      <c r="F419" s="25">
        <f>IF(H419=0,'Combined Retirement'!$D$32,0)+'Combined Retirement'!$B$24</f>
        <v>2870.372285649099</v>
      </c>
      <c r="G419" s="25">
        <f>'Combined Retirement'!$C$24</f>
        <v>3254.2644699519233</v>
      </c>
      <c r="H419" s="25">
        <f>IF(B419&lt;62,0,'Combined Retirement'!$I$14)</f>
        <v>2345</v>
      </c>
      <c r="I419" s="25">
        <f>IF(C419&lt;62,0,'Combined Retirement'!$I$13)</f>
        <v>2420</v>
      </c>
      <c r="J419" s="25">
        <f t="shared" si="263"/>
        <v>7896.2379798201846</v>
      </c>
      <c r="K419" s="25">
        <f t="shared" si="264"/>
        <v>20367.195264578786</v>
      </c>
      <c r="L419" s="25"/>
      <c r="N419" s="25">
        <f>'Combined Retirement'!$C$18/12</f>
        <v>39153.069999999992</v>
      </c>
      <c r="O419" s="25">
        <f t="shared" si="265"/>
        <v>10889.636755601023</v>
      </c>
      <c r="P419" s="25">
        <f t="shared" si="266"/>
        <v>28263.43324439897</v>
      </c>
      <c r="Q419" s="25">
        <f t="array" aca="1" ref="Q419" ca="1">INDEX('Isaac 401k'!L:L,MATCH('Retirement Calculator'!A419,'Isaac 401k'!N:N,0),0)</f>
        <v>1910808.8534268276</v>
      </c>
      <c r="R419" s="25">
        <f t="array" aca="1" ref="R419" ca="1">INDEX('Lorri 401b'!L:L,MATCH('Retirement Calculator'!A419,'Lorri 401b'!N:N,0),0)</f>
        <v>3433006.7744084108</v>
      </c>
      <c r="S419" s="25">
        <f t="shared" ca="1" si="267"/>
        <v>5343815.6278352384</v>
      </c>
    </row>
    <row r="420" spans="1:19" ht="15.75" customHeight="1" x14ac:dyDescent="0.3">
      <c r="A420" s="37">
        <v>63736</v>
      </c>
      <c r="B420" s="398">
        <f t="shared" ref="B420:C420" si="421">($A420-B$9)/365.25</f>
        <v>92.62149212867898</v>
      </c>
      <c r="C420" s="398">
        <f t="shared" si="421"/>
        <v>88.010951403148525</v>
      </c>
      <c r="E420" s="25">
        <f>IF(C420&gt;$B$7,0,'Combined Retirement'!$D$13/12)</f>
        <v>0</v>
      </c>
      <c r="F420" s="25">
        <f>IF(H420=0,'Combined Retirement'!$D$32,0)+'Combined Retirement'!$B$24</f>
        <v>2870.372285649099</v>
      </c>
      <c r="G420" s="25">
        <f>'Combined Retirement'!$C$24</f>
        <v>3254.2644699519233</v>
      </c>
      <c r="H420" s="25">
        <f>IF(B420&lt;62,0,'Combined Retirement'!$I$14)</f>
        <v>2345</v>
      </c>
      <c r="I420" s="25">
        <f>IF(C420&lt;62,0,'Combined Retirement'!$I$13)</f>
        <v>2420</v>
      </c>
      <c r="J420" s="25">
        <f t="shared" si="263"/>
        <v>7896.2379798201846</v>
      </c>
      <c r="K420" s="25">
        <f t="shared" si="264"/>
        <v>20367.195264578786</v>
      </c>
      <c r="L420" s="25"/>
      <c r="N420" s="25">
        <f>'Combined Retirement'!$C$18/12</f>
        <v>39153.069999999992</v>
      </c>
      <c r="O420" s="25">
        <f t="shared" si="265"/>
        <v>10889.636755601023</v>
      </c>
      <c r="P420" s="25">
        <f t="shared" si="266"/>
        <v>28263.43324439897</v>
      </c>
      <c r="Q420" s="25">
        <f t="array" aca="1" ref="Q420" ca="1">INDEX('Isaac 401k'!L:L,MATCH('Retirement Calculator'!A420,'Isaac 401k'!N:N,0),0)</f>
        <v>1910841.4180113699</v>
      </c>
      <c r="R420" s="25">
        <f t="array" aca="1" ref="R420" ca="1">INDEX('Lorri 401b'!L:L,MATCH('Retirement Calculator'!A420,'Lorri 401b'!N:N,0),0)</f>
        <v>3426858.9107235977</v>
      </c>
      <c r="S420" s="25">
        <f t="shared" ca="1" si="267"/>
        <v>5337700.3287349679</v>
      </c>
    </row>
    <row r="421" spans="1:19" ht="15.75" customHeight="1" x14ac:dyDescent="0.3">
      <c r="A421" s="37">
        <v>63767</v>
      </c>
      <c r="B421" s="398">
        <f t="shared" ref="B421:C421" si="422">($A421-B$9)/365.25</f>
        <v>92.706365503080079</v>
      </c>
      <c r="C421" s="398">
        <f t="shared" si="422"/>
        <v>88.095824777549623</v>
      </c>
      <c r="E421" s="25">
        <f>IF(C421&gt;$B$7,0,'Combined Retirement'!$D$13/12)</f>
        <v>0</v>
      </c>
      <c r="F421" s="25">
        <f>IF(H421=0,'Combined Retirement'!$D$32,0)+'Combined Retirement'!$B$24</f>
        <v>2870.372285649099</v>
      </c>
      <c r="G421" s="25">
        <f>'Combined Retirement'!$C$24</f>
        <v>3254.2644699519233</v>
      </c>
      <c r="H421" s="25">
        <f>IF(B421&lt;62,0,'Combined Retirement'!$I$14)</f>
        <v>2345</v>
      </c>
      <c r="I421" s="25">
        <f>IF(C421&lt;62,0,'Combined Retirement'!$I$13)</f>
        <v>2420</v>
      </c>
      <c r="J421" s="25">
        <f t="shared" si="263"/>
        <v>7896.2379798201846</v>
      </c>
      <c r="K421" s="25">
        <f t="shared" si="264"/>
        <v>20367.195264578786</v>
      </c>
      <c r="L421" s="25"/>
      <c r="N421" s="25">
        <f>'Combined Retirement'!$C$18/12</f>
        <v>39153.069999999992</v>
      </c>
      <c r="O421" s="25">
        <f t="shared" si="265"/>
        <v>10889.636755601023</v>
      </c>
      <c r="P421" s="25">
        <f t="shared" si="266"/>
        <v>28263.43324439897</v>
      </c>
      <c r="Q421" s="25">
        <f t="array" aca="1" ref="Q421" ca="1">INDEX('Isaac 401k'!L:L,MATCH('Retirement Calculator'!A421,'Isaac 401k'!N:N,0),0)</f>
        <v>1910874.1182816811</v>
      </c>
      <c r="R421" s="25">
        <f t="array" aca="1" ref="R421" ca="1">INDEX('Lorri 401b'!L:L,MATCH('Retirement Calculator'!A421,'Lorri 401b'!N:N,0),0)</f>
        <v>3420685.4309400981</v>
      </c>
      <c r="S421" s="25">
        <f t="shared" ca="1" si="267"/>
        <v>5331559.5492217792</v>
      </c>
    </row>
    <row r="422" spans="1:19" ht="15.75" customHeight="1" x14ac:dyDescent="0.3">
      <c r="A422" s="37">
        <v>63798</v>
      </c>
      <c r="B422" s="398">
        <f t="shared" ref="B422:C422" si="423">($A422-B$9)/365.25</f>
        <v>92.791238877481177</v>
      </c>
      <c r="C422" s="398">
        <f t="shared" si="423"/>
        <v>88.180698151950722</v>
      </c>
      <c r="E422" s="25">
        <f>IF(C422&gt;$B$7,0,'Combined Retirement'!$D$13/12)</f>
        <v>0</v>
      </c>
      <c r="F422" s="25">
        <f>IF(H422=0,'Combined Retirement'!$D$32,0)+'Combined Retirement'!$B$24</f>
        <v>2870.372285649099</v>
      </c>
      <c r="G422" s="25">
        <f>'Combined Retirement'!$C$24</f>
        <v>3254.2644699519233</v>
      </c>
      <c r="H422" s="25">
        <f>IF(B422&lt;62,0,'Combined Retirement'!$I$14)</f>
        <v>2345</v>
      </c>
      <c r="I422" s="25">
        <f>IF(C422&lt;62,0,'Combined Retirement'!$I$13)</f>
        <v>2420</v>
      </c>
      <c r="J422" s="25">
        <f t="shared" si="263"/>
        <v>7896.2379798201846</v>
      </c>
      <c r="K422" s="25">
        <f t="shared" si="264"/>
        <v>20367.195264578786</v>
      </c>
      <c r="L422" s="25"/>
      <c r="N422" s="25">
        <f>'Combined Retirement'!$C$18/12</f>
        <v>39153.069999999992</v>
      </c>
      <c r="O422" s="25">
        <f t="shared" si="265"/>
        <v>10889.636755601023</v>
      </c>
      <c r="P422" s="25">
        <f t="shared" si="266"/>
        <v>28263.43324439897</v>
      </c>
      <c r="Q422" s="25">
        <f t="array" aca="1" ref="Q422" ca="1">INDEX('Isaac 401k'!L:L,MATCH('Retirement Calculator'!A422,'Isaac 401k'!N:N,0),0)</f>
        <v>1910906.9548031187</v>
      </c>
      <c r="R422" s="25">
        <f t="array" aca="1" ref="R422" ca="1">INDEX('Lorri 401b'!L:L,MATCH('Retirement Calculator'!A422,'Lorri 401b'!N:N,0),0)</f>
        <v>3414486.2283241674</v>
      </c>
      <c r="S422" s="25">
        <f t="shared" ca="1" si="267"/>
        <v>5325393.1831272859</v>
      </c>
    </row>
    <row r="423" spans="1:19" ht="15.75" customHeight="1" x14ac:dyDescent="0.3">
      <c r="A423" s="37">
        <v>63828</v>
      </c>
      <c r="B423" s="398">
        <f t="shared" ref="B423:C423" si="424">($A423-B$9)/365.25</f>
        <v>92.873374401095134</v>
      </c>
      <c r="C423" s="398">
        <f t="shared" si="424"/>
        <v>88.262833675564679</v>
      </c>
      <c r="E423" s="25">
        <f>IF(C423&gt;$B$7,0,'Combined Retirement'!$D$13/12)</f>
        <v>0</v>
      </c>
      <c r="F423" s="25">
        <f>IF(H423=0,'Combined Retirement'!$D$32,0)+'Combined Retirement'!$B$24</f>
        <v>2870.372285649099</v>
      </c>
      <c r="G423" s="25">
        <f>'Combined Retirement'!$C$24</f>
        <v>3254.2644699519233</v>
      </c>
      <c r="H423" s="25">
        <f>IF(B423&lt;62,0,'Combined Retirement'!$I$14)</f>
        <v>2345</v>
      </c>
      <c r="I423" s="25">
        <f>IF(C423&lt;62,0,'Combined Retirement'!$I$13)</f>
        <v>2420</v>
      </c>
      <c r="J423" s="25">
        <f t="shared" si="263"/>
        <v>7896.2379798201846</v>
      </c>
      <c r="K423" s="25">
        <f t="shared" si="264"/>
        <v>20367.195264578786</v>
      </c>
      <c r="L423" s="25"/>
      <c r="N423" s="25">
        <f>'Combined Retirement'!$C$18/12</f>
        <v>39153.069999999992</v>
      </c>
      <c r="O423" s="25">
        <f t="shared" si="265"/>
        <v>10889.636755601023</v>
      </c>
      <c r="P423" s="25">
        <f t="shared" si="266"/>
        <v>28263.43324439897</v>
      </c>
      <c r="Q423" s="25">
        <f t="array" aca="1" ref="Q423" ca="1">INDEX('Isaac 401k'!L:L,MATCH('Retirement Calculator'!A423,'Isaac 401k'!N:N,0),0)</f>
        <v>1910939.9281433956</v>
      </c>
      <c r="R423" s="25">
        <f t="array" aca="1" ref="R423" ca="1">INDEX('Lorri 401b'!L:L,MATCH('Retirement Calculator'!A423,'Lorri 401b'!N:N,0),0)</f>
        <v>3408261.1956973369</v>
      </c>
      <c r="S423" s="25">
        <f t="shared" ca="1" si="267"/>
        <v>5319201.1238407325</v>
      </c>
    </row>
    <row r="424" spans="1:19" ht="15.75" customHeight="1" x14ac:dyDescent="0.3">
      <c r="A424" s="37">
        <v>63859</v>
      </c>
      <c r="B424" s="398">
        <f t="shared" ref="B424:C424" si="425">($A424-B$9)/365.25</f>
        <v>92.958247775496233</v>
      </c>
      <c r="C424" s="398">
        <f t="shared" si="425"/>
        <v>88.347707049965777</v>
      </c>
      <c r="E424" s="25">
        <f>IF(C424&gt;$B$7,0,'Combined Retirement'!$D$13/12)</f>
        <v>0</v>
      </c>
      <c r="F424" s="25">
        <f>IF(H424=0,'Combined Retirement'!$D$32,0)+'Combined Retirement'!$B$24</f>
        <v>2870.372285649099</v>
      </c>
      <c r="G424" s="25">
        <f>'Combined Retirement'!$C$24</f>
        <v>3254.2644699519233</v>
      </c>
      <c r="H424" s="25">
        <f>IF(B424&lt;62,0,'Combined Retirement'!$I$14)</f>
        <v>2345</v>
      </c>
      <c r="I424" s="25">
        <f>IF(C424&lt;62,0,'Combined Retirement'!$I$13)</f>
        <v>2420</v>
      </c>
      <c r="J424" s="25">
        <f t="shared" si="263"/>
        <v>7896.2379798201846</v>
      </c>
      <c r="K424" s="25">
        <f t="shared" si="264"/>
        <v>20367.195264578786</v>
      </c>
      <c r="L424" s="25"/>
      <c r="N424" s="25">
        <f>'Combined Retirement'!$C$18/12</f>
        <v>39153.069999999992</v>
      </c>
      <c r="O424" s="25">
        <f t="shared" si="265"/>
        <v>10889.636755601023</v>
      </c>
      <c r="P424" s="25">
        <f t="shared" si="266"/>
        <v>28263.43324439897</v>
      </c>
      <c r="Q424" s="25">
        <f t="array" aca="1" ref="Q424" ca="1">INDEX('Isaac 401k'!L:L,MATCH('Retirement Calculator'!A424,'Isaac 401k'!N:N,0),0)</f>
        <v>1910973.0388725903</v>
      </c>
      <c r="R424" s="25">
        <f t="array" aca="1" ref="R424" ca="1">INDEX('Lorri 401b'!L:L,MATCH('Retirement Calculator'!A424,'Lorri 401b'!N:N,0),0)</f>
        <v>3402010.2254345613</v>
      </c>
      <c r="S424" s="25">
        <f t="shared" ca="1" si="267"/>
        <v>5312983.2643071515</v>
      </c>
    </row>
    <row r="425" spans="1:19" ht="15.75" customHeight="1" x14ac:dyDescent="0.3">
      <c r="A425" s="37">
        <v>63889</v>
      </c>
      <c r="B425" s="398">
        <f t="shared" ref="B425:C425" si="426">($A425-B$9)/365.25</f>
        <v>93.040383299110204</v>
      </c>
      <c r="C425" s="398">
        <f t="shared" si="426"/>
        <v>88.429842573579734</v>
      </c>
      <c r="E425" s="25">
        <f>IF(C425&gt;$B$7,0,'Combined Retirement'!$D$13/12)</f>
        <v>0</v>
      </c>
      <c r="F425" s="25">
        <f>IF(H425=0,'Combined Retirement'!$D$32,0)+'Combined Retirement'!$B$24</f>
        <v>2870.372285649099</v>
      </c>
      <c r="G425" s="25">
        <f>'Combined Retirement'!$C$24</f>
        <v>3254.2644699519233</v>
      </c>
      <c r="H425" s="25">
        <f>IF(B425&lt;62,0,'Combined Retirement'!$I$14)</f>
        <v>2345</v>
      </c>
      <c r="I425" s="25">
        <f>IF(C425&lt;62,0,'Combined Retirement'!$I$13)</f>
        <v>2420</v>
      </c>
      <c r="J425" s="25">
        <f t="shared" si="263"/>
        <v>7896.2379798201846</v>
      </c>
      <c r="K425" s="25">
        <f t="shared" si="264"/>
        <v>20367.195264578786</v>
      </c>
      <c r="L425" s="25"/>
      <c r="N425" s="25">
        <f>'Combined Retirement'!$C$18/12</f>
        <v>39153.069999999992</v>
      </c>
      <c r="O425" s="25">
        <f t="shared" si="265"/>
        <v>10889.636755601023</v>
      </c>
      <c r="P425" s="25">
        <f t="shared" si="266"/>
        <v>28263.43324439897</v>
      </c>
      <c r="Q425" s="25">
        <f t="array" aca="1" ref="Q425" ca="1">INDEX('Isaac 401k'!L:L,MATCH('Retirement Calculator'!A425,'Isaac 401k'!N:N,0),0)</f>
        <v>1911006.2875631566</v>
      </c>
      <c r="R425" s="25">
        <f t="array" aca="1" ref="R425" ca="1">INDEX('Lorri 401b'!L:L,MATCH('Retirement Calculator'!A425,'Lorri 401b'!N:N,0),0)</f>
        <v>3395733.2094623572</v>
      </c>
      <c r="S425" s="25">
        <f t="shared" ca="1" si="267"/>
        <v>5306739.497025514</v>
      </c>
    </row>
    <row r="426" spans="1:19" ht="15.75" customHeight="1" x14ac:dyDescent="0.3">
      <c r="A426" s="37">
        <v>63920</v>
      </c>
      <c r="B426" s="398">
        <f t="shared" ref="B426:C426" si="427">($A426-B$9)/365.25</f>
        <v>93.125256673511288</v>
      </c>
      <c r="C426" s="398">
        <f t="shared" si="427"/>
        <v>88.514715947980832</v>
      </c>
      <c r="E426" s="25">
        <f>IF(C426&gt;$B$7,0,'Combined Retirement'!$D$13/12)</f>
        <v>0</v>
      </c>
      <c r="F426" s="25">
        <f>IF(H426=0,'Combined Retirement'!$D$32,0)+'Combined Retirement'!$B$24</f>
        <v>2870.372285649099</v>
      </c>
      <c r="G426" s="25">
        <f>'Combined Retirement'!$C$24</f>
        <v>3254.2644699519233</v>
      </c>
      <c r="H426" s="25">
        <f>IF(B426&lt;62,0,'Combined Retirement'!$I$14)</f>
        <v>2345</v>
      </c>
      <c r="I426" s="25">
        <f>IF(C426&lt;62,0,'Combined Retirement'!$I$13)</f>
        <v>2420</v>
      </c>
      <c r="J426" s="25">
        <f t="shared" si="263"/>
        <v>7896.2379798201846</v>
      </c>
      <c r="K426" s="25">
        <f t="shared" si="264"/>
        <v>20367.195264578786</v>
      </c>
      <c r="L426" s="25"/>
      <c r="N426" s="25">
        <f>'Combined Retirement'!$C$18/12</f>
        <v>39153.069999999992</v>
      </c>
      <c r="O426" s="25">
        <f t="shared" si="265"/>
        <v>10889.636755601023</v>
      </c>
      <c r="P426" s="25">
        <f t="shared" si="266"/>
        <v>28263.43324439897</v>
      </c>
      <c r="Q426" s="25">
        <f t="array" aca="1" ref="Q426" ca="1">INDEX('Isaac 401k'!L:L,MATCH('Retirement Calculator'!A426,'Isaac 401k'!N:N,0),0)</f>
        <v>1911039.6747899335</v>
      </c>
      <c r="R426" s="25">
        <f t="array" aca="1" ref="R426" ca="1">INDEX('Lorri 401b'!L:L,MATCH('Retirement Calculator'!A426,'Lorri 401b'!N:N,0),0)</f>
        <v>3389430.0392569359</v>
      </c>
      <c r="S426" s="25">
        <f t="shared" ca="1" si="267"/>
        <v>5300469.7140468694</v>
      </c>
    </row>
    <row r="427" spans="1:19" ht="15.75" customHeight="1" x14ac:dyDescent="0.3">
      <c r="A427" s="37">
        <v>63951</v>
      </c>
      <c r="B427" s="398">
        <f t="shared" ref="B427:C427" si="428">($A427-B$9)/365.25</f>
        <v>93.210130047912386</v>
      </c>
      <c r="C427" s="398">
        <f t="shared" si="428"/>
        <v>88.599589322381931</v>
      </c>
      <c r="E427" s="25">
        <f>IF(C427&gt;$B$7,0,'Combined Retirement'!$D$13/12)</f>
        <v>0</v>
      </c>
      <c r="F427" s="25">
        <f>IF(H427=0,'Combined Retirement'!$D$32,0)+'Combined Retirement'!$B$24</f>
        <v>2870.372285649099</v>
      </c>
      <c r="G427" s="25">
        <f>'Combined Retirement'!$C$24</f>
        <v>3254.2644699519233</v>
      </c>
      <c r="H427" s="25">
        <f>IF(B427&lt;62,0,'Combined Retirement'!$I$14)</f>
        <v>2345</v>
      </c>
      <c r="I427" s="25">
        <f>IF(C427&lt;62,0,'Combined Retirement'!$I$13)</f>
        <v>2420</v>
      </c>
      <c r="J427" s="25">
        <f t="shared" si="263"/>
        <v>7896.2379798201846</v>
      </c>
      <c r="K427" s="25">
        <f t="shared" si="264"/>
        <v>20367.195264578786</v>
      </c>
      <c r="L427" s="25"/>
      <c r="N427" s="25">
        <f>'Combined Retirement'!$C$18/12</f>
        <v>39153.069999999992</v>
      </c>
      <c r="O427" s="25">
        <f t="shared" si="265"/>
        <v>10889.636755601023</v>
      </c>
      <c r="P427" s="25">
        <f t="shared" si="266"/>
        <v>28263.43324439897</v>
      </c>
      <c r="Q427" s="25">
        <f t="array" aca="1" ref="Q427" ca="1">INDEX('Isaac 401k'!L:L,MATCH('Retirement Calculator'!A427,'Isaac 401k'!N:N,0),0)</f>
        <v>1911073.2011301555</v>
      </c>
      <c r="R427" s="25">
        <f t="array" aca="1" ref="R427" ca="1">INDEX('Lorri 401b'!L:L,MATCH('Retirement Calculator'!A427,'Lorri 401b'!N:N,0),0)</f>
        <v>3383100.6058423254</v>
      </c>
      <c r="S427" s="25">
        <f t="shared" ca="1" si="267"/>
        <v>5294173.8069724813</v>
      </c>
    </row>
    <row r="428" spans="1:19" ht="15.75" customHeight="1" x14ac:dyDescent="0.3">
      <c r="A428" s="37">
        <v>63979</v>
      </c>
      <c r="B428" s="398">
        <f t="shared" ref="B428:C428" si="429">($A428-B$9)/365.25</f>
        <v>93.286789869952088</v>
      </c>
      <c r="C428" s="398">
        <f t="shared" si="429"/>
        <v>88.676249144421632</v>
      </c>
      <c r="E428" s="25">
        <f>IF(C428&gt;$B$7,0,'Combined Retirement'!$D$13/12)</f>
        <v>0</v>
      </c>
      <c r="F428" s="25">
        <f>IF(H428=0,'Combined Retirement'!$D$32,0)+'Combined Retirement'!$B$24</f>
        <v>2870.372285649099</v>
      </c>
      <c r="G428" s="25">
        <f>'Combined Retirement'!$C$24</f>
        <v>3254.2644699519233</v>
      </c>
      <c r="H428" s="25">
        <f>IF(B428&lt;62,0,'Combined Retirement'!$I$14)</f>
        <v>2345</v>
      </c>
      <c r="I428" s="25">
        <f>IF(C428&lt;62,0,'Combined Retirement'!$I$13)</f>
        <v>2420</v>
      </c>
      <c r="J428" s="25">
        <f t="shared" si="263"/>
        <v>7896.2379798201846</v>
      </c>
      <c r="K428" s="25">
        <f t="shared" si="264"/>
        <v>20367.195264578786</v>
      </c>
      <c r="L428" s="25"/>
      <c r="N428" s="25">
        <f>'Combined Retirement'!$C$18/12</f>
        <v>39153.069999999992</v>
      </c>
      <c r="O428" s="25">
        <f t="shared" si="265"/>
        <v>10889.636755601023</v>
      </c>
      <c r="P428" s="25">
        <f t="shared" si="266"/>
        <v>28263.43324439897</v>
      </c>
      <c r="Q428" s="25">
        <f t="array" aca="1" ref="Q428" ca="1">INDEX('Isaac 401k'!L:L,MATCH('Retirement Calculator'!A428,'Isaac 401k'!N:N,0),0)</f>
        <v>1911106.8671634616</v>
      </c>
      <c r="R428" s="25">
        <f t="array" aca="1" ref="R428" ca="1">INDEX('Lorri 401b'!L:L,MATCH('Retirement Calculator'!A428,'Lorri 401b'!N:N,0),0)</f>
        <v>3376744.7997884871</v>
      </c>
      <c r="S428" s="25">
        <f t="shared" ca="1" si="267"/>
        <v>5287851.6669519488</v>
      </c>
    </row>
    <row r="429" spans="1:19" ht="15.75" customHeight="1" x14ac:dyDescent="0.3">
      <c r="A429" s="37">
        <v>64010</v>
      </c>
      <c r="B429" s="398">
        <f t="shared" ref="B429:C429" si="430">($A429-B$9)/365.25</f>
        <v>93.371663244353186</v>
      </c>
      <c r="C429" s="398">
        <f t="shared" si="430"/>
        <v>88.761122518822731</v>
      </c>
      <c r="E429" s="25">
        <f>IF(C429&gt;$B$7,0,'Combined Retirement'!$D$13/12)</f>
        <v>0</v>
      </c>
      <c r="F429" s="25">
        <f>IF(H429=0,'Combined Retirement'!$D$32,0)+'Combined Retirement'!$B$24</f>
        <v>2870.372285649099</v>
      </c>
      <c r="G429" s="25">
        <f>'Combined Retirement'!$C$24</f>
        <v>3254.2644699519233</v>
      </c>
      <c r="H429" s="25">
        <f>IF(B429&lt;62,0,'Combined Retirement'!$I$14)</f>
        <v>2345</v>
      </c>
      <c r="I429" s="25">
        <f>IF(C429&lt;62,0,'Combined Retirement'!$I$13)</f>
        <v>2420</v>
      </c>
      <c r="J429" s="25">
        <f t="shared" si="263"/>
        <v>7896.2379798201846</v>
      </c>
      <c r="K429" s="25">
        <f t="shared" si="264"/>
        <v>20367.195264578786</v>
      </c>
      <c r="L429" s="25"/>
      <c r="N429" s="25">
        <f>'Combined Retirement'!$C$18/12</f>
        <v>39153.069999999992</v>
      </c>
      <c r="O429" s="25">
        <f t="shared" si="265"/>
        <v>10889.636755601023</v>
      </c>
      <c r="P429" s="25">
        <f t="shared" si="266"/>
        <v>28263.43324439897</v>
      </c>
      <c r="Q429" s="25">
        <f t="array" aca="1" ref="Q429" ca="1">INDEX('Isaac 401k'!L:L,MATCH('Retirement Calculator'!A429,'Isaac 401k'!N:N,0),0)</f>
        <v>1911140.6734719067</v>
      </c>
      <c r="R429" s="25">
        <f t="array" aca="1" ref="R429" ca="1">INDEX('Lorri 401b'!L:L,MATCH('Retirement Calculator'!A429,'Lorri 401b'!N:N,0),0)</f>
        <v>3370362.5112094246</v>
      </c>
      <c r="S429" s="25">
        <f t="shared" ca="1" si="267"/>
        <v>5281503.1846813317</v>
      </c>
    </row>
    <row r="430" spans="1:19" ht="15.75" customHeight="1" x14ac:dyDescent="0.3">
      <c r="A430" s="37">
        <v>64040</v>
      </c>
      <c r="B430" s="398">
        <f t="shared" ref="B430:C430" si="431">($A430-B$9)/365.25</f>
        <v>93.453798767967143</v>
      </c>
      <c r="C430" s="398">
        <f t="shared" si="431"/>
        <v>88.843258042436688</v>
      </c>
      <c r="E430" s="25">
        <f>IF(C430&gt;$B$7,0,'Combined Retirement'!$D$13/12)</f>
        <v>0</v>
      </c>
      <c r="F430" s="25">
        <f>IF(H430=0,'Combined Retirement'!$D$32,0)+'Combined Retirement'!$B$24</f>
        <v>2870.372285649099</v>
      </c>
      <c r="G430" s="25">
        <f>'Combined Retirement'!$C$24</f>
        <v>3254.2644699519233</v>
      </c>
      <c r="H430" s="25">
        <f>IF(B430&lt;62,0,'Combined Retirement'!$I$14)</f>
        <v>2345</v>
      </c>
      <c r="I430" s="25">
        <f>IF(C430&lt;62,0,'Combined Retirement'!$I$13)</f>
        <v>2420</v>
      </c>
      <c r="J430" s="25">
        <f t="shared" si="263"/>
        <v>7896.2379798201846</v>
      </c>
      <c r="K430" s="25">
        <f t="shared" si="264"/>
        <v>20367.195264578786</v>
      </c>
      <c r="L430" s="25"/>
      <c r="N430" s="25">
        <f>'Combined Retirement'!$C$18/12</f>
        <v>39153.069999999992</v>
      </c>
      <c r="O430" s="25">
        <f t="shared" si="265"/>
        <v>10889.636755601023</v>
      </c>
      <c r="P430" s="25">
        <f t="shared" si="266"/>
        <v>28263.43324439897</v>
      </c>
      <c r="Q430" s="25">
        <f t="array" aca="1" ref="Q430" ca="1">INDEX('Isaac 401k'!L:L,MATCH('Retirement Calculator'!A430,'Isaac 401k'!N:N,0),0)</f>
        <v>1911174.6206399701</v>
      </c>
      <c r="R430" s="25">
        <f t="array" aca="1" ref="R430" ca="1">INDEX('Lorri 401b'!L:L,MATCH('Retirement Calculator'!A430,'Lorri 401b'!N:N,0),0)</f>
        <v>3363953.6297612828</v>
      </c>
      <c r="S430" s="25">
        <f t="shared" ca="1" si="267"/>
        <v>5275128.2504012529</v>
      </c>
    </row>
    <row r="431" spans="1:19" ht="15.75" customHeight="1" x14ac:dyDescent="0.3">
      <c r="A431" s="37">
        <v>64071</v>
      </c>
      <c r="B431" s="398">
        <f t="shared" ref="B431:C431" si="432">($A431-B$9)/365.25</f>
        <v>93.538672142368242</v>
      </c>
      <c r="C431" s="398">
        <f t="shared" si="432"/>
        <v>88.928131416837786</v>
      </c>
      <c r="E431" s="25">
        <f>IF(C431&gt;$B$7,0,'Combined Retirement'!$D$13/12)</f>
        <v>0</v>
      </c>
      <c r="F431" s="25">
        <f>IF(H431=0,'Combined Retirement'!$D$32,0)+'Combined Retirement'!$B$24</f>
        <v>2870.372285649099</v>
      </c>
      <c r="G431" s="25">
        <f>'Combined Retirement'!$C$24</f>
        <v>3254.2644699519233</v>
      </c>
      <c r="H431" s="25">
        <f>IF(B431&lt;62,0,'Combined Retirement'!$I$14)</f>
        <v>2345</v>
      </c>
      <c r="I431" s="25">
        <f>IF(C431&lt;62,0,'Combined Retirement'!$I$13)</f>
        <v>2420</v>
      </c>
      <c r="J431" s="25">
        <f t="shared" si="263"/>
        <v>7896.2379798201846</v>
      </c>
      <c r="K431" s="25">
        <f t="shared" si="264"/>
        <v>20367.195264578786</v>
      </c>
      <c r="L431" s="25"/>
      <c r="N431" s="25">
        <f>'Combined Retirement'!$C$18/12</f>
        <v>39153.069999999992</v>
      </c>
      <c r="O431" s="25">
        <f t="shared" si="265"/>
        <v>10889.636755601023</v>
      </c>
      <c r="P431" s="25">
        <f t="shared" si="266"/>
        <v>28263.43324439897</v>
      </c>
      <c r="Q431" s="25">
        <f t="array" aca="1" ref="Q431" ca="1">INDEX('Isaac 401k'!L:L,MATCH('Retirement Calculator'!A431,'Isaac 401k'!N:N,0),0)</f>
        <v>1911208.709254567</v>
      </c>
      <c r="R431" s="25">
        <f t="array" aca="1" ref="R431" ca="1">INDEX('Lorri 401b'!L:L,MATCH('Retirement Calculator'!A431,'Lorri 401b'!N:N,0),0)</f>
        <v>3357518.0446404405</v>
      </c>
      <c r="S431" s="25">
        <f t="shared" ca="1" si="267"/>
        <v>5268726.7538950071</v>
      </c>
    </row>
    <row r="432" spans="1:19" ht="15.75" customHeight="1" x14ac:dyDescent="0.3">
      <c r="A432" s="37">
        <v>64101</v>
      </c>
      <c r="B432" s="398">
        <f t="shared" ref="B432:C432" si="433">($A432-B$9)/365.25</f>
        <v>93.620807665982198</v>
      </c>
      <c r="C432" s="398">
        <f t="shared" si="433"/>
        <v>89.010266940451743</v>
      </c>
      <c r="E432" s="25">
        <f>IF(C432&gt;$B$7,0,'Combined Retirement'!$D$13/12)</f>
        <v>0</v>
      </c>
      <c r="F432" s="25">
        <f>IF(H432=0,'Combined Retirement'!$D$32,0)+'Combined Retirement'!$B$24</f>
        <v>2870.372285649099</v>
      </c>
      <c r="G432" s="25">
        <f>'Combined Retirement'!$C$24</f>
        <v>3254.2644699519233</v>
      </c>
      <c r="H432" s="25">
        <f>IF(B432&lt;62,0,'Combined Retirement'!$I$14)</f>
        <v>2345</v>
      </c>
      <c r="I432" s="25">
        <f>IF(C432&lt;62,0,'Combined Retirement'!$I$13)</f>
        <v>2420</v>
      </c>
      <c r="J432" s="25">
        <f t="shared" si="263"/>
        <v>7896.2379798201846</v>
      </c>
      <c r="K432" s="25">
        <f t="shared" si="264"/>
        <v>20367.195264578786</v>
      </c>
      <c r="L432" s="25"/>
      <c r="N432" s="25">
        <f>'Combined Retirement'!$C$18/12</f>
        <v>39153.069999999992</v>
      </c>
      <c r="O432" s="25">
        <f t="shared" si="265"/>
        <v>10889.636755601023</v>
      </c>
      <c r="P432" s="25">
        <f t="shared" si="266"/>
        <v>28263.43324439897</v>
      </c>
      <c r="Q432" s="25">
        <f t="array" aca="1" ref="Q432" ca="1">INDEX('Isaac 401k'!L:L,MATCH('Retirement Calculator'!A432,'Isaac 401k'!N:N,0),0)</f>
        <v>1911242.9399050584</v>
      </c>
      <c r="R432" s="25">
        <f t="array" aca="1" ref="R432" ca="1">INDEX('Lorri 401b'!L:L,MATCH('Retirement Calculator'!A432,'Lorri 401b'!N:N,0),0)</f>
        <v>3351055.6445815945</v>
      </c>
      <c r="S432" s="25">
        <f t="shared" ca="1" si="267"/>
        <v>5262298.5844866531</v>
      </c>
    </row>
    <row r="433" spans="1:19" ht="15.75" customHeight="1" x14ac:dyDescent="0.3">
      <c r="A433" s="37">
        <v>64132</v>
      </c>
      <c r="B433" s="398">
        <f t="shared" ref="B433:C433" si="434">($A433-B$9)/365.25</f>
        <v>93.705681040383297</v>
      </c>
      <c r="C433" s="398">
        <f t="shared" si="434"/>
        <v>89.095140314852841</v>
      </c>
      <c r="E433" s="25">
        <f>IF(C433&gt;$B$7,0,'Combined Retirement'!$D$13/12)</f>
        <v>0</v>
      </c>
      <c r="F433" s="25">
        <f>IF(H433=0,'Combined Retirement'!$D$32,0)+'Combined Retirement'!$B$24</f>
        <v>2870.372285649099</v>
      </c>
      <c r="G433" s="25">
        <f>'Combined Retirement'!$C$24</f>
        <v>3254.2644699519233</v>
      </c>
      <c r="H433" s="25">
        <f>IF(B433&lt;62,0,'Combined Retirement'!$I$14)</f>
        <v>2345</v>
      </c>
      <c r="I433" s="25">
        <f>IF(C433&lt;62,0,'Combined Retirement'!$I$13)</f>
        <v>2420</v>
      </c>
      <c r="J433" s="25">
        <f t="shared" si="263"/>
        <v>7896.2379798201846</v>
      </c>
      <c r="K433" s="25">
        <f t="shared" si="264"/>
        <v>20367.195264578786</v>
      </c>
      <c r="L433" s="25"/>
      <c r="N433" s="25">
        <f>'Combined Retirement'!$C$18/12</f>
        <v>39153.069999999992</v>
      </c>
      <c r="O433" s="25">
        <f t="shared" si="265"/>
        <v>10889.636755601023</v>
      </c>
      <c r="P433" s="25">
        <f t="shared" si="266"/>
        <v>28263.43324439897</v>
      </c>
      <c r="Q433" s="25">
        <f t="array" aca="1" ref="Q433" ca="1">INDEX('Isaac 401k'!L:L,MATCH('Retirement Calculator'!A433,'Isaac 401k'!N:N,0),0)</f>
        <v>1911277.3131832599</v>
      </c>
      <c r="R433" s="25">
        <f t="array" aca="1" ref="R433" ca="1">INDEX('Lorri 401b'!L:L,MATCH('Retirement Calculator'!A433,'Lorri 401b'!N:N,0),0)</f>
        <v>3344566.3178558368</v>
      </c>
      <c r="S433" s="25">
        <f t="shared" ca="1" si="267"/>
        <v>5255843.631039097</v>
      </c>
    </row>
    <row r="434" spans="1:19" ht="15.75" customHeight="1" x14ac:dyDescent="0.3">
      <c r="A434" s="37">
        <v>64163</v>
      </c>
      <c r="B434" s="398">
        <f t="shared" ref="B434:C434" si="435">($A434-B$9)/365.25</f>
        <v>93.790554414784395</v>
      </c>
      <c r="C434" s="398">
        <f t="shared" si="435"/>
        <v>89.18001368925394</v>
      </c>
      <c r="E434" s="25">
        <f>IF(C434&gt;$B$7,0,'Combined Retirement'!$D$13/12)</f>
        <v>0</v>
      </c>
      <c r="F434" s="25">
        <f>IF(H434=0,'Combined Retirement'!$D$32,0)+'Combined Retirement'!$B$24</f>
        <v>2870.372285649099</v>
      </c>
      <c r="G434" s="25">
        <f>'Combined Retirement'!$C$24</f>
        <v>3254.2644699519233</v>
      </c>
      <c r="H434" s="25">
        <f>IF(B434&lt;62,0,'Combined Retirement'!$I$14)</f>
        <v>2345</v>
      </c>
      <c r="I434" s="25">
        <f>IF(C434&lt;62,0,'Combined Retirement'!$I$13)</f>
        <v>2420</v>
      </c>
      <c r="J434" s="25">
        <f t="shared" si="263"/>
        <v>7896.2379798201846</v>
      </c>
      <c r="K434" s="25">
        <f t="shared" si="264"/>
        <v>20367.195264578786</v>
      </c>
      <c r="L434" s="25"/>
      <c r="N434" s="25">
        <f>'Combined Retirement'!$C$18/12</f>
        <v>39153.069999999992</v>
      </c>
      <c r="O434" s="25">
        <f t="shared" si="265"/>
        <v>10889.636755601023</v>
      </c>
      <c r="P434" s="25">
        <f t="shared" si="266"/>
        <v>28263.43324439897</v>
      </c>
      <c r="Q434" s="25">
        <f t="array" aca="1" ref="Q434" ca="1">INDEX('Isaac 401k'!L:L,MATCH('Retirement Calculator'!A434,'Isaac 401k'!N:N,0),0)</f>
        <v>1911311.829683454</v>
      </c>
      <c r="R434" s="25">
        <f t="array" aca="1" ref="R434" ca="1">INDEX('Lorri 401b'!L:L,MATCH('Retirement Calculator'!A434,'Lorri 401b'!N:N,0),0)</f>
        <v>3338049.9522687215</v>
      </c>
      <c r="S434" s="25">
        <f t="shared" ca="1" si="267"/>
        <v>5249361.7819521753</v>
      </c>
    </row>
    <row r="435" spans="1:19" ht="15.75" customHeight="1" x14ac:dyDescent="0.3">
      <c r="A435" s="37">
        <v>64193</v>
      </c>
      <c r="B435" s="398">
        <f t="shared" ref="B435:C435" si="436">($A435-B$9)/365.25</f>
        <v>93.872689938398352</v>
      </c>
      <c r="C435" s="398">
        <f t="shared" si="436"/>
        <v>89.262149212867897</v>
      </c>
      <c r="E435" s="25">
        <f>IF(C435&gt;$B$7,0,'Combined Retirement'!$D$13/12)</f>
        <v>0</v>
      </c>
      <c r="F435" s="25">
        <f>IF(H435=0,'Combined Retirement'!$D$32,0)+'Combined Retirement'!$B$24</f>
        <v>2870.372285649099</v>
      </c>
      <c r="G435" s="25">
        <f>'Combined Retirement'!$C$24</f>
        <v>3254.2644699519233</v>
      </c>
      <c r="H435" s="25">
        <f>IF(B435&lt;62,0,'Combined Retirement'!$I$14)</f>
        <v>2345</v>
      </c>
      <c r="I435" s="25">
        <f>IF(C435&lt;62,0,'Combined Retirement'!$I$13)</f>
        <v>2420</v>
      </c>
      <c r="J435" s="25">
        <f t="shared" si="263"/>
        <v>7896.2379798201846</v>
      </c>
      <c r="K435" s="25">
        <f t="shared" si="264"/>
        <v>20367.195264578786</v>
      </c>
      <c r="L435" s="25"/>
      <c r="N435" s="25">
        <f>'Combined Retirement'!$C$18/12</f>
        <v>39153.069999999992</v>
      </c>
      <c r="O435" s="25">
        <f t="shared" si="265"/>
        <v>10889.636755601023</v>
      </c>
      <c r="P435" s="25">
        <f t="shared" si="266"/>
        <v>28263.43324439897</v>
      </c>
      <c r="Q435" s="25">
        <f t="array" aca="1" ref="Q435" ca="1">INDEX('Isaac 401k'!L:L,MATCH('Retirement Calculator'!A435,'Isaac 401k'!N:N,0),0)</f>
        <v>1911346.4900023988</v>
      </c>
      <c r="R435" s="25">
        <f t="array" aca="1" ref="R435" ca="1">INDEX('Lorri 401b'!L:L,MATCH('Retirement Calculator'!A435,'Lorri 401b'!N:N,0),0)</f>
        <v>3331506.4351583268</v>
      </c>
      <c r="S435" s="25">
        <f t="shared" ca="1" si="267"/>
        <v>5242852.9251607256</v>
      </c>
    </row>
    <row r="436" spans="1:19" ht="15.75" customHeight="1" x14ac:dyDescent="0.3">
      <c r="A436" s="37">
        <v>64224</v>
      </c>
      <c r="B436" s="398">
        <f t="shared" ref="B436:C436" si="437">($A436-B$9)/365.25</f>
        <v>93.957563312799451</v>
      </c>
      <c r="C436" s="398">
        <f t="shared" si="437"/>
        <v>89.347022587268995</v>
      </c>
      <c r="E436" s="25">
        <f>IF(C436&gt;$B$7,0,'Combined Retirement'!$D$13/12)</f>
        <v>0</v>
      </c>
      <c r="F436" s="25">
        <f>IF(H436=0,'Combined Retirement'!$D$32,0)+'Combined Retirement'!$B$24</f>
        <v>2870.372285649099</v>
      </c>
      <c r="G436" s="25">
        <f>'Combined Retirement'!$C$24</f>
        <v>3254.2644699519233</v>
      </c>
      <c r="H436" s="25">
        <f>IF(B436&lt;62,0,'Combined Retirement'!$I$14)</f>
        <v>2345</v>
      </c>
      <c r="I436" s="25">
        <f>IF(C436&lt;62,0,'Combined Retirement'!$I$13)</f>
        <v>2420</v>
      </c>
      <c r="J436" s="25">
        <f t="shared" si="263"/>
        <v>7896.2379798201846</v>
      </c>
      <c r="K436" s="25">
        <f t="shared" si="264"/>
        <v>20367.195264578786</v>
      </c>
      <c r="L436" s="25"/>
      <c r="N436" s="25">
        <f>'Combined Retirement'!$C$18/12</f>
        <v>39153.069999999992</v>
      </c>
      <c r="O436" s="25">
        <f t="shared" si="265"/>
        <v>10889.636755601023</v>
      </c>
      <c r="P436" s="25">
        <f t="shared" si="266"/>
        <v>28263.43324439897</v>
      </c>
      <c r="Q436" s="25">
        <f t="array" aca="1" ref="Q436" ca="1">INDEX('Isaac 401k'!L:L,MATCH('Retirement Calculator'!A436,'Isaac 401k'!N:N,0),0)</f>
        <v>1911381.2947393393</v>
      </c>
      <c r="R436" s="25">
        <f t="array" aca="1" ref="R436" ca="1">INDEX('Lorri 401b'!L:L,MATCH('Retirement Calculator'!A436,'Lorri 401b'!N:N,0),0)</f>
        <v>3324935.6533933054</v>
      </c>
      <c r="S436" s="25">
        <f t="shared" ca="1" si="267"/>
        <v>5236316.9481326444</v>
      </c>
    </row>
    <row r="437" spans="1:19" ht="15.75" customHeight="1" x14ac:dyDescent="0.3">
      <c r="A437" s="37">
        <v>64254</v>
      </c>
      <c r="B437" s="398">
        <f t="shared" ref="B437:C437" si="438">($A437-B$9)/365.25</f>
        <v>94.039698836413422</v>
      </c>
      <c r="C437" s="398">
        <f t="shared" si="438"/>
        <v>89.429158110882952</v>
      </c>
      <c r="E437" s="25">
        <f>IF(C437&gt;$B$7,0,'Combined Retirement'!$D$13/12)</f>
        <v>0</v>
      </c>
      <c r="F437" s="25">
        <f>IF(H437=0,'Combined Retirement'!$D$32,0)+'Combined Retirement'!$B$24</f>
        <v>2870.372285649099</v>
      </c>
      <c r="G437" s="25">
        <f>'Combined Retirement'!$C$24</f>
        <v>3254.2644699519233</v>
      </c>
      <c r="H437" s="25">
        <f>IF(B437&lt;62,0,'Combined Retirement'!$I$14)</f>
        <v>2345</v>
      </c>
      <c r="I437" s="25">
        <f>IF(C437&lt;62,0,'Combined Retirement'!$I$13)</f>
        <v>2420</v>
      </c>
      <c r="J437" s="25">
        <f t="shared" si="263"/>
        <v>7896.2379798201846</v>
      </c>
      <c r="K437" s="25">
        <f t="shared" si="264"/>
        <v>20367.195264578786</v>
      </c>
      <c r="L437" s="25"/>
      <c r="N437" s="25">
        <f>'Combined Retirement'!$C$18/12</f>
        <v>39153.069999999992</v>
      </c>
      <c r="O437" s="25">
        <f t="shared" si="265"/>
        <v>10889.636755601023</v>
      </c>
      <c r="P437" s="25">
        <f t="shared" si="266"/>
        <v>28263.43324439897</v>
      </c>
      <c r="Q437" s="25">
        <f t="array" aca="1" ref="Q437" ca="1">INDEX('Isaac 401k'!L:L,MATCH('Retirement Calculator'!A437,'Isaac 401k'!N:N,0),0)</f>
        <v>1911416.244496017</v>
      </c>
      <c r="R437" s="25">
        <f t="array" aca="1" ref="R437" ca="1">INDEX('Lorri 401b'!L:L,MATCH('Retirement Calculator'!A437,'Lorri 401b'!N:N,0),0)</f>
        <v>3318337.4933709297</v>
      </c>
      <c r="S437" s="25">
        <f t="shared" ca="1" si="267"/>
        <v>5229753.7378669465</v>
      </c>
    </row>
    <row r="438" spans="1:19" ht="15.75" customHeight="1" x14ac:dyDescent="0.3">
      <c r="A438" s="37">
        <v>64285</v>
      </c>
      <c r="B438" s="398">
        <f t="shared" ref="B438:C438" si="439">($A438-B$9)/365.25</f>
        <v>94.124572210814506</v>
      </c>
      <c r="C438" s="398">
        <f t="shared" si="439"/>
        <v>89.51403148528405</v>
      </c>
      <c r="E438" s="25">
        <f>IF(C438&gt;$B$7,0,'Combined Retirement'!$D$13/12)</f>
        <v>0</v>
      </c>
      <c r="F438" s="25">
        <f>IF(H438=0,'Combined Retirement'!$D$32,0)+'Combined Retirement'!$B$24</f>
        <v>2870.372285649099</v>
      </c>
      <c r="G438" s="25">
        <f>'Combined Retirement'!$C$24</f>
        <v>3254.2644699519233</v>
      </c>
      <c r="H438" s="25">
        <f>IF(B438&lt;62,0,'Combined Retirement'!$I$14)</f>
        <v>2345</v>
      </c>
      <c r="I438" s="25">
        <f>IF(C438&lt;62,0,'Combined Retirement'!$I$13)</f>
        <v>2420</v>
      </c>
      <c r="J438" s="25">
        <f t="shared" si="263"/>
        <v>7896.2379798201846</v>
      </c>
      <c r="K438" s="25">
        <f t="shared" si="264"/>
        <v>20367.195264578786</v>
      </c>
      <c r="L438" s="25"/>
      <c r="N438" s="25">
        <f>'Combined Retirement'!$C$18/12</f>
        <v>39153.069999999992</v>
      </c>
      <c r="O438" s="25">
        <f t="shared" si="265"/>
        <v>10889.636755601023</v>
      </c>
      <c r="P438" s="25">
        <f t="shared" si="266"/>
        <v>28263.43324439897</v>
      </c>
      <c r="Q438" s="25">
        <f t="array" aca="1" ref="Q438" ca="1">INDEX('Isaac 401k'!L:L,MATCH('Retirement Calculator'!A438,'Isaac 401k'!N:N,0),0)</f>
        <v>1911451.3398766809</v>
      </c>
      <c r="R438" s="25">
        <f t="array" aca="1" ref="R438" ca="1">INDEX('Lorri 401b'!L:L,MATCH('Retirement Calculator'!A438,'Lorri 401b'!N:N,0),0)</f>
        <v>3311711.8410151275</v>
      </c>
      <c r="S438" s="25">
        <f t="shared" ca="1" si="267"/>
        <v>5223163.1808918081</v>
      </c>
    </row>
    <row r="439" spans="1:19" ht="15.75" customHeight="1" x14ac:dyDescent="0.3">
      <c r="A439" s="37">
        <v>64316</v>
      </c>
      <c r="B439" s="398">
        <f t="shared" ref="B439:C439" si="440">($A439-B$9)/365.25</f>
        <v>94.209445585215605</v>
      </c>
      <c r="C439" s="398">
        <f t="shared" si="440"/>
        <v>89.598904859685149</v>
      </c>
      <c r="E439" s="25">
        <f>IF(C439&gt;$B$7,0,'Combined Retirement'!$D$13/12)</f>
        <v>0</v>
      </c>
      <c r="F439" s="25">
        <f>IF(H439=0,'Combined Retirement'!$D$32,0)+'Combined Retirement'!$B$24</f>
        <v>2870.372285649099</v>
      </c>
      <c r="G439" s="25">
        <f>'Combined Retirement'!$C$24</f>
        <v>3254.2644699519233</v>
      </c>
      <c r="H439" s="25">
        <f>IF(B439&lt;62,0,'Combined Retirement'!$I$14)</f>
        <v>2345</v>
      </c>
      <c r="I439" s="25">
        <f>IF(C439&lt;62,0,'Combined Retirement'!$I$13)</f>
        <v>2420</v>
      </c>
      <c r="J439" s="25">
        <f t="shared" si="263"/>
        <v>7896.2379798201846</v>
      </c>
      <c r="K439" s="25">
        <f t="shared" si="264"/>
        <v>20367.195264578786</v>
      </c>
      <c r="L439" s="25"/>
      <c r="N439" s="25">
        <f>'Combined Retirement'!$C$18/12</f>
        <v>39153.069999999992</v>
      </c>
      <c r="O439" s="25">
        <f t="shared" si="265"/>
        <v>10889.636755601023</v>
      </c>
      <c r="P439" s="25">
        <f t="shared" si="266"/>
        <v>28263.43324439897</v>
      </c>
      <c r="Q439" s="25">
        <f t="array" aca="1" ref="Q439" ca="1">INDEX('Isaac 401k'!L:L,MATCH('Retirement Calculator'!A439,'Isaac 401k'!N:N,0),0)</f>
        <v>1911486.5814880976</v>
      </c>
      <c r="R439" s="25">
        <f t="array" aca="1" ref="R439" ca="1">INDEX('Lorri 401b'!L:L,MATCH('Retirement Calculator'!A439,'Lorri 401b'!N:N,0),0)</f>
        <v>3305058.5817745095</v>
      </c>
      <c r="S439" s="25">
        <f t="shared" ca="1" si="267"/>
        <v>5216545.1632626075</v>
      </c>
    </row>
    <row r="440" spans="1:19" ht="15.75" customHeight="1" x14ac:dyDescent="0.3">
      <c r="A440" s="37">
        <v>64345</v>
      </c>
      <c r="B440" s="398">
        <f t="shared" ref="B440:C440" si="441">($A440-B$9)/365.25</f>
        <v>94.288843258042434</v>
      </c>
      <c r="C440" s="398">
        <f t="shared" si="441"/>
        <v>89.678302532511978</v>
      </c>
      <c r="E440" s="25">
        <f>IF(C440&gt;$B$7,0,'Combined Retirement'!$D$13/12)</f>
        <v>0</v>
      </c>
      <c r="F440" s="25">
        <f>IF(H440=0,'Combined Retirement'!$D$32,0)+'Combined Retirement'!$B$24</f>
        <v>2870.372285649099</v>
      </c>
      <c r="G440" s="25">
        <f>'Combined Retirement'!$C$24</f>
        <v>3254.2644699519233</v>
      </c>
      <c r="H440" s="25">
        <f>IF(B440&lt;62,0,'Combined Retirement'!$I$14)</f>
        <v>2345</v>
      </c>
      <c r="I440" s="25">
        <f>IF(C440&lt;62,0,'Combined Retirement'!$I$13)</f>
        <v>2420</v>
      </c>
      <c r="J440" s="25">
        <f t="shared" si="263"/>
        <v>7896.2379798201846</v>
      </c>
      <c r="K440" s="25">
        <f t="shared" si="264"/>
        <v>20367.195264578786</v>
      </c>
      <c r="L440" s="25"/>
      <c r="N440" s="25">
        <f>'Combined Retirement'!$C$18/12</f>
        <v>39153.069999999992</v>
      </c>
      <c r="O440" s="25">
        <f t="shared" si="265"/>
        <v>10889.636755601023</v>
      </c>
      <c r="P440" s="25">
        <f t="shared" si="266"/>
        <v>28263.43324439897</v>
      </c>
      <c r="Q440" s="25">
        <f t="array" aca="1" ref="Q440" ca="1">INDEX('Isaac 401k'!L:L,MATCH('Retirement Calculator'!A440,'Isaac 401k'!N:N,0),0)</f>
        <v>1911521.9699395618</v>
      </c>
      <c r="R440" s="25">
        <f t="array" aca="1" ref="R440" ca="1">INDEX('Lorri 401b'!L:L,MATCH('Retirement Calculator'!A440,'Lorri 401b'!N:N,0),0)</f>
        <v>3298377.600620389</v>
      </c>
      <c r="S440" s="25">
        <f t="shared" ca="1" si="267"/>
        <v>5209899.5705599505</v>
      </c>
    </row>
    <row r="441" spans="1:19" ht="15.75" customHeight="1" x14ac:dyDescent="0.3">
      <c r="A441" s="37">
        <v>64376</v>
      </c>
      <c r="B441" s="398">
        <f t="shared" ref="B441:C441" si="442">($A441-B$9)/365.25</f>
        <v>94.373716632443532</v>
      </c>
      <c r="C441" s="398">
        <f t="shared" si="442"/>
        <v>89.763175906913077</v>
      </c>
      <c r="E441" s="25">
        <f>IF(C441&gt;$B$7,0,'Combined Retirement'!$D$13/12)</f>
        <v>0</v>
      </c>
      <c r="F441" s="25">
        <f>IF(H441=0,'Combined Retirement'!$D$32,0)+'Combined Retirement'!$B$24</f>
        <v>2870.372285649099</v>
      </c>
      <c r="G441" s="25">
        <f>'Combined Retirement'!$C$24</f>
        <v>3254.2644699519233</v>
      </c>
      <c r="H441" s="25">
        <f>IF(B441&lt;62,0,'Combined Retirement'!$I$14)</f>
        <v>2345</v>
      </c>
      <c r="I441" s="25">
        <f>IF(C441&lt;62,0,'Combined Retirement'!$I$13)</f>
        <v>2420</v>
      </c>
      <c r="J441" s="25">
        <f t="shared" si="263"/>
        <v>7896.2379798201846</v>
      </c>
      <c r="K441" s="25">
        <f t="shared" si="264"/>
        <v>20367.195264578786</v>
      </c>
      <c r="L441" s="25"/>
      <c r="N441" s="25">
        <f>'Combined Retirement'!$C$18/12</f>
        <v>39153.069999999992</v>
      </c>
      <c r="O441" s="25">
        <f t="shared" si="265"/>
        <v>10889.636755601023</v>
      </c>
      <c r="P441" s="25">
        <f t="shared" si="266"/>
        <v>28263.43324439897</v>
      </c>
      <c r="Q441" s="25">
        <f t="array" aca="1" ref="Q441" ca="1">INDEX('Isaac 401k'!L:L,MATCH('Retirement Calculator'!A441,'Isaac 401k'!N:N,0),0)</f>
        <v>1911557.5058429071</v>
      </c>
      <c r="R441" s="25">
        <f t="array" aca="1" ref="R441" ca="1">INDEX('Lorri 401b'!L:L,MATCH('Retirement Calculator'!A441,'Lorri 401b'!N:N,0),0)</f>
        <v>3291668.7820447925</v>
      </c>
      <c r="S441" s="25">
        <f t="shared" ca="1" si="267"/>
        <v>5203226.2878876999</v>
      </c>
    </row>
    <row r="442" spans="1:19" ht="15.75" customHeight="1" x14ac:dyDescent="0.3">
      <c r="A442" s="37">
        <v>64406</v>
      </c>
      <c r="B442" s="398">
        <f t="shared" ref="B442:C442" si="443">($A442-B$9)/365.25</f>
        <v>94.455852156057489</v>
      </c>
      <c r="C442" s="398">
        <f t="shared" si="443"/>
        <v>89.845311430527033</v>
      </c>
      <c r="E442" s="25">
        <f>IF(C442&gt;$B$7,0,'Combined Retirement'!$D$13/12)</f>
        <v>0</v>
      </c>
      <c r="F442" s="25">
        <f>IF(H442=0,'Combined Retirement'!$D$32,0)+'Combined Retirement'!$B$24</f>
        <v>2870.372285649099</v>
      </c>
      <c r="G442" s="25">
        <f>'Combined Retirement'!$C$24</f>
        <v>3254.2644699519233</v>
      </c>
      <c r="H442" s="25">
        <f>IF(B442&lt;62,0,'Combined Retirement'!$I$14)</f>
        <v>2345</v>
      </c>
      <c r="I442" s="25">
        <f>IF(C442&lt;62,0,'Combined Retirement'!$I$13)</f>
        <v>2420</v>
      </c>
      <c r="J442" s="25">
        <f t="shared" si="263"/>
        <v>7896.2379798201846</v>
      </c>
      <c r="K442" s="25">
        <f t="shared" si="264"/>
        <v>20367.195264578786</v>
      </c>
      <c r="L442" s="25"/>
      <c r="N442" s="25">
        <f>'Combined Retirement'!$C$18/12</f>
        <v>39153.069999999992</v>
      </c>
      <c r="O442" s="25">
        <f t="shared" si="265"/>
        <v>10889.636755601023</v>
      </c>
      <c r="P442" s="25">
        <f t="shared" si="266"/>
        <v>28263.43324439897</v>
      </c>
      <c r="Q442" s="25">
        <f t="array" aca="1" ref="Q442" ca="1">INDEX('Isaac 401k'!L:L,MATCH('Retirement Calculator'!A442,'Isaac 401k'!N:N,0),0)</f>
        <v>1911593.1898125163</v>
      </c>
      <c r="R442" s="25">
        <f t="array" aca="1" ref="R442" ca="1">INDEX('Lorri 401b'!L:L,MATCH('Retirement Calculator'!A442,'Lorri 401b'!N:N,0),0)</f>
        <v>3284932.0100584645</v>
      </c>
      <c r="S442" s="25">
        <f t="shared" ca="1" si="267"/>
        <v>5196525.1998709813</v>
      </c>
    </row>
    <row r="443" spans="1:19" ht="15.75" customHeight="1" x14ac:dyDescent="0.3">
      <c r="A443" s="37">
        <v>64437</v>
      </c>
      <c r="B443" s="398">
        <f t="shared" ref="B443:C443" si="444">($A443-B$9)/365.25</f>
        <v>94.540725530458587</v>
      </c>
      <c r="C443" s="398">
        <f t="shared" si="444"/>
        <v>89.930184804928132</v>
      </c>
      <c r="E443" s="25">
        <f>IF(C443&gt;$B$7,0,'Combined Retirement'!$D$13/12)</f>
        <v>0</v>
      </c>
      <c r="F443" s="25">
        <f>IF(H443=0,'Combined Retirement'!$D$32,0)+'Combined Retirement'!$B$24</f>
        <v>2870.372285649099</v>
      </c>
      <c r="G443" s="25">
        <f>'Combined Retirement'!$C$24</f>
        <v>3254.2644699519233</v>
      </c>
      <c r="H443" s="25">
        <f>IF(B443&lt;62,0,'Combined Retirement'!$I$14)</f>
        <v>2345</v>
      </c>
      <c r="I443" s="25">
        <f>IF(C443&lt;62,0,'Combined Retirement'!$I$13)</f>
        <v>2420</v>
      </c>
      <c r="J443" s="25">
        <f t="shared" si="263"/>
        <v>7896.2379798201846</v>
      </c>
      <c r="K443" s="25">
        <f t="shared" si="264"/>
        <v>20367.195264578786</v>
      </c>
      <c r="L443" s="25"/>
      <c r="N443" s="25">
        <f>'Combined Retirement'!$C$18/12</f>
        <v>39153.069999999992</v>
      </c>
      <c r="O443" s="25">
        <f t="shared" si="265"/>
        <v>10889.636755601023</v>
      </c>
      <c r="P443" s="25">
        <f t="shared" si="266"/>
        <v>28263.43324439897</v>
      </c>
      <c r="Q443" s="25">
        <f t="array" aca="1" ref="Q443" ca="1">INDEX('Isaac 401k'!L:L,MATCH('Retirement Calculator'!A443,'Isaac 401k'!N:N,0),0)</f>
        <v>1911629.0224653324</v>
      </c>
      <c r="R443" s="25">
        <f t="array" aca="1" ref="R443" ca="1">INDEX('Lorri 401b'!L:L,MATCH('Retirement Calculator'!A443,'Lorri 401b'!N:N,0),0)</f>
        <v>3278167.1681888602</v>
      </c>
      <c r="S443" s="25">
        <f t="shared" ca="1" si="267"/>
        <v>5189796.1906541921</v>
      </c>
    </row>
    <row r="444" spans="1:19" ht="15.75" customHeight="1" x14ac:dyDescent="0.3">
      <c r="A444" s="37">
        <v>64467</v>
      </c>
      <c r="B444" s="398">
        <f t="shared" ref="B444:C444" si="445">($A444-B$9)/365.25</f>
        <v>94.622861054072558</v>
      </c>
      <c r="C444" s="398">
        <f t="shared" si="445"/>
        <v>90.012320328542089</v>
      </c>
      <c r="E444" s="25">
        <f>IF(C444&gt;$B$7,0,'Combined Retirement'!$D$13/12)</f>
        <v>0</v>
      </c>
      <c r="F444" s="25">
        <f>IF(H444=0,'Combined Retirement'!$D$32,0)+'Combined Retirement'!$B$24</f>
        <v>2870.372285649099</v>
      </c>
      <c r="G444" s="25">
        <f>'Combined Retirement'!$C$24</f>
        <v>3254.2644699519233</v>
      </c>
      <c r="H444" s="25">
        <f>IF(B444&lt;62,0,'Combined Retirement'!$I$14)</f>
        <v>2345</v>
      </c>
      <c r="I444" s="25">
        <f>IF(C444&lt;62,0,'Combined Retirement'!$I$13)</f>
        <v>2420</v>
      </c>
      <c r="J444" s="25">
        <f t="shared" si="263"/>
        <v>7896.2379798201846</v>
      </c>
      <c r="K444" s="25">
        <f t="shared" si="264"/>
        <v>20367.195264578786</v>
      </c>
      <c r="L444" s="25"/>
      <c r="N444" s="25">
        <f>'Combined Retirement'!$C$18/12</f>
        <v>39153.069999999992</v>
      </c>
      <c r="O444" s="25">
        <f t="shared" si="265"/>
        <v>10889.636755601023</v>
      </c>
      <c r="P444" s="25">
        <f t="shared" si="266"/>
        <v>28263.43324439897</v>
      </c>
      <c r="Q444" s="25">
        <f t="array" aca="1" ref="Q444" ca="1">INDEX('Isaac 401k'!L:L,MATCH('Retirement Calculator'!A444,'Isaac 401k'!N:N,0),0)</f>
        <v>1911665.0044208686</v>
      </c>
      <c r="R444" s="25">
        <f t="array" aca="1" ref="R444" ca="1">INDEX('Lorri 401b'!L:L,MATCH('Retirement Calculator'!A444,'Lorri 401b'!N:N,0),0)</f>
        <v>3271374.1394781326</v>
      </c>
      <c r="S444" s="25">
        <f t="shared" ca="1" si="267"/>
        <v>5183039.1438990012</v>
      </c>
    </row>
    <row r="445" spans="1:19" ht="15.75" customHeight="1" x14ac:dyDescent="0.3">
      <c r="A445" s="37">
        <v>64498</v>
      </c>
      <c r="B445" s="398">
        <f t="shared" ref="B445:C445" si="446">($A445-B$9)/365.25</f>
        <v>94.707734428473643</v>
      </c>
      <c r="C445" s="398">
        <f t="shared" si="446"/>
        <v>90.097193702943187</v>
      </c>
      <c r="E445" s="25">
        <f>IF(C445&gt;$B$7,0,'Combined Retirement'!$D$13/12)</f>
        <v>0</v>
      </c>
      <c r="F445" s="25">
        <f>IF(H445=0,'Combined Retirement'!$D$32,0)+'Combined Retirement'!$B$24</f>
        <v>2870.372285649099</v>
      </c>
      <c r="G445" s="25">
        <f>'Combined Retirement'!$C$24</f>
        <v>3254.2644699519233</v>
      </c>
      <c r="H445" s="25">
        <f>IF(B445&lt;62,0,'Combined Retirement'!$I$14)</f>
        <v>2345</v>
      </c>
      <c r="I445" s="25">
        <f>IF(C445&lt;62,0,'Combined Retirement'!$I$13)</f>
        <v>2420</v>
      </c>
      <c r="J445" s="25">
        <f t="shared" si="263"/>
        <v>7896.2379798201846</v>
      </c>
      <c r="K445" s="25">
        <f t="shared" si="264"/>
        <v>20367.195264578786</v>
      </c>
      <c r="L445" s="25"/>
      <c r="N445" s="25">
        <f>'Combined Retirement'!$C$18/12</f>
        <v>39153.069999999992</v>
      </c>
      <c r="O445" s="25">
        <f t="shared" si="265"/>
        <v>10889.636755601023</v>
      </c>
      <c r="P445" s="25">
        <f t="shared" si="266"/>
        <v>28263.43324439897</v>
      </c>
      <c r="Q445" s="25">
        <f t="array" aca="1" ref="Q445" ca="1">INDEX('Isaac 401k'!L:L,MATCH('Retirement Calculator'!A445,'Isaac 401k'!N:N,0),0)</f>
        <v>1911701.1363012195</v>
      </c>
      <c r="R445" s="25">
        <f t="array" aca="1" ref="R445" ca="1">INDEX('Lorri 401b'!L:L,MATCH('Retirement Calculator'!A445,'Lorri 401b'!N:N,0),0)</f>
        <v>3264552.8064811104</v>
      </c>
      <c r="S445" s="25">
        <f t="shared" ca="1" si="267"/>
        <v>5176253.9427823294</v>
      </c>
    </row>
    <row r="446" spans="1:19" ht="15.75" customHeight="1" x14ac:dyDescent="0.3">
      <c r="A446" s="37">
        <v>64529</v>
      </c>
      <c r="B446" s="398">
        <f t="shared" ref="B446:C446" si="447">($A446-B$9)/365.25</f>
        <v>94.792607802874741</v>
      </c>
      <c r="C446" s="398">
        <f t="shared" si="447"/>
        <v>90.182067077344286</v>
      </c>
      <c r="E446" s="25">
        <f>IF(C446&gt;$B$7,0,'Combined Retirement'!$D$13/12)</f>
        <v>0</v>
      </c>
      <c r="F446" s="25">
        <f>IF(H446=0,'Combined Retirement'!$D$32,0)+'Combined Retirement'!$B$24</f>
        <v>2870.372285649099</v>
      </c>
      <c r="G446" s="25">
        <f>'Combined Retirement'!$C$24</f>
        <v>3254.2644699519233</v>
      </c>
      <c r="H446" s="25">
        <f>IF(B446&lt;62,0,'Combined Retirement'!$I$14)</f>
        <v>2345</v>
      </c>
      <c r="I446" s="25">
        <f>IF(C446&lt;62,0,'Combined Retirement'!$I$13)</f>
        <v>2420</v>
      </c>
      <c r="J446" s="25">
        <f t="shared" si="263"/>
        <v>7896.2379798201846</v>
      </c>
      <c r="K446" s="25">
        <f t="shared" si="264"/>
        <v>20367.195264578786</v>
      </c>
      <c r="L446" s="25"/>
      <c r="N446" s="25">
        <f>'Combined Retirement'!$C$18/12</f>
        <v>39153.069999999992</v>
      </c>
      <c r="O446" s="25">
        <f t="shared" si="265"/>
        <v>10889.636755601023</v>
      </c>
      <c r="P446" s="25">
        <f t="shared" si="266"/>
        <v>28263.43324439897</v>
      </c>
      <c r="Q446" s="25">
        <f t="array" aca="1" ref="Q446" ca="1">INDEX('Isaac 401k'!L:L,MATCH('Retirement Calculator'!A446,'Isaac 401k'!N:N,0),0)</f>
        <v>1911737.4187310718</v>
      </c>
      <c r="R446" s="25">
        <f t="array" aca="1" ref="R446" ca="1">INDEX('Lorri 401b'!L:L,MATCH('Retirement Calculator'!A446,'Lorri 401b'!N:N,0),0)</f>
        <v>3257703.0512632672</v>
      </c>
      <c r="S446" s="25">
        <f t="shared" ca="1" si="267"/>
        <v>5169440.4699943392</v>
      </c>
    </row>
    <row r="447" spans="1:19" ht="15.75" customHeight="1" x14ac:dyDescent="0.3">
      <c r="A447" s="37">
        <v>64559</v>
      </c>
      <c r="B447" s="398">
        <f t="shared" ref="B447:C447" si="448">($A447-B$9)/365.25</f>
        <v>94.874743326488712</v>
      </c>
      <c r="C447" s="398">
        <f t="shared" si="448"/>
        <v>90.264202600958242</v>
      </c>
      <c r="E447" s="25">
        <f>IF(C447&gt;$B$7,0,'Combined Retirement'!$D$13/12)</f>
        <v>0</v>
      </c>
      <c r="F447" s="25">
        <f>IF(H447=0,'Combined Retirement'!$D$32,0)+'Combined Retirement'!$B$24</f>
        <v>2870.372285649099</v>
      </c>
      <c r="G447" s="25">
        <f>'Combined Retirement'!$C$24</f>
        <v>3254.2644699519233</v>
      </c>
      <c r="H447" s="25">
        <f>IF(B447&lt;62,0,'Combined Retirement'!$I$14)</f>
        <v>2345</v>
      </c>
      <c r="I447" s="25">
        <f>IF(C447&lt;62,0,'Combined Retirement'!$I$13)</f>
        <v>2420</v>
      </c>
      <c r="J447" s="25">
        <f t="shared" si="263"/>
        <v>7896.2379798201846</v>
      </c>
      <c r="K447" s="25">
        <f t="shared" si="264"/>
        <v>20367.195264578786</v>
      </c>
      <c r="L447" s="25"/>
      <c r="N447" s="25">
        <f>'Combined Retirement'!$C$18/12</f>
        <v>39153.069999999992</v>
      </c>
      <c r="O447" s="25">
        <f t="shared" si="265"/>
        <v>10889.636755601023</v>
      </c>
      <c r="P447" s="25">
        <f t="shared" si="266"/>
        <v>28263.43324439897</v>
      </c>
      <c r="Q447" s="25">
        <f t="array" aca="1" ref="Q447" ca="1">INDEX('Isaac 401k'!L:L,MATCH('Retirement Calculator'!A447,'Isaac 401k'!N:N,0),0)</f>
        <v>1911773.852337715</v>
      </c>
      <c r="R447" s="25">
        <f t="array" aca="1" ref="R447" ca="1">INDEX('Lorri 401b'!L:L,MATCH('Retirement Calculator'!A447,'Lorri 401b'!N:N,0),0)</f>
        <v>3250824.7553986828</v>
      </c>
      <c r="S447" s="25">
        <f t="shared" ca="1" si="267"/>
        <v>5162598.6077363975</v>
      </c>
    </row>
    <row r="448" spans="1:19" ht="15.75" customHeight="1" x14ac:dyDescent="0.3">
      <c r="A448" s="37">
        <v>64590</v>
      </c>
      <c r="B448" s="398">
        <f t="shared" ref="B448:C448" si="449">($A448-B$9)/365.25</f>
        <v>94.959616700889796</v>
      </c>
      <c r="C448" s="398">
        <f t="shared" si="449"/>
        <v>90.349075975359341</v>
      </c>
      <c r="E448" s="25">
        <f>IF(C448&gt;$B$7,0,'Combined Retirement'!$D$13/12)</f>
        <v>0</v>
      </c>
      <c r="F448" s="25">
        <f>IF(H448=0,'Combined Retirement'!$D$32,0)+'Combined Retirement'!$B$24</f>
        <v>2870.372285649099</v>
      </c>
      <c r="G448" s="25">
        <f>'Combined Retirement'!$C$24</f>
        <v>3254.2644699519233</v>
      </c>
      <c r="H448" s="25">
        <f>IF(B448&lt;62,0,'Combined Retirement'!$I$14)</f>
        <v>2345</v>
      </c>
      <c r="I448" s="25">
        <f>IF(C448&lt;62,0,'Combined Retirement'!$I$13)</f>
        <v>2420</v>
      </c>
      <c r="J448" s="25">
        <f t="shared" si="263"/>
        <v>7896.2379798201846</v>
      </c>
      <c r="K448" s="25">
        <f t="shared" si="264"/>
        <v>20367.195264578786</v>
      </c>
      <c r="L448" s="25"/>
      <c r="N448" s="25">
        <f>'Combined Retirement'!$C$18/12</f>
        <v>39153.069999999992</v>
      </c>
      <c r="O448" s="25">
        <f t="shared" si="265"/>
        <v>10889.636755601023</v>
      </c>
      <c r="P448" s="25">
        <f t="shared" si="266"/>
        <v>28263.43324439897</v>
      </c>
      <c r="Q448" s="25">
        <f t="array" aca="1" ref="Q448" ca="1">INDEX('Isaac 401k'!L:L,MATCH('Retirement Calculator'!A448,'Isaac 401k'!N:N,0),0)</f>
        <v>1911810.4377510527</v>
      </c>
      <c r="R448" s="25">
        <f t="array" aca="1" ref="R448" ca="1">INDEX('Lorri 401b'!L:L,MATCH('Retirement Calculator'!A448,'Lorri 401b'!N:N,0),0)</f>
        <v>3243917.7999679963</v>
      </c>
      <c r="S448" s="25">
        <f t="shared" ca="1" si="267"/>
        <v>5155728.2377190487</v>
      </c>
    </row>
    <row r="449" spans="1:19" ht="15.75" customHeight="1" x14ac:dyDescent="0.3">
      <c r="A449" s="37">
        <v>64620</v>
      </c>
      <c r="B449" s="398">
        <f t="shared" ref="B449:C449" si="450">($A449-B$9)/365.25</f>
        <v>95.041752224503767</v>
      </c>
      <c r="C449" s="398">
        <f t="shared" si="450"/>
        <v>90.431211498973312</v>
      </c>
      <c r="E449" s="25">
        <f>IF(C449&gt;$B$7,0,'Combined Retirement'!$D$13/12)</f>
        <v>0</v>
      </c>
      <c r="F449" s="25">
        <f>IF(H449=0,'Combined Retirement'!$D$32,0)+'Combined Retirement'!$B$24</f>
        <v>2870.372285649099</v>
      </c>
      <c r="G449" s="25">
        <f>'Combined Retirement'!$C$24</f>
        <v>3254.2644699519233</v>
      </c>
      <c r="H449" s="25">
        <f>IF(B449&lt;62,0,'Combined Retirement'!$I$14)</f>
        <v>2345</v>
      </c>
      <c r="I449" s="25">
        <f>IF(C449&lt;62,0,'Combined Retirement'!$I$13)</f>
        <v>2420</v>
      </c>
      <c r="J449" s="25">
        <f t="shared" si="263"/>
        <v>7896.2379798201846</v>
      </c>
      <c r="K449" s="25">
        <f t="shared" si="264"/>
        <v>20367.195264578786</v>
      </c>
      <c r="L449" s="25"/>
      <c r="N449" s="25">
        <f>'Combined Retirement'!$C$18/12</f>
        <v>39153.069999999992</v>
      </c>
      <c r="O449" s="25">
        <f t="shared" si="265"/>
        <v>10889.636755601023</v>
      </c>
      <c r="P449" s="25">
        <f t="shared" si="266"/>
        <v>28263.43324439897</v>
      </c>
      <c r="Q449" s="25">
        <f t="array" aca="1" ref="Q449" ca="1">INDEX('Isaac 401k'!L:L,MATCH('Retirement Calculator'!A449,'Isaac 401k'!N:N,0),0)</f>
        <v>1911847.1756036126</v>
      </c>
      <c r="R449" s="25">
        <f t="array" aca="1" ref="R449" ca="1">INDEX('Lorri 401b'!L:L,MATCH('Retirement Calculator'!A449,'Lorri 401b'!N:N,0),0)</f>
        <v>3236982.0655563483</v>
      </c>
      <c r="S449" s="25">
        <f t="shared" ca="1" si="267"/>
        <v>5148829.2411599606</v>
      </c>
    </row>
    <row r="450" spans="1:19" ht="15.75" customHeight="1" x14ac:dyDescent="0.3">
      <c r="A450" s="37">
        <v>64651</v>
      </c>
      <c r="B450" s="398">
        <f t="shared" ref="B450:C450" si="451">($A450-B$9)/365.25</f>
        <v>95.126625598904866</v>
      </c>
      <c r="C450" s="398">
        <f t="shared" si="451"/>
        <v>90.516084873374396</v>
      </c>
      <c r="E450" s="25">
        <f>IF(C450&gt;$B$7,0,'Combined Retirement'!$D$13/12)</f>
        <v>0</v>
      </c>
      <c r="F450" s="25">
        <f>IF(H450=0,'Combined Retirement'!$D$32,0)+'Combined Retirement'!$B$24</f>
        <v>2870.372285649099</v>
      </c>
      <c r="G450" s="25">
        <f>'Combined Retirement'!$C$24</f>
        <v>3254.2644699519233</v>
      </c>
      <c r="H450" s="25">
        <f>IF(B450&lt;62,0,'Combined Retirement'!$I$14)</f>
        <v>2345</v>
      </c>
      <c r="I450" s="25">
        <f>IF(C450&lt;62,0,'Combined Retirement'!$I$13)</f>
        <v>2420</v>
      </c>
      <c r="J450" s="25">
        <f t="shared" si="263"/>
        <v>7896.2379798201846</v>
      </c>
      <c r="K450" s="25">
        <f t="shared" si="264"/>
        <v>20367.195264578786</v>
      </c>
      <c r="L450" s="25"/>
      <c r="N450" s="25">
        <f>'Combined Retirement'!$C$18/12</f>
        <v>39153.069999999992</v>
      </c>
      <c r="O450" s="25">
        <f t="shared" si="265"/>
        <v>10889.636755601023</v>
      </c>
      <c r="P450" s="25">
        <f t="shared" si="266"/>
        <v>28263.43324439897</v>
      </c>
      <c r="Q450" s="25">
        <f t="array" aca="1" ref="Q450" ca="1">INDEX('Isaac 401k'!L:L,MATCH('Retirement Calculator'!A450,'Isaac 401k'!N:N,0),0)</f>
        <v>1911884.066530558</v>
      </c>
      <c r="R450" s="25">
        <f t="array" aca="1" ref="R450" ca="1">INDEX('Lorri 401b'!L:L,MATCH('Retirement Calculator'!A450,'Lorri 401b'!N:N,0),0)</f>
        <v>3230017.4322513184</v>
      </c>
      <c r="S450" s="25">
        <f t="shared" ca="1" si="267"/>
        <v>5141901.4987818766</v>
      </c>
    </row>
    <row r="451" spans="1:19" ht="15.75" customHeight="1" x14ac:dyDescent="0.3">
      <c r="A451" s="37">
        <v>64682</v>
      </c>
      <c r="B451" s="398">
        <f t="shared" ref="B451:C451" si="452">($A451-B$9)/365.25</f>
        <v>95.21149897330595</v>
      </c>
      <c r="C451" s="398">
        <f t="shared" si="452"/>
        <v>90.600958247775495</v>
      </c>
      <c r="E451" s="25">
        <f>IF(C451&gt;$B$7,0,'Combined Retirement'!$D$13/12)</f>
        <v>0</v>
      </c>
      <c r="F451" s="25">
        <f>IF(H451=0,'Combined Retirement'!$D$32,0)+'Combined Retirement'!$B$24</f>
        <v>2870.372285649099</v>
      </c>
      <c r="G451" s="25">
        <f>'Combined Retirement'!$C$24</f>
        <v>3254.2644699519233</v>
      </c>
      <c r="H451" s="25">
        <f>IF(B451&lt;62,0,'Combined Retirement'!$I$14)</f>
        <v>2345</v>
      </c>
      <c r="I451" s="25">
        <f>IF(C451&lt;62,0,'Combined Retirement'!$I$13)</f>
        <v>2420</v>
      </c>
      <c r="J451" s="25">
        <f t="shared" si="263"/>
        <v>7896.2379798201846</v>
      </c>
      <c r="K451" s="25">
        <f t="shared" si="264"/>
        <v>20367.195264578786</v>
      </c>
      <c r="L451" s="25"/>
      <c r="N451" s="25">
        <f>'Combined Retirement'!$C$18/12</f>
        <v>39153.069999999992</v>
      </c>
      <c r="O451" s="25">
        <f t="shared" si="265"/>
        <v>10889.636755601023</v>
      </c>
      <c r="P451" s="25">
        <f t="shared" si="266"/>
        <v>28263.43324439897</v>
      </c>
      <c r="Q451" s="25">
        <f t="array" aca="1" ref="Q451" ca="1">INDEX('Isaac 401k'!L:L,MATCH('Retirement Calculator'!A451,'Isaac 401k'!N:N,0),0)</f>
        <v>1911921.1111696991</v>
      </c>
      <c r="R451" s="25">
        <f t="array" aca="1" ref="R451" ca="1">INDEX('Lorri 401b'!L:L,MATCH('Retirement Calculator'!A451,'Lorri 401b'!N:N,0),0)</f>
        <v>3223023.7796408511</v>
      </c>
      <c r="S451" s="25">
        <f t="shared" ca="1" si="267"/>
        <v>5134944.8908105502</v>
      </c>
    </row>
    <row r="452" spans="1:19" ht="15.75" customHeight="1" x14ac:dyDescent="0.3">
      <c r="A452" s="37">
        <v>64710</v>
      </c>
      <c r="B452" s="398">
        <f t="shared" ref="B452:C452" si="453">($A452-B$9)/365.25</f>
        <v>95.288158795345652</v>
      </c>
      <c r="C452" s="398">
        <f t="shared" si="453"/>
        <v>90.677618069815196</v>
      </c>
      <c r="E452" s="25">
        <f>IF(C452&gt;$B$7,0,'Combined Retirement'!$D$13/12)</f>
        <v>0</v>
      </c>
      <c r="F452" s="25">
        <f>IF(H452=0,'Combined Retirement'!$D$32,0)+'Combined Retirement'!$B$24</f>
        <v>2870.372285649099</v>
      </c>
      <c r="G452" s="25">
        <f>'Combined Retirement'!$C$24</f>
        <v>3254.2644699519233</v>
      </c>
      <c r="H452" s="25">
        <f>IF(B452&lt;62,0,'Combined Retirement'!$I$14)</f>
        <v>2345</v>
      </c>
      <c r="I452" s="25">
        <f>IF(C452&lt;62,0,'Combined Retirement'!$I$13)</f>
        <v>2420</v>
      </c>
      <c r="J452" s="25">
        <f t="shared" si="263"/>
        <v>7896.2379798201846</v>
      </c>
      <c r="K452" s="25">
        <f t="shared" si="264"/>
        <v>20367.195264578786</v>
      </c>
      <c r="L452" s="25"/>
      <c r="N452" s="25">
        <f>'Combined Retirement'!$C$18/12</f>
        <v>39153.069999999992</v>
      </c>
      <c r="O452" s="25">
        <f t="shared" si="265"/>
        <v>10889.636755601023</v>
      </c>
      <c r="P452" s="25">
        <f t="shared" si="266"/>
        <v>28263.43324439897</v>
      </c>
      <c r="Q452" s="25">
        <f t="array" aca="1" ref="Q452" ca="1">INDEX('Isaac 401k'!L:L,MATCH('Retirement Calculator'!A452,'Isaac 401k'!N:N,0),0)</f>
        <v>1911958.3101615033</v>
      </c>
      <c r="R452" s="25">
        <f t="array" aca="1" ref="R452" ca="1">INDEX('Lorri 401b'!L:L,MATCH('Retirement Calculator'!A452,'Lorri 401b'!N:N,0),0)</f>
        <v>3216000.9868111736</v>
      </c>
      <c r="S452" s="25">
        <f t="shared" ca="1" si="267"/>
        <v>5127959.2969726771</v>
      </c>
    </row>
    <row r="453" spans="1:19" ht="15.75" customHeight="1" x14ac:dyDescent="0.3">
      <c r="A453" s="37">
        <v>64741</v>
      </c>
      <c r="B453" s="398">
        <f t="shared" ref="B453:C453" si="454">($A453-B$9)/365.25</f>
        <v>95.37303216974675</v>
      </c>
      <c r="C453" s="398">
        <f t="shared" si="454"/>
        <v>90.762491444216295</v>
      </c>
      <c r="E453" s="25">
        <f>IF(C453&gt;$B$7,0,'Combined Retirement'!$D$13/12)</f>
        <v>0</v>
      </c>
      <c r="F453" s="25">
        <f>IF(H453=0,'Combined Retirement'!$D$32,0)+'Combined Retirement'!$B$24</f>
        <v>2870.372285649099</v>
      </c>
      <c r="G453" s="25">
        <f>'Combined Retirement'!$C$24</f>
        <v>3254.2644699519233</v>
      </c>
      <c r="H453" s="25">
        <f>IF(B453&lt;62,0,'Combined Retirement'!$I$14)</f>
        <v>2345</v>
      </c>
      <c r="I453" s="25">
        <f>IF(C453&lt;62,0,'Combined Retirement'!$I$13)</f>
        <v>2420</v>
      </c>
      <c r="J453" s="25">
        <f t="shared" si="263"/>
        <v>7896.2379798201846</v>
      </c>
      <c r="K453" s="25">
        <f t="shared" si="264"/>
        <v>20367.195264578786</v>
      </c>
      <c r="L453" s="25"/>
      <c r="N453" s="25">
        <f>'Combined Retirement'!$C$18/12</f>
        <v>39153.069999999992</v>
      </c>
      <c r="O453" s="25">
        <f t="shared" si="265"/>
        <v>10889.636755601023</v>
      </c>
      <c r="P453" s="25">
        <f t="shared" si="266"/>
        <v>28263.43324439897</v>
      </c>
      <c r="Q453" s="25">
        <f t="array" aca="1" ref="Q453" ca="1">INDEX('Isaac 401k'!L:L,MATCH('Retirement Calculator'!A453,'Isaac 401k'!N:N,0),0)</f>
        <v>1911995.6641491067</v>
      </c>
      <c r="R453" s="25">
        <f t="array" aca="1" ref="R453" ca="1">INDEX('Lorri 401b'!L:L,MATCH('Retirement Calculator'!A453,'Lorri 401b'!N:N,0),0)</f>
        <v>3208948.9323447058</v>
      </c>
      <c r="S453" s="25">
        <f t="shared" ca="1" si="267"/>
        <v>5120944.5964938123</v>
      </c>
    </row>
    <row r="454" spans="1:19" ht="15.75" customHeight="1" x14ac:dyDescent="0.3">
      <c r="A454" s="37">
        <v>64771</v>
      </c>
      <c r="B454" s="398">
        <f t="shared" ref="B454:C454" si="455">($A454-B$9)/365.25</f>
        <v>95.455167693360707</v>
      </c>
      <c r="C454" s="398">
        <f t="shared" si="455"/>
        <v>90.844626967830251</v>
      </c>
      <c r="E454" s="25">
        <f>IF(C454&gt;$B$7,0,'Combined Retirement'!$D$13/12)</f>
        <v>0</v>
      </c>
      <c r="F454" s="25">
        <f>IF(H454=0,'Combined Retirement'!$D$32,0)+'Combined Retirement'!$B$24</f>
        <v>2870.372285649099</v>
      </c>
      <c r="G454" s="25">
        <f>'Combined Retirement'!$C$24</f>
        <v>3254.2644699519233</v>
      </c>
      <c r="H454" s="25">
        <f>IF(B454&lt;62,0,'Combined Retirement'!$I$14)</f>
        <v>2345</v>
      </c>
      <c r="I454" s="25">
        <f>IF(C454&lt;62,0,'Combined Retirement'!$I$13)</f>
        <v>2420</v>
      </c>
      <c r="J454" s="25">
        <f t="shared" si="263"/>
        <v>7896.2379798201846</v>
      </c>
      <c r="K454" s="25">
        <f t="shared" si="264"/>
        <v>20367.195264578786</v>
      </c>
      <c r="L454" s="25"/>
      <c r="N454" s="25">
        <f>'Combined Retirement'!$C$18/12</f>
        <v>39153.069999999992</v>
      </c>
      <c r="O454" s="25">
        <f t="shared" si="265"/>
        <v>10889.636755601023</v>
      </c>
      <c r="P454" s="25">
        <f t="shared" si="266"/>
        <v>28263.43324439897</v>
      </c>
      <c r="Q454" s="25">
        <f t="array" aca="1" ref="Q454" ca="1">INDEX('Isaac 401k'!L:L,MATCH('Retirement Calculator'!A454,'Isaac 401k'!N:N,0),0)</f>
        <v>1912033.1737783251</v>
      </c>
      <c r="R454" s="25">
        <f t="array" aca="1" ref="R454" ca="1">INDEX('Lorri 401b'!L:L,MATCH('Retirement Calculator'!A454,'Lorri 401b'!N:N,0),0)</f>
        <v>3201867.4943179609</v>
      </c>
      <c r="S454" s="25">
        <f t="shared" ca="1" si="267"/>
        <v>5113900.6680962862</v>
      </c>
    </row>
    <row r="455" spans="1:19" ht="15.75" customHeight="1" x14ac:dyDescent="0.3">
      <c r="A455" s="37">
        <v>64802</v>
      </c>
      <c r="B455" s="398">
        <f t="shared" ref="B455:C455" si="456">($A455-B$9)/365.25</f>
        <v>95.540041067761805</v>
      </c>
      <c r="C455" s="398">
        <f t="shared" si="456"/>
        <v>90.92950034223135</v>
      </c>
      <c r="E455" s="25">
        <f>IF(C455&gt;$B$7,0,'Combined Retirement'!$D$13/12)</f>
        <v>0</v>
      </c>
      <c r="F455" s="25">
        <f>IF(H455=0,'Combined Retirement'!$D$32,0)+'Combined Retirement'!$B$24</f>
        <v>2870.372285649099</v>
      </c>
      <c r="G455" s="25">
        <f>'Combined Retirement'!$C$24</f>
        <v>3254.2644699519233</v>
      </c>
      <c r="H455" s="25">
        <f>IF(B455&lt;62,0,'Combined Retirement'!$I$14)</f>
        <v>2345</v>
      </c>
      <c r="I455" s="25">
        <f>IF(C455&lt;62,0,'Combined Retirement'!$I$13)</f>
        <v>2420</v>
      </c>
      <c r="J455" s="25">
        <f t="shared" si="263"/>
        <v>7896.2379798201846</v>
      </c>
      <c r="K455" s="25">
        <f t="shared" si="264"/>
        <v>20367.195264578786</v>
      </c>
      <c r="L455" s="25"/>
      <c r="N455" s="25">
        <f>'Combined Retirement'!$C$18/12</f>
        <v>39153.069999999992</v>
      </c>
      <c r="O455" s="25">
        <f t="shared" si="265"/>
        <v>10889.636755601023</v>
      </c>
      <c r="P455" s="25">
        <f t="shared" si="266"/>
        <v>28263.43324439897</v>
      </c>
      <c r="Q455" s="25">
        <f t="array" aca="1" ref="Q455" ca="1">INDEX('Isaac 401k'!L:L,MATCH('Retirement Calculator'!A455,'Isaac 401k'!N:N,0),0)</f>
        <v>1912070.8396976653</v>
      </c>
      <c r="R455" s="25">
        <f t="array" aca="1" ref="R455" ca="1">INDEX('Lorri 401b'!L:L,MATCH('Retirement Calculator'!A455,'Lorri 401b'!N:N,0),0)</f>
        <v>3194756.5502994377</v>
      </c>
      <c r="S455" s="25">
        <f t="shared" ca="1" si="267"/>
        <v>5106827.3899971033</v>
      </c>
    </row>
    <row r="456" spans="1:19" ht="15.75" customHeight="1" x14ac:dyDescent="0.3">
      <c r="A456" s="37">
        <v>64832</v>
      </c>
      <c r="B456" s="398">
        <f t="shared" ref="B456:C456" si="457">($A456-B$9)/365.25</f>
        <v>95.622176591375776</v>
      </c>
      <c r="C456" s="398">
        <f t="shared" si="457"/>
        <v>91.011635865845307</v>
      </c>
      <c r="E456" s="25">
        <f>IF(C456&gt;$B$7,0,'Combined Retirement'!$D$13/12)</f>
        <v>0</v>
      </c>
      <c r="F456" s="25">
        <f>IF(H456=0,'Combined Retirement'!$D$32,0)+'Combined Retirement'!$B$24</f>
        <v>2870.372285649099</v>
      </c>
      <c r="G456" s="25">
        <f>'Combined Retirement'!$C$24</f>
        <v>3254.2644699519233</v>
      </c>
      <c r="H456" s="25">
        <f>IF(B456&lt;62,0,'Combined Retirement'!$I$14)</f>
        <v>2345</v>
      </c>
      <c r="I456" s="25">
        <f>IF(C456&lt;62,0,'Combined Retirement'!$I$13)</f>
        <v>2420</v>
      </c>
      <c r="J456" s="25">
        <f t="shared" si="263"/>
        <v>7896.2379798201846</v>
      </c>
      <c r="K456" s="25">
        <f t="shared" si="264"/>
        <v>20367.195264578786</v>
      </c>
      <c r="L456" s="25"/>
      <c r="N456" s="25">
        <f>'Combined Retirement'!$C$18/12</f>
        <v>39153.069999999992</v>
      </c>
      <c r="O456" s="25">
        <f t="shared" si="265"/>
        <v>10889.636755601023</v>
      </c>
      <c r="P456" s="25">
        <f t="shared" si="266"/>
        <v>28263.43324439897</v>
      </c>
      <c r="Q456" s="25">
        <f t="array" aca="1" ref="Q456" ca="1">INDEX('Isaac 401k'!L:L,MATCH('Retirement Calculator'!A456,'Isaac 401k'!N:N,0),0)</f>
        <v>1912108.662558336</v>
      </c>
      <c r="R456" s="25">
        <f t="array" aca="1" ref="R456" ca="1">INDEX('Lorri 401b'!L:L,MATCH('Retirement Calculator'!A456,'Lorri 401b'!N:N,0),0)</f>
        <v>3187615.9773475043</v>
      </c>
      <c r="S456" s="25">
        <f t="shared" ca="1" si="267"/>
        <v>5099724.6399058402</v>
      </c>
    </row>
    <row r="457" spans="1:19" ht="15.75" customHeight="1" x14ac:dyDescent="0.3">
      <c r="A457" s="37">
        <v>64863</v>
      </c>
      <c r="B457" s="398">
        <f t="shared" ref="B457:C457" si="458">($A457-B$9)/365.25</f>
        <v>95.707049965776861</v>
      </c>
      <c r="C457" s="398">
        <f t="shared" si="458"/>
        <v>91.096509240246405</v>
      </c>
      <c r="E457" s="25">
        <f>IF(C457&gt;$B$7,0,'Combined Retirement'!$D$13/12)</f>
        <v>0</v>
      </c>
      <c r="F457" s="25">
        <f>IF(H457=0,'Combined Retirement'!$D$32,0)+'Combined Retirement'!$B$24</f>
        <v>2870.372285649099</v>
      </c>
      <c r="G457" s="25">
        <f>'Combined Retirement'!$C$24</f>
        <v>3254.2644699519233</v>
      </c>
      <c r="H457" s="25">
        <f>IF(B457&lt;62,0,'Combined Retirement'!$I$14)</f>
        <v>2345</v>
      </c>
      <c r="I457" s="25">
        <f>IF(C457&lt;62,0,'Combined Retirement'!$I$13)</f>
        <v>2420</v>
      </c>
      <c r="J457" s="25">
        <f t="shared" si="263"/>
        <v>7896.2379798201846</v>
      </c>
      <c r="K457" s="25">
        <f t="shared" si="264"/>
        <v>20367.195264578786</v>
      </c>
      <c r="L457" s="25"/>
      <c r="N457" s="25">
        <f>'Combined Retirement'!$C$18/12</f>
        <v>39153.069999999992</v>
      </c>
      <c r="O457" s="25">
        <f t="shared" si="265"/>
        <v>10889.636755601023</v>
      </c>
      <c r="P457" s="25">
        <f t="shared" si="266"/>
        <v>28263.43324439897</v>
      </c>
      <c r="Q457" s="25">
        <f t="array" aca="1" ref="Q457" ca="1">INDEX('Isaac 401k'!L:L,MATCH('Retirement Calculator'!A457,'Isaac 401k'!N:N,0),0)</f>
        <v>1912146.6430142596</v>
      </c>
      <c r="R457" s="25">
        <f t="array" aca="1" ref="R457" ca="1">INDEX('Lorri 401b'!L:L,MATCH('Retirement Calculator'!A457,'Lorri 401b'!N:N,0),0)</f>
        <v>3180445.6520082708</v>
      </c>
      <c r="S457" s="25">
        <f t="shared" ca="1" si="267"/>
        <v>5092592.2950225305</v>
      </c>
    </row>
    <row r="458" spans="1:19" ht="15.75" customHeight="1" x14ac:dyDescent="0.3">
      <c r="A458" s="37">
        <v>64894</v>
      </c>
      <c r="B458" s="398">
        <f t="shared" ref="B458:C458" si="459">($A458-B$9)/365.25</f>
        <v>95.791923340177959</v>
      </c>
      <c r="C458" s="398">
        <f t="shared" si="459"/>
        <v>91.181382614647504</v>
      </c>
      <c r="E458" s="25">
        <f>IF(C458&gt;$B$7,0,'Combined Retirement'!$D$13/12)</f>
        <v>0</v>
      </c>
      <c r="F458" s="25">
        <f>IF(H458=0,'Combined Retirement'!$D$32,0)+'Combined Retirement'!$B$24</f>
        <v>2870.372285649099</v>
      </c>
      <c r="G458" s="25">
        <f>'Combined Retirement'!$C$24</f>
        <v>3254.2644699519233</v>
      </c>
      <c r="H458" s="25">
        <f>IF(B458&lt;62,0,'Combined Retirement'!$I$14)</f>
        <v>2345</v>
      </c>
      <c r="I458" s="25">
        <f>IF(C458&lt;62,0,'Combined Retirement'!$I$13)</f>
        <v>2420</v>
      </c>
      <c r="J458" s="25">
        <f t="shared" si="263"/>
        <v>7896.2379798201846</v>
      </c>
      <c r="K458" s="25">
        <f t="shared" si="264"/>
        <v>20367.195264578786</v>
      </c>
      <c r="L458" s="25"/>
      <c r="N458" s="25">
        <f>'Combined Retirement'!$C$18/12</f>
        <v>39153.069999999992</v>
      </c>
      <c r="O458" s="25">
        <f t="shared" si="265"/>
        <v>10889.636755601023</v>
      </c>
      <c r="P458" s="25">
        <f t="shared" si="266"/>
        <v>28263.43324439897</v>
      </c>
      <c r="Q458" s="25">
        <f t="array" aca="1" ref="Q458" ca="1">INDEX('Isaac 401k'!L:L,MATCH('Retirement Calculator'!A458,'Isaac 401k'!N:N,0),0)</f>
        <v>1912184.781722083</v>
      </c>
      <c r="R458" s="25">
        <f t="array" aca="1" ref="R458" ca="1">INDEX('Lorri 401b'!L:L,MATCH('Retirement Calculator'!A458,'Lorri 401b'!N:N,0),0)</f>
        <v>3173245.4503134573</v>
      </c>
      <c r="S458" s="25">
        <f t="shared" ca="1" si="267"/>
        <v>5085430.23203554</v>
      </c>
    </row>
    <row r="459" spans="1:19" ht="15.75" customHeight="1" x14ac:dyDescent="0.3">
      <c r="A459" s="37">
        <v>64924</v>
      </c>
      <c r="B459" s="398">
        <f t="shared" ref="B459:C459" si="460">($A459-B$9)/365.25</f>
        <v>95.87405886379193</v>
      </c>
      <c r="C459" s="398">
        <f t="shared" si="460"/>
        <v>91.26351813826146</v>
      </c>
      <c r="E459" s="25">
        <f>IF(C459&gt;$B$7,0,'Combined Retirement'!$D$13/12)</f>
        <v>0</v>
      </c>
      <c r="F459" s="25">
        <f>IF(H459=0,'Combined Retirement'!$D$32,0)+'Combined Retirement'!$B$24</f>
        <v>2870.372285649099</v>
      </c>
      <c r="G459" s="25">
        <f>'Combined Retirement'!$C$24</f>
        <v>3254.2644699519233</v>
      </c>
      <c r="H459" s="25">
        <f>IF(B459&lt;62,0,'Combined Retirement'!$I$14)</f>
        <v>2345</v>
      </c>
      <c r="I459" s="25">
        <f>IF(C459&lt;62,0,'Combined Retirement'!$I$13)</f>
        <v>2420</v>
      </c>
      <c r="J459" s="25">
        <f t="shared" si="263"/>
        <v>7896.2379798201846</v>
      </c>
      <c r="K459" s="25">
        <f t="shared" si="264"/>
        <v>20367.195264578786</v>
      </c>
      <c r="L459" s="25"/>
      <c r="N459" s="25">
        <f>'Combined Retirement'!$C$18/12</f>
        <v>39153.069999999992</v>
      </c>
      <c r="O459" s="25">
        <f t="shared" si="265"/>
        <v>10889.636755601023</v>
      </c>
      <c r="P459" s="25">
        <f t="shared" si="266"/>
        <v>28263.43324439897</v>
      </c>
      <c r="Q459" s="25">
        <f t="array" aca="1" ref="Q459" ca="1">INDEX('Isaac 401k'!L:L,MATCH('Retirement Calculator'!A459,'Isaac 401k'!N:N,0),0)</f>
        <v>1912223.0793411888</v>
      </c>
      <c r="R459" s="25">
        <f t="array" aca="1" ref="R459" ca="1">INDEX('Lorri 401b'!L:L,MATCH('Retirement Calculator'!A459,'Lorri 401b'!N:N,0),0)</f>
        <v>3166015.247778249</v>
      </c>
      <c r="S459" s="25">
        <f t="shared" ca="1" si="267"/>
        <v>5078238.327119438</v>
      </c>
    </row>
    <row r="460" spans="1:19" ht="15.75" customHeight="1" x14ac:dyDescent="0.3">
      <c r="A460" s="37">
        <v>64955</v>
      </c>
      <c r="B460" s="398">
        <f t="shared" ref="B460:C460" si="461">($A460-B$9)/365.25</f>
        <v>95.958932238193015</v>
      </c>
      <c r="C460" s="398">
        <f t="shared" si="461"/>
        <v>91.348391512662559</v>
      </c>
      <c r="E460" s="25">
        <f>IF(C460&gt;$B$7,0,'Combined Retirement'!$D$13/12)</f>
        <v>0</v>
      </c>
      <c r="F460" s="25">
        <f>IF(H460=0,'Combined Retirement'!$D$32,0)+'Combined Retirement'!$B$24</f>
        <v>2870.372285649099</v>
      </c>
      <c r="G460" s="25">
        <f>'Combined Retirement'!$C$24</f>
        <v>3254.2644699519233</v>
      </c>
      <c r="H460" s="25">
        <f>IF(B460&lt;62,0,'Combined Retirement'!$I$14)</f>
        <v>2345</v>
      </c>
      <c r="I460" s="25">
        <f>IF(C460&lt;62,0,'Combined Retirement'!$I$13)</f>
        <v>2420</v>
      </c>
      <c r="J460" s="25">
        <f t="shared" si="263"/>
        <v>7896.2379798201846</v>
      </c>
      <c r="K460" s="25">
        <f t="shared" si="264"/>
        <v>20367.195264578786</v>
      </c>
      <c r="L460" s="25"/>
      <c r="N460" s="25">
        <f>'Combined Retirement'!$C$18/12</f>
        <v>39153.069999999992</v>
      </c>
      <c r="O460" s="25">
        <f t="shared" si="265"/>
        <v>10889.636755601023</v>
      </c>
      <c r="P460" s="25">
        <f t="shared" si="266"/>
        <v>28263.43324439897</v>
      </c>
      <c r="Q460" s="25">
        <f t="array" aca="1" ref="Q460" ca="1">INDEX('Isaac 401k'!L:L,MATCH('Retirement Calculator'!A460,'Isaac 401k'!N:N,0),0)</f>
        <v>1912261.5365337075</v>
      </c>
      <c r="R460" s="25">
        <f t="array" aca="1" ref="R460" ca="1">INDEX('Lorri 401b'!L:L,MATCH('Retirement Calculator'!A460,'Lorri 401b'!N:N,0),0)</f>
        <v>3158754.9193991437</v>
      </c>
      <c r="S460" s="25">
        <f t="shared" ca="1" si="267"/>
        <v>5071016.4559328509</v>
      </c>
    </row>
    <row r="461" spans="1:19" ht="15.75" customHeight="1" x14ac:dyDescent="0.3">
      <c r="A461" s="37">
        <v>64985</v>
      </c>
      <c r="B461" s="398">
        <f t="shared" ref="B461:C461" si="462">($A461-B$9)/365.25</f>
        <v>96.041067761806985</v>
      </c>
      <c r="C461" s="398">
        <f t="shared" si="462"/>
        <v>91.43052703627653</v>
      </c>
      <c r="E461" s="25">
        <f>IF(C461&gt;$B$7,0,'Combined Retirement'!$D$13/12)</f>
        <v>0</v>
      </c>
      <c r="F461" s="25">
        <f>IF(H461=0,'Combined Retirement'!$D$32,0)+'Combined Retirement'!$B$24</f>
        <v>2870.372285649099</v>
      </c>
      <c r="G461" s="25">
        <f>'Combined Retirement'!$C$24</f>
        <v>3254.2644699519233</v>
      </c>
      <c r="H461" s="25">
        <f>IF(B461&lt;62,0,'Combined Retirement'!$I$14)</f>
        <v>2345</v>
      </c>
      <c r="I461" s="25">
        <f>IF(C461&lt;62,0,'Combined Retirement'!$I$13)</f>
        <v>2420</v>
      </c>
      <c r="J461" s="25">
        <f t="shared" si="263"/>
        <v>7896.2379798201846</v>
      </c>
      <c r="K461" s="25">
        <f t="shared" si="264"/>
        <v>20367.195264578786</v>
      </c>
      <c r="L461" s="25"/>
      <c r="N461" s="25">
        <f>'Combined Retirement'!$C$18/12</f>
        <v>39153.069999999992</v>
      </c>
      <c r="O461" s="25">
        <f t="shared" si="265"/>
        <v>10889.636755601023</v>
      </c>
      <c r="P461" s="25">
        <f t="shared" si="266"/>
        <v>28263.43324439897</v>
      </c>
      <c r="Q461" s="25">
        <f t="array" aca="1" ref="Q461" ca="1">INDEX('Isaac 401k'!L:L,MATCH('Retirement Calculator'!A461,'Isaac 401k'!N:N,0),0)</f>
        <v>1912300.1539645286</v>
      </c>
      <c r="R461" s="25">
        <f t="array" aca="1" ref="R461" ca="1">INDEX('Lorri 401b'!L:L,MATCH('Retirement Calculator'!A461,'Lorri 401b'!N:N,0),0)</f>
        <v>3151464.3396517923</v>
      </c>
      <c r="S461" s="25">
        <f t="shared" ca="1" si="267"/>
        <v>5063764.4936163211</v>
      </c>
    </row>
    <row r="462" spans="1:19" ht="15.75" customHeight="1" x14ac:dyDescent="0.3">
      <c r="A462" s="37">
        <v>65016</v>
      </c>
      <c r="B462" s="398">
        <f t="shared" ref="B462:C462" si="463">($A462-B$9)/365.25</f>
        <v>96.12594113620807</v>
      </c>
      <c r="C462" s="398">
        <f t="shared" si="463"/>
        <v>91.515400410677614</v>
      </c>
      <c r="E462" s="25">
        <f>IF(C462&gt;$B$7,0,'Combined Retirement'!$D$13/12)</f>
        <v>0</v>
      </c>
      <c r="F462" s="25">
        <f>IF(H462=0,'Combined Retirement'!$D$32,0)+'Combined Retirement'!$B$24</f>
        <v>2870.372285649099</v>
      </c>
      <c r="G462" s="25">
        <f>'Combined Retirement'!$C$24</f>
        <v>3254.2644699519233</v>
      </c>
      <c r="H462" s="25">
        <f>IF(B462&lt;62,0,'Combined Retirement'!$I$14)</f>
        <v>2345</v>
      </c>
      <c r="I462" s="25">
        <f>IF(C462&lt;62,0,'Combined Retirement'!$I$13)</f>
        <v>2420</v>
      </c>
      <c r="J462" s="25">
        <f t="shared" si="263"/>
        <v>7896.2379798201846</v>
      </c>
      <c r="K462" s="25">
        <f t="shared" si="264"/>
        <v>20367.195264578786</v>
      </c>
      <c r="L462" s="25"/>
      <c r="N462" s="25">
        <f>'Combined Retirement'!$C$18/12</f>
        <v>39153.069999999992</v>
      </c>
      <c r="O462" s="25">
        <f t="shared" si="265"/>
        <v>10889.636755601023</v>
      </c>
      <c r="P462" s="25">
        <f t="shared" si="266"/>
        <v>28263.43324439897</v>
      </c>
      <c r="Q462" s="25">
        <f t="array" aca="1" ref="Q462" ca="1">INDEX('Isaac 401k'!L:L,MATCH('Retirement Calculator'!A462,'Isaac 401k'!N:N,0),0)</f>
        <v>1912338.9323013113</v>
      </c>
      <c r="R462" s="25">
        <f t="array" aca="1" ref="R462" ca="1">INDEX('Lorri 401b'!L:L,MATCH('Retirement Calculator'!A462,'Lorri 401b'!N:N,0),0)</f>
        <v>3144143.3824888268</v>
      </c>
      <c r="S462" s="25">
        <f t="shared" ca="1" si="267"/>
        <v>5056482.314790138</v>
      </c>
    </row>
    <row r="463" spans="1:19" ht="15.75" customHeight="1" x14ac:dyDescent="0.3">
      <c r="A463" s="37">
        <v>65047</v>
      </c>
      <c r="B463" s="398">
        <f t="shared" ref="B463:C463" si="464">($A463-B$9)/365.25</f>
        <v>96.210814510609168</v>
      </c>
      <c r="C463" s="398">
        <f t="shared" si="464"/>
        <v>91.600273785078713</v>
      </c>
      <c r="E463" s="25">
        <f>IF(C463&gt;$B$7,0,'Combined Retirement'!$D$13/12)</f>
        <v>0</v>
      </c>
      <c r="F463" s="25">
        <f>IF(H463=0,'Combined Retirement'!$D$32,0)+'Combined Retirement'!$B$24</f>
        <v>2870.372285649099</v>
      </c>
      <c r="G463" s="25">
        <f>'Combined Retirement'!$C$24</f>
        <v>3254.2644699519233</v>
      </c>
      <c r="H463" s="25">
        <f>IF(B463&lt;62,0,'Combined Retirement'!$I$14)</f>
        <v>2345</v>
      </c>
      <c r="I463" s="25">
        <f>IF(C463&lt;62,0,'Combined Retirement'!$I$13)</f>
        <v>2420</v>
      </c>
      <c r="J463" s="25">
        <f t="shared" si="263"/>
        <v>7896.2379798201846</v>
      </c>
      <c r="K463" s="25">
        <f t="shared" si="264"/>
        <v>20367.195264578786</v>
      </c>
      <c r="L463" s="25"/>
      <c r="N463" s="25">
        <f>'Combined Retirement'!$C$18/12</f>
        <v>39153.069999999992</v>
      </c>
      <c r="O463" s="25">
        <f t="shared" si="265"/>
        <v>10889.636755601023</v>
      </c>
      <c r="P463" s="25">
        <f t="shared" si="266"/>
        <v>28263.43324439897</v>
      </c>
      <c r="Q463" s="25">
        <f t="array" aca="1" ref="Q463" ca="1">INDEX('Isaac 401k'!L:L,MATCH('Retirement Calculator'!A463,'Isaac 401k'!N:N,0),0)</f>
        <v>1912377.8722144973</v>
      </c>
      <c r="R463" s="25">
        <f t="array" aca="1" ref="R463" ca="1">INDEX('Lorri 401b'!L:L,MATCH('Retirement Calculator'!A463,'Lorri 401b'!N:N,0),0)</f>
        <v>3136791.9213376823</v>
      </c>
      <c r="S463" s="25">
        <f t="shared" ca="1" si="267"/>
        <v>5049169.7935521798</v>
      </c>
    </row>
    <row r="464" spans="1:19" ht="15.75" customHeight="1" x14ac:dyDescent="0.3">
      <c r="A464" s="37">
        <v>65075</v>
      </c>
      <c r="B464" s="398">
        <f t="shared" ref="B464:C464" si="465">($A464-B$9)/365.25</f>
        <v>96.28747433264887</v>
      </c>
      <c r="C464" s="398">
        <f t="shared" si="465"/>
        <v>91.676933607118414</v>
      </c>
      <c r="E464" s="25">
        <f>IF(C464&gt;$B$7,0,'Combined Retirement'!$D$13/12)</f>
        <v>0</v>
      </c>
      <c r="F464" s="25">
        <f>IF(H464=0,'Combined Retirement'!$D$32,0)+'Combined Retirement'!$B$24</f>
        <v>2870.372285649099</v>
      </c>
      <c r="G464" s="25">
        <f>'Combined Retirement'!$C$24</f>
        <v>3254.2644699519233</v>
      </c>
      <c r="H464" s="25">
        <f>IF(B464&lt;62,0,'Combined Retirement'!$I$14)</f>
        <v>2345</v>
      </c>
      <c r="I464" s="25">
        <f>IF(C464&lt;62,0,'Combined Retirement'!$I$13)</f>
        <v>2420</v>
      </c>
      <c r="J464" s="25">
        <f t="shared" si="263"/>
        <v>7896.2379798201846</v>
      </c>
      <c r="K464" s="25">
        <f t="shared" si="264"/>
        <v>20367.195264578786</v>
      </c>
      <c r="L464" s="25"/>
      <c r="N464" s="25">
        <f>'Combined Retirement'!$C$18/12</f>
        <v>39153.069999999992</v>
      </c>
      <c r="O464" s="25">
        <f t="shared" si="265"/>
        <v>10889.636755601023</v>
      </c>
      <c r="P464" s="25">
        <f t="shared" si="266"/>
        <v>28263.43324439897</v>
      </c>
      <c r="Q464" s="25">
        <f t="array" aca="1" ref="Q464" ca="1">INDEX('Isaac 401k'!L:L,MATCH('Retirement Calculator'!A464,'Isaac 401k'!N:N,0),0)</f>
        <v>1912416.9743773215</v>
      </c>
      <c r="R464" s="25">
        <f t="array" aca="1" ref="R464" ca="1">INDEX('Lorri 401b'!L:L,MATCH('Retirement Calculator'!A464,'Lorri 401b'!N:N,0),0)</f>
        <v>3129409.8290984081</v>
      </c>
      <c r="S464" s="25">
        <f t="shared" ca="1" si="267"/>
        <v>5041826.8034757301</v>
      </c>
    </row>
    <row r="465" spans="1:19" ht="15.75" customHeight="1" x14ac:dyDescent="0.3">
      <c r="A465" s="37">
        <v>65106</v>
      </c>
      <c r="B465" s="398">
        <f t="shared" ref="B465:C465" si="466">($A465-B$9)/365.25</f>
        <v>96.372347707049968</v>
      </c>
      <c r="C465" s="398">
        <f t="shared" si="466"/>
        <v>91.761806981519513</v>
      </c>
      <c r="E465" s="25">
        <f>IF(C465&gt;$B$7,0,'Combined Retirement'!$D$13/12)</f>
        <v>0</v>
      </c>
      <c r="F465" s="25">
        <f>IF(H465=0,'Combined Retirement'!$D$32,0)+'Combined Retirement'!$B$24</f>
        <v>2870.372285649099</v>
      </c>
      <c r="G465" s="25">
        <f>'Combined Retirement'!$C$24</f>
        <v>3254.2644699519233</v>
      </c>
      <c r="H465" s="25">
        <f>IF(B465&lt;62,0,'Combined Retirement'!$I$14)</f>
        <v>2345</v>
      </c>
      <c r="I465" s="25">
        <f>IF(C465&lt;62,0,'Combined Retirement'!$I$13)</f>
        <v>2420</v>
      </c>
      <c r="J465" s="25">
        <f t="shared" si="263"/>
        <v>7896.2379798201846</v>
      </c>
      <c r="K465" s="25">
        <f t="shared" si="264"/>
        <v>20367.195264578786</v>
      </c>
      <c r="L465" s="25"/>
      <c r="N465" s="25">
        <f>'Combined Retirement'!$C$18/12</f>
        <v>39153.069999999992</v>
      </c>
      <c r="O465" s="25">
        <f t="shared" si="265"/>
        <v>10889.636755601023</v>
      </c>
      <c r="P465" s="25">
        <f t="shared" si="266"/>
        <v>28263.43324439897</v>
      </c>
      <c r="Q465" s="25">
        <f t="array" aca="1" ref="Q465" ca="1">INDEX('Isaac 401k'!L:L,MATCH('Retirement Calculator'!A465,'Isaac 401k'!N:N,0),0)</f>
        <v>1912456.2394658243</v>
      </c>
      <c r="R465" s="25">
        <f t="array" aca="1" ref="R465" ca="1">INDEX('Lorri 401b'!L:L,MATCH('Retirement Calculator'!A465,'Lorri 401b'!N:N,0),0)</f>
        <v>3121996.9781414703</v>
      </c>
      <c r="S465" s="25">
        <f t="shared" ca="1" si="267"/>
        <v>5034453.2176072951</v>
      </c>
    </row>
    <row r="466" spans="1:19" ht="15.75" customHeight="1" x14ac:dyDescent="0.3">
      <c r="A466" s="37">
        <v>65136</v>
      </c>
      <c r="B466" s="398">
        <f t="shared" ref="B466:C466" si="467">($A466-B$9)/365.25</f>
        <v>96.454483230663925</v>
      </c>
      <c r="C466" s="398">
        <f t="shared" si="467"/>
        <v>91.843942505133469</v>
      </c>
      <c r="E466" s="25">
        <f>IF(C466&gt;$B$7,0,'Combined Retirement'!$D$13/12)</f>
        <v>0</v>
      </c>
      <c r="F466" s="25">
        <f>IF(H466=0,'Combined Retirement'!$D$32,0)+'Combined Retirement'!$B$24</f>
        <v>2870.372285649099</v>
      </c>
      <c r="G466" s="25">
        <f>'Combined Retirement'!$C$24</f>
        <v>3254.2644699519233</v>
      </c>
      <c r="H466" s="25">
        <f>IF(B466&lt;62,0,'Combined Retirement'!$I$14)</f>
        <v>2345</v>
      </c>
      <c r="I466" s="25">
        <f>IF(C466&lt;62,0,'Combined Retirement'!$I$13)</f>
        <v>2420</v>
      </c>
      <c r="J466" s="25">
        <f t="shared" si="263"/>
        <v>7896.2379798201846</v>
      </c>
      <c r="K466" s="25">
        <f t="shared" si="264"/>
        <v>20367.195264578786</v>
      </c>
      <c r="L466" s="25"/>
      <c r="N466" s="25">
        <f>'Combined Retirement'!$C$18/12</f>
        <v>39153.069999999992</v>
      </c>
      <c r="O466" s="25">
        <f t="shared" si="265"/>
        <v>10889.636755601023</v>
      </c>
      <c r="P466" s="25">
        <f t="shared" si="266"/>
        <v>28263.43324439897</v>
      </c>
      <c r="Q466" s="25">
        <f t="array" aca="1" ref="Q466" ca="1">INDEX('Isaac 401k'!L:L,MATCH('Retirement Calculator'!A466,'Isaac 401k'!N:N,0),0)</f>
        <v>1912495.6681588625</v>
      </c>
      <c r="R466" s="25">
        <f t="array" aca="1" ref="R466" ca="1">INDEX('Lorri 401b'!L:L,MATCH('Retirement Calculator'!A466,'Lorri 401b'!N:N,0),0)</f>
        <v>3114553.2403055453</v>
      </c>
      <c r="S466" s="25">
        <f t="shared" ca="1" si="267"/>
        <v>5027048.9084644075</v>
      </c>
    </row>
    <row r="467" spans="1:19" ht="15.75" customHeight="1" x14ac:dyDescent="0.3">
      <c r="A467" s="37">
        <v>65167</v>
      </c>
      <c r="B467" s="398">
        <f t="shared" ref="B467:C467" si="468">($A467-B$9)/365.25</f>
        <v>96.539356605065024</v>
      </c>
      <c r="C467" s="398">
        <f t="shared" si="468"/>
        <v>91.928815879534568</v>
      </c>
      <c r="E467" s="25">
        <f>IF(C467&gt;$B$7,0,'Combined Retirement'!$D$13/12)</f>
        <v>0</v>
      </c>
      <c r="F467" s="25">
        <f>IF(H467=0,'Combined Retirement'!$D$32,0)+'Combined Retirement'!$B$24</f>
        <v>2870.372285649099</v>
      </c>
      <c r="G467" s="25">
        <f>'Combined Retirement'!$C$24</f>
        <v>3254.2644699519233</v>
      </c>
      <c r="H467" s="25">
        <f>IF(B467&lt;62,0,'Combined Retirement'!$I$14)</f>
        <v>2345</v>
      </c>
      <c r="I467" s="25">
        <f>IF(C467&lt;62,0,'Combined Retirement'!$I$13)</f>
        <v>2420</v>
      </c>
      <c r="J467" s="25">
        <f t="shared" si="263"/>
        <v>7896.2379798201846</v>
      </c>
      <c r="K467" s="25">
        <f t="shared" si="264"/>
        <v>20367.195264578786</v>
      </c>
      <c r="L467" s="25"/>
      <c r="N467" s="25">
        <f>'Combined Retirement'!$C$18/12</f>
        <v>39153.069999999992</v>
      </c>
      <c r="O467" s="25">
        <f t="shared" si="265"/>
        <v>10889.636755601023</v>
      </c>
      <c r="P467" s="25">
        <f t="shared" si="266"/>
        <v>28263.43324439897</v>
      </c>
      <c r="Q467" s="25">
        <f t="array" aca="1" ref="Q467" ca="1">INDEX('Isaac 401k'!L:L,MATCH('Retirement Calculator'!A467,'Isaac 401k'!N:N,0),0)</f>
        <v>1912535.2611381216</v>
      </c>
      <c r="R467" s="25">
        <f t="array" aca="1" ref="R467" ca="1">INDEX('Lorri 401b'!L:L,MATCH('Retirement Calculator'!A467,'Lorri 401b'!N:N,0),0)</f>
        <v>3107078.4868953037</v>
      </c>
      <c r="S467" s="25">
        <f t="shared" ca="1" si="267"/>
        <v>5019613.7480334248</v>
      </c>
    </row>
    <row r="468" spans="1:19" ht="15.75" customHeight="1" x14ac:dyDescent="0.3">
      <c r="A468" s="37">
        <v>65197</v>
      </c>
      <c r="B468" s="398">
        <f t="shared" ref="B468:C468" si="469">($A468-B$9)/365.25</f>
        <v>96.62149212867898</v>
      </c>
      <c r="C468" s="398">
        <f t="shared" si="469"/>
        <v>92.010951403148525</v>
      </c>
      <c r="E468" s="25">
        <f>IF(C468&gt;$B$7,0,'Combined Retirement'!$D$13/12)</f>
        <v>0</v>
      </c>
      <c r="F468" s="25">
        <f>IF(H468=0,'Combined Retirement'!$D$32,0)+'Combined Retirement'!$B$24</f>
        <v>2870.372285649099</v>
      </c>
      <c r="G468" s="25">
        <f>'Combined Retirement'!$C$24</f>
        <v>3254.2644699519233</v>
      </c>
      <c r="H468" s="25">
        <f>IF(B468&lt;62,0,'Combined Retirement'!$I$14)</f>
        <v>2345</v>
      </c>
      <c r="I468" s="25">
        <f>IF(C468&lt;62,0,'Combined Retirement'!$I$13)</f>
        <v>2420</v>
      </c>
      <c r="J468" s="25">
        <f t="shared" si="263"/>
        <v>7896.2379798201846</v>
      </c>
      <c r="K468" s="25">
        <f t="shared" si="264"/>
        <v>20367.195264578786</v>
      </c>
      <c r="L468" s="25"/>
      <c r="N468" s="25">
        <f>'Combined Retirement'!$C$18/12</f>
        <v>39153.069999999992</v>
      </c>
      <c r="O468" s="25">
        <f t="shared" si="265"/>
        <v>10889.636755601023</v>
      </c>
      <c r="P468" s="25">
        <f t="shared" si="266"/>
        <v>28263.43324439897</v>
      </c>
      <c r="Q468" s="25">
        <f t="array" aca="1" ref="Q468" ca="1">INDEX('Isaac 401k'!L:L,MATCH('Retirement Calculator'!A468,'Isaac 401k'!N:N,0),0)</f>
        <v>1912575.0190881277</v>
      </c>
      <c r="R468" s="25">
        <f t="array" aca="1" ref="R468" ca="1">INDEX('Lorri 401b'!L:L,MATCH('Retirement Calculator'!A468,'Lorri 401b'!N:N,0),0)</f>
        <v>3099572.5886791861</v>
      </c>
      <c r="S468" s="25">
        <f t="shared" ca="1" si="267"/>
        <v>5012147.6077673137</v>
      </c>
    </row>
    <row r="469" spans="1:19" ht="15.75" customHeight="1" x14ac:dyDescent="0.3">
      <c r="A469" s="37">
        <v>65228</v>
      </c>
      <c r="B469" s="398">
        <f t="shared" ref="B469:C469" si="470">($A469-B$9)/365.25</f>
        <v>96.706365503080079</v>
      </c>
      <c r="C469" s="398">
        <f t="shared" si="470"/>
        <v>92.095824777549623</v>
      </c>
      <c r="E469" s="25">
        <f>IF(C469&gt;$B$7,0,'Combined Retirement'!$D$13/12)</f>
        <v>0</v>
      </c>
      <c r="F469" s="25">
        <f>IF(H469=0,'Combined Retirement'!$D$32,0)+'Combined Retirement'!$B$24</f>
        <v>2870.372285649099</v>
      </c>
      <c r="G469" s="25">
        <f>'Combined Retirement'!$C$24</f>
        <v>3254.2644699519233</v>
      </c>
      <c r="H469" s="25">
        <f>IF(B469&lt;62,0,'Combined Retirement'!$I$14)</f>
        <v>2345</v>
      </c>
      <c r="I469" s="25">
        <f>IF(C469&lt;62,0,'Combined Retirement'!$I$13)</f>
        <v>2420</v>
      </c>
      <c r="J469" s="25">
        <f t="shared" si="263"/>
        <v>7896.2379798201846</v>
      </c>
      <c r="K469" s="25">
        <f t="shared" si="264"/>
        <v>20367.195264578786</v>
      </c>
      <c r="L469" s="25"/>
      <c r="N469" s="25">
        <f>'Combined Retirement'!$C$18/12</f>
        <v>39153.069999999992</v>
      </c>
      <c r="O469" s="25">
        <f t="shared" si="265"/>
        <v>10889.636755601023</v>
      </c>
      <c r="P469" s="25">
        <f t="shared" si="266"/>
        <v>28263.43324439897</v>
      </c>
      <c r="Q469" s="25">
        <f t="array" aca="1" ref="Q469" ca="1">INDEX('Isaac 401k'!L:L,MATCH('Retirement Calculator'!A469,'Isaac 401k'!N:N,0),0)</f>
        <v>1912614.9426962587</v>
      </c>
      <c r="R469" s="25">
        <f t="array" aca="1" ref="R469" ca="1">INDEX('Lorri 401b'!L:L,MATCH('Retirement Calculator'!A469,'Lorri 401b'!N:N,0),0)</f>
        <v>3092035.4158871681</v>
      </c>
      <c r="S469" s="25">
        <f t="shared" ca="1" si="267"/>
        <v>5004650.358583427</v>
      </c>
    </row>
    <row r="470" spans="1:19" ht="15.75" customHeight="1" x14ac:dyDescent="0.3">
      <c r="A470" s="37">
        <v>65259</v>
      </c>
      <c r="B470" s="398">
        <f t="shared" ref="B470:C470" si="471">($A470-B$9)/365.25</f>
        <v>96.791238877481177</v>
      </c>
      <c r="C470" s="398">
        <f t="shared" si="471"/>
        <v>92.180698151950722</v>
      </c>
      <c r="E470" s="25">
        <f>IF(C470&gt;$B$7,0,'Combined Retirement'!$D$13/12)</f>
        <v>0</v>
      </c>
      <c r="F470" s="25">
        <f>IF(H470=0,'Combined Retirement'!$D$32,0)+'Combined Retirement'!$B$24</f>
        <v>2870.372285649099</v>
      </c>
      <c r="G470" s="25">
        <f>'Combined Retirement'!$C$24</f>
        <v>3254.2644699519233</v>
      </c>
      <c r="H470" s="25">
        <f>IF(B470&lt;62,0,'Combined Retirement'!$I$14)</f>
        <v>2345</v>
      </c>
      <c r="I470" s="25">
        <f>IF(C470&lt;62,0,'Combined Retirement'!$I$13)</f>
        <v>2420</v>
      </c>
      <c r="J470" s="25">
        <f t="shared" si="263"/>
        <v>7896.2379798201846</v>
      </c>
      <c r="K470" s="25">
        <f t="shared" si="264"/>
        <v>20367.195264578786</v>
      </c>
      <c r="L470" s="25"/>
      <c r="N470" s="25">
        <f>'Combined Retirement'!$C$18/12</f>
        <v>39153.069999999992</v>
      </c>
      <c r="O470" s="25">
        <f t="shared" si="265"/>
        <v>10889.636755601023</v>
      </c>
      <c r="P470" s="25">
        <f t="shared" si="266"/>
        <v>28263.43324439897</v>
      </c>
      <c r="Q470" s="25">
        <f t="array" aca="1" ref="Q470" ca="1">INDEX('Isaac 401k'!L:L,MATCH('Retirement Calculator'!A470,'Isaac 401k'!N:N,0),0)</f>
        <v>1912655.0326527569</v>
      </c>
      <c r="R470" s="25">
        <f t="array" aca="1" ref="R470" ca="1">INDEX('Lorri 401b'!L:L,MATCH('Retirement Calculator'!A470,'Lorri 401b'!N:N,0),0)</f>
        <v>3084466.8382085166</v>
      </c>
      <c r="S470" s="25">
        <f t="shared" ca="1" si="267"/>
        <v>4997121.8708612733</v>
      </c>
    </row>
    <row r="471" spans="1:19" ht="15.75" customHeight="1" x14ac:dyDescent="0.3">
      <c r="A471" s="37">
        <v>65289</v>
      </c>
      <c r="B471" s="398">
        <f t="shared" ref="B471:C471" si="472">($A471-B$9)/365.25</f>
        <v>96.873374401095134</v>
      </c>
      <c r="C471" s="398">
        <f t="shared" si="472"/>
        <v>92.262833675564679</v>
      </c>
      <c r="E471" s="25">
        <f>IF(C471&gt;$B$7,0,'Combined Retirement'!$D$13/12)</f>
        <v>0</v>
      </c>
      <c r="F471" s="25">
        <f>IF(H471=0,'Combined Retirement'!$D$32,0)+'Combined Retirement'!$B$24</f>
        <v>2870.372285649099</v>
      </c>
      <c r="G471" s="25">
        <f>'Combined Retirement'!$C$24</f>
        <v>3254.2644699519233</v>
      </c>
      <c r="H471" s="25">
        <f>IF(B471&lt;62,0,'Combined Retirement'!$I$14)</f>
        <v>2345</v>
      </c>
      <c r="I471" s="25">
        <f>IF(C471&lt;62,0,'Combined Retirement'!$I$13)</f>
        <v>2420</v>
      </c>
      <c r="J471" s="25">
        <f t="shared" si="263"/>
        <v>7896.2379798201846</v>
      </c>
      <c r="K471" s="25">
        <f t="shared" si="264"/>
        <v>20367.195264578786</v>
      </c>
      <c r="L471" s="25"/>
      <c r="N471" s="25">
        <f>'Combined Retirement'!$C$18/12</f>
        <v>39153.069999999992</v>
      </c>
      <c r="O471" s="25">
        <f t="shared" si="265"/>
        <v>10889.636755601023</v>
      </c>
      <c r="P471" s="25">
        <f t="shared" si="266"/>
        <v>28263.43324439897</v>
      </c>
      <c r="Q471" s="25">
        <f t="array" aca="1" ref="Q471" ca="1">INDEX('Isaac 401k'!L:L,MATCH('Retirement Calculator'!A471,'Isaac 401k'!N:N,0),0)</f>
        <v>1912695.2896507406</v>
      </c>
      <c r="R471" s="25">
        <f t="array" aca="1" ref="R471" ca="1">INDEX('Lorri 401b'!L:L,MATCH('Retirement Calculator'!A471,'Lorri 401b'!N:N,0),0)</f>
        <v>3076866.7247895375</v>
      </c>
      <c r="S471" s="25">
        <f t="shared" ca="1" si="267"/>
        <v>4989562.0144402776</v>
      </c>
    </row>
    <row r="472" spans="1:19" ht="15.75" customHeight="1" x14ac:dyDescent="0.3">
      <c r="A472" s="37">
        <v>65320</v>
      </c>
      <c r="B472" s="398">
        <f t="shared" ref="B472:C472" si="473">($A472-B$9)/365.25</f>
        <v>96.958247775496233</v>
      </c>
      <c r="C472" s="398">
        <f t="shared" si="473"/>
        <v>92.347707049965777</v>
      </c>
      <c r="E472" s="25">
        <f>IF(C472&gt;$B$7,0,'Combined Retirement'!$D$13/12)</f>
        <v>0</v>
      </c>
      <c r="F472" s="25">
        <f>IF(H472=0,'Combined Retirement'!$D$32,0)+'Combined Retirement'!$B$24</f>
        <v>2870.372285649099</v>
      </c>
      <c r="G472" s="25">
        <f>'Combined Retirement'!$C$24</f>
        <v>3254.2644699519233</v>
      </c>
      <c r="H472" s="25">
        <f>IF(B472&lt;62,0,'Combined Retirement'!$I$14)</f>
        <v>2345</v>
      </c>
      <c r="I472" s="25">
        <f>IF(C472&lt;62,0,'Combined Retirement'!$I$13)</f>
        <v>2420</v>
      </c>
      <c r="J472" s="25">
        <f t="shared" si="263"/>
        <v>7896.2379798201846</v>
      </c>
      <c r="K472" s="25">
        <f t="shared" si="264"/>
        <v>20367.195264578786</v>
      </c>
      <c r="L472" s="25"/>
      <c r="N472" s="25">
        <f>'Combined Retirement'!$C$18/12</f>
        <v>39153.069999999992</v>
      </c>
      <c r="O472" s="25">
        <f t="shared" si="265"/>
        <v>10889.636755601023</v>
      </c>
      <c r="P472" s="25">
        <f t="shared" si="266"/>
        <v>28263.43324439897</v>
      </c>
      <c r="Q472" s="25">
        <f t="array" aca="1" ref="Q472" ca="1">INDEX('Isaac 401k'!L:L,MATCH('Retirement Calculator'!A472,'Isaac 401k'!N:N,0),0)</f>
        <v>1912735.7143862159</v>
      </c>
      <c r="R472" s="25">
        <f t="array" aca="1" ref="R472" ca="1">INDEX('Lorri 401b'!L:L,MATCH('Retirement Calculator'!A472,'Lorri 401b'!N:N,0),0)</f>
        <v>3069234.9442313127</v>
      </c>
      <c r="S472" s="25">
        <f t="shared" ca="1" si="267"/>
        <v>4981970.6586175282</v>
      </c>
    </row>
    <row r="473" spans="1:19" ht="15.75" customHeight="1" x14ac:dyDescent="0.3">
      <c r="A473" s="37">
        <v>65350</v>
      </c>
      <c r="B473" s="398">
        <f t="shared" ref="B473:C473" si="474">($A473-B$9)/365.25</f>
        <v>97.040383299110204</v>
      </c>
      <c r="C473" s="398">
        <f t="shared" si="474"/>
        <v>92.429842573579734</v>
      </c>
      <c r="E473" s="25">
        <f>IF(C473&gt;$B$7,0,'Combined Retirement'!$D$13/12)</f>
        <v>0</v>
      </c>
      <c r="F473" s="25">
        <f>IF(H473=0,'Combined Retirement'!$D$32,0)+'Combined Retirement'!$B$24</f>
        <v>2870.372285649099</v>
      </c>
      <c r="G473" s="25">
        <f>'Combined Retirement'!$C$24</f>
        <v>3254.2644699519233</v>
      </c>
      <c r="H473" s="25">
        <f>IF(B473&lt;62,0,'Combined Retirement'!$I$14)</f>
        <v>2345</v>
      </c>
      <c r="I473" s="25">
        <f>IF(C473&lt;62,0,'Combined Retirement'!$I$13)</f>
        <v>2420</v>
      </c>
      <c r="J473" s="25">
        <f t="shared" si="263"/>
        <v>7896.2379798201846</v>
      </c>
      <c r="K473" s="25">
        <f t="shared" si="264"/>
        <v>20367.195264578786</v>
      </c>
      <c r="L473" s="25"/>
      <c r="N473" s="25">
        <f>'Combined Retirement'!$C$18/12</f>
        <v>39153.069999999992</v>
      </c>
      <c r="O473" s="25">
        <f t="shared" si="265"/>
        <v>10889.636755601023</v>
      </c>
      <c r="P473" s="25">
        <f t="shared" si="266"/>
        <v>28263.43324439897</v>
      </c>
      <c r="Q473" s="25">
        <f t="array" aca="1" ref="Q473" ca="1">INDEX('Isaac 401k'!L:L,MATCH('Retirement Calculator'!A473,'Isaac 401k'!N:N,0),0)</f>
        <v>1912776.307558089</v>
      </c>
      <c r="R473" s="25">
        <f t="array" aca="1" ref="R473" ca="1">INDEX('Lorri 401b'!L:L,MATCH('Retirement Calculator'!A473,'Lorri 401b'!N:N,0),0)</f>
        <v>3061571.3645874285</v>
      </c>
      <c r="S473" s="25">
        <f t="shared" ca="1" si="267"/>
        <v>4974347.6721455175</v>
      </c>
    </row>
    <row r="474" spans="1:19" ht="15.75" customHeight="1" x14ac:dyDescent="0.3">
      <c r="A474" s="37">
        <v>65381</v>
      </c>
      <c r="B474" s="398">
        <f t="shared" ref="B474:C474" si="475">($A474-B$9)/365.25</f>
        <v>97.125256673511288</v>
      </c>
      <c r="C474" s="398">
        <f t="shared" si="475"/>
        <v>92.514715947980832</v>
      </c>
      <c r="E474" s="25">
        <f>IF(C474&gt;$B$7,0,'Combined Retirement'!$D$13/12)</f>
        <v>0</v>
      </c>
      <c r="F474" s="25">
        <f>IF(H474=0,'Combined Retirement'!$D$32,0)+'Combined Retirement'!$B$24</f>
        <v>2870.372285649099</v>
      </c>
      <c r="G474" s="25">
        <f>'Combined Retirement'!$C$24</f>
        <v>3254.2644699519233</v>
      </c>
      <c r="H474" s="25">
        <f>IF(B474&lt;62,0,'Combined Retirement'!$I$14)</f>
        <v>2345</v>
      </c>
      <c r="I474" s="25">
        <f>IF(C474&lt;62,0,'Combined Retirement'!$I$13)</f>
        <v>2420</v>
      </c>
      <c r="J474" s="25">
        <f t="shared" si="263"/>
        <v>7896.2379798201846</v>
      </c>
      <c r="K474" s="25">
        <f t="shared" si="264"/>
        <v>20367.195264578786</v>
      </c>
      <c r="L474" s="25"/>
      <c r="N474" s="25">
        <f>'Combined Retirement'!$C$18/12</f>
        <v>39153.069999999992</v>
      </c>
      <c r="O474" s="25">
        <f t="shared" si="265"/>
        <v>10889.636755601023</v>
      </c>
      <c r="P474" s="25">
        <f t="shared" si="266"/>
        <v>28263.43324439897</v>
      </c>
      <c r="Q474" s="25">
        <f t="array" aca="1" ref="Q474" ca="1">INDEX('Isaac 401k'!L:L,MATCH('Retirement Calculator'!A474,'Isaac 401k'!N:N,0),0)</f>
        <v>1912817.0698681783</v>
      </c>
      <c r="R474" s="25">
        <f t="array" aca="1" ref="R474" ca="1">INDEX('Lorri 401b'!L:L,MATCH('Retirement Calculator'!A474,'Lorri 401b'!N:N,0),0)</f>
        <v>3053875.8533616951</v>
      </c>
      <c r="S474" s="25">
        <f t="shared" ca="1" si="267"/>
        <v>4966692.9232298732</v>
      </c>
    </row>
    <row r="475" spans="1:19" ht="15.75" customHeight="1" x14ac:dyDescent="0.3">
      <c r="A475" s="37">
        <v>65412</v>
      </c>
      <c r="B475" s="398">
        <f t="shared" ref="B475:C475" si="476">($A475-B$9)/365.25</f>
        <v>97.210130047912386</v>
      </c>
      <c r="C475" s="398">
        <f t="shared" si="476"/>
        <v>92.599589322381931</v>
      </c>
      <c r="E475" s="25">
        <f>IF(C475&gt;$B$7,0,'Combined Retirement'!$D$13/12)</f>
        <v>0</v>
      </c>
      <c r="F475" s="25">
        <f>IF(H475=0,'Combined Retirement'!$D$32,0)+'Combined Retirement'!$B$24</f>
        <v>2870.372285649099</v>
      </c>
      <c r="G475" s="25">
        <f>'Combined Retirement'!$C$24</f>
        <v>3254.2644699519233</v>
      </c>
      <c r="H475" s="25">
        <f>IF(B475&lt;62,0,'Combined Retirement'!$I$14)</f>
        <v>2345</v>
      </c>
      <c r="I475" s="25">
        <f>IF(C475&lt;62,0,'Combined Retirement'!$I$13)</f>
        <v>2420</v>
      </c>
      <c r="J475" s="25">
        <f t="shared" si="263"/>
        <v>7896.2379798201846</v>
      </c>
      <c r="K475" s="25">
        <f t="shared" si="264"/>
        <v>20367.195264578786</v>
      </c>
      <c r="L475" s="25"/>
      <c r="N475" s="25">
        <f>'Combined Retirement'!$C$18/12</f>
        <v>39153.069999999992</v>
      </c>
      <c r="O475" s="25">
        <f t="shared" si="265"/>
        <v>10889.636755601023</v>
      </c>
      <c r="P475" s="25">
        <f t="shared" si="266"/>
        <v>28263.43324439897</v>
      </c>
      <c r="Q475" s="25">
        <f t="array" aca="1" ref="Q475" ca="1">INDEX('Isaac 401k'!L:L,MATCH('Retirement Calculator'!A475,'Isaac 401k'!N:N,0),0)</f>
        <v>1912858.0020212263</v>
      </c>
      <c r="R475" s="25">
        <f t="array" aca="1" ref="R475" ca="1">INDEX('Lorri 401b'!L:L,MATCH('Retirement Calculator'!A475,'Lorri 401b'!N:N,0),0)</f>
        <v>3046148.2775058541</v>
      </c>
      <c r="S475" s="25">
        <f t="shared" ca="1" si="267"/>
        <v>4959006.2795270802</v>
      </c>
    </row>
    <row r="476" spans="1:19" ht="15.75" customHeight="1" x14ac:dyDescent="0.3">
      <c r="A476" s="37">
        <v>65440</v>
      </c>
      <c r="B476" s="398">
        <f t="shared" ref="B476:C476" si="477">($A476-B$9)/365.25</f>
        <v>97.286789869952088</v>
      </c>
      <c r="C476" s="398">
        <f t="shared" si="477"/>
        <v>92.676249144421632</v>
      </c>
      <c r="E476" s="25">
        <f>IF(C476&gt;$B$7,0,'Combined Retirement'!$D$13/12)</f>
        <v>0</v>
      </c>
      <c r="F476" s="25">
        <f>IF(H476=0,'Combined Retirement'!$D$32,0)+'Combined Retirement'!$B$24</f>
        <v>2870.372285649099</v>
      </c>
      <c r="G476" s="25">
        <f>'Combined Retirement'!$C$24</f>
        <v>3254.2644699519233</v>
      </c>
      <c r="H476" s="25">
        <f>IF(B476&lt;62,0,'Combined Retirement'!$I$14)</f>
        <v>2345</v>
      </c>
      <c r="I476" s="25">
        <f>IF(C476&lt;62,0,'Combined Retirement'!$I$13)</f>
        <v>2420</v>
      </c>
      <c r="J476" s="25">
        <f t="shared" si="263"/>
        <v>7896.2379798201846</v>
      </c>
      <c r="K476" s="25">
        <f t="shared" si="264"/>
        <v>20367.195264578786</v>
      </c>
      <c r="L476" s="25"/>
      <c r="N476" s="25">
        <f>'Combined Retirement'!$C$18/12</f>
        <v>39153.069999999992</v>
      </c>
      <c r="O476" s="25">
        <f t="shared" si="265"/>
        <v>10889.636755601023</v>
      </c>
      <c r="P476" s="25">
        <f t="shared" si="266"/>
        <v>28263.43324439897</v>
      </c>
      <c r="Q476" s="25">
        <f t="array" aca="1" ref="Q476" ca="1">INDEX('Isaac 401k'!L:L,MATCH('Retirement Calculator'!A476,'Isaac 401k'!N:N,0),0)</f>
        <v>1912899.104724912</v>
      </c>
      <c r="R476" s="25">
        <f t="array" aca="1" ref="R476" ca="1">INDEX('Lorri 401b'!L:L,MATCH('Retirement Calculator'!A476,'Lorri 401b'!N:N,0),0)</f>
        <v>3038388.5034172805</v>
      </c>
      <c r="S476" s="25">
        <f t="shared" ca="1" si="267"/>
        <v>4951287.6081421925</v>
      </c>
    </row>
    <row r="477" spans="1:19" ht="15.75" customHeight="1" x14ac:dyDescent="0.3">
      <c r="A477" s="37">
        <v>65471</v>
      </c>
      <c r="B477" s="398">
        <f t="shared" ref="B477:C477" si="478">($A477-B$9)/365.25</f>
        <v>97.371663244353186</v>
      </c>
      <c r="C477" s="398">
        <f t="shared" si="478"/>
        <v>92.761122518822731</v>
      </c>
      <c r="E477" s="25">
        <f>IF(C477&gt;$B$7,0,'Combined Retirement'!$D$13/12)</f>
        <v>0</v>
      </c>
      <c r="F477" s="25">
        <f>IF(H477=0,'Combined Retirement'!$D$32,0)+'Combined Retirement'!$B$24</f>
        <v>2870.372285649099</v>
      </c>
      <c r="G477" s="25">
        <f>'Combined Retirement'!$C$24</f>
        <v>3254.2644699519233</v>
      </c>
      <c r="H477" s="25">
        <f>IF(B477&lt;62,0,'Combined Retirement'!$I$14)</f>
        <v>2345</v>
      </c>
      <c r="I477" s="25">
        <f>IF(C477&lt;62,0,'Combined Retirement'!$I$13)</f>
        <v>2420</v>
      </c>
      <c r="J477" s="25">
        <f t="shared" si="263"/>
        <v>7896.2379798201846</v>
      </c>
      <c r="K477" s="25">
        <f t="shared" si="264"/>
        <v>20367.195264578786</v>
      </c>
      <c r="L477" s="25"/>
      <c r="N477" s="25">
        <f>'Combined Retirement'!$C$18/12</f>
        <v>39153.069999999992</v>
      </c>
      <c r="O477" s="25">
        <f t="shared" si="265"/>
        <v>10889.636755601023</v>
      </c>
      <c r="P477" s="25">
        <f t="shared" si="266"/>
        <v>28263.43324439897</v>
      </c>
      <c r="Q477" s="25">
        <f t="array" aca="1" ref="Q477" ca="1">INDEX('Isaac 401k'!L:L,MATCH('Retirement Calculator'!A477,'Isaac 401k'!N:N,0),0)</f>
        <v>1912940.378689863</v>
      </c>
      <c r="R477" s="25">
        <f t="array" aca="1" ref="R477" ca="1">INDEX('Lorri 401b'!L:L,MATCH('Retirement Calculator'!A477,'Lorri 401b'!N:N,0),0)</f>
        <v>3030596.3969366713</v>
      </c>
      <c r="S477" s="25">
        <f t="shared" ca="1" si="267"/>
        <v>4943536.7756265346</v>
      </c>
    </row>
    <row r="478" spans="1:19" ht="15.75" customHeight="1" x14ac:dyDescent="0.3">
      <c r="A478" s="37">
        <v>65501</v>
      </c>
      <c r="B478" s="398">
        <f t="shared" ref="B478:C478" si="479">($A478-B$9)/365.25</f>
        <v>97.453798767967143</v>
      </c>
      <c r="C478" s="398">
        <f t="shared" si="479"/>
        <v>92.843258042436688</v>
      </c>
      <c r="E478" s="25">
        <f>IF(C478&gt;$B$7,0,'Combined Retirement'!$D$13/12)</f>
        <v>0</v>
      </c>
      <c r="F478" s="25">
        <f>IF(H478=0,'Combined Retirement'!$D$32,0)+'Combined Retirement'!$B$24</f>
        <v>2870.372285649099</v>
      </c>
      <c r="G478" s="25">
        <f>'Combined Retirement'!$C$24</f>
        <v>3254.2644699519233</v>
      </c>
      <c r="H478" s="25">
        <f>IF(B478&lt;62,0,'Combined Retirement'!$I$14)</f>
        <v>2345</v>
      </c>
      <c r="I478" s="25">
        <f>IF(C478&lt;62,0,'Combined Retirement'!$I$13)</f>
        <v>2420</v>
      </c>
      <c r="J478" s="25">
        <f t="shared" si="263"/>
        <v>7896.2379798201846</v>
      </c>
      <c r="K478" s="25">
        <f t="shared" si="264"/>
        <v>20367.195264578786</v>
      </c>
      <c r="L478" s="25"/>
      <c r="N478" s="25">
        <f>'Combined Retirement'!$C$18/12</f>
        <v>39153.069999999992</v>
      </c>
      <c r="O478" s="25">
        <f t="shared" si="265"/>
        <v>10889.636755601023</v>
      </c>
      <c r="P478" s="25">
        <f t="shared" si="266"/>
        <v>28263.43324439897</v>
      </c>
      <c r="Q478" s="25">
        <f t="array" aca="1" ref="Q478" ca="1">INDEX('Isaac 401k'!L:L,MATCH('Retirement Calculator'!A478,'Isaac 401k'!N:N,0),0)</f>
        <v>1912981.8246296679</v>
      </c>
      <c r="R478" s="25">
        <f t="array" aca="1" ref="R478" ca="1">INDEX('Lorri 401b'!L:L,MATCH('Retirement Calculator'!A478,'Lorri 401b'!N:N,0),0)</f>
        <v>3022771.8233457264</v>
      </c>
      <c r="S478" s="25">
        <f t="shared" ca="1" si="267"/>
        <v>4935753.6479753945</v>
      </c>
    </row>
    <row r="479" spans="1:19" ht="15.75" customHeight="1" x14ac:dyDescent="0.3">
      <c r="A479" s="37">
        <v>65532</v>
      </c>
      <c r="B479" s="398">
        <f t="shared" ref="B479:C479" si="480">($A479-B$9)/365.25</f>
        <v>97.538672142368242</v>
      </c>
      <c r="C479" s="398">
        <f t="shared" si="480"/>
        <v>92.928131416837786</v>
      </c>
      <c r="E479" s="25">
        <f>IF(C479&gt;$B$7,0,'Combined Retirement'!$D$13/12)</f>
        <v>0</v>
      </c>
      <c r="F479" s="25">
        <f>IF(H479=0,'Combined Retirement'!$D$32,0)+'Combined Retirement'!$B$24</f>
        <v>2870.372285649099</v>
      </c>
      <c r="G479" s="25">
        <f>'Combined Retirement'!$C$24</f>
        <v>3254.2644699519233</v>
      </c>
      <c r="H479" s="25">
        <f>IF(B479&lt;62,0,'Combined Retirement'!$I$14)</f>
        <v>2345</v>
      </c>
      <c r="I479" s="25">
        <f>IF(C479&lt;62,0,'Combined Retirement'!$I$13)</f>
        <v>2420</v>
      </c>
      <c r="J479" s="25">
        <f t="shared" si="263"/>
        <v>7896.2379798201846</v>
      </c>
      <c r="K479" s="25">
        <f t="shared" si="264"/>
        <v>20367.195264578786</v>
      </c>
      <c r="L479" s="25"/>
      <c r="N479" s="25">
        <f>'Combined Retirement'!$C$18/12</f>
        <v>39153.069999999992</v>
      </c>
      <c r="O479" s="25">
        <f t="shared" si="265"/>
        <v>10889.636755601023</v>
      </c>
      <c r="P479" s="25">
        <f t="shared" si="266"/>
        <v>28263.43324439897</v>
      </c>
      <c r="Q479" s="25">
        <f t="array" aca="1" ref="Q479" ca="1">INDEX('Isaac 401k'!L:L,MATCH('Retirement Calculator'!A479,'Isaac 401k'!N:N,0),0)</f>
        <v>1913023.4432608888</v>
      </c>
      <c r="R479" s="25">
        <f t="array" aca="1" ref="R479" ca="1">INDEX('Lorri 401b'!L:L,MATCH('Retirement Calculator'!A479,'Lorri 401b'!N:N,0),0)</f>
        <v>3014914.647364819</v>
      </c>
      <c r="S479" s="25">
        <f t="shared" ca="1" si="267"/>
        <v>4927938.090625708</v>
      </c>
    </row>
    <row r="480" spans="1:19" ht="15.75" customHeight="1" x14ac:dyDescent="0.3">
      <c r="A480" s="37">
        <v>65562</v>
      </c>
      <c r="B480" s="398">
        <f t="shared" ref="B480:C480" si="481">($A480-B$9)/365.25</f>
        <v>97.620807665982198</v>
      </c>
      <c r="C480" s="398">
        <f t="shared" si="481"/>
        <v>93.010266940451743</v>
      </c>
      <c r="E480" s="25">
        <f>IF(C480&gt;$B$7,0,'Combined Retirement'!$D$13/12)</f>
        <v>0</v>
      </c>
      <c r="F480" s="25">
        <f>IF(H480=0,'Combined Retirement'!$D$32,0)+'Combined Retirement'!$B$24</f>
        <v>2870.372285649099</v>
      </c>
      <c r="G480" s="25">
        <f>'Combined Retirement'!$C$24</f>
        <v>3254.2644699519233</v>
      </c>
      <c r="H480" s="25">
        <f>IF(B480&lt;62,0,'Combined Retirement'!$I$14)</f>
        <v>2345</v>
      </c>
      <c r="I480" s="25">
        <f>IF(C480&lt;62,0,'Combined Retirement'!$I$13)</f>
        <v>2420</v>
      </c>
      <c r="J480" s="25">
        <f t="shared" si="263"/>
        <v>7896.2379798201846</v>
      </c>
      <c r="K480" s="25">
        <f t="shared" si="264"/>
        <v>20367.195264578786</v>
      </c>
      <c r="L480" s="25"/>
      <c r="N480" s="25">
        <f>'Combined Retirement'!$C$18/12</f>
        <v>39153.069999999992</v>
      </c>
      <c r="O480" s="25">
        <f t="shared" si="265"/>
        <v>10889.636755601023</v>
      </c>
      <c r="P480" s="25">
        <f t="shared" si="266"/>
        <v>28263.43324439897</v>
      </c>
      <c r="Q480" s="25">
        <f t="array" aca="1" ref="Q480" ca="1">INDEX('Isaac 401k'!L:L,MATCH('Retirement Calculator'!A480,'Isaac 401k'!N:N,0),0)</f>
        <v>1913065.235303073</v>
      </c>
      <c r="R480" s="25">
        <f t="array" aca="1" ref="R480" ca="1">INDEX('Lorri 401b'!L:L,MATCH('Retirement Calculator'!A480,'Lorri 401b'!N:N,0),0)</f>
        <v>3007024.7331506577</v>
      </c>
      <c r="S480" s="25">
        <f t="shared" ca="1" si="267"/>
        <v>4920089.9684537305</v>
      </c>
    </row>
    <row r="481" spans="1:19" ht="15.75" customHeight="1" x14ac:dyDescent="0.3">
      <c r="A481" s="37">
        <v>65593</v>
      </c>
      <c r="B481" s="398">
        <f t="shared" ref="B481:C481" si="482">($A481-B$9)/365.25</f>
        <v>97.705681040383297</v>
      </c>
      <c r="C481" s="398">
        <f t="shared" si="482"/>
        <v>93.095140314852841</v>
      </c>
      <c r="E481" s="25">
        <f>IF(C481&gt;$B$7,0,'Combined Retirement'!$D$13/12)</f>
        <v>0</v>
      </c>
      <c r="F481" s="25">
        <f>IF(H481=0,'Combined Retirement'!$D$32,0)+'Combined Retirement'!$B$24</f>
        <v>2870.372285649099</v>
      </c>
      <c r="G481" s="25">
        <f>'Combined Retirement'!$C$24</f>
        <v>3254.2644699519233</v>
      </c>
      <c r="H481" s="25">
        <f>IF(B481&lt;62,0,'Combined Retirement'!$I$14)</f>
        <v>2345</v>
      </c>
      <c r="I481" s="25">
        <f>IF(C481&lt;62,0,'Combined Retirement'!$I$13)</f>
        <v>2420</v>
      </c>
      <c r="J481" s="25">
        <f t="shared" si="263"/>
        <v>7896.2379798201846</v>
      </c>
      <c r="K481" s="25">
        <f t="shared" si="264"/>
        <v>20367.195264578786</v>
      </c>
      <c r="L481" s="25"/>
      <c r="N481" s="25">
        <f>'Combined Retirement'!$C$18/12</f>
        <v>39153.069999999992</v>
      </c>
      <c r="O481" s="25">
        <f t="shared" si="265"/>
        <v>10889.636755601023</v>
      </c>
      <c r="P481" s="25">
        <f t="shared" si="266"/>
        <v>28263.43324439897</v>
      </c>
      <c r="Q481" s="25">
        <f t="array" aca="1" ref="Q481" ca="1">INDEX('Isaac 401k'!L:L,MATCH('Retirement Calculator'!A481,'Isaac 401k'!N:N,0),0)</f>
        <v>1913107.2014787663</v>
      </c>
      <c r="R481" s="25">
        <f t="array" aca="1" ref="R481" ca="1">INDEX('Lorri 401b'!L:L,MATCH('Retirement Calculator'!A481,'Lorri 401b'!N:N,0),0)</f>
        <v>2999101.9442939376</v>
      </c>
      <c r="S481" s="25">
        <f t="shared" ca="1" si="267"/>
        <v>4912209.1457727039</v>
      </c>
    </row>
    <row r="482" spans="1:19" ht="15.75" customHeight="1" x14ac:dyDescent="0.3">
      <c r="A482" s="37">
        <v>65624</v>
      </c>
      <c r="B482" s="398">
        <f t="shared" ref="B482:C482" si="483">($A482-B$9)/365.25</f>
        <v>97.790554414784395</v>
      </c>
      <c r="C482" s="398">
        <f t="shared" si="483"/>
        <v>93.18001368925394</v>
      </c>
      <c r="E482" s="25">
        <f>IF(C482&gt;$B$7,0,'Combined Retirement'!$D$13/12)</f>
        <v>0</v>
      </c>
      <c r="F482" s="25">
        <f>IF(H482=0,'Combined Retirement'!$D$32,0)+'Combined Retirement'!$B$24</f>
        <v>2870.372285649099</v>
      </c>
      <c r="G482" s="25">
        <f>'Combined Retirement'!$C$24</f>
        <v>3254.2644699519233</v>
      </c>
      <c r="H482" s="25">
        <f>IF(B482&lt;62,0,'Combined Retirement'!$I$14)</f>
        <v>2345</v>
      </c>
      <c r="I482" s="25">
        <f>IF(C482&lt;62,0,'Combined Retirement'!$I$13)</f>
        <v>2420</v>
      </c>
      <c r="J482" s="25">
        <f t="shared" si="263"/>
        <v>7896.2379798201846</v>
      </c>
      <c r="K482" s="25">
        <f t="shared" si="264"/>
        <v>20367.195264578786</v>
      </c>
      <c r="L482" s="25"/>
      <c r="N482" s="25">
        <f>'Combined Retirement'!$C$18/12</f>
        <v>39153.069999999992</v>
      </c>
      <c r="O482" s="25">
        <f t="shared" si="265"/>
        <v>10889.636755601023</v>
      </c>
      <c r="P482" s="25">
        <f t="shared" si="266"/>
        <v>28263.43324439897</v>
      </c>
      <c r="Q482" s="25">
        <f t="array" aca="1" ref="Q482" ca="1">INDEX('Isaac 401k'!L:L,MATCH('Retirement Calculator'!A482,'Isaac 401k'!N:N,0),0)</f>
        <v>1913149.3425135249</v>
      </c>
      <c r="R482" s="25">
        <f t="array" aca="1" ref="R482" ca="1">INDEX('Lorri 401b'!L:L,MATCH('Retirement Calculator'!A482,'Lorri 401b'!N:N,0),0)</f>
        <v>2991146.143816981</v>
      </c>
      <c r="S482" s="25">
        <f t="shared" ca="1" si="267"/>
        <v>4904295.4863305055</v>
      </c>
    </row>
    <row r="483" spans="1:19" ht="15.75" customHeight="1" x14ac:dyDescent="0.3">
      <c r="A483" s="37">
        <v>65654</v>
      </c>
      <c r="B483" s="398">
        <f t="shared" ref="B483:C483" si="484">($A483-B$9)/365.25</f>
        <v>97.872689938398352</v>
      </c>
      <c r="C483" s="398">
        <f t="shared" si="484"/>
        <v>93.262149212867897</v>
      </c>
      <c r="E483" s="25">
        <f>IF(C483&gt;$B$7,0,'Combined Retirement'!$D$13/12)</f>
        <v>0</v>
      </c>
      <c r="F483" s="25">
        <f>IF(H483=0,'Combined Retirement'!$D$32,0)+'Combined Retirement'!$B$24</f>
        <v>2870.372285649099</v>
      </c>
      <c r="G483" s="25">
        <f>'Combined Retirement'!$C$24</f>
        <v>3254.2644699519233</v>
      </c>
      <c r="H483" s="25">
        <f>IF(B483&lt;62,0,'Combined Retirement'!$I$14)</f>
        <v>2345</v>
      </c>
      <c r="I483" s="25">
        <f>IF(C483&lt;62,0,'Combined Retirement'!$I$13)</f>
        <v>2420</v>
      </c>
      <c r="J483" s="25">
        <f t="shared" si="263"/>
        <v>7896.2379798201846</v>
      </c>
      <c r="K483" s="25">
        <f t="shared" si="264"/>
        <v>20367.195264578786</v>
      </c>
      <c r="L483" s="25"/>
      <c r="N483" s="25">
        <f>'Combined Retirement'!$C$18/12</f>
        <v>39153.069999999992</v>
      </c>
      <c r="O483" s="25">
        <f t="shared" si="265"/>
        <v>10889.636755601023</v>
      </c>
      <c r="P483" s="25">
        <f t="shared" si="266"/>
        <v>28263.43324439897</v>
      </c>
      <c r="Q483" s="25">
        <f t="array" aca="1" ref="Q483" ca="1">INDEX('Isaac 401k'!L:L,MATCH('Retirement Calculator'!A483,'Isaac 401k'!N:N,0),0)</f>
        <v>1913191.6591359284</v>
      </c>
      <c r="R483" s="25">
        <f t="array" aca="1" ref="R483" ca="1">INDEX('Lorri 401b'!L:L,MATCH('Retirement Calculator'!A483,'Lorri 401b'!N:N,0),0)</f>
        <v>2983157.1941713705</v>
      </c>
      <c r="S483" s="25">
        <f t="shared" ca="1" si="267"/>
        <v>4896348.8533072993</v>
      </c>
    </row>
    <row r="484" spans="1:19" ht="15.75" customHeight="1" x14ac:dyDescent="0.3">
      <c r="A484" s="37">
        <v>65685</v>
      </c>
      <c r="B484" s="398">
        <f t="shared" ref="B484:C484" si="485">($A484-B$9)/365.25</f>
        <v>97.957563312799451</v>
      </c>
      <c r="C484" s="398">
        <f t="shared" si="485"/>
        <v>93.347022587268995</v>
      </c>
      <c r="E484" s="25">
        <f>IF(C484&gt;$B$7,0,'Combined Retirement'!$D$13/12)</f>
        <v>0</v>
      </c>
      <c r="F484" s="25">
        <f>IF(H484=0,'Combined Retirement'!$D$32,0)+'Combined Retirement'!$B$24</f>
        <v>2870.372285649099</v>
      </c>
      <c r="G484" s="25">
        <f>'Combined Retirement'!$C$24</f>
        <v>3254.2644699519233</v>
      </c>
      <c r="H484" s="25">
        <f>IF(B484&lt;62,0,'Combined Retirement'!$I$14)</f>
        <v>2345</v>
      </c>
      <c r="I484" s="25">
        <f>IF(C484&lt;62,0,'Combined Retirement'!$I$13)</f>
        <v>2420</v>
      </c>
      <c r="J484" s="25">
        <f t="shared" si="263"/>
        <v>7896.2379798201846</v>
      </c>
      <c r="K484" s="25">
        <f t="shared" si="264"/>
        <v>20367.195264578786</v>
      </c>
      <c r="L484" s="25"/>
      <c r="N484" s="25">
        <f>'Combined Retirement'!$C$18/12</f>
        <v>39153.069999999992</v>
      </c>
      <c r="O484" s="25">
        <f t="shared" si="265"/>
        <v>10889.636755601023</v>
      </c>
      <c r="P484" s="25">
        <f t="shared" si="266"/>
        <v>28263.43324439897</v>
      </c>
      <c r="Q484" s="25">
        <f t="array" aca="1" ref="Q484" ca="1">INDEX('Isaac 401k'!L:L,MATCH('Retirement Calculator'!A484,'Isaac 401k'!N:N,0),0)</f>
        <v>1913234.152077592</v>
      </c>
      <c r="R484" s="25">
        <f t="array" aca="1" ref="R484" ca="1">INDEX('Lorri 401b'!L:L,MATCH('Retirement Calculator'!A484,'Lorri 401b'!N:N,0),0)</f>
        <v>2975134.9572355701</v>
      </c>
      <c r="S484" s="25">
        <f t="shared" ca="1" si="267"/>
        <v>4888369.109313162</v>
      </c>
    </row>
    <row r="485" spans="1:19" ht="15.75" customHeight="1" x14ac:dyDescent="0.3">
      <c r="A485" s="37">
        <v>65715</v>
      </c>
      <c r="B485" s="398">
        <f t="shared" ref="B485:C485" si="486">($A485-B$9)/365.25</f>
        <v>98.039698836413422</v>
      </c>
      <c r="C485" s="398">
        <f t="shared" si="486"/>
        <v>93.429158110882952</v>
      </c>
      <c r="E485" s="25">
        <f>IF(C485&gt;$B$7,0,'Combined Retirement'!$D$13/12)</f>
        <v>0</v>
      </c>
      <c r="F485" s="25">
        <f>IF(H485=0,'Combined Retirement'!$D$32,0)+'Combined Retirement'!$B$24</f>
        <v>2870.372285649099</v>
      </c>
      <c r="G485" s="25">
        <f>'Combined Retirement'!$C$24</f>
        <v>3254.2644699519233</v>
      </c>
      <c r="H485" s="25">
        <f>IF(B485&lt;62,0,'Combined Retirement'!$I$14)</f>
        <v>2345</v>
      </c>
      <c r="I485" s="25">
        <f>IF(C485&lt;62,0,'Combined Retirement'!$I$13)</f>
        <v>2420</v>
      </c>
      <c r="J485" s="25">
        <f t="shared" si="263"/>
        <v>7896.2379798201846</v>
      </c>
      <c r="K485" s="25">
        <f t="shared" si="264"/>
        <v>20367.195264578786</v>
      </c>
      <c r="L485" s="25"/>
      <c r="N485" s="25">
        <f>'Combined Retirement'!$C$18/12</f>
        <v>39153.069999999992</v>
      </c>
      <c r="O485" s="25">
        <f t="shared" si="265"/>
        <v>10889.636755601023</v>
      </c>
      <c r="P485" s="25">
        <f t="shared" si="266"/>
        <v>28263.43324439897</v>
      </c>
      <c r="Q485" s="25">
        <f t="array" aca="1" ref="Q485" ca="1">INDEX('Isaac 401k'!L:L,MATCH('Retirement Calculator'!A485,'Isaac 401k'!N:N,0),0)</f>
        <v>1913276.8220731791</v>
      </c>
      <c r="R485" s="25">
        <f t="array" aca="1" ref="R485" ca="1">INDEX('Lorri 401b'!L:L,MATCH('Retirement Calculator'!A485,'Lorri 401b'!N:N,0),0)</f>
        <v>2967079.2943125372</v>
      </c>
      <c r="S485" s="25">
        <f t="shared" ca="1" si="267"/>
        <v>4880356.116385716</v>
      </c>
    </row>
    <row r="486" spans="1:19" ht="15.75" customHeight="1" x14ac:dyDescent="0.3">
      <c r="A486" s="37">
        <v>65746</v>
      </c>
      <c r="B486" s="398">
        <f t="shared" ref="B486:C486" si="487">($A486-B$9)/365.25</f>
        <v>98.124572210814506</v>
      </c>
      <c r="C486" s="398">
        <f t="shared" si="487"/>
        <v>93.51403148528405</v>
      </c>
      <c r="E486" s="25">
        <f>IF(C486&gt;$B$7,0,'Combined Retirement'!$D$13/12)</f>
        <v>0</v>
      </c>
      <c r="F486" s="25">
        <f>IF(H486=0,'Combined Retirement'!$D$32,0)+'Combined Retirement'!$B$24</f>
        <v>2870.372285649099</v>
      </c>
      <c r="G486" s="25">
        <f>'Combined Retirement'!$C$24</f>
        <v>3254.2644699519233</v>
      </c>
      <c r="H486" s="25">
        <f>IF(B486&lt;62,0,'Combined Retirement'!$I$14)</f>
        <v>2345</v>
      </c>
      <c r="I486" s="25">
        <f>IF(C486&lt;62,0,'Combined Retirement'!$I$13)</f>
        <v>2420</v>
      </c>
      <c r="J486" s="25">
        <f t="shared" si="263"/>
        <v>7896.2379798201846</v>
      </c>
      <c r="K486" s="25">
        <f t="shared" si="264"/>
        <v>20367.195264578786</v>
      </c>
      <c r="L486" s="25"/>
      <c r="N486" s="25">
        <f>'Combined Retirement'!$C$18/12</f>
        <v>39153.069999999992</v>
      </c>
      <c r="O486" s="25">
        <f t="shared" si="265"/>
        <v>10889.636755601023</v>
      </c>
      <c r="P486" s="25">
        <f t="shared" si="266"/>
        <v>28263.43324439897</v>
      </c>
      <c r="Q486" s="25">
        <f t="array" aca="1" ref="Q486" ca="1">INDEX('Isaac 401k'!L:L,MATCH('Retirement Calculator'!A486,'Isaac 401k'!N:N,0),0)</f>
        <v>1913319.6698604145</v>
      </c>
      <c r="R486" s="25">
        <f t="array" aca="1" ref="R486" ca="1">INDEX('Lorri 401b'!L:L,MATCH('Retirement Calculator'!A486,'Lorri 401b'!N:N,0),0)</f>
        <v>2958990.0661273249</v>
      </c>
      <c r="S486" s="25">
        <f t="shared" ca="1" si="267"/>
        <v>4872309.7359877396</v>
      </c>
    </row>
    <row r="487" spans="1:19" ht="15.75" customHeight="1" x14ac:dyDescent="0.3">
      <c r="A487" s="37">
        <v>65777</v>
      </c>
      <c r="B487" s="398">
        <f t="shared" ref="B487:C487" si="488">($A487-B$9)/365.25</f>
        <v>98.209445585215605</v>
      </c>
      <c r="C487" s="398">
        <f t="shared" si="488"/>
        <v>93.598904859685149</v>
      </c>
      <c r="E487" s="25">
        <f>IF(C487&gt;$B$7,0,'Combined Retirement'!$D$13/12)</f>
        <v>0</v>
      </c>
      <c r="F487" s="25">
        <f>IF(H487=0,'Combined Retirement'!$D$32,0)+'Combined Retirement'!$B$24</f>
        <v>2870.372285649099</v>
      </c>
      <c r="G487" s="25">
        <f>'Combined Retirement'!$C$24</f>
        <v>3254.2644699519233</v>
      </c>
      <c r="H487" s="25">
        <f>IF(B487&lt;62,0,'Combined Retirement'!$I$14)</f>
        <v>2345</v>
      </c>
      <c r="I487" s="25">
        <f>IF(C487&lt;62,0,'Combined Retirement'!$I$13)</f>
        <v>2420</v>
      </c>
      <c r="J487" s="25">
        <f t="shared" si="263"/>
        <v>7896.2379798201846</v>
      </c>
      <c r="K487" s="25">
        <f t="shared" si="264"/>
        <v>20367.195264578786</v>
      </c>
      <c r="L487" s="25"/>
      <c r="N487" s="25">
        <f>'Combined Retirement'!$C$18/12</f>
        <v>39153.069999999992</v>
      </c>
      <c r="O487" s="25">
        <f t="shared" si="265"/>
        <v>10889.636755601023</v>
      </c>
      <c r="P487" s="25">
        <f t="shared" si="266"/>
        <v>28263.43324439897</v>
      </c>
      <c r="Q487" s="25">
        <f t="array" aca="1" ref="Q487" ca="1">INDEX('Isaac 401k'!L:L,MATCH('Retirement Calculator'!A487,'Isaac 401k'!N:N,0),0)</f>
        <v>1913362.6961800966</v>
      </c>
      <c r="R487" s="25">
        <f t="array" aca="1" ref="R487" ca="1">INDEX('Lorri 401b'!L:L,MATCH('Retirement Calculator'!A487,'Lorri 401b'!N:N,0),0)</f>
        <v>2950867.1328246742</v>
      </c>
      <c r="S487" s="25">
        <f t="shared" ca="1" si="267"/>
        <v>4864229.8290047711</v>
      </c>
    </row>
    <row r="488" spans="1:19" ht="15.75" customHeight="1" x14ac:dyDescent="0.3">
      <c r="A488" s="37">
        <v>65806</v>
      </c>
      <c r="B488" s="398">
        <f t="shared" ref="B488:C488" si="489">($A488-B$9)/365.25</f>
        <v>98.288843258042434</v>
      </c>
      <c r="C488" s="398">
        <f t="shared" si="489"/>
        <v>93.678302532511978</v>
      </c>
      <c r="E488" s="25">
        <f>IF(C488&gt;$B$7,0,'Combined Retirement'!$D$13/12)</f>
        <v>0</v>
      </c>
      <c r="F488" s="25">
        <f>IF(H488=0,'Combined Retirement'!$D$32,0)+'Combined Retirement'!$B$24</f>
        <v>2870.372285649099</v>
      </c>
      <c r="G488" s="25">
        <f>'Combined Retirement'!$C$24</f>
        <v>3254.2644699519233</v>
      </c>
      <c r="H488" s="25">
        <f>IF(B488&lt;62,0,'Combined Retirement'!$I$14)</f>
        <v>2345</v>
      </c>
      <c r="I488" s="25">
        <f>IF(C488&lt;62,0,'Combined Retirement'!$I$13)</f>
        <v>2420</v>
      </c>
      <c r="J488" s="25">
        <f t="shared" si="263"/>
        <v>7896.2379798201846</v>
      </c>
      <c r="K488" s="25">
        <f t="shared" si="264"/>
        <v>20367.195264578786</v>
      </c>
      <c r="L488" s="25"/>
      <c r="N488" s="25">
        <f>'Combined Retirement'!$C$18/12</f>
        <v>39153.069999999992</v>
      </c>
      <c r="O488" s="25">
        <f t="shared" si="265"/>
        <v>10889.636755601023</v>
      </c>
      <c r="P488" s="25">
        <f t="shared" si="266"/>
        <v>28263.43324439897</v>
      </c>
      <c r="Q488" s="25">
        <f t="array" aca="1" ref="Q488" ca="1">INDEX('Isaac 401k'!L:L,MATCH('Retirement Calculator'!A488,'Isaac 401k'!N:N,0),0)</f>
        <v>1913405.9017761108</v>
      </c>
      <c r="R488" s="25">
        <f t="array" aca="1" ref="R488" ca="1">INDEX('Lorri 401b'!L:L,MATCH('Retirement Calculator'!A488,'Lorri 401b'!N:N,0),0)</f>
        <v>2942710.3539665961</v>
      </c>
      <c r="S488" s="25">
        <f t="shared" ca="1" si="267"/>
        <v>4856116.2557427064</v>
      </c>
    </row>
    <row r="489" spans="1:19" ht="15.75" customHeight="1" x14ac:dyDescent="0.3">
      <c r="A489" s="37">
        <v>65837</v>
      </c>
      <c r="B489" s="398">
        <f t="shared" ref="B489:C489" si="490">($A489-B$9)/365.25</f>
        <v>98.373716632443532</v>
      </c>
      <c r="C489" s="398">
        <f t="shared" si="490"/>
        <v>93.763175906913077</v>
      </c>
      <c r="E489" s="25">
        <f>IF(C489&gt;$B$7,0,'Combined Retirement'!$D$13/12)</f>
        <v>0</v>
      </c>
      <c r="F489" s="25">
        <f>IF(H489=0,'Combined Retirement'!$D$32,0)+'Combined Retirement'!$B$24</f>
        <v>2870.372285649099</v>
      </c>
      <c r="G489" s="25">
        <f>'Combined Retirement'!$C$24</f>
        <v>3254.2644699519233</v>
      </c>
      <c r="H489" s="25">
        <f>IF(B489&lt;62,0,'Combined Retirement'!$I$14)</f>
        <v>2345</v>
      </c>
      <c r="I489" s="25">
        <f>IF(C489&lt;62,0,'Combined Retirement'!$I$13)</f>
        <v>2420</v>
      </c>
      <c r="J489" s="25">
        <f t="shared" si="263"/>
        <v>7896.2379798201846</v>
      </c>
      <c r="K489" s="25">
        <f t="shared" si="264"/>
        <v>20367.195264578786</v>
      </c>
      <c r="L489" s="25"/>
      <c r="N489" s="25">
        <f>'Combined Retirement'!$C$18/12</f>
        <v>39153.069999999992</v>
      </c>
      <c r="O489" s="25">
        <f t="shared" si="265"/>
        <v>10889.636755601023</v>
      </c>
      <c r="P489" s="25">
        <f t="shared" si="266"/>
        <v>28263.43324439897</v>
      </c>
      <c r="Q489" s="25">
        <f t="array" aca="1" ref="Q489" ca="1">INDEX('Isaac 401k'!L:L,MATCH('Retirement Calculator'!A489,'Isaac 401k'!N:N,0),0)</f>
        <v>1913449.2873954417</v>
      </c>
      <c r="R489" s="25">
        <f t="array" aca="1" ref="R489" ca="1">INDEX('Lorri 401b'!L:L,MATCH('Retirement Calculator'!A489,'Lorri 401b'!N:N,0),0)</f>
        <v>2934519.5885299426</v>
      </c>
      <c r="S489" s="25">
        <f t="shared" ca="1" si="267"/>
        <v>4847968.8759253845</v>
      </c>
    </row>
    <row r="490" spans="1:19" ht="15.75" customHeight="1" x14ac:dyDescent="0.3">
      <c r="A490" s="37">
        <v>65867</v>
      </c>
      <c r="B490" s="398">
        <f t="shared" ref="B490:C490" si="491">($A490-B$9)/365.25</f>
        <v>98.455852156057489</v>
      </c>
      <c r="C490" s="398">
        <f t="shared" si="491"/>
        <v>93.845311430527033</v>
      </c>
      <c r="E490" s="25">
        <f>IF(C490&gt;$B$7,0,'Combined Retirement'!$D$13/12)</f>
        <v>0</v>
      </c>
      <c r="F490" s="25">
        <f>IF(H490=0,'Combined Retirement'!$D$32,0)+'Combined Retirement'!$B$24</f>
        <v>2870.372285649099</v>
      </c>
      <c r="G490" s="25">
        <f>'Combined Retirement'!$C$24</f>
        <v>3254.2644699519233</v>
      </c>
      <c r="H490" s="25">
        <f>IF(B490&lt;62,0,'Combined Retirement'!$I$14)</f>
        <v>2345</v>
      </c>
      <c r="I490" s="25">
        <f>IF(C490&lt;62,0,'Combined Retirement'!$I$13)</f>
        <v>2420</v>
      </c>
      <c r="J490" s="25">
        <f t="shared" si="263"/>
        <v>7896.2379798201846</v>
      </c>
      <c r="K490" s="25">
        <f t="shared" si="264"/>
        <v>20367.195264578786</v>
      </c>
      <c r="L490" s="25"/>
      <c r="N490" s="25">
        <f>'Combined Retirement'!$C$18/12</f>
        <v>39153.069999999992</v>
      </c>
      <c r="O490" s="25">
        <f t="shared" si="265"/>
        <v>10889.636755601023</v>
      </c>
      <c r="P490" s="25">
        <f t="shared" si="266"/>
        <v>28263.43324439897</v>
      </c>
      <c r="Q490" s="25">
        <f t="array" aca="1" ref="Q490" ca="1">INDEX('Isaac 401k'!L:L,MATCH('Retirement Calculator'!A490,'Isaac 401k'!N:N,0),0)</f>
        <v>1913492.8537881866</v>
      </c>
      <c r="R490" s="25">
        <f t="array" aca="1" ref="R490" ca="1">INDEX('Lorri 401b'!L:L,MATCH('Retirement Calculator'!A490,'Lorri 401b'!N:N,0),0)</f>
        <v>2926294.6949039693</v>
      </c>
      <c r="S490" s="25">
        <f t="shared" ca="1" si="267"/>
        <v>4839787.5486921556</v>
      </c>
    </row>
    <row r="491" spans="1:19" ht="15.75" customHeight="1" x14ac:dyDescent="0.3">
      <c r="A491" s="37">
        <v>65898</v>
      </c>
      <c r="B491" s="398">
        <f t="shared" ref="B491:C491" si="492">($A491-B$9)/365.25</f>
        <v>98.540725530458587</v>
      </c>
      <c r="C491" s="398">
        <f t="shared" si="492"/>
        <v>93.930184804928132</v>
      </c>
      <c r="E491" s="25">
        <f>IF(C491&gt;$B$7,0,'Combined Retirement'!$D$13/12)</f>
        <v>0</v>
      </c>
      <c r="F491" s="25">
        <f>IF(H491=0,'Combined Retirement'!$D$32,0)+'Combined Retirement'!$B$24</f>
        <v>2870.372285649099</v>
      </c>
      <c r="G491" s="25">
        <f>'Combined Retirement'!$C$24</f>
        <v>3254.2644699519233</v>
      </c>
      <c r="H491" s="25">
        <f>IF(B491&lt;62,0,'Combined Retirement'!$I$14)</f>
        <v>2345</v>
      </c>
      <c r="I491" s="25">
        <f>IF(C491&lt;62,0,'Combined Retirement'!$I$13)</f>
        <v>2420</v>
      </c>
      <c r="J491" s="25">
        <f t="shared" si="263"/>
        <v>7896.2379798201846</v>
      </c>
      <c r="K491" s="25">
        <f t="shared" si="264"/>
        <v>20367.195264578786</v>
      </c>
      <c r="L491" s="25"/>
      <c r="N491" s="25">
        <f>'Combined Retirement'!$C$18/12</f>
        <v>39153.069999999992</v>
      </c>
      <c r="O491" s="25">
        <f t="shared" si="265"/>
        <v>10889.636755601023</v>
      </c>
      <c r="P491" s="25">
        <f t="shared" si="266"/>
        <v>28263.43324439897</v>
      </c>
      <c r="Q491" s="25">
        <f t="array" aca="1" ref="Q491" ca="1">INDEX('Isaac 401k'!L:L,MATCH('Retirement Calculator'!A491,'Isaac 401k'!N:N,0),0)</f>
        <v>1913536.6017075679</v>
      </c>
      <c r="R491" s="25">
        <f t="array" aca="1" ref="R491" ca="1">INDEX('Lorri 401b'!L:L,MATCH('Retirement Calculator'!A491,'Lorri 401b'!N:N,0),0)</f>
        <v>2918035.5308878878</v>
      </c>
      <c r="S491" s="25">
        <f t="shared" ca="1" si="267"/>
        <v>4831572.1325954553</v>
      </c>
    </row>
    <row r="492" spans="1:19" ht="15.75" customHeight="1" x14ac:dyDescent="0.3">
      <c r="A492" s="37">
        <v>65928</v>
      </c>
      <c r="B492" s="398">
        <f t="shared" ref="B492:C492" si="493">($A492-B$9)/365.25</f>
        <v>98.622861054072558</v>
      </c>
      <c r="C492" s="398">
        <f t="shared" si="493"/>
        <v>94.012320328542089</v>
      </c>
      <c r="E492" s="25">
        <f>IF(C492&gt;$B$7,0,'Combined Retirement'!$D$13/12)</f>
        <v>0</v>
      </c>
      <c r="F492" s="25">
        <f>IF(H492=0,'Combined Retirement'!$D$32,0)+'Combined Retirement'!$B$24</f>
        <v>2870.372285649099</v>
      </c>
      <c r="G492" s="25">
        <f>'Combined Retirement'!$C$24</f>
        <v>3254.2644699519233</v>
      </c>
      <c r="H492" s="25">
        <f>IF(B492&lt;62,0,'Combined Retirement'!$I$14)</f>
        <v>2345</v>
      </c>
      <c r="I492" s="25">
        <f>IF(C492&lt;62,0,'Combined Retirement'!$I$13)</f>
        <v>2420</v>
      </c>
      <c r="J492" s="25">
        <f t="shared" si="263"/>
        <v>7896.2379798201846</v>
      </c>
      <c r="K492" s="25">
        <f t="shared" si="264"/>
        <v>20367.195264578786</v>
      </c>
      <c r="L492" s="25"/>
      <c r="N492" s="25">
        <f>'Combined Retirement'!$C$18/12</f>
        <v>39153.069999999992</v>
      </c>
      <c r="O492" s="25">
        <f t="shared" si="265"/>
        <v>10889.636755601023</v>
      </c>
      <c r="P492" s="25">
        <f t="shared" si="266"/>
        <v>28263.43324439897</v>
      </c>
      <c r="Q492" s="25">
        <f t="array" aca="1" ref="Q492" ca="1">INDEX('Isaac 401k'!L:L,MATCH('Retirement Calculator'!A492,'Isaac 401k'!N:N,0),0)</f>
        <v>1913580.5319099466</v>
      </c>
      <c r="R492" s="25">
        <f t="array" aca="1" ref="R492" ca="1">INDEX('Lorri 401b'!L:L,MATCH('Retirement Calculator'!A492,'Lorri 401b'!N:N,0),0)</f>
        <v>2909741.9536884059</v>
      </c>
      <c r="S492" s="25">
        <f t="shared" ca="1" si="267"/>
        <v>4823322.4855983527</v>
      </c>
    </row>
    <row r="493" spans="1:19" ht="15.75" customHeight="1" x14ac:dyDescent="0.3">
      <c r="A493" s="37">
        <v>65959</v>
      </c>
      <c r="B493" s="398">
        <f t="shared" ref="B493:C493" si="494">($A493-B$9)/365.25</f>
        <v>98.707734428473643</v>
      </c>
      <c r="C493" s="398">
        <f t="shared" si="494"/>
        <v>94.097193702943187</v>
      </c>
      <c r="E493" s="25">
        <f>IF(C493&gt;$B$7,0,'Combined Retirement'!$D$13/12)</f>
        <v>0</v>
      </c>
      <c r="F493" s="25">
        <f>IF(H493=0,'Combined Retirement'!$D$32,0)+'Combined Retirement'!$B$24</f>
        <v>2870.372285649099</v>
      </c>
      <c r="G493" s="25">
        <f>'Combined Retirement'!$C$24</f>
        <v>3254.2644699519233</v>
      </c>
      <c r="H493" s="25">
        <f>IF(B493&lt;62,0,'Combined Retirement'!$I$14)</f>
        <v>2345</v>
      </c>
      <c r="I493" s="25">
        <f>IF(C493&lt;62,0,'Combined Retirement'!$I$13)</f>
        <v>2420</v>
      </c>
      <c r="J493" s="25">
        <f t="shared" si="263"/>
        <v>7896.2379798201846</v>
      </c>
      <c r="K493" s="25">
        <f t="shared" si="264"/>
        <v>20367.195264578786</v>
      </c>
      <c r="L493" s="25"/>
      <c r="N493" s="25">
        <f>'Combined Retirement'!$C$18/12</f>
        <v>39153.069999999992</v>
      </c>
      <c r="O493" s="25">
        <f t="shared" si="265"/>
        <v>10889.636755601023</v>
      </c>
      <c r="P493" s="25">
        <f t="shared" si="266"/>
        <v>28263.43324439897</v>
      </c>
      <c r="Q493" s="25">
        <f t="array" aca="1" ref="Q493" ca="1">INDEX('Isaac 401k'!L:L,MATCH('Retirement Calculator'!A493,'Isaac 401k'!N:N,0),0)</f>
        <v>1913624.6451548352</v>
      </c>
      <c r="R493" s="25">
        <f t="array" aca="1" ref="R493" ca="1">INDEX('Lorri 401b'!L:L,MATCH('Retirement Calculator'!A493,'Lorri 401b'!N:N,0),0)</f>
        <v>2901413.8199172597</v>
      </c>
      <c r="S493" s="25">
        <f t="shared" ca="1" si="267"/>
        <v>4815038.4650720954</v>
      </c>
    </row>
    <row r="494" spans="1:19" ht="15.75" customHeight="1" x14ac:dyDescent="0.3">
      <c r="A494" s="37">
        <v>65990</v>
      </c>
      <c r="B494" s="398">
        <f t="shared" ref="B494:C494" si="495">($A494-B$9)/365.25</f>
        <v>98.792607802874741</v>
      </c>
      <c r="C494" s="398">
        <f t="shared" si="495"/>
        <v>94.182067077344286</v>
      </c>
      <c r="E494" s="25">
        <f>IF(C494&gt;$B$7,0,'Combined Retirement'!$D$13/12)</f>
        <v>0</v>
      </c>
      <c r="F494" s="25">
        <f>IF(H494=0,'Combined Retirement'!$D$32,0)+'Combined Retirement'!$B$24</f>
        <v>2870.372285649099</v>
      </c>
      <c r="G494" s="25">
        <f>'Combined Retirement'!$C$24</f>
        <v>3254.2644699519233</v>
      </c>
      <c r="H494" s="25">
        <f>IF(B494&lt;62,0,'Combined Retirement'!$I$14)</f>
        <v>2345</v>
      </c>
      <c r="I494" s="25">
        <f>IF(C494&lt;62,0,'Combined Retirement'!$I$13)</f>
        <v>2420</v>
      </c>
      <c r="J494" s="25">
        <f t="shared" si="263"/>
        <v>7896.2379798201846</v>
      </c>
      <c r="K494" s="25">
        <f t="shared" si="264"/>
        <v>20367.195264578786</v>
      </c>
      <c r="L494" s="25"/>
      <c r="N494" s="25">
        <f>'Combined Retirement'!$C$18/12</f>
        <v>39153.069999999992</v>
      </c>
      <c r="O494" s="25">
        <f t="shared" si="265"/>
        <v>10889.636755601023</v>
      </c>
      <c r="P494" s="25">
        <f t="shared" si="266"/>
        <v>28263.43324439897</v>
      </c>
      <c r="Q494" s="25">
        <f t="array" aca="1" ref="Q494" ca="1">INDEX('Isaac 401k'!L:L,MATCH('Retirement Calculator'!A494,'Isaac 401k'!N:N,0),0)</f>
        <v>1913668.9422049108</v>
      </c>
      <c r="R494" s="25">
        <f t="array" aca="1" ref="R494" ca="1">INDEX('Lorri 401b'!L:L,MATCH('Retirement Calculator'!A494,'Lorri 401b'!N:N,0),0)</f>
        <v>2893050.9855887336</v>
      </c>
      <c r="S494" s="25">
        <f t="shared" ca="1" si="267"/>
        <v>4806719.9277936444</v>
      </c>
    </row>
    <row r="495" spans="1:19" ht="15.75" customHeight="1" x14ac:dyDescent="0.3">
      <c r="A495" s="37">
        <v>66020</v>
      </c>
      <c r="B495" s="398">
        <f t="shared" ref="B495:C495" si="496">($A495-B$9)/365.25</f>
        <v>98.874743326488712</v>
      </c>
      <c r="C495" s="398">
        <f t="shared" si="496"/>
        <v>94.264202600958242</v>
      </c>
      <c r="E495" s="25">
        <f>IF(C495&gt;$B$7,0,'Combined Retirement'!$D$13/12)</f>
        <v>0</v>
      </c>
      <c r="F495" s="25">
        <f>IF(H495=0,'Combined Retirement'!$D$32,0)+'Combined Retirement'!$B$24</f>
        <v>2870.372285649099</v>
      </c>
      <c r="G495" s="25">
        <f>'Combined Retirement'!$C$24</f>
        <v>3254.2644699519233</v>
      </c>
      <c r="H495" s="25">
        <f>IF(B495&lt;62,0,'Combined Retirement'!$I$14)</f>
        <v>2345</v>
      </c>
      <c r="I495" s="25">
        <f>IF(C495&lt;62,0,'Combined Retirement'!$I$13)</f>
        <v>2420</v>
      </c>
      <c r="J495" s="25">
        <f t="shared" si="263"/>
        <v>7896.2379798201846</v>
      </c>
      <c r="K495" s="25">
        <f t="shared" si="264"/>
        <v>20367.195264578786</v>
      </c>
      <c r="L495" s="25"/>
      <c r="N495" s="25">
        <f>'Combined Retirement'!$C$18/12</f>
        <v>39153.069999999992</v>
      </c>
      <c r="O495" s="25">
        <f t="shared" si="265"/>
        <v>10889.636755601023</v>
      </c>
      <c r="P495" s="25">
        <f t="shared" si="266"/>
        <v>28263.43324439897</v>
      </c>
      <c r="Q495" s="25">
        <f t="array" aca="1" ref="Q495" ca="1">INDEX('Isaac 401k'!L:L,MATCH('Retirement Calculator'!A495,'Isaac 401k'!N:N,0),0)</f>
        <v>1913713.4238260284</v>
      </c>
      <c r="R495" s="25">
        <f t="array" aca="1" ref="R495" ca="1">INDEX('Lorri 401b'!L:L,MATCH('Retirement Calculator'!A495,'Lorri 401b'!N:N,0),0)</f>
        <v>2884653.3061171719</v>
      </c>
      <c r="S495" s="25">
        <f t="shared" ca="1" si="267"/>
        <v>4798366.7299432</v>
      </c>
    </row>
    <row r="496" spans="1:19" ht="15.75" customHeight="1" x14ac:dyDescent="0.3">
      <c r="A496" s="37">
        <v>66051</v>
      </c>
      <c r="B496" s="398">
        <f t="shared" ref="B496:C496" si="497">($A496-B$9)/365.25</f>
        <v>98.959616700889796</v>
      </c>
      <c r="C496" s="398">
        <f t="shared" si="497"/>
        <v>94.349075975359341</v>
      </c>
      <c r="E496" s="25">
        <f>IF(C496&gt;$B$7,0,'Combined Retirement'!$D$13/12)</f>
        <v>0</v>
      </c>
      <c r="F496" s="25">
        <f>IF(H496=0,'Combined Retirement'!$D$32,0)+'Combined Retirement'!$B$24</f>
        <v>2870.372285649099</v>
      </c>
      <c r="G496" s="25">
        <f>'Combined Retirement'!$C$24</f>
        <v>3254.2644699519233</v>
      </c>
      <c r="H496" s="25">
        <f>IF(B496&lt;62,0,'Combined Retirement'!$I$14)</f>
        <v>2345</v>
      </c>
      <c r="I496" s="25">
        <f>IF(C496&lt;62,0,'Combined Retirement'!$I$13)</f>
        <v>2420</v>
      </c>
      <c r="J496" s="25">
        <f t="shared" si="263"/>
        <v>7896.2379798201846</v>
      </c>
      <c r="K496" s="25">
        <f t="shared" si="264"/>
        <v>20367.195264578786</v>
      </c>
      <c r="L496" s="25"/>
      <c r="N496" s="25">
        <f>'Combined Retirement'!$C$18/12</f>
        <v>39153.069999999992</v>
      </c>
      <c r="O496" s="25">
        <f t="shared" si="265"/>
        <v>10889.636755601023</v>
      </c>
      <c r="P496" s="25">
        <f t="shared" si="266"/>
        <v>28263.43324439897</v>
      </c>
      <c r="Q496" s="25">
        <f t="array" aca="1" ref="Q496" ca="1">INDEX('Isaac 401k'!L:L,MATCH('Retirement Calculator'!A496,'Isaac 401k'!N:N,0),0)</f>
        <v>1913758.090787234</v>
      </c>
      <c r="R496" s="25">
        <f t="array" aca="1" ref="R496" ca="1">INDEX('Lorri 401b'!L:L,MATCH('Retirement Calculator'!A496,'Lorri 401b'!N:N,0),0)</f>
        <v>2876220.6363144787</v>
      </c>
      <c r="S496" s="25">
        <f t="shared" ca="1" si="267"/>
        <v>4789978.7271017125</v>
      </c>
    </row>
    <row r="497" spans="1:19" ht="15.75" customHeight="1" x14ac:dyDescent="0.3">
      <c r="A497" s="37">
        <v>66081</v>
      </c>
      <c r="B497" s="398">
        <f t="shared" ref="B497:C497" si="498">($A497-B$9)/365.25</f>
        <v>99.041752224503767</v>
      </c>
      <c r="C497" s="398">
        <f t="shared" si="498"/>
        <v>94.431211498973312</v>
      </c>
      <c r="E497" s="25">
        <f>IF(C497&gt;$B$7,0,'Combined Retirement'!$D$13/12)</f>
        <v>0</v>
      </c>
      <c r="F497" s="25">
        <f>IF(H497=0,'Combined Retirement'!$D$32,0)+'Combined Retirement'!$B$24</f>
        <v>2870.372285649099</v>
      </c>
      <c r="G497" s="25">
        <f>'Combined Retirement'!$C$24</f>
        <v>3254.2644699519233</v>
      </c>
      <c r="H497" s="25">
        <f>IF(B497&lt;62,0,'Combined Retirement'!$I$14)</f>
        <v>2345</v>
      </c>
      <c r="I497" s="25">
        <f>IF(C497&lt;62,0,'Combined Retirement'!$I$13)</f>
        <v>2420</v>
      </c>
      <c r="J497" s="25">
        <f t="shared" si="263"/>
        <v>7896.2379798201846</v>
      </c>
      <c r="K497" s="25">
        <f t="shared" si="264"/>
        <v>20367.195264578786</v>
      </c>
      <c r="L497" s="25"/>
      <c r="N497" s="25">
        <f>'Combined Retirement'!$C$18/12</f>
        <v>39153.069999999992</v>
      </c>
      <c r="O497" s="25">
        <f t="shared" si="265"/>
        <v>10889.636755601023</v>
      </c>
      <c r="P497" s="25">
        <f t="shared" si="266"/>
        <v>28263.43324439897</v>
      </c>
      <c r="Q497" s="25">
        <f t="array" aca="1" ref="Q497" ca="1">INDEX('Isaac 401k'!L:L,MATCH('Retirement Calculator'!A497,'Isaac 401k'!N:N,0),0)</f>
        <v>1913802.9438607781</v>
      </c>
      <c r="R497" s="25">
        <f t="array" aca="1" ref="R497" ca="1">INDEX('Lorri 401b'!L:L,MATCH('Retirement Calculator'!A497,'Lorri 401b'!N:N,0),0)</f>
        <v>2867752.8303876077</v>
      </c>
      <c r="S497" s="25">
        <f t="shared" ca="1" si="267"/>
        <v>4781555.7742483858</v>
      </c>
    </row>
    <row r="498" spans="1:19" ht="15.75" customHeight="1" x14ac:dyDescent="0.3">
      <c r="A498" s="37">
        <v>66112</v>
      </c>
      <c r="B498" s="398">
        <f t="shared" ref="B498:C498" si="499">($A498-B$9)/365.25</f>
        <v>99.126625598904866</v>
      </c>
      <c r="C498" s="398">
        <f t="shared" si="499"/>
        <v>94.516084873374396</v>
      </c>
      <c r="E498" s="25">
        <f>IF(C498&gt;$B$7,0,'Combined Retirement'!$D$13/12)</f>
        <v>0</v>
      </c>
      <c r="F498" s="25">
        <f>IF(H498=0,'Combined Retirement'!$D$32,0)+'Combined Retirement'!$B$24</f>
        <v>2870.372285649099</v>
      </c>
      <c r="G498" s="25">
        <f>'Combined Retirement'!$C$24</f>
        <v>3254.2644699519233</v>
      </c>
      <c r="H498" s="25">
        <f>IF(B498&lt;62,0,'Combined Retirement'!$I$14)</f>
        <v>2345</v>
      </c>
      <c r="I498" s="25">
        <f>IF(C498&lt;62,0,'Combined Retirement'!$I$13)</f>
        <v>2420</v>
      </c>
      <c r="J498" s="25">
        <f t="shared" si="263"/>
        <v>7896.2379798201846</v>
      </c>
      <c r="K498" s="25">
        <f t="shared" si="264"/>
        <v>20367.195264578786</v>
      </c>
      <c r="L498" s="25"/>
      <c r="N498" s="25">
        <f>'Combined Retirement'!$C$18/12</f>
        <v>39153.069999999992</v>
      </c>
      <c r="O498" s="25">
        <f t="shared" si="265"/>
        <v>10889.636755601023</v>
      </c>
      <c r="P498" s="25">
        <f t="shared" si="266"/>
        <v>28263.43324439897</v>
      </c>
      <c r="Q498" s="25">
        <f t="array" aca="1" ref="Q498" ca="1">INDEX('Isaac 401k'!L:L,MATCH('Retirement Calculator'!A498,'Isaac 401k'!N:N,0),0)</f>
        <v>1913847.9838221285</v>
      </c>
      <c r="R498" s="25">
        <f t="array" aca="1" ref="R498" ca="1">INDEX('Lorri 401b'!L:L,MATCH('Retirement Calculator'!A498,'Lorri 401b'!N:N,0),0)</f>
        <v>2859249.7419360415</v>
      </c>
      <c r="S498" s="25">
        <f t="shared" ca="1" si="267"/>
        <v>4773097.7257581698</v>
      </c>
    </row>
    <row r="499" spans="1:19" ht="15.75" customHeight="1" x14ac:dyDescent="0.3">
      <c r="A499" s="37">
        <v>66143</v>
      </c>
      <c r="B499" s="398">
        <f t="shared" ref="B499:C499" si="500">($A499-B$9)/365.25</f>
        <v>99.21149897330595</v>
      </c>
      <c r="C499" s="398">
        <f t="shared" si="500"/>
        <v>94.600958247775495</v>
      </c>
      <c r="E499" s="25">
        <f>IF(C499&gt;$B$7,0,'Combined Retirement'!$D$13/12)</f>
        <v>0</v>
      </c>
      <c r="F499" s="25">
        <f>IF(H499=0,'Combined Retirement'!$D$32,0)+'Combined Retirement'!$B$24</f>
        <v>2870.372285649099</v>
      </c>
      <c r="G499" s="25">
        <f>'Combined Retirement'!$C$24</f>
        <v>3254.2644699519233</v>
      </c>
      <c r="H499" s="25">
        <f>IF(B499&lt;62,0,'Combined Retirement'!$I$14)</f>
        <v>2345</v>
      </c>
      <c r="I499" s="25">
        <f>IF(C499&lt;62,0,'Combined Retirement'!$I$13)</f>
        <v>2420</v>
      </c>
      <c r="J499" s="25">
        <f t="shared" si="263"/>
        <v>7896.2379798201846</v>
      </c>
      <c r="K499" s="25">
        <f t="shared" si="264"/>
        <v>20367.195264578786</v>
      </c>
      <c r="L499" s="25"/>
      <c r="N499" s="25">
        <f>'Combined Retirement'!$C$18/12</f>
        <v>39153.069999999992</v>
      </c>
      <c r="O499" s="25">
        <f t="shared" si="265"/>
        <v>10889.636755601023</v>
      </c>
      <c r="P499" s="25">
        <f t="shared" si="266"/>
        <v>28263.43324439897</v>
      </c>
      <c r="Q499" s="25">
        <f t="array" aca="1" ref="Q499" ca="1">INDEX('Isaac 401k'!L:L,MATCH('Retirement Calculator'!A499,'Isaac 401k'!N:N,0),0)</f>
        <v>1913893.2114499845</v>
      </c>
      <c r="R499" s="25">
        <f t="array" aca="1" ref="R499" ca="1">INDEX('Lorri 401b'!L:L,MATCH('Retirement Calculator'!A499,'Lorri 401b'!N:N,0),0)</f>
        <v>2850711.2239492605</v>
      </c>
      <c r="S499" s="25">
        <f t="shared" ca="1" si="267"/>
        <v>4764604.4353992455</v>
      </c>
    </row>
    <row r="500" spans="1:19" ht="15.75" customHeight="1" x14ac:dyDescent="0.3">
      <c r="A500" s="37">
        <v>66171</v>
      </c>
      <c r="B500" s="398">
        <f t="shared" ref="B500:C500" si="501">($A500-B$9)/365.25</f>
        <v>99.288158795345652</v>
      </c>
      <c r="C500" s="398">
        <f t="shared" si="501"/>
        <v>94.677618069815196</v>
      </c>
      <c r="E500" s="25">
        <f>IF(C500&gt;$B$7,0,'Combined Retirement'!$D$13/12)</f>
        <v>0</v>
      </c>
      <c r="F500" s="25">
        <f>IF(H500=0,'Combined Retirement'!$D$32,0)+'Combined Retirement'!$B$24</f>
        <v>2870.372285649099</v>
      </c>
      <c r="G500" s="25">
        <f>'Combined Retirement'!$C$24</f>
        <v>3254.2644699519233</v>
      </c>
      <c r="H500" s="25">
        <f>IF(B500&lt;62,0,'Combined Retirement'!$I$14)</f>
        <v>2345</v>
      </c>
      <c r="I500" s="25">
        <f>IF(C500&lt;62,0,'Combined Retirement'!$I$13)</f>
        <v>2420</v>
      </c>
      <c r="J500" s="25">
        <f t="shared" si="263"/>
        <v>7896.2379798201846</v>
      </c>
      <c r="K500" s="25">
        <f t="shared" si="264"/>
        <v>20367.195264578786</v>
      </c>
      <c r="L500" s="25"/>
      <c r="N500" s="25">
        <f>'Combined Retirement'!$C$18/12</f>
        <v>39153.069999999992</v>
      </c>
      <c r="O500" s="25">
        <f t="shared" si="265"/>
        <v>10889.636755601023</v>
      </c>
      <c r="P500" s="25">
        <f t="shared" si="266"/>
        <v>28263.43324439897</v>
      </c>
      <c r="Q500" s="25">
        <f t="array" aca="1" ref="Q500" ca="1">INDEX('Isaac 401k'!L:L,MATCH('Retirement Calculator'!A500,'Isaac 401k'!N:N,0),0)</f>
        <v>1913938.62752629</v>
      </c>
      <c r="R500" s="25">
        <f t="array" aca="1" ref="R500" ca="1">INDEX('Lorri 401b'!L:L,MATCH('Retirement Calculator'!A500,'Lorri 401b'!N:N,0),0)</f>
        <v>2842137.1288042013</v>
      </c>
      <c r="S500" s="25">
        <f t="shared" ca="1" si="267"/>
        <v>4756075.756330491</v>
      </c>
    </row>
    <row r="501" spans="1:19" ht="15.75" customHeight="1" x14ac:dyDescent="0.3">
      <c r="A501" s="37">
        <v>66202</v>
      </c>
      <c r="B501" s="398">
        <f t="shared" ref="B501:C501" si="502">($A501-B$9)/365.25</f>
        <v>99.37303216974675</v>
      </c>
      <c r="C501" s="398">
        <f t="shared" si="502"/>
        <v>94.762491444216295</v>
      </c>
      <c r="E501" s="25">
        <f>IF(C501&gt;$B$7,0,'Combined Retirement'!$D$13/12)</f>
        <v>0</v>
      </c>
      <c r="F501" s="25">
        <f>IF(H501=0,'Combined Retirement'!$D$32,0)+'Combined Retirement'!$B$24</f>
        <v>2870.372285649099</v>
      </c>
      <c r="G501" s="25">
        <f>'Combined Retirement'!$C$24</f>
        <v>3254.2644699519233</v>
      </c>
      <c r="H501" s="25">
        <f>IF(B501&lt;62,0,'Combined Retirement'!$I$14)</f>
        <v>2345</v>
      </c>
      <c r="I501" s="25">
        <f>IF(C501&lt;62,0,'Combined Retirement'!$I$13)</f>
        <v>2420</v>
      </c>
      <c r="J501" s="25">
        <f t="shared" si="263"/>
        <v>7896.2379798201846</v>
      </c>
      <c r="K501" s="25">
        <f t="shared" si="264"/>
        <v>20367.195264578786</v>
      </c>
      <c r="L501" s="25"/>
      <c r="N501" s="25">
        <f>'Combined Retirement'!$C$18/12</f>
        <v>39153.069999999992</v>
      </c>
      <c r="O501" s="25">
        <f t="shared" si="265"/>
        <v>10889.636755601023</v>
      </c>
      <c r="P501" s="25">
        <f t="shared" si="266"/>
        <v>28263.43324439897</v>
      </c>
      <c r="Q501" s="25">
        <f t="array" aca="1" ref="Q501" ca="1">INDEX('Isaac 401k'!L:L,MATCH('Retirement Calculator'!A501,'Isaac 401k'!N:N,0),0)</f>
        <v>1913984.2328362467</v>
      </c>
      <c r="R501" s="25">
        <f t="array" aca="1" ref="R501" ca="1">INDEX('Lorri 401b'!L:L,MATCH('Retirement Calculator'!A501,'Lorri 401b'!N:N,0),0)</f>
        <v>2833527.3082627044</v>
      </c>
      <c r="S501" s="25">
        <f t="shared" ca="1" si="267"/>
        <v>4747511.5410989514</v>
      </c>
    </row>
    <row r="502" spans="1:19" ht="15.75" customHeight="1" x14ac:dyDescent="0.3">
      <c r="A502" s="37">
        <v>66232</v>
      </c>
      <c r="B502" s="398">
        <f t="shared" ref="B502:C502" si="503">($A502-B$9)/365.25</f>
        <v>99.455167693360707</v>
      </c>
      <c r="C502" s="398">
        <f t="shared" si="503"/>
        <v>94.844626967830251</v>
      </c>
      <c r="E502" s="25">
        <f>IF(C502&gt;$B$7,0,'Combined Retirement'!$D$13/12)</f>
        <v>0</v>
      </c>
      <c r="F502" s="25">
        <f>IF(H502=0,'Combined Retirement'!$D$32,0)+'Combined Retirement'!$B$24</f>
        <v>2870.372285649099</v>
      </c>
      <c r="G502" s="25">
        <f>'Combined Retirement'!$C$24</f>
        <v>3254.2644699519233</v>
      </c>
      <c r="H502" s="25">
        <f>IF(B502&lt;62,0,'Combined Retirement'!$I$14)</f>
        <v>2345</v>
      </c>
      <c r="I502" s="25">
        <f>IF(C502&lt;62,0,'Combined Retirement'!$I$13)</f>
        <v>2420</v>
      </c>
      <c r="J502" s="25">
        <f t="shared" si="263"/>
        <v>7896.2379798201846</v>
      </c>
      <c r="K502" s="25">
        <f t="shared" si="264"/>
        <v>20367.195264578786</v>
      </c>
      <c r="L502" s="25"/>
      <c r="N502" s="25">
        <f>'Combined Retirement'!$C$18/12</f>
        <v>39153.069999999992</v>
      </c>
      <c r="O502" s="25">
        <f t="shared" si="265"/>
        <v>10889.636755601023</v>
      </c>
      <c r="P502" s="25">
        <f t="shared" si="266"/>
        <v>28263.43324439897</v>
      </c>
      <c r="Q502" s="25">
        <f t="array" aca="1" ref="Q502" ca="1">INDEX('Isaac 401k'!L:L,MATCH('Retirement Calculator'!A502,'Isaac 401k'!N:N,0),0)</f>
        <v>1914030.0281683283</v>
      </c>
      <c r="R502" s="25">
        <f t="array" aca="1" ref="R502" ca="1">INDEX('Lorri 401b'!L:L,MATCH('Retirement Calculator'!A502,'Lorri 401b'!N:N,0),0)</f>
        <v>2824881.6134689511</v>
      </c>
      <c r="S502" s="25">
        <f t="shared" ca="1" si="267"/>
        <v>4738911.6416372797</v>
      </c>
    </row>
    <row r="503" spans="1:19" ht="15.75" customHeight="1" x14ac:dyDescent="0.3">
      <c r="A503" s="37">
        <v>66263</v>
      </c>
      <c r="B503" s="398">
        <f t="shared" ref="B503:C503" si="504">($A503-B$9)/365.25</f>
        <v>99.540041067761805</v>
      </c>
      <c r="C503" s="398">
        <f t="shared" si="504"/>
        <v>94.92950034223135</v>
      </c>
      <c r="E503" s="25">
        <f>IF(C503&gt;$B$7,0,'Combined Retirement'!$D$13/12)</f>
        <v>0</v>
      </c>
      <c r="F503" s="25">
        <f>IF(H503=0,'Combined Retirement'!$D$32,0)+'Combined Retirement'!$B$24</f>
        <v>2870.372285649099</v>
      </c>
      <c r="G503" s="25">
        <f>'Combined Retirement'!$C$24</f>
        <v>3254.2644699519233</v>
      </c>
      <c r="H503" s="25">
        <f>IF(B503&lt;62,0,'Combined Retirement'!$I$14)</f>
        <v>2345</v>
      </c>
      <c r="I503" s="25">
        <f>IF(C503&lt;62,0,'Combined Retirement'!$I$13)</f>
        <v>2420</v>
      </c>
      <c r="J503" s="25">
        <f t="shared" si="263"/>
        <v>7896.2379798201846</v>
      </c>
      <c r="K503" s="25">
        <f t="shared" si="264"/>
        <v>20367.195264578786</v>
      </c>
      <c r="L503" s="25"/>
      <c r="N503" s="25">
        <f>'Combined Retirement'!$C$18/12</f>
        <v>39153.069999999992</v>
      </c>
      <c r="O503" s="25">
        <f t="shared" si="265"/>
        <v>10889.636755601023</v>
      </c>
      <c r="P503" s="25">
        <f t="shared" si="266"/>
        <v>28263.43324439897</v>
      </c>
      <c r="Q503" s="25">
        <f t="array" aca="1" ref="Q503" ca="1">INDEX('Isaac 401k'!L:L,MATCH('Retirement Calculator'!A503,'Isaac 401k'!N:N,0),0)</f>
        <v>1914076.0143142936</v>
      </c>
      <c r="R503" s="25">
        <f t="array" aca="1" ref="R503" ca="1">INDEX('Lorri 401b'!L:L,MATCH('Retirement Calculator'!A503,'Lorri 401b'!N:N,0),0)</f>
        <v>2816199.8949468904</v>
      </c>
      <c r="S503" s="25">
        <f t="shared" ca="1" si="267"/>
        <v>4730275.9092611838</v>
      </c>
    </row>
    <row r="504" spans="1:19" ht="15.75" customHeight="1" x14ac:dyDescent="0.3">
      <c r="A504" s="37">
        <v>66293</v>
      </c>
      <c r="B504" s="398">
        <f t="shared" ref="B504:C504" si="505">($A504-B$9)/365.25</f>
        <v>99.622176591375776</v>
      </c>
      <c r="C504" s="398">
        <f t="shared" si="505"/>
        <v>95.011635865845307</v>
      </c>
      <c r="E504" s="25">
        <f>IF(C504&gt;$B$7,0,'Combined Retirement'!$D$13/12)</f>
        <v>0</v>
      </c>
      <c r="F504" s="25">
        <f>IF(H504=0,'Combined Retirement'!$D$32,0)+'Combined Retirement'!$B$24</f>
        <v>2870.372285649099</v>
      </c>
      <c r="G504" s="25">
        <f>'Combined Retirement'!$C$24</f>
        <v>3254.2644699519233</v>
      </c>
      <c r="H504" s="25">
        <f>IF(B504&lt;62,0,'Combined Retirement'!$I$14)</f>
        <v>2345</v>
      </c>
      <c r="I504" s="25">
        <f>IF(C504&lt;62,0,'Combined Retirement'!$I$13)</f>
        <v>2420</v>
      </c>
      <c r="J504" s="25">
        <f t="shared" si="263"/>
        <v>7896.2379798201846</v>
      </c>
      <c r="K504" s="25">
        <f t="shared" si="264"/>
        <v>20367.195264578786</v>
      </c>
      <c r="L504" s="25"/>
      <c r="N504" s="25">
        <f>'Combined Retirement'!$C$18/12</f>
        <v>39153.069999999992</v>
      </c>
      <c r="O504" s="25">
        <f t="shared" si="265"/>
        <v>10889.636755601023</v>
      </c>
      <c r="P504" s="25">
        <f t="shared" si="266"/>
        <v>28263.43324439897</v>
      </c>
      <c r="Q504" s="25">
        <f t="array" aca="1" ref="Q504" ca="1">INDEX('Isaac 401k'!L:L,MATCH('Retirement Calculator'!A504,'Isaac 401k'!N:N,0),0)</f>
        <v>1914122.1920692003</v>
      </c>
      <c r="R504" s="25">
        <f t="array" aca="1" ref="R504" ca="1">INDEX('Lorri 401b'!L:L,MATCH('Retirement Calculator'!A504,'Lorri 401b'!N:N,0),0)</f>
        <v>2807482.0025976547</v>
      </c>
      <c r="S504" s="25">
        <f t="shared" ca="1" si="267"/>
        <v>4721604.194666855</v>
      </c>
    </row>
    <row r="505" spans="1:19" ht="15.75" customHeight="1" x14ac:dyDescent="0.3">
      <c r="A505" s="37">
        <v>66324</v>
      </c>
      <c r="B505" s="398">
        <f t="shared" ref="B505:C505" si="506">($A505-B$9)/365.25</f>
        <v>99.707049965776861</v>
      </c>
      <c r="C505" s="398">
        <f t="shared" si="506"/>
        <v>95.096509240246405</v>
      </c>
      <c r="E505" s="25">
        <f>IF(C505&gt;$B$7,0,'Combined Retirement'!$D$13/12)</f>
        <v>0</v>
      </c>
      <c r="F505" s="25">
        <f>IF(H505=0,'Combined Retirement'!$D$32,0)+'Combined Retirement'!$B$24</f>
        <v>2870.372285649099</v>
      </c>
      <c r="G505" s="25">
        <f>'Combined Retirement'!$C$24</f>
        <v>3254.2644699519233</v>
      </c>
      <c r="H505" s="25">
        <f>IF(B505&lt;62,0,'Combined Retirement'!$I$14)</f>
        <v>2345</v>
      </c>
      <c r="I505" s="25">
        <f>IF(C505&lt;62,0,'Combined Retirement'!$I$13)</f>
        <v>2420</v>
      </c>
      <c r="J505" s="25">
        <f t="shared" si="263"/>
        <v>7896.2379798201846</v>
      </c>
      <c r="K505" s="25">
        <f t="shared" si="264"/>
        <v>20367.195264578786</v>
      </c>
      <c r="L505" s="25"/>
      <c r="N505" s="25">
        <f>'Combined Retirement'!$C$18/12</f>
        <v>39153.069999999992</v>
      </c>
      <c r="O505" s="25">
        <f t="shared" si="265"/>
        <v>10889.636755601023</v>
      </c>
      <c r="P505" s="25">
        <f t="shared" si="266"/>
        <v>28263.43324439897</v>
      </c>
      <c r="Q505" s="25">
        <f t="array" aca="1" ref="Q505" ca="1">INDEX('Isaac 401k'!L:L,MATCH('Retirement Calculator'!A505,'Isaac 401k'!N:N,0),0)</f>
        <v>1914168.5622314191</v>
      </c>
      <c r="R505" s="25">
        <f t="array" aca="1" ref="R505" ca="1">INDEX('Lorri 401b'!L:L,MATCH('Retirement Calculator'!A505,'Lorri 401b'!N:N,0),0)</f>
        <v>2798727.7856969638</v>
      </c>
      <c r="S505" s="25">
        <f t="shared" ca="1" si="267"/>
        <v>4712896.3479283825</v>
      </c>
    </row>
    <row r="506" spans="1:19" ht="15.75" customHeight="1" x14ac:dyDescent="0.3">
      <c r="A506" s="37">
        <v>66355</v>
      </c>
      <c r="B506" s="398">
        <f t="shared" ref="B506:C506" si="507">($A506-B$9)/365.25</f>
        <v>99.791923340177959</v>
      </c>
      <c r="C506" s="398">
        <f t="shared" si="507"/>
        <v>95.181382614647504</v>
      </c>
      <c r="E506" s="25">
        <f>IF(C506&gt;$B$7,0,'Combined Retirement'!$D$13/12)</f>
        <v>0</v>
      </c>
      <c r="F506" s="25">
        <f>IF(H506=0,'Combined Retirement'!$D$32,0)+'Combined Retirement'!$B$24</f>
        <v>2870.372285649099</v>
      </c>
      <c r="G506" s="25">
        <f>'Combined Retirement'!$C$24</f>
        <v>3254.2644699519233</v>
      </c>
      <c r="H506" s="25">
        <f>IF(B506&lt;62,0,'Combined Retirement'!$I$14)</f>
        <v>2345</v>
      </c>
      <c r="I506" s="25">
        <f>IF(C506&lt;62,0,'Combined Retirement'!$I$13)</f>
        <v>2420</v>
      </c>
      <c r="J506" s="25">
        <f t="shared" si="263"/>
        <v>7896.2379798201846</v>
      </c>
      <c r="K506" s="25">
        <f t="shared" si="264"/>
        <v>20367.195264578786</v>
      </c>
      <c r="L506" s="25"/>
      <c r="N506" s="25">
        <f>'Combined Retirement'!$C$18/12</f>
        <v>39153.069999999992</v>
      </c>
      <c r="O506" s="25">
        <f t="shared" si="265"/>
        <v>10889.636755601023</v>
      </c>
      <c r="P506" s="25">
        <f t="shared" si="266"/>
        <v>28263.43324439897</v>
      </c>
      <c r="Q506" s="25">
        <f t="array" aca="1" ref="Q506" ca="1">INDEX('Isaac 401k'!L:L,MATCH('Retirement Calculator'!A506,'Isaac 401k'!N:N,0),0)</f>
        <v>1914215.1256026472</v>
      </c>
      <c r="R506" s="25">
        <f t="array" aca="1" ref="R506" ca="1">INDEX('Lorri 401b'!L:L,MATCH('Retirement Calculator'!A506,'Lorri 401b'!N:N,0),0)</f>
        <v>2789937.0928925201</v>
      </c>
      <c r="S506" s="25">
        <f t="shared" ca="1" si="267"/>
        <v>4704152.2184951678</v>
      </c>
    </row>
    <row r="507" spans="1:19" ht="15.75" customHeight="1" x14ac:dyDescent="0.3">
      <c r="A507" s="37">
        <v>66385</v>
      </c>
      <c r="B507" s="398">
        <f t="shared" ref="B507:C507" si="508">($A507-B$9)/365.25</f>
        <v>99.87405886379193</v>
      </c>
      <c r="C507" s="398">
        <f t="shared" si="508"/>
        <v>95.26351813826146</v>
      </c>
      <c r="E507" s="25">
        <f>IF(C507&gt;$B$7,0,'Combined Retirement'!$D$13/12)</f>
        <v>0</v>
      </c>
      <c r="F507" s="25">
        <f>IF(H507=0,'Combined Retirement'!$D$32,0)+'Combined Retirement'!$B$24</f>
        <v>2870.372285649099</v>
      </c>
      <c r="G507" s="25">
        <f>'Combined Retirement'!$C$24</f>
        <v>3254.2644699519233</v>
      </c>
      <c r="H507" s="25">
        <f>IF(B507&lt;62,0,'Combined Retirement'!$I$14)</f>
        <v>2345</v>
      </c>
      <c r="I507" s="25">
        <f>IF(C507&lt;62,0,'Combined Retirement'!$I$13)</f>
        <v>2420</v>
      </c>
      <c r="J507" s="25">
        <f t="shared" si="263"/>
        <v>7896.2379798201846</v>
      </c>
      <c r="K507" s="25">
        <f t="shared" si="264"/>
        <v>20367.195264578786</v>
      </c>
      <c r="L507" s="25"/>
      <c r="N507" s="25">
        <f>'Combined Retirement'!$C$18/12</f>
        <v>39153.069999999992</v>
      </c>
      <c r="O507" s="25">
        <f t="shared" si="265"/>
        <v>10889.636755601023</v>
      </c>
      <c r="P507" s="25">
        <f t="shared" si="266"/>
        <v>28263.43324439897</v>
      </c>
      <c r="Q507" s="25">
        <f t="array" aca="1" ref="Q507" ca="1">INDEX('Isaac 401k'!L:L,MATCH('Retirement Calculator'!A507,'Isaac 401k'!N:N,0),0)</f>
        <v>1914261.8829879221</v>
      </c>
      <c r="R507" s="25">
        <f t="array" aca="1" ref="R507" ca="1">INDEX('Lorri 401b'!L:L,MATCH('Retirement Calculator'!A507,'Lorri 401b'!N:N,0),0)</f>
        <v>2781109.7722013909</v>
      </c>
      <c r="S507" s="25">
        <f t="shared" ca="1" si="267"/>
        <v>4695371.655189313</v>
      </c>
    </row>
    <row r="508" spans="1:19" ht="15.75" customHeight="1" x14ac:dyDescent="0.3">
      <c r="A508" s="37">
        <v>66416</v>
      </c>
      <c r="B508" s="398">
        <f t="shared" ref="B508:C508" si="509">($A508-B$9)/365.25</f>
        <v>99.958932238193015</v>
      </c>
      <c r="C508" s="398">
        <f t="shared" si="509"/>
        <v>95.348391512662559</v>
      </c>
      <c r="E508" s="25">
        <f>IF(C508&gt;$B$7,0,'Combined Retirement'!$D$13/12)</f>
        <v>0</v>
      </c>
      <c r="F508" s="25">
        <f>IF(H508=0,'Combined Retirement'!$D$32,0)+'Combined Retirement'!$B$24</f>
        <v>2870.372285649099</v>
      </c>
      <c r="G508" s="25">
        <f>'Combined Retirement'!$C$24</f>
        <v>3254.2644699519233</v>
      </c>
      <c r="H508" s="25">
        <f>IF(B508&lt;62,0,'Combined Retirement'!$I$14)</f>
        <v>2345</v>
      </c>
      <c r="I508" s="25">
        <f>IF(C508&lt;62,0,'Combined Retirement'!$I$13)</f>
        <v>2420</v>
      </c>
      <c r="J508" s="25">
        <f t="shared" si="263"/>
        <v>7896.2379798201846</v>
      </c>
      <c r="K508" s="25">
        <f t="shared" si="264"/>
        <v>20367.195264578786</v>
      </c>
      <c r="L508" s="25"/>
      <c r="N508" s="25">
        <f>'Combined Retirement'!$C$18/12</f>
        <v>39153.069999999992</v>
      </c>
      <c r="O508" s="25">
        <f t="shared" si="265"/>
        <v>10889.636755601023</v>
      </c>
      <c r="P508" s="25">
        <f t="shared" si="266"/>
        <v>28263.43324439897</v>
      </c>
      <c r="Q508" s="25">
        <f t="array" aca="1" ref="Q508" ca="1">INDEX('Isaac 401k'!L:L,MATCH('Retirement Calculator'!A508,'Isaac 401k'!N:N,0),0)</f>
        <v>1914308.8351956357</v>
      </c>
      <c r="R508" s="25">
        <f t="array" aca="1" ref="R508" ca="1">INDEX('Lorri 401b'!L:L,MATCH('Retirement Calculator'!A508,'Lorri 401b'!N:N,0),0)</f>
        <v>2772245.6710073822</v>
      </c>
      <c r="S508" s="25">
        <f t="shared" ca="1" si="267"/>
        <v>4686554.5062030181</v>
      </c>
    </row>
    <row r="509" spans="1:19" ht="15.75" customHeight="1" x14ac:dyDescent="0.3">
      <c r="A509" s="37">
        <v>66446</v>
      </c>
      <c r="B509" s="398">
        <f t="shared" ref="B509:C509" si="510">($A509-B$9)/365.25</f>
        <v>100.04106776180699</v>
      </c>
      <c r="C509" s="398">
        <f t="shared" si="510"/>
        <v>95.43052703627653</v>
      </c>
      <c r="E509" s="25">
        <f>IF(C509&gt;$B$7,0,'Combined Retirement'!$D$13/12)</f>
        <v>0</v>
      </c>
      <c r="F509" s="25">
        <f>IF(H509=0,'Combined Retirement'!$D$32,0)+'Combined Retirement'!$B$24</f>
        <v>2870.372285649099</v>
      </c>
      <c r="G509" s="25">
        <f>'Combined Retirement'!$C$24</f>
        <v>3254.2644699519233</v>
      </c>
      <c r="H509" s="25">
        <f>IF(B509&lt;62,0,'Combined Retirement'!$I$14)</f>
        <v>2345</v>
      </c>
      <c r="I509" s="25">
        <f>IF(C509&lt;62,0,'Combined Retirement'!$I$13)</f>
        <v>2420</v>
      </c>
      <c r="J509" s="25">
        <f t="shared" si="263"/>
        <v>7896.2379798201846</v>
      </c>
      <c r="K509" s="25">
        <f t="shared" si="264"/>
        <v>20367.195264578786</v>
      </c>
      <c r="L509" s="25"/>
      <c r="N509" s="25">
        <f>'Combined Retirement'!$C$18/12</f>
        <v>39153.069999999992</v>
      </c>
      <c r="O509" s="25">
        <f t="shared" si="265"/>
        <v>10889.636755601023</v>
      </c>
      <c r="P509" s="25">
        <f t="shared" si="266"/>
        <v>28263.43324439897</v>
      </c>
      <c r="Q509" s="25">
        <f t="array" aca="1" ref="Q509" ca="1">INDEX('Isaac 401k'!L:L,MATCH('Retirement Calculator'!A509,'Isaac 401k'!N:N,0),0)</f>
        <v>1914355.9830375479</v>
      </c>
      <c r="R509" s="25">
        <f t="array" aca="1" ref="R509" ca="1">INDEX('Lorri 401b'!L:L,MATCH('Retirement Calculator'!A509,'Lorri 401b'!N:N,0),0)</f>
        <v>2763344.6360583985</v>
      </c>
      <c r="S509" s="25">
        <f t="shared" ca="1" si="267"/>
        <v>4677700.6190959467</v>
      </c>
    </row>
    <row r="510" spans="1:19" ht="15.75" customHeight="1" x14ac:dyDescent="0.3">
      <c r="A510" s="37">
        <v>66477</v>
      </c>
      <c r="B510" s="398">
        <f t="shared" ref="B510:C510" si="511">($A510-B$9)/365.25</f>
        <v>100.12594113620807</v>
      </c>
      <c r="C510" s="398">
        <f t="shared" si="511"/>
        <v>95.515400410677614</v>
      </c>
      <c r="E510" s="25">
        <f>IF(C510&gt;$B$7,0,'Combined Retirement'!$D$13/12)</f>
        <v>0</v>
      </c>
      <c r="F510" s="25">
        <f>IF(H510=0,'Combined Retirement'!$D$32,0)+'Combined Retirement'!$B$24</f>
        <v>2870.372285649099</v>
      </c>
      <c r="G510" s="25">
        <f>'Combined Retirement'!$C$24</f>
        <v>3254.2644699519233</v>
      </c>
      <c r="H510" s="25">
        <f>IF(B510&lt;62,0,'Combined Retirement'!$I$14)</f>
        <v>2345</v>
      </c>
      <c r="I510" s="25">
        <f>IF(C510&lt;62,0,'Combined Retirement'!$I$13)</f>
        <v>2420</v>
      </c>
      <c r="J510" s="25">
        <f t="shared" si="263"/>
        <v>7896.2379798201846</v>
      </c>
      <c r="K510" s="25">
        <f t="shared" si="264"/>
        <v>20367.195264578786</v>
      </c>
      <c r="L510" s="25"/>
      <c r="N510" s="25">
        <f>'Combined Retirement'!$C$18/12</f>
        <v>39153.069999999992</v>
      </c>
      <c r="O510" s="25">
        <f t="shared" si="265"/>
        <v>10889.636755601023</v>
      </c>
      <c r="P510" s="25">
        <f t="shared" si="266"/>
        <v>28263.43324439897</v>
      </c>
      <c r="Q510" s="25">
        <f t="array" aca="1" ref="Q510" ca="1">INDEX('Isaac 401k'!L:L,MATCH('Retirement Calculator'!A510,'Isaac 401k'!N:N,0),0)</f>
        <v>1914403.3273288016</v>
      </c>
      <c r="R510" s="25">
        <f t="array" aca="1" ref="R510" ca="1">INDEX('Lorri 401b'!L:L,MATCH('Retirement Calculator'!A510,'Lorri 401b'!N:N,0),0)</f>
        <v>2754406.5134637938</v>
      </c>
      <c r="S510" s="25">
        <f t="shared" ca="1" si="267"/>
        <v>4668809.8407925954</v>
      </c>
    </row>
    <row r="511" spans="1:19" ht="15.75" customHeight="1" x14ac:dyDescent="0.3">
      <c r="A511" s="37">
        <v>66508</v>
      </c>
      <c r="B511" s="398">
        <f t="shared" ref="B511:C511" si="512">($A511-B$9)/365.25</f>
        <v>100.21081451060917</v>
      </c>
      <c r="C511" s="398">
        <f t="shared" si="512"/>
        <v>95.600273785078713</v>
      </c>
      <c r="E511" s="25">
        <f>IF(C511&gt;$B$7,0,'Combined Retirement'!$D$13/12)</f>
        <v>0</v>
      </c>
      <c r="F511" s="25">
        <f>IF(H511=0,'Combined Retirement'!$D$32,0)+'Combined Retirement'!$B$24</f>
        <v>2870.372285649099</v>
      </c>
      <c r="G511" s="25">
        <f>'Combined Retirement'!$C$24</f>
        <v>3254.2644699519233</v>
      </c>
      <c r="H511" s="25">
        <f>IF(B511&lt;62,0,'Combined Retirement'!$I$14)</f>
        <v>2345</v>
      </c>
      <c r="I511" s="25">
        <f>IF(C511&lt;62,0,'Combined Retirement'!$I$13)</f>
        <v>2420</v>
      </c>
      <c r="J511" s="25">
        <f t="shared" si="263"/>
        <v>7896.2379798201846</v>
      </c>
      <c r="K511" s="25">
        <f t="shared" si="264"/>
        <v>20367.195264578786</v>
      </c>
      <c r="L511" s="25"/>
      <c r="N511" s="25">
        <f>'Combined Retirement'!$C$18/12</f>
        <v>39153.069999999992</v>
      </c>
      <c r="O511" s="25">
        <f t="shared" si="265"/>
        <v>10889.636755601023</v>
      </c>
      <c r="P511" s="25">
        <f t="shared" si="266"/>
        <v>28263.43324439897</v>
      </c>
      <c r="Q511" s="25">
        <f t="array" aca="1" ref="Q511" ca="1">INDEX('Isaac 401k'!L:L,MATCH('Retirement Calculator'!A511,'Isaac 401k'!N:N,0),0)</f>
        <v>1914450.8688879355</v>
      </c>
      <c r="R511" s="25">
        <f t="array" aca="1" ref="R511" ca="1">INDEX('Lorri 401b'!L:L,MATCH('Retirement Calculator'!A511,'Lorri 401b'!N:N,0),0)</f>
        <v>2745431.1486917119</v>
      </c>
      <c r="S511" s="25">
        <f t="shared" ca="1" si="267"/>
        <v>4659882.0175796477</v>
      </c>
    </row>
    <row r="512" spans="1:19" ht="15.75" customHeight="1" x14ac:dyDescent="0.3">
      <c r="A512" s="37">
        <v>66536</v>
      </c>
      <c r="B512" s="398">
        <f t="shared" ref="B512:C512" si="513">($A512-B$9)/365.25</f>
        <v>100.28747433264887</v>
      </c>
      <c r="C512" s="398">
        <f t="shared" si="513"/>
        <v>95.676933607118414</v>
      </c>
      <c r="E512" s="25">
        <f>IF(C512&gt;$B$7,0,'Combined Retirement'!$D$13/12)</f>
        <v>0</v>
      </c>
      <c r="F512" s="25">
        <f>IF(H512=0,'Combined Retirement'!$D$32,0)+'Combined Retirement'!$B$24</f>
        <v>2870.372285649099</v>
      </c>
      <c r="G512" s="25">
        <f>'Combined Retirement'!$C$24</f>
        <v>3254.2644699519233</v>
      </c>
      <c r="H512" s="25">
        <f>IF(B512&lt;62,0,'Combined Retirement'!$I$14)</f>
        <v>2345</v>
      </c>
      <c r="I512" s="25">
        <f>IF(C512&lt;62,0,'Combined Retirement'!$I$13)</f>
        <v>2420</v>
      </c>
      <c r="J512" s="25">
        <f t="shared" si="263"/>
        <v>7896.2379798201846</v>
      </c>
      <c r="K512" s="25">
        <f t="shared" si="264"/>
        <v>20367.195264578786</v>
      </c>
      <c r="L512" s="25"/>
      <c r="N512" s="25">
        <f>'Combined Retirement'!$C$18/12</f>
        <v>39153.069999999992</v>
      </c>
      <c r="O512" s="25">
        <f t="shared" si="265"/>
        <v>10889.636755601023</v>
      </c>
      <c r="P512" s="25">
        <f t="shared" si="266"/>
        <v>28263.43324439897</v>
      </c>
      <c r="Q512" s="25">
        <f t="array" aca="1" ref="Q512" ca="1">INDEX('Isaac 401k'!L:L,MATCH('Retirement Calculator'!A512,'Isaac 401k'!N:N,0),0)</f>
        <v>1914498.6085368991</v>
      </c>
      <c r="R512" s="25">
        <f t="array" aca="1" ref="R512" ca="1">INDEX('Lorri 401b'!L:L,MATCH('Retirement Calculator'!A512,'Lorri 401b'!N:N,0),0)</f>
        <v>2736418.3865664131</v>
      </c>
      <c r="S512" s="25">
        <f t="shared" ca="1" si="267"/>
        <v>4650916.9951033127</v>
      </c>
    </row>
    <row r="513" spans="1:19" ht="15.75" customHeight="1" x14ac:dyDescent="0.3">
      <c r="A513" s="37">
        <v>66567</v>
      </c>
      <c r="B513" s="398">
        <f t="shared" ref="B513:C513" si="514">($A513-B$9)/365.25</f>
        <v>100.37234770704997</v>
      </c>
      <c r="C513" s="398">
        <f t="shared" si="514"/>
        <v>95.761806981519513</v>
      </c>
      <c r="E513" s="25">
        <f>IF(C513&gt;$B$7,0,'Combined Retirement'!$D$13/12)</f>
        <v>0</v>
      </c>
      <c r="F513" s="25">
        <f>IF(H513=0,'Combined Retirement'!$D$32,0)+'Combined Retirement'!$B$24</f>
        <v>2870.372285649099</v>
      </c>
      <c r="G513" s="25">
        <f>'Combined Retirement'!$C$24</f>
        <v>3254.2644699519233</v>
      </c>
      <c r="H513" s="25">
        <f>IF(B513&lt;62,0,'Combined Retirement'!$I$14)</f>
        <v>2345</v>
      </c>
      <c r="I513" s="25">
        <f>IF(C513&lt;62,0,'Combined Retirement'!$I$13)</f>
        <v>2420</v>
      </c>
      <c r="J513" s="25">
        <f t="shared" si="263"/>
        <v>7896.2379798201846</v>
      </c>
      <c r="K513" s="25">
        <f t="shared" si="264"/>
        <v>20367.195264578786</v>
      </c>
      <c r="L513" s="25"/>
      <c r="N513" s="25">
        <f>'Combined Retirement'!$C$18/12</f>
        <v>39153.069999999992</v>
      </c>
      <c r="O513" s="25">
        <f t="shared" si="265"/>
        <v>10889.636755601023</v>
      </c>
      <c r="P513" s="25">
        <f t="shared" si="266"/>
        <v>28263.43324439897</v>
      </c>
      <c r="Q513" s="25">
        <f t="array" aca="1" ref="Q513" ca="1">INDEX('Isaac 401k'!L:L,MATCH('Retirement Calculator'!A513,'Isaac 401k'!N:N,0),0)</f>
        <v>1914546.5471010667</v>
      </c>
      <c r="R513" s="25">
        <f t="array" aca="1" ref="R513" ca="1">INDEX('Lorri 401b'!L:L,MATCH('Retirement Calculator'!A513,'Lorri 401b'!N:N,0),0)</f>
        <v>2727368.0712655918</v>
      </c>
      <c r="S513" s="25">
        <f t="shared" ca="1" si="267"/>
        <v>4641914.6183666587</v>
      </c>
    </row>
    <row r="514" spans="1:19" ht="15.75" customHeight="1" x14ac:dyDescent="0.3">
      <c r="A514" s="37">
        <v>66597</v>
      </c>
      <c r="B514" s="398">
        <f t="shared" ref="B514:C514" si="515">($A514-B$9)/365.25</f>
        <v>100.45448323066393</v>
      </c>
      <c r="C514" s="398">
        <f t="shared" si="515"/>
        <v>95.843942505133469</v>
      </c>
      <c r="E514" s="25">
        <f>IF(C514&gt;$B$7,0,'Combined Retirement'!$D$13/12)</f>
        <v>0</v>
      </c>
      <c r="F514" s="25">
        <f>IF(H514=0,'Combined Retirement'!$D$32,0)+'Combined Retirement'!$B$24</f>
        <v>2870.372285649099</v>
      </c>
      <c r="G514" s="25">
        <f>'Combined Retirement'!$C$24</f>
        <v>3254.2644699519233</v>
      </c>
      <c r="H514" s="25">
        <f>IF(B514&lt;62,0,'Combined Retirement'!$I$14)</f>
        <v>2345</v>
      </c>
      <c r="I514" s="25">
        <f>IF(C514&lt;62,0,'Combined Retirement'!$I$13)</f>
        <v>2420</v>
      </c>
      <c r="J514" s="25">
        <f t="shared" si="263"/>
        <v>7896.2379798201846</v>
      </c>
      <c r="K514" s="25">
        <f t="shared" si="264"/>
        <v>20367.195264578786</v>
      </c>
      <c r="L514" s="25"/>
      <c r="N514" s="25">
        <f>'Combined Retirement'!$C$18/12</f>
        <v>39153.069999999992</v>
      </c>
      <c r="O514" s="25">
        <f t="shared" si="265"/>
        <v>10889.636755601023</v>
      </c>
      <c r="P514" s="25">
        <f t="shared" si="266"/>
        <v>28263.43324439897</v>
      </c>
      <c r="Q514" s="25">
        <f t="array" aca="1" ref="Q514" ca="1">INDEX('Isaac 401k'!L:L,MATCH('Retirement Calculator'!A514,'Isaac 401k'!N:N,0),0)</f>
        <v>1914594.6854092516</v>
      </c>
      <c r="R514" s="25">
        <f t="array" aca="1" ref="R514" ca="1">INDEX('Lorri 401b'!L:L,MATCH('Retirement Calculator'!A514,'Lorri 401b'!N:N,0),0)</f>
        <v>2718280.046317684</v>
      </c>
      <c r="S514" s="25">
        <f t="shared" ca="1" si="267"/>
        <v>4632874.7317269351</v>
      </c>
    </row>
    <row r="515" spans="1:19" ht="15.75" customHeight="1" x14ac:dyDescent="0.3">
      <c r="A515" s="37">
        <v>66628</v>
      </c>
      <c r="B515" s="398">
        <f t="shared" ref="B515:C515" si="516">($A515-B$9)/365.25</f>
        <v>100.53935660506502</v>
      </c>
      <c r="C515" s="398">
        <f t="shared" si="516"/>
        <v>95.928815879534568</v>
      </c>
      <c r="E515" s="25">
        <f>IF(C515&gt;$B$7,0,'Combined Retirement'!$D$13/12)</f>
        <v>0</v>
      </c>
      <c r="F515" s="25">
        <f>IF(H515=0,'Combined Retirement'!$D$32,0)+'Combined Retirement'!$B$24</f>
        <v>2870.372285649099</v>
      </c>
      <c r="G515" s="25">
        <f>'Combined Retirement'!$C$24</f>
        <v>3254.2644699519233</v>
      </c>
      <c r="H515" s="25">
        <f>IF(B515&lt;62,0,'Combined Retirement'!$I$14)</f>
        <v>2345</v>
      </c>
      <c r="I515" s="25">
        <f>IF(C515&lt;62,0,'Combined Retirement'!$I$13)</f>
        <v>2420</v>
      </c>
      <c r="J515" s="25">
        <f t="shared" si="263"/>
        <v>7896.2379798201846</v>
      </c>
      <c r="K515" s="25">
        <f t="shared" si="264"/>
        <v>20367.195264578786</v>
      </c>
      <c r="L515" s="25"/>
      <c r="N515" s="25">
        <f>'Combined Retirement'!$C$18/12</f>
        <v>39153.069999999992</v>
      </c>
      <c r="O515" s="25">
        <f t="shared" si="265"/>
        <v>10889.636755601023</v>
      </c>
      <c r="P515" s="25">
        <f t="shared" si="266"/>
        <v>28263.43324439897</v>
      </c>
      <c r="Q515" s="25">
        <f t="array" aca="1" ref="Q515" ca="1">INDEX('Isaac 401k'!L:L,MATCH('Retirement Calculator'!A515,'Isaac 401k'!N:N,0),0)</f>
        <v>1914643.0242937207</v>
      </c>
      <c r="R515" s="25">
        <f t="array" aca="1" ref="R515" ca="1">INDEX('Lorri 401b'!L:L,MATCH('Retirement Calculator'!A515,'Lorri 401b'!N:N,0),0)</f>
        <v>2709154.15459916</v>
      </c>
      <c r="S515" s="25">
        <f t="shared" ca="1" si="267"/>
        <v>4623797.1788928807</v>
      </c>
    </row>
    <row r="516" spans="1:19" ht="15.75" customHeight="1" x14ac:dyDescent="0.3">
      <c r="A516" s="37">
        <v>66658</v>
      </c>
      <c r="B516" s="398">
        <f t="shared" ref="B516:C516" si="517">($A516-B$9)/365.25</f>
        <v>100.62149212867898</v>
      </c>
      <c r="C516" s="398">
        <f t="shared" si="517"/>
        <v>96.010951403148525</v>
      </c>
      <c r="E516" s="25">
        <f>IF(C516&gt;$B$7,0,'Combined Retirement'!$D$13/12)</f>
        <v>0</v>
      </c>
      <c r="F516" s="25">
        <f>IF(H516=0,'Combined Retirement'!$D$32,0)+'Combined Retirement'!$B$24</f>
        <v>2870.372285649099</v>
      </c>
      <c r="G516" s="25">
        <f>'Combined Retirement'!$C$24</f>
        <v>3254.2644699519233</v>
      </c>
      <c r="H516" s="25">
        <f>IF(B516&lt;62,0,'Combined Retirement'!$I$14)</f>
        <v>2345</v>
      </c>
      <c r="I516" s="25">
        <f>IF(C516&lt;62,0,'Combined Retirement'!$I$13)</f>
        <v>2420</v>
      </c>
      <c r="J516" s="25">
        <f t="shared" si="263"/>
        <v>7896.2379798201846</v>
      </c>
      <c r="K516" s="25">
        <f t="shared" si="264"/>
        <v>20367.195264578786</v>
      </c>
      <c r="L516" s="25"/>
      <c r="N516" s="25">
        <f>'Combined Retirement'!$C$18/12</f>
        <v>39153.069999999992</v>
      </c>
      <c r="O516" s="25">
        <f t="shared" si="265"/>
        <v>10889.636755601023</v>
      </c>
      <c r="P516" s="25">
        <f t="shared" si="266"/>
        <v>28263.43324439897</v>
      </c>
      <c r="Q516" s="25">
        <f t="array" aca="1" ref="Q516" ca="1">INDEX('Isaac 401k'!L:L,MATCH('Retirement Calculator'!A516,'Isaac 401k'!N:N,0),0)</f>
        <v>1914691.5645902085</v>
      </c>
      <c r="R516" s="25">
        <f t="array" aca="1" ref="R516" ca="1">INDEX('Lorri 401b'!L:L,MATCH('Retirement Calculator'!A516,'Lorri 401b'!N:N,0),0)</f>
        <v>2699990.2383318087</v>
      </c>
      <c r="S516" s="25">
        <f t="shared" ca="1" si="267"/>
        <v>4614681.8029220169</v>
      </c>
    </row>
    <row r="517" spans="1:19" ht="15.75" customHeight="1" x14ac:dyDescent="0.3">
      <c r="A517" s="37">
        <v>66689</v>
      </c>
      <c r="B517" s="398">
        <f t="shared" ref="B517:C517" si="518">($A517-B$9)/365.25</f>
        <v>100.70636550308008</v>
      </c>
      <c r="C517" s="398">
        <f t="shared" si="518"/>
        <v>96.095824777549623</v>
      </c>
      <c r="E517" s="25">
        <f>IF(C517&gt;$B$7,0,'Combined Retirement'!$D$13/12)</f>
        <v>0</v>
      </c>
      <c r="F517" s="25">
        <f>IF(H517=0,'Combined Retirement'!$D$32,0)+'Combined Retirement'!$B$24</f>
        <v>2870.372285649099</v>
      </c>
      <c r="G517" s="25">
        <f>'Combined Retirement'!$C$24</f>
        <v>3254.2644699519233</v>
      </c>
      <c r="H517" s="25">
        <f>IF(B517&lt;62,0,'Combined Retirement'!$I$14)</f>
        <v>2345</v>
      </c>
      <c r="I517" s="25">
        <f>IF(C517&lt;62,0,'Combined Retirement'!$I$13)</f>
        <v>2420</v>
      </c>
      <c r="J517" s="25">
        <f t="shared" si="263"/>
        <v>7896.2379798201846</v>
      </c>
      <c r="K517" s="25">
        <f t="shared" si="264"/>
        <v>20367.195264578786</v>
      </c>
      <c r="L517" s="25"/>
      <c r="N517" s="25">
        <f>'Combined Retirement'!$C$18/12</f>
        <v>39153.069999999992</v>
      </c>
      <c r="O517" s="25">
        <f t="shared" si="265"/>
        <v>10889.636755601023</v>
      </c>
      <c r="P517" s="25">
        <f t="shared" si="266"/>
        <v>28263.43324439897</v>
      </c>
      <c r="Q517" s="25">
        <f t="array" aca="1" ref="Q517" ca="1">INDEX('Isaac 401k'!L:L,MATCH('Retirement Calculator'!A517,'Isaac 401k'!N:N,0),0)</f>
        <v>1914740.3071379315</v>
      </c>
      <c r="R517" s="25">
        <f t="array" aca="1" ref="R517" ca="1">INDEX('Lorri 401b'!L:L,MATCH('Retirement Calculator'!A517,'Lorri 401b'!N:N,0),0)</f>
        <v>2690788.1390800099</v>
      </c>
      <c r="S517" s="25">
        <f t="shared" ca="1" si="267"/>
        <v>4605528.4462179411</v>
      </c>
    </row>
    <row r="518" spans="1:19" ht="15.75" customHeight="1" x14ac:dyDescent="0.3">
      <c r="A518" s="37">
        <v>66720</v>
      </c>
      <c r="B518" s="398">
        <f t="shared" ref="B518:C518" si="519">($A518-B$9)/365.25</f>
        <v>100.79123887748118</v>
      </c>
      <c r="C518" s="398">
        <f t="shared" si="519"/>
        <v>96.180698151950722</v>
      </c>
      <c r="E518" s="25">
        <f>IF(C518&gt;$B$7,0,'Combined Retirement'!$D$13/12)</f>
        <v>0</v>
      </c>
      <c r="F518" s="25">
        <f>IF(H518=0,'Combined Retirement'!$D$32,0)+'Combined Retirement'!$B$24</f>
        <v>2870.372285649099</v>
      </c>
      <c r="G518" s="25">
        <f>'Combined Retirement'!$C$24</f>
        <v>3254.2644699519233</v>
      </c>
      <c r="H518" s="25">
        <f>IF(B518&lt;62,0,'Combined Retirement'!$I$14)</f>
        <v>2345</v>
      </c>
      <c r="I518" s="25">
        <f>IF(C518&lt;62,0,'Combined Retirement'!$I$13)</f>
        <v>2420</v>
      </c>
      <c r="J518" s="25">
        <f t="shared" si="263"/>
        <v>7896.2379798201846</v>
      </c>
      <c r="K518" s="25">
        <f t="shared" si="264"/>
        <v>20367.195264578786</v>
      </c>
      <c r="L518" s="25"/>
      <c r="N518" s="25">
        <f>'Combined Retirement'!$C$18/12</f>
        <v>39153.069999999992</v>
      </c>
      <c r="O518" s="25">
        <f t="shared" si="265"/>
        <v>10889.636755601023</v>
      </c>
      <c r="P518" s="25">
        <f t="shared" si="266"/>
        <v>28263.43324439897</v>
      </c>
      <c r="Q518" s="25">
        <f t="array" aca="1" ref="Q518" ca="1">INDEX('Isaac 401k'!L:L,MATCH('Retirement Calculator'!A518,'Isaac 401k'!N:N,0),0)</f>
        <v>1914789.2527796035</v>
      </c>
      <c r="R518" s="25">
        <f t="array" aca="1" ref="R518" ca="1">INDEX('Lorri 401b'!L:L,MATCH('Retirement Calculator'!A518,'Lorri 401b'!N:N,0),0)</f>
        <v>2681547.6977479956</v>
      </c>
      <c r="S518" s="25">
        <f t="shared" ca="1" si="267"/>
        <v>4596336.9505275991</v>
      </c>
    </row>
    <row r="519" spans="1:19" ht="15.75" customHeight="1" x14ac:dyDescent="0.3">
      <c r="A519" s="37">
        <v>66750</v>
      </c>
      <c r="B519" s="398">
        <f t="shared" ref="B519:C519" si="520">($A519-B$9)/365.25</f>
        <v>100.87337440109513</v>
      </c>
      <c r="C519" s="398">
        <f t="shared" si="520"/>
        <v>96.262833675564679</v>
      </c>
      <c r="E519" s="25">
        <f>IF(C519&gt;$B$7,0,'Combined Retirement'!$D$13/12)</f>
        <v>0</v>
      </c>
      <c r="F519" s="25">
        <f>IF(H519=0,'Combined Retirement'!$D$32,0)+'Combined Retirement'!$B$24</f>
        <v>2870.372285649099</v>
      </c>
      <c r="G519" s="25">
        <f>'Combined Retirement'!$C$24</f>
        <v>3254.2644699519233</v>
      </c>
      <c r="H519" s="25">
        <f>IF(B519&lt;62,0,'Combined Retirement'!$I$14)</f>
        <v>2345</v>
      </c>
      <c r="I519" s="25">
        <f>IF(C519&lt;62,0,'Combined Retirement'!$I$13)</f>
        <v>2420</v>
      </c>
      <c r="J519" s="25">
        <f t="shared" si="263"/>
        <v>7896.2379798201846</v>
      </c>
      <c r="K519" s="25">
        <f t="shared" si="264"/>
        <v>20367.195264578786</v>
      </c>
      <c r="L519" s="25"/>
      <c r="N519" s="25">
        <f>'Combined Retirement'!$C$18/12</f>
        <v>39153.069999999992</v>
      </c>
      <c r="O519" s="25">
        <f t="shared" si="265"/>
        <v>10889.636755601023</v>
      </c>
      <c r="P519" s="25">
        <f t="shared" si="266"/>
        <v>28263.43324439897</v>
      </c>
      <c r="Q519" s="25">
        <f t="array" aca="1" ref="Q519" ca="1">INDEX('Isaac 401k'!L:L,MATCH('Retirement Calculator'!A519,'Isaac 401k'!N:N,0),0)</f>
        <v>1914838.4023614491</v>
      </c>
      <c r="R519" s="25">
        <f t="array" aca="1" ref="R519" ca="1">INDEX('Lorri 401b'!L:L,MATCH('Retirement Calculator'!A519,'Lorri 401b'!N:N,0),0)</f>
        <v>2672268.7545770979</v>
      </c>
      <c r="S519" s="25">
        <f t="shared" ca="1" si="267"/>
        <v>4587107.1569385473</v>
      </c>
    </row>
    <row r="520" spans="1:19" ht="15.75" customHeight="1" x14ac:dyDescent="0.3">
      <c r="A520" s="37">
        <v>66781</v>
      </c>
      <c r="B520" s="398">
        <f t="shared" ref="B520:C520" si="521">($A520-B$9)/365.25</f>
        <v>100.95824777549623</v>
      </c>
      <c r="C520" s="398">
        <f t="shared" si="521"/>
        <v>96.347707049965777</v>
      </c>
      <c r="E520" s="25">
        <f>IF(C520&gt;$B$7,0,'Combined Retirement'!$D$13/12)</f>
        <v>0</v>
      </c>
      <c r="F520" s="25">
        <f>IF(H520=0,'Combined Retirement'!$D$32,0)+'Combined Retirement'!$B$24</f>
        <v>2870.372285649099</v>
      </c>
      <c r="G520" s="25">
        <f>'Combined Retirement'!$C$24</f>
        <v>3254.2644699519233</v>
      </c>
      <c r="H520" s="25">
        <f>IF(B520&lt;62,0,'Combined Retirement'!$I$14)</f>
        <v>2345</v>
      </c>
      <c r="I520" s="25">
        <f>IF(C520&lt;62,0,'Combined Retirement'!$I$13)</f>
        <v>2420</v>
      </c>
      <c r="J520" s="25">
        <f t="shared" si="263"/>
        <v>7896.2379798201846</v>
      </c>
      <c r="K520" s="25">
        <f t="shared" si="264"/>
        <v>20367.195264578786</v>
      </c>
      <c r="L520" s="25"/>
      <c r="N520" s="25">
        <f>'Combined Retirement'!$C$18/12</f>
        <v>39153.069999999992</v>
      </c>
      <c r="O520" s="25">
        <f t="shared" si="265"/>
        <v>10889.636755601023</v>
      </c>
      <c r="P520" s="25">
        <f t="shared" si="266"/>
        <v>28263.43324439897</v>
      </c>
      <c r="Q520" s="25">
        <f t="array" aca="1" ref="Q520" ca="1">INDEX('Isaac 401k'!L:L,MATCH('Retirement Calculator'!A520,'Isaac 401k'!N:N,0),0)</f>
        <v>1914887.7567332189</v>
      </c>
      <c r="R520" s="25">
        <f t="array" aca="1" ref="R520" ca="1">INDEX('Lorri 401b'!L:L,MATCH('Retirement Calculator'!A520,'Lorri 401b'!N:N,0),0)</f>
        <v>2662951.149142988</v>
      </c>
      <c r="S520" s="25">
        <f t="shared" ca="1" si="267"/>
        <v>4577838.9058762072</v>
      </c>
    </row>
    <row r="521" spans="1:19" ht="15.75" customHeight="1" x14ac:dyDescent="0.3">
      <c r="A521" s="37">
        <v>66811</v>
      </c>
      <c r="B521" s="398">
        <f t="shared" ref="B521:C521" si="522">($A521-B$9)/365.25</f>
        <v>101.0403832991102</v>
      </c>
      <c r="C521" s="398">
        <f t="shared" si="522"/>
        <v>96.429842573579734</v>
      </c>
      <c r="E521" s="25">
        <f>IF(C521&gt;$B$7,0,'Combined Retirement'!$D$13/12)</f>
        <v>0</v>
      </c>
      <c r="F521" s="25">
        <f>IF(H521=0,'Combined Retirement'!$D$32,0)+'Combined Retirement'!$B$24</f>
        <v>2870.372285649099</v>
      </c>
      <c r="G521" s="25">
        <f>'Combined Retirement'!$C$24</f>
        <v>3254.2644699519233</v>
      </c>
      <c r="H521" s="25">
        <f>IF(B521&lt;62,0,'Combined Retirement'!$I$14)</f>
        <v>2345</v>
      </c>
      <c r="I521" s="25">
        <f>IF(C521&lt;62,0,'Combined Retirement'!$I$13)</f>
        <v>2420</v>
      </c>
      <c r="J521" s="25">
        <f t="shared" ref="J521:J775" si="523">IF(C521&lt;59.5,P521,P521*$J$7)</f>
        <v>7896.2379798201846</v>
      </c>
      <c r="K521" s="25">
        <f t="shared" ref="K521:K775" si="524">IF(C521&lt;59.5,0,IF(C521&lt;$B$7,0,P521*$K$7))</f>
        <v>20367.195264578786</v>
      </c>
      <c r="L521" s="25"/>
      <c r="N521" s="25">
        <f>'Combined Retirement'!$C$18/12</f>
        <v>39153.069999999992</v>
      </c>
      <c r="O521" s="25">
        <f t="shared" ref="O521:O775" si="525">SUM(E521:I521)</f>
        <v>10889.636755601023</v>
      </c>
      <c r="P521" s="25">
        <f t="shared" ref="P521:P775" si="526">N521-O521</f>
        <v>28263.43324439897</v>
      </c>
      <c r="Q521" s="25">
        <f t="array" aca="1" ref="Q521" ca="1">INDEX('Isaac 401k'!L:L,MATCH('Retirement Calculator'!A521,'Isaac 401k'!N:N,0),0)</f>
        <v>1914937.3167482044</v>
      </c>
      <c r="R521" s="25">
        <f t="array" aca="1" ref="R521" ca="1">INDEX('Lorri 401b'!L:L,MATCH('Retirement Calculator'!A521,'Lorri 401b'!N:N,0),0)</f>
        <v>2653594.7203529025</v>
      </c>
      <c r="S521" s="25">
        <f t="shared" ref="S521:S775" ca="1" si="527">SUM(Q521:R521)</f>
        <v>4568532.0371011067</v>
      </c>
    </row>
    <row r="522" spans="1:19" ht="15.75" customHeight="1" x14ac:dyDescent="0.3">
      <c r="A522" s="37">
        <v>66842</v>
      </c>
      <c r="B522" s="398">
        <f t="shared" ref="B522:C522" si="528">($A522-B$9)/365.25</f>
        <v>101.12525667351129</v>
      </c>
      <c r="C522" s="398">
        <f t="shared" si="528"/>
        <v>96.514715947980832</v>
      </c>
      <c r="E522" s="25">
        <f>IF(C522&gt;$B$7,0,'Combined Retirement'!$D$13/12)</f>
        <v>0</v>
      </c>
      <c r="F522" s="25">
        <f>IF(H522=0,'Combined Retirement'!$D$32,0)+'Combined Retirement'!$B$24</f>
        <v>2870.372285649099</v>
      </c>
      <c r="G522" s="25">
        <f>'Combined Retirement'!$C$24</f>
        <v>3254.2644699519233</v>
      </c>
      <c r="H522" s="25">
        <f>IF(B522&lt;62,0,'Combined Retirement'!$I$14)</f>
        <v>2345</v>
      </c>
      <c r="I522" s="25">
        <f>IF(C522&lt;62,0,'Combined Retirement'!$I$13)</f>
        <v>2420</v>
      </c>
      <c r="J522" s="25">
        <f t="shared" si="523"/>
        <v>7896.2379798201846</v>
      </c>
      <c r="K522" s="25">
        <f t="shared" si="524"/>
        <v>20367.195264578786</v>
      </c>
      <c r="L522" s="25"/>
      <c r="N522" s="25">
        <f>'Combined Retirement'!$C$18/12</f>
        <v>39153.069999999992</v>
      </c>
      <c r="O522" s="25">
        <f t="shared" si="525"/>
        <v>10889.636755601023</v>
      </c>
      <c r="P522" s="25">
        <f t="shared" si="526"/>
        <v>28263.43324439897</v>
      </c>
      <c r="Q522" s="25">
        <f t="array" aca="1" ref="Q522" ca="1">INDEX('Isaac 401k'!L:L,MATCH('Retirement Calculator'!A522,'Isaac 401k'!N:N,0),0)</f>
        <v>1914987.0832632524</v>
      </c>
      <c r="R522" s="25">
        <f t="array" aca="1" ref="R522" ca="1">INDEX('Lorri 401b'!L:L,MATCH('Retirement Calculator'!A522,'Lorri 401b'!N:N,0),0)</f>
        <v>2644199.3064428587</v>
      </c>
      <c r="S522" s="25">
        <f t="shared" ca="1" si="527"/>
        <v>4559186.3897061106</v>
      </c>
    </row>
    <row r="523" spans="1:19" ht="15.75" customHeight="1" x14ac:dyDescent="0.3">
      <c r="A523" s="37">
        <v>66873</v>
      </c>
      <c r="B523" s="398">
        <f t="shared" ref="B523:C523" si="529">($A523-B$9)/365.25</f>
        <v>101.21013004791239</v>
      </c>
      <c r="C523" s="398">
        <f t="shared" si="529"/>
        <v>96.599589322381931</v>
      </c>
      <c r="E523" s="25">
        <f>IF(C523&gt;$B$7,0,'Combined Retirement'!$D$13/12)</f>
        <v>0</v>
      </c>
      <c r="F523" s="25">
        <f>IF(H523=0,'Combined Retirement'!$D$32,0)+'Combined Retirement'!$B$24</f>
        <v>2870.372285649099</v>
      </c>
      <c r="G523" s="25">
        <f>'Combined Retirement'!$C$24</f>
        <v>3254.2644699519233</v>
      </c>
      <c r="H523" s="25">
        <f>IF(B523&lt;62,0,'Combined Retirement'!$I$14)</f>
        <v>2345</v>
      </c>
      <c r="I523" s="25">
        <f>IF(C523&lt;62,0,'Combined Retirement'!$I$13)</f>
        <v>2420</v>
      </c>
      <c r="J523" s="25">
        <f t="shared" si="523"/>
        <v>7896.2379798201846</v>
      </c>
      <c r="K523" s="25">
        <f t="shared" si="524"/>
        <v>20367.195264578786</v>
      </c>
      <c r="L523" s="25"/>
      <c r="N523" s="25">
        <f>'Combined Retirement'!$C$18/12</f>
        <v>39153.069999999992</v>
      </c>
      <c r="O523" s="25">
        <f t="shared" si="525"/>
        <v>10889.636755601023</v>
      </c>
      <c r="P523" s="25">
        <f t="shared" si="526"/>
        <v>28263.43324439897</v>
      </c>
      <c r="Q523" s="25">
        <f t="array" aca="1" ref="Q523" ca="1">INDEX('Isaac 401k'!L:L,MATCH('Retirement Calculator'!A523,'Isaac 401k'!N:N,0),0)</f>
        <v>1915037.0571387799</v>
      </c>
      <c r="R523" s="25">
        <f t="array" aca="1" ref="R523" ca="1">INDEX('Lorri 401b'!L:L,MATCH('Retirement Calculator'!A523,'Lorri 401b'!N:N,0),0)</f>
        <v>2634764.7449748558</v>
      </c>
      <c r="S523" s="25">
        <f t="shared" ca="1" si="527"/>
        <v>4549801.8021136355</v>
      </c>
    </row>
    <row r="524" spans="1:19" ht="15.75" customHeight="1" x14ac:dyDescent="0.3">
      <c r="A524" s="37">
        <v>66901</v>
      </c>
      <c r="B524" s="398">
        <f t="shared" ref="B524:C524" si="530">($A524-B$9)/365.25</f>
        <v>101.28678986995209</v>
      </c>
      <c r="C524" s="398">
        <f t="shared" si="530"/>
        <v>96.676249144421632</v>
      </c>
      <c r="E524" s="25">
        <f>IF(C524&gt;$B$7,0,'Combined Retirement'!$D$13/12)</f>
        <v>0</v>
      </c>
      <c r="F524" s="25">
        <f>IF(H524=0,'Combined Retirement'!$D$32,0)+'Combined Retirement'!$B$24</f>
        <v>2870.372285649099</v>
      </c>
      <c r="G524" s="25">
        <f>'Combined Retirement'!$C$24</f>
        <v>3254.2644699519233</v>
      </c>
      <c r="H524" s="25">
        <f>IF(B524&lt;62,0,'Combined Retirement'!$I$14)</f>
        <v>2345</v>
      </c>
      <c r="I524" s="25">
        <f>IF(C524&lt;62,0,'Combined Retirement'!$I$13)</f>
        <v>2420</v>
      </c>
      <c r="J524" s="25">
        <f t="shared" si="523"/>
        <v>7896.2379798201846</v>
      </c>
      <c r="K524" s="25">
        <f t="shared" si="524"/>
        <v>20367.195264578786</v>
      </c>
      <c r="L524" s="25"/>
      <c r="N524" s="25">
        <f>'Combined Retirement'!$C$18/12</f>
        <v>39153.069999999992</v>
      </c>
      <c r="O524" s="25">
        <f t="shared" si="525"/>
        <v>10889.636755601023</v>
      </c>
      <c r="P524" s="25">
        <f t="shared" si="526"/>
        <v>28263.43324439897</v>
      </c>
      <c r="Q524" s="25">
        <f t="array" aca="1" ref="Q524" ca="1">INDEX('Isaac 401k'!L:L,MATCH('Retirement Calculator'!A524,'Isaac 401k'!N:N,0),0)</f>
        <v>1915087.2392387886</v>
      </c>
      <c r="R524" s="25">
        <f t="array" aca="1" ref="R524" ca="1">INDEX('Lorri 401b'!L:L,MATCH('Retirement Calculator'!A524,'Lorri 401b'!N:N,0),0)</f>
        <v>2625290.8728340697</v>
      </c>
      <c r="S524" s="25">
        <f t="shared" ca="1" si="527"/>
        <v>4540378.112072858</v>
      </c>
    </row>
    <row r="525" spans="1:19" ht="15.75" customHeight="1" x14ac:dyDescent="0.3">
      <c r="A525" s="37">
        <v>66932</v>
      </c>
      <c r="B525" s="398">
        <f t="shared" ref="B525:C525" si="531">($A525-B$9)/365.25</f>
        <v>101.37166324435319</v>
      </c>
      <c r="C525" s="398">
        <f t="shared" si="531"/>
        <v>96.761122518822731</v>
      </c>
      <c r="E525" s="25">
        <f>IF(C525&gt;$B$7,0,'Combined Retirement'!$D$13/12)</f>
        <v>0</v>
      </c>
      <c r="F525" s="25">
        <f>IF(H525=0,'Combined Retirement'!$D$32,0)+'Combined Retirement'!$B$24</f>
        <v>2870.372285649099</v>
      </c>
      <c r="G525" s="25">
        <f>'Combined Retirement'!$C$24</f>
        <v>3254.2644699519233</v>
      </c>
      <c r="H525" s="25">
        <f>IF(B525&lt;62,0,'Combined Retirement'!$I$14)</f>
        <v>2345</v>
      </c>
      <c r="I525" s="25">
        <f>IF(C525&lt;62,0,'Combined Retirement'!$I$13)</f>
        <v>2420</v>
      </c>
      <c r="J525" s="25">
        <f t="shared" si="523"/>
        <v>7896.2379798201846</v>
      </c>
      <c r="K525" s="25">
        <f t="shared" si="524"/>
        <v>20367.195264578786</v>
      </c>
      <c r="L525" s="25"/>
      <c r="N525" s="25">
        <f>'Combined Retirement'!$C$18/12</f>
        <v>39153.069999999992</v>
      </c>
      <c r="O525" s="25">
        <f t="shared" si="525"/>
        <v>10889.636755601023</v>
      </c>
      <c r="P525" s="25">
        <f t="shared" si="526"/>
        <v>28263.43324439897</v>
      </c>
      <c r="Q525" s="25">
        <f t="array" aca="1" ref="Q525" ca="1">INDEX('Isaac 401k'!L:L,MATCH('Retirement Calculator'!A525,'Isaac 401k'!N:N,0),0)</f>
        <v>1915137.6304308807</v>
      </c>
      <c r="R525" s="25">
        <f t="array" aca="1" ref="R525" ca="1">INDEX('Lorri 401b'!L:L,MATCH('Retirement Calculator'!A525,'Lorri 401b'!N:N,0),0)</f>
        <v>2615777.5262260302</v>
      </c>
      <c r="S525" s="25">
        <f t="shared" ca="1" si="527"/>
        <v>4530915.1566569107</v>
      </c>
    </row>
    <row r="526" spans="1:19" ht="15.75" customHeight="1" x14ac:dyDescent="0.3">
      <c r="A526" s="37">
        <v>66962</v>
      </c>
      <c r="B526" s="398">
        <f t="shared" ref="B526:C526" si="532">($A526-B$9)/365.25</f>
        <v>101.45379876796714</v>
      </c>
      <c r="C526" s="398">
        <f t="shared" si="532"/>
        <v>96.843258042436688</v>
      </c>
      <c r="E526" s="25">
        <f>IF(C526&gt;$B$7,0,'Combined Retirement'!$D$13/12)</f>
        <v>0</v>
      </c>
      <c r="F526" s="25">
        <f>IF(H526=0,'Combined Retirement'!$D$32,0)+'Combined Retirement'!$B$24</f>
        <v>2870.372285649099</v>
      </c>
      <c r="G526" s="25">
        <f>'Combined Retirement'!$C$24</f>
        <v>3254.2644699519233</v>
      </c>
      <c r="H526" s="25">
        <f>IF(B526&lt;62,0,'Combined Retirement'!$I$14)</f>
        <v>2345</v>
      </c>
      <c r="I526" s="25">
        <f>IF(C526&lt;62,0,'Combined Retirement'!$I$13)</f>
        <v>2420</v>
      </c>
      <c r="J526" s="25">
        <f t="shared" si="523"/>
        <v>7896.2379798201846</v>
      </c>
      <c r="K526" s="25">
        <f t="shared" si="524"/>
        <v>20367.195264578786</v>
      </c>
      <c r="L526" s="25"/>
      <c r="N526" s="25">
        <f>'Combined Retirement'!$C$18/12</f>
        <v>39153.069999999992</v>
      </c>
      <c r="O526" s="25">
        <f t="shared" si="525"/>
        <v>10889.636755601023</v>
      </c>
      <c r="P526" s="25">
        <f t="shared" si="526"/>
        <v>28263.43324439897</v>
      </c>
      <c r="Q526" s="25">
        <f t="array" aca="1" ref="Q526" ca="1">INDEX('Isaac 401k'!L:L,MATCH('Retirement Calculator'!A526,'Isaac 401k'!N:N,0),0)</f>
        <v>1915188.2315862733</v>
      </c>
      <c r="R526" s="25">
        <f t="array" aca="1" ref="R526" ca="1">INDEX('Lorri 401b'!L:L,MATCH('Retirement Calculator'!A526,'Lorri 401b'!N:N,0),0)</f>
        <v>2606224.540673791</v>
      </c>
      <c r="S526" s="25">
        <f t="shared" ca="1" si="527"/>
        <v>4521412.7722600643</v>
      </c>
    </row>
    <row r="527" spans="1:19" ht="15.75" customHeight="1" x14ac:dyDescent="0.3">
      <c r="A527" s="37">
        <v>66993</v>
      </c>
      <c r="B527" s="398">
        <f t="shared" ref="B527:C527" si="533">($A527-B$9)/365.25</f>
        <v>101.53867214236824</v>
      </c>
      <c r="C527" s="398">
        <f t="shared" si="533"/>
        <v>96.928131416837786</v>
      </c>
      <c r="E527" s="25">
        <f>IF(C527&gt;$B$7,0,'Combined Retirement'!$D$13/12)</f>
        <v>0</v>
      </c>
      <c r="F527" s="25">
        <f>IF(H527=0,'Combined Retirement'!$D$32,0)+'Combined Retirement'!$B$24</f>
        <v>2870.372285649099</v>
      </c>
      <c r="G527" s="25">
        <f>'Combined Retirement'!$C$24</f>
        <v>3254.2644699519233</v>
      </c>
      <c r="H527" s="25">
        <f>IF(B527&lt;62,0,'Combined Retirement'!$I$14)</f>
        <v>2345</v>
      </c>
      <c r="I527" s="25">
        <f>IF(C527&lt;62,0,'Combined Retirement'!$I$13)</f>
        <v>2420</v>
      </c>
      <c r="J527" s="25">
        <f t="shared" si="523"/>
        <v>7896.2379798201846</v>
      </c>
      <c r="K527" s="25">
        <f t="shared" si="524"/>
        <v>20367.195264578786</v>
      </c>
      <c r="L527" s="25"/>
      <c r="N527" s="25">
        <f>'Combined Retirement'!$C$18/12</f>
        <v>39153.069999999992</v>
      </c>
      <c r="O527" s="25">
        <f t="shared" si="525"/>
        <v>10889.636755601023</v>
      </c>
      <c r="P527" s="25">
        <f t="shared" si="526"/>
        <v>28263.43324439897</v>
      </c>
      <c r="Q527" s="25">
        <f t="array" aca="1" ref="Q527" ca="1">INDEX('Isaac 401k'!L:L,MATCH('Retirement Calculator'!A527,'Isaac 401k'!N:N,0),0)</f>
        <v>1915239.0435798133</v>
      </c>
      <c r="R527" s="25">
        <f t="array" aca="1" ref="R527" ca="1">INDEX('Lorri 401b'!L:L,MATCH('Retirement Calculator'!A527,'Lorri 401b'!N:N,0),0)</f>
        <v>2596631.7510150839</v>
      </c>
      <c r="S527" s="25">
        <f t="shared" ca="1" si="527"/>
        <v>4511870.794594897</v>
      </c>
    </row>
    <row r="528" spans="1:19" ht="15.75" customHeight="1" x14ac:dyDescent="0.3">
      <c r="A528" s="37">
        <v>67023</v>
      </c>
      <c r="B528" s="398">
        <f t="shared" ref="B528:C528" si="534">($A528-B$9)/365.25</f>
        <v>101.6208076659822</v>
      </c>
      <c r="C528" s="398">
        <f t="shared" si="534"/>
        <v>97.010266940451743</v>
      </c>
      <c r="E528" s="25">
        <f>IF(C528&gt;$B$7,0,'Combined Retirement'!$D$13/12)</f>
        <v>0</v>
      </c>
      <c r="F528" s="25">
        <f>IF(H528=0,'Combined Retirement'!$D$32,0)+'Combined Retirement'!$B$24</f>
        <v>2870.372285649099</v>
      </c>
      <c r="G528" s="25">
        <f>'Combined Retirement'!$C$24</f>
        <v>3254.2644699519233</v>
      </c>
      <c r="H528" s="25">
        <f>IF(B528&lt;62,0,'Combined Retirement'!$I$14)</f>
        <v>2345</v>
      </c>
      <c r="I528" s="25">
        <f>IF(C528&lt;62,0,'Combined Retirement'!$I$13)</f>
        <v>2420</v>
      </c>
      <c r="J528" s="25">
        <f t="shared" si="523"/>
        <v>7896.2379798201846</v>
      </c>
      <c r="K528" s="25">
        <f t="shared" si="524"/>
        <v>20367.195264578786</v>
      </c>
      <c r="L528" s="25"/>
      <c r="N528" s="25">
        <f>'Combined Retirement'!$C$18/12</f>
        <v>39153.069999999992</v>
      </c>
      <c r="O528" s="25">
        <f t="shared" si="525"/>
        <v>10889.636755601023</v>
      </c>
      <c r="P528" s="25">
        <f t="shared" si="526"/>
        <v>28263.43324439897</v>
      </c>
      <c r="Q528" s="25">
        <f t="array" aca="1" ref="Q528" ca="1">INDEX('Isaac 401k'!L:L,MATCH('Retirement Calculator'!A528,'Isaac 401k'!N:N,0),0)</f>
        <v>1915290.0672899932</v>
      </c>
      <c r="R528" s="25">
        <f t="array" aca="1" ref="R528" ca="1">INDEX('Lorri 401b'!L:L,MATCH('Retirement Calculator'!A528,'Lorri 401b'!N:N,0),0)</f>
        <v>2586998.9913994656</v>
      </c>
      <c r="S528" s="25">
        <f t="shared" ca="1" si="527"/>
        <v>4502289.0586894583</v>
      </c>
    </row>
    <row r="529" spans="1:19" ht="15.75" customHeight="1" x14ac:dyDescent="0.3">
      <c r="A529" s="37">
        <v>67054</v>
      </c>
      <c r="B529" s="398">
        <f t="shared" ref="B529:C529" si="535">($A529-B$9)/365.25</f>
        <v>101.7056810403833</v>
      </c>
      <c r="C529" s="398">
        <f t="shared" si="535"/>
        <v>97.095140314852841</v>
      </c>
      <c r="E529" s="25">
        <f>IF(C529&gt;$B$7,0,'Combined Retirement'!$D$13/12)</f>
        <v>0</v>
      </c>
      <c r="F529" s="25">
        <f>IF(H529=0,'Combined Retirement'!$D$32,0)+'Combined Retirement'!$B$24</f>
        <v>2870.372285649099</v>
      </c>
      <c r="G529" s="25">
        <f>'Combined Retirement'!$C$24</f>
        <v>3254.2644699519233</v>
      </c>
      <c r="H529" s="25">
        <f>IF(B529&lt;62,0,'Combined Retirement'!$I$14)</f>
        <v>2345</v>
      </c>
      <c r="I529" s="25">
        <f>IF(C529&lt;62,0,'Combined Retirement'!$I$13)</f>
        <v>2420</v>
      </c>
      <c r="J529" s="25">
        <f t="shared" si="523"/>
        <v>7896.2379798201846</v>
      </c>
      <c r="K529" s="25">
        <f t="shared" si="524"/>
        <v>20367.195264578786</v>
      </c>
      <c r="L529" s="25"/>
      <c r="N529" s="25">
        <f>'Combined Retirement'!$C$18/12</f>
        <v>39153.069999999992</v>
      </c>
      <c r="O529" s="25">
        <f t="shared" si="525"/>
        <v>10889.636755601023</v>
      </c>
      <c r="P529" s="25">
        <f t="shared" si="526"/>
        <v>28263.43324439897</v>
      </c>
      <c r="Q529" s="25">
        <f t="array" aca="1" ref="Q529" ca="1">INDEX('Isaac 401k'!L:L,MATCH('Retirement Calculator'!A529,'Isaac 401k'!N:N,0),0)</f>
        <v>1915341.3035989653</v>
      </c>
      <c r="R529" s="25">
        <f t="array" aca="1" ref="R529" ca="1">INDEX('Lorri 401b'!L:L,MATCH('Retirement Calculator'!A529,'Lorri 401b'!N:N,0),0)</f>
        <v>2577326.0952854487</v>
      </c>
      <c r="S529" s="25">
        <f t="shared" ca="1" si="527"/>
        <v>4492667.3988844138</v>
      </c>
    </row>
    <row r="530" spans="1:19" ht="15.75" customHeight="1" x14ac:dyDescent="0.3">
      <c r="A530" s="37">
        <v>67085</v>
      </c>
      <c r="B530" s="398">
        <f t="shared" ref="B530:C530" si="536">($A530-B$9)/365.25</f>
        <v>101.7905544147844</v>
      </c>
      <c r="C530" s="398">
        <f t="shared" si="536"/>
        <v>97.18001368925394</v>
      </c>
      <c r="E530" s="25">
        <f>IF(C530&gt;$B$7,0,'Combined Retirement'!$D$13/12)</f>
        <v>0</v>
      </c>
      <c r="F530" s="25">
        <f>IF(H530=0,'Combined Retirement'!$D$32,0)+'Combined Retirement'!$B$24</f>
        <v>2870.372285649099</v>
      </c>
      <c r="G530" s="25">
        <f>'Combined Retirement'!$C$24</f>
        <v>3254.2644699519233</v>
      </c>
      <c r="H530" s="25">
        <f>IF(B530&lt;62,0,'Combined Retirement'!$I$14)</f>
        <v>2345</v>
      </c>
      <c r="I530" s="25">
        <f>IF(C530&lt;62,0,'Combined Retirement'!$I$13)</f>
        <v>2420</v>
      </c>
      <c r="J530" s="25">
        <f t="shared" si="523"/>
        <v>7896.2379798201846</v>
      </c>
      <c r="K530" s="25">
        <f t="shared" si="524"/>
        <v>20367.195264578786</v>
      </c>
      <c r="L530" s="25"/>
      <c r="N530" s="25">
        <f>'Combined Retirement'!$C$18/12</f>
        <v>39153.069999999992</v>
      </c>
      <c r="O530" s="25">
        <f t="shared" si="525"/>
        <v>10889.636755601023</v>
      </c>
      <c r="P530" s="25">
        <f t="shared" si="526"/>
        <v>28263.43324439897</v>
      </c>
      <c r="Q530" s="25">
        <f t="array" aca="1" ref="Q530" ca="1">INDEX('Isaac 401k'!L:L,MATCH('Retirement Calculator'!A530,'Isaac 401k'!N:N,0),0)</f>
        <v>1915392.7533925581</v>
      </c>
      <c r="R530" s="25">
        <f t="array" aca="1" ref="R530" ca="1">INDEX('Lorri 401b'!L:L,MATCH('Retirement Calculator'!A530,'Lorri 401b'!N:N,0),0)</f>
        <v>2567612.8954376234</v>
      </c>
      <c r="S530" s="25">
        <f t="shared" ca="1" si="527"/>
        <v>4483005.648830181</v>
      </c>
    </row>
    <row r="531" spans="1:19" ht="15.75" customHeight="1" x14ac:dyDescent="0.3">
      <c r="A531" s="37">
        <v>67115</v>
      </c>
      <c r="B531" s="398">
        <f t="shared" ref="B531:C531" si="537">($A531-B$9)/365.25</f>
        <v>101.87268993839835</v>
      </c>
      <c r="C531" s="398">
        <f t="shared" si="537"/>
        <v>97.262149212867897</v>
      </c>
      <c r="E531" s="25">
        <f>IF(C531&gt;$B$7,0,'Combined Retirement'!$D$13/12)</f>
        <v>0</v>
      </c>
      <c r="F531" s="25">
        <f>IF(H531=0,'Combined Retirement'!$D$32,0)+'Combined Retirement'!$B$24</f>
        <v>2870.372285649099</v>
      </c>
      <c r="G531" s="25">
        <f>'Combined Retirement'!$C$24</f>
        <v>3254.2644699519233</v>
      </c>
      <c r="H531" s="25">
        <f>IF(B531&lt;62,0,'Combined Retirement'!$I$14)</f>
        <v>2345</v>
      </c>
      <c r="I531" s="25">
        <f>IF(C531&lt;62,0,'Combined Retirement'!$I$13)</f>
        <v>2420</v>
      </c>
      <c r="J531" s="25">
        <f t="shared" si="523"/>
        <v>7896.2379798201846</v>
      </c>
      <c r="K531" s="25">
        <f t="shared" si="524"/>
        <v>20367.195264578786</v>
      </c>
      <c r="L531" s="25"/>
      <c r="N531" s="25">
        <f>'Combined Retirement'!$C$18/12</f>
        <v>39153.069999999992</v>
      </c>
      <c r="O531" s="25">
        <f t="shared" si="525"/>
        <v>10889.636755601023</v>
      </c>
      <c r="P531" s="25">
        <f t="shared" si="526"/>
        <v>28263.43324439897</v>
      </c>
      <c r="Q531" s="25">
        <f t="array" aca="1" ref="Q531" ca="1">INDEX('Isaac 401k'!L:L,MATCH('Retirement Calculator'!A531,'Isaac 401k'!N:N,0),0)</f>
        <v>1915444.417560291</v>
      </c>
      <c r="R531" s="25">
        <f t="array" aca="1" ref="R531" ca="1">INDEX('Lorri 401b'!L:L,MATCH('Retirement Calculator'!A531,'Lorri 401b'!N:N,0),0)</f>
        <v>2557859.2239237656</v>
      </c>
      <c r="S531" s="25">
        <f t="shared" ca="1" si="527"/>
        <v>4473303.6414840566</v>
      </c>
    </row>
    <row r="532" spans="1:19" ht="15.75" customHeight="1" x14ac:dyDescent="0.3">
      <c r="A532" s="37">
        <v>67146</v>
      </c>
      <c r="B532" s="398">
        <f t="shared" ref="B532:C532" si="538">($A532-B$9)/365.25</f>
        <v>101.95756331279945</v>
      </c>
      <c r="C532" s="398">
        <f t="shared" si="538"/>
        <v>97.347022587268995</v>
      </c>
      <c r="E532" s="25">
        <f>IF(C532&gt;$B$7,0,'Combined Retirement'!$D$13/12)</f>
        <v>0</v>
      </c>
      <c r="F532" s="25">
        <f>IF(H532=0,'Combined Retirement'!$D$32,0)+'Combined Retirement'!$B$24</f>
        <v>2870.372285649099</v>
      </c>
      <c r="G532" s="25">
        <f>'Combined Retirement'!$C$24</f>
        <v>3254.2644699519233</v>
      </c>
      <c r="H532" s="25">
        <f>IF(B532&lt;62,0,'Combined Retirement'!$I$14)</f>
        <v>2345</v>
      </c>
      <c r="I532" s="25">
        <f>IF(C532&lt;62,0,'Combined Retirement'!$I$13)</f>
        <v>2420</v>
      </c>
      <c r="J532" s="25">
        <f t="shared" si="523"/>
        <v>7896.2379798201846</v>
      </c>
      <c r="K532" s="25">
        <f t="shared" si="524"/>
        <v>20367.195264578786</v>
      </c>
      <c r="L532" s="25"/>
      <c r="N532" s="25">
        <f>'Combined Retirement'!$C$18/12</f>
        <v>39153.069999999992</v>
      </c>
      <c r="O532" s="25">
        <f t="shared" si="525"/>
        <v>10889.636755601023</v>
      </c>
      <c r="P532" s="25">
        <f t="shared" si="526"/>
        <v>28263.43324439897</v>
      </c>
      <c r="Q532" s="25">
        <f t="array" aca="1" ref="Q532" ca="1">INDEX('Isaac 401k'!L:L,MATCH('Retirement Calculator'!A532,'Isaac 401k'!N:N,0),0)</f>
        <v>1915496.2969953895</v>
      </c>
      <c r="R532" s="25">
        <f t="array" aca="1" ref="R532" ca="1">INDEX('Lorri 401b'!L:L,MATCH('Retirement Calculator'!A532,'Lorri 401b'!N:N,0),0)</f>
        <v>2548064.9121119333</v>
      </c>
      <c r="S532" s="25">
        <f t="shared" ca="1" si="527"/>
        <v>4463561.2091073226</v>
      </c>
    </row>
    <row r="533" spans="1:19" ht="15.75" customHeight="1" x14ac:dyDescent="0.3">
      <c r="A533" s="37">
        <v>67176</v>
      </c>
      <c r="B533" s="398">
        <f t="shared" ref="B533:C533" si="539">($A533-B$9)/365.25</f>
        <v>102.03969883641342</v>
      </c>
      <c r="C533" s="398">
        <f t="shared" si="539"/>
        <v>97.429158110882952</v>
      </c>
      <c r="E533" s="25">
        <f>IF(C533&gt;$B$7,0,'Combined Retirement'!$D$13/12)</f>
        <v>0</v>
      </c>
      <c r="F533" s="25">
        <f>IF(H533=0,'Combined Retirement'!$D$32,0)+'Combined Retirement'!$B$24</f>
        <v>2870.372285649099</v>
      </c>
      <c r="G533" s="25">
        <f>'Combined Retirement'!$C$24</f>
        <v>3254.2644699519233</v>
      </c>
      <c r="H533" s="25">
        <f>IF(B533&lt;62,0,'Combined Retirement'!$I$14)</f>
        <v>2345</v>
      </c>
      <c r="I533" s="25">
        <f>IF(C533&lt;62,0,'Combined Retirement'!$I$13)</f>
        <v>2420</v>
      </c>
      <c r="J533" s="25">
        <f t="shared" si="523"/>
        <v>7896.2379798201846</v>
      </c>
      <c r="K533" s="25">
        <f t="shared" si="524"/>
        <v>20367.195264578786</v>
      </c>
      <c r="L533" s="25"/>
      <c r="N533" s="25">
        <f>'Combined Retirement'!$C$18/12</f>
        <v>39153.069999999992</v>
      </c>
      <c r="O533" s="25">
        <f t="shared" si="525"/>
        <v>10889.636755601023</v>
      </c>
      <c r="P533" s="25">
        <f t="shared" si="526"/>
        <v>28263.43324439897</v>
      </c>
      <c r="Q533" s="25">
        <f t="array" aca="1" ref="Q533" ca="1">INDEX('Isaac 401k'!L:L,MATCH('Retirement Calculator'!A533,'Isaac 401k'!N:N,0),0)</f>
        <v>1915548.3925948008</v>
      </c>
      <c r="R533" s="25">
        <f t="array" aca="1" ref="R533" ca="1">INDEX('Lorri 401b'!L:L,MATCH('Retirement Calculator'!A533,'Lorri 401b'!N:N,0),0)</f>
        <v>2538229.790667552</v>
      </c>
      <c r="S533" s="25">
        <f t="shared" ca="1" si="527"/>
        <v>4453778.1832623528</v>
      </c>
    </row>
    <row r="534" spans="1:19" ht="15.75" customHeight="1" x14ac:dyDescent="0.3">
      <c r="A534" s="37">
        <v>67207</v>
      </c>
      <c r="B534" s="398">
        <f t="shared" ref="B534:C534" si="540">($A534-B$9)/365.25</f>
        <v>102.12457221081451</v>
      </c>
      <c r="C534" s="398">
        <f t="shared" si="540"/>
        <v>97.51403148528405</v>
      </c>
      <c r="E534" s="25">
        <f>IF(C534&gt;$B$7,0,'Combined Retirement'!$D$13/12)</f>
        <v>0</v>
      </c>
      <c r="F534" s="25">
        <f>IF(H534=0,'Combined Retirement'!$D$32,0)+'Combined Retirement'!$B$24</f>
        <v>2870.372285649099</v>
      </c>
      <c r="G534" s="25">
        <f>'Combined Retirement'!$C$24</f>
        <v>3254.2644699519233</v>
      </c>
      <c r="H534" s="25">
        <f>IF(B534&lt;62,0,'Combined Retirement'!$I$14)</f>
        <v>2345</v>
      </c>
      <c r="I534" s="25">
        <f>IF(C534&lt;62,0,'Combined Retirement'!$I$13)</f>
        <v>2420</v>
      </c>
      <c r="J534" s="25">
        <f t="shared" si="523"/>
        <v>7896.2379798201846</v>
      </c>
      <c r="K534" s="25">
        <f t="shared" si="524"/>
        <v>20367.195264578786</v>
      </c>
      <c r="L534" s="25"/>
      <c r="N534" s="25">
        <f>'Combined Retirement'!$C$18/12</f>
        <v>39153.069999999992</v>
      </c>
      <c r="O534" s="25">
        <f t="shared" si="525"/>
        <v>10889.636755601023</v>
      </c>
      <c r="P534" s="25">
        <f t="shared" si="526"/>
        <v>28263.43324439897</v>
      </c>
      <c r="Q534" s="25">
        <f t="array" aca="1" ref="Q534" ca="1">INDEX('Isaac 401k'!L:L,MATCH('Retirement Calculator'!A534,'Isaac 401k'!N:N,0),0)</f>
        <v>1915600.7052592097</v>
      </c>
      <c r="R534" s="25">
        <f t="array" aca="1" ref="R534" ca="1">INDEX('Lorri 401b'!L:L,MATCH('Retirement Calculator'!A534,'Lorri 401b'!N:N,0),0)</f>
        <v>2528353.6895504855</v>
      </c>
      <c r="S534" s="25">
        <f t="shared" ca="1" si="527"/>
        <v>4443954.394809695</v>
      </c>
    </row>
    <row r="535" spans="1:19" ht="15.75" customHeight="1" x14ac:dyDescent="0.3">
      <c r="A535" s="37">
        <v>67238</v>
      </c>
      <c r="B535" s="398">
        <f t="shared" ref="B535:C535" si="541">($A535-B$9)/365.25</f>
        <v>102.2094455852156</v>
      </c>
      <c r="C535" s="398">
        <f t="shared" si="541"/>
        <v>97.598904859685149</v>
      </c>
      <c r="E535" s="25">
        <f>IF(C535&gt;$B$7,0,'Combined Retirement'!$D$13/12)</f>
        <v>0</v>
      </c>
      <c r="F535" s="25">
        <f>IF(H535=0,'Combined Retirement'!$D$32,0)+'Combined Retirement'!$B$24</f>
        <v>2870.372285649099</v>
      </c>
      <c r="G535" s="25">
        <f>'Combined Retirement'!$C$24</f>
        <v>3254.2644699519233</v>
      </c>
      <c r="H535" s="25">
        <f>IF(B535&lt;62,0,'Combined Retirement'!$I$14)</f>
        <v>2345</v>
      </c>
      <c r="I535" s="25">
        <f>IF(C535&lt;62,0,'Combined Retirement'!$I$13)</f>
        <v>2420</v>
      </c>
      <c r="J535" s="25">
        <f t="shared" si="523"/>
        <v>7896.2379798201846</v>
      </c>
      <c r="K535" s="25">
        <f t="shared" si="524"/>
        <v>20367.195264578786</v>
      </c>
      <c r="L535" s="25"/>
      <c r="N535" s="25">
        <f>'Combined Retirement'!$C$18/12</f>
        <v>39153.069999999992</v>
      </c>
      <c r="O535" s="25">
        <f t="shared" si="525"/>
        <v>10889.636755601023</v>
      </c>
      <c r="P535" s="25">
        <f t="shared" si="526"/>
        <v>28263.43324439897</v>
      </c>
      <c r="Q535" s="25">
        <f t="array" aca="1" ref="Q535" ca="1">INDEX('Isaac 401k'!L:L,MATCH('Retirement Calculator'!A535,'Isaac 401k'!N:N,0),0)</f>
        <v>1915653.2358930537</v>
      </c>
      <c r="R535" s="25">
        <f t="array" aca="1" ref="R535" ca="1">INDEX('Lorri 401b'!L:L,MATCH('Retirement Calculator'!A535,'Lorri 401b'!N:N,0),0)</f>
        <v>2518436.438012098</v>
      </c>
      <c r="S535" s="25">
        <f t="shared" ca="1" si="527"/>
        <v>4434089.6739051519</v>
      </c>
    </row>
    <row r="536" spans="1:19" ht="15.75" customHeight="1" x14ac:dyDescent="0.3">
      <c r="A536" s="37">
        <v>67267</v>
      </c>
      <c r="B536" s="398">
        <f t="shared" ref="B536:C536" si="542">($A536-B$9)/365.25</f>
        <v>102.28884325804243</v>
      </c>
      <c r="C536" s="398">
        <f t="shared" si="542"/>
        <v>97.678302532511978</v>
      </c>
      <c r="E536" s="25">
        <f>IF(C536&gt;$B$7,0,'Combined Retirement'!$D$13/12)</f>
        <v>0</v>
      </c>
      <c r="F536" s="25">
        <f>IF(H536=0,'Combined Retirement'!$D$32,0)+'Combined Retirement'!$B$24</f>
        <v>2870.372285649099</v>
      </c>
      <c r="G536" s="25">
        <f>'Combined Retirement'!$C$24</f>
        <v>3254.2644699519233</v>
      </c>
      <c r="H536" s="25">
        <f>IF(B536&lt;62,0,'Combined Retirement'!$I$14)</f>
        <v>2345</v>
      </c>
      <c r="I536" s="25">
        <f>IF(C536&lt;62,0,'Combined Retirement'!$I$13)</f>
        <v>2420</v>
      </c>
      <c r="J536" s="25">
        <f t="shared" si="523"/>
        <v>7896.2379798201846</v>
      </c>
      <c r="K536" s="25">
        <f t="shared" si="524"/>
        <v>20367.195264578786</v>
      </c>
      <c r="L536" s="25"/>
      <c r="N536" s="25">
        <f>'Combined Retirement'!$C$18/12</f>
        <v>39153.069999999992</v>
      </c>
      <c r="O536" s="25">
        <f t="shared" si="525"/>
        <v>10889.636755601023</v>
      </c>
      <c r="P536" s="25">
        <f t="shared" si="526"/>
        <v>28263.43324439897</v>
      </c>
      <c r="Q536" s="25">
        <f t="array" aca="1" ref="Q536" ca="1">INDEX('Isaac 401k'!L:L,MATCH('Retirement Calculator'!A536,'Isaac 401k'!N:N,0),0)</f>
        <v>1915705.9854045387</v>
      </c>
      <c r="R536" s="25">
        <f t="array" aca="1" ref="R536" ca="1">INDEX('Lorri 401b'!L:L,MATCH('Retirement Calculator'!A536,'Lorri 401b'!N:N,0),0)</f>
        <v>2508477.8645923007</v>
      </c>
      <c r="S536" s="25">
        <f t="shared" ca="1" si="527"/>
        <v>4424183.8499968396</v>
      </c>
    </row>
    <row r="537" spans="1:19" ht="15.75" customHeight="1" x14ac:dyDescent="0.3">
      <c r="A537" s="37">
        <v>67298</v>
      </c>
      <c r="B537" s="398">
        <f t="shared" ref="B537:C537" si="543">($A537-B$9)/365.25</f>
        <v>102.37371663244353</v>
      </c>
      <c r="C537" s="398">
        <f t="shared" si="543"/>
        <v>97.763175906913077</v>
      </c>
      <c r="E537" s="25">
        <f>IF(C537&gt;$B$7,0,'Combined Retirement'!$D$13/12)</f>
        <v>0</v>
      </c>
      <c r="F537" s="25">
        <f>IF(H537=0,'Combined Retirement'!$D$32,0)+'Combined Retirement'!$B$24</f>
        <v>2870.372285649099</v>
      </c>
      <c r="G537" s="25">
        <f>'Combined Retirement'!$C$24</f>
        <v>3254.2644699519233</v>
      </c>
      <c r="H537" s="25">
        <f>IF(B537&lt;62,0,'Combined Retirement'!$I$14)</f>
        <v>2345</v>
      </c>
      <c r="I537" s="25">
        <f>IF(C537&lt;62,0,'Combined Retirement'!$I$13)</f>
        <v>2420</v>
      </c>
      <c r="J537" s="25">
        <f t="shared" si="523"/>
        <v>7896.2379798201846</v>
      </c>
      <c r="K537" s="25">
        <f t="shared" si="524"/>
        <v>20367.195264578786</v>
      </c>
      <c r="L537" s="25"/>
      <c r="N537" s="25">
        <f>'Combined Retirement'!$C$18/12</f>
        <v>39153.069999999992</v>
      </c>
      <c r="O537" s="25">
        <f t="shared" si="525"/>
        <v>10889.636755601023</v>
      </c>
      <c r="P537" s="25">
        <f t="shared" si="526"/>
        <v>28263.43324439897</v>
      </c>
      <c r="Q537" s="25">
        <f t="array" aca="1" ref="Q537" ca="1">INDEX('Isaac 401k'!L:L,MATCH('Retirement Calculator'!A537,'Isaac 401k'!N:N,0),0)</f>
        <v>1915758.9547056549</v>
      </c>
      <c r="R537" s="25">
        <f t="array" aca="1" ref="R537" ca="1">INDEX('Lorri 401b'!L:L,MATCH('Retirement Calculator'!A537,'Lorri 401b'!N:N,0),0)</f>
        <v>2498477.7971165874</v>
      </c>
      <c r="S537" s="25">
        <f t="shared" ca="1" si="527"/>
        <v>4414236.7518222425</v>
      </c>
    </row>
    <row r="538" spans="1:19" ht="15.75" customHeight="1" x14ac:dyDescent="0.3">
      <c r="A538" s="37">
        <v>67328</v>
      </c>
      <c r="B538" s="398">
        <f t="shared" ref="B538:C538" si="544">($A538-B$9)/365.25</f>
        <v>102.45585215605749</v>
      </c>
      <c r="C538" s="398">
        <f t="shared" si="544"/>
        <v>97.845311430527033</v>
      </c>
      <c r="E538" s="25">
        <f>IF(C538&gt;$B$7,0,'Combined Retirement'!$D$13/12)</f>
        <v>0</v>
      </c>
      <c r="F538" s="25">
        <f>IF(H538=0,'Combined Retirement'!$D$32,0)+'Combined Retirement'!$B$24</f>
        <v>2870.372285649099</v>
      </c>
      <c r="G538" s="25">
        <f>'Combined Retirement'!$C$24</f>
        <v>3254.2644699519233</v>
      </c>
      <c r="H538" s="25">
        <f>IF(B538&lt;62,0,'Combined Retirement'!$I$14)</f>
        <v>2345</v>
      </c>
      <c r="I538" s="25">
        <f>IF(C538&lt;62,0,'Combined Retirement'!$I$13)</f>
        <v>2420</v>
      </c>
      <c r="J538" s="25">
        <f t="shared" si="523"/>
        <v>7896.2379798201846</v>
      </c>
      <c r="K538" s="25">
        <f t="shared" si="524"/>
        <v>20367.195264578786</v>
      </c>
      <c r="L538" s="25"/>
      <c r="N538" s="25">
        <f>'Combined Retirement'!$C$18/12</f>
        <v>39153.069999999992</v>
      </c>
      <c r="O538" s="25">
        <f t="shared" si="525"/>
        <v>10889.636755601023</v>
      </c>
      <c r="P538" s="25">
        <f t="shared" si="526"/>
        <v>28263.43324439897</v>
      </c>
      <c r="Q538" s="25">
        <f t="array" aca="1" ref="Q538" ca="1">INDEX('Isaac 401k'!L:L,MATCH('Retirement Calculator'!A538,'Isaac 401k'!N:N,0),0)</f>
        <v>1915812.1447121922</v>
      </c>
      <c r="R538" s="25">
        <f t="array" aca="1" ref="R538" ca="1">INDEX('Lorri 401b'!L:L,MATCH('Retirement Calculator'!A538,'Lorri 401b'!N:N,0),0)</f>
        <v>2488436.0626930585</v>
      </c>
      <c r="S538" s="25">
        <f t="shared" ca="1" si="527"/>
        <v>4404248.2074052505</v>
      </c>
    </row>
    <row r="539" spans="1:19" ht="15.75" customHeight="1" x14ac:dyDescent="0.3">
      <c r="A539" s="37">
        <v>67359</v>
      </c>
      <c r="B539" s="398">
        <f t="shared" ref="B539:C539" si="545">($A539-B$9)/365.25</f>
        <v>102.54072553045859</v>
      </c>
      <c r="C539" s="398">
        <f t="shared" si="545"/>
        <v>97.930184804928132</v>
      </c>
      <c r="E539" s="25">
        <f>IF(C539&gt;$B$7,0,'Combined Retirement'!$D$13/12)</f>
        <v>0</v>
      </c>
      <c r="F539" s="25">
        <f>IF(H539=0,'Combined Retirement'!$D$32,0)+'Combined Retirement'!$B$24</f>
        <v>2870.372285649099</v>
      </c>
      <c r="G539" s="25">
        <f>'Combined Retirement'!$C$24</f>
        <v>3254.2644699519233</v>
      </c>
      <c r="H539" s="25">
        <f>IF(B539&lt;62,0,'Combined Retirement'!$I$14)</f>
        <v>2345</v>
      </c>
      <c r="I539" s="25">
        <f>IF(C539&lt;62,0,'Combined Retirement'!$I$13)</f>
        <v>2420</v>
      </c>
      <c r="J539" s="25">
        <f t="shared" si="523"/>
        <v>7896.2379798201846</v>
      </c>
      <c r="K539" s="25">
        <f t="shared" si="524"/>
        <v>20367.195264578786</v>
      </c>
      <c r="L539" s="25"/>
      <c r="N539" s="25">
        <f>'Combined Retirement'!$C$18/12</f>
        <v>39153.069999999992</v>
      </c>
      <c r="O539" s="25">
        <f t="shared" si="525"/>
        <v>10889.636755601023</v>
      </c>
      <c r="P539" s="25">
        <f t="shared" si="526"/>
        <v>28263.43324439897</v>
      </c>
      <c r="Q539" s="25">
        <f t="array" aca="1" ref="Q539" ca="1">INDEX('Isaac 401k'!L:L,MATCH('Retirement Calculator'!A539,'Isaac 401k'!N:N,0),0)</f>
        <v>1915865.5563437568</v>
      </c>
      <c r="R539" s="25">
        <f t="array" aca="1" ref="R539" ca="1">INDEX('Lorri 401b'!L:L,MATCH('Retirement Calculator'!A539,'Lorri 401b'!N:N,0),0)</f>
        <v>2478352.4877094319</v>
      </c>
      <c r="S539" s="25">
        <f t="shared" ca="1" si="527"/>
        <v>4394218.0440531885</v>
      </c>
    </row>
    <row r="540" spans="1:19" ht="15.75" customHeight="1" x14ac:dyDescent="0.3">
      <c r="A540" s="37">
        <v>67389</v>
      </c>
      <c r="B540" s="398">
        <f t="shared" ref="B540:C540" si="546">($A540-B$9)/365.25</f>
        <v>102.62286105407256</v>
      </c>
      <c r="C540" s="398">
        <f t="shared" si="546"/>
        <v>98.012320328542089</v>
      </c>
      <c r="E540" s="25">
        <f>IF(C540&gt;$B$7,0,'Combined Retirement'!$D$13/12)</f>
        <v>0</v>
      </c>
      <c r="F540" s="25">
        <f>IF(H540=0,'Combined Retirement'!$D$32,0)+'Combined Retirement'!$B$24</f>
        <v>2870.372285649099</v>
      </c>
      <c r="G540" s="25">
        <f>'Combined Retirement'!$C$24</f>
        <v>3254.2644699519233</v>
      </c>
      <c r="H540" s="25">
        <f>IF(B540&lt;62,0,'Combined Retirement'!$I$14)</f>
        <v>2345</v>
      </c>
      <c r="I540" s="25">
        <f>IF(C540&lt;62,0,'Combined Retirement'!$I$13)</f>
        <v>2420</v>
      </c>
      <c r="J540" s="25">
        <f t="shared" si="523"/>
        <v>7896.2379798201846</v>
      </c>
      <c r="K540" s="25">
        <f t="shared" si="524"/>
        <v>20367.195264578786</v>
      </c>
      <c r="L540" s="25"/>
      <c r="N540" s="25">
        <f>'Combined Retirement'!$C$18/12</f>
        <v>39153.069999999992</v>
      </c>
      <c r="O540" s="25">
        <f t="shared" si="525"/>
        <v>10889.636755601023</v>
      </c>
      <c r="P540" s="25">
        <f t="shared" si="526"/>
        <v>28263.43324439897</v>
      </c>
      <c r="Q540" s="25">
        <f t="array" aca="1" ref="Q540" ca="1">INDEX('Isaac 401k'!L:L,MATCH('Retirement Calculator'!A540,'Isaac 401k'!N:N,0),0)</f>
        <v>1915919.1905237865</v>
      </c>
      <c r="R540" s="25">
        <f t="array" aca="1" ref="R540" ca="1">INDEX('Lorri 401b'!L:L,MATCH('Retirement Calculator'!A540,'Lorri 401b'!N:N,0),0)</f>
        <v>2468226.8978300402</v>
      </c>
      <c r="S540" s="25">
        <f t="shared" ca="1" si="527"/>
        <v>4384146.0883538267</v>
      </c>
    </row>
    <row r="541" spans="1:19" ht="15.75" customHeight="1" x14ac:dyDescent="0.3">
      <c r="A541" s="37">
        <v>67420</v>
      </c>
      <c r="B541" s="398">
        <f t="shared" ref="B541:C541" si="547">($A541-B$9)/365.25</f>
        <v>102.70773442847364</v>
      </c>
      <c r="C541" s="398">
        <f t="shared" si="547"/>
        <v>98.097193702943187</v>
      </c>
      <c r="E541" s="25">
        <f>IF(C541&gt;$B$7,0,'Combined Retirement'!$D$13/12)</f>
        <v>0</v>
      </c>
      <c r="F541" s="25">
        <f>IF(H541=0,'Combined Retirement'!$D$32,0)+'Combined Retirement'!$B$24</f>
        <v>2870.372285649099</v>
      </c>
      <c r="G541" s="25">
        <f>'Combined Retirement'!$C$24</f>
        <v>3254.2644699519233</v>
      </c>
      <c r="H541" s="25">
        <f>IF(B541&lt;62,0,'Combined Retirement'!$I$14)</f>
        <v>2345</v>
      </c>
      <c r="I541" s="25">
        <f>IF(C541&lt;62,0,'Combined Retirement'!$I$13)</f>
        <v>2420</v>
      </c>
      <c r="J541" s="25">
        <f t="shared" si="523"/>
        <v>7896.2379798201846</v>
      </c>
      <c r="K541" s="25">
        <f t="shared" si="524"/>
        <v>20367.195264578786</v>
      </c>
      <c r="L541" s="25"/>
      <c r="N541" s="25">
        <f>'Combined Retirement'!$C$18/12</f>
        <v>39153.069999999992</v>
      </c>
      <c r="O541" s="25">
        <f t="shared" si="525"/>
        <v>10889.636755601023</v>
      </c>
      <c r="P541" s="25">
        <f t="shared" si="526"/>
        <v>28263.43324439897</v>
      </c>
      <c r="Q541" s="25">
        <f t="array" aca="1" ref="Q541" ca="1">INDEX('Isaac 401k'!L:L,MATCH('Retirement Calculator'!A541,'Isaac 401k'!N:N,0),0)</f>
        <v>1915973.0481795662</v>
      </c>
      <c r="R541" s="25">
        <f t="array" aca="1" ref="R541" ca="1">INDEX('Lorri 401b'!L:L,MATCH('Retirement Calculator'!A541,'Lorri 401b'!N:N,0),0)</f>
        <v>2458059.1179928174</v>
      </c>
      <c r="S541" s="25">
        <f t="shared" ca="1" si="527"/>
        <v>4374032.1661723834</v>
      </c>
    </row>
    <row r="542" spans="1:19" ht="15.75" customHeight="1" x14ac:dyDescent="0.3">
      <c r="A542" s="37">
        <v>67451</v>
      </c>
      <c r="B542" s="398">
        <f t="shared" ref="B542:C542" si="548">($A542-B$9)/365.25</f>
        <v>102.79260780287474</v>
      </c>
      <c r="C542" s="398">
        <f t="shared" si="548"/>
        <v>98.182067077344286</v>
      </c>
      <c r="E542" s="25">
        <f>IF(C542&gt;$B$7,0,'Combined Retirement'!$D$13/12)</f>
        <v>0</v>
      </c>
      <c r="F542" s="25">
        <f>IF(H542=0,'Combined Retirement'!$D$32,0)+'Combined Retirement'!$B$24</f>
        <v>2870.372285649099</v>
      </c>
      <c r="G542" s="25">
        <f>'Combined Retirement'!$C$24</f>
        <v>3254.2644699519233</v>
      </c>
      <c r="H542" s="25">
        <f>IF(B542&lt;62,0,'Combined Retirement'!$I$14)</f>
        <v>2345</v>
      </c>
      <c r="I542" s="25">
        <f>IF(C542&lt;62,0,'Combined Retirement'!$I$13)</f>
        <v>2420</v>
      </c>
      <c r="J542" s="25">
        <f t="shared" si="523"/>
        <v>7896.2379798201846</v>
      </c>
      <c r="K542" s="25">
        <f t="shared" si="524"/>
        <v>20367.195264578786</v>
      </c>
      <c r="L542" s="25"/>
      <c r="N542" s="25">
        <f>'Combined Retirement'!$C$18/12</f>
        <v>39153.069999999992</v>
      </c>
      <c r="O542" s="25">
        <f t="shared" si="525"/>
        <v>10889.636755601023</v>
      </c>
      <c r="P542" s="25">
        <f t="shared" si="526"/>
        <v>28263.43324439897</v>
      </c>
      <c r="Q542" s="25">
        <f t="array" aca="1" ref="Q542" ca="1">INDEX('Isaac 401k'!L:L,MATCH('Retirement Calculator'!A542,'Isaac 401k'!N:N,0),0)</f>
        <v>1916027.1302422448</v>
      </c>
      <c r="R542" s="25">
        <f t="array" aca="1" ref="R542" ca="1">INDEX('Lorri 401b'!L:L,MATCH('Retirement Calculator'!A542,'Lorri 401b'!N:N,0),0)</f>
        <v>2447848.9724062728</v>
      </c>
      <c r="S542" s="25">
        <f t="shared" ca="1" si="527"/>
        <v>4363876.1026485171</v>
      </c>
    </row>
    <row r="543" spans="1:19" ht="15.75" customHeight="1" x14ac:dyDescent="0.3">
      <c r="A543" s="37">
        <v>67481</v>
      </c>
      <c r="B543" s="398">
        <f t="shared" ref="B543:C543" si="549">($A543-B$9)/365.25</f>
        <v>102.87474332648871</v>
      </c>
      <c r="C543" s="398">
        <f t="shared" si="549"/>
        <v>98.264202600958242</v>
      </c>
      <c r="E543" s="25">
        <f>IF(C543&gt;$B$7,0,'Combined Retirement'!$D$13/12)</f>
        <v>0</v>
      </c>
      <c r="F543" s="25">
        <f>IF(H543=0,'Combined Retirement'!$D$32,0)+'Combined Retirement'!$B$24</f>
        <v>2870.372285649099</v>
      </c>
      <c r="G543" s="25">
        <f>'Combined Retirement'!$C$24</f>
        <v>3254.2644699519233</v>
      </c>
      <c r="H543" s="25">
        <f>IF(B543&lt;62,0,'Combined Retirement'!$I$14)</f>
        <v>2345</v>
      </c>
      <c r="I543" s="25">
        <f>IF(C543&lt;62,0,'Combined Retirement'!$I$13)</f>
        <v>2420</v>
      </c>
      <c r="J543" s="25">
        <f t="shared" si="523"/>
        <v>7896.2379798201846</v>
      </c>
      <c r="K543" s="25">
        <f t="shared" si="524"/>
        <v>20367.195264578786</v>
      </c>
      <c r="L543" s="25"/>
      <c r="N543" s="25">
        <f>'Combined Retirement'!$C$18/12</f>
        <v>39153.069999999992</v>
      </c>
      <c r="O543" s="25">
        <f t="shared" si="525"/>
        <v>10889.636755601023</v>
      </c>
      <c r="P543" s="25">
        <f t="shared" si="526"/>
        <v>28263.43324439897</v>
      </c>
      <c r="Q543" s="25">
        <f t="array" aca="1" ref="Q543" ca="1">INDEX('Isaac 401k'!L:L,MATCH('Retirement Calculator'!A543,'Isaac 401k'!N:N,0),0)</f>
        <v>1916081.4376468514</v>
      </c>
      <c r="R543" s="25">
        <f t="array" aca="1" ref="R543" ca="1">INDEX('Lorri 401b'!L:L,MATCH('Retirement Calculator'!A543,'Lorri 401b'!N:N,0),0)</f>
        <v>2437596.2845464512</v>
      </c>
      <c r="S543" s="25">
        <f t="shared" ca="1" si="527"/>
        <v>4353677.7221933026</v>
      </c>
    </row>
    <row r="544" spans="1:19" ht="15.75" customHeight="1" x14ac:dyDescent="0.3">
      <c r="A544" s="37">
        <v>67512</v>
      </c>
      <c r="B544" s="398">
        <f t="shared" ref="B544:C544" si="550">($A544-B$9)/365.25</f>
        <v>102.9596167008898</v>
      </c>
      <c r="C544" s="398">
        <f t="shared" si="550"/>
        <v>98.349075975359341</v>
      </c>
      <c r="E544" s="25">
        <f>IF(C544&gt;$B$7,0,'Combined Retirement'!$D$13/12)</f>
        <v>0</v>
      </c>
      <c r="F544" s="25">
        <f>IF(H544=0,'Combined Retirement'!$D$32,0)+'Combined Retirement'!$B$24</f>
        <v>2870.372285649099</v>
      </c>
      <c r="G544" s="25">
        <f>'Combined Retirement'!$C$24</f>
        <v>3254.2644699519233</v>
      </c>
      <c r="H544" s="25">
        <f>IF(B544&lt;62,0,'Combined Retirement'!$I$14)</f>
        <v>2345</v>
      </c>
      <c r="I544" s="25">
        <f>IF(C544&lt;62,0,'Combined Retirement'!$I$13)</f>
        <v>2420</v>
      </c>
      <c r="J544" s="25">
        <f t="shared" si="523"/>
        <v>7896.2379798201846</v>
      </c>
      <c r="K544" s="25">
        <f t="shared" si="524"/>
        <v>20367.195264578786</v>
      </c>
      <c r="L544" s="25"/>
      <c r="N544" s="25">
        <f>'Combined Retirement'!$C$18/12</f>
        <v>39153.069999999992</v>
      </c>
      <c r="O544" s="25">
        <f t="shared" si="525"/>
        <v>10889.636755601023</v>
      </c>
      <c r="P544" s="25">
        <f t="shared" si="526"/>
        <v>28263.43324439897</v>
      </c>
      <c r="Q544" s="25">
        <f t="array" aca="1" ref="Q544" ca="1">INDEX('Isaac 401k'!L:L,MATCH('Retirement Calculator'!A544,'Isaac 401k'!N:N,0),0)</f>
        <v>1916135.9713323105</v>
      </c>
      <c r="R544" s="25">
        <f t="array" aca="1" ref="R544" ca="1">INDEX('Lorri 401b'!L:L,MATCH('Retirement Calculator'!A544,'Lorri 401b'!N:N,0),0)</f>
        <v>2427300.87715388</v>
      </c>
      <c r="S544" s="25">
        <f t="shared" ca="1" si="527"/>
        <v>4343436.8484861907</v>
      </c>
    </row>
    <row r="545" spans="1:19" ht="15.75" customHeight="1" x14ac:dyDescent="0.3">
      <c r="A545" s="37">
        <v>67542</v>
      </c>
      <c r="B545" s="398">
        <f t="shared" ref="B545:C545" si="551">($A545-B$9)/365.25</f>
        <v>103.04175222450377</v>
      </c>
      <c r="C545" s="398">
        <f t="shared" si="551"/>
        <v>98.431211498973312</v>
      </c>
      <c r="E545" s="25">
        <f>IF(C545&gt;$B$7,0,'Combined Retirement'!$D$13/12)</f>
        <v>0</v>
      </c>
      <c r="F545" s="25">
        <f>IF(H545=0,'Combined Retirement'!$D$32,0)+'Combined Retirement'!$B$24</f>
        <v>2870.372285649099</v>
      </c>
      <c r="G545" s="25">
        <f>'Combined Retirement'!$C$24</f>
        <v>3254.2644699519233</v>
      </c>
      <c r="H545" s="25">
        <f>IF(B545&lt;62,0,'Combined Retirement'!$I$14)</f>
        <v>2345</v>
      </c>
      <c r="I545" s="25">
        <f>IF(C545&lt;62,0,'Combined Retirement'!$I$13)</f>
        <v>2420</v>
      </c>
      <c r="J545" s="25">
        <f t="shared" si="523"/>
        <v>7896.2379798201846</v>
      </c>
      <c r="K545" s="25">
        <f t="shared" si="524"/>
        <v>20367.195264578786</v>
      </c>
      <c r="L545" s="25"/>
      <c r="N545" s="25">
        <f>'Combined Retirement'!$C$18/12</f>
        <v>39153.069999999992</v>
      </c>
      <c r="O545" s="25">
        <f t="shared" si="525"/>
        <v>10889.636755601023</v>
      </c>
      <c r="P545" s="25">
        <f t="shared" si="526"/>
        <v>28263.43324439897</v>
      </c>
      <c r="Q545" s="25">
        <f t="array" aca="1" ref="Q545" ca="1">INDEX('Isaac 401k'!L:L,MATCH('Retirement Calculator'!A545,'Isaac 401k'!N:N,0),0)</f>
        <v>1916190.732241459</v>
      </c>
      <c r="R545" s="25">
        <f t="array" aca="1" ref="R545" ca="1">INDEX('Lorri 401b'!L:L,MATCH('Retirement Calculator'!A545,'Lorri 401b'!N:N,0),0)</f>
        <v>2416962.5722305067</v>
      </c>
      <c r="S545" s="25">
        <f t="shared" ca="1" si="527"/>
        <v>4333153.3044719659</v>
      </c>
    </row>
    <row r="546" spans="1:19" ht="15.75" customHeight="1" x14ac:dyDescent="0.3">
      <c r="A546" s="37">
        <v>67573</v>
      </c>
      <c r="B546" s="398">
        <f t="shared" ref="B546:C546" si="552">($A546-B$9)/365.25</f>
        <v>103.12662559890487</v>
      </c>
      <c r="C546" s="398">
        <f t="shared" si="552"/>
        <v>98.516084873374396</v>
      </c>
      <c r="E546" s="25">
        <f>IF(C546&gt;$B$7,0,'Combined Retirement'!$D$13/12)</f>
        <v>0</v>
      </c>
      <c r="F546" s="25">
        <f>IF(H546=0,'Combined Retirement'!$D$32,0)+'Combined Retirement'!$B$24</f>
        <v>2870.372285649099</v>
      </c>
      <c r="G546" s="25">
        <f>'Combined Retirement'!$C$24</f>
        <v>3254.2644699519233</v>
      </c>
      <c r="H546" s="25">
        <f>IF(B546&lt;62,0,'Combined Retirement'!$I$14)</f>
        <v>2345</v>
      </c>
      <c r="I546" s="25">
        <f>IF(C546&lt;62,0,'Combined Retirement'!$I$13)</f>
        <v>2420</v>
      </c>
      <c r="J546" s="25">
        <f t="shared" si="523"/>
        <v>7896.2379798201846</v>
      </c>
      <c r="K546" s="25">
        <f t="shared" si="524"/>
        <v>20367.195264578786</v>
      </c>
      <c r="L546" s="25"/>
      <c r="N546" s="25">
        <f>'Combined Retirement'!$C$18/12</f>
        <v>39153.069999999992</v>
      </c>
      <c r="O546" s="25">
        <f t="shared" si="525"/>
        <v>10889.636755601023</v>
      </c>
      <c r="P546" s="25">
        <f t="shared" si="526"/>
        <v>28263.43324439897</v>
      </c>
      <c r="Q546" s="25">
        <f t="array" aca="1" ref="Q546" ca="1">INDEX('Isaac 401k'!L:L,MATCH('Retirement Calculator'!A546,'Isaac 401k'!N:N,0),0)</f>
        <v>1916245.7213210622</v>
      </c>
      <c r="R546" s="25">
        <f t="array" aca="1" ref="R546" ca="1">INDEX('Lorri 401b'!L:L,MATCH('Retirement Calculator'!A546,'Lorri 401b'!N:N,0),0)</f>
        <v>2406581.1910366192</v>
      </c>
      <c r="S546" s="25">
        <f t="shared" ca="1" si="527"/>
        <v>4322826.9123576814</v>
      </c>
    </row>
    <row r="547" spans="1:19" ht="15.75" customHeight="1" x14ac:dyDescent="0.3">
      <c r="A547" s="37">
        <v>67604</v>
      </c>
      <c r="B547" s="398">
        <f t="shared" ref="B547:C547" si="553">($A547-B$9)/365.25</f>
        <v>103.21149897330595</v>
      </c>
      <c r="C547" s="398">
        <f t="shared" si="553"/>
        <v>98.600958247775495</v>
      </c>
      <c r="E547" s="25">
        <f>IF(C547&gt;$B$7,0,'Combined Retirement'!$D$13/12)</f>
        <v>0</v>
      </c>
      <c r="F547" s="25">
        <f>IF(H547=0,'Combined Retirement'!$D$32,0)+'Combined Retirement'!$B$24</f>
        <v>2870.372285649099</v>
      </c>
      <c r="G547" s="25">
        <f>'Combined Retirement'!$C$24</f>
        <v>3254.2644699519233</v>
      </c>
      <c r="H547" s="25">
        <f>IF(B547&lt;62,0,'Combined Retirement'!$I$14)</f>
        <v>2345</v>
      </c>
      <c r="I547" s="25">
        <f>IF(C547&lt;62,0,'Combined Retirement'!$I$13)</f>
        <v>2420</v>
      </c>
      <c r="J547" s="25">
        <f t="shared" si="523"/>
        <v>7896.2379798201846</v>
      </c>
      <c r="K547" s="25">
        <f t="shared" si="524"/>
        <v>20367.195264578786</v>
      </c>
      <c r="L547" s="25"/>
      <c r="N547" s="25">
        <f>'Combined Retirement'!$C$18/12</f>
        <v>39153.069999999992</v>
      </c>
      <c r="O547" s="25">
        <f t="shared" si="525"/>
        <v>10889.636755601023</v>
      </c>
      <c r="P547" s="25">
        <f t="shared" si="526"/>
        <v>28263.43324439897</v>
      </c>
      <c r="Q547" s="25">
        <f t="array" aca="1" ref="Q547" ca="1">INDEX('Isaac 401k'!L:L,MATCH('Retirement Calculator'!A547,'Isaac 401k'!N:N,0),0)</f>
        <v>1916300.9395218305</v>
      </c>
      <c r="R547" s="25">
        <f t="array" aca="1" ref="R547" ca="1">INDEX('Lorri 401b'!L:L,MATCH('Retirement Calculator'!A547,'Lorri 401b'!N:N,0),0)</f>
        <v>2396156.5540877571</v>
      </c>
      <c r="S547" s="25">
        <f t="shared" ca="1" si="527"/>
        <v>4312457.4936095877</v>
      </c>
    </row>
    <row r="548" spans="1:19" ht="15.75" customHeight="1" x14ac:dyDescent="0.3">
      <c r="A548" s="37">
        <v>67632</v>
      </c>
      <c r="B548" s="398">
        <f t="shared" ref="B548:C548" si="554">($A548-B$9)/365.25</f>
        <v>103.28815879534565</v>
      </c>
      <c r="C548" s="398">
        <f t="shared" si="554"/>
        <v>98.677618069815196</v>
      </c>
      <c r="E548" s="25">
        <f>IF(C548&gt;$B$7,0,'Combined Retirement'!$D$13/12)</f>
        <v>0</v>
      </c>
      <c r="F548" s="25">
        <f>IF(H548=0,'Combined Retirement'!$D$32,0)+'Combined Retirement'!$B$24</f>
        <v>2870.372285649099</v>
      </c>
      <c r="G548" s="25">
        <f>'Combined Retirement'!$C$24</f>
        <v>3254.2644699519233</v>
      </c>
      <c r="H548" s="25">
        <f>IF(B548&lt;62,0,'Combined Retirement'!$I$14)</f>
        <v>2345</v>
      </c>
      <c r="I548" s="25">
        <f>IF(C548&lt;62,0,'Combined Retirement'!$I$13)</f>
        <v>2420</v>
      </c>
      <c r="J548" s="25">
        <f t="shared" si="523"/>
        <v>7896.2379798201846</v>
      </c>
      <c r="K548" s="25">
        <f t="shared" si="524"/>
        <v>20367.195264578786</v>
      </c>
      <c r="L548" s="25"/>
      <c r="N548" s="25">
        <f>'Combined Retirement'!$C$18/12</f>
        <v>39153.069999999992</v>
      </c>
      <c r="O548" s="25">
        <f t="shared" si="525"/>
        <v>10889.636755601023</v>
      </c>
      <c r="P548" s="25">
        <f t="shared" si="526"/>
        <v>28263.43324439897</v>
      </c>
      <c r="Q548" s="25">
        <f t="array" aca="1" ref="Q548" ca="1">INDEX('Isaac 401k'!L:L,MATCH('Retirement Calculator'!A548,'Isaac 401k'!N:N,0),0)</f>
        <v>1916356.3877984353</v>
      </c>
      <c r="R548" s="25">
        <f t="array" aca="1" ref="R548" ca="1">INDEX('Lorri 401b'!L:L,MATCH('Retirement Calculator'!A548,'Lorri 401b'!N:N,0),0)</f>
        <v>2385688.4811516083</v>
      </c>
      <c r="S548" s="25">
        <f t="shared" ca="1" si="527"/>
        <v>4302044.8689500438</v>
      </c>
    </row>
    <row r="549" spans="1:19" ht="15.75" customHeight="1" x14ac:dyDescent="0.3">
      <c r="A549" s="37">
        <v>67663</v>
      </c>
      <c r="B549" s="398">
        <f t="shared" ref="B549:C549" si="555">($A549-B$9)/365.25</f>
        <v>103.37303216974675</v>
      </c>
      <c r="C549" s="398">
        <f t="shared" si="555"/>
        <v>98.762491444216295</v>
      </c>
      <c r="E549" s="25">
        <f>IF(C549&gt;$B$7,0,'Combined Retirement'!$D$13/12)</f>
        <v>0</v>
      </c>
      <c r="F549" s="25">
        <f>IF(H549=0,'Combined Retirement'!$D$32,0)+'Combined Retirement'!$B$24</f>
        <v>2870.372285649099</v>
      </c>
      <c r="G549" s="25">
        <f>'Combined Retirement'!$C$24</f>
        <v>3254.2644699519233</v>
      </c>
      <c r="H549" s="25">
        <f>IF(B549&lt;62,0,'Combined Retirement'!$I$14)</f>
        <v>2345</v>
      </c>
      <c r="I549" s="25">
        <f>IF(C549&lt;62,0,'Combined Retirement'!$I$13)</f>
        <v>2420</v>
      </c>
      <c r="J549" s="25">
        <f t="shared" si="523"/>
        <v>7896.2379798201846</v>
      </c>
      <c r="K549" s="25">
        <f t="shared" si="524"/>
        <v>20367.195264578786</v>
      </c>
      <c r="L549" s="25"/>
      <c r="N549" s="25">
        <f>'Combined Retirement'!$C$18/12</f>
        <v>39153.069999999992</v>
      </c>
      <c r="O549" s="25">
        <f t="shared" si="525"/>
        <v>10889.636755601023</v>
      </c>
      <c r="P549" s="25">
        <f t="shared" si="526"/>
        <v>28263.43324439897</v>
      </c>
      <c r="Q549" s="25">
        <f t="array" aca="1" ref="Q549" ca="1">INDEX('Isaac 401k'!L:L,MATCH('Retirement Calculator'!A549,'Isaac 401k'!N:N,0),0)</f>
        <v>1916412.0671095259</v>
      </c>
      <c r="R549" s="25">
        <f t="array" aca="1" ref="R549" ca="1">INDEX('Lorri 401b'!L:L,MATCH('Retirement Calculator'!A549,'Lorri 401b'!N:N,0),0)</f>
        <v>2375176.7912448919</v>
      </c>
      <c r="S549" s="25">
        <f t="shared" ca="1" si="527"/>
        <v>4291588.8583544176</v>
      </c>
    </row>
    <row r="550" spans="1:19" ht="15.75" customHeight="1" x14ac:dyDescent="0.3">
      <c r="A550" s="37">
        <v>67693</v>
      </c>
      <c r="B550" s="398">
        <f t="shared" ref="B550:C550" si="556">($A550-B$9)/365.25</f>
        <v>103.45516769336071</v>
      </c>
      <c r="C550" s="398">
        <f t="shared" si="556"/>
        <v>98.844626967830251</v>
      </c>
      <c r="E550" s="25">
        <f>IF(C550&gt;$B$7,0,'Combined Retirement'!$D$13/12)</f>
        <v>0</v>
      </c>
      <c r="F550" s="25">
        <f>IF(H550=0,'Combined Retirement'!$D$32,0)+'Combined Retirement'!$B$24</f>
        <v>2870.372285649099</v>
      </c>
      <c r="G550" s="25">
        <f>'Combined Retirement'!$C$24</f>
        <v>3254.2644699519233</v>
      </c>
      <c r="H550" s="25">
        <f>IF(B550&lt;62,0,'Combined Retirement'!$I$14)</f>
        <v>2345</v>
      </c>
      <c r="I550" s="25">
        <f>IF(C550&lt;62,0,'Combined Retirement'!$I$13)</f>
        <v>2420</v>
      </c>
      <c r="J550" s="25">
        <f t="shared" si="523"/>
        <v>7896.2379798201846</v>
      </c>
      <c r="K550" s="25">
        <f t="shared" si="524"/>
        <v>20367.195264578786</v>
      </c>
      <c r="L550" s="25"/>
      <c r="N550" s="25">
        <f>'Combined Retirement'!$C$18/12</f>
        <v>39153.069999999992</v>
      </c>
      <c r="O550" s="25">
        <f t="shared" si="525"/>
        <v>10889.636755601023</v>
      </c>
      <c r="P550" s="25">
        <f t="shared" si="526"/>
        <v>28263.43324439897</v>
      </c>
      <c r="Q550" s="25">
        <f t="array" aca="1" ref="Q550" ca="1">INDEX('Isaac 401k'!L:L,MATCH('Retirement Calculator'!A550,'Isaac 401k'!N:N,0),0)</f>
        <v>1916467.978417746</v>
      </c>
      <c r="R550" s="25">
        <f t="array" aca="1" ref="R550" ca="1">INDEX('Lorri 401b'!L:L,MATCH('Retirement Calculator'!A550,'Lorri 401b'!N:N,0),0)</f>
        <v>2364621.3026302313</v>
      </c>
      <c r="S550" s="25">
        <f t="shared" ca="1" si="527"/>
        <v>4281089.2810479775</v>
      </c>
    </row>
    <row r="551" spans="1:19" ht="15.75" customHeight="1" x14ac:dyDescent="0.3">
      <c r="A551" s="37">
        <v>67724</v>
      </c>
      <c r="B551" s="398">
        <f t="shared" ref="B551:C551" si="557">($A551-B$9)/365.25</f>
        <v>103.54004106776181</v>
      </c>
      <c r="C551" s="398">
        <f t="shared" si="557"/>
        <v>98.92950034223135</v>
      </c>
      <c r="E551" s="25">
        <f>IF(C551&gt;$B$7,0,'Combined Retirement'!$D$13/12)</f>
        <v>0</v>
      </c>
      <c r="F551" s="25">
        <f>IF(H551=0,'Combined Retirement'!$D$32,0)+'Combined Retirement'!$B$24</f>
        <v>2870.372285649099</v>
      </c>
      <c r="G551" s="25">
        <f>'Combined Retirement'!$C$24</f>
        <v>3254.2644699519233</v>
      </c>
      <c r="H551" s="25">
        <f>IF(B551&lt;62,0,'Combined Retirement'!$I$14)</f>
        <v>2345</v>
      </c>
      <c r="I551" s="25">
        <f>IF(C551&lt;62,0,'Combined Retirement'!$I$13)</f>
        <v>2420</v>
      </c>
      <c r="J551" s="25">
        <f t="shared" si="523"/>
        <v>7896.2379798201846</v>
      </c>
      <c r="K551" s="25">
        <f t="shared" si="524"/>
        <v>20367.195264578786</v>
      </c>
      <c r="L551" s="25"/>
      <c r="N551" s="25">
        <f>'Combined Retirement'!$C$18/12</f>
        <v>39153.069999999992</v>
      </c>
      <c r="O551" s="25">
        <f t="shared" si="525"/>
        <v>10889.636755601023</v>
      </c>
      <c r="P551" s="25">
        <f t="shared" si="526"/>
        <v>28263.43324439897</v>
      </c>
      <c r="Q551" s="25">
        <f t="array" aca="1" ref="Q551" ca="1">INDEX('Isaac 401k'!L:L,MATCH('Retirement Calculator'!A551,'Isaac 401k'!N:N,0),0)</f>
        <v>1916524.1226897505</v>
      </c>
      <c r="R551" s="25">
        <f t="array" aca="1" ref="R551" ca="1">INDEX('Lorri 401b'!L:L,MATCH('Retirement Calculator'!A551,'Lorri 401b'!N:N,0),0)</f>
        <v>2354021.8328130092</v>
      </c>
      <c r="S551" s="25">
        <f t="shared" ca="1" si="527"/>
        <v>4270545.9555027597</v>
      </c>
    </row>
    <row r="552" spans="1:19" ht="15.75" customHeight="1" x14ac:dyDescent="0.3">
      <c r="A552" s="37">
        <v>67754</v>
      </c>
      <c r="B552" s="398">
        <f t="shared" ref="B552:C552" si="558">($A552-B$9)/365.25</f>
        <v>103.62217659137578</v>
      </c>
      <c r="C552" s="398">
        <f t="shared" si="558"/>
        <v>99.011635865845307</v>
      </c>
      <c r="E552" s="25">
        <f>IF(C552&gt;$B$7,0,'Combined Retirement'!$D$13/12)</f>
        <v>0</v>
      </c>
      <c r="F552" s="25">
        <f>IF(H552=0,'Combined Retirement'!$D$32,0)+'Combined Retirement'!$B$24</f>
        <v>2870.372285649099</v>
      </c>
      <c r="G552" s="25">
        <f>'Combined Retirement'!$C$24</f>
        <v>3254.2644699519233</v>
      </c>
      <c r="H552" s="25">
        <f>IF(B552&lt;62,0,'Combined Retirement'!$I$14)</f>
        <v>2345</v>
      </c>
      <c r="I552" s="25">
        <f>IF(C552&lt;62,0,'Combined Retirement'!$I$13)</f>
        <v>2420</v>
      </c>
      <c r="J552" s="25">
        <f t="shared" si="523"/>
        <v>7896.2379798201846</v>
      </c>
      <c r="K552" s="25">
        <f t="shared" si="524"/>
        <v>20367.195264578786</v>
      </c>
      <c r="L552" s="25"/>
      <c r="N552" s="25">
        <f>'Combined Retirement'!$C$18/12</f>
        <v>39153.069999999992</v>
      </c>
      <c r="O552" s="25">
        <f t="shared" si="525"/>
        <v>10889.636755601023</v>
      </c>
      <c r="P552" s="25">
        <f t="shared" si="526"/>
        <v>28263.43324439897</v>
      </c>
      <c r="Q552" s="25">
        <f t="array" aca="1" ref="Q552" ca="1">INDEX('Isaac 401k'!L:L,MATCH('Retirement Calculator'!A552,'Isaac 401k'!N:N,0),0)</f>
        <v>1916580.5008962217</v>
      </c>
      <c r="R552" s="25">
        <f t="array" aca="1" ref="R552" ca="1">INDEX('Lorri 401b'!L:L,MATCH('Retirement Calculator'!A552,'Lorri 401b'!N:N,0),0)</f>
        <v>2343378.1985382154</v>
      </c>
      <c r="S552" s="25">
        <f t="shared" ca="1" si="527"/>
        <v>4259958.6994344369</v>
      </c>
    </row>
    <row r="553" spans="1:19" ht="15.75" customHeight="1" x14ac:dyDescent="0.3">
      <c r="A553" s="37">
        <v>67785</v>
      </c>
      <c r="B553" s="398">
        <f t="shared" ref="B553:C553" si="559">($A553-B$9)/365.25</f>
        <v>103.70704996577686</v>
      </c>
      <c r="C553" s="398">
        <f t="shared" si="559"/>
        <v>99.096509240246405</v>
      </c>
      <c r="E553" s="25">
        <f>IF(C553&gt;$B$7,0,'Combined Retirement'!$D$13/12)</f>
        <v>0</v>
      </c>
      <c r="F553" s="25">
        <f>IF(H553=0,'Combined Retirement'!$D$32,0)+'Combined Retirement'!$B$24</f>
        <v>2870.372285649099</v>
      </c>
      <c r="G553" s="25">
        <f>'Combined Retirement'!$C$24</f>
        <v>3254.2644699519233</v>
      </c>
      <c r="H553" s="25">
        <f>IF(B553&lt;62,0,'Combined Retirement'!$I$14)</f>
        <v>2345</v>
      </c>
      <c r="I553" s="25">
        <f>IF(C553&lt;62,0,'Combined Retirement'!$I$13)</f>
        <v>2420</v>
      </c>
      <c r="J553" s="25">
        <f t="shared" si="523"/>
        <v>7896.2379798201846</v>
      </c>
      <c r="K553" s="25">
        <f t="shared" si="524"/>
        <v>20367.195264578786</v>
      </c>
      <c r="L553" s="25"/>
      <c r="N553" s="25">
        <f>'Combined Retirement'!$C$18/12</f>
        <v>39153.069999999992</v>
      </c>
      <c r="O553" s="25">
        <f t="shared" si="525"/>
        <v>10889.636755601023</v>
      </c>
      <c r="P553" s="25">
        <f t="shared" si="526"/>
        <v>28263.43324439897</v>
      </c>
      <c r="Q553" s="25">
        <f t="array" aca="1" ref="Q553" ca="1">INDEX('Isaac 401k'!L:L,MATCH('Retirement Calculator'!A553,'Isaac 401k'!N:N,0),0)</f>
        <v>1916637.1140118865</v>
      </c>
      <c r="R553" s="25">
        <f t="array" aca="1" ref="R553" ca="1">INDEX('Lorri 401b'!L:L,MATCH('Retirement Calculator'!A553,'Lorri 401b'!N:N,0),0)</f>
        <v>2332690.2157872766</v>
      </c>
      <c r="S553" s="25">
        <f t="shared" ca="1" si="527"/>
        <v>4249327.3297991632</v>
      </c>
    </row>
    <row r="554" spans="1:19" ht="15.75" customHeight="1" x14ac:dyDescent="0.3">
      <c r="A554" s="37">
        <v>67816</v>
      </c>
      <c r="B554" s="398">
        <f t="shared" ref="B554:C554" si="560">($A554-B$9)/365.25</f>
        <v>103.79192334017796</v>
      </c>
      <c r="C554" s="398">
        <f t="shared" si="560"/>
        <v>99.181382614647504</v>
      </c>
      <c r="E554" s="25">
        <f>IF(C554&gt;$B$7,0,'Combined Retirement'!$D$13/12)</f>
        <v>0</v>
      </c>
      <c r="F554" s="25">
        <f>IF(H554=0,'Combined Retirement'!$D$32,0)+'Combined Retirement'!$B$24</f>
        <v>2870.372285649099</v>
      </c>
      <c r="G554" s="25">
        <f>'Combined Retirement'!$C$24</f>
        <v>3254.2644699519233</v>
      </c>
      <c r="H554" s="25">
        <f>IF(B554&lt;62,0,'Combined Retirement'!$I$14)</f>
        <v>2345</v>
      </c>
      <c r="I554" s="25">
        <f>IF(C554&lt;62,0,'Combined Retirement'!$I$13)</f>
        <v>2420</v>
      </c>
      <c r="J554" s="25">
        <f t="shared" si="523"/>
        <v>7896.2379798201846</v>
      </c>
      <c r="K554" s="25">
        <f t="shared" si="524"/>
        <v>20367.195264578786</v>
      </c>
      <c r="L554" s="25"/>
      <c r="N554" s="25">
        <f>'Combined Retirement'!$C$18/12</f>
        <v>39153.069999999992</v>
      </c>
      <c r="O554" s="25">
        <f t="shared" si="525"/>
        <v>10889.636755601023</v>
      </c>
      <c r="P554" s="25">
        <f t="shared" si="526"/>
        <v>28263.43324439897</v>
      </c>
      <c r="Q554" s="25">
        <f t="array" aca="1" ref="Q554" ca="1">INDEX('Isaac 401k'!L:L,MATCH('Retirement Calculator'!A554,'Isaac 401k'!N:N,0),0)</f>
        <v>1916693.9630155333</v>
      </c>
      <c r="R554" s="25">
        <f t="array" aca="1" ref="R554" ca="1">INDEX('Lorri 401b'!L:L,MATCH('Retirement Calculator'!A554,'Lorri 401b'!N:N,0),0)</f>
        <v>2321957.6997748758</v>
      </c>
      <c r="S554" s="25">
        <f t="shared" ca="1" si="527"/>
        <v>4238651.6627904093</v>
      </c>
    </row>
    <row r="555" spans="1:19" ht="15.75" customHeight="1" x14ac:dyDescent="0.3">
      <c r="A555" s="37">
        <v>67846</v>
      </c>
      <c r="B555" s="398">
        <f t="shared" ref="B555:C555" si="561">($A555-B$9)/365.25</f>
        <v>103.87405886379193</v>
      </c>
      <c r="C555" s="398">
        <f t="shared" si="561"/>
        <v>99.26351813826146</v>
      </c>
      <c r="E555" s="25">
        <f>IF(C555&gt;$B$7,0,'Combined Retirement'!$D$13/12)</f>
        <v>0</v>
      </c>
      <c r="F555" s="25">
        <f>IF(H555=0,'Combined Retirement'!$D$32,0)+'Combined Retirement'!$B$24</f>
        <v>2870.372285649099</v>
      </c>
      <c r="G555" s="25">
        <f>'Combined Retirement'!$C$24</f>
        <v>3254.2644699519233</v>
      </c>
      <c r="H555" s="25">
        <f>IF(B555&lt;62,0,'Combined Retirement'!$I$14)</f>
        <v>2345</v>
      </c>
      <c r="I555" s="25">
        <f>IF(C555&lt;62,0,'Combined Retirement'!$I$13)</f>
        <v>2420</v>
      </c>
      <c r="J555" s="25">
        <f t="shared" si="523"/>
        <v>7896.2379798201846</v>
      </c>
      <c r="K555" s="25">
        <f t="shared" si="524"/>
        <v>20367.195264578786</v>
      </c>
      <c r="L555" s="25"/>
      <c r="N555" s="25">
        <f>'Combined Retirement'!$C$18/12</f>
        <v>39153.069999999992</v>
      </c>
      <c r="O555" s="25">
        <f t="shared" si="525"/>
        <v>10889.636755601023</v>
      </c>
      <c r="P555" s="25">
        <f t="shared" si="526"/>
        <v>28263.43324439897</v>
      </c>
      <c r="Q555" s="25">
        <f t="array" aca="1" ref="Q555" ca="1">INDEX('Isaac 401k'!L:L,MATCH('Retirement Calculator'!A555,'Isaac 401k'!N:N,0),0)</f>
        <v>1916751.0488900286</v>
      </c>
      <c r="R555" s="25">
        <f t="array" aca="1" ref="R555" ca="1">INDEX('Lorri 401b'!L:L,MATCH('Retirement Calculator'!A555,'Lorri 401b'!N:N,0),0)</f>
        <v>2311180.4649457564</v>
      </c>
      <c r="S555" s="25">
        <f t="shared" ca="1" si="527"/>
        <v>4227931.513835785</v>
      </c>
    </row>
    <row r="556" spans="1:19" ht="15.75" customHeight="1" x14ac:dyDescent="0.3">
      <c r="A556" s="37">
        <v>67877</v>
      </c>
      <c r="B556" s="398">
        <f t="shared" ref="B556:C556" si="562">($A556-B$9)/365.25</f>
        <v>103.95893223819301</v>
      </c>
      <c r="C556" s="398">
        <f t="shared" si="562"/>
        <v>99.348391512662559</v>
      </c>
      <c r="E556" s="25">
        <f>IF(C556&gt;$B$7,0,'Combined Retirement'!$D$13/12)</f>
        <v>0</v>
      </c>
      <c r="F556" s="25">
        <f>IF(H556=0,'Combined Retirement'!$D$32,0)+'Combined Retirement'!$B$24</f>
        <v>2870.372285649099</v>
      </c>
      <c r="G556" s="25">
        <f>'Combined Retirement'!$C$24</f>
        <v>3254.2644699519233</v>
      </c>
      <c r="H556" s="25">
        <f>IF(B556&lt;62,0,'Combined Retirement'!$I$14)</f>
        <v>2345</v>
      </c>
      <c r="I556" s="25">
        <f>IF(C556&lt;62,0,'Combined Retirement'!$I$13)</f>
        <v>2420</v>
      </c>
      <c r="J556" s="25">
        <f t="shared" si="523"/>
        <v>7896.2379798201846</v>
      </c>
      <c r="K556" s="25">
        <f t="shared" si="524"/>
        <v>20367.195264578786</v>
      </c>
      <c r="L556" s="25"/>
      <c r="N556" s="25">
        <f>'Combined Retirement'!$C$18/12</f>
        <v>39153.069999999992</v>
      </c>
      <c r="O556" s="25">
        <f t="shared" si="525"/>
        <v>10889.636755601023</v>
      </c>
      <c r="P556" s="25">
        <f t="shared" si="526"/>
        <v>28263.43324439897</v>
      </c>
      <c r="Q556" s="25">
        <f t="array" aca="1" ref="Q556" ca="1">INDEX('Isaac 401k'!L:L,MATCH('Retirement Calculator'!A556,'Isaac 401k'!N:N,0),0)</f>
        <v>1916808.3726223342</v>
      </c>
      <c r="R556" s="25">
        <f t="array" aca="1" ref="R556" ca="1">INDEX('Lorri 401b'!L:L,MATCH('Retirement Calculator'!A556,'Lorri 401b'!N:N,0),0)</f>
        <v>2300358.3249715157</v>
      </c>
      <c r="S556" s="25">
        <f t="shared" ca="1" si="527"/>
        <v>4217166.6975938501</v>
      </c>
    </row>
    <row r="557" spans="1:19" ht="15.75" customHeight="1" x14ac:dyDescent="0.3">
      <c r="A557" s="37">
        <v>67907</v>
      </c>
      <c r="B557" s="398">
        <f t="shared" ref="B557:C557" si="563">($A557-B$9)/365.25</f>
        <v>104.04106776180699</v>
      </c>
      <c r="C557" s="398">
        <f t="shared" si="563"/>
        <v>99.43052703627653</v>
      </c>
      <c r="E557" s="25">
        <f>IF(C557&gt;$B$7,0,'Combined Retirement'!$D$13/12)</f>
        <v>0</v>
      </c>
      <c r="F557" s="25">
        <f>IF(H557=0,'Combined Retirement'!$D$32,0)+'Combined Retirement'!$B$24</f>
        <v>2870.372285649099</v>
      </c>
      <c r="G557" s="25">
        <f>'Combined Retirement'!$C$24</f>
        <v>3254.2644699519233</v>
      </c>
      <c r="H557" s="25">
        <f>IF(B557&lt;62,0,'Combined Retirement'!$I$14)</f>
        <v>2345</v>
      </c>
      <c r="I557" s="25">
        <f>IF(C557&lt;62,0,'Combined Retirement'!$I$13)</f>
        <v>2420</v>
      </c>
      <c r="J557" s="25">
        <f t="shared" si="523"/>
        <v>7896.2379798201846</v>
      </c>
      <c r="K557" s="25">
        <f t="shared" si="524"/>
        <v>20367.195264578786</v>
      </c>
      <c r="L557" s="25"/>
      <c r="N557" s="25">
        <f>'Combined Retirement'!$C$18/12</f>
        <v>39153.069999999992</v>
      </c>
      <c r="O557" s="25">
        <f t="shared" si="525"/>
        <v>10889.636755601023</v>
      </c>
      <c r="P557" s="25">
        <f t="shared" si="526"/>
        <v>28263.43324439897</v>
      </c>
      <c r="Q557" s="25">
        <f t="array" aca="1" ref="Q557" ca="1">INDEX('Isaac 401k'!L:L,MATCH('Retirement Calculator'!A557,'Isaac 401k'!N:N,0),0)</f>
        <v>1916865.9352035243</v>
      </c>
      <c r="R557" s="25">
        <f t="array" aca="1" ref="R557" ca="1">INDEX('Lorri 401b'!L:L,MATCH('Retirement Calculator'!A557,'Lorri 401b'!N:N,0),0)</f>
        <v>2289491.0927473824</v>
      </c>
      <c r="S557" s="25">
        <f t="shared" ca="1" si="527"/>
        <v>4206357.0279509071</v>
      </c>
    </row>
    <row r="558" spans="1:19" ht="15.75" customHeight="1" x14ac:dyDescent="0.3">
      <c r="A558" s="37">
        <v>67938</v>
      </c>
      <c r="B558" s="398">
        <f t="shared" ref="B558:C558" si="564">($A558-B$9)/365.25</f>
        <v>104.12594113620807</v>
      </c>
      <c r="C558" s="398">
        <f t="shared" si="564"/>
        <v>99.515400410677614</v>
      </c>
      <c r="E558" s="25">
        <f>IF(C558&gt;$B$7,0,'Combined Retirement'!$D$13/12)</f>
        <v>0</v>
      </c>
      <c r="F558" s="25">
        <f>IF(H558=0,'Combined Retirement'!$D$32,0)+'Combined Retirement'!$B$24</f>
        <v>2870.372285649099</v>
      </c>
      <c r="G558" s="25">
        <f>'Combined Retirement'!$C$24</f>
        <v>3254.2644699519233</v>
      </c>
      <c r="H558" s="25">
        <f>IF(B558&lt;62,0,'Combined Retirement'!$I$14)</f>
        <v>2345</v>
      </c>
      <c r="I558" s="25">
        <f>IF(C558&lt;62,0,'Combined Retirement'!$I$13)</f>
        <v>2420</v>
      </c>
      <c r="J558" s="25">
        <f t="shared" si="523"/>
        <v>7896.2379798201846</v>
      </c>
      <c r="K558" s="25">
        <f t="shared" si="524"/>
        <v>20367.195264578786</v>
      </c>
      <c r="L558" s="25"/>
      <c r="N558" s="25">
        <f>'Combined Retirement'!$C$18/12</f>
        <v>39153.069999999992</v>
      </c>
      <c r="O558" s="25">
        <f t="shared" si="525"/>
        <v>10889.636755601023</v>
      </c>
      <c r="P558" s="25">
        <f t="shared" si="526"/>
        <v>28263.43324439897</v>
      </c>
      <c r="Q558" s="25">
        <f t="array" aca="1" ref="Q558" ca="1">INDEX('Isaac 401k'!L:L,MATCH('Retirement Calculator'!A558,'Isaac 401k'!N:N,0),0)</f>
        <v>1916923.7376288029</v>
      </c>
      <c r="R558" s="25">
        <f t="array" aca="1" ref="R558" ca="1">INDEX('Lorri 401b'!L:L,MATCH('Retirement Calculator'!A558,'Lorri 401b'!N:N,0),0)</f>
        <v>2278578.5803889818</v>
      </c>
      <c r="S558" s="25">
        <f t="shared" ca="1" si="527"/>
        <v>4195502.3180177845</v>
      </c>
    </row>
    <row r="559" spans="1:19" ht="15.75" customHeight="1" x14ac:dyDescent="0.3">
      <c r="A559" s="37">
        <v>67969</v>
      </c>
      <c r="B559" s="398">
        <f t="shared" ref="B559:C559" si="565">($A559-B$9)/365.25</f>
        <v>104.21081451060917</v>
      </c>
      <c r="C559" s="398">
        <f t="shared" si="565"/>
        <v>99.600273785078713</v>
      </c>
      <c r="E559" s="25">
        <f>IF(C559&gt;$B$7,0,'Combined Retirement'!$D$13/12)</f>
        <v>0</v>
      </c>
      <c r="F559" s="25">
        <f>IF(H559=0,'Combined Retirement'!$D$32,0)+'Combined Retirement'!$B$24</f>
        <v>2870.372285649099</v>
      </c>
      <c r="G559" s="25">
        <f>'Combined Retirement'!$C$24</f>
        <v>3254.2644699519233</v>
      </c>
      <c r="H559" s="25">
        <f>IF(B559&lt;62,0,'Combined Retirement'!$I$14)</f>
        <v>2345</v>
      </c>
      <c r="I559" s="25">
        <f>IF(C559&lt;62,0,'Combined Retirement'!$I$13)</f>
        <v>2420</v>
      </c>
      <c r="J559" s="25">
        <f t="shared" si="523"/>
        <v>7896.2379798201846</v>
      </c>
      <c r="K559" s="25">
        <f t="shared" si="524"/>
        <v>20367.195264578786</v>
      </c>
      <c r="L559" s="25"/>
      <c r="N559" s="25">
        <f>'Combined Retirement'!$C$18/12</f>
        <v>39153.069999999992</v>
      </c>
      <c r="O559" s="25">
        <f t="shared" si="525"/>
        <v>10889.636755601023</v>
      </c>
      <c r="P559" s="25">
        <f t="shared" si="526"/>
        <v>28263.43324439897</v>
      </c>
      <c r="Q559" s="25">
        <f t="array" aca="1" ref="Q559" ca="1">INDEX('Isaac 401k'!L:L,MATCH('Retirement Calculator'!A559,'Isaac 401k'!N:N,0),0)</f>
        <v>1916981.78089752</v>
      </c>
      <c r="R559" s="25">
        <f t="array" aca="1" ref="R559" ca="1">INDEX('Lorri 401b'!L:L,MATCH('Retirement Calculator'!A559,'Lorri 401b'!N:N,0),0)</f>
        <v>2267620.5992290881</v>
      </c>
      <c r="S559" s="25">
        <f t="shared" ca="1" si="527"/>
        <v>4184602.3801266081</v>
      </c>
    </row>
    <row r="560" spans="1:19" ht="15.75" customHeight="1" x14ac:dyDescent="0.3">
      <c r="A560" s="37">
        <v>67997</v>
      </c>
      <c r="B560" s="398">
        <f t="shared" ref="B560:C560" si="566">($A560-B$9)/365.25</f>
        <v>104.28747433264887</v>
      </c>
      <c r="C560" s="398">
        <f t="shared" si="566"/>
        <v>99.676933607118414</v>
      </c>
      <c r="E560" s="25">
        <f>IF(C560&gt;$B$7,0,'Combined Retirement'!$D$13/12)</f>
        <v>0</v>
      </c>
      <c r="F560" s="25">
        <f>IF(H560=0,'Combined Retirement'!$D$32,0)+'Combined Retirement'!$B$24</f>
        <v>2870.372285649099</v>
      </c>
      <c r="G560" s="25">
        <f>'Combined Retirement'!$C$24</f>
        <v>3254.2644699519233</v>
      </c>
      <c r="H560" s="25">
        <f>IF(B560&lt;62,0,'Combined Retirement'!$I$14)</f>
        <v>2345</v>
      </c>
      <c r="I560" s="25">
        <f>IF(C560&lt;62,0,'Combined Retirement'!$I$13)</f>
        <v>2420</v>
      </c>
      <c r="J560" s="25">
        <f t="shared" si="523"/>
        <v>7896.2379798201846</v>
      </c>
      <c r="K560" s="25">
        <f t="shared" si="524"/>
        <v>20367.195264578786</v>
      </c>
      <c r="L560" s="25"/>
      <c r="N560" s="25">
        <f>'Combined Retirement'!$C$18/12</f>
        <v>39153.069999999992</v>
      </c>
      <c r="O560" s="25">
        <f t="shared" si="525"/>
        <v>10889.636755601023</v>
      </c>
      <c r="P560" s="25">
        <f t="shared" si="526"/>
        <v>28263.43324439897</v>
      </c>
      <c r="Q560" s="25">
        <f t="array" aca="1" ref="Q560" ca="1">INDEX('Isaac 401k'!L:L,MATCH('Retirement Calculator'!A560,'Isaac 401k'!N:N,0),0)</f>
        <v>1917040.0660131902</v>
      </c>
      <c r="R560" s="25">
        <f t="array" aca="1" ref="R560" ca="1">INDEX('Lorri 401b'!L:L,MATCH('Retirement Calculator'!A560,'Lorri 401b'!N:N,0),0)</f>
        <v>2256616.9598143613</v>
      </c>
      <c r="S560" s="25">
        <f t="shared" ca="1" si="527"/>
        <v>4173657.0258275513</v>
      </c>
    </row>
    <row r="561" spans="1:19" ht="15.75" customHeight="1" x14ac:dyDescent="0.3">
      <c r="A561" s="37">
        <v>68028</v>
      </c>
      <c r="B561" s="398">
        <f t="shared" ref="B561:C561" si="567">($A561-B$9)/365.25</f>
        <v>104.37234770704997</v>
      </c>
      <c r="C561" s="398">
        <f t="shared" si="567"/>
        <v>99.761806981519513</v>
      </c>
      <c r="E561" s="25">
        <f>IF(C561&gt;$B$7,0,'Combined Retirement'!$D$13/12)</f>
        <v>0</v>
      </c>
      <c r="F561" s="25">
        <f>IF(H561=0,'Combined Retirement'!$D$32,0)+'Combined Retirement'!$B$24</f>
        <v>2870.372285649099</v>
      </c>
      <c r="G561" s="25">
        <f>'Combined Retirement'!$C$24</f>
        <v>3254.2644699519233</v>
      </c>
      <c r="H561" s="25">
        <f>IF(B561&lt;62,0,'Combined Retirement'!$I$14)</f>
        <v>2345</v>
      </c>
      <c r="I561" s="25">
        <f>IF(C561&lt;62,0,'Combined Retirement'!$I$13)</f>
        <v>2420</v>
      </c>
      <c r="J561" s="25">
        <f t="shared" si="523"/>
        <v>7896.2379798201846</v>
      </c>
      <c r="K561" s="25">
        <f t="shared" si="524"/>
        <v>20367.195264578786</v>
      </c>
      <c r="L561" s="25"/>
      <c r="N561" s="25">
        <f>'Combined Retirement'!$C$18/12</f>
        <v>39153.069999999992</v>
      </c>
      <c r="O561" s="25">
        <f t="shared" si="525"/>
        <v>10889.636755601023</v>
      </c>
      <c r="P561" s="25">
        <f t="shared" si="526"/>
        <v>28263.43324439897</v>
      </c>
      <c r="Q561" s="25">
        <f t="array" aca="1" ref="Q561" ca="1">INDEX('Isaac 401k'!L:L,MATCH('Retirement Calculator'!A561,'Isaac 401k'!N:N,0),0)</f>
        <v>1917098.5939835091</v>
      </c>
      <c r="R561" s="25">
        <f t="array" aca="1" ref="R561" ca="1">INDEX('Lorri 401b'!L:L,MATCH('Retirement Calculator'!A561,'Lorri 401b'!N:N,0),0)</f>
        <v>2245567.4719020734</v>
      </c>
      <c r="S561" s="25">
        <f t="shared" ca="1" si="527"/>
        <v>4162666.0658855825</v>
      </c>
    </row>
    <row r="562" spans="1:19" ht="15.75" customHeight="1" x14ac:dyDescent="0.3">
      <c r="A562" s="37">
        <v>68058</v>
      </c>
      <c r="B562" s="398">
        <f t="shared" ref="B562:C562" si="568">($A562-B$9)/365.25</f>
        <v>104.45448323066393</v>
      </c>
      <c r="C562" s="398">
        <f t="shared" si="568"/>
        <v>99.843942505133469</v>
      </c>
      <c r="E562" s="25">
        <f>IF(C562&gt;$B$7,0,'Combined Retirement'!$D$13/12)</f>
        <v>0</v>
      </c>
      <c r="F562" s="25">
        <f>IF(H562=0,'Combined Retirement'!$D$32,0)+'Combined Retirement'!$B$24</f>
        <v>2870.372285649099</v>
      </c>
      <c r="G562" s="25">
        <f>'Combined Retirement'!$C$24</f>
        <v>3254.2644699519233</v>
      </c>
      <c r="H562" s="25">
        <f>IF(B562&lt;62,0,'Combined Retirement'!$I$14)</f>
        <v>2345</v>
      </c>
      <c r="I562" s="25">
        <f>IF(C562&lt;62,0,'Combined Retirement'!$I$13)</f>
        <v>2420</v>
      </c>
      <c r="J562" s="25">
        <f t="shared" si="523"/>
        <v>7896.2379798201846</v>
      </c>
      <c r="K562" s="25">
        <f t="shared" si="524"/>
        <v>20367.195264578786</v>
      </c>
      <c r="L562" s="25"/>
      <c r="N562" s="25">
        <f>'Combined Retirement'!$C$18/12</f>
        <v>39153.069999999992</v>
      </c>
      <c r="O562" s="25">
        <f t="shared" si="525"/>
        <v>10889.636755601023</v>
      </c>
      <c r="P562" s="25">
        <f t="shared" si="526"/>
        <v>28263.43324439897</v>
      </c>
      <c r="Q562" s="25">
        <f t="array" aca="1" ref="Q562" ca="1">INDEX('Isaac 401k'!L:L,MATCH('Retirement Calculator'!A562,'Isaac 401k'!N:N,0),0)</f>
        <v>1917157.3658203708</v>
      </c>
      <c r="R562" s="25">
        <f t="array" aca="1" ref="R562" ca="1">INDEX('Lorri 401b'!L:L,MATCH('Retirement Calculator'!A562,'Lorri 401b'!N:N,0),0)</f>
        <v>2234471.9444568176</v>
      </c>
      <c r="S562" s="25">
        <f t="shared" ca="1" si="527"/>
        <v>4151629.3102771882</v>
      </c>
    </row>
    <row r="563" spans="1:19" ht="15.75" customHeight="1" x14ac:dyDescent="0.3">
      <c r="A563" s="37">
        <v>68089</v>
      </c>
      <c r="B563" s="398">
        <f t="shared" ref="B563:C563" si="569">($A563-B$9)/365.25</f>
        <v>104.53935660506502</v>
      </c>
      <c r="C563" s="398">
        <f t="shared" si="569"/>
        <v>99.928815879534568</v>
      </c>
      <c r="E563" s="25">
        <f>IF(C563&gt;$B$7,0,'Combined Retirement'!$D$13/12)</f>
        <v>0</v>
      </c>
      <c r="F563" s="25">
        <f>IF(H563=0,'Combined Retirement'!$D$32,0)+'Combined Retirement'!$B$24</f>
        <v>2870.372285649099</v>
      </c>
      <c r="G563" s="25">
        <f>'Combined Retirement'!$C$24</f>
        <v>3254.2644699519233</v>
      </c>
      <c r="H563" s="25">
        <f>IF(B563&lt;62,0,'Combined Retirement'!$I$14)</f>
        <v>2345</v>
      </c>
      <c r="I563" s="25">
        <f>IF(C563&lt;62,0,'Combined Retirement'!$I$13)</f>
        <v>2420</v>
      </c>
      <c r="J563" s="25">
        <f t="shared" si="523"/>
        <v>7896.2379798201846</v>
      </c>
      <c r="K563" s="25">
        <f t="shared" si="524"/>
        <v>20367.195264578786</v>
      </c>
      <c r="L563" s="25"/>
      <c r="N563" s="25">
        <f>'Combined Retirement'!$C$18/12</f>
        <v>39153.069999999992</v>
      </c>
      <c r="O563" s="25">
        <f t="shared" si="525"/>
        <v>10889.636755601023</v>
      </c>
      <c r="P563" s="25">
        <f t="shared" si="526"/>
        <v>28263.43324439897</v>
      </c>
      <c r="Q563" s="25">
        <f t="array" aca="1" ref="Q563" ca="1">INDEX('Isaac 401k'!L:L,MATCH('Retirement Calculator'!A563,'Isaac 401k'!N:N,0),0)</f>
        <v>1917216.3825398863</v>
      </c>
      <c r="R563" s="25">
        <f t="array" aca="1" ref="R563" ca="1">INDEX('Lorri 401b'!L:L,MATCH('Retirement Calculator'!A563,'Lorri 401b'!N:N,0),0)</f>
        <v>2223330.1856472064</v>
      </c>
      <c r="S563" s="25">
        <f t="shared" ca="1" si="527"/>
        <v>4140546.5681870924</v>
      </c>
    </row>
    <row r="564" spans="1:19" ht="15.75" customHeight="1" x14ac:dyDescent="0.3">
      <c r="A564" s="37">
        <v>68119</v>
      </c>
      <c r="B564" s="398">
        <f t="shared" ref="B564:C564" si="570">($A564-B$9)/365.25</f>
        <v>104.62149212867898</v>
      </c>
      <c r="C564" s="398">
        <f t="shared" si="570"/>
        <v>100.01095140314852</v>
      </c>
      <c r="E564" s="25">
        <f>IF(C564&gt;$B$7,0,'Combined Retirement'!$D$13/12)</f>
        <v>0</v>
      </c>
      <c r="F564" s="25">
        <f>IF(H564=0,'Combined Retirement'!$D$32,0)+'Combined Retirement'!$B$24</f>
        <v>2870.372285649099</v>
      </c>
      <c r="G564" s="25">
        <f>'Combined Retirement'!$C$24</f>
        <v>3254.2644699519233</v>
      </c>
      <c r="H564" s="25">
        <f>IF(B564&lt;62,0,'Combined Retirement'!$I$14)</f>
        <v>2345</v>
      </c>
      <c r="I564" s="25">
        <f>IF(C564&lt;62,0,'Combined Retirement'!$I$13)</f>
        <v>2420</v>
      </c>
      <c r="J564" s="25">
        <f t="shared" si="523"/>
        <v>7896.2379798201846</v>
      </c>
      <c r="K564" s="25">
        <f t="shared" si="524"/>
        <v>20367.195264578786</v>
      </c>
      <c r="L564" s="25"/>
      <c r="N564" s="25">
        <f>'Combined Retirement'!$C$18/12</f>
        <v>39153.069999999992</v>
      </c>
      <c r="O564" s="25">
        <f t="shared" si="525"/>
        <v>10889.636755601023</v>
      </c>
      <c r="P564" s="25">
        <f t="shared" si="526"/>
        <v>28263.43324439897</v>
      </c>
      <c r="Q564" s="25">
        <f t="array" aca="1" ref="Q564" ca="1">INDEX('Isaac 401k'!L:L,MATCH('Retirement Calculator'!A564,'Isaac 401k'!N:N,0),0)</f>
        <v>1917275.6451623996</v>
      </c>
      <c r="R564" s="25">
        <f t="array" aca="1" ref="R564" ca="1">INDEX('Lorri 401b'!L:L,MATCH('Retirement Calculator'!A564,'Lorri 401b'!N:N,0),0)</f>
        <v>2212142.0028425553</v>
      </c>
      <c r="S564" s="25">
        <f t="shared" ca="1" si="527"/>
        <v>4129417.6480049547</v>
      </c>
    </row>
    <row r="565" spans="1:19" ht="15.75" customHeight="1" x14ac:dyDescent="0.3">
      <c r="A565" s="37">
        <v>68150</v>
      </c>
      <c r="B565" s="398">
        <f t="shared" ref="B565:C565" si="571">($A565-B$9)/365.25</f>
        <v>104.70636550308008</v>
      </c>
      <c r="C565" s="398">
        <f t="shared" si="571"/>
        <v>100.09582477754962</v>
      </c>
      <c r="E565" s="25">
        <f>IF(C565&gt;$B$7,0,'Combined Retirement'!$D$13/12)</f>
        <v>0</v>
      </c>
      <c r="F565" s="25">
        <f>IF(H565=0,'Combined Retirement'!$D$32,0)+'Combined Retirement'!$B$24</f>
        <v>2870.372285649099</v>
      </c>
      <c r="G565" s="25">
        <f>'Combined Retirement'!$C$24</f>
        <v>3254.2644699519233</v>
      </c>
      <c r="H565" s="25">
        <f>IF(B565&lt;62,0,'Combined Retirement'!$I$14)</f>
        <v>2345</v>
      </c>
      <c r="I565" s="25">
        <f>IF(C565&lt;62,0,'Combined Retirement'!$I$13)</f>
        <v>2420</v>
      </c>
      <c r="J565" s="25">
        <f t="shared" si="523"/>
        <v>7896.2379798201846</v>
      </c>
      <c r="K565" s="25">
        <f t="shared" si="524"/>
        <v>20367.195264578786</v>
      </c>
      <c r="L565" s="25"/>
      <c r="N565" s="25">
        <f>'Combined Retirement'!$C$18/12</f>
        <v>39153.069999999992</v>
      </c>
      <c r="O565" s="25">
        <f t="shared" si="525"/>
        <v>10889.636755601023</v>
      </c>
      <c r="P565" s="25">
        <f t="shared" si="526"/>
        <v>28263.43324439897</v>
      </c>
      <c r="Q565" s="25">
        <f t="array" aca="1" ref="Q565" ca="1">INDEX('Isaac 401k'!L:L,MATCH('Retirement Calculator'!A565,'Isaac 401k'!N:N,0),0)</f>
        <v>1917335.1547125068</v>
      </c>
      <c r="R565" s="25">
        <f t="array" aca="1" ref="R565" ca="1">INDEX('Lorri 401b'!L:L,MATCH('Retirement Calculator'!A565,'Lorri 401b'!N:N,0),0)</f>
        <v>2200907.2026095516</v>
      </c>
      <c r="S565" s="25">
        <f t="shared" ca="1" si="527"/>
        <v>4118242.3573220586</v>
      </c>
    </row>
    <row r="566" spans="1:19" ht="15.75" customHeight="1" x14ac:dyDescent="0.3">
      <c r="A566" s="37">
        <v>68181</v>
      </c>
      <c r="B566" s="398">
        <f t="shared" ref="B566:C566" si="572">($A566-B$9)/365.25</f>
        <v>104.79123887748118</v>
      </c>
      <c r="C566" s="398">
        <f t="shared" si="572"/>
        <v>100.18069815195072</v>
      </c>
      <c r="E566" s="25">
        <f>IF(C566&gt;$B$7,0,'Combined Retirement'!$D$13/12)</f>
        <v>0</v>
      </c>
      <c r="F566" s="25">
        <f>IF(H566=0,'Combined Retirement'!$D$32,0)+'Combined Retirement'!$B$24</f>
        <v>2870.372285649099</v>
      </c>
      <c r="G566" s="25">
        <f>'Combined Retirement'!$C$24</f>
        <v>3254.2644699519233</v>
      </c>
      <c r="H566" s="25">
        <f>IF(B566&lt;62,0,'Combined Retirement'!$I$14)</f>
        <v>2345</v>
      </c>
      <c r="I566" s="25">
        <f>IF(C566&lt;62,0,'Combined Retirement'!$I$13)</f>
        <v>2420</v>
      </c>
      <c r="J566" s="25">
        <f t="shared" si="523"/>
        <v>7896.2379798201846</v>
      </c>
      <c r="K566" s="25">
        <f t="shared" si="524"/>
        <v>20367.195264578786</v>
      </c>
      <c r="L566" s="25"/>
      <c r="N566" s="25">
        <f>'Combined Retirement'!$C$18/12</f>
        <v>39153.069999999992</v>
      </c>
      <c r="O566" s="25">
        <f t="shared" si="525"/>
        <v>10889.636755601023</v>
      </c>
      <c r="P566" s="25">
        <f t="shared" si="526"/>
        <v>28263.43324439897</v>
      </c>
      <c r="Q566" s="25">
        <f t="array" aca="1" ref="Q566" ca="1">INDEX('Isaac 401k'!L:L,MATCH('Retirement Calculator'!A566,'Isaac 401k'!N:N,0),0)</f>
        <v>1917394.9122190727</v>
      </c>
      <c r="R566" s="25">
        <f t="array" aca="1" ref="R566" ca="1">INDEX('Lorri 401b'!L:L,MATCH('Retirement Calculator'!A566,'Lorri 401b'!N:N,0),0)</f>
        <v>2189625.59070891</v>
      </c>
      <c r="S566" s="25">
        <f t="shared" ca="1" si="527"/>
        <v>4107020.5029279827</v>
      </c>
    </row>
    <row r="567" spans="1:19" ht="15.75" customHeight="1" x14ac:dyDescent="0.3">
      <c r="A567" s="37">
        <v>68211</v>
      </c>
      <c r="B567" s="398">
        <f t="shared" ref="B567:C567" si="573">($A567-B$9)/365.25</f>
        <v>104.87337440109513</v>
      </c>
      <c r="C567" s="398">
        <f t="shared" si="573"/>
        <v>100.26283367556468</v>
      </c>
      <c r="E567" s="25">
        <f>IF(C567&gt;$B$7,0,'Combined Retirement'!$D$13/12)</f>
        <v>0</v>
      </c>
      <c r="F567" s="25">
        <f>IF(H567=0,'Combined Retirement'!$D$32,0)+'Combined Retirement'!$B$24</f>
        <v>2870.372285649099</v>
      </c>
      <c r="G567" s="25">
        <f>'Combined Retirement'!$C$24</f>
        <v>3254.2644699519233</v>
      </c>
      <c r="H567" s="25">
        <f>IF(B567&lt;62,0,'Combined Retirement'!$I$14)</f>
        <v>2345</v>
      </c>
      <c r="I567" s="25">
        <f>IF(C567&lt;62,0,'Combined Retirement'!$I$13)</f>
        <v>2420</v>
      </c>
      <c r="J567" s="25">
        <f t="shared" si="523"/>
        <v>7896.2379798201846</v>
      </c>
      <c r="K567" s="25">
        <f t="shared" si="524"/>
        <v>20367.195264578786</v>
      </c>
      <c r="L567" s="25"/>
      <c r="N567" s="25">
        <f>'Combined Retirement'!$C$18/12</f>
        <v>39153.069999999992</v>
      </c>
      <c r="O567" s="25">
        <f t="shared" si="525"/>
        <v>10889.636755601023</v>
      </c>
      <c r="P567" s="25">
        <f t="shared" si="526"/>
        <v>28263.43324439897</v>
      </c>
      <c r="Q567" s="25">
        <f t="array" aca="1" ref="Q567" ca="1">INDEX('Isaac 401k'!L:L,MATCH('Retirement Calculator'!A567,'Isaac 401k'!N:N,0),0)</f>
        <v>1917454.9187152493</v>
      </c>
      <c r="R567" s="25">
        <f t="array" aca="1" ref="R567" ca="1">INDEX('Lorri 401b'!L:L,MATCH('Retirement Calculator'!A567,'Lorri 401b'!N:N,0),0)</f>
        <v>2178296.9720920161</v>
      </c>
      <c r="S567" s="25">
        <f t="shared" ca="1" si="527"/>
        <v>4095751.8908072654</v>
      </c>
    </row>
    <row r="568" spans="1:19" ht="15.75" customHeight="1" x14ac:dyDescent="0.3">
      <c r="A568" s="37">
        <v>68242</v>
      </c>
      <c r="B568" s="398">
        <f t="shared" ref="B568:C568" si="574">($A568-B$9)/365.25</f>
        <v>104.95824777549623</v>
      </c>
      <c r="C568" s="398">
        <f t="shared" si="574"/>
        <v>100.34770704996578</v>
      </c>
      <c r="E568" s="25">
        <f>IF(C568&gt;$B$7,0,'Combined Retirement'!$D$13/12)</f>
        <v>0</v>
      </c>
      <c r="F568" s="25">
        <f>IF(H568=0,'Combined Retirement'!$D$32,0)+'Combined Retirement'!$B$24</f>
        <v>2870.372285649099</v>
      </c>
      <c r="G568" s="25">
        <f>'Combined Retirement'!$C$24</f>
        <v>3254.2644699519233</v>
      </c>
      <c r="H568" s="25">
        <f>IF(B568&lt;62,0,'Combined Retirement'!$I$14)</f>
        <v>2345</v>
      </c>
      <c r="I568" s="25">
        <f>IF(C568&lt;62,0,'Combined Retirement'!$I$13)</f>
        <v>2420</v>
      </c>
      <c r="J568" s="25">
        <f t="shared" si="523"/>
        <v>7896.2379798201846</v>
      </c>
      <c r="K568" s="25">
        <f t="shared" si="524"/>
        <v>20367.195264578786</v>
      </c>
      <c r="L568" s="25"/>
      <c r="N568" s="25">
        <f>'Combined Retirement'!$C$18/12</f>
        <v>39153.069999999992</v>
      </c>
      <c r="O568" s="25">
        <f t="shared" si="525"/>
        <v>10889.636755601023</v>
      </c>
      <c r="P568" s="25">
        <f t="shared" si="526"/>
        <v>28263.43324439897</v>
      </c>
      <c r="Q568" s="25">
        <f t="array" aca="1" ref="Q568" ca="1">INDEX('Isaac 401k'!L:L,MATCH('Retirement Calculator'!A568,'Isaac 401k'!N:N,0),0)</f>
        <v>1917515.1752384934</v>
      </c>
      <c r="R568" s="25">
        <f t="array" aca="1" ref="R568" ca="1">INDEX('Lorri 401b'!L:L,MATCH('Retirement Calculator'!A568,'Lorri 401b'!N:N,0),0)</f>
        <v>2166921.1508975518</v>
      </c>
      <c r="S568" s="25">
        <f t="shared" ca="1" si="527"/>
        <v>4084436.3261360452</v>
      </c>
    </row>
    <row r="569" spans="1:19" ht="15.75" customHeight="1" x14ac:dyDescent="0.3">
      <c r="A569" s="37">
        <v>68272</v>
      </c>
      <c r="B569" s="398">
        <f t="shared" ref="B569:C569" si="575">($A569-B$9)/365.25</f>
        <v>105.0403832991102</v>
      </c>
      <c r="C569" s="398">
        <f t="shared" si="575"/>
        <v>100.42984257357973</v>
      </c>
      <c r="E569" s="25">
        <f>IF(C569&gt;$B$7,0,'Combined Retirement'!$D$13/12)</f>
        <v>0</v>
      </c>
      <c r="F569" s="25">
        <f>IF(H569=0,'Combined Retirement'!$D$32,0)+'Combined Retirement'!$B$24</f>
        <v>2870.372285649099</v>
      </c>
      <c r="G569" s="25">
        <f>'Combined Retirement'!$C$24</f>
        <v>3254.2644699519233</v>
      </c>
      <c r="H569" s="25">
        <f>IF(B569&lt;62,0,'Combined Retirement'!$I$14)</f>
        <v>2345</v>
      </c>
      <c r="I569" s="25">
        <f>IF(C569&lt;62,0,'Combined Retirement'!$I$13)</f>
        <v>2420</v>
      </c>
      <c r="J569" s="25">
        <f t="shared" si="523"/>
        <v>7896.2379798201846</v>
      </c>
      <c r="K569" s="25">
        <f t="shared" si="524"/>
        <v>20367.195264578786</v>
      </c>
      <c r="L569" s="25"/>
      <c r="N569" s="25">
        <f>'Combined Retirement'!$C$18/12</f>
        <v>39153.069999999992</v>
      </c>
      <c r="O569" s="25">
        <f t="shared" si="525"/>
        <v>10889.636755601023</v>
      </c>
      <c r="P569" s="25">
        <f t="shared" si="526"/>
        <v>28263.43324439897</v>
      </c>
      <c r="Q569" s="25">
        <f t="array" aca="1" ref="Q569" ca="1">INDEX('Isaac 401k'!L:L,MATCH('Retirement Calculator'!A569,'Isaac 401k'!N:N,0),0)</f>
        <v>1917575.6828305842</v>
      </c>
      <c r="R569" s="25">
        <f t="array" aca="1" ref="R569" ca="1">INDEX('Lorri 401b'!L:L,MATCH('Retirement Calculator'!A569,'Lorri 401b'!N:N,0),0)</f>
        <v>2155497.9304481102</v>
      </c>
      <c r="S569" s="25">
        <f t="shared" ca="1" si="527"/>
        <v>4073073.6132786945</v>
      </c>
    </row>
    <row r="570" spans="1:19" ht="15.75" customHeight="1" x14ac:dyDescent="0.3">
      <c r="A570" s="37">
        <v>68303</v>
      </c>
      <c r="B570" s="398">
        <f t="shared" ref="B570:C570" si="576">($A570-B$9)/365.25</f>
        <v>105.12525667351129</v>
      </c>
      <c r="C570" s="398">
        <f t="shared" si="576"/>
        <v>100.51471594798083</v>
      </c>
      <c r="E570" s="25">
        <f>IF(C570&gt;$B$7,0,'Combined Retirement'!$D$13/12)</f>
        <v>0</v>
      </c>
      <c r="F570" s="25">
        <f>IF(H570=0,'Combined Retirement'!$D$32,0)+'Combined Retirement'!$B$24</f>
        <v>2870.372285649099</v>
      </c>
      <c r="G570" s="25">
        <f>'Combined Retirement'!$C$24</f>
        <v>3254.2644699519233</v>
      </c>
      <c r="H570" s="25">
        <f>IF(B570&lt;62,0,'Combined Retirement'!$I$14)</f>
        <v>2345</v>
      </c>
      <c r="I570" s="25">
        <f>IF(C570&lt;62,0,'Combined Retirement'!$I$13)</f>
        <v>2420</v>
      </c>
      <c r="J570" s="25">
        <f t="shared" si="523"/>
        <v>7896.2379798201846</v>
      </c>
      <c r="K570" s="25">
        <f t="shared" si="524"/>
        <v>20367.195264578786</v>
      </c>
      <c r="L570" s="25"/>
      <c r="N570" s="25">
        <f>'Combined Retirement'!$C$18/12</f>
        <v>39153.069999999992</v>
      </c>
      <c r="O570" s="25">
        <f t="shared" si="525"/>
        <v>10889.636755601023</v>
      </c>
      <c r="P570" s="25">
        <f t="shared" si="526"/>
        <v>28263.43324439897</v>
      </c>
      <c r="Q570" s="25">
        <f t="array" aca="1" ref="Q570" ca="1">INDEX('Isaac 401k'!L:L,MATCH('Retirement Calculator'!A570,'Isaac 401k'!N:N,0),0)</f>
        <v>1917636.4425376421</v>
      </c>
      <c r="R570" s="25">
        <f t="array" aca="1" ref="R570" ca="1">INDEX('Lorri 401b'!L:L,MATCH('Retirement Calculator'!A570,'Lorri 401b'!N:N,0),0)</f>
        <v>2144027.1132467962</v>
      </c>
      <c r="S570" s="25">
        <f t="shared" ca="1" si="527"/>
        <v>4061663.5557844383</v>
      </c>
    </row>
    <row r="571" spans="1:19" ht="15.75" customHeight="1" x14ac:dyDescent="0.3">
      <c r="A571" s="37">
        <v>68334</v>
      </c>
      <c r="B571" s="398">
        <f t="shared" ref="B571:C571" si="577">($A571-B$9)/365.25</f>
        <v>105.21013004791239</v>
      </c>
      <c r="C571" s="398">
        <f t="shared" si="577"/>
        <v>100.59958932238193</v>
      </c>
      <c r="E571" s="25">
        <f>IF(C571&gt;$B$7,0,'Combined Retirement'!$D$13/12)</f>
        <v>0</v>
      </c>
      <c r="F571" s="25">
        <f>IF(H571=0,'Combined Retirement'!$D$32,0)+'Combined Retirement'!$B$24</f>
        <v>2870.372285649099</v>
      </c>
      <c r="G571" s="25">
        <f>'Combined Retirement'!$C$24</f>
        <v>3254.2644699519233</v>
      </c>
      <c r="H571" s="25">
        <f>IF(B571&lt;62,0,'Combined Retirement'!$I$14)</f>
        <v>2345</v>
      </c>
      <c r="I571" s="25">
        <f>IF(C571&lt;62,0,'Combined Retirement'!$I$13)</f>
        <v>2420</v>
      </c>
      <c r="J571" s="25">
        <f t="shared" si="523"/>
        <v>7896.2379798201846</v>
      </c>
      <c r="K571" s="25">
        <f t="shared" si="524"/>
        <v>20367.195264578786</v>
      </c>
      <c r="L571" s="25"/>
      <c r="N571" s="25">
        <f>'Combined Retirement'!$C$18/12</f>
        <v>39153.069999999992</v>
      </c>
      <c r="O571" s="25">
        <f t="shared" si="525"/>
        <v>10889.636755601023</v>
      </c>
      <c r="P571" s="25">
        <f t="shared" si="526"/>
        <v>28263.43324439897</v>
      </c>
      <c r="Q571" s="25">
        <f t="array" aca="1" ref="Q571" ca="1">INDEX('Isaac 401k'!L:L,MATCH('Retirement Calculator'!A571,'Isaac 401k'!N:N,0),0)</f>
        <v>1917697.4554101462</v>
      </c>
      <c r="R571" s="25">
        <f t="array" aca="1" ref="R571" ca="1">INDEX('Lorri 401b'!L:L,MATCH('Retirement Calculator'!A571,'Lorri 401b'!N:N,0),0)</f>
        <v>2132508.50097381</v>
      </c>
      <c r="S571" s="25">
        <f t="shared" ca="1" si="527"/>
        <v>4050205.9563839561</v>
      </c>
    </row>
    <row r="572" spans="1:19" ht="15.75" customHeight="1" x14ac:dyDescent="0.3">
      <c r="A572" s="37">
        <v>68362</v>
      </c>
      <c r="B572" s="398">
        <f t="shared" ref="B572:C572" si="578">($A572-B$9)/365.25</f>
        <v>105.28678986995209</v>
      </c>
      <c r="C572" s="398">
        <f t="shared" si="578"/>
        <v>100.67624914442163</v>
      </c>
      <c r="E572" s="25">
        <f>IF(C572&gt;$B$7,0,'Combined Retirement'!$D$13/12)</f>
        <v>0</v>
      </c>
      <c r="F572" s="25">
        <f>IF(H572=0,'Combined Retirement'!$D$32,0)+'Combined Retirement'!$B$24</f>
        <v>2870.372285649099</v>
      </c>
      <c r="G572" s="25">
        <f>'Combined Retirement'!$C$24</f>
        <v>3254.2644699519233</v>
      </c>
      <c r="H572" s="25">
        <f>IF(B572&lt;62,0,'Combined Retirement'!$I$14)</f>
        <v>2345</v>
      </c>
      <c r="I572" s="25">
        <f>IF(C572&lt;62,0,'Combined Retirement'!$I$13)</f>
        <v>2420</v>
      </c>
      <c r="J572" s="25">
        <f t="shared" si="523"/>
        <v>7896.2379798201846</v>
      </c>
      <c r="K572" s="25">
        <f t="shared" si="524"/>
        <v>20367.195264578786</v>
      </c>
      <c r="L572" s="25"/>
      <c r="N572" s="25">
        <f>'Combined Retirement'!$C$18/12</f>
        <v>39153.069999999992</v>
      </c>
      <c r="O572" s="25">
        <f t="shared" si="525"/>
        <v>10889.636755601023</v>
      </c>
      <c r="P572" s="25">
        <f t="shared" si="526"/>
        <v>28263.43324439897</v>
      </c>
      <c r="Q572" s="25">
        <f t="array" aca="1" ref="Q572" ca="1">INDEX('Isaac 401k'!L:L,MATCH('Retirement Calculator'!A572,'Isaac 401k'!N:N,0),0)</f>
        <v>1917758.7225029522</v>
      </c>
      <c r="R572" s="25">
        <f t="array" aca="1" ref="R572" ca="1">INDEX('Lorri 401b'!L:L,MATCH('Retirement Calculator'!A572,'Lorri 401b'!N:N,0),0)</f>
        <v>2120941.8944830196</v>
      </c>
      <c r="S572" s="25">
        <f t="shared" ca="1" si="527"/>
        <v>4038700.616985972</v>
      </c>
    </row>
    <row r="573" spans="1:19" ht="15.75" customHeight="1" x14ac:dyDescent="0.3">
      <c r="A573" s="37">
        <v>68393</v>
      </c>
      <c r="B573" s="398">
        <f t="shared" ref="B573:C573" si="579">($A573-B$9)/365.25</f>
        <v>105.37166324435319</v>
      </c>
      <c r="C573" s="398">
        <f t="shared" si="579"/>
        <v>100.76112251882273</v>
      </c>
      <c r="E573" s="25">
        <f>IF(C573&gt;$B$7,0,'Combined Retirement'!$D$13/12)</f>
        <v>0</v>
      </c>
      <c r="F573" s="25">
        <f>IF(H573=0,'Combined Retirement'!$D$32,0)+'Combined Retirement'!$B$24</f>
        <v>2870.372285649099</v>
      </c>
      <c r="G573" s="25">
        <f>'Combined Retirement'!$C$24</f>
        <v>3254.2644699519233</v>
      </c>
      <c r="H573" s="25">
        <f>IF(B573&lt;62,0,'Combined Retirement'!$I$14)</f>
        <v>2345</v>
      </c>
      <c r="I573" s="25">
        <f>IF(C573&lt;62,0,'Combined Retirement'!$I$13)</f>
        <v>2420</v>
      </c>
      <c r="J573" s="25">
        <f t="shared" si="523"/>
        <v>7896.2379798201846</v>
      </c>
      <c r="K573" s="25">
        <f t="shared" si="524"/>
        <v>20367.195264578786</v>
      </c>
      <c r="L573" s="25"/>
      <c r="N573" s="25">
        <f>'Combined Retirement'!$C$18/12</f>
        <v>39153.069999999992</v>
      </c>
      <c r="O573" s="25">
        <f t="shared" si="525"/>
        <v>10889.636755601023</v>
      </c>
      <c r="P573" s="25">
        <f t="shared" si="526"/>
        <v>28263.43324439897</v>
      </c>
      <c r="Q573" s="25">
        <f t="array" aca="1" ref="Q573" ca="1">INDEX('Isaac 401k'!L:L,MATCH('Retirement Calculator'!A573,'Isaac 401k'!N:N,0),0)</f>
        <v>1917820.2448753116</v>
      </c>
      <c r="R573" s="25">
        <f t="array" aca="1" ref="R573" ca="1">INDEX('Lorri 401b'!L:L,MATCH('Retirement Calculator'!A573,'Lorri 401b'!N:N,0),0)</f>
        <v>2109327.0937985177</v>
      </c>
      <c r="S573" s="25">
        <f t="shared" ca="1" si="527"/>
        <v>4027147.3386738291</v>
      </c>
    </row>
    <row r="574" spans="1:19" ht="15.75" customHeight="1" x14ac:dyDescent="0.3">
      <c r="A574" s="37">
        <v>68423</v>
      </c>
      <c r="B574" s="398">
        <f t="shared" ref="B574:C574" si="580">($A574-B$9)/365.25</f>
        <v>105.45379876796714</v>
      </c>
      <c r="C574" s="398">
        <f t="shared" si="580"/>
        <v>100.84325804243669</v>
      </c>
      <c r="E574" s="25">
        <f>IF(C574&gt;$B$7,0,'Combined Retirement'!$D$13/12)</f>
        <v>0</v>
      </c>
      <c r="F574" s="25">
        <f>IF(H574=0,'Combined Retirement'!$D$32,0)+'Combined Retirement'!$B$24</f>
        <v>2870.372285649099</v>
      </c>
      <c r="G574" s="25">
        <f>'Combined Retirement'!$C$24</f>
        <v>3254.2644699519233</v>
      </c>
      <c r="H574" s="25">
        <f>IF(B574&lt;62,0,'Combined Retirement'!$I$14)</f>
        <v>2345</v>
      </c>
      <c r="I574" s="25">
        <f>IF(C574&lt;62,0,'Combined Retirement'!$I$13)</f>
        <v>2420</v>
      </c>
      <c r="J574" s="25">
        <f t="shared" si="523"/>
        <v>7896.2379798201846</v>
      </c>
      <c r="K574" s="25">
        <f t="shared" si="524"/>
        <v>20367.195264578786</v>
      </c>
      <c r="L574" s="25"/>
      <c r="N574" s="25">
        <f>'Combined Retirement'!$C$18/12</f>
        <v>39153.069999999992</v>
      </c>
      <c r="O574" s="25">
        <f t="shared" si="525"/>
        <v>10889.636755601023</v>
      </c>
      <c r="P574" s="25">
        <f t="shared" si="526"/>
        <v>28263.43324439897</v>
      </c>
      <c r="Q574" s="25">
        <f t="array" aca="1" ref="Q574" ca="1">INDEX('Isaac 401k'!L:L,MATCH('Retirement Calculator'!A574,'Isaac 401k'!N:N,0),0)</f>
        <v>1917882.0235908893</v>
      </c>
      <c r="R574" s="25">
        <f t="array" aca="1" ref="R574" ca="1">INDEX('Lorri 401b'!L:L,MATCH('Retirement Calculator'!A574,'Lorri 401b'!N:N,0),0)</f>
        <v>2097663.8981111636</v>
      </c>
      <c r="S574" s="25">
        <f t="shared" ca="1" si="527"/>
        <v>4015545.9217020529</v>
      </c>
    </row>
    <row r="575" spans="1:19" ht="15.75" customHeight="1" x14ac:dyDescent="0.3">
      <c r="A575" s="37">
        <v>68454</v>
      </c>
      <c r="B575" s="398">
        <f t="shared" ref="B575:C575" si="581">($A575-B$9)/365.25</f>
        <v>105.53867214236824</v>
      </c>
      <c r="C575" s="398">
        <f t="shared" si="581"/>
        <v>100.92813141683779</v>
      </c>
      <c r="E575" s="25">
        <f>IF(C575&gt;$B$7,0,'Combined Retirement'!$D$13/12)</f>
        <v>0</v>
      </c>
      <c r="F575" s="25">
        <f>IF(H575=0,'Combined Retirement'!$D$32,0)+'Combined Retirement'!$B$24</f>
        <v>2870.372285649099</v>
      </c>
      <c r="G575" s="25">
        <f>'Combined Retirement'!$C$24</f>
        <v>3254.2644699519233</v>
      </c>
      <c r="H575" s="25">
        <f>IF(B575&lt;62,0,'Combined Retirement'!$I$14)</f>
        <v>2345</v>
      </c>
      <c r="I575" s="25">
        <f>IF(C575&lt;62,0,'Combined Retirement'!$I$13)</f>
        <v>2420</v>
      </c>
      <c r="J575" s="25">
        <f t="shared" si="523"/>
        <v>7896.2379798201846</v>
      </c>
      <c r="K575" s="25">
        <f t="shared" si="524"/>
        <v>20367.195264578786</v>
      </c>
      <c r="L575" s="25"/>
      <c r="N575" s="25">
        <f>'Combined Retirement'!$C$18/12</f>
        <v>39153.069999999992</v>
      </c>
      <c r="O575" s="25">
        <f t="shared" si="525"/>
        <v>10889.636755601023</v>
      </c>
      <c r="P575" s="25">
        <f t="shared" si="526"/>
        <v>28263.43324439897</v>
      </c>
      <c r="Q575" s="25">
        <f t="array" aca="1" ref="Q575" ca="1">INDEX('Isaac 401k'!L:L,MATCH('Retirement Calculator'!A575,'Isaac 401k'!N:N,0),0)</f>
        <v>1917944.0597177818</v>
      </c>
      <c r="R575" s="25">
        <f t="array" aca="1" ref="R575" ca="1">INDEX('Lorri 401b'!L:L,MATCH('Retirement Calculator'!A575,'Lorri 401b'!N:N,0),0)</f>
        <v>2085952.1057751123</v>
      </c>
      <c r="S575" s="25">
        <f t="shared" ca="1" si="527"/>
        <v>4003896.1654928941</v>
      </c>
    </row>
    <row r="576" spans="1:19" ht="15.75" customHeight="1" x14ac:dyDescent="0.3">
      <c r="A576" s="37">
        <v>68484</v>
      </c>
      <c r="B576" s="398">
        <f t="shared" ref="B576:C576" si="582">($A576-B$9)/365.25</f>
        <v>105.6208076659822</v>
      </c>
      <c r="C576" s="398">
        <f t="shared" si="582"/>
        <v>101.01026694045174</v>
      </c>
      <c r="E576" s="25">
        <f>IF(C576&gt;$B$7,0,'Combined Retirement'!$D$13/12)</f>
        <v>0</v>
      </c>
      <c r="F576" s="25">
        <f>IF(H576=0,'Combined Retirement'!$D$32,0)+'Combined Retirement'!$B$24</f>
        <v>2870.372285649099</v>
      </c>
      <c r="G576" s="25">
        <f>'Combined Retirement'!$C$24</f>
        <v>3254.2644699519233</v>
      </c>
      <c r="H576" s="25">
        <f>IF(B576&lt;62,0,'Combined Retirement'!$I$14)</f>
        <v>2345</v>
      </c>
      <c r="I576" s="25">
        <f>IF(C576&lt;62,0,'Combined Retirement'!$I$13)</f>
        <v>2420</v>
      </c>
      <c r="J576" s="25">
        <f t="shared" si="523"/>
        <v>7896.2379798201846</v>
      </c>
      <c r="K576" s="25">
        <f t="shared" si="524"/>
        <v>20367.195264578786</v>
      </c>
      <c r="L576" s="25"/>
      <c r="N576" s="25">
        <f>'Combined Retirement'!$C$18/12</f>
        <v>39153.069999999992</v>
      </c>
      <c r="O576" s="25">
        <f t="shared" si="525"/>
        <v>10889.636755601023</v>
      </c>
      <c r="P576" s="25">
        <f t="shared" si="526"/>
        <v>28263.43324439897</v>
      </c>
      <c r="Q576" s="25">
        <f t="array" aca="1" ref="Q576" ca="1">INDEX('Isaac 401k'!L:L,MATCH('Retirement Calculator'!A576,'Isaac 401k'!N:N,0),0)</f>
        <v>1918006.3543285364</v>
      </c>
      <c r="R576" s="25">
        <f t="array" aca="1" ref="R576" ca="1">INDEX('Lorri 401b'!L:L,MATCH('Retirement Calculator'!A576,'Lorri 401b'!N:N,0),0)</f>
        <v>2074191.5143043273</v>
      </c>
      <c r="S576" s="25">
        <f t="shared" ca="1" si="527"/>
        <v>3992197.8686328637</v>
      </c>
    </row>
    <row r="577" spans="1:19" ht="15.75" customHeight="1" x14ac:dyDescent="0.3">
      <c r="A577" s="37">
        <v>68515</v>
      </c>
      <c r="B577" s="398">
        <f t="shared" ref="B577:C577" si="583">($A577-B$9)/365.25</f>
        <v>105.7056810403833</v>
      </c>
      <c r="C577" s="398">
        <f t="shared" si="583"/>
        <v>101.09514031485284</v>
      </c>
      <c r="E577" s="25">
        <f>IF(C577&gt;$B$7,0,'Combined Retirement'!$D$13/12)</f>
        <v>0</v>
      </c>
      <c r="F577" s="25">
        <f>IF(H577=0,'Combined Retirement'!$D$32,0)+'Combined Retirement'!$B$24</f>
        <v>2870.372285649099</v>
      </c>
      <c r="G577" s="25">
        <f>'Combined Retirement'!$C$24</f>
        <v>3254.2644699519233</v>
      </c>
      <c r="H577" s="25">
        <f>IF(B577&lt;62,0,'Combined Retirement'!$I$14)</f>
        <v>2345</v>
      </c>
      <c r="I577" s="25">
        <f>IF(C577&lt;62,0,'Combined Retirement'!$I$13)</f>
        <v>2420</v>
      </c>
      <c r="J577" s="25">
        <f t="shared" si="523"/>
        <v>7896.2379798201846</v>
      </c>
      <c r="K577" s="25">
        <f t="shared" si="524"/>
        <v>20367.195264578786</v>
      </c>
      <c r="L577" s="25"/>
      <c r="N577" s="25">
        <f>'Combined Retirement'!$C$18/12</f>
        <v>39153.069999999992</v>
      </c>
      <c r="O577" s="25">
        <f t="shared" si="525"/>
        <v>10889.636755601023</v>
      </c>
      <c r="P577" s="25">
        <f t="shared" si="526"/>
        <v>28263.43324439897</v>
      </c>
      <c r="Q577" s="25">
        <f t="array" aca="1" ref="Q577" ca="1">INDEX('Isaac 401k'!L:L,MATCH('Retirement Calculator'!A577,'Isaac 401k'!N:N,0),0)</f>
        <v>1918068.9085001692</v>
      </c>
      <c r="R577" s="25">
        <f t="array" aca="1" ref="R577" ca="1">INDEX('Lorri 401b'!L:L,MATCH('Retirement Calculator'!A577,'Lorri 401b'!N:N,0),0)</f>
        <v>2062381.9203690807</v>
      </c>
      <c r="S577" s="25">
        <f t="shared" ca="1" si="527"/>
        <v>3980450.8288692497</v>
      </c>
    </row>
    <row r="578" spans="1:19" ht="15.75" customHeight="1" x14ac:dyDescent="0.3">
      <c r="A578" s="37">
        <v>68546</v>
      </c>
      <c r="B578" s="398">
        <f t="shared" ref="B578:C578" si="584">($A578-B$9)/365.25</f>
        <v>105.7905544147844</v>
      </c>
      <c r="C578" s="398">
        <f t="shared" si="584"/>
        <v>101.18001368925394</v>
      </c>
      <c r="E578" s="25">
        <f>IF(C578&gt;$B$7,0,'Combined Retirement'!$D$13/12)</f>
        <v>0</v>
      </c>
      <c r="F578" s="25">
        <f>IF(H578=0,'Combined Retirement'!$D$32,0)+'Combined Retirement'!$B$24</f>
        <v>2870.372285649099</v>
      </c>
      <c r="G578" s="25">
        <f>'Combined Retirement'!$C$24</f>
        <v>3254.2644699519233</v>
      </c>
      <c r="H578" s="25">
        <f>IF(B578&lt;62,0,'Combined Retirement'!$I$14)</f>
        <v>2345</v>
      </c>
      <c r="I578" s="25">
        <f>IF(C578&lt;62,0,'Combined Retirement'!$I$13)</f>
        <v>2420</v>
      </c>
      <c r="J578" s="25">
        <f t="shared" si="523"/>
        <v>7896.2379798201846</v>
      </c>
      <c r="K578" s="25">
        <f t="shared" si="524"/>
        <v>20367.195264578786</v>
      </c>
      <c r="L578" s="25"/>
      <c r="N578" s="25">
        <f>'Combined Retirement'!$C$18/12</f>
        <v>39153.069999999992</v>
      </c>
      <c r="O578" s="25">
        <f t="shared" si="525"/>
        <v>10889.636755601023</v>
      </c>
      <c r="P578" s="25">
        <f t="shared" si="526"/>
        <v>28263.43324439897</v>
      </c>
      <c r="Q578" s="25">
        <f t="array" aca="1" ref="Q578" ca="1">INDEX('Isaac 401k'!L:L,MATCH('Retirement Calculator'!A578,'Isaac 401k'!N:N,0),0)</f>
        <v>1918131.7233141838</v>
      </c>
      <c r="R578" s="25">
        <f t="array" aca="1" ref="R578" ca="1">INDEX('Lorri 401b'!L:L,MATCH('Retirement Calculator'!A578,'Lorri 401b'!N:N,0),0)</f>
        <v>2050523.1197924374</v>
      </c>
      <c r="S578" s="25">
        <f t="shared" ca="1" si="527"/>
        <v>3968654.8431066209</v>
      </c>
    </row>
    <row r="579" spans="1:19" ht="15.75" customHeight="1" x14ac:dyDescent="0.3">
      <c r="A579" s="37">
        <v>68576</v>
      </c>
      <c r="B579" s="398">
        <f t="shared" ref="B579:C579" si="585">($A579-B$9)/365.25</f>
        <v>105.87268993839835</v>
      </c>
      <c r="C579" s="398">
        <f t="shared" si="585"/>
        <v>101.2621492128679</v>
      </c>
      <c r="E579" s="25">
        <f>IF(C579&gt;$B$7,0,'Combined Retirement'!$D$13/12)</f>
        <v>0</v>
      </c>
      <c r="F579" s="25">
        <f>IF(H579=0,'Combined Retirement'!$D$32,0)+'Combined Retirement'!$B$24</f>
        <v>2870.372285649099</v>
      </c>
      <c r="G579" s="25">
        <f>'Combined Retirement'!$C$24</f>
        <v>3254.2644699519233</v>
      </c>
      <c r="H579" s="25">
        <f>IF(B579&lt;62,0,'Combined Retirement'!$I$14)</f>
        <v>2345</v>
      </c>
      <c r="I579" s="25">
        <f>IF(C579&lt;62,0,'Combined Retirement'!$I$13)</f>
        <v>2420</v>
      </c>
      <c r="J579" s="25">
        <f t="shared" si="523"/>
        <v>7896.2379798201846</v>
      </c>
      <c r="K579" s="25">
        <f t="shared" si="524"/>
        <v>20367.195264578786</v>
      </c>
      <c r="L579" s="25"/>
      <c r="N579" s="25">
        <f>'Combined Retirement'!$C$18/12</f>
        <v>39153.069999999992</v>
      </c>
      <c r="O579" s="25">
        <f t="shared" si="525"/>
        <v>10889.636755601023</v>
      </c>
      <c r="P579" s="25">
        <f t="shared" si="526"/>
        <v>28263.43324439897</v>
      </c>
      <c r="Q579" s="25">
        <f t="array" aca="1" ref="Q579" ca="1">INDEX('Isaac 401k'!L:L,MATCH('Retirement Calculator'!A579,'Isaac 401k'!N:N,0),0)</f>
        <v>1918194.7998565901</v>
      </c>
      <c r="R579" s="25">
        <f t="array" aca="1" ref="R579" ca="1">INDEX('Lorri 401b'!L:L,MATCH('Retirement Calculator'!A579,'Lorri 401b'!N:N,0),0)</f>
        <v>2038614.9075467247</v>
      </c>
      <c r="S579" s="25">
        <f t="shared" ca="1" si="527"/>
        <v>3956809.7074033148</v>
      </c>
    </row>
    <row r="580" spans="1:19" ht="15.75" customHeight="1" x14ac:dyDescent="0.3">
      <c r="A580" s="37">
        <v>68607</v>
      </c>
      <c r="B580" s="398">
        <f t="shared" ref="B580:C580" si="586">($A580-B$9)/365.25</f>
        <v>105.95756331279945</v>
      </c>
      <c r="C580" s="398">
        <f t="shared" si="586"/>
        <v>101.347022587269</v>
      </c>
      <c r="E580" s="25">
        <f>IF(C580&gt;$B$7,0,'Combined Retirement'!$D$13/12)</f>
        <v>0</v>
      </c>
      <c r="F580" s="25">
        <f>IF(H580=0,'Combined Retirement'!$D$32,0)+'Combined Retirement'!$B$24</f>
        <v>2870.372285649099</v>
      </c>
      <c r="G580" s="25">
        <f>'Combined Retirement'!$C$24</f>
        <v>3254.2644699519233</v>
      </c>
      <c r="H580" s="25">
        <f>IF(B580&lt;62,0,'Combined Retirement'!$I$14)</f>
        <v>2345</v>
      </c>
      <c r="I580" s="25">
        <f>IF(C580&lt;62,0,'Combined Retirement'!$I$13)</f>
        <v>2420</v>
      </c>
      <c r="J580" s="25">
        <f t="shared" si="523"/>
        <v>7896.2379798201846</v>
      </c>
      <c r="K580" s="25">
        <f t="shared" si="524"/>
        <v>20367.195264578786</v>
      </c>
      <c r="L580" s="25"/>
      <c r="N580" s="25">
        <f>'Combined Retirement'!$C$18/12</f>
        <v>39153.069999999992</v>
      </c>
      <c r="O580" s="25">
        <f t="shared" si="525"/>
        <v>10889.636755601023</v>
      </c>
      <c r="P580" s="25">
        <f t="shared" si="526"/>
        <v>28263.43324439897</v>
      </c>
      <c r="Q580" s="25">
        <f t="array" aca="1" ref="Q580" ca="1">INDEX('Isaac 401k'!L:L,MATCH('Retirement Calculator'!A580,'Isaac 401k'!N:N,0),0)</f>
        <v>1918258.1392179232</v>
      </c>
      <c r="R580" s="25">
        <f t="array" aca="1" ref="R580" ca="1">INDEX('Lorri 401b'!L:L,MATCH('Retirement Calculator'!A580,'Lorri 401b'!N:N,0),0)</f>
        <v>2026657.0777499881</v>
      </c>
      <c r="S580" s="25">
        <f t="shared" ca="1" si="527"/>
        <v>3944915.2169679115</v>
      </c>
    </row>
    <row r="581" spans="1:19" ht="15.75" customHeight="1" x14ac:dyDescent="0.3">
      <c r="A581" s="37">
        <v>68637</v>
      </c>
      <c r="B581" s="398">
        <f t="shared" ref="B581:C581" si="587">($A581-B$9)/365.25</f>
        <v>106.03969883641342</v>
      </c>
      <c r="C581" s="398">
        <f t="shared" si="587"/>
        <v>101.42915811088295</v>
      </c>
      <c r="E581" s="25">
        <f>IF(C581&gt;$B$7,0,'Combined Retirement'!$D$13/12)</f>
        <v>0</v>
      </c>
      <c r="F581" s="25">
        <f>IF(H581=0,'Combined Retirement'!$D$32,0)+'Combined Retirement'!$B$24</f>
        <v>2870.372285649099</v>
      </c>
      <c r="G581" s="25">
        <f>'Combined Retirement'!$C$24</f>
        <v>3254.2644699519233</v>
      </c>
      <c r="H581" s="25">
        <f>IF(B581&lt;62,0,'Combined Retirement'!$I$14)</f>
        <v>2345</v>
      </c>
      <c r="I581" s="25">
        <f>IF(C581&lt;62,0,'Combined Retirement'!$I$13)</f>
        <v>2420</v>
      </c>
      <c r="J581" s="25">
        <f t="shared" si="523"/>
        <v>7896.2379798201846</v>
      </c>
      <c r="K581" s="25">
        <f t="shared" si="524"/>
        <v>20367.195264578786</v>
      </c>
      <c r="L581" s="25"/>
      <c r="N581" s="25">
        <f>'Combined Retirement'!$C$18/12</f>
        <v>39153.069999999992</v>
      </c>
      <c r="O581" s="25">
        <f t="shared" si="525"/>
        <v>10889.636755601023</v>
      </c>
      <c r="P581" s="25">
        <f t="shared" si="526"/>
        <v>28263.43324439897</v>
      </c>
      <c r="Q581" s="25">
        <f t="array" aca="1" ref="Q581" ca="1">INDEX('Isaac 401k'!L:L,MATCH('Retirement Calculator'!A581,'Isaac 401k'!N:N,0),0)</f>
        <v>1918321.7424932616</v>
      </c>
      <c r="R581" s="25">
        <f t="array" aca="1" ref="R581" ca="1">INDEX('Lorri 401b'!L:L,MATCH('Retirement Calculator'!A581,'Lorri 401b'!N:N,0),0)</f>
        <v>2014649.4236624318</v>
      </c>
      <c r="S581" s="25">
        <f t="shared" ca="1" si="527"/>
        <v>3932971.1661556931</v>
      </c>
    </row>
    <row r="582" spans="1:19" ht="15.75" customHeight="1" x14ac:dyDescent="0.3">
      <c r="A582" s="37">
        <v>68668</v>
      </c>
      <c r="B582" s="398">
        <f t="shared" ref="B582:C582" si="588">($A582-B$9)/365.25</f>
        <v>106.12457221081451</v>
      </c>
      <c r="C582" s="398">
        <f t="shared" si="588"/>
        <v>101.51403148528405</v>
      </c>
      <c r="E582" s="25">
        <f>IF(C582&gt;$B$7,0,'Combined Retirement'!$D$13/12)</f>
        <v>0</v>
      </c>
      <c r="F582" s="25">
        <f>IF(H582=0,'Combined Retirement'!$D$32,0)+'Combined Retirement'!$B$24</f>
        <v>2870.372285649099</v>
      </c>
      <c r="G582" s="25">
        <f>'Combined Retirement'!$C$24</f>
        <v>3254.2644699519233</v>
      </c>
      <c r="H582" s="25">
        <f>IF(B582&lt;62,0,'Combined Retirement'!$I$14)</f>
        <v>2345</v>
      </c>
      <c r="I582" s="25">
        <f>IF(C582&lt;62,0,'Combined Retirement'!$I$13)</f>
        <v>2420</v>
      </c>
      <c r="J582" s="25">
        <f t="shared" si="523"/>
        <v>7896.2379798201846</v>
      </c>
      <c r="K582" s="25">
        <f t="shared" si="524"/>
        <v>20367.195264578786</v>
      </c>
      <c r="L582" s="25"/>
      <c r="N582" s="25">
        <f>'Combined Retirement'!$C$18/12</f>
        <v>39153.069999999992</v>
      </c>
      <c r="O582" s="25">
        <f t="shared" si="525"/>
        <v>10889.636755601023</v>
      </c>
      <c r="P582" s="25">
        <f t="shared" si="526"/>
        <v>28263.43324439897</v>
      </c>
      <c r="Q582" s="25">
        <f t="array" aca="1" ref="Q582" ca="1">INDEX('Isaac 401k'!L:L,MATCH('Retirement Calculator'!A582,'Isaac 401k'!N:N,0),0)</f>
        <v>1918385.6107822473</v>
      </c>
      <c r="R582" s="25">
        <f t="array" aca="1" ref="R582" ca="1">INDEX('Lorri 401b'!L:L,MATCH('Retirement Calculator'!A582,'Lorri 401b'!N:N,0),0)</f>
        <v>2002591.737682844</v>
      </c>
      <c r="S582" s="25">
        <f t="shared" ca="1" si="527"/>
        <v>3920977.3484650915</v>
      </c>
    </row>
    <row r="583" spans="1:19" ht="15.75" customHeight="1" x14ac:dyDescent="0.3">
      <c r="A583" s="37">
        <v>68699</v>
      </c>
      <c r="B583" s="398">
        <f t="shared" ref="B583:C583" si="589">($A583-B$9)/365.25</f>
        <v>106.2094455852156</v>
      </c>
      <c r="C583" s="398">
        <f t="shared" si="589"/>
        <v>101.59890485968515</v>
      </c>
      <c r="E583" s="25">
        <f>IF(C583&gt;$B$7,0,'Combined Retirement'!$D$13/12)</f>
        <v>0</v>
      </c>
      <c r="F583" s="25">
        <f>IF(H583=0,'Combined Retirement'!$D$32,0)+'Combined Retirement'!$B$24</f>
        <v>2870.372285649099</v>
      </c>
      <c r="G583" s="25">
        <f>'Combined Retirement'!$C$24</f>
        <v>3254.2644699519233</v>
      </c>
      <c r="H583" s="25">
        <f>IF(B583&lt;62,0,'Combined Retirement'!$I$14)</f>
        <v>2345</v>
      </c>
      <c r="I583" s="25">
        <f>IF(C583&lt;62,0,'Combined Retirement'!$I$13)</f>
        <v>2420</v>
      </c>
      <c r="J583" s="25">
        <f t="shared" si="523"/>
        <v>7896.2379798201846</v>
      </c>
      <c r="K583" s="25">
        <f t="shared" si="524"/>
        <v>20367.195264578786</v>
      </c>
      <c r="L583" s="25"/>
      <c r="N583" s="25">
        <f>'Combined Retirement'!$C$18/12</f>
        <v>39153.069999999992</v>
      </c>
      <c r="O583" s="25">
        <f t="shared" si="525"/>
        <v>10889.636755601023</v>
      </c>
      <c r="P583" s="25">
        <f t="shared" si="526"/>
        <v>28263.43324439897</v>
      </c>
      <c r="Q583" s="25">
        <f t="array" aca="1" ref="Q583" ca="1">INDEX('Isaac 401k'!L:L,MATCH('Retirement Calculator'!A583,'Isaac 401k'!N:N,0),0)</f>
        <v>1918449.7451891038</v>
      </c>
      <c r="R583" s="25">
        <f t="array" aca="1" ref="R583" ca="1">INDEX('Lorri 401b'!L:L,MATCH('Retirement Calculator'!A583,'Lorri 401b'!N:N,0),0)</f>
        <v>1990483.811345008</v>
      </c>
      <c r="S583" s="25">
        <f t="shared" ca="1" si="527"/>
        <v>3908933.5565341115</v>
      </c>
    </row>
    <row r="584" spans="1:19" ht="15.75" customHeight="1" x14ac:dyDescent="0.3">
      <c r="A584" s="37">
        <v>68728</v>
      </c>
      <c r="B584" s="398">
        <f t="shared" ref="B584:C584" si="590">($A584-B$9)/365.25</f>
        <v>106.28884325804243</v>
      </c>
      <c r="C584" s="398">
        <f t="shared" si="590"/>
        <v>101.67830253251198</v>
      </c>
      <c r="E584" s="25">
        <f>IF(C584&gt;$B$7,0,'Combined Retirement'!$D$13/12)</f>
        <v>0</v>
      </c>
      <c r="F584" s="25">
        <f>IF(H584=0,'Combined Retirement'!$D$32,0)+'Combined Retirement'!$B$24</f>
        <v>2870.372285649099</v>
      </c>
      <c r="G584" s="25">
        <f>'Combined Retirement'!$C$24</f>
        <v>3254.2644699519233</v>
      </c>
      <c r="H584" s="25">
        <f>IF(B584&lt;62,0,'Combined Retirement'!$I$14)</f>
        <v>2345</v>
      </c>
      <c r="I584" s="25">
        <f>IF(C584&lt;62,0,'Combined Retirement'!$I$13)</f>
        <v>2420</v>
      </c>
      <c r="J584" s="25">
        <f t="shared" si="523"/>
        <v>7896.2379798201846</v>
      </c>
      <c r="K584" s="25">
        <f t="shared" si="524"/>
        <v>20367.195264578786</v>
      </c>
      <c r="L584" s="25"/>
      <c r="N584" s="25">
        <f>'Combined Retirement'!$C$18/12</f>
        <v>39153.069999999992</v>
      </c>
      <c r="O584" s="25">
        <f t="shared" si="525"/>
        <v>10889.636755601023</v>
      </c>
      <c r="P584" s="25">
        <f t="shared" si="526"/>
        <v>28263.43324439897</v>
      </c>
      <c r="Q584" s="25">
        <f t="array" aca="1" ref="Q584" ca="1">INDEX('Isaac 401k'!L:L,MATCH('Retirement Calculator'!A584,'Isaac 401k'!N:N,0),0)</f>
        <v>1918514.1468226556</v>
      </c>
      <c r="R584" s="25">
        <f t="array" aca="1" ref="R584" ca="1">INDEX('Lorri 401b'!L:L,MATCH('Retirement Calculator'!A584,'Lorri 401b'!N:N,0),0)</f>
        <v>1978325.4353140977</v>
      </c>
      <c r="S584" s="25">
        <f t="shared" ca="1" si="527"/>
        <v>3896839.582136753</v>
      </c>
    </row>
    <row r="585" spans="1:19" ht="15.75" customHeight="1" x14ac:dyDescent="0.3">
      <c r="A585" s="37">
        <v>68759</v>
      </c>
      <c r="B585" s="398">
        <f t="shared" ref="B585:C585" si="591">($A585-B$9)/365.25</f>
        <v>106.37371663244353</v>
      </c>
      <c r="C585" s="398">
        <f t="shared" si="591"/>
        <v>101.76317590691308</v>
      </c>
      <c r="E585" s="25">
        <f>IF(C585&gt;$B$7,0,'Combined Retirement'!$D$13/12)</f>
        <v>0</v>
      </c>
      <c r="F585" s="25">
        <f>IF(H585=0,'Combined Retirement'!$D$32,0)+'Combined Retirement'!$B$24</f>
        <v>2870.372285649099</v>
      </c>
      <c r="G585" s="25">
        <f>'Combined Retirement'!$C$24</f>
        <v>3254.2644699519233</v>
      </c>
      <c r="H585" s="25">
        <f>IF(B585&lt;62,0,'Combined Retirement'!$I$14)</f>
        <v>2345</v>
      </c>
      <c r="I585" s="25">
        <f>IF(C585&lt;62,0,'Combined Retirement'!$I$13)</f>
        <v>2420</v>
      </c>
      <c r="J585" s="25">
        <f t="shared" si="523"/>
        <v>7896.2379798201846</v>
      </c>
      <c r="K585" s="25">
        <f t="shared" si="524"/>
        <v>20367.195264578786</v>
      </c>
      <c r="L585" s="25"/>
      <c r="N585" s="25">
        <f>'Combined Retirement'!$C$18/12</f>
        <v>39153.069999999992</v>
      </c>
      <c r="O585" s="25">
        <f t="shared" si="525"/>
        <v>10889.636755601023</v>
      </c>
      <c r="P585" s="25">
        <f t="shared" si="526"/>
        <v>28263.43324439897</v>
      </c>
      <c r="Q585" s="25">
        <f t="array" aca="1" ref="Q585" ca="1">INDEX('Isaac 401k'!L:L,MATCH('Retirement Calculator'!A585,'Isaac 401k'!N:N,0),0)</f>
        <v>1918578.8167963473</v>
      </c>
      <c r="R585" s="25">
        <f t="array" aca="1" ref="R585" ca="1">INDEX('Lorri 401b'!L:L,MATCH('Retirement Calculator'!A585,'Lorri 401b'!N:N,0),0)</f>
        <v>1966116.3993830585</v>
      </c>
      <c r="S585" s="25">
        <f t="shared" ca="1" si="527"/>
        <v>3884695.2161794058</v>
      </c>
    </row>
    <row r="586" spans="1:19" ht="15.75" customHeight="1" x14ac:dyDescent="0.3">
      <c r="A586" s="37">
        <v>68789</v>
      </c>
      <c r="B586" s="398">
        <f t="shared" ref="B586:C586" si="592">($A586-B$9)/365.25</f>
        <v>106.45585215605749</v>
      </c>
      <c r="C586" s="398">
        <f t="shared" si="592"/>
        <v>101.84531143052703</v>
      </c>
      <c r="E586" s="25">
        <f>IF(C586&gt;$B$7,0,'Combined Retirement'!$D$13/12)</f>
        <v>0</v>
      </c>
      <c r="F586" s="25">
        <f>IF(H586=0,'Combined Retirement'!$D$32,0)+'Combined Retirement'!$B$24</f>
        <v>2870.372285649099</v>
      </c>
      <c r="G586" s="25">
        <f>'Combined Retirement'!$C$24</f>
        <v>3254.2644699519233</v>
      </c>
      <c r="H586" s="25">
        <f>IF(B586&lt;62,0,'Combined Retirement'!$I$14)</f>
        <v>2345</v>
      </c>
      <c r="I586" s="25">
        <f>IF(C586&lt;62,0,'Combined Retirement'!$I$13)</f>
        <v>2420</v>
      </c>
      <c r="J586" s="25">
        <f t="shared" si="523"/>
        <v>7896.2379798201846</v>
      </c>
      <c r="K586" s="25">
        <f t="shared" si="524"/>
        <v>20367.195264578786</v>
      </c>
      <c r="L586" s="25"/>
      <c r="N586" s="25">
        <f>'Combined Retirement'!$C$18/12</f>
        <v>39153.069999999992</v>
      </c>
      <c r="O586" s="25">
        <f t="shared" si="525"/>
        <v>10889.636755601023</v>
      </c>
      <c r="P586" s="25">
        <f t="shared" si="526"/>
        <v>28263.43324439897</v>
      </c>
      <c r="Q586" s="25">
        <f t="array" aca="1" ref="Q586" ca="1">INDEX('Isaac 401k'!L:L,MATCH('Retirement Calculator'!A586,'Isaac 401k'!N:N,0),0)</f>
        <v>1918643.7562282626</v>
      </c>
      <c r="R586" s="25">
        <f t="array" aca="1" ref="R586" ca="1">INDEX('Lorri 401b'!L:L,MATCH('Retirement Calculator'!A586,'Lorri 401b'!N:N,0),0)</f>
        <v>1953856.4924689734</v>
      </c>
      <c r="S586" s="25">
        <f t="shared" ca="1" si="527"/>
        <v>3872500.2486972362</v>
      </c>
    </row>
    <row r="587" spans="1:19" ht="15.75" customHeight="1" x14ac:dyDescent="0.3">
      <c r="A587" s="37">
        <v>68820</v>
      </c>
      <c r="B587" s="398">
        <f t="shared" ref="B587:C587" si="593">($A587-B$9)/365.25</f>
        <v>106.54072553045859</v>
      </c>
      <c r="C587" s="398">
        <f t="shared" si="593"/>
        <v>101.93018480492813</v>
      </c>
      <c r="E587" s="25">
        <f>IF(C587&gt;$B$7,0,'Combined Retirement'!$D$13/12)</f>
        <v>0</v>
      </c>
      <c r="F587" s="25">
        <f>IF(H587=0,'Combined Retirement'!$D$32,0)+'Combined Retirement'!$B$24</f>
        <v>2870.372285649099</v>
      </c>
      <c r="G587" s="25">
        <f>'Combined Retirement'!$C$24</f>
        <v>3254.2644699519233</v>
      </c>
      <c r="H587" s="25">
        <f>IF(B587&lt;62,0,'Combined Retirement'!$I$14)</f>
        <v>2345</v>
      </c>
      <c r="I587" s="25">
        <f>IF(C587&lt;62,0,'Combined Retirement'!$I$13)</f>
        <v>2420</v>
      </c>
      <c r="J587" s="25">
        <f t="shared" si="523"/>
        <v>7896.2379798201846</v>
      </c>
      <c r="K587" s="25">
        <f t="shared" si="524"/>
        <v>20367.195264578786</v>
      </c>
      <c r="L587" s="25"/>
      <c r="N587" s="25">
        <f>'Combined Retirement'!$C$18/12</f>
        <v>39153.069999999992</v>
      </c>
      <c r="O587" s="25">
        <f t="shared" si="525"/>
        <v>10889.636755601023</v>
      </c>
      <c r="P587" s="25">
        <f t="shared" si="526"/>
        <v>28263.43324439897</v>
      </c>
      <c r="Q587" s="25">
        <f t="array" aca="1" ref="Q587" ca="1">INDEX('Isaac 401k'!L:L,MATCH('Retirement Calculator'!A587,'Isaac 401k'!N:N,0),0)</f>
        <v>1918708.9662411441</v>
      </c>
      <c r="R587" s="25">
        <f t="array" aca="1" ref="R587" ca="1">INDEX('Lorri 401b'!L:L,MATCH('Retirement Calculator'!A587,'Lorri 401b'!N:N,0),0)</f>
        <v>1941545.5026094129</v>
      </c>
      <c r="S587" s="25">
        <f t="shared" ca="1" si="527"/>
        <v>3860254.4688505568</v>
      </c>
    </row>
    <row r="588" spans="1:19" ht="15.75" customHeight="1" x14ac:dyDescent="0.3">
      <c r="A588" s="37">
        <v>68850</v>
      </c>
      <c r="B588" s="398">
        <f t="shared" ref="B588:C588" si="594">($A588-B$9)/365.25</f>
        <v>106.62286105407256</v>
      </c>
      <c r="C588" s="398">
        <f t="shared" si="594"/>
        <v>102.01232032854209</v>
      </c>
      <c r="E588" s="25">
        <f>IF(C588&gt;$B$7,0,'Combined Retirement'!$D$13/12)</f>
        <v>0</v>
      </c>
      <c r="F588" s="25">
        <f>IF(H588=0,'Combined Retirement'!$D$32,0)+'Combined Retirement'!$B$24</f>
        <v>2870.372285649099</v>
      </c>
      <c r="G588" s="25">
        <f>'Combined Retirement'!$C$24</f>
        <v>3254.2644699519233</v>
      </c>
      <c r="H588" s="25">
        <f>IF(B588&lt;62,0,'Combined Retirement'!$I$14)</f>
        <v>2345</v>
      </c>
      <c r="I588" s="25">
        <f>IF(C588&lt;62,0,'Combined Retirement'!$I$13)</f>
        <v>2420</v>
      </c>
      <c r="J588" s="25">
        <f t="shared" si="523"/>
        <v>7896.2379798201846</v>
      </c>
      <c r="K588" s="25">
        <f t="shared" si="524"/>
        <v>20367.195264578786</v>
      </c>
      <c r="L588" s="25"/>
      <c r="N588" s="25">
        <f>'Combined Retirement'!$C$18/12</f>
        <v>39153.069999999992</v>
      </c>
      <c r="O588" s="25">
        <f t="shared" si="525"/>
        <v>10889.636755601023</v>
      </c>
      <c r="P588" s="25">
        <f t="shared" si="526"/>
        <v>28263.43324439897</v>
      </c>
      <c r="Q588" s="25">
        <f t="array" aca="1" ref="Q588" ca="1">INDEX('Isaac 401k'!L:L,MATCH('Retirement Calculator'!A588,'Isaac 401k'!N:N,0),0)</f>
        <v>1918774.4479624128</v>
      </c>
      <c r="R588" s="25">
        <f t="array" aca="1" ref="R588" ca="1">INDEX('Lorri 401b'!L:L,MATCH('Retirement Calculator'!A588,'Lorri 401b'!N:N,0),0)</f>
        <v>1929183.216958771</v>
      </c>
      <c r="S588" s="25">
        <f t="shared" ca="1" si="527"/>
        <v>3847957.6649211841</v>
      </c>
    </row>
    <row r="589" spans="1:19" ht="15.75" customHeight="1" x14ac:dyDescent="0.3">
      <c r="A589" s="37">
        <v>68881</v>
      </c>
      <c r="B589" s="398">
        <f t="shared" ref="B589:C589" si="595">($A589-B$9)/365.25</f>
        <v>106.70773442847364</v>
      </c>
      <c r="C589" s="398">
        <f t="shared" si="595"/>
        <v>102.09719370294319</v>
      </c>
      <c r="E589" s="25">
        <f>IF(C589&gt;$B$7,0,'Combined Retirement'!$D$13/12)</f>
        <v>0</v>
      </c>
      <c r="F589" s="25">
        <f>IF(H589=0,'Combined Retirement'!$D$32,0)+'Combined Retirement'!$B$24</f>
        <v>2870.372285649099</v>
      </c>
      <c r="G589" s="25">
        <f>'Combined Retirement'!$C$24</f>
        <v>3254.2644699519233</v>
      </c>
      <c r="H589" s="25">
        <f>IF(B589&lt;62,0,'Combined Retirement'!$I$14)</f>
        <v>2345</v>
      </c>
      <c r="I589" s="25">
        <f>IF(C589&lt;62,0,'Combined Retirement'!$I$13)</f>
        <v>2420</v>
      </c>
      <c r="J589" s="25">
        <f t="shared" si="523"/>
        <v>7896.2379798201846</v>
      </c>
      <c r="K589" s="25">
        <f t="shared" si="524"/>
        <v>20367.195264578786</v>
      </c>
      <c r="L589" s="25"/>
      <c r="N589" s="25">
        <f>'Combined Retirement'!$C$18/12</f>
        <v>39153.069999999992</v>
      </c>
      <c r="O589" s="25">
        <f t="shared" si="525"/>
        <v>10889.636755601023</v>
      </c>
      <c r="P589" s="25">
        <f t="shared" si="526"/>
        <v>28263.43324439897</v>
      </c>
      <c r="Q589" s="25">
        <f t="array" aca="1" ref="Q589" ca="1">INDEX('Isaac 401k'!L:L,MATCH('Retirement Calculator'!A589,'Isaac 401k'!N:N,0),0)</f>
        <v>1918840.2025241868</v>
      </c>
      <c r="R589" s="25">
        <f t="array" aca="1" ref="R589" ca="1">INDEX('Lorri 401b'!L:L,MATCH('Retirement Calculator'!A589,'Lorri 401b'!N:N,0),0)</f>
        <v>1916769.4217845846</v>
      </c>
      <c r="S589" s="25">
        <f t="shared" ca="1" si="527"/>
        <v>3835609.6243087715</v>
      </c>
    </row>
    <row r="590" spans="1:19" ht="15.75" customHeight="1" x14ac:dyDescent="0.3">
      <c r="A590" s="37">
        <v>68912</v>
      </c>
      <c r="B590" s="398">
        <f t="shared" ref="B590:C590" si="596">($A590-B$9)/365.25</f>
        <v>106.79260780287474</v>
      </c>
      <c r="C590" s="398">
        <f t="shared" si="596"/>
        <v>102.18206707734429</v>
      </c>
      <c r="E590" s="25">
        <f>IF(C590&gt;$B$7,0,'Combined Retirement'!$D$13/12)</f>
        <v>0</v>
      </c>
      <c r="F590" s="25">
        <f>IF(H590=0,'Combined Retirement'!$D$32,0)+'Combined Retirement'!$B$24</f>
        <v>2870.372285649099</v>
      </c>
      <c r="G590" s="25">
        <f>'Combined Retirement'!$C$24</f>
        <v>3254.2644699519233</v>
      </c>
      <c r="H590" s="25">
        <f>IF(B590&lt;62,0,'Combined Retirement'!$I$14)</f>
        <v>2345</v>
      </c>
      <c r="I590" s="25">
        <f>IF(C590&lt;62,0,'Combined Retirement'!$I$13)</f>
        <v>2420</v>
      </c>
      <c r="J590" s="25">
        <f t="shared" si="523"/>
        <v>7896.2379798201846</v>
      </c>
      <c r="K590" s="25">
        <f t="shared" si="524"/>
        <v>20367.195264578786</v>
      </c>
      <c r="L590" s="25"/>
      <c r="N590" s="25">
        <f>'Combined Retirement'!$C$18/12</f>
        <v>39153.069999999992</v>
      </c>
      <c r="O590" s="25">
        <f t="shared" si="525"/>
        <v>10889.636755601023</v>
      </c>
      <c r="P590" s="25">
        <f t="shared" si="526"/>
        <v>28263.43324439897</v>
      </c>
      <c r="Q590" s="25">
        <f t="array" aca="1" ref="Q590" ca="1">INDEX('Isaac 401k'!L:L,MATCH('Retirement Calculator'!A590,'Isaac 401k'!N:N,0),0)</f>
        <v>1918906.2310633014</v>
      </c>
      <c r="R590" s="25">
        <f t="array" aca="1" ref="R590" ca="1">INDEX('Lorri 401b'!L:L,MATCH('Retirement Calculator'!A590,'Lorri 401b'!N:N,0),0)</f>
        <v>1904303.9024638392</v>
      </c>
      <c r="S590" s="25">
        <f t="shared" ca="1" si="527"/>
        <v>3823210.1335271406</v>
      </c>
    </row>
    <row r="591" spans="1:19" ht="15.75" customHeight="1" x14ac:dyDescent="0.3">
      <c r="A591" s="37">
        <v>68942</v>
      </c>
      <c r="B591" s="398">
        <f t="shared" ref="B591:C591" si="597">($A591-B$9)/365.25</f>
        <v>106.87474332648871</v>
      </c>
      <c r="C591" s="398">
        <f t="shared" si="597"/>
        <v>102.26420260095824</v>
      </c>
      <c r="E591" s="25">
        <f>IF(C591&gt;$B$7,0,'Combined Retirement'!$D$13/12)</f>
        <v>0</v>
      </c>
      <c r="F591" s="25">
        <f>IF(H591=0,'Combined Retirement'!$D$32,0)+'Combined Retirement'!$B$24</f>
        <v>2870.372285649099</v>
      </c>
      <c r="G591" s="25">
        <f>'Combined Retirement'!$C$24</f>
        <v>3254.2644699519233</v>
      </c>
      <c r="H591" s="25">
        <f>IF(B591&lt;62,0,'Combined Retirement'!$I$14)</f>
        <v>2345</v>
      </c>
      <c r="I591" s="25">
        <f>IF(C591&lt;62,0,'Combined Retirement'!$I$13)</f>
        <v>2420</v>
      </c>
      <c r="J591" s="25">
        <f t="shared" si="523"/>
        <v>7896.2379798201846</v>
      </c>
      <c r="K591" s="25">
        <f t="shared" si="524"/>
        <v>20367.195264578786</v>
      </c>
      <c r="L591" s="25"/>
      <c r="N591" s="25">
        <f>'Combined Retirement'!$C$18/12</f>
        <v>39153.069999999992</v>
      </c>
      <c r="O591" s="25">
        <f t="shared" si="525"/>
        <v>10889.636755601023</v>
      </c>
      <c r="P591" s="25">
        <f t="shared" si="526"/>
        <v>28263.43324439897</v>
      </c>
      <c r="Q591" s="25">
        <f t="array" aca="1" ref="Q591" ca="1">INDEX('Isaac 401k'!L:L,MATCH('Retirement Calculator'!A591,'Isaac 401k'!N:N,0),0)</f>
        <v>1918972.5347213291</v>
      </c>
      <c r="R591" s="25">
        <f t="array" aca="1" ref="R591" ca="1">INDEX('Lorri 401b'!L:L,MATCH('Retirement Calculator'!A591,'Lorri 401b'!N:N,0),0)</f>
        <v>1891786.4434792572</v>
      </c>
      <c r="S591" s="25">
        <f t="shared" ca="1" si="527"/>
        <v>3810758.9782005865</v>
      </c>
    </row>
    <row r="592" spans="1:19" ht="15.75" customHeight="1" x14ac:dyDescent="0.3">
      <c r="A592" s="37">
        <v>68973</v>
      </c>
      <c r="B592" s="398">
        <f t="shared" ref="B592:C592" si="598">($A592-B$9)/365.25</f>
        <v>106.9596167008898</v>
      </c>
      <c r="C592" s="398">
        <f t="shared" si="598"/>
        <v>102.34907597535934</v>
      </c>
      <c r="E592" s="25">
        <f>IF(C592&gt;$B$7,0,'Combined Retirement'!$D$13/12)</f>
        <v>0</v>
      </c>
      <c r="F592" s="25">
        <f>IF(H592=0,'Combined Retirement'!$D$32,0)+'Combined Retirement'!$B$24</f>
        <v>2870.372285649099</v>
      </c>
      <c r="G592" s="25">
        <f>'Combined Retirement'!$C$24</f>
        <v>3254.2644699519233</v>
      </c>
      <c r="H592" s="25">
        <f>IF(B592&lt;62,0,'Combined Retirement'!$I$14)</f>
        <v>2345</v>
      </c>
      <c r="I592" s="25">
        <f>IF(C592&lt;62,0,'Combined Retirement'!$I$13)</f>
        <v>2420</v>
      </c>
      <c r="J592" s="25">
        <f t="shared" si="523"/>
        <v>7896.2379798201846</v>
      </c>
      <c r="K592" s="25">
        <f t="shared" si="524"/>
        <v>20367.195264578786</v>
      </c>
      <c r="L592" s="25"/>
      <c r="N592" s="25">
        <f>'Combined Retirement'!$C$18/12</f>
        <v>39153.069999999992</v>
      </c>
      <c r="O592" s="25">
        <f t="shared" si="525"/>
        <v>10889.636755601023</v>
      </c>
      <c r="P592" s="25">
        <f t="shared" si="526"/>
        <v>28263.43324439897</v>
      </c>
      <c r="Q592" s="25">
        <f t="array" aca="1" ref="Q592" ca="1">INDEX('Isaac 401k'!L:L,MATCH('Retirement Calculator'!A592,'Isaac 401k'!N:N,0),0)</f>
        <v>1919039.1146445984</v>
      </c>
      <c r="R592" s="25">
        <f t="array" aca="1" ref="R592" ca="1">INDEX('Lorri 401b'!L:L,MATCH('Retirement Calculator'!A592,'Lorri 401b'!N:N,0),0)</f>
        <v>1879216.8284155729</v>
      </c>
      <c r="S592" s="25">
        <f t="shared" ca="1" si="527"/>
        <v>3798255.9430601713</v>
      </c>
    </row>
    <row r="593" spans="1:19" ht="15.75" customHeight="1" x14ac:dyDescent="0.3">
      <c r="A593" s="37">
        <v>69003</v>
      </c>
      <c r="B593" s="398">
        <f t="shared" ref="B593:C593" si="599">($A593-B$9)/365.25</f>
        <v>107.04175222450377</v>
      </c>
      <c r="C593" s="398">
        <f t="shared" si="599"/>
        <v>102.43121149897331</v>
      </c>
      <c r="E593" s="25">
        <f>IF(C593&gt;$B$7,0,'Combined Retirement'!$D$13/12)</f>
        <v>0</v>
      </c>
      <c r="F593" s="25">
        <f>IF(H593=0,'Combined Retirement'!$D$32,0)+'Combined Retirement'!$B$24</f>
        <v>2870.372285649099</v>
      </c>
      <c r="G593" s="25">
        <f>'Combined Retirement'!$C$24</f>
        <v>3254.2644699519233</v>
      </c>
      <c r="H593" s="25">
        <f>IF(B593&lt;62,0,'Combined Retirement'!$I$14)</f>
        <v>2345</v>
      </c>
      <c r="I593" s="25">
        <f>IF(C593&lt;62,0,'Combined Retirement'!$I$13)</f>
        <v>2420</v>
      </c>
      <c r="J593" s="25">
        <f t="shared" si="523"/>
        <v>7896.2379798201846</v>
      </c>
      <c r="K593" s="25">
        <f t="shared" si="524"/>
        <v>20367.195264578786</v>
      </c>
      <c r="L593" s="25"/>
      <c r="N593" s="25">
        <f>'Combined Retirement'!$C$18/12</f>
        <v>39153.069999999992</v>
      </c>
      <c r="O593" s="25">
        <f t="shared" si="525"/>
        <v>10889.636755601023</v>
      </c>
      <c r="P593" s="25">
        <f t="shared" si="526"/>
        <v>28263.43324439897</v>
      </c>
      <c r="Q593" s="25">
        <f t="array" aca="1" ref="Q593" ca="1">INDEX('Isaac 401k'!L:L,MATCH('Retirement Calculator'!A593,'Isaac 401k'!N:N,0),0)</f>
        <v>1919105.9719842148</v>
      </c>
      <c r="R593" s="25">
        <f t="array" aca="1" ref="R593" ca="1">INDEX('Lorri 401b'!L:L,MATCH('Retirement Calculator'!A593,'Lorri 401b'!N:N,0),0)</f>
        <v>1866594.83995579</v>
      </c>
      <c r="S593" s="25">
        <f t="shared" ca="1" si="527"/>
        <v>3785700.811940005</v>
      </c>
    </row>
    <row r="594" spans="1:19" ht="15.75" customHeight="1" x14ac:dyDescent="0.3">
      <c r="A594" s="37">
        <v>69034</v>
      </c>
      <c r="B594" s="398">
        <f t="shared" ref="B594:C594" si="600">($A594-B$9)/365.25</f>
        <v>107.12662559890487</v>
      </c>
      <c r="C594" s="398">
        <f t="shared" si="600"/>
        <v>102.5160848733744</v>
      </c>
      <c r="E594" s="25">
        <f>IF(C594&gt;$B$7,0,'Combined Retirement'!$D$13/12)</f>
        <v>0</v>
      </c>
      <c r="F594" s="25">
        <f>IF(H594=0,'Combined Retirement'!$D$32,0)+'Combined Retirement'!$B$24</f>
        <v>2870.372285649099</v>
      </c>
      <c r="G594" s="25">
        <f>'Combined Retirement'!$C$24</f>
        <v>3254.2644699519233</v>
      </c>
      <c r="H594" s="25">
        <f>IF(B594&lt;62,0,'Combined Retirement'!$I$14)</f>
        <v>2345</v>
      </c>
      <c r="I594" s="25">
        <f>IF(C594&lt;62,0,'Combined Retirement'!$I$13)</f>
        <v>2420</v>
      </c>
      <c r="J594" s="25">
        <f t="shared" si="523"/>
        <v>7896.2379798201846</v>
      </c>
      <c r="K594" s="25">
        <f t="shared" si="524"/>
        <v>20367.195264578786</v>
      </c>
      <c r="L594" s="25"/>
      <c r="N594" s="25">
        <f>'Combined Retirement'!$C$18/12</f>
        <v>39153.069999999992</v>
      </c>
      <c r="O594" s="25">
        <f t="shared" si="525"/>
        <v>10889.636755601023</v>
      </c>
      <c r="P594" s="25">
        <f t="shared" si="526"/>
        <v>28263.43324439897</v>
      </c>
      <c r="Q594" s="25">
        <f t="array" aca="1" ref="Q594" ca="1">INDEX('Isaac 401k'!L:L,MATCH('Retirement Calculator'!A594,'Isaac 401k'!N:N,0),0)</f>
        <v>1919173.1078960795</v>
      </c>
      <c r="R594" s="25">
        <f t="array" aca="1" ref="R594" ca="1">INDEX('Lorri 401b'!L:L,MATCH('Retirement Calculator'!A594,'Lorri 401b'!N:N,0),0)</f>
        <v>1853920.2598774245</v>
      </c>
      <c r="S594" s="25">
        <f t="shared" ca="1" si="527"/>
        <v>3773093.367773504</v>
      </c>
    </row>
    <row r="595" spans="1:19" ht="15.75" customHeight="1" x14ac:dyDescent="0.3">
      <c r="A595" s="37">
        <v>69065</v>
      </c>
      <c r="B595" s="398">
        <f t="shared" ref="B595:C595" si="601">($A595-B$9)/365.25</f>
        <v>107.21149897330595</v>
      </c>
      <c r="C595" s="398">
        <f t="shared" si="601"/>
        <v>102.60095824777549</v>
      </c>
      <c r="E595" s="25">
        <f>IF(C595&gt;$B$7,0,'Combined Retirement'!$D$13/12)</f>
        <v>0</v>
      </c>
      <c r="F595" s="25">
        <f>IF(H595=0,'Combined Retirement'!$D$32,0)+'Combined Retirement'!$B$24</f>
        <v>2870.372285649099</v>
      </c>
      <c r="G595" s="25">
        <f>'Combined Retirement'!$C$24</f>
        <v>3254.2644699519233</v>
      </c>
      <c r="H595" s="25">
        <f>IF(B595&lt;62,0,'Combined Retirement'!$I$14)</f>
        <v>2345</v>
      </c>
      <c r="I595" s="25">
        <f>IF(C595&lt;62,0,'Combined Retirement'!$I$13)</f>
        <v>2420</v>
      </c>
      <c r="J595" s="25">
        <f t="shared" si="523"/>
        <v>7896.2379798201846</v>
      </c>
      <c r="K595" s="25">
        <f t="shared" si="524"/>
        <v>20367.195264578786</v>
      </c>
      <c r="L595" s="25"/>
      <c r="N595" s="25">
        <f>'Combined Retirement'!$C$18/12</f>
        <v>39153.069999999992</v>
      </c>
      <c r="O595" s="25">
        <f t="shared" si="525"/>
        <v>10889.636755601023</v>
      </c>
      <c r="P595" s="25">
        <f t="shared" si="526"/>
        <v>28263.43324439897</v>
      </c>
      <c r="Q595" s="25">
        <f t="array" aca="1" ref="Q595" ca="1">INDEX('Isaac 401k'!L:L,MATCH('Retirement Calculator'!A595,'Isaac 401k'!N:N,0),0)</f>
        <v>1919240.5235409103</v>
      </c>
      <c r="R595" s="25">
        <f t="array" aca="1" ref="R595" ca="1">INDEX('Lorri 401b'!L:L,MATCH('Retirement Calculator'!A595,'Lorri 401b'!N:N,0),0)</f>
        <v>1841192.8690487326</v>
      </c>
      <c r="S595" s="25">
        <f t="shared" ca="1" si="527"/>
        <v>3760433.3925896427</v>
      </c>
    </row>
    <row r="596" spans="1:19" ht="15.75" customHeight="1" x14ac:dyDescent="0.3">
      <c r="A596" s="37">
        <v>69093</v>
      </c>
      <c r="B596" s="398">
        <f t="shared" ref="B596:C596" si="602">($A596-B$9)/365.25</f>
        <v>107.28815879534565</v>
      </c>
      <c r="C596" s="398">
        <f t="shared" si="602"/>
        <v>102.6776180698152</v>
      </c>
      <c r="E596" s="25">
        <f>IF(C596&gt;$B$7,0,'Combined Retirement'!$D$13/12)</f>
        <v>0</v>
      </c>
      <c r="F596" s="25">
        <f>IF(H596=0,'Combined Retirement'!$D$32,0)+'Combined Retirement'!$B$24</f>
        <v>2870.372285649099</v>
      </c>
      <c r="G596" s="25">
        <f>'Combined Retirement'!$C$24</f>
        <v>3254.2644699519233</v>
      </c>
      <c r="H596" s="25">
        <f>IF(B596&lt;62,0,'Combined Retirement'!$I$14)</f>
        <v>2345</v>
      </c>
      <c r="I596" s="25">
        <f>IF(C596&lt;62,0,'Combined Retirement'!$I$13)</f>
        <v>2420</v>
      </c>
      <c r="J596" s="25">
        <f t="shared" si="523"/>
        <v>7896.2379798201846</v>
      </c>
      <c r="K596" s="25">
        <f t="shared" si="524"/>
        <v>20367.195264578786</v>
      </c>
      <c r="L596" s="25"/>
      <c r="N596" s="25">
        <f>'Combined Retirement'!$C$18/12</f>
        <v>39153.069999999992</v>
      </c>
      <c r="O596" s="25">
        <f t="shared" si="525"/>
        <v>10889.636755601023</v>
      </c>
      <c r="P596" s="25">
        <f t="shared" si="526"/>
        <v>28263.43324439897</v>
      </c>
      <c r="Q596" s="25">
        <f t="array" aca="1" ref="Q596" ca="1">INDEX('Isaac 401k'!L:L,MATCH('Retirement Calculator'!A596,'Isaac 401k'!N:N,0),0)</f>
        <v>1919308.2200842614</v>
      </c>
      <c r="R596" s="25">
        <f t="array" aca="1" ref="R596" ca="1">INDEX('Lorri 401b'!L:L,MATCH('Retirement Calculator'!A596,'Lorri 401b'!N:N,0),0)</f>
        <v>1828412.447424921</v>
      </c>
      <c r="S596" s="25">
        <f t="shared" ca="1" si="527"/>
        <v>3747720.6675091824</v>
      </c>
    </row>
    <row r="597" spans="1:19" ht="15.75" customHeight="1" x14ac:dyDescent="0.3">
      <c r="A597" s="37">
        <v>69124</v>
      </c>
      <c r="B597" s="398">
        <f t="shared" ref="B597:C597" si="603">($A597-B$9)/365.25</f>
        <v>107.37303216974675</v>
      </c>
      <c r="C597" s="398">
        <f t="shared" si="603"/>
        <v>102.76249144421629</v>
      </c>
      <c r="E597" s="25">
        <f>IF(C597&gt;$B$7,0,'Combined Retirement'!$D$13/12)</f>
        <v>0</v>
      </c>
      <c r="F597" s="25">
        <f>IF(H597=0,'Combined Retirement'!$D$32,0)+'Combined Retirement'!$B$24</f>
        <v>2870.372285649099</v>
      </c>
      <c r="G597" s="25">
        <f>'Combined Retirement'!$C$24</f>
        <v>3254.2644699519233</v>
      </c>
      <c r="H597" s="25">
        <f>IF(B597&lt;62,0,'Combined Retirement'!$I$14)</f>
        <v>2345</v>
      </c>
      <c r="I597" s="25">
        <f>IF(C597&lt;62,0,'Combined Retirement'!$I$13)</f>
        <v>2420</v>
      </c>
      <c r="J597" s="25">
        <f t="shared" si="523"/>
        <v>7896.2379798201846</v>
      </c>
      <c r="K597" s="25">
        <f t="shared" si="524"/>
        <v>20367.195264578786</v>
      </c>
      <c r="L597" s="25"/>
      <c r="N597" s="25">
        <f>'Combined Retirement'!$C$18/12</f>
        <v>39153.069999999992</v>
      </c>
      <c r="O597" s="25">
        <f t="shared" si="525"/>
        <v>10889.636755601023</v>
      </c>
      <c r="P597" s="25">
        <f t="shared" si="526"/>
        <v>28263.43324439897</v>
      </c>
      <c r="Q597" s="25">
        <f t="array" aca="1" ref="Q597" ca="1">INDEX('Isaac 401k'!L:L,MATCH('Retirement Calculator'!A597,'Isaac 401k'!N:N,0),0)</f>
        <v>1919376.198696543</v>
      </c>
      <c r="R597" s="25">
        <f t="array" aca="1" ref="R597" ca="1">INDEX('Lorri 401b'!L:L,MATCH('Retirement Calculator'!A597,'Lorri 401b'!N:N,0),0)</f>
        <v>1815578.7740443435</v>
      </c>
      <c r="S597" s="25">
        <f t="shared" ca="1" si="527"/>
        <v>3734954.9727408867</v>
      </c>
    </row>
    <row r="598" spans="1:19" ht="15.75" customHeight="1" x14ac:dyDescent="0.3">
      <c r="A598" s="37">
        <v>69154</v>
      </c>
      <c r="B598" s="398">
        <f t="shared" ref="B598:C598" si="604">($A598-B$9)/365.25</f>
        <v>107.45516769336071</v>
      </c>
      <c r="C598" s="398">
        <f t="shared" si="604"/>
        <v>102.84462696783025</v>
      </c>
      <c r="E598" s="25">
        <f>IF(C598&gt;$B$7,0,'Combined Retirement'!$D$13/12)</f>
        <v>0</v>
      </c>
      <c r="F598" s="25">
        <f>IF(H598=0,'Combined Retirement'!$D$32,0)+'Combined Retirement'!$B$24</f>
        <v>2870.372285649099</v>
      </c>
      <c r="G598" s="25">
        <f>'Combined Retirement'!$C$24</f>
        <v>3254.2644699519233</v>
      </c>
      <c r="H598" s="25">
        <f>IF(B598&lt;62,0,'Combined Retirement'!$I$14)</f>
        <v>2345</v>
      </c>
      <c r="I598" s="25">
        <f>IF(C598&lt;62,0,'Combined Retirement'!$I$13)</f>
        <v>2420</v>
      </c>
      <c r="J598" s="25">
        <f t="shared" si="523"/>
        <v>7896.2379798201846</v>
      </c>
      <c r="K598" s="25">
        <f t="shared" si="524"/>
        <v>20367.195264578786</v>
      </c>
      <c r="L598" s="25"/>
      <c r="N598" s="25">
        <f>'Combined Retirement'!$C$18/12</f>
        <v>39153.069999999992</v>
      </c>
      <c r="O598" s="25">
        <f t="shared" si="525"/>
        <v>10889.636755601023</v>
      </c>
      <c r="P598" s="25">
        <f t="shared" si="526"/>
        <v>28263.43324439897</v>
      </c>
      <c r="Q598" s="25">
        <f t="array" aca="1" ref="Q598" ca="1">INDEX('Isaac 401k'!L:L,MATCH('Retirement Calculator'!A598,'Isaac 401k'!N:N,0),0)</f>
        <v>1919444.4605530424</v>
      </c>
      <c r="R598" s="25">
        <f t="array" aca="1" ref="R598" ca="1">INDEX('Lorri 401b'!L:L,MATCH('Retirement Calculator'!A598,'Lorri 401b'!N:N,0),0)</f>
        <v>1802691.6270246804</v>
      </c>
      <c r="S598" s="25">
        <f t="shared" ca="1" si="527"/>
        <v>3722136.087577723</v>
      </c>
    </row>
    <row r="599" spans="1:19" ht="15.75" customHeight="1" x14ac:dyDescent="0.3">
      <c r="A599" s="37">
        <v>69185</v>
      </c>
      <c r="B599" s="398">
        <f t="shared" ref="B599:C599" si="605">($A599-B$9)/365.25</f>
        <v>107.54004106776181</v>
      </c>
      <c r="C599" s="398">
        <f t="shared" si="605"/>
        <v>102.92950034223135</v>
      </c>
      <c r="E599" s="25">
        <f>IF(C599&gt;$B$7,0,'Combined Retirement'!$D$13/12)</f>
        <v>0</v>
      </c>
      <c r="F599" s="25">
        <f>IF(H599=0,'Combined Retirement'!$D$32,0)+'Combined Retirement'!$B$24</f>
        <v>2870.372285649099</v>
      </c>
      <c r="G599" s="25">
        <f>'Combined Retirement'!$C$24</f>
        <v>3254.2644699519233</v>
      </c>
      <c r="H599" s="25">
        <f>IF(B599&lt;62,0,'Combined Retirement'!$I$14)</f>
        <v>2345</v>
      </c>
      <c r="I599" s="25">
        <f>IF(C599&lt;62,0,'Combined Retirement'!$I$13)</f>
        <v>2420</v>
      </c>
      <c r="J599" s="25">
        <f t="shared" si="523"/>
        <v>7896.2379798201846</v>
      </c>
      <c r="K599" s="25">
        <f t="shared" si="524"/>
        <v>20367.195264578786</v>
      </c>
      <c r="L599" s="25"/>
      <c r="N599" s="25">
        <f>'Combined Retirement'!$C$18/12</f>
        <v>39153.069999999992</v>
      </c>
      <c r="O599" s="25">
        <f t="shared" si="525"/>
        <v>10889.636755601023</v>
      </c>
      <c r="P599" s="25">
        <f t="shared" si="526"/>
        <v>28263.43324439897</v>
      </c>
      <c r="Q599" s="25">
        <f t="array" aca="1" ref="Q599" ca="1">INDEX('Isaac 401k'!L:L,MATCH('Retirement Calculator'!A599,'Isaac 401k'!N:N,0),0)</f>
        <v>1919513.0068339438</v>
      </c>
      <c r="R599" s="25">
        <f t="array" aca="1" ref="R599" ca="1">INDEX('Lorri 401b'!L:L,MATCH('Retirement Calculator'!A599,'Lorri 401b'!N:N,0),0)</f>
        <v>1789750.7835591021</v>
      </c>
      <c r="S599" s="25">
        <f t="shared" ca="1" si="527"/>
        <v>3709263.7903930461</v>
      </c>
    </row>
    <row r="600" spans="1:19" ht="15.75" customHeight="1" x14ac:dyDescent="0.3">
      <c r="A600" s="37">
        <v>69215</v>
      </c>
      <c r="B600" s="398">
        <f t="shared" ref="B600:C600" si="606">($A600-B$9)/365.25</f>
        <v>107.62217659137578</v>
      </c>
      <c r="C600" s="398">
        <f t="shared" si="606"/>
        <v>103.01163586584531</v>
      </c>
      <c r="E600" s="25">
        <f>IF(C600&gt;$B$7,0,'Combined Retirement'!$D$13/12)</f>
        <v>0</v>
      </c>
      <c r="F600" s="25">
        <f>IF(H600=0,'Combined Retirement'!$D$32,0)+'Combined Retirement'!$B$24</f>
        <v>2870.372285649099</v>
      </c>
      <c r="G600" s="25">
        <f>'Combined Retirement'!$C$24</f>
        <v>3254.2644699519233</v>
      </c>
      <c r="H600" s="25">
        <f>IF(B600&lt;62,0,'Combined Retirement'!$I$14)</f>
        <v>2345</v>
      </c>
      <c r="I600" s="25">
        <f>IF(C600&lt;62,0,'Combined Retirement'!$I$13)</f>
        <v>2420</v>
      </c>
      <c r="J600" s="25">
        <f t="shared" si="523"/>
        <v>7896.2379798201846</v>
      </c>
      <c r="K600" s="25">
        <f t="shared" si="524"/>
        <v>20367.195264578786</v>
      </c>
      <c r="L600" s="25"/>
      <c r="N600" s="25">
        <f>'Combined Retirement'!$C$18/12</f>
        <v>39153.069999999992</v>
      </c>
      <c r="O600" s="25">
        <f t="shared" si="525"/>
        <v>10889.636755601023</v>
      </c>
      <c r="P600" s="25">
        <f t="shared" si="526"/>
        <v>28263.43324439897</v>
      </c>
      <c r="Q600" s="25">
        <f t="array" aca="1" ref="Q600" ca="1">INDEX('Isaac 401k'!L:L,MATCH('Retirement Calculator'!A600,'Isaac 401k'!N:N,0),0)</f>
        <v>1919581.8387243492</v>
      </c>
      <c r="R600" s="25">
        <f t="array" aca="1" ref="R600" ca="1">INDEX('Lorri 401b'!L:L,MATCH('Retirement Calculator'!A600,'Lorri 401b'!N:N,0),0)</f>
        <v>1776756.019912417</v>
      </c>
      <c r="S600" s="25">
        <f t="shared" ca="1" si="527"/>
        <v>3696337.8586367662</v>
      </c>
    </row>
    <row r="601" spans="1:19" ht="15.75" customHeight="1" x14ac:dyDescent="0.3">
      <c r="A601" s="37">
        <v>69246</v>
      </c>
      <c r="B601" s="398">
        <f t="shared" ref="B601:C601" si="607">($A601-B$9)/365.25</f>
        <v>107.70704996577686</v>
      </c>
      <c r="C601" s="398">
        <f t="shared" si="607"/>
        <v>103.09650924024641</v>
      </c>
      <c r="E601" s="25">
        <f>IF(C601&gt;$B$7,0,'Combined Retirement'!$D$13/12)</f>
        <v>0</v>
      </c>
      <c r="F601" s="25">
        <f>IF(H601=0,'Combined Retirement'!$D$32,0)+'Combined Retirement'!$B$24</f>
        <v>2870.372285649099</v>
      </c>
      <c r="G601" s="25">
        <f>'Combined Retirement'!$C$24</f>
        <v>3254.2644699519233</v>
      </c>
      <c r="H601" s="25">
        <f>IF(B601&lt;62,0,'Combined Retirement'!$I$14)</f>
        <v>2345</v>
      </c>
      <c r="I601" s="25">
        <f>IF(C601&lt;62,0,'Combined Retirement'!$I$13)</f>
        <v>2420</v>
      </c>
      <c r="J601" s="25">
        <f t="shared" si="523"/>
        <v>7896.2379798201846</v>
      </c>
      <c r="K601" s="25">
        <f t="shared" si="524"/>
        <v>20367.195264578786</v>
      </c>
      <c r="L601" s="25"/>
      <c r="N601" s="25">
        <f>'Combined Retirement'!$C$18/12</f>
        <v>39153.069999999992</v>
      </c>
      <c r="O601" s="25">
        <f t="shared" si="525"/>
        <v>10889.636755601023</v>
      </c>
      <c r="P601" s="25">
        <f t="shared" si="526"/>
        <v>28263.43324439897</v>
      </c>
      <c r="Q601" s="25">
        <f t="array" aca="1" ref="Q601" ca="1">INDEX('Isaac 401k'!L:L,MATCH('Retirement Calculator'!A601,'Isaac 401k'!N:N,0),0)</f>
        <v>1919650.9574142979</v>
      </c>
      <c r="R601" s="25">
        <f t="array" aca="1" ref="R601" ca="1">INDEX('Lorri 401b'!L:L,MATCH('Retirement Calculator'!A601,'Lorri 401b'!N:N,0),0)</f>
        <v>1763707.1114172041</v>
      </c>
      <c r="S601" s="25">
        <f t="shared" ca="1" si="527"/>
        <v>3683358.068831502</v>
      </c>
    </row>
    <row r="602" spans="1:19" ht="15.75" customHeight="1" x14ac:dyDescent="0.3">
      <c r="A602" s="37">
        <v>69277</v>
      </c>
      <c r="B602" s="398">
        <f t="shared" ref="B602:C602" si="608">($A602-B$9)/365.25</f>
        <v>107.79192334017796</v>
      </c>
      <c r="C602" s="398">
        <f t="shared" si="608"/>
        <v>103.1813826146475</v>
      </c>
      <c r="E602" s="25">
        <f>IF(C602&gt;$B$7,0,'Combined Retirement'!$D$13/12)</f>
        <v>0</v>
      </c>
      <c r="F602" s="25">
        <f>IF(H602=0,'Combined Retirement'!$D$32,0)+'Combined Retirement'!$B$24</f>
        <v>2870.372285649099</v>
      </c>
      <c r="G602" s="25">
        <f>'Combined Retirement'!$C$24</f>
        <v>3254.2644699519233</v>
      </c>
      <c r="H602" s="25">
        <f>IF(B602&lt;62,0,'Combined Retirement'!$I$14)</f>
        <v>2345</v>
      </c>
      <c r="I602" s="25">
        <f>IF(C602&lt;62,0,'Combined Retirement'!$I$13)</f>
        <v>2420</v>
      </c>
      <c r="J602" s="25">
        <f t="shared" si="523"/>
        <v>7896.2379798201846</v>
      </c>
      <c r="K602" s="25">
        <f t="shared" si="524"/>
        <v>20367.195264578786</v>
      </c>
      <c r="L602" s="25"/>
      <c r="N602" s="25">
        <f>'Combined Retirement'!$C$18/12</f>
        <v>39153.069999999992</v>
      </c>
      <c r="O602" s="25">
        <f t="shared" si="525"/>
        <v>10889.636755601023</v>
      </c>
      <c r="P602" s="25">
        <f t="shared" si="526"/>
        <v>28263.43324439897</v>
      </c>
      <c r="Q602" s="25">
        <f t="array" aca="1" ref="Q602" ca="1">INDEX('Isaac 401k'!L:L,MATCH('Retirement Calculator'!A602,'Isaac 401k'!N:N,0),0)</f>
        <v>1919720.364098788</v>
      </c>
      <c r="R602" s="25">
        <f t="array" aca="1" ref="R602" ca="1">INDEX('Lorri 401b'!L:L,MATCH('Retirement Calculator'!A602,'Lorri 401b'!N:N,0),0)</f>
        <v>1750603.8324699278</v>
      </c>
      <c r="S602" s="25">
        <f t="shared" ca="1" si="527"/>
        <v>3670324.1965687159</v>
      </c>
    </row>
    <row r="603" spans="1:19" ht="15.75" customHeight="1" x14ac:dyDescent="0.3">
      <c r="A603" s="37">
        <v>69307</v>
      </c>
      <c r="B603" s="398">
        <f t="shared" ref="B603:C603" si="609">($A603-B$9)/365.25</f>
        <v>107.87405886379193</v>
      </c>
      <c r="C603" s="398">
        <f t="shared" si="609"/>
        <v>103.26351813826146</v>
      </c>
      <c r="E603" s="25">
        <f>IF(C603&gt;$B$7,0,'Combined Retirement'!$D$13/12)</f>
        <v>0</v>
      </c>
      <c r="F603" s="25">
        <f>IF(H603=0,'Combined Retirement'!$D$32,0)+'Combined Retirement'!$B$24</f>
        <v>2870.372285649099</v>
      </c>
      <c r="G603" s="25">
        <f>'Combined Retirement'!$C$24</f>
        <v>3254.2644699519233</v>
      </c>
      <c r="H603" s="25">
        <f>IF(B603&lt;62,0,'Combined Retirement'!$I$14)</f>
        <v>2345</v>
      </c>
      <c r="I603" s="25">
        <f>IF(C603&lt;62,0,'Combined Retirement'!$I$13)</f>
        <v>2420</v>
      </c>
      <c r="J603" s="25">
        <f t="shared" si="523"/>
        <v>7896.2379798201846</v>
      </c>
      <c r="K603" s="25">
        <f t="shared" si="524"/>
        <v>20367.195264578786</v>
      </c>
      <c r="L603" s="25"/>
      <c r="N603" s="25">
        <f>'Combined Retirement'!$C$18/12</f>
        <v>39153.069999999992</v>
      </c>
      <c r="O603" s="25">
        <f t="shared" si="525"/>
        <v>10889.636755601023</v>
      </c>
      <c r="P603" s="25">
        <f t="shared" si="526"/>
        <v>28263.43324439897</v>
      </c>
      <c r="Q603" s="25">
        <f t="array" aca="1" ref="Q603" ca="1">INDEX('Isaac 401k'!L:L,MATCH('Retirement Calculator'!A603,'Isaac 401k'!N:N,0),0)</f>
        <v>1919790.0599777969</v>
      </c>
      <c r="R603" s="25">
        <f t="array" aca="1" ref="R603" ca="1">INDEX('Lorri 401b'!L:L,MATCH('Retirement Calculator'!A603,'Lorri 401b'!N:N,0),0)</f>
        <v>1737445.956527038</v>
      </c>
      <c r="S603" s="25">
        <f t="shared" ca="1" si="527"/>
        <v>3657236.0165048349</v>
      </c>
    </row>
    <row r="604" spans="1:19" ht="15.75" customHeight="1" x14ac:dyDescent="0.3">
      <c r="A604" s="37">
        <v>69338</v>
      </c>
      <c r="B604" s="398">
        <f t="shared" ref="B604:C604" si="610">($A604-B$9)/365.25</f>
        <v>107.95893223819301</v>
      </c>
      <c r="C604" s="398">
        <f t="shared" si="610"/>
        <v>103.34839151266256</v>
      </c>
      <c r="E604" s="25">
        <f>IF(C604&gt;$B$7,0,'Combined Retirement'!$D$13/12)</f>
        <v>0</v>
      </c>
      <c r="F604" s="25">
        <f>IF(H604=0,'Combined Retirement'!$D$32,0)+'Combined Retirement'!$B$24</f>
        <v>2870.372285649099</v>
      </c>
      <c r="G604" s="25">
        <f>'Combined Retirement'!$C$24</f>
        <v>3254.2644699519233</v>
      </c>
      <c r="H604" s="25">
        <f>IF(B604&lt;62,0,'Combined Retirement'!$I$14)</f>
        <v>2345</v>
      </c>
      <c r="I604" s="25">
        <f>IF(C604&lt;62,0,'Combined Retirement'!$I$13)</f>
        <v>2420</v>
      </c>
      <c r="J604" s="25">
        <f t="shared" si="523"/>
        <v>7896.2379798201846</v>
      </c>
      <c r="K604" s="25">
        <f t="shared" si="524"/>
        <v>20367.195264578786</v>
      </c>
      <c r="L604" s="25"/>
      <c r="N604" s="25">
        <f>'Combined Retirement'!$C$18/12</f>
        <v>39153.069999999992</v>
      </c>
      <c r="O604" s="25">
        <f t="shared" si="525"/>
        <v>10889.636755601023</v>
      </c>
      <c r="P604" s="25">
        <f t="shared" si="526"/>
        <v>28263.43324439897</v>
      </c>
      <c r="Q604" s="25">
        <f t="array" aca="1" ref="Q604" ca="1">INDEX('Isaac 401k'!L:L,MATCH('Retirement Calculator'!A604,'Isaac 401k'!N:N,0),0)</f>
        <v>1919860.0462563015</v>
      </c>
      <c r="R604" s="25">
        <f t="array" aca="1" ref="R604" ca="1">INDEX('Lorri 401b'!L:L,MATCH('Retirement Calculator'!A604,'Lorri 401b'!N:N,0),0)</f>
        <v>1724233.2561010527</v>
      </c>
      <c r="S604" s="25">
        <f t="shared" ca="1" si="527"/>
        <v>3644093.3023573542</v>
      </c>
    </row>
    <row r="605" spans="1:19" ht="15.75" customHeight="1" x14ac:dyDescent="0.3">
      <c r="A605" s="37">
        <v>69368</v>
      </c>
      <c r="B605" s="398">
        <f t="shared" ref="B605:C605" si="611">($A605-B$9)/365.25</f>
        <v>108.04106776180699</v>
      </c>
      <c r="C605" s="398">
        <f t="shared" si="611"/>
        <v>103.43052703627653</v>
      </c>
      <c r="E605" s="25">
        <f>IF(C605&gt;$B$7,0,'Combined Retirement'!$D$13/12)</f>
        <v>0</v>
      </c>
      <c r="F605" s="25">
        <f>IF(H605=0,'Combined Retirement'!$D$32,0)+'Combined Retirement'!$B$24</f>
        <v>2870.372285649099</v>
      </c>
      <c r="G605" s="25">
        <f>'Combined Retirement'!$C$24</f>
        <v>3254.2644699519233</v>
      </c>
      <c r="H605" s="25">
        <f>IF(B605&lt;62,0,'Combined Retirement'!$I$14)</f>
        <v>2345</v>
      </c>
      <c r="I605" s="25">
        <f>IF(C605&lt;62,0,'Combined Retirement'!$I$13)</f>
        <v>2420</v>
      </c>
      <c r="J605" s="25">
        <f t="shared" si="523"/>
        <v>7896.2379798201846</v>
      </c>
      <c r="K605" s="25">
        <f t="shared" si="524"/>
        <v>20367.195264578786</v>
      </c>
      <c r="L605" s="25"/>
      <c r="N605" s="25">
        <f>'Combined Retirement'!$C$18/12</f>
        <v>39153.069999999992</v>
      </c>
      <c r="O605" s="25">
        <f t="shared" si="525"/>
        <v>10889.636755601023</v>
      </c>
      <c r="P605" s="25">
        <f t="shared" si="526"/>
        <v>28263.43324439897</v>
      </c>
      <c r="Q605" s="25">
        <f t="array" aca="1" ref="Q605" ca="1">INDEX('Isaac 401k'!L:L,MATCH('Retirement Calculator'!A605,'Isaac 401k'!N:N,0),0)</f>
        <v>1919930.3241442998</v>
      </c>
      <c r="R605" s="25">
        <f t="array" aca="1" ref="R605" ca="1">INDEX('Lorri 401b'!L:L,MATCH('Retirement Calculator'!A605,'Lorri 401b'!N:N,0),0)</f>
        <v>1710965.5027566259</v>
      </c>
      <c r="S605" s="25">
        <f t="shared" ca="1" si="527"/>
        <v>3630895.8269009255</v>
      </c>
    </row>
    <row r="606" spans="1:19" ht="15.75" customHeight="1" x14ac:dyDescent="0.3">
      <c r="A606" s="37">
        <v>69399</v>
      </c>
      <c r="B606" s="398">
        <f t="shared" ref="B606:C606" si="612">($A606-B$9)/365.25</f>
        <v>108.12594113620807</v>
      </c>
      <c r="C606" s="398">
        <f t="shared" si="612"/>
        <v>103.51540041067761</v>
      </c>
      <c r="E606" s="25">
        <f>IF(C606&gt;$B$7,0,'Combined Retirement'!$D$13/12)</f>
        <v>0</v>
      </c>
      <c r="F606" s="25">
        <f>IF(H606=0,'Combined Retirement'!$D$32,0)+'Combined Retirement'!$B$24</f>
        <v>2870.372285649099</v>
      </c>
      <c r="G606" s="25">
        <f>'Combined Retirement'!$C$24</f>
        <v>3254.2644699519233</v>
      </c>
      <c r="H606" s="25">
        <f>IF(B606&lt;62,0,'Combined Retirement'!$I$14)</f>
        <v>2345</v>
      </c>
      <c r="I606" s="25">
        <f>IF(C606&lt;62,0,'Combined Retirement'!$I$13)</f>
        <v>2420</v>
      </c>
      <c r="J606" s="25">
        <f t="shared" si="523"/>
        <v>7896.2379798201846</v>
      </c>
      <c r="K606" s="25">
        <f t="shared" si="524"/>
        <v>20367.195264578786</v>
      </c>
      <c r="L606" s="25"/>
      <c r="N606" s="25">
        <f>'Combined Retirement'!$C$18/12</f>
        <v>39153.069999999992</v>
      </c>
      <c r="O606" s="25">
        <f t="shared" si="525"/>
        <v>10889.636755601023</v>
      </c>
      <c r="P606" s="25">
        <f t="shared" si="526"/>
        <v>28263.43324439897</v>
      </c>
      <c r="Q606" s="25">
        <f t="array" aca="1" ref="Q606" ca="1">INDEX('Isaac 401k'!L:L,MATCH('Retirement Calculator'!A606,'Isaac 401k'!N:N,0),0)</f>
        <v>1920000.8948568315</v>
      </c>
      <c r="R606" s="25">
        <f t="array" aca="1" ref="R606" ca="1">INDEX('Lorri 401b'!L:L,MATCH('Retirement Calculator'!A606,'Lorri 401b'!N:N,0),0)</f>
        <v>1697642.4671065973</v>
      </c>
      <c r="S606" s="25">
        <f t="shared" ca="1" si="527"/>
        <v>3617643.3619634286</v>
      </c>
    </row>
    <row r="607" spans="1:19" ht="15.75" customHeight="1" x14ac:dyDescent="0.3">
      <c r="A607" s="37">
        <v>69430</v>
      </c>
      <c r="B607" s="398">
        <f t="shared" ref="B607:C607" si="613">($A607-B$9)/365.25</f>
        <v>108.21081451060917</v>
      </c>
      <c r="C607" s="398">
        <f t="shared" si="613"/>
        <v>103.60027378507871</v>
      </c>
      <c r="E607" s="25">
        <f>IF(C607&gt;$B$7,0,'Combined Retirement'!$D$13/12)</f>
        <v>0</v>
      </c>
      <c r="F607" s="25">
        <f>IF(H607=0,'Combined Retirement'!$D$32,0)+'Combined Retirement'!$B$24</f>
        <v>2870.372285649099</v>
      </c>
      <c r="G607" s="25">
        <f>'Combined Retirement'!$C$24</f>
        <v>3254.2644699519233</v>
      </c>
      <c r="H607" s="25">
        <f>IF(B607&lt;62,0,'Combined Retirement'!$I$14)</f>
        <v>2345</v>
      </c>
      <c r="I607" s="25">
        <f>IF(C607&lt;62,0,'Combined Retirement'!$I$13)</f>
        <v>2420</v>
      </c>
      <c r="J607" s="25">
        <f t="shared" si="523"/>
        <v>7896.2379798201846</v>
      </c>
      <c r="K607" s="25">
        <f t="shared" si="524"/>
        <v>20367.195264578786</v>
      </c>
      <c r="L607" s="25"/>
      <c r="N607" s="25">
        <f>'Combined Retirement'!$C$18/12</f>
        <v>39153.069999999992</v>
      </c>
      <c r="O607" s="25">
        <f t="shared" si="525"/>
        <v>10889.636755601023</v>
      </c>
      <c r="P607" s="25">
        <f t="shared" si="526"/>
        <v>28263.43324439897</v>
      </c>
      <c r="Q607" s="25">
        <f t="array" aca="1" ref="Q607" ca="1">INDEX('Isaac 401k'!L:L,MATCH('Retirement Calculator'!A607,'Isaac 401k'!N:N,0),0)</f>
        <v>1920071.7596139989</v>
      </c>
      <c r="R607" s="25">
        <f t="array" aca="1" ref="R607" ca="1">INDEX('Lorri 401b'!L:L,MATCH('Retirement Calculator'!A607,'Lorri 401b'!N:N,0),0)</f>
        <v>1684263.9188080269</v>
      </c>
      <c r="S607" s="25">
        <f t="shared" ca="1" si="527"/>
        <v>3604335.6784220259</v>
      </c>
    </row>
    <row r="608" spans="1:19" ht="15.75" customHeight="1" x14ac:dyDescent="0.3">
      <c r="A608" s="37">
        <v>69458</v>
      </c>
      <c r="B608" s="398">
        <f t="shared" ref="B608:C608" si="614">($A608-B$9)/365.25</f>
        <v>108.28747433264887</v>
      </c>
      <c r="C608" s="398">
        <f t="shared" si="614"/>
        <v>103.67693360711841</v>
      </c>
      <c r="E608" s="25">
        <f>IF(C608&gt;$B$7,0,'Combined Retirement'!$D$13/12)</f>
        <v>0</v>
      </c>
      <c r="F608" s="25">
        <f>IF(H608=0,'Combined Retirement'!$D$32,0)+'Combined Retirement'!$B$24</f>
        <v>2870.372285649099</v>
      </c>
      <c r="G608" s="25">
        <f>'Combined Retirement'!$C$24</f>
        <v>3254.2644699519233</v>
      </c>
      <c r="H608" s="25">
        <f>IF(B608&lt;62,0,'Combined Retirement'!$I$14)</f>
        <v>2345</v>
      </c>
      <c r="I608" s="25">
        <f>IF(C608&lt;62,0,'Combined Retirement'!$I$13)</f>
        <v>2420</v>
      </c>
      <c r="J608" s="25">
        <f t="shared" si="523"/>
        <v>7896.2379798201846</v>
      </c>
      <c r="K608" s="25">
        <f t="shared" si="524"/>
        <v>20367.195264578786</v>
      </c>
      <c r="L608" s="25"/>
      <c r="N608" s="25">
        <f>'Combined Retirement'!$C$18/12</f>
        <v>39153.069999999992</v>
      </c>
      <c r="O608" s="25">
        <f t="shared" si="525"/>
        <v>10889.636755601023</v>
      </c>
      <c r="P608" s="25">
        <f t="shared" si="526"/>
        <v>28263.43324439897</v>
      </c>
      <c r="Q608" s="25">
        <f t="array" aca="1" ref="Q608" ca="1">INDEX('Isaac 401k'!L:L,MATCH('Retirement Calculator'!A608,'Isaac 401k'!N:N,0),0)</f>
        <v>1920142.9196409879</v>
      </c>
      <c r="R608" s="25">
        <f t="array" aca="1" ref="R608" ca="1">INDEX('Lorri 401b'!L:L,MATCH('Retirement Calculator'!A608,'Lorri 401b'!N:N,0),0)</f>
        <v>1670829.6265582126</v>
      </c>
      <c r="S608" s="25">
        <f t="shared" ca="1" si="527"/>
        <v>3590972.5461992007</v>
      </c>
    </row>
    <row r="609" spans="1:19" ht="15.75" customHeight="1" x14ac:dyDescent="0.3">
      <c r="A609" s="37">
        <v>69489</v>
      </c>
      <c r="B609" s="398">
        <f t="shared" ref="B609:C609" si="615">($A609-B$9)/365.25</f>
        <v>108.37234770704997</v>
      </c>
      <c r="C609" s="398">
        <f t="shared" si="615"/>
        <v>103.76180698151951</v>
      </c>
      <c r="E609" s="25">
        <f>IF(C609&gt;$B$7,0,'Combined Retirement'!$D$13/12)</f>
        <v>0</v>
      </c>
      <c r="F609" s="25">
        <f>IF(H609=0,'Combined Retirement'!$D$32,0)+'Combined Retirement'!$B$24</f>
        <v>2870.372285649099</v>
      </c>
      <c r="G609" s="25">
        <f>'Combined Retirement'!$C$24</f>
        <v>3254.2644699519233</v>
      </c>
      <c r="H609" s="25">
        <f>IF(B609&lt;62,0,'Combined Retirement'!$I$14)</f>
        <v>2345</v>
      </c>
      <c r="I609" s="25">
        <f>IF(C609&lt;62,0,'Combined Retirement'!$I$13)</f>
        <v>2420</v>
      </c>
      <c r="J609" s="25">
        <f t="shared" si="523"/>
        <v>7896.2379798201846</v>
      </c>
      <c r="K609" s="25">
        <f t="shared" si="524"/>
        <v>20367.195264578786</v>
      </c>
      <c r="L609" s="25"/>
      <c r="N609" s="25">
        <f>'Combined Retirement'!$C$18/12</f>
        <v>39153.069999999992</v>
      </c>
      <c r="O609" s="25">
        <f t="shared" si="525"/>
        <v>10889.636755601023</v>
      </c>
      <c r="P609" s="25">
        <f t="shared" si="526"/>
        <v>28263.43324439897</v>
      </c>
      <c r="Q609" s="25">
        <f t="array" aca="1" ref="Q609" ca="1">INDEX('Isaac 401k'!L:L,MATCH('Retirement Calculator'!A609,'Isaac 401k'!N:N,0),0)</f>
        <v>1920214.3761680892</v>
      </c>
      <c r="R609" s="25">
        <f t="array" aca="1" ref="R609" ca="1">INDEX('Lorri 401b'!L:L,MATCH('Retirement Calculator'!A609,'Lorri 401b'!N:N,0),0)</f>
        <v>1657339.3580906906</v>
      </c>
      <c r="S609" s="25">
        <f t="shared" ca="1" si="527"/>
        <v>3577553.7342587798</v>
      </c>
    </row>
    <row r="610" spans="1:19" ht="15.75" customHeight="1" x14ac:dyDescent="0.3">
      <c r="A610" s="37">
        <v>69519</v>
      </c>
      <c r="B610" s="398">
        <f t="shared" ref="B610:C610" si="616">($A610-B$9)/365.25</f>
        <v>108.45448323066393</v>
      </c>
      <c r="C610" s="398">
        <f t="shared" si="616"/>
        <v>103.84394250513347</v>
      </c>
      <c r="E610" s="25">
        <f>IF(C610&gt;$B$7,0,'Combined Retirement'!$D$13/12)</f>
        <v>0</v>
      </c>
      <c r="F610" s="25">
        <f>IF(H610=0,'Combined Retirement'!$D$32,0)+'Combined Retirement'!$B$24</f>
        <v>2870.372285649099</v>
      </c>
      <c r="G610" s="25">
        <f>'Combined Retirement'!$C$24</f>
        <v>3254.2644699519233</v>
      </c>
      <c r="H610" s="25">
        <f>IF(B610&lt;62,0,'Combined Retirement'!$I$14)</f>
        <v>2345</v>
      </c>
      <c r="I610" s="25">
        <f>IF(C610&lt;62,0,'Combined Retirement'!$I$13)</f>
        <v>2420</v>
      </c>
      <c r="J610" s="25">
        <f t="shared" si="523"/>
        <v>7896.2379798201846</v>
      </c>
      <c r="K610" s="25">
        <f t="shared" si="524"/>
        <v>20367.195264578786</v>
      </c>
      <c r="L610" s="25"/>
      <c r="N610" s="25">
        <f>'Combined Retirement'!$C$18/12</f>
        <v>39153.069999999992</v>
      </c>
      <c r="O610" s="25">
        <f t="shared" si="525"/>
        <v>10889.636755601023</v>
      </c>
      <c r="P610" s="25">
        <f t="shared" si="526"/>
        <v>28263.43324439897</v>
      </c>
      <c r="Q610" s="25">
        <f t="array" aca="1" ref="Q610" ca="1">INDEX('Isaac 401k'!L:L,MATCH('Retirement Calculator'!A610,'Isaac 401k'!N:N,0),0)</f>
        <v>1920286.13043072</v>
      </c>
      <c r="R610" s="25">
        <f t="array" aca="1" ref="R610" ca="1">INDEX('Lorri 401b'!L:L,MATCH('Retirement Calculator'!A610,'Lorri 401b'!N:N,0),0)</f>
        <v>1643792.8801712205</v>
      </c>
      <c r="S610" s="25">
        <f t="shared" ca="1" si="527"/>
        <v>3564079.0106019406</v>
      </c>
    </row>
    <row r="611" spans="1:19" ht="15.75" customHeight="1" x14ac:dyDescent="0.3">
      <c r="A611" s="37">
        <v>69550</v>
      </c>
      <c r="B611" s="398">
        <f t="shared" ref="B611:C611" si="617">($A611-B$9)/365.25</f>
        <v>108.53935660506502</v>
      </c>
      <c r="C611" s="398">
        <f t="shared" si="617"/>
        <v>103.92881587953457</v>
      </c>
      <c r="E611" s="25">
        <f>IF(C611&gt;$B$7,0,'Combined Retirement'!$D$13/12)</f>
        <v>0</v>
      </c>
      <c r="F611" s="25">
        <f>IF(H611=0,'Combined Retirement'!$D$32,0)+'Combined Retirement'!$B$24</f>
        <v>2870.372285649099</v>
      </c>
      <c r="G611" s="25">
        <f>'Combined Retirement'!$C$24</f>
        <v>3254.2644699519233</v>
      </c>
      <c r="H611" s="25">
        <f>IF(B611&lt;62,0,'Combined Retirement'!$I$14)</f>
        <v>2345</v>
      </c>
      <c r="I611" s="25">
        <f>IF(C611&lt;62,0,'Combined Retirement'!$I$13)</f>
        <v>2420</v>
      </c>
      <c r="J611" s="25">
        <f t="shared" si="523"/>
        <v>7896.2379798201846</v>
      </c>
      <c r="K611" s="25">
        <f t="shared" si="524"/>
        <v>20367.195264578786</v>
      </c>
      <c r="L611" s="25"/>
      <c r="N611" s="25">
        <f>'Combined Retirement'!$C$18/12</f>
        <v>39153.069999999992</v>
      </c>
      <c r="O611" s="25">
        <f t="shared" si="525"/>
        <v>10889.636755601023</v>
      </c>
      <c r="P611" s="25">
        <f t="shared" si="526"/>
        <v>28263.43324439897</v>
      </c>
      <c r="Q611" s="25">
        <f t="array" aca="1" ref="Q611" ca="1">INDEX('Isaac 401k'!L:L,MATCH('Retirement Calculator'!A611,'Isaac 401k'!N:N,0),0)</f>
        <v>1920358.1836694453</v>
      </c>
      <c r="R611" s="25">
        <f t="array" aca="1" ref="R611" ca="1">INDEX('Lorri 401b'!L:L,MATCH('Retirement Calculator'!A611,'Lorri 401b'!N:N,0),0)</f>
        <v>1630189.9585937527</v>
      </c>
      <c r="S611" s="25">
        <f t="shared" ca="1" si="527"/>
        <v>3550548.1422631983</v>
      </c>
    </row>
    <row r="612" spans="1:19" ht="15.75" customHeight="1" x14ac:dyDescent="0.3">
      <c r="A612" s="37">
        <v>69580</v>
      </c>
      <c r="B612" s="398">
        <f t="shared" ref="B612:C612" si="618">($A612-B$9)/365.25</f>
        <v>108.62149212867898</v>
      </c>
      <c r="C612" s="398">
        <f t="shared" si="618"/>
        <v>104.01095140314852</v>
      </c>
      <c r="E612" s="25">
        <f>IF(C612&gt;$B$7,0,'Combined Retirement'!$D$13/12)</f>
        <v>0</v>
      </c>
      <c r="F612" s="25">
        <f>IF(H612=0,'Combined Retirement'!$D$32,0)+'Combined Retirement'!$B$24</f>
        <v>2870.372285649099</v>
      </c>
      <c r="G612" s="25">
        <f>'Combined Retirement'!$C$24</f>
        <v>3254.2644699519233</v>
      </c>
      <c r="H612" s="25">
        <f>IF(B612&lt;62,0,'Combined Retirement'!$I$14)</f>
        <v>2345</v>
      </c>
      <c r="I612" s="25">
        <f>IF(C612&lt;62,0,'Combined Retirement'!$I$13)</f>
        <v>2420</v>
      </c>
      <c r="J612" s="25">
        <f t="shared" si="523"/>
        <v>7896.2379798201846</v>
      </c>
      <c r="K612" s="25">
        <f t="shared" si="524"/>
        <v>20367.195264578786</v>
      </c>
      <c r="L612" s="25"/>
      <c r="N612" s="25">
        <f>'Combined Retirement'!$C$18/12</f>
        <v>39153.069999999992</v>
      </c>
      <c r="O612" s="25">
        <f t="shared" si="525"/>
        <v>10889.636755601023</v>
      </c>
      <c r="P612" s="25">
        <f t="shared" si="526"/>
        <v>28263.43324439897</v>
      </c>
      <c r="Q612" s="25">
        <f t="array" aca="1" ref="Q612" ca="1">INDEX('Isaac 401k'!L:L,MATCH('Retirement Calculator'!A612,'Isaac 401k'!N:N,0),0)</f>
        <v>1920430.5371299984</v>
      </c>
      <c r="R612" s="25">
        <f t="array" aca="1" ref="R612" ca="1">INDEX('Lorri 401b'!L:L,MATCH('Retirement Calculator'!A612,'Lorri 401b'!N:N,0),0)</f>
        <v>1616530.3581763788</v>
      </c>
      <c r="S612" s="25">
        <f t="shared" ca="1" si="527"/>
        <v>3536960.8953063772</v>
      </c>
    </row>
    <row r="613" spans="1:19" ht="15.75" customHeight="1" x14ac:dyDescent="0.3">
      <c r="A613" s="37">
        <v>69611</v>
      </c>
      <c r="B613" s="398">
        <f t="shared" ref="B613:C613" si="619">($A613-B$9)/365.25</f>
        <v>108.70636550308008</v>
      </c>
      <c r="C613" s="398">
        <f t="shared" si="619"/>
        <v>104.09582477754962</v>
      </c>
      <c r="E613" s="25">
        <f>IF(C613&gt;$B$7,0,'Combined Retirement'!$D$13/12)</f>
        <v>0</v>
      </c>
      <c r="F613" s="25">
        <f>IF(H613=0,'Combined Retirement'!$D$32,0)+'Combined Retirement'!$B$24</f>
        <v>2870.372285649099</v>
      </c>
      <c r="G613" s="25">
        <f>'Combined Retirement'!$C$24</f>
        <v>3254.2644699519233</v>
      </c>
      <c r="H613" s="25">
        <f>IF(B613&lt;62,0,'Combined Retirement'!$I$14)</f>
        <v>2345</v>
      </c>
      <c r="I613" s="25">
        <f>IF(C613&lt;62,0,'Combined Retirement'!$I$13)</f>
        <v>2420</v>
      </c>
      <c r="J613" s="25">
        <f t="shared" si="523"/>
        <v>7896.2379798201846</v>
      </c>
      <c r="K613" s="25">
        <f t="shared" si="524"/>
        <v>20367.195264578786</v>
      </c>
      <c r="L613" s="25"/>
      <c r="N613" s="25">
        <f>'Combined Retirement'!$C$18/12</f>
        <v>39153.069999999992</v>
      </c>
      <c r="O613" s="25">
        <f t="shared" si="525"/>
        <v>10889.636755601023</v>
      </c>
      <c r="P613" s="25">
        <f t="shared" si="526"/>
        <v>28263.43324439897</v>
      </c>
      <c r="Q613" s="25">
        <f t="array" aca="1" ref="Q613" ca="1">INDEX('Isaac 401k'!L:L,MATCH('Retirement Calculator'!A613,'Isaac 401k'!N:N,0),0)</f>
        <v>1920503.1920633039</v>
      </c>
      <c r="R613" s="25">
        <f t="array" aca="1" ref="R613" ca="1">INDEX('Lorri 401b'!L:L,MATCH('Retirement Calculator'!A613,'Lorri 401b'!N:N,0),0)</f>
        <v>1602813.8427572658</v>
      </c>
      <c r="S613" s="25">
        <f t="shared" ca="1" si="527"/>
        <v>3523317.0348205697</v>
      </c>
    </row>
    <row r="614" spans="1:19" ht="15.75" customHeight="1" x14ac:dyDescent="0.3">
      <c r="A614" s="37">
        <v>69642</v>
      </c>
      <c r="B614" s="398">
        <f t="shared" ref="B614:C614" si="620">($A614-B$9)/365.25</f>
        <v>108.79123887748118</v>
      </c>
      <c r="C614" s="398">
        <f t="shared" si="620"/>
        <v>104.18069815195072</v>
      </c>
      <c r="E614" s="25">
        <f>IF(C614&gt;$B$7,0,'Combined Retirement'!$D$13/12)</f>
        <v>0</v>
      </c>
      <c r="F614" s="25">
        <f>IF(H614=0,'Combined Retirement'!$D$32,0)+'Combined Retirement'!$B$24</f>
        <v>2870.372285649099</v>
      </c>
      <c r="G614" s="25">
        <f>'Combined Retirement'!$C$24</f>
        <v>3254.2644699519233</v>
      </c>
      <c r="H614" s="25">
        <f>IF(B614&lt;62,0,'Combined Retirement'!$I$14)</f>
        <v>2345</v>
      </c>
      <c r="I614" s="25">
        <f>IF(C614&lt;62,0,'Combined Retirement'!$I$13)</f>
        <v>2420</v>
      </c>
      <c r="J614" s="25">
        <f t="shared" si="523"/>
        <v>7896.2379798201846</v>
      </c>
      <c r="K614" s="25">
        <f t="shared" si="524"/>
        <v>20367.195264578786</v>
      </c>
      <c r="L614" s="25"/>
      <c r="N614" s="25">
        <f>'Combined Retirement'!$C$18/12</f>
        <v>39153.069999999992</v>
      </c>
      <c r="O614" s="25">
        <f t="shared" si="525"/>
        <v>10889.636755601023</v>
      </c>
      <c r="P614" s="25">
        <f t="shared" si="526"/>
        <v>28263.43324439897</v>
      </c>
      <c r="Q614" s="25">
        <f t="array" aca="1" ref="Q614" ca="1">INDEX('Isaac 401k'!L:L,MATCH('Retirement Calculator'!A614,'Isaac 401k'!N:N,0),0)</f>
        <v>1920576.1497254982</v>
      </c>
      <c r="R614" s="25">
        <f t="array" aca="1" ref="R614" ca="1">INDEX('Lorri 401b'!L:L,MATCH('Retirement Calculator'!A614,'Lorri 401b'!N:N,0),0)</f>
        <v>1589040.1751905731</v>
      </c>
      <c r="S614" s="25">
        <f t="shared" ca="1" si="527"/>
        <v>3509616.3249160713</v>
      </c>
    </row>
    <row r="615" spans="1:19" ht="15.75" customHeight="1" x14ac:dyDescent="0.3">
      <c r="A615" s="37">
        <v>69672</v>
      </c>
      <c r="B615" s="398">
        <f t="shared" ref="B615:C615" si="621">($A615-B$9)/365.25</f>
        <v>108.87337440109513</v>
      </c>
      <c r="C615" s="398">
        <f t="shared" si="621"/>
        <v>104.26283367556468</v>
      </c>
      <c r="E615" s="25">
        <f>IF(C615&gt;$B$7,0,'Combined Retirement'!$D$13/12)</f>
        <v>0</v>
      </c>
      <c r="F615" s="25">
        <f>IF(H615=0,'Combined Retirement'!$D$32,0)+'Combined Retirement'!$B$24</f>
        <v>2870.372285649099</v>
      </c>
      <c r="G615" s="25">
        <f>'Combined Retirement'!$C$24</f>
        <v>3254.2644699519233</v>
      </c>
      <c r="H615" s="25">
        <f>IF(B615&lt;62,0,'Combined Retirement'!$I$14)</f>
        <v>2345</v>
      </c>
      <c r="I615" s="25">
        <f>IF(C615&lt;62,0,'Combined Retirement'!$I$13)</f>
        <v>2420</v>
      </c>
      <c r="J615" s="25">
        <f t="shared" si="523"/>
        <v>7896.2379798201846</v>
      </c>
      <c r="K615" s="25">
        <f t="shared" si="524"/>
        <v>20367.195264578786</v>
      </c>
      <c r="L615" s="25"/>
      <c r="N615" s="25">
        <f>'Combined Retirement'!$C$18/12</f>
        <v>39153.069999999992</v>
      </c>
      <c r="O615" s="25">
        <f t="shared" si="525"/>
        <v>10889.636755601023</v>
      </c>
      <c r="P615" s="25">
        <f t="shared" si="526"/>
        <v>28263.43324439897</v>
      </c>
      <c r="Q615" s="25">
        <f t="array" aca="1" ref="Q615" ca="1">INDEX('Isaac 401k'!L:L,MATCH('Retirement Calculator'!A615,'Isaac 401k'!N:N,0),0)</f>
        <v>1920649.4113779515</v>
      </c>
      <c r="R615" s="25">
        <f t="array" aca="1" ref="R615" ca="1">INDEX('Lorri 401b'!L:L,MATCH('Retirement Calculator'!A615,'Lorri 401b'!N:N,0),0)</f>
        <v>1575209.1173423526</v>
      </c>
      <c r="S615" s="25">
        <f t="shared" ca="1" si="527"/>
        <v>3495858.5287203044</v>
      </c>
    </row>
    <row r="616" spans="1:19" ht="15.75" customHeight="1" x14ac:dyDescent="0.3">
      <c r="A616" s="37">
        <v>69703</v>
      </c>
      <c r="B616" s="398">
        <f t="shared" ref="B616:C616" si="622">($A616-B$9)/365.25</f>
        <v>108.95824777549623</v>
      </c>
      <c r="C616" s="398">
        <f t="shared" si="622"/>
        <v>104.34770704996578</v>
      </c>
      <c r="E616" s="25">
        <f>IF(C616&gt;$B$7,0,'Combined Retirement'!$D$13/12)</f>
        <v>0</v>
      </c>
      <c r="F616" s="25">
        <f>IF(H616=0,'Combined Retirement'!$D$32,0)+'Combined Retirement'!$B$24</f>
        <v>2870.372285649099</v>
      </c>
      <c r="G616" s="25">
        <f>'Combined Retirement'!$C$24</f>
        <v>3254.2644699519233</v>
      </c>
      <c r="H616" s="25">
        <f>IF(B616&lt;62,0,'Combined Retirement'!$I$14)</f>
        <v>2345</v>
      </c>
      <c r="I616" s="25">
        <f>IF(C616&lt;62,0,'Combined Retirement'!$I$13)</f>
        <v>2420</v>
      </c>
      <c r="J616" s="25">
        <f t="shared" si="523"/>
        <v>7896.2379798201846</v>
      </c>
      <c r="K616" s="25">
        <f t="shared" si="524"/>
        <v>20367.195264578786</v>
      </c>
      <c r="L616" s="25"/>
      <c r="N616" s="25">
        <f>'Combined Retirement'!$C$18/12</f>
        <v>39153.069999999992</v>
      </c>
      <c r="O616" s="25">
        <f t="shared" si="525"/>
        <v>10889.636755601023</v>
      </c>
      <c r="P616" s="25">
        <f t="shared" si="526"/>
        <v>28263.43324439897</v>
      </c>
      <c r="Q616" s="25">
        <f t="array" aca="1" ref="Q616" ca="1">INDEX('Isaac 401k'!L:L,MATCH('Retirement Calculator'!A616,'Isaac 401k'!N:N,0),0)</f>
        <v>1920722.9782872901</v>
      </c>
      <c r="R616" s="25">
        <f t="array" aca="1" ref="R616" ca="1">INDEX('Lorri 401b'!L:L,MATCH('Retirement Calculator'!A616,'Lorri 401b'!N:N,0),0)</f>
        <v>1561320.4300864313</v>
      </c>
      <c r="S616" s="25">
        <f t="shared" ca="1" si="527"/>
        <v>3482043.4083737214</v>
      </c>
    </row>
    <row r="617" spans="1:19" ht="15.75" customHeight="1" x14ac:dyDescent="0.3">
      <c r="A617" s="37">
        <v>69733</v>
      </c>
      <c r="B617" s="398">
        <f t="shared" ref="B617:C617" si="623">($A617-B$9)/365.25</f>
        <v>109.0403832991102</v>
      </c>
      <c r="C617" s="398">
        <f t="shared" si="623"/>
        <v>104.42984257357973</v>
      </c>
      <c r="E617" s="25">
        <f>IF(C617&gt;$B$7,0,'Combined Retirement'!$D$13/12)</f>
        <v>0</v>
      </c>
      <c r="F617" s="25">
        <f>IF(H617=0,'Combined Retirement'!$D$32,0)+'Combined Retirement'!$B$24</f>
        <v>2870.372285649099</v>
      </c>
      <c r="G617" s="25">
        <f>'Combined Retirement'!$C$24</f>
        <v>3254.2644699519233</v>
      </c>
      <c r="H617" s="25">
        <f>IF(B617&lt;62,0,'Combined Retirement'!$I$14)</f>
        <v>2345</v>
      </c>
      <c r="I617" s="25">
        <f>IF(C617&lt;62,0,'Combined Retirement'!$I$13)</f>
        <v>2420</v>
      </c>
      <c r="J617" s="25">
        <f t="shared" si="523"/>
        <v>7896.2379798201846</v>
      </c>
      <c r="K617" s="25">
        <f t="shared" si="524"/>
        <v>20367.195264578786</v>
      </c>
      <c r="L617" s="25"/>
      <c r="N617" s="25">
        <f>'Combined Retirement'!$C$18/12</f>
        <v>39153.069999999992</v>
      </c>
      <c r="O617" s="25">
        <f t="shared" si="525"/>
        <v>10889.636755601023</v>
      </c>
      <c r="P617" s="25">
        <f t="shared" si="526"/>
        <v>28263.43324439897</v>
      </c>
      <c r="Q617" s="25">
        <f t="array" aca="1" ref="Q617" ca="1">INDEX('Isaac 401k'!L:L,MATCH('Retirement Calculator'!A617,'Isaac 401k'!N:N,0),0)</f>
        <v>1920796.8517254177</v>
      </c>
      <c r="R617" s="25">
        <f t="array" aca="1" ref="R617" ca="1">INDEX('Lorri 401b'!L:L,MATCH('Retirement Calculator'!A617,'Lorri 401b'!N:N,0),0)</f>
        <v>1547373.8733002769</v>
      </c>
      <c r="S617" s="25">
        <f t="shared" ca="1" si="527"/>
        <v>3468170.7250256948</v>
      </c>
    </row>
    <row r="618" spans="1:19" ht="15.75" customHeight="1" x14ac:dyDescent="0.3">
      <c r="A618" s="37">
        <v>69764</v>
      </c>
      <c r="B618" s="398">
        <f t="shared" ref="B618:C618" si="624">($A618-B$9)/365.25</f>
        <v>109.12525667351129</v>
      </c>
      <c r="C618" s="398">
        <f t="shared" si="624"/>
        <v>104.51471594798083</v>
      </c>
      <c r="E618" s="25">
        <f>IF(C618&gt;$B$7,0,'Combined Retirement'!$D$13/12)</f>
        <v>0</v>
      </c>
      <c r="F618" s="25">
        <f>IF(H618=0,'Combined Retirement'!$D$32,0)+'Combined Retirement'!$B$24</f>
        <v>2870.372285649099</v>
      </c>
      <c r="G618" s="25">
        <f>'Combined Retirement'!$C$24</f>
        <v>3254.2644699519233</v>
      </c>
      <c r="H618" s="25">
        <f>IF(B618&lt;62,0,'Combined Retirement'!$I$14)</f>
        <v>2345</v>
      </c>
      <c r="I618" s="25">
        <f>IF(C618&lt;62,0,'Combined Retirement'!$I$13)</f>
        <v>2420</v>
      </c>
      <c r="J618" s="25">
        <f t="shared" si="523"/>
        <v>7896.2379798201846</v>
      </c>
      <c r="K618" s="25">
        <f t="shared" si="524"/>
        <v>20367.195264578786</v>
      </c>
      <c r="L618" s="25"/>
      <c r="N618" s="25">
        <f>'Combined Retirement'!$C$18/12</f>
        <v>39153.069999999992</v>
      </c>
      <c r="O618" s="25">
        <f t="shared" si="525"/>
        <v>10889.636755601023</v>
      </c>
      <c r="P618" s="25">
        <f t="shared" si="526"/>
        <v>28263.43324439897</v>
      </c>
      <c r="Q618" s="25">
        <f t="array" aca="1" ref="Q618" ca="1">INDEX('Isaac 401k'!L:L,MATCH('Retirement Calculator'!A618,'Isaac 401k'!N:N,0),0)</f>
        <v>1920871.0329695374</v>
      </c>
      <c r="R618" s="25">
        <f t="array" aca="1" ref="R618" ca="1">INDEX('Lorri 401b'!L:L,MATCH('Retirement Calculator'!A618,'Lorri 401b'!N:N,0),0)</f>
        <v>1533369.2058608469</v>
      </c>
      <c r="S618" s="25">
        <f t="shared" ca="1" si="527"/>
        <v>3454240.2388303843</v>
      </c>
    </row>
    <row r="619" spans="1:19" ht="15.75" customHeight="1" x14ac:dyDescent="0.3">
      <c r="A619" s="37">
        <v>69795</v>
      </c>
      <c r="B619" s="398">
        <f t="shared" ref="B619:C619" si="625">($A619-B$9)/365.25</f>
        <v>109.21013004791239</v>
      </c>
      <c r="C619" s="398">
        <f t="shared" si="625"/>
        <v>104.59958932238193</v>
      </c>
      <c r="E619" s="25">
        <f>IF(C619&gt;$B$7,0,'Combined Retirement'!$D$13/12)</f>
        <v>0</v>
      </c>
      <c r="F619" s="25">
        <f>IF(H619=0,'Combined Retirement'!$D$32,0)+'Combined Retirement'!$B$24</f>
        <v>2870.372285649099</v>
      </c>
      <c r="G619" s="25">
        <f>'Combined Retirement'!$C$24</f>
        <v>3254.2644699519233</v>
      </c>
      <c r="H619" s="25">
        <f>IF(B619&lt;62,0,'Combined Retirement'!$I$14)</f>
        <v>2345</v>
      </c>
      <c r="I619" s="25">
        <f>IF(C619&lt;62,0,'Combined Retirement'!$I$13)</f>
        <v>2420</v>
      </c>
      <c r="J619" s="25">
        <f t="shared" si="523"/>
        <v>7896.2379798201846</v>
      </c>
      <c r="K619" s="25">
        <f t="shared" si="524"/>
        <v>20367.195264578786</v>
      </c>
      <c r="L619" s="25"/>
      <c r="N619" s="25">
        <f>'Combined Retirement'!$C$18/12</f>
        <v>39153.069999999992</v>
      </c>
      <c r="O619" s="25">
        <f t="shared" si="525"/>
        <v>10889.636755601023</v>
      </c>
      <c r="P619" s="25">
        <f t="shared" si="526"/>
        <v>28263.43324439897</v>
      </c>
      <c r="Q619" s="25">
        <f t="array" aca="1" ref="Q619" ca="1">INDEX('Isaac 401k'!L:L,MATCH('Retirement Calculator'!A619,'Isaac 401k'!N:N,0),0)</f>
        <v>1920945.5233021744</v>
      </c>
      <c r="R619" s="25">
        <f t="array" aca="1" ref="R619" ca="1">INDEX('Lorri 401b'!L:L,MATCH('Retirement Calculator'!A619,'Lorri 401b'!N:N,0),0)</f>
        <v>1519306.1856404191</v>
      </c>
      <c r="S619" s="25">
        <f t="shared" ca="1" si="527"/>
        <v>3440251.7089425935</v>
      </c>
    </row>
    <row r="620" spans="1:19" ht="15.75" customHeight="1" x14ac:dyDescent="0.3">
      <c r="A620" s="37">
        <v>69823</v>
      </c>
      <c r="B620" s="398">
        <f t="shared" ref="B620:C620" si="626">($A620-B$9)/365.25</f>
        <v>109.28678986995209</v>
      </c>
      <c r="C620" s="398">
        <f t="shared" si="626"/>
        <v>104.67624914442163</v>
      </c>
      <c r="E620" s="25">
        <f>IF(C620&gt;$B$7,0,'Combined Retirement'!$D$13/12)</f>
        <v>0</v>
      </c>
      <c r="F620" s="25">
        <f>IF(H620=0,'Combined Retirement'!$D$32,0)+'Combined Retirement'!$B$24</f>
        <v>2870.372285649099</v>
      </c>
      <c r="G620" s="25">
        <f>'Combined Retirement'!$C$24</f>
        <v>3254.2644699519233</v>
      </c>
      <c r="H620" s="25">
        <f>IF(B620&lt;62,0,'Combined Retirement'!$I$14)</f>
        <v>2345</v>
      </c>
      <c r="I620" s="25">
        <f>IF(C620&lt;62,0,'Combined Retirement'!$I$13)</f>
        <v>2420</v>
      </c>
      <c r="J620" s="25">
        <f t="shared" si="523"/>
        <v>7896.2379798201846</v>
      </c>
      <c r="K620" s="25">
        <f t="shared" si="524"/>
        <v>20367.195264578786</v>
      </c>
      <c r="L620" s="25"/>
      <c r="N620" s="25">
        <f>'Combined Retirement'!$C$18/12</f>
        <v>39153.069999999992</v>
      </c>
      <c r="O620" s="25">
        <f t="shared" si="525"/>
        <v>10889.636755601023</v>
      </c>
      <c r="P620" s="25">
        <f t="shared" si="526"/>
        <v>28263.43324439897</v>
      </c>
      <c r="Q620" s="25">
        <f t="array" aca="1" ref="Q620" ca="1">INDEX('Isaac 401k'!L:L,MATCH('Retirement Calculator'!A620,'Isaac 401k'!N:N,0),0)</f>
        <v>1921020.3240111973</v>
      </c>
      <c r="R620" s="25">
        <f t="array" aca="1" ref="R620" ca="1">INDEX('Lorri 401b'!L:L,MATCH('Retirement Calculator'!A620,'Lorri 401b'!N:N,0),0)</f>
        <v>1505184.5695024063</v>
      </c>
      <c r="S620" s="25">
        <f t="shared" ca="1" si="527"/>
        <v>3426204.8935136036</v>
      </c>
    </row>
    <row r="621" spans="1:19" ht="15.75" customHeight="1" x14ac:dyDescent="0.3">
      <c r="A621" s="37">
        <v>69854</v>
      </c>
      <c r="B621" s="398">
        <f t="shared" ref="B621:C621" si="627">($A621-B$9)/365.25</f>
        <v>109.37166324435319</v>
      </c>
      <c r="C621" s="398">
        <f t="shared" si="627"/>
        <v>104.76112251882273</v>
      </c>
      <c r="E621" s="25">
        <f>IF(C621&gt;$B$7,0,'Combined Retirement'!$D$13/12)</f>
        <v>0</v>
      </c>
      <c r="F621" s="25">
        <f>IF(H621=0,'Combined Retirement'!$D$32,0)+'Combined Retirement'!$B$24</f>
        <v>2870.372285649099</v>
      </c>
      <c r="G621" s="25">
        <f>'Combined Retirement'!$C$24</f>
        <v>3254.2644699519233</v>
      </c>
      <c r="H621" s="25">
        <f>IF(B621&lt;62,0,'Combined Retirement'!$I$14)</f>
        <v>2345</v>
      </c>
      <c r="I621" s="25">
        <f>IF(C621&lt;62,0,'Combined Retirement'!$I$13)</f>
        <v>2420</v>
      </c>
      <c r="J621" s="25">
        <f t="shared" si="523"/>
        <v>7896.2379798201846</v>
      </c>
      <c r="K621" s="25">
        <f t="shared" si="524"/>
        <v>20367.195264578786</v>
      </c>
      <c r="L621" s="25"/>
      <c r="N621" s="25">
        <f>'Combined Retirement'!$C$18/12</f>
        <v>39153.069999999992</v>
      </c>
      <c r="O621" s="25">
        <f t="shared" si="525"/>
        <v>10889.636755601023</v>
      </c>
      <c r="P621" s="25">
        <f t="shared" si="526"/>
        <v>28263.43324439897</v>
      </c>
      <c r="Q621" s="25">
        <f t="array" aca="1" ref="Q621" ca="1">INDEX('Isaac 401k'!L:L,MATCH('Retirement Calculator'!A621,'Isaac 401k'!N:N,0),0)</f>
        <v>1921095.4363898411</v>
      </c>
      <c r="R621" s="25">
        <f t="array" aca="1" ref="R621" ca="1">INDEX('Lorri 401b'!L:L,MATCH('Retirement Calculator'!A621,'Lorri 401b'!N:N,0),0)</f>
        <v>1491004.1132971519</v>
      </c>
      <c r="S621" s="25">
        <f t="shared" ca="1" si="527"/>
        <v>3412099.549686993</v>
      </c>
    </row>
    <row r="622" spans="1:19" ht="15.75" customHeight="1" x14ac:dyDescent="0.3">
      <c r="A622" s="37">
        <v>69884</v>
      </c>
      <c r="B622" s="398">
        <f t="shared" ref="B622:C622" si="628">($A622-B$9)/365.25</f>
        <v>109.45379876796714</v>
      </c>
      <c r="C622" s="398">
        <f t="shared" si="628"/>
        <v>104.84325804243669</v>
      </c>
      <c r="E622" s="25">
        <f>IF(C622&gt;$B$7,0,'Combined Retirement'!$D$13/12)</f>
        <v>0</v>
      </c>
      <c r="F622" s="25">
        <f>IF(H622=0,'Combined Retirement'!$D$32,0)+'Combined Retirement'!$B$24</f>
        <v>2870.372285649099</v>
      </c>
      <c r="G622" s="25">
        <f>'Combined Retirement'!$C$24</f>
        <v>3254.2644699519233</v>
      </c>
      <c r="H622" s="25">
        <f>IF(B622&lt;62,0,'Combined Retirement'!$I$14)</f>
        <v>2345</v>
      </c>
      <c r="I622" s="25">
        <f>IF(C622&lt;62,0,'Combined Retirement'!$I$13)</f>
        <v>2420</v>
      </c>
      <c r="J622" s="25">
        <f t="shared" si="523"/>
        <v>7896.2379798201846</v>
      </c>
      <c r="K622" s="25">
        <f t="shared" si="524"/>
        <v>20367.195264578786</v>
      </c>
      <c r="L622" s="25"/>
      <c r="N622" s="25">
        <f>'Combined Retirement'!$C$18/12</f>
        <v>39153.069999999992</v>
      </c>
      <c r="O622" s="25">
        <f t="shared" si="525"/>
        <v>10889.636755601023</v>
      </c>
      <c r="P622" s="25">
        <f t="shared" si="526"/>
        <v>28263.43324439897</v>
      </c>
      <c r="Q622" s="25">
        <f t="array" aca="1" ref="Q622" ca="1">INDEX('Isaac 401k'!L:L,MATCH('Retirement Calculator'!A622,'Isaac 401k'!N:N,0),0)</f>
        <v>1921170.8617367293</v>
      </c>
      <c r="R622" s="25">
        <f t="array" aca="1" ref="R622" ca="1">INDEX('Lorri 401b'!L:L,MATCH('Retirement Calculator'!A622,'Lorri 401b'!N:N,0),0)</f>
        <v>1476764.5718577087</v>
      </c>
      <c r="S622" s="25">
        <f t="shared" ca="1" si="527"/>
        <v>3397935.4335944382</v>
      </c>
    </row>
    <row r="623" spans="1:19" ht="15.75" customHeight="1" x14ac:dyDescent="0.3">
      <c r="A623" s="37">
        <v>69915</v>
      </c>
      <c r="B623" s="398">
        <f t="shared" ref="B623:C623" si="629">($A623-B$9)/365.25</f>
        <v>109.53867214236824</v>
      </c>
      <c r="C623" s="398">
        <f t="shared" si="629"/>
        <v>104.92813141683779</v>
      </c>
      <c r="E623" s="25">
        <f>IF(C623&gt;$B$7,0,'Combined Retirement'!$D$13/12)</f>
        <v>0</v>
      </c>
      <c r="F623" s="25">
        <f>IF(H623=0,'Combined Retirement'!$D$32,0)+'Combined Retirement'!$B$24</f>
        <v>2870.372285649099</v>
      </c>
      <c r="G623" s="25">
        <f>'Combined Retirement'!$C$24</f>
        <v>3254.2644699519233</v>
      </c>
      <c r="H623" s="25">
        <f>IF(B623&lt;62,0,'Combined Retirement'!$I$14)</f>
        <v>2345</v>
      </c>
      <c r="I623" s="25">
        <f>IF(C623&lt;62,0,'Combined Retirement'!$I$13)</f>
        <v>2420</v>
      </c>
      <c r="J623" s="25">
        <f t="shared" si="523"/>
        <v>7896.2379798201846</v>
      </c>
      <c r="K623" s="25">
        <f t="shared" si="524"/>
        <v>20367.195264578786</v>
      </c>
      <c r="L623" s="25"/>
      <c r="N623" s="25">
        <f>'Combined Retirement'!$C$18/12</f>
        <v>39153.069999999992</v>
      </c>
      <c r="O623" s="25">
        <f t="shared" si="525"/>
        <v>10889.636755601023</v>
      </c>
      <c r="P623" s="25">
        <f t="shared" si="526"/>
        <v>28263.43324439897</v>
      </c>
      <c r="Q623" s="25">
        <f t="array" aca="1" ref="Q623" ca="1">INDEX('Isaac 401k'!L:L,MATCH('Retirement Calculator'!A623,'Isaac 401k'!N:N,0),0)</f>
        <v>1921246.6013558961</v>
      </c>
      <c r="R623" s="25">
        <f t="array" aca="1" ref="R623" ca="1">INDEX('Lorri 401b'!L:L,MATCH('Retirement Calculator'!A623,'Lorri 401b'!N:N,0),0)</f>
        <v>1462465.6989956014</v>
      </c>
      <c r="S623" s="25">
        <f t="shared" ca="1" si="527"/>
        <v>3383712.3003514977</v>
      </c>
    </row>
    <row r="624" spans="1:19" ht="15.75" customHeight="1" x14ac:dyDescent="0.3">
      <c r="A624" s="37">
        <v>69945</v>
      </c>
      <c r="B624" s="398">
        <f t="shared" ref="B624:C624" si="630">($A624-B$9)/365.25</f>
        <v>109.6208076659822</v>
      </c>
      <c r="C624" s="398">
        <f t="shared" si="630"/>
        <v>105.01026694045174</v>
      </c>
      <c r="E624" s="25">
        <f>IF(C624&gt;$B$7,0,'Combined Retirement'!$D$13/12)</f>
        <v>0</v>
      </c>
      <c r="F624" s="25">
        <f>IF(H624=0,'Combined Retirement'!$D$32,0)+'Combined Retirement'!$B$24</f>
        <v>2870.372285649099</v>
      </c>
      <c r="G624" s="25">
        <f>'Combined Retirement'!$C$24</f>
        <v>3254.2644699519233</v>
      </c>
      <c r="H624" s="25">
        <f>IF(B624&lt;62,0,'Combined Retirement'!$I$14)</f>
        <v>2345</v>
      </c>
      <c r="I624" s="25">
        <f>IF(C624&lt;62,0,'Combined Retirement'!$I$13)</f>
        <v>2420</v>
      </c>
      <c r="J624" s="25">
        <f t="shared" si="523"/>
        <v>7896.2379798201846</v>
      </c>
      <c r="K624" s="25">
        <f t="shared" si="524"/>
        <v>20367.195264578786</v>
      </c>
      <c r="L624" s="25"/>
      <c r="N624" s="25">
        <f>'Combined Retirement'!$C$18/12</f>
        <v>39153.069999999992</v>
      </c>
      <c r="O624" s="25">
        <f t="shared" si="525"/>
        <v>10889.636755601023</v>
      </c>
      <c r="P624" s="25">
        <f t="shared" si="526"/>
        <v>28263.43324439897</v>
      </c>
      <c r="Q624" s="25">
        <f t="array" aca="1" ref="Q624" ca="1">INDEX('Isaac 401k'!L:L,MATCH('Retirement Calculator'!A624,'Isaac 401k'!N:N,0),0)</f>
        <v>1921322.6565568096</v>
      </c>
      <c r="R624" s="25">
        <f t="array" aca="1" ref="R624" ca="1">INDEX('Lorri 401b'!L:L,MATCH('Retirement Calculator'!A624,'Lorri 401b'!N:N,0),0)</f>
        <v>1448107.2474965686</v>
      </c>
      <c r="S624" s="25">
        <f t="shared" ca="1" si="527"/>
        <v>3369429.9040533779</v>
      </c>
    </row>
    <row r="625" spans="1:19" ht="15.75" customHeight="1" x14ac:dyDescent="0.3">
      <c r="A625" s="37">
        <v>69976</v>
      </c>
      <c r="B625" s="398">
        <f t="shared" ref="B625:C625" si="631">($A625-B$9)/365.25</f>
        <v>109.7056810403833</v>
      </c>
      <c r="C625" s="398">
        <f t="shared" si="631"/>
        <v>105.09514031485284</v>
      </c>
      <c r="E625" s="25">
        <f>IF(C625&gt;$B$7,0,'Combined Retirement'!$D$13/12)</f>
        <v>0</v>
      </c>
      <c r="F625" s="25">
        <f>IF(H625=0,'Combined Retirement'!$D$32,0)+'Combined Retirement'!$B$24</f>
        <v>2870.372285649099</v>
      </c>
      <c r="G625" s="25">
        <f>'Combined Retirement'!$C$24</f>
        <v>3254.2644699519233</v>
      </c>
      <c r="H625" s="25">
        <f>IF(B625&lt;62,0,'Combined Retirement'!$I$14)</f>
        <v>2345</v>
      </c>
      <c r="I625" s="25">
        <f>IF(C625&lt;62,0,'Combined Retirement'!$I$13)</f>
        <v>2420</v>
      </c>
      <c r="J625" s="25">
        <f t="shared" si="523"/>
        <v>7896.2379798201846</v>
      </c>
      <c r="K625" s="25">
        <f t="shared" si="524"/>
        <v>20367.195264578786</v>
      </c>
      <c r="L625" s="25"/>
      <c r="N625" s="25">
        <f>'Combined Retirement'!$C$18/12</f>
        <v>39153.069999999992</v>
      </c>
      <c r="O625" s="25">
        <f t="shared" si="525"/>
        <v>10889.636755601023</v>
      </c>
      <c r="P625" s="25">
        <f t="shared" si="526"/>
        <v>28263.43324439897</v>
      </c>
      <c r="Q625" s="25">
        <f t="array" aca="1" ref="Q625" ca="1">INDEX('Isaac 401k'!L:L,MATCH('Retirement Calculator'!A625,'Isaac 401k'!N:N,0),0)</f>
        <v>1921399.0286543935</v>
      </c>
      <c r="R625" s="25">
        <f t="array" aca="1" ref="R625" ca="1">INDEX('Lorri 401b'!L:L,MATCH('Retirement Calculator'!A625,'Lorri 401b'!N:N,0),0)</f>
        <v>1433688.9691162899</v>
      </c>
      <c r="S625" s="25">
        <f t="shared" ca="1" si="527"/>
        <v>3355087.9977706834</v>
      </c>
    </row>
    <row r="626" spans="1:19" ht="15.75" customHeight="1" x14ac:dyDescent="0.3">
      <c r="A626" s="37">
        <v>70007</v>
      </c>
      <c r="B626" s="398">
        <f t="shared" ref="B626:C626" si="632">($A626-B$9)/365.25</f>
        <v>109.7905544147844</v>
      </c>
      <c r="C626" s="398">
        <f t="shared" si="632"/>
        <v>105.18001368925394</v>
      </c>
      <c r="E626" s="25">
        <f>IF(C626&gt;$B$7,0,'Combined Retirement'!$D$13/12)</f>
        <v>0</v>
      </c>
      <c r="F626" s="25">
        <f>IF(H626=0,'Combined Retirement'!$D$32,0)+'Combined Retirement'!$B$24</f>
        <v>2870.372285649099</v>
      </c>
      <c r="G626" s="25">
        <f>'Combined Retirement'!$C$24</f>
        <v>3254.2644699519233</v>
      </c>
      <c r="H626" s="25">
        <f>IF(B626&lt;62,0,'Combined Retirement'!$I$14)</f>
        <v>2345</v>
      </c>
      <c r="I626" s="25">
        <f>IF(C626&lt;62,0,'Combined Retirement'!$I$13)</f>
        <v>2420</v>
      </c>
      <c r="J626" s="25">
        <f t="shared" si="523"/>
        <v>7896.2379798201846</v>
      </c>
      <c r="K626" s="25">
        <f t="shared" si="524"/>
        <v>20367.195264578786</v>
      </c>
      <c r="L626" s="25"/>
      <c r="N626" s="25">
        <f>'Combined Retirement'!$C$18/12</f>
        <v>39153.069999999992</v>
      </c>
      <c r="O626" s="25">
        <f t="shared" si="525"/>
        <v>10889.636755601023</v>
      </c>
      <c r="P626" s="25">
        <f t="shared" si="526"/>
        <v>28263.43324439897</v>
      </c>
      <c r="Q626" s="25">
        <f t="array" aca="1" ref="Q626" ca="1">INDEX('Isaac 401k'!L:L,MATCH('Retirement Calculator'!A626,'Isaac 401k'!N:N,0),0)</f>
        <v>1921475.7189690506</v>
      </c>
      <c r="R626" s="25">
        <f t="array" aca="1" ref="R626" ca="1">INDEX('Lorri 401b'!L:L,MATCH('Retirement Calculator'!A626,'Lorri 401b'!N:N,0),0)</f>
        <v>1419210.6145760932</v>
      </c>
      <c r="S626" s="25">
        <f t="shared" ca="1" si="527"/>
        <v>3340686.3335451437</v>
      </c>
    </row>
    <row r="627" spans="1:19" ht="15.75" customHeight="1" x14ac:dyDescent="0.3">
      <c r="A627" s="37">
        <v>70037</v>
      </c>
      <c r="B627" s="398">
        <f t="shared" ref="B627:C627" si="633">($A627-B$9)/365.25</f>
        <v>109.87268993839835</v>
      </c>
      <c r="C627" s="398">
        <f t="shared" si="633"/>
        <v>105.2621492128679</v>
      </c>
      <c r="E627" s="25">
        <f>IF(C627&gt;$B$7,0,'Combined Retirement'!$D$13/12)</f>
        <v>0</v>
      </c>
      <c r="F627" s="25">
        <f>IF(H627=0,'Combined Retirement'!$D$32,0)+'Combined Retirement'!$B$24</f>
        <v>2870.372285649099</v>
      </c>
      <c r="G627" s="25">
        <f>'Combined Retirement'!$C$24</f>
        <v>3254.2644699519233</v>
      </c>
      <c r="H627" s="25">
        <f>IF(B627&lt;62,0,'Combined Retirement'!$I$14)</f>
        <v>2345</v>
      </c>
      <c r="I627" s="25">
        <f>IF(C627&lt;62,0,'Combined Retirement'!$I$13)</f>
        <v>2420</v>
      </c>
      <c r="J627" s="25">
        <f t="shared" si="523"/>
        <v>7896.2379798201846</v>
      </c>
      <c r="K627" s="25">
        <f t="shared" si="524"/>
        <v>20367.195264578786</v>
      </c>
      <c r="L627" s="25"/>
      <c r="N627" s="25">
        <f>'Combined Retirement'!$C$18/12</f>
        <v>39153.069999999992</v>
      </c>
      <c r="O627" s="25">
        <f t="shared" si="525"/>
        <v>10889.636755601023</v>
      </c>
      <c r="P627" s="25">
        <f t="shared" si="526"/>
        <v>28263.43324439897</v>
      </c>
      <c r="Q627" s="25">
        <f t="array" aca="1" ref="Q627" ca="1">INDEX('Isaac 401k'!L:L,MATCH('Retirement Calculator'!A627,'Isaac 401k'!N:N,0),0)</f>
        <v>1921552.7288266853</v>
      </c>
      <c r="R627" s="25">
        <f t="array" aca="1" ref="R627" ca="1">INDEX('Lorri 401b'!L:L,MATCH('Retirement Calculator'!A627,'Lorri 401b'!N:N,0),0)</f>
        <v>1404671.9335586457</v>
      </c>
      <c r="S627" s="25">
        <f t="shared" ca="1" si="527"/>
        <v>3326224.662385331</v>
      </c>
    </row>
    <row r="628" spans="1:19" ht="15.75" customHeight="1" x14ac:dyDescent="0.3">
      <c r="A628" s="37">
        <v>70068</v>
      </c>
      <c r="B628" s="398">
        <f t="shared" ref="B628:C628" si="634">($A628-B$9)/365.25</f>
        <v>109.95756331279945</v>
      </c>
      <c r="C628" s="398">
        <f t="shared" si="634"/>
        <v>105.347022587269</v>
      </c>
      <c r="E628" s="25">
        <f>IF(C628&gt;$B$7,0,'Combined Retirement'!$D$13/12)</f>
        <v>0</v>
      </c>
      <c r="F628" s="25">
        <f>IF(H628=0,'Combined Retirement'!$D$32,0)+'Combined Retirement'!$B$24</f>
        <v>2870.372285649099</v>
      </c>
      <c r="G628" s="25">
        <f>'Combined Retirement'!$C$24</f>
        <v>3254.2644699519233</v>
      </c>
      <c r="H628" s="25">
        <f>IF(B628&lt;62,0,'Combined Retirement'!$I$14)</f>
        <v>2345</v>
      </c>
      <c r="I628" s="25">
        <f>IF(C628&lt;62,0,'Combined Retirement'!$I$13)</f>
        <v>2420</v>
      </c>
      <c r="J628" s="25">
        <f t="shared" si="523"/>
        <v>7896.2379798201846</v>
      </c>
      <c r="K628" s="25">
        <f t="shared" si="524"/>
        <v>20367.195264578786</v>
      </c>
      <c r="L628" s="25"/>
      <c r="N628" s="25">
        <f>'Combined Retirement'!$C$18/12</f>
        <v>39153.069999999992</v>
      </c>
      <c r="O628" s="25">
        <f t="shared" si="525"/>
        <v>10889.636755601023</v>
      </c>
      <c r="P628" s="25">
        <f t="shared" si="526"/>
        <v>28263.43324439897</v>
      </c>
      <c r="Q628" s="25">
        <f t="array" aca="1" ref="Q628" ca="1">INDEX('Isaac 401k'!L:L,MATCH('Retirement Calculator'!A628,'Isaac 401k'!N:N,0),0)</f>
        <v>1921630.0595587271</v>
      </c>
      <c r="R628" s="25">
        <f t="array" aca="1" ref="R628" ca="1">INDEX('Lorri 401b'!L:L,MATCH('Retirement Calculator'!A628,'Lorri 401b'!N:N,0),0)</f>
        <v>1390072.6747036255</v>
      </c>
      <c r="S628" s="25">
        <f t="shared" ca="1" si="527"/>
        <v>3311702.7342623528</v>
      </c>
    </row>
    <row r="629" spans="1:19" ht="15.75" customHeight="1" x14ac:dyDescent="0.3">
      <c r="A629" s="37">
        <v>70098</v>
      </c>
      <c r="B629" s="398">
        <f t="shared" ref="B629:C629" si="635">($A629-B$9)/365.25</f>
        <v>110.03969883641342</v>
      </c>
      <c r="C629" s="398">
        <f t="shared" si="635"/>
        <v>105.42915811088295</v>
      </c>
      <c r="E629" s="25">
        <f>IF(C629&gt;$B$7,0,'Combined Retirement'!$D$13/12)</f>
        <v>0</v>
      </c>
      <c r="F629" s="25">
        <f>IF(H629=0,'Combined Retirement'!$D$32,0)+'Combined Retirement'!$B$24</f>
        <v>2870.372285649099</v>
      </c>
      <c r="G629" s="25">
        <f>'Combined Retirement'!$C$24</f>
        <v>3254.2644699519233</v>
      </c>
      <c r="H629" s="25">
        <f>IF(B629&lt;62,0,'Combined Retirement'!$I$14)</f>
        <v>2345</v>
      </c>
      <c r="I629" s="25">
        <f>IF(C629&lt;62,0,'Combined Retirement'!$I$13)</f>
        <v>2420</v>
      </c>
      <c r="J629" s="25">
        <f t="shared" si="523"/>
        <v>7896.2379798201846</v>
      </c>
      <c r="K629" s="25">
        <f t="shared" si="524"/>
        <v>20367.195264578786</v>
      </c>
      <c r="L629" s="25"/>
      <c r="N629" s="25">
        <f>'Combined Retirement'!$C$18/12</f>
        <v>39153.069999999992</v>
      </c>
      <c r="O629" s="25">
        <f t="shared" si="525"/>
        <v>10889.636755601023</v>
      </c>
      <c r="P629" s="25">
        <f t="shared" si="526"/>
        <v>28263.43324439897</v>
      </c>
      <c r="Q629" s="25">
        <f t="array" aca="1" ref="Q629" ca="1">INDEX('Isaac 401k'!L:L,MATCH('Retirement Calculator'!A629,'Isaac 401k'!N:N,0),0)</f>
        <v>1921707.7125021522</v>
      </c>
      <c r="R629" s="25">
        <f t="array" aca="1" ref="R629" ca="1">INDEX('Lorri 401b'!L:L,MATCH('Retirement Calculator'!A629,'Lorri 401b'!N:N,0),0)</f>
        <v>1375412.5856033762</v>
      </c>
      <c r="S629" s="25">
        <f t="shared" ca="1" si="527"/>
        <v>3297120.2981055286</v>
      </c>
    </row>
    <row r="630" spans="1:19" ht="15.75" customHeight="1" x14ac:dyDescent="0.3">
      <c r="A630" s="37">
        <v>70129</v>
      </c>
      <c r="B630" s="398">
        <f t="shared" ref="B630:C630" si="636">($A630-B$9)/365.25</f>
        <v>110.12457221081451</v>
      </c>
      <c r="C630" s="398">
        <f t="shared" si="636"/>
        <v>105.51403148528405</v>
      </c>
      <c r="E630" s="25">
        <f>IF(C630&gt;$B$7,0,'Combined Retirement'!$D$13/12)</f>
        <v>0</v>
      </c>
      <c r="F630" s="25">
        <f>IF(H630=0,'Combined Retirement'!$D$32,0)+'Combined Retirement'!$B$24</f>
        <v>2870.372285649099</v>
      </c>
      <c r="G630" s="25">
        <f>'Combined Retirement'!$C$24</f>
        <v>3254.2644699519233</v>
      </c>
      <c r="H630" s="25">
        <f>IF(B630&lt;62,0,'Combined Retirement'!$I$14)</f>
        <v>2345</v>
      </c>
      <c r="I630" s="25">
        <f>IF(C630&lt;62,0,'Combined Retirement'!$I$13)</f>
        <v>2420</v>
      </c>
      <c r="J630" s="25">
        <f t="shared" si="523"/>
        <v>7896.2379798201846</v>
      </c>
      <c r="K630" s="25">
        <f t="shared" si="524"/>
        <v>20367.195264578786</v>
      </c>
      <c r="L630" s="25"/>
      <c r="N630" s="25">
        <f>'Combined Retirement'!$C$18/12</f>
        <v>39153.069999999992</v>
      </c>
      <c r="O630" s="25">
        <f t="shared" si="525"/>
        <v>10889.636755601023</v>
      </c>
      <c r="P630" s="25">
        <f t="shared" si="526"/>
        <v>28263.43324439897</v>
      </c>
      <c r="Q630" s="25">
        <f t="array" aca="1" ref="Q630" ca="1">INDEX('Isaac 401k'!L:L,MATCH('Retirement Calculator'!A630,'Isaac 401k'!N:N,0),0)</f>
        <v>1921785.6889995083</v>
      </c>
      <c r="R630" s="25">
        <f t="array" aca="1" ref="R630" ca="1">INDEX('Lorri 401b'!L:L,MATCH('Retirement Calculator'!A630,'Lorri 401b'!N:N,0),0)</f>
        <v>1360691.4127985423</v>
      </c>
      <c r="S630" s="25">
        <f t="shared" ca="1" si="527"/>
        <v>3282477.1017980506</v>
      </c>
    </row>
    <row r="631" spans="1:19" ht="15.75" customHeight="1" x14ac:dyDescent="0.3">
      <c r="A631" s="37">
        <v>70160</v>
      </c>
      <c r="B631" s="398">
        <f t="shared" ref="B631:C631" si="637">($A631-B$9)/365.25</f>
        <v>110.2094455852156</v>
      </c>
      <c r="C631" s="398">
        <f t="shared" si="637"/>
        <v>105.59890485968515</v>
      </c>
      <c r="E631" s="25">
        <f>IF(C631&gt;$B$7,0,'Combined Retirement'!$D$13/12)</f>
        <v>0</v>
      </c>
      <c r="F631" s="25">
        <f>IF(H631=0,'Combined Retirement'!$D$32,0)+'Combined Retirement'!$B$24</f>
        <v>2870.372285649099</v>
      </c>
      <c r="G631" s="25">
        <f>'Combined Retirement'!$C$24</f>
        <v>3254.2644699519233</v>
      </c>
      <c r="H631" s="25">
        <f>IF(B631&lt;62,0,'Combined Retirement'!$I$14)</f>
        <v>2345</v>
      </c>
      <c r="I631" s="25">
        <f>IF(C631&lt;62,0,'Combined Retirement'!$I$13)</f>
        <v>2420</v>
      </c>
      <c r="J631" s="25">
        <f t="shared" si="523"/>
        <v>7896.2379798201846</v>
      </c>
      <c r="K631" s="25">
        <f t="shared" si="524"/>
        <v>20367.195264578786</v>
      </c>
      <c r="L631" s="25"/>
      <c r="N631" s="25">
        <f>'Combined Retirement'!$C$18/12</f>
        <v>39153.069999999992</v>
      </c>
      <c r="O631" s="25">
        <f t="shared" si="525"/>
        <v>10889.636755601023</v>
      </c>
      <c r="P631" s="25">
        <f t="shared" si="526"/>
        <v>28263.43324439897</v>
      </c>
      <c r="Q631" s="25">
        <f t="array" aca="1" ref="Q631" ca="1">INDEX('Isaac 401k'!L:L,MATCH('Retirement Calculator'!A631,'Isaac 401k'!N:N,0),0)</f>
        <v>1921863.9903989367</v>
      </c>
      <c r="R631" s="25">
        <f t="array" aca="1" ref="R631" ca="1">INDEX('Lorri 401b'!L:L,MATCH('Retirement Calculator'!A631,'Lorri 401b'!N:N,0),0)</f>
        <v>1345908.9017736884</v>
      </c>
      <c r="S631" s="25">
        <f t="shared" ca="1" si="527"/>
        <v>3267772.8921726253</v>
      </c>
    </row>
    <row r="632" spans="1:19" ht="15.75" customHeight="1" x14ac:dyDescent="0.3">
      <c r="A632" s="37">
        <v>70189</v>
      </c>
      <c r="B632" s="398">
        <f t="shared" ref="B632:C632" si="638">($A632-B$9)/365.25</f>
        <v>110.28884325804243</v>
      </c>
      <c r="C632" s="398">
        <f t="shared" si="638"/>
        <v>105.67830253251198</v>
      </c>
      <c r="E632" s="25">
        <f>IF(C632&gt;$B$7,0,'Combined Retirement'!$D$13/12)</f>
        <v>0</v>
      </c>
      <c r="F632" s="25">
        <f>IF(H632=0,'Combined Retirement'!$D$32,0)+'Combined Retirement'!$B$24</f>
        <v>2870.372285649099</v>
      </c>
      <c r="G632" s="25">
        <f>'Combined Retirement'!$C$24</f>
        <v>3254.2644699519233</v>
      </c>
      <c r="H632" s="25">
        <f>IF(B632&lt;62,0,'Combined Retirement'!$I$14)</f>
        <v>2345</v>
      </c>
      <c r="I632" s="25">
        <f>IF(C632&lt;62,0,'Combined Retirement'!$I$13)</f>
        <v>2420</v>
      </c>
      <c r="J632" s="25">
        <f t="shared" si="523"/>
        <v>7896.2379798201846</v>
      </c>
      <c r="K632" s="25">
        <f t="shared" si="524"/>
        <v>20367.195264578786</v>
      </c>
      <c r="L632" s="25"/>
      <c r="N632" s="25">
        <f>'Combined Retirement'!$C$18/12</f>
        <v>39153.069999999992</v>
      </c>
      <c r="O632" s="25">
        <f t="shared" si="525"/>
        <v>10889.636755601023</v>
      </c>
      <c r="P632" s="25">
        <f t="shared" si="526"/>
        <v>28263.43324439897</v>
      </c>
      <c r="Q632" s="25">
        <f t="array" aca="1" ref="Q632" ca="1">INDEX('Isaac 401k'!L:L,MATCH('Retirement Calculator'!A632,'Isaac 401k'!N:N,0),0)</f>
        <v>1921942.618054196</v>
      </c>
      <c r="R632" s="25">
        <f t="array" aca="1" ref="R632" ca="1">INDEX('Lorri 401b'!L:L,MATCH('Retirement Calculator'!A632,'Lorri 401b'!N:N,0),0)</f>
        <v>1331064.7969528974</v>
      </c>
      <c r="S632" s="25">
        <f t="shared" ca="1" si="527"/>
        <v>3253007.4150070935</v>
      </c>
    </row>
    <row r="633" spans="1:19" ht="15.75" customHeight="1" x14ac:dyDescent="0.3">
      <c r="A633" s="37">
        <v>70220</v>
      </c>
      <c r="B633" s="398">
        <f t="shared" ref="B633:C633" si="639">($A633-B$9)/365.25</f>
        <v>110.37371663244353</v>
      </c>
      <c r="C633" s="398">
        <f t="shared" si="639"/>
        <v>105.76317590691308</v>
      </c>
      <c r="E633" s="25">
        <f>IF(C633&gt;$B$7,0,'Combined Retirement'!$D$13/12)</f>
        <v>0</v>
      </c>
      <c r="F633" s="25">
        <f>IF(H633=0,'Combined Retirement'!$D$32,0)+'Combined Retirement'!$B$24</f>
        <v>2870.372285649099</v>
      </c>
      <c r="G633" s="25">
        <f>'Combined Retirement'!$C$24</f>
        <v>3254.2644699519233</v>
      </c>
      <c r="H633" s="25">
        <f>IF(B633&lt;62,0,'Combined Retirement'!$I$14)</f>
        <v>2345</v>
      </c>
      <c r="I633" s="25">
        <f>IF(C633&lt;62,0,'Combined Retirement'!$I$13)</f>
        <v>2420</v>
      </c>
      <c r="J633" s="25">
        <f t="shared" si="523"/>
        <v>7896.2379798201846</v>
      </c>
      <c r="K633" s="25">
        <f t="shared" si="524"/>
        <v>20367.195264578786</v>
      </c>
      <c r="L633" s="25"/>
      <c r="N633" s="25">
        <f>'Combined Retirement'!$C$18/12</f>
        <v>39153.069999999992</v>
      </c>
      <c r="O633" s="25">
        <f t="shared" si="525"/>
        <v>10889.636755601023</v>
      </c>
      <c r="P633" s="25">
        <f t="shared" si="526"/>
        <v>28263.43324439897</v>
      </c>
      <c r="Q633" s="25">
        <f t="array" aca="1" ref="Q633" ca="1">INDEX('Isaac 401k'!L:L,MATCH('Retirement Calculator'!A633,'Isaac 401k'!N:N,0),0)</f>
        <v>1922021.5733246857</v>
      </c>
      <c r="R633" s="25">
        <f t="array" aca="1" ref="R633" ca="1">INDEX('Lorri 401b'!L:L,MATCH('Retirement Calculator'!A633,'Lorri 401b'!N:N,0),0)</f>
        <v>1316158.8416953534</v>
      </c>
      <c r="S633" s="25">
        <f t="shared" ca="1" si="527"/>
        <v>3238180.4150200393</v>
      </c>
    </row>
    <row r="634" spans="1:19" ht="15.75" customHeight="1" x14ac:dyDescent="0.3">
      <c r="A634" s="37">
        <v>70250</v>
      </c>
      <c r="B634" s="398">
        <f t="shared" ref="B634:C634" si="640">($A634-B$9)/365.25</f>
        <v>110.45585215605749</v>
      </c>
      <c r="C634" s="398">
        <f t="shared" si="640"/>
        <v>105.84531143052703</v>
      </c>
      <c r="E634" s="25">
        <f>IF(C634&gt;$B$7,0,'Combined Retirement'!$D$13/12)</f>
        <v>0</v>
      </c>
      <c r="F634" s="25">
        <f>IF(H634=0,'Combined Retirement'!$D$32,0)+'Combined Retirement'!$B$24</f>
        <v>2870.372285649099</v>
      </c>
      <c r="G634" s="25">
        <f>'Combined Retirement'!$C$24</f>
        <v>3254.2644699519233</v>
      </c>
      <c r="H634" s="25">
        <f>IF(B634&lt;62,0,'Combined Retirement'!$I$14)</f>
        <v>2345</v>
      </c>
      <c r="I634" s="25">
        <f>IF(C634&lt;62,0,'Combined Retirement'!$I$13)</f>
        <v>2420</v>
      </c>
      <c r="J634" s="25">
        <f t="shared" si="523"/>
        <v>7896.2379798201846</v>
      </c>
      <c r="K634" s="25">
        <f t="shared" si="524"/>
        <v>20367.195264578786</v>
      </c>
      <c r="L634" s="25"/>
      <c r="N634" s="25">
        <f>'Combined Retirement'!$C$18/12</f>
        <v>39153.069999999992</v>
      </c>
      <c r="O634" s="25">
        <f t="shared" si="525"/>
        <v>10889.636755601023</v>
      </c>
      <c r="P634" s="25">
        <f t="shared" si="526"/>
        <v>28263.43324439897</v>
      </c>
      <c r="Q634" s="25">
        <f t="array" aca="1" ref="Q634" ca="1">INDEX('Isaac 401k'!L:L,MATCH('Retirement Calculator'!A634,'Isaac 401k'!N:N,0),0)</f>
        <v>1922100.857575469</v>
      </c>
      <c r="R634" s="25">
        <f t="array" aca="1" ref="R634" ca="1">INDEX('Lorri 401b'!L:L,MATCH('Retirement Calculator'!A634,'Lorri 401b'!N:N,0),0)</f>
        <v>1301190.7782909027</v>
      </c>
      <c r="S634" s="25">
        <f t="shared" ca="1" si="527"/>
        <v>3223291.6358663719</v>
      </c>
    </row>
    <row r="635" spans="1:19" ht="15.75" customHeight="1" x14ac:dyDescent="0.3">
      <c r="A635" s="37">
        <v>70281</v>
      </c>
      <c r="B635" s="398">
        <f t="shared" ref="B635:C635" si="641">($A635-B$9)/365.25</f>
        <v>110.54072553045859</v>
      </c>
      <c r="C635" s="398">
        <f t="shared" si="641"/>
        <v>105.93018480492813</v>
      </c>
      <c r="E635" s="25">
        <f>IF(C635&gt;$B$7,0,'Combined Retirement'!$D$13/12)</f>
        <v>0</v>
      </c>
      <c r="F635" s="25">
        <f>IF(H635=0,'Combined Retirement'!$D$32,0)+'Combined Retirement'!$B$24</f>
        <v>2870.372285649099</v>
      </c>
      <c r="G635" s="25">
        <f>'Combined Retirement'!$C$24</f>
        <v>3254.2644699519233</v>
      </c>
      <c r="H635" s="25">
        <f>IF(B635&lt;62,0,'Combined Retirement'!$I$14)</f>
        <v>2345</v>
      </c>
      <c r="I635" s="25">
        <f>IF(C635&lt;62,0,'Combined Retirement'!$I$13)</f>
        <v>2420</v>
      </c>
      <c r="J635" s="25">
        <f t="shared" si="523"/>
        <v>7896.2379798201846</v>
      </c>
      <c r="K635" s="25">
        <f t="shared" si="524"/>
        <v>20367.195264578786</v>
      </c>
      <c r="L635" s="25"/>
      <c r="N635" s="25">
        <f>'Combined Retirement'!$C$18/12</f>
        <v>39153.069999999992</v>
      </c>
      <c r="O635" s="25">
        <f t="shared" si="525"/>
        <v>10889.636755601023</v>
      </c>
      <c r="P635" s="25">
        <f t="shared" si="526"/>
        <v>28263.43324439897</v>
      </c>
      <c r="Q635" s="25">
        <f t="array" aca="1" ref="Q635" ca="1">INDEX('Isaac 401k'!L:L,MATCH('Retirement Calculator'!A635,'Isaac 401k'!N:N,0),0)</f>
        <v>1922180.4721772973</v>
      </c>
      <c r="R635" s="25">
        <f t="array" aca="1" ref="R635" ca="1">INDEX('Lorri 401b'!L:L,MATCH('Retirement Calculator'!A635,'Lorri 401b'!N:N,0),0)</f>
        <v>1286160.3479556004</v>
      </c>
      <c r="S635" s="25">
        <f t="shared" ca="1" si="527"/>
        <v>3208340.8201328977</v>
      </c>
    </row>
    <row r="636" spans="1:19" ht="15.75" customHeight="1" x14ac:dyDescent="0.3">
      <c r="A636" s="37">
        <v>70311</v>
      </c>
      <c r="B636" s="398">
        <f t="shared" ref="B636:C636" si="642">($A636-B$9)/365.25</f>
        <v>110.62286105407256</v>
      </c>
      <c r="C636" s="398">
        <f t="shared" si="642"/>
        <v>106.01232032854209</v>
      </c>
      <c r="E636" s="25">
        <f>IF(C636&gt;$B$7,0,'Combined Retirement'!$D$13/12)</f>
        <v>0</v>
      </c>
      <c r="F636" s="25">
        <f>IF(H636=0,'Combined Retirement'!$D$32,0)+'Combined Retirement'!$B$24</f>
        <v>2870.372285649099</v>
      </c>
      <c r="G636" s="25">
        <f>'Combined Retirement'!$C$24</f>
        <v>3254.2644699519233</v>
      </c>
      <c r="H636" s="25">
        <f>IF(B636&lt;62,0,'Combined Retirement'!$I$14)</f>
        <v>2345</v>
      </c>
      <c r="I636" s="25">
        <f>IF(C636&lt;62,0,'Combined Retirement'!$I$13)</f>
        <v>2420</v>
      </c>
      <c r="J636" s="25">
        <f t="shared" si="523"/>
        <v>7896.2379798201846</v>
      </c>
      <c r="K636" s="25">
        <f t="shared" si="524"/>
        <v>20367.195264578786</v>
      </c>
      <c r="L636" s="25"/>
      <c r="N636" s="25">
        <f>'Combined Retirement'!$C$18/12</f>
        <v>39153.069999999992</v>
      </c>
      <c r="O636" s="25">
        <f t="shared" si="525"/>
        <v>10889.636755601023</v>
      </c>
      <c r="P636" s="25">
        <f t="shared" si="526"/>
        <v>28263.43324439897</v>
      </c>
      <c r="Q636" s="25">
        <f t="array" aca="1" ref="Q636" ca="1">INDEX('Isaac 401k'!L:L,MATCH('Retirement Calculator'!A636,'Isaac 401k'!N:N,0),0)</f>
        <v>1922260.4185066333</v>
      </c>
      <c r="R636" s="25">
        <f t="array" aca="1" ref="R636" ca="1">INDEX('Lorri 401b'!L:L,MATCH('Retirement Calculator'!A636,'Lorri 401b'!N:N,0),0)</f>
        <v>1271067.290827234</v>
      </c>
      <c r="S636" s="25">
        <f t="shared" ca="1" si="527"/>
        <v>3193327.7093338673</v>
      </c>
    </row>
    <row r="637" spans="1:19" ht="15.75" customHeight="1" x14ac:dyDescent="0.3">
      <c r="A637" s="37">
        <v>70342</v>
      </c>
      <c r="B637" s="398">
        <f t="shared" ref="B637:C637" si="643">($A637-B$9)/365.25</f>
        <v>110.70773442847364</v>
      </c>
      <c r="C637" s="398">
        <f t="shared" si="643"/>
        <v>106.09719370294319</v>
      </c>
      <c r="E637" s="25">
        <f>IF(C637&gt;$B$7,0,'Combined Retirement'!$D$13/12)</f>
        <v>0</v>
      </c>
      <c r="F637" s="25">
        <f>IF(H637=0,'Combined Retirement'!$D$32,0)+'Combined Retirement'!$B$24</f>
        <v>2870.372285649099</v>
      </c>
      <c r="G637" s="25">
        <f>'Combined Retirement'!$C$24</f>
        <v>3254.2644699519233</v>
      </c>
      <c r="H637" s="25">
        <f>IF(B637&lt;62,0,'Combined Retirement'!$I$14)</f>
        <v>2345</v>
      </c>
      <c r="I637" s="25">
        <f>IF(C637&lt;62,0,'Combined Retirement'!$I$13)</f>
        <v>2420</v>
      </c>
      <c r="J637" s="25">
        <f t="shared" si="523"/>
        <v>7896.2379798201846</v>
      </c>
      <c r="K637" s="25">
        <f t="shared" si="524"/>
        <v>20367.195264578786</v>
      </c>
      <c r="L637" s="25"/>
      <c r="N637" s="25">
        <f>'Combined Retirement'!$C$18/12</f>
        <v>39153.069999999992</v>
      </c>
      <c r="O637" s="25">
        <f t="shared" si="525"/>
        <v>10889.636755601023</v>
      </c>
      <c r="P637" s="25">
        <f t="shared" si="526"/>
        <v>28263.43324439897</v>
      </c>
      <c r="Q637" s="25">
        <f t="array" aca="1" ref="Q637" ca="1">INDEX('Isaac 401k'!L:L,MATCH('Retirement Calculator'!A637,'Isaac 401k'!N:N,0),0)</f>
        <v>1922340.6979456746</v>
      </c>
      <c r="R637" s="25">
        <f t="array" aca="1" ref="R637" ca="1">INDEX('Lorri 401b'!L:L,MATCH('Retirement Calculator'!A637,'Lorri 401b'!N:N,0),0)</f>
        <v>1255911.3459608329</v>
      </c>
      <c r="S637" s="25">
        <f t="shared" ca="1" si="527"/>
        <v>3178252.0439065075</v>
      </c>
    </row>
    <row r="638" spans="1:19" ht="15.75" customHeight="1" x14ac:dyDescent="0.3">
      <c r="A638" s="37">
        <v>70373</v>
      </c>
      <c r="B638" s="398">
        <f t="shared" ref="B638:C638" si="644">($A638-B$9)/365.25</f>
        <v>110.79260780287474</v>
      </c>
      <c r="C638" s="398">
        <f t="shared" si="644"/>
        <v>106.18206707734429</v>
      </c>
      <c r="E638" s="25">
        <f>IF(C638&gt;$B$7,0,'Combined Retirement'!$D$13/12)</f>
        <v>0</v>
      </c>
      <c r="F638" s="25">
        <f>IF(H638=0,'Combined Retirement'!$D$32,0)+'Combined Retirement'!$B$24</f>
        <v>2870.372285649099</v>
      </c>
      <c r="G638" s="25">
        <f>'Combined Retirement'!$C$24</f>
        <v>3254.2644699519233</v>
      </c>
      <c r="H638" s="25">
        <f>IF(B638&lt;62,0,'Combined Retirement'!$I$14)</f>
        <v>2345</v>
      </c>
      <c r="I638" s="25">
        <f>IF(C638&lt;62,0,'Combined Retirement'!$I$13)</f>
        <v>2420</v>
      </c>
      <c r="J638" s="25">
        <f t="shared" si="523"/>
        <v>7896.2379798201846</v>
      </c>
      <c r="K638" s="25">
        <f t="shared" si="524"/>
        <v>20367.195264578786</v>
      </c>
      <c r="L638" s="25"/>
      <c r="N638" s="25">
        <f>'Combined Retirement'!$C$18/12</f>
        <v>39153.069999999992</v>
      </c>
      <c r="O638" s="25">
        <f t="shared" si="525"/>
        <v>10889.636755601023</v>
      </c>
      <c r="P638" s="25">
        <f t="shared" si="526"/>
        <v>28263.43324439897</v>
      </c>
      <c r="Q638" s="25">
        <f t="array" aca="1" ref="Q638" ca="1">INDEX('Isaac 401k'!L:L,MATCH('Retirement Calculator'!A638,'Isaac 401k'!N:N,0),0)</f>
        <v>1922421.3118823788</v>
      </c>
      <c r="R638" s="25">
        <f t="array" aca="1" ref="R638" ca="1">INDEX('Lorri 401b'!L:L,MATCH('Retirement Calculator'!A638,'Lorri 401b'!N:N,0),0)</f>
        <v>1240692.2513241551</v>
      </c>
      <c r="S638" s="25">
        <f t="shared" ca="1" si="527"/>
        <v>3163113.5632065339</v>
      </c>
    </row>
    <row r="639" spans="1:19" ht="15.75" customHeight="1" x14ac:dyDescent="0.3">
      <c r="A639" s="37">
        <v>70403</v>
      </c>
      <c r="B639" s="398">
        <f t="shared" ref="B639:C639" si="645">($A639-B$9)/365.25</f>
        <v>110.87474332648871</v>
      </c>
      <c r="C639" s="398">
        <f t="shared" si="645"/>
        <v>106.26420260095824</v>
      </c>
      <c r="E639" s="25">
        <f>IF(C639&gt;$B$7,0,'Combined Retirement'!$D$13/12)</f>
        <v>0</v>
      </c>
      <c r="F639" s="25">
        <f>IF(H639=0,'Combined Retirement'!$D$32,0)+'Combined Retirement'!$B$24</f>
        <v>2870.372285649099</v>
      </c>
      <c r="G639" s="25">
        <f>'Combined Retirement'!$C$24</f>
        <v>3254.2644699519233</v>
      </c>
      <c r="H639" s="25">
        <f>IF(B639&lt;62,0,'Combined Retirement'!$I$14)</f>
        <v>2345</v>
      </c>
      <c r="I639" s="25">
        <f>IF(C639&lt;62,0,'Combined Retirement'!$I$13)</f>
        <v>2420</v>
      </c>
      <c r="J639" s="25">
        <f t="shared" si="523"/>
        <v>7896.2379798201846</v>
      </c>
      <c r="K639" s="25">
        <f t="shared" si="524"/>
        <v>20367.195264578786</v>
      </c>
      <c r="L639" s="25"/>
      <c r="N639" s="25">
        <f>'Combined Retirement'!$C$18/12</f>
        <v>39153.069999999992</v>
      </c>
      <c r="O639" s="25">
        <f t="shared" si="525"/>
        <v>10889.636755601023</v>
      </c>
      <c r="P639" s="25">
        <f t="shared" si="526"/>
        <v>28263.43324439897</v>
      </c>
      <c r="Q639" s="25">
        <f t="array" aca="1" ref="Q639" ca="1">INDEX('Isaac 401k'!L:L,MATCH('Retirement Calculator'!A639,'Isaac 401k'!N:N,0),0)</f>
        <v>1922502.2617104859</v>
      </c>
      <c r="R639" s="25">
        <f t="array" aca="1" ref="R639" ca="1">INDEX('Lorri 401b'!L:L,MATCH('Retirement Calculator'!A639,'Lorri 401b'!N:N,0),0)</f>
        <v>1225409.7437931579</v>
      </c>
      <c r="S639" s="25">
        <f t="shared" ca="1" si="527"/>
        <v>3147912.0055036438</v>
      </c>
    </row>
    <row r="640" spans="1:19" ht="15.75" customHeight="1" x14ac:dyDescent="0.3">
      <c r="A640" s="37">
        <v>70434</v>
      </c>
      <c r="B640" s="398">
        <f t="shared" ref="B640:C640" si="646">($A640-B$9)/365.25</f>
        <v>110.9596167008898</v>
      </c>
      <c r="C640" s="398">
        <f t="shared" si="646"/>
        <v>106.34907597535934</v>
      </c>
      <c r="E640" s="25">
        <f>IF(C640&gt;$B$7,0,'Combined Retirement'!$D$13/12)</f>
        <v>0</v>
      </c>
      <c r="F640" s="25">
        <f>IF(H640=0,'Combined Retirement'!$D$32,0)+'Combined Retirement'!$B$24</f>
        <v>2870.372285649099</v>
      </c>
      <c r="G640" s="25">
        <f>'Combined Retirement'!$C$24</f>
        <v>3254.2644699519233</v>
      </c>
      <c r="H640" s="25">
        <f>IF(B640&lt;62,0,'Combined Retirement'!$I$14)</f>
        <v>2345</v>
      </c>
      <c r="I640" s="25">
        <f>IF(C640&lt;62,0,'Combined Retirement'!$I$13)</f>
        <v>2420</v>
      </c>
      <c r="J640" s="25">
        <f t="shared" si="523"/>
        <v>7896.2379798201846</v>
      </c>
      <c r="K640" s="25">
        <f t="shared" si="524"/>
        <v>20367.195264578786</v>
      </c>
      <c r="L640" s="25"/>
      <c r="N640" s="25">
        <f>'Combined Retirement'!$C$18/12</f>
        <v>39153.069999999992</v>
      </c>
      <c r="O640" s="25">
        <f t="shared" si="525"/>
        <v>10889.636755601023</v>
      </c>
      <c r="P640" s="25">
        <f t="shared" si="526"/>
        <v>28263.43324439897</v>
      </c>
      <c r="Q640" s="25">
        <f t="array" aca="1" ref="Q640" ca="1">INDEX('Isaac 401k'!L:L,MATCH('Retirement Calculator'!A640,'Isaac 401k'!N:N,0),0)</f>
        <v>1922583.5488295434</v>
      </c>
      <c r="R640" s="25">
        <f t="array" aca="1" ref="R640" ca="1">INDEX('Lorri 401b'!L:L,MATCH('Retirement Calculator'!A640,'Lorri 401b'!N:N,0),0)</f>
        <v>1210063.559147448</v>
      </c>
      <c r="S640" s="25">
        <f t="shared" ca="1" si="527"/>
        <v>3132647.1079769917</v>
      </c>
    </row>
    <row r="641" spans="1:19" ht="15.75" customHeight="1" x14ac:dyDescent="0.3">
      <c r="A641" s="37">
        <v>70464</v>
      </c>
      <c r="B641" s="398">
        <f t="shared" ref="B641:C641" si="647">($A641-B$9)/365.25</f>
        <v>111.04175222450377</v>
      </c>
      <c r="C641" s="398">
        <f t="shared" si="647"/>
        <v>106.43121149897331</v>
      </c>
      <c r="E641" s="25">
        <f>IF(C641&gt;$B$7,0,'Combined Retirement'!$D$13/12)</f>
        <v>0</v>
      </c>
      <c r="F641" s="25">
        <f>IF(H641=0,'Combined Retirement'!$D$32,0)+'Combined Retirement'!$B$24</f>
        <v>2870.372285649099</v>
      </c>
      <c r="G641" s="25">
        <f>'Combined Retirement'!$C$24</f>
        <v>3254.2644699519233</v>
      </c>
      <c r="H641" s="25">
        <f>IF(B641&lt;62,0,'Combined Retirement'!$I$14)</f>
        <v>2345</v>
      </c>
      <c r="I641" s="25">
        <f>IF(C641&lt;62,0,'Combined Retirement'!$I$13)</f>
        <v>2420</v>
      </c>
      <c r="J641" s="25">
        <f t="shared" si="523"/>
        <v>7896.2379798201846</v>
      </c>
      <c r="K641" s="25">
        <f t="shared" si="524"/>
        <v>20367.195264578786</v>
      </c>
      <c r="L641" s="25"/>
      <c r="N641" s="25">
        <f>'Combined Retirement'!$C$18/12</f>
        <v>39153.069999999992</v>
      </c>
      <c r="O641" s="25">
        <f t="shared" si="525"/>
        <v>10889.636755601023</v>
      </c>
      <c r="P641" s="25">
        <f t="shared" si="526"/>
        <v>28263.43324439897</v>
      </c>
      <c r="Q641" s="25">
        <f t="array" aca="1" ref="Q641" ca="1">INDEX('Isaac 401k'!L:L,MATCH('Retirement Calculator'!A641,'Isaac 401k'!N:N,0),0)</f>
        <v>1922665.1746449303</v>
      </c>
      <c r="R641" s="25">
        <f t="array" aca="1" ref="R641" ca="1">INDEX('Lorri 401b'!L:L,MATCH('Retirement Calculator'!A641,'Lorri 401b'!N:N,0),0)</f>
        <v>1194653.4320657146</v>
      </c>
      <c r="S641" s="25">
        <f t="shared" ca="1" si="527"/>
        <v>3117318.6067106449</v>
      </c>
    </row>
    <row r="642" spans="1:19" ht="15.75" customHeight="1" x14ac:dyDescent="0.3">
      <c r="A642" s="37">
        <v>70495</v>
      </c>
      <c r="B642" s="398">
        <f t="shared" ref="B642:C642" si="648">($A642-B$9)/365.25</f>
        <v>111.12662559890487</v>
      </c>
      <c r="C642" s="398">
        <f t="shared" si="648"/>
        <v>106.5160848733744</v>
      </c>
      <c r="E642" s="25">
        <f>IF(C642&gt;$B$7,0,'Combined Retirement'!$D$13/12)</f>
        <v>0</v>
      </c>
      <c r="F642" s="25">
        <f>IF(H642=0,'Combined Retirement'!$D$32,0)+'Combined Retirement'!$B$24</f>
        <v>2870.372285649099</v>
      </c>
      <c r="G642" s="25">
        <f>'Combined Retirement'!$C$24</f>
        <v>3254.2644699519233</v>
      </c>
      <c r="H642" s="25">
        <f>IF(B642&lt;62,0,'Combined Retirement'!$I$14)</f>
        <v>2345</v>
      </c>
      <c r="I642" s="25">
        <f>IF(C642&lt;62,0,'Combined Retirement'!$I$13)</f>
        <v>2420</v>
      </c>
      <c r="J642" s="25">
        <f t="shared" si="523"/>
        <v>7896.2379798201846</v>
      </c>
      <c r="K642" s="25">
        <f t="shared" si="524"/>
        <v>20367.195264578786</v>
      </c>
      <c r="L642" s="25"/>
      <c r="N642" s="25">
        <f>'Combined Retirement'!$C$18/12</f>
        <v>39153.069999999992</v>
      </c>
      <c r="O642" s="25">
        <f t="shared" si="525"/>
        <v>10889.636755601023</v>
      </c>
      <c r="P642" s="25">
        <f t="shared" si="526"/>
        <v>28263.43324439897</v>
      </c>
      <c r="Q642" s="25">
        <f t="array" aca="1" ref="Q642" ca="1">INDEX('Isaac 401k'!L:L,MATCH('Retirement Calculator'!A642,'Isaac 401k'!N:N,0),0)</f>
        <v>1922747.1405678813</v>
      </c>
      <c r="R642" s="25">
        <f t="array" aca="1" ref="R642" ca="1">INDEX('Lorri 401b'!L:L,MATCH('Retirement Calculator'!A642,'Lorri 401b'!N:N,0),0)</f>
        <v>1179179.0961211405</v>
      </c>
      <c r="S642" s="25">
        <f t="shared" ca="1" si="527"/>
        <v>3101926.2366890218</v>
      </c>
    </row>
    <row r="643" spans="1:19" ht="15.75" customHeight="1" x14ac:dyDescent="0.3">
      <c r="A643" s="37">
        <v>70526</v>
      </c>
      <c r="B643" s="398">
        <f t="shared" ref="B643:C643" si="649">($A643-B$9)/365.25</f>
        <v>111.21149897330595</v>
      </c>
      <c r="C643" s="398">
        <f t="shared" si="649"/>
        <v>106.60095824777549</v>
      </c>
      <c r="E643" s="25">
        <f>IF(C643&gt;$B$7,0,'Combined Retirement'!$D$13/12)</f>
        <v>0</v>
      </c>
      <c r="F643" s="25">
        <f>IF(H643=0,'Combined Retirement'!$D$32,0)+'Combined Retirement'!$B$24</f>
        <v>2870.372285649099</v>
      </c>
      <c r="G643" s="25">
        <f>'Combined Retirement'!$C$24</f>
        <v>3254.2644699519233</v>
      </c>
      <c r="H643" s="25">
        <f>IF(B643&lt;62,0,'Combined Retirement'!$I$14)</f>
        <v>2345</v>
      </c>
      <c r="I643" s="25">
        <f>IF(C643&lt;62,0,'Combined Retirement'!$I$13)</f>
        <v>2420</v>
      </c>
      <c r="J643" s="25">
        <f t="shared" si="523"/>
        <v>7896.2379798201846</v>
      </c>
      <c r="K643" s="25">
        <f t="shared" si="524"/>
        <v>20367.195264578786</v>
      </c>
      <c r="L643" s="25"/>
      <c r="N643" s="25">
        <f>'Combined Retirement'!$C$18/12</f>
        <v>39153.069999999992</v>
      </c>
      <c r="O643" s="25">
        <f t="shared" si="525"/>
        <v>10889.636755601023</v>
      </c>
      <c r="P643" s="25">
        <f t="shared" si="526"/>
        <v>28263.43324439897</v>
      </c>
      <c r="Q643" s="25">
        <f t="array" aca="1" ref="Q643" ca="1">INDEX('Isaac 401k'!L:L,MATCH('Retirement Calculator'!A643,'Isaac 401k'!N:N,0),0)</f>
        <v>1922829.4480155113</v>
      </c>
      <c r="R643" s="25">
        <f t="array" aca="1" ref="R643" ca="1">INDEX('Lorri 401b'!L:L,MATCH('Retirement Calculator'!A643,'Lorri 401b'!N:N,0),0)</f>
        <v>1163640.2837767974</v>
      </c>
      <c r="S643" s="25">
        <f t="shared" ca="1" si="527"/>
        <v>3086469.7317923084</v>
      </c>
    </row>
    <row r="644" spans="1:19" ht="15.75" customHeight="1" x14ac:dyDescent="0.3">
      <c r="A644" s="37">
        <v>70554</v>
      </c>
      <c r="B644" s="398">
        <f t="shared" ref="B644:C644" si="650">($A644-B$9)/365.25</f>
        <v>111.28815879534565</v>
      </c>
      <c r="C644" s="398">
        <f t="shared" si="650"/>
        <v>106.6776180698152</v>
      </c>
      <c r="E644" s="25">
        <f>IF(C644&gt;$B$7,0,'Combined Retirement'!$D$13/12)</f>
        <v>0</v>
      </c>
      <c r="F644" s="25">
        <f>IF(H644=0,'Combined Retirement'!$D$32,0)+'Combined Retirement'!$B$24</f>
        <v>2870.372285649099</v>
      </c>
      <c r="G644" s="25">
        <f>'Combined Retirement'!$C$24</f>
        <v>3254.2644699519233</v>
      </c>
      <c r="H644" s="25">
        <f>IF(B644&lt;62,0,'Combined Retirement'!$I$14)</f>
        <v>2345</v>
      </c>
      <c r="I644" s="25">
        <f>IF(C644&lt;62,0,'Combined Retirement'!$I$13)</f>
        <v>2420</v>
      </c>
      <c r="J644" s="25">
        <f t="shared" si="523"/>
        <v>7896.2379798201846</v>
      </c>
      <c r="K644" s="25">
        <f t="shared" si="524"/>
        <v>20367.195264578786</v>
      </c>
      <c r="L644" s="25"/>
      <c r="N644" s="25">
        <f>'Combined Retirement'!$C$18/12</f>
        <v>39153.069999999992</v>
      </c>
      <c r="O644" s="25">
        <f t="shared" si="525"/>
        <v>10889.636755601023</v>
      </c>
      <c r="P644" s="25">
        <f t="shared" si="526"/>
        <v>28263.43324439897</v>
      </c>
      <c r="Q644" s="25">
        <f t="array" aca="1" ref="Q644" ca="1">INDEX('Isaac 401k'!L:L,MATCH('Retirement Calculator'!A644,'Isaac 401k'!N:N,0),0)</f>
        <v>1922912.0984108397</v>
      </c>
      <c r="R644" s="25">
        <f t="array" aca="1" ref="R644" ca="1">INDEX('Lorri 401b'!L:L,MATCH('Retirement Calculator'!A644,'Lorri 401b'!N:N,0),0)</f>
        <v>1148036.7263810195</v>
      </c>
      <c r="S644" s="25">
        <f t="shared" ca="1" si="527"/>
        <v>3070948.8247918589</v>
      </c>
    </row>
    <row r="645" spans="1:19" ht="15.75" customHeight="1" x14ac:dyDescent="0.3">
      <c r="A645" s="37">
        <v>70585</v>
      </c>
      <c r="B645" s="398">
        <f t="shared" ref="B645:C645" si="651">($A645-B$9)/365.25</f>
        <v>111.37303216974675</v>
      </c>
      <c r="C645" s="398">
        <f t="shared" si="651"/>
        <v>106.76249144421629</v>
      </c>
      <c r="E645" s="25">
        <f>IF(C645&gt;$B$7,0,'Combined Retirement'!$D$13/12)</f>
        <v>0</v>
      </c>
      <c r="F645" s="25">
        <f>IF(H645=0,'Combined Retirement'!$D$32,0)+'Combined Retirement'!$B$24</f>
        <v>2870.372285649099</v>
      </c>
      <c r="G645" s="25">
        <f>'Combined Retirement'!$C$24</f>
        <v>3254.2644699519233</v>
      </c>
      <c r="H645" s="25">
        <f>IF(B645&lt;62,0,'Combined Retirement'!$I$14)</f>
        <v>2345</v>
      </c>
      <c r="I645" s="25">
        <f>IF(C645&lt;62,0,'Combined Retirement'!$I$13)</f>
        <v>2420</v>
      </c>
      <c r="J645" s="25">
        <f t="shared" si="523"/>
        <v>7896.2379798201846</v>
      </c>
      <c r="K645" s="25">
        <f t="shared" si="524"/>
        <v>20367.195264578786</v>
      </c>
      <c r="L645" s="25"/>
      <c r="N645" s="25">
        <f>'Combined Retirement'!$C$18/12</f>
        <v>39153.069999999992</v>
      </c>
      <c r="O645" s="25">
        <f t="shared" si="525"/>
        <v>10889.636755601023</v>
      </c>
      <c r="P645" s="25">
        <f t="shared" si="526"/>
        <v>28263.43324439897</v>
      </c>
      <c r="Q645" s="25">
        <f t="array" aca="1" ref="Q645" ca="1">INDEX('Isaac 401k'!L:L,MATCH('Retirement Calculator'!A645,'Isaac 401k'!N:N,0),0)</f>
        <v>1922995.0931828155</v>
      </c>
      <c r="R645" s="25">
        <f t="array" aca="1" ref="R645" ca="1">INDEX('Lorri 401b'!L:L,MATCH('Retirement Calculator'!A645,'Lorri 401b'!N:N,0),0)</f>
        <v>1132368.1541627592</v>
      </c>
      <c r="S645" s="25">
        <f t="shared" ca="1" si="527"/>
        <v>3055363.2473455747</v>
      </c>
    </row>
    <row r="646" spans="1:19" ht="15.75" customHeight="1" x14ac:dyDescent="0.3">
      <c r="A646" s="37">
        <v>70615</v>
      </c>
      <c r="B646" s="398">
        <f t="shared" ref="B646:C646" si="652">($A646-B$9)/365.25</f>
        <v>111.45516769336071</v>
      </c>
      <c r="C646" s="398">
        <f t="shared" si="652"/>
        <v>106.84462696783025</v>
      </c>
      <c r="E646" s="25">
        <f>IF(C646&gt;$B$7,0,'Combined Retirement'!$D$13/12)</f>
        <v>0</v>
      </c>
      <c r="F646" s="25">
        <f>IF(H646=0,'Combined Retirement'!$D$32,0)+'Combined Retirement'!$B$24</f>
        <v>2870.372285649099</v>
      </c>
      <c r="G646" s="25">
        <f>'Combined Retirement'!$C$24</f>
        <v>3254.2644699519233</v>
      </c>
      <c r="H646" s="25">
        <f>IF(B646&lt;62,0,'Combined Retirement'!$I$14)</f>
        <v>2345</v>
      </c>
      <c r="I646" s="25">
        <f>IF(C646&lt;62,0,'Combined Retirement'!$I$13)</f>
        <v>2420</v>
      </c>
      <c r="J646" s="25">
        <f t="shared" si="523"/>
        <v>7896.2379798201846</v>
      </c>
      <c r="K646" s="25">
        <f t="shared" si="524"/>
        <v>20367.195264578786</v>
      </c>
      <c r="L646" s="25"/>
      <c r="N646" s="25">
        <f>'Combined Retirement'!$C$18/12</f>
        <v>39153.069999999992</v>
      </c>
      <c r="O646" s="25">
        <f t="shared" si="525"/>
        <v>10889.636755601023</v>
      </c>
      <c r="P646" s="25">
        <f t="shared" si="526"/>
        <v>28263.43324439897</v>
      </c>
      <c r="Q646" s="25">
        <f t="array" aca="1" ref="Q646" ca="1">INDEX('Isaac 401k'!L:L,MATCH('Retirement Calculator'!A646,'Isaac 401k'!N:N,0),0)</f>
        <v>1923078.4337663411</v>
      </c>
      <c r="R646" s="25">
        <f t="array" aca="1" ref="R646" ca="1">INDEX('Lorri 401b'!L:L,MATCH('Retirement Calculator'!A646,'Lorri 401b'!N:N,0),0)</f>
        <v>1116634.2962269229</v>
      </c>
      <c r="S646" s="25">
        <f t="shared" ca="1" si="527"/>
        <v>3039712.7299932642</v>
      </c>
    </row>
    <row r="647" spans="1:19" ht="15.75" customHeight="1" x14ac:dyDescent="0.3">
      <c r="A647" s="37">
        <v>70646</v>
      </c>
      <c r="B647" s="398">
        <f t="shared" ref="B647:C647" si="653">($A647-B$9)/365.25</f>
        <v>111.54004106776181</v>
      </c>
      <c r="C647" s="398">
        <f t="shared" si="653"/>
        <v>106.92950034223135</v>
      </c>
      <c r="E647" s="25">
        <f>IF(C647&gt;$B$7,0,'Combined Retirement'!$D$13/12)</f>
        <v>0</v>
      </c>
      <c r="F647" s="25">
        <f>IF(H647=0,'Combined Retirement'!$D$32,0)+'Combined Retirement'!$B$24</f>
        <v>2870.372285649099</v>
      </c>
      <c r="G647" s="25">
        <f>'Combined Retirement'!$C$24</f>
        <v>3254.2644699519233</v>
      </c>
      <c r="H647" s="25">
        <f>IF(B647&lt;62,0,'Combined Retirement'!$I$14)</f>
        <v>2345</v>
      </c>
      <c r="I647" s="25">
        <f>IF(C647&lt;62,0,'Combined Retirement'!$I$13)</f>
        <v>2420</v>
      </c>
      <c r="J647" s="25">
        <f t="shared" si="523"/>
        <v>7896.2379798201846</v>
      </c>
      <c r="K647" s="25">
        <f t="shared" si="524"/>
        <v>20367.195264578786</v>
      </c>
      <c r="L647" s="25"/>
      <c r="N647" s="25">
        <f>'Combined Retirement'!$C$18/12</f>
        <v>39153.069999999992</v>
      </c>
      <c r="O647" s="25">
        <f t="shared" si="525"/>
        <v>10889.636755601023</v>
      </c>
      <c r="P647" s="25">
        <f t="shared" si="526"/>
        <v>28263.43324439897</v>
      </c>
      <c r="Q647" s="25">
        <f t="array" aca="1" ref="Q647" ca="1">INDEX('Isaac 401k'!L:L,MATCH('Retirement Calculator'!A647,'Isaac 401k'!N:N,0),0)</f>
        <v>1923162.121602298</v>
      </c>
      <c r="R647" s="25">
        <f t="array" aca="1" ref="R647" ca="1">INDEX('Lorri 401b'!L:L,MATCH('Retirement Calculator'!A647,'Lorri 401b'!N:N,0),0)</f>
        <v>1100834.8805496872</v>
      </c>
      <c r="S647" s="25">
        <f t="shared" ca="1" si="527"/>
        <v>3023997.0021519852</v>
      </c>
    </row>
    <row r="648" spans="1:19" ht="15.75" customHeight="1" x14ac:dyDescent="0.3">
      <c r="A648" s="37">
        <v>70676</v>
      </c>
      <c r="B648" s="398">
        <f t="shared" ref="B648:C648" si="654">($A648-B$9)/365.25</f>
        <v>111.62217659137578</v>
      </c>
      <c r="C648" s="398">
        <f t="shared" si="654"/>
        <v>107.01163586584531</v>
      </c>
      <c r="E648" s="25">
        <f>IF(C648&gt;$B$7,0,'Combined Retirement'!$D$13/12)</f>
        <v>0</v>
      </c>
      <c r="F648" s="25">
        <f>IF(H648=0,'Combined Retirement'!$D$32,0)+'Combined Retirement'!$B$24</f>
        <v>2870.372285649099</v>
      </c>
      <c r="G648" s="25">
        <f>'Combined Retirement'!$C$24</f>
        <v>3254.2644699519233</v>
      </c>
      <c r="H648" s="25">
        <f>IF(B648&lt;62,0,'Combined Retirement'!$I$14)</f>
        <v>2345</v>
      </c>
      <c r="I648" s="25">
        <f>IF(C648&lt;62,0,'Combined Retirement'!$I$13)</f>
        <v>2420</v>
      </c>
      <c r="J648" s="25">
        <f t="shared" si="523"/>
        <v>7896.2379798201846</v>
      </c>
      <c r="K648" s="25">
        <f t="shared" si="524"/>
        <v>20367.195264578786</v>
      </c>
      <c r="L648" s="25"/>
      <c r="N648" s="25">
        <f>'Combined Retirement'!$C$18/12</f>
        <v>39153.069999999992</v>
      </c>
      <c r="O648" s="25">
        <f t="shared" si="525"/>
        <v>10889.636755601023</v>
      </c>
      <c r="P648" s="25">
        <f t="shared" si="526"/>
        <v>28263.43324439897</v>
      </c>
      <c r="Q648" s="25">
        <f t="array" aca="1" ref="Q648" ca="1">INDEX('Isaac 401k'!L:L,MATCH('Retirement Calculator'!A648,'Isaac 401k'!N:N,0),0)</f>
        <v>1923246.1581375715</v>
      </c>
      <c r="R648" s="25">
        <f t="array" aca="1" ref="R648" ca="1">INDEX('Lorri 401b'!L:L,MATCH('Retirement Calculator'!A648,'Lorri 401b'!N:N,0),0)</f>
        <v>1084969.6339737964</v>
      </c>
      <c r="S648" s="25">
        <f t="shared" ca="1" si="527"/>
        <v>3008215.7921113679</v>
      </c>
    </row>
    <row r="649" spans="1:19" ht="15.75" customHeight="1" x14ac:dyDescent="0.3">
      <c r="A649" s="37">
        <v>70707</v>
      </c>
      <c r="B649" s="398">
        <f t="shared" ref="B649:C649" si="655">($A649-B$9)/365.25</f>
        <v>111.70704996577686</v>
      </c>
      <c r="C649" s="398">
        <f t="shared" si="655"/>
        <v>107.09650924024641</v>
      </c>
      <c r="E649" s="25">
        <f>IF(C649&gt;$B$7,0,'Combined Retirement'!$D$13/12)</f>
        <v>0</v>
      </c>
      <c r="F649" s="25">
        <f>IF(H649=0,'Combined Retirement'!$D$32,0)+'Combined Retirement'!$B$24</f>
        <v>2870.372285649099</v>
      </c>
      <c r="G649" s="25">
        <f>'Combined Retirement'!$C$24</f>
        <v>3254.2644699519233</v>
      </c>
      <c r="H649" s="25">
        <f>IF(B649&lt;62,0,'Combined Retirement'!$I$14)</f>
        <v>2345</v>
      </c>
      <c r="I649" s="25">
        <f>IF(C649&lt;62,0,'Combined Retirement'!$I$13)</f>
        <v>2420</v>
      </c>
      <c r="J649" s="25">
        <f t="shared" si="523"/>
        <v>7896.2379798201846</v>
      </c>
      <c r="K649" s="25">
        <f t="shared" si="524"/>
        <v>20367.195264578786</v>
      </c>
      <c r="L649" s="25"/>
      <c r="N649" s="25">
        <f>'Combined Retirement'!$C$18/12</f>
        <v>39153.069999999992</v>
      </c>
      <c r="O649" s="25">
        <f t="shared" si="525"/>
        <v>10889.636755601023</v>
      </c>
      <c r="P649" s="25">
        <f t="shared" si="526"/>
        <v>28263.43324439897</v>
      </c>
      <c r="Q649" s="25">
        <f t="array" aca="1" ref="Q649" ca="1">INDEX('Isaac 401k'!L:L,MATCH('Retirement Calculator'!A649,'Isaac 401k'!N:N,0),0)</f>
        <v>1923330.5448250752</v>
      </c>
      <c r="R649" s="25">
        <f t="array" aca="1" ref="R649" ca="1">INDEX('Lorri 401b'!L:L,MATCH('Retirement Calculator'!A649,'Lorri 401b'!N:N,0),0)</f>
        <v>1069038.2822038394</v>
      </c>
      <c r="S649" s="25">
        <f t="shared" ca="1" si="527"/>
        <v>2992368.8270289144</v>
      </c>
    </row>
    <row r="650" spans="1:19" ht="15.75" customHeight="1" x14ac:dyDescent="0.3">
      <c r="A650" s="37">
        <v>70738</v>
      </c>
      <c r="B650" s="398">
        <f t="shared" ref="B650:C650" si="656">($A650-B$9)/365.25</f>
        <v>111.79192334017796</v>
      </c>
      <c r="C650" s="398">
        <f t="shared" si="656"/>
        <v>107.1813826146475</v>
      </c>
      <c r="E650" s="25">
        <f>IF(C650&gt;$B$7,0,'Combined Retirement'!$D$13/12)</f>
        <v>0</v>
      </c>
      <c r="F650" s="25">
        <f>IF(H650=0,'Combined Retirement'!$D$32,0)+'Combined Retirement'!$B$24</f>
        <v>2870.372285649099</v>
      </c>
      <c r="G650" s="25">
        <f>'Combined Retirement'!$C$24</f>
        <v>3254.2644699519233</v>
      </c>
      <c r="H650" s="25">
        <f>IF(B650&lt;62,0,'Combined Retirement'!$I$14)</f>
        <v>2345</v>
      </c>
      <c r="I650" s="25">
        <f>IF(C650&lt;62,0,'Combined Retirement'!$I$13)</f>
        <v>2420</v>
      </c>
      <c r="J650" s="25">
        <f t="shared" si="523"/>
        <v>7896.2379798201846</v>
      </c>
      <c r="K650" s="25">
        <f t="shared" si="524"/>
        <v>20367.195264578786</v>
      </c>
      <c r="L650" s="25"/>
      <c r="N650" s="25">
        <f>'Combined Retirement'!$C$18/12</f>
        <v>39153.069999999992</v>
      </c>
      <c r="O650" s="25">
        <f t="shared" si="525"/>
        <v>10889.636755601023</v>
      </c>
      <c r="P650" s="25">
        <f t="shared" si="526"/>
        <v>28263.43324439897</v>
      </c>
      <c r="Q650" s="25">
        <f t="array" aca="1" ref="Q650" ca="1">INDEX('Isaac 401k'!L:L,MATCH('Retirement Calculator'!A650,'Isaac 401k'!N:N,0),0)</f>
        <v>1923415.2831237768</v>
      </c>
      <c r="R650" s="25">
        <f t="array" aca="1" ref="R650" ca="1">INDEX('Lorri 401b'!L:L,MATCH('Retirement Calculator'!A650,'Lorri 401b'!N:N,0),0)</f>
        <v>1053040.5498015075</v>
      </c>
      <c r="S650" s="25">
        <f t="shared" ca="1" si="527"/>
        <v>2976455.8329252843</v>
      </c>
    </row>
    <row r="651" spans="1:19" ht="15.75" customHeight="1" x14ac:dyDescent="0.3">
      <c r="A651" s="37">
        <v>70768</v>
      </c>
      <c r="B651" s="398">
        <f t="shared" ref="B651:C651" si="657">($A651-B$9)/365.25</f>
        <v>111.87405886379193</v>
      </c>
      <c r="C651" s="398">
        <f t="shared" si="657"/>
        <v>107.26351813826146</v>
      </c>
      <c r="E651" s="25">
        <f>IF(C651&gt;$B$7,0,'Combined Retirement'!$D$13/12)</f>
        <v>0</v>
      </c>
      <c r="F651" s="25">
        <f>IF(H651=0,'Combined Retirement'!$D$32,0)+'Combined Retirement'!$B$24</f>
        <v>2870.372285649099</v>
      </c>
      <c r="G651" s="25">
        <f>'Combined Retirement'!$C$24</f>
        <v>3254.2644699519233</v>
      </c>
      <c r="H651" s="25">
        <f>IF(B651&lt;62,0,'Combined Retirement'!$I$14)</f>
        <v>2345</v>
      </c>
      <c r="I651" s="25">
        <f>IF(C651&lt;62,0,'Combined Retirement'!$I$13)</f>
        <v>2420</v>
      </c>
      <c r="J651" s="25">
        <f t="shared" si="523"/>
        <v>7896.2379798201846</v>
      </c>
      <c r="K651" s="25">
        <f t="shared" si="524"/>
        <v>20367.195264578786</v>
      </c>
      <c r="L651" s="25"/>
      <c r="N651" s="25">
        <f>'Combined Retirement'!$C$18/12</f>
        <v>39153.069999999992</v>
      </c>
      <c r="O651" s="25">
        <f t="shared" si="525"/>
        <v>10889.636755601023</v>
      </c>
      <c r="P651" s="25">
        <f t="shared" si="526"/>
        <v>28263.43324439897</v>
      </c>
      <c r="Q651" s="25">
        <f t="array" aca="1" ref="Q651" ca="1">INDEX('Isaac 401k'!L:L,MATCH('Retirement Calculator'!A651,'Isaac 401k'!N:N,0),0)</f>
        <v>1923500.3744987231</v>
      </c>
      <c r="R651" s="25">
        <f t="array" aca="1" ref="R651" ca="1">INDEX('Lorri 401b'!L:L,MATCH('Retirement Calculator'!A651,'Lorri 401b'!N:N,0),0)</f>
        <v>1036976.1601808326</v>
      </c>
      <c r="S651" s="25">
        <f t="shared" ca="1" si="527"/>
        <v>2960476.5346795558</v>
      </c>
    </row>
    <row r="652" spans="1:19" ht="15.75" customHeight="1" x14ac:dyDescent="0.3">
      <c r="A652" s="37">
        <v>70799</v>
      </c>
      <c r="B652" s="398">
        <f t="shared" ref="B652:C652" si="658">($A652-B$9)/365.25</f>
        <v>111.95893223819301</v>
      </c>
      <c r="C652" s="398">
        <f t="shared" si="658"/>
        <v>107.34839151266256</v>
      </c>
      <c r="E652" s="25">
        <f>IF(C652&gt;$B$7,0,'Combined Retirement'!$D$13/12)</f>
        <v>0</v>
      </c>
      <c r="F652" s="25">
        <f>IF(H652=0,'Combined Retirement'!$D$32,0)+'Combined Retirement'!$B$24</f>
        <v>2870.372285649099</v>
      </c>
      <c r="G652" s="25">
        <f>'Combined Retirement'!$C$24</f>
        <v>3254.2644699519233</v>
      </c>
      <c r="H652" s="25">
        <f>IF(B652&lt;62,0,'Combined Retirement'!$I$14)</f>
        <v>2345</v>
      </c>
      <c r="I652" s="25">
        <f>IF(C652&lt;62,0,'Combined Retirement'!$I$13)</f>
        <v>2420</v>
      </c>
      <c r="J652" s="25">
        <f t="shared" si="523"/>
        <v>7896.2379798201846</v>
      </c>
      <c r="K652" s="25">
        <f t="shared" si="524"/>
        <v>20367.195264578786</v>
      </c>
      <c r="L652" s="25"/>
      <c r="N652" s="25">
        <f>'Combined Retirement'!$C$18/12</f>
        <v>39153.069999999992</v>
      </c>
      <c r="O652" s="25">
        <f t="shared" si="525"/>
        <v>10889.636755601023</v>
      </c>
      <c r="P652" s="25">
        <f t="shared" si="526"/>
        <v>28263.43324439897</v>
      </c>
      <c r="Q652" s="25">
        <f t="array" aca="1" ref="Q652" ca="1">INDEX('Isaac 401k'!L:L,MATCH('Retirement Calculator'!A652,'Isaac 401k'!N:N,0),0)</f>
        <v>1923585.820421065</v>
      </c>
      <c r="R652" s="25">
        <f t="array" aca="1" ref="R652" ca="1">INDEX('Lorri 401b'!L:L,MATCH('Retirement Calculator'!A652,'Lorri 401b'!N:N,0),0)</f>
        <v>1020844.8356034049</v>
      </c>
      <c r="S652" s="25">
        <f t="shared" ca="1" si="527"/>
        <v>2944430.65602447</v>
      </c>
    </row>
    <row r="653" spans="1:19" ht="15.75" customHeight="1" x14ac:dyDescent="0.3">
      <c r="A653" s="37">
        <v>70829</v>
      </c>
      <c r="B653" s="398">
        <f t="shared" ref="B653:C653" si="659">($A653-B$9)/365.25</f>
        <v>112.04106776180699</v>
      </c>
      <c r="C653" s="398">
        <f t="shared" si="659"/>
        <v>107.43052703627653</v>
      </c>
      <c r="E653" s="25">
        <f>IF(C653&gt;$B$7,0,'Combined Retirement'!$D$13/12)</f>
        <v>0</v>
      </c>
      <c r="F653" s="25">
        <f>IF(H653=0,'Combined Retirement'!$D$32,0)+'Combined Retirement'!$B$24</f>
        <v>2870.372285649099</v>
      </c>
      <c r="G653" s="25">
        <f>'Combined Retirement'!$C$24</f>
        <v>3254.2644699519233</v>
      </c>
      <c r="H653" s="25">
        <f>IF(B653&lt;62,0,'Combined Retirement'!$I$14)</f>
        <v>2345</v>
      </c>
      <c r="I653" s="25">
        <f>IF(C653&lt;62,0,'Combined Retirement'!$I$13)</f>
        <v>2420</v>
      </c>
      <c r="J653" s="25">
        <f t="shared" si="523"/>
        <v>7896.2379798201846</v>
      </c>
      <c r="K653" s="25">
        <f t="shared" si="524"/>
        <v>20367.195264578786</v>
      </c>
      <c r="L653" s="25"/>
      <c r="N653" s="25">
        <f>'Combined Retirement'!$C$18/12</f>
        <v>39153.069999999992</v>
      </c>
      <c r="O653" s="25">
        <f t="shared" si="525"/>
        <v>10889.636755601023</v>
      </c>
      <c r="P653" s="25">
        <f t="shared" si="526"/>
        <v>28263.43324439897</v>
      </c>
      <c r="Q653" s="25">
        <f t="array" aca="1" ref="Q653" ca="1">INDEX('Isaac 401k'!L:L,MATCH('Retirement Calculator'!A653,'Isaac 401k'!N:N,0),0)</f>
        <v>1923671.6223680833</v>
      </c>
      <c r="R653" s="25">
        <f t="array" aca="1" ref="R653" ca="1">INDEX('Lorri 401b'!L:L,MATCH('Retirement Calculator'!A653,'Lorri 401b'!N:N,0),0)</f>
        <v>1004646.2971735712</v>
      </c>
      <c r="S653" s="25">
        <f t="shared" ca="1" si="527"/>
        <v>2928317.9195416546</v>
      </c>
    </row>
    <row r="654" spans="1:19" ht="15.75" customHeight="1" x14ac:dyDescent="0.3">
      <c r="A654" s="37">
        <v>70860</v>
      </c>
      <c r="B654" s="398">
        <f t="shared" ref="B654:C654" si="660">($A654-B$9)/365.25</f>
        <v>112.12594113620807</v>
      </c>
      <c r="C654" s="398">
        <f t="shared" si="660"/>
        <v>107.51540041067761</v>
      </c>
      <c r="E654" s="25">
        <f>IF(C654&gt;$B$7,0,'Combined Retirement'!$D$13/12)</f>
        <v>0</v>
      </c>
      <c r="F654" s="25">
        <f>IF(H654=0,'Combined Retirement'!$D$32,0)+'Combined Retirement'!$B$24</f>
        <v>2870.372285649099</v>
      </c>
      <c r="G654" s="25">
        <f>'Combined Retirement'!$C$24</f>
        <v>3254.2644699519233</v>
      </c>
      <c r="H654" s="25">
        <f>IF(B654&lt;62,0,'Combined Retirement'!$I$14)</f>
        <v>2345</v>
      </c>
      <c r="I654" s="25">
        <f>IF(C654&lt;62,0,'Combined Retirement'!$I$13)</f>
        <v>2420</v>
      </c>
      <c r="J654" s="25">
        <f t="shared" si="523"/>
        <v>7896.2379798201846</v>
      </c>
      <c r="K654" s="25">
        <f t="shared" si="524"/>
        <v>20367.195264578786</v>
      </c>
      <c r="L654" s="25"/>
      <c r="N654" s="25">
        <f>'Combined Retirement'!$C$18/12</f>
        <v>39153.069999999992</v>
      </c>
      <c r="O654" s="25">
        <f t="shared" si="525"/>
        <v>10889.636755601023</v>
      </c>
      <c r="P654" s="25">
        <f t="shared" si="526"/>
        <v>28263.43324439897</v>
      </c>
      <c r="Q654" s="25">
        <f t="array" aca="1" ref="Q654" ca="1">INDEX('Isaac 401k'!L:L,MATCH('Retirement Calculator'!A654,'Isaac 401k'!N:N,0),0)</f>
        <v>1923757.7818232141</v>
      </c>
      <c r="R654" s="25">
        <f t="array" aca="1" ref="R654" ca="1">INDEX('Lorri 401b'!L:L,MATCH('Retirement Calculator'!A654,'Lorri 401b'!N:N,0),0)</f>
        <v>988380.26483361318</v>
      </c>
      <c r="S654" s="25">
        <f t="shared" ca="1" si="527"/>
        <v>2912138.0466568274</v>
      </c>
    </row>
    <row r="655" spans="1:19" ht="15.75" customHeight="1" x14ac:dyDescent="0.3">
      <c r="A655" s="37">
        <v>70891</v>
      </c>
      <c r="B655" s="398">
        <f t="shared" ref="B655:C655" si="661">($A655-B$9)/365.25</f>
        <v>112.21081451060917</v>
      </c>
      <c r="C655" s="398">
        <f t="shared" si="661"/>
        <v>107.60027378507871</v>
      </c>
      <c r="E655" s="25">
        <f>IF(C655&gt;$B$7,0,'Combined Retirement'!$D$13/12)</f>
        <v>0</v>
      </c>
      <c r="F655" s="25">
        <f>IF(H655=0,'Combined Retirement'!$D$32,0)+'Combined Retirement'!$B$24</f>
        <v>2870.372285649099</v>
      </c>
      <c r="G655" s="25">
        <f>'Combined Retirement'!$C$24</f>
        <v>3254.2644699519233</v>
      </c>
      <c r="H655" s="25">
        <f>IF(B655&lt;62,0,'Combined Retirement'!$I$14)</f>
        <v>2345</v>
      </c>
      <c r="I655" s="25">
        <f>IF(C655&lt;62,0,'Combined Retirement'!$I$13)</f>
        <v>2420</v>
      </c>
      <c r="J655" s="25">
        <f t="shared" si="523"/>
        <v>7896.2379798201846</v>
      </c>
      <c r="K655" s="25">
        <f t="shared" si="524"/>
        <v>20367.195264578786</v>
      </c>
      <c r="L655" s="25"/>
      <c r="N655" s="25">
        <f>'Combined Retirement'!$C$18/12</f>
        <v>39153.069999999992</v>
      </c>
      <c r="O655" s="25">
        <f t="shared" si="525"/>
        <v>10889.636755601023</v>
      </c>
      <c r="P655" s="25">
        <f t="shared" si="526"/>
        <v>28263.43324439897</v>
      </c>
      <c r="Q655" s="25">
        <f t="array" aca="1" ref="Q655" ca="1">INDEX('Isaac 401k'!L:L,MATCH('Retirement Calculator'!A655,'Isaac 401k'!N:N,0),0)</f>
        <v>1923844.3002760748</v>
      </c>
      <c r="R655" s="25">
        <f t="array" aca="1" ref="R655" ca="1">INDEX('Lorri 401b'!L:L,MATCH('Retirement Calculator'!A655,'Lorri 401b'!N:N,0),0)</f>
        <v>972046.45735890535</v>
      </c>
      <c r="S655" s="25">
        <f t="shared" ca="1" si="527"/>
        <v>2895890.7576349801</v>
      </c>
    </row>
    <row r="656" spans="1:19" ht="15.75" customHeight="1" x14ac:dyDescent="0.3">
      <c r="A656" s="37">
        <v>70919</v>
      </c>
      <c r="B656" s="398">
        <f t="shared" ref="B656:C656" si="662">($A656-B$9)/365.25</f>
        <v>112.28747433264887</v>
      </c>
      <c r="C656" s="398">
        <f t="shared" si="662"/>
        <v>107.67693360711841</v>
      </c>
      <c r="E656" s="25">
        <f>IF(C656&gt;$B$7,0,'Combined Retirement'!$D$13/12)</f>
        <v>0</v>
      </c>
      <c r="F656" s="25">
        <f>IF(H656=0,'Combined Retirement'!$D$32,0)+'Combined Retirement'!$B$24</f>
        <v>2870.372285649099</v>
      </c>
      <c r="G656" s="25">
        <f>'Combined Retirement'!$C$24</f>
        <v>3254.2644699519233</v>
      </c>
      <c r="H656" s="25">
        <f>IF(B656&lt;62,0,'Combined Retirement'!$I$14)</f>
        <v>2345</v>
      </c>
      <c r="I656" s="25">
        <f>IF(C656&lt;62,0,'Combined Retirement'!$I$13)</f>
        <v>2420</v>
      </c>
      <c r="J656" s="25">
        <f t="shared" si="523"/>
        <v>7896.2379798201846</v>
      </c>
      <c r="K656" s="25">
        <f t="shared" si="524"/>
        <v>20367.195264578786</v>
      </c>
      <c r="L656" s="25"/>
      <c r="N656" s="25">
        <f>'Combined Retirement'!$C$18/12</f>
        <v>39153.069999999992</v>
      </c>
      <c r="O656" s="25">
        <f t="shared" si="525"/>
        <v>10889.636755601023</v>
      </c>
      <c r="P656" s="25">
        <f t="shared" si="526"/>
        <v>28263.43324439897</v>
      </c>
      <c r="Q656" s="25">
        <f t="array" aca="1" ref="Q656" ca="1">INDEX('Isaac 401k'!L:L,MATCH('Retirement Calculator'!A656,'Isaac 401k'!N:N,0),0)</f>
        <v>1923931.179222489</v>
      </c>
      <c r="R656" s="25">
        <f t="array" aca="1" ref="R656" ca="1">INDEX('Lorri 401b'!L:L,MATCH('Retirement Calculator'!A656,'Lorri 401b'!N:N,0),0)</f>
        <v>955644.59235305293</v>
      </c>
      <c r="S656" s="25">
        <f t="shared" ca="1" si="527"/>
        <v>2879575.7715755422</v>
      </c>
    </row>
    <row r="657" spans="1:19" ht="15.75" customHeight="1" x14ac:dyDescent="0.3">
      <c r="A657" s="37">
        <v>70950</v>
      </c>
      <c r="B657" s="398">
        <f t="shared" ref="B657:C657" si="663">($A657-B$9)/365.25</f>
        <v>112.37234770704997</v>
      </c>
      <c r="C657" s="398">
        <f t="shared" si="663"/>
        <v>107.76180698151951</v>
      </c>
      <c r="E657" s="25">
        <f>IF(C657&gt;$B$7,0,'Combined Retirement'!$D$13/12)</f>
        <v>0</v>
      </c>
      <c r="F657" s="25">
        <f>IF(H657=0,'Combined Retirement'!$D$32,0)+'Combined Retirement'!$B$24</f>
        <v>2870.372285649099</v>
      </c>
      <c r="G657" s="25">
        <f>'Combined Retirement'!$C$24</f>
        <v>3254.2644699519233</v>
      </c>
      <c r="H657" s="25">
        <f>IF(B657&lt;62,0,'Combined Retirement'!$I$14)</f>
        <v>2345</v>
      </c>
      <c r="I657" s="25">
        <f>IF(C657&lt;62,0,'Combined Retirement'!$I$13)</f>
        <v>2420</v>
      </c>
      <c r="J657" s="25">
        <f t="shared" si="523"/>
        <v>7896.2379798201846</v>
      </c>
      <c r="K657" s="25">
        <f t="shared" si="524"/>
        <v>20367.195264578786</v>
      </c>
      <c r="L657" s="25"/>
      <c r="N657" s="25">
        <f>'Combined Retirement'!$C$18/12</f>
        <v>39153.069999999992</v>
      </c>
      <c r="O657" s="25">
        <f t="shared" si="525"/>
        <v>10889.636755601023</v>
      </c>
      <c r="P657" s="25">
        <f t="shared" si="526"/>
        <v>28263.43324439897</v>
      </c>
      <c r="Q657" s="25">
        <f t="array" aca="1" ref="Q657" ca="1">INDEX('Isaac 401k'!L:L,MATCH('Retirement Calculator'!A657,'Isaac 401k'!N:N,0),0)</f>
        <v>1924018.4201645132</v>
      </c>
      <c r="R657" s="25">
        <f t="array" aca="1" ref="R657" ca="1">INDEX('Lorri 401b'!L:L,MATCH('Retirement Calculator'!A657,'Lorri 401b'!N:N,0),0)</f>
        <v>939174.38624300947</v>
      </c>
      <c r="S657" s="25">
        <f t="shared" ca="1" si="527"/>
        <v>2863192.8064075224</v>
      </c>
    </row>
    <row r="658" spans="1:19" ht="15.75" customHeight="1" x14ac:dyDescent="0.3">
      <c r="A658" s="37">
        <v>70980</v>
      </c>
      <c r="B658" s="398">
        <f t="shared" ref="B658:C658" si="664">($A658-B$9)/365.25</f>
        <v>112.45448323066393</v>
      </c>
      <c r="C658" s="398">
        <f t="shared" si="664"/>
        <v>107.84394250513347</v>
      </c>
      <c r="E658" s="25">
        <f>IF(C658&gt;$B$7,0,'Combined Retirement'!$D$13/12)</f>
        <v>0</v>
      </c>
      <c r="F658" s="25">
        <f>IF(H658=0,'Combined Retirement'!$D$32,0)+'Combined Retirement'!$B$24</f>
        <v>2870.372285649099</v>
      </c>
      <c r="G658" s="25">
        <f>'Combined Retirement'!$C$24</f>
        <v>3254.2644699519233</v>
      </c>
      <c r="H658" s="25">
        <f>IF(B658&lt;62,0,'Combined Retirement'!$I$14)</f>
        <v>2345</v>
      </c>
      <c r="I658" s="25">
        <f>IF(C658&lt;62,0,'Combined Retirement'!$I$13)</f>
        <v>2420</v>
      </c>
      <c r="J658" s="25">
        <f t="shared" si="523"/>
        <v>7896.2379798201846</v>
      </c>
      <c r="K658" s="25">
        <f t="shared" si="524"/>
        <v>20367.195264578786</v>
      </c>
      <c r="L658" s="25"/>
      <c r="N658" s="25">
        <f>'Combined Retirement'!$C$18/12</f>
        <v>39153.069999999992</v>
      </c>
      <c r="O658" s="25">
        <f t="shared" si="525"/>
        <v>10889.636755601023</v>
      </c>
      <c r="P658" s="25">
        <f t="shared" si="526"/>
        <v>28263.43324439897</v>
      </c>
      <c r="Q658" s="25">
        <f t="array" aca="1" ref="Q658" ca="1">INDEX('Isaac 401k'!L:L,MATCH('Retirement Calculator'!A658,'Isaac 401k'!N:N,0),0)</f>
        <v>1924106.0246104626</v>
      </c>
      <c r="R658" s="25">
        <f t="array" aca="1" ref="R658" ca="1">INDEX('Lorri 401b'!L:L,MATCH('Retirement Calculator'!A658,'Lorri 401b'!N:N,0),0)</f>
        <v>922635.55427417415</v>
      </c>
      <c r="S658" s="25">
        <f t="shared" ca="1" si="527"/>
        <v>2846741.578884637</v>
      </c>
    </row>
    <row r="659" spans="1:19" ht="15.75" customHeight="1" x14ac:dyDescent="0.3">
      <c r="A659" s="37">
        <v>71011</v>
      </c>
      <c r="B659" s="398">
        <f t="shared" ref="B659:C659" si="665">($A659-B$9)/365.25</f>
        <v>112.53935660506502</v>
      </c>
      <c r="C659" s="398">
        <f t="shared" si="665"/>
        <v>107.92881587953457</v>
      </c>
      <c r="E659" s="25">
        <f>IF(C659&gt;$B$7,0,'Combined Retirement'!$D$13/12)</f>
        <v>0</v>
      </c>
      <c r="F659" s="25">
        <f>IF(H659=0,'Combined Retirement'!$D$32,0)+'Combined Retirement'!$B$24</f>
        <v>2870.372285649099</v>
      </c>
      <c r="G659" s="25">
        <f>'Combined Retirement'!$C$24</f>
        <v>3254.2644699519233</v>
      </c>
      <c r="H659" s="25">
        <f>IF(B659&lt;62,0,'Combined Retirement'!$I$14)</f>
        <v>2345</v>
      </c>
      <c r="I659" s="25">
        <f>IF(C659&lt;62,0,'Combined Retirement'!$I$13)</f>
        <v>2420</v>
      </c>
      <c r="J659" s="25">
        <f t="shared" si="523"/>
        <v>7896.2379798201846</v>
      </c>
      <c r="K659" s="25">
        <f t="shared" si="524"/>
        <v>20367.195264578786</v>
      </c>
      <c r="L659" s="25"/>
      <c r="N659" s="25">
        <f>'Combined Retirement'!$C$18/12</f>
        <v>39153.069999999992</v>
      </c>
      <c r="O659" s="25">
        <f t="shared" si="525"/>
        <v>10889.636755601023</v>
      </c>
      <c r="P659" s="25">
        <f t="shared" si="526"/>
        <v>28263.43324439897</v>
      </c>
      <c r="Q659" s="25">
        <f t="array" aca="1" ref="Q659" ca="1">INDEX('Isaac 401k'!L:L,MATCH('Retirement Calculator'!A659,'Isaac 401k'!N:N,0),0)</f>
        <v>1924193.9940749367</v>
      </c>
      <c r="R659" s="25">
        <f t="array" aca="1" ref="R659" ca="1">INDEX('Lorri 401b'!L:L,MATCH('Retirement Calculator'!A659,'Lorri 401b'!N:N,0),0)</f>
        <v>906027.81050546863</v>
      </c>
      <c r="S659" s="25">
        <f t="shared" ca="1" si="527"/>
        <v>2830221.8045804054</v>
      </c>
    </row>
    <row r="660" spans="1:19" ht="15.75" customHeight="1" x14ac:dyDescent="0.3">
      <c r="A660" s="37">
        <v>71041</v>
      </c>
      <c r="B660" s="398">
        <f t="shared" ref="B660:C660" si="666">($A660-B$9)/365.25</f>
        <v>112.62149212867898</v>
      </c>
      <c r="C660" s="398">
        <f t="shared" si="666"/>
        <v>108.01095140314852</v>
      </c>
      <c r="E660" s="25">
        <f>IF(C660&gt;$B$7,0,'Combined Retirement'!$D$13/12)</f>
        <v>0</v>
      </c>
      <c r="F660" s="25">
        <f>IF(H660=0,'Combined Retirement'!$D$32,0)+'Combined Retirement'!$B$24</f>
        <v>2870.372285649099</v>
      </c>
      <c r="G660" s="25">
        <f>'Combined Retirement'!$C$24</f>
        <v>3254.2644699519233</v>
      </c>
      <c r="H660" s="25">
        <f>IF(B660&lt;62,0,'Combined Retirement'!$I$14)</f>
        <v>2345</v>
      </c>
      <c r="I660" s="25">
        <f>IF(C660&lt;62,0,'Combined Retirement'!$I$13)</f>
        <v>2420</v>
      </c>
      <c r="J660" s="25">
        <f t="shared" si="523"/>
        <v>7896.2379798201846</v>
      </c>
      <c r="K660" s="25">
        <f t="shared" si="524"/>
        <v>20367.195264578786</v>
      </c>
      <c r="L660" s="25"/>
      <c r="N660" s="25">
        <f>'Combined Retirement'!$C$18/12</f>
        <v>39153.069999999992</v>
      </c>
      <c r="O660" s="25">
        <f t="shared" si="525"/>
        <v>10889.636755601023</v>
      </c>
      <c r="P660" s="25">
        <f t="shared" si="526"/>
        <v>28263.43324439897</v>
      </c>
      <c r="Q660" s="25">
        <f t="array" aca="1" ref="Q660" ca="1">INDEX('Isaac 401k'!L:L,MATCH('Retirement Calculator'!A660,'Isaac 401k'!N:N,0),0)</f>
        <v>1924282.3300788461</v>
      </c>
      <c r="R660" s="25">
        <f t="array" aca="1" ref="R660" ca="1">INDEX('Lorri 401b'!L:L,MATCH('Retirement Calculator'!A660,'Lorri 401b'!N:N,0),0)</f>
        <v>889350.86780439352</v>
      </c>
      <c r="S660" s="25">
        <f t="shared" ca="1" si="527"/>
        <v>2813633.1978832395</v>
      </c>
    </row>
    <row r="661" spans="1:19" ht="15.75" customHeight="1" x14ac:dyDescent="0.3">
      <c r="A661" s="37">
        <v>71072</v>
      </c>
      <c r="B661" s="398">
        <f t="shared" ref="B661:C661" si="667">($A661-B$9)/365.25</f>
        <v>112.70636550308008</v>
      </c>
      <c r="C661" s="398">
        <f t="shared" si="667"/>
        <v>108.09582477754962</v>
      </c>
      <c r="E661" s="25">
        <f>IF(C661&gt;$B$7,0,'Combined Retirement'!$D$13/12)</f>
        <v>0</v>
      </c>
      <c r="F661" s="25">
        <f>IF(H661=0,'Combined Retirement'!$D$32,0)+'Combined Retirement'!$B$24</f>
        <v>2870.372285649099</v>
      </c>
      <c r="G661" s="25">
        <f>'Combined Retirement'!$C$24</f>
        <v>3254.2644699519233</v>
      </c>
      <c r="H661" s="25">
        <f>IF(B661&lt;62,0,'Combined Retirement'!$I$14)</f>
        <v>2345</v>
      </c>
      <c r="I661" s="25">
        <f>IF(C661&lt;62,0,'Combined Retirement'!$I$13)</f>
        <v>2420</v>
      </c>
      <c r="J661" s="25">
        <f t="shared" si="523"/>
        <v>7896.2379798201846</v>
      </c>
      <c r="K661" s="25">
        <f t="shared" si="524"/>
        <v>20367.195264578786</v>
      </c>
      <c r="L661" s="25"/>
      <c r="N661" s="25">
        <f>'Combined Retirement'!$C$18/12</f>
        <v>39153.069999999992</v>
      </c>
      <c r="O661" s="25">
        <f t="shared" si="525"/>
        <v>10889.636755601023</v>
      </c>
      <c r="P661" s="25">
        <f t="shared" si="526"/>
        <v>28263.43324439897</v>
      </c>
      <c r="Q661" s="25">
        <f t="array" aca="1" ref="Q661" ca="1">INDEX('Isaac 401k'!L:L,MATCH('Retirement Calculator'!A661,'Isaac 401k'!N:N,0),0)</f>
        <v>1924371.0341494384</v>
      </c>
      <c r="R661" s="25">
        <f t="array" aca="1" ref="R661" ca="1">INDEX('Lorri 401b'!L:L,MATCH('Retirement Calculator'!A661,'Lorri 401b'!N:N,0),0)</f>
        <v>872604.43784206396</v>
      </c>
      <c r="S661" s="25">
        <f t="shared" ca="1" si="527"/>
        <v>2796975.4719915022</v>
      </c>
    </row>
    <row r="662" spans="1:19" ht="15.75" customHeight="1" x14ac:dyDescent="0.3">
      <c r="A662" s="37">
        <v>71103</v>
      </c>
      <c r="B662" s="398">
        <f t="shared" ref="B662:C662" si="668">($A662-B$9)/365.25</f>
        <v>112.79123887748118</v>
      </c>
      <c r="C662" s="398">
        <f t="shared" si="668"/>
        <v>108.18069815195072</v>
      </c>
      <c r="E662" s="25">
        <f>IF(C662&gt;$B$7,0,'Combined Retirement'!$D$13/12)</f>
        <v>0</v>
      </c>
      <c r="F662" s="25">
        <f>IF(H662=0,'Combined Retirement'!$D$32,0)+'Combined Retirement'!$B$24</f>
        <v>2870.372285649099</v>
      </c>
      <c r="G662" s="25">
        <f>'Combined Retirement'!$C$24</f>
        <v>3254.2644699519233</v>
      </c>
      <c r="H662" s="25">
        <f>IF(B662&lt;62,0,'Combined Retirement'!$I$14)</f>
        <v>2345</v>
      </c>
      <c r="I662" s="25">
        <f>IF(C662&lt;62,0,'Combined Retirement'!$I$13)</f>
        <v>2420</v>
      </c>
      <c r="J662" s="25">
        <f t="shared" si="523"/>
        <v>7896.2379798201846</v>
      </c>
      <c r="K662" s="25">
        <f t="shared" si="524"/>
        <v>20367.195264578786</v>
      </c>
      <c r="L662" s="25"/>
      <c r="N662" s="25">
        <f>'Combined Retirement'!$C$18/12</f>
        <v>39153.069999999992</v>
      </c>
      <c r="O662" s="25">
        <f t="shared" si="525"/>
        <v>10889.636755601023</v>
      </c>
      <c r="P662" s="25">
        <f t="shared" si="526"/>
        <v>28263.43324439897</v>
      </c>
      <c r="Q662" s="25">
        <f t="array" aca="1" ref="Q662" ca="1">INDEX('Isaac 401k'!L:L,MATCH('Retirement Calculator'!A662,'Isaac 401k'!N:N,0),0)</f>
        <v>1924460.1078203248</v>
      </c>
      <c r="R662" s="25">
        <f t="array" aca="1" ref="R662" ca="1">INDEX('Lorri 401b'!L:L,MATCH('Retirement Calculator'!A662,'Lorri 401b'!N:N,0),0)</f>
        <v>855788.23108822468</v>
      </c>
      <c r="S662" s="25">
        <f t="shared" ca="1" si="527"/>
        <v>2780248.3389085494</v>
      </c>
    </row>
    <row r="663" spans="1:19" ht="15.75" customHeight="1" x14ac:dyDescent="0.3">
      <c r="A663" s="37">
        <v>71133</v>
      </c>
      <c r="B663" s="398">
        <f t="shared" ref="B663:C663" si="669">($A663-B$9)/365.25</f>
        <v>112.87337440109513</v>
      </c>
      <c r="C663" s="398">
        <f t="shared" si="669"/>
        <v>108.26283367556468</v>
      </c>
      <c r="E663" s="25">
        <f>IF(C663&gt;$B$7,0,'Combined Retirement'!$D$13/12)</f>
        <v>0</v>
      </c>
      <c r="F663" s="25">
        <f>IF(H663=0,'Combined Retirement'!$D$32,0)+'Combined Retirement'!$B$24</f>
        <v>2870.372285649099</v>
      </c>
      <c r="G663" s="25">
        <f>'Combined Retirement'!$C$24</f>
        <v>3254.2644699519233</v>
      </c>
      <c r="H663" s="25">
        <f>IF(B663&lt;62,0,'Combined Retirement'!$I$14)</f>
        <v>2345</v>
      </c>
      <c r="I663" s="25">
        <f>IF(C663&lt;62,0,'Combined Retirement'!$I$13)</f>
        <v>2420</v>
      </c>
      <c r="J663" s="25">
        <f t="shared" si="523"/>
        <v>7896.2379798201846</v>
      </c>
      <c r="K663" s="25">
        <f t="shared" si="524"/>
        <v>20367.195264578786</v>
      </c>
      <c r="L663" s="25"/>
      <c r="N663" s="25">
        <f>'Combined Retirement'!$C$18/12</f>
        <v>39153.069999999992</v>
      </c>
      <c r="O663" s="25">
        <f t="shared" si="525"/>
        <v>10889.636755601023</v>
      </c>
      <c r="P663" s="25">
        <f t="shared" si="526"/>
        <v>28263.43324439897</v>
      </c>
      <c r="Q663" s="25">
        <f t="array" aca="1" ref="Q663" ca="1">INDEX('Isaac 401k'!L:L,MATCH('Retirement Calculator'!A663,'Isaac 401k'!N:N,0),0)</f>
        <v>1924549.5526315067</v>
      </c>
      <c r="R663" s="25">
        <f t="array" aca="1" ref="R663" ca="1">INDEX('Lorri 401b'!L:L,MATCH('Retirement Calculator'!A663,'Lorri 401b'!N:N,0),0)</f>
        <v>838901.95680624445</v>
      </c>
      <c r="S663" s="25">
        <f t="shared" ca="1" si="527"/>
        <v>2763451.509437751</v>
      </c>
    </row>
    <row r="664" spans="1:19" ht="15.75" customHeight="1" x14ac:dyDescent="0.3">
      <c r="A664" s="37">
        <v>71164</v>
      </c>
      <c r="B664" s="398">
        <f t="shared" ref="B664:C664" si="670">($A664-B$9)/365.25</f>
        <v>112.95824777549623</v>
      </c>
      <c r="C664" s="398">
        <f t="shared" si="670"/>
        <v>108.34770704996578</v>
      </c>
      <c r="E664" s="25">
        <f>IF(C664&gt;$B$7,0,'Combined Retirement'!$D$13/12)</f>
        <v>0</v>
      </c>
      <c r="F664" s="25">
        <f>IF(H664=0,'Combined Retirement'!$D$32,0)+'Combined Retirement'!$B$24</f>
        <v>2870.372285649099</v>
      </c>
      <c r="G664" s="25">
        <f>'Combined Retirement'!$C$24</f>
        <v>3254.2644699519233</v>
      </c>
      <c r="H664" s="25">
        <f>IF(B664&lt;62,0,'Combined Retirement'!$I$14)</f>
        <v>2345</v>
      </c>
      <c r="I664" s="25">
        <f>IF(C664&lt;62,0,'Combined Retirement'!$I$13)</f>
        <v>2420</v>
      </c>
      <c r="J664" s="25">
        <f t="shared" si="523"/>
        <v>7896.2379798201846</v>
      </c>
      <c r="K664" s="25">
        <f t="shared" si="524"/>
        <v>20367.195264578786</v>
      </c>
      <c r="L664" s="25"/>
      <c r="N664" s="25">
        <f>'Combined Retirement'!$C$18/12</f>
        <v>39153.069999999992</v>
      </c>
      <c r="O664" s="25">
        <f t="shared" si="525"/>
        <v>10889.636755601023</v>
      </c>
      <c r="P664" s="25">
        <f t="shared" si="526"/>
        <v>28263.43324439897</v>
      </c>
      <c r="Q664" s="25">
        <f t="array" aca="1" ref="Q664" ca="1">INDEX('Isaac 401k'!L:L,MATCH('Retirement Calculator'!A664,'Isaac 401k'!N:N,0),0)</f>
        <v>1924639.3701294018</v>
      </c>
      <c r="R664" s="25">
        <f t="array" aca="1" ref="R664" ca="1">INDEX('Lorri 401b'!L:L,MATCH('Retirement Calculator'!A664,'Lorri 401b'!N:N,0),0)</f>
        <v>821945.32304808928</v>
      </c>
      <c r="S664" s="25">
        <f t="shared" ca="1" si="527"/>
        <v>2746584.693177491</v>
      </c>
    </row>
    <row r="665" spans="1:19" ht="15.75" customHeight="1" x14ac:dyDescent="0.3">
      <c r="A665" s="37">
        <v>71194</v>
      </c>
      <c r="B665" s="398">
        <f t="shared" ref="B665:C665" si="671">($A665-B$9)/365.25</f>
        <v>113.0403832991102</v>
      </c>
      <c r="C665" s="398">
        <f t="shared" si="671"/>
        <v>108.42984257357973</v>
      </c>
      <c r="E665" s="25">
        <f>IF(C665&gt;$B$7,0,'Combined Retirement'!$D$13/12)</f>
        <v>0</v>
      </c>
      <c r="F665" s="25">
        <f>IF(H665=0,'Combined Retirement'!$D$32,0)+'Combined Retirement'!$B$24</f>
        <v>2870.372285649099</v>
      </c>
      <c r="G665" s="25">
        <f>'Combined Retirement'!$C$24</f>
        <v>3254.2644699519233</v>
      </c>
      <c r="H665" s="25">
        <f>IF(B665&lt;62,0,'Combined Retirement'!$I$14)</f>
        <v>2345</v>
      </c>
      <c r="I665" s="25">
        <f>IF(C665&lt;62,0,'Combined Retirement'!$I$13)</f>
        <v>2420</v>
      </c>
      <c r="J665" s="25">
        <f t="shared" si="523"/>
        <v>7896.2379798201846</v>
      </c>
      <c r="K665" s="25">
        <f t="shared" si="524"/>
        <v>20367.195264578786</v>
      </c>
      <c r="L665" s="25"/>
      <c r="N665" s="25">
        <f>'Combined Retirement'!$C$18/12</f>
        <v>39153.069999999992</v>
      </c>
      <c r="O665" s="25">
        <f t="shared" si="525"/>
        <v>10889.636755601023</v>
      </c>
      <c r="P665" s="25">
        <f t="shared" si="526"/>
        <v>28263.43324439897</v>
      </c>
      <c r="Q665" s="25">
        <f t="array" aca="1" ref="Q665" ca="1">INDEX('Isaac 401k'!L:L,MATCH('Retirement Calculator'!A665,'Isaac 401k'!N:N,0),0)</f>
        <v>1924729.5618668715</v>
      </c>
      <c r="R665" s="25">
        <f t="array" aca="1" ref="R665" ca="1">INDEX('Lorri 401b'!L:L,MATCH('Retirement Calculator'!A665,'Lorri 401b'!N:N,0),0)</f>
        <v>804918.03664927511</v>
      </c>
      <c r="S665" s="25">
        <f t="shared" ca="1" si="527"/>
        <v>2729647.5985161467</v>
      </c>
    </row>
    <row r="666" spans="1:19" ht="15.75" customHeight="1" x14ac:dyDescent="0.3">
      <c r="A666" s="37">
        <v>71225</v>
      </c>
      <c r="B666" s="398">
        <f t="shared" ref="B666:C666" si="672">($A666-B$9)/365.25</f>
        <v>113.12525667351129</v>
      </c>
      <c r="C666" s="398">
        <f t="shared" si="672"/>
        <v>108.51471594798083</v>
      </c>
      <c r="E666" s="25">
        <f>IF(C666&gt;$B$7,0,'Combined Retirement'!$D$13/12)</f>
        <v>0</v>
      </c>
      <c r="F666" s="25">
        <f>IF(H666=0,'Combined Retirement'!$D$32,0)+'Combined Retirement'!$B$24</f>
        <v>2870.372285649099</v>
      </c>
      <c r="G666" s="25">
        <f>'Combined Retirement'!$C$24</f>
        <v>3254.2644699519233</v>
      </c>
      <c r="H666" s="25">
        <f>IF(B666&lt;62,0,'Combined Retirement'!$I$14)</f>
        <v>2345</v>
      </c>
      <c r="I666" s="25">
        <f>IF(C666&lt;62,0,'Combined Retirement'!$I$13)</f>
        <v>2420</v>
      </c>
      <c r="J666" s="25">
        <f t="shared" si="523"/>
        <v>7896.2379798201846</v>
      </c>
      <c r="K666" s="25">
        <f t="shared" si="524"/>
        <v>20367.195264578786</v>
      </c>
      <c r="L666" s="25"/>
      <c r="N666" s="25">
        <f>'Combined Retirement'!$C$18/12</f>
        <v>39153.069999999992</v>
      </c>
      <c r="O666" s="25">
        <f t="shared" si="525"/>
        <v>10889.636755601023</v>
      </c>
      <c r="P666" s="25">
        <f t="shared" si="526"/>
        <v>28263.43324439897</v>
      </c>
      <c r="Q666" s="25">
        <f t="array" aca="1" ref="Q666" ca="1">INDEX('Isaac 401k'!L:L,MATCH('Retirement Calculator'!A666,'Isaac 401k'!N:N,0),0)</f>
        <v>1924820.1294032473</v>
      </c>
      <c r="R666" s="25">
        <f t="array" aca="1" ref="R666" ca="1">INDEX('Lorri 401b'!L:L,MATCH('Retirement Calculator'!A666,'Lorri 401b'!N:N,0),0)</f>
        <v>787819.80322379922</v>
      </c>
      <c r="S666" s="25">
        <f t="shared" ca="1" si="527"/>
        <v>2712639.9326270465</v>
      </c>
    </row>
    <row r="667" spans="1:19" ht="15.75" customHeight="1" x14ac:dyDescent="0.3">
      <c r="A667" s="37">
        <v>71256</v>
      </c>
      <c r="B667" s="398">
        <f t="shared" ref="B667:C667" si="673">($A667-B$9)/365.25</f>
        <v>113.21013004791239</v>
      </c>
      <c r="C667" s="398">
        <f t="shared" si="673"/>
        <v>108.59958932238193</v>
      </c>
      <c r="E667" s="25">
        <f>IF(C667&gt;$B$7,0,'Combined Retirement'!$D$13/12)</f>
        <v>0</v>
      </c>
      <c r="F667" s="25">
        <f>IF(H667=0,'Combined Retirement'!$D$32,0)+'Combined Retirement'!$B$24</f>
        <v>2870.372285649099</v>
      </c>
      <c r="G667" s="25">
        <f>'Combined Retirement'!$C$24</f>
        <v>3254.2644699519233</v>
      </c>
      <c r="H667" s="25">
        <f>IF(B667&lt;62,0,'Combined Retirement'!$I$14)</f>
        <v>2345</v>
      </c>
      <c r="I667" s="25">
        <f>IF(C667&lt;62,0,'Combined Retirement'!$I$13)</f>
        <v>2420</v>
      </c>
      <c r="J667" s="25">
        <f t="shared" si="523"/>
        <v>7896.2379798201846</v>
      </c>
      <c r="K667" s="25">
        <f t="shared" si="524"/>
        <v>20367.195264578786</v>
      </c>
      <c r="L667" s="25"/>
      <c r="N667" s="25">
        <f>'Combined Retirement'!$C$18/12</f>
        <v>39153.069999999992</v>
      </c>
      <c r="O667" s="25">
        <f t="shared" si="525"/>
        <v>10889.636755601023</v>
      </c>
      <c r="P667" s="25">
        <f t="shared" si="526"/>
        <v>28263.43324439897</v>
      </c>
      <c r="Q667" s="25">
        <f t="array" aca="1" ref="Q667" ca="1">INDEX('Isaac 401k'!L:L,MATCH('Retirement Calculator'!A667,'Isaac 401k'!N:N,0),0)</f>
        <v>1924911.0743043579</v>
      </c>
      <c r="R667" s="25">
        <f t="array" aca="1" ref="R667" ca="1">INDEX('Lorri 401b'!L:L,MATCH('Retirement Calculator'!A667,'Lorri 401b'!N:N,0),0)</f>
        <v>770650.3271590505</v>
      </c>
      <c r="S667" s="25">
        <f t="shared" ca="1" si="527"/>
        <v>2695561.4014634085</v>
      </c>
    </row>
    <row r="668" spans="1:19" ht="15.75" customHeight="1" x14ac:dyDescent="0.3">
      <c r="A668" s="37">
        <v>71284</v>
      </c>
      <c r="B668" s="398">
        <f t="shared" ref="B668:C668" si="674">($A668-B$9)/365.25</f>
        <v>113.28678986995209</v>
      </c>
      <c r="C668" s="398">
        <f t="shared" si="674"/>
        <v>108.67624914442163</v>
      </c>
      <c r="E668" s="25">
        <f>IF(C668&gt;$B$7,0,'Combined Retirement'!$D$13/12)</f>
        <v>0</v>
      </c>
      <c r="F668" s="25">
        <f>IF(H668=0,'Combined Retirement'!$D$32,0)+'Combined Retirement'!$B$24</f>
        <v>2870.372285649099</v>
      </c>
      <c r="G668" s="25">
        <f>'Combined Retirement'!$C$24</f>
        <v>3254.2644699519233</v>
      </c>
      <c r="H668" s="25">
        <f>IF(B668&lt;62,0,'Combined Retirement'!$I$14)</f>
        <v>2345</v>
      </c>
      <c r="I668" s="25">
        <f>IF(C668&lt;62,0,'Combined Retirement'!$I$13)</f>
        <v>2420</v>
      </c>
      <c r="J668" s="25">
        <f t="shared" si="523"/>
        <v>7896.2379798201846</v>
      </c>
      <c r="K668" s="25">
        <f t="shared" si="524"/>
        <v>20367.195264578786</v>
      </c>
      <c r="L668" s="25"/>
      <c r="N668" s="25">
        <f>'Combined Retirement'!$C$18/12</f>
        <v>39153.069999999992</v>
      </c>
      <c r="O668" s="25">
        <f t="shared" si="525"/>
        <v>10889.636755601023</v>
      </c>
      <c r="P668" s="25">
        <f t="shared" si="526"/>
        <v>28263.43324439897</v>
      </c>
      <c r="Q668" s="25">
        <f t="array" aca="1" ref="Q668" ca="1">INDEX('Isaac 401k'!L:L,MATCH('Retirement Calculator'!A668,'Isaac 401k'!N:N,0),0)</f>
        <v>1925002.3981425567</v>
      </c>
      <c r="R668" s="25">
        <f t="array" aca="1" ref="R668" ca="1">INDEX('Lorri 401b'!L:L,MATCH('Retirement Calculator'!A668,'Lorri 401b'!N:N,0),0)</f>
        <v>753409.3116106987</v>
      </c>
      <c r="S668" s="25">
        <f t="shared" ca="1" si="527"/>
        <v>2678411.7097532554</v>
      </c>
    </row>
    <row r="669" spans="1:19" ht="15.75" customHeight="1" x14ac:dyDescent="0.3">
      <c r="A669" s="37">
        <v>71315</v>
      </c>
      <c r="B669" s="398">
        <f t="shared" ref="B669:C669" si="675">($A669-B$9)/365.25</f>
        <v>113.37166324435319</v>
      </c>
      <c r="C669" s="398">
        <f t="shared" si="675"/>
        <v>108.76112251882273</v>
      </c>
      <c r="E669" s="25">
        <f>IF(C669&gt;$B$7,0,'Combined Retirement'!$D$13/12)</f>
        <v>0</v>
      </c>
      <c r="F669" s="25">
        <f>IF(H669=0,'Combined Retirement'!$D$32,0)+'Combined Retirement'!$B$24</f>
        <v>2870.372285649099</v>
      </c>
      <c r="G669" s="25">
        <f>'Combined Retirement'!$C$24</f>
        <v>3254.2644699519233</v>
      </c>
      <c r="H669" s="25">
        <f>IF(B669&lt;62,0,'Combined Retirement'!$I$14)</f>
        <v>2345</v>
      </c>
      <c r="I669" s="25">
        <f>IF(C669&lt;62,0,'Combined Retirement'!$I$13)</f>
        <v>2420</v>
      </c>
      <c r="J669" s="25">
        <f t="shared" si="523"/>
        <v>7896.2379798201846</v>
      </c>
      <c r="K669" s="25">
        <f t="shared" si="524"/>
        <v>20367.195264578786</v>
      </c>
      <c r="L669" s="25"/>
      <c r="N669" s="25">
        <f>'Combined Retirement'!$C$18/12</f>
        <v>39153.069999999992</v>
      </c>
      <c r="O669" s="25">
        <f t="shared" si="525"/>
        <v>10889.636755601023</v>
      </c>
      <c r="P669" s="25">
        <f t="shared" si="526"/>
        <v>28263.43324439897</v>
      </c>
      <c r="Q669" s="25">
        <f t="array" aca="1" ref="Q669" ca="1">INDEX('Isaac 401k'!L:L,MATCH('Retirement Calculator'!A669,'Isaac 401k'!N:N,0),0)</f>
        <v>1925094.1024967479</v>
      </c>
      <c r="R669" s="25">
        <f t="array" aca="1" ref="R669" ca="1">INDEX('Lorri 401b'!L:L,MATCH('Retirement Calculator'!A669,'Lorri 401b'!N:N,0),0)</f>
        <v>736096.4584975621</v>
      </c>
      <c r="S669" s="25">
        <f t="shared" ca="1" si="527"/>
        <v>2661190.5609943098</v>
      </c>
    </row>
    <row r="670" spans="1:19" ht="15.75" customHeight="1" x14ac:dyDescent="0.3">
      <c r="A670" s="37">
        <v>71345</v>
      </c>
      <c r="B670" s="398">
        <f t="shared" ref="B670:C670" si="676">($A670-B$9)/365.25</f>
        <v>113.45379876796714</v>
      </c>
      <c r="C670" s="398">
        <f t="shared" si="676"/>
        <v>108.84325804243669</v>
      </c>
      <c r="E670" s="25">
        <f>IF(C670&gt;$B$7,0,'Combined Retirement'!$D$13/12)</f>
        <v>0</v>
      </c>
      <c r="F670" s="25">
        <f>IF(H670=0,'Combined Retirement'!$D$32,0)+'Combined Retirement'!$B$24</f>
        <v>2870.372285649099</v>
      </c>
      <c r="G670" s="25">
        <f>'Combined Retirement'!$C$24</f>
        <v>3254.2644699519233</v>
      </c>
      <c r="H670" s="25">
        <f>IF(B670&lt;62,0,'Combined Retirement'!$I$14)</f>
        <v>2345</v>
      </c>
      <c r="I670" s="25">
        <f>IF(C670&lt;62,0,'Combined Retirement'!$I$13)</f>
        <v>2420</v>
      </c>
      <c r="J670" s="25">
        <f t="shared" si="523"/>
        <v>7896.2379798201846</v>
      </c>
      <c r="K670" s="25">
        <f t="shared" si="524"/>
        <v>20367.195264578786</v>
      </c>
      <c r="L670" s="25"/>
      <c r="N670" s="25">
        <f>'Combined Retirement'!$C$18/12</f>
        <v>39153.069999999992</v>
      </c>
      <c r="O670" s="25">
        <f t="shared" si="525"/>
        <v>10889.636755601023</v>
      </c>
      <c r="P670" s="25">
        <f t="shared" si="526"/>
        <v>28263.43324439897</v>
      </c>
      <c r="Q670" s="25">
        <f t="array" aca="1" ref="Q670" ca="1">INDEX('Isaac 401k'!L:L,MATCH('Retirement Calculator'!A670,'Isaac 401k'!N:N,0),0)</f>
        <v>1925186.1889524148</v>
      </c>
      <c r="R670" s="25">
        <f t="array" aca="1" ref="R670" ca="1">INDEX('Lorri 401b'!L:L,MATCH('Retirement Calculator'!A670,'Lorri 401b'!N:N,0),0)</f>
        <v>718711.46849645406</v>
      </c>
      <c r="S670" s="25">
        <f t="shared" ca="1" si="527"/>
        <v>2643897.6574488687</v>
      </c>
    </row>
    <row r="671" spans="1:19" ht="15.75" customHeight="1" x14ac:dyDescent="0.3">
      <c r="A671" s="37">
        <v>71376</v>
      </c>
      <c r="B671" s="398">
        <f t="shared" ref="B671:C671" si="677">($A671-B$9)/365.25</f>
        <v>113.53867214236824</v>
      </c>
      <c r="C671" s="398">
        <f t="shared" si="677"/>
        <v>108.92813141683779</v>
      </c>
      <c r="E671" s="25">
        <f>IF(C671&gt;$B$7,0,'Combined Retirement'!$D$13/12)</f>
        <v>0</v>
      </c>
      <c r="F671" s="25">
        <f>IF(H671=0,'Combined Retirement'!$D$32,0)+'Combined Retirement'!$B$24</f>
        <v>2870.372285649099</v>
      </c>
      <c r="G671" s="25">
        <f>'Combined Retirement'!$C$24</f>
        <v>3254.2644699519233</v>
      </c>
      <c r="H671" s="25">
        <f>IF(B671&lt;62,0,'Combined Retirement'!$I$14)</f>
        <v>2345</v>
      </c>
      <c r="I671" s="25">
        <f>IF(C671&lt;62,0,'Combined Retirement'!$I$13)</f>
        <v>2420</v>
      </c>
      <c r="J671" s="25">
        <f t="shared" si="523"/>
        <v>7896.2379798201846</v>
      </c>
      <c r="K671" s="25">
        <f t="shared" si="524"/>
        <v>20367.195264578786</v>
      </c>
      <c r="L671" s="25"/>
      <c r="N671" s="25">
        <f>'Combined Retirement'!$C$18/12</f>
        <v>39153.069999999992</v>
      </c>
      <c r="O671" s="25">
        <f t="shared" si="525"/>
        <v>10889.636755601023</v>
      </c>
      <c r="P671" s="25">
        <f t="shared" si="526"/>
        <v>28263.43324439897</v>
      </c>
      <c r="Q671" s="25">
        <f t="array" aca="1" ref="Q671" ca="1">INDEX('Isaac 401k'!L:L,MATCH('Retirement Calculator'!A671,'Isaac 401k'!N:N,0),0)</f>
        <v>1925278.6591016471</v>
      </c>
      <c r="R671" s="25">
        <f t="array" aca="1" ref="R671" ca="1">INDEX('Lorri 401b'!L:L,MATCH('Retirement Calculator'!A671,'Lorri 401b'!N:N,0),0)</f>
        <v>701254.04103700805</v>
      </c>
      <c r="S671" s="25">
        <f t="shared" ca="1" si="527"/>
        <v>2626532.700138655</v>
      </c>
    </row>
    <row r="672" spans="1:19" ht="15.75" customHeight="1" x14ac:dyDescent="0.3">
      <c r="A672" s="37">
        <v>71406</v>
      </c>
      <c r="B672" s="398">
        <f t="shared" ref="B672:C672" si="678">($A672-B$9)/365.25</f>
        <v>113.6208076659822</v>
      </c>
      <c r="C672" s="398">
        <f t="shared" si="678"/>
        <v>109.01026694045174</v>
      </c>
      <c r="E672" s="25">
        <f>IF(C672&gt;$B$7,0,'Combined Retirement'!$D$13/12)</f>
        <v>0</v>
      </c>
      <c r="F672" s="25">
        <f>IF(H672=0,'Combined Retirement'!$D$32,0)+'Combined Retirement'!$B$24</f>
        <v>2870.372285649099</v>
      </c>
      <c r="G672" s="25">
        <f>'Combined Retirement'!$C$24</f>
        <v>3254.2644699519233</v>
      </c>
      <c r="H672" s="25">
        <f>IF(B672&lt;62,0,'Combined Retirement'!$I$14)</f>
        <v>2345</v>
      </c>
      <c r="I672" s="25">
        <f>IF(C672&lt;62,0,'Combined Retirement'!$I$13)</f>
        <v>2420</v>
      </c>
      <c r="J672" s="25">
        <f t="shared" si="523"/>
        <v>7896.2379798201846</v>
      </c>
      <c r="K672" s="25">
        <f t="shared" si="524"/>
        <v>20367.195264578786</v>
      </c>
      <c r="L672" s="25"/>
      <c r="N672" s="25">
        <f>'Combined Retirement'!$C$18/12</f>
        <v>39153.069999999992</v>
      </c>
      <c r="O672" s="25">
        <f t="shared" si="525"/>
        <v>10889.636755601023</v>
      </c>
      <c r="P672" s="25">
        <f t="shared" si="526"/>
        <v>28263.43324439897</v>
      </c>
      <c r="Q672" s="25">
        <f t="array" aca="1" ref="Q672" ca="1">INDEX('Isaac 401k'!L:L,MATCH('Retirement Calculator'!A672,'Isaac 401k'!N:N,0),0)</f>
        <v>1925371.5145431678</v>
      </c>
      <c r="R672" s="25">
        <f t="array" aca="1" ref="R672" ca="1">INDEX('Lorri 401b'!L:L,MATCH('Retirement Calculator'!A672,'Lorri 401b'!N:N,0),0)</f>
        <v>683723.87429648102</v>
      </c>
      <c r="S672" s="25">
        <f t="shared" ca="1" si="527"/>
        <v>2609095.388839649</v>
      </c>
    </row>
    <row r="673" spans="1:19" ht="15.75" customHeight="1" x14ac:dyDescent="0.3">
      <c r="A673" s="37">
        <v>71437</v>
      </c>
      <c r="B673" s="398">
        <f t="shared" ref="B673:C673" si="679">($A673-B$9)/365.25</f>
        <v>113.7056810403833</v>
      </c>
      <c r="C673" s="398">
        <f t="shared" si="679"/>
        <v>109.09514031485284</v>
      </c>
      <c r="E673" s="25">
        <f>IF(C673&gt;$B$7,0,'Combined Retirement'!$D$13/12)</f>
        <v>0</v>
      </c>
      <c r="F673" s="25">
        <f>IF(H673=0,'Combined Retirement'!$D$32,0)+'Combined Retirement'!$B$24</f>
        <v>2870.372285649099</v>
      </c>
      <c r="G673" s="25">
        <f>'Combined Retirement'!$C$24</f>
        <v>3254.2644699519233</v>
      </c>
      <c r="H673" s="25">
        <f>IF(B673&lt;62,0,'Combined Retirement'!$I$14)</f>
        <v>2345</v>
      </c>
      <c r="I673" s="25">
        <f>IF(C673&lt;62,0,'Combined Retirement'!$I$13)</f>
        <v>2420</v>
      </c>
      <c r="J673" s="25">
        <f t="shared" si="523"/>
        <v>7896.2379798201846</v>
      </c>
      <c r="K673" s="25">
        <f t="shared" si="524"/>
        <v>20367.195264578786</v>
      </c>
      <c r="L673" s="25"/>
      <c r="N673" s="25">
        <f>'Combined Retirement'!$C$18/12</f>
        <v>39153.069999999992</v>
      </c>
      <c r="O673" s="25">
        <f t="shared" si="525"/>
        <v>10889.636755601023</v>
      </c>
      <c r="P673" s="25">
        <f t="shared" si="526"/>
        <v>28263.43324439897</v>
      </c>
      <c r="Q673" s="25">
        <f t="array" aca="1" ref="Q673" ca="1">INDEX('Isaac 401k'!L:L,MATCH('Retirement Calculator'!A673,'Isaac 401k'!N:N,0),0)</f>
        <v>1925464.7568823616</v>
      </c>
      <c r="R673" s="25">
        <f t="array" aca="1" ref="R673" ca="1">INDEX('Lorri 401b'!L:L,MATCH('Retirement Calculator'!A673,'Lorri 401b'!N:N,0),0)</f>
        <v>666120.66519453516</v>
      </c>
      <c r="S673" s="25">
        <f t="shared" ca="1" si="527"/>
        <v>2591585.4220768968</v>
      </c>
    </row>
    <row r="674" spans="1:19" ht="15.75" customHeight="1" x14ac:dyDescent="0.3">
      <c r="A674" s="37">
        <v>71468</v>
      </c>
      <c r="B674" s="398">
        <f t="shared" ref="B674:C674" si="680">($A674-B$9)/365.25</f>
        <v>113.7905544147844</v>
      </c>
      <c r="C674" s="398">
        <f t="shared" si="680"/>
        <v>109.18001368925394</v>
      </c>
      <c r="E674" s="25">
        <f>IF(C674&gt;$B$7,0,'Combined Retirement'!$D$13/12)</f>
        <v>0</v>
      </c>
      <c r="F674" s="25">
        <f>IF(H674=0,'Combined Retirement'!$D$32,0)+'Combined Retirement'!$B$24</f>
        <v>2870.372285649099</v>
      </c>
      <c r="G674" s="25">
        <f>'Combined Retirement'!$C$24</f>
        <v>3254.2644699519233</v>
      </c>
      <c r="H674" s="25">
        <f>IF(B674&lt;62,0,'Combined Retirement'!$I$14)</f>
        <v>2345</v>
      </c>
      <c r="I674" s="25">
        <f>IF(C674&lt;62,0,'Combined Retirement'!$I$13)</f>
        <v>2420</v>
      </c>
      <c r="J674" s="25">
        <f t="shared" si="523"/>
        <v>7896.2379798201846</v>
      </c>
      <c r="K674" s="25">
        <f t="shared" si="524"/>
        <v>20367.195264578786</v>
      </c>
      <c r="L674" s="25"/>
      <c r="N674" s="25">
        <f>'Combined Retirement'!$C$18/12</f>
        <v>39153.069999999992</v>
      </c>
      <c r="O674" s="25">
        <f t="shared" si="525"/>
        <v>10889.636755601023</v>
      </c>
      <c r="P674" s="25">
        <f t="shared" si="526"/>
        <v>28263.43324439897</v>
      </c>
      <c r="Q674" s="25">
        <f t="array" aca="1" ref="Q674" ca="1">INDEX('Isaac 401k'!L:L,MATCH('Retirement Calculator'!A674,'Isaac 401k'!N:N,0),0)</f>
        <v>1925558.3877313021</v>
      </c>
      <c r="R674" s="25">
        <f t="array" aca="1" ref="R674" ca="1">INDEX('Lorri 401b'!L:L,MATCH('Retirement Calculator'!A674,'Lorri 401b'!N:N,0),0)</f>
        <v>648444.10938799789</v>
      </c>
      <c r="S674" s="25">
        <f t="shared" ca="1" si="527"/>
        <v>2574002.4971193001</v>
      </c>
    </row>
    <row r="675" spans="1:19" ht="15.75" customHeight="1" x14ac:dyDescent="0.3">
      <c r="A675" s="37">
        <v>71498</v>
      </c>
      <c r="B675" s="398">
        <f t="shared" ref="B675:C675" si="681">($A675-B$9)/365.25</f>
        <v>113.87268993839835</v>
      </c>
      <c r="C675" s="398">
        <f t="shared" si="681"/>
        <v>109.2621492128679</v>
      </c>
      <c r="E675" s="25">
        <f>IF(C675&gt;$B$7,0,'Combined Retirement'!$D$13/12)</f>
        <v>0</v>
      </c>
      <c r="F675" s="25">
        <f>IF(H675=0,'Combined Retirement'!$D$32,0)+'Combined Retirement'!$B$24</f>
        <v>2870.372285649099</v>
      </c>
      <c r="G675" s="25">
        <f>'Combined Retirement'!$C$24</f>
        <v>3254.2644699519233</v>
      </c>
      <c r="H675" s="25">
        <f>IF(B675&lt;62,0,'Combined Retirement'!$I$14)</f>
        <v>2345</v>
      </c>
      <c r="I675" s="25">
        <f>IF(C675&lt;62,0,'Combined Retirement'!$I$13)</f>
        <v>2420</v>
      </c>
      <c r="J675" s="25">
        <f t="shared" si="523"/>
        <v>7896.2379798201846</v>
      </c>
      <c r="K675" s="25">
        <f t="shared" si="524"/>
        <v>20367.195264578786</v>
      </c>
      <c r="L675" s="25"/>
      <c r="N675" s="25">
        <f>'Combined Retirement'!$C$18/12</f>
        <v>39153.069999999992</v>
      </c>
      <c r="O675" s="25">
        <f t="shared" si="525"/>
        <v>10889.636755601023</v>
      </c>
      <c r="P675" s="25">
        <f t="shared" si="526"/>
        <v>28263.43324439897</v>
      </c>
      <c r="Q675" s="25">
        <f t="array" aca="1" ref="Q675" ca="1">INDEX('Isaac 401k'!L:L,MATCH('Retirement Calculator'!A675,'Isaac 401k'!N:N,0),0)</f>
        <v>1925652.4087087796</v>
      </c>
      <c r="R675" s="25">
        <f t="array" aca="1" ref="R675" ca="1">INDEX('Lorri 401b'!L:L,MATCH('Retirement Calculator'!A675,'Lorri 401b'!N:N,0),0)</f>
        <v>630693.9012656</v>
      </c>
      <c r="S675" s="25">
        <f t="shared" ca="1" si="527"/>
        <v>2556346.3099743798</v>
      </c>
    </row>
    <row r="676" spans="1:19" ht="15.75" customHeight="1" x14ac:dyDescent="0.3">
      <c r="A676" s="37">
        <v>71529</v>
      </c>
      <c r="B676" s="398">
        <f t="shared" ref="B676:C676" si="682">($A676-B$9)/365.25</f>
        <v>113.95756331279945</v>
      </c>
      <c r="C676" s="398">
        <f t="shared" si="682"/>
        <v>109.347022587269</v>
      </c>
      <c r="E676" s="25">
        <f>IF(C676&gt;$B$7,0,'Combined Retirement'!$D$13/12)</f>
        <v>0</v>
      </c>
      <c r="F676" s="25">
        <f>IF(H676=0,'Combined Retirement'!$D$32,0)+'Combined Retirement'!$B$24</f>
        <v>2870.372285649099</v>
      </c>
      <c r="G676" s="25">
        <f>'Combined Retirement'!$C$24</f>
        <v>3254.2644699519233</v>
      </c>
      <c r="H676" s="25">
        <f>IF(B676&lt;62,0,'Combined Retirement'!$I$14)</f>
        <v>2345</v>
      </c>
      <c r="I676" s="25">
        <f>IF(C676&lt;62,0,'Combined Retirement'!$I$13)</f>
        <v>2420</v>
      </c>
      <c r="J676" s="25">
        <f t="shared" si="523"/>
        <v>7896.2379798201846</v>
      </c>
      <c r="K676" s="25">
        <f t="shared" si="524"/>
        <v>20367.195264578786</v>
      </c>
      <c r="L676" s="25"/>
      <c r="N676" s="25">
        <f>'Combined Retirement'!$C$18/12</f>
        <v>39153.069999999992</v>
      </c>
      <c r="O676" s="25">
        <f t="shared" si="525"/>
        <v>10889.636755601023</v>
      </c>
      <c r="P676" s="25">
        <f t="shared" si="526"/>
        <v>28263.43324439897</v>
      </c>
      <c r="Q676" s="25">
        <f t="array" aca="1" ref="Q676" ca="1">INDEX('Isaac 401k'!L:L,MATCH('Retirement Calculator'!A676,'Isaac 401k'!N:N,0),0)</f>
        <v>1925746.82144033</v>
      </c>
      <c r="R676" s="25">
        <f t="array" aca="1" ref="R676" ca="1">INDEX('Lorri 401b'!L:L,MATCH('Retirement Calculator'!A676,'Lorri 401b'!N:N,0),0)</f>
        <v>612869.73394269217</v>
      </c>
      <c r="S676" s="25">
        <f t="shared" ca="1" si="527"/>
        <v>2538616.5553830219</v>
      </c>
    </row>
    <row r="677" spans="1:19" ht="15.75" customHeight="1" x14ac:dyDescent="0.3">
      <c r="A677" s="37">
        <v>71559</v>
      </c>
      <c r="B677" s="398">
        <f t="shared" ref="B677:C677" si="683">($A677-B$9)/365.25</f>
        <v>114.03969883641342</v>
      </c>
      <c r="C677" s="398">
        <f t="shared" si="683"/>
        <v>109.42915811088295</v>
      </c>
      <c r="E677" s="25">
        <f>IF(C677&gt;$B$7,0,'Combined Retirement'!$D$13/12)</f>
        <v>0</v>
      </c>
      <c r="F677" s="25">
        <f>IF(H677=0,'Combined Retirement'!$D$32,0)+'Combined Retirement'!$B$24</f>
        <v>2870.372285649099</v>
      </c>
      <c r="G677" s="25">
        <f>'Combined Retirement'!$C$24</f>
        <v>3254.2644699519233</v>
      </c>
      <c r="H677" s="25">
        <f>IF(B677&lt;62,0,'Combined Retirement'!$I$14)</f>
        <v>2345</v>
      </c>
      <c r="I677" s="25">
        <f>IF(C677&lt;62,0,'Combined Retirement'!$I$13)</f>
        <v>2420</v>
      </c>
      <c r="J677" s="25">
        <f t="shared" si="523"/>
        <v>7896.2379798201846</v>
      </c>
      <c r="K677" s="25">
        <f t="shared" si="524"/>
        <v>20367.195264578786</v>
      </c>
      <c r="L677" s="25"/>
      <c r="N677" s="25">
        <f>'Combined Retirement'!$C$18/12</f>
        <v>39153.069999999992</v>
      </c>
      <c r="O677" s="25">
        <f t="shared" si="525"/>
        <v>10889.636755601023</v>
      </c>
      <c r="P677" s="25">
        <f t="shared" si="526"/>
        <v>28263.43324439897</v>
      </c>
      <c r="Q677" s="25">
        <f t="array" aca="1" ref="Q677" ca="1">INDEX('Isaac 401k'!L:L,MATCH('Retirement Calculator'!A677,'Isaac 401k'!N:N,0),0)</f>
        <v>1925841.6275582619</v>
      </c>
      <c r="R677" s="25">
        <f t="array" aca="1" ref="R677" ca="1">INDEX('Lorri 401b'!L:L,MATCH('Retirement Calculator'!A677,'Lorri 401b'!N:N,0),0)</f>
        <v>594971.29925593885</v>
      </c>
      <c r="S677" s="25">
        <f t="shared" ca="1" si="527"/>
        <v>2520812.9268142008</v>
      </c>
    </row>
    <row r="678" spans="1:19" ht="15.75" customHeight="1" x14ac:dyDescent="0.3">
      <c r="A678" s="37">
        <v>71590</v>
      </c>
      <c r="B678" s="398">
        <f t="shared" ref="B678:C678" si="684">($A678-B$9)/365.25</f>
        <v>114.12457221081451</v>
      </c>
      <c r="C678" s="398">
        <f t="shared" si="684"/>
        <v>109.51403148528405</v>
      </c>
      <c r="E678" s="25">
        <f>IF(C678&gt;$B$7,0,'Combined Retirement'!$D$13/12)</f>
        <v>0</v>
      </c>
      <c r="F678" s="25">
        <f>IF(H678=0,'Combined Retirement'!$D$32,0)+'Combined Retirement'!$B$24</f>
        <v>2870.372285649099</v>
      </c>
      <c r="G678" s="25">
        <f>'Combined Retirement'!$C$24</f>
        <v>3254.2644699519233</v>
      </c>
      <c r="H678" s="25">
        <f>IF(B678&lt;62,0,'Combined Retirement'!$I$14)</f>
        <v>2345</v>
      </c>
      <c r="I678" s="25">
        <f>IF(C678&lt;62,0,'Combined Retirement'!$I$13)</f>
        <v>2420</v>
      </c>
      <c r="J678" s="25">
        <f t="shared" si="523"/>
        <v>7896.2379798201846</v>
      </c>
      <c r="K678" s="25">
        <f t="shared" si="524"/>
        <v>20367.195264578786</v>
      </c>
      <c r="L678" s="25"/>
      <c r="N678" s="25">
        <f>'Combined Retirement'!$C$18/12</f>
        <v>39153.069999999992</v>
      </c>
      <c r="O678" s="25">
        <f t="shared" si="525"/>
        <v>10889.636755601023</v>
      </c>
      <c r="P678" s="25">
        <f t="shared" si="526"/>
        <v>28263.43324439897</v>
      </c>
      <c r="Q678" s="25">
        <f t="array" aca="1" ref="Q678" ca="1">INDEX('Isaac 401k'!L:L,MATCH('Retirement Calculator'!A678,'Isaac 401k'!N:N,0),0)</f>
        <v>1925936.8287016852</v>
      </c>
      <c r="R678" s="25">
        <f t="array" aca="1" ref="R678" ca="1">INDEX('Lorri 401b'!L:L,MATCH('Retirement Calculator'!A678,'Lorri 401b'!N:N,0),0)</f>
        <v>576998.28775799077</v>
      </c>
      <c r="S678" s="25">
        <f t="shared" ca="1" si="527"/>
        <v>2502935.1164596761</v>
      </c>
    </row>
    <row r="679" spans="1:19" ht="15.75" customHeight="1" x14ac:dyDescent="0.3">
      <c r="A679" s="37">
        <v>71621</v>
      </c>
      <c r="B679" s="398">
        <f t="shared" ref="B679:C679" si="685">($A679-B$9)/365.25</f>
        <v>114.2094455852156</v>
      </c>
      <c r="C679" s="398">
        <f t="shared" si="685"/>
        <v>109.59890485968515</v>
      </c>
      <c r="E679" s="25">
        <f>IF(C679&gt;$B$7,0,'Combined Retirement'!$D$13/12)</f>
        <v>0</v>
      </c>
      <c r="F679" s="25">
        <f>IF(H679=0,'Combined Retirement'!$D$32,0)+'Combined Retirement'!$B$24</f>
        <v>2870.372285649099</v>
      </c>
      <c r="G679" s="25">
        <f>'Combined Retirement'!$C$24</f>
        <v>3254.2644699519233</v>
      </c>
      <c r="H679" s="25">
        <f>IF(B679&lt;62,0,'Combined Retirement'!$I$14)</f>
        <v>2345</v>
      </c>
      <c r="I679" s="25">
        <f>IF(C679&lt;62,0,'Combined Retirement'!$I$13)</f>
        <v>2420</v>
      </c>
      <c r="J679" s="25">
        <f t="shared" si="523"/>
        <v>7896.2379798201846</v>
      </c>
      <c r="K679" s="25">
        <f t="shared" si="524"/>
        <v>20367.195264578786</v>
      </c>
      <c r="L679" s="25"/>
      <c r="N679" s="25">
        <f>'Combined Retirement'!$C$18/12</f>
        <v>39153.069999999992</v>
      </c>
      <c r="O679" s="25">
        <f t="shared" si="525"/>
        <v>10889.636755601023</v>
      </c>
      <c r="P679" s="25">
        <f t="shared" si="526"/>
        <v>28263.43324439897</v>
      </c>
      <c r="Q679" s="25">
        <f t="array" aca="1" ref="Q679" ca="1">INDEX('Isaac 401k'!L:L,MATCH('Retirement Calculator'!A679,'Isaac 401k'!N:N,0),0)</f>
        <v>1926032.4265165394</v>
      </c>
      <c r="R679" s="25">
        <f t="array" aca="1" ref="R679" ca="1">INDEX('Lorri 401b'!L:L,MATCH('Retirement Calculator'!A679,'Lorri 401b'!N:N,0),0)</f>
        <v>558950.38871213456</v>
      </c>
      <c r="S679" s="25">
        <f t="shared" ca="1" si="527"/>
        <v>2484982.8152286741</v>
      </c>
    </row>
    <row r="680" spans="1:19" ht="15.75" customHeight="1" x14ac:dyDescent="0.3">
      <c r="A680" s="37">
        <v>71650</v>
      </c>
      <c r="B680" s="398">
        <f t="shared" ref="B680:C680" si="686">($A680-B$9)/365.25</f>
        <v>114.28884325804243</v>
      </c>
      <c r="C680" s="398">
        <f t="shared" si="686"/>
        <v>109.67830253251198</v>
      </c>
      <c r="E680" s="25">
        <f>IF(C680&gt;$B$7,0,'Combined Retirement'!$D$13/12)</f>
        <v>0</v>
      </c>
      <c r="F680" s="25">
        <f>IF(H680=0,'Combined Retirement'!$D$32,0)+'Combined Retirement'!$B$24</f>
        <v>2870.372285649099</v>
      </c>
      <c r="G680" s="25">
        <f>'Combined Retirement'!$C$24</f>
        <v>3254.2644699519233</v>
      </c>
      <c r="H680" s="25">
        <f>IF(B680&lt;62,0,'Combined Retirement'!$I$14)</f>
        <v>2345</v>
      </c>
      <c r="I680" s="25">
        <f>IF(C680&lt;62,0,'Combined Retirement'!$I$13)</f>
        <v>2420</v>
      </c>
      <c r="J680" s="25">
        <f t="shared" si="523"/>
        <v>7896.2379798201846</v>
      </c>
      <c r="K680" s="25">
        <f t="shared" si="524"/>
        <v>20367.195264578786</v>
      </c>
      <c r="L680" s="25"/>
      <c r="N680" s="25">
        <f>'Combined Retirement'!$C$18/12</f>
        <v>39153.069999999992</v>
      </c>
      <c r="O680" s="25">
        <f t="shared" si="525"/>
        <v>10889.636755601023</v>
      </c>
      <c r="P680" s="25">
        <f t="shared" si="526"/>
        <v>28263.43324439897</v>
      </c>
      <c r="Q680" s="25">
        <f t="array" aca="1" ref="Q680" ca="1">INDEX('Isaac 401k'!L:L,MATCH('Retirement Calculator'!A680,'Isaac 401k'!N:N,0),0)</f>
        <v>1926128.4226556222</v>
      </c>
      <c r="R680" s="25">
        <f t="array" aca="1" ref="R680" ca="1">INDEX('Lorri 401b'!L:L,MATCH('Retirement Calculator'!A680,'Lorri 401b'!N:N,0),0)</f>
        <v>540827.29008692061</v>
      </c>
      <c r="S680" s="25">
        <f t="shared" ca="1" si="527"/>
        <v>2466955.7127425428</v>
      </c>
    </row>
    <row r="681" spans="1:19" ht="15.75" customHeight="1" x14ac:dyDescent="0.3">
      <c r="A681" s="37">
        <v>71681</v>
      </c>
      <c r="B681" s="398">
        <f t="shared" ref="B681:C681" si="687">($A681-B$9)/365.25</f>
        <v>114.37371663244353</v>
      </c>
      <c r="C681" s="398">
        <f t="shared" si="687"/>
        <v>109.76317590691308</v>
      </c>
      <c r="E681" s="25">
        <f>IF(C681&gt;$B$7,0,'Combined Retirement'!$D$13/12)</f>
        <v>0</v>
      </c>
      <c r="F681" s="25">
        <f>IF(H681=0,'Combined Retirement'!$D$32,0)+'Combined Retirement'!$B$24</f>
        <v>2870.372285649099</v>
      </c>
      <c r="G681" s="25">
        <f>'Combined Retirement'!$C$24</f>
        <v>3254.2644699519233</v>
      </c>
      <c r="H681" s="25">
        <f>IF(B681&lt;62,0,'Combined Retirement'!$I$14)</f>
        <v>2345</v>
      </c>
      <c r="I681" s="25">
        <f>IF(C681&lt;62,0,'Combined Retirement'!$I$13)</f>
        <v>2420</v>
      </c>
      <c r="J681" s="25">
        <f t="shared" si="523"/>
        <v>7896.2379798201846</v>
      </c>
      <c r="K681" s="25">
        <f t="shared" si="524"/>
        <v>20367.195264578786</v>
      </c>
      <c r="L681" s="25"/>
      <c r="N681" s="25">
        <f>'Combined Retirement'!$C$18/12</f>
        <v>39153.069999999992</v>
      </c>
      <c r="O681" s="25">
        <f t="shared" si="525"/>
        <v>10889.636755601023</v>
      </c>
      <c r="P681" s="25">
        <f t="shared" si="526"/>
        <v>28263.43324439897</v>
      </c>
      <c r="Q681" s="25">
        <f t="array" aca="1" ref="Q681" ca="1">INDEX('Isaac 401k'!L:L,MATCH('Retirement Calculator'!A681,'Isaac 401k'!N:N,0),0)</f>
        <v>1926224.8187786178</v>
      </c>
      <c r="R681" s="25">
        <f t="array" aca="1" ref="R681" ca="1">INDEX('Lorri 401b'!L:L,MATCH('Retirement Calculator'!A681,'Lorri 401b'!N:N,0),0)</f>
        <v>522628.67855076824</v>
      </c>
      <c r="S681" s="25">
        <f t="shared" ca="1" si="527"/>
        <v>2448853.497329386</v>
      </c>
    </row>
    <row r="682" spans="1:19" ht="15.75" customHeight="1" x14ac:dyDescent="0.3">
      <c r="A682" s="37">
        <v>71711</v>
      </c>
      <c r="B682" s="398">
        <f t="shared" ref="B682:C682" si="688">($A682-B$9)/365.25</f>
        <v>114.45585215605749</v>
      </c>
      <c r="C682" s="398">
        <f t="shared" si="688"/>
        <v>109.84531143052703</v>
      </c>
      <c r="E682" s="25">
        <f>IF(C682&gt;$B$7,0,'Combined Retirement'!$D$13/12)</f>
        <v>0</v>
      </c>
      <c r="F682" s="25">
        <f>IF(H682=0,'Combined Retirement'!$D$32,0)+'Combined Retirement'!$B$24</f>
        <v>2870.372285649099</v>
      </c>
      <c r="G682" s="25">
        <f>'Combined Retirement'!$C$24</f>
        <v>3254.2644699519233</v>
      </c>
      <c r="H682" s="25">
        <f>IF(B682&lt;62,0,'Combined Retirement'!$I$14)</f>
        <v>2345</v>
      </c>
      <c r="I682" s="25">
        <f>IF(C682&lt;62,0,'Combined Retirement'!$I$13)</f>
        <v>2420</v>
      </c>
      <c r="J682" s="25">
        <f t="shared" si="523"/>
        <v>7896.2379798201846</v>
      </c>
      <c r="K682" s="25">
        <f t="shared" si="524"/>
        <v>20367.195264578786</v>
      </c>
      <c r="L682" s="25"/>
      <c r="N682" s="25">
        <f>'Combined Retirement'!$C$18/12</f>
        <v>39153.069999999992</v>
      </c>
      <c r="O682" s="25">
        <f t="shared" si="525"/>
        <v>10889.636755601023</v>
      </c>
      <c r="P682" s="25">
        <f t="shared" si="526"/>
        <v>28263.43324439897</v>
      </c>
      <c r="Q682" s="25">
        <f t="array" aca="1" ref="Q682" ca="1">INDEX('Isaac 401k'!L:L,MATCH('Retirement Calculator'!A682,'Isaac 401k'!N:N,0),0)</f>
        <v>1926321.6165521259</v>
      </c>
      <c r="R682" s="25">
        <f t="array" aca="1" ref="R682" ca="1">INDEX('Lorri 401b'!L:L,MATCH('Retirement Calculator'!A682,'Lorri 401b'!N:N,0),0)</f>
        <v>504354.23946654855</v>
      </c>
      <c r="S682" s="25">
        <f t="shared" ca="1" si="527"/>
        <v>2430675.8560186746</v>
      </c>
    </row>
    <row r="683" spans="1:19" ht="15.75" customHeight="1" x14ac:dyDescent="0.3">
      <c r="A683" s="37">
        <v>71742</v>
      </c>
      <c r="B683" s="398">
        <f t="shared" ref="B683:C683" si="689">($A683-B$9)/365.25</f>
        <v>114.54072553045859</v>
      </c>
      <c r="C683" s="398">
        <f t="shared" si="689"/>
        <v>109.93018480492813</v>
      </c>
      <c r="E683" s="25">
        <f>IF(C683&gt;$B$7,0,'Combined Retirement'!$D$13/12)</f>
        <v>0</v>
      </c>
      <c r="F683" s="25">
        <f>IF(H683=0,'Combined Retirement'!$D$32,0)+'Combined Retirement'!$B$24</f>
        <v>2870.372285649099</v>
      </c>
      <c r="G683" s="25">
        <f>'Combined Retirement'!$C$24</f>
        <v>3254.2644699519233</v>
      </c>
      <c r="H683" s="25">
        <f>IF(B683&lt;62,0,'Combined Retirement'!$I$14)</f>
        <v>2345</v>
      </c>
      <c r="I683" s="25">
        <f>IF(C683&lt;62,0,'Combined Retirement'!$I$13)</f>
        <v>2420</v>
      </c>
      <c r="J683" s="25">
        <f t="shared" si="523"/>
        <v>7896.2379798201846</v>
      </c>
      <c r="K683" s="25">
        <f t="shared" si="524"/>
        <v>20367.195264578786</v>
      </c>
      <c r="L683" s="25"/>
      <c r="N683" s="25">
        <f>'Combined Retirement'!$C$18/12</f>
        <v>39153.069999999992</v>
      </c>
      <c r="O683" s="25">
        <f t="shared" si="525"/>
        <v>10889.636755601023</v>
      </c>
      <c r="P683" s="25">
        <f t="shared" si="526"/>
        <v>28263.43324439897</v>
      </c>
      <c r="Q683" s="25">
        <f t="array" aca="1" ref="Q683" ca="1">INDEX('Isaac 401k'!L:L,MATCH('Retirement Calculator'!A683,'Isaac 401k'!N:N,0),0)</f>
        <v>1926418.8176496902</v>
      </c>
      <c r="R683" s="25">
        <f t="array" aca="1" ref="R683" ca="1">INDEX('Lorri 401b'!L:L,MATCH('Retirement Calculator'!A683,'Lorri 401b'!N:N,0),0)</f>
        <v>486003.6568861446</v>
      </c>
      <c r="S683" s="25">
        <f t="shared" ca="1" si="527"/>
        <v>2412422.474535835</v>
      </c>
    </row>
    <row r="684" spans="1:19" ht="15.75" customHeight="1" x14ac:dyDescent="0.3">
      <c r="A684" s="37">
        <v>71772</v>
      </c>
      <c r="B684" s="398">
        <f t="shared" ref="B684:C684" si="690">($A684-B$9)/365.25</f>
        <v>114.62286105407256</v>
      </c>
      <c r="C684" s="398">
        <f t="shared" si="690"/>
        <v>110.01232032854209</v>
      </c>
      <c r="E684" s="25">
        <f>IF(C684&gt;$B$7,0,'Combined Retirement'!$D$13/12)</f>
        <v>0</v>
      </c>
      <c r="F684" s="25">
        <f>IF(H684=0,'Combined Retirement'!$D$32,0)+'Combined Retirement'!$B$24</f>
        <v>2870.372285649099</v>
      </c>
      <c r="G684" s="25">
        <f>'Combined Retirement'!$C$24</f>
        <v>3254.2644699519233</v>
      </c>
      <c r="H684" s="25">
        <f>IF(B684&lt;62,0,'Combined Retirement'!$I$14)</f>
        <v>2345</v>
      </c>
      <c r="I684" s="25">
        <f>IF(C684&lt;62,0,'Combined Retirement'!$I$13)</f>
        <v>2420</v>
      </c>
      <c r="J684" s="25">
        <f t="shared" si="523"/>
        <v>7896.2379798201846</v>
      </c>
      <c r="K684" s="25">
        <f t="shared" si="524"/>
        <v>20367.195264578786</v>
      </c>
      <c r="L684" s="25"/>
      <c r="N684" s="25">
        <f>'Combined Retirement'!$C$18/12</f>
        <v>39153.069999999992</v>
      </c>
      <c r="O684" s="25">
        <f t="shared" si="525"/>
        <v>10889.636755601023</v>
      </c>
      <c r="P684" s="25">
        <f t="shared" si="526"/>
        <v>28263.43324439897</v>
      </c>
      <c r="Q684" s="25">
        <f t="array" aca="1" ref="Q684" ca="1">INDEX('Isaac 401k'!L:L,MATCH('Retirement Calculator'!A684,'Isaac 401k'!N:N,0),0)</f>
        <v>1926516.4237518278</v>
      </c>
      <c r="R684" s="25">
        <f t="array" aca="1" ref="R684" ca="1">INDEX('Lorri 401b'!L:L,MATCH('Retirement Calculator'!A684,'Lorri 401b'!N:N,0),0)</f>
        <v>467576.61354498897</v>
      </c>
      <c r="S684" s="25">
        <f t="shared" ca="1" si="527"/>
        <v>2394093.0372968167</v>
      </c>
    </row>
    <row r="685" spans="1:19" ht="15.75" customHeight="1" x14ac:dyDescent="0.3">
      <c r="A685" s="37">
        <v>71803</v>
      </c>
      <c r="B685" s="398">
        <f t="shared" ref="B685:C685" si="691">($A685-B$9)/365.25</f>
        <v>114.70773442847364</v>
      </c>
      <c r="C685" s="398">
        <f t="shared" si="691"/>
        <v>110.09719370294319</v>
      </c>
      <c r="E685" s="25">
        <f>IF(C685&gt;$B$7,0,'Combined Retirement'!$D$13/12)</f>
        <v>0</v>
      </c>
      <c r="F685" s="25">
        <f>IF(H685=0,'Combined Retirement'!$D$32,0)+'Combined Retirement'!$B$24</f>
        <v>2870.372285649099</v>
      </c>
      <c r="G685" s="25">
        <f>'Combined Retirement'!$C$24</f>
        <v>3254.2644699519233</v>
      </c>
      <c r="H685" s="25">
        <f>IF(B685&lt;62,0,'Combined Retirement'!$I$14)</f>
        <v>2345</v>
      </c>
      <c r="I685" s="25">
        <f>IF(C685&lt;62,0,'Combined Retirement'!$I$13)</f>
        <v>2420</v>
      </c>
      <c r="J685" s="25">
        <f t="shared" si="523"/>
        <v>7896.2379798201846</v>
      </c>
      <c r="K685" s="25">
        <f t="shared" si="524"/>
        <v>20367.195264578786</v>
      </c>
      <c r="L685" s="25"/>
      <c r="N685" s="25">
        <f>'Combined Retirement'!$C$18/12</f>
        <v>39153.069999999992</v>
      </c>
      <c r="O685" s="25">
        <f t="shared" si="525"/>
        <v>10889.636755601023</v>
      </c>
      <c r="P685" s="25">
        <f t="shared" si="526"/>
        <v>28263.43324439897</v>
      </c>
      <c r="Q685" s="25">
        <f t="array" aca="1" ref="Q685" ca="1">INDEX('Isaac 401k'!L:L,MATCH('Retirement Calculator'!A685,'Isaac 401k'!N:N,0),0)</f>
        <v>1926614.4365460577</v>
      </c>
      <c r="R685" s="25">
        <f t="array" aca="1" ref="R685" ca="1">INDEX('Lorri 401b'!L:L,MATCH('Retirement Calculator'!A685,'Lorri 401b'!N:N,0),0)</f>
        <v>449072.79085657856</v>
      </c>
      <c r="S685" s="25">
        <f t="shared" ca="1" si="527"/>
        <v>2375687.2274026363</v>
      </c>
    </row>
    <row r="686" spans="1:19" ht="15.75" customHeight="1" x14ac:dyDescent="0.3">
      <c r="A686" s="37">
        <v>71834</v>
      </c>
      <c r="B686" s="398">
        <f t="shared" ref="B686:C686" si="692">($A686-B$9)/365.25</f>
        <v>114.79260780287474</v>
      </c>
      <c r="C686" s="398">
        <f t="shared" si="692"/>
        <v>110.18206707734429</v>
      </c>
      <c r="E686" s="25">
        <f>IF(C686&gt;$B$7,0,'Combined Retirement'!$D$13/12)</f>
        <v>0</v>
      </c>
      <c r="F686" s="25">
        <f>IF(H686=0,'Combined Retirement'!$D$32,0)+'Combined Retirement'!$B$24</f>
        <v>2870.372285649099</v>
      </c>
      <c r="G686" s="25">
        <f>'Combined Retirement'!$C$24</f>
        <v>3254.2644699519233</v>
      </c>
      <c r="H686" s="25">
        <f>IF(B686&lt;62,0,'Combined Retirement'!$I$14)</f>
        <v>2345</v>
      </c>
      <c r="I686" s="25">
        <f>IF(C686&lt;62,0,'Combined Retirement'!$I$13)</f>
        <v>2420</v>
      </c>
      <c r="J686" s="25">
        <f t="shared" si="523"/>
        <v>7896.2379798201846</v>
      </c>
      <c r="K686" s="25">
        <f t="shared" si="524"/>
        <v>20367.195264578786</v>
      </c>
      <c r="L686" s="25"/>
      <c r="N686" s="25">
        <f>'Combined Retirement'!$C$18/12</f>
        <v>39153.069999999992</v>
      </c>
      <c r="O686" s="25">
        <f t="shared" si="525"/>
        <v>10889.636755601023</v>
      </c>
      <c r="P686" s="25">
        <f t="shared" si="526"/>
        <v>28263.43324439897</v>
      </c>
      <c r="Q686" s="25">
        <f t="array" aca="1" ref="Q686" ca="1">INDEX('Isaac 401k'!L:L,MATCH('Retirement Calculator'!A686,'Isaac 401k'!N:N,0),0)</f>
        <v>1926712.8577269302</v>
      </c>
      <c r="R686" s="25">
        <f t="array" aca="1" ref="R686" ca="1">INDEX('Lorri 401b'!L:L,MATCH('Retirement Calculator'!A686,'Lorri 401b'!N:N,0),0)</f>
        <v>430491.86890696641</v>
      </c>
      <c r="S686" s="25">
        <f t="shared" ca="1" si="527"/>
        <v>2357204.7266338966</v>
      </c>
    </row>
    <row r="687" spans="1:19" ht="15.75" customHeight="1" x14ac:dyDescent="0.3">
      <c r="A687" s="37">
        <v>71864</v>
      </c>
      <c r="B687" s="398">
        <f t="shared" ref="B687:C687" si="693">($A687-B$9)/365.25</f>
        <v>114.87474332648871</v>
      </c>
      <c r="C687" s="398">
        <f t="shared" si="693"/>
        <v>110.26420260095824</v>
      </c>
      <c r="E687" s="25">
        <f>IF(C687&gt;$B$7,0,'Combined Retirement'!$D$13/12)</f>
        <v>0</v>
      </c>
      <c r="F687" s="25">
        <f>IF(H687=0,'Combined Retirement'!$D$32,0)+'Combined Retirement'!$B$24</f>
        <v>2870.372285649099</v>
      </c>
      <c r="G687" s="25">
        <f>'Combined Retirement'!$C$24</f>
        <v>3254.2644699519233</v>
      </c>
      <c r="H687" s="25">
        <f>IF(B687&lt;62,0,'Combined Retirement'!$I$14)</f>
        <v>2345</v>
      </c>
      <c r="I687" s="25">
        <f>IF(C687&lt;62,0,'Combined Retirement'!$I$13)</f>
        <v>2420</v>
      </c>
      <c r="J687" s="25">
        <f t="shared" si="523"/>
        <v>7896.2379798201846</v>
      </c>
      <c r="K687" s="25">
        <f t="shared" si="524"/>
        <v>20367.195264578786</v>
      </c>
      <c r="L687" s="25"/>
      <c r="N687" s="25">
        <f>'Combined Retirement'!$C$18/12</f>
        <v>39153.069999999992</v>
      </c>
      <c r="O687" s="25">
        <f t="shared" si="525"/>
        <v>10889.636755601023</v>
      </c>
      <c r="P687" s="25">
        <f t="shared" si="526"/>
        <v>28263.43324439897</v>
      </c>
      <c r="Q687" s="25">
        <f t="array" aca="1" ref="Q687" ca="1">INDEX('Isaac 401k'!L:L,MATCH('Retirement Calculator'!A687,'Isaac 401k'!N:N,0),0)</f>
        <v>1926811.6889960563</v>
      </c>
      <c r="R687" s="25">
        <f t="array" aca="1" ref="R687" ca="1">INDEX('Lorri 401b'!L:L,MATCH('Retirement Calculator'!A687,'Lorri 401b'!N:N,0),0)</f>
        <v>411833.52644923091</v>
      </c>
      <c r="S687" s="25">
        <f t="shared" ca="1" si="527"/>
        <v>2338645.2154452871</v>
      </c>
    </row>
    <row r="688" spans="1:19" ht="15.75" customHeight="1" x14ac:dyDescent="0.3">
      <c r="A688" s="37">
        <v>71895</v>
      </c>
      <c r="B688" s="398">
        <f t="shared" ref="B688:C688" si="694">($A688-B$9)/365.25</f>
        <v>114.9596167008898</v>
      </c>
      <c r="C688" s="398">
        <f t="shared" si="694"/>
        <v>110.34907597535934</v>
      </c>
      <c r="E688" s="25">
        <f>IF(C688&gt;$B$7,0,'Combined Retirement'!$D$13/12)</f>
        <v>0</v>
      </c>
      <c r="F688" s="25">
        <f>IF(H688=0,'Combined Retirement'!$D$32,0)+'Combined Retirement'!$B$24</f>
        <v>2870.372285649099</v>
      </c>
      <c r="G688" s="25">
        <f>'Combined Retirement'!$C$24</f>
        <v>3254.2644699519233</v>
      </c>
      <c r="H688" s="25">
        <f>IF(B688&lt;62,0,'Combined Retirement'!$I$14)</f>
        <v>2345</v>
      </c>
      <c r="I688" s="25">
        <f>IF(C688&lt;62,0,'Combined Retirement'!$I$13)</f>
        <v>2420</v>
      </c>
      <c r="J688" s="25">
        <f t="shared" si="523"/>
        <v>7896.2379798201846</v>
      </c>
      <c r="K688" s="25">
        <f t="shared" si="524"/>
        <v>20367.195264578786</v>
      </c>
      <c r="L688" s="25"/>
      <c r="N688" s="25">
        <f>'Combined Retirement'!$C$18/12</f>
        <v>39153.069999999992</v>
      </c>
      <c r="O688" s="25">
        <f t="shared" si="525"/>
        <v>10889.636755601023</v>
      </c>
      <c r="P688" s="25">
        <f t="shared" si="526"/>
        <v>28263.43324439897</v>
      </c>
      <c r="Q688" s="25">
        <f t="array" aca="1" ref="Q688" ca="1">INDEX('Isaac 401k'!L:L,MATCH('Retirement Calculator'!A688,'Isaac 401k'!N:N,0),0)</f>
        <v>1926910.9320621372</v>
      </c>
      <c r="R688" s="25">
        <f t="array" aca="1" ref="R688" ca="1">INDEX('Lorri 401b'!L:L,MATCH('Retirement Calculator'!A688,'Lorri 401b'!N:N,0),0)</f>
        <v>393097.44089792151</v>
      </c>
      <c r="S688" s="25">
        <f t="shared" ca="1" si="527"/>
        <v>2320008.3729600585</v>
      </c>
    </row>
    <row r="689" spans="1:19" ht="15.75" customHeight="1" x14ac:dyDescent="0.3">
      <c r="A689" s="37">
        <v>71925</v>
      </c>
      <c r="B689" s="398">
        <f t="shared" ref="B689:C689" si="695">($A689-B$9)/365.25</f>
        <v>115.04175222450377</v>
      </c>
      <c r="C689" s="398">
        <f t="shared" si="695"/>
        <v>110.43121149897331</v>
      </c>
      <c r="E689" s="25">
        <f>IF(C689&gt;$B$7,0,'Combined Retirement'!$D$13/12)</f>
        <v>0</v>
      </c>
      <c r="F689" s="25">
        <f>IF(H689=0,'Combined Retirement'!$D$32,0)+'Combined Retirement'!$B$24</f>
        <v>2870.372285649099</v>
      </c>
      <c r="G689" s="25">
        <f>'Combined Retirement'!$C$24</f>
        <v>3254.2644699519233</v>
      </c>
      <c r="H689" s="25">
        <f>IF(B689&lt;62,0,'Combined Retirement'!$I$14)</f>
        <v>2345</v>
      </c>
      <c r="I689" s="25">
        <f>IF(C689&lt;62,0,'Combined Retirement'!$I$13)</f>
        <v>2420</v>
      </c>
      <c r="J689" s="25">
        <f t="shared" si="523"/>
        <v>7896.2379798201846</v>
      </c>
      <c r="K689" s="25">
        <f t="shared" si="524"/>
        <v>20367.195264578786</v>
      </c>
      <c r="L689" s="25"/>
      <c r="N689" s="25">
        <f>'Combined Retirement'!$C$18/12</f>
        <v>39153.069999999992</v>
      </c>
      <c r="O689" s="25">
        <f t="shared" si="525"/>
        <v>10889.636755601023</v>
      </c>
      <c r="P689" s="25">
        <f t="shared" si="526"/>
        <v>28263.43324439897</v>
      </c>
      <c r="Q689" s="25">
        <f t="array" aca="1" ref="Q689" ca="1">INDEX('Isaac 401k'!L:L,MATCH('Retirement Calculator'!A689,'Isaac 401k'!N:N,0),0)</f>
        <v>1927010.5886409932</v>
      </c>
      <c r="R689" s="25">
        <f t="array" aca="1" ref="R689" ca="1">INDEX('Lorri 401b'!L:L,MATCH('Retirement Calculator'!A689,'Lorri 401b'!N:N,0),0)</f>
        <v>374283.28832348163</v>
      </c>
      <c r="S689" s="25">
        <f t="shared" ca="1" si="527"/>
        <v>2301293.876964475</v>
      </c>
    </row>
    <row r="690" spans="1:19" ht="15.75" customHeight="1" x14ac:dyDescent="0.3">
      <c r="A690" s="37">
        <v>71956</v>
      </c>
      <c r="B690" s="398">
        <f t="shared" ref="B690:C690" si="696">($A690-B$9)/365.25</f>
        <v>115.12662559890487</v>
      </c>
      <c r="C690" s="398">
        <f t="shared" si="696"/>
        <v>110.5160848733744</v>
      </c>
      <c r="E690" s="25">
        <f>IF(C690&gt;$B$7,0,'Combined Retirement'!$D$13/12)</f>
        <v>0</v>
      </c>
      <c r="F690" s="25">
        <f>IF(H690=0,'Combined Retirement'!$D$32,0)+'Combined Retirement'!$B$24</f>
        <v>2870.372285649099</v>
      </c>
      <c r="G690" s="25">
        <f>'Combined Retirement'!$C$24</f>
        <v>3254.2644699519233</v>
      </c>
      <c r="H690" s="25">
        <f>IF(B690&lt;62,0,'Combined Retirement'!$I$14)</f>
        <v>2345</v>
      </c>
      <c r="I690" s="25">
        <f>IF(C690&lt;62,0,'Combined Retirement'!$I$13)</f>
        <v>2420</v>
      </c>
      <c r="J690" s="25">
        <f t="shared" si="523"/>
        <v>7896.2379798201846</v>
      </c>
      <c r="K690" s="25">
        <f t="shared" si="524"/>
        <v>20367.195264578786</v>
      </c>
      <c r="L690" s="25"/>
      <c r="N690" s="25">
        <f>'Combined Retirement'!$C$18/12</f>
        <v>39153.069999999992</v>
      </c>
      <c r="O690" s="25">
        <f t="shared" si="525"/>
        <v>10889.636755601023</v>
      </c>
      <c r="P690" s="25">
        <f t="shared" si="526"/>
        <v>28263.43324439897</v>
      </c>
      <c r="Q690" s="25">
        <f t="array" aca="1" ref="Q690" ca="1">INDEX('Isaac 401k'!L:L,MATCH('Retirement Calculator'!A690,'Isaac 401k'!N:N,0),0)</f>
        <v>1927110.6604555945</v>
      </c>
      <c r="R690" s="25">
        <f t="array" aca="1" ref="R690" ca="1">INDEX('Lorri 401b'!L:L,MATCH('Retirement Calculator'!A690,'Lorri 401b'!N:N,0),0)</f>
        <v>355390.74344664824</v>
      </c>
      <c r="S690" s="25">
        <f t="shared" ca="1" si="527"/>
        <v>2282501.4039022429</v>
      </c>
    </row>
    <row r="691" spans="1:19" ht="15.75" customHeight="1" x14ac:dyDescent="0.3">
      <c r="A691" s="37">
        <v>71987</v>
      </c>
      <c r="B691" s="398">
        <f t="shared" ref="B691:C691" si="697">($A691-B$9)/365.25</f>
        <v>115.21149897330595</v>
      </c>
      <c r="C691" s="398">
        <f t="shared" si="697"/>
        <v>110.60095824777549</v>
      </c>
      <c r="E691" s="25">
        <f>IF(C691&gt;$B$7,0,'Combined Retirement'!$D$13/12)</f>
        <v>0</v>
      </c>
      <c r="F691" s="25">
        <f>IF(H691=0,'Combined Retirement'!$D$32,0)+'Combined Retirement'!$B$24</f>
        <v>2870.372285649099</v>
      </c>
      <c r="G691" s="25">
        <f>'Combined Retirement'!$C$24</f>
        <v>3254.2644699519233</v>
      </c>
      <c r="H691" s="25">
        <f>IF(B691&lt;62,0,'Combined Retirement'!$I$14)</f>
        <v>2345</v>
      </c>
      <c r="I691" s="25">
        <f>IF(C691&lt;62,0,'Combined Retirement'!$I$13)</f>
        <v>2420</v>
      </c>
      <c r="J691" s="25">
        <f t="shared" si="523"/>
        <v>7896.2379798201846</v>
      </c>
      <c r="K691" s="25">
        <f t="shared" si="524"/>
        <v>20367.195264578786</v>
      </c>
      <c r="L691" s="25"/>
      <c r="N691" s="25">
        <f>'Combined Retirement'!$C$18/12</f>
        <v>39153.069999999992</v>
      </c>
      <c r="O691" s="25">
        <f t="shared" si="525"/>
        <v>10889.636755601023</v>
      </c>
      <c r="P691" s="25">
        <f t="shared" si="526"/>
        <v>28263.43324439897</v>
      </c>
      <c r="Q691" s="25">
        <f t="array" aca="1" ref="Q691" ca="1">INDEX('Isaac 401k'!L:L,MATCH('Retirement Calculator'!A691,'Isaac 401k'!N:N,0),0)</f>
        <v>1927211.14923609</v>
      </c>
      <c r="R691" s="25">
        <f t="array" aca="1" ref="R691" ca="1">INDEX('Lorri 401b'!L:L,MATCH('Retirement Calculator'!A691,'Lorri 401b'!N:N,0),0)</f>
        <v>336419.47963282804</v>
      </c>
      <c r="S691" s="25">
        <f t="shared" ca="1" si="527"/>
        <v>2263630.6288689179</v>
      </c>
    </row>
    <row r="692" spans="1:19" ht="15.75" customHeight="1" x14ac:dyDescent="0.3">
      <c r="A692" s="37">
        <v>72015</v>
      </c>
      <c r="B692" s="398">
        <f t="shared" ref="B692:C692" si="698">($A692-B$9)/365.25</f>
        <v>115.28815879534565</v>
      </c>
      <c r="C692" s="398">
        <f t="shared" si="698"/>
        <v>110.6776180698152</v>
      </c>
      <c r="E692" s="25">
        <f>IF(C692&gt;$B$7,0,'Combined Retirement'!$D$13/12)</f>
        <v>0</v>
      </c>
      <c r="F692" s="25">
        <f>IF(H692=0,'Combined Retirement'!$D$32,0)+'Combined Retirement'!$B$24</f>
        <v>2870.372285649099</v>
      </c>
      <c r="G692" s="25">
        <f>'Combined Retirement'!$C$24</f>
        <v>3254.2644699519233</v>
      </c>
      <c r="H692" s="25">
        <f>IF(B692&lt;62,0,'Combined Retirement'!$I$14)</f>
        <v>2345</v>
      </c>
      <c r="I692" s="25">
        <f>IF(C692&lt;62,0,'Combined Retirement'!$I$13)</f>
        <v>2420</v>
      </c>
      <c r="J692" s="25">
        <f t="shared" si="523"/>
        <v>7896.2379798201846</v>
      </c>
      <c r="K692" s="25">
        <f t="shared" si="524"/>
        <v>20367.195264578786</v>
      </c>
      <c r="L692" s="25"/>
      <c r="N692" s="25">
        <f>'Combined Retirement'!$C$18/12</f>
        <v>39153.069999999992</v>
      </c>
      <c r="O692" s="25">
        <f t="shared" si="525"/>
        <v>10889.636755601023</v>
      </c>
      <c r="P692" s="25">
        <f t="shared" si="526"/>
        <v>28263.43324439897</v>
      </c>
      <c r="Q692" s="25">
        <f t="array" aca="1" ref="Q692" ca="1">INDEX('Isaac 401k'!L:L,MATCH('Retirement Calculator'!A692,'Isaac 401k'!N:N,0),0)</f>
        <v>1927312.0567198375</v>
      </c>
      <c r="R692" s="25">
        <f t="array" aca="1" ref="R692" ca="1">INDEX('Lorri 401b'!L:L,MATCH('Retirement Calculator'!A692,'Lorri 401b'!N:N,0),0)</f>
        <v>317369.16888645029</v>
      </c>
      <c r="S692" s="25">
        <f t="shared" ca="1" si="527"/>
        <v>2244681.2256062878</v>
      </c>
    </row>
    <row r="693" spans="1:19" ht="15.75" customHeight="1" x14ac:dyDescent="0.3">
      <c r="A693" s="37">
        <v>72046</v>
      </c>
      <c r="B693" s="398">
        <f t="shared" ref="B693:C693" si="699">($A693-B$9)/365.25</f>
        <v>115.37303216974675</v>
      </c>
      <c r="C693" s="398">
        <f t="shared" si="699"/>
        <v>110.76249144421629</v>
      </c>
      <c r="E693" s="25">
        <f>IF(C693&gt;$B$7,0,'Combined Retirement'!$D$13/12)</f>
        <v>0</v>
      </c>
      <c r="F693" s="25">
        <f>IF(H693=0,'Combined Retirement'!$D$32,0)+'Combined Retirement'!$B$24</f>
        <v>2870.372285649099</v>
      </c>
      <c r="G693" s="25">
        <f>'Combined Retirement'!$C$24</f>
        <v>3254.2644699519233</v>
      </c>
      <c r="H693" s="25">
        <f>IF(B693&lt;62,0,'Combined Retirement'!$I$14)</f>
        <v>2345</v>
      </c>
      <c r="I693" s="25">
        <f>IF(C693&lt;62,0,'Combined Retirement'!$I$13)</f>
        <v>2420</v>
      </c>
      <c r="J693" s="25">
        <f t="shared" si="523"/>
        <v>7896.2379798201846</v>
      </c>
      <c r="K693" s="25">
        <f t="shared" si="524"/>
        <v>20367.195264578786</v>
      </c>
      <c r="L693" s="25"/>
      <c r="N693" s="25">
        <f>'Combined Retirement'!$C$18/12</f>
        <v>39153.069999999992</v>
      </c>
      <c r="O693" s="25">
        <f t="shared" si="525"/>
        <v>10889.636755601023</v>
      </c>
      <c r="P693" s="25">
        <f t="shared" si="526"/>
        <v>28263.43324439897</v>
      </c>
      <c r="Q693" s="25">
        <f t="array" aca="1" ref="Q693" ca="1">INDEX('Isaac 401k'!L:L,MATCH('Retirement Calculator'!A693,'Isaac 401k'!N:N,0),0)</f>
        <v>1927413.3846514339</v>
      </c>
      <c r="R693" s="25">
        <f t="array" aca="1" ref="R693" ca="1">INDEX('Lorri 401b'!L:L,MATCH('Retirement Calculator'!A693,'Lorri 401b'!N:N,0),0)</f>
        <v>298239.48184529599</v>
      </c>
      <c r="S693" s="25">
        <f t="shared" ca="1" si="527"/>
        <v>2225652.8664967297</v>
      </c>
    </row>
    <row r="694" spans="1:19" ht="15.75" customHeight="1" x14ac:dyDescent="0.3">
      <c r="A694" s="37">
        <v>72076</v>
      </c>
      <c r="B694" s="398">
        <f t="shared" ref="B694:C694" si="700">($A694-B$9)/365.25</f>
        <v>115.45516769336071</v>
      </c>
      <c r="C694" s="398">
        <f t="shared" si="700"/>
        <v>110.84462696783025</v>
      </c>
      <c r="E694" s="25">
        <f>IF(C694&gt;$B$7,0,'Combined Retirement'!$D$13/12)</f>
        <v>0</v>
      </c>
      <c r="F694" s="25">
        <f>IF(H694=0,'Combined Retirement'!$D$32,0)+'Combined Retirement'!$B$24</f>
        <v>2870.372285649099</v>
      </c>
      <c r="G694" s="25">
        <f>'Combined Retirement'!$C$24</f>
        <v>3254.2644699519233</v>
      </c>
      <c r="H694" s="25">
        <f>IF(B694&lt;62,0,'Combined Retirement'!$I$14)</f>
        <v>2345</v>
      </c>
      <c r="I694" s="25">
        <f>IF(C694&lt;62,0,'Combined Retirement'!$I$13)</f>
        <v>2420</v>
      </c>
      <c r="J694" s="25">
        <f t="shared" si="523"/>
        <v>7896.2379798201846</v>
      </c>
      <c r="K694" s="25">
        <f t="shared" si="524"/>
        <v>20367.195264578786</v>
      </c>
      <c r="L694" s="25"/>
      <c r="N694" s="25">
        <f>'Combined Retirement'!$C$18/12</f>
        <v>39153.069999999992</v>
      </c>
      <c r="O694" s="25">
        <f t="shared" si="525"/>
        <v>10889.636755601023</v>
      </c>
      <c r="P694" s="25">
        <f t="shared" si="526"/>
        <v>28263.43324439897</v>
      </c>
      <c r="Q694" s="25">
        <f t="array" aca="1" ref="Q694" ca="1">INDEX('Isaac 401k'!L:L,MATCH('Retirement Calculator'!A694,'Isaac 401k'!N:N,0),0)</f>
        <v>1927515.1347827455</v>
      </c>
      <c r="R694" s="25">
        <f t="array" aca="1" ref="R694" ca="1">INDEX('Lorri 401b'!L:L,MATCH('Retirement Calculator'!A694,'Lorri 401b'!N:N,0),0)</f>
        <v>279030.08777480351</v>
      </c>
      <c r="S694" s="25">
        <f t="shared" ca="1" si="527"/>
        <v>2206545.2225575489</v>
      </c>
    </row>
    <row r="695" spans="1:19" ht="15.75" customHeight="1" x14ac:dyDescent="0.3">
      <c r="A695" s="37">
        <v>72107</v>
      </c>
      <c r="B695" s="398">
        <f t="shared" ref="B695:C695" si="701">($A695-B$9)/365.25</f>
        <v>115.54004106776181</v>
      </c>
      <c r="C695" s="398">
        <f t="shared" si="701"/>
        <v>110.92950034223135</v>
      </c>
      <c r="E695" s="25">
        <f>IF(C695&gt;$B$7,0,'Combined Retirement'!$D$13/12)</f>
        <v>0</v>
      </c>
      <c r="F695" s="25">
        <f>IF(H695=0,'Combined Retirement'!$D$32,0)+'Combined Retirement'!$B$24</f>
        <v>2870.372285649099</v>
      </c>
      <c r="G695" s="25">
        <f>'Combined Retirement'!$C$24</f>
        <v>3254.2644699519233</v>
      </c>
      <c r="H695" s="25">
        <f>IF(B695&lt;62,0,'Combined Retirement'!$I$14)</f>
        <v>2345</v>
      </c>
      <c r="I695" s="25">
        <f>IF(C695&lt;62,0,'Combined Retirement'!$I$13)</f>
        <v>2420</v>
      </c>
      <c r="J695" s="25">
        <f t="shared" si="523"/>
        <v>7896.2379798201846</v>
      </c>
      <c r="K695" s="25">
        <f t="shared" si="524"/>
        <v>20367.195264578786</v>
      </c>
      <c r="L695" s="25"/>
      <c r="N695" s="25">
        <f>'Combined Retirement'!$C$18/12</f>
        <v>39153.069999999992</v>
      </c>
      <c r="O695" s="25">
        <f t="shared" si="525"/>
        <v>10889.636755601023</v>
      </c>
      <c r="P695" s="25">
        <f t="shared" si="526"/>
        <v>28263.43324439897</v>
      </c>
      <c r="Q695" s="25">
        <f t="array" aca="1" ref="Q695" ca="1">INDEX('Isaac 401k'!L:L,MATCH('Retirement Calculator'!A695,'Isaac 401k'!N:N,0),0)</f>
        <v>1927617.3088729375</v>
      </c>
      <c r="R695" s="25">
        <f t="array" aca="1" ref="R695" ca="1">INDEX('Lorri 401b'!L:L,MATCH('Retirement Calculator'!A695,'Lorri 401b'!N:N,0),0)</f>
        <v>259740.65456235065</v>
      </c>
      <c r="S695" s="25">
        <f t="shared" ca="1" si="527"/>
        <v>2187357.9634352881</v>
      </c>
    </row>
    <row r="696" spans="1:19" ht="15.75" customHeight="1" x14ac:dyDescent="0.3">
      <c r="A696" s="37">
        <v>72137</v>
      </c>
      <c r="B696" s="398">
        <f t="shared" ref="B696:C696" si="702">($A696-B$9)/365.25</f>
        <v>115.62217659137578</v>
      </c>
      <c r="C696" s="398">
        <f t="shared" si="702"/>
        <v>111.01163586584531</v>
      </c>
      <c r="E696" s="25">
        <f>IF(C696&gt;$B$7,0,'Combined Retirement'!$D$13/12)</f>
        <v>0</v>
      </c>
      <c r="F696" s="25">
        <f>IF(H696=0,'Combined Retirement'!$D$32,0)+'Combined Retirement'!$B$24</f>
        <v>2870.372285649099</v>
      </c>
      <c r="G696" s="25">
        <f>'Combined Retirement'!$C$24</f>
        <v>3254.2644699519233</v>
      </c>
      <c r="H696" s="25">
        <f>IF(B696&lt;62,0,'Combined Retirement'!$I$14)</f>
        <v>2345</v>
      </c>
      <c r="I696" s="25">
        <f>IF(C696&lt;62,0,'Combined Retirement'!$I$13)</f>
        <v>2420</v>
      </c>
      <c r="J696" s="25">
        <f t="shared" si="523"/>
        <v>7896.2379798201846</v>
      </c>
      <c r="K696" s="25">
        <f t="shared" si="524"/>
        <v>20367.195264578786</v>
      </c>
      <c r="L696" s="25"/>
      <c r="N696" s="25">
        <f>'Combined Retirement'!$C$18/12</f>
        <v>39153.069999999992</v>
      </c>
      <c r="O696" s="25">
        <f t="shared" si="525"/>
        <v>10889.636755601023</v>
      </c>
      <c r="P696" s="25">
        <f t="shared" si="526"/>
        <v>28263.43324439897</v>
      </c>
      <c r="Q696" s="25">
        <f t="array" aca="1" ref="Q696" ca="1">INDEX('Isaac 401k'!L:L,MATCH('Retirement Calculator'!A696,'Isaac 401k'!N:N,0),0)</f>
        <v>1927719.9086885052</v>
      </c>
      <c r="R696" s="25">
        <f t="array" aca="1" ref="R696" ca="1">INDEX('Lorri 401b'!L:L,MATCH('Retirement Calculator'!A696,'Lorri 401b'!N:N,0),0)</f>
        <v>240370.84871151258</v>
      </c>
      <c r="S696" s="25">
        <f t="shared" ca="1" si="527"/>
        <v>2168090.7574000177</v>
      </c>
    </row>
    <row r="697" spans="1:19" ht="15.75" customHeight="1" x14ac:dyDescent="0.3">
      <c r="A697" s="37">
        <v>72168</v>
      </c>
      <c r="B697" s="398">
        <f t="shared" ref="B697:C697" si="703">($A697-B$9)/365.25</f>
        <v>115.70704996577686</v>
      </c>
      <c r="C697" s="398">
        <f t="shared" si="703"/>
        <v>111.09650924024641</v>
      </c>
      <c r="E697" s="25">
        <f>IF(C697&gt;$B$7,0,'Combined Retirement'!$D$13/12)</f>
        <v>0</v>
      </c>
      <c r="F697" s="25">
        <f>IF(H697=0,'Combined Retirement'!$D$32,0)+'Combined Retirement'!$B$24</f>
        <v>2870.372285649099</v>
      </c>
      <c r="G697" s="25">
        <f>'Combined Retirement'!$C$24</f>
        <v>3254.2644699519233</v>
      </c>
      <c r="H697" s="25">
        <f>IF(B697&lt;62,0,'Combined Retirement'!$I$14)</f>
        <v>2345</v>
      </c>
      <c r="I697" s="25">
        <f>IF(C697&lt;62,0,'Combined Retirement'!$I$13)</f>
        <v>2420</v>
      </c>
      <c r="J697" s="25">
        <f t="shared" si="523"/>
        <v>7896.2379798201846</v>
      </c>
      <c r="K697" s="25">
        <f t="shared" si="524"/>
        <v>20367.195264578786</v>
      </c>
      <c r="L697" s="25"/>
      <c r="N697" s="25">
        <f>'Combined Retirement'!$C$18/12</f>
        <v>39153.069999999992</v>
      </c>
      <c r="O697" s="25">
        <f t="shared" si="525"/>
        <v>10889.636755601023</v>
      </c>
      <c r="P697" s="25">
        <f t="shared" si="526"/>
        <v>28263.43324439897</v>
      </c>
      <c r="Q697" s="25">
        <f t="array" aca="1" ref="Q697" ca="1">INDEX('Isaac 401k'!L:L,MATCH('Retirement Calculator'!A697,'Isaac 401k'!N:N,0),0)</f>
        <v>1927822.9360033046</v>
      </c>
      <c r="R697" s="25">
        <f t="array" aca="1" ref="R697" ca="1">INDEX('Lorri 401b'!L:L,MATCH('Retirement Calculator'!A697,'Lorri 401b'!N:N,0),0)</f>
        <v>220920.335336296</v>
      </c>
      <c r="S697" s="25">
        <f t="shared" ca="1" si="527"/>
        <v>2148743.2713396004</v>
      </c>
    </row>
    <row r="698" spans="1:19" ht="15.75" customHeight="1" x14ac:dyDescent="0.3">
      <c r="A698" s="37">
        <v>72199</v>
      </c>
      <c r="B698" s="398">
        <f t="shared" ref="B698:C698" si="704">($A698-B$9)/365.25</f>
        <v>115.79192334017796</v>
      </c>
      <c r="C698" s="398">
        <f t="shared" si="704"/>
        <v>111.1813826146475</v>
      </c>
      <c r="E698" s="25">
        <f>IF(C698&gt;$B$7,0,'Combined Retirement'!$D$13/12)</f>
        <v>0</v>
      </c>
      <c r="F698" s="25">
        <f>IF(H698=0,'Combined Retirement'!$D$32,0)+'Combined Retirement'!$B$24</f>
        <v>2870.372285649099</v>
      </c>
      <c r="G698" s="25">
        <f>'Combined Retirement'!$C$24</f>
        <v>3254.2644699519233</v>
      </c>
      <c r="H698" s="25">
        <f>IF(B698&lt;62,0,'Combined Retirement'!$I$14)</f>
        <v>2345</v>
      </c>
      <c r="I698" s="25">
        <f>IF(C698&lt;62,0,'Combined Retirement'!$I$13)</f>
        <v>2420</v>
      </c>
      <c r="J698" s="25">
        <f t="shared" si="523"/>
        <v>7896.2379798201846</v>
      </c>
      <c r="K698" s="25">
        <f t="shared" si="524"/>
        <v>20367.195264578786</v>
      </c>
      <c r="L698" s="25"/>
      <c r="N698" s="25">
        <f>'Combined Retirement'!$C$18/12</f>
        <v>39153.069999999992</v>
      </c>
      <c r="O698" s="25">
        <f t="shared" si="525"/>
        <v>10889.636755601023</v>
      </c>
      <c r="P698" s="25">
        <f t="shared" si="526"/>
        <v>28263.43324439897</v>
      </c>
      <c r="Q698" s="25">
        <f t="array" aca="1" ref="Q698" ca="1">INDEX('Isaac 401k'!L:L,MATCH('Retirement Calculator'!A698,'Isaac 401k'!N:N,0),0)</f>
        <v>1927926.3925985822</v>
      </c>
      <c r="R698" s="25">
        <f t="array" aca="1" ref="R698" ca="1">INDEX('Lorri 401b'!L:L,MATCH('Retirement Calculator'!A698,'Lorri 401b'!N:N,0),0)</f>
        <v>201388.77815534937</v>
      </c>
      <c r="S698" s="25">
        <f t="shared" ca="1" si="527"/>
        <v>2129315.1707539316</v>
      </c>
    </row>
    <row r="699" spans="1:19" ht="15.75" customHeight="1" x14ac:dyDescent="0.3">
      <c r="A699" s="37">
        <v>72229</v>
      </c>
      <c r="B699" s="398">
        <f t="shared" ref="B699:C699" si="705">($A699-B$9)/365.25</f>
        <v>115.87405886379193</v>
      </c>
      <c r="C699" s="398">
        <f t="shared" si="705"/>
        <v>111.26351813826146</v>
      </c>
      <c r="E699" s="25">
        <f>IF(C699&gt;$B$7,0,'Combined Retirement'!$D$13/12)</f>
        <v>0</v>
      </c>
      <c r="F699" s="25">
        <f>IF(H699=0,'Combined Retirement'!$D$32,0)+'Combined Retirement'!$B$24</f>
        <v>2870.372285649099</v>
      </c>
      <c r="G699" s="25">
        <f>'Combined Retirement'!$C$24</f>
        <v>3254.2644699519233</v>
      </c>
      <c r="H699" s="25">
        <f>IF(B699&lt;62,0,'Combined Retirement'!$I$14)</f>
        <v>2345</v>
      </c>
      <c r="I699" s="25">
        <f>IF(C699&lt;62,0,'Combined Retirement'!$I$13)</f>
        <v>2420</v>
      </c>
      <c r="J699" s="25">
        <f t="shared" si="523"/>
        <v>7896.2379798201846</v>
      </c>
      <c r="K699" s="25">
        <f t="shared" si="524"/>
        <v>20367.195264578786</v>
      </c>
      <c r="L699" s="25"/>
      <c r="N699" s="25">
        <f>'Combined Retirement'!$C$18/12</f>
        <v>39153.069999999992</v>
      </c>
      <c r="O699" s="25">
        <f t="shared" si="525"/>
        <v>10889.636755601023</v>
      </c>
      <c r="P699" s="25">
        <f t="shared" si="526"/>
        <v>28263.43324439897</v>
      </c>
      <c r="Q699" s="25">
        <f t="array" aca="1" ref="Q699" ca="1">INDEX('Isaac 401k'!L:L,MATCH('Retirement Calculator'!A699,'Isaac 401k'!N:N,0),0)</f>
        <v>1928030.2802630069</v>
      </c>
      <c r="R699" s="25">
        <f t="array" aca="1" ref="R699" ca="1">INDEX('Lorri 401b'!L:L,MATCH('Retirement Calculator'!A699,'Lorri 401b'!N:N,0),0)</f>
        <v>181775.83948614879</v>
      </c>
      <c r="S699" s="25">
        <f t="shared" ca="1" si="527"/>
        <v>2109806.1197491558</v>
      </c>
    </row>
    <row r="700" spans="1:19" ht="15.75" customHeight="1" x14ac:dyDescent="0.3">
      <c r="A700" s="37">
        <v>72260</v>
      </c>
      <c r="B700" s="398">
        <f t="shared" ref="B700:C700" si="706">($A700-B$9)/365.25</f>
        <v>115.95893223819301</v>
      </c>
      <c r="C700" s="398">
        <f t="shared" si="706"/>
        <v>111.34839151266256</v>
      </c>
      <c r="E700" s="25">
        <f>IF(C700&gt;$B$7,0,'Combined Retirement'!$D$13/12)</f>
        <v>0</v>
      </c>
      <c r="F700" s="25">
        <f>IF(H700=0,'Combined Retirement'!$D$32,0)+'Combined Retirement'!$B$24</f>
        <v>2870.372285649099</v>
      </c>
      <c r="G700" s="25">
        <f>'Combined Retirement'!$C$24</f>
        <v>3254.2644699519233</v>
      </c>
      <c r="H700" s="25">
        <f>IF(B700&lt;62,0,'Combined Retirement'!$I$14)</f>
        <v>2345</v>
      </c>
      <c r="I700" s="25">
        <f>IF(C700&lt;62,0,'Combined Retirement'!$I$13)</f>
        <v>2420</v>
      </c>
      <c r="J700" s="25">
        <f t="shared" si="523"/>
        <v>7896.2379798201846</v>
      </c>
      <c r="K700" s="25">
        <f t="shared" si="524"/>
        <v>20367.195264578786</v>
      </c>
      <c r="L700" s="25"/>
      <c r="N700" s="25">
        <f>'Combined Retirement'!$C$18/12</f>
        <v>39153.069999999992</v>
      </c>
      <c r="O700" s="25">
        <f t="shared" si="525"/>
        <v>10889.636755601023</v>
      </c>
      <c r="P700" s="25">
        <f t="shared" si="526"/>
        <v>28263.43324439897</v>
      </c>
      <c r="Q700" s="25">
        <f t="array" aca="1" ref="Q700" ca="1">INDEX('Isaac 401k'!L:L,MATCH('Retirement Calculator'!A700,'Isaac 401k'!N:N,0),0)</f>
        <v>1928134.6007927</v>
      </c>
      <c r="R700" s="25">
        <f t="array" aca="1" ref="R700" ca="1">INDEX('Lorri 401b'!L:L,MATCH('Retirement Calculator'!A700,'Lorri 401b'!N:N,0),0)</f>
        <v>162081.18023915988</v>
      </c>
      <c r="S700" s="25">
        <f t="shared" ca="1" si="527"/>
        <v>2090215.7810318598</v>
      </c>
    </row>
    <row r="701" spans="1:19" ht="15.75" customHeight="1" x14ac:dyDescent="0.3">
      <c r="A701" s="37">
        <v>72290</v>
      </c>
      <c r="B701" s="398">
        <f t="shared" ref="B701:C701" si="707">($A701-B$9)/365.25</f>
        <v>116.04106776180699</v>
      </c>
      <c r="C701" s="398">
        <f t="shared" si="707"/>
        <v>111.43052703627653</v>
      </c>
      <c r="E701" s="25">
        <f>IF(C701&gt;$B$7,0,'Combined Retirement'!$D$13/12)</f>
        <v>0</v>
      </c>
      <c r="F701" s="25">
        <f>IF(H701=0,'Combined Retirement'!$D$32,0)+'Combined Retirement'!$B$24</f>
        <v>2870.372285649099</v>
      </c>
      <c r="G701" s="25">
        <f>'Combined Retirement'!$C$24</f>
        <v>3254.2644699519233</v>
      </c>
      <c r="H701" s="25">
        <f>IF(B701&lt;62,0,'Combined Retirement'!$I$14)</f>
        <v>2345</v>
      </c>
      <c r="I701" s="25">
        <f>IF(C701&lt;62,0,'Combined Retirement'!$I$13)</f>
        <v>2420</v>
      </c>
      <c r="J701" s="25">
        <f t="shared" si="523"/>
        <v>7896.2379798201846</v>
      </c>
      <c r="K701" s="25">
        <f t="shared" si="524"/>
        <v>20367.195264578786</v>
      </c>
      <c r="L701" s="25"/>
      <c r="N701" s="25">
        <f>'Combined Retirement'!$C$18/12</f>
        <v>39153.069999999992</v>
      </c>
      <c r="O701" s="25">
        <f t="shared" si="525"/>
        <v>10889.636755601023</v>
      </c>
      <c r="P701" s="25">
        <f t="shared" si="526"/>
        <v>28263.43324439897</v>
      </c>
      <c r="Q701" s="25">
        <f t="array" aca="1" ref="Q701" ca="1">INDEX('Isaac 401k'!L:L,MATCH('Retirement Calculator'!A701,'Isaac 401k'!N:N,0),0)</f>
        <v>1928239.3559912667</v>
      </c>
      <c r="R701" s="25">
        <f t="array" aca="1" ref="R701" ca="1">INDEX('Lorri 401b'!L:L,MATCH('Retirement Calculator'!A701,'Lorri 401b'!N:N,0),0)</f>
        <v>142304.45991197517</v>
      </c>
      <c r="S701" s="25">
        <f t="shared" ca="1" si="527"/>
        <v>2070543.8159032417</v>
      </c>
    </row>
    <row r="702" spans="1:19" ht="15.75" customHeight="1" x14ac:dyDescent="0.3">
      <c r="A702" s="37">
        <v>72321</v>
      </c>
      <c r="B702" s="398">
        <f t="shared" ref="B702:C702" si="708">($A702-B$9)/365.25</f>
        <v>116.12594113620807</v>
      </c>
      <c r="C702" s="398">
        <f t="shared" si="708"/>
        <v>111.51540041067761</v>
      </c>
      <c r="E702" s="25">
        <f>IF(C702&gt;$B$7,0,'Combined Retirement'!$D$13/12)</f>
        <v>0</v>
      </c>
      <c r="F702" s="25">
        <f>IF(H702=0,'Combined Retirement'!$D$32,0)+'Combined Retirement'!$B$24</f>
        <v>2870.372285649099</v>
      </c>
      <c r="G702" s="25">
        <f>'Combined Retirement'!$C$24</f>
        <v>3254.2644699519233</v>
      </c>
      <c r="H702" s="25">
        <f>IF(B702&lt;62,0,'Combined Retirement'!$I$14)</f>
        <v>2345</v>
      </c>
      <c r="I702" s="25">
        <f>IF(C702&lt;62,0,'Combined Retirement'!$I$13)</f>
        <v>2420</v>
      </c>
      <c r="J702" s="25">
        <f t="shared" si="523"/>
        <v>7896.2379798201846</v>
      </c>
      <c r="K702" s="25">
        <f t="shared" si="524"/>
        <v>20367.195264578786</v>
      </c>
      <c r="L702" s="25"/>
      <c r="N702" s="25">
        <f>'Combined Retirement'!$C$18/12</f>
        <v>39153.069999999992</v>
      </c>
      <c r="O702" s="25">
        <f t="shared" si="525"/>
        <v>10889.636755601023</v>
      </c>
      <c r="P702" s="25">
        <f t="shared" si="526"/>
        <v>28263.43324439897</v>
      </c>
      <c r="Q702" s="25">
        <f t="array" aca="1" ref="Q702" ca="1">INDEX('Isaac 401k'!L:L,MATCH('Retirement Calculator'!A702,'Isaac 401k'!N:N,0),0)</f>
        <v>1928344.5476698275</v>
      </c>
      <c r="R702" s="25">
        <f t="array" aca="1" ref="R702" ca="1">INDEX('Lorri 401b'!L:L,MATCH('Retirement Calculator'!A702,'Lorri 401b'!N:N,0),0)</f>
        <v>122445.3365834272</v>
      </c>
      <c r="S702" s="25">
        <f t="shared" ca="1" si="527"/>
        <v>2050789.8842532546</v>
      </c>
    </row>
    <row r="703" spans="1:19" ht="15.75" customHeight="1" x14ac:dyDescent="0.3">
      <c r="A703" s="37">
        <v>72352</v>
      </c>
      <c r="B703" s="398">
        <f t="shared" ref="B703:C703" si="709">($A703-B$9)/365.25</f>
        <v>116.21081451060917</v>
      </c>
      <c r="C703" s="398">
        <f t="shared" si="709"/>
        <v>111.60027378507871</v>
      </c>
      <c r="E703" s="25">
        <f>IF(C703&gt;$B$7,0,'Combined Retirement'!$D$13/12)</f>
        <v>0</v>
      </c>
      <c r="F703" s="25">
        <f>IF(H703=0,'Combined Retirement'!$D$32,0)+'Combined Retirement'!$B$24</f>
        <v>2870.372285649099</v>
      </c>
      <c r="G703" s="25">
        <f>'Combined Retirement'!$C$24</f>
        <v>3254.2644699519233</v>
      </c>
      <c r="H703" s="25">
        <f>IF(B703&lt;62,0,'Combined Retirement'!$I$14)</f>
        <v>2345</v>
      </c>
      <c r="I703" s="25">
        <f>IF(C703&lt;62,0,'Combined Retirement'!$I$13)</f>
        <v>2420</v>
      </c>
      <c r="J703" s="25">
        <f t="shared" si="523"/>
        <v>7896.2379798201846</v>
      </c>
      <c r="K703" s="25">
        <f t="shared" si="524"/>
        <v>20367.195264578786</v>
      </c>
      <c r="L703" s="25"/>
      <c r="N703" s="25">
        <f>'Combined Retirement'!$C$18/12</f>
        <v>39153.069999999992</v>
      </c>
      <c r="O703" s="25">
        <f t="shared" si="525"/>
        <v>10889.636755601023</v>
      </c>
      <c r="P703" s="25">
        <f t="shared" si="526"/>
        <v>28263.43324439897</v>
      </c>
      <c r="Q703" s="25">
        <f t="array" aca="1" ref="Q703" ca="1">INDEX('Isaac 401k'!L:L,MATCH('Retirement Calculator'!A703,'Isaac 401k'!N:N,0),0)</f>
        <v>1928450.1776470488</v>
      </c>
      <c r="R703" s="25">
        <f t="array" aca="1" ref="R703" ca="1">INDEX('Lorri 401b'!L:L,MATCH('Retirement Calculator'!A703,'Lorri 401b'!N:N,0),0)</f>
        <v>102503.46690767695</v>
      </c>
      <c r="S703" s="25">
        <f t="shared" ca="1" si="527"/>
        <v>2030953.6445547258</v>
      </c>
    </row>
    <row r="704" spans="1:19" ht="15.75" customHeight="1" x14ac:dyDescent="0.3">
      <c r="A704" s="37">
        <v>72380</v>
      </c>
      <c r="B704" s="398">
        <f t="shared" ref="B704:C704" si="710">($A704-B$9)/365.25</f>
        <v>116.28747433264887</v>
      </c>
      <c r="C704" s="398">
        <f t="shared" si="710"/>
        <v>111.67693360711841</v>
      </c>
      <c r="E704" s="25">
        <f>IF(C704&gt;$B$7,0,'Combined Retirement'!$D$13/12)</f>
        <v>0</v>
      </c>
      <c r="F704" s="25">
        <f>IF(H704=0,'Combined Retirement'!$D$32,0)+'Combined Retirement'!$B$24</f>
        <v>2870.372285649099</v>
      </c>
      <c r="G704" s="25">
        <f>'Combined Retirement'!$C$24</f>
        <v>3254.2644699519233</v>
      </c>
      <c r="H704" s="25">
        <f>IF(B704&lt;62,0,'Combined Retirement'!$I$14)</f>
        <v>2345</v>
      </c>
      <c r="I704" s="25">
        <f>IF(C704&lt;62,0,'Combined Retirement'!$I$13)</f>
        <v>2420</v>
      </c>
      <c r="J704" s="25">
        <f t="shared" si="523"/>
        <v>7896.2379798201846</v>
      </c>
      <c r="K704" s="25">
        <f t="shared" si="524"/>
        <v>20367.195264578786</v>
      </c>
      <c r="L704" s="25"/>
      <c r="N704" s="25">
        <f>'Combined Retirement'!$C$18/12</f>
        <v>39153.069999999992</v>
      </c>
      <c r="O704" s="25">
        <f t="shared" si="525"/>
        <v>10889.636755601023</v>
      </c>
      <c r="P704" s="25">
        <f t="shared" si="526"/>
        <v>28263.43324439897</v>
      </c>
      <c r="Q704" s="25">
        <f t="array" aca="1" ref="Q704" ca="1">INDEX('Isaac 401k'!L:L,MATCH('Retirement Calculator'!A704,'Isaac 401k'!N:N,0),0)</f>
        <v>1928556.2477491754</v>
      </c>
      <c r="R704" s="25">
        <f t="array" aca="1" ref="R704" ca="1">INDEX('Lorri 401b'!L:L,MATCH('Retirement Calculator'!A704,'Lorri 401b'!N:N,0),0)</f>
        <v>82478.506108277739</v>
      </c>
      <c r="S704" s="25">
        <f t="shared" ca="1" si="527"/>
        <v>2011034.7538574531</v>
      </c>
    </row>
    <row r="705" spans="1:19" ht="15.75" customHeight="1" x14ac:dyDescent="0.3">
      <c r="A705" s="37">
        <v>72411</v>
      </c>
      <c r="B705" s="398">
        <f t="shared" ref="B705:C705" si="711">($A705-B$9)/365.25</f>
        <v>116.37234770704997</v>
      </c>
      <c r="C705" s="398">
        <f t="shared" si="711"/>
        <v>111.76180698151951</v>
      </c>
      <c r="E705" s="25">
        <f>IF(C705&gt;$B$7,0,'Combined Retirement'!$D$13/12)</f>
        <v>0</v>
      </c>
      <c r="F705" s="25">
        <f>IF(H705=0,'Combined Retirement'!$D$32,0)+'Combined Retirement'!$B$24</f>
        <v>2870.372285649099</v>
      </c>
      <c r="G705" s="25">
        <f>'Combined Retirement'!$C$24</f>
        <v>3254.2644699519233</v>
      </c>
      <c r="H705" s="25">
        <f>IF(B705&lt;62,0,'Combined Retirement'!$I$14)</f>
        <v>2345</v>
      </c>
      <c r="I705" s="25">
        <f>IF(C705&lt;62,0,'Combined Retirement'!$I$13)</f>
        <v>2420</v>
      </c>
      <c r="J705" s="25">
        <f t="shared" si="523"/>
        <v>7896.2379798201846</v>
      </c>
      <c r="K705" s="25">
        <f t="shared" si="524"/>
        <v>20367.195264578786</v>
      </c>
      <c r="L705" s="25"/>
      <c r="N705" s="25">
        <f>'Combined Retirement'!$C$18/12</f>
        <v>39153.069999999992</v>
      </c>
      <c r="O705" s="25">
        <f t="shared" si="525"/>
        <v>10889.636755601023</v>
      </c>
      <c r="P705" s="25">
        <f t="shared" si="526"/>
        <v>28263.43324439897</v>
      </c>
      <c r="Q705" s="25">
        <f t="array" aca="1" ref="Q705" ca="1">INDEX('Isaac 401k'!L:L,MATCH('Retirement Calculator'!A705,'Isaac 401k'!N:N,0),0)</f>
        <v>1928662.7598100607</v>
      </c>
      <c r="R705" s="25">
        <f t="array" aca="1" ref="R705" ca="1">INDEX('Lorri 401b'!L:L,MATCH('Retirement Calculator'!A705,'Lorri 401b'!N:N,0),0)</f>
        <v>62370.10797221437</v>
      </c>
      <c r="S705" s="25">
        <f t="shared" ca="1" si="527"/>
        <v>1991032.8677822752</v>
      </c>
    </row>
    <row r="706" spans="1:19" ht="15.75" customHeight="1" x14ac:dyDescent="0.3">
      <c r="A706" s="37">
        <v>72441</v>
      </c>
      <c r="B706" s="398">
        <f t="shared" ref="B706:C706" si="712">($A706-B$9)/365.25</f>
        <v>116.45448323066393</v>
      </c>
      <c r="C706" s="398">
        <f t="shared" si="712"/>
        <v>111.84394250513347</v>
      </c>
      <c r="E706" s="25">
        <f>IF(C706&gt;$B$7,0,'Combined Retirement'!$D$13/12)</f>
        <v>0</v>
      </c>
      <c r="F706" s="25">
        <f>IF(H706=0,'Combined Retirement'!$D$32,0)+'Combined Retirement'!$B$24</f>
        <v>2870.372285649099</v>
      </c>
      <c r="G706" s="25">
        <f>'Combined Retirement'!$C$24</f>
        <v>3254.2644699519233</v>
      </c>
      <c r="H706" s="25">
        <f>IF(B706&lt;62,0,'Combined Retirement'!$I$14)</f>
        <v>2345</v>
      </c>
      <c r="I706" s="25">
        <f>IF(C706&lt;62,0,'Combined Retirement'!$I$13)</f>
        <v>2420</v>
      </c>
      <c r="J706" s="25">
        <f t="shared" si="523"/>
        <v>7896.2379798201846</v>
      </c>
      <c r="K706" s="25">
        <f t="shared" si="524"/>
        <v>20367.195264578786</v>
      </c>
      <c r="L706" s="25"/>
      <c r="N706" s="25">
        <f>'Combined Retirement'!$C$18/12</f>
        <v>39153.069999999992</v>
      </c>
      <c r="O706" s="25">
        <f t="shared" si="525"/>
        <v>10889.636755601023</v>
      </c>
      <c r="P706" s="25">
        <f t="shared" si="526"/>
        <v>28263.43324439897</v>
      </c>
      <c r="Q706" s="25">
        <f t="array" aca="1" ref="Q706" ca="1">INDEX('Isaac 401k'!L:L,MATCH('Retirement Calculator'!A706,'Isaac 401k'!N:N,0),0)</f>
        <v>1928769.7156711998</v>
      </c>
      <c r="R706" s="25">
        <f t="array" aca="1" ref="R706" ca="1">INDEX('Lorri 401b'!L:L,MATCH('Retirement Calculator'!A706,'Lorri 401b'!N:N,0),0)</f>
        <v>42177.924843917397</v>
      </c>
      <c r="S706" s="25">
        <f t="shared" ca="1" si="527"/>
        <v>1970947.6405151172</v>
      </c>
    </row>
    <row r="707" spans="1:19" ht="15.75" customHeight="1" x14ac:dyDescent="0.3">
      <c r="A707" s="37">
        <v>72472</v>
      </c>
      <c r="B707" s="398">
        <f t="shared" ref="B707:C707" si="713">($A707-B$9)/365.25</f>
        <v>116.53935660506502</v>
      </c>
      <c r="C707" s="398">
        <f t="shared" si="713"/>
        <v>111.92881587953457</v>
      </c>
      <c r="E707" s="25">
        <f>IF(C707&gt;$B$7,0,'Combined Retirement'!$D$13/12)</f>
        <v>0</v>
      </c>
      <c r="F707" s="25">
        <f>IF(H707=0,'Combined Retirement'!$D$32,0)+'Combined Retirement'!$B$24</f>
        <v>2870.372285649099</v>
      </c>
      <c r="G707" s="25">
        <f>'Combined Retirement'!$C$24</f>
        <v>3254.2644699519233</v>
      </c>
      <c r="H707" s="25">
        <f>IF(B707&lt;62,0,'Combined Retirement'!$I$14)</f>
        <v>2345</v>
      </c>
      <c r="I707" s="25">
        <f>IF(C707&lt;62,0,'Combined Retirement'!$I$13)</f>
        <v>2420</v>
      </c>
      <c r="J707" s="25">
        <f t="shared" si="523"/>
        <v>7896.2379798201846</v>
      </c>
      <c r="K707" s="25">
        <f t="shared" si="524"/>
        <v>20367.195264578786</v>
      </c>
      <c r="L707" s="25"/>
      <c r="N707" s="25">
        <f>'Combined Retirement'!$C$18/12</f>
        <v>39153.069999999992</v>
      </c>
      <c r="O707" s="25">
        <f t="shared" si="525"/>
        <v>10889.636755601023</v>
      </c>
      <c r="P707" s="25">
        <f t="shared" si="526"/>
        <v>28263.43324439897</v>
      </c>
      <c r="Q707" s="25">
        <f t="array" aca="1" ref="Q707" ca="1">INDEX('Isaac 401k'!L:L,MATCH('Retirement Calculator'!A707,'Isaac 401k'!N:N,0),0)</f>
        <v>1928877.1171817603</v>
      </c>
      <c r="R707" s="25">
        <f t="array" aca="1" ref="R707" ca="1">INDEX('Lorri 401b'!L:L,MATCH('Retirement Calculator'!A707,'Lorri 401b'!N:N,0),0)</f>
        <v>21901.607619252522</v>
      </c>
      <c r="S707" s="25">
        <f t="shared" ca="1" si="527"/>
        <v>1950778.7248010128</v>
      </c>
    </row>
    <row r="708" spans="1:19" ht="15.75" customHeight="1" x14ac:dyDescent="0.3">
      <c r="A708" s="37">
        <v>72502</v>
      </c>
      <c r="B708" s="398">
        <f t="shared" ref="B708:C708" si="714">($A708-B$9)/365.25</f>
        <v>116.62149212867898</v>
      </c>
      <c r="C708" s="398">
        <f t="shared" si="714"/>
        <v>112.01095140314852</v>
      </c>
      <c r="E708" s="25">
        <f>IF(C708&gt;$B$7,0,'Combined Retirement'!$D$13/12)</f>
        <v>0</v>
      </c>
      <c r="F708" s="25">
        <f>IF(H708=0,'Combined Retirement'!$D$32,0)+'Combined Retirement'!$B$24</f>
        <v>2870.372285649099</v>
      </c>
      <c r="G708" s="25">
        <f>'Combined Retirement'!$C$24</f>
        <v>3254.2644699519233</v>
      </c>
      <c r="H708" s="25">
        <f>IF(B708&lt;62,0,'Combined Retirement'!$I$14)</f>
        <v>2345</v>
      </c>
      <c r="I708" s="25">
        <f>IF(C708&lt;62,0,'Combined Retirement'!$I$13)</f>
        <v>2420</v>
      </c>
      <c r="J708" s="25">
        <f t="shared" si="523"/>
        <v>7896.2379798201846</v>
      </c>
      <c r="K708" s="25">
        <f t="shared" si="524"/>
        <v>20367.195264578786</v>
      </c>
      <c r="L708" s="25"/>
      <c r="N708" s="25">
        <f>'Combined Retirement'!$C$18/12</f>
        <v>39153.069999999992</v>
      </c>
      <c r="O708" s="25">
        <f t="shared" si="525"/>
        <v>10889.636755601023</v>
      </c>
      <c r="P708" s="25">
        <f t="shared" si="526"/>
        <v>28263.43324439897</v>
      </c>
      <c r="Q708" s="25">
        <f t="array" aca="1" ref="Q708" ca="1">INDEX('Isaac 401k'!L:L,MATCH('Retirement Calculator'!A708,'Isaac 401k'!N:N,0),0)</f>
        <v>1928984.9661986148</v>
      </c>
      <c r="R708" s="25">
        <f t="array" aca="1" ref="R708" ca="1">INDEX('Lorri 401b'!L:L,MATCH('Retirement Calculator'!A708,'Lorri 401b'!N:N,0),0)</f>
        <v>1540.8057394848761</v>
      </c>
      <c r="S708" s="25">
        <f t="shared" ca="1" si="527"/>
        <v>1930525.7719380998</v>
      </c>
    </row>
    <row r="709" spans="1:19" ht="15.75" customHeight="1" x14ac:dyDescent="0.3">
      <c r="A709" s="37">
        <v>72533</v>
      </c>
      <c r="B709" s="398">
        <f t="shared" ref="B709:C709" si="715">($A709-B$9)/365.25</f>
        <v>116.70636550308008</v>
      </c>
      <c r="C709" s="398">
        <f t="shared" si="715"/>
        <v>112.09582477754962</v>
      </c>
      <c r="E709" s="25">
        <f>IF(C709&gt;$B$7,0,'Combined Retirement'!$D$13/12)</f>
        <v>0</v>
      </c>
      <c r="F709" s="25">
        <f>IF(H709=0,'Combined Retirement'!$D$32,0)+'Combined Retirement'!$B$24</f>
        <v>2870.372285649099</v>
      </c>
      <c r="G709" s="25">
        <f>'Combined Retirement'!$C$24</f>
        <v>3254.2644699519233</v>
      </c>
      <c r="H709" s="25">
        <f>IF(B709&lt;62,0,'Combined Retirement'!$I$14)</f>
        <v>2345</v>
      </c>
      <c r="I709" s="25">
        <f>IF(C709&lt;62,0,'Combined Retirement'!$I$13)</f>
        <v>2420</v>
      </c>
      <c r="J709" s="25">
        <f t="shared" si="523"/>
        <v>7896.2379798201846</v>
      </c>
      <c r="K709" s="25">
        <f t="shared" si="524"/>
        <v>20367.195264578786</v>
      </c>
      <c r="L709" s="25"/>
      <c r="N709" s="25">
        <f>'Combined Retirement'!$C$18/12</f>
        <v>39153.069999999992</v>
      </c>
      <c r="O709" s="25">
        <f t="shared" si="525"/>
        <v>10889.636755601023</v>
      </c>
      <c r="P709" s="25">
        <f t="shared" si="526"/>
        <v>28263.43324439897</v>
      </c>
      <c r="Q709" s="25">
        <f t="array" aca="1" ref="Q709" ca="1">INDEX('Isaac 401k'!L:L,MATCH('Retirement Calculator'!A709,'Isaac 401k'!N:N,0),0)</f>
        <v>1929093.2645863728</v>
      </c>
      <c r="R709" s="25">
        <f t="array" aca="1" ref="R709" ca="1">INDEX('Lorri 401b'!L:L,MATCH('Retirement Calculator'!A709,'Lorri 401b'!N:N,0),0)</f>
        <v>-18904.832814781799</v>
      </c>
      <c r="S709" s="25">
        <f t="shared" ca="1" si="527"/>
        <v>1910188.4317715911</v>
      </c>
    </row>
    <row r="710" spans="1:19" ht="15.75" customHeight="1" x14ac:dyDescent="0.3">
      <c r="A710" s="37">
        <v>72564</v>
      </c>
      <c r="B710" s="398">
        <f t="shared" ref="B710:C710" si="716">($A710-B$9)/365.25</f>
        <v>116.79123887748118</v>
      </c>
      <c r="C710" s="398">
        <f t="shared" si="716"/>
        <v>112.18069815195072</v>
      </c>
      <c r="E710" s="25">
        <f>IF(C710&gt;$B$7,0,'Combined Retirement'!$D$13/12)</f>
        <v>0</v>
      </c>
      <c r="F710" s="25">
        <f>IF(H710=0,'Combined Retirement'!$D$32,0)+'Combined Retirement'!$B$24</f>
        <v>2870.372285649099</v>
      </c>
      <c r="G710" s="25">
        <f>'Combined Retirement'!$C$24</f>
        <v>3254.2644699519233</v>
      </c>
      <c r="H710" s="25">
        <f>IF(B710&lt;62,0,'Combined Retirement'!$I$14)</f>
        <v>2345</v>
      </c>
      <c r="I710" s="25">
        <f>IF(C710&lt;62,0,'Combined Retirement'!$I$13)</f>
        <v>2420</v>
      </c>
      <c r="J710" s="25">
        <f t="shared" si="523"/>
        <v>7896.2379798201846</v>
      </c>
      <c r="K710" s="25">
        <f t="shared" si="524"/>
        <v>20367.195264578786</v>
      </c>
      <c r="L710" s="25"/>
      <c r="N710" s="25">
        <f>'Combined Retirement'!$C$18/12</f>
        <v>39153.069999999992</v>
      </c>
      <c r="O710" s="25">
        <f t="shared" si="525"/>
        <v>10889.636755601023</v>
      </c>
      <c r="P710" s="25">
        <f t="shared" si="526"/>
        <v>28263.43324439897</v>
      </c>
      <c r="Q710" s="25">
        <f t="array" aca="1" ref="Q710" ca="1">INDEX('Isaac 401k'!L:L,MATCH('Retirement Calculator'!A710,'Isaac 401k'!N:N,0),0)</f>
        <v>1929202.0142174133</v>
      </c>
      <c r="R710" s="25">
        <f t="array" aca="1" ref="R710" ca="1">INDEX('Lorri 401b'!L:L,MATCH('Retirement Calculator'!A710,'Lorri 401b'!N:N,0),0)</f>
        <v>-39435.661529691257</v>
      </c>
      <c r="S710" s="25">
        <f t="shared" ca="1" si="527"/>
        <v>1889766.3526877221</v>
      </c>
    </row>
    <row r="711" spans="1:19" ht="15.75" customHeight="1" x14ac:dyDescent="0.3">
      <c r="A711" s="37">
        <v>72594</v>
      </c>
      <c r="B711" s="398">
        <f t="shared" ref="B711:C711" si="717">($A711-B$9)/365.25</f>
        <v>116.87337440109513</v>
      </c>
      <c r="C711" s="398">
        <f t="shared" si="717"/>
        <v>112.26283367556468</v>
      </c>
      <c r="E711" s="25">
        <f>IF(C711&gt;$B$7,0,'Combined Retirement'!$D$13/12)</f>
        <v>0</v>
      </c>
      <c r="F711" s="25">
        <f>IF(H711=0,'Combined Retirement'!$D$32,0)+'Combined Retirement'!$B$24</f>
        <v>2870.372285649099</v>
      </c>
      <c r="G711" s="25">
        <f>'Combined Retirement'!$C$24</f>
        <v>3254.2644699519233</v>
      </c>
      <c r="H711" s="25">
        <f>IF(B711&lt;62,0,'Combined Retirement'!$I$14)</f>
        <v>2345</v>
      </c>
      <c r="I711" s="25">
        <f>IF(C711&lt;62,0,'Combined Retirement'!$I$13)</f>
        <v>2420</v>
      </c>
      <c r="J711" s="25">
        <f t="shared" si="523"/>
        <v>7896.2379798201846</v>
      </c>
      <c r="K711" s="25">
        <f t="shared" si="524"/>
        <v>20367.195264578786</v>
      </c>
      <c r="L711" s="25"/>
      <c r="N711" s="25">
        <f>'Combined Retirement'!$C$18/12</f>
        <v>39153.069999999992</v>
      </c>
      <c r="O711" s="25">
        <f t="shared" si="525"/>
        <v>10889.636755601023</v>
      </c>
      <c r="P711" s="25">
        <f t="shared" si="526"/>
        <v>28263.43324439897</v>
      </c>
      <c r="Q711" s="25">
        <f t="array" aca="1" ref="Q711" ca="1">INDEX('Isaac 401k'!L:L,MATCH('Retirement Calculator'!A711,'Isaac 401k'!N:N,0),0)</f>
        <v>1929311.2169719164</v>
      </c>
      <c r="R711" s="25">
        <f t="array" aca="1" ref="R711" ca="1">INDEX('Lorri 401b'!L:L,MATCH('Retirement Calculator'!A711,'Lorri 401b'!N:N,0),0)</f>
        <v>-60052.035364246171</v>
      </c>
      <c r="S711" s="25">
        <f t="shared" ca="1" si="527"/>
        <v>1869259.1816076702</v>
      </c>
    </row>
    <row r="712" spans="1:19" ht="15.75" customHeight="1" x14ac:dyDescent="0.3">
      <c r="A712" s="37">
        <v>72625</v>
      </c>
      <c r="B712" s="398">
        <f t="shared" ref="B712:C712" si="718">($A712-B$9)/365.25</f>
        <v>116.95824777549623</v>
      </c>
      <c r="C712" s="398">
        <f t="shared" si="718"/>
        <v>112.34770704996578</v>
      </c>
      <c r="E712" s="25">
        <f>IF(C712&gt;$B$7,0,'Combined Retirement'!$D$13/12)</f>
        <v>0</v>
      </c>
      <c r="F712" s="25">
        <f>IF(H712=0,'Combined Retirement'!$D$32,0)+'Combined Retirement'!$B$24</f>
        <v>2870.372285649099</v>
      </c>
      <c r="G712" s="25">
        <f>'Combined Retirement'!$C$24</f>
        <v>3254.2644699519233</v>
      </c>
      <c r="H712" s="25">
        <f>IF(B712&lt;62,0,'Combined Retirement'!$I$14)</f>
        <v>2345</v>
      </c>
      <c r="I712" s="25">
        <f>IF(C712&lt;62,0,'Combined Retirement'!$I$13)</f>
        <v>2420</v>
      </c>
      <c r="J712" s="25">
        <f t="shared" si="523"/>
        <v>7896.2379798201846</v>
      </c>
      <c r="K712" s="25">
        <f t="shared" si="524"/>
        <v>20367.195264578786</v>
      </c>
      <c r="L712" s="25"/>
      <c r="N712" s="25">
        <f>'Combined Retirement'!$C$18/12</f>
        <v>39153.069999999992</v>
      </c>
      <c r="O712" s="25">
        <f t="shared" si="525"/>
        <v>10889.636755601023</v>
      </c>
      <c r="P712" s="25">
        <f t="shared" si="526"/>
        <v>28263.43324439897</v>
      </c>
      <c r="Q712" s="25">
        <f t="array" aca="1" ref="Q712" ca="1">INDEX('Isaac 401k'!L:L,MATCH('Retirement Calculator'!A712,'Isaac 401k'!N:N,0),0)</f>
        <v>1929420.8747378965</v>
      </c>
      <c r="R712" s="25">
        <f t="array" aca="1" ref="R712" ca="1">INDEX('Lorri 401b'!L:L,MATCH('Retirement Calculator'!A712,'Lorri 401b'!N:N,0),0)</f>
        <v>-80754.310756445062</v>
      </c>
      <c r="S712" s="25">
        <f t="shared" ca="1" si="527"/>
        <v>1848666.5639814513</v>
      </c>
    </row>
    <row r="713" spans="1:19" ht="15.75" customHeight="1" x14ac:dyDescent="0.3">
      <c r="A713" s="37">
        <v>72655</v>
      </c>
      <c r="B713" s="398">
        <f t="shared" ref="B713:C713" si="719">($A713-B$9)/365.25</f>
        <v>117.0403832991102</v>
      </c>
      <c r="C713" s="398">
        <f t="shared" si="719"/>
        <v>112.42984257357973</v>
      </c>
      <c r="E713" s="25">
        <f>IF(C713&gt;$B$7,0,'Combined Retirement'!$D$13/12)</f>
        <v>0</v>
      </c>
      <c r="F713" s="25">
        <f>IF(H713=0,'Combined Retirement'!$D$32,0)+'Combined Retirement'!$B$24</f>
        <v>2870.372285649099</v>
      </c>
      <c r="G713" s="25">
        <f>'Combined Retirement'!$C$24</f>
        <v>3254.2644699519233</v>
      </c>
      <c r="H713" s="25">
        <f>IF(B713&lt;62,0,'Combined Retirement'!$I$14)</f>
        <v>2345</v>
      </c>
      <c r="I713" s="25">
        <f>IF(C713&lt;62,0,'Combined Retirement'!$I$13)</f>
        <v>2420</v>
      </c>
      <c r="J713" s="25">
        <f t="shared" si="523"/>
        <v>7896.2379798201846</v>
      </c>
      <c r="K713" s="25">
        <f t="shared" si="524"/>
        <v>20367.195264578786</v>
      </c>
      <c r="L713" s="25"/>
      <c r="N713" s="25">
        <f>'Combined Retirement'!$C$18/12</f>
        <v>39153.069999999992</v>
      </c>
      <c r="O713" s="25">
        <f t="shared" si="525"/>
        <v>10889.636755601023</v>
      </c>
      <c r="P713" s="25">
        <f t="shared" si="526"/>
        <v>28263.43324439897</v>
      </c>
      <c r="Q713" s="25">
        <f t="array" aca="1" ref="Q713" ca="1">INDEX('Isaac 401k'!L:L,MATCH('Retirement Calculator'!A713,'Isaac 401k'!N:N,0),0)</f>
        <v>1929530.9894112349</v>
      </c>
      <c r="R713" s="25">
        <f t="array" aca="1" ref="R713" ca="1">INDEX('Lorri 401b'!L:L,MATCH('Retirement Calculator'!A713,'Lorri 401b'!N:N,0),0)</f>
        <v>-101542.84562944478</v>
      </c>
      <c r="S713" s="25">
        <f t="shared" ca="1" si="527"/>
        <v>1827988.14378179</v>
      </c>
    </row>
    <row r="714" spans="1:19" ht="15.75" customHeight="1" x14ac:dyDescent="0.3">
      <c r="A714" s="37">
        <v>72686</v>
      </c>
      <c r="B714" s="398">
        <f t="shared" ref="B714:C714" si="720">($A714-B$9)/365.25</f>
        <v>117.12525667351129</v>
      </c>
      <c r="C714" s="398">
        <f t="shared" si="720"/>
        <v>112.51471594798083</v>
      </c>
      <c r="E714" s="25">
        <f>IF(C714&gt;$B$7,0,'Combined Retirement'!$D$13/12)</f>
        <v>0</v>
      </c>
      <c r="F714" s="25">
        <f>IF(H714=0,'Combined Retirement'!$D$32,0)+'Combined Retirement'!$B$24</f>
        <v>2870.372285649099</v>
      </c>
      <c r="G714" s="25">
        <f>'Combined Retirement'!$C$24</f>
        <v>3254.2644699519233</v>
      </c>
      <c r="H714" s="25">
        <f>IF(B714&lt;62,0,'Combined Retirement'!$I$14)</f>
        <v>2345</v>
      </c>
      <c r="I714" s="25">
        <f>IF(C714&lt;62,0,'Combined Retirement'!$I$13)</f>
        <v>2420</v>
      </c>
      <c r="J714" s="25">
        <f t="shared" si="523"/>
        <v>7896.2379798201846</v>
      </c>
      <c r="K714" s="25">
        <f t="shared" si="524"/>
        <v>20367.195264578786</v>
      </c>
      <c r="L714" s="25"/>
      <c r="N714" s="25">
        <f>'Combined Retirement'!$C$18/12</f>
        <v>39153.069999999992</v>
      </c>
      <c r="O714" s="25">
        <f t="shared" si="525"/>
        <v>10889.636755601023</v>
      </c>
      <c r="P714" s="25">
        <f t="shared" si="526"/>
        <v>28263.43324439897</v>
      </c>
      <c r="Q714" s="25">
        <f t="array" aca="1" ref="Q714" ca="1">INDEX('Isaac 401k'!L:L,MATCH('Retirement Calculator'!A714,'Isaac 401k'!N:N,0),0)</f>
        <v>1929641.5628957122</v>
      </c>
      <c r="R714" s="25">
        <f t="array" aca="1" ref="R714" ca="1">INDEX('Lorri 401b'!L:L,MATCH('Retirement Calculator'!A714,'Lorri 401b'!N:N,0),0)</f>
        <v>-122417.99939774866</v>
      </c>
      <c r="S714" s="25">
        <f t="shared" ca="1" si="527"/>
        <v>1807223.5634979636</v>
      </c>
    </row>
    <row r="715" spans="1:19" ht="15.75" customHeight="1" x14ac:dyDescent="0.3">
      <c r="A715" s="37">
        <v>72717</v>
      </c>
      <c r="B715" s="398">
        <f t="shared" ref="B715:C715" si="721">($A715-B$9)/365.25</f>
        <v>117.21013004791239</v>
      </c>
      <c r="C715" s="398">
        <f t="shared" si="721"/>
        <v>112.59958932238193</v>
      </c>
      <c r="E715" s="25">
        <f>IF(C715&gt;$B$7,0,'Combined Retirement'!$D$13/12)</f>
        <v>0</v>
      </c>
      <c r="F715" s="25">
        <f>IF(H715=0,'Combined Retirement'!$D$32,0)+'Combined Retirement'!$B$24</f>
        <v>2870.372285649099</v>
      </c>
      <c r="G715" s="25">
        <f>'Combined Retirement'!$C$24</f>
        <v>3254.2644699519233</v>
      </c>
      <c r="H715" s="25">
        <f>IF(B715&lt;62,0,'Combined Retirement'!$I$14)</f>
        <v>2345</v>
      </c>
      <c r="I715" s="25">
        <f>IF(C715&lt;62,0,'Combined Retirement'!$I$13)</f>
        <v>2420</v>
      </c>
      <c r="J715" s="25">
        <f t="shared" si="523"/>
        <v>7896.2379798201846</v>
      </c>
      <c r="K715" s="25">
        <f t="shared" si="524"/>
        <v>20367.195264578786</v>
      </c>
      <c r="L715" s="25"/>
      <c r="N715" s="25">
        <f>'Combined Retirement'!$C$18/12</f>
        <v>39153.069999999992</v>
      </c>
      <c r="O715" s="25">
        <f t="shared" si="525"/>
        <v>10889.636755601023</v>
      </c>
      <c r="P715" s="25">
        <f t="shared" si="526"/>
        <v>28263.43324439897</v>
      </c>
      <c r="Q715" s="25">
        <f t="array" aca="1" ref="Q715" ca="1">INDEX('Isaac 401k'!L:L,MATCH('Retirement Calculator'!A715,'Isaac 401k'!N:N,0),0)</f>
        <v>1929752.5971030416</v>
      </c>
      <c r="R715" s="25">
        <f t="array" aca="1" ref="R715" ca="1">INDEX('Lorri 401b'!L:L,MATCH('Retirement Calculator'!A715,'Lorri 401b'!N:N,0),0)</f>
        <v>-143380.13297342046</v>
      </c>
      <c r="S715" s="25">
        <f t="shared" ca="1" si="527"/>
        <v>1786372.4641296212</v>
      </c>
    </row>
    <row r="716" spans="1:19" ht="15.75" customHeight="1" x14ac:dyDescent="0.3">
      <c r="A716" s="37">
        <v>72745</v>
      </c>
      <c r="B716" s="398">
        <f t="shared" ref="B716:C716" si="722">($A716-B$9)/365.25</f>
        <v>117.28678986995209</v>
      </c>
      <c r="C716" s="398">
        <f t="shared" si="722"/>
        <v>112.67624914442163</v>
      </c>
      <c r="E716" s="25">
        <f>IF(C716&gt;$B$7,0,'Combined Retirement'!$D$13/12)</f>
        <v>0</v>
      </c>
      <c r="F716" s="25">
        <f>IF(H716=0,'Combined Retirement'!$D$32,0)+'Combined Retirement'!$B$24</f>
        <v>2870.372285649099</v>
      </c>
      <c r="G716" s="25">
        <f>'Combined Retirement'!$C$24</f>
        <v>3254.2644699519233</v>
      </c>
      <c r="H716" s="25">
        <f>IF(B716&lt;62,0,'Combined Retirement'!$I$14)</f>
        <v>2345</v>
      </c>
      <c r="I716" s="25">
        <f>IF(C716&lt;62,0,'Combined Retirement'!$I$13)</f>
        <v>2420</v>
      </c>
      <c r="J716" s="25">
        <f t="shared" si="523"/>
        <v>7896.2379798201846</v>
      </c>
      <c r="K716" s="25">
        <f t="shared" si="524"/>
        <v>20367.195264578786</v>
      </c>
      <c r="L716" s="25"/>
      <c r="N716" s="25">
        <f>'Combined Retirement'!$C$18/12</f>
        <v>39153.069999999992</v>
      </c>
      <c r="O716" s="25">
        <f t="shared" si="525"/>
        <v>10889.636755601023</v>
      </c>
      <c r="P716" s="25">
        <f t="shared" si="526"/>
        <v>28263.43324439897</v>
      </c>
      <c r="Q716" s="25">
        <f t="array" aca="1" ref="Q716" ca="1">INDEX('Isaac 401k'!L:L,MATCH('Retirement Calculator'!A716,'Isaac 401k'!N:N,0),0)</f>
        <v>1929864.0939529014</v>
      </c>
      <c r="R716" s="25">
        <f t="array" aca="1" ref="R716" ca="1">INDEX('Lorri 401b'!L:L,MATCH('Retirement Calculator'!A716,'Lorri 401b'!N:N,0),0)</f>
        <v>-164429.60877232425</v>
      </c>
      <c r="S716" s="25">
        <f t="shared" ca="1" si="527"/>
        <v>1765434.4851805773</v>
      </c>
    </row>
    <row r="717" spans="1:19" ht="15.75" customHeight="1" x14ac:dyDescent="0.3">
      <c r="A717" s="37">
        <v>72776</v>
      </c>
      <c r="B717" s="398">
        <f t="shared" ref="B717:C717" si="723">($A717-B$9)/365.25</f>
        <v>117.37166324435319</v>
      </c>
      <c r="C717" s="398">
        <f t="shared" si="723"/>
        <v>112.76112251882273</v>
      </c>
      <c r="E717" s="25">
        <f>IF(C717&gt;$B$7,0,'Combined Retirement'!$D$13/12)</f>
        <v>0</v>
      </c>
      <c r="F717" s="25">
        <f>IF(H717=0,'Combined Retirement'!$D$32,0)+'Combined Retirement'!$B$24</f>
        <v>2870.372285649099</v>
      </c>
      <c r="G717" s="25">
        <f>'Combined Retirement'!$C$24</f>
        <v>3254.2644699519233</v>
      </c>
      <c r="H717" s="25">
        <f>IF(B717&lt;62,0,'Combined Retirement'!$I$14)</f>
        <v>2345</v>
      </c>
      <c r="I717" s="25">
        <f>IF(C717&lt;62,0,'Combined Retirement'!$I$13)</f>
        <v>2420</v>
      </c>
      <c r="J717" s="25">
        <f t="shared" si="523"/>
        <v>7896.2379798201846</v>
      </c>
      <c r="K717" s="25">
        <f t="shared" si="524"/>
        <v>20367.195264578786</v>
      </c>
      <c r="L717" s="25"/>
      <c r="N717" s="25">
        <f>'Combined Retirement'!$C$18/12</f>
        <v>39153.069999999992</v>
      </c>
      <c r="O717" s="25">
        <f t="shared" si="525"/>
        <v>10889.636755601023</v>
      </c>
      <c r="P717" s="25">
        <f t="shared" si="526"/>
        <v>28263.43324439897</v>
      </c>
      <c r="Q717" s="25">
        <f t="array" aca="1" ref="Q717" ca="1">INDEX('Isaac 401k'!L:L,MATCH('Retirement Calculator'!A717,'Isaac 401k'!N:N,0),0)</f>
        <v>1929976.055372969</v>
      </c>
      <c r="R717" s="25">
        <f t="array" aca="1" ref="R717" ca="1">INDEX('Lorri 401b'!L:L,MATCH('Retirement Calculator'!A717,'Lorri 401b'!N:N,0),0)</f>
        <v>-185566.79072039016</v>
      </c>
      <c r="S717" s="25">
        <f t="shared" ca="1" si="527"/>
        <v>1744409.2646525789</v>
      </c>
    </row>
    <row r="718" spans="1:19" ht="15.75" customHeight="1" x14ac:dyDescent="0.3">
      <c r="A718" s="37">
        <v>72806</v>
      </c>
      <c r="B718" s="398">
        <f t="shared" ref="B718:C718" si="724">($A718-B$9)/365.25</f>
        <v>117.45379876796714</v>
      </c>
      <c r="C718" s="398">
        <f t="shared" si="724"/>
        <v>112.84325804243669</v>
      </c>
      <c r="E718" s="25">
        <f>IF(C718&gt;$B$7,0,'Combined Retirement'!$D$13/12)</f>
        <v>0</v>
      </c>
      <c r="F718" s="25">
        <f>IF(H718=0,'Combined Retirement'!$D$32,0)+'Combined Retirement'!$B$24</f>
        <v>2870.372285649099</v>
      </c>
      <c r="G718" s="25">
        <f>'Combined Retirement'!$C$24</f>
        <v>3254.2644699519233</v>
      </c>
      <c r="H718" s="25">
        <f>IF(B718&lt;62,0,'Combined Retirement'!$I$14)</f>
        <v>2345</v>
      </c>
      <c r="I718" s="25">
        <f>IF(C718&lt;62,0,'Combined Retirement'!$I$13)</f>
        <v>2420</v>
      </c>
      <c r="J718" s="25">
        <f t="shared" si="523"/>
        <v>7896.2379798201846</v>
      </c>
      <c r="K718" s="25">
        <f t="shared" si="524"/>
        <v>20367.195264578786</v>
      </c>
      <c r="L718" s="25"/>
      <c r="N718" s="25">
        <f>'Combined Retirement'!$C$18/12</f>
        <v>39153.069999999992</v>
      </c>
      <c r="O718" s="25">
        <f t="shared" si="525"/>
        <v>10889.636755601023</v>
      </c>
      <c r="P718" s="25">
        <f t="shared" si="526"/>
        <v>28263.43324439897</v>
      </c>
      <c r="Q718" s="25">
        <f t="array" aca="1" ref="Q718" ca="1">INDEX('Isaac 401k'!L:L,MATCH('Retirement Calculator'!A718,'Isaac 401k'!N:N,0),0)</f>
        <v>1930088.4832989536</v>
      </c>
      <c r="R718" s="25">
        <f t="array" aca="1" ref="R718" ca="1">INDEX('Lorri 401b'!L:L,MATCH('Retirement Calculator'!A718,'Lorri 401b'!N:N,0),0)</f>
        <v>-206792.04425990631</v>
      </c>
      <c r="S718" s="25">
        <f t="shared" ca="1" si="527"/>
        <v>1723296.4390390473</v>
      </c>
    </row>
    <row r="719" spans="1:19" ht="15.75" customHeight="1" x14ac:dyDescent="0.3">
      <c r="A719" s="37">
        <v>72837</v>
      </c>
      <c r="B719" s="398">
        <f t="shared" ref="B719:C719" si="725">($A719-B$9)/365.25</f>
        <v>117.53867214236824</v>
      </c>
      <c r="C719" s="398">
        <f t="shared" si="725"/>
        <v>112.92813141683779</v>
      </c>
      <c r="E719" s="25">
        <f>IF(C719&gt;$B$7,0,'Combined Retirement'!$D$13/12)</f>
        <v>0</v>
      </c>
      <c r="F719" s="25">
        <f>IF(H719=0,'Combined Retirement'!$D$32,0)+'Combined Retirement'!$B$24</f>
        <v>2870.372285649099</v>
      </c>
      <c r="G719" s="25">
        <f>'Combined Retirement'!$C$24</f>
        <v>3254.2644699519233</v>
      </c>
      <c r="H719" s="25">
        <f>IF(B719&lt;62,0,'Combined Retirement'!$I$14)</f>
        <v>2345</v>
      </c>
      <c r="I719" s="25">
        <f>IF(C719&lt;62,0,'Combined Retirement'!$I$13)</f>
        <v>2420</v>
      </c>
      <c r="J719" s="25">
        <f t="shared" si="523"/>
        <v>7896.2379798201846</v>
      </c>
      <c r="K719" s="25">
        <f t="shared" si="524"/>
        <v>20367.195264578786</v>
      </c>
      <c r="L719" s="25"/>
      <c r="N719" s="25">
        <f>'Combined Retirement'!$C$18/12</f>
        <v>39153.069999999992</v>
      </c>
      <c r="O719" s="25">
        <f t="shared" si="525"/>
        <v>10889.636755601023</v>
      </c>
      <c r="P719" s="25">
        <f t="shared" si="526"/>
        <v>28263.43324439897</v>
      </c>
      <c r="Q719" s="25">
        <f t="array" aca="1" ref="Q719" ca="1">INDEX('Isaac 401k'!L:L,MATCH('Retirement Calculator'!A719,'Isaac 401k'!N:N,0),0)</f>
        <v>1930201.3796746298</v>
      </c>
      <c r="R719" s="25">
        <f t="array" aca="1" ref="R719" ca="1">INDEX('Lorri 401b'!L:L,MATCH('Retirement Calculator'!A719,'Lorri 401b'!N:N,0),0)</f>
        <v>-228105.73635583711</v>
      </c>
      <c r="S719" s="25">
        <f t="shared" ca="1" si="527"/>
        <v>1702095.6433187926</v>
      </c>
    </row>
    <row r="720" spans="1:19" ht="15.75" customHeight="1" x14ac:dyDescent="0.3">
      <c r="A720" s="37">
        <v>72867</v>
      </c>
      <c r="B720" s="398">
        <f t="shared" ref="B720:C720" si="726">($A720-B$9)/365.25</f>
        <v>117.6208076659822</v>
      </c>
      <c r="C720" s="398">
        <f t="shared" si="726"/>
        <v>113.01026694045174</v>
      </c>
      <c r="E720" s="25">
        <f>IF(C720&gt;$B$7,0,'Combined Retirement'!$D$13/12)</f>
        <v>0</v>
      </c>
      <c r="F720" s="25">
        <f>IF(H720=0,'Combined Retirement'!$D$32,0)+'Combined Retirement'!$B$24</f>
        <v>2870.372285649099</v>
      </c>
      <c r="G720" s="25">
        <f>'Combined Retirement'!$C$24</f>
        <v>3254.2644699519233</v>
      </c>
      <c r="H720" s="25">
        <f>IF(B720&lt;62,0,'Combined Retirement'!$I$14)</f>
        <v>2345</v>
      </c>
      <c r="I720" s="25">
        <f>IF(C720&lt;62,0,'Combined Retirement'!$I$13)</f>
        <v>2420</v>
      </c>
      <c r="J720" s="25">
        <f t="shared" si="523"/>
        <v>7896.2379798201846</v>
      </c>
      <c r="K720" s="25">
        <f t="shared" si="524"/>
        <v>20367.195264578786</v>
      </c>
      <c r="L720" s="25"/>
      <c r="N720" s="25">
        <f>'Combined Retirement'!$C$18/12</f>
        <v>39153.069999999992</v>
      </c>
      <c r="O720" s="25">
        <f t="shared" si="525"/>
        <v>10889.636755601023</v>
      </c>
      <c r="P720" s="25">
        <f t="shared" si="526"/>
        <v>28263.43324439897</v>
      </c>
      <c r="Q720" s="25">
        <f t="array" aca="1" ref="Q720" ca="1">INDEX('Isaac 401k'!L:L,MATCH('Retirement Calculator'!A720,'Isaac 401k'!N:N,0),0)</f>
        <v>1930314.7464518712</v>
      </c>
      <c r="R720" s="25">
        <f t="array" aca="1" ref="R720" ca="1">INDEX('Lorri 401b'!L:L,MATCH('Retirement Calculator'!A720,'Lorri 401b'!N:N,0),0)</f>
        <v>-249508.23550216763</v>
      </c>
      <c r="S720" s="25">
        <f t="shared" ca="1" si="527"/>
        <v>1680806.5109497036</v>
      </c>
    </row>
    <row r="721" spans="1:19" ht="15.75" customHeight="1" x14ac:dyDescent="0.3">
      <c r="A721" s="37">
        <v>72898</v>
      </c>
      <c r="B721" s="398">
        <f t="shared" ref="B721:C721" si="727">($A721-B$9)/365.25</f>
        <v>117.7056810403833</v>
      </c>
      <c r="C721" s="398">
        <f t="shared" si="727"/>
        <v>113.09514031485284</v>
      </c>
      <c r="E721" s="25">
        <f>IF(C721&gt;$B$7,0,'Combined Retirement'!$D$13/12)</f>
        <v>0</v>
      </c>
      <c r="F721" s="25">
        <f>IF(H721=0,'Combined Retirement'!$D$32,0)+'Combined Retirement'!$B$24</f>
        <v>2870.372285649099</v>
      </c>
      <c r="G721" s="25">
        <f>'Combined Retirement'!$C$24</f>
        <v>3254.2644699519233</v>
      </c>
      <c r="H721" s="25">
        <f>IF(B721&lt;62,0,'Combined Retirement'!$I$14)</f>
        <v>2345</v>
      </c>
      <c r="I721" s="25">
        <f>IF(C721&lt;62,0,'Combined Retirement'!$I$13)</f>
        <v>2420</v>
      </c>
      <c r="J721" s="25">
        <f t="shared" si="523"/>
        <v>7896.2379798201846</v>
      </c>
      <c r="K721" s="25">
        <f t="shared" si="524"/>
        <v>20367.195264578786</v>
      </c>
      <c r="L721" s="25"/>
      <c r="N721" s="25">
        <f>'Combined Retirement'!$C$18/12</f>
        <v>39153.069999999992</v>
      </c>
      <c r="O721" s="25">
        <f t="shared" si="525"/>
        <v>10889.636755601023</v>
      </c>
      <c r="P721" s="25">
        <f t="shared" si="526"/>
        <v>28263.43324439897</v>
      </c>
      <c r="Q721" s="25">
        <f t="array" aca="1" ref="Q721" ca="1">INDEX('Isaac 401k'!L:L,MATCH('Retirement Calculator'!A721,'Isaac 401k'!N:N,0),0)</f>
        <v>1930428.5855906846</v>
      </c>
      <c r="R721" s="25">
        <f t="array" aca="1" ref="R721" ca="1">INDEX('Lorri 401b'!L:L,MATCH('Retirement Calculator'!A721,'Lorri 401b'!N:N,0),0)</f>
        <v>-270999.91172827448</v>
      </c>
      <c r="S721" s="25">
        <f t="shared" ca="1" si="527"/>
        <v>1659428.67386241</v>
      </c>
    </row>
    <row r="722" spans="1:19" ht="15.75" customHeight="1" x14ac:dyDescent="0.3">
      <c r="A722" s="37">
        <v>72929</v>
      </c>
      <c r="B722" s="398">
        <f t="shared" ref="B722:C722" si="728">($A722-B$9)/365.25</f>
        <v>117.7905544147844</v>
      </c>
      <c r="C722" s="398">
        <f t="shared" si="728"/>
        <v>113.18001368925394</v>
      </c>
      <c r="E722" s="25">
        <f>IF(C722&gt;$B$7,0,'Combined Retirement'!$D$13/12)</f>
        <v>0</v>
      </c>
      <c r="F722" s="25">
        <f>IF(H722=0,'Combined Retirement'!$D$32,0)+'Combined Retirement'!$B$24</f>
        <v>2870.372285649099</v>
      </c>
      <c r="G722" s="25">
        <f>'Combined Retirement'!$C$24</f>
        <v>3254.2644699519233</v>
      </c>
      <c r="H722" s="25">
        <f>IF(B722&lt;62,0,'Combined Retirement'!$I$14)</f>
        <v>2345</v>
      </c>
      <c r="I722" s="25">
        <f>IF(C722&lt;62,0,'Combined Retirement'!$I$13)</f>
        <v>2420</v>
      </c>
      <c r="J722" s="25">
        <f t="shared" si="523"/>
        <v>7896.2379798201846</v>
      </c>
      <c r="K722" s="25">
        <f t="shared" si="524"/>
        <v>20367.195264578786</v>
      </c>
      <c r="L722" s="25"/>
      <c r="N722" s="25">
        <f>'Combined Retirement'!$C$18/12</f>
        <v>39153.069999999992</v>
      </c>
      <c r="O722" s="25">
        <f t="shared" si="525"/>
        <v>10889.636755601023</v>
      </c>
      <c r="P722" s="25">
        <f t="shared" si="526"/>
        <v>28263.43324439897</v>
      </c>
      <c r="Q722" s="25">
        <f t="array" aca="1" ref="Q722" ca="1">INDEX('Isaac 401k'!L:L,MATCH('Retirement Calculator'!A722,'Isaac 401k'!N:N,0),0)</f>
        <v>1930542.899059243</v>
      </c>
      <c r="R722" s="25">
        <f t="array" aca="1" ref="R722" ca="1">INDEX('Lorri 401b'!L:L,MATCH('Retirement Calculator'!A722,'Lorri 401b'!N:N,0),0)</f>
        <v>-292581.13660532353</v>
      </c>
      <c r="S722" s="25">
        <f t="shared" ca="1" si="527"/>
        <v>1637961.7624539195</v>
      </c>
    </row>
    <row r="723" spans="1:19" ht="15.75" customHeight="1" x14ac:dyDescent="0.3">
      <c r="A723" s="37">
        <v>72959</v>
      </c>
      <c r="B723" s="398">
        <f t="shared" ref="B723:C723" si="729">($A723-B$9)/365.25</f>
        <v>117.87268993839835</v>
      </c>
      <c r="C723" s="398">
        <f t="shared" si="729"/>
        <v>113.2621492128679</v>
      </c>
      <c r="E723" s="25">
        <f>IF(C723&gt;$B$7,0,'Combined Retirement'!$D$13/12)</f>
        <v>0</v>
      </c>
      <c r="F723" s="25">
        <f>IF(H723=0,'Combined Retirement'!$D$32,0)+'Combined Retirement'!$B$24</f>
        <v>2870.372285649099</v>
      </c>
      <c r="G723" s="25">
        <f>'Combined Retirement'!$C$24</f>
        <v>3254.2644699519233</v>
      </c>
      <c r="H723" s="25">
        <f>IF(B723&lt;62,0,'Combined Retirement'!$I$14)</f>
        <v>2345</v>
      </c>
      <c r="I723" s="25">
        <f>IF(C723&lt;62,0,'Combined Retirement'!$I$13)</f>
        <v>2420</v>
      </c>
      <c r="J723" s="25">
        <f t="shared" si="523"/>
        <v>7896.2379798201846</v>
      </c>
      <c r="K723" s="25">
        <f t="shared" si="524"/>
        <v>20367.195264578786</v>
      </c>
      <c r="L723" s="25"/>
      <c r="N723" s="25">
        <f>'Combined Retirement'!$C$18/12</f>
        <v>39153.069999999992</v>
      </c>
      <c r="O723" s="25">
        <f t="shared" si="525"/>
        <v>10889.636755601023</v>
      </c>
      <c r="P723" s="25">
        <f t="shared" si="526"/>
        <v>28263.43324439897</v>
      </c>
      <c r="Q723" s="25">
        <f t="array" aca="1" ref="Q723" ca="1">INDEX('Isaac 401k'!L:L,MATCH('Retirement Calculator'!A723,'Isaac 401k'!N:N,0),0)</f>
        <v>1930657.6888339203</v>
      </c>
      <c r="R723" s="25">
        <f t="array" aca="1" ref="R723" ca="1">INDEX('Lorri 401b'!L:L,MATCH('Retirement Calculator'!A723,'Lorri 401b'!N:N,0),0)</f>
        <v>-314252.2832526936</v>
      </c>
      <c r="S723" s="25">
        <f t="shared" ca="1" si="527"/>
        <v>1616405.4055812266</v>
      </c>
    </row>
    <row r="724" spans="1:19" ht="15.75" customHeight="1" x14ac:dyDescent="0.3">
      <c r="A724" s="37">
        <v>72990</v>
      </c>
      <c r="B724" s="398">
        <f t="shared" ref="B724:C724" si="730">($A724-B$9)/365.25</f>
        <v>117.95756331279945</v>
      </c>
      <c r="C724" s="398">
        <f t="shared" si="730"/>
        <v>113.347022587269</v>
      </c>
      <c r="E724" s="25">
        <f>IF(C724&gt;$B$7,0,'Combined Retirement'!$D$13/12)</f>
        <v>0</v>
      </c>
      <c r="F724" s="25">
        <f>IF(H724=0,'Combined Retirement'!$D$32,0)+'Combined Retirement'!$B$24</f>
        <v>2870.372285649099</v>
      </c>
      <c r="G724" s="25">
        <f>'Combined Retirement'!$C$24</f>
        <v>3254.2644699519233</v>
      </c>
      <c r="H724" s="25">
        <f>IF(B724&lt;62,0,'Combined Retirement'!$I$14)</f>
        <v>2345</v>
      </c>
      <c r="I724" s="25">
        <f>IF(C724&lt;62,0,'Combined Retirement'!$I$13)</f>
        <v>2420</v>
      </c>
      <c r="J724" s="25">
        <f t="shared" si="523"/>
        <v>7896.2379798201846</v>
      </c>
      <c r="K724" s="25">
        <f t="shared" si="524"/>
        <v>20367.195264578786</v>
      </c>
      <c r="L724" s="25"/>
      <c r="N724" s="25">
        <f>'Combined Retirement'!$C$18/12</f>
        <v>39153.069999999992</v>
      </c>
      <c r="O724" s="25">
        <f t="shared" si="525"/>
        <v>10889.636755601023</v>
      </c>
      <c r="P724" s="25">
        <f t="shared" si="526"/>
        <v>28263.43324439897</v>
      </c>
      <c r="Q724" s="25">
        <f t="array" aca="1" ref="Q724" ca="1">INDEX('Isaac 401k'!L:L,MATCH('Retirement Calculator'!A724,'Isaac 401k'!N:N,0),0)</f>
        <v>1930772.9568993254</v>
      </c>
      <c r="R724" s="25">
        <f t="array" aca="1" ref="R724" ca="1">INDEX('Lorri 401b'!L:L,MATCH('Retirement Calculator'!A724,'Lorri 401b'!N:N,0),0)</f>
        <v>-336013.72634442768</v>
      </c>
      <c r="S724" s="25">
        <f t="shared" ca="1" si="527"/>
        <v>1594759.2305548978</v>
      </c>
    </row>
    <row r="725" spans="1:19" ht="15.75" customHeight="1" x14ac:dyDescent="0.3">
      <c r="A725" s="37">
        <v>73020</v>
      </c>
      <c r="B725" s="398">
        <f t="shared" ref="B725:C725" si="731">($A725-B$9)/365.25</f>
        <v>118.03969883641342</v>
      </c>
      <c r="C725" s="398">
        <f t="shared" si="731"/>
        <v>113.42915811088295</v>
      </c>
      <c r="E725" s="25">
        <f>IF(C725&gt;$B$7,0,'Combined Retirement'!$D$13/12)</f>
        <v>0</v>
      </c>
      <c r="F725" s="25">
        <f>IF(H725=0,'Combined Retirement'!$D$32,0)+'Combined Retirement'!$B$24</f>
        <v>2870.372285649099</v>
      </c>
      <c r="G725" s="25">
        <f>'Combined Retirement'!$C$24</f>
        <v>3254.2644699519233</v>
      </c>
      <c r="H725" s="25">
        <f>IF(B725&lt;62,0,'Combined Retirement'!$I$14)</f>
        <v>2345</v>
      </c>
      <c r="I725" s="25">
        <f>IF(C725&lt;62,0,'Combined Retirement'!$I$13)</f>
        <v>2420</v>
      </c>
      <c r="J725" s="25">
        <f t="shared" si="523"/>
        <v>7896.2379798201846</v>
      </c>
      <c r="K725" s="25">
        <f t="shared" si="524"/>
        <v>20367.195264578786</v>
      </c>
      <c r="L725" s="25"/>
      <c r="N725" s="25">
        <f>'Combined Retirement'!$C$18/12</f>
        <v>39153.069999999992</v>
      </c>
      <c r="O725" s="25">
        <f t="shared" si="525"/>
        <v>10889.636755601023</v>
      </c>
      <c r="P725" s="25">
        <f t="shared" si="526"/>
        <v>28263.43324439897</v>
      </c>
      <c r="Q725" s="25">
        <f t="array" aca="1" ref="Q725" ca="1">INDEX('Isaac 401k'!L:L,MATCH('Retirement Calculator'!A725,'Isaac 401k'!N:N,0),0)</f>
        <v>1930888.7052483363</v>
      </c>
      <c r="R725" s="25">
        <f t="array" aca="1" ref="R725" ca="1">INDEX('Lorri 401b'!L:L,MATCH('Retirement Calculator'!A725,'Lorri 401b'!N:N,0),0)</f>
        <v>-357865.84211571066</v>
      </c>
      <c r="S725" s="25">
        <f t="shared" ca="1" si="527"/>
        <v>1573022.8631326256</v>
      </c>
    </row>
    <row r="726" spans="1:19" ht="15.75" customHeight="1" x14ac:dyDescent="0.3">
      <c r="A726" s="37">
        <v>73051</v>
      </c>
      <c r="B726" s="398">
        <f t="shared" ref="B726:C726" si="732">($A726-B$9)/365.25</f>
        <v>118.12457221081451</v>
      </c>
      <c r="C726" s="398">
        <f t="shared" si="732"/>
        <v>113.51403148528405</v>
      </c>
      <c r="E726" s="25">
        <f>IF(C726&gt;$B$7,0,'Combined Retirement'!$D$13/12)</f>
        <v>0</v>
      </c>
      <c r="F726" s="25">
        <f>IF(H726=0,'Combined Retirement'!$D$32,0)+'Combined Retirement'!$B$24</f>
        <v>2870.372285649099</v>
      </c>
      <c r="G726" s="25">
        <f>'Combined Retirement'!$C$24</f>
        <v>3254.2644699519233</v>
      </c>
      <c r="H726" s="25">
        <f>IF(B726&lt;62,0,'Combined Retirement'!$I$14)</f>
        <v>2345</v>
      </c>
      <c r="I726" s="25">
        <f>IF(C726&lt;62,0,'Combined Retirement'!$I$13)</f>
        <v>2420</v>
      </c>
      <c r="J726" s="25">
        <f t="shared" si="523"/>
        <v>7896.2379798201846</v>
      </c>
      <c r="K726" s="25">
        <f t="shared" si="524"/>
        <v>20367.195264578786</v>
      </c>
      <c r="L726" s="25"/>
      <c r="N726" s="25">
        <f>'Combined Retirement'!$C$18/12</f>
        <v>39153.069999999992</v>
      </c>
      <c r="O726" s="25">
        <f t="shared" si="525"/>
        <v>10889.636755601023</v>
      </c>
      <c r="P726" s="25">
        <f t="shared" si="526"/>
        <v>28263.43324439897</v>
      </c>
      <c r="Q726" s="25">
        <f t="array" aca="1" ref="Q726" ca="1">INDEX('Isaac 401k'!L:L,MATCH('Retirement Calculator'!A726,'Isaac 401k'!N:N,0),0)</f>
        <v>1931004.9358821348</v>
      </c>
      <c r="R726" s="25">
        <f t="array" aca="1" ref="R726" ca="1">INDEX('Lorri 401b'!L:L,MATCH('Retirement Calculator'!A726,'Lorri 401b'!N:N,0),0)</f>
        <v>-379809.00836937397</v>
      </c>
      <c r="S726" s="25">
        <f t="shared" ca="1" si="527"/>
        <v>1551195.9275127607</v>
      </c>
    </row>
    <row r="727" spans="1:19" ht="15.75" customHeight="1" x14ac:dyDescent="0.3">
      <c r="A727" s="37">
        <v>73082</v>
      </c>
      <c r="B727" s="398">
        <f t="shared" ref="B727:C727" si="733">($A727-B$9)/365.25</f>
        <v>118.2094455852156</v>
      </c>
      <c r="C727" s="398">
        <f t="shared" si="733"/>
        <v>113.59890485968515</v>
      </c>
      <c r="E727" s="25">
        <f>IF(C727&gt;$B$7,0,'Combined Retirement'!$D$13/12)</f>
        <v>0</v>
      </c>
      <c r="F727" s="25">
        <f>IF(H727=0,'Combined Retirement'!$D$32,0)+'Combined Retirement'!$B$24</f>
        <v>2870.372285649099</v>
      </c>
      <c r="G727" s="25">
        <f>'Combined Retirement'!$C$24</f>
        <v>3254.2644699519233</v>
      </c>
      <c r="H727" s="25">
        <f>IF(B727&lt;62,0,'Combined Retirement'!$I$14)</f>
        <v>2345</v>
      </c>
      <c r="I727" s="25">
        <f>IF(C727&lt;62,0,'Combined Retirement'!$I$13)</f>
        <v>2420</v>
      </c>
      <c r="J727" s="25">
        <f t="shared" si="523"/>
        <v>7896.2379798201846</v>
      </c>
      <c r="K727" s="25">
        <f t="shared" si="524"/>
        <v>20367.195264578786</v>
      </c>
      <c r="L727" s="25"/>
      <c r="N727" s="25">
        <f>'Combined Retirement'!$C$18/12</f>
        <v>39153.069999999992</v>
      </c>
      <c r="O727" s="25">
        <f t="shared" si="525"/>
        <v>10889.636755601023</v>
      </c>
      <c r="P727" s="25">
        <f t="shared" si="526"/>
        <v>28263.43324439897</v>
      </c>
      <c r="Q727" s="25">
        <f t="array" aca="1" ref="Q727" ca="1">INDEX('Isaac 401k'!L:L,MATCH('Retirement Calculator'!A727,'Isaac 401k'!N:N,0),0)</f>
        <v>1931121.650810241</v>
      </c>
      <c r="R727" s="25">
        <f t="array" aca="1" ref="R727" ca="1">INDEX('Lorri 401b'!L:L,MATCH('Retirement Calculator'!A727,'Lorri 401b'!N:N,0),0)</f>
        <v>-401843.60448242759</v>
      </c>
      <c r="S727" s="25">
        <f t="shared" ca="1" si="527"/>
        <v>1529278.0463278135</v>
      </c>
    </row>
    <row r="728" spans="1:19" ht="15.75" customHeight="1" x14ac:dyDescent="0.3">
      <c r="A728" s="37">
        <v>73110</v>
      </c>
      <c r="B728" s="398">
        <f t="shared" ref="B728:C728" si="734">($A728-B$9)/365.25</f>
        <v>118.28610540725531</v>
      </c>
      <c r="C728" s="398">
        <f t="shared" si="734"/>
        <v>113.67556468172485</v>
      </c>
      <c r="E728" s="25">
        <f>IF(C728&gt;$B$7,0,'Combined Retirement'!$D$13/12)</f>
        <v>0</v>
      </c>
      <c r="F728" s="25">
        <f>IF(H728=0,'Combined Retirement'!$D$32,0)+'Combined Retirement'!$B$24</f>
        <v>2870.372285649099</v>
      </c>
      <c r="G728" s="25">
        <f>'Combined Retirement'!$C$24</f>
        <v>3254.2644699519233</v>
      </c>
      <c r="H728" s="25">
        <f>IF(B728&lt;62,0,'Combined Retirement'!$I$14)</f>
        <v>2345</v>
      </c>
      <c r="I728" s="25">
        <f>IF(C728&lt;62,0,'Combined Retirement'!$I$13)</f>
        <v>2420</v>
      </c>
      <c r="J728" s="25">
        <f t="shared" si="523"/>
        <v>7896.2379798201846</v>
      </c>
      <c r="K728" s="25">
        <f t="shared" si="524"/>
        <v>20367.195264578786</v>
      </c>
      <c r="L728" s="25"/>
      <c r="N728" s="25">
        <f>'Combined Retirement'!$C$18/12</f>
        <v>39153.069999999992</v>
      </c>
      <c r="O728" s="25">
        <f t="shared" si="525"/>
        <v>10889.636755601023</v>
      </c>
      <c r="P728" s="25">
        <f t="shared" si="526"/>
        <v>28263.43324439897</v>
      </c>
      <c r="Q728" s="25">
        <f t="array" aca="1" ref="Q728" ca="1">INDEX('Isaac 401k'!L:L,MATCH('Retirement Calculator'!A728,'Isaac 401k'!N:N,0),0)</f>
        <v>1931238.8520505475</v>
      </c>
      <c r="R728" s="25">
        <f t="array" aca="1" ref="R728" ca="1">INDEX('Lorri 401b'!L:L,MATCH('Retirement Calculator'!A728,'Lorri 401b'!N:N,0),0)</f>
        <v>-423970.01141261891</v>
      </c>
      <c r="S728" s="25">
        <f t="shared" ca="1" si="527"/>
        <v>1507268.8406379286</v>
      </c>
    </row>
    <row r="729" spans="1:19" ht="15.75" customHeight="1" x14ac:dyDescent="0.3">
      <c r="A729" s="37">
        <v>73141</v>
      </c>
      <c r="B729" s="398">
        <f t="shared" ref="B729:C729" si="735">($A729-B$9)/365.25</f>
        <v>118.3709787816564</v>
      </c>
      <c r="C729" s="398">
        <f t="shared" si="735"/>
        <v>113.76043805612593</v>
      </c>
      <c r="E729" s="25">
        <f>IF(C729&gt;$B$7,0,'Combined Retirement'!$D$13/12)</f>
        <v>0</v>
      </c>
      <c r="F729" s="25">
        <f>IF(H729=0,'Combined Retirement'!$D$32,0)+'Combined Retirement'!$B$24</f>
        <v>2870.372285649099</v>
      </c>
      <c r="G729" s="25">
        <f>'Combined Retirement'!$C$24</f>
        <v>3254.2644699519233</v>
      </c>
      <c r="H729" s="25">
        <f>IF(B729&lt;62,0,'Combined Retirement'!$I$14)</f>
        <v>2345</v>
      </c>
      <c r="I729" s="25">
        <f>IF(C729&lt;62,0,'Combined Retirement'!$I$13)</f>
        <v>2420</v>
      </c>
      <c r="J729" s="25">
        <f t="shared" si="523"/>
        <v>7896.2379798201846</v>
      </c>
      <c r="K729" s="25">
        <f t="shared" si="524"/>
        <v>20367.195264578786</v>
      </c>
      <c r="L729" s="25"/>
      <c r="N729" s="25">
        <f>'Combined Retirement'!$C$18/12</f>
        <v>39153.069999999992</v>
      </c>
      <c r="O729" s="25">
        <f t="shared" si="525"/>
        <v>10889.636755601023</v>
      </c>
      <c r="P729" s="25">
        <f t="shared" si="526"/>
        <v>28263.43324439897</v>
      </c>
      <c r="Q729" s="25">
        <f t="array" aca="1" ref="Q729" ca="1">INDEX('Isaac 401k'!L:L,MATCH('Retirement Calculator'!A729,'Isaac 401k'!N:N,0),0)</f>
        <v>1931356.5416293554</v>
      </c>
      <c r="R729" s="25">
        <f t="array" aca="1" ref="R729" ca="1">INDEX('Lorri 401b'!L:L,MATCH('Retirement Calculator'!A729,'Lorri 401b'!N:N,0),0)</f>
        <v>-446188.61170501937</v>
      </c>
      <c r="S729" s="25">
        <f t="shared" ca="1" si="527"/>
        <v>1485167.929924336</v>
      </c>
    </row>
    <row r="730" spans="1:19" ht="15.75" customHeight="1" x14ac:dyDescent="0.3">
      <c r="A730" s="37">
        <v>73171</v>
      </c>
      <c r="B730" s="398">
        <f t="shared" ref="B730:C730" si="736">($A730-B$9)/365.25</f>
        <v>118.45311430527036</v>
      </c>
      <c r="C730" s="398">
        <f t="shared" si="736"/>
        <v>113.84257357973991</v>
      </c>
      <c r="E730" s="25">
        <f>IF(C730&gt;$B$7,0,'Combined Retirement'!$D$13/12)</f>
        <v>0</v>
      </c>
      <c r="F730" s="25">
        <f>IF(H730=0,'Combined Retirement'!$D$32,0)+'Combined Retirement'!$B$24</f>
        <v>2870.372285649099</v>
      </c>
      <c r="G730" s="25">
        <f>'Combined Retirement'!$C$24</f>
        <v>3254.2644699519233</v>
      </c>
      <c r="H730" s="25">
        <f>IF(B730&lt;62,0,'Combined Retirement'!$I$14)</f>
        <v>2345</v>
      </c>
      <c r="I730" s="25">
        <f>IF(C730&lt;62,0,'Combined Retirement'!$I$13)</f>
        <v>2420</v>
      </c>
      <c r="J730" s="25">
        <f t="shared" si="523"/>
        <v>7896.2379798201846</v>
      </c>
      <c r="K730" s="25">
        <f t="shared" si="524"/>
        <v>20367.195264578786</v>
      </c>
      <c r="L730" s="25"/>
      <c r="N730" s="25">
        <f>'Combined Retirement'!$C$18/12</f>
        <v>39153.069999999992</v>
      </c>
      <c r="O730" s="25">
        <f t="shared" si="525"/>
        <v>10889.636755601023</v>
      </c>
      <c r="P730" s="25">
        <f t="shared" si="526"/>
        <v>28263.43324439897</v>
      </c>
      <c r="Q730" s="25">
        <f t="array" aca="1" ref="Q730" ca="1">INDEX('Isaac 401k'!L:L,MATCH('Retirement Calculator'!A730,'Isaac 401k'!N:N,0),0)</f>
        <v>1931474.7215814083</v>
      </c>
      <c r="R730" s="25">
        <f t="array" aca="1" ref="R730" ca="1">INDEX('Lorri 401b'!L:L,MATCH('Retirement Calculator'!A730,'Lorri 401b'!N:N,0),0)</f>
        <v>-468499.78949863819</v>
      </c>
      <c r="S730" s="25">
        <f t="shared" ca="1" si="527"/>
        <v>1462974.9320827702</v>
      </c>
    </row>
    <row r="731" spans="1:19" ht="15.75" customHeight="1" x14ac:dyDescent="0.3">
      <c r="A731" s="37">
        <v>73202</v>
      </c>
      <c r="B731" s="398">
        <f t="shared" ref="B731:C731" si="737">($A731-B$9)/365.25</f>
        <v>118.53798767967146</v>
      </c>
      <c r="C731" s="398">
        <f t="shared" si="737"/>
        <v>113.927446954141</v>
      </c>
      <c r="E731" s="25">
        <f>IF(C731&gt;$B$7,0,'Combined Retirement'!$D$13/12)</f>
        <v>0</v>
      </c>
      <c r="F731" s="25">
        <f>IF(H731=0,'Combined Retirement'!$D$32,0)+'Combined Retirement'!$B$24</f>
        <v>2870.372285649099</v>
      </c>
      <c r="G731" s="25">
        <f>'Combined Retirement'!$C$24</f>
        <v>3254.2644699519233</v>
      </c>
      <c r="H731" s="25">
        <f>IF(B731&lt;62,0,'Combined Retirement'!$I$14)</f>
        <v>2345</v>
      </c>
      <c r="I731" s="25">
        <f>IF(C731&lt;62,0,'Combined Retirement'!$I$13)</f>
        <v>2420</v>
      </c>
      <c r="J731" s="25">
        <f t="shared" si="523"/>
        <v>7896.2379798201846</v>
      </c>
      <c r="K731" s="25">
        <f t="shared" si="524"/>
        <v>20367.195264578786</v>
      </c>
      <c r="L731" s="25"/>
      <c r="N731" s="25">
        <f>'Combined Retirement'!$C$18/12</f>
        <v>39153.069999999992</v>
      </c>
      <c r="O731" s="25">
        <f t="shared" si="525"/>
        <v>10889.636755601023</v>
      </c>
      <c r="P731" s="25">
        <f t="shared" si="526"/>
        <v>28263.43324439897</v>
      </c>
      <c r="Q731" s="25">
        <f t="array" aca="1" ref="Q731" ca="1">INDEX('Isaac 401k'!L:L,MATCH('Retirement Calculator'!A731,'Isaac 401k'!N:N,0),0)</f>
        <v>1931593.393949928</v>
      </c>
      <c r="R731" s="25">
        <f t="array" aca="1" ref="R731" ca="1">INDEX('Lorri 401b'!L:L,MATCH('Retirement Calculator'!A731,'Lorri 401b'!N:N,0),0)</f>
        <v>-490903.93053306371</v>
      </c>
      <c r="S731" s="25">
        <f t="shared" ca="1" si="527"/>
        <v>1440689.4634168642</v>
      </c>
    </row>
    <row r="732" spans="1:19" ht="15.75" customHeight="1" x14ac:dyDescent="0.3">
      <c r="A732" s="37">
        <v>73232</v>
      </c>
      <c r="B732" s="398">
        <f t="shared" ref="B732:C732" si="738">($A732-B$9)/365.25</f>
        <v>118.62012320328542</v>
      </c>
      <c r="C732" s="398">
        <f t="shared" si="738"/>
        <v>114.00958247775496</v>
      </c>
      <c r="E732" s="25">
        <f>IF(C732&gt;$B$7,0,'Combined Retirement'!$D$13/12)</f>
        <v>0</v>
      </c>
      <c r="F732" s="25">
        <f>IF(H732=0,'Combined Retirement'!$D$32,0)+'Combined Retirement'!$B$24</f>
        <v>2870.372285649099</v>
      </c>
      <c r="G732" s="25">
        <f>'Combined Retirement'!$C$24</f>
        <v>3254.2644699519233</v>
      </c>
      <c r="H732" s="25">
        <f>IF(B732&lt;62,0,'Combined Retirement'!$I$14)</f>
        <v>2345</v>
      </c>
      <c r="I732" s="25">
        <f>IF(C732&lt;62,0,'Combined Retirement'!$I$13)</f>
        <v>2420</v>
      </c>
      <c r="J732" s="25">
        <f t="shared" si="523"/>
        <v>7896.2379798201846</v>
      </c>
      <c r="K732" s="25">
        <f t="shared" si="524"/>
        <v>20367.195264578786</v>
      </c>
      <c r="L732" s="25"/>
      <c r="N732" s="25">
        <f>'Combined Retirement'!$C$18/12</f>
        <v>39153.069999999992</v>
      </c>
      <c r="O732" s="25">
        <f t="shared" si="525"/>
        <v>10889.636755601023</v>
      </c>
      <c r="P732" s="25">
        <f t="shared" si="526"/>
        <v>28263.43324439897</v>
      </c>
      <c r="Q732" s="25">
        <f t="array" aca="1" ref="Q732" ca="1">INDEX('Isaac 401k'!L:L,MATCH('Retirement Calculator'!A732,'Isaac 401k'!N:N,0),0)</f>
        <v>1931712.5607866498</v>
      </c>
      <c r="R732" s="25">
        <f t="array" aca="1" ref="R732" ca="1">INDEX('Lorri 401b'!L:L,MATCH('Retirement Calculator'!A732,'Lorri 401b'!N:N,0),0)</f>
        <v>-513401.42215513269</v>
      </c>
      <c r="S732" s="25">
        <f t="shared" ca="1" si="527"/>
        <v>1418311.1386315171</v>
      </c>
    </row>
    <row r="733" spans="1:19" ht="15.75" customHeight="1" x14ac:dyDescent="0.3">
      <c r="A733" s="37">
        <v>73263</v>
      </c>
      <c r="B733" s="398">
        <f t="shared" ref="B733:C733" si="739">($A733-B$9)/365.25</f>
        <v>118.70499657768652</v>
      </c>
      <c r="C733" s="398">
        <f t="shared" si="739"/>
        <v>114.09445585215606</v>
      </c>
      <c r="E733" s="25">
        <f>IF(C733&gt;$B$7,0,'Combined Retirement'!$D$13/12)</f>
        <v>0</v>
      </c>
      <c r="F733" s="25">
        <f>IF(H733=0,'Combined Retirement'!$D$32,0)+'Combined Retirement'!$B$24</f>
        <v>2870.372285649099</v>
      </c>
      <c r="G733" s="25">
        <f>'Combined Retirement'!$C$24</f>
        <v>3254.2644699519233</v>
      </c>
      <c r="H733" s="25">
        <f>IF(B733&lt;62,0,'Combined Retirement'!$I$14)</f>
        <v>2345</v>
      </c>
      <c r="I733" s="25">
        <f>IF(C733&lt;62,0,'Combined Retirement'!$I$13)</f>
        <v>2420</v>
      </c>
      <c r="J733" s="25">
        <f t="shared" si="523"/>
        <v>7896.2379798201846</v>
      </c>
      <c r="K733" s="25">
        <f t="shared" si="524"/>
        <v>20367.195264578786</v>
      </c>
      <c r="L733" s="25"/>
      <c r="N733" s="25">
        <f>'Combined Retirement'!$C$18/12</f>
        <v>39153.069999999992</v>
      </c>
      <c r="O733" s="25">
        <f t="shared" si="525"/>
        <v>10889.636755601023</v>
      </c>
      <c r="P733" s="25">
        <f t="shared" si="526"/>
        <v>28263.43324439897</v>
      </c>
      <c r="Q733" s="25">
        <f t="array" aca="1" ref="Q733" ca="1">INDEX('Isaac 401k'!L:L,MATCH('Retirement Calculator'!A733,'Isaac 401k'!N:N,0),0)</f>
        <v>1931832.2241518581</v>
      </c>
      <c r="R733" s="25">
        <f t="array" aca="1" ref="R733" ca="1">INDEX('Lorri 401b'!L:L,MATCH('Retirement Calculator'!A733,'Lorri 401b'!N:N,0),0)</f>
        <v>-535992.65332562686</v>
      </c>
      <c r="S733" s="25">
        <f t="shared" ca="1" si="527"/>
        <v>1395839.5708262313</v>
      </c>
    </row>
    <row r="734" spans="1:19" ht="15.75" customHeight="1" x14ac:dyDescent="0.3">
      <c r="A734" s="37">
        <v>73294</v>
      </c>
      <c r="B734" s="398">
        <f t="shared" ref="B734:C734" si="740">($A734-B$9)/365.25</f>
        <v>118.78986995208761</v>
      </c>
      <c r="C734" s="398">
        <f t="shared" si="740"/>
        <v>114.17932922655716</v>
      </c>
      <c r="E734" s="25">
        <f>IF(C734&gt;$B$7,0,'Combined Retirement'!$D$13/12)</f>
        <v>0</v>
      </c>
      <c r="F734" s="25">
        <f>IF(H734=0,'Combined Retirement'!$D$32,0)+'Combined Retirement'!$B$24</f>
        <v>2870.372285649099</v>
      </c>
      <c r="G734" s="25">
        <f>'Combined Retirement'!$C$24</f>
        <v>3254.2644699519233</v>
      </c>
      <c r="H734" s="25">
        <f>IF(B734&lt;62,0,'Combined Retirement'!$I$14)</f>
        <v>2345</v>
      </c>
      <c r="I734" s="25">
        <f>IF(C734&lt;62,0,'Combined Retirement'!$I$13)</f>
        <v>2420</v>
      </c>
      <c r="J734" s="25">
        <f t="shared" si="523"/>
        <v>7896.2379798201846</v>
      </c>
      <c r="K734" s="25">
        <f t="shared" si="524"/>
        <v>20367.195264578786</v>
      </c>
      <c r="L734" s="25"/>
      <c r="N734" s="25">
        <f>'Combined Retirement'!$C$18/12</f>
        <v>39153.069999999992</v>
      </c>
      <c r="O734" s="25">
        <f t="shared" si="525"/>
        <v>10889.636755601023</v>
      </c>
      <c r="P734" s="25">
        <f t="shared" si="526"/>
        <v>28263.43324439897</v>
      </c>
      <c r="Q734" s="25">
        <f t="array" aca="1" ref="Q734" ca="1">INDEX('Isaac 401k'!L:L,MATCH('Retirement Calculator'!A734,'Isaac 401k'!N:N,0),0)</f>
        <v>1931952.3861144213</v>
      </c>
      <c r="R734" s="25">
        <f t="array" aca="1" ref="R734" ca="1">INDEX('Lorri 401b'!L:L,MATCH('Retirement Calculator'!A734,'Lorri 401b'!N:N,0),0)</f>
        <v>-558678.01462599821</v>
      </c>
      <c r="S734" s="25">
        <f t="shared" ca="1" si="527"/>
        <v>1373274.3714884231</v>
      </c>
    </row>
    <row r="735" spans="1:19" ht="15.75" customHeight="1" x14ac:dyDescent="0.3">
      <c r="A735" s="37">
        <v>73324</v>
      </c>
      <c r="B735" s="398">
        <f t="shared" ref="B735:C735" si="741">($A735-B$9)/365.25</f>
        <v>118.87200547570157</v>
      </c>
      <c r="C735" s="398">
        <f t="shared" si="741"/>
        <v>114.26146475017111</v>
      </c>
      <c r="E735" s="25">
        <f>IF(C735&gt;$B$7,0,'Combined Retirement'!$D$13/12)</f>
        <v>0</v>
      </c>
      <c r="F735" s="25">
        <f>IF(H735=0,'Combined Retirement'!$D$32,0)+'Combined Retirement'!$B$24</f>
        <v>2870.372285649099</v>
      </c>
      <c r="G735" s="25">
        <f>'Combined Retirement'!$C$24</f>
        <v>3254.2644699519233</v>
      </c>
      <c r="H735" s="25">
        <f>IF(B735&lt;62,0,'Combined Retirement'!$I$14)</f>
        <v>2345</v>
      </c>
      <c r="I735" s="25">
        <f>IF(C735&lt;62,0,'Combined Retirement'!$I$13)</f>
        <v>2420</v>
      </c>
      <c r="J735" s="25">
        <f t="shared" si="523"/>
        <v>7896.2379798201846</v>
      </c>
      <c r="K735" s="25">
        <f t="shared" si="524"/>
        <v>20367.195264578786</v>
      </c>
      <c r="L735" s="25"/>
      <c r="N735" s="25">
        <f>'Combined Retirement'!$C$18/12</f>
        <v>39153.069999999992</v>
      </c>
      <c r="O735" s="25">
        <f t="shared" si="525"/>
        <v>10889.636755601023</v>
      </c>
      <c r="P735" s="25">
        <f t="shared" si="526"/>
        <v>28263.43324439897</v>
      </c>
      <c r="Q735" s="25">
        <f t="array" aca="1" ref="Q735" ca="1">INDEX('Isaac 401k'!L:L,MATCH('Retirement Calculator'!A735,'Isaac 401k'!N:N,0),0)</f>
        <v>1932073.0487518285</v>
      </c>
      <c r="R735" s="25">
        <f t="array" aca="1" ref="R735" ca="1">INDEX('Lorri 401b'!L:L,MATCH('Retirement Calculator'!A735,'Lorri 401b'!N:N,0),0)</f>
        <v>-581457.89826512104</v>
      </c>
      <c r="S735" s="25">
        <f t="shared" ca="1" si="527"/>
        <v>1350615.1504867075</v>
      </c>
    </row>
    <row r="736" spans="1:19" ht="15.75" customHeight="1" x14ac:dyDescent="0.3">
      <c r="A736" s="37">
        <v>73355</v>
      </c>
      <c r="B736" s="398">
        <f t="shared" ref="B736:C736" si="742">($A736-B$9)/365.25</f>
        <v>118.95687885010267</v>
      </c>
      <c r="C736" s="398">
        <f t="shared" si="742"/>
        <v>114.34633812457221</v>
      </c>
      <c r="E736" s="25">
        <f>IF(C736&gt;$B$7,0,'Combined Retirement'!$D$13/12)</f>
        <v>0</v>
      </c>
      <c r="F736" s="25">
        <f>IF(H736=0,'Combined Retirement'!$D$32,0)+'Combined Retirement'!$B$24</f>
        <v>2870.372285649099</v>
      </c>
      <c r="G736" s="25">
        <f>'Combined Retirement'!$C$24</f>
        <v>3254.2644699519233</v>
      </c>
      <c r="H736" s="25">
        <f>IF(B736&lt;62,0,'Combined Retirement'!$I$14)</f>
        <v>2345</v>
      </c>
      <c r="I736" s="25">
        <f>IF(C736&lt;62,0,'Combined Retirement'!$I$13)</f>
        <v>2420</v>
      </c>
      <c r="J736" s="25">
        <f t="shared" si="523"/>
        <v>7896.2379798201846</v>
      </c>
      <c r="K736" s="25">
        <f t="shared" si="524"/>
        <v>20367.195264578786</v>
      </c>
      <c r="L736" s="25"/>
      <c r="N736" s="25">
        <f>'Combined Retirement'!$C$18/12</f>
        <v>39153.069999999992</v>
      </c>
      <c r="O736" s="25">
        <f t="shared" si="525"/>
        <v>10889.636755601023</v>
      </c>
      <c r="P736" s="25">
        <f t="shared" si="526"/>
        <v>28263.43324439897</v>
      </c>
      <c r="Q736" s="25">
        <f t="array" aca="1" ref="Q736" ca="1">INDEX('Isaac 401k'!L:L,MATCH('Retirement Calculator'!A736,'Isaac 401k'!N:N,0),0)</f>
        <v>1932194.214150225</v>
      </c>
      <c r="R736" s="25">
        <f t="array" aca="1" ref="R736" ca="1">INDEX('Lorri 401b'!L:L,MATCH('Retirement Calculator'!A736,'Lorri 401b'!N:N,0),0)</f>
        <v>-604332.69808607362</v>
      </c>
      <c r="S736" s="25">
        <f t="shared" ca="1" si="527"/>
        <v>1327861.5160641514</v>
      </c>
    </row>
    <row r="737" spans="1:19" ht="15.75" customHeight="1" x14ac:dyDescent="0.3">
      <c r="A737" s="37">
        <v>73385</v>
      </c>
      <c r="B737" s="398">
        <f t="shared" ref="B737:C737" si="743">($A737-B$9)/365.25</f>
        <v>119.03901437371663</v>
      </c>
      <c r="C737" s="398">
        <f t="shared" si="743"/>
        <v>114.42847364818617</v>
      </c>
      <c r="E737" s="25">
        <f>IF(C737&gt;$B$7,0,'Combined Retirement'!$D$13/12)</f>
        <v>0</v>
      </c>
      <c r="F737" s="25">
        <f>IF(H737=0,'Combined Retirement'!$D$32,0)+'Combined Retirement'!$B$24</f>
        <v>2870.372285649099</v>
      </c>
      <c r="G737" s="25">
        <f>'Combined Retirement'!$C$24</f>
        <v>3254.2644699519233</v>
      </c>
      <c r="H737" s="25">
        <f>IF(B737&lt;62,0,'Combined Retirement'!$I$14)</f>
        <v>2345</v>
      </c>
      <c r="I737" s="25">
        <f>IF(C737&lt;62,0,'Combined Retirement'!$I$13)</f>
        <v>2420</v>
      </c>
      <c r="J737" s="25">
        <f t="shared" si="523"/>
        <v>7896.2379798201846</v>
      </c>
      <c r="K737" s="25">
        <f t="shared" si="524"/>
        <v>20367.195264578786</v>
      </c>
      <c r="L737" s="25"/>
      <c r="N737" s="25">
        <f>'Combined Retirement'!$C$18/12</f>
        <v>39153.069999999992</v>
      </c>
      <c r="O737" s="25">
        <f t="shared" si="525"/>
        <v>10889.636755601023</v>
      </c>
      <c r="P737" s="25">
        <f t="shared" si="526"/>
        <v>28263.43324439897</v>
      </c>
      <c r="Q737" s="25">
        <f t="array" aca="1" ref="Q737" ca="1">INDEX('Isaac 401k'!L:L,MATCH('Retirement Calculator'!A737,'Isaac 401k'!N:N,0),0)</f>
        <v>1932315.8844044481</v>
      </c>
      <c r="R737" s="25">
        <f t="array" aca="1" ref="R737" ca="1">INDEX('Lorri 401b'!L:L,MATCH('Retirement Calculator'!A737,'Lorri 401b'!N:N,0),0)</f>
        <v>-627302.80957294675</v>
      </c>
      <c r="S737" s="25">
        <f t="shared" ca="1" si="527"/>
        <v>1305013.0748315013</v>
      </c>
    </row>
    <row r="738" spans="1:19" ht="15.75" customHeight="1" x14ac:dyDescent="0.3">
      <c r="A738" s="37">
        <v>73416</v>
      </c>
      <c r="B738" s="398">
        <f t="shared" ref="B738:C738" si="744">($A738-B$9)/365.25</f>
        <v>119.12388774811772</v>
      </c>
      <c r="C738" s="398">
        <f t="shared" si="744"/>
        <v>114.51334702258727</v>
      </c>
      <c r="E738" s="25">
        <f>IF(C738&gt;$B$7,0,'Combined Retirement'!$D$13/12)</f>
        <v>0</v>
      </c>
      <c r="F738" s="25">
        <f>IF(H738=0,'Combined Retirement'!$D$32,0)+'Combined Retirement'!$B$24</f>
        <v>2870.372285649099</v>
      </c>
      <c r="G738" s="25">
        <f>'Combined Retirement'!$C$24</f>
        <v>3254.2644699519233</v>
      </c>
      <c r="H738" s="25">
        <f>IF(B738&lt;62,0,'Combined Retirement'!$I$14)</f>
        <v>2345</v>
      </c>
      <c r="I738" s="25">
        <f>IF(C738&lt;62,0,'Combined Retirement'!$I$13)</f>
        <v>2420</v>
      </c>
      <c r="J738" s="25">
        <f t="shared" si="523"/>
        <v>7896.2379798201846</v>
      </c>
      <c r="K738" s="25">
        <f t="shared" si="524"/>
        <v>20367.195264578786</v>
      </c>
      <c r="L738" s="25"/>
      <c r="N738" s="25">
        <f>'Combined Retirement'!$C$18/12</f>
        <v>39153.069999999992</v>
      </c>
      <c r="O738" s="25">
        <f t="shared" si="525"/>
        <v>10889.636755601023</v>
      </c>
      <c r="P738" s="25">
        <f t="shared" si="526"/>
        <v>28263.43324439897</v>
      </c>
      <c r="Q738" s="25">
        <f t="array" aca="1" ref="Q738" ca="1">INDEX('Isaac 401k'!L:L,MATCH('Retirement Calculator'!A738,'Isaac 401k'!N:N,0),0)</f>
        <v>1932438.0616180638</v>
      </c>
      <c r="R738" s="25">
        <f t="array" aca="1" ref="R738" ca="1">INDEX('Lorri 401b'!L:L,MATCH('Retirement Calculator'!A738,'Lorri 401b'!N:N,0),0)</f>
        <v>-650368.62985768192</v>
      </c>
      <c r="S738" s="25">
        <f t="shared" ca="1" si="527"/>
        <v>1282069.4317603819</v>
      </c>
    </row>
    <row r="739" spans="1:19" ht="15.75" customHeight="1" x14ac:dyDescent="0.3">
      <c r="A739" s="37">
        <v>73447</v>
      </c>
      <c r="B739" s="398">
        <f t="shared" ref="B739:C739" si="745">($A739-B$9)/365.25</f>
        <v>119.20876112251882</v>
      </c>
      <c r="C739" s="398">
        <f t="shared" si="745"/>
        <v>114.59822039698837</v>
      </c>
      <c r="E739" s="25">
        <f>IF(C739&gt;$B$7,0,'Combined Retirement'!$D$13/12)</f>
        <v>0</v>
      </c>
      <c r="F739" s="25">
        <f>IF(H739=0,'Combined Retirement'!$D$32,0)+'Combined Retirement'!$B$24</f>
        <v>2870.372285649099</v>
      </c>
      <c r="G739" s="25">
        <f>'Combined Retirement'!$C$24</f>
        <v>3254.2644699519233</v>
      </c>
      <c r="H739" s="25">
        <f>IF(B739&lt;62,0,'Combined Retirement'!$I$14)</f>
        <v>2345</v>
      </c>
      <c r="I739" s="25">
        <f>IF(C739&lt;62,0,'Combined Retirement'!$I$13)</f>
        <v>2420</v>
      </c>
      <c r="J739" s="25">
        <f t="shared" si="523"/>
        <v>7896.2379798201846</v>
      </c>
      <c r="K739" s="25">
        <f t="shared" si="524"/>
        <v>20367.195264578786</v>
      </c>
      <c r="L739" s="25"/>
      <c r="N739" s="25">
        <f>'Combined Retirement'!$C$18/12</f>
        <v>39153.069999999992</v>
      </c>
      <c r="O739" s="25">
        <f t="shared" si="525"/>
        <v>10889.636755601023</v>
      </c>
      <c r="P739" s="25">
        <f t="shared" si="526"/>
        <v>28263.43324439897</v>
      </c>
      <c r="Q739" s="25">
        <f t="array" aca="1" ref="Q739" ca="1">INDEX('Isaac 401k'!L:L,MATCH('Retirement Calculator'!A739,'Isaac 401k'!N:N,0),0)</f>
        <v>1932560.7479034029</v>
      </c>
      <c r="R739" s="25">
        <f t="array" aca="1" ref="R739" ca="1">INDEX('Lorri 401b'!L:L,MATCH('Retirement Calculator'!A739,'Lorri 401b'!N:N,0),0)</f>
        <v>-673530.55772693676</v>
      </c>
      <c r="S739" s="25">
        <f t="shared" ca="1" si="527"/>
        <v>1259030.190176466</v>
      </c>
    </row>
    <row r="740" spans="1:19" ht="15.75" customHeight="1" x14ac:dyDescent="0.3">
      <c r="A740" s="37">
        <v>73475</v>
      </c>
      <c r="B740" s="398">
        <f t="shared" ref="B740:C740" si="746">($A740-B$9)/365.25</f>
        <v>119.28542094455852</v>
      </c>
      <c r="C740" s="398">
        <f t="shared" si="746"/>
        <v>114.67488021902807</v>
      </c>
      <c r="E740" s="25">
        <f>IF(C740&gt;$B$7,0,'Combined Retirement'!$D$13/12)</f>
        <v>0</v>
      </c>
      <c r="F740" s="25">
        <f>IF(H740=0,'Combined Retirement'!$D$32,0)+'Combined Retirement'!$B$24</f>
        <v>2870.372285649099</v>
      </c>
      <c r="G740" s="25">
        <f>'Combined Retirement'!$C$24</f>
        <v>3254.2644699519233</v>
      </c>
      <c r="H740" s="25">
        <f>IF(B740&lt;62,0,'Combined Retirement'!$I$14)</f>
        <v>2345</v>
      </c>
      <c r="I740" s="25">
        <f>IF(C740&lt;62,0,'Combined Retirement'!$I$13)</f>
        <v>2420</v>
      </c>
      <c r="J740" s="25">
        <f t="shared" si="523"/>
        <v>7896.2379798201846</v>
      </c>
      <c r="K740" s="25">
        <f t="shared" si="524"/>
        <v>20367.195264578786</v>
      </c>
      <c r="L740" s="25"/>
      <c r="N740" s="25">
        <f>'Combined Retirement'!$C$18/12</f>
        <v>39153.069999999992</v>
      </c>
      <c r="O740" s="25">
        <f t="shared" si="525"/>
        <v>10889.636755601023</v>
      </c>
      <c r="P740" s="25">
        <f t="shared" si="526"/>
        <v>28263.43324439897</v>
      </c>
      <c r="Q740" s="25">
        <f t="array" aca="1" ref="Q740" ca="1">INDEX('Isaac 401k'!L:L,MATCH('Retirement Calculator'!A740,'Isaac 401k'!N:N,0),0)</f>
        <v>1932683.9453815976</v>
      </c>
      <c r="R740" s="25">
        <f t="array" aca="1" ref="R740" ca="1">INDEX('Lorri 401b'!L:L,MATCH('Retirement Calculator'!A740,'Lorri 401b'!N:N,0),0)</f>
        <v>-696788.99362898024</v>
      </c>
      <c r="S740" s="25">
        <f t="shared" ca="1" si="527"/>
        <v>1235894.9517526175</v>
      </c>
    </row>
    <row r="741" spans="1:19" ht="15.75" customHeight="1" x14ac:dyDescent="0.3">
      <c r="A741" s="37">
        <v>73506</v>
      </c>
      <c r="B741" s="398">
        <f t="shared" ref="B741:C741" si="747">($A741-B$9)/365.25</f>
        <v>119.37029431895962</v>
      </c>
      <c r="C741" s="398">
        <f t="shared" si="747"/>
        <v>114.75975359342915</v>
      </c>
      <c r="E741" s="25">
        <f>IF(C741&gt;$B$7,0,'Combined Retirement'!$D$13/12)</f>
        <v>0</v>
      </c>
      <c r="F741" s="25">
        <f>IF(H741=0,'Combined Retirement'!$D$32,0)+'Combined Retirement'!$B$24</f>
        <v>2870.372285649099</v>
      </c>
      <c r="G741" s="25">
        <f>'Combined Retirement'!$C$24</f>
        <v>3254.2644699519233</v>
      </c>
      <c r="H741" s="25">
        <f>IF(B741&lt;62,0,'Combined Retirement'!$I$14)</f>
        <v>2345</v>
      </c>
      <c r="I741" s="25">
        <f>IF(C741&lt;62,0,'Combined Retirement'!$I$13)</f>
        <v>2420</v>
      </c>
      <c r="J741" s="25">
        <f t="shared" si="523"/>
        <v>7896.2379798201846</v>
      </c>
      <c r="K741" s="25">
        <f t="shared" si="524"/>
        <v>20367.195264578786</v>
      </c>
      <c r="L741" s="25"/>
      <c r="N741" s="25">
        <f>'Combined Retirement'!$C$18/12</f>
        <v>39153.069999999992</v>
      </c>
      <c r="O741" s="25">
        <f t="shared" si="525"/>
        <v>10889.636755601023</v>
      </c>
      <c r="P741" s="25">
        <f t="shared" si="526"/>
        <v>28263.43324439897</v>
      </c>
      <c r="Q741" s="25">
        <f t="array" aca="1" ref="Q741" ca="1">INDEX('Isaac 401k'!L:L,MATCH('Retirement Calculator'!A741,'Isaac 401k'!N:N,0),0)</f>
        <v>1932807.6561826181</v>
      </c>
      <c r="R741" s="25">
        <f t="array" aca="1" ref="R741" ca="1">INDEX('Lorri 401b'!L:L,MATCH('Retirement Calculator'!A741,'Lorri 401b'!N:N,0),0)</f>
        <v>-720144.33968061558</v>
      </c>
      <c r="S741" s="25">
        <f t="shared" ca="1" si="527"/>
        <v>1212663.3165020025</v>
      </c>
    </row>
    <row r="742" spans="1:19" ht="15.75" customHeight="1" x14ac:dyDescent="0.3">
      <c r="A742" s="37">
        <v>73536</v>
      </c>
      <c r="B742" s="398">
        <f t="shared" ref="B742:C742" si="748">($A742-B$9)/365.25</f>
        <v>119.45242984257358</v>
      </c>
      <c r="C742" s="398">
        <f t="shared" si="748"/>
        <v>114.84188911704312</v>
      </c>
      <c r="E742" s="25">
        <f>IF(C742&gt;$B$7,0,'Combined Retirement'!$D$13/12)</f>
        <v>0</v>
      </c>
      <c r="F742" s="25">
        <f>IF(H742=0,'Combined Retirement'!$D$32,0)+'Combined Retirement'!$B$24</f>
        <v>2870.372285649099</v>
      </c>
      <c r="G742" s="25">
        <f>'Combined Retirement'!$C$24</f>
        <v>3254.2644699519233</v>
      </c>
      <c r="H742" s="25">
        <f>IF(B742&lt;62,0,'Combined Retirement'!$I$14)</f>
        <v>2345</v>
      </c>
      <c r="I742" s="25">
        <f>IF(C742&lt;62,0,'Combined Retirement'!$I$13)</f>
        <v>2420</v>
      </c>
      <c r="J742" s="25">
        <f t="shared" si="523"/>
        <v>7896.2379798201846</v>
      </c>
      <c r="K742" s="25">
        <f t="shared" si="524"/>
        <v>20367.195264578786</v>
      </c>
      <c r="L742" s="25"/>
      <c r="N742" s="25">
        <f>'Combined Retirement'!$C$18/12</f>
        <v>39153.069999999992</v>
      </c>
      <c r="O742" s="25">
        <f t="shared" si="525"/>
        <v>10889.636755601023</v>
      </c>
      <c r="P742" s="25">
        <f t="shared" si="526"/>
        <v>28263.43324439897</v>
      </c>
      <c r="Q742" s="25">
        <f t="array" aca="1" ref="Q742" ca="1">INDEX('Isaac 401k'!L:L,MATCH('Retirement Calculator'!A742,'Isaac 401k'!N:N,0),0)</f>
        <v>1932931.8824453095</v>
      </c>
      <c r="R742" s="25">
        <f t="array" aca="1" ref="R742" ca="1">INDEX('Lorri 401b'!L:L,MATCH('Retirement Calculator'!A742,'Lorri 401b'!N:N,0),0)</f>
        <v>-743596.99967413268</v>
      </c>
      <c r="S742" s="25">
        <f t="shared" ca="1" si="527"/>
        <v>1189334.8827711768</v>
      </c>
    </row>
    <row r="743" spans="1:19" ht="15.75" customHeight="1" x14ac:dyDescent="0.3">
      <c r="A743" s="37">
        <v>73567</v>
      </c>
      <c r="B743" s="398">
        <f t="shared" ref="B743:C743" si="749">($A743-B$9)/365.25</f>
        <v>119.53730321697468</v>
      </c>
      <c r="C743" s="398">
        <f t="shared" si="749"/>
        <v>114.92676249144422</v>
      </c>
      <c r="E743" s="25">
        <f>IF(C743&gt;$B$7,0,'Combined Retirement'!$D$13/12)</f>
        <v>0</v>
      </c>
      <c r="F743" s="25">
        <f>IF(H743=0,'Combined Retirement'!$D$32,0)+'Combined Retirement'!$B$24</f>
        <v>2870.372285649099</v>
      </c>
      <c r="G743" s="25">
        <f>'Combined Retirement'!$C$24</f>
        <v>3254.2644699519233</v>
      </c>
      <c r="H743" s="25">
        <f>IF(B743&lt;62,0,'Combined Retirement'!$I$14)</f>
        <v>2345</v>
      </c>
      <c r="I743" s="25">
        <f>IF(C743&lt;62,0,'Combined Retirement'!$I$13)</f>
        <v>2420</v>
      </c>
      <c r="J743" s="25">
        <f t="shared" si="523"/>
        <v>7896.2379798201846</v>
      </c>
      <c r="K743" s="25">
        <f t="shared" si="524"/>
        <v>20367.195264578786</v>
      </c>
      <c r="L743" s="25"/>
      <c r="N743" s="25">
        <f>'Combined Retirement'!$C$18/12</f>
        <v>39153.069999999992</v>
      </c>
      <c r="O743" s="25">
        <f t="shared" si="525"/>
        <v>10889.636755601023</v>
      </c>
      <c r="P743" s="25">
        <f t="shared" si="526"/>
        <v>28263.43324439897</v>
      </c>
      <c r="Q743" s="25">
        <f t="array" aca="1" ref="Q743" ca="1">INDEX('Isaac 401k'!L:L,MATCH('Retirement Calculator'!A743,'Isaac 401k'!N:N,0),0)</f>
        <v>1933056.6263174289</v>
      </c>
      <c r="R743" s="25">
        <f t="array" aca="1" ref="R743" ca="1">INDEX('Lorri 401b'!L:L,MATCH('Retirement Calculator'!A743,'Lorri 401b'!N:N,0),0)</f>
        <v>-767147.37908428942</v>
      </c>
      <c r="S743" s="25">
        <f t="shared" ca="1" si="527"/>
        <v>1165909.2472331394</v>
      </c>
    </row>
    <row r="744" spans="1:19" ht="15.75" customHeight="1" x14ac:dyDescent="0.3">
      <c r="A744" s="37">
        <v>73597</v>
      </c>
      <c r="B744" s="398">
        <f t="shared" ref="B744:C744" si="750">($A744-B$9)/365.25</f>
        <v>119.61943874058863</v>
      </c>
      <c r="C744" s="398">
        <f t="shared" si="750"/>
        <v>115.00889801505818</v>
      </c>
      <c r="E744" s="25">
        <f>IF(C744&gt;$B$7,0,'Combined Retirement'!$D$13/12)</f>
        <v>0</v>
      </c>
      <c r="F744" s="25">
        <f>IF(H744=0,'Combined Retirement'!$D$32,0)+'Combined Retirement'!$B$24</f>
        <v>2870.372285649099</v>
      </c>
      <c r="G744" s="25">
        <f>'Combined Retirement'!$C$24</f>
        <v>3254.2644699519233</v>
      </c>
      <c r="H744" s="25">
        <f>IF(B744&lt;62,0,'Combined Retirement'!$I$14)</f>
        <v>2345</v>
      </c>
      <c r="I744" s="25">
        <f>IF(C744&lt;62,0,'Combined Retirement'!$I$13)</f>
        <v>2420</v>
      </c>
      <c r="J744" s="25">
        <f t="shared" si="523"/>
        <v>7896.2379798201846</v>
      </c>
      <c r="K744" s="25">
        <f t="shared" si="524"/>
        <v>20367.195264578786</v>
      </c>
      <c r="L744" s="25"/>
      <c r="N744" s="25">
        <f>'Combined Retirement'!$C$18/12</f>
        <v>39153.069999999992</v>
      </c>
      <c r="O744" s="25">
        <f t="shared" si="525"/>
        <v>10889.636755601023</v>
      </c>
      <c r="P744" s="25">
        <f t="shared" si="526"/>
        <v>28263.43324439897</v>
      </c>
      <c r="Q744" s="25">
        <f t="array" aca="1" ref="Q744" ca="1">INDEX('Isaac 401k'!L:L,MATCH('Retirement Calculator'!A744,'Isaac 401k'!N:N,0),0)</f>
        <v>1933181.889955682</v>
      </c>
      <c r="R744" s="25">
        <f t="array" aca="1" ref="R744" ca="1">INDEX('Lorri 401b'!L:L,MATCH('Retirement Calculator'!A744,'Lorri 401b'!N:N,0),0)</f>
        <v>-790795.88507532189</v>
      </c>
      <c r="S744" s="25">
        <f t="shared" ca="1" si="527"/>
        <v>1142386.0048803601</v>
      </c>
    </row>
    <row r="745" spans="1:19" ht="15.75" customHeight="1" x14ac:dyDescent="0.3">
      <c r="A745" s="37">
        <v>73628</v>
      </c>
      <c r="B745" s="398">
        <f t="shared" ref="B745:C745" si="751">($A745-B$9)/365.25</f>
        <v>119.70431211498973</v>
      </c>
      <c r="C745" s="398">
        <f t="shared" si="751"/>
        <v>115.09377138945928</v>
      </c>
      <c r="E745" s="25">
        <f>IF(C745&gt;$B$7,0,'Combined Retirement'!$D$13/12)</f>
        <v>0</v>
      </c>
      <c r="F745" s="25">
        <f>IF(H745=0,'Combined Retirement'!$D$32,0)+'Combined Retirement'!$B$24</f>
        <v>2870.372285649099</v>
      </c>
      <c r="G745" s="25">
        <f>'Combined Retirement'!$C$24</f>
        <v>3254.2644699519233</v>
      </c>
      <c r="H745" s="25">
        <f>IF(B745&lt;62,0,'Combined Retirement'!$I$14)</f>
        <v>2345</v>
      </c>
      <c r="I745" s="25">
        <f>IF(C745&lt;62,0,'Combined Retirement'!$I$13)</f>
        <v>2420</v>
      </c>
      <c r="J745" s="25">
        <f t="shared" si="523"/>
        <v>7896.2379798201846</v>
      </c>
      <c r="K745" s="25">
        <f t="shared" si="524"/>
        <v>20367.195264578786</v>
      </c>
      <c r="L745" s="25"/>
      <c r="N745" s="25">
        <f>'Combined Retirement'!$C$18/12</f>
        <v>39153.069999999992</v>
      </c>
      <c r="O745" s="25">
        <f t="shared" si="525"/>
        <v>10889.636755601023</v>
      </c>
      <c r="P745" s="25">
        <f t="shared" si="526"/>
        <v>28263.43324439897</v>
      </c>
      <c r="Q745" s="25">
        <f t="array" aca="1" ref="Q745" ca="1">INDEX('Isaac 401k'!L:L,MATCH('Retirement Calculator'!A745,'Isaac 401k'!N:N,0),0)</f>
        <v>1933307.6755257612</v>
      </c>
      <c r="R745" s="25">
        <f t="array" aca="1" ref="R745" ca="1">INDEX('Lorri 401b'!L:L,MATCH('Retirement Calculator'!A745,'Lorri 401b'!N:N,0),0)</f>
        <v>-814542.92650798359</v>
      </c>
      <c r="S745" s="25">
        <f t="shared" ca="1" si="527"/>
        <v>1118764.7490177776</v>
      </c>
    </row>
    <row r="746" spans="1:19" ht="15.75" customHeight="1" x14ac:dyDescent="0.3">
      <c r="A746" s="37">
        <v>73659</v>
      </c>
      <c r="B746" s="398">
        <f t="shared" ref="B746:C746" si="752">($A746-B$9)/365.25</f>
        <v>119.78918548939083</v>
      </c>
      <c r="C746" s="398">
        <f t="shared" si="752"/>
        <v>115.17864476386038</v>
      </c>
      <c r="E746" s="25">
        <f>IF(C746&gt;$B$7,0,'Combined Retirement'!$D$13/12)</f>
        <v>0</v>
      </c>
      <c r="F746" s="25">
        <f>IF(H746=0,'Combined Retirement'!$D$32,0)+'Combined Retirement'!$B$24</f>
        <v>2870.372285649099</v>
      </c>
      <c r="G746" s="25">
        <f>'Combined Retirement'!$C$24</f>
        <v>3254.2644699519233</v>
      </c>
      <c r="H746" s="25">
        <f>IF(B746&lt;62,0,'Combined Retirement'!$I$14)</f>
        <v>2345</v>
      </c>
      <c r="I746" s="25">
        <f>IF(C746&lt;62,0,'Combined Retirement'!$I$13)</f>
        <v>2420</v>
      </c>
      <c r="J746" s="25">
        <f t="shared" si="523"/>
        <v>7896.2379798201846</v>
      </c>
      <c r="K746" s="25">
        <f t="shared" si="524"/>
        <v>20367.195264578786</v>
      </c>
      <c r="L746" s="25"/>
      <c r="N746" s="25">
        <f>'Combined Retirement'!$C$18/12</f>
        <v>39153.069999999992</v>
      </c>
      <c r="O746" s="25">
        <f t="shared" si="525"/>
        <v>10889.636755601023</v>
      </c>
      <c r="P746" s="25">
        <f t="shared" si="526"/>
        <v>28263.43324439897</v>
      </c>
      <c r="Q746" s="25">
        <f t="array" aca="1" ref="Q746" ca="1">INDEX('Isaac 401k'!L:L,MATCH('Retirement Calculator'!A746,'Isaac 401k'!N:N,0),0)</f>
        <v>1933433.9852023823</v>
      </c>
      <c r="R746" s="25">
        <f t="array" aca="1" ref="R746" ca="1">INDEX('Lorri 401b'!L:L,MATCH('Retirement Calculator'!A746,'Lorri 401b'!N:N,0),0)</f>
        <v>-838388.91394661472</v>
      </c>
      <c r="S746" s="25">
        <f t="shared" ca="1" si="527"/>
        <v>1095045.0712557677</v>
      </c>
    </row>
    <row r="747" spans="1:19" ht="15.75" customHeight="1" x14ac:dyDescent="0.3">
      <c r="A747" s="37">
        <v>73689</v>
      </c>
      <c r="B747" s="398">
        <f t="shared" ref="B747:C747" si="753">($A747-B$9)/365.25</f>
        <v>119.87132101300479</v>
      </c>
      <c r="C747" s="398">
        <f t="shared" si="753"/>
        <v>115.26078028747433</v>
      </c>
      <c r="E747" s="25">
        <f>IF(C747&gt;$B$7,0,'Combined Retirement'!$D$13/12)</f>
        <v>0</v>
      </c>
      <c r="F747" s="25">
        <f>IF(H747=0,'Combined Retirement'!$D$32,0)+'Combined Retirement'!$B$24</f>
        <v>2870.372285649099</v>
      </c>
      <c r="G747" s="25">
        <f>'Combined Retirement'!$C$24</f>
        <v>3254.2644699519233</v>
      </c>
      <c r="H747" s="25">
        <f>IF(B747&lt;62,0,'Combined Retirement'!$I$14)</f>
        <v>2345</v>
      </c>
      <c r="I747" s="25">
        <f>IF(C747&lt;62,0,'Combined Retirement'!$I$13)</f>
        <v>2420</v>
      </c>
      <c r="J747" s="25">
        <f t="shared" si="523"/>
        <v>7896.2379798201846</v>
      </c>
      <c r="K747" s="25">
        <f t="shared" si="524"/>
        <v>20367.195264578786</v>
      </c>
      <c r="L747" s="25"/>
      <c r="N747" s="25">
        <f>'Combined Retirement'!$C$18/12</f>
        <v>39153.069999999992</v>
      </c>
      <c r="O747" s="25">
        <f t="shared" si="525"/>
        <v>10889.636755601023</v>
      </c>
      <c r="P747" s="25">
        <f t="shared" si="526"/>
        <v>28263.43324439897</v>
      </c>
      <c r="Q747" s="25">
        <f t="array" aca="1" ref="Q747" ca="1">INDEX('Isaac 401k'!L:L,MATCH('Retirement Calculator'!A747,'Isaac 401k'!N:N,0),0)</f>
        <v>1933560.8211693228</v>
      </c>
      <c r="R747" s="25">
        <f t="array" aca="1" ref="R747" ca="1">INDEX('Lorri 401b'!L:L,MATCH('Retirement Calculator'!A747,'Lorri 401b'!N:N,0),0)</f>
        <v>-862334.25966624019</v>
      </c>
      <c r="S747" s="25">
        <f t="shared" ca="1" si="527"/>
        <v>1071226.5615030825</v>
      </c>
    </row>
    <row r="748" spans="1:19" ht="15.75" customHeight="1" x14ac:dyDescent="0.3">
      <c r="A748" s="37">
        <v>73720</v>
      </c>
      <c r="B748" s="398">
        <f t="shared" ref="B748:C748" si="754">($A748-B$9)/365.25</f>
        <v>119.95619438740589</v>
      </c>
      <c r="C748" s="398">
        <f t="shared" si="754"/>
        <v>115.34565366187543</v>
      </c>
      <c r="E748" s="25">
        <f>IF(C748&gt;$B$7,0,'Combined Retirement'!$D$13/12)</f>
        <v>0</v>
      </c>
      <c r="F748" s="25">
        <f>IF(H748=0,'Combined Retirement'!$D$32,0)+'Combined Retirement'!$B$24</f>
        <v>2870.372285649099</v>
      </c>
      <c r="G748" s="25">
        <f>'Combined Retirement'!$C$24</f>
        <v>3254.2644699519233</v>
      </c>
      <c r="H748" s="25">
        <f>IF(B748&lt;62,0,'Combined Retirement'!$I$14)</f>
        <v>2345</v>
      </c>
      <c r="I748" s="25">
        <f>IF(C748&lt;62,0,'Combined Retirement'!$I$13)</f>
        <v>2420</v>
      </c>
      <c r="J748" s="25">
        <f t="shared" si="523"/>
        <v>7896.2379798201846</v>
      </c>
      <c r="K748" s="25">
        <f t="shared" si="524"/>
        <v>20367.195264578786</v>
      </c>
      <c r="L748" s="25"/>
      <c r="N748" s="25">
        <f>'Combined Retirement'!$C$18/12</f>
        <v>39153.069999999992</v>
      </c>
      <c r="O748" s="25">
        <f t="shared" si="525"/>
        <v>10889.636755601023</v>
      </c>
      <c r="P748" s="25">
        <f t="shared" si="526"/>
        <v>28263.43324439897</v>
      </c>
      <c r="Q748" s="25">
        <f t="array" aca="1" ref="Q748" ca="1">INDEX('Isaac 401k'!L:L,MATCH('Retirement Calculator'!A748,'Isaac 401k'!N:N,0),0)</f>
        <v>1933688.1856194588</v>
      </c>
      <c r="R748" s="25">
        <f t="array" aca="1" ref="R748" ca="1">INDEX('Lorri 401b'!L:L,MATCH('Retirement Calculator'!A748,'Lorri 401b'!N:N,0),0)</f>
        <v>-886379.37765969743</v>
      </c>
      <c r="S748" s="25">
        <f t="shared" ca="1" si="527"/>
        <v>1047308.8079597614</v>
      </c>
    </row>
    <row r="749" spans="1:19" ht="15.75" customHeight="1" x14ac:dyDescent="0.3">
      <c r="A749" s="37">
        <v>73750</v>
      </c>
      <c r="B749" s="398">
        <f t="shared" ref="B749:C749" si="755">($A749-B$9)/365.25</f>
        <v>120.03832991101984</v>
      </c>
      <c r="C749" s="398">
        <f t="shared" si="755"/>
        <v>115.42778918548939</v>
      </c>
      <c r="E749" s="25">
        <f>IF(C749&gt;$B$7,0,'Combined Retirement'!$D$13/12)</f>
        <v>0</v>
      </c>
      <c r="F749" s="25">
        <f>IF(H749=0,'Combined Retirement'!$D$32,0)+'Combined Retirement'!$B$24</f>
        <v>2870.372285649099</v>
      </c>
      <c r="G749" s="25">
        <f>'Combined Retirement'!$C$24</f>
        <v>3254.2644699519233</v>
      </c>
      <c r="H749" s="25">
        <f>IF(B749&lt;62,0,'Combined Retirement'!$I$14)</f>
        <v>2345</v>
      </c>
      <c r="I749" s="25">
        <f>IF(C749&lt;62,0,'Combined Retirement'!$I$13)</f>
        <v>2420</v>
      </c>
      <c r="J749" s="25">
        <f t="shared" si="523"/>
        <v>7896.2379798201846</v>
      </c>
      <c r="K749" s="25">
        <f t="shared" si="524"/>
        <v>20367.195264578786</v>
      </c>
      <c r="L749" s="25"/>
      <c r="N749" s="25">
        <f>'Combined Retirement'!$C$18/12</f>
        <v>39153.069999999992</v>
      </c>
      <c r="O749" s="25">
        <f t="shared" si="525"/>
        <v>10889.636755601023</v>
      </c>
      <c r="P749" s="25">
        <f t="shared" si="526"/>
        <v>28263.43324439897</v>
      </c>
      <c r="Q749" s="25">
        <f t="array" aca="1" ref="Q749" ca="1">INDEX('Isaac 401k'!L:L,MATCH('Retirement Calculator'!A749,'Isaac 401k'!N:N,0),0)</f>
        <v>1933816.0807548037</v>
      </c>
      <c r="R749" s="25">
        <f t="array" aca="1" ref="R749" ca="1">INDEX('Lorri 401b'!L:L,MATCH('Retirement Calculator'!A749,'Lorri 401b'!N:N,0),0)</f>
        <v>-910524.68364479404</v>
      </c>
      <c r="S749" s="25">
        <f t="shared" ca="1" si="527"/>
        <v>1023291.3971100097</v>
      </c>
    </row>
    <row r="750" spans="1:19" ht="15.75" customHeight="1" x14ac:dyDescent="0.3">
      <c r="A750" s="37">
        <v>73781</v>
      </c>
      <c r="B750" s="398">
        <f t="shared" ref="B750:C750" si="756">($A750-B$9)/365.25</f>
        <v>120.12320328542094</v>
      </c>
      <c r="C750" s="398">
        <f t="shared" si="756"/>
        <v>115.51266255989049</v>
      </c>
      <c r="E750" s="25">
        <f>IF(C750&gt;$B$7,0,'Combined Retirement'!$D$13/12)</f>
        <v>0</v>
      </c>
      <c r="F750" s="25">
        <f>IF(H750=0,'Combined Retirement'!$D$32,0)+'Combined Retirement'!$B$24</f>
        <v>2870.372285649099</v>
      </c>
      <c r="G750" s="25">
        <f>'Combined Retirement'!$C$24</f>
        <v>3254.2644699519233</v>
      </c>
      <c r="H750" s="25">
        <f>IF(B750&lt;62,0,'Combined Retirement'!$I$14)</f>
        <v>2345</v>
      </c>
      <c r="I750" s="25">
        <f>IF(C750&lt;62,0,'Combined Retirement'!$I$13)</f>
        <v>2420</v>
      </c>
      <c r="J750" s="25">
        <f t="shared" si="523"/>
        <v>7896.2379798201846</v>
      </c>
      <c r="K750" s="25">
        <f t="shared" si="524"/>
        <v>20367.195264578786</v>
      </c>
      <c r="L750" s="25"/>
      <c r="N750" s="25">
        <f>'Combined Retirement'!$C$18/12</f>
        <v>39153.069999999992</v>
      </c>
      <c r="O750" s="25">
        <f t="shared" si="525"/>
        <v>10889.636755601023</v>
      </c>
      <c r="P750" s="25">
        <f t="shared" si="526"/>
        <v>28263.43324439897</v>
      </c>
      <c r="Q750" s="25">
        <f t="array" aca="1" ref="Q750" ca="1">INDEX('Isaac 401k'!L:L,MATCH('Retirement Calculator'!A750,'Isaac 401k'!N:N,0),0)</f>
        <v>1933944.5087865458</v>
      </c>
      <c r="R750" s="25">
        <f t="array" aca="1" ref="R750" ca="1">INDEX('Lorri 401b'!L:L,MATCH('Retirement Calculator'!A750,'Lorri 401b'!N:N,0),0)</f>
        <v>-934770.59507149528</v>
      </c>
      <c r="S750" s="25">
        <f t="shared" ca="1" si="527"/>
        <v>999173.91371505056</v>
      </c>
    </row>
    <row r="751" spans="1:19" ht="15.75" customHeight="1" x14ac:dyDescent="0.3">
      <c r="A751" s="37">
        <v>73812</v>
      </c>
      <c r="B751" s="398">
        <f t="shared" ref="B751:C751" si="757">($A751-B$9)/365.25</f>
        <v>120.20807665982204</v>
      </c>
      <c r="C751" s="398">
        <f t="shared" si="757"/>
        <v>115.59753593429159</v>
      </c>
      <c r="E751" s="25">
        <f>IF(C751&gt;$B$7,0,'Combined Retirement'!$D$13/12)</f>
        <v>0</v>
      </c>
      <c r="F751" s="25">
        <f>IF(H751=0,'Combined Retirement'!$D$32,0)+'Combined Retirement'!$B$24</f>
        <v>2870.372285649099</v>
      </c>
      <c r="G751" s="25">
        <f>'Combined Retirement'!$C$24</f>
        <v>3254.2644699519233</v>
      </c>
      <c r="H751" s="25">
        <f>IF(B751&lt;62,0,'Combined Retirement'!$I$14)</f>
        <v>2345</v>
      </c>
      <c r="I751" s="25">
        <f>IF(C751&lt;62,0,'Combined Retirement'!$I$13)</f>
        <v>2420</v>
      </c>
      <c r="J751" s="25">
        <f t="shared" si="523"/>
        <v>7896.2379798201846</v>
      </c>
      <c r="K751" s="25">
        <f t="shared" si="524"/>
        <v>20367.195264578786</v>
      </c>
      <c r="L751" s="25"/>
      <c r="N751" s="25">
        <f>'Combined Retirement'!$C$18/12</f>
        <v>39153.069999999992</v>
      </c>
      <c r="O751" s="25">
        <f t="shared" si="525"/>
        <v>10889.636755601023</v>
      </c>
      <c r="P751" s="25">
        <f t="shared" si="526"/>
        <v>28263.43324439897</v>
      </c>
      <c r="Q751" s="25">
        <f t="array" aca="1" ref="Q751" ca="1">INDEX('Isaac 401k'!L:L,MATCH('Retirement Calculator'!A751,'Isaac 401k'!N:N,0),0)</f>
        <v>1934073.4719350869</v>
      </c>
      <c r="R751" s="25">
        <f t="array" aca="1" ref="R751" ca="1">INDEX('Lorri 401b'!L:L,MATCH('Retirement Calculator'!A751,'Lorri 401b'!N:N,0),0)</f>
        <v>-959117.53112914111</v>
      </c>
      <c r="S751" s="25">
        <f t="shared" ca="1" si="527"/>
        <v>974955.94080594578</v>
      </c>
    </row>
    <row r="752" spans="1:19" ht="15.75" customHeight="1" x14ac:dyDescent="0.3">
      <c r="A752" s="37">
        <v>73840</v>
      </c>
      <c r="B752" s="398">
        <f t="shared" ref="B752:C752" si="758">($A752-B$9)/365.25</f>
        <v>120.28473648186174</v>
      </c>
      <c r="C752" s="398">
        <f t="shared" si="758"/>
        <v>115.67419575633129</v>
      </c>
      <c r="E752" s="25">
        <f>IF(C752&gt;$B$7,0,'Combined Retirement'!$D$13/12)</f>
        <v>0</v>
      </c>
      <c r="F752" s="25">
        <f>IF(H752=0,'Combined Retirement'!$D$32,0)+'Combined Retirement'!$B$24</f>
        <v>2870.372285649099</v>
      </c>
      <c r="G752" s="25">
        <f>'Combined Retirement'!$C$24</f>
        <v>3254.2644699519233</v>
      </c>
      <c r="H752" s="25">
        <f>IF(B752&lt;62,0,'Combined Retirement'!$I$14)</f>
        <v>2345</v>
      </c>
      <c r="I752" s="25">
        <f>IF(C752&lt;62,0,'Combined Retirement'!$I$13)</f>
        <v>2420</v>
      </c>
      <c r="J752" s="25">
        <f t="shared" si="523"/>
        <v>7896.2379798201846</v>
      </c>
      <c r="K752" s="25">
        <f t="shared" si="524"/>
        <v>20367.195264578786</v>
      </c>
      <c r="L752" s="25"/>
      <c r="N752" s="25">
        <f>'Combined Retirement'!$C$18/12</f>
        <v>39153.069999999992</v>
      </c>
      <c r="O752" s="25">
        <f t="shared" si="525"/>
        <v>10889.636755601023</v>
      </c>
      <c r="P752" s="25">
        <f t="shared" si="526"/>
        <v>28263.43324439897</v>
      </c>
      <c r="Q752" s="25">
        <f t="array" aca="1" ref="Q752" ca="1">INDEX('Isaac 401k'!L:L,MATCH('Retirement Calculator'!A752,'Isaac 401k'!N:N,0),0)</f>
        <v>1934202.9724300802</v>
      </c>
      <c r="R752" s="25">
        <f t="array" aca="1" ref="R752" ca="1">INDEX('Lorri 401b'!L:L,MATCH('Retirement Calculator'!A752,'Lorri 401b'!N:N,0),0)</f>
        <v>-983565.91275369376</v>
      </c>
      <c r="S752" s="25">
        <f t="shared" ca="1" si="527"/>
        <v>950637.05967638642</v>
      </c>
    </row>
    <row r="753" spans="1:19" ht="15.75" customHeight="1" x14ac:dyDescent="0.3">
      <c r="A753" s="37">
        <v>73871</v>
      </c>
      <c r="B753" s="398">
        <f t="shared" ref="B753:C753" si="759">($A753-B$9)/365.25</f>
        <v>120.36960985626284</v>
      </c>
      <c r="C753" s="398">
        <f t="shared" si="759"/>
        <v>115.75906913073237</v>
      </c>
      <c r="E753" s="25">
        <f>IF(C753&gt;$B$7,0,'Combined Retirement'!$D$13/12)</f>
        <v>0</v>
      </c>
      <c r="F753" s="25">
        <f>IF(H753=0,'Combined Retirement'!$D$32,0)+'Combined Retirement'!$B$24</f>
        <v>2870.372285649099</v>
      </c>
      <c r="G753" s="25">
        <f>'Combined Retirement'!$C$24</f>
        <v>3254.2644699519233</v>
      </c>
      <c r="H753" s="25">
        <f>IF(B753&lt;62,0,'Combined Retirement'!$I$14)</f>
        <v>2345</v>
      </c>
      <c r="I753" s="25">
        <f>IF(C753&lt;62,0,'Combined Retirement'!$I$13)</f>
        <v>2420</v>
      </c>
      <c r="J753" s="25">
        <f t="shared" si="523"/>
        <v>7896.2379798201846</v>
      </c>
      <c r="K753" s="25">
        <f t="shared" si="524"/>
        <v>20367.195264578786</v>
      </c>
      <c r="L753" s="25"/>
      <c r="N753" s="25">
        <f>'Combined Retirement'!$C$18/12</f>
        <v>39153.069999999992</v>
      </c>
      <c r="O753" s="25">
        <f t="shared" si="525"/>
        <v>10889.636755601023</v>
      </c>
      <c r="P753" s="25">
        <f t="shared" si="526"/>
        <v>28263.43324439897</v>
      </c>
      <c r="Q753" s="25">
        <f t="array" aca="1" ref="Q753" ca="1">INDEX('Isaac 401k'!L:L,MATCH('Retirement Calculator'!A753,'Isaac 401k'!N:N,0),0)</f>
        <v>1934333.0125104694</v>
      </c>
      <c r="R753" s="25">
        <f t="array" aca="1" ref="R753" ca="1">INDEX('Lorri 401b'!L:L,MATCH('Retirement Calculator'!A753,'Lorri 401b'!N:N,0),0)</f>
        <v>-1008116.1626350153</v>
      </c>
      <c r="S753" s="25">
        <f t="shared" ca="1" si="527"/>
        <v>926216.84987545409</v>
      </c>
    </row>
    <row r="754" spans="1:19" ht="15.75" customHeight="1" x14ac:dyDescent="0.3">
      <c r="A754" s="37">
        <v>73901</v>
      </c>
      <c r="B754" s="398">
        <f t="shared" ref="B754:C754" si="760">($A754-B$9)/365.25</f>
        <v>120.4517453798768</v>
      </c>
      <c r="C754" s="398">
        <f t="shared" si="760"/>
        <v>115.84120465434634</v>
      </c>
      <c r="E754" s="25">
        <f>IF(C754&gt;$B$7,0,'Combined Retirement'!$D$13/12)</f>
        <v>0</v>
      </c>
      <c r="F754" s="25">
        <f>IF(H754=0,'Combined Retirement'!$D$32,0)+'Combined Retirement'!$B$24</f>
        <v>2870.372285649099</v>
      </c>
      <c r="G754" s="25">
        <f>'Combined Retirement'!$C$24</f>
        <v>3254.2644699519233</v>
      </c>
      <c r="H754" s="25">
        <f>IF(B754&lt;62,0,'Combined Retirement'!$I$14)</f>
        <v>2345</v>
      </c>
      <c r="I754" s="25">
        <f>IF(C754&lt;62,0,'Combined Retirement'!$I$13)</f>
        <v>2420</v>
      </c>
      <c r="J754" s="25">
        <f t="shared" si="523"/>
        <v>7896.2379798201846</v>
      </c>
      <c r="K754" s="25">
        <f t="shared" si="524"/>
        <v>20367.195264578786</v>
      </c>
      <c r="L754" s="25"/>
      <c r="N754" s="25">
        <f>'Combined Retirement'!$C$18/12</f>
        <v>39153.069999999992</v>
      </c>
      <c r="O754" s="25">
        <f t="shared" si="525"/>
        <v>10889.636755601023</v>
      </c>
      <c r="P754" s="25">
        <f t="shared" si="526"/>
        <v>28263.43324439897</v>
      </c>
      <c r="Q754" s="25">
        <f t="array" aca="1" ref="Q754" ca="1">INDEX('Isaac 401k'!L:L,MATCH('Retirement Calculator'!A754,'Isaac 401k'!N:N,0),0)</f>
        <v>1934463.5944245269</v>
      </c>
      <c r="R754" s="25">
        <f t="array" aca="1" ref="R754" ca="1">INDEX('Lorri 401b'!L:L,MATCH('Retirement Calculator'!A754,'Lorri 401b'!N:N,0),0)</f>
        <v>-1032768.7052241757</v>
      </c>
      <c r="S754" s="25">
        <f t="shared" ca="1" si="527"/>
        <v>901694.8892003512</v>
      </c>
    </row>
    <row r="755" spans="1:19" ht="15.75" customHeight="1" x14ac:dyDescent="0.3">
      <c r="A755" s="37">
        <v>73932</v>
      </c>
      <c r="B755" s="398">
        <f t="shared" ref="B755:C755" si="761">($A755-B$9)/365.25</f>
        <v>120.5366187542779</v>
      </c>
      <c r="C755" s="398">
        <f t="shared" si="761"/>
        <v>115.92607802874743</v>
      </c>
      <c r="E755" s="25">
        <f>IF(C755&gt;$B$7,0,'Combined Retirement'!$D$13/12)</f>
        <v>0</v>
      </c>
      <c r="F755" s="25">
        <f>IF(H755=0,'Combined Retirement'!$D$32,0)+'Combined Retirement'!$B$24</f>
        <v>2870.372285649099</v>
      </c>
      <c r="G755" s="25">
        <f>'Combined Retirement'!$C$24</f>
        <v>3254.2644699519233</v>
      </c>
      <c r="H755" s="25">
        <f>IF(B755&lt;62,0,'Combined Retirement'!$I$14)</f>
        <v>2345</v>
      </c>
      <c r="I755" s="25">
        <f>IF(C755&lt;62,0,'Combined Retirement'!$I$13)</f>
        <v>2420</v>
      </c>
      <c r="J755" s="25">
        <f t="shared" si="523"/>
        <v>7896.2379798201846</v>
      </c>
      <c r="K755" s="25">
        <f t="shared" si="524"/>
        <v>20367.195264578786</v>
      </c>
      <c r="L755" s="25"/>
      <c r="N755" s="25">
        <f>'Combined Retirement'!$C$18/12</f>
        <v>39153.069999999992</v>
      </c>
      <c r="O755" s="25">
        <f t="shared" si="525"/>
        <v>10889.636755601023</v>
      </c>
      <c r="P755" s="25">
        <f t="shared" si="526"/>
        <v>28263.43324439897</v>
      </c>
      <c r="Q755" s="25">
        <f t="array" aca="1" ref="Q755" ca="1">INDEX('Isaac 401k'!L:L,MATCH('Retirement Calculator'!A755,'Isaac 401k'!N:N,0),0)</f>
        <v>1934594.7204298929</v>
      </c>
      <c r="R755" s="25">
        <f t="array" aca="1" ref="R755" ca="1">INDEX('Lorri 401b'!L:L,MATCH('Retirement Calculator'!A755,'Lorri 401b'!N:N,0),0)</f>
        <v>-1057523.966740791</v>
      </c>
      <c r="S755" s="25">
        <f t="shared" ca="1" si="527"/>
        <v>877070.7536891019</v>
      </c>
    </row>
    <row r="756" spans="1:19" ht="15.75" customHeight="1" x14ac:dyDescent="0.3">
      <c r="A756" s="37">
        <v>73962</v>
      </c>
      <c r="B756" s="398">
        <f t="shared" ref="B756:C756" si="762">($A756-B$9)/365.25</f>
        <v>120.61875427789185</v>
      </c>
      <c r="C756" s="398">
        <f t="shared" si="762"/>
        <v>116.0082135523614</v>
      </c>
      <c r="E756" s="25">
        <f>IF(C756&gt;$B$7,0,'Combined Retirement'!$D$13/12)</f>
        <v>0</v>
      </c>
      <c r="F756" s="25">
        <f>IF(H756=0,'Combined Retirement'!$D$32,0)+'Combined Retirement'!$B$24</f>
        <v>2870.372285649099</v>
      </c>
      <c r="G756" s="25">
        <f>'Combined Retirement'!$C$24</f>
        <v>3254.2644699519233</v>
      </c>
      <c r="H756" s="25">
        <f>IF(B756&lt;62,0,'Combined Retirement'!$I$14)</f>
        <v>2345</v>
      </c>
      <c r="I756" s="25">
        <f>IF(C756&lt;62,0,'Combined Retirement'!$I$13)</f>
        <v>2420</v>
      </c>
      <c r="J756" s="25">
        <f t="shared" si="523"/>
        <v>7896.2379798201846</v>
      </c>
      <c r="K756" s="25">
        <f t="shared" si="524"/>
        <v>20367.195264578786</v>
      </c>
      <c r="L756" s="25"/>
      <c r="N756" s="25">
        <f>'Combined Retirement'!$C$18/12</f>
        <v>39153.069999999992</v>
      </c>
      <c r="O756" s="25">
        <f t="shared" si="525"/>
        <v>10889.636755601023</v>
      </c>
      <c r="P756" s="25">
        <f t="shared" si="526"/>
        <v>28263.43324439897</v>
      </c>
      <c r="Q756" s="25">
        <f t="array" aca="1" ref="Q756" ca="1">INDEX('Isaac 401k'!L:L,MATCH('Retirement Calculator'!A756,'Isaac 401k'!N:N,0),0)</f>
        <v>1934726.3927936147</v>
      </c>
      <c r="R756" s="25">
        <f t="array" aca="1" ref="R756" ca="1">INDEX('Lorri 401b'!L:L,MATCH('Retirement Calculator'!A756,'Lorri 401b'!N:N,0),0)</f>
        <v>-1082382.3751803921</v>
      </c>
      <c r="S756" s="25">
        <f t="shared" ca="1" si="527"/>
        <v>852344.01761322259</v>
      </c>
    </row>
    <row r="757" spans="1:19" ht="15.75" customHeight="1" x14ac:dyDescent="0.3">
      <c r="A757" s="37">
        <v>73993</v>
      </c>
      <c r="B757" s="398">
        <f t="shared" ref="B757:C757" si="763">($A757-B$9)/365.25</f>
        <v>120.70362765229295</v>
      </c>
      <c r="C757" s="398">
        <f t="shared" si="763"/>
        <v>116.0930869267625</v>
      </c>
      <c r="E757" s="25">
        <f>IF(C757&gt;$B$7,0,'Combined Retirement'!$D$13/12)</f>
        <v>0</v>
      </c>
      <c r="F757" s="25">
        <f>IF(H757=0,'Combined Retirement'!$D$32,0)+'Combined Retirement'!$B$24</f>
        <v>2870.372285649099</v>
      </c>
      <c r="G757" s="25">
        <f>'Combined Retirement'!$C$24</f>
        <v>3254.2644699519233</v>
      </c>
      <c r="H757" s="25">
        <f>IF(B757&lt;62,0,'Combined Retirement'!$I$14)</f>
        <v>2345</v>
      </c>
      <c r="I757" s="25">
        <f>IF(C757&lt;62,0,'Combined Retirement'!$I$13)</f>
        <v>2420</v>
      </c>
      <c r="J757" s="25">
        <f t="shared" si="523"/>
        <v>7896.2379798201846</v>
      </c>
      <c r="K757" s="25">
        <f t="shared" si="524"/>
        <v>20367.195264578786</v>
      </c>
      <c r="L757" s="25"/>
      <c r="N757" s="25">
        <f>'Combined Retirement'!$C$18/12</f>
        <v>39153.069999999992</v>
      </c>
      <c r="O757" s="25">
        <f t="shared" si="525"/>
        <v>10889.636755601023</v>
      </c>
      <c r="P757" s="25">
        <f t="shared" si="526"/>
        <v>28263.43324439897</v>
      </c>
      <c r="Q757" s="25">
        <f t="array" aca="1" ref="Q757" ca="1">INDEX('Isaac 401k'!L:L,MATCH('Retirement Calculator'!A757,'Isaac 401k'!N:N,0),0)</f>
        <v>1934858.6137921852</v>
      </c>
      <c r="R757" s="25">
        <f t="array" aca="1" ref="R757" ca="1">INDEX('Lorri 401b'!L:L,MATCH('Retirement Calculator'!A757,'Lorri 401b'!N:N,0),0)</f>
        <v>-1107344.3603218249</v>
      </c>
      <c r="S757" s="25">
        <f t="shared" ca="1" si="527"/>
        <v>827514.2534703603</v>
      </c>
    </row>
    <row r="758" spans="1:19" ht="15.75" customHeight="1" x14ac:dyDescent="0.3">
      <c r="A758" s="37">
        <v>74024</v>
      </c>
      <c r="B758" s="398">
        <f t="shared" ref="B758:C758" si="764">($A758-B$9)/365.25</f>
        <v>120.78850102669405</v>
      </c>
      <c r="C758" s="398">
        <f t="shared" si="764"/>
        <v>116.17796030116358</v>
      </c>
      <c r="E758" s="25">
        <f>IF(C758&gt;$B$7,0,'Combined Retirement'!$D$13/12)</f>
        <v>0</v>
      </c>
      <c r="F758" s="25">
        <f>IF(H758=0,'Combined Retirement'!$D$32,0)+'Combined Retirement'!$B$24</f>
        <v>2870.372285649099</v>
      </c>
      <c r="G758" s="25">
        <f>'Combined Retirement'!$C$24</f>
        <v>3254.2644699519233</v>
      </c>
      <c r="H758" s="25">
        <f>IF(B758&lt;62,0,'Combined Retirement'!$I$14)</f>
        <v>2345</v>
      </c>
      <c r="I758" s="25">
        <f>IF(C758&lt;62,0,'Combined Retirement'!$I$13)</f>
        <v>2420</v>
      </c>
      <c r="J758" s="25">
        <f t="shared" si="523"/>
        <v>7896.2379798201846</v>
      </c>
      <c r="K758" s="25">
        <f t="shared" si="524"/>
        <v>20367.195264578786</v>
      </c>
      <c r="L758" s="25"/>
      <c r="N758" s="25">
        <f>'Combined Retirement'!$C$18/12</f>
        <v>39153.069999999992</v>
      </c>
      <c r="O758" s="25">
        <f t="shared" si="525"/>
        <v>10889.636755601023</v>
      </c>
      <c r="P758" s="25">
        <f t="shared" si="526"/>
        <v>28263.43324439897</v>
      </c>
      <c r="Q758" s="25">
        <f t="array" aca="1" ref="Q758" ca="1">INDEX('Isaac 401k'!L:L,MATCH('Retirement Calculator'!A758,'Isaac 401k'!N:N,0),0)</f>
        <v>1934991.3857115831</v>
      </c>
      <c r="R758" s="25">
        <f t="array" aca="1" ref="R758" ca="1">INDEX('Lorri 401b'!L:L,MATCH('Retirement Calculator'!A758,'Lorri 401b'!N:N,0),0)</f>
        <v>-1132410.3537346805</v>
      </c>
      <c r="S758" s="25">
        <f t="shared" ca="1" si="527"/>
        <v>802581.03197690262</v>
      </c>
    </row>
    <row r="759" spans="1:19" ht="15.75" customHeight="1" x14ac:dyDescent="0.3">
      <c r="A759" s="37">
        <v>74054</v>
      </c>
      <c r="B759" s="398">
        <f t="shared" ref="B759:C759" si="765">($A759-B$9)/365.25</f>
        <v>120.87063655030801</v>
      </c>
      <c r="C759" s="398">
        <f t="shared" si="765"/>
        <v>116.26009582477755</v>
      </c>
      <c r="E759" s="25">
        <f>IF(C759&gt;$B$7,0,'Combined Retirement'!$D$13/12)</f>
        <v>0</v>
      </c>
      <c r="F759" s="25">
        <f>IF(H759=0,'Combined Retirement'!$D$32,0)+'Combined Retirement'!$B$24</f>
        <v>2870.372285649099</v>
      </c>
      <c r="G759" s="25">
        <f>'Combined Retirement'!$C$24</f>
        <v>3254.2644699519233</v>
      </c>
      <c r="H759" s="25">
        <f>IF(B759&lt;62,0,'Combined Retirement'!$I$14)</f>
        <v>2345</v>
      </c>
      <c r="I759" s="25">
        <f>IF(C759&lt;62,0,'Combined Retirement'!$I$13)</f>
        <v>2420</v>
      </c>
      <c r="J759" s="25">
        <f t="shared" si="523"/>
        <v>7896.2379798201846</v>
      </c>
      <c r="K759" s="25">
        <f t="shared" si="524"/>
        <v>20367.195264578786</v>
      </c>
      <c r="L759" s="25"/>
      <c r="N759" s="25">
        <f>'Combined Retirement'!$C$18/12</f>
        <v>39153.069999999992</v>
      </c>
      <c r="O759" s="25">
        <f t="shared" si="525"/>
        <v>10889.636755601023</v>
      </c>
      <c r="P759" s="25">
        <f t="shared" si="526"/>
        <v>28263.43324439897</v>
      </c>
      <c r="Q759" s="25">
        <f t="array" aca="1" ref="Q759" ca="1">INDEX('Isaac 401k'!L:L,MATCH('Retirement Calculator'!A759,'Isaac 401k'!N:N,0),0)</f>
        <v>1935124.7108473119</v>
      </c>
      <c r="R759" s="25">
        <f t="array" aca="1" ref="R759" ca="1">INDEX('Lorri 401b'!L:L,MATCH('Retirement Calculator'!A759,'Lorri 401b'!N:N,0),0)</f>
        <v>-1157580.7887867561</v>
      </c>
      <c r="S759" s="25">
        <f t="shared" ca="1" si="527"/>
        <v>777543.92206055578</v>
      </c>
    </row>
    <row r="760" spans="1:19" ht="15.75" customHeight="1" x14ac:dyDescent="0.3">
      <c r="A760" s="37">
        <v>74085</v>
      </c>
      <c r="B760" s="398">
        <f t="shared" ref="B760:C760" si="766">($A760-B$9)/365.25</f>
        <v>120.95550992470911</v>
      </c>
      <c r="C760" s="398">
        <f t="shared" si="766"/>
        <v>116.34496919917865</v>
      </c>
      <c r="E760" s="25">
        <f>IF(C760&gt;$B$7,0,'Combined Retirement'!$D$13/12)</f>
        <v>0</v>
      </c>
      <c r="F760" s="25">
        <f>IF(H760=0,'Combined Retirement'!$D$32,0)+'Combined Retirement'!$B$24</f>
        <v>2870.372285649099</v>
      </c>
      <c r="G760" s="25">
        <f>'Combined Retirement'!$C$24</f>
        <v>3254.2644699519233</v>
      </c>
      <c r="H760" s="25">
        <f>IF(B760&lt;62,0,'Combined Retirement'!$I$14)</f>
        <v>2345</v>
      </c>
      <c r="I760" s="25">
        <f>IF(C760&lt;62,0,'Combined Retirement'!$I$13)</f>
        <v>2420</v>
      </c>
      <c r="J760" s="25">
        <f t="shared" si="523"/>
        <v>7896.2379798201846</v>
      </c>
      <c r="K760" s="25">
        <f t="shared" si="524"/>
        <v>20367.195264578786</v>
      </c>
      <c r="L760" s="25"/>
      <c r="N760" s="25">
        <f>'Combined Retirement'!$C$18/12</f>
        <v>39153.069999999992</v>
      </c>
      <c r="O760" s="25">
        <f t="shared" si="525"/>
        <v>10889.636755601023</v>
      </c>
      <c r="P760" s="25">
        <f t="shared" si="526"/>
        <v>28263.43324439897</v>
      </c>
      <c r="Q760" s="25">
        <f t="array" aca="1" ref="Q760" ca="1">INDEX('Isaac 401k'!L:L,MATCH('Retirement Calculator'!A760,'Isaac 401k'!N:N,0),0)</f>
        <v>1935258.5915044395</v>
      </c>
      <c r="R760" s="25">
        <f t="array" aca="1" ref="R760" ca="1">INDEX('Lorri 401b'!L:L,MATCH('Retirement Calculator'!A760,'Lorri 401b'!N:N,0),0)</f>
        <v>-1182856.1006515487</v>
      </c>
      <c r="S760" s="25">
        <f t="shared" ca="1" si="527"/>
        <v>752402.49085289077</v>
      </c>
    </row>
    <row r="761" spans="1:19" ht="15.75" customHeight="1" x14ac:dyDescent="0.3">
      <c r="A761" s="37">
        <v>74115</v>
      </c>
      <c r="B761" s="398">
        <f t="shared" ref="B761:C761" si="767">($A761-B$9)/365.25</f>
        <v>121.03764544832306</v>
      </c>
      <c r="C761" s="398">
        <f t="shared" si="767"/>
        <v>116.42710472279261</v>
      </c>
      <c r="E761" s="25">
        <f>IF(C761&gt;$B$7,0,'Combined Retirement'!$D$13/12)</f>
        <v>0</v>
      </c>
      <c r="F761" s="25">
        <f>IF(H761=0,'Combined Retirement'!$D$32,0)+'Combined Retirement'!$B$24</f>
        <v>2870.372285649099</v>
      </c>
      <c r="G761" s="25">
        <f>'Combined Retirement'!$C$24</f>
        <v>3254.2644699519233</v>
      </c>
      <c r="H761" s="25">
        <f>IF(B761&lt;62,0,'Combined Retirement'!$I$14)</f>
        <v>2345</v>
      </c>
      <c r="I761" s="25">
        <f>IF(C761&lt;62,0,'Combined Retirement'!$I$13)</f>
        <v>2420</v>
      </c>
      <c r="J761" s="25">
        <f t="shared" si="523"/>
        <v>7896.2379798201846</v>
      </c>
      <c r="K761" s="25">
        <f t="shared" si="524"/>
        <v>20367.195264578786</v>
      </c>
      <c r="L761" s="25"/>
      <c r="N761" s="25">
        <f>'Combined Retirement'!$C$18/12</f>
        <v>39153.069999999992</v>
      </c>
      <c r="O761" s="25">
        <f t="shared" si="525"/>
        <v>10889.636755601023</v>
      </c>
      <c r="P761" s="25">
        <f t="shared" si="526"/>
        <v>28263.43324439897</v>
      </c>
      <c r="Q761" s="25">
        <f t="array" aca="1" ref="Q761" ca="1">INDEX('Isaac 401k'!L:L,MATCH('Retirement Calculator'!A761,'Isaac 401k'!N:N,0),0)</f>
        <v>1935393.0299976384</v>
      </c>
      <c r="R761" s="25">
        <f t="array" aca="1" ref="R761" ca="1">INDEX('Lorri 401b'!L:L,MATCH('Retirement Calculator'!A761,'Lorri 401b'!N:N,0),0)</f>
        <v>-1208236.726315778</v>
      </c>
      <c r="S761" s="25">
        <f t="shared" ca="1" si="527"/>
        <v>727156.30368186045</v>
      </c>
    </row>
    <row r="762" spans="1:19" ht="15.75" customHeight="1" x14ac:dyDescent="0.3">
      <c r="A762" s="37">
        <v>74146</v>
      </c>
      <c r="B762" s="398">
        <f t="shared" ref="B762:C762" si="768">($A762-B$9)/365.25</f>
        <v>121.12251882272416</v>
      </c>
      <c r="C762" s="398">
        <f t="shared" si="768"/>
        <v>116.5119780971937</v>
      </c>
      <c r="E762" s="25">
        <f>IF(C762&gt;$B$7,0,'Combined Retirement'!$D$13/12)</f>
        <v>0</v>
      </c>
      <c r="F762" s="25">
        <f>IF(H762=0,'Combined Retirement'!$D$32,0)+'Combined Retirement'!$B$24</f>
        <v>2870.372285649099</v>
      </c>
      <c r="G762" s="25">
        <f>'Combined Retirement'!$C$24</f>
        <v>3254.2644699519233</v>
      </c>
      <c r="H762" s="25">
        <f>IF(B762&lt;62,0,'Combined Retirement'!$I$14)</f>
        <v>2345</v>
      </c>
      <c r="I762" s="25">
        <f>IF(C762&lt;62,0,'Combined Retirement'!$I$13)</f>
        <v>2420</v>
      </c>
      <c r="J762" s="25">
        <f t="shared" si="523"/>
        <v>7896.2379798201846</v>
      </c>
      <c r="K762" s="25">
        <f t="shared" si="524"/>
        <v>20367.195264578786</v>
      </c>
      <c r="L762" s="25"/>
      <c r="N762" s="25">
        <f>'Combined Retirement'!$C$18/12</f>
        <v>39153.069999999992</v>
      </c>
      <c r="O762" s="25">
        <f t="shared" si="525"/>
        <v>10889.636755601023</v>
      </c>
      <c r="P762" s="25">
        <f t="shared" si="526"/>
        <v>28263.43324439897</v>
      </c>
      <c r="Q762" s="25">
        <f t="array" aca="1" ref="Q762" ca="1">INDEX('Isaac 401k'!L:L,MATCH('Retirement Calculator'!A762,'Isaac 401k'!N:N,0),0)</f>
        <v>1935528.0286512258</v>
      </c>
      <c r="R762" s="25">
        <f t="array" aca="1" ref="R762" ca="1">INDEX('Lorri 401b'!L:L,MATCH('Retirement Calculator'!A762,'Lorri 401b'!N:N,0),0)</f>
        <v>-1233723.1045869417</v>
      </c>
      <c r="S762" s="25">
        <f t="shared" ca="1" si="527"/>
        <v>701804.92406428419</v>
      </c>
    </row>
    <row r="763" spans="1:19" ht="15.75" customHeight="1" x14ac:dyDescent="0.3">
      <c r="A763" s="37">
        <v>74177</v>
      </c>
      <c r="B763" s="398">
        <f t="shared" ref="B763:C763" si="769">($A763-B$9)/365.25</f>
        <v>121.20739219712526</v>
      </c>
      <c r="C763" s="398">
        <f t="shared" si="769"/>
        <v>116.5968514715948</v>
      </c>
      <c r="E763" s="25">
        <f>IF(C763&gt;$B$7,0,'Combined Retirement'!$D$13/12)</f>
        <v>0</v>
      </c>
      <c r="F763" s="25">
        <f>IF(H763=0,'Combined Retirement'!$D$32,0)+'Combined Retirement'!$B$24</f>
        <v>2870.372285649099</v>
      </c>
      <c r="G763" s="25">
        <f>'Combined Retirement'!$C$24</f>
        <v>3254.2644699519233</v>
      </c>
      <c r="H763" s="25">
        <f>IF(B763&lt;62,0,'Combined Retirement'!$I$14)</f>
        <v>2345</v>
      </c>
      <c r="I763" s="25">
        <f>IF(C763&lt;62,0,'Combined Retirement'!$I$13)</f>
        <v>2420</v>
      </c>
      <c r="J763" s="25">
        <f t="shared" si="523"/>
        <v>7896.2379798201846</v>
      </c>
      <c r="K763" s="25">
        <f t="shared" si="524"/>
        <v>20367.195264578786</v>
      </c>
      <c r="L763" s="25"/>
      <c r="N763" s="25">
        <f>'Combined Retirement'!$C$18/12</f>
        <v>39153.069999999992</v>
      </c>
      <c r="O763" s="25">
        <f t="shared" si="525"/>
        <v>10889.636755601023</v>
      </c>
      <c r="P763" s="25">
        <f t="shared" si="526"/>
        <v>28263.43324439897</v>
      </c>
      <c r="Q763" s="25">
        <f t="array" aca="1" ref="Q763" ca="1">INDEX('Isaac 401k'!L:L,MATCH('Retirement Calculator'!A763,'Isaac 401k'!N:N,0),0)</f>
        <v>1935663.5897992032</v>
      </c>
      <c r="R763" s="25">
        <f t="array" aca="1" ref="R763" ca="1">INDEX('Lorri 401b'!L:L,MATCH('Retirement Calculator'!A763,'Lorri 401b'!N:N,0),0)</f>
        <v>-1259315.6761009018</v>
      </c>
      <c r="S763" s="25">
        <f t="shared" ca="1" si="527"/>
        <v>676347.91369830142</v>
      </c>
    </row>
    <row r="764" spans="1:19" ht="15.75" customHeight="1" x14ac:dyDescent="0.3">
      <c r="A764" s="37">
        <v>74205</v>
      </c>
      <c r="B764" s="398">
        <f t="shared" ref="B764:C764" si="770">($A764-B$9)/365.25</f>
        <v>121.28405201916496</v>
      </c>
      <c r="C764" s="398">
        <f t="shared" si="770"/>
        <v>116.67351129363449</v>
      </c>
      <c r="E764" s="25">
        <f>IF(C764&gt;$B$7,0,'Combined Retirement'!$D$13/12)</f>
        <v>0</v>
      </c>
      <c r="F764" s="25">
        <f>IF(H764=0,'Combined Retirement'!$D$32,0)+'Combined Retirement'!$B$24</f>
        <v>2870.372285649099</v>
      </c>
      <c r="G764" s="25">
        <f>'Combined Retirement'!$C$24</f>
        <v>3254.2644699519233</v>
      </c>
      <c r="H764" s="25">
        <f>IF(B764&lt;62,0,'Combined Retirement'!$I$14)</f>
        <v>2345</v>
      </c>
      <c r="I764" s="25">
        <f>IF(C764&lt;62,0,'Combined Retirement'!$I$13)</f>
        <v>2420</v>
      </c>
      <c r="J764" s="25">
        <f t="shared" si="523"/>
        <v>7896.2379798201846</v>
      </c>
      <c r="K764" s="25">
        <f t="shared" si="524"/>
        <v>20367.195264578786</v>
      </c>
      <c r="L764" s="25"/>
      <c r="N764" s="25">
        <f>'Combined Retirement'!$C$18/12</f>
        <v>39153.069999999992</v>
      </c>
      <c r="O764" s="25">
        <f t="shared" si="525"/>
        <v>10889.636755601023</v>
      </c>
      <c r="P764" s="25">
        <f t="shared" si="526"/>
        <v>28263.43324439897</v>
      </c>
      <c r="Q764" s="25">
        <f t="array" aca="1" ref="Q764" ca="1">INDEX('Isaac 401k'!L:L,MATCH('Retirement Calculator'!A764,'Isaac 401k'!N:N,0),0)</f>
        <v>1935799.7157852971</v>
      </c>
      <c r="R764" s="25">
        <f t="array" aca="1" ref="R764" ca="1">INDEX('Lorri 401b'!L:L,MATCH('Retirement Calculator'!A764,'Lorri 401b'!N:N,0),0)</f>
        <v>-1285014.8833295035</v>
      </c>
      <c r="S764" s="25">
        <f t="shared" ca="1" si="527"/>
        <v>650784.83245579363</v>
      </c>
    </row>
    <row r="765" spans="1:19" ht="15.75" customHeight="1" x14ac:dyDescent="0.3">
      <c r="A765" s="37">
        <v>74236</v>
      </c>
      <c r="B765" s="398">
        <f t="shared" ref="B765:C765" si="771">($A765-B$9)/365.25</f>
        <v>121.36892539356604</v>
      </c>
      <c r="C765" s="398">
        <f t="shared" si="771"/>
        <v>116.75838466803559</v>
      </c>
      <c r="E765" s="25">
        <f>IF(C765&gt;$B$7,0,'Combined Retirement'!$D$13/12)</f>
        <v>0</v>
      </c>
      <c r="F765" s="25">
        <f>IF(H765=0,'Combined Retirement'!$D$32,0)+'Combined Retirement'!$B$24</f>
        <v>2870.372285649099</v>
      </c>
      <c r="G765" s="25">
        <f>'Combined Retirement'!$C$24</f>
        <v>3254.2644699519233</v>
      </c>
      <c r="H765" s="25">
        <f>IF(B765&lt;62,0,'Combined Retirement'!$I$14)</f>
        <v>2345</v>
      </c>
      <c r="I765" s="25">
        <f>IF(C765&lt;62,0,'Combined Retirement'!$I$13)</f>
        <v>2420</v>
      </c>
      <c r="J765" s="25">
        <f t="shared" si="523"/>
        <v>7896.2379798201846</v>
      </c>
      <c r="K765" s="25">
        <f t="shared" si="524"/>
        <v>20367.195264578786</v>
      </c>
      <c r="L765" s="25"/>
      <c r="N765" s="25">
        <f>'Combined Retirement'!$C$18/12</f>
        <v>39153.069999999992</v>
      </c>
      <c r="O765" s="25">
        <f t="shared" si="525"/>
        <v>10889.636755601023</v>
      </c>
      <c r="P765" s="25">
        <f t="shared" si="526"/>
        <v>28263.43324439897</v>
      </c>
      <c r="Q765" s="25">
        <f t="array" aca="1" ref="Q765" ca="1">INDEX('Isaac 401k'!L:L,MATCH('Retirement Calculator'!A765,'Isaac 401k'!N:N,0),0)</f>
        <v>1935936.4089629997</v>
      </c>
      <c r="R765" s="25">
        <f t="array" aca="1" ref="R765" ca="1">INDEX('Lorri 401b'!L:L,MATCH('Retirement Calculator'!A765,'Lorri 401b'!N:N,0),0)</f>
        <v>-1310821.1705882242</v>
      </c>
      <c r="S765" s="25">
        <f t="shared" ca="1" si="527"/>
        <v>625115.23837477551</v>
      </c>
    </row>
    <row r="766" spans="1:19" ht="15.75" customHeight="1" x14ac:dyDescent="0.3">
      <c r="A766" s="37">
        <v>74266</v>
      </c>
      <c r="B766" s="398">
        <f t="shared" ref="B766:C766" si="772">($A766-B$9)/365.25</f>
        <v>121.45106091718002</v>
      </c>
      <c r="C766" s="398">
        <f t="shared" si="772"/>
        <v>116.84052019164956</v>
      </c>
      <c r="E766" s="25">
        <f>IF(C766&gt;$B$7,0,'Combined Retirement'!$D$13/12)</f>
        <v>0</v>
      </c>
      <c r="F766" s="25">
        <f>IF(H766=0,'Combined Retirement'!$D$32,0)+'Combined Retirement'!$B$24</f>
        <v>2870.372285649099</v>
      </c>
      <c r="G766" s="25">
        <f>'Combined Retirement'!$C$24</f>
        <v>3254.2644699519233</v>
      </c>
      <c r="H766" s="25">
        <f>IF(B766&lt;62,0,'Combined Retirement'!$I$14)</f>
        <v>2345</v>
      </c>
      <c r="I766" s="25">
        <f>IF(C766&lt;62,0,'Combined Retirement'!$I$13)</f>
        <v>2420</v>
      </c>
      <c r="J766" s="25">
        <f t="shared" si="523"/>
        <v>7896.2379798201846</v>
      </c>
      <c r="K766" s="25">
        <f t="shared" si="524"/>
        <v>20367.195264578786</v>
      </c>
      <c r="L766" s="25"/>
      <c r="N766" s="25">
        <f>'Combined Retirement'!$C$18/12</f>
        <v>39153.069999999992</v>
      </c>
      <c r="O766" s="25">
        <f t="shared" si="525"/>
        <v>10889.636755601023</v>
      </c>
      <c r="P766" s="25">
        <f t="shared" si="526"/>
        <v>28263.43324439897</v>
      </c>
      <c r="Q766" s="25">
        <f t="array" aca="1" ref="Q766" ca="1">INDEX('Isaac 401k'!L:L,MATCH('Retirement Calculator'!A766,'Isaac 401k'!N:N,0),0)</f>
        <v>1936073.6716956093</v>
      </c>
      <c r="R766" s="25">
        <f t="array" aca="1" ref="R766" ca="1">INDEX('Lorri 401b'!L:L,MATCH('Retirement Calculator'!A766,'Lorri 401b'!N:N,0),0)</f>
        <v>-1336734.9840438564</v>
      </c>
      <c r="S766" s="25">
        <f t="shared" ca="1" si="527"/>
        <v>599338.68765175296</v>
      </c>
    </row>
    <row r="767" spans="1:19" ht="15.75" customHeight="1" x14ac:dyDescent="0.3">
      <c r="A767" s="37">
        <v>74297</v>
      </c>
      <c r="B767" s="398">
        <f t="shared" ref="B767:C767" si="773">($A767-B$9)/365.25</f>
        <v>121.53593429158111</v>
      </c>
      <c r="C767" s="398">
        <f t="shared" si="773"/>
        <v>116.92539356605064</v>
      </c>
      <c r="E767" s="25">
        <f>IF(C767&gt;$B$7,0,'Combined Retirement'!$D$13/12)</f>
        <v>0</v>
      </c>
      <c r="F767" s="25">
        <f>IF(H767=0,'Combined Retirement'!$D$32,0)+'Combined Retirement'!$B$24</f>
        <v>2870.372285649099</v>
      </c>
      <c r="G767" s="25">
        <f>'Combined Retirement'!$C$24</f>
        <v>3254.2644699519233</v>
      </c>
      <c r="H767" s="25">
        <f>IF(B767&lt;62,0,'Combined Retirement'!$I$14)</f>
        <v>2345</v>
      </c>
      <c r="I767" s="25">
        <f>IF(C767&lt;62,0,'Combined Retirement'!$I$13)</f>
        <v>2420</v>
      </c>
      <c r="J767" s="25">
        <f t="shared" si="523"/>
        <v>7896.2379798201846</v>
      </c>
      <c r="K767" s="25">
        <f t="shared" si="524"/>
        <v>20367.195264578786</v>
      </c>
      <c r="L767" s="25"/>
      <c r="N767" s="25">
        <f>'Combined Retirement'!$C$18/12</f>
        <v>39153.069999999992</v>
      </c>
      <c r="O767" s="25">
        <f t="shared" si="525"/>
        <v>10889.636755601023</v>
      </c>
      <c r="P767" s="25">
        <f t="shared" si="526"/>
        <v>28263.43324439897</v>
      </c>
      <c r="Q767" s="25">
        <f t="array" aca="1" ref="Q767" ca="1">INDEX('Isaac 401k'!L:L,MATCH('Retirement Calculator'!A767,'Isaac 401k'!N:N,0),0)</f>
        <v>1936211.5063562717</v>
      </c>
      <c r="R767" s="25">
        <f t="array" aca="1" ref="R767" ca="1">INDEX('Lorri 401b'!L:L,MATCH('Retirement Calculator'!A767,'Lorri 401b'!N:N,0),0)</f>
        <v>-1362756.7717222204</v>
      </c>
      <c r="S767" s="25">
        <f t="shared" ca="1" si="527"/>
        <v>573454.73463405133</v>
      </c>
    </row>
    <row r="768" spans="1:19" ht="15.75" customHeight="1" x14ac:dyDescent="0.3">
      <c r="A768" s="37">
        <v>74327</v>
      </c>
      <c r="B768" s="398">
        <f t="shared" ref="B768:C768" si="774">($A768-B$9)/365.25</f>
        <v>121.61806981519507</v>
      </c>
      <c r="C768" s="398">
        <f t="shared" si="774"/>
        <v>117.00752908966462</v>
      </c>
      <c r="E768" s="25">
        <f>IF(C768&gt;$B$7,0,'Combined Retirement'!$D$13/12)</f>
        <v>0</v>
      </c>
      <c r="F768" s="25">
        <f>IF(H768=0,'Combined Retirement'!$D$32,0)+'Combined Retirement'!$B$24</f>
        <v>2870.372285649099</v>
      </c>
      <c r="G768" s="25">
        <f>'Combined Retirement'!$C$24</f>
        <v>3254.2644699519233</v>
      </c>
      <c r="H768" s="25">
        <f>IF(B768&lt;62,0,'Combined Retirement'!$I$14)</f>
        <v>2345</v>
      </c>
      <c r="I768" s="25">
        <f>IF(C768&lt;62,0,'Combined Retirement'!$I$13)</f>
        <v>2420</v>
      </c>
      <c r="J768" s="25">
        <f t="shared" si="523"/>
        <v>7896.2379798201846</v>
      </c>
      <c r="K768" s="25">
        <f t="shared" si="524"/>
        <v>20367.195264578786</v>
      </c>
      <c r="L768" s="25"/>
      <c r="N768" s="25">
        <f>'Combined Retirement'!$C$18/12</f>
        <v>39153.069999999992</v>
      </c>
      <c r="O768" s="25">
        <f t="shared" si="525"/>
        <v>10889.636755601023</v>
      </c>
      <c r="P768" s="25">
        <f t="shared" si="526"/>
        <v>28263.43324439897</v>
      </c>
      <c r="Q768" s="25">
        <f t="array" aca="1" ref="Q768" ca="1">INDEX('Isaac 401k'!L:L,MATCH('Retirement Calculator'!A768,'Isaac 401k'!N:N,0),0)</f>
        <v>1936349.91532802</v>
      </c>
      <c r="R768" s="25">
        <f t="array" aca="1" ref="R768" ca="1">INDEX('Lorri 401b'!L:L,MATCH('Retirement Calculator'!A768,'Lorri 401b'!N:N,0),0)</f>
        <v>-1388886.9835159108</v>
      </c>
      <c r="S768" s="25">
        <f t="shared" ca="1" si="527"/>
        <v>547462.93181210919</v>
      </c>
    </row>
    <row r="769" spans="1:19" ht="15.75" customHeight="1" x14ac:dyDescent="0.3">
      <c r="A769" s="37">
        <v>74358</v>
      </c>
      <c r="B769" s="398">
        <f t="shared" ref="B769:C769" si="775">($A769-B$9)/365.25</f>
        <v>121.70294318959617</v>
      </c>
      <c r="C769" s="398">
        <f t="shared" si="775"/>
        <v>117.09240246406571</v>
      </c>
      <c r="E769" s="25">
        <f>IF(C769&gt;$B$7,0,'Combined Retirement'!$D$13/12)</f>
        <v>0</v>
      </c>
      <c r="F769" s="25">
        <f>IF(H769=0,'Combined Retirement'!$D$32,0)+'Combined Retirement'!$B$24</f>
        <v>2870.372285649099</v>
      </c>
      <c r="G769" s="25">
        <f>'Combined Retirement'!$C$24</f>
        <v>3254.2644699519233</v>
      </c>
      <c r="H769" s="25">
        <f>IF(B769&lt;62,0,'Combined Retirement'!$I$14)</f>
        <v>2345</v>
      </c>
      <c r="I769" s="25">
        <f>IF(C769&lt;62,0,'Combined Retirement'!$I$13)</f>
        <v>2420</v>
      </c>
      <c r="J769" s="25">
        <f t="shared" si="523"/>
        <v>7896.2379798201846</v>
      </c>
      <c r="K769" s="25">
        <f t="shared" si="524"/>
        <v>20367.195264578786</v>
      </c>
      <c r="L769" s="25"/>
      <c r="N769" s="25">
        <f>'Combined Retirement'!$C$18/12</f>
        <v>39153.069999999992</v>
      </c>
      <c r="O769" s="25">
        <f t="shared" si="525"/>
        <v>10889.636755601023</v>
      </c>
      <c r="P769" s="25">
        <f t="shared" si="526"/>
        <v>28263.43324439897</v>
      </c>
      <c r="Q769" s="25">
        <f t="array" aca="1" ref="Q769" ca="1">INDEX('Isaac 401k'!L:L,MATCH('Retirement Calculator'!A769,'Isaac 401k'!N:N,0),0)</f>
        <v>1936488.9010038173</v>
      </c>
      <c r="R769" s="25">
        <f t="array" aca="1" ref="R769" ca="1">INDEX('Lorri 401b'!L:L,MATCH('Retirement Calculator'!A769,'Lorri 401b'!N:N,0),0)</f>
        <v>-1415126.071192075</v>
      </c>
      <c r="S769" s="25">
        <f t="shared" ca="1" si="527"/>
        <v>521362.8298117423</v>
      </c>
    </row>
    <row r="770" spans="1:19" ht="15.75" customHeight="1" x14ac:dyDescent="0.3">
      <c r="A770" s="37">
        <v>74389</v>
      </c>
      <c r="B770" s="398">
        <f t="shared" ref="B770:C770" si="776">($A770-B$9)/365.25</f>
        <v>121.78781656399727</v>
      </c>
      <c r="C770" s="398">
        <f t="shared" si="776"/>
        <v>117.1772758384668</v>
      </c>
      <c r="E770" s="25">
        <f>IF(C770&gt;$B$7,0,'Combined Retirement'!$D$13/12)</f>
        <v>0</v>
      </c>
      <c r="F770" s="25">
        <f>IF(H770=0,'Combined Retirement'!$D$32,0)+'Combined Retirement'!$B$24</f>
        <v>2870.372285649099</v>
      </c>
      <c r="G770" s="25">
        <f>'Combined Retirement'!$C$24</f>
        <v>3254.2644699519233</v>
      </c>
      <c r="H770" s="25">
        <f>IF(B770&lt;62,0,'Combined Retirement'!$I$14)</f>
        <v>2345</v>
      </c>
      <c r="I770" s="25">
        <f>IF(C770&lt;62,0,'Combined Retirement'!$I$13)</f>
        <v>2420</v>
      </c>
      <c r="J770" s="25">
        <f t="shared" si="523"/>
        <v>7896.2379798201846</v>
      </c>
      <c r="K770" s="25">
        <f t="shared" si="524"/>
        <v>20367.195264578786</v>
      </c>
      <c r="L770" s="25"/>
      <c r="N770" s="25">
        <f>'Combined Retirement'!$C$18/12</f>
        <v>39153.069999999992</v>
      </c>
      <c r="O770" s="25">
        <f t="shared" si="525"/>
        <v>10889.636755601023</v>
      </c>
      <c r="P770" s="25">
        <f t="shared" si="526"/>
        <v>28263.43324439897</v>
      </c>
      <c r="Q770" s="25">
        <f t="array" aca="1" ref="Q770" ca="1">INDEX('Isaac 401k'!L:L,MATCH('Retirement Calculator'!A770,'Isaac 401k'!N:N,0),0)</f>
        <v>1936628.465786597</v>
      </c>
      <c r="R770" s="25">
        <f t="array" aca="1" ref="R770" ca="1">INDEX('Lorri 401b'!L:L,MATCH('Retirement Calculator'!A770,'Lorri 401b'!N:N,0),0)</f>
        <v>-1441474.4884002232</v>
      </c>
      <c r="S770" s="25">
        <f t="shared" ca="1" si="527"/>
        <v>495153.97738637379</v>
      </c>
    </row>
    <row r="771" spans="1:19" ht="15.75" customHeight="1" x14ac:dyDescent="0.3">
      <c r="A771" s="37">
        <v>74419</v>
      </c>
      <c r="B771" s="398">
        <f t="shared" ref="B771:C771" si="777">($A771-B$9)/365.25</f>
        <v>121.86995208761122</v>
      </c>
      <c r="C771" s="398">
        <f t="shared" si="777"/>
        <v>117.25941136208077</v>
      </c>
      <c r="E771" s="25">
        <f>IF(C771&gt;$B$7,0,'Combined Retirement'!$D$13/12)</f>
        <v>0</v>
      </c>
      <c r="F771" s="25">
        <f>IF(H771=0,'Combined Retirement'!$D$32,0)+'Combined Retirement'!$B$24</f>
        <v>2870.372285649099</v>
      </c>
      <c r="G771" s="25">
        <f>'Combined Retirement'!$C$24</f>
        <v>3254.2644699519233</v>
      </c>
      <c r="H771" s="25">
        <f>IF(B771&lt;62,0,'Combined Retirement'!$I$14)</f>
        <v>2345</v>
      </c>
      <c r="I771" s="25">
        <f>IF(C771&lt;62,0,'Combined Retirement'!$I$13)</f>
        <v>2420</v>
      </c>
      <c r="J771" s="25">
        <f t="shared" si="523"/>
        <v>7896.2379798201846</v>
      </c>
      <c r="K771" s="25">
        <f t="shared" si="524"/>
        <v>20367.195264578786</v>
      </c>
      <c r="L771" s="25"/>
      <c r="N771" s="25">
        <f>'Combined Retirement'!$C$18/12</f>
        <v>39153.069999999992</v>
      </c>
      <c r="O771" s="25">
        <f t="shared" si="525"/>
        <v>10889.636755601023</v>
      </c>
      <c r="P771" s="25">
        <f t="shared" si="526"/>
        <v>28263.43324439897</v>
      </c>
      <c r="Q771" s="25">
        <f t="array" aca="1" ref="Q771" ca="1">INDEX('Isaac 401k'!L:L,MATCH('Retirement Calculator'!A771,'Isaac 401k'!N:N,0),0)</f>
        <v>1936768.612089305</v>
      </c>
      <c r="R771" s="25">
        <f t="array" aca="1" ref="R771" ca="1">INDEX('Lorri 401b'!L:L,MATCH('Retirement Calculator'!A771,'Lorri 401b'!N:N,0),0)</f>
        <v>-1467932.6906800719</v>
      </c>
      <c r="S771" s="25">
        <f t="shared" ca="1" si="527"/>
        <v>468835.92140923301</v>
      </c>
    </row>
    <row r="772" spans="1:19" ht="15.75" customHeight="1" x14ac:dyDescent="0.3">
      <c r="A772" s="37">
        <v>74450</v>
      </c>
      <c r="B772" s="398">
        <f t="shared" ref="B772:C772" si="778">($A772-B$9)/365.25</f>
        <v>121.95482546201232</v>
      </c>
      <c r="C772" s="398">
        <f t="shared" si="778"/>
        <v>117.34428473648187</v>
      </c>
      <c r="E772" s="25">
        <f>IF(C772&gt;$B$7,0,'Combined Retirement'!$D$13/12)</f>
        <v>0</v>
      </c>
      <c r="F772" s="25">
        <f>IF(H772=0,'Combined Retirement'!$D$32,0)+'Combined Retirement'!$B$24</f>
        <v>2870.372285649099</v>
      </c>
      <c r="G772" s="25">
        <f>'Combined Retirement'!$C$24</f>
        <v>3254.2644699519233</v>
      </c>
      <c r="H772" s="25">
        <f>IF(B772&lt;62,0,'Combined Retirement'!$I$14)</f>
        <v>2345</v>
      </c>
      <c r="I772" s="25">
        <f>IF(C772&lt;62,0,'Combined Retirement'!$I$13)</f>
        <v>2420</v>
      </c>
      <c r="J772" s="25">
        <f t="shared" si="523"/>
        <v>7896.2379798201846</v>
      </c>
      <c r="K772" s="25">
        <f t="shared" si="524"/>
        <v>20367.195264578786</v>
      </c>
      <c r="L772" s="25"/>
      <c r="N772" s="25">
        <f>'Combined Retirement'!$C$18/12</f>
        <v>39153.069999999992</v>
      </c>
      <c r="O772" s="25">
        <f t="shared" si="525"/>
        <v>10889.636755601023</v>
      </c>
      <c r="P772" s="25">
        <f t="shared" si="526"/>
        <v>28263.43324439897</v>
      </c>
      <c r="Q772" s="25">
        <f t="array" aca="1" ref="Q772" ca="1">INDEX('Isaac 401k'!L:L,MATCH('Retirement Calculator'!A772,'Isaac 401k'!N:N,0),0)</f>
        <v>1936909.3423349408</v>
      </c>
      <c r="R772" s="25">
        <f t="array" aca="1" ref="R772" ca="1">INDEX('Lorri 401b'!L:L,MATCH('Retirement Calculator'!A772,'Lorri 401b'!N:N,0),0)</f>
        <v>-1494501.1354694201</v>
      </c>
      <c r="S772" s="25">
        <f t="shared" ca="1" si="527"/>
        <v>442408.20686552068</v>
      </c>
    </row>
    <row r="773" spans="1:19" ht="15.75" customHeight="1" x14ac:dyDescent="0.3">
      <c r="A773" s="37">
        <v>74480</v>
      </c>
      <c r="B773" s="398">
        <f t="shared" ref="B773:C773" si="779">($A773-B$9)/365.25</f>
        <v>122.03696098562628</v>
      </c>
      <c r="C773" s="398">
        <f t="shared" si="779"/>
        <v>117.42642026009582</v>
      </c>
      <c r="E773" s="25">
        <f>IF(C773&gt;$B$7,0,'Combined Retirement'!$D$13/12)</f>
        <v>0</v>
      </c>
      <c r="F773" s="25">
        <f>IF(H773=0,'Combined Retirement'!$D$32,0)+'Combined Retirement'!$B$24</f>
        <v>2870.372285649099</v>
      </c>
      <c r="G773" s="25">
        <f>'Combined Retirement'!$C$24</f>
        <v>3254.2644699519233</v>
      </c>
      <c r="H773" s="25">
        <f>IF(B773&lt;62,0,'Combined Retirement'!$I$14)</f>
        <v>2345</v>
      </c>
      <c r="I773" s="25">
        <f>IF(C773&lt;62,0,'Combined Retirement'!$I$13)</f>
        <v>2420</v>
      </c>
      <c r="J773" s="25">
        <f t="shared" si="523"/>
        <v>7896.2379798201846</v>
      </c>
      <c r="K773" s="25">
        <f t="shared" si="524"/>
        <v>20367.195264578786</v>
      </c>
      <c r="L773" s="25"/>
      <c r="N773" s="25">
        <f>'Combined Retirement'!$C$18/12</f>
        <v>39153.069999999992</v>
      </c>
      <c r="O773" s="25">
        <f t="shared" si="525"/>
        <v>10889.636755601023</v>
      </c>
      <c r="P773" s="25">
        <f t="shared" si="526"/>
        <v>28263.43324439897</v>
      </c>
      <c r="Q773" s="25">
        <f t="array" aca="1" ref="Q773" ca="1">INDEX('Isaac 401k'!L:L,MATCH('Retirement Calculator'!A773,'Isaac 401k'!N:N,0),0)</f>
        <v>1937050.6589566001</v>
      </c>
      <c r="R773" s="25">
        <f t="array" aca="1" ref="R773" ca="1">INDEX('Lorri 401b'!L:L,MATCH('Retirement Calculator'!A773,'Lorri 401b'!N:N,0),0)</f>
        <v>-1521180.2821120573</v>
      </c>
      <c r="S773" s="25">
        <f t="shared" ca="1" si="527"/>
        <v>415870.3768445428</v>
      </c>
    </row>
    <row r="774" spans="1:19" ht="15.75" customHeight="1" x14ac:dyDescent="0.3">
      <c r="A774" s="37">
        <v>74511</v>
      </c>
      <c r="B774" s="398">
        <f t="shared" ref="B774:C774" si="780">($A774-B$9)/365.25</f>
        <v>122.12183436002738</v>
      </c>
      <c r="C774" s="398">
        <f t="shared" si="780"/>
        <v>117.51129363449692</v>
      </c>
      <c r="E774" s="25">
        <f>IF(C774&gt;$B$7,0,'Combined Retirement'!$D$13/12)</f>
        <v>0</v>
      </c>
      <c r="F774" s="25">
        <f>IF(H774=0,'Combined Retirement'!$D$32,0)+'Combined Retirement'!$B$24</f>
        <v>2870.372285649099</v>
      </c>
      <c r="G774" s="25">
        <f>'Combined Retirement'!$C$24</f>
        <v>3254.2644699519233</v>
      </c>
      <c r="H774" s="25">
        <f>IF(B774&lt;62,0,'Combined Retirement'!$I$14)</f>
        <v>2345</v>
      </c>
      <c r="I774" s="25">
        <f>IF(C774&lt;62,0,'Combined Retirement'!$I$13)</f>
        <v>2420</v>
      </c>
      <c r="J774" s="25">
        <f t="shared" si="523"/>
        <v>7896.2379798201846</v>
      </c>
      <c r="K774" s="25">
        <f t="shared" si="524"/>
        <v>20367.195264578786</v>
      </c>
      <c r="L774" s="25"/>
      <c r="N774" s="25">
        <f>'Combined Retirement'!$C$18/12</f>
        <v>39153.069999999992</v>
      </c>
      <c r="O774" s="25">
        <f t="shared" si="525"/>
        <v>10889.636755601023</v>
      </c>
      <c r="P774" s="25">
        <f t="shared" si="526"/>
        <v>28263.43324439897</v>
      </c>
      <c r="Q774" s="25">
        <f t="array" aca="1" ref="Q774" ca="1">INDEX('Isaac 401k'!L:L,MATCH('Retirement Calculator'!A774,'Isaac 401k'!N:N,0),0)</f>
        <v>1937192.5643975164</v>
      </c>
      <c r="R774" s="25">
        <f t="array" aca="1" ref="R774" ca="1">INDEX('Lorri 401b'!L:L,MATCH('Retirement Calculator'!A774,'Lorri 401b'!N:N,0),0)</f>
        <v>-1547970.5918657053</v>
      </c>
      <c r="S774" s="25">
        <f t="shared" ca="1" si="527"/>
        <v>389221.9725318111</v>
      </c>
    </row>
    <row r="775" spans="1:19" ht="15.75" customHeight="1" x14ac:dyDescent="0.3">
      <c r="A775" s="37">
        <v>74542</v>
      </c>
      <c r="B775" s="398">
        <f t="shared" ref="B775:C775" si="781">($A775-B$9)/365.25</f>
        <v>122.20670773442848</v>
      </c>
      <c r="C775" s="398">
        <f t="shared" si="781"/>
        <v>117.59616700889802</v>
      </c>
      <c r="E775" s="25">
        <f>IF(C775&gt;$B$7,0,'Combined Retirement'!$D$13/12)</f>
        <v>0</v>
      </c>
      <c r="F775" s="25">
        <f>IF(H775=0,'Combined Retirement'!$D$32,0)+'Combined Retirement'!$B$24</f>
        <v>2870.372285649099</v>
      </c>
      <c r="G775" s="25">
        <f>'Combined Retirement'!$C$24</f>
        <v>3254.2644699519233</v>
      </c>
      <c r="H775" s="25">
        <f>IF(B775&lt;62,0,'Combined Retirement'!$I$14)</f>
        <v>2345</v>
      </c>
      <c r="I775" s="25">
        <f>IF(C775&lt;62,0,'Combined Retirement'!$I$13)</f>
        <v>2420</v>
      </c>
      <c r="J775" s="25">
        <f t="shared" si="523"/>
        <v>7896.2379798201846</v>
      </c>
      <c r="K775" s="25">
        <f t="shared" si="524"/>
        <v>20367.195264578786</v>
      </c>
      <c r="L775" s="25"/>
      <c r="N775" s="25">
        <f>'Combined Retirement'!$C$18/12</f>
        <v>39153.069999999992</v>
      </c>
      <c r="O775" s="25">
        <f t="shared" si="525"/>
        <v>10889.636755601023</v>
      </c>
      <c r="P775" s="25">
        <f t="shared" si="526"/>
        <v>28263.43324439897</v>
      </c>
      <c r="Q775" s="25">
        <f t="array" aca="1" ref="Q775" ca="1">INDEX('Isaac 401k'!L:L,MATCH('Retirement Calculator'!A775,'Isaac 401k'!N:N,0),0)</f>
        <v>1937335.0611111033</v>
      </c>
      <c r="R775" s="25">
        <f t="array" aca="1" ref="R775" ca="1">INDEX('Lorri 401b'!L:L,MATCH('Retirement Calculator'!A775,'Lorri 401b'!N:N,0),0)</f>
        <v>-1574872.5279099937</v>
      </c>
      <c r="S775" s="25">
        <f t="shared" ca="1" si="527"/>
        <v>362462.53320110962</v>
      </c>
    </row>
    <row r="776" spans="1:19" ht="15.75" customHeight="1" x14ac:dyDescent="0.3">
      <c r="A776" s="37">
        <v>74571</v>
      </c>
      <c r="B776" s="398">
        <f t="shared" ref="B776:C776" si="782">($A776-B$9)/365.25</f>
        <v>122.28610540725531</v>
      </c>
      <c r="C776" s="398">
        <f t="shared" si="782"/>
        <v>117.67556468172485</v>
      </c>
      <c r="E776" s="25">
        <f>IF(C776&gt;$B$7,0,'Combined Retirement'!$D$13/12)</f>
        <v>0</v>
      </c>
      <c r="F776" s="25">
        <f>IF(H776=0,'Combined Retirement'!$D$32,0)+'Combined Retirement'!$B$24</f>
        <v>2870.372285649099</v>
      </c>
      <c r="G776" s="25">
        <f>'Combined Retirement'!$C$24</f>
        <v>3254.2644699519233</v>
      </c>
      <c r="H776" s="25">
        <f>IF(B776&lt;62,0,'Combined Retirement'!$I$14)</f>
        <v>2345</v>
      </c>
      <c r="I776" s="25">
        <f>IF(C776&lt;62,0,'Combined Retirement'!$I$13)</f>
        <v>2420</v>
      </c>
      <c r="J776" s="25">
        <f t="shared" ref="J776:J1030" si="783">IF(C776&lt;59.5,P776,P776*$J$7)</f>
        <v>7896.2379798201846</v>
      </c>
      <c r="K776" s="25">
        <f t="shared" ref="K776:K1030" si="784">IF(C776&lt;59.5,0,IF(C776&lt;$B$7,0,P776*$K$7))</f>
        <v>20367.195264578786</v>
      </c>
      <c r="L776" s="25"/>
      <c r="N776" s="25">
        <f>'Combined Retirement'!$C$18/12</f>
        <v>39153.069999999992</v>
      </c>
      <c r="O776" s="25">
        <f t="shared" ref="O776:O1030" si="785">SUM(E776:I776)</f>
        <v>10889.636755601023</v>
      </c>
      <c r="P776" s="25">
        <f t="shared" ref="P776:P1030" si="786">N776-O776</f>
        <v>28263.43324439897</v>
      </c>
      <c r="Q776" s="25">
        <f t="array" aca="1" ref="Q776" ca="1">INDEX('Isaac 401k'!L:L,MATCH('Retirement Calculator'!A776,'Isaac 401k'!N:N,0),0)</f>
        <v>1937478.1515609967</v>
      </c>
      <c r="R776" s="25">
        <f t="array" aca="1" ref="R776" ca="1">INDEX('Lorri 401b'!L:L,MATCH('Retirement Calculator'!A776,'Lorri 401b'!N:N,0),0)</f>
        <v>-1601886.5553544664</v>
      </c>
      <c r="S776" s="25">
        <f t="shared" ref="S776:S1030" ca="1" si="787">SUM(Q776:R776)</f>
        <v>335591.59620653023</v>
      </c>
    </row>
    <row r="777" spans="1:19" ht="15.75" customHeight="1" x14ac:dyDescent="0.3">
      <c r="A777" s="37">
        <v>74602</v>
      </c>
      <c r="B777" s="398">
        <f t="shared" ref="B777:C777" si="788">($A777-B$9)/365.25</f>
        <v>122.3709787816564</v>
      </c>
      <c r="C777" s="398">
        <f t="shared" si="788"/>
        <v>117.76043805612593</v>
      </c>
      <c r="E777" s="25">
        <f>IF(C777&gt;$B$7,0,'Combined Retirement'!$D$13/12)</f>
        <v>0</v>
      </c>
      <c r="F777" s="25">
        <f>IF(H777=0,'Combined Retirement'!$D$32,0)+'Combined Retirement'!$B$24</f>
        <v>2870.372285649099</v>
      </c>
      <c r="G777" s="25">
        <f>'Combined Retirement'!$C$24</f>
        <v>3254.2644699519233</v>
      </c>
      <c r="H777" s="25">
        <f>IF(B777&lt;62,0,'Combined Retirement'!$I$14)</f>
        <v>2345</v>
      </c>
      <c r="I777" s="25">
        <f>IF(C777&lt;62,0,'Combined Retirement'!$I$13)</f>
        <v>2420</v>
      </c>
      <c r="J777" s="25">
        <f t="shared" si="783"/>
        <v>7896.2379798201846</v>
      </c>
      <c r="K777" s="25">
        <f t="shared" si="784"/>
        <v>20367.195264578786</v>
      </c>
      <c r="L777" s="25"/>
      <c r="N777" s="25">
        <f>'Combined Retirement'!$C$18/12</f>
        <v>39153.069999999992</v>
      </c>
      <c r="O777" s="25">
        <f t="shared" si="785"/>
        <v>10889.636755601023</v>
      </c>
      <c r="P777" s="25">
        <f t="shared" si="786"/>
        <v>28263.43324439897</v>
      </c>
      <c r="Q777" s="25">
        <f t="array" aca="1" ref="Q777" ca="1">INDEX('Isaac 401k'!L:L,MATCH('Retirement Calculator'!A777,'Isaac 401k'!N:N,0),0)</f>
        <v>1937621.8382210981</v>
      </c>
      <c r="R777" s="25">
        <f t="array" aca="1" ref="R777" ca="1">INDEX('Lorri 401b'!L:L,MATCH('Retirement Calculator'!A777,'Lorri 401b'!N:N,0),0)</f>
        <v>-1629013.1412466245</v>
      </c>
      <c r="S777" s="25">
        <f t="shared" ca="1" si="787"/>
        <v>308608.69697447354</v>
      </c>
    </row>
    <row r="778" spans="1:19" ht="15.75" customHeight="1" x14ac:dyDescent="0.3">
      <c r="A778" s="37">
        <v>74632</v>
      </c>
      <c r="B778" s="398">
        <f t="shared" ref="B778:C778" si="789">($A778-B$9)/365.25</f>
        <v>122.45311430527036</v>
      </c>
      <c r="C778" s="398">
        <f t="shared" si="789"/>
        <v>117.84257357973991</v>
      </c>
      <c r="E778" s="25">
        <f>IF(C778&gt;$B$7,0,'Combined Retirement'!$D$13/12)</f>
        <v>0</v>
      </c>
      <c r="F778" s="25">
        <f>IF(H778=0,'Combined Retirement'!$D$32,0)+'Combined Retirement'!$B$24</f>
        <v>2870.372285649099</v>
      </c>
      <c r="G778" s="25">
        <f>'Combined Retirement'!$C$24</f>
        <v>3254.2644699519233</v>
      </c>
      <c r="H778" s="25">
        <f>IF(B778&lt;62,0,'Combined Retirement'!$I$14)</f>
        <v>2345</v>
      </c>
      <c r="I778" s="25">
        <f>IF(C778&lt;62,0,'Combined Retirement'!$I$13)</f>
        <v>2420</v>
      </c>
      <c r="J778" s="25">
        <f t="shared" si="783"/>
        <v>7896.2379798201846</v>
      </c>
      <c r="K778" s="25">
        <f t="shared" si="784"/>
        <v>20367.195264578786</v>
      </c>
      <c r="L778" s="25"/>
      <c r="N778" s="25">
        <f>'Combined Retirement'!$C$18/12</f>
        <v>39153.069999999992</v>
      </c>
      <c r="O778" s="25">
        <f t="shared" si="785"/>
        <v>10889.636755601023</v>
      </c>
      <c r="P778" s="25">
        <f t="shared" si="786"/>
        <v>28263.43324439897</v>
      </c>
      <c r="Q778" s="25">
        <f t="array" aca="1" ref="Q778" ca="1">INDEX('Isaac 401k'!L:L,MATCH('Retirement Calculator'!A778,'Isaac 401k'!N:N,0),0)</f>
        <v>1937766.1235756164</v>
      </c>
      <c r="R778" s="25">
        <f t="array" aca="1" ref="R778" ca="1">INDEX('Lorri 401b'!L:L,MATCH('Retirement Calculator'!A778,'Lorri 401b'!N:N,0),0)</f>
        <v>-1656252.7545799999</v>
      </c>
      <c r="S778" s="25">
        <f t="shared" ca="1" si="787"/>
        <v>281513.36899561645</v>
      </c>
    </row>
    <row r="779" spans="1:19" ht="15.75" customHeight="1" x14ac:dyDescent="0.3">
      <c r="A779" s="37">
        <v>74663</v>
      </c>
      <c r="B779" s="398">
        <f t="shared" ref="B779:C779" si="790">($A779-B$9)/365.25</f>
        <v>122.53798767967146</v>
      </c>
      <c r="C779" s="398">
        <f t="shared" si="790"/>
        <v>117.927446954141</v>
      </c>
      <c r="E779" s="25">
        <f>IF(C779&gt;$B$7,0,'Combined Retirement'!$D$13/12)</f>
        <v>0</v>
      </c>
      <c r="F779" s="25">
        <f>IF(H779=0,'Combined Retirement'!$D$32,0)+'Combined Retirement'!$B$24</f>
        <v>2870.372285649099</v>
      </c>
      <c r="G779" s="25">
        <f>'Combined Retirement'!$C$24</f>
        <v>3254.2644699519233</v>
      </c>
      <c r="H779" s="25">
        <f>IF(B779&lt;62,0,'Combined Retirement'!$I$14)</f>
        <v>2345</v>
      </c>
      <c r="I779" s="25">
        <f>IF(C779&lt;62,0,'Combined Retirement'!$I$13)</f>
        <v>2420</v>
      </c>
      <c r="J779" s="25">
        <f t="shared" si="783"/>
        <v>7896.2379798201846</v>
      </c>
      <c r="K779" s="25">
        <f t="shared" si="784"/>
        <v>20367.195264578786</v>
      </c>
      <c r="L779" s="25"/>
      <c r="N779" s="25">
        <f>'Combined Retirement'!$C$18/12</f>
        <v>39153.069999999992</v>
      </c>
      <c r="O779" s="25">
        <f t="shared" si="785"/>
        <v>10889.636755601023</v>
      </c>
      <c r="P779" s="25">
        <f t="shared" si="786"/>
        <v>28263.43324439897</v>
      </c>
      <c r="Q779" s="25">
        <f t="array" aca="1" ref="Q779" ca="1">INDEX('Isaac 401k'!L:L,MATCH('Retirement Calculator'!A779,'Isaac 401k'!N:N,0),0)</f>
        <v>1937911.010119112</v>
      </c>
      <c r="R779" s="25">
        <f t="array" aca="1" ref="R779" ca="1">INDEX('Lorri 401b'!L:L,MATCH('Retirement Calculator'!A779,'Lorri 401b'!N:N,0),0)</f>
        <v>-1683605.8663022644</v>
      </c>
      <c r="S779" s="25">
        <f t="shared" ca="1" si="787"/>
        <v>254305.14381684759</v>
      </c>
    </row>
    <row r="780" spans="1:19" ht="15.75" customHeight="1" x14ac:dyDescent="0.3">
      <c r="A780" s="37">
        <v>74693</v>
      </c>
      <c r="B780" s="398">
        <f t="shared" ref="B780:C780" si="791">($A780-B$9)/365.25</f>
        <v>122.62012320328542</v>
      </c>
      <c r="C780" s="398">
        <f t="shared" si="791"/>
        <v>118.00958247775496</v>
      </c>
      <c r="E780" s="25">
        <f>IF(C780&gt;$B$7,0,'Combined Retirement'!$D$13/12)</f>
        <v>0</v>
      </c>
      <c r="F780" s="25">
        <f>IF(H780=0,'Combined Retirement'!$D$32,0)+'Combined Retirement'!$B$24</f>
        <v>2870.372285649099</v>
      </c>
      <c r="G780" s="25">
        <f>'Combined Retirement'!$C$24</f>
        <v>3254.2644699519233</v>
      </c>
      <c r="H780" s="25">
        <f>IF(B780&lt;62,0,'Combined Retirement'!$I$14)</f>
        <v>2345</v>
      </c>
      <c r="I780" s="25">
        <f>IF(C780&lt;62,0,'Combined Retirement'!$I$13)</f>
        <v>2420</v>
      </c>
      <c r="J780" s="25">
        <f t="shared" si="783"/>
        <v>7896.2379798201846</v>
      </c>
      <c r="K780" s="25">
        <f t="shared" si="784"/>
        <v>20367.195264578786</v>
      </c>
      <c r="L780" s="25"/>
      <c r="N780" s="25">
        <f>'Combined Retirement'!$C$18/12</f>
        <v>39153.069999999992</v>
      </c>
      <c r="O780" s="25">
        <f t="shared" si="785"/>
        <v>10889.636755601023</v>
      </c>
      <c r="P780" s="25">
        <f t="shared" si="786"/>
        <v>28263.43324439897</v>
      </c>
      <c r="Q780" s="25">
        <f t="array" aca="1" ref="Q780" ca="1">INDEX('Isaac 401k'!L:L,MATCH('Retirement Calculator'!A780,'Isaac 401k'!N:N,0),0)</f>
        <v>1938056.5003565387</v>
      </c>
      <c r="R780" s="25">
        <f t="array" aca="1" ref="R780" ca="1">INDEX('Lorri 401b'!L:L,MATCH('Retirement Calculator'!A780,'Lorri 401b'!N:N,0),0)</f>
        <v>-1711072.9493233718</v>
      </c>
      <c r="S780" s="25">
        <f t="shared" ca="1" si="787"/>
        <v>226983.55103316694</v>
      </c>
    </row>
    <row r="781" spans="1:19" ht="15.75" customHeight="1" x14ac:dyDescent="0.3">
      <c r="A781" s="37">
        <v>74724</v>
      </c>
      <c r="B781" s="398">
        <f t="shared" ref="B781:C781" si="792">($A781-B$9)/365.25</f>
        <v>122.70499657768652</v>
      </c>
      <c r="C781" s="398">
        <f t="shared" si="792"/>
        <v>118.09445585215606</v>
      </c>
      <c r="E781" s="25">
        <f>IF(C781&gt;$B$7,0,'Combined Retirement'!$D$13/12)</f>
        <v>0</v>
      </c>
      <c r="F781" s="25">
        <f>IF(H781=0,'Combined Retirement'!$D$32,0)+'Combined Retirement'!$B$24</f>
        <v>2870.372285649099</v>
      </c>
      <c r="G781" s="25">
        <f>'Combined Retirement'!$C$24</f>
        <v>3254.2644699519233</v>
      </c>
      <c r="H781" s="25">
        <f>IF(B781&lt;62,0,'Combined Retirement'!$I$14)</f>
        <v>2345</v>
      </c>
      <c r="I781" s="25">
        <f>IF(C781&lt;62,0,'Combined Retirement'!$I$13)</f>
        <v>2420</v>
      </c>
      <c r="J781" s="25">
        <f t="shared" si="783"/>
        <v>7896.2379798201846</v>
      </c>
      <c r="K781" s="25">
        <f t="shared" si="784"/>
        <v>20367.195264578786</v>
      </c>
      <c r="L781" s="25"/>
      <c r="N781" s="25">
        <f>'Combined Retirement'!$C$18/12</f>
        <v>39153.069999999992</v>
      </c>
      <c r="O781" s="25">
        <f t="shared" si="785"/>
        <v>10889.636755601023</v>
      </c>
      <c r="P781" s="25">
        <f t="shared" si="786"/>
        <v>28263.43324439897</v>
      </c>
      <c r="Q781" s="25">
        <f t="array" aca="1" ref="Q781" ca="1">INDEX('Isaac 401k'!L:L,MATCH('Retirement Calculator'!A781,'Isaac 401k'!N:N,0),0)</f>
        <v>1938202.5968032882</v>
      </c>
      <c r="R781" s="25">
        <f t="array" aca="1" ref="R781" ca="1">INDEX('Lorri 401b'!L:L,MATCH('Retirement Calculator'!A781,'Lorri 401b'!N:N,0),0)</f>
        <v>-1738654.4785237336</v>
      </c>
      <c r="S781" s="25">
        <f t="shared" ca="1" si="787"/>
        <v>199548.11827955465</v>
      </c>
    </row>
    <row r="782" spans="1:19" ht="15.75" customHeight="1" x14ac:dyDescent="0.3">
      <c r="A782" s="37">
        <v>74755</v>
      </c>
      <c r="B782" s="398">
        <f t="shared" ref="B782:C782" si="793">($A782-B$9)/365.25</f>
        <v>122.78986995208761</v>
      </c>
      <c r="C782" s="398">
        <f t="shared" si="793"/>
        <v>118.17932922655716</v>
      </c>
      <c r="E782" s="25">
        <f>IF(C782&gt;$B$7,0,'Combined Retirement'!$D$13/12)</f>
        <v>0</v>
      </c>
      <c r="F782" s="25">
        <f>IF(H782=0,'Combined Retirement'!$D$32,0)+'Combined Retirement'!$B$24</f>
        <v>2870.372285649099</v>
      </c>
      <c r="G782" s="25">
        <f>'Combined Retirement'!$C$24</f>
        <v>3254.2644699519233</v>
      </c>
      <c r="H782" s="25">
        <f>IF(B782&lt;62,0,'Combined Retirement'!$I$14)</f>
        <v>2345</v>
      </c>
      <c r="I782" s="25">
        <f>IF(C782&lt;62,0,'Combined Retirement'!$I$13)</f>
        <v>2420</v>
      </c>
      <c r="J782" s="25">
        <f t="shared" si="783"/>
        <v>7896.2379798201846</v>
      </c>
      <c r="K782" s="25">
        <f t="shared" si="784"/>
        <v>20367.195264578786</v>
      </c>
      <c r="L782" s="25"/>
      <c r="N782" s="25">
        <f>'Combined Retirement'!$C$18/12</f>
        <v>39153.069999999992</v>
      </c>
      <c r="O782" s="25">
        <f t="shared" si="785"/>
        <v>10889.636755601023</v>
      </c>
      <c r="P782" s="25">
        <f t="shared" si="786"/>
        <v>28263.43324439897</v>
      </c>
      <c r="Q782" s="25">
        <f t="array" aca="1" ref="Q782" ca="1">INDEX('Isaac 401k'!L:L,MATCH('Retirement Calculator'!A782,'Isaac 401k'!N:N,0),0)</f>
        <v>1938349.3019852324</v>
      </c>
      <c r="R782" s="25">
        <f t="array" aca="1" ref="R782" ca="1">INDEX('Lorri 401b'!L:L,MATCH('Retirement Calculator'!A782,'Lorri 401b'!N:N,0),0)</f>
        <v>-1766350.9307624304</v>
      </c>
      <c r="S782" s="25">
        <f t="shared" ca="1" si="787"/>
        <v>171998.37122280197</v>
      </c>
    </row>
    <row r="783" spans="1:19" ht="15.75" customHeight="1" x14ac:dyDescent="0.3">
      <c r="A783" s="37">
        <v>74785</v>
      </c>
      <c r="B783" s="398">
        <f t="shared" ref="B783:C783" si="794">($A783-B$9)/365.25</f>
        <v>122.87200547570157</v>
      </c>
      <c r="C783" s="398">
        <f t="shared" si="794"/>
        <v>118.26146475017111</v>
      </c>
      <c r="E783" s="25">
        <f>IF(C783&gt;$B$7,0,'Combined Retirement'!$D$13/12)</f>
        <v>0</v>
      </c>
      <c r="F783" s="25">
        <f>IF(H783=0,'Combined Retirement'!$D$32,0)+'Combined Retirement'!$B$24</f>
        <v>2870.372285649099</v>
      </c>
      <c r="G783" s="25">
        <f>'Combined Retirement'!$C$24</f>
        <v>3254.2644699519233</v>
      </c>
      <c r="H783" s="25">
        <f>IF(B783&lt;62,0,'Combined Retirement'!$I$14)</f>
        <v>2345</v>
      </c>
      <c r="I783" s="25">
        <f>IF(C783&lt;62,0,'Combined Retirement'!$I$13)</f>
        <v>2420</v>
      </c>
      <c r="J783" s="25">
        <f t="shared" si="783"/>
        <v>7896.2379798201846</v>
      </c>
      <c r="K783" s="25">
        <f t="shared" si="784"/>
        <v>20367.195264578786</v>
      </c>
      <c r="L783" s="25"/>
      <c r="N783" s="25">
        <f>'Combined Retirement'!$C$18/12</f>
        <v>39153.069999999992</v>
      </c>
      <c r="O783" s="25">
        <f t="shared" si="785"/>
        <v>10889.636755601023</v>
      </c>
      <c r="P783" s="25">
        <f t="shared" si="786"/>
        <v>28263.43324439897</v>
      </c>
      <c r="Q783" s="25">
        <f t="array" aca="1" ref="Q783" ca="1">INDEX('Isaac 401k'!L:L,MATCH('Retirement Calculator'!A783,'Isaac 401k'!N:N,0),0)</f>
        <v>1938496.618438768</v>
      </c>
      <c r="R783" s="25">
        <f t="array" aca="1" ref="R783" ca="1">INDEX('Lorri 401b'!L:L,MATCH('Retirement Calculator'!A783,'Lorri 401b'!N:N,0),0)</f>
        <v>-1794162.7848854552</v>
      </c>
      <c r="S783" s="25">
        <f t="shared" ca="1" si="787"/>
        <v>144333.83355331281</v>
      </c>
    </row>
    <row r="784" spans="1:19" ht="15.75" customHeight="1" x14ac:dyDescent="0.3">
      <c r="A784" s="37">
        <v>74816</v>
      </c>
      <c r="B784" s="398">
        <f t="shared" ref="B784:C784" si="795">($A784-B$9)/365.25</f>
        <v>122.95687885010267</v>
      </c>
      <c r="C784" s="398">
        <f t="shared" si="795"/>
        <v>118.34633812457221</v>
      </c>
      <c r="E784" s="25">
        <f>IF(C784&gt;$B$7,0,'Combined Retirement'!$D$13/12)</f>
        <v>0</v>
      </c>
      <c r="F784" s="25">
        <f>IF(H784=0,'Combined Retirement'!$D$32,0)+'Combined Retirement'!$B$24</f>
        <v>2870.372285649099</v>
      </c>
      <c r="G784" s="25">
        <f>'Combined Retirement'!$C$24</f>
        <v>3254.2644699519233</v>
      </c>
      <c r="H784" s="25">
        <f>IF(B784&lt;62,0,'Combined Retirement'!$I$14)</f>
        <v>2345</v>
      </c>
      <c r="I784" s="25">
        <f>IF(C784&lt;62,0,'Combined Retirement'!$I$13)</f>
        <v>2420</v>
      </c>
      <c r="J784" s="25">
        <f t="shared" si="783"/>
        <v>7896.2379798201846</v>
      </c>
      <c r="K784" s="25">
        <f t="shared" si="784"/>
        <v>20367.195264578786</v>
      </c>
      <c r="L784" s="25"/>
      <c r="N784" s="25">
        <f>'Combined Retirement'!$C$18/12</f>
        <v>39153.069999999992</v>
      </c>
      <c r="O784" s="25">
        <f t="shared" si="785"/>
        <v>10889.636755601023</v>
      </c>
      <c r="P784" s="25">
        <f t="shared" si="786"/>
        <v>28263.43324439897</v>
      </c>
      <c r="Q784" s="25">
        <f t="array" aca="1" ref="Q784" ca="1">INDEX('Isaac 401k'!L:L,MATCH('Retirement Calculator'!A784,'Isaac 401k'!N:N,0),0)</f>
        <v>1938644.5487108601</v>
      </c>
      <c r="R784" s="25">
        <f t="array" aca="1" ref="R784" ca="1">INDEX('Lorri 401b'!L:L,MATCH('Retirement Calculator'!A784,'Lorri 401b'!N:N,0),0)</f>
        <v>-1822090.5217339925</v>
      </c>
      <c r="S784" s="25">
        <f t="shared" ca="1" si="787"/>
        <v>116554.02697686758</v>
      </c>
    </row>
    <row r="785" spans="1:19" ht="15.75" customHeight="1" x14ac:dyDescent="0.3">
      <c r="A785" s="37">
        <v>74846</v>
      </c>
      <c r="B785" s="398">
        <f t="shared" ref="B785:C785" si="796">($A785-B$9)/365.25</f>
        <v>123.03901437371663</v>
      </c>
      <c r="C785" s="398">
        <f t="shared" si="796"/>
        <v>118.42847364818617</v>
      </c>
      <c r="E785" s="25">
        <f>IF(C785&gt;$B$7,0,'Combined Retirement'!$D$13/12)</f>
        <v>0</v>
      </c>
      <c r="F785" s="25">
        <f>IF(H785=0,'Combined Retirement'!$D$32,0)+'Combined Retirement'!$B$24</f>
        <v>2870.372285649099</v>
      </c>
      <c r="G785" s="25">
        <f>'Combined Retirement'!$C$24</f>
        <v>3254.2644699519233</v>
      </c>
      <c r="H785" s="25">
        <f>IF(B785&lt;62,0,'Combined Retirement'!$I$14)</f>
        <v>2345</v>
      </c>
      <c r="I785" s="25">
        <f>IF(C785&lt;62,0,'Combined Retirement'!$I$13)</f>
        <v>2420</v>
      </c>
      <c r="J785" s="25">
        <f t="shared" si="783"/>
        <v>7896.2379798201846</v>
      </c>
      <c r="K785" s="25">
        <f t="shared" si="784"/>
        <v>20367.195264578786</v>
      </c>
      <c r="L785" s="25"/>
      <c r="N785" s="25">
        <f>'Combined Retirement'!$C$18/12</f>
        <v>39153.069999999992</v>
      </c>
      <c r="O785" s="25">
        <f t="shared" si="785"/>
        <v>10889.636755601023</v>
      </c>
      <c r="P785" s="25">
        <f t="shared" si="786"/>
        <v>28263.43324439897</v>
      </c>
      <c r="Q785" s="25">
        <f t="array" aca="1" ref="Q785" ca="1">INDEX('Isaac 401k'!L:L,MATCH('Retirement Calculator'!A785,'Isaac 401k'!N:N,0),0)</f>
        <v>1938793.0953590858</v>
      </c>
      <c r="R785" s="25">
        <f t="array" aca="1" ref="R785" ca="1">INDEX('Lorri 401b'!L:L,MATCH('Retirement Calculator'!A785,'Lorri 401b'!N:N,0),0)</f>
        <v>-1850134.6241527321</v>
      </c>
      <c r="S785" s="25">
        <f t="shared" ca="1" si="787"/>
        <v>88658.471206353744</v>
      </c>
    </row>
    <row r="786" spans="1:19" ht="15.75" customHeight="1" x14ac:dyDescent="0.3">
      <c r="A786" s="37">
        <v>74877</v>
      </c>
      <c r="B786" s="398">
        <f t="shared" ref="B786:C786" si="797">($A786-B$9)/365.25</f>
        <v>123.12388774811772</v>
      </c>
      <c r="C786" s="398">
        <f t="shared" si="797"/>
        <v>118.51334702258727</v>
      </c>
      <c r="E786" s="25">
        <f>IF(C786&gt;$B$7,0,'Combined Retirement'!$D$13/12)</f>
        <v>0</v>
      </c>
      <c r="F786" s="25">
        <f>IF(H786=0,'Combined Retirement'!$D$32,0)+'Combined Retirement'!$B$24</f>
        <v>2870.372285649099</v>
      </c>
      <c r="G786" s="25">
        <f>'Combined Retirement'!$C$24</f>
        <v>3254.2644699519233</v>
      </c>
      <c r="H786" s="25">
        <f>IF(B786&lt;62,0,'Combined Retirement'!$I$14)</f>
        <v>2345</v>
      </c>
      <c r="I786" s="25">
        <f>IF(C786&lt;62,0,'Combined Retirement'!$I$13)</f>
        <v>2420</v>
      </c>
      <c r="J786" s="25">
        <f t="shared" si="783"/>
        <v>7896.2379798201846</v>
      </c>
      <c r="K786" s="25">
        <f t="shared" si="784"/>
        <v>20367.195264578786</v>
      </c>
      <c r="L786" s="25"/>
      <c r="N786" s="25">
        <f>'Combined Retirement'!$C$18/12</f>
        <v>39153.069999999992</v>
      </c>
      <c r="O786" s="25">
        <f t="shared" si="785"/>
        <v>10889.636755601023</v>
      </c>
      <c r="P786" s="25">
        <f t="shared" si="786"/>
        <v>28263.43324439897</v>
      </c>
      <c r="Q786" s="25">
        <f t="array" aca="1" ref="Q786" ca="1">INDEX('Isaac 401k'!L:L,MATCH('Retirement Calculator'!A786,'Isaac 401k'!N:N,0),0)</f>
        <v>1938942.2609516792</v>
      </c>
      <c r="R786" s="25">
        <f t="array" aca="1" ref="R786" ca="1">INDEX('Lorri 401b'!L:L,MATCH('Retirement Calculator'!A786,'Lorri 401b'!N:N,0),0)</f>
        <v>-1878295.5769982163</v>
      </c>
      <c r="S786" s="25">
        <f t="shared" ca="1" si="787"/>
        <v>60646.683953462867</v>
      </c>
    </row>
    <row r="787" spans="1:19" ht="15.75" customHeight="1" x14ac:dyDescent="0.3">
      <c r="A787" s="37">
        <v>74908</v>
      </c>
      <c r="B787" s="398">
        <f t="shared" ref="B787:C787" si="798">($A787-B$9)/365.25</f>
        <v>123.20876112251882</v>
      </c>
      <c r="C787" s="398">
        <f t="shared" si="798"/>
        <v>118.59822039698837</v>
      </c>
      <c r="E787" s="25">
        <f>IF(C787&gt;$B$7,0,'Combined Retirement'!$D$13/12)</f>
        <v>0</v>
      </c>
      <c r="F787" s="25">
        <f>IF(H787=0,'Combined Retirement'!$D$32,0)+'Combined Retirement'!$B$24</f>
        <v>2870.372285649099</v>
      </c>
      <c r="G787" s="25">
        <f>'Combined Retirement'!$C$24</f>
        <v>3254.2644699519233</v>
      </c>
      <c r="H787" s="25">
        <f>IF(B787&lt;62,0,'Combined Retirement'!$I$14)</f>
        <v>2345</v>
      </c>
      <c r="I787" s="25">
        <f>IF(C787&lt;62,0,'Combined Retirement'!$I$13)</f>
        <v>2420</v>
      </c>
      <c r="J787" s="25">
        <f t="shared" si="783"/>
        <v>7896.2379798201846</v>
      </c>
      <c r="K787" s="25">
        <f t="shared" si="784"/>
        <v>20367.195264578786</v>
      </c>
      <c r="L787" s="25"/>
      <c r="N787" s="25">
        <f>'Combined Retirement'!$C$18/12</f>
        <v>39153.069999999992</v>
      </c>
      <c r="O787" s="25">
        <f t="shared" si="785"/>
        <v>10889.636755601023</v>
      </c>
      <c r="P787" s="25">
        <f t="shared" si="786"/>
        <v>28263.43324439897</v>
      </c>
      <c r="Q787" s="25">
        <f t="array" aca="1" ref="Q787" ca="1">INDEX('Isaac 401k'!L:L,MATCH('Retirement Calculator'!A787,'Isaac 401k'!N:N,0),0)</f>
        <v>1939092.0480675751</v>
      </c>
      <c r="R787" s="25">
        <f t="array" aca="1" ref="R787" ca="1">INDEX('Lorri 401b'!L:L,MATCH('Retirement Calculator'!A787,'Lorri 401b'!N:N,0),0)</f>
        <v>-1906573.8671472236</v>
      </c>
      <c r="S787" s="25">
        <f t="shared" ca="1" si="787"/>
        <v>32518.180920351529</v>
      </c>
    </row>
    <row r="788" spans="1:19" ht="15.75" customHeight="1" x14ac:dyDescent="0.3">
      <c r="A788" s="37">
        <v>74936</v>
      </c>
      <c r="B788" s="398">
        <f t="shared" ref="B788:C788" si="799">($A788-B$9)/365.25</f>
        <v>123.28542094455852</v>
      </c>
      <c r="C788" s="398">
        <f t="shared" si="799"/>
        <v>118.67488021902807</v>
      </c>
      <c r="E788" s="25">
        <f>IF(C788&gt;$B$7,0,'Combined Retirement'!$D$13/12)</f>
        <v>0</v>
      </c>
      <c r="F788" s="25">
        <f>IF(H788=0,'Combined Retirement'!$D$32,0)+'Combined Retirement'!$B$24</f>
        <v>2870.372285649099</v>
      </c>
      <c r="G788" s="25">
        <f>'Combined Retirement'!$C$24</f>
        <v>3254.2644699519233</v>
      </c>
      <c r="H788" s="25">
        <f>IF(B788&lt;62,0,'Combined Retirement'!$I$14)</f>
        <v>2345</v>
      </c>
      <c r="I788" s="25">
        <f>IF(C788&lt;62,0,'Combined Retirement'!$I$13)</f>
        <v>2420</v>
      </c>
      <c r="J788" s="25">
        <f t="shared" si="783"/>
        <v>7896.2379798201846</v>
      </c>
      <c r="K788" s="25">
        <f t="shared" si="784"/>
        <v>20367.195264578786</v>
      </c>
      <c r="L788" s="25"/>
      <c r="N788" s="25">
        <f>'Combined Retirement'!$C$18/12</f>
        <v>39153.069999999992</v>
      </c>
      <c r="O788" s="25">
        <f t="shared" si="785"/>
        <v>10889.636755601023</v>
      </c>
      <c r="P788" s="25">
        <f t="shared" si="786"/>
        <v>28263.43324439897</v>
      </c>
      <c r="Q788" s="25">
        <f t="array" aca="1" ref="Q788" ca="1">INDEX('Isaac 401k'!L:L,MATCH('Retirement Calculator'!A788,'Isaac 401k'!N:N,0),0)</f>
        <v>1939242.4592964537</v>
      </c>
      <c r="R788" s="25">
        <f t="array" aca="1" ref="R788" ca="1">INDEX('Lorri 401b'!L:L,MATCH('Retirement Calculator'!A788,'Lorri 401b'!N:N,0),0)</f>
        <v>-1934969.9835051848</v>
      </c>
      <c r="S788" s="25">
        <f t="shared" ca="1" si="787"/>
        <v>4272.475791268982</v>
      </c>
    </row>
    <row r="789" spans="1:19" ht="15.75" customHeight="1" x14ac:dyDescent="0.3">
      <c r="A789" s="37">
        <v>74967</v>
      </c>
      <c r="B789" s="398">
        <f t="shared" ref="B789:C789" si="800">($A789-B$9)/365.25</f>
        <v>123.37029431895962</v>
      </c>
      <c r="C789" s="398">
        <f t="shared" si="800"/>
        <v>118.75975359342915</v>
      </c>
      <c r="E789" s="25">
        <f>IF(C789&gt;$B$7,0,'Combined Retirement'!$D$13/12)</f>
        <v>0</v>
      </c>
      <c r="F789" s="25">
        <f>IF(H789=0,'Combined Retirement'!$D$32,0)+'Combined Retirement'!$B$24</f>
        <v>2870.372285649099</v>
      </c>
      <c r="G789" s="25">
        <f>'Combined Retirement'!$C$24</f>
        <v>3254.2644699519233</v>
      </c>
      <c r="H789" s="25">
        <f>IF(B789&lt;62,0,'Combined Retirement'!$I$14)</f>
        <v>2345</v>
      </c>
      <c r="I789" s="25">
        <f>IF(C789&lt;62,0,'Combined Retirement'!$I$13)</f>
        <v>2420</v>
      </c>
      <c r="J789" s="25">
        <f t="shared" si="783"/>
        <v>7896.2379798201846</v>
      </c>
      <c r="K789" s="25">
        <f t="shared" si="784"/>
        <v>20367.195264578786</v>
      </c>
      <c r="L789" s="25"/>
      <c r="N789" s="25">
        <f>'Combined Retirement'!$C$18/12</f>
        <v>39153.069999999992</v>
      </c>
      <c r="O789" s="25">
        <f t="shared" si="785"/>
        <v>10889.636755601023</v>
      </c>
      <c r="P789" s="25">
        <f t="shared" si="786"/>
        <v>28263.43324439897</v>
      </c>
      <c r="Q789" s="25">
        <f t="array" aca="1" ref="Q789" ca="1">INDEX('Isaac 401k'!L:L,MATCH('Retirement Calculator'!A789,'Isaac 401k'!N:N,0),0)</f>
        <v>1939393.4972387862</v>
      </c>
      <c r="R789" s="25">
        <f t="array" aca="1" ref="R789" ca="1">INDEX('Lorri 401b'!L:L,MATCH('Retirement Calculator'!A789,'Lorri 401b'!N:N,0),0)</f>
        <v>-1963484.4170146375</v>
      </c>
      <c r="S789" s="25">
        <f t="shared" ca="1" si="787"/>
        <v>-24090.919775851304</v>
      </c>
    </row>
    <row r="790" spans="1:19" ht="15.75" customHeight="1" x14ac:dyDescent="0.3">
      <c r="A790" s="37">
        <v>74997</v>
      </c>
      <c r="B790" s="398">
        <f t="shared" ref="B790:C790" si="801">($A790-B$9)/365.25</f>
        <v>123.45242984257358</v>
      </c>
      <c r="C790" s="398">
        <f t="shared" si="801"/>
        <v>118.84188911704312</v>
      </c>
      <c r="E790" s="25">
        <f>IF(C790&gt;$B$7,0,'Combined Retirement'!$D$13/12)</f>
        <v>0</v>
      </c>
      <c r="F790" s="25">
        <f>IF(H790=0,'Combined Retirement'!$D$32,0)+'Combined Retirement'!$B$24</f>
        <v>2870.372285649099</v>
      </c>
      <c r="G790" s="25">
        <f>'Combined Retirement'!$C$24</f>
        <v>3254.2644699519233</v>
      </c>
      <c r="H790" s="25">
        <f>IF(B790&lt;62,0,'Combined Retirement'!$I$14)</f>
        <v>2345</v>
      </c>
      <c r="I790" s="25">
        <f>IF(C790&lt;62,0,'Combined Retirement'!$I$13)</f>
        <v>2420</v>
      </c>
      <c r="J790" s="25">
        <f t="shared" si="783"/>
        <v>7896.2379798201846</v>
      </c>
      <c r="K790" s="25">
        <f t="shared" si="784"/>
        <v>20367.195264578786</v>
      </c>
      <c r="L790" s="25"/>
      <c r="N790" s="25">
        <f>'Combined Retirement'!$C$18/12</f>
        <v>39153.069999999992</v>
      </c>
      <c r="O790" s="25">
        <f t="shared" si="785"/>
        <v>10889.636755601023</v>
      </c>
      <c r="P790" s="25">
        <f t="shared" si="786"/>
        <v>28263.43324439897</v>
      </c>
      <c r="Q790" s="25">
        <f t="array" aca="1" ref="Q790" ca="1">INDEX('Isaac 401k'!L:L,MATCH('Retirement Calculator'!A790,'Isaac 401k'!N:N,0),0)</f>
        <v>1939545.1645058782</v>
      </c>
      <c r="R790" s="25">
        <f t="array" aca="1" ref="R790" ca="1">INDEX('Lorri 401b'!L:L,MATCH('Retirement Calculator'!A790,'Lorri 401b'!N:N,0),0)</f>
        <v>-1992117.660663713</v>
      </c>
      <c r="S790" s="25">
        <f t="shared" ca="1" si="787"/>
        <v>-52572.496157834772</v>
      </c>
    </row>
    <row r="791" spans="1:19" ht="15.75" customHeight="1" x14ac:dyDescent="0.3">
      <c r="A791" s="37">
        <v>75028</v>
      </c>
      <c r="B791" s="398">
        <f t="shared" ref="B791:C791" si="802">($A791-B$9)/365.25</f>
        <v>123.53730321697468</v>
      </c>
      <c r="C791" s="398">
        <f t="shared" si="802"/>
        <v>118.92676249144422</v>
      </c>
      <c r="E791" s="25">
        <f>IF(C791&gt;$B$7,0,'Combined Retirement'!$D$13/12)</f>
        <v>0</v>
      </c>
      <c r="F791" s="25">
        <f>IF(H791=0,'Combined Retirement'!$D$32,0)+'Combined Retirement'!$B$24</f>
        <v>2870.372285649099</v>
      </c>
      <c r="G791" s="25">
        <f>'Combined Retirement'!$C$24</f>
        <v>3254.2644699519233</v>
      </c>
      <c r="H791" s="25">
        <f>IF(B791&lt;62,0,'Combined Retirement'!$I$14)</f>
        <v>2345</v>
      </c>
      <c r="I791" s="25">
        <f>IF(C791&lt;62,0,'Combined Retirement'!$I$13)</f>
        <v>2420</v>
      </c>
      <c r="J791" s="25">
        <f t="shared" si="783"/>
        <v>7896.2379798201846</v>
      </c>
      <c r="K791" s="25">
        <f t="shared" si="784"/>
        <v>20367.195264578786</v>
      </c>
      <c r="L791" s="25"/>
      <c r="N791" s="25">
        <f>'Combined Retirement'!$C$18/12</f>
        <v>39153.069999999992</v>
      </c>
      <c r="O791" s="25">
        <f t="shared" si="785"/>
        <v>10889.636755601023</v>
      </c>
      <c r="P791" s="25">
        <f t="shared" si="786"/>
        <v>28263.43324439897</v>
      </c>
      <c r="Q791" s="25">
        <f t="array" aca="1" ref="Q791" ca="1">INDEX('Isaac 401k'!L:L,MATCH('Retirement Calculator'!A791,'Isaac 401k'!N:N,0),0)</f>
        <v>1939697.4637199165</v>
      </c>
      <c r="R791" s="25">
        <f t="array" aca="1" ref="R791" ca="1">INDEX('Lorri 401b'!L:L,MATCH('Retirement Calculator'!A791,'Lorri 401b'!N:N,0),0)</f>
        <v>-2020870.2094946597</v>
      </c>
      <c r="S791" s="25">
        <f t="shared" ca="1" si="787"/>
        <v>-81172.745774743147</v>
      </c>
    </row>
    <row r="792" spans="1:19" ht="15.75" customHeight="1" x14ac:dyDescent="0.3">
      <c r="A792" s="37">
        <v>75058</v>
      </c>
      <c r="B792" s="398">
        <f t="shared" ref="B792:C792" si="803">($A792-B$9)/365.25</f>
        <v>123.61943874058863</v>
      </c>
      <c r="C792" s="398">
        <f t="shared" si="803"/>
        <v>119.00889801505818</v>
      </c>
      <c r="E792" s="25">
        <f>IF(C792&gt;$B$7,0,'Combined Retirement'!$D$13/12)</f>
        <v>0</v>
      </c>
      <c r="F792" s="25">
        <f>IF(H792=0,'Combined Retirement'!$D$32,0)+'Combined Retirement'!$B$24</f>
        <v>2870.372285649099</v>
      </c>
      <c r="G792" s="25">
        <f>'Combined Retirement'!$C$24</f>
        <v>3254.2644699519233</v>
      </c>
      <c r="H792" s="25">
        <f>IF(B792&lt;62,0,'Combined Retirement'!$I$14)</f>
        <v>2345</v>
      </c>
      <c r="I792" s="25">
        <f>IF(C792&lt;62,0,'Combined Retirement'!$I$13)</f>
        <v>2420</v>
      </c>
      <c r="J792" s="25">
        <f t="shared" si="783"/>
        <v>7896.2379798201846</v>
      </c>
      <c r="K792" s="25">
        <f t="shared" si="784"/>
        <v>20367.195264578786</v>
      </c>
      <c r="L792" s="25"/>
      <c r="N792" s="25">
        <f>'Combined Retirement'!$C$18/12</f>
        <v>39153.069999999992</v>
      </c>
      <c r="O792" s="25">
        <f t="shared" si="785"/>
        <v>10889.636755601023</v>
      </c>
      <c r="P792" s="25">
        <f t="shared" si="786"/>
        <v>28263.43324439897</v>
      </c>
      <c r="Q792" s="25">
        <f t="array" aca="1" ref="Q792" ca="1">INDEX('Isaac 401k'!L:L,MATCH('Retirement Calculator'!A792,'Isaac 401k'!N:N,0),0)</f>
        <v>1939850.3975140133</v>
      </c>
      <c r="R792" s="25">
        <f t="array" aca="1" ref="R792" ca="1">INDEX('Lorri 401b'!L:L,MATCH('Retirement Calculator'!A792,'Lorri 401b'!N:N,0),0)</f>
        <v>-2049742.5606124019</v>
      </c>
      <c r="S792" s="25">
        <f t="shared" ca="1" si="787"/>
        <v>-109892.16309838858</v>
      </c>
    </row>
    <row r="793" spans="1:19" ht="15.75" customHeight="1" x14ac:dyDescent="0.3">
      <c r="A793" s="37">
        <v>75089</v>
      </c>
      <c r="B793" s="398">
        <f t="shared" ref="B793:C793" si="804">($A793-B$9)/365.25</f>
        <v>123.70431211498973</v>
      </c>
      <c r="C793" s="398">
        <f t="shared" si="804"/>
        <v>119.09377138945928</v>
      </c>
      <c r="E793" s="25">
        <f>IF(C793&gt;$B$7,0,'Combined Retirement'!$D$13/12)</f>
        <v>0</v>
      </c>
      <c r="F793" s="25">
        <f>IF(H793=0,'Combined Retirement'!$D$32,0)+'Combined Retirement'!$B$24</f>
        <v>2870.372285649099</v>
      </c>
      <c r="G793" s="25">
        <f>'Combined Retirement'!$C$24</f>
        <v>3254.2644699519233</v>
      </c>
      <c r="H793" s="25">
        <f>IF(B793&lt;62,0,'Combined Retirement'!$I$14)</f>
        <v>2345</v>
      </c>
      <c r="I793" s="25">
        <f>IF(C793&lt;62,0,'Combined Retirement'!$I$13)</f>
        <v>2420</v>
      </c>
      <c r="J793" s="25">
        <f t="shared" si="783"/>
        <v>7896.2379798201846</v>
      </c>
      <c r="K793" s="25">
        <f t="shared" si="784"/>
        <v>20367.195264578786</v>
      </c>
      <c r="L793" s="25"/>
      <c r="N793" s="25">
        <f>'Combined Retirement'!$C$18/12</f>
        <v>39153.069999999992</v>
      </c>
      <c r="O793" s="25">
        <f t="shared" si="785"/>
        <v>10889.636755601023</v>
      </c>
      <c r="P793" s="25">
        <f t="shared" si="786"/>
        <v>28263.43324439897</v>
      </c>
      <c r="Q793" s="25">
        <f t="array" aca="1" ref="Q793" ca="1">INDEX('Isaac 401k'!L:L,MATCH('Retirement Calculator'!A793,'Isaac 401k'!N:N,0),0)</f>
        <v>1940003.9685322524</v>
      </c>
      <c r="R793" s="25">
        <f t="array" aca="1" ref="R793" ca="1">INDEX('Lorri 401b'!L:L,MATCH('Retirement Calculator'!A793,'Lorri 401b'!N:N,0),0)</f>
        <v>-2078735.2131931349</v>
      </c>
      <c r="S793" s="25">
        <f t="shared" ca="1" si="787"/>
        <v>-138731.24466088251</v>
      </c>
    </row>
    <row r="794" spans="1:19" ht="15.75" customHeight="1" x14ac:dyDescent="0.3">
      <c r="A794" s="37">
        <v>75120</v>
      </c>
      <c r="B794" s="398">
        <f t="shared" ref="B794:C794" si="805">($A794-B$9)/365.25</f>
        <v>123.78918548939083</v>
      </c>
      <c r="C794" s="398">
        <f t="shared" si="805"/>
        <v>119.17864476386038</v>
      </c>
      <c r="E794" s="25">
        <f>IF(C794&gt;$B$7,0,'Combined Retirement'!$D$13/12)</f>
        <v>0</v>
      </c>
      <c r="F794" s="25">
        <f>IF(H794=0,'Combined Retirement'!$D$32,0)+'Combined Retirement'!$B$24</f>
        <v>2870.372285649099</v>
      </c>
      <c r="G794" s="25">
        <f>'Combined Retirement'!$C$24</f>
        <v>3254.2644699519233</v>
      </c>
      <c r="H794" s="25">
        <f>IF(B794&lt;62,0,'Combined Retirement'!$I$14)</f>
        <v>2345</v>
      </c>
      <c r="I794" s="25">
        <f>IF(C794&lt;62,0,'Combined Retirement'!$I$13)</f>
        <v>2420</v>
      </c>
      <c r="J794" s="25">
        <f t="shared" si="783"/>
        <v>7896.2379798201846</v>
      </c>
      <c r="K794" s="25">
        <f t="shared" si="784"/>
        <v>20367.195264578786</v>
      </c>
      <c r="L794" s="25"/>
      <c r="N794" s="25">
        <f>'Combined Retirement'!$C$18/12</f>
        <v>39153.069999999992</v>
      </c>
      <c r="O794" s="25">
        <f t="shared" si="785"/>
        <v>10889.636755601023</v>
      </c>
      <c r="P794" s="25">
        <f t="shared" si="786"/>
        <v>28263.43324439897</v>
      </c>
      <c r="Q794" s="25">
        <f t="array" aca="1" ref="Q794" ca="1">INDEX('Isaac 401k'!L:L,MATCH('Retirement Calculator'!A794,'Isaac 401k'!N:N,0),0)</f>
        <v>1940158.1794297339</v>
      </c>
      <c r="R794" s="25">
        <f t="array" aca="1" ref="R794" ca="1">INDEX('Lorri 401b'!L:L,MATCH('Retirement Calculator'!A794,'Lorri 401b'!N:N,0),0)</f>
        <v>-2107848.6684929542</v>
      </c>
      <c r="S794" s="25">
        <f t="shared" ca="1" si="787"/>
        <v>-167690.48906322033</v>
      </c>
    </row>
    <row r="795" spans="1:19" ht="15.75" customHeight="1" x14ac:dyDescent="0.3">
      <c r="A795" s="37">
        <v>75150</v>
      </c>
      <c r="B795" s="398">
        <f t="shared" ref="B795:C795" si="806">($A795-B$9)/365.25</f>
        <v>123.87132101300479</v>
      </c>
      <c r="C795" s="398">
        <f t="shared" si="806"/>
        <v>119.26078028747433</v>
      </c>
      <c r="E795" s="25">
        <f>IF(C795&gt;$B$7,0,'Combined Retirement'!$D$13/12)</f>
        <v>0</v>
      </c>
      <c r="F795" s="25">
        <f>IF(H795=0,'Combined Retirement'!$D$32,0)+'Combined Retirement'!$B$24</f>
        <v>2870.372285649099</v>
      </c>
      <c r="G795" s="25">
        <f>'Combined Retirement'!$C$24</f>
        <v>3254.2644699519233</v>
      </c>
      <c r="H795" s="25">
        <f>IF(B795&lt;62,0,'Combined Retirement'!$I$14)</f>
        <v>2345</v>
      </c>
      <c r="I795" s="25">
        <f>IF(C795&lt;62,0,'Combined Retirement'!$I$13)</f>
        <v>2420</v>
      </c>
      <c r="J795" s="25">
        <f t="shared" si="783"/>
        <v>7896.2379798201846</v>
      </c>
      <c r="K795" s="25">
        <f t="shared" si="784"/>
        <v>20367.195264578786</v>
      </c>
      <c r="L795" s="25"/>
      <c r="N795" s="25">
        <f>'Combined Retirement'!$C$18/12</f>
        <v>39153.069999999992</v>
      </c>
      <c r="O795" s="25">
        <f t="shared" si="785"/>
        <v>10889.636755601023</v>
      </c>
      <c r="P795" s="25">
        <f t="shared" si="786"/>
        <v>28263.43324439897</v>
      </c>
      <c r="Q795" s="25">
        <f t="array" aca="1" ref="Q795" ca="1">INDEX('Isaac 401k'!L:L,MATCH('Retirement Calculator'!A795,'Isaac 401k'!N:N,0),0)</f>
        <v>1940313.0328726217</v>
      </c>
      <c r="R795" s="25">
        <f t="array" aca="1" ref="R795" ca="1">INDEX('Lorri 401b'!L:L,MATCH('Retirement Calculator'!A795,'Lorri 401b'!N:N,0),0)</f>
        <v>-2137083.4298565229</v>
      </c>
      <c r="S795" s="25">
        <f t="shared" ca="1" si="787"/>
        <v>-196770.39698390127</v>
      </c>
    </row>
    <row r="796" spans="1:19" ht="15.75" customHeight="1" x14ac:dyDescent="0.3">
      <c r="A796" s="37">
        <v>75181</v>
      </c>
      <c r="B796" s="398">
        <f t="shared" ref="B796:C796" si="807">($A796-B$9)/365.25</f>
        <v>123.95619438740589</v>
      </c>
      <c r="C796" s="398">
        <f t="shared" si="807"/>
        <v>119.34565366187543</v>
      </c>
      <c r="E796" s="25">
        <f>IF(C796&gt;$B$7,0,'Combined Retirement'!$D$13/12)</f>
        <v>0</v>
      </c>
      <c r="F796" s="25">
        <f>IF(H796=0,'Combined Retirement'!$D$32,0)+'Combined Retirement'!$B$24</f>
        <v>2870.372285649099</v>
      </c>
      <c r="G796" s="25">
        <f>'Combined Retirement'!$C$24</f>
        <v>3254.2644699519233</v>
      </c>
      <c r="H796" s="25">
        <f>IF(B796&lt;62,0,'Combined Retirement'!$I$14)</f>
        <v>2345</v>
      </c>
      <c r="I796" s="25">
        <f>IF(C796&lt;62,0,'Combined Retirement'!$I$13)</f>
        <v>2420</v>
      </c>
      <c r="J796" s="25">
        <f t="shared" si="783"/>
        <v>7896.2379798201846</v>
      </c>
      <c r="K796" s="25">
        <f t="shared" si="784"/>
        <v>20367.195264578786</v>
      </c>
      <c r="L796" s="25"/>
      <c r="N796" s="25">
        <f>'Combined Retirement'!$C$18/12</f>
        <v>39153.069999999992</v>
      </c>
      <c r="O796" s="25">
        <f t="shared" si="785"/>
        <v>10889.636755601023</v>
      </c>
      <c r="P796" s="25">
        <f t="shared" si="786"/>
        <v>28263.43324439897</v>
      </c>
      <c r="Q796" s="25">
        <f t="array" aca="1" ref="Q796" ca="1">INDEX('Isaac 401k'!L:L,MATCH('Retirement Calculator'!A796,'Isaac 401k'!N:N,0),0)</f>
        <v>1940468.5315381882</v>
      </c>
      <c r="R796" s="25">
        <f t="array" aca="1" ref="R796" ca="1">INDEX('Lorri 401b'!L:L,MATCH('Retirement Calculator'!A796,'Lorri 401b'!N:N,0),0)</f>
        <v>-2166440.002725773</v>
      </c>
      <c r="S796" s="25">
        <f t="shared" ca="1" si="787"/>
        <v>-225971.4711875848</v>
      </c>
    </row>
    <row r="797" spans="1:19" ht="15.75" customHeight="1" x14ac:dyDescent="0.3">
      <c r="A797" s="37">
        <v>75211</v>
      </c>
      <c r="B797" s="398">
        <f t="shared" ref="B797:C797" si="808">($A797-B$9)/365.25</f>
        <v>124.03832991101984</v>
      </c>
      <c r="C797" s="398">
        <f t="shared" si="808"/>
        <v>119.42778918548939</v>
      </c>
      <c r="E797" s="25">
        <f>IF(C797&gt;$B$7,0,'Combined Retirement'!$D$13/12)</f>
        <v>0</v>
      </c>
      <c r="F797" s="25">
        <f>IF(H797=0,'Combined Retirement'!$D$32,0)+'Combined Retirement'!$B$24</f>
        <v>2870.372285649099</v>
      </c>
      <c r="G797" s="25">
        <f>'Combined Retirement'!$C$24</f>
        <v>3254.2644699519233</v>
      </c>
      <c r="H797" s="25">
        <f>IF(B797&lt;62,0,'Combined Retirement'!$I$14)</f>
        <v>2345</v>
      </c>
      <c r="I797" s="25">
        <f>IF(C797&lt;62,0,'Combined Retirement'!$I$13)</f>
        <v>2420</v>
      </c>
      <c r="J797" s="25">
        <f t="shared" si="783"/>
        <v>7896.2379798201846</v>
      </c>
      <c r="K797" s="25">
        <f t="shared" si="784"/>
        <v>20367.195264578786</v>
      </c>
      <c r="L797" s="25"/>
      <c r="N797" s="25">
        <f>'Combined Retirement'!$C$18/12</f>
        <v>39153.069999999992</v>
      </c>
      <c r="O797" s="25">
        <f t="shared" si="785"/>
        <v>10889.636755601023</v>
      </c>
      <c r="P797" s="25">
        <f t="shared" si="786"/>
        <v>28263.43324439897</v>
      </c>
      <c r="Q797" s="25">
        <f t="array" aca="1" ref="Q797" ca="1">INDEX('Isaac 401k'!L:L,MATCH('Retirement Calculator'!A797,'Isaac 401k'!N:N,0),0)</f>
        <v>1940624.6781148612</v>
      </c>
      <c r="R797" s="25">
        <f t="array" aca="1" ref="R797" ca="1">INDEX('Lorri 401b'!L:L,MATCH('Retirement Calculator'!A797,'Lorri 401b'!N:N,0),0)</f>
        <v>-2195918.8946486451</v>
      </c>
      <c r="S797" s="25">
        <f t="shared" ca="1" si="787"/>
        <v>-255294.21653378382</v>
      </c>
    </row>
    <row r="798" spans="1:19" ht="15.75" customHeight="1" x14ac:dyDescent="0.3">
      <c r="A798" s="37">
        <v>75242</v>
      </c>
      <c r="B798" s="398">
        <f t="shared" ref="B798:C798" si="809">($A798-B$9)/365.25</f>
        <v>124.12320328542094</v>
      </c>
      <c r="C798" s="398">
        <f t="shared" si="809"/>
        <v>119.51266255989049</v>
      </c>
      <c r="E798" s="25">
        <f>IF(C798&gt;$B$7,0,'Combined Retirement'!$D$13/12)</f>
        <v>0</v>
      </c>
      <c r="F798" s="25">
        <f>IF(H798=0,'Combined Retirement'!$D$32,0)+'Combined Retirement'!$B$24</f>
        <v>2870.372285649099</v>
      </c>
      <c r="G798" s="25">
        <f>'Combined Retirement'!$C$24</f>
        <v>3254.2644699519233</v>
      </c>
      <c r="H798" s="25">
        <f>IF(B798&lt;62,0,'Combined Retirement'!$I$14)</f>
        <v>2345</v>
      </c>
      <c r="I798" s="25">
        <f>IF(C798&lt;62,0,'Combined Retirement'!$I$13)</f>
        <v>2420</v>
      </c>
      <c r="J798" s="25">
        <f t="shared" si="783"/>
        <v>7896.2379798201846</v>
      </c>
      <c r="K798" s="25">
        <f t="shared" si="784"/>
        <v>20367.195264578786</v>
      </c>
      <c r="L798" s="25"/>
      <c r="N798" s="25">
        <f>'Combined Retirement'!$C$18/12</f>
        <v>39153.069999999992</v>
      </c>
      <c r="O798" s="25">
        <f t="shared" si="785"/>
        <v>10889.636755601023</v>
      </c>
      <c r="P798" s="25">
        <f t="shared" si="786"/>
        <v>28263.43324439897</v>
      </c>
      <c r="Q798" s="25">
        <f t="array" aca="1" ref="Q798" ca="1">INDEX('Isaac 401k'!L:L,MATCH('Retirement Calculator'!A798,'Isaac 401k'!N:N,0),0)</f>
        <v>1940781.4753022704</v>
      </c>
      <c r="R798" s="25">
        <f t="array" aca="1" ref="R798" ca="1">INDEX('Lorri 401b'!L:L,MATCH('Retirement Calculator'!A798,'Lorri 401b'!N:N,0),0)</f>
        <v>-2225520.6152878623</v>
      </c>
      <c r="S798" s="25">
        <f t="shared" ca="1" si="787"/>
        <v>-284739.13998559187</v>
      </c>
    </row>
    <row r="799" spans="1:19" ht="15.75" customHeight="1" x14ac:dyDescent="0.3">
      <c r="A799" s="37">
        <v>75273</v>
      </c>
      <c r="B799" s="398">
        <f t="shared" ref="B799:C799" si="810">($A799-B$9)/365.25</f>
        <v>124.20807665982204</v>
      </c>
      <c r="C799" s="398">
        <f t="shared" si="810"/>
        <v>119.59753593429159</v>
      </c>
      <c r="E799" s="25">
        <f>IF(C799&gt;$B$7,0,'Combined Retirement'!$D$13/12)</f>
        <v>0</v>
      </c>
      <c r="F799" s="25">
        <f>IF(H799=0,'Combined Retirement'!$D$32,0)+'Combined Retirement'!$B$24</f>
        <v>2870.372285649099</v>
      </c>
      <c r="G799" s="25">
        <f>'Combined Retirement'!$C$24</f>
        <v>3254.2644699519233</v>
      </c>
      <c r="H799" s="25">
        <f>IF(B799&lt;62,0,'Combined Retirement'!$I$14)</f>
        <v>2345</v>
      </c>
      <c r="I799" s="25">
        <f>IF(C799&lt;62,0,'Combined Retirement'!$I$13)</f>
        <v>2420</v>
      </c>
      <c r="J799" s="25">
        <f t="shared" si="783"/>
        <v>7896.2379798201846</v>
      </c>
      <c r="K799" s="25">
        <f t="shared" si="784"/>
        <v>20367.195264578786</v>
      </c>
      <c r="L799" s="25"/>
      <c r="N799" s="25">
        <f>'Combined Retirement'!$C$18/12</f>
        <v>39153.069999999992</v>
      </c>
      <c r="O799" s="25">
        <f t="shared" si="785"/>
        <v>10889.636755601023</v>
      </c>
      <c r="P799" s="25">
        <f t="shared" si="786"/>
        <v>28263.43324439897</v>
      </c>
      <c r="Q799" s="25">
        <f t="array" aca="1" ref="Q799" ca="1">INDEX('Isaac 401k'!L:L,MATCH('Retirement Calculator'!A799,'Isaac 401k'!N:N,0),0)</f>
        <v>1940938.9258112938</v>
      </c>
      <c r="R799" s="25">
        <f t="array" aca="1" ref="R799" ca="1">INDEX('Lorri 401b'!L:L,MATCH('Retirement Calculator'!A799,'Lorri 401b'!N:N,0),0)</f>
        <v>-2255245.6764297429</v>
      </c>
      <c r="S799" s="25">
        <f t="shared" ca="1" si="787"/>
        <v>-314306.75061844918</v>
      </c>
    </row>
    <row r="800" spans="1:19" ht="15.75" customHeight="1" x14ac:dyDescent="0.3">
      <c r="A800" s="37">
        <v>75301</v>
      </c>
      <c r="B800" s="398">
        <f t="shared" ref="B800:C800" si="811">($A800-B$9)/365.25</f>
        <v>124.28473648186174</v>
      </c>
      <c r="C800" s="398">
        <f t="shared" si="811"/>
        <v>119.67419575633129</v>
      </c>
      <c r="E800" s="25">
        <f>IF(C800&gt;$B$7,0,'Combined Retirement'!$D$13/12)</f>
        <v>0</v>
      </c>
      <c r="F800" s="25">
        <f>IF(H800=0,'Combined Retirement'!$D$32,0)+'Combined Retirement'!$B$24</f>
        <v>2870.372285649099</v>
      </c>
      <c r="G800" s="25">
        <f>'Combined Retirement'!$C$24</f>
        <v>3254.2644699519233</v>
      </c>
      <c r="H800" s="25">
        <f>IF(B800&lt;62,0,'Combined Retirement'!$I$14)</f>
        <v>2345</v>
      </c>
      <c r="I800" s="25">
        <f>IF(C800&lt;62,0,'Combined Retirement'!$I$13)</f>
        <v>2420</v>
      </c>
      <c r="J800" s="25">
        <f t="shared" si="783"/>
        <v>7896.2379798201846</v>
      </c>
      <c r="K800" s="25">
        <f t="shared" si="784"/>
        <v>20367.195264578786</v>
      </c>
      <c r="L800" s="25"/>
      <c r="N800" s="25">
        <f>'Combined Retirement'!$C$18/12</f>
        <v>39153.069999999992</v>
      </c>
      <c r="O800" s="25">
        <f t="shared" si="785"/>
        <v>10889.636755601023</v>
      </c>
      <c r="P800" s="25">
        <f t="shared" si="786"/>
        <v>28263.43324439897</v>
      </c>
      <c r="Q800" s="25">
        <f t="array" aca="1" ref="Q800" ca="1">INDEX('Isaac 401k'!L:L,MATCH('Retirement Calculator'!A800,'Isaac 401k'!N:N,0),0)</f>
        <v>1941097.0323641046</v>
      </c>
      <c r="R800" s="25">
        <f t="array" aca="1" ref="R800" ca="1">INDEX('Lorri 401b'!L:L,MATCH('Retirement Calculator'!A800,'Lorri 401b'!N:N,0),0)</f>
        <v>-2285094.5919930479</v>
      </c>
      <c r="S800" s="25">
        <f t="shared" ca="1" si="787"/>
        <v>-343997.55962894321</v>
      </c>
    </row>
    <row r="801" spans="1:19" ht="15.75" customHeight="1" x14ac:dyDescent="0.3">
      <c r="A801" s="37">
        <v>75332</v>
      </c>
      <c r="B801" s="398">
        <f t="shared" ref="B801:C801" si="812">($A801-B$9)/365.25</f>
        <v>124.36960985626284</v>
      </c>
      <c r="C801" s="398">
        <f t="shared" si="812"/>
        <v>119.75906913073237</v>
      </c>
      <c r="E801" s="25">
        <f>IF(C801&gt;$B$7,0,'Combined Retirement'!$D$13/12)</f>
        <v>0</v>
      </c>
      <c r="F801" s="25">
        <f>IF(H801=0,'Combined Retirement'!$D$32,0)+'Combined Retirement'!$B$24</f>
        <v>2870.372285649099</v>
      </c>
      <c r="G801" s="25">
        <f>'Combined Retirement'!$C$24</f>
        <v>3254.2644699519233</v>
      </c>
      <c r="H801" s="25">
        <f>IF(B801&lt;62,0,'Combined Retirement'!$I$14)</f>
        <v>2345</v>
      </c>
      <c r="I801" s="25">
        <f>IF(C801&lt;62,0,'Combined Retirement'!$I$13)</f>
        <v>2420</v>
      </c>
      <c r="J801" s="25">
        <f t="shared" si="783"/>
        <v>7896.2379798201846</v>
      </c>
      <c r="K801" s="25">
        <f t="shared" si="784"/>
        <v>20367.195264578786</v>
      </c>
      <c r="L801" s="25"/>
      <c r="N801" s="25">
        <f>'Combined Retirement'!$C$18/12</f>
        <v>39153.069999999992</v>
      </c>
      <c r="O801" s="25">
        <f t="shared" si="785"/>
        <v>10889.636755601023</v>
      </c>
      <c r="P801" s="25">
        <f t="shared" si="786"/>
        <v>28263.43324439897</v>
      </c>
      <c r="Q801" s="25">
        <f t="array" aca="1" ref="Q801" ca="1">INDEX('Isaac 401k'!L:L,MATCH('Retirement Calculator'!A801,'Isaac 401k'!N:N,0),0)</f>
        <v>1941255.797694219</v>
      </c>
      <c r="R801" s="25">
        <f t="array" aca="1" ref="R801" ca="1">INDEX('Lorri 401b'!L:L,MATCH('Retirement Calculator'!A801,'Lorri 401b'!N:N,0),0)</f>
        <v>-2315067.8780378667</v>
      </c>
      <c r="S801" s="25">
        <f t="shared" ca="1" si="787"/>
        <v>-373812.08034364763</v>
      </c>
    </row>
    <row r="802" spans="1:19" ht="15.75" customHeight="1" x14ac:dyDescent="0.3">
      <c r="A802" s="37">
        <v>75362</v>
      </c>
      <c r="B802" s="398">
        <f t="shared" ref="B802:C802" si="813">($A802-B$9)/365.25</f>
        <v>124.4517453798768</v>
      </c>
      <c r="C802" s="398">
        <f t="shared" si="813"/>
        <v>119.84120465434634</v>
      </c>
      <c r="E802" s="25">
        <f>IF(C802&gt;$B$7,0,'Combined Retirement'!$D$13/12)</f>
        <v>0</v>
      </c>
      <c r="F802" s="25">
        <f>IF(H802=0,'Combined Retirement'!$D$32,0)+'Combined Retirement'!$B$24</f>
        <v>2870.372285649099</v>
      </c>
      <c r="G802" s="25">
        <f>'Combined Retirement'!$C$24</f>
        <v>3254.2644699519233</v>
      </c>
      <c r="H802" s="25">
        <f>IF(B802&lt;62,0,'Combined Retirement'!$I$14)</f>
        <v>2345</v>
      </c>
      <c r="I802" s="25">
        <f>IF(C802&lt;62,0,'Combined Retirement'!$I$13)</f>
        <v>2420</v>
      </c>
      <c r="J802" s="25">
        <f t="shared" si="783"/>
        <v>7896.2379798201846</v>
      </c>
      <c r="K802" s="25">
        <f t="shared" si="784"/>
        <v>20367.195264578786</v>
      </c>
      <c r="L802" s="25"/>
      <c r="N802" s="25">
        <f>'Combined Retirement'!$C$18/12</f>
        <v>39153.069999999992</v>
      </c>
      <c r="O802" s="25">
        <f t="shared" si="785"/>
        <v>10889.636755601023</v>
      </c>
      <c r="P802" s="25">
        <f t="shared" si="786"/>
        <v>28263.43324439897</v>
      </c>
      <c r="Q802" s="25">
        <f t="array" aca="1" ref="Q802" ca="1">INDEX('Isaac 401k'!L:L,MATCH('Retirement Calculator'!A802,'Isaac 401k'!N:N,0),0)</f>
        <v>1941415.2245465422</v>
      </c>
      <c r="R802" s="25">
        <f t="array" aca="1" ref="R802" ca="1">INDEX('Lorri 401b'!L:L,MATCH('Retirement Calculator'!A802,'Lorri 401b'!N:N,0),0)</f>
        <v>-2345166.0527745392</v>
      </c>
      <c r="S802" s="25">
        <f t="shared" ca="1" si="787"/>
        <v>-403750.82822799706</v>
      </c>
    </row>
    <row r="803" spans="1:19" ht="15.75" customHeight="1" x14ac:dyDescent="0.3">
      <c r="A803" s="37">
        <v>75393</v>
      </c>
      <c r="B803" s="398">
        <f t="shared" ref="B803:C803" si="814">($A803-B$9)/365.25</f>
        <v>124.5366187542779</v>
      </c>
      <c r="C803" s="398">
        <f t="shared" si="814"/>
        <v>119.92607802874743</v>
      </c>
      <c r="E803" s="25">
        <f>IF(C803&gt;$B$7,0,'Combined Retirement'!$D$13/12)</f>
        <v>0</v>
      </c>
      <c r="F803" s="25">
        <f>IF(H803=0,'Combined Retirement'!$D$32,0)+'Combined Retirement'!$B$24</f>
        <v>2870.372285649099</v>
      </c>
      <c r="G803" s="25">
        <f>'Combined Retirement'!$C$24</f>
        <v>3254.2644699519233</v>
      </c>
      <c r="H803" s="25">
        <f>IF(B803&lt;62,0,'Combined Retirement'!$I$14)</f>
        <v>2345</v>
      </c>
      <c r="I803" s="25">
        <f>IF(C803&lt;62,0,'Combined Retirement'!$I$13)</f>
        <v>2420</v>
      </c>
      <c r="J803" s="25">
        <f t="shared" si="783"/>
        <v>7896.2379798201846</v>
      </c>
      <c r="K803" s="25">
        <f t="shared" si="784"/>
        <v>20367.195264578786</v>
      </c>
      <c r="L803" s="25"/>
      <c r="N803" s="25">
        <f>'Combined Retirement'!$C$18/12</f>
        <v>39153.069999999992</v>
      </c>
      <c r="O803" s="25">
        <f t="shared" si="785"/>
        <v>10889.636755601023</v>
      </c>
      <c r="P803" s="25">
        <f t="shared" si="786"/>
        <v>28263.43324439897</v>
      </c>
      <c r="Q803" s="25">
        <f t="array" aca="1" ref="Q803" ca="1">INDEX('Isaac 401k'!L:L,MATCH('Retirement Calculator'!A803,'Isaac 401k'!N:N,0),0)</f>
        <v>1941575.3156774165</v>
      </c>
      <c r="R803" s="25">
        <f t="array" aca="1" ref="R803" ca="1">INDEX('Lorri 401b'!L:L,MATCH('Retirement Calculator'!A803,'Lorri 401b'!N:N,0),0)</f>
        <v>-2375389.6365726143</v>
      </c>
      <c r="S803" s="25">
        <f t="shared" ca="1" si="787"/>
        <v>-433814.3208951978</v>
      </c>
    </row>
    <row r="804" spans="1:19" ht="15.75" customHeight="1" x14ac:dyDescent="0.3">
      <c r="A804" s="37">
        <v>75423</v>
      </c>
      <c r="B804" s="398">
        <f t="shared" ref="B804:C804" si="815">($A804-B$9)/365.25</f>
        <v>124.61875427789185</v>
      </c>
      <c r="C804" s="398">
        <f t="shared" si="815"/>
        <v>120.0082135523614</v>
      </c>
      <c r="E804" s="25">
        <f>IF(C804&gt;$B$7,0,'Combined Retirement'!$D$13/12)</f>
        <v>0</v>
      </c>
      <c r="F804" s="25">
        <f>IF(H804=0,'Combined Retirement'!$D$32,0)+'Combined Retirement'!$B$24</f>
        <v>2870.372285649099</v>
      </c>
      <c r="G804" s="25">
        <f>'Combined Retirement'!$C$24</f>
        <v>3254.2644699519233</v>
      </c>
      <c r="H804" s="25">
        <f>IF(B804&lt;62,0,'Combined Retirement'!$I$14)</f>
        <v>2345</v>
      </c>
      <c r="I804" s="25">
        <f>IF(C804&lt;62,0,'Combined Retirement'!$I$13)</f>
        <v>2420</v>
      </c>
      <c r="J804" s="25">
        <f t="shared" si="783"/>
        <v>7896.2379798201846</v>
      </c>
      <c r="K804" s="25">
        <f t="shared" si="784"/>
        <v>20367.195264578786</v>
      </c>
      <c r="L804" s="25"/>
      <c r="N804" s="25">
        <f>'Combined Retirement'!$C$18/12</f>
        <v>39153.069999999992</v>
      </c>
      <c r="O804" s="25">
        <f t="shared" si="785"/>
        <v>10889.636755601023</v>
      </c>
      <c r="P804" s="25">
        <f t="shared" si="786"/>
        <v>28263.43324439897</v>
      </c>
      <c r="Q804" s="25">
        <f t="array" aca="1" ref="Q804" ca="1">INDEX('Isaac 401k'!L:L,MATCH('Retirement Calculator'!A804,'Isaac 401k'!N:N,0),0)</f>
        <v>1941736.0738546697</v>
      </c>
      <c r="R804" s="25">
        <f t="array" aca="1" ref="R804" ca="1">INDEX('Lorri 401b'!L:L,MATCH('Retirement Calculator'!A804,'Lorri 401b'!N:N,0),0)</f>
        <v>-2405739.1519698482</v>
      </c>
      <c r="S804" s="25">
        <f t="shared" ca="1" si="787"/>
        <v>-464003.0781151785</v>
      </c>
    </row>
    <row r="805" spans="1:19" ht="15.75" customHeight="1" x14ac:dyDescent="0.3">
      <c r="A805" s="37">
        <v>75454</v>
      </c>
      <c r="B805" s="398">
        <f t="shared" ref="B805:C805" si="816">($A805-B$9)/365.25</f>
        <v>124.70362765229295</v>
      </c>
      <c r="C805" s="398">
        <f t="shared" si="816"/>
        <v>120.0930869267625</v>
      </c>
      <c r="E805" s="25">
        <f>IF(C805&gt;$B$7,0,'Combined Retirement'!$D$13/12)</f>
        <v>0</v>
      </c>
      <c r="F805" s="25">
        <f>IF(H805=0,'Combined Retirement'!$D$32,0)+'Combined Retirement'!$B$24</f>
        <v>2870.372285649099</v>
      </c>
      <c r="G805" s="25">
        <f>'Combined Retirement'!$C$24</f>
        <v>3254.2644699519233</v>
      </c>
      <c r="H805" s="25">
        <f>IF(B805&lt;62,0,'Combined Retirement'!$I$14)</f>
        <v>2345</v>
      </c>
      <c r="I805" s="25">
        <f>IF(C805&lt;62,0,'Combined Retirement'!$I$13)</f>
        <v>2420</v>
      </c>
      <c r="J805" s="25">
        <f t="shared" si="783"/>
        <v>7896.2379798201846</v>
      </c>
      <c r="K805" s="25">
        <f t="shared" si="784"/>
        <v>20367.195264578786</v>
      </c>
      <c r="L805" s="25"/>
      <c r="N805" s="25">
        <f>'Combined Retirement'!$C$18/12</f>
        <v>39153.069999999992</v>
      </c>
      <c r="O805" s="25">
        <f t="shared" si="785"/>
        <v>10889.636755601023</v>
      </c>
      <c r="P805" s="25">
        <f t="shared" si="786"/>
        <v>28263.43324439897</v>
      </c>
      <c r="Q805" s="25">
        <f t="array" aca="1" ref="Q805" ca="1">INDEX('Isaac 401k'!L:L,MATCH('Retirement Calculator'!A805,'Isaac 401k'!N:N,0),0)</f>
        <v>1941897.5018576614</v>
      </c>
      <c r="R805" s="25">
        <f t="array" aca="1" ref="R805" ca="1">INDEX('Lorri 401b'!L:L,MATCH('Retirement Calculator'!A805,'Lorri 401b'!N:N,0),0)</f>
        <v>-2436215.123681237</v>
      </c>
      <c r="S805" s="25">
        <f t="shared" ca="1" si="787"/>
        <v>-494317.62182357558</v>
      </c>
    </row>
    <row r="806" spans="1:19" ht="15.75" customHeight="1" x14ac:dyDescent="0.3">
      <c r="A806" s="37">
        <v>75485</v>
      </c>
      <c r="B806" s="398">
        <f t="shared" ref="B806:C806" si="817">($A806-B$9)/365.25</f>
        <v>124.78850102669405</v>
      </c>
      <c r="C806" s="398">
        <f t="shared" si="817"/>
        <v>120.17796030116358</v>
      </c>
      <c r="E806" s="25">
        <f>IF(C806&gt;$B$7,0,'Combined Retirement'!$D$13/12)</f>
        <v>0</v>
      </c>
      <c r="F806" s="25">
        <f>IF(H806=0,'Combined Retirement'!$D$32,0)+'Combined Retirement'!$B$24</f>
        <v>2870.372285649099</v>
      </c>
      <c r="G806" s="25">
        <f>'Combined Retirement'!$C$24</f>
        <v>3254.2644699519233</v>
      </c>
      <c r="H806" s="25">
        <f>IF(B806&lt;62,0,'Combined Retirement'!$I$14)</f>
        <v>2345</v>
      </c>
      <c r="I806" s="25">
        <f>IF(C806&lt;62,0,'Combined Retirement'!$I$13)</f>
        <v>2420</v>
      </c>
      <c r="J806" s="25">
        <f t="shared" si="783"/>
        <v>7896.2379798201846</v>
      </c>
      <c r="K806" s="25">
        <f t="shared" si="784"/>
        <v>20367.195264578786</v>
      </c>
      <c r="L806" s="25"/>
      <c r="N806" s="25">
        <f>'Combined Retirement'!$C$18/12</f>
        <v>39153.069999999992</v>
      </c>
      <c r="O806" s="25">
        <f t="shared" si="785"/>
        <v>10889.636755601023</v>
      </c>
      <c r="P806" s="25">
        <f t="shared" si="786"/>
        <v>28263.43324439897</v>
      </c>
      <c r="Q806" s="25">
        <f t="array" aca="1" ref="Q806" ca="1">INDEX('Isaac 401k'!L:L,MATCH('Retirement Calculator'!A806,'Isaac 401k'!N:N,0),0)</f>
        <v>1942059.6024773321</v>
      </c>
      <c r="R806" s="25">
        <f t="array" aca="1" ref="R806" ca="1">INDEX('Lorri 401b'!L:L,MATCH('Retirement Calculator'!A806,'Lorri 401b'!N:N,0),0)</f>
        <v>-2466818.0786080901</v>
      </c>
      <c r="S806" s="25">
        <f t="shared" ca="1" si="787"/>
        <v>-524758.47613075795</v>
      </c>
    </row>
    <row r="807" spans="1:19" ht="15.75" customHeight="1" x14ac:dyDescent="0.3">
      <c r="A807" s="37">
        <v>75515</v>
      </c>
      <c r="B807" s="398">
        <f t="shared" ref="B807:C807" si="818">($A807-B$9)/365.25</f>
        <v>124.87063655030801</v>
      </c>
      <c r="C807" s="398">
        <f t="shared" si="818"/>
        <v>120.26009582477755</v>
      </c>
      <c r="E807" s="25">
        <f>IF(C807&gt;$B$7,0,'Combined Retirement'!$D$13/12)</f>
        <v>0</v>
      </c>
      <c r="F807" s="25">
        <f>IF(H807=0,'Combined Retirement'!$D$32,0)+'Combined Retirement'!$B$24</f>
        <v>2870.372285649099</v>
      </c>
      <c r="G807" s="25">
        <f>'Combined Retirement'!$C$24</f>
        <v>3254.2644699519233</v>
      </c>
      <c r="H807" s="25">
        <f>IF(B807&lt;62,0,'Combined Retirement'!$I$14)</f>
        <v>2345</v>
      </c>
      <c r="I807" s="25">
        <f>IF(C807&lt;62,0,'Combined Retirement'!$I$13)</f>
        <v>2420</v>
      </c>
      <c r="J807" s="25">
        <f t="shared" si="783"/>
        <v>7896.2379798201846</v>
      </c>
      <c r="K807" s="25">
        <f t="shared" si="784"/>
        <v>20367.195264578786</v>
      </c>
      <c r="L807" s="25"/>
      <c r="N807" s="25">
        <f>'Combined Retirement'!$C$18/12</f>
        <v>39153.069999999992</v>
      </c>
      <c r="O807" s="25">
        <f t="shared" si="785"/>
        <v>10889.636755601023</v>
      </c>
      <c r="P807" s="25">
        <f t="shared" si="786"/>
        <v>28263.43324439897</v>
      </c>
      <c r="Q807" s="25">
        <f t="array" aca="1" ref="Q807" ca="1">INDEX('Isaac 401k'!L:L,MATCH('Retirement Calculator'!A807,'Isaac 401k'!N:N,0),0)</f>
        <v>1942222.3785162515</v>
      </c>
      <c r="R807" s="25">
        <f t="array" aca="1" ref="R807" ca="1">INDEX('Lorri 401b'!L:L,MATCH('Retirement Calculator'!A807,'Lorri 401b'!N:N,0),0)</f>
        <v>-2497548.5458471384</v>
      </c>
      <c r="S807" s="25">
        <f t="shared" ca="1" si="787"/>
        <v>-555326.16733088694</v>
      </c>
    </row>
    <row r="808" spans="1:19" ht="15.75" customHeight="1" x14ac:dyDescent="0.3">
      <c r="A808" s="37">
        <v>75546</v>
      </c>
      <c r="B808" s="398">
        <f t="shared" ref="B808:C808" si="819">($A808-B$9)/365.25</f>
        <v>124.95550992470911</v>
      </c>
      <c r="C808" s="398">
        <f t="shared" si="819"/>
        <v>120.34496919917865</v>
      </c>
      <c r="E808" s="25">
        <f>IF(C808&gt;$B$7,0,'Combined Retirement'!$D$13/12)</f>
        <v>0</v>
      </c>
      <c r="F808" s="25">
        <f>IF(H808=0,'Combined Retirement'!$D$32,0)+'Combined Retirement'!$B$24</f>
        <v>2870.372285649099</v>
      </c>
      <c r="G808" s="25">
        <f>'Combined Retirement'!$C$24</f>
        <v>3254.2644699519233</v>
      </c>
      <c r="H808" s="25">
        <f>IF(B808&lt;62,0,'Combined Retirement'!$I$14)</f>
        <v>2345</v>
      </c>
      <c r="I808" s="25">
        <f>IF(C808&lt;62,0,'Combined Retirement'!$I$13)</f>
        <v>2420</v>
      </c>
      <c r="J808" s="25">
        <f t="shared" si="783"/>
        <v>7896.2379798201846</v>
      </c>
      <c r="K808" s="25">
        <f t="shared" si="784"/>
        <v>20367.195264578786</v>
      </c>
      <c r="L808" s="25"/>
      <c r="N808" s="25">
        <f>'Combined Retirement'!$C$18/12</f>
        <v>39153.069999999992</v>
      </c>
      <c r="O808" s="25">
        <f t="shared" si="785"/>
        <v>10889.636755601023</v>
      </c>
      <c r="P808" s="25">
        <f t="shared" si="786"/>
        <v>28263.43324439897</v>
      </c>
      <c r="Q808" s="25">
        <f t="array" aca="1" ref="Q808" ca="1">INDEX('Isaac 401k'!L:L,MATCH('Retirement Calculator'!A808,'Isaac 401k'!N:N,0),0)</f>
        <v>1942385.8327886662</v>
      </c>
      <c r="R808" s="25">
        <f t="array" aca="1" ref="R808" ca="1">INDEX('Lorri 401b'!L:L,MATCH('Retirement Calculator'!A808,'Lorri 401b'!N:N,0),0)</f>
        <v>-2528407.0566996825</v>
      </c>
      <c r="S808" s="25">
        <f t="shared" ca="1" si="787"/>
        <v>-586021.22391101625</v>
      </c>
    </row>
    <row r="809" spans="1:19" ht="15.75" customHeight="1" x14ac:dyDescent="0.3">
      <c r="A809" s="37">
        <v>75576</v>
      </c>
      <c r="B809" s="398">
        <f t="shared" ref="B809:C809" si="820">($A809-B$9)/365.25</f>
        <v>125.03764544832306</v>
      </c>
      <c r="C809" s="398">
        <f t="shared" si="820"/>
        <v>120.42710472279261</v>
      </c>
      <c r="E809" s="25">
        <f>IF(C809&gt;$B$7,0,'Combined Retirement'!$D$13/12)</f>
        <v>0</v>
      </c>
      <c r="F809" s="25">
        <f>IF(H809=0,'Combined Retirement'!$D$32,0)+'Combined Retirement'!$B$24</f>
        <v>2870.372285649099</v>
      </c>
      <c r="G809" s="25">
        <f>'Combined Retirement'!$C$24</f>
        <v>3254.2644699519233</v>
      </c>
      <c r="H809" s="25">
        <f>IF(B809&lt;62,0,'Combined Retirement'!$I$14)</f>
        <v>2345</v>
      </c>
      <c r="I809" s="25">
        <f>IF(C809&lt;62,0,'Combined Retirement'!$I$13)</f>
        <v>2420</v>
      </c>
      <c r="J809" s="25">
        <f t="shared" si="783"/>
        <v>7896.2379798201846</v>
      </c>
      <c r="K809" s="25">
        <f t="shared" si="784"/>
        <v>20367.195264578786</v>
      </c>
      <c r="L809" s="25"/>
      <c r="N809" s="25">
        <f>'Combined Retirement'!$C$18/12</f>
        <v>39153.069999999992</v>
      </c>
      <c r="O809" s="25">
        <f t="shared" si="785"/>
        <v>10889.636755601023</v>
      </c>
      <c r="P809" s="25">
        <f t="shared" si="786"/>
        <v>28263.43324439897</v>
      </c>
      <c r="Q809" s="25">
        <f t="array" aca="1" ref="Q809" ca="1">INDEX('Isaac 401k'!L:L,MATCH('Retirement Calculator'!A809,'Isaac 401k'!N:N,0),0)</f>
        <v>1942549.9681205496</v>
      </c>
      <c r="R809" s="25">
        <f t="array" aca="1" ref="R809" ca="1">INDEX('Lorri 401b'!L:L,MATCH('Retirement Calculator'!A809,'Lorri 401b'!N:N,0),0)</f>
        <v>-2559394.144680779</v>
      </c>
      <c r="S809" s="25">
        <f t="shared" ca="1" si="787"/>
        <v>-616844.17656022939</v>
      </c>
    </row>
    <row r="810" spans="1:19" ht="15.75" customHeight="1" x14ac:dyDescent="0.3">
      <c r="A810" s="37">
        <v>75607</v>
      </c>
      <c r="B810" s="398">
        <f t="shared" ref="B810:C810" si="821">($A810-B$9)/365.25</f>
        <v>125.12251882272416</v>
      </c>
      <c r="C810" s="398">
        <f t="shared" si="821"/>
        <v>120.5119780971937</v>
      </c>
      <c r="E810" s="25">
        <f>IF(C810&gt;$B$7,0,'Combined Retirement'!$D$13/12)</f>
        <v>0</v>
      </c>
      <c r="F810" s="25">
        <f>IF(H810=0,'Combined Retirement'!$D$32,0)+'Combined Retirement'!$B$24</f>
        <v>2870.372285649099</v>
      </c>
      <c r="G810" s="25">
        <f>'Combined Retirement'!$C$24</f>
        <v>3254.2644699519233</v>
      </c>
      <c r="H810" s="25">
        <f>IF(B810&lt;62,0,'Combined Retirement'!$I$14)</f>
        <v>2345</v>
      </c>
      <c r="I810" s="25">
        <f>IF(C810&lt;62,0,'Combined Retirement'!$I$13)</f>
        <v>2420</v>
      </c>
      <c r="J810" s="25">
        <f t="shared" si="783"/>
        <v>7896.2379798201846</v>
      </c>
      <c r="K810" s="25">
        <f t="shared" si="784"/>
        <v>20367.195264578786</v>
      </c>
      <c r="L810" s="25"/>
      <c r="N810" s="25">
        <f>'Combined Retirement'!$C$18/12</f>
        <v>39153.069999999992</v>
      </c>
      <c r="O810" s="25">
        <f t="shared" si="785"/>
        <v>10889.636755601023</v>
      </c>
      <c r="P810" s="25">
        <f t="shared" si="786"/>
        <v>28263.43324439897</v>
      </c>
      <c r="Q810" s="25">
        <f t="array" aca="1" ref="Q810" ca="1">INDEX('Isaac 401k'!L:L,MATCH('Retirement Calculator'!A810,'Isaac 401k'!N:N,0),0)</f>
        <v>1942714.787349649</v>
      </c>
      <c r="R810" s="25">
        <f t="array" aca="1" ref="R810" ca="1">INDEX('Lorri 401b'!L:L,MATCH('Retirement Calculator'!A810,'Lorri 401b'!N:N,0),0)</f>
        <v>-2590510.3455284634</v>
      </c>
      <c r="S810" s="25">
        <f t="shared" ca="1" si="787"/>
        <v>-647795.55817881436</v>
      </c>
    </row>
    <row r="811" spans="1:19" ht="15.75" customHeight="1" x14ac:dyDescent="0.3">
      <c r="A811" s="37">
        <v>75638</v>
      </c>
      <c r="B811" s="398">
        <f t="shared" ref="B811:C811" si="822">($A811-B$9)/365.25</f>
        <v>125.20739219712526</v>
      </c>
      <c r="C811" s="398">
        <f t="shared" si="822"/>
        <v>120.5968514715948</v>
      </c>
      <c r="E811" s="25">
        <f>IF(C811&gt;$B$7,0,'Combined Retirement'!$D$13/12)</f>
        <v>0</v>
      </c>
      <c r="F811" s="25">
        <f>IF(H811=0,'Combined Retirement'!$D$32,0)+'Combined Retirement'!$B$24</f>
        <v>2870.372285649099</v>
      </c>
      <c r="G811" s="25">
        <f>'Combined Retirement'!$C$24</f>
        <v>3254.2644699519233</v>
      </c>
      <c r="H811" s="25">
        <f>IF(B811&lt;62,0,'Combined Retirement'!$I$14)</f>
        <v>2345</v>
      </c>
      <c r="I811" s="25">
        <f>IF(C811&lt;62,0,'Combined Retirement'!$I$13)</f>
        <v>2420</v>
      </c>
      <c r="J811" s="25">
        <f t="shared" si="783"/>
        <v>7896.2379798201846</v>
      </c>
      <c r="K811" s="25">
        <f t="shared" si="784"/>
        <v>20367.195264578786</v>
      </c>
      <c r="L811" s="25"/>
      <c r="N811" s="25">
        <f>'Combined Retirement'!$C$18/12</f>
        <v>39153.069999999992</v>
      </c>
      <c r="O811" s="25">
        <f t="shared" si="785"/>
        <v>10889.636755601023</v>
      </c>
      <c r="P811" s="25">
        <f t="shared" si="786"/>
        <v>28263.43324439897</v>
      </c>
      <c r="Q811" s="25">
        <f t="array" aca="1" ref="Q811" ca="1">INDEX('Isaac 401k'!L:L,MATCH('Retirement Calculator'!A811,'Isaac 401k'!N:N,0),0)</f>
        <v>1942880.2933255364</v>
      </c>
      <c r="R811" s="25">
        <f t="array" aca="1" ref="R811" ca="1">INDEX('Lorri 401b'!L:L,MATCH('Retirement Calculator'!A811,'Lorri 401b'!N:N,0),0)</f>
        <v>-2621756.1972130132</v>
      </c>
      <c r="S811" s="25">
        <f t="shared" ca="1" si="787"/>
        <v>-678875.90388747677</v>
      </c>
    </row>
    <row r="812" spans="1:19" ht="15.75" customHeight="1" x14ac:dyDescent="0.3">
      <c r="A812" s="37">
        <v>75666</v>
      </c>
      <c r="B812" s="398">
        <f t="shared" ref="B812:C812" si="823">($A812-B$9)/365.25</f>
        <v>125.28405201916496</v>
      </c>
      <c r="C812" s="398">
        <f t="shared" si="823"/>
        <v>120.67351129363449</v>
      </c>
      <c r="E812" s="25">
        <f>IF(C812&gt;$B$7,0,'Combined Retirement'!$D$13/12)</f>
        <v>0</v>
      </c>
      <c r="F812" s="25">
        <f>IF(H812=0,'Combined Retirement'!$D$32,0)+'Combined Retirement'!$B$24</f>
        <v>2870.372285649099</v>
      </c>
      <c r="G812" s="25">
        <f>'Combined Retirement'!$C$24</f>
        <v>3254.2644699519233</v>
      </c>
      <c r="H812" s="25">
        <f>IF(B812&lt;62,0,'Combined Retirement'!$I$14)</f>
        <v>2345</v>
      </c>
      <c r="I812" s="25">
        <f>IF(C812&lt;62,0,'Combined Retirement'!$I$13)</f>
        <v>2420</v>
      </c>
      <c r="J812" s="25">
        <f t="shared" si="783"/>
        <v>7896.2379798201846</v>
      </c>
      <c r="K812" s="25">
        <f t="shared" si="784"/>
        <v>20367.195264578786</v>
      </c>
      <c r="L812" s="25"/>
      <c r="N812" s="25">
        <f>'Combined Retirement'!$C$18/12</f>
        <v>39153.069999999992</v>
      </c>
      <c r="O812" s="25">
        <f t="shared" si="785"/>
        <v>10889.636755601023</v>
      </c>
      <c r="P812" s="25">
        <f t="shared" si="786"/>
        <v>28263.43324439897</v>
      </c>
      <c r="Q812" s="25">
        <f t="array" aca="1" ref="Q812" ca="1">INDEX('Isaac 401k'!L:L,MATCH('Retirement Calculator'!A812,'Isaac 401k'!N:N,0),0)</f>
        <v>1943046.4889096566</v>
      </c>
      <c r="R812" s="25">
        <f t="array" aca="1" ref="R812" ca="1">INDEX('Lorri 401b'!L:L,MATCH('Retirement Calculator'!A812,'Lorri 401b'!N:N,0),0)</f>
        <v>-2653132.2399462485</v>
      </c>
      <c r="S812" s="25">
        <f t="shared" ca="1" si="787"/>
        <v>-710085.75103659183</v>
      </c>
    </row>
    <row r="813" spans="1:19" ht="15.75" customHeight="1" x14ac:dyDescent="0.3">
      <c r="A813" s="37">
        <v>75697</v>
      </c>
      <c r="B813" s="398">
        <f t="shared" ref="B813:C813" si="824">($A813-B$9)/365.25</f>
        <v>125.36892539356604</v>
      </c>
      <c r="C813" s="398">
        <f t="shared" si="824"/>
        <v>120.75838466803559</v>
      </c>
      <c r="E813" s="25">
        <f>IF(C813&gt;$B$7,0,'Combined Retirement'!$D$13/12)</f>
        <v>0</v>
      </c>
      <c r="F813" s="25">
        <f>IF(H813=0,'Combined Retirement'!$D$32,0)+'Combined Retirement'!$B$24</f>
        <v>2870.372285649099</v>
      </c>
      <c r="G813" s="25">
        <f>'Combined Retirement'!$C$24</f>
        <v>3254.2644699519233</v>
      </c>
      <c r="H813" s="25">
        <f>IF(B813&lt;62,0,'Combined Retirement'!$I$14)</f>
        <v>2345</v>
      </c>
      <c r="I813" s="25">
        <f>IF(C813&lt;62,0,'Combined Retirement'!$I$13)</f>
        <v>2420</v>
      </c>
      <c r="J813" s="25">
        <f t="shared" si="783"/>
        <v>7896.2379798201846</v>
      </c>
      <c r="K813" s="25">
        <f t="shared" si="784"/>
        <v>20367.195264578786</v>
      </c>
      <c r="L813" s="25"/>
      <c r="N813" s="25">
        <f>'Combined Retirement'!$C$18/12</f>
        <v>39153.069999999992</v>
      </c>
      <c r="O813" s="25">
        <f t="shared" si="785"/>
        <v>10889.636755601023</v>
      </c>
      <c r="P813" s="25">
        <f t="shared" si="786"/>
        <v>28263.43324439897</v>
      </c>
      <c r="Q813" s="25">
        <f t="array" aca="1" ref="Q813" ca="1">INDEX('Isaac 401k'!L:L,MATCH('Retirement Calculator'!A813,'Isaac 401k'!N:N,0),0)</f>
        <v>1943213.3769753773</v>
      </c>
      <c r="R813" s="25">
        <f t="array" aca="1" ref="R813" ca="1">INDEX('Lorri 401b'!L:L,MATCH('Retirement Calculator'!A813,'Lorri 401b'!N:N,0),0)</f>
        <v>-2684639.0161908725</v>
      </c>
      <c r="S813" s="25">
        <f t="shared" ca="1" si="787"/>
        <v>-741425.6392154952</v>
      </c>
    </row>
    <row r="814" spans="1:19" ht="15.75" customHeight="1" x14ac:dyDescent="0.3">
      <c r="A814" s="37">
        <v>75727</v>
      </c>
      <c r="B814" s="398">
        <f t="shared" ref="B814:C814" si="825">($A814-B$9)/365.25</f>
        <v>125.45106091718002</v>
      </c>
      <c r="C814" s="398">
        <f t="shared" si="825"/>
        <v>120.84052019164956</v>
      </c>
      <c r="E814" s="25">
        <f>IF(C814&gt;$B$7,0,'Combined Retirement'!$D$13/12)</f>
        <v>0</v>
      </c>
      <c r="F814" s="25">
        <f>IF(H814=0,'Combined Retirement'!$D$32,0)+'Combined Retirement'!$B$24</f>
        <v>2870.372285649099</v>
      </c>
      <c r="G814" s="25">
        <f>'Combined Retirement'!$C$24</f>
        <v>3254.2644699519233</v>
      </c>
      <c r="H814" s="25">
        <f>IF(B814&lt;62,0,'Combined Retirement'!$I$14)</f>
        <v>2345</v>
      </c>
      <c r="I814" s="25">
        <f>IF(C814&lt;62,0,'Combined Retirement'!$I$13)</f>
        <v>2420</v>
      </c>
      <c r="J814" s="25">
        <f t="shared" si="783"/>
        <v>7896.2379798201846</v>
      </c>
      <c r="K814" s="25">
        <f t="shared" si="784"/>
        <v>20367.195264578786</v>
      </c>
      <c r="L814" s="25"/>
      <c r="N814" s="25">
        <f>'Combined Retirement'!$C$18/12</f>
        <v>39153.069999999992</v>
      </c>
      <c r="O814" s="25">
        <f t="shared" si="785"/>
        <v>10889.636755601023</v>
      </c>
      <c r="P814" s="25">
        <f t="shared" si="786"/>
        <v>28263.43324439897</v>
      </c>
      <c r="Q814" s="25">
        <f t="array" aca="1" ref="Q814" ca="1">INDEX('Isaac 401k'!L:L,MATCH('Retirement Calculator'!A814,'Isaac 401k'!N:N,0),0)</f>
        <v>1943380.9604080387</v>
      </c>
      <c r="R814" s="25">
        <f t="array" aca="1" ref="R814" ca="1">INDEX('Lorri 401b'!L:L,MATCH('Retirement Calculator'!A814,'Lorri 401b'!N:N,0),0)</f>
        <v>-2716277.0706698489</v>
      </c>
      <c r="S814" s="25">
        <f t="shared" ca="1" si="787"/>
        <v>-772896.11026181024</v>
      </c>
    </row>
    <row r="815" spans="1:19" ht="15.75" customHeight="1" x14ac:dyDescent="0.3">
      <c r="A815" s="37">
        <v>75758</v>
      </c>
      <c r="B815" s="398">
        <f t="shared" ref="B815:C815" si="826">($A815-B$9)/365.25</f>
        <v>125.53593429158111</v>
      </c>
      <c r="C815" s="398">
        <f t="shared" si="826"/>
        <v>120.92539356605064</v>
      </c>
      <c r="E815" s="25">
        <f>IF(C815&gt;$B$7,0,'Combined Retirement'!$D$13/12)</f>
        <v>0</v>
      </c>
      <c r="F815" s="25">
        <f>IF(H815=0,'Combined Retirement'!$D$32,0)+'Combined Retirement'!$B$24</f>
        <v>2870.372285649099</v>
      </c>
      <c r="G815" s="25">
        <f>'Combined Retirement'!$C$24</f>
        <v>3254.2644699519233</v>
      </c>
      <c r="H815" s="25">
        <f>IF(B815&lt;62,0,'Combined Retirement'!$I$14)</f>
        <v>2345</v>
      </c>
      <c r="I815" s="25">
        <f>IF(C815&lt;62,0,'Combined Retirement'!$I$13)</f>
        <v>2420</v>
      </c>
      <c r="J815" s="25">
        <f t="shared" si="783"/>
        <v>7896.2379798201846</v>
      </c>
      <c r="K815" s="25">
        <f t="shared" si="784"/>
        <v>20367.195264578786</v>
      </c>
      <c r="L815" s="25"/>
      <c r="N815" s="25">
        <f>'Combined Retirement'!$C$18/12</f>
        <v>39153.069999999992</v>
      </c>
      <c r="O815" s="25">
        <f t="shared" si="785"/>
        <v>10889.636755601023</v>
      </c>
      <c r="P815" s="25">
        <f t="shared" si="786"/>
        <v>28263.43324439897</v>
      </c>
      <c r="Q815" s="25">
        <f t="array" aca="1" ref="Q815" ca="1">INDEX('Isaac 401k'!L:L,MATCH('Retirement Calculator'!A815,'Isaac 401k'!N:N,0),0)</f>
        <v>1943549.2421050027</v>
      </c>
      <c r="R815" s="25">
        <f t="array" aca="1" ref="R815" ca="1">INDEX('Lorri 401b'!L:L,MATCH('Retirement Calculator'!A815,'Lorri 401b'!N:N,0),0)</f>
        <v>-2748046.950375821</v>
      </c>
      <c r="S815" s="25">
        <f t="shared" ca="1" si="787"/>
        <v>-804497.70827081823</v>
      </c>
    </row>
    <row r="816" spans="1:19" ht="15.75" customHeight="1" x14ac:dyDescent="0.3">
      <c r="A816" s="37">
        <v>75788</v>
      </c>
      <c r="B816" s="398">
        <f t="shared" ref="B816:C816" si="827">($A816-B$9)/365.25</f>
        <v>125.61806981519507</v>
      </c>
      <c r="C816" s="398">
        <f t="shared" si="827"/>
        <v>121.00752908966462</v>
      </c>
      <c r="E816" s="25">
        <f>IF(C816&gt;$B$7,0,'Combined Retirement'!$D$13/12)</f>
        <v>0</v>
      </c>
      <c r="F816" s="25">
        <f>IF(H816=0,'Combined Retirement'!$D$32,0)+'Combined Retirement'!$B$24</f>
        <v>2870.372285649099</v>
      </c>
      <c r="G816" s="25">
        <f>'Combined Retirement'!$C$24</f>
        <v>3254.2644699519233</v>
      </c>
      <c r="H816" s="25">
        <f>IF(B816&lt;62,0,'Combined Retirement'!$I$14)</f>
        <v>2345</v>
      </c>
      <c r="I816" s="25">
        <f>IF(C816&lt;62,0,'Combined Retirement'!$I$13)</f>
        <v>2420</v>
      </c>
      <c r="J816" s="25">
        <f t="shared" si="783"/>
        <v>7896.2379798201846</v>
      </c>
      <c r="K816" s="25">
        <f t="shared" si="784"/>
        <v>20367.195264578786</v>
      </c>
      <c r="L816" s="25"/>
      <c r="N816" s="25">
        <f>'Combined Retirement'!$C$18/12</f>
        <v>39153.069999999992</v>
      </c>
      <c r="O816" s="25">
        <f t="shared" si="785"/>
        <v>10889.636755601023</v>
      </c>
      <c r="P816" s="25">
        <f t="shared" si="786"/>
        <v>28263.43324439897</v>
      </c>
      <c r="Q816" s="25">
        <f t="array" aca="1" ref="Q816" ca="1">INDEX('Isaac 401k'!L:L,MATCH('Retirement Calculator'!A816,'Isaac 401k'!N:N,0),0)</f>
        <v>1943718.2249757042</v>
      </c>
      <c r="R816" s="25">
        <f t="array" aca="1" ref="R816" ca="1">INDEX('Lorri 401b'!L:L,MATCH('Retirement Calculator'!A816,'Lorri 401b'!N:N,0),0)</f>
        <v>-2779949.2045805682</v>
      </c>
      <c r="S816" s="25">
        <f t="shared" ca="1" si="787"/>
        <v>-836230.97960486403</v>
      </c>
    </row>
    <row r="817" spans="1:19" ht="15.75" customHeight="1" x14ac:dyDescent="0.3">
      <c r="A817" s="37">
        <v>75819</v>
      </c>
      <c r="B817" s="398">
        <f t="shared" ref="B817:C817" si="828">($A817-B$9)/365.25</f>
        <v>125.70294318959617</v>
      </c>
      <c r="C817" s="398">
        <f t="shared" si="828"/>
        <v>121.09240246406571</v>
      </c>
      <c r="E817" s="25">
        <f>IF(C817&gt;$B$7,0,'Combined Retirement'!$D$13/12)</f>
        <v>0</v>
      </c>
      <c r="F817" s="25">
        <f>IF(H817=0,'Combined Retirement'!$D$32,0)+'Combined Retirement'!$B$24</f>
        <v>2870.372285649099</v>
      </c>
      <c r="G817" s="25">
        <f>'Combined Retirement'!$C$24</f>
        <v>3254.2644699519233</v>
      </c>
      <c r="H817" s="25">
        <f>IF(B817&lt;62,0,'Combined Retirement'!$I$14)</f>
        <v>2345</v>
      </c>
      <c r="I817" s="25">
        <f>IF(C817&lt;62,0,'Combined Retirement'!$I$13)</f>
        <v>2420</v>
      </c>
      <c r="J817" s="25">
        <f t="shared" si="783"/>
        <v>7896.2379798201846</v>
      </c>
      <c r="K817" s="25">
        <f t="shared" si="784"/>
        <v>20367.195264578786</v>
      </c>
      <c r="L817" s="25"/>
      <c r="N817" s="25">
        <f>'Combined Retirement'!$C$18/12</f>
        <v>39153.069999999992</v>
      </c>
      <c r="O817" s="25">
        <f t="shared" si="785"/>
        <v>10889.636755601023</v>
      </c>
      <c r="P817" s="25">
        <f t="shared" si="786"/>
        <v>28263.43324439897</v>
      </c>
      <c r="Q817" s="25">
        <f t="array" aca="1" ref="Q817" ca="1">INDEX('Isaac 401k'!L:L,MATCH('Retirement Calculator'!A817,'Isaac 401k'!N:N,0),0)</f>
        <v>1943887.9119417001</v>
      </c>
      <c r="R817" s="25">
        <f t="array" aca="1" ref="R817" ca="1">INDEX('Lorri 401b'!L:L,MATCH('Retirement Calculator'!A817,'Lorri 401b'!N:N,0),0)</f>
        <v>-2811984.384844502</v>
      </c>
      <c r="S817" s="25">
        <f t="shared" ca="1" si="787"/>
        <v>-868096.47290280182</v>
      </c>
    </row>
    <row r="818" spans="1:19" ht="15.75" customHeight="1" x14ac:dyDescent="0.3">
      <c r="A818" s="37">
        <v>75850</v>
      </c>
      <c r="B818" s="398">
        <f t="shared" ref="B818:C818" si="829">($A818-B$9)/365.25</f>
        <v>125.78781656399727</v>
      </c>
      <c r="C818" s="398">
        <f t="shared" si="829"/>
        <v>121.1772758384668</v>
      </c>
      <c r="E818" s="25">
        <f>IF(C818&gt;$B$7,0,'Combined Retirement'!$D$13/12)</f>
        <v>0</v>
      </c>
      <c r="F818" s="25">
        <f>IF(H818=0,'Combined Retirement'!$D$32,0)+'Combined Retirement'!$B$24</f>
        <v>2870.372285649099</v>
      </c>
      <c r="G818" s="25">
        <f>'Combined Retirement'!$C$24</f>
        <v>3254.2644699519233</v>
      </c>
      <c r="H818" s="25">
        <f>IF(B818&lt;62,0,'Combined Retirement'!$I$14)</f>
        <v>2345</v>
      </c>
      <c r="I818" s="25">
        <f>IF(C818&lt;62,0,'Combined Retirement'!$I$13)</f>
        <v>2420</v>
      </c>
      <c r="J818" s="25">
        <f t="shared" si="783"/>
        <v>7896.2379798201846</v>
      </c>
      <c r="K818" s="25">
        <f t="shared" si="784"/>
        <v>20367.195264578786</v>
      </c>
      <c r="L818" s="25"/>
      <c r="N818" s="25">
        <f>'Combined Retirement'!$C$18/12</f>
        <v>39153.069999999992</v>
      </c>
      <c r="O818" s="25">
        <f t="shared" si="785"/>
        <v>10889.636755601023</v>
      </c>
      <c r="P818" s="25">
        <f t="shared" si="786"/>
        <v>28263.43324439897</v>
      </c>
      <c r="Q818" s="25">
        <f t="array" aca="1" ref="Q818" ca="1">INDEX('Isaac 401k'!L:L,MATCH('Retirement Calculator'!A818,'Isaac 401k'!N:N,0),0)</f>
        <v>1944058.3059367212</v>
      </c>
      <c r="R818" s="25">
        <f t="array" aca="1" ref="R818" ca="1">INDEX('Lorri 401b'!L:L,MATCH('Retirement Calculator'!A818,'Lorri 401b'!N:N,0),0)</f>
        <v>-2844153.0450262018</v>
      </c>
      <c r="S818" s="25">
        <f t="shared" ca="1" si="787"/>
        <v>-900094.7390894806</v>
      </c>
    </row>
    <row r="819" spans="1:19" ht="15.75" customHeight="1" x14ac:dyDescent="0.3">
      <c r="A819" s="37">
        <v>75880</v>
      </c>
      <c r="B819" s="398">
        <f t="shared" ref="B819:C819" si="830">($A819-B$9)/365.25</f>
        <v>125.86995208761122</v>
      </c>
      <c r="C819" s="398">
        <f t="shared" si="830"/>
        <v>121.25941136208077</v>
      </c>
      <c r="E819" s="25">
        <f>IF(C819&gt;$B$7,0,'Combined Retirement'!$D$13/12)</f>
        <v>0</v>
      </c>
      <c r="F819" s="25">
        <f>IF(H819=0,'Combined Retirement'!$D$32,0)+'Combined Retirement'!$B$24</f>
        <v>2870.372285649099</v>
      </c>
      <c r="G819" s="25">
        <f>'Combined Retirement'!$C$24</f>
        <v>3254.2644699519233</v>
      </c>
      <c r="H819" s="25">
        <f>IF(B819&lt;62,0,'Combined Retirement'!$I$14)</f>
        <v>2345</v>
      </c>
      <c r="I819" s="25">
        <f>IF(C819&lt;62,0,'Combined Retirement'!$I$13)</f>
        <v>2420</v>
      </c>
      <c r="J819" s="25">
        <f t="shared" si="783"/>
        <v>7896.2379798201846</v>
      </c>
      <c r="K819" s="25">
        <f t="shared" si="784"/>
        <v>20367.195264578786</v>
      </c>
      <c r="L819" s="25"/>
      <c r="N819" s="25">
        <f>'Combined Retirement'!$C$18/12</f>
        <v>39153.069999999992</v>
      </c>
      <c r="O819" s="25">
        <f t="shared" si="785"/>
        <v>10889.636755601023</v>
      </c>
      <c r="P819" s="25">
        <f t="shared" si="786"/>
        <v>28263.43324439897</v>
      </c>
      <c r="Q819" s="25">
        <f t="array" aca="1" ref="Q819" ca="1">INDEX('Isaac 401k'!L:L,MATCH('Retirement Calculator'!A819,'Isaac 401k'!N:N,0),0)</f>
        <v>1944229.4099067214</v>
      </c>
      <c r="R819" s="25">
        <f t="array" aca="1" ref="R819" ca="1">INDEX('Lorri 401b'!L:L,MATCH('Retirement Calculator'!A819,'Lorri 401b'!N:N,0),0)</f>
        <v>-2876455.7412919924</v>
      </c>
      <c r="S819" s="25">
        <f t="shared" ca="1" si="787"/>
        <v>-932226.33138527093</v>
      </c>
    </row>
    <row r="820" spans="1:19" ht="15.75" customHeight="1" x14ac:dyDescent="0.3">
      <c r="A820" s="37">
        <v>75911</v>
      </c>
      <c r="B820" s="398">
        <f t="shared" ref="B820:C820" si="831">($A820-B$9)/365.25</f>
        <v>125.95482546201232</v>
      </c>
      <c r="C820" s="398">
        <f t="shared" si="831"/>
        <v>121.34428473648187</v>
      </c>
      <c r="E820" s="25">
        <f>IF(C820&gt;$B$7,0,'Combined Retirement'!$D$13/12)</f>
        <v>0</v>
      </c>
      <c r="F820" s="25">
        <f>IF(H820=0,'Combined Retirement'!$D$32,0)+'Combined Retirement'!$B$24</f>
        <v>2870.372285649099</v>
      </c>
      <c r="G820" s="25">
        <f>'Combined Retirement'!$C$24</f>
        <v>3254.2644699519233</v>
      </c>
      <c r="H820" s="25">
        <f>IF(B820&lt;62,0,'Combined Retirement'!$I$14)</f>
        <v>2345</v>
      </c>
      <c r="I820" s="25">
        <f>IF(C820&lt;62,0,'Combined Retirement'!$I$13)</f>
        <v>2420</v>
      </c>
      <c r="J820" s="25">
        <f t="shared" si="783"/>
        <v>7896.2379798201846</v>
      </c>
      <c r="K820" s="25">
        <f t="shared" si="784"/>
        <v>20367.195264578786</v>
      </c>
      <c r="L820" s="25"/>
      <c r="N820" s="25">
        <f>'Combined Retirement'!$C$18/12</f>
        <v>39153.069999999992</v>
      </c>
      <c r="O820" s="25">
        <f t="shared" si="785"/>
        <v>10889.636755601023</v>
      </c>
      <c r="P820" s="25">
        <f t="shared" si="786"/>
        <v>28263.43324439897</v>
      </c>
      <c r="Q820" s="25">
        <f t="array" aca="1" ref="Q820" ca="1">INDEX('Isaac 401k'!L:L,MATCH('Retirement Calculator'!A820,'Isaac 401k'!N:N,0),0)</f>
        <v>1944401.2268099301</v>
      </c>
      <c r="R820" s="25">
        <f t="array" aca="1" ref="R820" ca="1">INDEX('Lorri 401b'!L:L,MATCH('Retirement Calculator'!A820,'Lorri 401b'!N:N,0),0)</f>
        <v>-2908893.0321255568</v>
      </c>
      <c r="S820" s="25">
        <f t="shared" ca="1" si="787"/>
        <v>-964491.80531562679</v>
      </c>
    </row>
    <row r="821" spans="1:19" ht="15.75" customHeight="1" x14ac:dyDescent="0.3">
      <c r="A821" s="37">
        <v>75941</v>
      </c>
      <c r="B821" s="398">
        <f t="shared" ref="B821:C821" si="832">($A821-B$9)/365.25</f>
        <v>126.03696098562628</v>
      </c>
      <c r="C821" s="398">
        <f t="shared" si="832"/>
        <v>121.42642026009582</v>
      </c>
      <c r="E821" s="25">
        <f>IF(C821&gt;$B$7,0,'Combined Retirement'!$D$13/12)</f>
        <v>0</v>
      </c>
      <c r="F821" s="25">
        <f>IF(H821=0,'Combined Retirement'!$D$32,0)+'Combined Retirement'!$B$24</f>
        <v>2870.372285649099</v>
      </c>
      <c r="G821" s="25">
        <f>'Combined Retirement'!$C$24</f>
        <v>3254.2644699519233</v>
      </c>
      <c r="H821" s="25">
        <f>IF(B821&lt;62,0,'Combined Retirement'!$I$14)</f>
        <v>2345</v>
      </c>
      <c r="I821" s="25">
        <f>IF(C821&lt;62,0,'Combined Retirement'!$I$13)</f>
        <v>2420</v>
      </c>
      <c r="J821" s="25">
        <f t="shared" si="783"/>
        <v>7896.2379798201846</v>
      </c>
      <c r="K821" s="25">
        <f t="shared" si="784"/>
        <v>20367.195264578786</v>
      </c>
      <c r="L821" s="25"/>
      <c r="N821" s="25">
        <f>'Combined Retirement'!$C$18/12</f>
        <v>39153.069999999992</v>
      </c>
      <c r="O821" s="25">
        <f t="shared" si="785"/>
        <v>10889.636755601023</v>
      </c>
      <c r="P821" s="25">
        <f t="shared" si="786"/>
        <v>28263.43324439897</v>
      </c>
      <c r="Q821" s="25">
        <f t="array" aca="1" ref="Q821" ca="1">INDEX('Isaac 401k'!L:L,MATCH('Retirement Calculator'!A821,'Isaac 401k'!N:N,0),0)</f>
        <v>1944573.7596169019</v>
      </c>
      <c r="R821" s="25">
        <f t="array" aca="1" ref="R821" ca="1">INDEX('Lorri 401b'!L:L,MATCH('Retirement Calculator'!A821,'Lorri 401b'!N:N,0),0)</f>
        <v>-2941465.4783375943</v>
      </c>
      <c r="S821" s="25">
        <f t="shared" ca="1" si="787"/>
        <v>-996891.71872069244</v>
      </c>
    </row>
    <row r="822" spans="1:19" ht="15.75" customHeight="1" x14ac:dyDescent="0.3">
      <c r="A822" s="37">
        <v>75972</v>
      </c>
      <c r="B822" s="398">
        <f t="shared" ref="B822:C822" si="833">($A822-B$9)/365.25</f>
        <v>126.12183436002738</v>
      </c>
      <c r="C822" s="398">
        <f t="shared" si="833"/>
        <v>121.51129363449692</v>
      </c>
      <c r="E822" s="25">
        <f>IF(C822&gt;$B$7,0,'Combined Retirement'!$D$13/12)</f>
        <v>0</v>
      </c>
      <c r="F822" s="25">
        <f>IF(H822=0,'Combined Retirement'!$D$32,0)+'Combined Retirement'!$B$24</f>
        <v>2870.372285649099</v>
      </c>
      <c r="G822" s="25">
        <f>'Combined Retirement'!$C$24</f>
        <v>3254.2644699519233</v>
      </c>
      <c r="H822" s="25">
        <f>IF(B822&lt;62,0,'Combined Retirement'!$I$14)</f>
        <v>2345</v>
      </c>
      <c r="I822" s="25">
        <f>IF(C822&lt;62,0,'Combined Retirement'!$I$13)</f>
        <v>2420</v>
      </c>
      <c r="J822" s="25">
        <f t="shared" si="783"/>
        <v>7896.2379798201846</v>
      </c>
      <c r="K822" s="25">
        <f t="shared" si="784"/>
        <v>20367.195264578786</v>
      </c>
      <c r="L822" s="25"/>
      <c r="N822" s="25">
        <f>'Combined Retirement'!$C$18/12</f>
        <v>39153.069999999992</v>
      </c>
      <c r="O822" s="25">
        <f t="shared" si="785"/>
        <v>10889.636755601023</v>
      </c>
      <c r="P822" s="25">
        <f t="shared" si="786"/>
        <v>28263.43324439897</v>
      </c>
      <c r="Q822" s="25">
        <f t="array" aca="1" ref="Q822" ca="1">INDEX('Isaac 401k'!L:L,MATCH('Retirement Calculator'!A822,'Isaac 401k'!N:N,0),0)</f>
        <v>1944747.0113105695</v>
      </c>
      <c r="R822" s="25">
        <f t="array" aca="1" ref="R822" ca="1">INDEX('Lorri 401b'!L:L,MATCH('Retirement Calculator'!A822,'Lorri 401b'!N:N,0),0)</f>
        <v>-2974173.6430755155</v>
      </c>
      <c r="S822" s="25">
        <f t="shared" ca="1" si="787"/>
        <v>-1029426.631764946</v>
      </c>
    </row>
    <row r="823" spans="1:19" ht="15.75" customHeight="1" x14ac:dyDescent="0.3">
      <c r="A823" s="37">
        <v>76003</v>
      </c>
      <c r="B823" s="398">
        <f t="shared" ref="B823:C823" si="834">($A823-B$9)/365.25</f>
        <v>126.20670773442848</v>
      </c>
      <c r="C823" s="398">
        <f t="shared" si="834"/>
        <v>121.59616700889802</v>
      </c>
      <c r="E823" s="25">
        <f>IF(C823&gt;$B$7,0,'Combined Retirement'!$D$13/12)</f>
        <v>0</v>
      </c>
      <c r="F823" s="25">
        <f>IF(H823=0,'Combined Retirement'!$D$32,0)+'Combined Retirement'!$B$24</f>
        <v>2870.372285649099</v>
      </c>
      <c r="G823" s="25">
        <f>'Combined Retirement'!$C$24</f>
        <v>3254.2644699519233</v>
      </c>
      <c r="H823" s="25">
        <f>IF(B823&lt;62,0,'Combined Retirement'!$I$14)</f>
        <v>2345</v>
      </c>
      <c r="I823" s="25">
        <f>IF(C823&lt;62,0,'Combined Retirement'!$I$13)</f>
        <v>2420</v>
      </c>
      <c r="J823" s="25">
        <f t="shared" si="783"/>
        <v>7896.2379798201846</v>
      </c>
      <c r="K823" s="25">
        <f t="shared" si="784"/>
        <v>20367.195264578786</v>
      </c>
      <c r="L823" s="25"/>
      <c r="N823" s="25">
        <f>'Combined Retirement'!$C$18/12</f>
        <v>39153.069999999992</v>
      </c>
      <c r="O823" s="25">
        <f t="shared" si="785"/>
        <v>10889.636755601023</v>
      </c>
      <c r="P823" s="25">
        <f t="shared" si="786"/>
        <v>28263.43324439897</v>
      </c>
      <c r="Q823" s="25">
        <f t="array" aca="1" ref="Q823" ca="1">INDEX('Isaac 401k'!L:L,MATCH('Retirement Calculator'!A823,'Isaac 401k'!N:N,0),0)</f>
        <v>1944920.984886294</v>
      </c>
      <c r="R823" s="25">
        <f t="array" aca="1" ref="R823" ca="1">INDEX('Lorri 401b'!L:L,MATCH('Retirement Calculator'!A823,'Lorri 401b'!N:N,0),0)</f>
        <v>-3007018.091833178</v>
      </c>
      <c r="S823" s="25">
        <f t="shared" ca="1" si="787"/>
        <v>-1062097.106946884</v>
      </c>
    </row>
    <row r="824" spans="1:19" ht="15.75" customHeight="1" x14ac:dyDescent="0.3">
      <c r="A824" s="37">
        <v>76032</v>
      </c>
      <c r="B824" s="398">
        <f t="shared" ref="B824:C824" si="835">($A824-B$9)/365.25</f>
        <v>126.28610540725531</v>
      </c>
      <c r="C824" s="398">
        <f t="shared" si="835"/>
        <v>121.67556468172485</v>
      </c>
      <c r="E824" s="25">
        <f>IF(C824&gt;$B$7,0,'Combined Retirement'!$D$13/12)</f>
        <v>0</v>
      </c>
      <c r="F824" s="25">
        <f>IF(H824=0,'Combined Retirement'!$D$32,0)+'Combined Retirement'!$B$24</f>
        <v>2870.372285649099</v>
      </c>
      <c r="G824" s="25">
        <f>'Combined Retirement'!$C$24</f>
        <v>3254.2644699519233</v>
      </c>
      <c r="H824" s="25">
        <f>IF(B824&lt;62,0,'Combined Retirement'!$I$14)</f>
        <v>2345</v>
      </c>
      <c r="I824" s="25">
        <f>IF(C824&lt;62,0,'Combined Retirement'!$I$13)</f>
        <v>2420</v>
      </c>
      <c r="J824" s="25">
        <f t="shared" si="783"/>
        <v>7896.2379798201846</v>
      </c>
      <c r="K824" s="25">
        <f t="shared" si="784"/>
        <v>20367.195264578786</v>
      </c>
      <c r="L824" s="25"/>
      <c r="N824" s="25">
        <f>'Combined Retirement'!$C$18/12</f>
        <v>39153.069999999992</v>
      </c>
      <c r="O824" s="25">
        <f t="shared" si="785"/>
        <v>10889.636755601023</v>
      </c>
      <c r="P824" s="25">
        <f t="shared" si="786"/>
        <v>28263.43324439897</v>
      </c>
      <c r="Q824" s="25">
        <f t="array" aca="1" ref="Q824" ca="1">INDEX('Isaac 401k'!L:L,MATCH('Retirement Calculator'!A824,'Isaac 401k'!N:N,0),0)</f>
        <v>1945095.6833519174</v>
      </c>
      <c r="R824" s="25">
        <f t="array" aca="1" ref="R824" ca="1">INDEX('Lorri 401b'!L:L,MATCH('Retirement Calculator'!A824,'Lorri 401b'!N:N,0),0)</f>
        <v>-3039999.3924606643</v>
      </c>
      <c r="S824" s="25">
        <f t="shared" ca="1" si="787"/>
        <v>-1094903.7091087468</v>
      </c>
    </row>
    <row r="825" spans="1:19" ht="15.75" customHeight="1" x14ac:dyDescent="0.3">
      <c r="A825" s="37">
        <v>76063</v>
      </c>
      <c r="B825" s="398">
        <f t="shared" ref="B825:C825" si="836">($A825-B$9)/365.25</f>
        <v>126.3709787816564</v>
      </c>
      <c r="C825" s="398">
        <f t="shared" si="836"/>
        <v>121.76043805612593</v>
      </c>
      <c r="E825" s="25">
        <f>IF(C825&gt;$B$7,0,'Combined Retirement'!$D$13/12)</f>
        <v>0</v>
      </c>
      <c r="F825" s="25">
        <f>IF(H825=0,'Combined Retirement'!$D$32,0)+'Combined Retirement'!$B$24</f>
        <v>2870.372285649099</v>
      </c>
      <c r="G825" s="25">
        <f>'Combined Retirement'!$C$24</f>
        <v>3254.2644699519233</v>
      </c>
      <c r="H825" s="25">
        <f>IF(B825&lt;62,0,'Combined Retirement'!$I$14)</f>
        <v>2345</v>
      </c>
      <c r="I825" s="25">
        <f>IF(C825&lt;62,0,'Combined Retirement'!$I$13)</f>
        <v>2420</v>
      </c>
      <c r="J825" s="25">
        <f t="shared" si="783"/>
        <v>7896.2379798201846</v>
      </c>
      <c r="K825" s="25">
        <f t="shared" si="784"/>
        <v>20367.195264578786</v>
      </c>
      <c r="L825" s="25"/>
      <c r="N825" s="25">
        <f>'Combined Retirement'!$C$18/12</f>
        <v>39153.069999999992</v>
      </c>
      <c r="O825" s="25">
        <f t="shared" si="785"/>
        <v>10889.636755601023</v>
      </c>
      <c r="P825" s="25">
        <f t="shared" si="786"/>
        <v>28263.43324439897</v>
      </c>
      <c r="Q825" s="25">
        <f t="array" aca="1" ref="Q825" ca="1">INDEX('Isaac 401k'!L:L,MATCH('Retirement Calculator'!A825,'Isaac 401k'!N:N,0),0)</f>
        <v>1945271.1097278143</v>
      </c>
      <c r="R825" s="25">
        <f t="array" aca="1" ref="R825" ca="1">INDEX('Lorri 401b'!L:L,MATCH('Retirement Calculator'!A825,'Lorri 401b'!N:N,0),0)</f>
        <v>-3073118.1151740984</v>
      </c>
      <c r="S825" s="25">
        <f t="shared" ca="1" si="787"/>
        <v>-1127847.0054462841</v>
      </c>
    </row>
    <row r="826" spans="1:19" ht="15.75" customHeight="1" x14ac:dyDescent="0.3">
      <c r="A826" s="37">
        <v>76093</v>
      </c>
      <c r="B826" s="398">
        <f t="shared" ref="B826:C826" si="837">($A826-B$9)/365.25</f>
        <v>126.45311430527036</v>
      </c>
      <c r="C826" s="398">
        <f t="shared" si="837"/>
        <v>121.84257357973991</v>
      </c>
      <c r="E826" s="25">
        <f>IF(C826&gt;$B$7,0,'Combined Retirement'!$D$13/12)</f>
        <v>0</v>
      </c>
      <c r="F826" s="25">
        <f>IF(H826=0,'Combined Retirement'!$D$32,0)+'Combined Retirement'!$B$24</f>
        <v>2870.372285649099</v>
      </c>
      <c r="G826" s="25">
        <f>'Combined Retirement'!$C$24</f>
        <v>3254.2644699519233</v>
      </c>
      <c r="H826" s="25">
        <f>IF(B826&lt;62,0,'Combined Retirement'!$I$14)</f>
        <v>2345</v>
      </c>
      <c r="I826" s="25">
        <f>IF(C826&lt;62,0,'Combined Retirement'!$I$13)</f>
        <v>2420</v>
      </c>
      <c r="J826" s="25">
        <f t="shared" si="783"/>
        <v>7896.2379798201846</v>
      </c>
      <c r="K826" s="25">
        <f t="shared" si="784"/>
        <v>20367.195264578786</v>
      </c>
      <c r="L826" s="25"/>
      <c r="N826" s="25">
        <f>'Combined Retirement'!$C$18/12</f>
        <v>39153.069999999992</v>
      </c>
      <c r="O826" s="25">
        <f t="shared" si="785"/>
        <v>10889.636755601023</v>
      </c>
      <c r="P826" s="25">
        <f t="shared" si="786"/>
        <v>28263.43324439897</v>
      </c>
      <c r="Q826" s="25">
        <f t="array" aca="1" ref="Q826" ca="1">INDEX('Isaac 401k'!L:L,MATCH('Retirement Calculator'!A826,'Isaac 401k'!N:N,0),0)</f>
        <v>1945447.267046944</v>
      </c>
      <c r="R826" s="25">
        <f t="array" aca="1" ref="R826" ca="1">INDEX('Lorri 401b'!L:L,MATCH('Retirement Calculator'!A826,'Lorri 401b'!N:N,0),0)</f>
        <v>-3106374.8325655051</v>
      </c>
      <c r="S826" s="25">
        <f t="shared" ca="1" si="787"/>
        <v>-1160927.5655185611</v>
      </c>
    </row>
    <row r="827" spans="1:19" ht="15.75" customHeight="1" x14ac:dyDescent="0.3">
      <c r="A827" s="37">
        <v>76124</v>
      </c>
      <c r="B827" s="398">
        <f t="shared" ref="B827:C827" si="838">($A827-B$9)/365.25</f>
        <v>126.53798767967146</v>
      </c>
      <c r="C827" s="398">
        <f t="shared" si="838"/>
        <v>121.927446954141</v>
      </c>
      <c r="E827" s="25">
        <f>IF(C827&gt;$B$7,0,'Combined Retirement'!$D$13/12)</f>
        <v>0</v>
      </c>
      <c r="F827" s="25">
        <f>IF(H827=0,'Combined Retirement'!$D$32,0)+'Combined Retirement'!$B$24</f>
        <v>2870.372285649099</v>
      </c>
      <c r="G827" s="25">
        <f>'Combined Retirement'!$C$24</f>
        <v>3254.2644699519233</v>
      </c>
      <c r="H827" s="25">
        <f>IF(B827&lt;62,0,'Combined Retirement'!$I$14)</f>
        <v>2345</v>
      </c>
      <c r="I827" s="25">
        <f>IF(C827&lt;62,0,'Combined Retirement'!$I$13)</f>
        <v>2420</v>
      </c>
      <c r="J827" s="25">
        <f t="shared" si="783"/>
        <v>7896.2379798201846</v>
      </c>
      <c r="K827" s="25">
        <f t="shared" si="784"/>
        <v>20367.195264578786</v>
      </c>
      <c r="L827" s="25"/>
      <c r="N827" s="25">
        <f>'Combined Retirement'!$C$18/12</f>
        <v>39153.069999999992</v>
      </c>
      <c r="O827" s="25">
        <f t="shared" si="785"/>
        <v>10889.636755601023</v>
      </c>
      <c r="P827" s="25">
        <f t="shared" si="786"/>
        <v>28263.43324439897</v>
      </c>
      <c r="Q827" s="25">
        <f t="array" aca="1" ref="Q827" ca="1">INDEX('Isaac 401k'!L:L,MATCH('Retirement Calculator'!A827,'Isaac 401k'!N:N,0),0)</f>
        <v>1945624.1583549036</v>
      </c>
      <c r="R827" s="25">
        <f t="array" aca="1" ref="R827" ca="1">INDEX('Lorri 401b'!L:L,MATCH('Retirement Calculator'!A827,'Lorri 401b'!N:N,0),0)</f>
        <v>-3139770.1196127092</v>
      </c>
      <c r="S827" s="25">
        <f t="shared" ca="1" si="787"/>
        <v>-1194145.9612578056</v>
      </c>
    </row>
    <row r="828" spans="1:19" ht="15.75" customHeight="1" x14ac:dyDescent="0.3">
      <c r="A828" s="37">
        <v>76154</v>
      </c>
      <c r="B828" s="398">
        <f t="shared" ref="B828:C828" si="839">($A828-B$9)/365.25</f>
        <v>126.62012320328542</v>
      </c>
      <c r="C828" s="398">
        <f t="shared" si="839"/>
        <v>122.00958247775496</v>
      </c>
      <c r="E828" s="25">
        <f>IF(C828&gt;$B$7,0,'Combined Retirement'!$D$13/12)</f>
        <v>0</v>
      </c>
      <c r="F828" s="25">
        <f>IF(H828=0,'Combined Retirement'!$D$32,0)+'Combined Retirement'!$B$24</f>
        <v>2870.372285649099</v>
      </c>
      <c r="G828" s="25">
        <f>'Combined Retirement'!$C$24</f>
        <v>3254.2644699519233</v>
      </c>
      <c r="H828" s="25">
        <f>IF(B828&lt;62,0,'Combined Retirement'!$I$14)</f>
        <v>2345</v>
      </c>
      <c r="I828" s="25">
        <f>IF(C828&lt;62,0,'Combined Retirement'!$I$13)</f>
        <v>2420</v>
      </c>
      <c r="J828" s="25">
        <f t="shared" si="783"/>
        <v>7896.2379798201846</v>
      </c>
      <c r="K828" s="25">
        <f t="shared" si="784"/>
        <v>20367.195264578786</v>
      </c>
      <c r="L828" s="25"/>
      <c r="N828" s="25">
        <f>'Combined Retirement'!$C$18/12</f>
        <v>39153.069999999992</v>
      </c>
      <c r="O828" s="25">
        <f t="shared" si="785"/>
        <v>10889.636755601023</v>
      </c>
      <c r="P828" s="25">
        <f t="shared" si="786"/>
        <v>28263.43324439897</v>
      </c>
      <c r="Q828" s="25">
        <f t="array" aca="1" ref="Q828" ca="1">INDEX('Isaac 401k'!L:L,MATCH('Retirement Calculator'!A828,'Isaac 401k'!N:N,0),0)</f>
        <v>1945801.7867099794</v>
      </c>
      <c r="R828" s="25">
        <f t="array" aca="1" ref="R828" ca="1">INDEX('Lorri 401b'!L:L,MATCH('Retirement Calculator'!A828,'Lorri 401b'!N:N,0),0)</f>
        <v>-3173304.5536892768</v>
      </c>
      <c r="S828" s="25">
        <f t="shared" ca="1" si="787"/>
        <v>-1227502.7669792974</v>
      </c>
    </row>
    <row r="829" spans="1:19" ht="15.75" customHeight="1" x14ac:dyDescent="0.3">
      <c r="A829" s="37">
        <v>76185</v>
      </c>
      <c r="B829" s="398">
        <f t="shared" ref="B829:C829" si="840">($A829-B$9)/365.25</f>
        <v>126.70499657768652</v>
      </c>
      <c r="C829" s="398">
        <f t="shared" si="840"/>
        <v>122.09445585215606</v>
      </c>
      <c r="E829" s="25">
        <f>IF(C829&gt;$B$7,0,'Combined Retirement'!$D$13/12)</f>
        <v>0</v>
      </c>
      <c r="F829" s="25">
        <f>IF(H829=0,'Combined Retirement'!$D$32,0)+'Combined Retirement'!$B$24</f>
        <v>2870.372285649099</v>
      </c>
      <c r="G829" s="25">
        <f>'Combined Retirement'!$C$24</f>
        <v>3254.2644699519233</v>
      </c>
      <c r="H829" s="25">
        <f>IF(B829&lt;62,0,'Combined Retirement'!$I$14)</f>
        <v>2345</v>
      </c>
      <c r="I829" s="25">
        <f>IF(C829&lt;62,0,'Combined Retirement'!$I$13)</f>
        <v>2420</v>
      </c>
      <c r="J829" s="25">
        <f t="shared" si="783"/>
        <v>7896.2379798201846</v>
      </c>
      <c r="K829" s="25">
        <f t="shared" si="784"/>
        <v>20367.195264578786</v>
      </c>
      <c r="L829" s="25"/>
      <c r="N829" s="25">
        <f>'Combined Retirement'!$C$18/12</f>
        <v>39153.069999999992</v>
      </c>
      <c r="O829" s="25">
        <f t="shared" si="785"/>
        <v>10889.636755601023</v>
      </c>
      <c r="P829" s="25">
        <f t="shared" si="786"/>
        <v>28263.43324439897</v>
      </c>
      <c r="Q829" s="25">
        <f t="array" aca="1" ref="Q829" ca="1">INDEX('Isaac 401k'!L:L,MATCH('Retirement Calculator'!A829,'Isaac 401k'!N:N,0),0)</f>
        <v>1945980.1551832014</v>
      </c>
      <c r="R829" s="25">
        <f t="array" aca="1" ref="R829" ca="1">INDEX('Lorri 401b'!L:L,MATCH('Retirement Calculator'!A829,'Lorri 401b'!N:N,0),0)</f>
        <v>-3206978.7145744967</v>
      </c>
      <c r="S829" s="25">
        <f t="shared" ca="1" si="787"/>
        <v>-1260998.5593912953</v>
      </c>
    </row>
    <row r="830" spans="1:19" ht="15.75" customHeight="1" x14ac:dyDescent="0.3">
      <c r="A830" s="37">
        <v>76216</v>
      </c>
      <c r="B830" s="398">
        <f t="shared" ref="B830:C830" si="841">($A830-B$9)/365.25</f>
        <v>126.78986995208761</v>
      </c>
      <c r="C830" s="398">
        <f t="shared" si="841"/>
        <v>122.17932922655716</v>
      </c>
      <c r="E830" s="25">
        <f>IF(C830&gt;$B$7,0,'Combined Retirement'!$D$13/12)</f>
        <v>0</v>
      </c>
      <c r="F830" s="25">
        <f>IF(H830=0,'Combined Retirement'!$D$32,0)+'Combined Retirement'!$B$24</f>
        <v>2870.372285649099</v>
      </c>
      <c r="G830" s="25">
        <f>'Combined Retirement'!$C$24</f>
        <v>3254.2644699519233</v>
      </c>
      <c r="H830" s="25">
        <f>IF(B830&lt;62,0,'Combined Retirement'!$I$14)</f>
        <v>2345</v>
      </c>
      <c r="I830" s="25">
        <f>IF(C830&lt;62,0,'Combined Retirement'!$I$13)</f>
        <v>2420</v>
      </c>
      <c r="J830" s="25">
        <f t="shared" si="783"/>
        <v>7896.2379798201846</v>
      </c>
      <c r="K830" s="25">
        <f t="shared" si="784"/>
        <v>20367.195264578786</v>
      </c>
      <c r="L830" s="25"/>
      <c r="N830" s="25">
        <f>'Combined Retirement'!$C$18/12</f>
        <v>39153.069999999992</v>
      </c>
      <c r="O830" s="25">
        <f t="shared" si="785"/>
        <v>10889.636755601023</v>
      </c>
      <c r="P830" s="25">
        <f t="shared" si="786"/>
        <v>28263.43324439897</v>
      </c>
      <c r="Q830" s="25">
        <f t="array" aca="1" ref="Q830" ca="1">INDEX('Isaac 401k'!L:L,MATCH('Retirement Calculator'!A830,'Isaac 401k'!N:N,0),0)</f>
        <v>1946159.2668583952</v>
      </c>
      <c r="R830" s="25">
        <f t="array" aca="1" ref="R830" ca="1">INDEX('Lorri 401b'!L:L,MATCH('Retirement Calculator'!A830,'Lorri 401b'!N:N,0),0)</f>
        <v>-3240793.1844634051</v>
      </c>
      <c r="S830" s="25">
        <f t="shared" ca="1" si="787"/>
        <v>-1294633.9176050099</v>
      </c>
    </row>
    <row r="831" spans="1:19" ht="15.75" customHeight="1" x14ac:dyDescent="0.3">
      <c r="A831" s="37">
        <v>76246</v>
      </c>
      <c r="B831" s="398">
        <f t="shared" ref="B831:C831" si="842">($A831-B$9)/365.25</f>
        <v>126.87200547570157</v>
      </c>
      <c r="C831" s="398">
        <f t="shared" si="842"/>
        <v>122.26146475017111</v>
      </c>
      <c r="E831" s="25">
        <f>IF(C831&gt;$B$7,0,'Combined Retirement'!$D$13/12)</f>
        <v>0</v>
      </c>
      <c r="F831" s="25">
        <f>IF(H831=0,'Combined Retirement'!$D$32,0)+'Combined Retirement'!$B$24</f>
        <v>2870.372285649099</v>
      </c>
      <c r="G831" s="25">
        <f>'Combined Retirement'!$C$24</f>
        <v>3254.2644699519233</v>
      </c>
      <c r="H831" s="25">
        <f>IF(B831&lt;62,0,'Combined Retirement'!$I$14)</f>
        <v>2345</v>
      </c>
      <c r="I831" s="25">
        <f>IF(C831&lt;62,0,'Combined Retirement'!$I$13)</f>
        <v>2420</v>
      </c>
      <c r="J831" s="25">
        <f t="shared" si="783"/>
        <v>7896.2379798201846</v>
      </c>
      <c r="K831" s="25">
        <f t="shared" si="784"/>
        <v>20367.195264578786</v>
      </c>
      <c r="L831" s="25"/>
      <c r="N831" s="25">
        <f>'Combined Retirement'!$C$18/12</f>
        <v>39153.069999999992</v>
      </c>
      <c r="O831" s="25">
        <f t="shared" si="785"/>
        <v>10889.636755601023</v>
      </c>
      <c r="P831" s="25">
        <f t="shared" si="786"/>
        <v>28263.43324439897</v>
      </c>
      <c r="Q831" s="25">
        <f t="array" aca="1" ref="Q831" ca="1">INDEX('Isaac 401k'!L:L,MATCH('Retirement Calculator'!A831,'Isaac 401k'!N:N,0),0)</f>
        <v>1946339.1248322357</v>
      </c>
      <c r="R831" s="25">
        <f t="array" aca="1" ref="R831" ca="1">INDEX('Lorri 401b'!L:L,MATCH('Retirement Calculator'!A831,'Lorri 401b'!N:N,0),0)</f>
        <v>-3274748.5479768505</v>
      </c>
      <c r="S831" s="25">
        <f t="shared" ca="1" si="787"/>
        <v>-1328409.4231446148</v>
      </c>
    </row>
    <row r="832" spans="1:19" ht="15.75" customHeight="1" x14ac:dyDescent="0.3">
      <c r="A832" s="37">
        <v>76277</v>
      </c>
      <c r="B832" s="398">
        <f t="shared" ref="B832:C832" si="843">($A832-B$9)/365.25</f>
        <v>126.95687885010267</v>
      </c>
      <c r="C832" s="398">
        <f t="shared" si="843"/>
        <v>122.34633812457221</v>
      </c>
      <c r="E832" s="25">
        <f>IF(C832&gt;$B$7,0,'Combined Retirement'!$D$13/12)</f>
        <v>0</v>
      </c>
      <c r="F832" s="25">
        <f>IF(H832=0,'Combined Retirement'!$D$32,0)+'Combined Retirement'!$B$24</f>
        <v>2870.372285649099</v>
      </c>
      <c r="G832" s="25">
        <f>'Combined Retirement'!$C$24</f>
        <v>3254.2644699519233</v>
      </c>
      <c r="H832" s="25">
        <f>IF(B832&lt;62,0,'Combined Retirement'!$I$14)</f>
        <v>2345</v>
      </c>
      <c r="I832" s="25">
        <f>IF(C832&lt;62,0,'Combined Retirement'!$I$13)</f>
        <v>2420</v>
      </c>
      <c r="J832" s="25">
        <f t="shared" si="783"/>
        <v>7896.2379798201846</v>
      </c>
      <c r="K832" s="25">
        <f t="shared" si="784"/>
        <v>20367.195264578786</v>
      </c>
      <c r="L832" s="25"/>
      <c r="N832" s="25">
        <f>'Combined Retirement'!$C$18/12</f>
        <v>39153.069999999992</v>
      </c>
      <c r="O832" s="25">
        <f t="shared" si="785"/>
        <v>10889.636755601023</v>
      </c>
      <c r="P832" s="25">
        <f t="shared" si="786"/>
        <v>28263.43324439897</v>
      </c>
      <c r="Q832" s="25">
        <f t="array" aca="1" ref="Q832" ca="1">INDEX('Isaac 401k'!L:L,MATCH('Retirement Calculator'!A832,'Isaac 401k'!N:N,0),0)</f>
        <v>1946519.7322143007</v>
      </c>
      <c r="R832" s="25">
        <f t="array" aca="1" ref="R832" ca="1">INDEX('Lorri 401b'!L:L,MATCH('Retirement Calculator'!A832,'Lorri 401b'!N:N,0),0)</f>
        <v>-3308845.3921716018</v>
      </c>
      <c r="S832" s="25">
        <f t="shared" ca="1" si="787"/>
        <v>-1362325.6599573011</v>
      </c>
    </row>
    <row r="833" spans="1:19" ht="15.75" customHeight="1" x14ac:dyDescent="0.3">
      <c r="A833" s="37">
        <v>76307</v>
      </c>
      <c r="B833" s="398">
        <f t="shared" ref="B833:C833" si="844">($A833-B$9)/365.25</f>
        <v>127.03901437371663</v>
      </c>
      <c r="C833" s="398">
        <f t="shared" si="844"/>
        <v>122.42847364818617</v>
      </c>
      <c r="E833" s="25">
        <f>IF(C833&gt;$B$7,0,'Combined Retirement'!$D$13/12)</f>
        <v>0</v>
      </c>
      <c r="F833" s="25">
        <f>IF(H833=0,'Combined Retirement'!$D$32,0)+'Combined Retirement'!$B$24</f>
        <v>2870.372285649099</v>
      </c>
      <c r="G833" s="25">
        <f>'Combined Retirement'!$C$24</f>
        <v>3254.2644699519233</v>
      </c>
      <c r="H833" s="25">
        <f>IF(B833&lt;62,0,'Combined Retirement'!$I$14)</f>
        <v>2345</v>
      </c>
      <c r="I833" s="25">
        <f>IF(C833&lt;62,0,'Combined Retirement'!$I$13)</f>
        <v>2420</v>
      </c>
      <c r="J833" s="25">
        <f t="shared" si="783"/>
        <v>7896.2379798201846</v>
      </c>
      <c r="K833" s="25">
        <f t="shared" si="784"/>
        <v>20367.195264578786</v>
      </c>
      <c r="L833" s="25"/>
      <c r="N833" s="25">
        <f>'Combined Retirement'!$C$18/12</f>
        <v>39153.069999999992</v>
      </c>
      <c r="O833" s="25">
        <f t="shared" si="785"/>
        <v>10889.636755601023</v>
      </c>
      <c r="P833" s="25">
        <f t="shared" si="786"/>
        <v>28263.43324439897</v>
      </c>
      <c r="Q833" s="25">
        <f t="array" aca="1" ref="Q833" ca="1">INDEX('Isaac 401k'!L:L,MATCH('Retirement Calculator'!A833,'Isaac 401k'!N:N,0),0)</f>
        <v>1946701.0921271241</v>
      </c>
      <c r="R833" s="25">
        <f t="array" aca="1" ref="R833" ca="1">INDEX('Lorri 401b'!L:L,MATCH('Retirement Calculator'!A833,'Lorri 401b'!N:N,0),0)</f>
        <v>-3343084.3065504981</v>
      </c>
      <c r="S833" s="25">
        <f t="shared" ca="1" si="787"/>
        <v>-1396383.214423374</v>
      </c>
    </row>
    <row r="834" spans="1:19" ht="15.75" customHeight="1" x14ac:dyDescent="0.3">
      <c r="A834" s="37">
        <v>76338</v>
      </c>
      <c r="B834" s="398">
        <f t="shared" ref="B834:C834" si="845">($A834-B$9)/365.25</f>
        <v>127.12388774811772</v>
      </c>
      <c r="C834" s="398">
        <f t="shared" si="845"/>
        <v>122.51334702258727</v>
      </c>
      <c r="E834" s="25">
        <f>IF(C834&gt;$B$7,0,'Combined Retirement'!$D$13/12)</f>
        <v>0</v>
      </c>
      <c r="F834" s="25">
        <f>IF(H834=0,'Combined Retirement'!$D$32,0)+'Combined Retirement'!$B$24</f>
        <v>2870.372285649099</v>
      </c>
      <c r="G834" s="25">
        <f>'Combined Retirement'!$C$24</f>
        <v>3254.2644699519233</v>
      </c>
      <c r="H834" s="25">
        <f>IF(B834&lt;62,0,'Combined Retirement'!$I$14)</f>
        <v>2345</v>
      </c>
      <c r="I834" s="25">
        <f>IF(C834&lt;62,0,'Combined Retirement'!$I$13)</f>
        <v>2420</v>
      </c>
      <c r="J834" s="25">
        <f t="shared" si="783"/>
        <v>7896.2379798201846</v>
      </c>
      <c r="K834" s="25">
        <f t="shared" si="784"/>
        <v>20367.195264578786</v>
      </c>
      <c r="L834" s="25"/>
      <c r="N834" s="25">
        <f>'Combined Retirement'!$C$18/12</f>
        <v>39153.069999999992</v>
      </c>
      <c r="O834" s="25">
        <f t="shared" si="785"/>
        <v>10889.636755601023</v>
      </c>
      <c r="P834" s="25">
        <f t="shared" si="786"/>
        <v>28263.43324439897</v>
      </c>
      <c r="Q834" s="25">
        <f t="array" aca="1" ref="Q834" ca="1">INDEX('Isaac 401k'!L:L,MATCH('Retirement Calculator'!A834,'Isaac 401k'!N:N,0),0)</f>
        <v>1946883.2077062509</v>
      </c>
      <c r="R834" s="25">
        <f t="array" aca="1" ref="R834" ca="1">INDEX('Lorri 401b'!L:L,MATCH('Retirement Calculator'!A834,'Lorri 401b'!N:N,0),0)</f>
        <v>-3377465.8830726398</v>
      </c>
      <c r="S834" s="25">
        <f t="shared" ca="1" si="787"/>
        <v>-1430582.6753663889</v>
      </c>
    </row>
    <row r="835" spans="1:19" ht="15.75" customHeight="1" x14ac:dyDescent="0.3">
      <c r="A835" s="37">
        <v>76369</v>
      </c>
      <c r="B835" s="398">
        <f t="shared" ref="B835:C835" si="846">($A835-B$9)/365.25</f>
        <v>127.20876112251882</v>
      </c>
      <c r="C835" s="398">
        <f t="shared" si="846"/>
        <v>122.59822039698837</v>
      </c>
      <c r="E835" s="25">
        <f>IF(C835&gt;$B$7,0,'Combined Retirement'!$D$13/12)</f>
        <v>0</v>
      </c>
      <c r="F835" s="25">
        <f>IF(H835=0,'Combined Retirement'!$D$32,0)+'Combined Retirement'!$B$24</f>
        <v>2870.372285649099</v>
      </c>
      <c r="G835" s="25">
        <f>'Combined Retirement'!$C$24</f>
        <v>3254.2644699519233</v>
      </c>
      <c r="H835" s="25">
        <f>IF(B835&lt;62,0,'Combined Retirement'!$I$14)</f>
        <v>2345</v>
      </c>
      <c r="I835" s="25">
        <f>IF(C835&lt;62,0,'Combined Retirement'!$I$13)</f>
        <v>2420</v>
      </c>
      <c r="J835" s="25">
        <f t="shared" si="783"/>
        <v>7896.2379798201846</v>
      </c>
      <c r="K835" s="25">
        <f t="shared" si="784"/>
        <v>20367.195264578786</v>
      </c>
      <c r="L835" s="25"/>
      <c r="N835" s="25">
        <f>'Combined Retirement'!$C$18/12</f>
        <v>39153.069999999992</v>
      </c>
      <c r="O835" s="25">
        <f t="shared" si="785"/>
        <v>10889.636755601023</v>
      </c>
      <c r="P835" s="25">
        <f t="shared" si="786"/>
        <v>28263.43324439897</v>
      </c>
      <c r="Q835" s="25">
        <f t="array" aca="1" ref="Q835" ca="1">INDEX('Isaac 401k'!L:L,MATCH('Retirement Calculator'!A835,'Isaac 401k'!N:N,0),0)</f>
        <v>1947066.0821002908</v>
      </c>
      <c r="R835" s="25">
        <f t="array" aca="1" ref="R835" ca="1">INDEX('Lorri 401b'!L:L,MATCH('Retirement Calculator'!A835,'Lorri 401b'!N:N,0),0)</f>
        <v>-3411990.7161636236</v>
      </c>
      <c r="S835" s="25">
        <f t="shared" ca="1" si="787"/>
        <v>-1464924.6340633328</v>
      </c>
    </row>
    <row r="836" spans="1:19" ht="15.75" customHeight="1" x14ac:dyDescent="0.3">
      <c r="A836" s="37">
        <v>76397</v>
      </c>
      <c r="B836" s="398">
        <f t="shared" ref="B836:C836" si="847">($A836-B$9)/365.25</f>
        <v>127.28542094455852</v>
      </c>
      <c r="C836" s="398">
        <f t="shared" si="847"/>
        <v>122.67488021902807</v>
      </c>
      <c r="E836" s="25">
        <f>IF(C836&gt;$B$7,0,'Combined Retirement'!$D$13/12)</f>
        <v>0</v>
      </c>
      <c r="F836" s="25">
        <f>IF(H836=0,'Combined Retirement'!$D$32,0)+'Combined Retirement'!$B$24</f>
        <v>2870.372285649099</v>
      </c>
      <c r="G836" s="25">
        <f>'Combined Retirement'!$C$24</f>
        <v>3254.2644699519233</v>
      </c>
      <c r="H836" s="25">
        <f>IF(B836&lt;62,0,'Combined Retirement'!$I$14)</f>
        <v>2345</v>
      </c>
      <c r="I836" s="25">
        <f>IF(C836&lt;62,0,'Combined Retirement'!$I$13)</f>
        <v>2420</v>
      </c>
      <c r="J836" s="25">
        <f t="shared" si="783"/>
        <v>7896.2379798201846</v>
      </c>
      <c r="K836" s="25">
        <f t="shared" si="784"/>
        <v>20367.195264578786</v>
      </c>
      <c r="L836" s="25"/>
      <c r="N836" s="25">
        <f>'Combined Retirement'!$C$18/12</f>
        <v>39153.069999999992</v>
      </c>
      <c r="O836" s="25">
        <f t="shared" si="785"/>
        <v>10889.636755601023</v>
      </c>
      <c r="P836" s="25">
        <f t="shared" si="786"/>
        <v>28263.43324439897</v>
      </c>
      <c r="Q836" s="25">
        <f t="array" aca="1" ref="Q836" ca="1">INDEX('Isaac 401k'!L:L,MATCH('Retirement Calculator'!A836,'Isaac 401k'!N:N,0),0)</f>
        <v>1947249.7184709725</v>
      </c>
      <c r="R836" s="25">
        <f t="array" aca="1" ref="R836" ca="1">INDEX('Lorri 401b'!L:L,MATCH('Retirement Calculator'!A836,'Lorri 401b'!N:N,0),0)</f>
        <v>-3446659.40272582</v>
      </c>
      <c r="S836" s="25">
        <f t="shared" ca="1" si="787"/>
        <v>-1499409.6842548475</v>
      </c>
    </row>
    <row r="837" spans="1:19" ht="15.75" customHeight="1" x14ac:dyDescent="0.3">
      <c r="A837" s="37">
        <v>76428</v>
      </c>
      <c r="B837" s="398">
        <f t="shared" ref="B837:C837" si="848">($A837-B$9)/365.25</f>
        <v>127.37029431895962</v>
      </c>
      <c r="C837" s="398">
        <f t="shared" si="848"/>
        <v>122.75975359342915</v>
      </c>
      <c r="E837" s="25">
        <f>IF(C837&gt;$B$7,0,'Combined Retirement'!$D$13/12)</f>
        <v>0</v>
      </c>
      <c r="F837" s="25">
        <f>IF(H837=0,'Combined Retirement'!$D$32,0)+'Combined Retirement'!$B$24</f>
        <v>2870.372285649099</v>
      </c>
      <c r="G837" s="25">
        <f>'Combined Retirement'!$C$24</f>
        <v>3254.2644699519233</v>
      </c>
      <c r="H837" s="25">
        <f>IF(B837&lt;62,0,'Combined Retirement'!$I$14)</f>
        <v>2345</v>
      </c>
      <c r="I837" s="25">
        <f>IF(C837&lt;62,0,'Combined Retirement'!$I$13)</f>
        <v>2420</v>
      </c>
      <c r="J837" s="25">
        <f t="shared" si="783"/>
        <v>7896.2379798201846</v>
      </c>
      <c r="K837" s="25">
        <f t="shared" si="784"/>
        <v>20367.195264578786</v>
      </c>
      <c r="L837" s="25"/>
      <c r="N837" s="25">
        <f>'Combined Retirement'!$C$18/12</f>
        <v>39153.069999999992</v>
      </c>
      <c r="O837" s="25">
        <f t="shared" si="785"/>
        <v>10889.636755601023</v>
      </c>
      <c r="P837" s="25">
        <f t="shared" si="786"/>
        <v>28263.43324439897</v>
      </c>
      <c r="Q837" s="25">
        <f t="array" aca="1" ref="Q837" ca="1">INDEX('Isaac 401k'!L:L,MATCH('Retirement Calculator'!A837,'Isaac 401k'!N:N,0),0)</f>
        <v>1947434.1199931987</v>
      </c>
      <c r="R837" s="25">
        <f t="array" aca="1" ref="R837" ca="1">INDEX('Lorri 401b'!L:L,MATCH('Retirement Calculator'!A837,'Lorri 401b'!N:N,0),0)</f>
        <v>-3481472.5421486921</v>
      </c>
      <c r="S837" s="25">
        <f t="shared" ca="1" si="787"/>
        <v>-1534038.4221554934</v>
      </c>
    </row>
    <row r="838" spans="1:19" ht="15.75" customHeight="1" x14ac:dyDescent="0.3">
      <c r="A838" s="37">
        <v>76458</v>
      </c>
      <c r="B838" s="398">
        <f t="shared" ref="B838:C838" si="849">($A838-B$9)/365.25</f>
        <v>127.45242984257358</v>
      </c>
      <c r="C838" s="398">
        <f t="shared" si="849"/>
        <v>122.84188911704312</v>
      </c>
      <c r="E838" s="25">
        <f>IF(C838&gt;$B$7,0,'Combined Retirement'!$D$13/12)</f>
        <v>0</v>
      </c>
      <c r="F838" s="25">
        <f>IF(H838=0,'Combined Retirement'!$D$32,0)+'Combined Retirement'!$B$24</f>
        <v>2870.372285649099</v>
      </c>
      <c r="G838" s="25">
        <f>'Combined Retirement'!$C$24</f>
        <v>3254.2644699519233</v>
      </c>
      <c r="H838" s="25">
        <f>IF(B838&lt;62,0,'Combined Retirement'!$I$14)</f>
        <v>2345</v>
      </c>
      <c r="I838" s="25">
        <f>IF(C838&lt;62,0,'Combined Retirement'!$I$13)</f>
        <v>2420</v>
      </c>
      <c r="J838" s="25">
        <f t="shared" si="783"/>
        <v>7896.2379798201846</v>
      </c>
      <c r="K838" s="25">
        <f t="shared" si="784"/>
        <v>20367.195264578786</v>
      </c>
      <c r="L838" s="25"/>
      <c r="N838" s="25">
        <f>'Combined Retirement'!$C$18/12</f>
        <v>39153.069999999992</v>
      </c>
      <c r="O838" s="25">
        <f t="shared" si="785"/>
        <v>10889.636755601023</v>
      </c>
      <c r="P838" s="25">
        <f t="shared" si="786"/>
        <v>28263.43324439897</v>
      </c>
      <c r="Q838" s="25">
        <f t="array" aca="1" ref="Q838" ca="1">INDEX('Isaac 401k'!L:L,MATCH('Retirement Calculator'!A838,'Isaac 401k'!N:N,0),0)</f>
        <v>1947619.2898551009</v>
      </c>
      <c r="R838" s="25">
        <f t="array" aca="1" ref="R838" ca="1">INDEX('Lorri 401b'!L:L,MATCH('Retirement Calculator'!A838,'Lorri 401b'!N:N,0),0)</f>
        <v>-3516430.7363191596</v>
      </c>
      <c r="S838" s="25">
        <f t="shared" ca="1" si="787"/>
        <v>-1568811.4464640587</v>
      </c>
    </row>
    <row r="839" spans="1:19" ht="15.75" customHeight="1" x14ac:dyDescent="0.3">
      <c r="A839" s="37">
        <v>76489</v>
      </c>
      <c r="B839" s="398">
        <f t="shared" ref="B839:C839" si="850">($A839-B$9)/365.25</f>
        <v>127.53730321697468</v>
      </c>
      <c r="C839" s="398">
        <f t="shared" si="850"/>
        <v>122.92676249144422</v>
      </c>
      <c r="E839" s="25">
        <f>IF(C839&gt;$B$7,0,'Combined Retirement'!$D$13/12)</f>
        <v>0</v>
      </c>
      <c r="F839" s="25">
        <f>IF(H839=0,'Combined Retirement'!$D$32,0)+'Combined Retirement'!$B$24</f>
        <v>2870.372285649099</v>
      </c>
      <c r="G839" s="25">
        <f>'Combined Retirement'!$C$24</f>
        <v>3254.2644699519233</v>
      </c>
      <c r="H839" s="25">
        <f>IF(B839&lt;62,0,'Combined Retirement'!$I$14)</f>
        <v>2345</v>
      </c>
      <c r="I839" s="25">
        <f>IF(C839&lt;62,0,'Combined Retirement'!$I$13)</f>
        <v>2420</v>
      </c>
      <c r="J839" s="25">
        <f t="shared" si="783"/>
        <v>7896.2379798201846</v>
      </c>
      <c r="K839" s="25">
        <f t="shared" si="784"/>
        <v>20367.195264578786</v>
      </c>
      <c r="L839" s="25"/>
      <c r="N839" s="25">
        <f>'Combined Retirement'!$C$18/12</f>
        <v>39153.069999999992</v>
      </c>
      <c r="O839" s="25">
        <f t="shared" si="785"/>
        <v>10889.636755601023</v>
      </c>
      <c r="P839" s="25">
        <f t="shared" si="786"/>
        <v>28263.43324439897</v>
      </c>
      <c r="Q839" s="25">
        <f t="array" aca="1" ref="Q839" ca="1">INDEX('Isaac 401k'!L:L,MATCH('Retirement Calculator'!A839,'Isaac 401k'!N:N,0),0)</f>
        <v>1947805.2312580943</v>
      </c>
      <c r="R839" s="25">
        <f t="array" aca="1" ref="R839" ca="1">INDEX('Lorri 401b'!L:L,MATCH('Retirement Calculator'!A839,'Lorri 401b'!N:N,0),0)</f>
        <v>-3551534.589632004</v>
      </c>
      <c r="S839" s="25">
        <f t="shared" ca="1" si="787"/>
        <v>-1603729.3583739097</v>
      </c>
    </row>
    <row r="840" spans="1:19" ht="15.75" customHeight="1" x14ac:dyDescent="0.3">
      <c r="A840" s="37">
        <v>76519</v>
      </c>
      <c r="B840" s="398">
        <f t="shared" ref="B840:C840" si="851">($A840-B$9)/365.25</f>
        <v>127.61943874058863</v>
      </c>
      <c r="C840" s="398">
        <f t="shared" si="851"/>
        <v>123.00889801505818</v>
      </c>
      <c r="E840" s="25">
        <f>IF(C840&gt;$B$7,0,'Combined Retirement'!$D$13/12)</f>
        <v>0</v>
      </c>
      <c r="F840" s="25">
        <f>IF(H840=0,'Combined Retirement'!$D$32,0)+'Combined Retirement'!$B$24</f>
        <v>2870.372285649099</v>
      </c>
      <c r="G840" s="25">
        <f>'Combined Retirement'!$C$24</f>
        <v>3254.2644699519233</v>
      </c>
      <c r="H840" s="25">
        <f>IF(B840&lt;62,0,'Combined Retirement'!$I$14)</f>
        <v>2345</v>
      </c>
      <c r="I840" s="25">
        <f>IF(C840&lt;62,0,'Combined Retirement'!$I$13)</f>
        <v>2420</v>
      </c>
      <c r="J840" s="25">
        <f t="shared" si="783"/>
        <v>7896.2379798201846</v>
      </c>
      <c r="K840" s="25">
        <f t="shared" si="784"/>
        <v>20367.195264578786</v>
      </c>
      <c r="L840" s="25"/>
      <c r="N840" s="25">
        <f>'Combined Retirement'!$C$18/12</f>
        <v>39153.069999999992</v>
      </c>
      <c r="O840" s="25">
        <f t="shared" si="785"/>
        <v>10889.636755601023</v>
      </c>
      <c r="P840" s="25">
        <f t="shared" si="786"/>
        <v>28263.43324439897</v>
      </c>
      <c r="Q840" s="25">
        <f t="array" aca="1" ref="Q840" ca="1">INDEX('Isaac 401k'!L:L,MATCH('Retirement Calculator'!A840,'Isaac 401k'!N:N,0),0)</f>
        <v>1947991.9474169335</v>
      </c>
      <c r="R840" s="25">
        <f t="array" aca="1" ref="R840" ca="1">INDEX('Lorri 401b'!L:L,MATCH('Retirement Calculator'!A840,'Lorri 401b'!N:N,0),0)</f>
        <v>-3586784.7090003188</v>
      </c>
      <c r="S840" s="25">
        <f t="shared" ca="1" si="787"/>
        <v>-1638792.7615833853</v>
      </c>
    </row>
    <row r="841" spans="1:19" ht="15.75" customHeight="1" x14ac:dyDescent="0.3">
      <c r="A841" s="37">
        <v>76550</v>
      </c>
      <c r="B841" s="398">
        <f t="shared" ref="B841:C841" si="852">($A841-B$9)/365.25</f>
        <v>127.70431211498973</v>
      </c>
      <c r="C841" s="398">
        <f t="shared" si="852"/>
        <v>123.09377138945928</v>
      </c>
      <c r="E841" s="25">
        <f>IF(C841&gt;$B$7,0,'Combined Retirement'!$D$13/12)</f>
        <v>0</v>
      </c>
      <c r="F841" s="25">
        <f>IF(H841=0,'Combined Retirement'!$D$32,0)+'Combined Retirement'!$B$24</f>
        <v>2870.372285649099</v>
      </c>
      <c r="G841" s="25">
        <f>'Combined Retirement'!$C$24</f>
        <v>3254.2644699519233</v>
      </c>
      <c r="H841" s="25">
        <f>IF(B841&lt;62,0,'Combined Retirement'!$I$14)</f>
        <v>2345</v>
      </c>
      <c r="I841" s="25">
        <f>IF(C841&lt;62,0,'Combined Retirement'!$I$13)</f>
        <v>2420</v>
      </c>
      <c r="J841" s="25">
        <f t="shared" si="783"/>
        <v>7896.2379798201846</v>
      </c>
      <c r="K841" s="25">
        <f t="shared" si="784"/>
        <v>20367.195264578786</v>
      </c>
      <c r="L841" s="25"/>
      <c r="N841" s="25">
        <f>'Combined Retirement'!$C$18/12</f>
        <v>39153.069999999992</v>
      </c>
      <c r="O841" s="25">
        <f t="shared" si="785"/>
        <v>10889.636755601023</v>
      </c>
      <c r="P841" s="25">
        <f t="shared" si="786"/>
        <v>28263.43324439897</v>
      </c>
      <c r="Q841" s="25">
        <f t="array" aca="1" ref="Q841" ca="1">INDEX('Isaac 401k'!L:L,MATCH('Retirement Calculator'!A841,'Isaac 401k'!N:N,0),0)</f>
        <v>1948179.4415597678</v>
      </c>
      <c r="R841" s="25">
        <f t="array" aca="1" ref="R841" ca="1">INDEX('Lorri 401b'!L:L,MATCH('Retirement Calculator'!A841,'Lorri 401b'!N:N,0),0)</f>
        <v>-3622181.7038660012</v>
      </c>
      <c r="S841" s="25">
        <f t="shared" ca="1" si="787"/>
        <v>-1674002.2623062334</v>
      </c>
    </row>
    <row r="842" spans="1:19" ht="15.75" customHeight="1" x14ac:dyDescent="0.3">
      <c r="A842" s="37">
        <v>76581</v>
      </c>
      <c r="B842" s="398">
        <f t="shared" ref="B842:C842" si="853">($A842-B$9)/365.25</f>
        <v>127.78918548939083</v>
      </c>
      <c r="C842" s="398">
        <f t="shared" si="853"/>
        <v>123.17864476386038</v>
      </c>
      <c r="E842" s="25">
        <f>IF(C842&gt;$B$7,0,'Combined Retirement'!$D$13/12)</f>
        <v>0</v>
      </c>
      <c r="F842" s="25">
        <f>IF(H842=0,'Combined Retirement'!$D$32,0)+'Combined Retirement'!$B$24</f>
        <v>2870.372285649099</v>
      </c>
      <c r="G842" s="25">
        <f>'Combined Retirement'!$C$24</f>
        <v>3254.2644699519233</v>
      </c>
      <c r="H842" s="25">
        <f>IF(B842&lt;62,0,'Combined Retirement'!$I$14)</f>
        <v>2345</v>
      </c>
      <c r="I842" s="25">
        <f>IF(C842&lt;62,0,'Combined Retirement'!$I$13)</f>
        <v>2420</v>
      </c>
      <c r="J842" s="25">
        <f t="shared" si="783"/>
        <v>7896.2379798201846</v>
      </c>
      <c r="K842" s="25">
        <f t="shared" si="784"/>
        <v>20367.195264578786</v>
      </c>
      <c r="L842" s="25"/>
      <c r="N842" s="25">
        <f>'Combined Retirement'!$C$18/12</f>
        <v>39153.069999999992</v>
      </c>
      <c r="O842" s="25">
        <f t="shared" si="785"/>
        <v>10889.636755601023</v>
      </c>
      <c r="P842" s="25">
        <f t="shared" si="786"/>
        <v>28263.43324439897</v>
      </c>
      <c r="Q842" s="25">
        <f t="array" aca="1" ref="Q842" ca="1">INDEX('Isaac 401k'!L:L,MATCH('Retirement Calculator'!A842,'Isaac 401k'!N:N,0),0)</f>
        <v>1948367.7169281973</v>
      </c>
      <c r="R842" s="25">
        <f t="array" aca="1" ref="R842" ca="1">INDEX('Lorri 401b'!L:L,MATCH('Retirement Calculator'!A842,'Lorri 401b'!N:N,0),0)</f>
        <v>-3657726.186210291</v>
      </c>
      <c r="S842" s="25">
        <f t="shared" ca="1" si="787"/>
        <v>-1709358.4692820937</v>
      </c>
    </row>
    <row r="843" spans="1:19" ht="15.75" customHeight="1" x14ac:dyDescent="0.3">
      <c r="A843" s="37">
        <v>76611</v>
      </c>
      <c r="B843" s="398">
        <f t="shared" ref="B843:C843" si="854">($A843-B$9)/365.25</f>
        <v>127.87132101300479</v>
      </c>
      <c r="C843" s="398">
        <f t="shared" si="854"/>
        <v>123.26078028747433</v>
      </c>
      <c r="E843" s="25">
        <f>IF(C843&gt;$B$7,0,'Combined Retirement'!$D$13/12)</f>
        <v>0</v>
      </c>
      <c r="F843" s="25">
        <f>IF(H843=0,'Combined Retirement'!$D$32,0)+'Combined Retirement'!$B$24</f>
        <v>2870.372285649099</v>
      </c>
      <c r="G843" s="25">
        <f>'Combined Retirement'!$C$24</f>
        <v>3254.2644699519233</v>
      </c>
      <c r="H843" s="25">
        <f>IF(B843&lt;62,0,'Combined Retirement'!$I$14)</f>
        <v>2345</v>
      </c>
      <c r="I843" s="25">
        <f>IF(C843&lt;62,0,'Combined Retirement'!$I$13)</f>
        <v>2420</v>
      </c>
      <c r="J843" s="25">
        <f t="shared" si="783"/>
        <v>7896.2379798201846</v>
      </c>
      <c r="K843" s="25">
        <f t="shared" si="784"/>
        <v>20367.195264578786</v>
      </c>
      <c r="L843" s="25"/>
      <c r="N843" s="25">
        <f>'Combined Retirement'!$C$18/12</f>
        <v>39153.069999999992</v>
      </c>
      <c r="O843" s="25">
        <f t="shared" si="785"/>
        <v>10889.636755601023</v>
      </c>
      <c r="P843" s="25">
        <f t="shared" si="786"/>
        <v>28263.43324439897</v>
      </c>
      <c r="Q843" s="25">
        <f t="array" aca="1" ref="Q843" ca="1">INDEX('Isaac 401k'!L:L,MATCH('Retirement Calculator'!A843,'Isaac 401k'!N:N,0),0)</f>
        <v>1948556.7767773287</v>
      </c>
      <c r="R843" s="25">
        <f t="array" aca="1" ref="R843" ca="1">INDEX('Lorri 401b'!L:L,MATCH('Retirement Calculator'!A843,'Lorri 401b'!N:N,0),0)</f>
        <v>-3693418.7705643484</v>
      </c>
      <c r="S843" s="25">
        <f t="shared" ca="1" si="787"/>
        <v>-1744861.9937870197</v>
      </c>
    </row>
    <row r="844" spans="1:19" ht="15.75" customHeight="1" x14ac:dyDescent="0.3">
      <c r="A844" s="37">
        <v>76642</v>
      </c>
      <c r="B844" s="398">
        <f t="shared" ref="B844:C844" si="855">($A844-B$9)/365.25</f>
        <v>127.95619438740589</v>
      </c>
      <c r="C844" s="398">
        <f t="shared" si="855"/>
        <v>123.34565366187543</v>
      </c>
      <c r="E844" s="25">
        <f>IF(C844&gt;$B$7,0,'Combined Retirement'!$D$13/12)</f>
        <v>0</v>
      </c>
      <c r="F844" s="25">
        <f>IF(H844=0,'Combined Retirement'!$D$32,0)+'Combined Retirement'!$B$24</f>
        <v>2870.372285649099</v>
      </c>
      <c r="G844" s="25">
        <f>'Combined Retirement'!$C$24</f>
        <v>3254.2644699519233</v>
      </c>
      <c r="H844" s="25">
        <f>IF(B844&lt;62,0,'Combined Retirement'!$I$14)</f>
        <v>2345</v>
      </c>
      <c r="I844" s="25">
        <f>IF(C844&lt;62,0,'Combined Retirement'!$I$13)</f>
        <v>2420</v>
      </c>
      <c r="J844" s="25">
        <f t="shared" si="783"/>
        <v>7896.2379798201846</v>
      </c>
      <c r="K844" s="25">
        <f t="shared" si="784"/>
        <v>20367.195264578786</v>
      </c>
      <c r="L844" s="25"/>
      <c r="N844" s="25">
        <f>'Combined Retirement'!$C$18/12</f>
        <v>39153.069999999992</v>
      </c>
      <c r="O844" s="25">
        <f t="shared" si="785"/>
        <v>10889.636755601023</v>
      </c>
      <c r="P844" s="25">
        <f t="shared" si="786"/>
        <v>28263.43324439897</v>
      </c>
      <c r="Q844" s="25">
        <f t="array" aca="1" ref="Q844" ca="1">INDEX('Isaac 401k'!L:L,MATCH('Retirement Calculator'!A844,'Isaac 401k'!N:N,0),0)</f>
        <v>1948746.6243758313</v>
      </c>
      <c r="R844" s="25">
        <f t="array" aca="1" ref="R844" ca="1">INDEX('Lorri 401b'!L:L,MATCH('Retirement Calculator'!A844,'Lorri 401b'!N:N,0),0)</f>
        <v>-3729260.074019881</v>
      </c>
      <c r="S844" s="25">
        <f t="shared" ca="1" si="787"/>
        <v>-1780513.4496440496</v>
      </c>
    </row>
    <row r="845" spans="1:19" ht="15.75" customHeight="1" x14ac:dyDescent="0.3">
      <c r="A845" s="37">
        <v>76672</v>
      </c>
      <c r="B845" s="398">
        <f t="shared" ref="B845:C845" si="856">($A845-B$9)/365.25</f>
        <v>128.03832991101984</v>
      </c>
      <c r="C845" s="398">
        <f t="shared" si="856"/>
        <v>123.42778918548939</v>
      </c>
      <c r="E845" s="25">
        <f>IF(C845&gt;$B$7,0,'Combined Retirement'!$D$13/12)</f>
        <v>0</v>
      </c>
      <c r="F845" s="25">
        <f>IF(H845=0,'Combined Retirement'!$D$32,0)+'Combined Retirement'!$B$24</f>
        <v>2870.372285649099</v>
      </c>
      <c r="G845" s="25">
        <f>'Combined Retirement'!$C$24</f>
        <v>3254.2644699519233</v>
      </c>
      <c r="H845" s="25">
        <f>IF(B845&lt;62,0,'Combined Retirement'!$I$14)</f>
        <v>2345</v>
      </c>
      <c r="I845" s="25">
        <f>IF(C845&lt;62,0,'Combined Retirement'!$I$13)</f>
        <v>2420</v>
      </c>
      <c r="J845" s="25">
        <f t="shared" si="783"/>
        <v>7896.2379798201846</v>
      </c>
      <c r="K845" s="25">
        <f t="shared" si="784"/>
        <v>20367.195264578786</v>
      </c>
      <c r="L845" s="25"/>
      <c r="N845" s="25">
        <f>'Combined Retirement'!$C$18/12</f>
        <v>39153.069999999992</v>
      </c>
      <c r="O845" s="25">
        <f t="shared" si="785"/>
        <v>10889.636755601023</v>
      </c>
      <c r="P845" s="25">
        <f t="shared" si="786"/>
        <v>28263.43324439897</v>
      </c>
      <c r="Q845" s="25">
        <f t="array" aca="1" ref="Q845" ca="1">INDEX('Isaac 401k'!L:L,MATCH('Retirement Calculator'!A845,'Isaac 401k'!N:N,0),0)</f>
        <v>1948937.2630059945</v>
      </c>
      <c r="R845" s="25">
        <f t="array" aca="1" ref="R845" ca="1">INDEX('Lorri 401b'!L:L,MATCH('Retirement Calculator'!A845,'Lorri 401b'!N:N,0),0)</f>
        <v>-3765250.7162398119</v>
      </c>
      <c r="S845" s="25">
        <f t="shared" ca="1" si="787"/>
        <v>-1816313.4532338174</v>
      </c>
    </row>
    <row r="846" spans="1:19" ht="15.75" customHeight="1" x14ac:dyDescent="0.3">
      <c r="A846" s="37">
        <v>76703</v>
      </c>
      <c r="B846" s="398">
        <f t="shared" ref="B846:C846" si="857">($A846-B$9)/365.25</f>
        <v>128.12320328542094</v>
      </c>
      <c r="C846" s="398">
        <f t="shared" si="857"/>
        <v>123.51266255989049</v>
      </c>
      <c r="E846" s="25">
        <f>IF(C846&gt;$B$7,0,'Combined Retirement'!$D$13/12)</f>
        <v>0</v>
      </c>
      <c r="F846" s="25">
        <f>IF(H846=0,'Combined Retirement'!$D$32,0)+'Combined Retirement'!$B$24</f>
        <v>2870.372285649099</v>
      </c>
      <c r="G846" s="25">
        <f>'Combined Retirement'!$C$24</f>
        <v>3254.2644699519233</v>
      </c>
      <c r="H846" s="25">
        <f>IF(B846&lt;62,0,'Combined Retirement'!$I$14)</f>
        <v>2345</v>
      </c>
      <c r="I846" s="25">
        <f>IF(C846&lt;62,0,'Combined Retirement'!$I$13)</f>
        <v>2420</v>
      </c>
      <c r="J846" s="25">
        <f t="shared" si="783"/>
        <v>7896.2379798201846</v>
      </c>
      <c r="K846" s="25">
        <f t="shared" si="784"/>
        <v>20367.195264578786</v>
      </c>
      <c r="L846" s="25"/>
      <c r="N846" s="25">
        <f>'Combined Retirement'!$C$18/12</f>
        <v>39153.069999999992</v>
      </c>
      <c r="O846" s="25">
        <f t="shared" si="785"/>
        <v>10889.636755601023</v>
      </c>
      <c r="P846" s="25">
        <f t="shared" si="786"/>
        <v>28263.43324439897</v>
      </c>
      <c r="Q846" s="25">
        <f t="array" aca="1" ref="Q846" ca="1">INDEX('Isaac 401k'!L:L,MATCH('Retirement Calculator'!A846,'Isaac 401k'!N:N,0),0)</f>
        <v>1949128.6959637834</v>
      </c>
      <c r="R846" s="25">
        <f t="array" aca="1" ref="R846" ca="1">INDEX('Lorri 401b'!L:L,MATCH('Retirement Calculator'!A846,'Lorri 401b'!N:N,0),0)</f>
        <v>-3801391.3194689923</v>
      </c>
      <c r="S846" s="25">
        <f t="shared" ca="1" si="787"/>
        <v>-1852262.6235052089</v>
      </c>
    </row>
    <row r="847" spans="1:19" ht="15.75" customHeight="1" x14ac:dyDescent="0.3">
      <c r="A847" s="37">
        <v>76734</v>
      </c>
      <c r="B847" s="398">
        <f t="shared" ref="B847:C847" si="858">($A847-B$9)/365.25</f>
        <v>128.20807665982204</v>
      </c>
      <c r="C847" s="398">
        <f t="shared" si="858"/>
        <v>123.59753593429159</v>
      </c>
      <c r="E847" s="25">
        <f>IF(C847&gt;$B$7,0,'Combined Retirement'!$D$13/12)</f>
        <v>0</v>
      </c>
      <c r="F847" s="25">
        <f>IF(H847=0,'Combined Retirement'!$D$32,0)+'Combined Retirement'!$B$24</f>
        <v>2870.372285649099</v>
      </c>
      <c r="G847" s="25">
        <f>'Combined Retirement'!$C$24</f>
        <v>3254.2644699519233</v>
      </c>
      <c r="H847" s="25">
        <f>IF(B847&lt;62,0,'Combined Retirement'!$I$14)</f>
        <v>2345</v>
      </c>
      <c r="I847" s="25">
        <f>IF(C847&lt;62,0,'Combined Retirement'!$I$13)</f>
        <v>2420</v>
      </c>
      <c r="J847" s="25">
        <f t="shared" si="783"/>
        <v>7896.2379798201846</v>
      </c>
      <c r="K847" s="25">
        <f t="shared" si="784"/>
        <v>20367.195264578786</v>
      </c>
      <c r="L847" s="25"/>
      <c r="N847" s="25">
        <f>'Combined Retirement'!$C$18/12</f>
        <v>39153.069999999992</v>
      </c>
      <c r="O847" s="25">
        <f t="shared" si="785"/>
        <v>10889.636755601023</v>
      </c>
      <c r="P847" s="25">
        <f t="shared" si="786"/>
        <v>28263.43324439897</v>
      </c>
      <c r="Q847" s="25">
        <f t="array" aca="1" ref="Q847" ca="1">INDEX('Isaac 401k'!L:L,MATCH('Retirement Calculator'!A847,'Isaac 401k'!N:N,0),0)</f>
        <v>1949320.9265588964</v>
      </c>
      <c r="R847" s="25">
        <f t="array" aca="1" ref="R847" ca="1">INDEX('Lorri 401b'!L:L,MATCH('Retirement Calculator'!A847,'Lorri 401b'!N:N,0),0)</f>
        <v>-3837682.508544961</v>
      </c>
      <c r="S847" s="25">
        <f t="shared" ca="1" si="787"/>
        <v>-1888361.5819860646</v>
      </c>
    </row>
    <row r="848" spans="1:19" ht="15.75" customHeight="1" x14ac:dyDescent="0.3">
      <c r="A848" s="37">
        <v>76762</v>
      </c>
      <c r="B848" s="398">
        <f t="shared" ref="B848:C848" si="859">($A848-B$9)/365.25</f>
        <v>128.28473648186173</v>
      </c>
      <c r="C848" s="398">
        <f t="shared" si="859"/>
        <v>123.67419575633129</v>
      </c>
      <c r="E848" s="25">
        <f>IF(C848&gt;$B$7,0,'Combined Retirement'!$D$13/12)</f>
        <v>0</v>
      </c>
      <c r="F848" s="25">
        <f>IF(H848=0,'Combined Retirement'!$D$32,0)+'Combined Retirement'!$B$24</f>
        <v>2870.372285649099</v>
      </c>
      <c r="G848" s="25">
        <f>'Combined Retirement'!$C$24</f>
        <v>3254.2644699519233</v>
      </c>
      <c r="H848" s="25">
        <f>IF(B848&lt;62,0,'Combined Retirement'!$I$14)</f>
        <v>2345</v>
      </c>
      <c r="I848" s="25">
        <f>IF(C848&lt;62,0,'Combined Retirement'!$I$13)</f>
        <v>2420</v>
      </c>
      <c r="J848" s="25">
        <f t="shared" si="783"/>
        <v>7896.2379798201846</v>
      </c>
      <c r="K848" s="25">
        <f t="shared" si="784"/>
        <v>20367.195264578786</v>
      </c>
      <c r="L848" s="25"/>
      <c r="N848" s="25">
        <f>'Combined Retirement'!$C$18/12</f>
        <v>39153.069999999992</v>
      </c>
      <c r="O848" s="25">
        <f t="shared" si="785"/>
        <v>10889.636755601023</v>
      </c>
      <c r="P848" s="25">
        <f t="shared" si="786"/>
        <v>28263.43324439897</v>
      </c>
      <c r="Q848" s="25">
        <f t="array" aca="1" ref="Q848" ca="1">INDEX('Isaac 401k'!L:L,MATCH('Retirement Calculator'!A848,'Isaac 401k'!N:N,0),0)</f>
        <v>1949513.9581148224</v>
      </c>
      <c r="R848" s="25">
        <f t="array" aca="1" ref="R848" ca="1">INDEX('Lorri 401b'!L:L,MATCH('Retirement Calculator'!A848,'Lorri 401b'!N:N,0),0)</f>
        <v>-3874124.9109087461</v>
      </c>
      <c r="S848" s="25">
        <f t="shared" ca="1" si="787"/>
        <v>-1924610.9527939237</v>
      </c>
    </row>
    <row r="849" spans="1:19" ht="15.75" customHeight="1" x14ac:dyDescent="0.3">
      <c r="A849" s="37">
        <v>76793</v>
      </c>
      <c r="B849" s="398">
        <f t="shared" ref="B849:C849" si="860">($A849-B$9)/365.25</f>
        <v>128.36960985626283</v>
      </c>
      <c r="C849" s="398">
        <f t="shared" si="860"/>
        <v>123.75906913073237</v>
      </c>
      <c r="E849" s="25">
        <f>IF(C849&gt;$B$7,0,'Combined Retirement'!$D$13/12)</f>
        <v>0</v>
      </c>
      <c r="F849" s="25">
        <f>IF(H849=0,'Combined Retirement'!$D$32,0)+'Combined Retirement'!$B$24</f>
        <v>2870.372285649099</v>
      </c>
      <c r="G849" s="25">
        <f>'Combined Retirement'!$C$24</f>
        <v>3254.2644699519233</v>
      </c>
      <c r="H849" s="25">
        <f>IF(B849&lt;62,0,'Combined Retirement'!$I$14)</f>
        <v>2345</v>
      </c>
      <c r="I849" s="25">
        <f>IF(C849&lt;62,0,'Combined Retirement'!$I$13)</f>
        <v>2420</v>
      </c>
      <c r="J849" s="25">
        <f t="shared" si="783"/>
        <v>7896.2379798201846</v>
      </c>
      <c r="K849" s="25">
        <f t="shared" si="784"/>
        <v>20367.195264578786</v>
      </c>
      <c r="L849" s="25"/>
      <c r="N849" s="25">
        <f>'Combined Retirement'!$C$18/12</f>
        <v>39153.069999999992</v>
      </c>
      <c r="O849" s="25">
        <f t="shared" si="785"/>
        <v>10889.636755601023</v>
      </c>
      <c r="P849" s="25">
        <f t="shared" si="786"/>
        <v>28263.43324439897</v>
      </c>
      <c r="Q849" s="25">
        <f t="array" aca="1" ref="Q849" ca="1">INDEX('Isaac 401k'!L:L,MATCH('Retirement Calculator'!A849,'Isaac 401k'!N:N,0),0)</f>
        <v>1949707.793968898</v>
      </c>
      <c r="R849" s="25">
        <f t="array" aca="1" ref="R849" ca="1">INDEX('Lorri 401b'!L:L,MATCH('Retirement Calculator'!A849,'Lorri 401b'!N:N,0),0)</f>
        <v>-3910719.1566157136</v>
      </c>
      <c r="S849" s="25">
        <f t="shared" ca="1" si="787"/>
        <v>-1961011.3626468156</v>
      </c>
    </row>
    <row r="850" spans="1:19" ht="15.75" customHeight="1" x14ac:dyDescent="0.3">
      <c r="A850" s="37">
        <v>76823</v>
      </c>
      <c r="B850" s="398">
        <f t="shared" ref="B850:C850" si="861">($A850-B$9)/365.25</f>
        <v>128.4517453798768</v>
      </c>
      <c r="C850" s="398">
        <f t="shared" si="861"/>
        <v>123.84120465434634</v>
      </c>
      <c r="E850" s="25">
        <f>IF(C850&gt;$B$7,0,'Combined Retirement'!$D$13/12)</f>
        <v>0</v>
      </c>
      <c r="F850" s="25">
        <f>IF(H850=0,'Combined Retirement'!$D$32,0)+'Combined Retirement'!$B$24</f>
        <v>2870.372285649099</v>
      </c>
      <c r="G850" s="25">
        <f>'Combined Retirement'!$C$24</f>
        <v>3254.2644699519233</v>
      </c>
      <c r="H850" s="25">
        <f>IF(B850&lt;62,0,'Combined Retirement'!$I$14)</f>
        <v>2345</v>
      </c>
      <c r="I850" s="25">
        <f>IF(C850&lt;62,0,'Combined Retirement'!$I$13)</f>
        <v>2420</v>
      </c>
      <c r="J850" s="25">
        <f t="shared" si="783"/>
        <v>7896.2379798201846</v>
      </c>
      <c r="K850" s="25">
        <f t="shared" si="784"/>
        <v>20367.195264578786</v>
      </c>
      <c r="L850" s="25"/>
      <c r="N850" s="25">
        <f>'Combined Retirement'!$C$18/12</f>
        <v>39153.069999999992</v>
      </c>
      <c r="O850" s="25">
        <f t="shared" si="785"/>
        <v>10889.636755601023</v>
      </c>
      <c r="P850" s="25">
        <f t="shared" si="786"/>
        <v>28263.43324439897</v>
      </c>
      <c r="Q850" s="25">
        <f t="array" aca="1" ref="Q850" ca="1">INDEX('Isaac 401k'!L:L,MATCH('Retirement Calculator'!A850,'Isaac 401k'!N:N,0),0)</f>
        <v>1949902.4374723656</v>
      </c>
      <c r="R850" s="25">
        <f t="array" aca="1" ref="R850" ca="1">INDEX('Lorri 401b'!L:L,MATCH('Retirement Calculator'!A850,'Lorri 401b'!N:N,0),0)</f>
        <v>-3947465.8783464604</v>
      </c>
      <c r="S850" s="25">
        <f t="shared" ca="1" si="787"/>
        <v>-1997563.4408740948</v>
      </c>
    </row>
    <row r="851" spans="1:19" ht="15.75" customHeight="1" x14ac:dyDescent="0.3">
      <c r="A851" s="37">
        <v>76854</v>
      </c>
      <c r="B851" s="398">
        <f t="shared" ref="B851:C851" si="862">($A851-B$9)/365.25</f>
        <v>128.5366187542779</v>
      </c>
      <c r="C851" s="398">
        <f t="shared" si="862"/>
        <v>123.92607802874743</v>
      </c>
      <c r="E851" s="25">
        <f>IF(C851&gt;$B$7,0,'Combined Retirement'!$D$13/12)</f>
        <v>0</v>
      </c>
      <c r="F851" s="25">
        <f>IF(H851=0,'Combined Retirement'!$D$32,0)+'Combined Retirement'!$B$24</f>
        <v>2870.372285649099</v>
      </c>
      <c r="G851" s="25">
        <f>'Combined Retirement'!$C$24</f>
        <v>3254.2644699519233</v>
      </c>
      <c r="H851" s="25">
        <f>IF(B851&lt;62,0,'Combined Retirement'!$I$14)</f>
        <v>2345</v>
      </c>
      <c r="I851" s="25">
        <f>IF(C851&lt;62,0,'Combined Retirement'!$I$13)</f>
        <v>2420</v>
      </c>
      <c r="J851" s="25">
        <f t="shared" si="783"/>
        <v>7896.2379798201846</v>
      </c>
      <c r="K851" s="25">
        <f t="shared" si="784"/>
        <v>20367.195264578786</v>
      </c>
      <c r="L851" s="25"/>
      <c r="N851" s="25">
        <f>'Combined Retirement'!$C$18/12</f>
        <v>39153.069999999992</v>
      </c>
      <c r="O851" s="25">
        <f t="shared" si="785"/>
        <v>10889.636755601023</v>
      </c>
      <c r="P851" s="25">
        <f t="shared" si="786"/>
        <v>28263.43324439897</v>
      </c>
      <c r="Q851" s="25">
        <f t="array" aca="1" ref="Q851" ca="1">INDEX('Isaac 401k'!L:L,MATCH('Retirement Calculator'!A851,'Isaac 401k'!N:N,0),0)</f>
        <v>1950097.8919904309</v>
      </c>
      <c r="R851" s="25">
        <f t="array" aca="1" ref="R851" ca="1">INDEX('Lorri 401b'!L:L,MATCH('Retirement Calculator'!A851,'Lorri 401b'!N:N,0),0)</f>
        <v>-3984365.7114177519</v>
      </c>
      <c r="S851" s="25">
        <f t="shared" ca="1" si="787"/>
        <v>-2034267.819427321</v>
      </c>
    </row>
    <row r="852" spans="1:19" ht="15.75" customHeight="1" x14ac:dyDescent="0.3">
      <c r="A852" s="37">
        <v>76884</v>
      </c>
      <c r="B852" s="398">
        <f t="shared" ref="B852:C852" si="863">($A852-B$9)/365.25</f>
        <v>128.61875427789187</v>
      </c>
      <c r="C852" s="398">
        <f t="shared" si="863"/>
        <v>124.0082135523614</v>
      </c>
      <c r="E852" s="25">
        <f>IF(C852&gt;$B$7,0,'Combined Retirement'!$D$13/12)</f>
        <v>0</v>
      </c>
      <c r="F852" s="25">
        <f>IF(H852=0,'Combined Retirement'!$D$32,0)+'Combined Retirement'!$B$24</f>
        <v>2870.372285649099</v>
      </c>
      <c r="G852" s="25">
        <f>'Combined Retirement'!$C$24</f>
        <v>3254.2644699519233</v>
      </c>
      <c r="H852" s="25">
        <f>IF(B852&lt;62,0,'Combined Retirement'!$I$14)</f>
        <v>2345</v>
      </c>
      <c r="I852" s="25">
        <f>IF(C852&lt;62,0,'Combined Retirement'!$I$13)</f>
        <v>2420</v>
      </c>
      <c r="J852" s="25">
        <f t="shared" si="783"/>
        <v>7896.2379798201846</v>
      </c>
      <c r="K852" s="25">
        <f t="shared" si="784"/>
        <v>20367.195264578786</v>
      </c>
      <c r="L852" s="25"/>
      <c r="N852" s="25">
        <f>'Combined Retirement'!$C$18/12</f>
        <v>39153.069999999992</v>
      </c>
      <c r="O852" s="25">
        <f t="shared" si="785"/>
        <v>10889.636755601023</v>
      </c>
      <c r="P852" s="25">
        <f t="shared" si="786"/>
        <v>28263.43324439897</v>
      </c>
      <c r="Q852" s="25">
        <f t="array" aca="1" ref="Q852" ca="1">INDEX('Isaac 401k'!L:L,MATCH('Retirement Calculator'!A852,'Isaac 401k'!N:N,0),0)</f>
        <v>1950294.1609023216</v>
      </c>
      <c r="R852" s="25">
        <f t="array" aca="1" ref="R852" ca="1">INDEX('Lorri 401b'!L:L,MATCH('Retirement Calculator'!A852,'Lorri 401b'!N:N,0),0)</f>
        <v>-4021419.2937935069</v>
      </c>
      <c r="S852" s="25">
        <f t="shared" ca="1" si="787"/>
        <v>-2071125.1328911853</v>
      </c>
    </row>
    <row r="853" spans="1:19" ht="15.75" customHeight="1" x14ac:dyDescent="0.3">
      <c r="A853" s="37">
        <v>76915</v>
      </c>
      <c r="B853" s="398">
        <f t="shared" ref="B853:C853" si="864">($A853-B$9)/365.25</f>
        <v>128.70362765229294</v>
      </c>
      <c r="C853" s="398">
        <f t="shared" si="864"/>
        <v>124.0930869267625</v>
      </c>
      <c r="E853" s="25">
        <f>IF(C853&gt;$B$7,0,'Combined Retirement'!$D$13/12)</f>
        <v>0</v>
      </c>
      <c r="F853" s="25">
        <f>IF(H853=0,'Combined Retirement'!$D$32,0)+'Combined Retirement'!$B$24</f>
        <v>2870.372285649099</v>
      </c>
      <c r="G853" s="25">
        <f>'Combined Retirement'!$C$24</f>
        <v>3254.2644699519233</v>
      </c>
      <c r="H853" s="25">
        <f>IF(B853&lt;62,0,'Combined Retirement'!$I$14)</f>
        <v>2345</v>
      </c>
      <c r="I853" s="25">
        <f>IF(C853&lt;62,0,'Combined Retirement'!$I$13)</f>
        <v>2420</v>
      </c>
      <c r="J853" s="25">
        <f t="shared" si="783"/>
        <v>7896.2379798201846</v>
      </c>
      <c r="K853" s="25">
        <f t="shared" si="784"/>
        <v>20367.195264578786</v>
      </c>
      <c r="L853" s="25"/>
      <c r="N853" s="25">
        <f>'Combined Retirement'!$C$18/12</f>
        <v>39153.069999999992</v>
      </c>
      <c r="O853" s="25">
        <f t="shared" si="785"/>
        <v>10889.636755601023</v>
      </c>
      <c r="P853" s="25">
        <f t="shared" si="786"/>
        <v>28263.43324439897</v>
      </c>
      <c r="Q853" s="25">
        <f t="array" aca="1" ref="Q853" ca="1">INDEX('Isaac 401k'!L:L,MATCH('Retirement Calculator'!A853,'Isaac 401k'!N:N,0),0)</f>
        <v>1950491.2476013452</v>
      </c>
      <c r="R853" s="25">
        <f t="array" aca="1" ref="R853" ca="1">INDEX('Lorri 401b'!L:L,MATCH('Retirement Calculator'!A853,'Lorri 401b'!N:N,0),0)</f>
        <v>-4058627.2660958278</v>
      </c>
      <c r="S853" s="25">
        <f t="shared" ca="1" si="787"/>
        <v>-2108136.0184944826</v>
      </c>
    </row>
    <row r="854" spans="1:19" ht="15.75" customHeight="1" x14ac:dyDescent="0.3">
      <c r="A854" s="37">
        <v>76946</v>
      </c>
      <c r="B854" s="398">
        <f t="shared" ref="B854:C854" si="865">($A854-B$9)/365.25</f>
        <v>128.78850102669404</v>
      </c>
      <c r="C854" s="398">
        <f t="shared" si="865"/>
        <v>124.17796030116358</v>
      </c>
      <c r="E854" s="25">
        <f>IF(C854&gt;$B$7,0,'Combined Retirement'!$D$13/12)</f>
        <v>0</v>
      </c>
      <c r="F854" s="25">
        <f>IF(H854=0,'Combined Retirement'!$D$32,0)+'Combined Retirement'!$B$24</f>
        <v>2870.372285649099</v>
      </c>
      <c r="G854" s="25">
        <f>'Combined Retirement'!$C$24</f>
        <v>3254.2644699519233</v>
      </c>
      <c r="H854" s="25">
        <f>IF(B854&lt;62,0,'Combined Retirement'!$I$14)</f>
        <v>2345</v>
      </c>
      <c r="I854" s="25">
        <f>IF(C854&lt;62,0,'Combined Retirement'!$I$13)</f>
        <v>2420</v>
      </c>
      <c r="J854" s="25">
        <f t="shared" si="783"/>
        <v>7896.2379798201846</v>
      </c>
      <c r="K854" s="25">
        <f t="shared" si="784"/>
        <v>20367.195264578786</v>
      </c>
      <c r="L854" s="25"/>
      <c r="N854" s="25">
        <f>'Combined Retirement'!$C$18/12</f>
        <v>39153.069999999992</v>
      </c>
      <c r="O854" s="25">
        <f t="shared" si="785"/>
        <v>10889.636755601023</v>
      </c>
      <c r="P854" s="25">
        <f t="shared" si="786"/>
        <v>28263.43324439897</v>
      </c>
      <c r="Q854" s="25">
        <f t="array" aca="1" ref="Q854" ca="1">INDEX('Isaac 401k'!L:L,MATCH('Retirement Calculator'!A854,'Isaac 401k'!N:N,0),0)</f>
        <v>1950689.1554949479</v>
      </c>
      <c r="R854" s="25">
        <f t="array" aca="1" ref="R854" ca="1">INDEX('Lorri 401b'!L:L,MATCH('Retirement Calculator'!A854,'Lorri 401b'!N:N,0),0)</f>
        <v>-4095990.2716160752</v>
      </c>
      <c r="S854" s="25">
        <f t="shared" ca="1" si="787"/>
        <v>-2145301.1161211273</v>
      </c>
    </row>
    <row r="855" spans="1:19" ht="15.75" customHeight="1" x14ac:dyDescent="0.3">
      <c r="A855" s="37">
        <v>76976</v>
      </c>
      <c r="B855" s="398">
        <f t="shared" ref="B855:C855" si="866">($A855-B$9)/365.25</f>
        <v>128.87063655030801</v>
      </c>
      <c r="C855" s="398">
        <f t="shared" si="866"/>
        <v>124.26009582477755</v>
      </c>
      <c r="E855" s="25">
        <f>IF(C855&gt;$B$7,0,'Combined Retirement'!$D$13/12)</f>
        <v>0</v>
      </c>
      <c r="F855" s="25">
        <f>IF(H855=0,'Combined Retirement'!$D$32,0)+'Combined Retirement'!$B$24</f>
        <v>2870.372285649099</v>
      </c>
      <c r="G855" s="25">
        <f>'Combined Retirement'!$C$24</f>
        <v>3254.2644699519233</v>
      </c>
      <c r="H855" s="25">
        <f>IF(B855&lt;62,0,'Combined Retirement'!$I$14)</f>
        <v>2345</v>
      </c>
      <c r="I855" s="25">
        <f>IF(C855&lt;62,0,'Combined Retirement'!$I$13)</f>
        <v>2420</v>
      </c>
      <c r="J855" s="25">
        <f t="shared" si="783"/>
        <v>7896.2379798201846</v>
      </c>
      <c r="K855" s="25">
        <f t="shared" si="784"/>
        <v>20367.195264578786</v>
      </c>
      <c r="L855" s="25"/>
      <c r="N855" s="25">
        <f>'Combined Retirement'!$C$18/12</f>
        <v>39153.069999999992</v>
      </c>
      <c r="O855" s="25">
        <f t="shared" si="785"/>
        <v>10889.636755601023</v>
      </c>
      <c r="P855" s="25">
        <f t="shared" si="786"/>
        <v>28263.43324439897</v>
      </c>
      <c r="Q855" s="25">
        <f t="array" aca="1" ref="Q855" ca="1">INDEX('Isaac 401k'!L:L,MATCH('Retirement Calculator'!A855,'Isaac 401k'!N:N,0),0)</f>
        <v>1950887.888004774</v>
      </c>
      <c r="R855" s="25">
        <f t="array" aca="1" ref="R855" ca="1">INDEX('Lorri 401b'!L:L,MATCH('Retirement Calculator'!A855,'Lorri 401b'!N:N,0),0)</f>
        <v>-4133508.9563259901</v>
      </c>
      <c r="S855" s="25">
        <f t="shared" ca="1" si="787"/>
        <v>-2182621.0683212159</v>
      </c>
    </row>
    <row r="856" spans="1:19" ht="15.75" customHeight="1" x14ac:dyDescent="0.3">
      <c r="A856" s="37">
        <v>77007</v>
      </c>
      <c r="B856" s="398">
        <f t="shared" ref="B856:C856" si="867">($A856-B$9)/365.25</f>
        <v>128.95550992470911</v>
      </c>
      <c r="C856" s="398">
        <f t="shared" si="867"/>
        <v>124.34496919917865</v>
      </c>
      <c r="E856" s="25">
        <f>IF(C856&gt;$B$7,0,'Combined Retirement'!$D$13/12)</f>
        <v>0</v>
      </c>
      <c r="F856" s="25">
        <f>IF(H856=0,'Combined Retirement'!$D$32,0)+'Combined Retirement'!$B$24</f>
        <v>2870.372285649099</v>
      </c>
      <c r="G856" s="25">
        <f>'Combined Retirement'!$C$24</f>
        <v>3254.2644699519233</v>
      </c>
      <c r="H856" s="25">
        <f>IF(B856&lt;62,0,'Combined Retirement'!$I$14)</f>
        <v>2345</v>
      </c>
      <c r="I856" s="25">
        <f>IF(C856&lt;62,0,'Combined Retirement'!$I$13)</f>
        <v>2420</v>
      </c>
      <c r="J856" s="25">
        <f t="shared" si="783"/>
        <v>7896.2379798201846</v>
      </c>
      <c r="K856" s="25">
        <f t="shared" si="784"/>
        <v>20367.195264578786</v>
      </c>
      <c r="L856" s="25"/>
      <c r="N856" s="25">
        <f>'Combined Retirement'!$C$18/12</f>
        <v>39153.069999999992</v>
      </c>
      <c r="O856" s="25">
        <f t="shared" si="785"/>
        <v>10889.636755601023</v>
      </c>
      <c r="P856" s="25">
        <f t="shared" si="786"/>
        <v>28263.43324439897</v>
      </c>
      <c r="Q856" s="25">
        <f t="array" aca="1" ref="Q856" ca="1">INDEX('Isaac 401k'!L:L,MATCH('Retirement Calculator'!A856,'Isaac 401k'!N:N,0),0)</f>
        <v>1951087.4485667243</v>
      </c>
      <c r="R856" s="25">
        <f t="array" aca="1" ref="R856" ca="1">INDEX('Lorri 401b'!L:L,MATCH('Retirement Calculator'!A856,'Lorri 401b'!N:N,0),0)</f>
        <v>-4171183.968888863</v>
      </c>
      <c r="S856" s="25">
        <f t="shared" ca="1" si="787"/>
        <v>-2220096.5203221384</v>
      </c>
    </row>
    <row r="857" spans="1:19" ht="15.75" customHeight="1" x14ac:dyDescent="0.3">
      <c r="A857" s="37">
        <v>77037</v>
      </c>
      <c r="B857" s="398">
        <f t="shared" ref="B857:C857" si="868">($A857-B$9)/365.25</f>
        <v>129.03764544832308</v>
      </c>
      <c r="C857" s="398">
        <f t="shared" si="868"/>
        <v>124.42710472279261</v>
      </c>
      <c r="E857" s="25">
        <f>IF(C857&gt;$B$7,0,'Combined Retirement'!$D$13/12)</f>
        <v>0</v>
      </c>
      <c r="F857" s="25">
        <f>IF(H857=0,'Combined Retirement'!$D$32,0)+'Combined Retirement'!$B$24</f>
        <v>2870.372285649099</v>
      </c>
      <c r="G857" s="25">
        <f>'Combined Retirement'!$C$24</f>
        <v>3254.2644699519233</v>
      </c>
      <c r="H857" s="25">
        <f>IF(B857&lt;62,0,'Combined Retirement'!$I$14)</f>
        <v>2345</v>
      </c>
      <c r="I857" s="25">
        <f>IF(C857&lt;62,0,'Combined Retirement'!$I$13)</f>
        <v>2420</v>
      </c>
      <c r="J857" s="25">
        <f t="shared" si="783"/>
        <v>7896.2379798201846</v>
      </c>
      <c r="K857" s="25">
        <f t="shared" si="784"/>
        <v>20367.195264578786</v>
      </c>
      <c r="L857" s="25"/>
      <c r="N857" s="25">
        <f>'Combined Retirement'!$C$18/12</f>
        <v>39153.069999999992</v>
      </c>
      <c r="O857" s="25">
        <f t="shared" si="785"/>
        <v>10889.636755601023</v>
      </c>
      <c r="P857" s="25">
        <f t="shared" si="786"/>
        <v>28263.43324439897</v>
      </c>
      <c r="Q857" s="25">
        <f t="array" aca="1" ref="Q857" ca="1">INDEX('Isaac 401k'!L:L,MATCH('Retirement Calculator'!A857,'Isaac 401k'!N:N,0),0)</f>
        <v>1951287.8406310163</v>
      </c>
      <c r="R857" s="25">
        <f t="array" aca="1" ref="R857" ca="1">INDEX('Lorri 401b'!L:L,MATCH('Retirement Calculator'!A857,'Lorri 401b'!N:N,0),0)</f>
        <v>-4209015.9606707478</v>
      </c>
      <c r="S857" s="25">
        <f t="shared" ca="1" si="787"/>
        <v>-2257728.1200397313</v>
      </c>
    </row>
    <row r="858" spans="1:19" ht="15.75" customHeight="1" x14ac:dyDescent="0.3">
      <c r="A858" s="37">
        <v>77068</v>
      </c>
      <c r="B858" s="398">
        <f t="shared" ref="B858:C858" si="869">($A858-B$9)/365.25</f>
        <v>129.12251882272417</v>
      </c>
      <c r="C858" s="398">
        <f t="shared" si="869"/>
        <v>124.5119780971937</v>
      </c>
      <c r="E858" s="25">
        <f>IF(C858&gt;$B$7,0,'Combined Retirement'!$D$13/12)</f>
        <v>0</v>
      </c>
      <c r="F858" s="25">
        <f>IF(H858=0,'Combined Retirement'!$D$32,0)+'Combined Retirement'!$B$24</f>
        <v>2870.372285649099</v>
      </c>
      <c r="G858" s="25">
        <f>'Combined Retirement'!$C$24</f>
        <v>3254.2644699519233</v>
      </c>
      <c r="H858" s="25">
        <f>IF(B858&lt;62,0,'Combined Retirement'!$I$14)</f>
        <v>2345</v>
      </c>
      <c r="I858" s="25">
        <f>IF(C858&lt;62,0,'Combined Retirement'!$I$13)</f>
        <v>2420</v>
      </c>
      <c r="J858" s="25">
        <f t="shared" si="783"/>
        <v>7896.2379798201846</v>
      </c>
      <c r="K858" s="25">
        <f t="shared" si="784"/>
        <v>20367.195264578786</v>
      </c>
      <c r="L858" s="25"/>
      <c r="N858" s="25">
        <f>'Combined Retirement'!$C$18/12</f>
        <v>39153.069999999992</v>
      </c>
      <c r="O858" s="25">
        <f t="shared" si="785"/>
        <v>10889.636755601023</v>
      </c>
      <c r="P858" s="25">
        <f t="shared" si="786"/>
        <v>28263.43324439897</v>
      </c>
      <c r="Q858" s="25">
        <f t="array" aca="1" ref="Q858" ca="1">INDEX('Isaac 401k'!L:L,MATCH('Retirement Calculator'!A858,'Isaac 401k'!N:N,0),0)</f>
        <v>1951489.0676622428</v>
      </c>
      <c r="R858" s="25">
        <f t="array" aca="1" ref="R858" ca="1">INDEX('Lorri 401b'!L:L,MATCH('Retirement Calculator'!A858,'Lorri 401b'!N:N,0),0)</f>
        <v>-4247005.5857517235</v>
      </c>
      <c r="S858" s="25">
        <f t="shared" ca="1" si="787"/>
        <v>-2295516.5180894807</v>
      </c>
    </row>
    <row r="859" spans="1:19" ht="15.75" customHeight="1" x14ac:dyDescent="0.3">
      <c r="A859" s="37">
        <v>77099</v>
      </c>
      <c r="B859" s="398">
        <f t="shared" ref="B859:C859" si="870">($A859-B$9)/365.25</f>
        <v>129.20739219712524</v>
      </c>
      <c r="C859" s="398">
        <f t="shared" si="870"/>
        <v>124.5968514715948</v>
      </c>
      <c r="E859" s="25">
        <f>IF(C859&gt;$B$7,0,'Combined Retirement'!$D$13/12)</f>
        <v>0</v>
      </c>
      <c r="F859" s="25">
        <f>IF(H859=0,'Combined Retirement'!$D$32,0)+'Combined Retirement'!$B$24</f>
        <v>2870.372285649099</v>
      </c>
      <c r="G859" s="25">
        <f>'Combined Retirement'!$C$24</f>
        <v>3254.2644699519233</v>
      </c>
      <c r="H859" s="25">
        <f>IF(B859&lt;62,0,'Combined Retirement'!$I$14)</f>
        <v>2345</v>
      </c>
      <c r="I859" s="25">
        <f>IF(C859&lt;62,0,'Combined Retirement'!$I$13)</f>
        <v>2420</v>
      </c>
      <c r="J859" s="25">
        <f t="shared" si="783"/>
        <v>7896.2379798201846</v>
      </c>
      <c r="K859" s="25">
        <f t="shared" si="784"/>
        <v>20367.195264578786</v>
      </c>
      <c r="L859" s="25"/>
      <c r="N859" s="25">
        <f>'Combined Retirement'!$C$18/12</f>
        <v>39153.069999999992</v>
      </c>
      <c r="O859" s="25">
        <f t="shared" si="785"/>
        <v>10889.636755601023</v>
      </c>
      <c r="P859" s="25">
        <f t="shared" si="786"/>
        <v>28263.43324439897</v>
      </c>
      <c r="Q859" s="25">
        <f t="array" aca="1" ref="Q859" ca="1">INDEX('Isaac 401k'!L:L,MATCH('Retirement Calculator'!A859,'Isaac 401k'!N:N,0),0)</f>
        <v>1951691.1331394326</v>
      </c>
      <c r="R859" s="25">
        <f t="array" aca="1" ref="R859" ca="1">INDEX('Lorri 401b'!L:L,MATCH('Retirement Calculator'!A859,'Lorri 401b'!N:N,0),0)</f>
        <v>-4285153.5009372039</v>
      </c>
      <c r="S859" s="25">
        <f t="shared" ca="1" si="787"/>
        <v>-2333462.3677977715</v>
      </c>
    </row>
    <row r="860" spans="1:19" ht="15.75" customHeight="1" x14ac:dyDescent="0.3">
      <c r="A860" s="37">
        <v>77127</v>
      </c>
      <c r="B860" s="398">
        <f t="shared" ref="B860:C860" si="871">($A860-B$9)/365.25</f>
        <v>129.28405201916496</v>
      </c>
      <c r="C860" s="398">
        <f t="shared" si="871"/>
        <v>124.67351129363449</v>
      </c>
      <c r="E860" s="25">
        <f>IF(C860&gt;$B$7,0,'Combined Retirement'!$D$13/12)</f>
        <v>0</v>
      </c>
      <c r="F860" s="25">
        <f>IF(H860=0,'Combined Retirement'!$D$32,0)+'Combined Retirement'!$B$24</f>
        <v>2870.372285649099</v>
      </c>
      <c r="G860" s="25">
        <f>'Combined Retirement'!$C$24</f>
        <v>3254.2644699519233</v>
      </c>
      <c r="H860" s="25">
        <f>IF(B860&lt;62,0,'Combined Retirement'!$I$14)</f>
        <v>2345</v>
      </c>
      <c r="I860" s="25">
        <f>IF(C860&lt;62,0,'Combined Retirement'!$I$13)</f>
        <v>2420</v>
      </c>
      <c r="J860" s="25">
        <f t="shared" si="783"/>
        <v>7896.2379798201846</v>
      </c>
      <c r="K860" s="25">
        <f t="shared" si="784"/>
        <v>20367.195264578786</v>
      </c>
      <c r="L860" s="25"/>
      <c r="N860" s="25">
        <f>'Combined Retirement'!$C$18/12</f>
        <v>39153.069999999992</v>
      </c>
      <c r="O860" s="25">
        <f t="shared" si="785"/>
        <v>10889.636755601023</v>
      </c>
      <c r="P860" s="25">
        <f t="shared" si="786"/>
        <v>28263.43324439897</v>
      </c>
      <c r="Q860" s="25">
        <f t="array" aca="1" ref="Q860" ca="1">INDEX('Isaac 401k'!L:L,MATCH('Retirement Calculator'!A860,'Isaac 401k'!N:N,0),0)</f>
        <v>1951894.0405561109</v>
      </c>
      <c r="R860" s="25">
        <f t="array" aca="1" ref="R860" ca="1">INDEX('Lorri 401b'!L:L,MATCH('Retirement Calculator'!A860,'Lorri 401b'!N:N,0),0)</f>
        <v>-4323460.3657692904</v>
      </c>
      <c r="S860" s="25">
        <f t="shared" ca="1" si="787"/>
        <v>-2371566.3252131795</v>
      </c>
    </row>
    <row r="861" spans="1:19" ht="15.75" customHeight="1" x14ac:dyDescent="0.3">
      <c r="A861" s="37">
        <v>77158</v>
      </c>
      <c r="B861" s="398">
        <f t="shared" ref="B861:C861" si="872">($A861-B$9)/365.25</f>
        <v>129.36892539356606</v>
      </c>
      <c r="C861" s="398">
        <f t="shared" si="872"/>
        <v>124.75838466803559</v>
      </c>
      <c r="E861" s="25">
        <f>IF(C861&gt;$B$7,0,'Combined Retirement'!$D$13/12)</f>
        <v>0</v>
      </c>
      <c r="F861" s="25">
        <f>IF(H861=0,'Combined Retirement'!$D$32,0)+'Combined Retirement'!$B$24</f>
        <v>2870.372285649099</v>
      </c>
      <c r="G861" s="25">
        <f>'Combined Retirement'!$C$24</f>
        <v>3254.2644699519233</v>
      </c>
      <c r="H861" s="25">
        <f>IF(B861&lt;62,0,'Combined Retirement'!$I$14)</f>
        <v>2345</v>
      </c>
      <c r="I861" s="25">
        <f>IF(C861&lt;62,0,'Combined Retirement'!$I$13)</f>
        <v>2420</v>
      </c>
      <c r="J861" s="25">
        <f t="shared" si="783"/>
        <v>7896.2379798201846</v>
      </c>
      <c r="K861" s="25">
        <f t="shared" si="784"/>
        <v>20367.195264578786</v>
      </c>
      <c r="L861" s="25"/>
      <c r="N861" s="25">
        <f>'Combined Retirement'!$C$18/12</f>
        <v>39153.069999999992</v>
      </c>
      <c r="O861" s="25">
        <f t="shared" si="785"/>
        <v>10889.636755601023</v>
      </c>
      <c r="P861" s="25">
        <f t="shared" si="786"/>
        <v>28263.43324439897</v>
      </c>
      <c r="Q861" s="25">
        <f t="array" aca="1" ref="Q861" ca="1">INDEX('Isaac 401k'!L:L,MATCH('Retirement Calculator'!A861,'Isaac 401k'!N:N,0),0)</f>
        <v>1952097.7934203586</v>
      </c>
      <c r="R861" s="25">
        <f t="array" aca="1" ref="R861" ca="1">INDEX('Lorri 401b'!L:L,MATCH('Retirement Calculator'!A861,'Lorri 401b'!N:N,0),0)</f>
        <v>-4361926.842538177</v>
      </c>
      <c r="S861" s="25">
        <f t="shared" ca="1" si="787"/>
        <v>-2409829.0491178185</v>
      </c>
    </row>
    <row r="862" spans="1:19" ht="15.75" customHeight="1" x14ac:dyDescent="0.3">
      <c r="A862" s="37">
        <v>77188</v>
      </c>
      <c r="B862" s="398">
        <f t="shared" ref="B862:C862" si="873">($A862-B$9)/365.25</f>
        <v>129.45106091718</v>
      </c>
      <c r="C862" s="398">
        <f t="shared" si="873"/>
        <v>124.84052019164956</v>
      </c>
      <c r="E862" s="25">
        <f>IF(C862&gt;$B$7,0,'Combined Retirement'!$D$13/12)</f>
        <v>0</v>
      </c>
      <c r="F862" s="25">
        <f>IF(H862=0,'Combined Retirement'!$D$32,0)+'Combined Retirement'!$B$24</f>
        <v>2870.372285649099</v>
      </c>
      <c r="G862" s="25">
        <f>'Combined Retirement'!$C$24</f>
        <v>3254.2644699519233</v>
      </c>
      <c r="H862" s="25">
        <f>IF(B862&lt;62,0,'Combined Retirement'!$I$14)</f>
        <v>2345</v>
      </c>
      <c r="I862" s="25">
        <f>IF(C862&lt;62,0,'Combined Retirement'!$I$13)</f>
        <v>2420</v>
      </c>
      <c r="J862" s="25">
        <f t="shared" si="783"/>
        <v>7896.2379798201846</v>
      </c>
      <c r="K862" s="25">
        <f t="shared" si="784"/>
        <v>20367.195264578786</v>
      </c>
      <c r="L862" s="25"/>
      <c r="N862" s="25">
        <f>'Combined Retirement'!$C$18/12</f>
        <v>39153.069999999992</v>
      </c>
      <c r="O862" s="25">
        <f t="shared" si="785"/>
        <v>10889.636755601023</v>
      </c>
      <c r="P862" s="25">
        <f t="shared" si="786"/>
        <v>28263.43324439897</v>
      </c>
      <c r="Q862" s="25">
        <f t="array" aca="1" ref="Q862" ca="1">INDEX('Isaac 401k'!L:L,MATCH('Retirement Calculator'!A862,'Isaac 401k'!N:N,0),0)</f>
        <v>1952302.3952548739</v>
      </c>
      <c r="R862" s="25">
        <f t="array" aca="1" ref="R862" ca="1">INDEX('Lorri 401b'!L:L,MATCH('Retirement Calculator'!A862,'Lorri 401b'!N:N,0),0)</f>
        <v>-4400553.5962936003</v>
      </c>
      <c r="S862" s="25">
        <f t="shared" ca="1" si="787"/>
        <v>-2448251.2010387266</v>
      </c>
    </row>
    <row r="863" spans="1:19" ht="15.75" customHeight="1" x14ac:dyDescent="0.3">
      <c r="A863" s="37">
        <v>77219</v>
      </c>
      <c r="B863" s="398">
        <f t="shared" ref="B863:C863" si="874">($A863-B$9)/365.25</f>
        <v>129.5359342915811</v>
      </c>
      <c r="C863" s="398">
        <f t="shared" si="874"/>
        <v>124.92539356605064</v>
      </c>
      <c r="E863" s="25">
        <f>IF(C863&gt;$B$7,0,'Combined Retirement'!$D$13/12)</f>
        <v>0</v>
      </c>
      <c r="F863" s="25">
        <f>IF(H863=0,'Combined Retirement'!$D$32,0)+'Combined Retirement'!$B$24</f>
        <v>2870.372285649099</v>
      </c>
      <c r="G863" s="25">
        <f>'Combined Retirement'!$C$24</f>
        <v>3254.2644699519233</v>
      </c>
      <c r="H863" s="25">
        <f>IF(B863&lt;62,0,'Combined Retirement'!$I$14)</f>
        <v>2345</v>
      </c>
      <c r="I863" s="25">
        <f>IF(C863&lt;62,0,'Combined Retirement'!$I$13)</f>
        <v>2420</v>
      </c>
      <c r="J863" s="25">
        <f t="shared" si="783"/>
        <v>7896.2379798201846</v>
      </c>
      <c r="K863" s="25">
        <f t="shared" si="784"/>
        <v>20367.195264578786</v>
      </c>
      <c r="L863" s="25"/>
      <c r="N863" s="25">
        <f>'Combined Retirement'!$C$18/12</f>
        <v>39153.069999999992</v>
      </c>
      <c r="O863" s="25">
        <f t="shared" si="785"/>
        <v>10889.636755601023</v>
      </c>
      <c r="P863" s="25">
        <f t="shared" si="786"/>
        <v>28263.43324439897</v>
      </c>
      <c r="Q863" s="25">
        <f t="array" aca="1" ref="Q863" ca="1">INDEX('Isaac 401k'!L:L,MATCH('Retirement Calculator'!A863,'Isaac 401k'!N:N,0),0)</f>
        <v>1952507.8495970331</v>
      </c>
      <c r="R863" s="25">
        <f t="array" aca="1" ref="R863" ca="1">INDEX('Lorri 401b'!L:L,MATCH('Retirement Calculator'!A863,'Lorri 401b'!N:N,0),0)</f>
        <v>-4439341.2948563378</v>
      </c>
      <c r="S863" s="25">
        <f t="shared" ca="1" si="787"/>
        <v>-2486833.4452593047</v>
      </c>
    </row>
    <row r="864" spans="1:19" ht="15.75" customHeight="1" x14ac:dyDescent="0.3">
      <c r="A864" s="37">
        <v>77249</v>
      </c>
      <c r="B864" s="398">
        <f t="shared" ref="B864:C864" si="875">($A864-B$9)/365.25</f>
        <v>129.61806981519507</v>
      </c>
      <c r="C864" s="398">
        <f t="shared" si="875"/>
        <v>125.00752908966462</v>
      </c>
      <c r="E864" s="25">
        <f>IF(C864&gt;$B$7,0,'Combined Retirement'!$D$13/12)</f>
        <v>0</v>
      </c>
      <c r="F864" s="25">
        <f>IF(H864=0,'Combined Retirement'!$D$32,0)+'Combined Retirement'!$B$24</f>
        <v>2870.372285649099</v>
      </c>
      <c r="G864" s="25">
        <f>'Combined Retirement'!$C$24</f>
        <v>3254.2644699519233</v>
      </c>
      <c r="H864" s="25">
        <f>IF(B864&lt;62,0,'Combined Retirement'!$I$14)</f>
        <v>2345</v>
      </c>
      <c r="I864" s="25">
        <f>IF(C864&lt;62,0,'Combined Retirement'!$I$13)</f>
        <v>2420</v>
      </c>
      <c r="J864" s="25">
        <f t="shared" si="783"/>
        <v>7896.2379798201846</v>
      </c>
      <c r="K864" s="25">
        <f t="shared" si="784"/>
        <v>20367.195264578786</v>
      </c>
      <c r="L864" s="25"/>
      <c r="N864" s="25">
        <f>'Combined Retirement'!$C$18/12</f>
        <v>39153.069999999992</v>
      </c>
      <c r="O864" s="25">
        <f t="shared" si="785"/>
        <v>10889.636755601023</v>
      </c>
      <c r="P864" s="25">
        <f t="shared" si="786"/>
        <v>28263.43324439897</v>
      </c>
      <c r="Q864" s="25">
        <f t="array" aca="1" ref="Q864" ca="1">INDEX('Isaac 401k'!L:L,MATCH('Retirement Calculator'!A864,'Isaac 401k'!N:N,0),0)</f>
        <v>1952714.1599989512</v>
      </c>
      <c r="R864" s="25">
        <f t="array" aca="1" ref="R864" ca="1">INDEX('Lorri 401b'!L:L,MATCH('Retirement Calculator'!A864,'Lorri 401b'!N:N,0),0)</f>
        <v>-4478290.6088297535</v>
      </c>
      <c r="S864" s="25">
        <f t="shared" ca="1" si="787"/>
        <v>-2525576.448830802</v>
      </c>
    </row>
    <row r="865" spans="1:19" ht="15.75" customHeight="1" x14ac:dyDescent="0.3">
      <c r="A865" s="37">
        <v>77280</v>
      </c>
      <c r="B865" s="398">
        <f t="shared" ref="B865:C865" si="876">($A865-B$9)/365.25</f>
        <v>129.70294318959617</v>
      </c>
      <c r="C865" s="398">
        <f t="shared" si="876"/>
        <v>125.09240246406571</v>
      </c>
      <c r="E865" s="25">
        <f>IF(C865&gt;$B$7,0,'Combined Retirement'!$D$13/12)</f>
        <v>0</v>
      </c>
      <c r="F865" s="25">
        <f>IF(H865=0,'Combined Retirement'!$D$32,0)+'Combined Retirement'!$B$24</f>
        <v>2870.372285649099</v>
      </c>
      <c r="G865" s="25">
        <f>'Combined Retirement'!$C$24</f>
        <v>3254.2644699519233</v>
      </c>
      <c r="H865" s="25">
        <f>IF(B865&lt;62,0,'Combined Retirement'!$I$14)</f>
        <v>2345</v>
      </c>
      <c r="I865" s="25">
        <f>IF(C865&lt;62,0,'Combined Retirement'!$I$13)</f>
        <v>2420</v>
      </c>
      <c r="J865" s="25">
        <f t="shared" si="783"/>
        <v>7896.2379798201846</v>
      </c>
      <c r="K865" s="25">
        <f t="shared" si="784"/>
        <v>20367.195264578786</v>
      </c>
      <c r="L865" s="25"/>
      <c r="N865" s="25">
        <f>'Combined Retirement'!$C$18/12</f>
        <v>39153.069999999992</v>
      </c>
      <c r="O865" s="25">
        <f t="shared" si="785"/>
        <v>10889.636755601023</v>
      </c>
      <c r="P865" s="25">
        <f t="shared" si="786"/>
        <v>28263.43324439897</v>
      </c>
      <c r="Q865" s="25">
        <f t="array" aca="1" ref="Q865" ca="1">INDEX('Isaac 401k'!L:L,MATCH('Retirement Calculator'!A865,'Isaac 401k'!N:N,0),0)</f>
        <v>1952921.3300275442</v>
      </c>
      <c r="R865" s="25">
        <f t="array" aca="1" ref="R865" ca="1">INDEX('Lorri 401b'!L:L,MATCH('Retirement Calculator'!A865,'Lorri 401b'!N:N,0),0)</f>
        <v>-4517402.211611392</v>
      </c>
      <c r="S865" s="25">
        <f t="shared" ca="1" si="787"/>
        <v>-2564480.881583848</v>
      </c>
    </row>
    <row r="866" spans="1:19" ht="15.75" customHeight="1" x14ac:dyDescent="0.3">
      <c r="A866" s="37">
        <v>77311</v>
      </c>
      <c r="B866" s="398">
        <f t="shared" ref="B866:C866" si="877">($A866-B$9)/365.25</f>
        <v>129.78781656399727</v>
      </c>
      <c r="C866" s="398">
        <f t="shared" si="877"/>
        <v>125.1772758384668</v>
      </c>
      <c r="E866" s="25">
        <f>IF(C866&gt;$B$7,0,'Combined Retirement'!$D$13/12)</f>
        <v>0</v>
      </c>
      <c r="F866" s="25">
        <f>IF(H866=0,'Combined Retirement'!$D$32,0)+'Combined Retirement'!$B$24</f>
        <v>2870.372285649099</v>
      </c>
      <c r="G866" s="25">
        <f>'Combined Retirement'!$C$24</f>
        <v>3254.2644699519233</v>
      </c>
      <c r="H866" s="25">
        <f>IF(B866&lt;62,0,'Combined Retirement'!$I$14)</f>
        <v>2345</v>
      </c>
      <c r="I866" s="25">
        <f>IF(C866&lt;62,0,'Combined Retirement'!$I$13)</f>
        <v>2420</v>
      </c>
      <c r="J866" s="25">
        <f t="shared" si="783"/>
        <v>7896.2379798201846</v>
      </c>
      <c r="K866" s="25">
        <f t="shared" si="784"/>
        <v>20367.195264578786</v>
      </c>
      <c r="L866" s="25"/>
      <c r="N866" s="25">
        <f>'Combined Retirement'!$C$18/12</f>
        <v>39153.069999999992</v>
      </c>
      <c r="O866" s="25">
        <f t="shared" si="785"/>
        <v>10889.636755601023</v>
      </c>
      <c r="P866" s="25">
        <f t="shared" si="786"/>
        <v>28263.43324439897</v>
      </c>
      <c r="Q866" s="25">
        <f t="array" aca="1" ref="Q866" ca="1">INDEX('Isaac 401k'!L:L,MATCH('Retirement Calculator'!A866,'Isaac 401k'!N:N,0),0)</f>
        <v>1953129.3632645896</v>
      </c>
      <c r="R866" s="25">
        <f t="array" aca="1" ref="R866" ca="1">INDEX('Lorri 401b'!L:L,MATCH('Retirement Calculator'!A866,'Lorri 401b'!N:N,0),0)</f>
        <v>-4556676.7794046206</v>
      </c>
      <c r="S866" s="25">
        <f t="shared" ca="1" si="787"/>
        <v>-2603547.4161400311</v>
      </c>
    </row>
    <row r="867" spans="1:19" ht="15.75" customHeight="1" x14ac:dyDescent="0.3">
      <c r="A867" s="37">
        <v>77341</v>
      </c>
      <c r="B867" s="398">
        <f t="shared" ref="B867:C867" si="878">($A867-B$9)/365.25</f>
        <v>129.86995208761124</v>
      </c>
      <c r="C867" s="398">
        <f t="shared" si="878"/>
        <v>125.25941136208077</v>
      </c>
      <c r="E867" s="25">
        <f>IF(C867&gt;$B$7,0,'Combined Retirement'!$D$13/12)</f>
        <v>0</v>
      </c>
      <c r="F867" s="25">
        <f>IF(H867=0,'Combined Retirement'!$D$32,0)+'Combined Retirement'!$B$24</f>
        <v>2870.372285649099</v>
      </c>
      <c r="G867" s="25">
        <f>'Combined Retirement'!$C$24</f>
        <v>3254.2644699519233</v>
      </c>
      <c r="H867" s="25">
        <f>IF(B867&lt;62,0,'Combined Retirement'!$I$14)</f>
        <v>2345</v>
      </c>
      <c r="I867" s="25">
        <f>IF(C867&lt;62,0,'Combined Retirement'!$I$13)</f>
        <v>2420</v>
      </c>
      <c r="J867" s="25">
        <f t="shared" si="783"/>
        <v>7896.2379798201846</v>
      </c>
      <c r="K867" s="25">
        <f t="shared" si="784"/>
        <v>20367.195264578786</v>
      </c>
      <c r="L867" s="25"/>
      <c r="N867" s="25">
        <f>'Combined Retirement'!$C$18/12</f>
        <v>39153.069999999992</v>
      </c>
      <c r="O867" s="25">
        <f t="shared" si="785"/>
        <v>10889.636755601023</v>
      </c>
      <c r="P867" s="25">
        <f t="shared" si="786"/>
        <v>28263.43324439897</v>
      </c>
      <c r="Q867" s="25">
        <f t="array" aca="1" ref="Q867" ca="1">INDEX('Isaac 401k'!L:L,MATCH('Retirement Calculator'!A867,'Isaac 401k'!N:N,0),0)</f>
        <v>1953338.2633067891</v>
      </c>
      <c r="R867" s="25">
        <f t="array" aca="1" ref="R867" ca="1">INDEX('Lorri 401b'!L:L,MATCH('Retirement Calculator'!A867,'Lorri 401b'!N:N,0),0)</f>
        <v>-4596114.9912303211</v>
      </c>
      <c r="S867" s="25">
        <f t="shared" ca="1" si="787"/>
        <v>-2642776.727923532</v>
      </c>
    </row>
    <row r="868" spans="1:19" ht="15.75" customHeight="1" x14ac:dyDescent="0.3">
      <c r="A868" s="37">
        <v>77372</v>
      </c>
      <c r="B868" s="398">
        <f t="shared" ref="B868:C868" si="879">($A868-B$9)/365.25</f>
        <v>129.95482546201231</v>
      </c>
      <c r="C868" s="398">
        <f t="shared" si="879"/>
        <v>125.34428473648187</v>
      </c>
      <c r="E868" s="25">
        <f>IF(C868&gt;$B$7,0,'Combined Retirement'!$D$13/12)</f>
        <v>0</v>
      </c>
      <c r="F868" s="25">
        <f>IF(H868=0,'Combined Retirement'!$D$32,0)+'Combined Retirement'!$B$24</f>
        <v>2870.372285649099</v>
      </c>
      <c r="G868" s="25">
        <f>'Combined Retirement'!$C$24</f>
        <v>3254.2644699519233</v>
      </c>
      <c r="H868" s="25">
        <f>IF(B868&lt;62,0,'Combined Retirement'!$I$14)</f>
        <v>2345</v>
      </c>
      <c r="I868" s="25">
        <f>IF(C868&lt;62,0,'Combined Retirement'!$I$13)</f>
        <v>2420</v>
      </c>
      <c r="J868" s="25">
        <f t="shared" si="783"/>
        <v>7896.2379798201846</v>
      </c>
      <c r="K868" s="25">
        <f t="shared" si="784"/>
        <v>20367.195264578786</v>
      </c>
      <c r="L868" s="25"/>
      <c r="N868" s="25">
        <f>'Combined Retirement'!$C$18/12</f>
        <v>39153.069999999992</v>
      </c>
      <c r="O868" s="25">
        <f t="shared" si="785"/>
        <v>10889.636755601023</v>
      </c>
      <c r="P868" s="25">
        <f t="shared" si="786"/>
        <v>28263.43324439897</v>
      </c>
      <c r="Q868" s="25">
        <f t="array" aca="1" ref="Q868" ca="1">INDEX('Isaac 401k'!L:L,MATCH('Retirement Calculator'!A868,'Isaac 401k'!N:N,0),0)</f>
        <v>1953548.0337658313</v>
      </c>
      <c r="R868" s="25">
        <f t="array" aca="1" ref="R868" ca="1">INDEX('Lorri 401b'!L:L,MATCH('Retirement Calculator'!A868,'Lorri 401b'!N:N,0),0)</f>
        <v>-4635717.5289386287</v>
      </c>
      <c r="S868" s="25">
        <f t="shared" ca="1" si="787"/>
        <v>-2682169.4951727977</v>
      </c>
    </row>
    <row r="869" spans="1:19" ht="15.75" customHeight="1" x14ac:dyDescent="0.3">
      <c r="A869" s="37">
        <v>77402</v>
      </c>
      <c r="B869" s="398">
        <f t="shared" ref="B869:C869" si="880">($A869-B$9)/365.25</f>
        <v>130.03696098562628</v>
      </c>
      <c r="C869" s="398">
        <f t="shared" si="880"/>
        <v>125.42642026009582</v>
      </c>
      <c r="E869" s="25">
        <f>IF(C869&gt;$B$7,0,'Combined Retirement'!$D$13/12)</f>
        <v>0</v>
      </c>
      <c r="F869" s="25">
        <f>IF(H869=0,'Combined Retirement'!$D$32,0)+'Combined Retirement'!$B$24</f>
        <v>2870.372285649099</v>
      </c>
      <c r="G869" s="25">
        <f>'Combined Retirement'!$C$24</f>
        <v>3254.2644699519233</v>
      </c>
      <c r="H869" s="25">
        <f>IF(B869&lt;62,0,'Combined Retirement'!$I$14)</f>
        <v>2345</v>
      </c>
      <c r="I869" s="25">
        <f>IF(C869&lt;62,0,'Combined Retirement'!$I$13)</f>
        <v>2420</v>
      </c>
      <c r="J869" s="25">
        <f t="shared" si="783"/>
        <v>7896.2379798201846</v>
      </c>
      <c r="K869" s="25">
        <f t="shared" si="784"/>
        <v>20367.195264578786</v>
      </c>
      <c r="L869" s="25"/>
      <c r="N869" s="25">
        <f>'Combined Retirement'!$C$18/12</f>
        <v>39153.069999999992</v>
      </c>
      <c r="O869" s="25">
        <f t="shared" si="785"/>
        <v>10889.636755601023</v>
      </c>
      <c r="P869" s="25">
        <f t="shared" si="786"/>
        <v>28263.43324439897</v>
      </c>
      <c r="Q869" s="25">
        <f t="array" aca="1" ref="Q869" ca="1">INDEX('Isaac 401k'!L:L,MATCH('Retirement Calculator'!A869,'Isaac 401k'!N:N,0),0)</f>
        <v>1953758.6782684526</v>
      </c>
      <c r="R869" s="25">
        <f t="array" aca="1" ref="R869" ca="1">INDEX('Lorri 401b'!L:L,MATCH('Retirement Calculator'!A869,'Lorri 401b'!N:N,0),0)</f>
        <v>-4675485.0772207212</v>
      </c>
      <c r="S869" s="25">
        <f t="shared" ca="1" si="787"/>
        <v>-2721726.3989522685</v>
      </c>
    </row>
    <row r="870" spans="1:19" ht="15.75" customHeight="1" x14ac:dyDescent="0.3">
      <c r="A870" s="37">
        <v>77433</v>
      </c>
      <c r="B870" s="398">
        <f t="shared" ref="B870:C870" si="881">($A870-B$9)/365.25</f>
        <v>130.12183436002738</v>
      </c>
      <c r="C870" s="398">
        <f t="shared" si="881"/>
        <v>125.51129363449692</v>
      </c>
      <c r="E870" s="25">
        <f>IF(C870&gt;$B$7,0,'Combined Retirement'!$D$13/12)</f>
        <v>0</v>
      </c>
      <c r="F870" s="25">
        <f>IF(H870=0,'Combined Retirement'!$D$32,0)+'Combined Retirement'!$B$24</f>
        <v>2870.372285649099</v>
      </c>
      <c r="G870" s="25">
        <f>'Combined Retirement'!$C$24</f>
        <v>3254.2644699519233</v>
      </c>
      <c r="H870" s="25">
        <f>IF(B870&lt;62,0,'Combined Retirement'!$I$14)</f>
        <v>2345</v>
      </c>
      <c r="I870" s="25">
        <f>IF(C870&lt;62,0,'Combined Retirement'!$I$13)</f>
        <v>2420</v>
      </c>
      <c r="J870" s="25">
        <f t="shared" si="783"/>
        <v>7896.2379798201846</v>
      </c>
      <c r="K870" s="25">
        <f t="shared" si="784"/>
        <v>20367.195264578786</v>
      </c>
      <c r="L870" s="25"/>
      <c r="N870" s="25">
        <f>'Combined Retirement'!$C$18/12</f>
        <v>39153.069999999992</v>
      </c>
      <c r="O870" s="25">
        <f t="shared" si="785"/>
        <v>10889.636755601023</v>
      </c>
      <c r="P870" s="25">
        <f t="shared" si="786"/>
        <v>28263.43324439897</v>
      </c>
      <c r="Q870" s="25">
        <f t="array" aca="1" ref="Q870" ca="1">INDEX('Isaac 401k'!L:L,MATCH('Retirement Calculator'!A870,'Isaac 401k'!N:N,0),0)</f>
        <v>1953970.2004565017</v>
      </c>
      <c r="R870" s="25">
        <f t="array" aca="1" ref="R870" ca="1">INDEX('Lorri 401b'!L:L,MATCH('Retirement Calculator'!A870,'Lorri 401b'!N:N,0),0)</f>
        <v>-4715418.3236206556</v>
      </c>
      <c r="S870" s="25">
        <f t="shared" ca="1" si="787"/>
        <v>-2761448.1231641537</v>
      </c>
    </row>
    <row r="871" spans="1:19" ht="15.75" customHeight="1" x14ac:dyDescent="0.3">
      <c r="A871" s="37">
        <v>77464</v>
      </c>
      <c r="B871" s="398">
        <f t="shared" ref="B871:C871" si="882">($A871-B$9)/365.25</f>
        <v>130.20670773442848</v>
      </c>
      <c r="C871" s="398">
        <f t="shared" si="882"/>
        <v>125.59616700889802</v>
      </c>
      <c r="E871" s="25">
        <f>IF(C871&gt;$B$7,0,'Combined Retirement'!$D$13/12)</f>
        <v>0</v>
      </c>
      <c r="F871" s="25">
        <f>IF(H871=0,'Combined Retirement'!$D$32,0)+'Combined Retirement'!$B$24</f>
        <v>2870.372285649099</v>
      </c>
      <c r="G871" s="25">
        <f>'Combined Retirement'!$C$24</f>
        <v>3254.2644699519233</v>
      </c>
      <c r="H871" s="25">
        <f>IF(B871&lt;62,0,'Combined Retirement'!$I$14)</f>
        <v>2345</v>
      </c>
      <c r="I871" s="25">
        <f>IF(C871&lt;62,0,'Combined Retirement'!$I$13)</f>
        <v>2420</v>
      </c>
      <c r="J871" s="25">
        <f t="shared" si="783"/>
        <v>7896.2379798201846</v>
      </c>
      <c r="K871" s="25">
        <f t="shared" si="784"/>
        <v>20367.195264578786</v>
      </c>
      <c r="L871" s="25"/>
      <c r="N871" s="25">
        <f>'Combined Retirement'!$C$18/12</f>
        <v>39153.069999999992</v>
      </c>
      <c r="O871" s="25">
        <f t="shared" si="785"/>
        <v>10889.636755601023</v>
      </c>
      <c r="P871" s="25">
        <f t="shared" si="786"/>
        <v>28263.43324439897</v>
      </c>
      <c r="Q871" s="25">
        <f t="array" aca="1" ref="Q871" ca="1">INDEX('Isaac 401k'!L:L,MATCH('Retirement Calculator'!A871,'Isaac 401k'!N:N,0),0)</f>
        <v>1954182.6039870009</v>
      </c>
      <c r="R871" s="25">
        <f t="array" aca="1" ref="R871" ca="1">INDEX('Lorri 401b'!L:L,MATCH('Retirement Calculator'!A871,'Lorri 401b'!N:N,0),0)</f>
        <v>-4755517.958547256</v>
      </c>
      <c r="S871" s="25">
        <f t="shared" ca="1" si="787"/>
        <v>-2801335.3545602551</v>
      </c>
    </row>
    <row r="872" spans="1:19" ht="15.75" customHeight="1" x14ac:dyDescent="0.3">
      <c r="A872" s="37">
        <v>77493</v>
      </c>
      <c r="B872" s="398">
        <f t="shared" ref="B872:C872" si="883">($A872-B$9)/365.25</f>
        <v>130.28610540725529</v>
      </c>
      <c r="C872" s="398">
        <f t="shared" si="883"/>
        <v>125.67556468172485</v>
      </c>
      <c r="E872" s="25">
        <f>IF(C872&gt;$B$7,0,'Combined Retirement'!$D$13/12)</f>
        <v>0</v>
      </c>
      <c r="F872" s="25">
        <f>IF(H872=0,'Combined Retirement'!$D$32,0)+'Combined Retirement'!$B$24</f>
        <v>2870.372285649099</v>
      </c>
      <c r="G872" s="25">
        <f>'Combined Retirement'!$C$24</f>
        <v>3254.2644699519233</v>
      </c>
      <c r="H872" s="25">
        <f>IF(B872&lt;62,0,'Combined Retirement'!$I$14)</f>
        <v>2345</v>
      </c>
      <c r="I872" s="25">
        <f>IF(C872&lt;62,0,'Combined Retirement'!$I$13)</f>
        <v>2420</v>
      </c>
      <c r="J872" s="25">
        <f t="shared" si="783"/>
        <v>7896.2379798201846</v>
      </c>
      <c r="K872" s="25">
        <f t="shared" si="784"/>
        <v>20367.195264578786</v>
      </c>
      <c r="L872" s="25"/>
      <c r="N872" s="25">
        <f>'Combined Retirement'!$C$18/12</f>
        <v>39153.069999999992</v>
      </c>
      <c r="O872" s="25">
        <f t="shared" si="785"/>
        <v>10889.636755601023</v>
      </c>
      <c r="P872" s="25">
        <f t="shared" si="786"/>
        <v>28263.43324439897</v>
      </c>
      <c r="Q872" s="25">
        <f t="array" aca="1" ref="Q872" ca="1">INDEX('Isaac 401k'!L:L,MATCH('Retirement Calculator'!A872,'Isaac 401k'!N:N,0),0)</f>
        <v>1954395.8925322106</v>
      </c>
      <c r="R872" s="25">
        <f t="array" aca="1" ref="R872" ca="1">INDEX('Lorri 401b'!L:L,MATCH('Retirement Calculator'!A872,'Lorri 401b'!N:N,0),0)</f>
        <v>-4795784.6752860509</v>
      </c>
      <c r="S872" s="25">
        <f t="shared" ca="1" si="787"/>
        <v>-2841388.7827538401</v>
      </c>
    </row>
    <row r="873" spans="1:19" ht="15.75" customHeight="1" x14ac:dyDescent="0.3">
      <c r="A873" s="37">
        <v>77524</v>
      </c>
      <c r="B873" s="398">
        <f t="shared" ref="B873:C873" si="884">($A873-B$9)/365.25</f>
        <v>130.37097878165639</v>
      </c>
      <c r="C873" s="398">
        <f t="shared" si="884"/>
        <v>125.76043805612593</v>
      </c>
      <c r="E873" s="25">
        <f>IF(C873&gt;$B$7,0,'Combined Retirement'!$D$13/12)</f>
        <v>0</v>
      </c>
      <c r="F873" s="25">
        <f>IF(H873=0,'Combined Retirement'!$D$32,0)+'Combined Retirement'!$B$24</f>
        <v>2870.372285649099</v>
      </c>
      <c r="G873" s="25">
        <f>'Combined Retirement'!$C$24</f>
        <v>3254.2644699519233</v>
      </c>
      <c r="H873" s="25">
        <f>IF(B873&lt;62,0,'Combined Retirement'!$I$14)</f>
        <v>2345</v>
      </c>
      <c r="I873" s="25">
        <f>IF(C873&lt;62,0,'Combined Retirement'!$I$13)</f>
        <v>2420</v>
      </c>
      <c r="J873" s="25">
        <f t="shared" si="783"/>
        <v>7896.2379798201846</v>
      </c>
      <c r="K873" s="25">
        <f t="shared" si="784"/>
        <v>20367.195264578786</v>
      </c>
      <c r="L873" s="25"/>
      <c r="N873" s="25">
        <f>'Combined Retirement'!$C$18/12</f>
        <v>39153.069999999992</v>
      </c>
      <c r="O873" s="25">
        <f t="shared" si="785"/>
        <v>10889.636755601023</v>
      </c>
      <c r="P873" s="25">
        <f t="shared" si="786"/>
        <v>28263.43324439897</v>
      </c>
      <c r="Q873" s="25">
        <f t="array" aca="1" ref="Q873" ca="1">INDEX('Isaac 401k'!L:L,MATCH('Retirement Calculator'!A873,'Isaac 401k'!N:N,0),0)</f>
        <v>1954610.069779692</v>
      </c>
      <c r="R873" s="25">
        <f t="array" aca="1" ref="R873" ca="1">INDEX('Lorri 401b'!L:L,MATCH('Retirement Calculator'!A873,'Lorri 401b'!N:N,0),0)</f>
        <v>-4836219.1700112578</v>
      </c>
      <c r="S873" s="25">
        <f t="shared" ca="1" si="787"/>
        <v>-2881609.1002315655</v>
      </c>
    </row>
    <row r="874" spans="1:19" ht="15.75" customHeight="1" x14ac:dyDescent="0.3">
      <c r="A874" s="37">
        <v>77554</v>
      </c>
      <c r="B874" s="398">
        <f t="shared" ref="B874:C874" si="885">($A874-B$9)/365.25</f>
        <v>130.45311430527036</v>
      </c>
      <c r="C874" s="398">
        <f t="shared" si="885"/>
        <v>125.84257357973991</v>
      </c>
      <c r="E874" s="25">
        <f>IF(C874&gt;$B$7,0,'Combined Retirement'!$D$13/12)</f>
        <v>0</v>
      </c>
      <c r="F874" s="25">
        <f>IF(H874=0,'Combined Retirement'!$D$32,0)+'Combined Retirement'!$B$24</f>
        <v>2870.372285649099</v>
      </c>
      <c r="G874" s="25">
        <f>'Combined Retirement'!$C$24</f>
        <v>3254.2644699519233</v>
      </c>
      <c r="H874" s="25">
        <f>IF(B874&lt;62,0,'Combined Retirement'!$I$14)</f>
        <v>2345</v>
      </c>
      <c r="I874" s="25">
        <f>IF(C874&lt;62,0,'Combined Retirement'!$I$13)</f>
        <v>2420</v>
      </c>
      <c r="J874" s="25">
        <f t="shared" si="783"/>
        <v>7896.2379798201846</v>
      </c>
      <c r="K874" s="25">
        <f t="shared" si="784"/>
        <v>20367.195264578786</v>
      </c>
      <c r="L874" s="25"/>
      <c r="N874" s="25">
        <f>'Combined Retirement'!$C$18/12</f>
        <v>39153.069999999992</v>
      </c>
      <c r="O874" s="25">
        <f t="shared" si="785"/>
        <v>10889.636755601023</v>
      </c>
      <c r="P874" s="25">
        <f t="shared" si="786"/>
        <v>28263.43324439897</v>
      </c>
      <c r="Q874" s="25">
        <f t="array" aca="1" ref="Q874" ca="1">INDEX('Isaac 401k'!L:L,MATCH('Retirement Calculator'!A874,'Isaac 401k'!N:N,0),0)</f>
        <v>1954825.1394323711</v>
      </c>
      <c r="R874" s="25">
        <f t="array" aca="1" ref="R874" ca="1">INDEX('Lorri 401b'!L:L,MATCH('Retirement Calculator'!A874,'Lorri 401b'!N:N,0),0)</f>
        <v>-4876822.1417978192</v>
      </c>
      <c r="S874" s="25">
        <f t="shared" ca="1" si="787"/>
        <v>-2921997.002365448</v>
      </c>
    </row>
    <row r="875" spans="1:19" ht="15.75" customHeight="1" x14ac:dyDescent="0.3">
      <c r="A875" s="37">
        <v>77585</v>
      </c>
      <c r="B875" s="398">
        <f t="shared" ref="B875:C875" si="886">($A875-B$9)/365.25</f>
        <v>130.53798767967146</v>
      </c>
      <c r="C875" s="398">
        <f t="shared" si="886"/>
        <v>125.927446954141</v>
      </c>
      <c r="E875" s="25">
        <f>IF(C875&gt;$B$7,0,'Combined Retirement'!$D$13/12)</f>
        <v>0</v>
      </c>
      <c r="F875" s="25">
        <f>IF(H875=0,'Combined Retirement'!$D$32,0)+'Combined Retirement'!$B$24</f>
        <v>2870.372285649099</v>
      </c>
      <c r="G875" s="25">
        <f>'Combined Retirement'!$C$24</f>
        <v>3254.2644699519233</v>
      </c>
      <c r="H875" s="25">
        <f>IF(B875&lt;62,0,'Combined Retirement'!$I$14)</f>
        <v>2345</v>
      </c>
      <c r="I875" s="25">
        <f>IF(C875&lt;62,0,'Combined Retirement'!$I$13)</f>
        <v>2420</v>
      </c>
      <c r="J875" s="25">
        <f t="shared" si="783"/>
        <v>7896.2379798201846</v>
      </c>
      <c r="K875" s="25">
        <f t="shared" si="784"/>
        <v>20367.195264578786</v>
      </c>
      <c r="L875" s="25"/>
      <c r="N875" s="25">
        <f>'Combined Retirement'!$C$18/12</f>
        <v>39153.069999999992</v>
      </c>
      <c r="O875" s="25">
        <f t="shared" si="785"/>
        <v>10889.636755601023</v>
      </c>
      <c r="P875" s="25">
        <f t="shared" si="786"/>
        <v>28263.43324439897</v>
      </c>
      <c r="Q875" s="25">
        <f t="array" aca="1" ref="Q875" ca="1">INDEX('Isaac 401k'!L:L,MATCH('Retirement Calculator'!A875,'Isaac 401k'!N:N,0),0)</f>
        <v>1955041.1052086032</v>
      </c>
      <c r="R875" s="25">
        <f t="array" aca="1" ref="R875" ca="1">INDEX('Lorri 401b'!L:L,MATCH('Retirement Calculator'!A875,'Lorri 401b'!N:N,0),0)</f>
        <v>-4917594.2926334916</v>
      </c>
      <c r="S875" s="25">
        <f t="shared" ca="1" si="787"/>
        <v>-2962553.1874248884</v>
      </c>
    </row>
    <row r="876" spans="1:19" ht="15.75" customHeight="1" x14ac:dyDescent="0.3">
      <c r="A876" s="37">
        <v>77615</v>
      </c>
      <c r="B876" s="398">
        <f t="shared" ref="B876:C876" si="887">($A876-B$9)/365.25</f>
        <v>130.62012320328543</v>
      </c>
      <c r="C876" s="398">
        <f t="shared" si="887"/>
        <v>126.00958247775496</v>
      </c>
      <c r="E876" s="25">
        <f>IF(C876&gt;$B$7,0,'Combined Retirement'!$D$13/12)</f>
        <v>0</v>
      </c>
      <c r="F876" s="25">
        <f>IF(H876=0,'Combined Retirement'!$D$32,0)+'Combined Retirement'!$B$24</f>
        <v>2870.372285649099</v>
      </c>
      <c r="G876" s="25">
        <f>'Combined Retirement'!$C$24</f>
        <v>3254.2644699519233</v>
      </c>
      <c r="H876" s="25">
        <f>IF(B876&lt;62,0,'Combined Retirement'!$I$14)</f>
        <v>2345</v>
      </c>
      <c r="I876" s="25">
        <f>IF(C876&lt;62,0,'Combined Retirement'!$I$13)</f>
        <v>2420</v>
      </c>
      <c r="J876" s="25">
        <f t="shared" si="783"/>
        <v>7896.2379798201846</v>
      </c>
      <c r="K876" s="25">
        <f t="shared" si="784"/>
        <v>20367.195264578786</v>
      </c>
      <c r="L876" s="25"/>
      <c r="N876" s="25">
        <f>'Combined Retirement'!$C$18/12</f>
        <v>39153.069999999992</v>
      </c>
      <c r="O876" s="25">
        <f t="shared" si="785"/>
        <v>10889.636755601023</v>
      </c>
      <c r="P876" s="25">
        <f t="shared" si="786"/>
        <v>28263.43324439897</v>
      </c>
      <c r="Q876" s="25">
        <f t="array" aca="1" ref="Q876" ca="1">INDEX('Isaac 401k'!L:L,MATCH('Retirement Calculator'!A876,'Isaac 401k'!N:N,0),0)</f>
        <v>1955257.9708422362</v>
      </c>
      <c r="R876" s="25">
        <f t="array" aca="1" ref="R876" ca="1">INDEX('Lorri 401b'!L:L,MATCH('Retirement Calculator'!A876,'Lorri 401b'!N:N,0),0)</f>
        <v>-4958536.3274309793</v>
      </c>
      <c r="S876" s="25">
        <f t="shared" ca="1" si="787"/>
        <v>-3003278.3565887432</v>
      </c>
    </row>
    <row r="877" spans="1:19" ht="15.75" customHeight="1" x14ac:dyDescent="0.3">
      <c r="A877" s="37">
        <v>77646</v>
      </c>
      <c r="B877" s="398">
        <f t="shared" ref="B877:C877" si="888">($A877-B$9)/365.25</f>
        <v>130.70499657768653</v>
      </c>
      <c r="C877" s="398">
        <f t="shared" si="888"/>
        <v>126.09445585215606</v>
      </c>
      <c r="E877" s="25">
        <f>IF(C877&gt;$B$7,0,'Combined Retirement'!$D$13/12)</f>
        <v>0</v>
      </c>
      <c r="F877" s="25">
        <f>IF(H877=0,'Combined Retirement'!$D$32,0)+'Combined Retirement'!$B$24</f>
        <v>2870.372285649099</v>
      </c>
      <c r="G877" s="25">
        <f>'Combined Retirement'!$C$24</f>
        <v>3254.2644699519233</v>
      </c>
      <c r="H877" s="25">
        <f>IF(B877&lt;62,0,'Combined Retirement'!$I$14)</f>
        <v>2345</v>
      </c>
      <c r="I877" s="25">
        <f>IF(C877&lt;62,0,'Combined Retirement'!$I$13)</f>
        <v>2420</v>
      </c>
      <c r="J877" s="25">
        <f t="shared" si="783"/>
        <v>7896.2379798201846</v>
      </c>
      <c r="K877" s="25">
        <f t="shared" si="784"/>
        <v>20367.195264578786</v>
      </c>
      <c r="L877" s="25"/>
      <c r="N877" s="25">
        <f>'Combined Retirement'!$C$18/12</f>
        <v>39153.069999999992</v>
      </c>
      <c r="O877" s="25">
        <f t="shared" si="785"/>
        <v>10889.636755601023</v>
      </c>
      <c r="P877" s="25">
        <f t="shared" si="786"/>
        <v>28263.43324439897</v>
      </c>
      <c r="Q877" s="25">
        <f t="array" aca="1" ref="Q877" ca="1">INDEX('Isaac 401k'!L:L,MATCH('Retirement Calculator'!A877,'Isaac 401k'!N:N,0),0)</f>
        <v>1955475.7400826761</v>
      </c>
      <c r="R877" s="25">
        <f t="array" aca="1" ref="R877" ca="1">INDEX('Lorri 401b'!L:L,MATCH('Retirement Calculator'!A877,'Lorri 401b'!N:N,0),0)</f>
        <v>-4999648.9540401231</v>
      </c>
      <c r="S877" s="25">
        <f t="shared" ca="1" si="787"/>
        <v>-3044173.2139574471</v>
      </c>
    </row>
    <row r="878" spans="1:19" ht="15.75" customHeight="1" x14ac:dyDescent="0.3">
      <c r="A878" s="37">
        <v>77677</v>
      </c>
      <c r="B878" s="398">
        <f t="shared" ref="B878:C878" si="889">($A878-B$9)/365.25</f>
        <v>130.7898699520876</v>
      </c>
      <c r="C878" s="398">
        <f t="shared" si="889"/>
        <v>126.17932922655716</v>
      </c>
      <c r="E878" s="25">
        <f>IF(C878&gt;$B$7,0,'Combined Retirement'!$D$13/12)</f>
        <v>0</v>
      </c>
      <c r="F878" s="25">
        <f>IF(H878=0,'Combined Retirement'!$D$32,0)+'Combined Retirement'!$B$24</f>
        <v>2870.372285649099</v>
      </c>
      <c r="G878" s="25">
        <f>'Combined Retirement'!$C$24</f>
        <v>3254.2644699519233</v>
      </c>
      <c r="H878" s="25">
        <f>IF(B878&lt;62,0,'Combined Retirement'!$I$14)</f>
        <v>2345</v>
      </c>
      <c r="I878" s="25">
        <f>IF(C878&lt;62,0,'Combined Retirement'!$I$13)</f>
        <v>2420</v>
      </c>
      <c r="J878" s="25">
        <f t="shared" si="783"/>
        <v>7896.2379798201846</v>
      </c>
      <c r="K878" s="25">
        <f t="shared" si="784"/>
        <v>20367.195264578786</v>
      </c>
      <c r="L878" s="25"/>
      <c r="N878" s="25">
        <f>'Combined Retirement'!$C$18/12</f>
        <v>39153.069999999992</v>
      </c>
      <c r="O878" s="25">
        <f t="shared" si="785"/>
        <v>10889.636755601023</v>
      </c>
      <c r="P878" s="25">
        <f t="shared" si="786"/>
        <v>28263.43324439897</v>
      </c>
      <c r="Q878" s="25">
        <f t="array" aca="1" ref="Q878" ca="1">INDEX('Isaac 401k'!L:L,MATCH('Retirement Calculator'!A878,'Isaac 401k'!N:N,0),0)</f>
        <v>1955694.416694951</v>
      </c>
      <c r="R878" s="25">
        <f t="array" aca="1" ref="R878" ca="1">INDEX('Lorri 401b'!L:L,MATCH('Retirement Calculator'!A878,'Lorri 401b'!N:N,0),0)</f>
        <v>-5040932.8832601383</v>
      </c>
      <c r="S878" s="25">
        <f t="shared" ca="1" si="787"/>
        <v>-3085238.4665651871</v>
      </c>
    </row>
    <row r="879" spans="1:19" ht="15.75" customHeight="1" x14ac:dyDescent="0.3">
      <c r="A879" s="37">
        <v>77707</v>
      </c>
      <c r="B879" s="398">
        <f t="shared" ref="B879:C879" si="890">($A879-B$9)/365.25</f>
        <v>130.87200547570157</v>
      </c>
      <c r="C879" s="398">
        <f t="shared" si="890"/>
        <v>126.26146475017111</v>
      </c>
      <c r="E879" s="25">
        <f>IF(C879&gt;$B$7,0,'Combined Retirement'!$D$13/12)</f>
        <v>0</v>
      </c>
      <c r="F879" s="25">
        <f>IF(H879=0,'Combined Retirement'!$D$32,0)+'Combined Retirement'!$B$24</f>
        <v>2870.372285649099</v>
      </c>
      <c r="G879" s="25">
        <f>'Combined Retirement'!$C$24</f>
        <v>3254.2644699519233</v>
      </c>
      <c r="H879" s="25">
        <f>IF(B879&lt;62,0,'Combined Retirement'!$I$14)</f>
        <v>2345</v>
      </c>
      <c r="I879" s="25">
        <f>IF(C879&lt;62,0,'Combined Retirement'!$I$13)</f>
        <v>2420</v>
      </c>
      <c r="J879" s="25">
        <f t="shared" si="783"/>
        <v>7896.2379798201846</v>
      </c>
      <c r="K879" s="25">
        <f t="shared" si="784"/>
        <v>20367.195264578786</v>
      </c>
      <c r="L879" s="25"/>
      <c r="N879" s="25">
        <f>'Combined Retirement'!$C$18/12</f>
        <v>39153.069999999992</v>
      </c>
      <c r="O879" s="25">
        <f t="shared" si="785"/>
        <v>10889.636755601023</v>
      </c>
      <c r="P879" s="25">
        <f t="shared" si="786"/>
        <v>28263.43324439897</v>
      </c>
      <c r="Q879" s="25">
        <f t="array" aca="1" ref="Q879" ca="1">INDEX('Isaac 401k'!L:L,MATCH('Retirement Calculator'!A879,'Isaac 401k'!N:N,0),0)</f>
        <v>1955914.0044597771</v>
      </c>
      <c r="R879" s="25">
        <f t="array" aca="1" ref="R879" ca="1">INDEX('Lorri 401b'!L:L,MATCH('Retirement Calculator'!A879,'Lorri 401b'!N:N,0),0)</f>
        <v>-5082388.8288519038</v>
      </c>
      <c r="S879" s="25">
        <f t="shared" ca="1" si="787"/>
        <v>-3126474.8243921269</v>
      </c>
    </row>
    <row r="880" spans="1:19" ht="15.75" customHeight="1" x14ac:dyDescent="0.3">
      <c r="A880" s="37">
        <v>77738</v>
      </c>
      <c r="B880" s="398">
        <f t="shared" ref="B880:C880" si="891">($A880-B$9)/365.25</f>
        <v>130.95687885010267</v>
      </c>
      <c r="C880" s="398">
        <f t="shared" si="891"/>
        <v>126.34633812457221</v>
      </c>
      <c r="E880" s="25">
        <f>IF(C880&gt;$B$7,0,'Combined Retirement'!$D$13/12)</f>
        <v>0</v>
      </c>
      <c r="F880" s="25">
        <f>IF(H880=0,'Combined Retirement'!$D$32,0)+'Combined Retirement'!$B$24</f>
        <v>2870.372285649099</v>
      </c>
      <c r="G880" s="25">
        <f>'Combined Retirement'!$C$24</f>
        <v>3254.2644699519233</v>
      </c>
      <c r="H880" s="25">
        <f>IF(B880&lt;62,0,'Combined Retirement'!$I$14)</f>
        <v>2345</v>
      </c>
      <c r="I880" s="25">
        <f>IF(C880&lt;62,0,'Combined Retirement'!$I$13)</f>
        <v>2420</v>
      </c>
      <c r="J880" s="25">
        <f t="shared" si="783"/>
        <v>7896.2379798201846</v>
      </c>
      <c r="K880" s="25">
        <f t="shared" si="784"/>
        <v>20367.195264578786</v>
      </c>
      <c r="L880" s="25"/>
      <c r="N880" s="25">
        <f>'Combined Retirement'!$C$18/12</f>
        <v>39153.069999999992</v>
      </c>
      <c r="O880" s="25">
        <f t="shared" si="785"/>
        <v>10889.636755601023</v>
      </c>
      <c r="P880" s="25">
        <f t="shared" si="786"/>
        <v>28263.43324439897</v>
      </c>
      <c r="Q880" s="25">
        <f t="array" aca="1" ref="Q880" ca="1">INDEX('Isaac 401k'!L:L,MATCH('Retirement Calculator'!A880,'Isaac 401k'!N:N,0),0)</f>
        <v>1956134.5071736234</v>
      </c>
      <c r="R880" s="25">
        <f t="array" aca="1" ref="R880" ca="1">INDEX('Lorri 401b'!L:L,MATCH('Retirement Calculator'!A880,'Lorri 401b'!N:N,0),0)</f>
        <v>-5124017.507550301</v>
      </c>
      <c r="S880" s="25">
        <f t="shared" ca="1" si="787"/>
        <v>-3167883.0003766776</v>
      </c>
    </row>
    <row r="881" spans="1:19" ht="15.75" customHeight="1" x14ac:dyDescent="0.3">
      <c r="A881" s="37">
        <v>77768</v>
      </c>
      <c r="B881" s="398">
        <f t="shared" ref="B881:C881" si="892">($A881-B$9)/365.25</f>
        <v>131.03901437371664</v>
      </c>
      <c r="C881" s="398">
        <f t="shared" si="892"/>
        <v>126.42847364818617</v>
      </c>
      <c r="E881" s="25">
        <f>IF(C881&gt;$B$7,0,'Combined Retirement'!$D$13/12)</f>
        <v>0</v>
      </c>
      <c r="F881" s="25">
        <f>IF(H881=0,'Combined Retirement'!$D$32,0)+'Combined Retirement'!$B$24</f>
        <v>2870.372285649099</v>
      </c>
      <c r="G881" s="25">
        <f>'Combined Retirement'!$C$24</f>
        <v>3254.2644699519233</v>
      </c>
      <c r="H881" s="25">
        <f>IF(B881&lt;62,0,'Combined Retirement'!$I$14)</f>
        <v>2345</v>
      </c>
      <c r="I881" s="25">
        <f>IF(C881&lt;62,0,'Combined Retirement'!$I$13)</f>
        <v>2420</v>
      </c>
      <c r="J881" s="25">
        <f t="shared" si="783"/>
        <v>7896.2379798201846</v>
      </c>
      <c r="K881" s="25">
        <f t="shared" si="784"/>
        <v>20367.195264578786</v>
      </c>
      <c r="L881" s="25"/>
      <c r="N881" s="25">
        <f>'Combined Retirement'!$C$18/12</f>
        <v>39153.069999999992</v>
      </c>
      <c r="O881" s="25">
        <f t="shared" si="785"/>
        <v>10889.636755601023</v>
      </c>
      <c r="P881" s="25">
        <f t="shared" si="786"/>
        <v>28263.43324439897</v>
      </c>
      <c r="Q881" s="25">
        <f t="array" aca="1" ref="Q881" ca="1">INDEX('Isaac 401k'!L:L,MATCH('Retirement Calculator'!A881,'Isaac 401k'!N:N,0),0)</f>
        <v>1956355.9286487773</v>
      </c>
      <c r="R881" s="25">
        <f t="array" aca="1" ref="R881" ca="1">INDEX('Lorri 401b'!L:L,MATCH('Retirement Calculator'!A881,'Lorri 401b'!N:N,0),0)</f>
        <v>-5165819.6390766082</v>
      </c>
      <c r="S881" s="25">
        <f t="shared" ca="1" si="787"/>
        <v>-3209463.7104278309</v>
      </c>
    </row>
    <row r="882" spans="1:19" ht="15.75" customHeight="1" x14ac:dyDescent="0.3">
      <c r="A882" s="37">
        <v>77799</v>
      </c>
      <c r="B882" s="398">
        <f t="shared" ref="B882:C882" si="893">($A882-B$9)/365.25</f>
        <v>131.12388774811774</v>
      </c>
      <c r="C882" s="398">
        <f t="shared" si="893"/>
        <v>126.51334702258727</v>
      </c>
      <c r="E882" s="25">
        <f>IF(C882&gt;$B$7,0,'Combined Retirement'!$D$13/12)</f>
        <v>0</v>
      </c>
      <c r="F882" s="25">
        <f>IF(H882=0,'Combined Retirement'!$D$32,0)+'Combined Retirement'!$B$24</f>
        <v>2870.372285649099</v>
      </c>
      <c r="G882" s="25">
        <f>'Combined Retirement'!$C$24</f>
        <v>3254.2644699519233</v>
      </c>
      <c r="H882" s="25">
        <f>IF(B882&lt;62,0,'Combined Retirement'!$I$14)</f>
        <v>2345</v>
      </c>
      <c r="I882" s="25">
        <f>IF(C882&lt;62,0,'Combined Retirement'!$I$13)</f>
        <v>2420</v>
      </c>
      <c r="J882" s="25">
        <f t="shared" si="783"/>
        <v>7896.2379798201846</v>
      </c>
      <c r="K882" s="25">
        <f t="shared" si="784"/>
        <v>20367.195264578786</v>
      </c>
      <c r="L882" s="25"/>
      <c r="N882" s="25">
        <f>'Combined Retirement'!$C$18/12</f>
        <v>39153.069999999992</v>
      </c>
      <c r="O882" s="25">
        <f t="shared" si="785"/>
        <v>10889.636755601023</v>
      </c>
      <c r="P882" s="25">
        <f t="shared" si="786"/>
        <v>28263.43324439897</v>
      </c>
      <c r="Q882" s="25">
        <f t="array" aca="1" ref="Q882" ca="1">INDEX('Isaac 401k'!L:L,MATCH('Retirement Calculator'!A882,'Isaac 401k'!N:N,0),0)</f>
        <v>1956578.2727134111</v>
      </c>
      <c r="R882" s="25">
        <f t="array" aca="1" ref="R882" ca="1">INDEX('Lorri 401b'!L:L,MATCH('Retirement Calculator'!A882,'Lorri 401b'!N:N,0),0)</f>
        <v>-5207795.9461509418</v>
      </c>
      <c r="S882" s="25">
        <f t="shared" ca="1" si="787"/>
        <v>-3251217.6734375306</v>
      </c>
    </row>
    <row r="883" spans="1:19" ht="15.75" customHeight="1" x14ac:dyDescent="0.3">
      <c r="A883" s="37">
        <v>77830</v>
      </c>
      <c r="B883" s="398">
        <f t="shared" ref="B883:C883" si="894">($A883-B$9)/365.25</f>
        <v>131.20876112251884</v>
      </c>
      <c r="C883" s="398">
        <f t="shared" si="894"/>
        <v>126.59822039698837</v>
      </c>
      <c r="E883" s="25">
        <f>IF(C883&gt;$B$7,0,'Combined Retirement'!$D$13/12)</f>
        <v>0</v>
      </c>
      <c r="F883" s="25">
        <f>IF(H883=0,'Combined Retirement'!$D$32,0)+'Combined Retirement'!$B$24</f>
        <v>2870.372285649099</v>
      </c>
      <c r="G883" s="25">
        <f>'Combined Retirement'!$C$24</f>
        <v>3254.2644699519233</v>
      </c>
      <c r="H883" s="25">
        <f>IF(B883&lt;62,0,'Combined Retirement'!$I$14)</f>
        <v>2345</v>
      </c>
      <c r="I883" s="25">
        <f>IF(C883&lt;62,0,'Combined Retirement'!$I$13)</f>
        <v>2420</v>
      </c>
      <c r="J883" s="25">
        <f t="shared" si="783"/>
        <v>7896.2379798201846</v>
      </c>
      <c r="K883" s="25">
        <f t="shared" si="784"/>
        <v>20367.195264578786</v>
      </c>
      <c r="L883" s="25"/>
      <c r="N883" s="25">
        <f>'Combined Retirement'!$C$18/12</f>
        <v>39153.069999999992</v>
      </c>
      <c r="O883" s="25">
        <f t="shared" si="785"/>
        <v>10889.636755601023</v>
      </c>
      <c r="P883" s="25">
        <f t="shared" si="786"/>
        <v>28263.43324439897</v>
      </c>
      <c r="Q883" s="25">
        <f t="array" aca="1" ref="Q883" ca="1">INDEX('Isaac 401k'!L:L,MATCH('Retirement Calculator'!A883,'Isaac 401k'!N:N,0),0)</f>
        <v>1956801.5432116475</v>
      </c>
      <c r="R883" s="25">
        <f t="array" aca="1" ref="R883" ca="1">INDEX('Lorri 401b'!L:L,MATCH('Retirement Calculator'!A883,'Lorri 401b'!N:N,0),0)</f>
        <v>-5249947.1545047518</v>
      </c>
      <c r="S883" s="25">
        <f t="shared" ca="1" si="787"/>
        <v>-3293145.6112931045</v>
      </c>
    </row>
    <row r="884" spans="1:19" ht="15.75" customHeight="1" x14ac:dyDescent="0.3">
      <c r="A884" s="37">
        <v>77858</v>
      </c>
      <c r="B884" s="398">
        <f t="shared" ref="B884:C884" si="895">($A884-B$9)/365.25</f>
        <v>131.28542094455852</v>
      </c>
      <c r="C884" s="398">
        <f t="shared" si="895"/>
        <v>126.67488021902807</v>
      </c>
      <c r="E884" s="25">
        <f>IF(C884&gt;$B$7,0,'Combined Retirement'!$D$13/12)</f>
        <v>0</v>
      </c>
      <c r="F884" s="25">
        <f>IF(H884=0,'Combined Retirement'!$D$32,0)+'Combined Retirement'!$B$24</f>
        <v>2870.372285649099</v>
      </c>
      <c r="G884" s="25">
        <f>'Combined Retirement'!$C$24</f>
        <v>3254.2644699519233</v>
      </c>
      <c r="H884" s="25">
        <f>IF(B884&lt;62,0,'Combined Retirement'!$I$14)</f>
        <v>2345</v>
      </c>
      <c r="I884" s="25">
        <f>IF(C884&lt;62,0,'Combined Retirement'!$I$13)</f>
        <v>2420</v>
      </c>
      <c r="J884" s="25">
        <f t="shared" si="783"/>
        <v>7896.2379798201846</v>
      </c>
      <c r="K884" s="25">
        <f t="shared" si="784"/>
        <v>20367.195264578786</v>
      </c>
      <c r="L884" s="25"/>
      <c r="N884" s="25">
        <f>'Combined Retirement'!$C$18/12</f>
        <v>39153.069999999992</v>
      </c>
      <c r="O884" s="25">
        <f t="shared" si="785"/>
        <v>10889.636755601023</v>
      </c>
      <c r="P884" s="25">
        <f t="shared" si="786"/>
        <v>28263.43324439897</v>
      </c>
      <c r="Q884" s="25">
        <f t="array" aca="1" ref="Q884" ca="1">INDEX('Isaac 401k'!L:L,MATCH('Retirement Calculator'!A884,'Isaac 401k'!N:N,0),0)</f>
        <v>1957025.7440036265</v>
      </c>
      <c r="R884" s="25">
        <f t="array" aca="1" ref="R884" ca="1">INDEX('Lorri 401b'!L:L,MATCH('Retirement Calculator'!A884,'Lorri 401b'!N:N,0),0)</f>
        <v>-5292273.9928933699</v>
      </c>
      <c r="S884" s="25">
        <f t="shared" ca="1" si="787"/>
        <v>-3335248.2488897434</v>
      </c>
    </row>
    <row r="885" spans="1:19" ht="15.75" customHeight="1" x14ac:dyDescent="0.3">
      <c r="A885" s="37">
        <v>77889</v>
      </c>
      <c r="B885" s="398">
        <f t="shared" ref="B885:C885" si="896">($A885-B$9)/365.25</f>
        <v>131.37029431895962</v>
      </c>
      <c r="C885" s="398">
        <f t="shared" si="896"/>
        <v>126.75975359342915</v>
      </c>
      <c r="E885" s="25">
        <f>IF(C885&gt;$B$7,0,'Combined Retirement'!$D$13/12)</f>
        <v>0</v>
      </c>
      <c r="F885" s="25">
        <f>IF(H885=0,'Combined Retirement'!$D$32,0)+'Combined Retirement'!$B$24</f>
        <v>2870.372285649099</v>
      </c>
      <c r="G885" s="25">
        <f>'Combined Retirement'!$C$24</f>
        <v>3254.2644699519233</v>
      </c>
      <c r="H885" s="25">
        <f>IF(B885&lt;62,0,'Combined Retirement'!$I$14)</f>
        <v>2345</v>
      </c>
      <c r="I885" s="25">
        <f>IF(C885&lt;62,0,'Combined Retirement'!$I$13)</f>
        <v>2420</v>
      </c>
      <c r="J885" s="25">
        <f t="shared" si="783"/>
        <v>7896.2379798201846</v>
      </c>
      <c r="K885" s="25">
        <f t="shared" si="784"/>
        <v>20367.195264578786</v>
      </c>
      <c r="L885" s="25"/>
      <c r="N885" s="25">
        <f>'Combined Retirement'!$C$18/12</f>
        <v>39153.069999999992</v>
      </c>
      <c r="O885" s="25">
        <f t="shared" si="785"/>
        <v>10889.636755601023</v>
      </c>
      <c r="P885" s="25">
        <f t="shared" si="786"/>
        <v>28263.43324439897</v>
      </c>
      <c r="Q885" s="25">
        <f t="array" aca="1" ref="Q885" ca="1">INDEX('Isaac 401k'!L:L,MATCH('Retirement Calculator'!A885,'Isaac 401k'!N:N,0),0)</f>
        <v>1957250.8789655722</v>
      </c>
      <c r="R885" s="25">
        <f t="array" aca="1" ref="R885" ca="1">INDEX('Lorri 401b'!L:L,MATCH('Retirement Calculator'!A885,'Lorri 401b'!N:N,0),0)</f>
        <v>-5334777.1931086071</v>
      </c>
      <c r="S885" s="25">
        <f t="shared" ca="1" si="787"/>
        <v>-3377526.3141430346</v>
      </c>
    </row>
    <row r="886" spans="1:19" ht="15.75" customHeight="1" x14ac:dyDescent="0.3">
      <c r="A886" s="37">
        <v>77919</v>
      </c>
      <c r="B886" s="398">
        <f t="shared" ref="B886:C886" si="897">($A886-B$9)/365.25</f>
        <v>131.45242984257359</v>
      </c>
      <c r="C886" s="398">
        <f t="shared" si="897"/>
        <v>126.84188911704312</v>
      </c>
      <c r="E886" s="25">
        <f>IF(C886&gt;$B$7,0,'Combined Retirement'!$D$13/12)</f>
        <v>0</v>
      </c>
      <c r="F886" s="25">
        <f>IF(H886=0,'Combined Retirement'!$D$32,0)+'Combined Retirement'!$B$24</f>
        <v>2870.372285649099</v>
      </c>
      <c r="G886" s="25">
        <f>'Combined Retirement'!$C$24</f>
        <v>3254.2644699519233</v>
      </c>
      <c r="H886" s="25">
        <f>IF(B886&lt;62,0,'Combined Retirement'!$I$14)</f>
        <v>2345</v>
      </c>
      <c r="I886" s="25">
        <f>IF(C886&lt;62,0,'Combined Retirement'!$I$13)</f>
        <v>2420</v>
      </c>
      <c r="J886" s="25">
        <f t="shared" si="783"/>
        <v>7896.2379798201846</v>
      </c>
      <c r="K886" s="25">
        <f t="shared" si="784"/>
        <v>20367.195264578786</v>
      </c>
      <c r="L886" s="25"/>
      <c r="N886" s="25">
        <f>'Combined Retirement'!$C$18/12</f>
        <v>39153.069999999992</v>
      </c>
      <c r="O886" s="25">
        <f t="shared" si="785"/>
        <v>10889.636755601023</v>
      </c>
      <c r="P886" s="25">
        <f t="shared" si="786"/>
        <v>28263.43324439897</v>
      </c>
      <c r="Q886" s="25">
        <f t="array" aca="1" ref="Q886" ca="1">INDEX('Isaac 401k'!L:L,MATCH('Retirement Calculator'!A886,'Isaac 401k'!N:N,0),0)</f>
        <v>1957476.9519898593</v>
      </c>
      <c r="R886" s="25">
        <f t="array" aca="1" ref="R886" ca="1">INDEX('Lorri 401b'!L:L,MATCH('Retirement Calculator'!A886,'Lorri 401b'!N:N,0),0)</f>
        <v>-5377457.4899914078</v>
      </c>
      <c r="S886" s="25">
        <f t="shared" ca="1" si="787"/>
        <v>-3419980.5380015485</v>
      </c>
    </row>
    <row r="887" spans="1:19" ht="15.75" customHeight="1" x14ac:dyDescent="0.3">
      <c r="A887" s="37">
        <v>77950</v>
      </c>
      <c r="B887" s="398">
        <f t="shared" ref="B887:C887" si="898">($A887-B$9)/365.25</f>
        <v>131.53730321697466</v>
      </c>
      <c r="C887" s="398">
        <f t="shared" si="898"/>
        <v>126.92676249144422</v>
      </c>
      <c r="E887" s="25">
        <f>IF(C887&gt;$B$7,0,'Combined Retirement'!$D$13/12)</f>
        <v>0</v>
      </c>
      <c r="F887" s="25">
        <f>IF(H887=0,'Combined Retirement'!$D$32,0)+'Combined Retirement'!$B$24</f>
        <v>2870.372285649099</v>
      </c>
      <c r="G887" s="25">
        <f>'Combined Retirement'!$C$24</f>
        <v>3254.2644699519233</v>
      </c>
      <c r="H887" s="25">
        <f>IF(B887&lt;62,0,'Combined Retirement'!$I$14)</f>
        <v>2345</v>
      </c>
      <c r="I887" s="25">
        <f>IF(C887&lt;62,0,'Combined Retirement'!$I$13)</f>
        <v>2420</v>
      </c>
      <c r="J887" s="25">
        <f t="shared" si="783"/>
        <v>7896.2379798201846</v>
      </c>
      <c r="K887" s="25">
        <f t="shared" si="784"/>
        <v>20367.195264578786</v>
      </c>
      <c r="L887" s="25"/>
      <c r="N887" s="25">
        <f>'Combined Retirement'!$C$18/12</f>
        <v>39153.069999999992</v>
      </c>
      <c r="O887" s="25">
        <f t="shared" si="785"/>
        <v>10889.636755601023</v>
      </c>
      <c r="P887" s="25">
        <f t="shared" si="786"/>
        <v>28263.43324439897</v>
      </c>
      <c r="Q887" s="25">
        <f t="array" aca="1" ref="Q887" ca="1">INDEX('Isaac 401k'!L:L,MATCH('Retirement Calculator'!A887,'Isaac 401k'!N:N,0),0)</f>
        <v>1957703.9669850809</v>
      </c>
      <c r="R887" s="25">
        <f t="array" aca="1" ref="R887" ca="1">INDEX('Lorri 401b'!L:L,MATCH('Retirement Calculator'!A887,'Lorri 401b'!N:N,0),0)</f>
        <v>-5420315.6214445531</v>
      </c>
      <c r="S887" s="25">
        <f t="shared" ca="1" si="787"/>
        <v>-3462611.6544594723</v>
      </c>
    </row>
    <row r="888" spans="1:19" ht="15.75" customHeight="1" x14ac:dyDescent="0.3">
      <c r="A888" s="37">
        <v>77980</v>
      </c>
      <c r="B888" s="398">
        <f t="shared" ref="B888:C888" si="899">($A888-B$9)/365.25</f>
        <v>131.61943874058863</v>
      </c>
      <c r="C888" s="398">
        <f t="shared" si="899"/>
        <v>127.00889801505818</v>
      </c>
      <c r="E888" s="25">
        <f>IF(C888&gt;$B$7,0,'Combined Retirement'!$D$13/12)</f>
        <v>0</v>
      </c>
      <c r="F888" s="25">
        <f>IF(H888=0,'Combined Retirement'!$D$32,0)+'Combined Retirement'!$B$24</f>
        <v>2870.372285649099</v>
      </c>
      <c r="G888" s="25">
        <f>'Combined Retirement'!$C$24</f>
        <v>3254.2644699519233</v>
      </c>
      <c r="H888" s="25">
        <f>IF(B888&lt;62,0,'Combined Retirement'!$I$14)</f>
        <v>2345</v>
      </c>
      <c r="I888" s="25">
        <f>IF(C888&lt;62,0,'Combined Retirement'!$I$13)</f>
        <v>2420</v>
      </c>
      <c r="J888" s="25">
        <f t="shared" si="783"/>
        <v>7896.2379798201846</v>
      </c>
      <c r="K888" s="25">
        <f t="shared" si="784"/>
        <v>20367.195264578786</v>
      </c>
      <c r="L888" s="25"/>
      <c r="N888" s="25">
        <f>'Combined Retirement'!$C$18/12</f>
        <v>39153.069999999992</v>
      </c>
      <c r="O888" s="25">
        <f t="shared" si="785"/>
        <v>10889.636755601023</v>
      </c>
      <c r="P888" s="25">
        <f t="shared" si="786"/>
        <v>28263.43324439897</v>
      </c>
      <c r="Q888" s="25">
        <f t="array" aca="1" ref="Q888" ca="1">INDEX('Isaac 401k'!L:L,MATCH('Retirement Calculator'!A888,'Isaac 401k'!N:N,0),0)</f>
        <v>1957931.9278761158</v>
      </c>
      <c r="R888" s="25">
        <f t="array" aca="1" ref="R888" ca="1">INDEX('Lorri 401b'!L:L,MATCH('Retirement Calculator'!A888,'Lorri 401b'!N:N,0),0)</f>
        <v>-5463352.3284454197</v>
      </c>
      <c r="S888" s="25">
        <f t="shared" ca="1" si="787"/>
        <v>-3505420.4005693039</v>
      </c>
    </row>
    <row r="889" spans="1:19" ht="15.75" customHeight="1" x14ac:dyDescent="0.3">
      <c r="A889" s="37">
        <v>78011</v>
      </c>
      <c r="B889" s="398">
        <f t="shared" ref="B889:C889" si="900">($A889-B$9)/365.25</f>
        <v>131.70431211498973</v>
      </c>
      <c r="C889" s="398">
        <f t="shared" si="900"/>
        <v>127.09377138945928</v>
      </c>
      <c r="E889" s="25">
        <f>IF(C889&gt;$B$7,0,'Combined Retirement'!$D$13/12)</f>
        <v>0</v>
      </c>
      <c r="F889" s="25">
        <f>IF(H889=0,'Combined Retirement'!$D$32,0)+'Combined Retirement'!$B$24</f>
        <v>2870.372285649099</v>
      </c>
      <c r="G889" s="25">
        <f>'Combined Retirement'!$C$24</f>
        <v>3254.2644699519233</v>
      </c>
      <c r="H889" s="25">
        <f>IF(B889&lt;62,0,'Combined Retirement'!$I$14)</f>
        <v>2345</v>
      </c>
      <c r="I889" s="25">
        <f>IF(C889&lt;62,0,'Combined Retirement'!$I$13)</f>
        <v>2420</v>
      </c>
      <c r="J889" s="25">
        <f t="shared" si="783"/>
        <v>7896.2379798201846</v>
      </c>
      <c r="K889" s="25">
        <f t="shared" si="784"/>
        <v>20367.195264578786</v>
      </c>
      <c r="L889" s="25"/>
      <c r="N889" s="25">
        <f>'Combined Retirement'!$C$18/12</f>
        <v>39153.069999999992</v>
      </c>
      <c r="O889" s="25">
        <f t="shared" si="785"/>
        <v>10889.636755601023</v>
      </c>
      <c r="P889" s="25">
        <f t="shared" si="786"/>
        <v>28263.43324439897</v>
      </c>
      <c r="Q889" s="25">
        <f t="array" aca="1" ref="Q889" ca="1">INDEX('Isaac 401k'!L:L,MATCH('Retirement Calculator'!A889,'Isaac 401k'!N:N,0),0)</f>
        <v>1958160.8386041967</v>
      </c>
      <c r="R889" s="25">
        <f t="array" aca="1" ref="R889" ca="1">INDEX('Lorri 401b'!L:L,MATCH('Retirement Calculator'!A889,'Lorri 401b'!N:N,0),0)</f>
        <v>-5506568.3550587902</v>
      </c>
      <c r="S889" s="25">
        <f t="shared" ca="1" si="787"/>
        <v>-3548407.5164545933</v>
      </c>
    </row>
    <row r="890" spans="1:19" ht="15.75" customHeight="1" x14ac:dyDescent="0.3">
      <c r="A890" s="37">
        <v>78042</v>
      </c>
      <c r="B890" s="398">
        <f t="shared" ref="B890:C890" si="901">($A890-B$9)/365.25</f>
        <v>131.78918548939083</v>
      </c>
      <c r="C890" s="398">
        <f t="shared" si="901"/>
        <v>127.17864476386038</v>
      </c>
      <c r="E890" s="25">
        <f>IF(C890&gt;$B$7,0,'Combined Retirement'!$D$13/12)</f>
        <v>0</v>
      </c>
      <c r="F890" s="25">
        <f>IF(H890=0,'Combined Retirement'!$D$32,0)+'Combined Retirement'!$B$24</f>
        <v>2870.372285649099</v>
      </c>
      <c r="G890" s="25">
        <f>'Combined Retirement'!$C$24</f>
        <v>3254.2644699519233</v>
      </c>
      <c r="H890" s="25">
        <f>IF(B890&lt;62,0,'Combined Retirement'!$I$14)</f>
        <v>2345</v>
      </c>
      <c r="I890" s="25">
        <f>IF(C890&lt;62,0,'Combined Retirement'!$I$13)</f>
        <v>2420</v>
      </c>
      <c r="J890" s="25">
        <f t="shared" si="783"/>
        <v>7896.2379798201846</v>
      </c>
      <c r="K890" s="25">
        <f t="shared" si="784"/>
        <v>20367.195264578786</v>
      </c>
      <c r="L890" s="25"/>
      <c r="N890" s="25">
        <f>'Combined Retirement'!$C$18/12</f>
        <v>39153.069999999992</v>
      </c>
      <c r="O890" s="25">
        <f t="shared" si="785"/>
        <v>10889.636755601023</v>
      </c>
      <c r="P890" s="25">
        <f t="shared" si="786"/>
        <v>28263.43324439897</v>
      </c>
      <c r="Q890" s="25">
        <f t="array" aca="1" ref="Q890" ca="1">INDEX('Isaac 401k'!L:L,MATCH('Retirement Calculator'!A890,'Isaac 401k'!N:N,0),0)</f>
        <v>1958390.7031269779</v>
      </c>
      <c r="R890" s="25">
        <f t="array" aca="1" ref="R890" ca="1">INDEX('Lorri 401b'!L:L,MATCH('Retirement Calculator'!A890,'Lorri 401b'!N:N,0),0)</f>
        <v>-5549964.448449716</v>
      </c>
      <c r="S890" s="25">
        <f t="shared" ca="1" si="787"/>
        <v>-3591573.7453227378</v>
      </c>
    </row>
    <row r="891" spans="1:19" ht="15.75" customHeight="1" x14ac:dyDescent="0.3">
      <c r="A891" s="37">
        <v>78072</v>
      </c>
      <c r="B891" s="398">
        <f t="shared" ref="B891:C891" si="902">($A891-B$9)/365.25</f>
        <v>131.8713210130048</v>
      </c>
      <c r="C891" s="398">
        <f t="shared" si="902"/>
        <v>127.26078028747433</v>
      </c>
      <c r="E891" s="25">
        <f>IF(C891&gt;$B$7,0,'Combined Retirement'!$D$13/12)</f>
        <v>0</v>
      </c>
      <c r="F891" s="25">
        <f>IF(H891=0,'Combined Retirement'!$D$32,0)+'Combined Retirement'!$B$24</f>
        <v>2870.372285649099</v>
      </c>
      <c r="G891" s="25">
        <f>'Combined Retirement'!$C$24</f>
        <v>3254.2644699519233</v>
      </c>
      <c r="H891" s="25">
        <f>IF(B891&lt;62,0,'Combined Retirement'!$I$14)</f>
        <v>2345</v>
      </c>
      <c r="I891" s="25">
        <f>IF(C891&lt;62,0,'Combined Retirement'!$I$13)</f>
        <v>2420</v>
      </c>
      <c r="J891" s="25">
        <f t="shared" si="783"/>
        <v>7896.2379798201846</v>
      </c>
      <c r="K891" s="25">
        <f t="shared" si="784"/>
        <v>20367.195264578786</v>
      </c>
      <c r="L891" s="25"/>
      <c r="N891" s="25">
        <f>'Combined Retirement'!$C$18/12</f>
        <v>39153.069999999992</v>
      </c>
      <c r="O891" s="25">
        <f t="shared" si="785"/>
        <v>10889.636755601023</v>
      </c>
      <c r="P891" s="25">
        <f t="shared" si="786"/>
        <v>28263.43324439897</v>
      </c>
      <c r="Q891" s="25">
        <f t="array" aca="1" ref="Q891" ca="1">INDEX('Isaac 401k'!L:L,MATCH('Retirement Calculator'!A891,'Isaac 401k'!N:N,0),0)</f>
        <v>1958621.5254186043</v>
      </c>
      <c r="R891" s="25">
        <f t="array" aca="1" ref="R891" ca="1">INDEX('Lorri 401b'!L:L,MATCH('Retirement Calculator'!A891,'Lorri 401b'!N:N,0),0)</f>
        <v>-5593541.358896438</v>
      </c>
      <c r="S891" s="25">
        <f t="shared" ca="1" si="787"/>
        <v>-3634919.8334778338</v>
      </c>
    </row>
    <row r="892" spans="1:19" ht="15.75" customHeight="1" x14ac:dyDescent="0.3">
      <c r="A892" s="37">
        <v>78103</v>
      </c>
      <c r="B892" s="398">
        <f t="shared" ref="B892:C892" si="903">($A892-B$9)/365.25</f>
        <v>131.95619438740587</v>
      </c>
      <c r="C892" s="398">
        <f t="shared" si="903"/>
        <v>127.34565366187543</v>
      </c>
      <c r="E892" s="25">
        <f>IF(C892&gt;$B$7,0,'Combined Retirement'!$D$13/12)</f>
        <v>0</v>
      </c>
      <c r="F892" s="25">
        <f>IF(H892=0,'Combined Retirement'!$D$32,0)+'Combined Retirement'!$B$24</f>
        <v>2870.372285649099</v>
      </c>
      <c r="G892" s="25">
        <f>'Combined Retirement'!$C$24</f>
        <v>3254.2644699519233</v>
      </c>
      <c r="H892" s="25">
        <f>IF(B892&lt;62,0,'Combined Retirement'!$I$14)</f>
        <v>2345</v>
      </c>
      <c r="I892" s="25">
        <f>IF(C892&lt;62,0,'Combined Retirement'!$I$13)</f>
        <v>2420</v>
      </c>
      <c r="J892" s="25">
        <f t="shared" si="783"/>
        <v>7896.2379798201846</v>
      </c>
      <c r="K892" s="25">
        <f t="shared" si="784"/>
        <v>20367.195264578786</v>
      </c>
      <c r="L892" s="25"/>
      <c r="N892" s="25">
        <f>'Combined Retirement'!$C$18/12</f>
        <v>39153.069999999992</v>
      </c>
      <c r="O892" s="25">
        <f t="shared" si="785"/>
        <v>10889.636755601023</v>
      </c>
      <c r="P892" s="25">
        <f t="shared" si="786"/>
        <v>28263.43324439897</v>
      </c>
      <c r="Q892" s="25">
        <f t="array" aca="1" ref="Q892" ca="1">INDEX('Isaac 401k'!L:L,MATCH('Retirement Calculator'!A892,'Isaac 401k'!N:N,0),0)</f>
        <v>1958853.309469779</v>
      </c>
      <c r="R892" s="25">
        <f t="array" aca="1" ref="R892" ca="1">INDEX('Lorri 401b'!L:L,MATCH('Retirement Calculator'!A892,'Lorri 401b'!N:N,0),0)</f>
        <v>-5637299.8398033548</v>
      </c>
      <c r="S892" s="25">
        <f t="shared" ca="1" si="787"/>
        <v>-3678446.5303335758</v>
      </c>
    </row>
    <row r="893" spans="1:19" ht="15.75" customHeight="1" x14ac:dyDescent="0.3">
      <c r="A893" s="37">
        <v>78133</v>
      </c>
      <c r="B893" s="398">
        <f t="shared" ref="B893:C893" si="904">($A893-B$9)/365.25</f>
        <v>132.03832991101984</v>
      </c>
      <c r="C893" s="398">
        <f t="shared" si="904"/>
        <v>127.42778918548939</v>
      </c>
      <c r="E893" s="25">
        <f>IF(C893&gt;$B$7,0,'Combined Retirement'!$D$13/12)</f>
        <v>0</v>
      </c>
      <c r="F893" s="25">
        <f>IF(H893=0,'Combined Retirement'!$D$32,0)+'Combined Retirement'!$B$24</f>
        <v>2870.372285649099</v>
      </c>
      <c r="G893" s="25">
        <f>'Combined Retirement'!$C$24</f>
        <v>3254.2644699519233</v>
      </c>
      <c r="H893" s="25">
        <f>IF(B893&lt;62,0,'Combined Retirement'!$I$14)</f>
        <v>2345</v>
      </c>
      <c r="I893" s="25">
        <f>IF(C893&lt;62,0,'Combined Retirement'!$I$13)</f>
        <v>2420</v>
      </c>
      <c r="J893" s="25">
        <f t="shared" si="783"/>
        <v>7896.2379798201846</v>
      </c>
      <c r="K893" s="25">
        <f t="shared" si="784"/>
        <v>20367.195264578786</v>
      </c>
      <c r="L893" s="25"/>
      <c r="N893" s="25">
        <f>'Combined Retirement'!$C$18/12</f>
        <v>39153.069999999992</v>
      </c>
      <c r="O893" s="25">
        <f t="shared" si="785"/>
        <v>10889.636755601023</v>
      </c>
      <c r="P893" s="25">
        <f t="shared" si="786"/>
        <v>28263.43324439897</v>
      </c>
      <c r="Q893" s="25">
        <f t="array" aca="1" ref="Q893" ca="1">INDEX('Isaac 401k'!L:L,MATCH('Retirement Calculator'!A893,'Isaac 401k'!N:N,0),0)</f>
        <v>1959086.0592878335</v>
      </c>
      <c r="R893" s="25">
        <f t="array" aca="1" ref="R893" ca="1">INDEX('Lorri 401b'!L:L,MATCH('Retirement Calculator'!A893,'Lorri 401b'!N:N,0),0)</f>
        <v>-5681240.6477140496</v>
      </c>
      <c r="S893" s="25">
        <f t="shared" ca="1" si="787"/>
        <v>-3722154.588426216</v>
      </c>
    </row>
    <row r="894" spans="1:19" ht="15.75" customHeight="1" x14ac:dyDescent="0.3">
      <c r="A894" s="37">
        <v>78164</v>
      </c>
      <c r="B894" s="398">
        <f t="shared" ref="B894:C894" si="905">($A894-B$9)/365.25</f>
        <v>132.12320328542094</v>
      </c>
      <c r="C894" s="398">
        <f t="shared" si="905"/>
        <v>127.51266255989049</v>
      </c>
      <c r="E894" s="25">
        <f>IF(C894&gt;$B$7,0,'Combined Retirement'!$D$13/12)</f>
        <v>0</v>
      </c>
      <c r="F894" s="25">
        <f>IF(H894=0,'Combined Retirement'!$D$32,0)+'Combined Retirement'!$B$24</f>
        <v>2870.372285649099</v>
      </c>
      <c r="G894" s="25">
        <f>'Combined Retirement'!$C$24</f>
        <v>3254.2644699519233</v>
      </c>
      <c r="H894" s="25">
        <f>IF(B894&lt;62,0,'Combined Retirement'!$I$14)</f>
        <v>2345</v>
      </c>
      <c r="I894" s="25">
        <f>IF(C894&lt;62,0,'Combined Retirement'!$I$13)</f>
        <v>2420</v>
      </c>
      <c r="J894" s="25">
        <f t="shared" si="783"/>
        <v>7896.2379798201846</v>
      </c>
      <c r="K894" s="25">
        <f t="shared" si="784"/>
        <v>20367.195264578786</v>
      </c>
      <c r="L894" s="25"/>
      <c r="N894" s="25">
        <f>'Combined Retirement'!$C$18/12</f>
        <v>39153.069999999992</v>
      </c>
      <c r="O894" s="25">
        <f t="shared" si="785"/>
        <v>10889.636755601023</v>
      </c>
      <c r="P894" s="25">
        <f t="shared" si="786"/>
        <v>28263.43324439897</v>
      </c>
      <c r="Q894" s="25">
        <f t="array" aca="1" ref="Q894" ca="1">INDEX('Isaac 401k'!L:L,MATCH('Retirement Calculator'!A894,'Isaac 401k'!N:N,0),0)</f>
        <v>1959319.7788967967</v>
      </c>
      <c r="R894" s="25">
        <f t="array" aca="1" ref="R894" ca="1">INDEX('Lorri 401b'!L:L,MATCH('Retirement Calculator'!A894,'Lorri 401b'!N:N,0),0)</f>
        <v>-5725364.5423243726</v>
      </c>
      <c r="S894" s="25">
        <f t="shared" ca="1" si="787"/>
        <v>-3766044.7634275761</v>
      </c>
    </row>
    <row r="895" spans="1:19" ht="15.75" customHeight="1" x14ac:dyDescent="0.3">
      <c r="A895" s="37">
        <v>78195</v>
      </c>
      <c r="B895" s="398">
        <f t="shared" ref="B895:C895" si="906">($A895-B$9)/365.25</f>
        <v>132.20807665982204</v>
      </c>
      <c r="C895" s="398">
        <f t="shared" si="906"/>
        <v>127.59753593429159</v>
      </c>
      <c r="E895" s="25">
        <f>IF(C895&gt;$B$7,0,'Combined Retirement'!$D$13/12)</f>
        <v>0</v>
      </c>
      <c r="F895" s="25">
        <f>IF(H895=0,'Combined Retirement'!$D$32,0)+'Combined Retirement'!$B$24</f>
        <v>2870.372285649099</v>
      </c>
      <c r="G895" s="25">
        <f>'Combined Retirement'!$C$24</f>
        <v>3254.2644699519233</v>
      </c>
      <c r="H895" s="25">
        <f>IF(B895&lt;62,0,'Combined Retirement'!$I$14)</f>
        <v>2345</v>
      </c>
      <c r="I895" s="25">
        <f>IF(C895&lt;62,0,'Combined Retirement'!$I$13)</f>
        <v>2420</v>
      </c>
      <c r="J895" s="25">
        <f t="shared" si="783"/>
        <v>7896.2379798201846</v>
      </c>
      <c r="K895" s="25">
        <f t="shared" si="784"/>
        <v>20367.195264578786</v>
      </c>
      <c r="L895" s="25"/>
      <c r="N895" s="25">
        <f>'Combined Retirement'!$C$18/12</f>
        <v>39153.069999999992</v>
      </c>
      <c r="O895" s="25">
        <f t="shared" si="785"/>
        <v>10889.636755601023</v>
      </c>
      <c r="P895" s="25">
        <f t="shared" si="786"/>
        <v>28263.43324439897</v>
      </c>
      <c r="Q895" s="25">
        <f t="array" aca="1" ref="Q895" ca="1">INDEX('Isaac 401k'!L:L,MATCH('Retirement Calculator'!A895,'Isaac 401k'!N:N,0),0)</f>
        <v>1959554.4723374639</v>
      </c>
      <c r="R895" s="25">
        <f t="array" aca="1" ref="R895" ca="1">INDEX('Lorri 401b'!L:L,MATCH('Retirement Calculator'!A895,'Lorri 401b'!N:N,0),0)</f>
        <v>-5769672.286495572</v>
      </c>
      <c r="S895" s="25">
        <f t="shared" ca="1" si="787"/>
        <v>-3810117.8141581081</v>
      </c>
    </row>
    <row r="896" spans="1:19" ht="15.75" customHeight="1" x14ac:dyDescent="0.3">
      <c r="A896" s="37">
        <v>78223</v>
      </c>
      <c r="B896" s="398">
        <f t="shared" ref="B896:C896" si="907">($A896-B$9)/365.25</f>
        <v>132.28473648186173</v>
      </c>
      <c r="C896" s="398">
        <f t="shared" si="907"/>
        <v>127.67419575633129</v>
      </c>
      <c r="E896" s="25">
        <f>IF(C896&gt;$B$7,0,'Combined Retirement'!$D$13/12)</f>
        <v>0</v>
      </c>
      <c r="F896" s="25">
        <f>IF(H896=0,'Combined Retirement'!$D$32,0)+'Combined Retirement'!$B$24</f>
        <v>2870.372285649099</v>
      </c>
      <c r="G896" s="25">
        <f>'Combined Retirement'!$C$24</f>
        <v>3254.2644699519233</v>
      </c>
      <c r="H896" s="25">
        <f>IF(B896&lt;62,0,'Combined Retirement'!$I$14)</f>
        <v>2345</v>
      </c>
      <c r="I896" s="25">
        <f>IF(C896&lt;62,0,'Combined Retirement'!$I$13)</f>
        <v>2420</v>
      </c>
      <c r="J896" s="25">
        <f t="shared" si="783"/>
        <v>7896.2379798201846</v>
      </c>
      <c r="K896" s="25">
        <f t="shared" si="784"/>
        <v>20367.195264578786</v>
      </c>
      <c r="L896" s="25"/>
      <c r="N896" s="25">
        <f>'Combined Retirement'!$C$18/12</f>
        <v>39153.069999999992</v>
      </c>
      <c r="O896" s="25">
        <f t="shared" si="785"/>
        <v>10889.636755601023</v>
      </c>
      <c r="P896" s="25">
        <f t="shared" si="786"/>
        <v>28263.43324439897</v>
      </c>
      <c r="Q896" s="25">
        <f t="array" aca="1" ref="Q896" ca="1">INDEX('Isaac 401k'!L:L,MATCH('Retirement Calculator'!A896,'Isaac 401k'!N:N,0),0)</f>
        <v>1959790.1436674672</v>
      </c>
      <c r="R896" s="25">
        <f t="array" aca="1" ref="R896" ca="1">INDEX('Lorri 401b'!L:L,MATCH('Retirement Calculator'!A896,'Lorri 401b'!N:N,0),0)</f>
        <v>-5814164.6462674849</v>
      </c>
      <c r="S896" s="25">
        <f t="shared" ca="1" si="787"/>
        <v>-3854374.5026000179</v>
      </c>
    </row>
    <row r="897" spans="1:19" ht="15.75" customHeight="1" x14ac:dyDescent="0.3">
      <c r="A897" s="37">
        <v>78254</v>
      </c>
      <c r="B897" s="398">
        <f t="shared" ref="B897:C897" si="908">($A897-B$9)/365.25</f>
        <v>132.36960985626283</v>
      </c>
      <c r="C897" s="398">
        <f t="shared" si="908"/>
        <v>127.75906913073237</v>
      </c>
      <c r="E897" s="25">
        <f>IF(C897&gt;$B$7,0,'Combined Retirement'!$D$13/12)</f>
        <v>0</v>
      </c>
      <c r="F897" s="25">
        <f>IF(H897=0,'Combined Retirement'!$D$32,0)+'Combined Retirement'!$B$24</f>
        <v>2870.372285649099</v>
      </c>
      <c r="G897" s="25">
        <f>'Combined Retirement'!$C$24</f>
        <v>3254.2644699519233</v>
      </c>
      <c r="H897" s="25">
        <f>IF(B897&lt;62,0,'Combined Retirement'!$I$14)</f>
        <v>2345</v>
      </c>
      <c r="I897" s="25">
        <f>IF(C897&lt;62,0,'Combined Retirement'!$I$13)</f>
        <v>2420</v>
      </c>
      <c r="J897" s="25">
        <f t="shared" si="783"/>
        <v>7896.2379798201846</v>
      </c>
      <c r="K897" s="25">
        <f t="shared" si="784"/>
        <v>20367.195264578786</v>
      </c>
      <c r="L897" s="25"/>
      <c r="N897" s="25">
        <f>'Combined Retirement'!$C$18/12</f>
        <v>39153.069999999992</v>
      </c>
      <c r="O897" s="25">
        <f t="shared" si="785"/>
        <v>10889.636755601023</v>
      </c>
      <c r="P897" s="25">
        <f t="shared" si="786"/>
        <v>28263.43324439897</v>
      </c>
      <c r="Q897" s="25">
        <f t="array" aca="1" ref="Q897" ca="1">INDEX('Isaac 401k'!L:L,MATCH('Retirement Calculator'!A897,'Isaac 401k'!N:N,0),0)</f>
        <v>1960026.7969613455</v>
      </c>
      <c r="R897" s="25">
        <f t="array" aca="1" ref="R897" ca="1">INDEX('Lorri 401b'!L:L,MATCH('Retirement Calculator'!A897,'Lorri 401b'!N:N,0),0)</f>
        <v>-5858842.3908717809</v>
      </c>
      <c r="S897" s="25">
        <f t="shared" ca="1" si="787"/>
        <v>-3898815.5939104352</v>
      </c>
    </row>
    <row r="898" spans="1:19" ht="15.75" customHeight="1" x14ac:dyDescent="0.3">
      <c r="A898" s="37">
        <v>78284</v>
      </c>
      <c r="B898" s="398">
        <f t="shared" ref="B898:C898" si="909">($A898-B$9)/365.25</f>
        <v>132.4517453798768</v>
      </c>
      <c r="C898" s="398">
        <f t="shared" si="909"/>
        <v>127.84120465434634</v>
      </c>
      <c r="E898" s="25">
        <f>IF(C898&gt;$B$7,0,'Combined Retirement'!$D$13/12)</f>
        <v>0</v>
      </c>
      <c r="F898" s="25">
        <f>IF(H898=0,'Combined Retirement'!$D$32,0)+'Combined Retirement'!$B$24</f>
        <v>2870.372285649099</v>
      </c>
      <c r="G898" s="25">
        <f>'Combined Retirement'!$C$24</f>
        <v>3254.2644699519233</v>
      </c>
      <c r="H898" s="25">
        <f>IF(B898&lt;62,0,'Combined Retirement'!$I$14)</f>
        <v>2345</v>
      </c>
      <c r="I898" s="25">
        <f>IF(C898&lt;62,0,'Combined Retirement'!$I$13)</f>
        <v>2420</v>
      </c>
      <c r="J898" s="25">
        <f t="shared" si="783"/>
        <v>7896.2379798201846</v>
      </c>
      <c r="K898" s="25">
        <f t="shared" si="784"/>
        <v>20367.195264578786</v>
      </c>
      <c r="L898" s="25"/>
      <c r="N898" s="25">
        <f>'Combined Retirement'!$C$18/12</f>
        <v>39153.069999999992</v>
      </c>
      <c r="O898" s="25">
        <f t="shared" si="785"/>
        <v>10889.636755601023</v>
      </c>
      <c r="P898" s="25">
        <f t="shared" si="786"/>
        <v>28263.43324439897</v>
      </c>
      <c r="Q898" s="25">
        <f t="array" aca="1" ref="Q898" ca="1">INDEX('Isaac 401k'!L:L,MATCH('Retirement Calculator'!A898,'Isaac 401k'!N:N,0),0)</f>
        <v>1960264.4363106149</v>
      </c>
      <c r="R898" s="25">
        <f t="array" aca="1" ref="R898" ca="1">INDEX('Lorri 401b'!L:L,MATCH('Retirement Calculator'!A898,'Lorri 401b'!N:N,0),0)</f>
        <v>-5903706.2927452615</v>
      </c>
      <c r="S898" s="25">
        <f t="shared" ca="1" si="787"/>
        <v>-3943441.8564346465</v>
      </c>
    </row>
    <row r="899" spans="1:19" ht="15.75" customHeight="1" x14ac:dyDescent="0.3">
      <c r="A899" s="37">
        <v>78315</v>
      </c>
      <c r="B899" s="398">
        <f t="shared" ref="B899:C899" si="910">($A899-B$9)/365.25</f>
        <v>132.5366187542779</v>
      </c>
      <c r="C899" s="398">
        <f t="shared" si="910"/>
        <v>127.92607802874743</v>
      </c>
      <c r="E899" s="25">
        <f>IF(C899&gt;$B$7,0,'Combined Retirement'!$D$13/12)</f>
        <v>0</v>
      </c>
      <c r="F899" s="25">
        <f>IF(H899=0,'Combined Retirement'!$D$32,0)+'Combined Retirement'!$B$24</f>
        <v>2870.372285649099</v>
      </c>
      <c r="G899" s="25">
        <f>'Combined Retirement'!$C$24</f>
        <v>3254.2644699519233</v>
      </c>
      <c r="H899" s="25">
        <f>IF(B899&lt;62,0,'Combined Retirement'!$I$14)</f>
        <v>2345</v>
      </c>
      <c r="I899" s="25">
        <f>IF(C899&lt;62,0,'Combined Retirement'!$I$13)</f>
        <v>2420</v>
      </c>
      <c r="J899" s="25">
        <f t="shared" si="783"/>
        <v>7896.2379798201846</v>
      </c>
      <c r="K899" s="25">
        <f t="shared" si="784"/>
        <v>20367.195264578786</v>
      </c>
      <c r="L899" s="25"/>
      <c r="N899" s="25">
        <f>'Combined Retirement'!$C$18/12</f>
        <v>39153.069999999992</v>
      </c>
      <c r="O899" s="25">
        <f t="shared" si="785"/>
        <v>10889.636755601023</v>
      </c>
      <c r="P899" s="25">
        <f t="shared" si="786"/>
        <v>28263.43324439897</v>
      </c>
      <c r="Q899" s="25">
        <f t="array" aca="1" ref="Q899" ca="1">INDEX('Isaac 401k'!L:L,MATCH('Retirement Calculator'!A899,'Isaac 401k'!N:N,0),0)</f>
        <v>1960503.0658238397</v>
      </c>
      <c r="R899" s="25">
        <f t="array" aca="1" ref="R899" ca="1">INDEX('Lorri 401b'!L:L,MATCH('Retirement Calculator'!A899,'Lorri 401b'!N:N,0),0)</f>
        <v>-5948757.1275432147</v>
      </c>
      <c r="S899" s="25">
        <f t="shared" ca="1" si="787"/>
        <v>-3988254.0617193747</v>
      </c>
    </row>
    <row r="900" spans="1:19" ht="15.75" customHeight="1" x14ac:dyDescent="0.3">
      <c r="A900" s="37">
        <v>78345</v>
      </c>
      <c r="B900" s="398">
        <f t="shared" ref="B900:C900" si="911">($A900-B$9)/365.25</f>
        <v>132.61875427789187</v>
      </c>
      <c r="C900" s="398">
        <f t="shared" si="911"/>
        <v>128.00821355236138</v>
      </c>
      <c r="E900" s="25">
        <f>IF(C900&gt;$B$7,0,'Combined Retirement'!$D$13/12)</f>
        <v>0</v>
      </c>
      <c r="F900" s="25">
        <f>IF(H900=0,'Combined Retirement'!$D$32,0)+'Combined Retirement'!$B$24</f>
        <v>2870.372285649099</v>
      </c>
      <c r="G900" s="25">
        <f>'Combined Retirement'!$C$24</f>
        <v>3254.2644699519233</v>
      </c>
      <c r="H900" s="25">
        <f>IF(B900&lt;62,0,'Combined Retirement'!$I$14)</f>
        <v>2345</v>
      </c>
      <c r="I900" s="25">
        <f>IF(C900&lt;62,0,'Combined Retirement'!$I$13)</f>
        <v>2420</v>
      </c>
      <c r="J900" s="25">
        <f t="shared" si="783"/>
        <v>7896.2379798201846</v>
      </c>
      <c r="K900" s="25">
        <f t="shared" si="784"/>
        <v>20367.195264578786</v>
      </c>
      <c r="L900" s="25"/>
      <c r="N900" s="25">
        <f>'Combined Retirement'!$C$18/12</f>
        <v>39153.069999999992</v>
      </c>
      <c r="O900" s="25">
        <f t="shared" si="785"/>
        <v>10889.636755601023</v>
      </c>
      <c r="P900" s="25">
        <f t="shared" si="786"/>
        <v>28263.43324439897</v>
      </c>
      <c r="Q900" s="25">
        <f t="array" aca="1" ref="Q900" ca="1">INDEX('Isaac 401k'!L:L,MATCH('Retirement Calculator'!A900,'Isaac 401k'!N:N,0),0)</f>
        <v>1960742.689626703</v>
      </c>
      <c r="R900" s="25">
        <f t="array" aca="1" ref="R900" ca="1">INDEX('Lorri 401b'!L:L,MATCH('Retirement Calculator'!A900,'Lorri 401b'!N:N,0),0)</f>
        <v>-5993995.674152826</v>
      </c>
      <c r="S900" s="25">
        <f t="shared" ca="1" si="787"/>
        <v>-4033252.9845261229</v>
      </c>
    </row>
    <row r="901" spans="1:19" ht="15.75" customHeight="1" x14ac:dyDescent="0.3">
      <c r="A901" s="37">
        <v>78376</v>
      </c>
      <c r="B901" s="398">
        <f t="shared" ref="B901:C901" si="912">($A901-B$9)/365.25</f>
        <v>132.70362765229294</v>
      </c>
      <c r="C901" s="398">
        <f t="shared" si="912"/>
        <v>128.09308692676248</v>
      </c>
      <c r="E901" s="25">
        <f>IF(C901&gt;$B$7,0,'Combined Retirement'!$D$13/12)</f>
        <v>0</v>
      </c>
      <c r="F901" s="25">
        <f>IF(H901=0,'Combined Retirement'!$D$32,0)+'Combined Retirement'!$B$24</f>
        <v>2870.372285649099</v>
      </c>
      <c r="G901" s="25">
        <f>'Combined Retirement'!$C$24</f>
        <v>3254.2644699519233</v>
      </c>
      <c r="H901" s="25">
        <f>IF(B901&lt;62,0,'Combined Retirement'!$I$14)</f>
        <v>2345</v>
      </c>
      <c r="I901" s="25">
        <f>IF(C901&lt;62,0,'Combined Retirement'!$I$13)</f>
        <v>2420</v>
      </c>
      <c r="J901" s="25">
        <f t="shared" si="783"/>
        <v>7896.2379798201846</v>
      </c>
      <c r="K901" s="25">
        <f t="shared" si="784"/>
        <v>20367.195264578786</v>
      </c>
      <c r="L901" s="25"/>
      <c r="N901" s="25">
        <f>'Combined Retirement'!$C$18/12</f>
        <v>39153.069999999992</v>
      </c>
      <c r="O901" s="25">
        <f t="shared" si="785"/>
        <v>10889.636755601023</v>
      </c>
      <c r="P901" s="25">
        <f t="shared" si="786"/>
        <v>28263.43324439897</v>
      </c>
      <c r="Q901" s="25">
        <f t="array" aca="1" ref="Q901" ca="1">INDEX('Isaac 401k'!L:L,MATCH('Retirement Calculator'!A901,'Isaac 401k'!N:N,0),0)</f>
        <v>1960983.3118620783</v>
      </c>
      <c r="R901" s="25">
        <f t="array" aca="1" ref="R901" ca="1">INDEX('Lorri 401b'!L:L,MATCH('Retirement Calculator'!A901,'Lorri 401b'!N:N,0),0)</f>
        <v>-6039422.7147066435</v>
      </c>
      <c r="S901" s="25">
        <f t="shared" ca="1" si="787"/>
        <v>-4078439.402844565</v>
      </c>
    </row>
    <row r="902" spans="1:19" ht="15.75" customHeight="1" x14ac:dyDescent="0.3">
      <c r="A902" s="37">
        <v>78407</v>
      </c>
      <c r="B902" s="398">
        <f t="shared" ref="B902:C902" si="913">($A902-B$9)/365.25</f>
        <v>132.78850102669404</v>
      </c>
      <c r="C902" s="398">
        <f t="shared" si="913"/>
        <v>128.17796030116358</v>
      </c>
      <c r="E902" s="25">
        <f>IF(C902&gt;$B$7,0,'Combined Retirement'!$D$13/12)</f>
        <v>0</v>
      </c>
      <c r="F902" s="25">
        <f>IF(H902=0,'Combined Retirement'!$D$32,0)+'Combined Retirement'!$B$24</f>
        <v>2870.372285649099</v>
      </c>
      <c r="G902" s="25">
        <f>'Combined Retirement'!$C$24</f>
        <v>3254.2644699519233</v>
      </c>
      <c r="H902" s="25">
        <f>IF(B902&lt;62,0,'Combined Retirement'!$I$14)</f>
        <v>2345</v>
      </c>
      <c r="I902" s="25">
        <f>IF(C902&lt;62,0,'Combined Retirement'!$I$13)</f>
        <v>2420</v>
      </c>
      <c r="J902" s="25">
        <f t="shared" si="783"/>
        <v>7896.2379798201846</v>
      </c>
      <c r="K902" s="25">
        <f t="shared" si="784"/>
        <v>20367.195264578786</v>
      </c>
      <c r="L902" s="25"/>
      <c r="N902" s="25">
        <f>'Combined Retirement'!$C$18/12</f>
        <v>39153.069999999992</v>
      </c>
      <c r="O902" s="25">
        <f t="shared" si="785"/>
        <v>10889.636755601023</v>
      </c>
      <c r="P902" s="25">
        <f t="shared" si="786"/>
        <v>28263.43324439897</v>
      </c>
      <c r="Q902" s="25">
        <f t="array" aca="1" ref="Q902" ca="1">INDEX('Isaac 401k'!L:L,MATCH('Retirement Calculator'!A902,'Isaac 401k'!N:N,0),0)</f>
        <v>1961224.9366901007</v>
      </c>
      <c r="R902" s="25">
        <f t="array" aca="1" ref="R902" ca="1">INDEX('Lorri 401b'!L:L,MATCH('Retirement Calculator'!A902,'Lorri 401b'!N:N,0),0)</f>
        <v>-6085039.0345961023</v>
      </c>
      <c r="S902" s="25">
        <f t="shared" ca="1" si="787"/>
        <v>-4123814.0979060018</v>
      </c>
    </row>
    <row r="903" spans="1:19" ht="15.75" customHeight="1" x14ac:dyDescent="0.3">
      <c r="A903" s="37">
        <v>78437</v>
      </c>
      <c r="B903" s="398">
        <f t="shared" ref="B903:C903" si="914">($A903-B$9)/365.25</f>
        <v>132.87063655030801</v>
      </c>
      <c r="C903" s="398">
        <f t="shared" si="914"/>
        <v>128.26009582477755</v>
      </c>
      <c r="E903" s="25">
        <f>IF(C903&gt;$B$7,0,'Combined Retirement'!$D$13/12)</f>
        <v>0</v>
      </c>
      <c r="F903" s="25">
        <f>IF(H903=0,'Combined Retirement'!$D$32,0)+'Combined Retirement'!$B$24</f>
        <v>2870.372285649099</v>
      </c>
      <c r="G903" s="25">
        <f>'Combined Retirement'!$C$24</f>
        <v>3254.2644699519233</v>
      </c>
      <c r="H903" s="25">
        <f>IF(B903&lt;62,0,'Combined Retirement'!$I$14)</f>
        <v>2345</v>
      </c>
      <c r="I903" s="25">
        <f>IF(C903&lt;62,0,'Combined Retirement'!$I$13)</f>
        <v>2420</v>
      </c>
      <c r="J903" s="25">
        <f t="shared" si="783"/>
        <v>7896.2379798201846</v>
      </c>
      <c r="K903" s="25">
        <f t="shared" si="784"/>
        <v>20367.195264578786</v>
      </c>
      <c r="L903" s="25"/>
      <c r="N903" s="25">
        <f>'Combined Retirement'!$C$18/12</f>
        <v>39153.069999999992</v>
      </c>
      <c r="O903" s="25">
        <f t="shared" si="785"/>
        <v>10889.636755601023</v>
      </c>
      <c r="P903" s="25">
        <f t="shared" si="786"/>
        <v>28263.43324439897</v>
      </c>
      <c r="Q903" s="25">
        <f t="array" aca="1" ref="Q903" ca="1">INDEX('Isaac 401k'!L:L,MATCH('Retirement Calculator'!A903,'Isaac 401k'!N:N,0),0)</f>
        <v>1961467.5682882399</v>
      </c>
      <c r="R903" s="25">
        <f t="array" aca="1" ref="R903" ca="1">INDEX('Lorri 401b'!L:L,MATCH('Retirement Calculator'!A903,'Lorri 401b'!N:N,0),0)</f>
        <v>-6130845.422485101</v>
      </c>
      <c r="S903" s="25">
        <f t="shared" ca="1" si="787"/>
        <v>-4169377.8541968614</v>
      </c>
    </row>
    <row r="904" spans="1:19" ht="15.75" customHeight="1" x14ac:dyDescent="0.3">
      <c r="A904" s="37">
        <v>78468</v>
      </c>
      <c r="B904" s="398">
        <f t="shared" ref="B904:C904" si="915">($A904-B$9)/365.25</f>
        <v>132.95550992470911</v>
      </c>
      <c r="C904" s="398">
        <f t="shared" si="915"/>
        <v>128.34496919917865</v>
      </c>
      <c r="E904" s="25">
        <f>IF(C904&gt;$B$7,0,'Combined Retirement'!$D$13/12)</f>
        <v>0</v>
      </c>
      <c r="F904" s="25">
        <f>IF(H904=0,'Combined Retirement'!$D$32,0)+'Combined Retirement'!$B$24</f>
        <v>2870.372285649099</v>
      </c>
      <c r="G904" s="25">
        <f>'Combined Retirement'!$C$24</f>
        <v>3254.2644699519233</v>
      </c>
      <c r="H904" s="25">
        <f>IF(B904&lt;62,0,'Combined Retirement'!$I$14)</f>
        <v>2345</v>
      </c>
      <c r="I904" s="25">
        <f>IF(C904&lt;62,0,'Combined Retirement'!$I$13)</f>
        <v>2420</v>
      </c>
      <c r="J904" s="25">
        <f t="shared" si="783"/>
        <v>7896.2379798201846</v>
      </c>
      <c r="K904" s="25">
        <f t="shared" si="784"/>
        <v>20367.195264578786</v>
      </c>
      <c r="L904" s="25"/>
      <c r="N904" s="25">
        <f>'Combined Retirement'!$C$18/12</f>
        <v>39153.069999999992</v>
      </c>
      <c r="O904" s="25">
        <f t="shared" si="785"/>
        <v>10889.636755601023</v>
      </c>
      <c r="P904" s="25">
        <f t="shared" si="786"/>
        <v>28263.43324439897</v>
      </c>
      <c r="Q904" s="25">
        <f t="array" aca="1" ref="Q904" ca="1">INDEX('Isaac 401k'!L:L,MATCH('Retirement Calculator'!A904,'Isaac 401k'!N:N,0),0)</f>
        <v>1961711.2108513713</v>
      </c>
      <c r="R904" s="25">
        <f t="array" aca="1" ref="R904" ca="1">INDEX('Lorri 401b'!L:L,MATCH('Retirement Calculator'!A904,'Lorri 401b'!N:N,0),0)</f>
        <v>-6176842.6703236364</v>
      </c>
      <c r="S904" s="25">
        <f t="shared" ca="1" si="787"/>
        <v>-4215131.4594722651</v>
      </c>
    </row>
    <row r="905" spans="1:19" ht="15.75" customHeight="1" x14ac:dyDescent="0.3">
      <c r="A905" s="37">
        <v>78498</v>
      </c>
      <c r="B905" s="398">
        <f t="shared" ref="B905:C905" si="916">($A905-B$9)/365.25</f>
        <v>133.03764544832308</v>
      </c>
      <c r="C905" s="398">
        <f t="shared" si="916"/>
        <v>128.42710472279262</v>
      </c>
      <c r="E905" s="25">
        <f>IF(C905&gt;$B$7,0,'Combined Retirement'!$D$13/12)</f>
        <v>0</v>
      </c>
      <c r="F905" s="25">
        <f>IF(H905=0,'Combined Retirement'!$D$32,0)+'Combined Retirement'!$B$24</f>
        <v>2870.372285649099</v>
      </c>
      <c r="G905" s="25">
        <f>'Combined Retirement'!$C$24</f>
        <v>3254.2644699519233</v>
      </c>
      <c r="H905" s="25">
        <f>IF(B905&lt;62,0,'Combined Retirement'!$I$14)</f>
        <v>2345</v>
      </c>
      <c r="I905" s="25">
        <f>IF(C905&lt;62,0,'Combined Retirement'!$I$13)</f>
        <v>2420</v>
      </c>
      <c r="J905" s="25">
        <f t="shared" si="783"/>
        <v>7896.2379798201846</v>
      </c>
      <c r="K905" s="25">
        <f t="shared" si="784"/>
        <v>20367.195264578786</v>
      </c>
      <c r="L905" s="25"/>
      <c r="N905" s="25">
        <f>'Combined Retirement'!$C$18/12</f>
        <v>39153.069999999992</v>
      </c>
      <c r="O905" s="25">
        <f t="shared" si="785"/>
        <v>10889.636755601023</v>
      </c>
      <c r="P905" s="25">
        <f t="shared" si="786"/>
        <v>28263.43324439897</v>
      </c>
      <c r="Q905" s="25">
        <f t="array" aca="1" ref="Q905" ca="1">INDEX('Isaac 401k'!L:L,MATCH('Retirement Calculator'!A905,'Isaac 401k'!N:N,0),0)</f>
        <v>1961955.8685918492</v>
      </c>
      <c r="R905" s="25">
        <f t="array" aca="1" ref="R905" ca="1">INDEX('Lorri 401b'!L:L,MATCH('Retirement Calculator'!A905,'Lorri 401b'!N:N,0),0)</f>
        <v>-6223031.5733614992</v>
      </c>
      <c r="S905" s="25">
        <f t="shared" ca="1" si="787"/>
        <v>-4261075.7047696505</v>
      </c>
    </row>
    <row r="906" spans="1:19" ht="15.75" customHeight="1" x14ac:dyDescent="0.3">
      <c r="A906" s="37">
        <v>78529</v>
      </c>
      <c r="B906" s="398">
        <f t="shared" ref="B906:C906" si="917">($A906-B$9)/365.25</f>
        <v>133.12251882272417</v>
      </c>
      <c r="C906" s="398">
        <f t="shared" si="917"/>
        <v>128.51197809719369</v>
      </c>
      <c r="E906" s="25">
        <f>IF(C906&gt;$B$7,0,'Combined Retirement'!$D$13/12)</f>
        <v>0</v>
      </c>
      <c r="F906" s="25">
        <f>IF(H906=0,'Combined Retirement'!$D$32,0)+'Combined Retirement'!$B$24</f>
        <v>2870.372285649099</v>
      </c>
      <c r="G906" s="25">
        <f>'Combined Retirement'!$C$24</f>
        <v>3254.2644699519233</v>
      </c>
      <c r="H906" s="25">
        <f>IF(B906&lt;62,0,'Combined Retirement'!$I$14)</f>
        <v>2345</v>
      </c>
      <c r="I906" s="25">
        <f>IF(C906&lt;62,0,'Combined Retirement'!$I$13)</f>
        <v>2420</v>
      </c>
      <c r="J906" s="25">
        <f t="shared" si="783"/>
        <v>7896.2379798201846</v>
      </c>
      <c r="K906" s="25">
        <f t="shared" si="784"/>
        <v>20367.195264578786</v>
      </c>
      <c r="L906" s="25"/>
      <c r="N906" s="25">
        <f>'Combined Retirement'!$C$18/12</f>
        <v>39153.069999999992</v>
      </c>
      <c r="O906" s="25">
        <f t="shared" si="785"/>
        <v>10889.636755601023</v>
      </c>
      <c r="P906" s="25">
        <f t="shared" si="786"/>
        <v>28263.43324439897</v>
      </c>
      <c r="Q906" s="25">
        <f t="array" aca="1" ref="Q906" ca="1">INDEX('Isaac 401k'!L:L,MATCH('Retirement Calculator'!A906,'Isaac 401k'!N:N,0),0)</f>
        <v>1962201.545739579</v>
      </c>
      <c r="R906" s="25">
        <f t="array" aca="1" ref="R906" ca="1">INDEX('Lorri 401b'!L:L,MATCH('Retirement Calculator'!A906,'Lorri 401b'!N:N,0),0)</f>
        <v>-6269412.93016202</v>
      </c>
      <c r="S906" s="25">
        <f t="shared" ca="1" si="787"/>
        <v>-4307211.384422441</v>
      </c>
    </row>
    <row r="907" spans="1:19" ht="15.75" customHeight="1" x14ac:dyDescent="0.3">
      <c r="A907" s="37">
        <v>78560</v>
      </c>
      <c r="B907" s="398">
        <f t="shared" ref="B907:C907" si="918">($A907-B$9)/365.25</f>
        <v>133.20739219712524</v>
      </c>
      <c r="C907" s="398">
        <f t="shared" si="918"/>
        <v>128.59685147159479</v>
      </c>
      <c r="E907" s="25">
        <f>IF(C907&gt;$B$7,0,'Combined Retirement'!$D$13/12)</f>
        <v>0</v>
      </c>
      <c r="F907" s="25">
        <f>IF(H907=0,'Combined Retirement'!$D$32,0)+'Combined Retirement'!$B$24</f>
        <v>2870.372285649099</v>
      </c>
      <c r="G907" s="25">
        <f>'Combined Retirement'!$C$24</f>
        <v>3254.2644699519233</v>
      </c>
      <c r="H907" s="25">
        <f>IF(B907&lt;62,0,'Combined Retirement'!$I$14)</f>
        <v>2345</v>
      </c>
      <c r="I907" s="25">
        <f>IF(C907&lt;62,0,'Combined Retirement'!$I$13)</f>
        <v>2420</v>
      </c>
      <c r="J907" s="25">
        <f t="shared" si="783"/>
        <v>7896.2379798201846</v>
      </c>
      <c r="K907" s="25">
        <f t="shared" si="784"/>
        <v>20367.195264578786</v>
      </c>
      <c r="L907" s="25"/>
      <c r="N907" s="25">
        <f>'Combined Retirement'!$C$18/12</f>
        <v>39153.069999999992</v>
      </c>
      <c r="O907" s="25">
        <f t="shared" si="785"/>
        <v>10889.636755601023</v>
      </c>
      <c r="P907" s="25">
        <f t="shared" si="786"/>
        <v>28263.43324439897</v>
      </c>
      <c r="Q907" s="25">
        <f t="array" aca="1" ref="Q907" ca="1">INDEX('Isaac 401k'!L:L,MATCH('Retirement Calculator'!A907,'Isaac 401k'!N:N,0),0)</f>
        <v>1962448.246542091</v>
      </c>
      <c r="R907" s="25">
        <f t="array" aca="1" ref="R907" ca="1">INDEX('Lorri 401b'!L:L,MATCH('Retirement Calculator'!A907,'Lorri 401b'!N:N,0),0)</f>
        <v>-6315987.5426158765</v>
      </c>
      <c r="S907" s="25">
        <f t="shared" ca="1" si="787"/>
        <v>-4353539.2960737851</v>
      </c>
    </row>
    <row r="908" spans="1:19" ht="15.75" customHeight="1" x14ac:dyDescent="0.3">
      <c r="A908" s="37">
        <v>78588</v>
      </c>
      <c r="B908" s="398">
        <f t="shared" ref="B908:C908" si="919">($A908-B$9)/365.25</f>
        <v>133.28405201916496</v>
      </c>
      <c r="C908" s="398">
        <f t="shared" si="919"/>
        <v>128.6735112936345</v>
      </c>
      <c r="E908" s="25">
        <f>IF(C908&gt;$B$7,0,'Combined Retirement'!$D$13/12)</f>
        <v>0</v>
      </c>
      <c r="F908" s="25">
        <f>IF(H908=0,'Combined Retirement'!$D$32,0)+'Combined Retirement'!$B$24</f>
        <v>2870.372285649099</v>
      </c>
      <c r="G908" s="25">
        <f>'Combined Retirement'!$C$24</f>
        <v>3254.2644699519233</v>
      </c>
      <c r="H908" s="25">
        <f>IF(B908&lt;62,0,'Combined Retirement'!$I$14)</f>
        <v>2345</v>
      </c>
      <c r="I908" s="25">
        <f>IF(C908&lt;62,0,'Combined Retirement'!$I$13)</f>
        <v>2420</v>
      </c>
      <c r="J908" s="25">
        <f t="shared" si="783"/>
        <v>7896.2379798201846</v>
      </c>
      <c r="K908" s="25">
        <f t="shared" si="784"/>
        <v>20367.195264578786</v>
      </c>
      <c r="L908" s="25"/>
      <c r="N908" s="25">
        <f>'Combined Retirement'!$C$18/12</f>
        <v>39153.069999999992</v>
      </c>
      <c r="O908" s="25">
        <f t="shared" si="785"/>
        <v>10889.636755601023</v>
      </c>
      <c r="P908" s="25">
        <f t="shared" si="786"/>
        <v>28263.43324439897</v>
      </c>
      <c r="Q908" s="25">
        <f t="array" aca="1" ref="Q908" ca="1">INDEX('Isaac 401k'!L:L,MATCH('Retirement Calculator'!A908,'Isaac 401k'!N:N,0),0)</f>
        <v>1962695.9752646135</v>
      </c>
      <c r="R908" s="25">
        <f t="array" aca="1" ref="R908" ca="1">INDEX('Lorri 401b'!L:L,MATCH('Retirement Calculator'!A908,'Lorri 401b'!N:N,0),0)</f>
        <v>-6362756.2159549575</v>
      </c>
      <c r="S908" s="25">
        <f t="shared" ca="1" si="787"/>
        <v>-4400060.240690344</v>
      </c>
    </row>
    <row r="909" spans="1:19" ht="15.75" customHeight="1" x14ac:dyDescent="0.3">
      <c r="A909" s="37">
        <v>78619</v>
      </c>
      <c r="B909" s="398">
        <f t="shared" ref="B909:C909" si="920">($A909-B$9)/365.25</f>
        <v>133.36892539356606</v>
      </c>
      <c r="C909" s="398">
        <f t="shared" si="920"/>
        <v>128.7583846680356</v>
      </c>
      <c r="E909" s="25">
        <f>IF(C909&gt;$B$7,0,'Combined Retirement'!$D$13/12)</f>
        <v>0</v>
      </c>
      <c r="F909" s="25">
        <f>IF(H909=0,'Combined Retirement'!$D$32,0)+'Combined Retirement'!$B$24</f>
        <v>2870.372285649099</v>
      </c>
      <c r="G909" s="25">
        <f>'Combined Retirement'!$C$24</f>
        <v>3254.2644699519233</v>
      </c>
      <c r="H909" s="25">
        <f>IF(B909&lt;62,0,'Combined Retirement'!$I$14)</f>
        <v>2345</v>
      </c>
      <c r="I909" s="25">
        <f>IF(C909&lt;62,0,'Combined Retirement'!$I$13)</f>
        <v>2420</v>
      </c>
      <c r="J909" s="25">
        <f t="shared" si="783"/>
        <v>7896.2379798201846</v>
      </c>
      <c r="K909" s="25">
        <f t="shared" si="784"/>
        <v>20367.195264578786</v>
      </c>
      <c r="L909" s="25"/>
      <c r="N909" s="25">
        <f>'Combined Retirement'!$C$18/12</f>
        <v>39153.069999999992</v>
      </c>
      <c r="O909" s="25">
        <f t="shared" si="785"/>
        <v>10889.636755601023</v>
      </c>
      <c r="P909" s="25">
        <f t="shared" si="786"/>
        <v>28263.43324439897</v>
      </c>
      <c r="Q909" s="25">
        <f t="array" aca="1" ref="Q909" ca="1">INDEX('Isaac 401k'!L:L,MATCH('Retirement Calculator'!A909,'Isaac 401k'!N:N,0),0)</f>
        <v>1962944.7361901465</v>
      </c>
      <c r="R909" s="25">
        <f t="array" aca="1" ref="R909" ca="1">INDEX('Lorri 401b'!L:L,MATCH('Retirement Calculator'!A909,'Lorri 401b'!N:N,0),0)</f>
        <v>-6409719.7587662842</v>
      </c>
      <c r="S909" s="25">
        <f t="shared" ca="1" si="787"/>
        <v>-4446775.0225761374</v>
      </c>
    </row>
    <row r="910" spans="1:19" ht="15.75" customHeight="1" x14ac:dyDescent="0.3">
      <c r="A910" s="37">
        <v>78649</v>
      </c>
      <c r="B910" s="398">
        <f t="shared" ref="B910:C910" si="921">($A910-B$9)/365.25</f>
        <v>133.45106091718</v>
      </c>
      <c r="C910" s="398">
        <f t="shared" si="921"/>
        <v>128.84052019164955</v>
      </c>
      <c r="E910" s="25">
        <f>IF(C910&gt;$B$7,0,'Combined Retirement'!$D$13/12)</f>
        <v>0</v>
      </c>
      <c r="F910" s="25">
        <f>IF(H910=0,'Combined Retirement'!$D$32,0)+'Combined Retirement'!$B$24</f>
        <v>2870.372285649099</v>
      </c>
      <c r="G910" s="25">
        <f>'Combined Retirement'!$C$24</f>
        <v>3254.2644699519233</v>
      </c>
      <c r="H910" s="25">
        <f>IF(B910&lt;62,0,'Combined Retirement'!$I$14)</f>
        <v>2345</v>
      </c>
      <c r="I910" s="25">
        <f>IF(C910&lt;62,0,'Combined Retirement'!$I$13)</f>
        <v>2420</v>
      </c>
      <c r="J910" s="25">
        <f t="shared" si="783"/>
        <v>7896.2379798201846</v>
      </c>
      <c r="K910" s="25">
        <f t="shared" si="784"/>
        <v>20367.195264578786</v>
      </c>
      <c r="L910" s="25"/>
      <c r="N910" s="25">
        <f>'Combined Retirement'!$C$18/12</f>
        <v>39153.069999999992</v>
      </c>
      <c r="O910" s="25">
        <f t="shared" si="785"/>
        <v>10889.636755601023</v>
      </c>
      <c r="P910" s="25">
        <f t="shared" si="786"/>
        <v>28263.43324439897</v>
      </c>
      <c r="Q910" s="25">
        <f t="array" aca="1" ref="Q910" ca="1">INDEX('Isaac 401k'!L:L,MATCH('Retirement Calculator'!A910,'Isaac 401k'!N:N,0),0)</f>
        <v>1963194.5336195361</v>
      </c>
      <c r="R910" s="25">
        <f t="array" aca="1" ref="R910" ca="1">INDEX('Lorri 401b'!L:L,MATCH('Retirement Calculator'!A910,'Lorri 401b'!N:N,0),0)</f>
        <v>-6456878.9830059912</v>
      </c>
      <c r="S910" s="25">
        <f t="shared" ca="1" si="787"/>
        <v>-4493684.4493864551</v>
      </c>
    </row>
    <row r="911" spans="1:19" ht="15.75" customHeight="1" x14ac:dyDescent="0.3">
      <c r="A911" s="37">
        <v>78680</v>
      </c>
      <c r="B911" s="398">
        <f t="shared" ref="B911:C911" si="922">($A911-B$9)/365.25</f>
        <v>133.5359342915811</v>
      </c>
      <c r="C911" s="398">
        <f t="shared" si="922"/>
        <v>128.92539356605064</v>
      </c>
      <c r="E911" s="25">
        <f>IF(C911&gt;$B$7,0,'Combined Retirement'!$D$13/12)</f>
        <v>0</v>
      </c>
      <c r="F911" s="25">
        <f>IF(H911=0,'Combined Retirement'!$D$32,0)+'Combined Retirement'!$B$24</f>
        <v>2870.372285649099</v>
      </c>
      <c r="G911" s="25">
        <f>'Combined Retirement'!$C$24</f>
        <v>3254.2644699519233</v>
      </c>
      <c r="H911" s="25">
        <f>IF(B911&lt;62,0,'Combined Retirement'!$I$14)</f>
        <v>2345</v>
      </c>
      <c r="I911" s="25">
        <f>IF(C911&lt;62,0,'Combined Retirement'!$I$13)</f>
        <v>2420</v>
      </c>
      <c r="J911" s="25">
        <f t="shared" si="783"/>
        <v>7896.2379798201846</v>
      </c>
      <c r="K911" s="25">
        <f t="shared" si="784"/>
        <v>20367.195264578786</v>
      </c>
      <c r="L911" s="25"/>
      <c r="N911" s="25">
        <f>'Combined Retirement'!$C$18/12</f>
        <v>39153.069999999992</v>
      </c>
      <c r="O911" s="25">
        <f t="shared" si="785"/>
        <v>10889.636755601023</v>
      </c>
      <c r="P911" s="25">
        <f t="shared" si="786"/>
        <v>28263.43324439897</v>
      </c>
      <c r="Q911" s="25">
        <f t="array" aca="1" ref="Q911" ca="1">INDEX('Isaac 401k'!L:L,MATCH('Retirement Calculator'!A911,'Isaac 401k'!N:N,0),0)</f>
        <v>1963445.371871548</v>
      </c>
      <c r="R911" s="25">
        <f t="array" aca="1" ref="R911" ca="1">INDEX('Lorri 401b'!L:L,MATCH('Retirement Calculator'!A911,'Lorri 401b'!N:N,0),0)</f>
        <v>-6504234.7040133644</v>
      </c>
      <c r="S911" s="25">
        <f t="shared" ca="1" si="787"/>
        <v>-4540789.3321418166</v>
      </c>
    </row>
    <row r="912" spans="1:19" ht="15.75" customHeight="1" x14ac:dyDescent="0.3">
      <c r="A912" s="37">
        <v>78710</v>
      </c>
      <c r="B912" s="398">
        <f t="shared" ref="B912:C912" si="923">($A912-B$9)/365.25</f>
        <v>133.61806981519507</v>
      </c>
      <c r="C912" s="398">
        <f t="shared" si="923"/>
        <v>129.00752908966462</v>
      </c>
      <c r="E912" s="25">
        <f>IF(C912&gt;$B$7,0,'Combined Retirement'!$D$13/12)</f>
        <v>0</v>
      </c>
      <c r="F912" s="25">
        <f>IF(H912=0,'Combined Retirement'!$D$32,0)+'Combined Retirement'!$B$24</f>
        <v>2870.372285649099</v>
      </c>
      <c r="G912" s="25">
        <f>'Combined Retirement'!$C$24</f>
        <v>3254.2644699519233</v>
      </c>
      <c r="H912" s="25">
        <f>IF(B912&lt;62,0,'Combined Retirement'!$I$14)</f>
        <v>2345</v>
      </c>
      <c r="I912" s="25">
        <f>IF(C912&lt;62,0,'Combined Retirement'!$I$13)</f>
        <v>2420</v>
      </c>
      <c r="J912" s="25">
        <f t="shared" si="783"/>
        <v>7896.2379798201846</v>
      </c>
      <c r="K912" s="25">
        <f t="shared" si="784"/>
        <v>20367.195264578786</v>
      </c>
      <c r="L912" s="25"/>
      <c r="N912" s="25">
        <f>'Combined Retirement'!$C$18/12</f>
        <v>39153.069999999992</v>
      </c>
      <c r="O912" s="25">
        <f t="shared" si="785"/>
        <v>10889.636755601023</v>
      </c>
      <c r="P912" s="25">
        <f t="shared" si="786"/>
        <v>28263.43324439897</v>
      </c>
      <c r="Q912" s="25">
        <f t="array" aca="1" ref="Q912" ca="1">INDEX('Isaac 401k'!L:L,MATCH('Retirement Calculator'!A912,'Isaac 401k'!N:N,0),0)</f>
        <v>1963697.2552829434</v>
      </c>
      <c r="R912" s="25">
        <f t="array" aca="1" ref="R912" ca="1">INDEX('Lorri 401b'!L:L,MATCH('Retirement Calculator'!A912,'Lorri 401b'!N:N,0),0)</f>
        <v>-6551787.7405249346</v>
      </c>
      <c r="S912" s="25">
        <f t="shared" ca="1" si="787"/>
        <v>-4588090.4852419915</v>
      </c>
    </row>
    <row r="913" spans="1:19" ht="15.75" customHeight="1" x14ac:dyDescent="0.3">
      <c r="A913" s="37">
        <v>78741</v>
      </c>
      <c r="B913" s="398">
        <f t="shared" ref="B913:C913" si="924">($A913-B$9)/365.25</f>
        <v>133.70294318959617</v>
      </c>
      <c r="C913" s="398">
        <f t="shared" si="924"/>
        <v>129.09240246406571</v>
      </c>
      <c r="E913" s="25">
        <f>IF(C913&gt;$B$7,0,'Combined Retirement'!$D$13/12)</f>
        <v>0</v>
      </c>
      <c r="F913" s="25">
        <f>IF(H913=0,'Combined Retirement'!$D$32,0)+'Combined Retirement'!$B$24</f>
        <v>2870.372285649099</v>
      </c>
      <c r="G913" s="25">
        <f>'Combined Retirement'!$C$24</f>
        <v>3254.2644699519233</v>
      </c>
      <c r="H913" s="25">
        <f>IF(B913&lt;62,0,'Combined Retirement'!$I$14)</f>
        <v>2345</v>
      </c>
      <c r="I913" s="25">
        <f>IF(C913&lt;62,0,'Combined Retirement'!$I$13)</f>
        <v>2420</v>
      </c>
      <c r="J913" s="25">
        <f t="shared" si="783"/>
        <v>7896.2379798201846</v>
      </c>
      <c r="K913" s="25">
        <f t="shared" si="784"/>
        <v>20367.195264578786</v>
      </c>
      <c r="L913" s="25"/>
      <c r="N913" s="25">
        <f>'Combined Retirement'!$C$18/12</f>
        <v>39153.069999999992</v>
      </c>
      <c r="O913" s="25">
        <f t="shared" si="785"/>
        <v>10889.636755601023</v>
      </c>
      <c r="P913" s="25">
        <f t="shared" si="786"/>
        <v>28263.43324439897</v>
      </c>
      <c r="Q913" s="25">
        <f t="array" aca="1" ref="Q913" ca="1">INDEX('Isaac 401k'!L:L,MATCH('Retirement Calculator'!A913,'Isaac 401k'!N:N,0),0)</f>
        <v>1963950.1882085528</v>
      </c>
      <c r="R913" s="25">
        <f t="array" aca="1" ref="R913" ca="1">INDEX('Lorri 401b'!L:L,MATCH('Retirement Calculator'!A913,'Lorri 401b'!N:N,0),0)</f>
        <v>-6599538.9146886365</v>
      </c>
      <c r="S913" s="25">
        <f t="shared" ca="1" si="787"/>
        <v>-4635588.7264800835</v>
      </c>
    </row>
    <row r="914" spans="1:19" ht="15.75" customHeight="1" x14ac:dyDescent="0.3">
      <c r="A914" s="37">
        <v>78772</v>
      </c>
      <c r="B914" s="398">
        <f t="shared" ref="B914:C914" si="925">($A914-B$9)/365.25</f>
        <v>133.78781656399727</v>
      </c>
      <c r="C914" s="398">
        <f t="shared" si="925"/>
        <v>129.17727583846681</v>
      </c>
      <c r="E914" s="25">
        <f>IF(C914&gt;$B$7,0,'Combined Retirement'!$D$13/12)</f>
        <v>0</v>
      </c>
      <c r="F914" s="25">
        <f>IF(H914=0,'Combined Retirement'!$D$32,0)+'Combined Retirement'!$B$24</f>
        <v>2870.372285649099</v>
      </c>
      <c r="G914" s="25">
        <f>'Combined Retirement'!$C$24</f>
        <v>3254.2644699519233</v>
      </c>
      <c r="H914" s="25">
        <f>IF(B914&lt;62,0,'Combined Retirement'!$I$14)</f>
        <v>2345</v>
      </c>
      <c r="I914" s="25">
        <f>IF(C914&lt;62,0,'Combined Retirement'!$I$13)</f>
        <v>2420</v>
      </c>
      <c r="J914" s="25">
        <f t="shared" si="783"/>
        <v>7896.2379798201846</v>
      </c>
      <c r="K914" s="25">
        <f t="shared" si="784"/>
        <v>20367.195264578786</v>
      </c>
      <c r="L914" s="25"/>
      <c r="N914" s="25">
        <f>'Combined Retirement'!$C$18/12</f>
        <v>39153.069999999992</v>
      </c>
      <c r="O914" s="25">
        <f t="shared" si="785"/>
        <v>10889.636755601023</v>
      </c>
      <c r="P914" s="25">
        <f t="shared" si="786"/>
        <v>28263.43324439897</v>
      </c>
      <c r="Q914" s="25">
        <f t="array" aca="1" ref="Q914" ca="1">INDEX('Isaac 401k'!L:L,MATCH('Retirement Calculator'!A914,'Isaac 401k'!N:N,0),0)</f>
        <v>1964204.1750213522</v>
      </c>
      <c r="R914" s="25">
        <f t="array" aca="1" ref="R914" ca="1">INDEX('Lorri 401b'!L:L,MATCH('Retirement Calculator'!A914,'Lorri 401b'!N:N,0),0)</f>
        <v>-6647489.0520780208</v>
      </c>
      <c r="S914" s="25">
        <f t="shared" ca="1" si="787"/>
        <v>-4683284.8770566685</v>
      </c>
    </row>
    <row r="915" spans="1:19" ht="15.75" customHeight="1" x14ac:dyDescent="0.3">
      <c r="A915" s="37">
        <v>78802</v>
      </c>
      <c r="B915" s="398">
        <f t="shared" ref="B915:C915" si="926">($A915-B$9)/365.25</f>
        <v>133.86995208761124</v>
      </c>
      <c r="C915" s="398">
        <f t="shared" si="926"/>
        <v>129.25941136208075</v>
      </c>
      <c r="E915" s="25">
        <f>IF(C915&gt;$B$7,0,'Combined Retirement'!$D$13/12)</f>
        <v>0</v>
      </c>
      <c r="F915" s="25">
        <f>IF(H915=0,'Combined Retirement'!$D$32,0)+'Combined Retirement'!$B$24</f>
        <v>2870.372285649099</v>
      </c>
      <c r="G915" s="25">
        <f>'Combined Retirement'!$C$24</f>
        <v>3254.2644699519233</v>
      </c>
      <c r="H915" s="25">
        <f>IF(B915&lt;62,0,'Combined Retirement'!$I$14)</f>
        <v>2345</v>
      </c>
      <c r="I915" s="25">
        <f>IF(C915&lt;62,0,'Combined Retirement'!$I$13)</f>
        <v>2420</v>
      </c>
      <c r="J915" s="25">
        <f t="shared" si="783"/>
        <v>7896.2379798201846</v>
      </c>
      <c r="K915" s="25">
        <f t="shared" si="784"/>
        <v>20367.195264578786</v>
      </c>
      <c r="L915" s="25"/>
      <c r="N915" s="25">
        <f>'Combined Retirement'!$C$18/12</f>
        <v>39153.069999999992</v>
      </c>
      <c r="O915" s="25">
        <f t="shared" si="785"/>
        <v>10889.636755601023</v>
      </c>
      <c r="P915" s="25">
        <f t="shared" si="786"/>
        <v>28263.43324439897</v>
      </c>
      <c r="Q915" s="25">
        <f t="array" aca="1" ref="Q915" ca="1">INDEX('Isaac 401k'!L:L,MATCH('Retirement Calculator'!A915,'Isaac 401k'!N:N,0),0)</f>
        <v>1964459.2201125384</v>
      </c>
      <c r="R915" s="25">
        <f t="array" aca="1" ref="R915" ca="1">INDEX('Lorri 401b'!L:L,MATCH('Retirement Calculator'!A915,'Lorri 401b'!N:N,0),0)</f>
        <v>-6695638.9817065271</v>
      </c>
      <c r="S915" s="25">
        <f t="shared" ca="1" si="787"/>
        <v>-4731179.7615939882</v>
      </c>
    </row>
    <row r="916" spans="1:19" ht="15.75" customHeight="1" x14ac:dyDescent="0.3">
      <c r="A916" s="37">
        <v>78833</v>
      </c>
      <c r="B916" s="398">
        <f t="shared" ref="B916:C916" si="927">($A916-B$9)/365.25</f>
        <v>133.95482546201231</v>
      </c>
      <c r="C916" s="398">
        <f t="shared" si="927"/>
        <v>129.34428473648185</v>
      </c>
      <c r="E916" s="25">
        <f>IF(C916&gt;$B$7,0,'Combined Retirement'!$D$13/12)</f>
        <v>0</v>
      </c>
      <c r="F916" s="25">
        <f>IF(H916=0,'Combined Retirement'!$D$32,0)+'Combined Retirement'!$B$24</f>
        <v>2870.372285649099</v>
      </c>
      <c r="G916" s="25">
        <f>'Combined Retirement'!$C$24</f>
        <v>3254.2644699519233</v>
      </c>
      <c r="H916" s="25">
        <f>IF(B916&lt;62,0,'Combined Retirement'!$I$14)</f>
        <v>2345</v>
      </c>
      <c r="I916" s="25">
        <f>IF(C916&lt;62,0,'Combined Retirement'!$I$13)</f>
        <v>2420</v>
      </c>
      <c r="J916" s="25">
        <f t="shared" si="783"/>
        <v>7896.2379798201846</v>
      </c>
      <c r="K916" s="25">
        <f t="shared" si="784"/>
        <v>20367.195264578786</v>
      </c>
      <c r="L916" s="25"/>
      <c r="N916" s="25">
        <f>'Combined Retirement'!$C$18/12</f>
        <v>39153.069999999992</v>
      </c>
      <c r="O916" s="25">
        <f t="shared" si="785"/>
        <v>10889.636755601023</v>
      </c>
      <c r="P916" s="25">
        <f t="shared" si="786"/>
        <v>28263.43324439897</v>
      </c>
      <c r="Q916" s="25">
        <f t="array" aca="1" ref="Q916" ca="1">INDEX('Isaac 401k'!L:L,MATCH('Retirement Calculator'!A916,'Isaac 401k'!N:N,0),0)</f>
        <v>1964715.3278916045</v>
      </c>
      <c r="R916" s="25">
        <f t="array" aca="1" ref="R916" ca="1">INDEX('Lorri 401b'!L:L,MATCH('Retirement Calculator'!A916,'Lorri 401b'!N:N,0),0)</f>
        <v>-6743989.5360418186</v>
      </c>
      <c r="S916" s="25">
        <f t="shared" ca="1" si="787"/>
        <v>-4779274.2081502136</v>
      </c>
    </row>
    <row r="917" spans="1:19" ht="15.75" customHeight="1" x14ac:dyDescent="0.3">
      <c r="A917" s="37">
        <v>78863</v>
      </c>
      <c r="B917" s="398">
        <f t="shared" ref="B917:C917" si="928">($A917-B$9)/365.25</f>
        <v>134.03696098562628</v>
      </c>
      <c r="C917" s="398">
        <f t="shared" si="928"/>
        <v>129.42642026009582</v>
      </c>
      <c r="E917" s="25">
        <f>IF(C917&gt;$B$7,0,'Combined Retirement'!$D$13/12)</f>
        <v>0</v>
      </c>
      <c r="F917" s="25">
        <f>IF(H917=0,'Combined Retirement'!$D$32,0)+'Combined Retirement'!$B$24</f>
        <v>2870.372285649099</v>
      </c>
      <c r="G917" s="25">
        <f>'Combined Retirement'!$C$24</f>
        <v>3254.2644699519233</v>
      </c>
      <c r="H917" s="25">
        <f>IF(B917&lt;62,0,'Combined Retirement'!$I$14)</f>
        <v>2345</v>
      </c>
      <c r="I917" s="25">
        <f>IF(C917&lt;62,0,'Combined Retirement'!$I$13)</f>
        <v>2420</v>
      </c>
      <c r="J917" s="25">
        <f t="shared" si="783"/>
        <v>7896.2379798201846</v>
      </c>
      <c r="K917" s="25">
        <f t="shared" si="784"/>
        <v>20367.195264578786</v>
      </c>
      <c r="L917" s="25"/>
      <c r="N917" s="25">
        <f>'Combined Retirement'!$C$18/12</f>
        <v>39153.069999999992</v>
      </c>
      <c r="O917" s="25">
        <f t="shared" si="785"/>
        <v>10889.636755601023</v>
      </c>
      <c r="P917" s="25">
        <f t="shared" si="786"/>
        <v>28263.43324439897</v>
      </c>
      <c r="Q917" s="25">
        <f t="array" aca="1" ref="Q917" ca="1">INDEX('Isaac 401k'!L:L,MATCH('Retirement Calculator'!A917,'Isaac 401k'!N:N,0),0)</f>
        <v>1964972.5027864168</v>
      </c>
      <c r="R917" s="25">
        <f t="array" aca="1" ref="R917" ca="1">INDEX('Lorri 401b'!L:L,MATCH('Retirement Calculator'!A917,'Lorri 401b'!N:N,0),0)</f>
        <v>-6792541.5510201743</v>
      </c>
      <c r="S917" s="25">
        <f t="shared" ca="1" si="787"/>
        <v>-4827569.0482337577</v>
      </c>
    </row>
    <row r="918" spans="1:19" ht="15.75" customHeight="1" x14ac:dyDescent="0.3">
      <c r="A918" s="37">
        <v>78894</v>
      </c>
      <c r="B918" s="398">
        <f t="shared" ref="B918:C918" si="929">($A918-B$9)/365.25</f>
        <v>134.12183436002738</v>
      </c>
      <c r="C918" s="398">
        <f t="shared" si="929"/>
        <v>129.51129363449692</v>
      </c>
      <c r="E918" s="25">
        <f>IF(C918&gt;$B$7,0,'Combined Retirement'!$D$13/12)</f>
        <v>0</v>
      </c>
      <c r="F918" s="25">
        <f>IF(H918=0,'Combined Retirement'!$D$32,0)+'Combined Retirement'!$B$24</f>
        <v>2870.372285649099</v>
      </c>
      <c r="G918" s="25">
        <f>'Combined Retirement'!$C$24</f>
        <v>3254.2644699519233</v>
      </c>
      <c r="H918" s="25">
        <f>IF(B918&lt;62,0,'Combined Retirement'!$I$14)</f>
        <v>2345</v>
      </c>
      <c r="I918" s="25">
        <f>IF(C918&lt;62,0,'Combined Retirement'!$I$13)</f>
        <v>2420</v>
      </c>
      <c r="J918" s="25">
        <f t="shared" si="783"/>
        <v>7896.2379798201846</v>
      </c>
      <c r="K918" s="25">
        <f t="shared" si="784"/>
        <v>20367.195264578786</v>
      </c>
      <c r="L918" s="25"/>
      <c r="N918" s="25">
        <f>'Combined Retirement'!$C$18/12</f>
        <v>39153.069999999992</v>
      </c>
      <c r="O918" s="25">
        <f t="shared" si="785"/>
        <v>10889.636755601023</v>
      </c>
      <c r="P918" s="25">
        <f t="shared" si="786"/>
        <v>28263.43324439897</v>
      </c>
      <c r="Q918" s="25">
        <f t="array" aca="1" ref="Q918" ca="1">INDEX('Isaac 401k'!L:L,MATCH('Retirement Calculator'!A918,'Isaac 401k'!N:N,0),0)</f>
        <v>1965230.7492432906</v>
      </c>
      <c r="R918" s="25">
        <f t="array" aca="1" ref="R918" ca="1">INDEX('Lorri 401b'!L:L,MATCH('Retirement Calculator'!A918,'Lorri 401b'!N:N,0),0)</f>
        <v>-6841295.8660609396</v>
      </c>
      <c r="S918" s="25">
        <f t="shared" ca="1" si="787"/>
        <v>-4876065.1168176495</v>
      </c>
    </row>
    <row r="919" spans="1:19" ht="15.75" customHeight="1" x14ac:dyDescent="0.3">
      <c r="A919" s="37">
        <v>78925</v>
      </c>
      <c r="B919" s="398">
        <f t="shared" ref="B919:C919" si="930">($A919-B$9)/365.25</f>
        <v>134.20670773442848</v>
      </c>
      <c r="C919" s="398">
        <f t="shared" si="930"/>
        <v>129.59616700889802</v>
      </c>
      <c r="E919" s="25">
        <f>IF(C919&gt;$B$7,0,'Combined Retirement'!$D$13/12)</f>
        <v>0</v>
      </c>
      <c r="F919" s="25">
        <f>IF(H919=0,'Combined Retirement'!$D$32,0)+'Combined Retirement'!$B$24</f>
        <v>2870.372285649099</v>
      </c>
      <c r="G919" s="25">
        <f>'Combined Retirement'!$C$24</f>
        <v>3254.2644699519233</v>
      </c>
      <c r="H919" s="25">
        <f>IF(B919&lt;62,0,'Combined Retirement'!$I$14)</f>
        <v>2345</v>
      </c>
      <c r="I919" s="25">
        <f>IF(C919&lt;62,0,'Combined Retirement'!$I$13)</f>
        <v>2420</v>
      </c>
      <c r="J919" s="25">
        <f t="shared" si="783"/>
        <v>7896.2379798201846</v>
      </c>
      <c r="K919" s="25">
        <f t="shared" si="784"/>
        <v>20367.195264578786</v>
      </c>
      <c r="L919" s="25"/>
      <c r="N919" s="25">
        <f>'Combined Retirement'!$C$18/12</f>
        <v>39153.069999999992</v>
      </c>
      <c r="O919" s="25">
        <f t="shared" si="785"/>
        <v>10889.636755601023</v>
      </c>
      <c r="P919" s="25">
        <f t="shared" si="786"/>
        <v>28263.43324439897</v>
      </c>
      <c r="Q919" s="25">
        <f t="array" aca="1" ref="Q919" ca="1">INDEX('Isaac 401k'!L:L,MATCH('Retirement Calculator'!A919,'Isaac 401k'!N:N,0),0)</f>
        <v>1965490.0717270682</v>
      </c>
      <c r="R919" s="25">
        <f t="array" aca="1" ref="R919" ca="1">INDEX('Lorri 401b'!L:L,MATCH('Retirement Calculator'!A919,'Lorri 401b'!N:N,0),0)</f>
        <v>-6890253.3240810419</v>
      </c>
      <c r="S919" s="25">
        <f t="shared" ca="1" si="787"/>
        <v>-4924763.2523539737</v>
      </c>
    </row>
    <row r="920" spans="1:19" ht="15.75" customHeight="1" x14ac:dyDescent="0.3">
      <c r="A920" s="37">
        <v>78954</v>
      </c>
      <c r="B920" s="398">
        <f t="shared" ref="B920:C920" si="931">($A920-B$9)/365.25</f>
        <v>134.28610540725529</v>
      </c>
      <c r="C920" s="398">
        <f t="shared" si="931"/>
        <v>129.67556468172484</v>
      </c>
      <c r="E920" s="25">
        <f>IF(C920&gt;$B$7,0,'Combined Retirement'!$D$13/12)</f>
        <v>0</v>
      </c>
      <c r="F920" s="25">
        <f>IF(H920=0,'Combined Retirement'!$D$32,0)+'Combined Retirement'!$B$24</f>
        <v>2870.372285649099</v>
      </c>
      <c r="G920" s="25">
        <f>'Combined Retirement'!$C$24</f>
        <v>3254.2644699519233</v>
      </c>
      <c r="H920" s="25">
        <f>IF(B920&lt;62,0,'Combined Retirement'!$I$14)</f>
        <v>2345</v>
      </c>
      <c r="I920" s="25">
        <f>IF(C920&lt;62,0,'Combined Retirement'!$I$13)</f>
        <v>2420</v>
      </c>
      <c r="J920" s="25">
        <f t="shared" si="783"/>
        <v>7896.2379798201846</v>
      </c>
      <c r="K920" s="25">
        <f t="shared" si="784"/>
        <v>20367.195264578786</v>
      </c>
      <c r="L920" s="25"/>
      <c r="N920" s="25">
        <f>'Combined Retirement'!$C$18/12</f>
        <v>39153.069999999992</v>
      </c>
      <c r="O920" s="25">
        <f t="shared" si="785"/>
        <v>10889.636755601023</v>
      </c>
      <c r="P920" s="25">
        <f t="shared" si="786"/>
        <v>28263.43324439897</v>
      </c>
      <c r="Q920" s="25">
        <f t="array" aca="1" ref="Q920" ca="1">INDEX('Isaac 401k'!L:L,MATCH('Retirement Calculator'!A920,'Isaac 401k'!N:N,0),0)</f>
        <v>1965750.4747211947</v>
      </c>
      <c r="R920" s="25">
        <f t="array" aca="1" ref="R920" ca="1">INDEX('Lorri 401b'!L:L,MATCH('Retirement Calculator'!A920,'Lorri 401b'!N:N,0),0)</f>
        <v>-6939414.7715095608</v>
      </c>
      <c r="S920" s="25">
        <f t="shared" ca="1" si="787"/>
        <v>-4973664.2967883665</v>
      </c>
    </row>
    <row r="921" spans="1:19" ht="15.75" customHeight="1" x14ac:dyDescent="0.3">
      <c r="A921" s="37">
        <v>78985</v>
      </c>
      <c r="B921" s="398">
        <f t="shared" ref="B921:C921" si="932">($A921-B$9)/365.25</f>
        <v>134.37097878165639</v>
      </c>
      <c r="C921" s="398">
        <f t="shared" si="932"/>
        <v>129.76043805612593</v>
      </c>
      <c r="E921" s="25">
        <f>IF(C921&gt;$B$7,0,'Combined Retirement'!$D$13/12)</f>
        <v>0</v>
      </c>
      <c r="F921" s="25">
        <f>IF(H921=0,'Combined Retirement'!$D$32,0)+'Combined Retirement'!$B$24</f>
        <v>2870.372285649099</v>
      </c>
      <c r="G921" s="25">
        <f>'Combined Retirement'!$C$24</f>
        <v>3254.2644699519233</v>
      </c>
      <c r="H921" s="25">
        <f>IF(B921&lt;62,0,'Combined Retirement'!$I$14)</f>
        <v>2345</v>
      </c>
      <c r="I921" s="25">
        <f>IF(C921&lt;62,0,'Combined Retirement'!$I$13)</f>
        <v>2420</v>
      </c>
      <c r="J921" s="25">
        <f t="shared" si="783"/>
        <v>7896.2379798201846</v>
      </c>
      <c r="K921" s="25">
        <f t="shared" si="784"/>
        <v>20367.195264578786</v>
      </c>
      <c r="L921" s="25"/>
      <c r="N921" s="25">
        <f>'Combined Retirement'!$C$18/12</f>
        <v>39153.069999999992</v>
      </c>
      <c r="O921" s="25">
        <f t="shared" si="785"/>
        <v>10889.636755601023</v>
      </c>
      <c r="P921" s="25">
        <f t="shared" si="786"/>
        <v>28263.43324439897</v>
      </c>
      <c r="Q921" s="25">
        <f t="array" aca="1" ref="Q921" ca="1">INDEX('Isaac 401k'!L:L,MATCH('Retirement Calculator'!A921,'Isaac 401k'!N:N,0),0)</f>
        <v>1966011.962727797</v>
      </c>
      <c r="R921" s="25">
        <f t="array" aca="1" ref="R921" ca="1">INDEX('Lorri 401b'!L:L,MATCH('Retirement Calculator'!A921,'Lorri 401b'!N:N,0),0)</f>
        <v>-6988781.0583023652</v>
      </c>
      <c r="S921" s="25">
        <f t="shared" ca="1" si="787"/>
        <v>-5022769.095574568</v>
      </c>
    </row>
    <row r="922" spans="1:19" ht="15.75" customHeight="1" x14ac:dyDescent="0.3">
      <c r="A922" s="37">
        <v>79015</v>
      </c>
      <c r="B922" s="398">
        <f t="shared" ref="B922:C922" si="933">($A922-B$9)/365.25</f>
        <v>134.45311430527036</v>
      </c>
      <c r="C922" s="398">
        <f t="shared" si="933"/>
        <v>129.84257357973991</v>
      </c>
      <c r="E922" s="25">
        <f>IF(C922&gt;$B$7,0,'Combined Retirement'!$D$13/12)</f>
        <v>0</v>
      </c>
      <c r="F922" s="25">
        <f>IF(H922=0,'Combined Retirement'!$D$32,0)+'Combined Retirement'!$B$24</f>
        <v>2870.372285649099</v>
      </c>
      <c r="G922" s="25">
        <f>'Combined Retirement'!$C$24</f>
        <v>3254.2644699519233</v>
      </c>
      <c r="H922" s="25">
        <f>IF(B922&lt;62,0,'Combined Retirement'!$I$14)</f>
        <v>2345</v>
      </c>
      <c r="I922" s="25">
        <f>IF(C922&lt;62,0,'Combined Retirement'!$I$13)</f>
        <v>2420</v>
      </c>
      <c r="J922" s="25">
        <f t="shared" si="783"/>
        <v>7896.2379798201846</v>
      </c>
      <c r="K922" s="25">
        <f t="shared" si="784"/>
        <v>20367.195264578786</v>
      </c>
      <c r="L922" s="25"/>
      <c r="N922" s="25">
        <f>'Combined Retirement'!$C$18/12</f>
        <v>39153.069999999992</v>
      </c>
      <c r="O922" s="25">
        <f t="shared" si="785"/>
        <v>10889.636755601023</v>
      </c>
      <c r="P922" s="25">
        <f t="shared" si="786"/>
        <v>28263.43324439897</v>
      </c>
      <c r="Q922" s="25">
        <f t="array" aca="1" ref="Q922" ca="1">INDEX('Isaac 401k'!L:L,MATCH('Retirement Calculator'!A922,'Isaac 401k'!N:N,0),0)</f>
        <v>1966274.5402677599</v>
      </c>
      <c r="R922" s="25">
        <f t="array" aca="1" ref="R922" ca="1">INDEX('Lorri 401b'!L:L,MATCH('Retirement Calculator'!A922,'Lorri 401b'!N:N,0),0)</f>
        <v>-7038353.0379568059</v>
      </c>
      <c r="S922" s="25">
        <f t="shared" ca="1" si="787"/>
        <v>-5072078.497689046</v>
      </c>
    </row>
    <row r="923" spans="1:19" ht="15.75" customHeight="1" x14ac:dyDescent="0.3">
      <c r="A923" s="37">
        <v>79046</v>
      </c>
      <c r="B923" s="398">
        <f t="shared" ref="B923:C923" si="934">($A923-B$9)/365.25</f>
        <v>134.53798767967146</v>
      </c>
      <c r="C923" s="398">
        <f t="shared" si="934"/>
        <v>129.927446954141</v>
      </c>
      <c r="E923" s="25">
        <f>IF(C923&gt;$B$7,0,'Combined Retirement'!$D$13/12)</f>
        <v>0</v>
      </c>
      <c r="F923" s="25">
        <f>IF(H923=0,'Combined Retirement'!$D$32,0)+'Combined Retirement'!$B$24</f>
        <v>2870.372285649099</v>
      </c>
      <c r="G923" s="25">
        <f>'Combined Retirement'!$C$24</f>
        <v>3254.2644699519233</v>
      </c>
      <c r="H923" s="25">
        <f>IF(B923&lt;62,0,'Combined Retirement'!$I$14)</f>
        <v>2345</v>
      </c>
      <c r="I923" s="25">
        <f>IF(C923&lt;62,0,'Combined Retirement'!$I$13)</f>
        <v>2420</v>
      </c>
      <c r="J923" s="25">
        <f t="shared" si="783"/>
        <v>7896.2379798201846</v>
      </c>
      <c r="K923" s="25">
        <f t="shared" si="784"/>
        <v>20367.195264578786</v>
      </c>
      <c r="L923" s="25"/>
      <c r="N923" s="25">
        <f>'Combined Retirement'!$C$18/12</f>
        <v>39153.069999999992</v>
      </c>
      <c r="O923" s="25">
        <f t="shared" si="785"/>
        <v>10889.636755601023</v>
      </c>
      <c r="P923" s="25">
        <f t="shared" si="786"/>
        <v>28263.43324439897</v>
      </c>
      <c r="Q923" s="25">
        <f t="array" aca="1" ref="Q923" ca="1">INDEX('Isaac 401k'!L:L,MATCH('Retirement Calculator'!A923,'Isaac 401k'!N:N,0),0)</f>
        <v>1966538.2118808061</v>
      </c>
      <c r="R923" s="25">
        <f t="array" aca="1" ref="R923" ca="1">INDEX('Lorri 401b'!L:L,MATCH('Retirement Calculator'!A923,'Lorri 401b'!N:N,0),0)</f>
        <v>-7088131.5675264737</v>
      </c>
      <c r="S923" s="25">
        <f t="shared" ca="1" si="787"/>
        <v>-5121593.3556456678</v>
      </c>
    </row>
    <row r="924" spans="1:19" ht="15.75" customHeight="1" x14ac:dyDescent="0.3">
      <c r="A924" s="37">
        <v>79076</v>
      </c>
      <c r="B924" s="398">
        <f t="shared" ref="B924:C924" si="935">($A924-B$9)/365.25</f>
        <v>134.62012320328543</v>
      </c>
      <c r="C924" s="398">
        <f t="shared" si="935"/>
        <v>130.00958247775498</v>
      </c>
      <c r="E924" s="25">
        <f>IF(C924&gt;$B$7,0,'Combined Retirement'!$D$13/12)</f>
        <v>0</v>
      </c>
      <c r="F924" s="25">
        <f>IF(H924=0,'Combined Retirement'!$D$32,0)+'Combined Retirement'!$B$24</f>
        <v>2870.372285649099</v>
      </c>
      <c r="G924" s="25">
        <f>'Combined Retirement'!$C$24</f>
        <v>3254.2644699519233</v>
      </c>
      <c r="H924" s="25">
        <f>IF(B924&lt;62,0,'Combined Retirement'!$I$14)</f>
        <v>2345</v>
      </c>
      <c r="I924" s="25">
        <f>IF(C924&lt;62,0,'Combined Retirement'!$I$13)</f>
        <v>2420</v>
      </c>
      <c r="J924" s="25">
        <f t="shared" si="783"/>
        <v>7896.2379798201846</v>
      </c>
      <c r="K924" s="25">
        <f t="shared" si="784"/>
        <v>20367.195264578786</v>
      </c>
      <c r="L924" s="25"/>
      <c r="N924" s="25">
        <f>'Combined Retirement'!$C$18/12</f>
        <v>39153.069999999992</v>
      </c>
      <c r="O924" s="25">
        <f t="shared" si="785"/>
        <v>10889.636755601023</v>
      </c>
      <c r="P924" s="25">
        <f t="shared" si="786"/>
        <v>28263.43324439897</v>
      </c>
      <c r="Q924" s="25">
        <f t="array" aca="1" ref="Q924" ca="1">INDEX('Isaac 401k'!L:L,MATCH('Retirement Calculator'!A924,'Isaac 401k'!N:N,0),0)</f>
        <v>1966802.9821255733</v>
      </c>
      <c r="R924" s="25">
        <f t="array" aca="1" ref="R924" ca="1">INDEX('Lorri 401b'!L:L,MATCH('Retirement Calculator'!A924,'Lorri 401b'!N:N,0),0)</f>
        <v>-7138117.5076360153</v>
      </c>
      <c r="S924" s="25">
        <f t="shared" ca="1" si="787"/>
        <v>-5171314.5255104415</v>
      </c>
    </row>
    <row r="925" spans="1:19" ht="15.75" customHeight="1" x14ac:dyDescent="0.3">
      <c r="A925" s="37">
        <v>79107</v>
      </c>
      <c r="B925" s="398">
        <f t="shared" ref="B925:C925" si="936">($A925-B$9)/365.25</f>
        <v>134.70499657768653</v>
      </c>
      <c r="C925" s="398">
        <f t="shared" si="936"/>
        <v>130.09445585215605</v>
      </c>
      <c r="E925" s="25">
        <f>IF(C925&gt;$B$7,0,'Combined Retirement'!$D$13/12)</f>
        <v>0</v>
      </c>
      <c r="F925" s="25">
        <f>IF(H925=0,'Combined Retirement'!$D$32,0)+'Combined Retirement'!$B$24</f>
        <v>2870.372285649099</v>
      </c>
      <c r="G925" s="25">
        <f>'Combined Retirement'!$C$24</f>
        <v>3254.2644699519233</v>
      </c>
      <c r="H925" s="25">
        <f>IF(B925&lt;62,0,'Combined Retirement'!$I$14)</f>
        <v>2345</v>
      </c>
      <c r="I925" s="25">
        <f>IF(C925&lt;62,0,'Combined Retirement'!$I$13)</f>
        <v>2420</v>
      </c>
      <c r="J925" s="25">
        <f t="shared" si="783"/>
        <v>7896.2379798201846</v>
      </c>
      <c r="K925" s="25">
        <f t="shared" si="784"/>
        <v>20367.195264578786</v>
      </c>
      <c r="L925" s="25"/>
      <c r="N925" s="25">
        <f>'Combined Retirement'!$C$18/12</f>
        <v>39153.069999999992</v>
      </c>
      <c r="O925" s="25">
        <f t="shared" si="785"/>
        <v>10889.636755601023</v>
      </c>
      <c r="P925" s="25">
        <f t="shared" si="786"/>
        <v>28263.43324439897</v>
      </c>
      <c r="Q925" s="25">
        <f t="array" aca="1" ref="Q925" ca="1">INDEX('Isaac 401k'!L:L,MATCH('Retirement Calculator'!A925,'Isaac 401k'!N:N,0),0)</f>
        <v>1967068.8555796938</v>
      </c>
      <c r="R925" s="25">
        <f t="array" aca="1" ref="R925" ca="1">INDEX('Lorri 401b'!L:L,MATCH('Retirement Calculator'!A925,'Lorri 401b'!N:N,0),0)</f>
        <v>-7188311.7224960132</v>
      </c>
      <c r="S925" s="25">
        <f t="shared" ca="1" si="787"/>
        <v>-5221242.8669163194</v>
      </c>
    </row>
    <row r="926" spans="1:19" ht="15.75" customHeight="1" x14ac:dyDescent="0.3">
      <c r="A926" s="37">
        <v>79138</v>
      </c>
      <c r="B926" s="398">
        <f t="shared" ref="B926:C926" si="937">($A926-B$9)/365.25</f>
        <v>134.7898699520876</v>
      </c>
      <c r="C926" s="398">
        <f t="shared" si="937"/>
        <v>130.17932922655714</v>
      </c>
      <c r="E926" s="25">
        <f>IF(C926&gt;$B$7,0,'Combined Retirement'!$D$13/12)</f>
        <v>0</v>
      </c>
      <c r="F926" s="25">
        <f>IF(H926=0,'Combined Retirement'!$D$32,0)+'Combined Retirement'!$B$24</f>
        <v>2870.372285649099</v>
      </c>
      <c r="G926" s="25">
        <f>'Combined Retirement'!$C$24</f>
        <v>3254.2644699519233</v>
      </c>
      <c r="H926" s="25">
        <f>IF(B926&lt;62,0,'Combined Retirement'!$I$14)</f>
        <v>2345</v>
      </c>
      <c r="I926" s="25">
        <f>IF(C926&lt;62,0,'Combined Retirement'!$I$13)</f>
        <v>2420</v>
      </c>
      <c r="J926" s="25">
        <f t="shared" si="783"/>
        <v>7896.2379798201846</v>
      </c>
      <c r="K926" s="25">
        <f t="shared" si="784"/>
        <v>20367.195264578786</v>
      </c>
      <c r="L926" s="25"/>
      <c r="N926" s="25">
        <f>'Combined Retirement'!$C$18/12</f>
        <v>39153.069999999992</v>
      </c>
      <c r="O926" s="25">
        <f t="shared" si="785"/>
        <v>10889.636755601023</v>
      </c>
      <c r="P926" s="25">
        <f t="shared" si="786"/>
        <v>28263.43324439897</v>
      </c>
      <c r="Q926" s="25">
        <f t="array" aca="1" ref="Q926" ca="1">INDEX('Isaac 401k'!L:L,MATCH('Retirement Calculator'!A926,'Isaac 401k'!N:N,0),0)</f>
        <v>1967335.8368398731</v>
      </c>
      <c r="R926" s="25">
        <f t="array" aca="1" ref="R926" ca="1">INDEX('Lorri 401b'!L:L,MATCH('Retirement Calculator'!A926,'Lorri 401b'!N:N,0),0)</f>
        <v>-7238715.0799179282</v>
      </c>
      <c r="S926" s="25">
        <f t="shared" ca="1" si="787"/>
        <v>-5271379.2430780549</v>
      </c>
    </row>
    <row r="927" spans="1:19" ht="15.75" customHeight="1" x14ac:dyDescent="0.3">
      <c r="A927" s="37">
        <v>79168</v>
      </c>
      <c r="B927" s="398">
        <f t="shared" ref="B927:C927" si="938">($A927-B$9)/365.25</f>
        <v>134.87200547570157</v>
      </c>
      <c r="C927" s="398">
        <f t="shared" si="938"/>
        <v>130.26146475017111</v>
      </c>
      <c r="E927" s="25">
        <f>IF(C927&gt;$B$7,0,'Combined Retirement'!$D$13/12)</f>
        <v>0</v>
      </c>
      <c r="F927" s="25">
        <f>IF(H927=0,'Combined Retirement'!$D$32,0)+'Combined Retirement'!$B$24</f>
        <v>2870.372285649099</v>
      </c>
      <c r="G927" s="25">
        <f>'Combined Retirement'!$C$24</f>
        <v>3254.2644699519233</v>
      </c>
      <c r="H927" s="25">
        <f>IF(B927&lt;62,0,'Combined Retirement'!$I$14)</f>
        <v>2345</v>
      </c>
      <c r="I927" s="25">
        <f>IF(C927&lt;62,0,'Combined Retirement'!$I$13)</f>
        <v>2420</v>
      </c>
      <c r="J927" s="25">
        <f t="shared" si="783"/>
        <v>7896.2379798201846</v>
      </c>
      <c r="K927" s="25">
        <f t="shared" si="784"/>
        <v>20367.195264578786</v>
      </c>
      <c r="L927" s="25"/>
      <c r="N927" s="25">
        <f>'Combined Retirement'!$C$18/12</f>
        <v>39153.069999999992</v>
      </c>
      <c r="O927" s="25">
        <f t="shared" si="785"/>
        <v>10889.636755601023</v>
      </c>
      <c r="P927" s="25">
        <f t="shared" si="786"/>
        <v>28263.43324439897</v>
      </c>
      <c r="Q927" s="25">
        <f t="array" aca="1" ref="Q927" ca="1">INDEX('Isaac 401k'!L:L,MATCH('Retirement Calculator'!A927,'Isaac 401k'!N:N,0),0)</f>
        <v>1967603.9305219697</v>
      </c>
      <c r="R927" s="25">
        <f t="array" aca="1" ref="R927" ca="1">INDEX('Lorri 401b'!L:L,MATCH('Retirement Calculator'!A927,'Lorri 401b'!N:N,0),0)</f>
        <v>-7289328.4513291009</v>
      </c>
      <c r="S927" s="25">
        <f t="shared" ca="1" si="787"/>
        <v>-5321724.5208071312</v>
      </c>
    </row>
    <row r="928" spans="1:19" ht="15.75" customHeight="1" x14ac:dyDescent="0.3">
      <c r="A928" s="37">
        <v>79199</v>
      </c>
      <c r="B928" s="398">
        <f t="shared" ref="B928:C928" si="939">($A928-B$9)/365.25</f>
        <v>134.95687885010267</v>
      </c>
      <c r="C928" s="398">
        <f t="shared" si="939"/>
        <v>130.34633812457221</v>
      </c>
      <c r="E928" s="25">
        <f>IF(C928&gt;$B$7,0,'Combined Retirement'!$D$13/12)</f>
        <v>0</v>
      </c>
      <c r="F928" s="25">
        <f>IF(H928=0,'Combined Retirement'!$D$32,0)+'Combined Retirement'!$B$24</f>
        <v>2870.372285649099</v>
      </c>
      <c r="G928" s="25">
        <f>'Combined Retirement'!$C$24</f>
        <v>3254.2644699519233</v>
      </c>
      <c r="H928" s="25">
        <f>IF(B928&lt;62,0,'Combined Retirement'!$I$14)</f>
        <v>2345</v>
      </c>
      <c r="I928" s="25">
        <f>IF(C928&lt;62,0,'Combined Retirement'!$I$13)</f>
        <v>2420</v>
      </c>
      <c r="J928" s="25">
        <f t="shared" si="783"/>
        <v>7896.2379798201846</v>
      </c>
      <c r="K928" s="25">
        <f t="shared" si="784"/>
        <v>20367.195264578786</v>
      </c>
      <c r="L928" s="25"/>
      <c r="N928" s="25">
        <f>'Combined Retirement'!$C$18/12</f>
        <v>39153.069999999992</v>
      </c>
      <c r="O928" s="25">
        <f t="shared" si="785"/>
        <v>10889.636755601023</v>
      </c>
      <c r="P928" s="25">
        <f t="shared" si="786"/>
        <v>28263.43324439897</v>
      </c>
      <c r="Q928" s="25">
        <f t="array" aca="1" ref="Q928" ca="1">INDEX('Isaac 401k'!L:L,MATCH('Retirement Calculator'!A928,'Isaac 401k'!N:N,0),0)</f>
        <v>1967873.1412610752</v>
      </c>
      <c r="R928" s="25">
        <f t="array" aca="1" ref="R928" ca="1">INDEX('Lorri 401b'!L:L,MATCH('Retirement Calculator'!A928,'Lorri 401b'!N:N,0),0)</f>
        <v>-7340152.7117878199</v>
      </c>
      <c r="S928" s="25">
        <f t="shared" ca="1" si="787"/>
        <v>-5372279.5705267452</v>
      </c>
    </row>
    <row r="929" spans="1:19" ht="15.75" customHeight="1" x14ac:dyDescent="0.3">
      <c r="A929" s="37">
        <v>79229</v>
      </c>
      <c r="B929" s="398">
        <f t="shared" ref="B929:C929" si="940">($A929-B$9)/365.25</f>
        <v>135.03901437371664</v>
      </c>
      <c r="C929" s="398">
        <f t="shared" si="940"/>
        <v>130.42847364818618</v>
      </c>
      <c r="E929" s="25">
        <f>IF(C929&gt;$B$7,0,'Combined Retirement'!$D$13/12)</f>
        <v>0</v>
      </c>
      <c r="F929" s="25">
        <f>IF(H929=0,'Combined Retirement'!$D$32,0)+'Combined Retirement'!$B$24</f>
        <v>2870.372285649099</v>
      </c>
      <c r="G929" s="25">
        <f>'Combined Retirement'!$C$24</f>
        <v>3254.2644699519233</v>
      </c>
      <c r="H929" s="25">
        <f>IF(B929&lt;62,0,'Combined Retirement'!$I$14)</f>
        <v>2345</v>
      </c>
      <c r="I929" s="25">
        <f>IF(C929&lt;62,0,'Combined Retirement'!$I$13)</f>
        <v>2420</v>
      </c>
      <c r="J929" s="25">
        <f t="shared" si="783"/>
        <v>7896.2379798201846</v>
      </c>
      <c r="K929" s="25">
        <f t="shared" si="784"/>
        <v>20367.195264578786</v>
      </c>
      <c r="L929" s="25"/>
      <c r="N929" s="25">
        <f>'Combined Retirement'!$C$18/12</f>
        <v>39153.069999999992</v>
      </c>
      <c r="O929" s="25">
        <f t="shared" si="785"/>
        <v>10889.636755601023</v>
      </c>
      <c r="P929" s="25">
        <f t="shared" si="786"/>
        <v>28263.43324439897</v>
      </c>
      <c r="Q929" s="25">
        <f t="array" aca="1" ref="Q929" ca="1">INDEX('Isaac 401k'!L:L,MATCH('Retirement Calculator'!A929,'Isaac 401k'!N:N,0),0)</f>
        <v>1968143.4737115935</v>
      </c>
      <c r="R929" s="25">
        <f t="array" aca="1" ref="R929" ca="1">INDEX('Lorri 401b'!L:L,MATCH('Retirement Calculator'!A929,'Lorri 401b'!N:N,0),0)</f>
        <v>-7391188.7399984505</v>
      </c>
      <c r="S929" s="25">
        <f t="shared" ca="1" si="787"/>
        <v>-5423045.2662868574</v>
      </c>
    </row>
    <row r="930" spans="1:19" ht="15.75" customHeight="1" x14ac:dyDescent="0.3">
      <c r="A930" s="37">
        <v>79260</v>
      </c>
      <c r="B930" s="398">
        <f t="shared" ref="B930:C930" si="941">($A930-B$9)/365.25</f>
        <v>135.12388774811774</v>
      </c>
      <c r="C930" s="398">
        <f t="shared" si="941"/>
        <v>130.51334702258728</v>
      </c>
      <c r="E930" s="25">
        <f>IF(C930&gt;$B$7,0,'Combined Retirement'!$D$13/12)</f>
        <v>0</v>
      </c>
      <c r="F930" s="25">
        <f>IF(H930=0,'Combined Retirement'!$D$32,0)+'Combined Retirement'!$B$24</f>
        <v>2870.372285649099</v>
      </c>
      <c r="G930" s="25">
        <f>'Combined Retirement'!$C$24</f>
        <v>3254.2644699519233</v>
      </c>
      <c r="H930" s="25">
        <f>IF(B930&lt;62,0,'Combined Retirement'!$I$14)</f>
        <v>2345</v>
      </c>
      <c r="I930" s="25">
        <f>IF(C930&lt;62,0,'Combined Retirement'!$I$13)</f>
        <v>2420</v>
      </c>
      <c r="J930" s="25">
        <f t="shared" si="783"/>
        <v>7896.2379798201846</v>
      </c>
      <c r="K930" s="25">
        <f t="shared" si="784"/>
        <v>20367.195264578786</v>
      </c>
      <c r="L930" s="25"/>
      <c r="N930" s="25">
        <f>'Combined Retirement'!$C$18/12</f>
        <v>39153.069999999992</v>
      </c>
      <c r="O930" s="25">
        <f t="shared" si="785"/>
        <v>10889.636755601023</v>
      </c>
      <c r="P930" s="25">
        <f t="shared" si="786"/>
        <v>28263.43324439897</v>
      </c>
      <c r="Q930" s="25">
        <f t="array" aca="1" ref="Q930" ca="1">INDEX('Isaac 401k'!L:L,MATCH('Retirement Calculator'!A930,'Isaac 401k'!N:N,0),0)</f>
        <v>1968414.9325473225</v>
      </c>
      <c r="R930" s="25">
        <f t="array" aca="1" ref="R930" ca="1">INDEX('Lorri 401b'!L:L,MATCH('Retirement Calculator'!A930,'Lorri 401b'!N:N,0),0)</f>
        <v>-7442437.4183266256</v>
      </c>
      <c r="S930" s="25">
        <f t="shared" ca="1" si="787"/>
        <v>-5474022.4857793031</v>
      </c>
    </row>
    <row r="931" spans="1:19" ht="15.75" customHeight="1" x14ac:dyDescent="0.3">
      <c r="A931" s="37">
        <v>79291</v>
      </c>
      <c r="B931" s="398">
        <f t="shared" ref="B931:C931" si="942">($A931-B$9)/365.25</f>
        <v>135.20876112251884</v>
      </c>
      <c r="C931" s="398">
        <f t="shared" si="942"/>
        <v>130.59822039698835</v>
      </c>
      <c r="E931" s="25">
        <f>IF(C931&gt;$B$7,0,'Combined Retirement'!$D$13/12)</f>
        <v>0</v>
      </c>
      <c r="F931" s="25">
        <f>IF(H931=0,'Combined Retirement'!$D$32,0)+'Combined Retirement'!$B$24</f>
        <v>2870.372285649099</v>
      </c>
      <c r="G931" s="25">
        <f>'Combined Retirement'!$C$24</f>
        <v>3254.2644699519233</v>
      </c>
      <c r="H931" s="25">
        <f>IF(B931&lt;62,0,'Combined Retirement'!$I$14)</f>
        <v>2345</v>
      </c>
      <c r="I931" s="25">
        <f>IF(C931&lt;62,0,'Combined Retirement'!$I$13)</f>
        <v>2420</v>
      </c>
      <c r="J931" s="25">
        <f t="shared" si="783"/>
        <v>7896.2379798201846</v>
      </c>
      <c r="K931" s="25">
        <f t="shared" si="784"/>
        <v>20367.195264578786</v>
      </c>
      <c r="L931" s="25"/>
      <c r="N931" s="25">
        <f>'Combined Retirement'!$C$18/12</f>
        <v>39153.069999999992</v>
      </c>
      <c r="O931" s="25">
        <f t="shared" si="785"/>
        <v>10889.636755601023</v>
      </c>
      <c r="P931" s="25">
        <f t="shared" si="786"/>
        <v>28263.43324439897</v>
      </c>
      <c r="Q931" s="25">
        <f t="array" aca="1" ref="Q931" ca="1">INDEX('Isaac 401k'!L:L,MATCH('Retirement Calculator'!A931,'Isaac 401k'!N:N,0),0)</f>
        <v>1968687.5224615335</v>
      </c>
      <c r="R931" s="25">
        <f t="array" aca="1" ref="R931" ca="1">INDEX('Lorri 401b'!L:L,MATCH('Retirement Calculator'!A931,'Lorri 401b'!N:N,0),0)</f>
        <v>-7493899.6328145014</v>
      </c>
      <c r="S931" s="25">
        <f t="shared" ca="1" si="787"/>
        <v>-5525212.1103529679</v>
      </c>
    </row>
    <row r="932" spans="1:19" ht="15.75" customHeight="1" x14ac:dyDescent="0.3">
      <c r="A932" s="37">
        <v>79319</v>
      </c>
      <c r="B932" s="398">
        <f t="shared" ref="B932:C932" si="943">($A932-B$9)/365.25</f>
        <v>135.28542094455852</v>
      </c>
      <c r="C932" s="398">
        <f t="shared" si="943"/>
        <v>130.67488021902807</v>
      </c>
      <c r="E932" s="25">
        <f>IF(C932&gt;$B$7,0,'Combined Retirement'!$D$13/12)</f>
        <v>0</v>
      </c>
      <c r="F932" s="25">
        <f>IF(H932=0,'Combined Retirement'!$D$32,0)+'Combined Retirement'!$B$24</f>
        <v>2870.372285649099</v>
      </c>
      <c r="G932" s="25">
        <f>'Combined Retirement'!$C$24</f>
        <v>3254.2644699519233</v>
      </c>
      <c r="H932" s="25">
        <f>IF(B932&lt;62,0,'Combined Retirement'!$I$14)</f>
        <v>2345</v>
      </c>
      <c r="I932" s="25">
        <f>IF(C932&lt;62,0,'Combined Retirement'!$I$13)</f>
        <v>2420</v>
      </c>
      <c r="J932" s="25">
        <f t="shared" si="783"/>
        <v>7896.2379798201846</v>
      </c>
      <c r="K932" s="25">
        <f t="shared" si="784"/>
        <v>20367.195264578786</v>
      </c>
      <c r="L932" s="25"/>
      <c r="N932" s="25">
        <f>'Combined Retirement'!$C$18/12</f>
        <v>39153.069999999992</v>
      </c>
      <c r="O932" s="25">
        <f t="shared" si="785"/>
        <v>10889.636755601023</v>
      </c>
      <c r="P932" s="25">
        <f t="shared" si="786"/>
        <v>28263.43324439897</v>
      </c>
      <c r="Q932" s="25">
        <f t="array" aca="1" ref="Q932" ca="1">INDEX('Isaac 401k'!L:L,MATCH('Retirement Calculator'!A932,'Isaac 401k'!N:N,0),0)</f>
        <v>1968961.2481670538</v>
      </c>
      <c r="R932" s="25">
        <f t="array" aca="1" ref="R932" ca="1">INDEX('Lorri 401b'!L:L,MATCH('Retirement Calculator'!A932,'Lorri 401b'!N:N,0),0)</f>
        <v>-7545576.273196076</v>
      </c>
      <c r="S932" s="25">
        <f t="shared" ca="1" si="787"/>
        <v>-5576615.0250290222</v>
      </c>
    </row>
    <row r="933" spans="1:19" ht="15.75" customHeight="1" x14ac:dyDescent="0.3">
      <c r="A933" s="37">
        <v>79350</v>
      </c>
      <c r="B933" s="398">
        <f t="shared" ref="B933:C933" si="944">($A933-B$9)/365.25</f>
        <v>135.37029431895962</v>
      </c>
      <c r="C933" s="398">
        <f t="shared" si="944"/>
        <v>130.75975359342917</v>
      </c>
      <c r="E933" s="25">
        <f>IF(C933&gt;$B$7,0,'Combined Retirement'!$D$13/12)</f>
        <v>0</v>
      </c>
      <c r="F933" s="25">
        <f>IF(H933=0,'Combined Retirement'!$D$32,0)+'Combined Retirement'!$B$24</f>
        <v>2870.372285649099</v>
      </c>
      <c r="G933" s="25">
        <f>'Combined Retirement'!$C$24</f>
        <v>3254.2644699519233</v>
      </c>
      <c r="H933" s="25">
        <f>IF(B933&lt;62,0,'Combined Retirement'!$I$14)</f>
        <v>2345</v>
      </c>
      <c r="I933" s="25">
        <f>IF(C933&lt;62,0,'Combined Retirement'!$I$13)</f>
        <v>2420</v>
      </c>
      <c r="J933" s="25">
        <f t="shared" si="783"/>
        <v>7896.2379798201846</v>
      </c>
      <c r="K933" s="25">
        <f t="shared" si="784"/>
        <v>20367.195264578786</v>
      </c>
      <c r="L933" s="25"/>
      <c r="N933" s="25">
        <f>'Combined Retirement'!$C$18/12</f>
        <v>39153.069999999992</v>
      </c>
      <c r="O933" s="25">
        <f t="shared" si="785"/>
        <v>10889.636755601023</v>
      </c>
      <c r="P933" s="25">
        <f t="shared" si="786"/>
        <v>28263.43324439897</v>
      </c>
      <c r="Q933" s="25">
        <f t="array" aca="1" ref="Q933" ca="1">INDEX('Isaac 401k'!L:L,MATCH('Retirement Calculator'!A933,'Isaac 401k'!N:N,0),0)</f>
        <v>1969236.114396347</v>
      </c>
      <c r="R933" s="25">
        <f t="array" aca="1" ref="R933" ca="1">INDEX('Lorri 401b'!L:L,MATCH('Retirement Calculator'!A933,'Lorri 401b'!N:N,0),0)</f>
        <v>-7597468.232912574</v>
      </c>
      <c r="S933" s="25">
        <f t="shared" ca="1" si="787"/>
        <v>-5628232.1185162272</v>
      </c>
    </row>
    <row r="934" spans="1:19" ht="15.75" customHeight="1" x14ac:dyDescent="0.3">
      <c r="A934" s="37">
        <v>79380</v>
      </c>
      <c r="B934" s="398">
        <f t="shared" ref="B934:C934" si="945">($A934-B$9)/365.25</f>
        <v>135.45242984257359</v>
      </c>
      <c r="C934" s="398">
        <f t="shared" si="945"/>
        <v>130.84188911704311</v>
      </c>
      <c r="E934" s="25">
        <f>IF(C934&gt;$B$7,0,'Combined Retirement'!$D$13/12)</f>
        <v>0</v>
      </c>
      <c r="F934" s="25">
        <f>IF(H934=0,'Combined Retirement'!$D$32,0)+'Combined Retirement'!$B$24</f>
        <v>2870.372285649099</v>
      </c>
      <c r="G934" s="25">
        <f>'Combined Retirement'!$C$24</f>
        <v>3254.2644699519233</v>
      </c>
      <c r="H934" s="25">
        <f>IF(B934&lt;62,0,'Combined Retirement'!$I$14)</f>
        <v>2345</v>
      </c>
      <c r="I934" s="25">
        <f>IF(C934&lt;62,0,'Combined Retirement'!$I$13)</f>
        <v>2420</v>
      </c>
      <c r="J934" s="25">
        <f t="shared" si="783"/>
        <v>7896.2379798201846</v>
      </c>
      <c r="K934" s="25">
        <f t="shared" si="784"/>
        <v>20367.195264578786</v>
      </c>
      <c r="L934" s="25"/>
      <c r="N934" s="25">
        <f>'Combined Retirement'!$C$18/12</f>
        <v>39153.069999999992</v>
      </c>
      <c r="O934" s="25">
        <f t="shared" si="785"/>
        <v>10889.636755601023</v>
      </c>
      <c r="P934" s="25">
        <f t="shared" si="786"/>
        <v>28263.43324439897</v>
      </c>
      <c r="Q934" s="25">
        <f t="array" aca="1" ref="Q934" ca="1">INDEX('Isaac 401k'!L:L,MATCH('Retirement Calculator'!A934,'Isaac 401k'!N:N,0),0)</f>
        <v>1969512.1259015957</v>
      </c>
      <c r="R934" s="25">
        <f t="array" aca="1" ref="R934" ca="1">INDEX('Lorri 401b'!L:L,MATCH('Retirement Calculator'!A934,'Lorri 401b'!N:N,0),0)</f>
        <v>-7649576.4091278911</v>
      </c>
      <c r="S934" s="25">
        <f t="shared" ca="1" si="787"/>
        <v>-5680064.2832262954</v>
      </c>
    </row>
    <row r="935" spans="1:19" ht="15.75" customHeight="1" x14ac:dyDescent="0.3">
      <c r="A935" s="37">
        <v>79411</v>
      </c>
      <c r="B935" s="398">
        <f t="shared" ref="B935:C935" si="946">($A935-B$9)/365.25</f>
        <v>135.53730321697466</v>
      </c>
      <c r="C935" s="398">
        <f t="shared" si="946"/>
        <v>130.92676249144421</v>
      </c>
      <c r="E935" s="25">
        <f>IF(C935&gt;$B$7,0,'Combined Retirement'!$D$13/12)</f>
        <v>0</v>
      </c>
      <c r="F935" s="25">
        <f>IF(H935=0,'Combined Retirement'!$D$32,0)+'Combined Retirement'!$B$24</f>
        <v>2870.372285649099</v>
      </c>
      <c r="G935" s="25">
        <f>'Combined Retirement'!$C$24</f>
        <v>3254.2644699519233</v>
      </c>
      <c r="H935" s="25">
        <f>IF(B935&lt;62,0,'Combined Retirement'!$I$14)</f>
        <v>2345</v>
      </c>
      <c r="I935" s="25">
        <f>IF(C935&lt;62,0,'Combined Retirement'!$I$13)</f>
        <v>2420</v>
      </c>
      <c r="J935" s="25">
        <f t="shared" si="783"/>
        <v>7896.2379798201846</v>
      </c>
      <c r="K935" s="25">
        <f t="shared" si="784"/>
        <v>20367.195264578786</v>
      </c>
      <c r="L935" s="25"/>
      <c r="N935" s="25">
        <f>'Combined Retirement'!$C$18/12</f>
        <v>39153.069999999992</v>
      </c>
      <c r="O935" s="25">
        <f t="shared" si="785"/>
        <v>10889.636755601023</v>
      </c>
      <c r="P935" s="25">
        <f t="shared" si="786"/>
        <v>28263.43324439897</v>
      </c>
      <c r="Q935" s="25">
        <f t="array" aca="1" ref="Q935" ca="1">INDEX('Isaac 401k'!L:L,MATCH('Retirement Calculator'!A935,'Isaac 401k'!N:N,0),0)</f>
        <v>1969789.2874547828</v>
      </c>
      <c r="R935" s="25">
        <f t="array" aca="1" ref="R935" ca="1">INDEX('Lorri 401b'!L:L,MATCH('Retirement Calculator'!A935,'Lorri 401b'!N:N,0),0)</f>
        <v>-7701901.7027441049</v>
      </c>
      <c r="S935" s="25">
        <f t="shared" ca="1" si="787"/>
        <v>-5732112.4152893219</v>
      </c>
    </row>
    <row r="936" spans="1:19" ht="15.75" customHeight="1" x14ac:dyDescent="0.3">
      <c r="A936" s="37">
        <v>79441</v>
      </c>
      <c r="B936" s="398">
        <f t="shared" ref="B936:C936" si="947">($A936-B$9)/365.25</f>
        <v>135.61943874058863</v>
      </c>
      <c r="C936" s="398">
        <f t="shared" si="947"/>
        <v>131.00889801505818</v>
      </c>
      <c r="E936" s="25">
        <f>IF(C936&gt;$B$7,0,'Combined Retirement'!$D$13/12)</f>
        <v>0</v>
      </c>
      <c r="F936" s="25">
        <f>IF(H936=0,'Combined Retirement'!$D$32,0)+'Combined Retirement'!$B$24</f>
        <v>2870.372285649099</v>
      </c>
      <c r="G936" s="25">
        <f>'Combined Retirement'!$C$24</f>
        <v>3254.2644699519233</v>
      </c>
      <c r="H936" s="25">
        <f>IF(B936&lt;62,0,'Combined Retirement'!$I$14)</f>
        <v>2345</v>
      </c>
      <c r="I936" s="25">
        <f>IF(C936&lt;62,0,'Combined Retirement'!$I$13)</f>
        <v>2420</v>
      </c>
      <c r="J936" s="25">
        <f t="shared" si="783"/>
        <v>7896.2379798201846</v>
      </c>
      <c r="K936" s="25">
        <f t="shared" si="784"/>
        <v>20367.195264578786</v>
      </c>
      <c r="L936" s="25"/>
      <c r="N936" s="25">
        <f>'Combined Retirement'!$C$18/12</f>
        <v>39153.069999999992</v>
      </c>
      <c r="O936" s="25">
        <f t="shared" si="785"/>
        <v>10889.636755601023</v>
      </c>
      <c r="P936" s="25">
        <f t="shared" si="786"/>
        <v>28263.43324439897</v>
      </c>
      <c r="Q936" s="25">
        <f t="array" aca="1" ref="Q936" ca="1">INDEX('Isaac 401k'!L:L,MATCH('Retirement Calculator'!A936,'Isaac 401k'!N:N,0),0)</f>
        <v>1970067.6038477749</v>
      </c>
      <c r="R936" s="25">
        <f t="array" aca="1" ref="R936" ca="1">INDEX('Lorri 401b'!L:L,MATCH('Retirement Calculator'!A936,'Lorri 401b'!N:N,0),0)</f>
        <v>-7754445.0184170529</v>
      </c>
      <c r="S936" s="25">
        <f t="shared" ca="1" si="787"/>
        <v>-5784377.4145692782</v>
      </c>
    </row>
    <row r="937" spans="1:19" ht="15.75" customHeight="1" x14ac:dyDescent="0.3">
      <c r="A937" s="37">
        <v>79472</v>
      </c>
      <c r="B937" s="398">
        <f t="shared" ref="B937:C937" si="948">($A937-B$9)/365.25</f>
        <v>135.70431211498973</v>
      </c>
      <c r="C937" s="398">
        <f t="shared" si="948"/>
        <v>131.09377138945928</v>
      </c>
      <c r="E937" s="25">
        <f>IF(C937&gt;$B$7,0,'Combined Retirement'!$D$13/12)</f>
        <v>0</v>
      </c>
      <c r="F937" s="25">
        <f>IF(H937=0,'Combined Retirement'!$D$32,0)+'Combined Retirement'!$B$24</f>
        <v>2870.372285649099</v>
      </c>
      <c r="G937" s="25">
        <f>'Combined Retirement'!$C$24</f>
        <v>3254.2644699519233</v>
      </c>
      <c r="H937" s="25">
        <f>IF(B937&lt;62,0,'Combined Retirement'!$I$14)</f>
        <v>2345</v>
      </c>
      <c r="I937" s="25">
        <f>IF(C937&lt;62,0,'Combined Retirement'!$I$13)</f>
        <v>2420</v>
      </c>
      <c r="J937" s="25">
        <f t="shared" si="783"/>
        <v>7896.2379798201846</v>
      </c>
      <c r="K937" s="25">
        <f t="shared" si="784"/>
        <v>20367.195264578786</v>
      </c>
      <c r="L937" s="25"/>
      <c r="N937" s="25">
        <f>'Combined Retirement'!$C$18/12</f>
        <v>39153.069999999992</v>
      </c>
      <c r="O937" s="25">
        <f t="shared" si="785"/>
        <v>10889.636755601023</v>
      </c>
      <c r="P937" s="25">
        <f t="shared" si="786"/>
        <v>28263.43324439897</v>
      </c>
      <c r="Q937" s="25">
        <f t="array" aca="1" ref="Q937" ca="1">INDEX('Isaac 401k'!L:L,MATCH('Retirement Calculator'!A937,'Isaac 401k'!N:N,0),0)</f>
        <v>1970347.0798924044</v>
      </c>
      <c r="R937" s="25">
        <f t="array" aca="1" ref="R937" ca="1">INDEX('Lorri 401b'!L:L,MATCH('Retirement Calculator'!A937,'Lorri 401b'!N:N,0),0)</f>
        <v>-7807207.2645719722</v>
      </c>
      <c r="S937" s="25">
        <f t="shared" ca="1" si="787"/>
        <v>-5836860.1846795678</v>
      </c>
    </row>
    <row r="938" spans="1:19" ht="15.75" customHeight="1" x14ac:dyDescent="0.3">
      <c r="A938" s="37">
        <v>79503</v>
      </c>
      <c r="B938" s="398">
        <f t="shared" ref="B938:C938" si="949">($A938-B$9)/365.25</f>
        <v>135.78918548939083</v>
      </c>
      <c r="C938" s="398">
        <f t="shared" si="949"/>
        <v>131.17864476386038</v>
      </c>
      <c r="E938" s="25">
        <f>IF(C938&gt;$B$7,0,'Combined Retirement'!$D$13/12)</f>
        <v>0</v>
      </c>
      <c r="F938" s="25">
        <f>IF(H938=0,'Combined Retirement'!$D$32,0)+'Combined Retirement'!$B$24</f>
        <v>2870.372285649099</v>
      </c>
      <c r="G938" s="25">
        <f>'Combined Retirement'!$C$24</f>
        <v>3254.2644699519233</v>
      </c>
      <c r="H938" s="25">
        <f>IF(B938&lt;62,0,'Combined Retirement'!$I$14)</f>
        <v>2345</v>
      </c>
      <c r="I938" s="25">
        <f>IF(C938&lt;62,0,'Combined Retirement'!$I$13)</f>
        <v>2420</v>
      </c>
      <c r="J938" s="25">
        <f t="shared" si="783"/>
        <v>7896.2379798201846</v>
      </c>
      <c r="K938" s="25">
        <f t="shared" si="784"/>
        <v>20367.195264578786</v>
      </c>
      <c r="L938" s="25"/>
      <c r="N938" s="25">
        <f>'Combined Retirement'!$C$18/12</f>
        <v>39153.069999999992</v>
      </c>
      <c r="O938" s="25">
        <f t="shared" si="785"/>
        <v>10889.636755601023</v>
      </c>
      <c r="P938" s="25">
        <f t="shared" si="786"/>
        <v>28263.43324439897</v>
      </c>
      <c r="Q938" s="25">
        <f t="array" aca="1" ref="Q938" ca="1">INDEX('Isaac 401k'!L:L,MATCH('Retirement Calculator'!A938,'Isaac 401k'!N:N,0),0)</f>
        <v>1970627.7204205533</v>
      </c>
      <c r="R938" s="25">
        <f t="array" aca="1" ref="R938" ca="1">INDEX('Lorri 401b'!L:L,MATCH('Retirement Calculator'!A938,'Lorri 401b'!N:N,0),0)</f>
        <v>-7860189.3534192033</v>
      </c>
      <c r="S938" s="25">
        <f t="shared" ca="1" si="787"/>
        <v>-5889561.63299865</v>
      </c>
    </row>
    <row r="939" spans="1:19" ht="15.75" customHeight="1" x14ac:dyDescent="0.3">
      <c r="A939" s="37">
        <v>79533</v>
      </c>
      <c r="B939" s="398">
        <f t="shared" ref="B939:C939" si="950">($A939-B$9)/365.25</f>
        <v>135.8713210130048</v>
      </c>
      <c r="C939" s="398">
        <f t="shared" si="950"/>
        <v>131.26078028747432</v>
      </c>
      <c r="E939" s="25">
        <f>IF(C939&gt;$B$7,0,'Combined Retirement'!$D$13/12)</f>
        <v>0</v>
      </c>
      <c r="F939" s="25">
        <f>IF(H939=0,'Combined Retirement'!$D$32,0)+'Combined Retirement'!$B$24</f>
        <v>2870.372285649099</v>
      </c>
      <c r="G939" s="25">
        <f>'Combined Retirement'!$C$24</f>
        <v>3254.2644699519233</v>
      </c>
      <c r="H939" s="25">
        <f>IF(B939&lt;62,0,'Combined Retirement'!$I$14)</f>
        <v>2345</v>
      </c>
      <c r="I939" s="25">
        <f>IF(C939&lt;62,0,'Combined Retirement'!$I$13)</f>
        <v>2420</v>
      </c>
      <c r="J939" s="25">
        <f t="shared" si="783"/>
        <v>7896.2379798201846</v>
      </c>
      <c r="K939" s="25">
        <f t="shared" si="784"/>
        <v>20367.195264578786</v>
      </c>
      <c r="L939" s="25"/>
      <c r="N939" s="25">
        <f>'Combined Retirement'!$C$18/12</f>
        <v>39153.069999999992</v>
      </c>
      <c r="O939" s="25">
        <f t="shared" si="785"/>
        <v>10889.636755601023</v>
      </c>
      <c r="P939" s="25">
        <f t="shared" si="786"/>
        <v>28263.43324439897</v>
      </c>
      <c r="Q939" s="25">
        <f t="array" aca="1" ref="Q939" ca="1">INDEX('Isaac 401k'!L:L,MATCH('Retirement Calculator'!A939,'Isaac 401k'!N:N,0),0)</f>
        <v>1970909.5302842362</v>
      </c>
      <c r="R939" s="25">
        <f t="array" aca="1" ref="R939" ca="1">INDEX('Lorri 401b'!L:L,MATCH('Retirement Calculator'!A939,'Lorri 401b'!N:N,0),0)</f>
        <v>-7913392.2009699643</v>
      </c>
      <c r="S939" s="25">
        <f t="shared" ca="1" si="787"/>
        <v>-5942482.6706857281</v>
      </c>
    </row>
    <row r="940" spans="1:19" ht="15.75" customHeight="1" x14ac:dyDescent="0.3">
      <c r="A940" s="37">
        <v>79564</v>
      </c>
      <c r="B940" s="398">
        <f t="shared" ref="B940:C940" si="951">($A940-B$9)/365.25</f>
        <v>135.95619438740587</v>
      </c>
      <c r="C940" s="398">
        <f t="shared" si="951"/>
        <v>131.34565366187542</v>
      </c>
      <c r="E940" s="25">
        <f>IF(C940&gt;$B$7,0,'Combined Retirement'!$D$13/12)</f>
        <v>0</v>
      </c>
      <c r="F940" s="25">
        <f>IF(H940=0,'Combined Retirement'!$D$32,0)+'Combined Retirement'!$B$24</f>
        <v>2870.372285649099</v>
      </c>
      <c r="G940" s="25">
        <f>'Combined Retirement'!$C$24</f>
        <v>3254.2644699519233</v>
      </c>
      <c r="H940" s="25">
        <f>IF(B940&lt;62,0,'Combined Retirement'!$I$14)</f>
        <v>2345</v>
      </c>
      <c r="I940" s="25">
        <f>IF(C940&lt;62,0,'Combined Retirement'!$I$13)</f>
        <v>2420</v>
      </c>
      <c r="J940" s="25">
        <f t="shared" si="783"/>
        <v>7896.2379798201846</v>
      </c>
      <c r="K940" s="25">
        <f t="shared" si="784"/>
        <v>20367.195264578786</v>
      </c>
      <c r="L940" s="25"/>
      <c r="N940" s="25">
        <f>'Combined Retirement'!$C$18/12</f>
        <v>39153.069999999992</v>
      </c>
      <c r="O940" s="25">
        <f t="shared" si="785"/>
        <v>10889.636755601023</v>
      </c>
      <c r="P940" s="25">
        <f t="shared" si="786"/>
        <v>28263.43324439897</v>
      </c>
      <c r="Q940" s="25">
        <f t="array" aca="1" ref="Q940" ca="1">INDEX('Isaac 401k'!L:L,MATCH('Retirement Calculator'!A940,'Isaac 401k'!N:N,0),0)</f>
        <v>1971192.5143556844</v>
      </c>
      <c r="R940" s="25">
        <f t="array" aca="1" ref="R940" ca="1">INDEX('Lorri 401b'!L:L,MATCH('Retirement Calculator'!A940,'Lorri 401b'!N:N,0),0)</f>
        <v>-7966816.7270521866</v>
      </c>
      <c r="S940" s="25">
        <f t="shared" ca="1" si="787"/>
        <v>-5995624.212696502</v>
      </c>
    </row>
    <row r="941" spans="1:19" ht="15.75" customHeight="1" x14ac:dyDescent="0.3">
      <c r="A941" s="37">
        <v>79594</v>
      </c>
      <c r="B941" s="398">
        <f t="shared" ref="B941:C941" si="952">($A941-B$9)/365.25</f>
        <v>136.03832991101984</v>
      </c>
      <c r="C941" s="398">
        <f t="shared" si="952"/>
        <v>131.42778918548939</v>
      </c>
      <c r="E941" s="25">
        <f>IF(C941&gt;$B$7,0,'Combined Retirement'!$D$13/12)</f>
        <v>0</v>
      </c>
      <c r="F941" s="25">
        <f>IF(H941=0,'Combined Retirement'!$D$32,0)+'Combined Retirement'!$B$24</f>
        <v>2870.372285649099</v>
      </c>
      <c r="G941" s="25">
        <f>'Combined Retirement'!$C$24</f>
        <v>3254.2644699519233</v>
      </c>
      <c r="H941" s="25">
        <f>IF(B941&lt;62,0,'Combined Retirement'!$I$14)</f>
        <v>2345</v>
      </c>
      <c r="I941" s="25">
        <f>IF(C941&lt;62,0,'Combined Retirement'!$I$13)</f>
        <v>2420</v>
      </c>
      <c r="J941" s="25">
        <f t="shared" si="783"/>
        <v>7896.2379798201846</v>
      </c>
      <c r="K941" s="25">
        <f t="shared" si="784"/>
        <v>20367.195264578786</v>
      </c>
      <c r="L941" s="25"/>
      <c r="N941" s="25">
        <f>'Combined Retirement'!$C$18/12</f>
        <v>39153.069999999992</v>
      </c>
      <c r="O941" s="25">
        <f t="shared" si="785"/>
        <v>10889.636755601023</v>
      </c>
      <c r="P941" s="25">
        <f t="shared" si="786"/>
        <v>28263.43324439897</v>
      </c>
      <c r="Q941" s="25">
        <f t="array" aca="1" ref="Q941" ca="1">INDEX('Isaac 401k'!L:L,MATCH('Retirement Calculator'!A941,'Isaac 401k'!N:N,0),0)</f>
        <v>1971476.6775274302</v>
      </c>
      <c r="R941" s="25">
        <f t="array" aca="1" ref="R941" ca="1">INDEX('Lorri 401b'!L:L,MATCH('Retirement Calculator'!A941,'Lorri 401b'!N:N,0),0)</f>
        <v>-8020463.8553264188</v>
      </c>
      <c r="S941" s="25">
        <f t="shared" ca="1" si="787"/>
        <v>-6048987.1777989883</v>
      </c>
    </row>
    <row r="942" spans="1:19" ht="15.75" customHeight="1" x14ac:dyDescent="0.3">
      <c r="A942" s="37">
        <v>79625</v>
      </c>
      <c r="B942" s="398">
        <f t="shared" ref="B942:C942" si="953">($A942-B$9)/365.25</f>
        <v>136.12320328542094</v>
      </c>
      <c r="C942" s="398">
        <f t="shared" si="953"/>
        <v>131.51266255989049</v>
      </c>
      <c r="E942" s="25">
        <f>IF(C942&gt;$B$7,0,'Combined Retirement'!$D$13/12)</f>
        <v>0</v>
      </c>
      <c r="F942" s="25">
        <f>IF(H942=0,'Combined Retirement'!$D$32,0)+'Combined Retirement'!$B$24</f>
        <v>2870.372285649099</v>
      </c>
      <c r="G942" s="25">
        <f>'Combined Retirement'!$C$24</f>
        <v>3254.2644699519233</v>
      </c>
      <c r="H942" s="25">
        <f>IF(B942&lt;62,0,'Combined Retirement'!$I$14)</f>
        <v>2345</v>
      </c>
      <c r="I942" s="25">
        <f>IF(C942&lt;62,0,'Combined Retirement'!$I$13)</f>
        <v>2420</v>
      </c>
      <c r="J942" s="25">
        <f t="shared" si="783"/>
        <v>7896.2379798201846</v>
      </c>
      <c r="K942" s="25">
        <f t="shared" si="784"/>
        <v>20367.195264578786</v>
      </c>
      <c r="L942" s="25"/>
      <c r="N942" s="25">
        <f>'Combined Retirement'!$C$18/12</f>
        <v>39153.069999999992</v>
      </c>
      <c r="O942" s="25">
        <f t="shared" si="785"/>
        <v>10889.636755601023</v>
      </c>
      <c r="P942" s="25">
        <f t="shared" si="786"/>
        <v>28263.43324439897</v>
      </c>
      <c r="Q942" s="25">
        <f t="array" aca="1" ref="Q942" ca="1">INDEX('Isaac 401k'!L:L,MATCH('Retirement Calculator'!A942,'Isaac 401k'!N:N,0),0)</f>
        <v>1971762.0247123917</v>
      </c>
      <c r="R942" s="25">
        <f t="array" aca="1" ref="R942" ca="1">INDEX('Lorri 401b'!L:L,MATCH('Retirement Calculator'!A942,'Lorri 401b'!N:N,0),0)</f>
        <v>-8074334.5133017935</v>
      </c>
      <c r="S942" s="25">
        <f t="shared" ca="1" si="787"/>
        <v>-6102572.4885894023</v>
      </c>
    </row>
    <row r="943" spans="1:19" ht="15.75" customHeight="1" x14ac:dyDescent="0.3">
      <c r="A943" s="37">
        <v>79656</v>
      </c>
      <c r="B943" s="398">
        <f t="shared" ref="B943:C943" si="954">($A943-B$9)/365.25</f>
        <v>136.20807665982204</v>
      </c>
      <c r="C943" s="398">
        <f t="shared" si="954"/>
        <v>131.59753593429159</v>
      </c>
      <c r="E943" s="25">
        <f>IF(C943&gt;$B$7,0,'Combined Retirement'!$D$13/12)</f>
        <v>0</v>
      </c>
      <c r="F943" s="25">
        <f>IF(H943=0,'Combined Retirement'!$D$32,0)+'Combined Retirement'!$B$24</f>
        <v>2870.372285649099</v>
      </c>
      <c r="G943" s="25">
        <f>'Combined Retirement'!$C$24</f>
        <v>3254.2644699519233</v>
      </c>
      <c r="H943" s="25">
        <f>IF(B943&lt;62,0,'Combined Retirement'!$I$14)</f>
        <v>2345</v>
      </c>
      <c r="I943" s="25">
        <f>IF(C943&lt;62,0,'Combined Retirement'!$I$13)</f>
        <v>2420</v>
      </c>
      <c r="J943" s="25">
        <f t="shared" si="783"/>
        <v>7896.2379798201846</v>
      </c>
      <c r="K943" s="25">
        <f t="shared" si="784"/>
        <v>20367.195264578786</v>
      </c>
      <c r="L943" s="25"/>
      <c r="N943" s="25">
        <f>'Combined Retirement'!$C$18/12</f>
        <v>39153.069999999992</v>
      </c>
      <c r="O943" s="25">
        <f t="shared" si="785"/>
        <v>10889.636755601023</v>
      </c>
      <c r="P943" s="25">
        <f t="shared" si="786"/>
        <v>28263.43324439897</v>
      </c>
      <c r="Q943" s="25">
        <f t="array" aca="1" ref="Q943" ca="1">INDEX('Isaac 401k'!L:L,MATCH('Retirement Calculator'!A943,'Isaac 401k'!N:N,0),0)</f>
        <v>1972048.5608439571</v>
      </c>
      <c r="R943" s="25">
        <f t="array" aca="1" ref="R943" ca="1">INDEX('Lorri 401b'!L:L,MATCH('Retirement Calculator'!A943,'Lorri 401b'!N:N,0),0)</f>
        <v>-8128429.6323520653</v>
      </c>
      <c r="S943" s="25">
        <f t="shared" ca="1" si="787"/>
        <v>-6156381.0715081077</v>
      </c>
    </row>
    <row r="944" spans="1:19" ht="15.75" customHeight="1" x14ac:dyDescent="0.3">
      <c r="A944" s="37">
        <v>79684</v>
      </c>
      <c r="B944" s="398">
        <f t="shared" ref="B944:C944" si="955">($A944-B$9)/365.25</f>
        <v>136.28473648186173</v>
      </c>
      <c r="C944" s="398">
        <f t="shared" si="955"/>
        <v>131.67419575633127</v>
      </c>
      <c r="E944" s="25">
        <f>IF(C944&gt;$B$7,0,'Combined Retirement'!$D$13/12)</f>
        <v>0</v>
      </c>
      <c r="F944" s="25">
        <f>IF(H944=0,'Combined Retirement'!$D$32,0)+'Combined Retirement'!$B$24</f>
        <v>2870.372285649099</v>
      </c>
      <c r="G944" s="25">
        <f>'Combined Retirement'!$C$24</f>
        <v>3254.2644699519233</v>
      </c>
      <c r="H944" s="25">
        <f>IF(B944&lt;62,0,'Combined Retirement'!$I$14)</f>
        <v>2345</v>
      </c>
      <c r="I944" s="25">
        <f>IF(C944&lt;62,0,'Combined Retirement'!$I$13)</f>
        <v>2420</v>
      </c>
      <c r="J944" s="25">
        <f t="shared" si="783"/>
        <v>7896.2379798201846</v>
      </c>
      <c r="K944" s="25">
        <f t="shared" si="784"/>
        <v>20367.195264578786</v>
      </c>
      <c r="L944" s="25"/>
      <c r="N944" s="25">
        <f>'Combined Retirement'!$C$18/12</f>
        <v>39153.069999999992</v>
      </c>
      <c r="O944" s="25">
        <f t="shared" si="785"/>
        <v>10889.636755601023</v>
      </c>
      <c r="P944" s="25">
        <f t="shared" si="786"/>
        <v>28263.43324439897</v>
      </c>
      <c r="Q944" s="25">
        <f t="array" aca="1" ref="Q944" ca="1">INDEX('Isaac 401k'!L:L,MATCH('Retirement Calculator'!A944,'Isaac 401k'!N:N,0),0)</f>
        <v>1972336.2908760707</v>
      </c>
      <c r="R944" s="25">
        <f t="array" aca="1" ref="R944" ca="1">INDEX('Lorri 401b'!L:L,MATCH('Retirement Calculator'!A944,'Lorri 401b'!N:N,0),0)</f>
        <v>-8182750.147731713</v>
      </c>
      <c r="S944" s="25">
        <f t="shared" ca="1" si="787"/>
        <v>-6210413.8568556421</v>
      </c>
    </row>
    <row r="945" spans="1:19" ht="15.75" customHeight="1" x14ac:dyDescent="0.3">
      <c r="A945" s="37">
        <v>79715</v>
      </c>
      <c r="B945" s="398">
        <f t="shared" ref="B945:C945" si="956">($A945-B$9)/365.25</f>
        <v>136.36960985626283</v>
      </c>
      <c r="C945" s="398">
        <f t="shared" si="956"/>
        <v>131.75906913073237</v>
      </c>
      <c r="E945" s="25">
        <f>IF(C945&gt;$B$7,0,'Combined Retirement'!$D$13/12)</f>
        <v>0</v>
      </c>
      <c r="F945" s="25">
        <f>IF(H945=0,'Combined Retirement'!$D$32,0)+'Combined Retirement'!$B$24</f>
        <v>2870.372285649099</v>
      </c>
      <c r="G945" s="25">
        <f>'Combined Retirement'!$C$24</f>
        <v>3254.2644699519233</v>
      </c>
      <c r="H945" s="25">
        <f>IF(B945&lt;62,0,'Combined Retirement'!$I$14)</f>
        <v>2345</v>
      </c>
      <c r="I945" s="25">
        <f>IF(C945&lt;62,0,'Combined Retirement'!$I$13)</f>
        <v>2420</v>
      </c>
      <c r="J945" s="25">
        <f t="shared" si="783"/>
        <v>7896.2379798201846</v>
      </c>
      <c r="K945" s="25">
        <f t="shared" si="784"/>
        <v>20367.195264578786</v>
      </c>
      <c r="L945" s="25"/>
      <c r="N945" s="25">
        <f>'Combined Retirement'!$C$18/12</f>
        <v>39153.069999999992</v>
      </c>
      <c r="O945" s="25">
        <f t="shared" si="785"/>
        <v>10889.636755601023</v>
      </c>
      <c r="P945" s="25">
        <f t="shared" si="786"/>
        <v>28263.43324439897</v>
      </c>
      <c r="Q945" s="25">
        <f t="array" aca="1" ref="Q945" ca="1">INDEX('Isaac 401k'!L:L,MATCH('Retirement Calculator'!A945,'Isaac 401k'!N:N,0),0)</f>
        <v>1972625.2197833182</v>
      </c>
      <c r="R945" s="25">
        <f t="array" aca="1" ref="R945" ca="1">INDEX('Lorri 401b'!L:L,MATCH('Retirement Calculator'!A945,'Lorri 401b'!N:N,0),0)</f>
        <v>-8237296.9985921094</v>
      </c>
      <c r="S945" s="25">
        <f t="shared" ca="1" si="787"/>
        <v>-6264671.7788087912</v>
      </c>
    </row>
    <row r="946" spans="1:19" ht="15.75" customHeight="1" x14ac:dyDescent="0.3">
      <c r="A946" s="37">
        <v>79745</v>
      </c>
      <c r="B946" s="398">
        <f t="shared" ref="B946:C946" si="957">($A946-B$9)/365.25</f>
        <v>136.4517453798768</v>
      </c>
      <c r="C946" s="398">
        <f t="shared" si="957"/>
        <v>131.84120465434634</v>
      </c>
      <c r="E946" s="25">
        <f>IF(C946&gt;$B$7,0,'Combined Retirement'!$D$13/12)</f>
        <v>0</v>
      </c>
      <c r="F946" s="25">
        <f>IF(H946=0,'Combined Retirement'!$D$32,0)+'Combined Retirement'!$B$24</f>
        <v>2870.372285649099</v>
      </c>
      <c r="G946" s="25">
        <f>'Combined Retirement'!$C$24</f>
        <v>3254.2644699519233</v>
      </c>
      <c r="H946" s="25">
        <f>IF(B946&lt;62,0,'Combined Retirement'!$I$14)</f>
        <v>2345</v>
      </c>
      <c r="I946" s="25">
        <f>IF(C946&lt;62,0,'Combined Retirement'!$I$13)</f>
        <v>2420</v>
      </c>
      <c r="J946" s="25">
        <f t="shared" si="783"/>
        <v>7896.2379798201846</v>
      </c>
      <c r="K946" s="25">
        <f t="shared" si="784"/>
        <v>20367.195264578786</v>
      </c>
      <c r="L946" s="25"/>
      <c r="N946" s="25">
        <f>'Combined Retirement'!$C$18/12</f>
        <v>39153.069999999992</v>
      </c>
      <c r="O946" s="25">
        <f t="shared" si="785"/>
        <v>10889.636755601023</v>
      </c>
      <c r="P946" s="25">
        <f t="shared" si="786"/>
        <v>28263.43324439897</v>
      </c>
      <c r="Q946" s="25">
        <f t="array" aca="1" ref="Q946" ca="1">INDEX('Isaac 401k'!L:L,MATCH('Retirement Calculator'!A946,'Isaac 401k'!N:N,0),0)</f>
        <v>1972915.3525610126</v>
      </c>
      <c r="R946" s="25">
        <f t="array" aca="1" ref="R946" ca="1">INDEX('Lorri 401b'!L:L,MATCH('Retirement Calculator'!A946,'Lorri 401b'!N:N,0),0)</f>
        <v>-8292071.1279977579</v>
      </c>
      <c r="S946" s="25">
        <f t="shared" ca="1" si="787"/>
        <v>-6319155.775436745</v>
      </c>
    </row>
    <row r="947" spans="1:19" ht="15.75" customHeight="1" x14ac:dyDescent="0.3">
      <c r="A947" s="37">
        <v>79776</v>
      </c>
      <c r="B947" s="398">
        <f t="shared" ref="B947:C947" si="958">($A947-B$9)/365.25</f>
        <v>136.5366187542779</v>
      </c>
      <c r="C947" s="398">
        <f t="shared" si="958"/>
        <v>131.92607802874744</v>
      </c>
      <c r="E947" s="25">
        <f>IF(C947&gt;$B$7,0,'Combined Retirement'!$D$13/12)</f>
        <v>0</v>
      </c>
      <c r="F947" s="25">
        <f>IF(H947=0,'Combined Retirement'!$D$32,0)+'Combined Retirement'!$B$24</f>
        <v>2870.372285649099</v>
      </c>
      <c r="G947" s="25">
        <f>'Combined Retirement'!$C$24</f>
        <v>3254.2644699519233</v>
      </c>
      <c r="H947" s="25">
        <f>IF(B947&lt;62,0,'Combined Retirement'!$I$14)</f>
        <v>2345</v>
      </c>
      <c r="I947" s="25">
        <f>IF(C947&lt;62,0,'Combined Retirement'!$I$13)</f>
        <v>2420</v>
      </c>
      <c r="J947" s="25">
        <f t="shared" si="783"/>
        <v>7896.2379798201846</v>
      </c>
      <c r="K947" s="25">
        <f t="shared" si="784"/>
        <v>20367.195264578786</v>
      </c>
      <c r="L947" s="25"/>
      <c r="N947" s="25">
        <f>'Combined Retirement'!$C$18/12</f>
        <v>39153.069999999992</v>
      </c>
      <c r="O947" s="25">
        <f t="shared" si="785"/>
        <v>10889.636755601023</v>
      </c>
      <c r="P947" s="25">
        <f t="shared" si="786"/>
        <v>28263.43324439897</v>
      </c>
      <c r="Q947" s="25">
        <f t="array" aca="1" ref="Q947" ca="1">INDEX('Isaac 401k'!L:L,MATCH('Retirement Calculator'!A947,'Isaac 401k'!N:N,0),0)</f>
        <v>1973206.6942252808</v>
      </c>
      <c r="R947" s="25">
        <f t="array" aca="1" ref="R947" ca="1">INDEX('Lorri 401b'!L:L,MATCH('Retirement Calculator'!A947,'Lorri 401b'!N:N,0),0)</f>
        <v>-8347073.4829425961</v>
      </c>
      <c r="S947" s="25">
        <f t="shared" ca="1" si="787"/>
        <v>-6373866.7887173155</v>
      </c>
    </row>
    <row r="948" spans="1:19" ht="15.75" customHeight="1" x14ac:dyDescent="0.3">
      <c r="A948" s="37">
        <v>79806</v>
      </c>
      <c r="B948" s="398">
        <f t="shared" ref="B948:C948" si="959">($A948-B$9)/365.25</f>
        <v>136.61875427789187</v>
      </c>
      <c r="C948" s="398">
        <f t="shared" si="959"/>
        <v>132.00821355236138</v>
      </c>
      <c r="E948" s="25">
        <f>IF(C948&gt;$B$7,0,'Combined Retirement'!$D$13/12)</f>
        <v>0</v>
      </c>
      <c r="F948" s="25">
        <f>IF(H948=0,'Combined Retirement'!$D$32,0)+'Combined Retirement'!$B$24</f>
        <v>2870.372285649099</v>
      </c>
      <c r="G948" s="25">
        <f>'Combined Retirement'!$C$24</f>
        <v>3254.2644699519233</v>
      </c>
      <c r="H948" s="25">
        <f>IF(B948&lt;62,0,'Combined Retirement'!$I$14)</f>
        <v>2345</v>
      </c>
      <c r="I948" s="25">
        <f>IF(C948&lt;62,0,'Combined Retirement'!$I$13)</f>
        <v>2420</v>
      </c>
      <c r="J948" s="25">
        <f t="shared" si="783"/>
        <v>7896.2379798201846</v>
      </c>
      <c r="K948" s="25">
        <f t="shared" si="784"/>
        <v>20367.195264578786</v>
      </c>
      <c r="L948" s="25"/>
      <c r="N948" s="25">
        <f>'Combined Retirement'!$C$18/12</f>
        <v>39153.069999999992</v>
      </c>
      <c r="O948" s="25">
        <f t="shared" si="785"/>
        <v>10889.636755601023</v>
      </c>
      <c r="P948" s="25">
        <f t="shared" si="786"/>
        <v>28263.43324439897</v>
      </c>
      <c r="Q948" s="25">
        <f t="array" aca="1" ref="Q948" ca="1">INDEX('Isaac 401k'!L:L,MATCH('Retirement Calculator'!A948,'Isaac 401k'!N:N,0),0)</f>
        <v>1973499.2498131499</v>
      </c>
      <c r="R948" s="25">
        <f t="array" aca="1" ref="R948" ca="1">INDEX('Lorri 401b'!L:L,MATCH('Retirement Calculator'!A948,'Lorri 401b'!N:N,0),0)</f>
        <v>-8402305.0143663716</v>
      </c>
      <c r="S948" s="25">
        <f t="shared" ca="1" si="787"/>
        <v>-6428805.7645532219</v>
      </c>
    </row>
    <row r="949" spans="1:19" ht="15.75" customHeight="1" x14ac:dyDescent="0.3">
      <c r="A949" s="37">
        <v>79837</v>
      </c>
      <c r="B949" s="398">
        <f t="shared" ref="B949:C949" si="960">($A949-B$9)/365.25</f>
        <v>136.70362765229294</v>
      </c>
      <c r="C949" s="398">
        <f t="shared" si="960"/>
        <v>132.09308692676248</v>
      </c>
      <c r="E949" s="25">
        <f>IF(C949&gt;$B$7,0,'Combined Retirement'!$D$13/12)</f>
        <v>0</v>
      </c>
      <c r="F949" s="25">
        <f>IF(H949=0,'Combined Retirement'!$D$32,0)+'Combined Retirement'!$B$24</f>
        <v>2870.372285649099</v>
      </c>
      <c r="G949" s="25">
        <f>'Combined Retirement'!$C$24</f>
        <v>3254.2644699519233</v>
      </c>
      <c r="H949" s="25">
        <f>IF(B949&lt;62,0,'Combined Retirement'!$I$14)</f>
        <v>2345</v>
      </c>
      <c r="I949" s="25">
        <f>IF(C949&lt;62,0,'Combined Retirement'!$I$13)</f>
        <v>2420</v>
      </c>
      <c r="J949" s="25">
        <f t="shared" si="783"/>
        <v>7896.2379798201846</v>
      </c>
      <c r="K949" s="25">
        <f t="shared" si="784"/>
        <v>20367.195264578786</v>
      </c>
      <c r="L949" s="25"/>
      <c r="N949" s="25">
        <f>'Combined Retirement'!$C$18/12</f>
        <v>39153.069999999992</v>
      </c>
      <c r="O949" s="25">
        <f t="shared" si="785"/>
        <v>10889.636755601023</v>
      </c>
      <c r="P949" s="25">
        <f t="shared" si="786"/>
        <v>28263.43324439897</v>
      </c>
      <c r="Q949" s="25">
        <f t="array" aca="1" ref="Q949" ca="1">INDEX('Isaac 401k'!L:L,MATCH('Retirement Calculator'!A949,'Isaac 401k'!N:N,0),0)</f>
        <v>1973793.0243826353</v>
      </c>
      <c r="R949" s="25">
        <f t="array" aca="1" ref="R949" ca="1">INDEX('Lorri 401b'!L:L,MATCH('Retirement Calculator'!A949,'Lorri 401b'!N:N,0),0)</f>
        <v>-8457766.6771710776</v>
      </c>
      <c r="S949" s="25">
        <f t="shared" ca="1" si="787"/>
        <v>-6483973.6527884426</v>
      </c>
    </row>
    <row r="950" spans="1:19" ht="15.75" customHeight="1" x14ac:dyDescent="0.3">
      <c r="A950" s="37">
        <v>79868</v>
      </c>
      <c r="B950" s="398">
        <f t="shared" ref="B950:C950" si="961">($A950-B$9)/365.25</f>
        <v>136.78850102669404</v>
      </c>
      <c r="C950" s="398">
        <f t="shared" si="961"/>
        <v>132.17796030116358</v>
      </c>
      <c r="E950" s="25">
        <f>IF(C950&gt;$B$7,0,'Combined Retirement'!$D$13/12)</f>
        <v>0</v>
      </c>
      <c r="F950" s="25">
        <f>IF(H950=0,'Combined Retirement'!$D$32,0)+'Combined Retirement'!$B$24</f>
        <v>2870.372285649099</v>
      </c>
      <c r="G950" s="25">
        <f>'Combined Retirement'!$C$24</f>
        <v>3254.2644699519233</v>
      </c>
      <c r="H950" s="25">
        <f>IF(B950&lt;62,0,'Combined Retirement'!$I$14)</f>
        <v>2345</v>
      </c>
      <c r="I950" s="25">
        <f>IF(C950&lt;62,0,'Combined Retirement'!$I$13)</f>
        <v>2420</v>
      </c>
      <c r="J950" s="25">
        <f t="shared" si="783"/>
        <v>7896.2379798201846</v>
      </c>
      <c r="K950" s="25">
        <f t="shared" si="784"/>
        <v>20367.195264578786</v>
      </c>
      <c r="L950" s="25"/>
      <c r="N950" s="25">
        <f>'Combined Retirement'!$C$18/12</f>
        <v>39153.069999999992</v>
      </c>
      <c r="O950" s="25">
        <f t="shared" si="785"/>
        <v>10889.636755601023</v>
      </c>
      <c r="P950" s="25">
        <f t="shared" si="786"/>
        <v>28263.43324439897</v>
      </c>
      <c r="Q950" s="25">
        <f t="array" aca="1" ref="Q950" ca="1">INDEX('Isaac 401k'!L:L,MATCH('Retirement Calculator'!A950,'Isaac 401k'!N:N,0),0)</f>
        <v>1974088.0230128267</v>
      </c>
      <c r="R950" s="25">
        <f t="array" aca="1" ref="R950" ca="1">INDEX('Lorri 401b'!L:L,MATCH('Retirement Calculator'!A950,'Lorri 401b'!N:N,0),0)</f>
        <v>-8513459.4302374702</v>
      </c>
      <c r="S950" s="25">
        <f t="shared" ca="1" si="787"/>
        <v>-6539371.407224644</v>
      </c>
    </row>
    <row r="951" spans="1:19" ht="15.75" customHeight="1" x14ac:dyDescent="0.3">
      <c r="A951" s="37">
        <v>79898</v>
      </c>
      <c r="B951" s="398">
        <f t="shared" ref="B951:C951" si="962">($A951-B$9)/365.25</f>
        <v>136.87063655030801</v>
      </c>
      <c r="C951" s="398">
        <f t="shared" si="962"/>
        <v>132.26009582477755</v>
      </c>
      <c r="E951" s="25">
        <f>IF(C951&gt;$B$7,0,'Combined Retirement'!$D$13/12)</f>
        <v>0</v>
      </c>
      <c r="F951" s="25">
        <f>IF(H951=0,'Combined Retirement'!$D$32,0)+'Combined Retirement'!$B$24</f>
        <v>2870.372285649099</v>
      </c>
      <c r="G951" s="25">
        <f>'Combined Retirement'!$C$24</f>
        <v>3254.2644699519233</v>
      </c>
      <c r="H951" s="25">
        <f>IF(B951&lt;62,0,'Combined Retirement'!$I$14)</f>
        <v>2345</v>
      </c>
      <c r="I951" s="25">
        <f>IF(C951&lt;62,0,'Combined Retirement'!$I$13)</f>
        <v>2420</v>
      </c>
      <c r="J951" s="25">
        <f t="shared" si="783"/>
        <v>7896.2379798201846</v>
      </c>
      <c r="K951" s="25">
        <f t="shared" si="784"/>
        <v>20367.195264578786</v>
      </c>
      <c r="L951" s="25"/>
      <c r="N951" s="25">
        <f>'Combined Retirement'!$C$18/12</f>
        <v>39153.069999999992</v>
      </c>
      <c r="O951" s="25">
        <f t="shared" si="785"/>
        <v>10889.636755601023</v>
      </c>
      <c r="P951" s="25">
        <f t="shared" si="786"/>
        <v>28263.43324439897</v>
      </c>
      <c r="Q951" s="25">
        <f t="array" aca="1" ref="Q951" ca="1">INDEX('Isaac 401k'!L:L,MATCH('Retirement Calculator'!A951,'Isaac 401k'!N:N,0),0)</f>
        <v>1974384.2508039773</v>
      </c>
      <c r="R951" s="25">
        <f t="array" aca="1" ref="R951" ca="1">INDEX('Lorri 401b'!L:L,MATCH('Retirement Calculator'!A951,'Lorri 401b'!N:N,0),0)</f>
        <v>-8569384.2364416402</v>
      </c>
      <c r="S951" s="25">
        <f t="shared" ca="1" si="787"/>
        <v>-6594999.9856376629</v>
      </c>
    </row>
    <row r="952" spans="1:19" ht="15.75" customHeight="1" x14ac:dyDescent="0.3">
      <c r="A952" s="37">
        <v>79929</v>
      </c>
      <c r="B952" s="398">
        <f t="shared" ref="B952:C952" si="963">($A952-B$9)/365.25</f>
        <v>136.95550992470911</v>
      </c>
      <c r="C952" s="398">
        <f t="shared" si="963"/>
        <v>132.34496919917865</v>
      </c>
      <c r="E952" s="25">
        <f>IF(C952&gt;$B$7,0,'Combined Retirement'!$D$13/12)</f>
        <v>0</v>
      </c>
      <c r="F952" s="25">
        <f>IF(H952=0,'Combined Retirement'!$D$32,0)+'Combined Retirement'!$B$24</f>
        <v>2870.372285649099</v>
      </c>
      <c r="G952" s="25">
        <f>'Combined Retirement'!$C$24</f>
        <v>3254.2644699519233</v>
      </c>
      <c r="H952" s="25">
        <f>IF(B952&lt;62,0,'Combined Retirement'!$I$14)</f>
        <v>2345</v>
      </c>
      <c r="I952" s="25">
        <f>IF(C952&lt;62,0,'Combined Retirement'!$I$13)</f>
        <v>2420</v>
      </c>
      <c r="J952" s="25">
        <f t="shared" si="783"/>
        <v>7896.2379798201846</v>
      </c>
      <c r="K952" s="25">
        <f t="shared" si="784"/>
        <v>20367.195264578786</v>
      </c>
      <c r="L952" s="25"/>
      <c r="N952" s="25">
        <f>'Combined Retirement'!$C$18/12</f>
        <v>39153.069999999992</v>
      </c>
      <c r="O952" s="25">
        <f t="shared" si="785"/>
        <v>10889.636755601023</v>
      </c>
      <c r="P952" s="25">
        <f t="shared" si="786"/>
        <v>28263.43324439897</v>
      </c>
      <c r="Q952" s="25">
        <f t="array" aca="1" ref="Q952" ca="1">INDEX('Isaac 401k'!L:L,MATCH('Retirement Calculator'!A952,'Isaac 401k'!N:N,0),0)</f>
        <v>1974681.7128775909</v>
      </c>
      <c r="R952" s="25">
        <f t="array" aca="1" ref="R952" ca="1">INDEX('Lorri 401b'!L:L,MATCH('Retirement Calculator'!A952,'Lorri 401b'!N:N,0),0)</f>
        <v>-8625542.0626716614</v>
      </c>
      <c r="S952" s="25">
        <f t="shared" ca="1" si="787"/>
        <v>-6650860.3497940702</v>
      </c>
    </row>
    <row r="953" spans="1:19" ht="15.75" customHeight="1" x14ac:dyDescent="0.3">
      <c r="A953" s="37">
        <v>79959</v>
      </c>
      <c r="B953" s="398">
        <f t="shared" ref="B953:C953" si="964">($A953-B$9)/365.25</f>
        <v>137.03764544832308</v>
      </c>
      <c r="C953" s="398">
        <f t="shared" si="964"/>
        <v>132.42710472279262</v>
      </c>
      <c r="E953" s="25">
        <f>IF(C953&gt;$B$7,0,'Combined Retirement'!$D$13/12)</f>
        <v>0</v>
      </c>
      <c r="F953" s="25">
        <f>IF(H953=0,'Combined Retirement'!$D$32,0)+'Combined Retirement'!$B$24</f>
        <v>2870.372285649099</v>
      </c>
      <c r="G953" s="25">
        <f>'Combined Retirement'!$C$24</f>
        <v>3254.2644699519233</v>
      </c>
      <c r="H953" s="25">
        <f>IF(B953&lt;62,0,'Combined Retirement'!$I$14)</f>
        <v>2345</v>
      </c>
      <c r="I953" s="25">
        <f>IF(C953&lt;62,0,'Combined Retirement'!$I$13)</f>
        <v>2420</v>
      </c>
      <c r="J953" s="25">
        <f t="shared" si="783"/>
        <v>7896.2379798201846</v>
      </c>
      <c r="K953" s="25">
        <f t="shared" si="784"/>
        <v>20367.195264578786</v>
      </c>
      <c r="L953" s="25"/>
      <c r="N953" s="25">
        <f>'Combined Retirement'!$C$18/12</f>
        <v>39153.069999999992</v>
      </c>
      <c r="O953" s="25">
        <f t="shared" si="785"/>
        <v>10889.636755601023</v>
      </c>
      <c r="P953" s="25">
        <f t="shared" si="786"/>
        <v>28263.43324439897</v>
      </c>
      <c r="Q953" s="25">
        <f t="array" aca="1" ref="Q953" ca="1">INDEX('Isaac 401k'!L:L,MATCH('Retirement Calculator'!A953,'Isaac 401k'!N:N,0),0)</f>
        <v>1974980.4143765115</v>
      </c>
      <c r="R953" s="25">
        <f t="array" aca="1" ref="R953" ca="1">INDEX('Lorri 401b'!L:L,MATCH('Retirement Calculator'!A953,'Lorri 401b'!N:N,0),0)</f>
        <v>-8681933.879844306</v>
      </c>
      <c r="S953" s="25">
        <f t="shared" ca="1" si="787"/>
        <v>-6706953.4654677948</v>
      </c>
    </row>
    <row r="954" spans="1:19" ht="15.75" customHeight="1" x14ac:dyDescent="0.3">
      <c r="A954" s="37">
        <v>79990</v>
      </c>
      <c r="B954" s="398">
        <f t="shared" ref="B954:C954" si="965">($A954-B$9)/365.25</f>
        <v>137.12251882272417</v>
      </c>
      <c r="C954" s="398">
        <f t="shared" si="965"/>
        <v>132.51197809719369</v>
      </c>
      <c r="E954" s="25">
        <f>IF(C954&gt;$B$7,0,'Combined Retirement'!$D$13/12)</f>
        <v>0</v>
      </c>
      <c r="F954" s="25">
        <f>IF(H954=0,'Combined Retirement'!$D$32,0)+'Combined Retirement'!$B$24</f>
        <v>2870.372285649099</v>
      </c>
      <c r="G954" s="25">
        <f>'Combined Retirement'!$C$24</f>
        <v>3254.2644699519233</v>
      </c>
      <c r="H954" s="25">
        <f>IF(B954&lt;62,0,'Combined Retirement'!$I$14)</f>
        <v>2345</v>
      </c>
      <c r="I954" s="25">
        <f>IF(C954&lt;62,0,'Combined Retirement'!$I$13)</f>
        <v>2420</v>
      </c>
      <c r="J954" s="25">
        <f t="shared" si="783"/>
        <v>7896.2379798201846</v>
      </c>
      <c r="K954" s="25">
        <f t="shared" si="784"/>
        <v>20367.195264578786</v>
      </c>
      <c r="L954" s="25"/>
      <c r="N954" s="25">
        <f>'Combined Retirement'!$C$18/12</f>
        <v>39153.069999999992</v>
      </c>
      <c r="O954" s="25">
        <f t="shared" si="785"/>
        <v>10889.636755601023</v>
      </c>
      <c r="P954" s="25">
        <f t="shared" si="786"/>
        <v>28263.43324439897</v>
      </c>
      <c r="Q954" s="25">
        <f t="array" aca="1" ref="Q954" ca="1">INDEX('Isaac 401k'!L:L,MATCH('Retirement Calculator'!A954,'Isaac 401k'!N:N,0),0)</f>
        <v>1975280.3604650109</v>
      </c>
      <c r="R954" s="25">
        <f t="array" aca="1" ref="R954" ca="1">INDEX('Lorri 401b'!L:L,MATCH('Retirement Calculator'!A954,'Lorri 401b'!N:N,0),0)</f>
        <v>-8738560.6629218385</v>
      </c>
      <c r="S954" s="25">
        <f t="shared" ca="1" si="787"/>
        <v>-6763280.3024568278</v>
      </c>
    </row>
    <row r="955" spans="1:19" ht="15.75" customHeight="1" x14ac:dyDescent="0.3">
      <c r="A955" s="37">
        <v>80021</v>
      </c>
      <c r="B955" s="398">
        <f t="shared" ref="B955:C955" si="966">($A955-B$9)/365.25</f>
        <v>137.20739219712524</v>
      </c>
      <c r="C955" s="398">
        <f t="shared" si="966"/>
        <v>132.59685147159479</v>
      </c>
      <c r="E955" s="25">
        <f>IF(C955&gt;$B$7,0,'Combined Retirement'!$D$13/12)</f>
        <v>0</v>
      </c>
      <c r="F955" s="25">
        <f>IF(H955=0,'Combined Retirement'!$D$32,0)+'Combined Retirement'!$B$24</f>
        <v>2870.372285649099</v>
      </c>
      <c r="G955" s="25">
        <f>'Combined Retirement'!$C$24</f>
        <v>3254.2644699519233</v>
      </c>
      <c r="H955" s="25">
        <f>IF(B955&lt;62,0,'Combined Retirement'!$I$14)</f>
        <v>2345</v>
      </c>
      <c r="I955" s="25">
        <f>IF(C955&lt;62,0,'Combined Retirement'!$I$13)</f>
        <v>2420</v>
      </c>
      <c r="J955" s="25">
        <f t="shared" si="783"/>
        <v>7896.2379798201846</v>
      </c>
      <c r="K955" s="25">
        <f t="shared" si="784"/>
        <v>20367.195264578786</v>
      </c>
      <c r="L955" s="25"/>
      <c r="N955" s="25">
        <f>'Combined Retirement'!$C$18/12</f>
        <v>39153.069999999992</v>
      </c>
      <c r="O955" s="25">
        <f t="shared" si="785"/>
        <v>10889.636755601023</v>
      </c>
      <c r="P955" s="25">
        <f t="shared" si="786"/>
        <v>28263.43324439897</v>
      </c>
      <c r="Q955" s="25">
        <f t="array" aca="1" ref="Q955" ca="1">INDEX('Isaac 401k'!L:L,MATCH('Retirement Calculator'!A955,'Isaac 401k'!N:N,0),0)</f>
        <v>1975581.556328879</v>
      </c>
      <c r="R955" s="25">
        <f t="array" aca="1" ref="R955" ca="1">INDEX('Lorri 401b'!L:L,MATCH('Retirement Calculator'!A955,'Lorri 401b'!N:N,0),0)</f>
        <v>-8795423.3909288589</v>
      </c>
      <c r="S955" s="25">
        <f t="shared" ca="1" si="787"/>
        <v>-6819841.8345999802</v>
      </c>
    </row>
    <row r="956" spans="1:19" ht="15.75" customHeight="1" x14ac:dyDescent="0.3">
      <c r="A956" s="37">
        <v>80049</v>
      </c>
      <c r="B956" s="398">
        <f t="shared" ref="B956:C956" si="967">($A956-B$9)/365.25</f>
        <v>137.28405201916496</v>
      </c>
      <c r="C956" s="398">
        <f t="shared" si="967"/>
        <v>132.6735112936345</v>
      </c>
      <c r="E956" s="25">
        <f>IF(C956&gt;$B$7,0,'Combined Retirement'!$D$13/12)</f>
        <v>0</v>
      </c>
      <c r="F956" s="25">
        <f>IF(H956=0,'Combined Retirement'!$D$32,0)+'Combined Retirement'!$B$24</f>
        <v>2870.372285649099</v>
      </c>
      <c r="G956" s="25">
        <f>'Combined Retirement'!$C$24</f>
        <v>3254.2644699519233</v>
      </c>
      <c r="H956" s="25">
        <f>IF(B956&lt;62,0,'Combined Retirement'!$I$14)</f>
        <v>2345</v>
      </c>
      <c r="I956" s="25">
        <f>IF(C956&lt;62,0,'Combined Retirement'!$I$13)</f>
        <v>2420</v>
      </c>
      <c r="J956" s="25">
        <f t="shared" si="783"/>
        <v>7896.2379798201846</v>
      </c>
      <c r="K956" s="25">
        <f t="shared" si="784"/>
        <v>20367.195264578786</v>
      </c>
      <c r="L956" s="25"/>
      <c r="N956" s="25">
        <f>'Combined Retirement'!$C$18/12</f>
        <v>39153.069999999992</v>
      </c>
      <c r="O956" s="25">
        <f t="shared" si="785"/>
        <v>10889.636755601023</v>
      </c>
      <c r="P956" s="25">
        <f t="shared" si="786"/>
        <v>28263.43324439897</v>
      </c>
      <c r="Q956" s="25">
        <f t="array" aca="1" ref="Q956" ca="1">INDEX('Isaac 401k'!L:L,MATCH('Retirement Calculator'!A956,'Isaac 401k'!N:N,0),0)</f>
        <v>1975884.0071755131</v>
      </c>
      <c r="R956" s="25">
        <f t="array" aca="1" ref="R956" ca="1">INDEX('Lorri 401b'!L:L,MATCH('Retirement Calculator'!A956,'Lorri 401b'!N:N,0),0)</f>
        <v>-8852523.0469692424</v>
      </c>
      <c r="S956" s="25">
        <f t="shared" ca="1" si="787"/>
        <v>-6876639.0397937298</v>
      </c>
    </row>
    <row r="957" spans="1:19" ht="15.75" customHeight="1" x14ac:dyDescent="0.3">
      <c r="A957" s="37">
        <v>80080</v>
      </c>
      <c r="B957" s="398">
        <f t="shared" ref="B957:C957" si="968">($A957-B$9)/365.25</f>
        <v>137.36892539356606</v>
      </c>
      <c r="C957" s="398">
        <f t="shared" si="968"/>
        <v>132.7583846680356</v>
      </c>
      <c r="E957" s="25">
        <f>IF(C957&gt;$B$7,0,'Combined Retirement'!$D$13/12)</f>
        <v>0</v>
      </c>
      <c r="F957" s="25">
        <f>IF(H957=0,'Combined Retirement'!$D$32,0)+'Combined Retirement'!$B$24</f>
        <v>2870.372285649099</v>
      </c>
      <c r="G957" s="25">
        <f>'Combined Retirement'!$C$24</f>
        <v>3254.2644699519233</v>
      </c>
      <c r="H957" s="25">
        <f>IF(B957&lt;62,0,'Combined Retirement'!$I$14)</f>
        <v>2345</v>
      </c>
      <c r="I957" s="25">
        <f>IF(C957&lt;62,0,'Combined Retirement'!$I$13)</f>
        <v>2420</v>
      </c>
      <c r="J957" s="25">
        <f t="shared" si="783"/>
        <v>7896.2379798201846</v>
      </c>
      <c r="K957" s="25">
        <f t="shared" si="784"/>
        <v>20367.195264578786</v>
      </c>
      <c r="L957" s="25"/>
      <c r="N957" s="25">
        <f>'Combined Retirement'!$C$18/12</f>
        <v>39153.069999999992</v>
      </c>
      <c r="O957" s="25">
        <f t="shared" si="785"/>
        <v>10889.636755601023</v>
      </c>
      <c r="P957" s="25">
        <f t="shared" si="786"/>
        <v>28263.43324439897</v>
      </c>
      <c r="Q957" s="25">
        <f t="array" aca="1" ref="Q957" ca="1">INDEX('Isaac 401k'!L:L,MATCH('Retirement Calculator'!A957,'Isaac 401k'!N:N,0),0)</f>
        <v>1976187.7182340082</v>
      </c>
      <c r="R957" s="25">
        <f t="array" aca="1" ref="R957" ca="1">INDEX('Lorri 401b'!L:L,MATCH('Retirement Calculator'!A957,'Lorri 401b'!N:N,0),0)</f>
        <v>-8909860.6182431281</v>
      </c>
      <c r="S957" s="25">
        <f t="shared" ca="1" si="787"/>
        <v>-6933672.9000091199</v>
      </c>
    </row>
    <row r="958" spans="1:19" ht="15.75" customHeight="1" x14ac:dyDescent="0.3">
      <c r="A958" s="37">
        <v>80110</v>
      </c>
      <c r="B958" s="398">
        <f t="shared" ref="B958:C958" si="969">($A958-B$9)/365.25</f>
        <v>137.45106091718</v>
      </c>
      <c r="C958" s="398">
        <f t="shared" si="969"/>
        <v>132.84052019164955</v>
      </c>
      <c r="E958" s="25">
        <f>IF(C958&gt;$B$7,0,'Combined Retirement'!$D$13/12)</f>
        <v>0</v>
      </c>
      <c r="F958" s="25">
        <f>IF(H958=0,'Combined Retirement'!$D$32,0)+'Combined Retirement'!$B$24</f>
        <v>2870.372285649099</v>
      </c>
      <c r="G958" s="25">
        <f>'Combined Retirement'!$C$24</f>
        <v>3254.2644699519233</v>
      </c>
      <c r="H958" s="25">
        <f>IF(B958&lt;62,0,'Combined Retirement'!$I$14)</f>
        <v>2345</v>
      </c>
      <c r="I958" s="25">
        <f>IF(C958&lt;62,0,'Combined Retirement'!$I$13)</f>
        <v>2420</v>
      </c>
      <c r="J958" s="25">
        <f t="shared" si="783"/>
        <v>7896.2379798201846</v>
      </c>
      <c r="K958" s="25">
        <f t="shared" si="784"/>
        <v>20367.195264578786</v>
      </c>
      <c r="L958" s="25"/>
      <c r="N958" s="25">
        <f>'Combined Retirement'!$C$18/12</f>
        <v>39153.069999999992</v>
      </c>
      <c r="O958" s="25">
        <f t="shared" si="785"/>
        <v>10889.636755601023</v>
      </c>
      <c r="P958" s="25">
        <f t="shared" si="786"/>
        <v>28263.43324439897</v>
      </c>
      <c r="Q958" s="25">
        <f t="array" aca="1" ref="Q958" ca="1">INDEX('Isaac 401k'!L:L,MATCH('Retirement Calculator'!A958,'Isaac 401k'!N:N,0),0)</f>
        <v>1976492.6947552471</v>
      </c>
      <c r="R958" s="25">
        <f t="array" aca="1" ref="R958" ca="1">INDEX('Lorri 401b'!L:L,MATCH('Retirement Calculator'!A958,'Lorri 401b'!N:N,0),0)</f>
        <v>-8967437.0960639883</v>
      </c>
      <c r="S958" s="25">
        <f t="shared" ca="1" si="787"/>
        <v>-6990944.4013087414</v>
      </c>
    </row>
    <row r="959" spans="1:19" ht="15.75" customHeight="1" x14ac:dyDescent="0.3">
      <c r="A959" s="37">
        <v>80141</v>
      </c>
      <c r="B959" s="398">
        <f t="shared" ref="B959:C959" si="970">($A959-B$9)/365.25</f>
        <v>137.5359342915811</v>
      </c>
      <c r="C959" s="398">
        <f t="shared" si="970"/>
        <v>132.92539356605064</v>
      </c>
      <c r="E959" s="25">
        <f>IF(C959&gt;$B$7,0,'Combined Retirement'!$D$13/12)</f>
        <v>0</v>
      </c>
      <c r="F959" s="25">
        <f>IF(H959=0,'Combined Retirement'!$D$32,0)+'Combined Retirement'!$B$24</f>
        <v>2870.372285649099</v>
      </c>
      <c r="G959" s="25">
        <f>'Combined Retirement'!$C$24</f>
        <v>3254.2644699519233</v>
      </c>
      <c r="H959" s="25">
        <f>IF(B959&lt;62,0,'Combined Retirement'!$I$14)</f>
        <v>2345</v>
      </c>
      <c r="I959" s="25">
        <f>IF(C959&lt;62,0,'Combined Retirement'!$I$13)</f>
        <v>2420</v>
      </c>
      <c r="J959" s="25">
        <f t="shared" si="783"/>
        <v>7896.2379798201846</v>
      </c>
      <c r="K959" s="25">
        <f t="shared" si="784"/>
        <v>20367.195264578786</v>
      </c>
      <c r="L959" s="25"/>
      <c r="N959" s="25">
        <f>'Combined Retirement'!$C$18/12</f>
        <v>39153.069999999992</v>
      </c>
      <c r="O959" s="25">
        <f t="shared" si="785"/>
        <v>10889.636755601023</v>
      </c>
      <c r="P959" s="25">
        <f t="shared" si="786"/>
        <v>28263.43324439897</v>
      </c>
      <c r="Q959" s="25">
        <f t="array" aca="1" ref="Q959" ca="1">INDEX('Isaac 401k'!L:L,MATCH('Retirement Calculator'!A959,'Isaac 401k'!N:N,0),0)</f>
        <v>1976798.9420119911</v>
      </c>
      <c r="R959" s="25">
        <f t="array" aca="1" ref="R959" ca="1">INDEX('Lorri 401b'!L:L,MATCH('Retirement Calculator'!A959,'Lorri 401b'!N:N,0),0)</f>
        <v>-9025253.4758757688</v>
      </c>
      <c r="S959" s="25">
        <f t="shared" ca="1" si="787"/>
        <v>-7048454.5338637773</v>
      </c>
    </row>
    <row r="960" spans="1:19" ht="15.75" customHeight="1" x14ac:dyDescent="0.3">
      <c r="A960" s="37">
        <v>80171</v>
      </c>
      <c r="B960" s="398">
        <f t="shared" ref="B960:C960" si="971">($A960-B$9)/365.25</f>
        <v>137.61806981519507</v>
      </c>
      <c r="C960" s="398">
        <f t="shared" si="971"/>
        <v>133.00752908966462</v>
      </c>
      <c r="E960" s="25">
        <f>IF(C960&gt;$B$7,0,'Combined Retirement'!$D$13/12)</f>
        <v>0</v>
      </c>
      <c r="F960" s="25">
        <f>IF(H960=0,'Combined Retirement'!$D$32,0)+'Combined Retirement'!$B$24</f>
        <v>2870.372285649099</v>
      </c>
      <c r="G960" s="25">
        <f>'Combined Retirement'!$C$24</f>
        <v>3254.2644699519233</v>
      </c>
      <c r="H960" s="25">
        <f>IF(B960&lt;62,0,'Combined Retirement'!$I$14)</f>
        <v>2345</v>
      </c>
      <c r="I960" s="25">
        <f>IF(C960&lt;62,0,'Combined Retirement'!$I$13)</f>
        <v>2420</v>
      </c>
      <c r="J960" s="25">
        <f t="shared" si="783"/>
        <v>7896.2379798201846</v>
      </c>
      <c r="K960" s="25">
        <f t="shared" si="784"/>
        <v>20367.195264578786</v>
      </c>
      <c r="L960" s="25"/>
      <c r="N960" s="25">
        <f>'Combined Retirement'!$C$18/12</f>
        <v>39153.069999999992</v>
      </c>
      <c r="O960" s="25">
        <f t="shared" si="785"/>
        <v>10889.636755601023</v>
      </c>
      <c r="P960" s="25">
        <f t="shared" si="786"/>
        <v>28263.43324439897</v>
      </c>
      <c r="Q960" s="25">
        <f t="array" aca="1" ref="Q960" ca="1">INDEX('Isaac 401k'!L:L,MATCH('Retirement Calculator'!A960,'Isaac 401k'!N:N,0),0)</f>
        <v>1977106.4652989716</v>
      </c>
      <c r="R960" s="25">
        <f t="array" aca="1" ref="R960" ca="1">INDEX('Lorri 401b'!L:L,MATCH('Retirement Calculator'!A960,'Lorri 401b'!N:N,0),0)</f>
        <v>-9083310.7572700977</v>
      </c>
      <c r="S960" s="25">
        <f t="shared" ca="1" si="787"/>
        <v>-7106204.2919711266</v>
      </c>
    </row>
    <row r="961" spans="1:19" ht="15.75" customHeight="1" x14ac:dyDescent="0.3">
      <c r="A961" s="37">
        <v>80202</v>
      </c>
      <c r="B961" s="398">
        <f t="shared" ref="B961:C961" si="972">($A961-B$9)/365.25</f>
        <v>137.70294318959617</v>
      </c>
      <c r="C961" s="398">
        <f t="shared" si="972"/>
        <v>133.09240246406571</v>
      </c>
      <c r="E961" s="25">
        <f>IF(C961&gt;$B$7,0,'Combined Retirement'!$D$13/12)</f>
        <v>0</v>
      </c>
      <c r="F961" s="25">
        <f>IF(H961=0,'Combined Retirement'!$D$32,0)+'Combined Retirement'!$B$24</f>
        <v>2870.372285649099</v>
      </c>
      <c r="G961" s="25">
        <f>'Combined Retirement'!$C$24</f>
        <v>3254.2644699519233</v>
      </c>
      <c r="H961" s="25">
        <f>IF(B961&lt;62,0,'Combined Retirement'!$I$14)</f>
        <v>2345</v>
      </c>
      <c r="I961" s="25">
        <f>IF(C961&lt;62,0,'Combined Retirement'!$I$13)</f>
        <v>2420</v>
      </c>
      <c r="J961" s="25">
        <f t="shared" si="783"/>
        <v>7896.2379798201846</v>
      </c>
      <c r="K961" s="25">
        <f t="shared" si="784"/>
        <v>20367.195264578786</v>
      </c>
      <c r="L961" s="25"/>
      <c r="N961" s="25">
        <f>'Combined Retirement'!$C$18/12</f>
        <v>39153.069999999992</v>
      </c>
      <c r="O961" s="25">
        <f t="shared" si="785"/>
        <v>10889.636755601023</v>
      </c>
      <c r="P961" s="25">
        <f t="shared" si="786"/>
        <v>28263.43324439897</v>
      </c>
      <c r="Q961" s="25">
        <f t="array" aca="1" ref="Q961" ca="1">INDEX('Isaac 401k'!L:L,MATCH('Retirement Calculator'!A961,'Isaac 401k'!N:N,0),0)</f>
        <v>1977415.2699329811</v>
      </c>
      <c r="R961" s="25">
        <f t="array" aca="1" ref="R961" ca="1">INDEX('Lorri 401b'!L:L,MATCH('Retirement Calculator'!A961,'Lorri 401b'!N:N,0),0)</f>
        <v>-9141609.9440035708</v>
      </c>
      <c r="S961" s="25">
        <f t="shared" ca="1" si="787"/>
        <v>-7164194.6740705892</v>
      </c>
    </row>
    <row r="962" spans="1:19" ht="15.75" customHeight="1" x14ac:dyDescent="0.3">
      <c r="A962" s="37">
        <v>80233</v>
      </c>
      <c r="B962" s="398">
        <f t="shared" ref="B962:C962" si="973">($A962-B$9)/365.25</f>
        <v>137.78781656399727</v>
      </c>
      <c r="C962" s="398">
        <f t="shared" si="973"/>
        <v>133.17727583846681</v>
      </c>
      <c r="E962" s="25">
        <f>IF(C962&gt;$B$7,0,'Combined Retirement'!$D$13/12)</f>
        <v>0</v>
      </c>
      <c r="F962" s="25">
        <f>IF(H962=0,'Combined Retirement'!$D$32,0)+'Combined Retirement'!$B$24</f>
        <v>2870.372285649099</v>
      </c>
      <c r="G962" s="25">
        <f>'Combined Retirement'!$C$24</f>
        <v>3254.2644699519233</v>
      </c>
      <c r="H962" s="25">
        <f>IF(B962&lt;62,0,'Combined Retirement'!$I$14)</f>
        <v>2345</v>
      </c>
      <c r="I962" s="25">
        <f>IF(C962&lt;62,0,'Combined Retirement'!$I$13)</f>
        <v>2420</v>
      </c>
      <c r="J962" s="25">
        <f t="shared" si="783"/>
        <v>7896.2379798201846</v>
      </c>
      <c r="K962" s="25">
        <f t="shared" si="784"/>
        <v>20367.195264578786</v>
      </c>
      <c r="L962" s="25"/>
      <c r="N962" s="25">
        <f>'Combined Retirement'!$C$18/12</f>
        <v>39153.069999999992</v>
      </c>
      <c r="O962" s="25">
        <f t="shared" si="785"/>
        <v>10889.636755601023</v>
      </c>
      <c r="P962" s="25">
        <f t="shared" si="786"/>
        <v>28263.43324439897</v>
      </c>
      <c r="Q962" s="25">
        <f t="array" aca="1" ref="Q962" ca="1">INDEX('Isaac 401k'!L:L,MATCH('Retirement Calculator'!A962,'Isaac 401k'!N:N,0),0)</f>
        <v>1977725.3612529656</v>
      </c>
      <c r="R962" s="25">
        <f t="array" aca="1" ref="R962" ca="1">INDEX('Lorri 401b'!L:L,MATCH('Retirement Calculator'!A962,'Lorri 401b'!N:N,0),0)</f>
        <v>-9200152.0440151002</v>
      </c>
      <c r="S962" s="25">
        <f t="shared" ca="1" si="787"/>
        <v>-7222426.6827621348</v>
      </c>
    </row>
    <row r="963" spans="1:19" ht="15.75" customHeight="1" x14ac:dyDescent="0.3">
      <c r="A963" s="37">
        <v>80263</v>
      </c>
      <c r="B963" s="398">
        <f t="shared" ref="B963:C963" si="974">($A963-B$9)/365.25</f>
        <v>137.86995208761124</v>
      </c>
      <c r="C963" s="398">
        <f t="shared" si="974"/>
        <v>133.25941136208075</v>
      </c>
      <c r="E963" s="25">
        <f>IF(C963&gt;$B$7,0,'Combined Retirement'!$D$13/12)</f>
        <v>0</v>
      </c>
      <c r="F963" s="25">
        <f>IF(H963=0,'Combined Retirement'!$D$32,0)+'Combined Retirement'!$B$24</f>
        <v>2870.372285649099</v>
      </c>
      <c r="G963" s="25">
        <f>'Combined Retirement'!$C$24</f>
        <v>3254.2644699519233</v>
      </c>
      <c r="H963" s="25">
        <f>IF(B963&lt;62,0,'Combined Retirement'!$I$14)</f>
        <v>2345</v>
      </c>
      <c r="I963" s="25">
        <f>IF(C963&lt;62,0,'Combined Retirement'!$I$13)</f>
        <v>2420</v>
      </c>
      <c r="J963" s="25">
        <f t="shared" si="783"/>
        <v>7896.2379798201846</v>
      </c>
      <c r="K963" s="25">
        <f t="shared" si="784"/>
        <v>20367.195264578786</v>
      </c>
      <c r="L963" s="25"/>
      <c r="N963" s="25">
        <f>'Combined Retirement'!$C$18/12</f>
        <v>39153.069999999992</v>
      </c>
      <c r="O963" s="25">
        <f t="shared" si="785"/>
        <v>10889.636755601023</v>
      </c>
      <c r="P963" s="25">
        <f t="shared" si="786"/>
        <v>28263.43324439897</v>
      </c>
      <c r="Q963" s="25">
        <f t="array" aca="1" ref="Q963" ca="1">INDEX('Isaac 401k'!L:L,MATCH('Retirement Calculator'!A963,'Isaac 401k'!N:N,0),0)</f>
        <v>1978036.7446201169</v>
      </c>
      <c r="R963" s="25">
        <f t="array" aca="1" ref="R963" ca="1">INDEX('Lorri 401b'!L:L,MATCH('Retirement Calculator'!A963,'Lorri 401b'!N:N,0),0)</f>
        <v>-9258938.0694433432</v>
      </c>
      <c r="S963" s="25">
        <f t="shared" ca="1" si="787"/>
        <v>-7280901.3248232268</v>
      </c>
    </row>
    <row r="964" spans="1:19" ht="15.75" customHeight="1" x14ac:dyDescent="0.3">
      <c r="A964" s="37">
        <v>80294</v>
      </c>
      <c r="B964" s="398">
        <f t="shared" ref="B964:C964" si="975">($A964-B$9)/365.25</f>
        <v>137.95482546201231</v>
      </c>
      <c r="C964" s="398">
        <f t="shared" si="975"/>
        <v>133.34428473648185</v>
      </c>
      <c r="E964" s="25">
        <f>IF(C964&gt;$B$7,0,'Combined Retirement'!$D$13/12)</f>
        <v>0</v>
      </c>
      <c r="F964" s="25">
        <f>IF(H964=0,'Combined Retirement'!$D$32,0)+'Combined Retirement'!$B$24</f>
        <v>2870.372285649099</v>
      </c>
      <c r="G964" s="25">
        <f>'Combined Retirement'!$C$24</f>
        <v>3254.2644699519233</v>
      </c>
      <c r="H964" s="25">
        <f>IF(B964&lt;62,0,'Combined Retirement'!$I$14)</f>
        <v>2345</v>
      </c>
      <c r="I964" s="25">
        <f>IF(C964&lt;62,0,'Combined Retirement'!$I$13)</f>
        <v>2420</v>
      </c>
      <c r="J964" s="25">
        <f t="shared" si="783"/>
        <v>7896.2379798201846</v>
      </c>
      <c r="K964" s="25">
        <f t="shared" si="784"/>
        <v>20367.195264578786</v>
      </c>
      <c r="L964" s="25"/>
      <c r="N964" s="25">
        <f>'Combined Retirement'!$C$18/12</f>
        <v>39153.069999999992</v>
      </c>
      <c r="O964" s="25">
        <f t="shared" si="785"/>
        <v>10889.636755601023</v>
      </c>
      <c r="P964" s="25">
        <f t="shared" si="786"/>
        <v>28263.43324439897</v>
      </c>
      <c r="Q964" s="25">
        <f t="array" aca="1" ref="Q964" ca="1">INDEX('Isaac 401k'!L:L,MATCH('Retirement Calculator'!A964,'Isaac 401k'!N:N,0),0)</f>
        <v>1978349.4254179646</v>
      </c>
      <c r="R964" s="25">
        <f t="array" aca="1" ref="R964" ca="1">INDEX('Lorri 401b'!L:L,MATCH('Retirement Calculator'!A964,'Lorri 401b'!N:N,0),0)</f>
        <v>-9317969.0366442036</v>
      </c>
      <c r="S964" s="25">
        <f t="shared" ca="1" si="787"/>
        <v>-7339619.6112262392</v>
      </c>
    </row>
    <row r="965" spans="1:19" ht="15.75" customHeight="1" x14ac:dyDescent="0.3">
      <c r="A965" s="37">
        <v>80324</v>
      </c>
      <c r="B965" s="398">
        <f t="shared" ref="B965:C965" si="976">($A965-B$9)/365.25</f>
        <v>138.03696098562628</v>
      </c>
      <c r="C965" s="398">
        <f t="shared" si="976"/>
        <v>133.42642026009582</v>
      </c>
      <c r="E965" s="25">
        <f>IF(C965&gt;$B$7,0,'Combined Retirement'!$D$13/12)</f>
        <v>0</v>
      </c>
      <c r="F965" s="25">
        <f>IF(H965=0,'Combined Retirement'!$D$32,0)+'Combined Retirement'!$B$24</f>
        <v>2870.372285649099</v>
      </c>
      <c r="G965" s="25">
        <f>'Combined Retirement'!$C$24</f>
        <v>3254.2644699519233</v>
      </c>
      <c r="H965" s="25">
        <f>IF(B965&lt;62,0,'Combined Retirement'!$I$14)</f>
        <v>2345</v>
      </c>
      <c r="I965" s="25">
        <f>IF(C965&lt;62,0,'Combined Retirement'!$I$13)</f>
        <v>2420</v>
      </c>
      <c r="J965" s="25">
        <f t="shared" si="783"/>
        <v>7896.2379798201846</v>
      </c>
      <c r="K965" s="25">
        <f t="shared" si="784"/>
        <v>20367.195264578786</v>
      </c>
      <c r="L965" s="25"/>
      <c r="N965" s="25">
        <f>'Combined Retirement'!$C$18/12</f>
        <v>39153.069999999992</v>
      </c>
      <c r="O965" s="25">
        <f t="shared" si="785"/>
        <v>10889.636755601023</v>
      </c>
      <c r="P965" s="25">
        <f t="shared" si="786"/>
        <v>28263.43324439897</v>
      </c>
      <c r="Q965" s="25">
        <f t="array" aca="1" ref="Q965" ca="1">INDEX('Isaac 401k'!L:L,MATCH('Retirement Calculator'!A965,'Isaac 401k'!N:N,0),0)</f>
        <v>1978663.40905247</v>
      </c>
      <c r="R965" s="25">
        <f t="array" aca="1" ref="R965" ca="1">INDEX('Lorri 401b'!L:L,MATCH('Retirement Calculator'!A965,'Lorri 401b'!N:N,0),0)</f>
        <v>-9377245.9662084021</v>
      </c>
      <c r="S965" s="25">
        <f t="shared" ca="1" si="787"/>
        <v>-7398582.5571559323</v>
      </c>
    </row>
    <row r="966" spans="1:19" ht="15.75" customHeight="1" x14ac:dyDescent="0.3">
      <c r="A966" s="37">
        <v>80355</v>
      </c>
      <c r="B966" s="398">
        <f t="shared" ref="B966:C966" si="977">($A966-B$9)/365.25</f>
        <v>138.12183436002738</v>
      </c>
      <c r="C966" s="398">
        <f t="shared" si="977"/>
        <v>133.51129363449692</v>
      </c>
      <c r="E966" s="25">
        <f>IF(C966&gt;$B$7,0,'Combined Retirement'!$D$13/12)</f>
        <v>0</v>
      </c>
      <c r="F966" s="25">
        <f>IF(H966=0,'Combined Retirement'!$D$32,0)+'Combined Retirement'!$B$24</f>
        <v>2870.372285649099</v>
      </c>
      <c r="G966" s="25">
        <f>'Combined Retirement'!$C$24</f>
        <v>3254.2644699519233</v>
      </c>
      <c r="H966" s="25">
        <f>IF(B966&lt;62,0,'Combined Retirement'!$I$14)</f>
        <v>2345</v>
      </c>
      <c r="I966" s="25">
        <f>IF(C966&lt;62,0,'Combined Retirement'!$I$13)</f>
        <v>2420</v>
      </c>
      <c r="J966" s="25">
        <f t="shared" si="783"/>
        <v>7896.2379798201846</v>
      </c>
      <c r="K966" s="25">
        <f t="shared" si="784"/>
        <v>20367.195264578786</v>
      </c>
      <c r="L966" s="25"/>
      <c r="N966" s="25">
        <f>'Combined Retirement'!$C$18/12</f>
        <v>39153.069999999992</v>
      </c>
      <c r="O966" s="25">
        <f t="shared" si="785"/>
        <v>10889.636755601023</v>
      </c>
      <c r="P966" s="25">
        <f t="shared" si="786"/>
        <v>28263.43324439897</v>
      </c>
      <c r="Q966" s="25">
        <f t="array" aca="1" ref="Q966" ca="1">INDEX('Isaac 401k'!L:L,MATCH('Retirement Calculator'!A966,'Isaac 401k'!N:N,0),0)</f>
        <v>1978978.7009521192</v>
      </c>
      <c r="R966" s="25">
        <f t="array" aca="1" ref="R966" ca="1">INDEX('Lorri 401b'!L:L,MATCH('Retirement Calculator'!A966,'Lorri 401b'!N:N,0),0)</f>
        <v>-9436769.8829791173</v>
      </c>
      <c r="S966" s="25">
        <f t="shared" ca="1" si="787"/>
        <v>-7457791.1820269981</v>
      </c>
    </row>
    <row r="967" spans="1:19" ht="15.75" customHeight="1" x14ac:dyDescent="0.3">
      <c r="A967" s="37">
        <v>80386</v>
      </c>
      <c r="B967" s="398">
        <f t="shared" ref="B967:C967" si="978">($A967-B$9)/365.25</f>
        <v>138.20670773442848</v>
      </c>
      <c r="C967" s="398">
        <f t="shared" si="978"/>
        <v>133.59616700889802</v>
      </c>
      <c r="E967" s="25">
        <f>IF(C967&gt;$B$7,0,'Combined Retirement'!$D$13/12)</f>
        <v>0</v>
      </c>
      <c r="F967" s="25">
        <f>IF(H967=0,'Combined Retirement'!$D$32,0)+'Combined Retirement'!$B$24</f>
        <v>2870.372285649099</v>
      </c>
      <c r="G967" s="25">
        <f>'Combined Retirement'!$C$24</f>
        <v>3254.2644699519233</v>
      </c>
      <c r="H967" s="25">
        <f>IF(B967&lt;62,0,'Combined Retirement'!$I$14)</f>
        <v>2345</v>
      </c>
      <c r="I967" s="25">
        <f>IF(C967&lt;62,0,'Combined Retirement'!$I$13)</f>
        <v>2420</v>
      </c>
      <c r="J967" s="25">
        <f t="shared" si="783"/>
        <v>7896.2379798201846</v>
      </c>
      <c r="K967" s="25">
        <f t="shared" si="784"/>
        <v>20367.195264578786</v>
      </c>
      <c r="L967" s="25"/>
      <c r="N967" s="25">
        <f>'Combined Retirement'!$C$18/12</f>
        <v>39153.069999999992</v>
      </c>
      <c r="O967" s="25">
        <f t="shared" si="785"/>
        <v>10889.636755601023</v>
      </c>
      <c r="P967" s="25">
        <f t="shared" si="786"/>
        <v>28263.43324439897</v>
      </c>
      <c r="Q967" s="25">
        <f t="array" aca="1" ref="Q967" ca="1">INDEX('Isaac 401k'!L:L,MATCH('Retirement Calculator'!A967,'Isaac 401k'!N:N,0),0)</f>
        <v>1979295.3065680168</v>
      </c>
      <c r="R967" s="25">
        <f t="array" aca="1" ref="R967" ca="1">INDEX('Lorri 401b'!L:L,MATCH('Retirement Calculator'!A967,'Lorri 401b'!N:N,0),0)</f>
        <v>-9496541.816069711</v>
      </c>
      <c r="S967" s="25">
        <f t="shared" ca="1" si="787"/>
        <v>-7517246.5095016938</v>
      </c>
    </row>
    <row r="968" spans="1:19" ht="15.75" customHeight="1" x14ac:dyDescent="0.3">
      <c r="A968" s="37">
        <v>80415</v>
      </c>
      <c r="B968" s="398">
        <f t="shared" ref="B968:C968" si="979">($A968-B$9)/365.25</f>
        <v>138.28610540725529</v>
      </c>
      <c r="C968" s="398">
        <f t="shared" si="979"/>
        <v>133.67556468172484</v>
      </c>
      <c r="E968" s="25">
        <f>IF(C968&gt;$B$7,0,'Combined Retirement'!$D$13/12)</f>
        <v>0</v>
      </c>
      <c r="F968" s="25">
        <f>IF(H968=0,'Combined Retirement'!$D$32,0)+'Combined Retirement'!$B$24</f>
        <v>2870.372285649099</v>
      </c>
      <c r="G968" s="25">
        <f>'Combined Retirement'!$C$24</f>
        <v>3254.2644699519233</v>
      </c>
      <c r="H968" s="25">
        <f>IF(B968&lt;62,0,'Combined Retirement'!$I$14)</f>
        <v>2345</v>
      </c>
      <c r="I968" s="25">
        <f>IF(C968&lt;62,0,'Combined Retirement'!$I$13)</f>
        <v>2420</v>
      </c>
      <c r="J968" s="25">
        <f t="shared" si="783"/>
        <v>7896.2379798201846</v>
      </c>
      <c r="K968" s="25">
        <f t="shared" si="784"/>
        <v>20367.195264578786</v>
      </c>
      <c r="L968" s="25"/>
      <c r="N968" s="25">
        <f>'Combined Retirement'!$C$18/12</f>
        <v>39153.069999999992</v>
      </c>
      <c r="O968" s="25">
        <f t="shared" si="785"/>
        <v>10889.636755601023</v>
      </c>
      <c r="P968" s="25">
        <f t="shared" si="786"/>
        <v>28263.43324439897</v>
      </c>
      <c r="Q968" s="25">
        <f t="array" aca="1" ref="Q968" ca="1">INDEX('Isaac 401k'!L:L,MATCH('Retirement Calculator'!A968,'Isaac 401k'!N:N,0),0)</f>
        <v>1979613.2313739806</v>
      </c>
      <c r="R968" s="25">
        <f t="array" aca="1" ref="R968" ca="1">INDEX('Lorri 401b'!L:L,MATCH('Retirement Calculator'!A968,'Lorri 401b'!N:N,0),0)</f>
        <v>-9556562.7988815159</v>
      </c>
      <c r="S968" s="25">
        <f t="shared" ca="1" si="787"/>
        <v>-7576949.5675075352</v>
      </c>
    </row>
    <row r="969" spans="1:19" ht="15.75" customHeight="1" x14ac:dyDescent="0.3">
      <c r="A969" s="37">
        <v>80446</v>
      </c>
      <c r="B969" s="398">
        <f t="shared" ref="B969:C969" si="980">($A969-B$9)/365.25</f>
        <v>138.37097878165639</v>
      </c>
      <c r="C969" s="398">
        <f t="shared" si="980"/>
        <v>133.76043805612593</v>
      </c>
      <c r="E969" s="25">
        <f>IF(C969&gt;$B$7,0,'Combined Retirement'!$D$13/12)</f>
        <v>0</v>
      </c>
      <c r="F969" s="25">
        <f>IF(H969=0,'Combined Retirement'!$D$32,0)+'Combined Retirement'!$B$24</f>
        <v>2870.372285649099</v>
      </c>
      <c r="G969" s="25">
        <f>'Combined Retirement'!$C$24</f>
        <v>3254.2644699519233</v>
      </c>
      <c r="H969" s="25">
        <f>IF(B969&lt;62,0,'Combined Retirement'!$I$14)</f>
        <v>2345</v>
      </c>
      <c r="I969" s="25">
        <f>IF(C969&lt;62,0,'Combined Retirement'!$I$13)</f>
        <v>2420</v>
      </c>
      <c r="J969" s="25">
        <f t="shared" si="783"/>
        <v>7896.2379798201846</v>
      </c>
      <c r="K969" s="25">
        <f t="shared" si="784"/>
        <v>20367.195264578786</v>
      </c>
      <c r="L969" s="25"/>
      <c r="N969" s="25">
        <f>'Combined Retirement'!$C$18/12</f>
        <v>39153.069999999992</v>
      </c>
      <c r="O969" s="25">
        <f t="shared" si="785"/>
        <v>10889.636755601023</v>
      </c>
      <c r="P969" s="25">
        <f t="shared" si="786"/>
        <v>28263.43324439897</v>
      </c>
      <c r="Q969" s="25">
        <f t="array" aca="1" ref="Q969" ca="1">INDEX('Isaac 401k'!L:L,MATCH('Retirement Calculator'!A969,'Isaac 401k'!N:N,0),0)</f>
        <v>1979932.4808666361</v>
      </c>
      <c r="R969" s="25">
        <f t="array" aca="1" ref="R969" ca="1">INDEX('Lorri 401b'!L:L,MATCH('Retirement Calculator'!A969,'Lorri 401b'!N:N,0),0)</f>
        <v>-9616833.8691217024</v>
      </c>
      <c r="S969" s="25">
        <f t="shared" ca="1" si="787"/>
        <v>-7636901.3882550662</v>
      </c>
    </row>
    <row r="970" spans="1:19" ht="15.75" customHeight="1" x14ac:dyDescent="0.3">
      <c r="A970" s="37">
        <v>80476</v>
      </c>
      <c r="B970" s="398">
        <f t="shared" ref="B970:C970" si="981">($A970-B$9)/365.25</f>
        <v>138.45311430527036</v>
      </c>
      <c r="C970" s="398">
        <f t="shared" si="981"/>
        <v>133.84257357973991</v>
      </c>
      <c r="E970" s="25">
        <f>IF(C970&gt;$B$7,0,'Combined Retirement'!$D$13/12)</f>
        <v>0</v>
      </c>
      <c r="F970" s="25">
        <f>IF(H970=0,'Combined Retirement'!$D$32,0)+'Combined Retirement'!$B$24</f>
        <v>2870.372285649099</v>
      </c>
      <c r="G970" s="25">
        <f>'Combined Retirement'!$C$24</f>
        <v>3254.2644699519233</v>
      </c>
      <c r="H970" s="25">
        <f>IF(B970&lt;62,0,'Combined Retirement'!$I$14)</f>
        <v>2345</v>
      </c>
      <c r="I970" s="25">
        <f>IF(C970&lt;62,0,'Combined Retirement'!$I$13)</f>
        <v>2420</v>
      </c>
      <c r="J970" s="25">
        <f t="shared" si="783"/>
        <v>7896.2379798201846</v>
      </c>
      <c r="K970" s="25">
        <f t="shared" si="784"/>
        <v>20367.195264578786</v>
      </c>
      <c r="L970" s="25"/>
      <c r="N970" s="25">
        <f>'Combined Retirement'!$C$18/12</f>
        <v>39153.069999999992</v>
      </c>
      <c r="O970" s="25">
        <f t="shared" si="785"/>
        <v>10889.636755601023</v>
      </c>
      <c r="P970" s="25">
        <f t="shared" si="786"/>
        <v>28263.43324439897</v>
      </c>
      <c r="Q970" s="25">
        <f t="array" aca="1" ref="Q970" ca="1">INDEX('Isaac 401k'!L:L,MATCH('Retirement Calculator'!A970,'Isaac 401k'!N:N,0),0)</f>
        <v>1980253.060565511</v>
      </c>
      <c r="R970" s="25">
        <f t="array" aca="1" ref="R970" ca="1">INDEX('Lorri 401b'!L:L,MATCH('Retirement Calculator'!A970,'Lorri 401b'!N:N,0),0)</f>
        <v>-9677356.0688212235</v>
      </c>
      <c r="S970" s="25">
        <f t="shared" ca="1" si="787"/>
        <v>-7697103.0082557127</v>
      </c>
    </row>
    <row r="971" spans="1:19" ht="15.75" customHeight="1" x14ac:dyDescent="0.3">
      <c r="A971" s="37">
        <v>80507</v>
      </c>
      <c r="B971" s="398">
        <f t="shared" ref="B971:C971" si="982">($A971-B$9)/365.25</f>
        <v>138.53798767967146</v>
      </c>
      <c r="C971" s="398">
        <f t="shared" si="982"/>
        <v>133.927446954141</v>
      </c>
      <c r="E971" s="25">
        <f>IF(C971&gt;$B$7,0,'Combined Retirement'!$D$13/12)</f>
        <v>0</v>
      </c>
      <c r="F971" s="25">
        <f>IF(H971=0,'Combined Retirement'!$D$32,0)+'Combined Retirement'!$B$24</f>
        <v>2870.372285649099</v>
      </c>
      <c r="G971" s="25">
        <f>'Combined Retirement'!$C$24</f>
        <v>3254.2644699519233</v>
      </c>
      <c r="H971" s="25">
        <f>IF(B971&lt;62,0,'Combined Retirement'!$I$14)</f>
        <v>2345</v>
      </c>
      <c r="I971" s="25">
        <f>IF(C971&lt;62,0,'Combined Retirement'!$I$13)</f>
        <v>2420</v>
      </c>
      <c r="J971" s="25">
        <f t="shared" si="783"/>
        <v>7896.2379798201846</v>
      </c>
      <c r="K971" s="25">
        <f t="shared" si="784"/>
        <v>20367.195264578786</v>
      </c>
      <c r="L971" s="25"/>
      <c r="N971" s="25">
        <f>'Combined Retirement'!$C$18/12</f>
        <v>39153.069999999992</v>
      </c>
      <c r="O971" s="25">
        <f t="shared" si="785"/>
        <v>10889.636755601023</v>
      </c>
      <c r="P971" s="25">
        <f t="shared" si="786"/>
        <v>28263.43324439897</v>
      </c>
      <c r="Q971" s="25">
        <f t="array" aca="1" ref="Q971" ca="1">INDEX('Isaac 401k'!L:L,MATCH('Retirement Calculator'!A971,'Isaac 401k'!N:N,0),0)</f>
        <v>1980574.9760131312</v>
      </c>
      <c r="R971" s="25">
        <f t="array" aca="1" ref="R971" ca="1">INDEX('Lorri 401b'!L:L,MATCH('Retirement Calculator'!A971,'Lorri 401b'!N:N,0),0)</f>
        <v>-9738130.4443528261</v>
      </c>
      <c r="S971" s="25">
        <f t="shared" ca="1" si="787"/>
        <v>-7757555.4683396947</v>
      </c>
    </row>
    <row r="972" spans="1:19" ht="15.75" customHeight="1" x14ac:dyDescent="0.3">
      <c r="A972" s="37">
        <v>80537</v>
      </c>
      <c r="B972" s="398">
        <f t="shared" ref="B972:C972" si="983">($A972-B$9)/365.25</f>
        <v>138.62012320328543</v>
      </c>
      <c r="C972" s="398">
        <f t="shared" si="983"/>
        <v>134.00958247775498</v>
      </c>
      <c r="E972" s="25">
        <f>IF(C972&gt;$B$7,0,'Combined Retirement'!$D$13/12)</f>
        <v>0</v>
      </c>
      <c r="F972" s="25">
        <f>IF(H972=0,'Combined Retirement'!$D$32,0)+'Combined Retirement'!$B$24</f>
        <v>2870.372285649099</v>
      </c>
      <c r="G972" s="25">
        <f>'Combined Retirement'!$C$24</f>
        <v>3254.2644699519233</v>
      </c>
      <c r="H972" s="25">
        <f>IF(B972&lt;62,0,'Combined Retirement'!$I$14)</f>
        <v>2345</v>
      </c>
      <c r="I972" s="25">
        <f>IF(C972&lt;62,0,'Combined Retirement'!$I$13)</f>
        <v>2420</v>
      </c>
      <c r="J972" s="25">
        <f t="shared" si="783"/>
        <v>7896.2379798201846</v>
      </c>
      <c r="K972" s="25">
        <f t="shared" si="784"/>
        <v>20367.195264578786</v>
      </c>
      <c r="L972" s="25"/>
      <c r="N972" s="25">
        <f>'Combined Retirement'!$C$18/12</f>
        <v>39153.069999999992</v>
      </c>
      <c r="O972" s="25">
        <f t="shared" si="785"/>
        <v>10889.636755601023</v>
      </c>
      <c r="P972" s="25">
        <f t="shared" si="786"/>
        <v>28263.43324439897</v>
      </c>
      <c r="Q972" s="25">
        <f t="array" aca="1" ref="Q972" ca="1">INDEX('Isaac 401k'!L:L,MATCH('Retirement Calculator'!A972,'Isaac 401k'!N:N,0),0)</f>
        <v>1980898.2327751163</v>
      </c>
      <c r="R972" s="25">
        <f t="array" aca="1" ref="R972" ca="1">INDEX('Lorri 401b'!L:L,MATCH('Retirement Calculator'!A972,'Lorri 401b'!N:N,0),0)</f>
        <v>-9799158.0464491434</v>
      </c>
      <c r="S972" s="25">
        <f t="shared" ca="1" si="787"/>
        <v>-7818259.8136740271</v>
      </c>
    </row>
    <row r="973" spans="1:19" ht="15.75" customHeight="1" x14ac:dyDescent="0.3">
      <c r="A973" s="37">
        <v>80568</v>
      </c>
      <c r="B973" s="398">
        <f t="shared" ref="B973:C973" si="984">($A973-B$9)/365.25</f>
        <v>138.70499657768653</v>
      </c>
      <c r="C973" s="398">
        <f t="shared" si="984"/>
        <v>134.09445585215605</v>
      </c>
      <c r="E973" s="25">
        <f>IF(C973&gt;$B$7,0,'Combined Retirement'!$D$13/12)</f>
        <v>0</v>
      </c>
      <c r="F973" s="25">
        <f>IF(H973=0,'Combined Retirement'!$D$32,0)+'Combined Retirement'!$B$24</f>
        <v>2870.372285649099</v>
      </c>
      <c r="G973" s="25">
        <f>'Combined Retirement'!$C$24</f>
        <v>3254.2644699519233</v>
      </c>
      <c r="H973" s="25">
        <f>IF(B973&lt;62,0,'Combined Retirement'!$I$14)</f>
        <v>2345</v>
      </c>
      <c r="I973" s="25">
        <f>IF(C973&lt;62,0,'Combined Retirement'!$I$13)</f>
        <v>2420</v>
      </c>
      <c r="J973" s="25">
        <f t="shared" si="783"/>
        <v>7896.2379798201846</v>
      </c>
      <c r="K973" s="25">
        <f t="shared" si="784"/>
        <v>20367.195264578786</v>
      </c>
      <c r="L973" s="25"/>
      <c r="N973" s="25">
        <f>'Combined Retirement'!$C$18/12</f>
        <v>39153.069999999992</v>
      </c>
      <c r="O973" s="25">
        <f t="shared" si="785"/>
        <v>10889.636755601023</v>
      </c>
      <c r="P973" s="25">
        <f t="shared" si="786"/>
        <v>28263.43324439897</v>
      </c>
      <c r="Q973" s="25">
        <f t="array" aca="1" ref="Q973" ca="1">INDEX('Isaac 401k'!L:L,MATCH('Retirement Calculator'!A973,'Isaac 401k'!N:N,0),0)</f>
        <v>1981222.8364402766</v>
      </c>
      <c r="R973" s="25">
        <f t="array" aca="1" ref="R973" ca="1">INDEX('Lorri 401b'!L:L,MATCH('Retirement Calculator'!A973,'Lorri 401b'!N:N,0),0)</f>
        <v>-9860439.930220861</v>
      </c>
      <c r="S973" s="25">
        <f t="shared" ca="1" si="787"/>
        <v>-7879217.0937805846</v>
      </c>
    </row>
    <row r="974" spans="1:19" ht="15.75" customHeight="1" x14ac:dyDescent="0.3">
      <c r="A974" s="37">
        <v>80599</v>
      </c>
      <c r="B974" s="398">
        <f t="shared" ref="B974:C974" si="985">($A974-B$9)/365.25</f>
        <v>138.7898699520876</v>
      </c>
      <c r="C974" s="398">
        <f t="shared" si="985"/>
        <v>134.17932922655714</v>
      </c>
      <c r="E974" s="25">
        <f>IF(C974&gt;$B$7,0,'Combined Retirement'!$D$13/12)</f>
        <v>0</v>
      </c>
      <c r="F974" s="25">
        <f>IF(H974=0,'Combined Retirement'!$D$32,0)+'Combined Retirement'!$B$24</f>
        <v>2870.372285649099</v>
      </c>
      <c r="G974" s="25">
        <f>'Combined Retirement'!$C$24</f>
        <v>3254.2644699519233</v>
      </c>
      <c r="H974" s="25">
        <f>IF(B974&lt;62,0,'Combined Retirement'!$I$14)</f>
        <v>2345</v>
      </c>
      <c r="I974" s="25">
        <f>IF(C974&lt;62,0,'Combined Retirement'!$I$13)</f>
        <v>2420</v>
      </c>
      <c r="J974" s="25">
        <f t="shared" si="783"/>
        <v>7896.2379798201846</v>
      </c>
      <c r="K974" s="25">
        <f t="shared" si="784"/>
        <v>20367.195264578786</v>
      </c>
      <c r="L974" s="25"/>
      <c r="N974" s="25">
        <f>'Combined Retirement'!$C$18/12</f>
        <v>39153.069999999992</v>
      </c>
      <c r="O974" s="25">
        <f t="shared" si="785"/>
        <v>10889.636755601023</v>
      </c>
      <c r="P974" s="25">
        <f t="shared" si="786"/>
        <v>28263.43324439897</v>
      </c>
      <c r="Q974" s="25">
        <f t="array" aca="1" ref="Q974" ca="1">INDEX('Isaac 401k'!L:L,MATCH('Retirement Calculator'!A974,'Isaac 401k'!N:N,0),0)</f>
        <v>1981548.7926207082</v>
      </c>
      <c r="R974" s="25">
        <f t="array" aca="1" ref="R974" ca="1">INDEX('Lorri 401b'!L:L,MATCH('Retirement Calculator'!A974,'Lorri 401b'!N:N,0),0)</f>
        <v>-9921977.1551749613</v>
      </c>
      <c r="S974" s="25">
        <f t="shared" ca="1" si="787"/>
        <v>-7940428.3625542531</v>
      </c>
    </row>
    <row r="975" spans="1:19" ht="15.75" customHeight="1" x14ac:dyDescent="0.3">
      <c r="A975" s="37">
        <v>80629</v>
      </c>
      <c r="B975" s="398">
        <f t="shared" ref="B975:C975" si="986">($A975-B$9)/365.25</f>
        <v>138.87200547570157</v>
      </c>
      <c r="C975" s="398">
        <f t="shared" si="986"/>
        <v>134.26146475017111</v>
      </c>
      <c r="E975" s="25">
        <f>IF(C975&gt;$B$7,0,'Combined Retirement'!$D$13/12)</f>
        <v>0</v>
      </c>
      <c r="F975" s="25">
        <f>IF(H975=0,'Combined Retirement'!$D$32,0)+'Combined Retirement'!$B$24</f>
        <v>2870.372285649099</v>
      </c>
      <c r="G975" s="25">
        <f>'Combined Retirement'!$C$24</f>
        <v>3254.2644699519233</v>
      </c>
      <c r="H975" s="25">
        <f>IF(B975&lt;62,0,'Combined Retirement'!$I$14)</f>
        <v>2345</v>
      </c>
      <c r="I975" s="25">
        <f>IF(C975&lt;62,0,'Combined Retirement'!$I$13)</f>
        <v>2420</v>
      </c>
      <c r="J975" s="25">
        <f t="shared" si="783"/>
        <v>7896.2379798201846</v>
      </c>
      <c r="K975" s="25">
        <f t="shared" si="784"/>
        <v>20367.195264578786</v>
      </c>
      <c r="L975" s="25"/>
      <c r="N975" s="25">
        <f>'Combined Retirement'!$C$18/12</f>
        <v>39153.069999999992</v>
      </c>
      <c r="O975" s="25">
        <f t="shared" si="785"/>
        <v>10889.636755601023</v>
      </c>
      <c r="P975" s="25">
        <f t="shared" si="786"/>
        <v>28263.43324439897</v>
      </c>
      <c r="Q975" s="25">
        <f t="array" aca="1" ref="Q975" ca="1">INDEX('Isaac 401k'!L:L,MATCH('Retirement Calculator'!A975,'Isaac 401k'!N:N,0),0)</f>
        <v>1981876.1069518917</v>
      </c>
      <c r="R975" s="25">
        <f t="array" aca="1" ref="R975" ca="1">INDEX('Lorri 401b'!L:L,MATCH('Retirement Calculator'!A975,'Lorri 401b'!N:N,0),0)</f>
        <v>-9983770.7852330375</v>
      </c>
      <c r="S975" s="25">
        <f t="shared" ca="1" si="787"/>
        <v>-8001894.6782811461</v>
      </c>
    </row>
    <row r="976" spans="1:19" ht="15.75" customHeight="1" x14ac:dyDescent="0.3">
      <c r="A976" s="37">
        <v>80660</v>
      </c>
      <c r="B976" s="398">
        <f t="shared" ref="B976:C976" si="987">($A976-B$9)/365.25</f>
        <v>138.95687885010267</v>
      </c>
      <c r="C976" s="398">
        <f t="shared" si="987"/>
        <v>134.34633812457221</v>
      </c>
      <c r="E976" s="25">
        <f>IF(C976&gt;$B$7,0,'Combined Retirement'!$D$13/12)</f>
        <v>0</v>
      </c>
      <c r="F976" s="25">
        <f>IF(H976=0,'Combined Retirement'!$D$32,0)+'Combined Retirement'!$B$24</f>
        <v>2870.372285649099</v>
      </c>
      <c r="G976" s="25">
        <f>'Combined Retirement'!$C$24</f>
        <v>3254.2644699519233</v>
      </c>
      <c r="H976" s="25">
        <f>IF(B976&lt;62,0,'Combined Retirement'!$I$14)</f>
        <v>2345</v>
      </c>
      <c r="I976" s="25">
        <f>IF(C976&lt;62,0,'Combined Retirement'!$I$13)</f>
        <v>2420</v>
      </c>
      <c r="J976" s="25">
        <f t="shared" si="783"/>
        <v>7896.2379798201846</v>
      </c>
      <c r="K976" s="25">
        <f t="shared" si="784"/>
        <v>20367.195264578786</v>
      </c>
      <c r="L976" s="25"/>
      <c r="N976" s="25">
        <f>'Combined Retirement'!$C$18/12</f>
        <v>39153.069999999992</v>
      </c>
      <c r="O976" s="25">
        <f t="shared" si="785"/>
        <v>10889.636755601023</v>
      </c>
      <c r="P976" s="25">
        <f t="shared" si="786"/>
        <v>28263.43324439897</v>
      </c>
      <c r="Q976" s="25">
        <f t="array" aca="1" ref="Q976" ca="1">INDEX('Isaac 401k'!L:L,MATCH('Retirement Calculator'!A976,'Isaac 401k'!N:N,0),0)</f>
        <v>1982204.7850927885</v>
      </c>
      <c r="R976" s="25">
        <f t="array" aca="1" ref="R976" ca="1">INDEX('Lorri 401b'!L:L,MATCH('Retirement Calculator'!A976,'Lorri 401b'!N:N,0),0)</f>
        <v>-10045821.888749689</v>
      </c>
      <c r="S976" s="25">
        <f t="shared" ca="1" si="787"/>
        <v>-8063617.1036569001</v>
      </c>
    </row>
    <row r="977" spans="1:19" ht="15.75" customHeight="1" x14ac:dyDescent="0.3">
      <c r="A977" s="37">
        <v>80690</v>
      </c>
      <c r="B977" s="398">
        <f t="shared" ref="B977:C977" si="988">($A977-B$9)/365.25</f>
        <v>139.03901437371664</v>
      </c>
      <c r="C977" s="398">
        <f t="shared" si="988"/>
        <v>134.42847364818618</v>
      </c>
      <c r="E977" s="25">
        <f>IF(C977&gt;$B$7,0,'Combined Retirement'!$D$13/12)</f>
        <v>0</v>
      </c>
      <c r="F977" s="25">
        <f>IF(H977=0,'Combined Retirement'!$D$32,0)+'Combined Retirement'!$B$24</f>
        <v>2870.372285649099</v>
      </c>
      <c r="G977" s="25">
        <f>'Combined Retirement'!$C$24</f>
        <v>3254.2644699519233</v>
      </c>
      <c r="H977" s="25">
        <f>IF(B977&lt;62,0,'Combined Retirement'!$I$14)</f>
        <v>2345</v>
      </c>
      <c r="I977" s="25">
        <f>IF(C977&lt;62,0,'Combined Retirement'!$I$13)</f>
        <v>2420</v>
      </c>
      <c r="J977" s="25">
        <f t="shared" si="783"/>
        <v>7896.2379798201846</v>
      </c>
      <c r="K977" s="25">
        <f t="shared" si="784"/>
        <v>20367.195264578786</v>
      </c>
      <c r="L977" s="25"/>
      <c r="N977" s="25">
        <f>'Combined Retirement'!$C$18/12</f>
        <v>39153.069999999992</v>
      </c>
      <c r="O977" s="25">
        <f t="shared" si="785"/>
        <v>10889.636755601023</v>
      </c>
      <c r="P977" s="25">
        <f t="shared" si="786"/>
        <v>28263.43324439897</v>
      </c>
      <c r="Q977" s="25">
        <f t="array" aca="1" ref="Q977" ca="1">INDEX('Isaac 401k'!L:L,MATCH('Retirement Calculator'!A977,'Isaac 401k'!N:N,0),0)</f>
        <v>1982534.8327259389</v>
      </c>
      <c r="R977" s="25">
        <f t="array" aca="1" ref="R977" ca="1">INDEX('Lorri 401b'!L:L,MATCH('Retirement Calculator'!A977,'Lorri 401b'!N:N,0),0)</f>
        <v>-10108131.538530992</v>
      </c>
      <c r="S977" s="25">
        <f t="shared" ca="1" si="787"/>
        <v>-8125596.7058050539</v>
      </c>
    </row>
    <row r="978" spans="1:19" ht="15.75" customHeight="1" x14ac:dyDescent="0.3">
      <c r="A978" s="37">
        <v>80721</v>
      </c>
      <c r="B978" s="398">
        <f t="shared" ref="B978:C978" si="989">($A978-B$9)/365.25</f>
        <v>139.12388774811774</v>
      </c>
      <c r="C978" s="398">
        <f t="shared" si="989"/>
        <v>134.51334702258728</v>
      </c>
      <c r="E978" s="25">
        <f>IF(C978&gt;$B$7,0,'Combined Retirement'!$D$13/12)</f>
        <v>0</v>
      </c>
      <c r="F978" s="25">
        <f>IF(H978=0,'Combined Retirement'!$D$32,0)+'Combined Retirement'!$B$24</f>
        <v>2870.372285649099</v>
      </c>
      <c r="G978" s="25">
        <f>'Combined Retirement'!$C$24</f>
        <v>3254.2644699519233</v>
      </c>
      <c r="H978" s="25">
        <f>IF(B978&lt;62,0,'Combined Retirement'!$I$14)</f>
        <v>2345</v>
      </c>
      <c r="I978" s="25">
        <f>IF(C978&lt;62,0,'Combined Retirement'!$I$13)</f>
        <v>2420</v>
      </c>
      <c r="J978" s="25">
        <f t="shared" si="783"/>
        <v>7896.2379798201846</v>
      </c>
      <c r="K978" s="25">
        <f t="shared" si="784"/>
        <v>20367.195264578786</v>
      </c>
      <c r="L978" s="25"/>
      <c r="N978" s="25">
        <f>'Combined Retirement'!$C$18/12</f>
        <v>39153.069999999992</v>
      </c>
      <c r="O978" s="25">
        <f t="shared" si="785"/>
        <v>10889.636755601023</v>
      </c>
      <c r="P978" s="25">
        <f t="shared" si="786"/>
        <v>28263.43324439897</v>
      </c>
      <c r="Q978" s="25">
        <f t="array" aca="1" ref="Q978" ca="1">INDEX('Isaac 401k'!L:L,MATCH('Retirement Calculator'!A978,'Isaac 401k'!N:N,0),0)</f>
        <v>1982866.2555575608</v>
      </c>
      <c r="R978" s="25">
        <f t="array" aca="1" ref="R978" ca="1">INDEX('Lorri 401b'!L:L,MATCH('Retirement Calculator'!A978,'Lorri 401b'!N:N,0),0)</f>
        <v>-10170700.811853051</v>
      </c>
      <c r="S978" s="25">
        <f t="shared" ca="1" si="787"/>
        <v>-8187834.5562954899</v>
      </c>
    </row>
    <row r="979" spans="1:19" ht="15.75" customHeight="1" x14ac:dyDescent="0.3">
      <c r="A979" s="37">
        <v>80752</v>
      </c>
      <c r="B979" s="398">
        <f t="shared" ref="B979:C979" si="990">($A979-B$9)/365.25</f>
        <v>139.20876112251884</v>
      </c>
      <c r="C979" s="398">
        <f t="shared" si="990"/>
        <v>134.59822039698835</v>
      </c>
      <c r="E979" s="25">
        <f>IF(C979&gt;$B$7,0,'Combined Retirement'!$D$13/12)</f>
        <v>0</v>
      </c>
      <c r="F979" s="25">
        <f>IF(H979=0,'Combined Retirement'!$D$32,0)+'Combined Retirement'!$B$24</f>
        <v>2870.372285649099</v>
      </c>
      <c r="G979" s="25">
        <f>'Combined Retirement'!$C$24</f>
        <v>3254.2644699519233</v>
      </c>
      <c r="H979" s="25">
        <f>IF(B979&lt;62,0,'Combined Retirement'!$I$14)</f>
        <v>2345</v>
      </c>
      <c r="I979" s="25">
        <f>IF(C979&lt;62,0,'Combined Retirement'!$I$13)</f>
        <v>2420</v>
      </c>
      <c r="J979" s="25">
        <f t="shared" si="783"/>
        <v>7896.2379798201846</v>
      </c>
      <c r="K979" s="25">
        <f t="shared" si="784"/>
        <v>20367.195264578786</v>
      </c>
      <c r="L979" s="25"/>
      <c r="N979" s="25">
        <f>'Combined Retirement'!$C$18/12</f>
        <v>39153.069999999992</v>
      </c>
      <c r="O979" s="25">
        <f t="shared" si="785"/>
        <v>10889.636755601023</v>
      </c>
      <c r="P979" s="25">
        <f t="shared" si="786"/>
        <v>28263.43324439897</v>
      </c>
      <c r="Q979" s="25">
        <f t="array" aca="1" ref="Q979" ca="1">INDEX('Isaac 401k'!L:L,MATCH('Retirement Calculator'!A979,'Isaac 401k'!N:N,0),0)</f>
        <v>1983199.0593176479</v>
      </c>
      <c r="R979" s="25">
        <f t="array" aca="1" ref="R979" ca="1">INDEX('Lorri 401b'!L:L,MATCH('Retirement Calculator'!A979,'Lorri 401b'!N:N,0),0)</f>
        <v>-10233530.790480619</v>
      </c>
      <c r="S979" s="25">
        <f t="shared" ca="1" si="787"/>
        <v>-8250331.7311629709</v>
      </c>
    </row>
    <row r="980" spans="1:19" ht="15.75" customHeight="1" x14ac:dyDescent="0.3">
      <c r="A980" s="37">
        <v>80780</v>
      </c>
      <c r="B980" s="398">
        <f t="shared" ref="B980:C980" si="991">($A980-B$9)/365.25</f>
        <v>139.28542094455852</v>
      </c>
      <c r="C980" s="398">
        <f t="shared" si="991"/>
        <v>134.67488021902807</v>
      </c>
      <c r="E980" s="25">
        <f>IF(C980&gt;$B$7,0,'Combined Retirement'!$D$13/12)</f>
        <v>0</v>
      </c>
      <c r="F980" s="25">
        <f>IF(H980=0,'Combined Retirement'!$D$32,0)+'Combined Retirement'!$B$24</f>
        <v>2870.372285649099</v>
      </c>
      <c r="G980" s="25">
        <f>'Combined Retirement'!$C$24</f>
        <v>3254.2644699519233</v>
      </c>
      <c r="H980" s="25">
        <f>IF(B980&lt;62,0,'Combined Retirement'!$I$14)</f>
        <v>2345</v>
      </c>
      <c r="I980" s="25">
        <f>IF(C980&lt;62,0,'Combined Retirement'!$I$13)</f>
        <v>2420</v>
      </c>
      <c r="J980" s="25">
        <f t="shared" si="783"/>
        <v>7896.2379798201846</v>
      </c>
      <c r="K980" s="25">
        <f t="shared" si="784"/>
        <v>20367.195264578786</v>
      </c>
      <c r="L980" s="25"/>
      <c r="N980" s="25">
        <f>'Combined Retirement'!$C$18/12</f>
        <v>39153.069999999992</v>
      </c>
      <c r="O980" s="25">
        <f t="shared" si="785"/>
        <v>10889.636755601023</v>
      </c>
      <c r="P980" s="25">
        <f t="shared" si="786"/>
        <v>28263.43324439897</v>
      </c>
      <c r="Q980" s="25">
        <f t="array" aca="1" ref="Q980" ca="1">INDEX('Isaac 401k'!L:L,MATCH('Retirement Calculator'!A980,'Isaac 401k'!N:N,0),0)</f>
        <v>1983533.2497600687</v>
      </c>
      <c r="R980" s="25">
        <f t="array" aca="1" ref="R980" ca="1">INDEX('Lorri 401b'!L:L,MATCH('Retirement Calculator'!A980,'Lorri 401b'!N:N,0),0)</f>
        <v>-10296622.560685802</v>
      </c>
      <c r="S980" s="25">
        <f t="shared" ca="1" si="787"/>
        <v>-8313089.3109257333</v>
      </c>
    </row>
    <row r="981" spans="1:19" ht="15.75" customHeight="1" x14ac:dyDescent="0.3">
      <c r="A981" s="37">
        <v>80811</v>
      </c>
      <c r="B981" s="398">
        <f t="shared" ref="B981:C981" si="992">($A981-B$9)/365.25</f>
        <v>139.37029431895962</v>
      </c>
      <c r="C981" s="398">
        <f t="shared" si="992"/>
        <v>134.75975359342917</v>
      </c>
      <c r="E981" s="25">
        <f>IF(C981&gt;$B$7,0,'Combined Retirement'!$D$13/12)</f>
        <v>0</v>
      </c>
      <c r="F981" s="25">
        <f>IF(H981=0,'Combined Retirement'!$D$32,0)+'Combined Retirement'!$B$24</f>
        <v>2870.372285649099</v>
      </c>
      <c r="G981" s="25">
        <f>'Combined Retirement'!$C$24</f>
        <v>3254.2644699519233</v>
      </c>
      <c r="H981" s="25">
        <f>IF(B981&lt;62,0,'Combined Retirement'!$I$14)</f>
        <v>2345</v>
      </c>
      <c r="I981" s="25">
        <f>IF(C981&lt;62,0,'Combined Retirement'!$I$13)</f>
        <v>2420</v>
      </c>
      <c r="J981" s="25">
        <f t="shared" si="783"/>
        <v>7896.2379798201846</v>
      </c>
      <c r="K981" s="25">
        <f t="shared" si="784"/>
        <v>20367.195264578786</v>
      </c>
      <c r="L981" s="25"/>
      <c r="N981" s="25">
        <f>'Combined Retirement'!$C$18/12</f>
        <v>39153.069999999992</v>
      </c>
      <c r="O981" s="25">
        <f t="shared" si="785"/>
        <v>10889.636755601023</v>
      </c>
      <c r="P981" s="25">
        <f t="shared" si="786"/>
        <v>28263.43324439897</v>
      </c>
      <c r="Q981" s="25">
        <f t="array" aca="1" ref="Q981" ca="1">INDEX('Isaac 401k'!L:L,MATCH('Retirement Calculator'!A981,'Isaac 401k'!N:N,0),0)</f>
        <v>1983868.8326626662</v>
      </c>
      <c r="R981" s="25">
        <f t="array" aca="1" ref="R981" ca="1">INDEX('Lorri 401b'!L:L,MATCH('Retirement Calculator'!A981,'Lorri 401b'!N:N,0),0)</f>
        <v>-10359977.21326684</v>
      </c>
      <c r="S981" s="25">
        <f t="shared" ca="1" si="787"/>
        <v>-8376108.380604174</v>
      </c>
    </row>
    <row r="982" spans="1:19" ht="15.75" customHeight="1" x14ac:dyDescent="0.3">
      <c r="A982" s="37">
        <v>80841</v>
      </c>
      <c r="B982" s="398">
        <f t="shared" ref="B982:C982" si="993">($A982-B$9)/365.25</f>
        <v>139.45242984257359</v>
      </c>
      <c r="C982" s="398">
        <f t="shared" si="993"/>
        <v>134.84188911704311</v>
      </c>
      <c r="E982" s="25">
        <f>IF(C982&gt;$B$7,0,'Combined Retirement'!$D$13/12)</f>
        <v>0</v>
      </c>
      <c r="F982" s="25">
        <f>IF(H982=0,'Combined Retirement'!$D$32,0)+'Combined Retirement'!$B$24</f>
        <v>2870.372285649099</v>
      </c>
      <c r="G982" s="25">
        <f>'Combined Retirement'!$C$24</f>
        <v>3254.2644699519233</v>
      </c>
      <c r="H982" s="25">
        <f>IF(B982&lt;62,0,'Combined Retirement'!$I$14)</f>
        <v>2345</v>
      </c>
      <c r="I982" s="25">
        <f>IF(C982&lt;62,0,'Combined Retirement'!$I$13)</f>
        <v>2420</v>
      </c>
      <c r="J982" s="25">
        <f t="shared" si="783"/>
        <v>7896.2379798201846</v>
      </c>
      <c r="K982" s="25">
        <f t="shared" si="784"/>
        <v>20367.195264578786</v>
      </c>
      <c r="L982" s="25"/>
      <c r="N982" s="25">
        <f>'Combined Retirement'!$C$18/12</f>
        <v>39153.069999999992</v>
      </c>
      <c r="O982" s="25">
        <f t="shared" si="785"/>
        <v>10889.636755601023</v>
      </c>
      <c r="P982" s="25">
        <f t="shared" si="786"/>
        <v>28263.43324439897</v>
      </c>
      <c r="Q982" s="25">
        <f t="array" aca="1" ref="Q982" ca="1">INDEX('Isaac 401k'!L:L,MATCH('Retirement Calculator'!A982,'Isaac 401k'!N:N,0),0)</f>
        <v>1984205.813827358</v>
      </c>
      <c r="R982" s="25">
        <f t="array" aca="1" ref="R982" ca="1">INDEX('Lorri 401b'!L:L,MATCH('Retirement Calculator'!A982,'Lorri 401b'!N:N,0),0)</f>
        <v>-10423595.843566965</v>
      </c>
      <c r="S982" s="25">
        <f t="shared" ca="1" si="787"/>
        <v>-8439390.0297396071</v>
      </c>
    </row>
    <row r="983" spans="1:19" ht="15.75" customHeight="1" x14ac:dyDescent="0.3">
      <c r="A983" s="37">
        <v>80872</v>
      </c>
      <c r="B983" s="398">
        <f t="shared" ref="B983:C983" si="994">($A983-B$9)/365.25</f>
        <v>139.53730321697466</v>
      </c>
      <c r="C983" s="398">
        <f t="shared" si="994"/>
        <v>134.92676249144421</v>
      </c>
      <c r="E983" s="25">
        <f>IF(C983&gt;$B$7,0,'Combined Retirement'!$D$13/12)</f>
        <v>0</v>
      </c>
      <c r="F983" s="25">
        <f>IF(H983=0,'Combined Retirement'!$D$32,0)+'Combined Retirement'!$B$24</f>
        <v>2870.372285649099</v>
      </c>
      <c r="G983" s="25">
        <f>'Combined Retirement'!$C$24</f>
        <v>3254.2644699519233</v>
      </c>
      <c r="H983" s="25">
        <f>IF(B983&lt;62,0,'Combined Retirement'!$I$14)</f>
        <v>2345</v>
      </c>
      <c r="I983" s="25">
        <f>IF(C983&lt;62,0,'Combined Retirement'!$I$13)</f>
        <v>2420</v>
      </c>
      <c r="J983" s="25">
        <f t="shared" si="783"/>
        <v>7896.2379798201846</v>
      </c>
      <c r="K983" s="25">
        <f t="shared" si="784"/>
        <v>20367.195264578786</v>
      </c>
      <c r="L983" s="25"/>
      <c r="N983" s="25">
        <f>'Combined Retirement'!$C$18/12</f>
        <v>39153.069999999992</v>
      </c>
      <c r="O983" s="25">
        <f t="shared" si="785"/>
        <v>10889.636755601023</v>
      </c>
      <c r="P983" s="25">
        <f t="shared" si="786"/>
        <v>28263.43324439897</v>
      </c>
      <c r="Q983" s="25">
        <f t="array" aca="1" ref="Q983" ca="1">INDEX('Isaac 401k'!L:L,MATCH('Retirement Calculator'!A983,'Isaac 401k'!N:N,0),0)</f>
        <v>1984544.1990802358</v>
      </c>
      <c r="R983" s="25">
        <f t="array" aca="1" ref="R983" ca="1">INDEX('Lorri 401b'!L:L,MATCH('Retirement Calculator'!A983,'Lorri 401b'!N:N,0),0)</f>
        <v>-10487479.551493341</v>
      </c>
      <c r="S983" s="25">
        <f t="shared" ca="1" si="787"/>
        <v>-8502935.3524131048</v>
      </c>
    </row>
    <row r="984" spans="1:19" ht="15.75" customHeight="1" x14ac:dyDescent="0.3">
      <c r="A984" s="37">
        <v>80902</v>
      </c>
      <c r="B984" s="398">
        <f t="shared" ref="B984:C984" si="995">($A984-B$9)/365.25</f>
        <v>139.61943874058863</v>
      </c>
      <c r="C984" s="398">
        <f t="shared" si="995"/>
        <v>135.00889801505818</v>
      </c>
      <c r="E984" s="25">
        <f>IF(C984&gt;$B$7,0,'Combined Retirement'!$D$13/12)</f>
        <v>0</v>
      </c>
      <c r="F984" s="25">
        <f>IF(H984=0,'Combined Retirement'!$D$32,0)+'Combined Retirement'!$B$24</f>
        <v>2870.372285649099</v>
      </c>
      <c r="G984" s="25">
        <f>'Combined Retirement'!$C$24</f>
        <v>3254.2644699519233</v>
      </c>
      <c r="H984" s="25">
        <f>IF(B984&lt;62,0,'Combined Retirement'!$I$14)</f>
        <v>2345</v>
      </c>
      <c r="I984" s="25">
        <f>IF(C984&lt;62,0,'Combined Retirement'!$I$13)</f>
        <v>2420</v>
      </c>
      <c r="J984" s="25">
        <f t="shared" si="783"/>
        <v>7896.2379798201846</v>
      </c>
      <c r="K984" s="25">
        <f t="shared" si="784"/>
        <v>20367.195264578786</v>
      </c>
      <c r="L984" s="25"/>
      <c r="N984" s="25">
        <f>'Combined Retirement'!$C$18/12</f>
        <v>39153.069999999992</v>
      </c>
      <c r="O984" s="25">
        <f t="shared" si="785"/>
        <v>10889.636755601023</v>
      </c>
      <c r="P984" s="25">
        <f t="shared" si="786"/>
        <v>28263.43324439897</v>
      </c>
      <c r="Q984" s="25">
        <f t="array" aca="1" ref="Q984" ca="1">INDEX('Isaac 401k'!L:L,MATCH('Retirement Calculator'!A984,'Isaac 401k'!N:N,0),0)</f>
        <v>1984883.9942716672</v>
      </c>
      <c r="R984" s="25">
        <f t="array" aca="1" ref="R984" ca="1">INDEX('Lorri 401b'!L:L,MATCH('Retirement Calculator'!A984,'Lorri 401b'!N:N,0),0)</f>
        <v>-10551629.441536076</v>
      </c>
      <c r="S984" s="25">
        <f t="shared" ca="1" si="787"/>
        <v>-8566745.4472644087</v>
      </c>
    </row>
    <row r="985" spans="1:19" ht="15.75" customHeight="1" x14ac:dyDescent="0.3">
      <c r="A985" s="37">
        <v>80933</v>
      </c>
      <c r="B985" s="398">
        <f t="shared" ref="B985:C985" si="996">($A985-B$9)/365.25</f>
        <v>139.70431211498973</v>
      </c>
      <c r="C985" s="398">
        <f t="shared" si="996"/>
        <v>135.09377138945928</v>
      </c>
      <c r="E985" s="25">
        <f>IF(C985&gt;$B$7,0,'Combined Retirement'!$D$13/12)</f>
        <v>0</v>
      </c>
      <c r="F985" s="25">
        <f>IF(H985=0,'Combined Retirement'!$D$32,0)+'Combined Retirement'!$B$24</f>
        <v>2870.372285649099</v>
      </c>
      <c r="G985" s="25">
        <f>'Combined Retirement'!$C$24</f>
        <v>3254.2644699519233</v>
      </c>
      <c r="H985" s="25">
        <f>IF(B985&lt;62,0,'Combined Retirement'!$I$14)</f>
        <v>2345</v>
      </c>
      <c r="I985" s="25">
        <f>IF(C985&lt;62,0,'Combined Retirement'!$I$13)</f>
        <v>2420</v>
      </c>
      <c r="J985" s="25">
        <f t="shared" si="783"/>
        <v>7896.2379798201846</v>
      </c>
      <c r="K985" s="25">
        <f t="shared" si="784"/>
        <v>20367.195264578786</v>
      </c>
      <c r="L985" s="25"/>
      <c r="N985" s="25">
        <f>'Combined Retirement'!$C$18/12</f>
        <v>39153.069999999992</v>
      </c>
      <c r="O985" s="25">
        <f t="shared" si="785"/>
        <v>10889.636755601023</v>
      </c>
      <c r="P985" s="25">
        <f t="shared" si="786"/>
        <v>28263.43324439897</v>
      </c>
      <c r="Q985" s="25">
        <f t="array" aca="1" ref="Q985" ca="1">INDEX('Isaac 401k'!L:L,MATCH('Retirement Calculator'!A985,'Isaac 401k'!N:N,0),0)</f>
        <v>1985225.2052763964</v>
      </c>
      <c r="R985" s="25">
        <f t="array" aca="1" ref="R985" ca="1">INDEX('Lorri 401b'!L:L,MATCH('Retirement Calculator'!A985,'Lorri 401b'!N:N,0),0)</f>
        <v>-10616046.622787323</v>
      </c>
      <c r="S985" s="25">
        <f t="shared" ca="1" si="787"/>
        <v>-8630821.4175109267</v>
      </c>
    </row>
    <row r="986" spans="1:19" ht="15.75" customHeight="1" x14ac:dyDescent="0.3">
      <c r="A986" s="37">
        <v>80964</v>
      </c>
      <c r="B986" s="398">
        <f t="shared" ref="B986:C986" si="997">($A986-B$9)/365.25</f>
        <v>139.78918548939083</v>
      </c>
      <c r="C986" s="398">
        <f t="shared" si="997"/>
        <v>135.17864476386038</v>
      </c>
      <c r="E986" s="25">
        <f>IF(C986&gt;$B$7,0,'Combined Retirement'!$D$13/12)</f>
        <v>0</v>
      </c>
      <c r="F986" s="25">
        <f>IF(H986=0,'Combined Retirement'!$D$32,0)+'Combined Retirement'!$B$24</f>
        <v>2870.372285649099</v>
      </c>
      <c r="G986" s="25">
        <f>'Combined Retirement'!$C$24</f>
        <v>3254.2644699519233</v>
      </c>
      <c r="H986" s="25">
        <f>IF(B986&lt;62,0,'Combined Retirement'!$I$14)</f>
        <v>2345</v>
      </c>
      <c r="I986" s="25">
        <f>IF(C986&lt;62,0,'Combined Retirement'!$I$13)</f>
        <v>2420</v>
      </c>
      <c r="J986" s="25">
        <f t="shared" si="783"/>
        <v>7896.2379798201846</v>
      </c>
      <c r="K986" s="25">
        <f t="shared" si="784"/>
        <v>20367.195264578786</v>
      </c>
      <c r="L986" s="25"/>
      <c r="N986" s="25">
        <f>'Combined Retirement'!$C$18/12</f>
        <v>39153.069999999992</v>
      </c>
      <c r="O986" s="25">
        <f t="shared" si="785"/>
        <v>10889.636755601023</v>
      </c>
      <c r="P986" s="25">
        <f t="shared" si="786"/>
        <v>28263.43324439897</v>
      </c>
      <c r="Q986" s="25">
        <f t="array" aca="1" ref="Q986" ca="1">INDEX('Isaac 401k'!L:L,MATCH('Retirement Calculator'!A986,'Isaac 401k'!N:N,0),0)</f>
        <v>1985567.8379936451</v>
      </c>
      <c r="R986" s="25">
        <f t="array" aca="1" ref="R986" ca="1">INDEX('Lorri 401b'!L:L,MATCH('Retirement Calculator'!A986,'Lorri 401b'!N:N,0),0)</f>
        <v>-10680732.208960451</v>
      </c>
      <c r="S986" s="25">
        <f t="shared" ca="1" si="787"/>
        <v>-8695164.370966807</v>
      </c>
    </row>
    <row r="987" spans="1:19" ht="15.75" customHeight="1" x14ac:dyDescent="0.3">
      <c r="A987" s="37">
        <v>80994</v>
      </c>
      <c r="B987" s="398">
        <f t="shared" ref="B987:C987" si="998">($A987-B$9)/365.25</f>
        <v>139.8713210130048</v>
      </c>
      <c r="C987" s="398">
        <f t="shared" si="998"/>
        <v>135.26078028747432</v>
      </c>
      <c r="E987" s="25">
        <f>IF(C987&gt;$B$7,0,'Combined Retirement'!$D$13/12)</f>
        <v>0</v>
      </c>
      <c r="F987" s="25">
        <f>IF(H987=0,'Combined Retirement'!$D$32,0)+'Combined Retirement'!$B$24</f>
        <v>2870.372285649099</v>
      </c>
      <c r="G987" s="25">
        <f>'Combined Retirement'!$C$24</f>
        <v>3254.2644699519233</v>
      </c>
      <c r="H987" s="25">
        <f>IF(B987&lt;62,0,'Combined Retirement'!$I$14)</f>
        <v>2345</v>
      </c>
      <c r="I987" s="25">
        <f>IF(C987&lt;62,0,'Combined Retirement'!$I$13)</f>
        <v>2420</v>
      </c>
      <c r="J987" s="25">
        <f t="shared" si="783"/>
        <v>7896.2379798201846</v>
      </c>
      <c r="K987" s="25">
        <f t="shared" si="784"/>
        <v>20367.195264578786</v>
      </c>
      <c r="L987" s="25"/>
      <c r="N987" s="25">
        <f>'Combined Retirement'!$C$18/12</f>
        <v>39153.069999999992</v>
      </c>
      <c r="O987" s="25">
        <f t="shared" si="785"/>
        <v>10889.636755601023</v>
      </c>
      <c r="P987" s="25">
        <f t="shared" si="786"/>
        <v>28263.43324439897</v>
      </c>
      <c r="Q987" s="25">
        <f t="array" aca="1" ref="Q987" ca="1">INDEX('Isaac 401k'!L:L,MATCH('Retirement Calculator'!A987,'Isaac 401k'!N:N,0),0)</f>
        <v>1985911.8983472157</v>
      </c>
      <c r="R987" s="25">
        <f t="array" aca="1" ref="R987" ca="1">INDEX('Lorri 401b'!L:L,MATCH('Retirement Calculator'!A987,'Lorri 401b'!N:N,0),0)</f>
        <v>-10745687.318409299</v>
      </c>
      <c r="S987" s="25">
        <f t="shared" ca="1" si="787"/>
        <v>-8759775.4200620838</v>
      </c>
    </row>
    <row r="988" spans="1:19" ht="15.75" customHeight="1" x14ac:dyDescent="0.3">
      <c r="A988" s="37">
        <v>81025</v>
      </c>
      <c r="B988" s="398">
        <f t="shared" ref="B988:C988" si="999">($A988-B$9)/365.25</f>
        <v>139.95619438740587</v>
      </c>
      <c r="C988" s="398">
        <f t="shared" si="999"/>
        <v>135.34565366187542</v>
      </c>
      <c r="E988" s="25">
        <f>IF(C988&gt;$B$7,0,'Combined Retirement'!$D$13/12)</f>
        <v>0</v>
      </c>
      <c r="F988" s="25">
        <f>IF(H988=0,'Combined Retirement'!$D$32,0)+'Combined Retirement'!$B$24</f>
        <v>2870.372285649099</v>
      </c>
      <c r="G988" s="25">
        <f>'Combined Retirement'!$C$24</f>
        <v>3254.2644699519233</v>
      </c>
      <c r="H988" s="25">
        <f>IF(B988&lt;62,0,'Combined Retirement'!$I$14)</f>
        <v>2345</v>
      </c>
      <c r="I988" s="25">
        <f>IF(C988&lt;62,0,'Combined Retirement'!$I$13)</f>
        <v>2420</v>
      </c>
      <c r="J988" s="25">
        <f t="shared" si="783"/>
        <v>7896.2379798201846</v>
      </c>
      <c r="K988" s="25">
        <f t="shared" si="784"/>
        <v>20367.195264578786</v>
      </c>
      <c r="L988" s="25"/>
      <c r="N988" s="25">
        <f>'Combined Retirement'!$C$18/12</f>
        <v>39153.069999999992</v>
      </c>
      <c r="O988" s="25">
        <f t="shared" si="785"/>
        <v>10889.636755601023</v>
      </c>
      <c r="P988" s="25">
        <f t="shared" si="786"/>
        <v>28263.43324439897</v>
      </c>
      <c r="Q988" s="25">
        <f t="array" aca="1" ref="Q988" ca="1">INDEX('Isaac 401k'!L:L,MATCH('Retirement Calculator'!A988,'Isaac 401k'!N:N,0),0)</f>
        <v>1986257.3922855931</v>
      </c>
      <c r="R988" s="25">
        <f t="array" aca="1" ref="R988" ca="1">INDEX('Lorri 401b'!L:L,MATCH('Retirement Calculator'!A988,'Lorri 401b'!N:N,0),0)</f>
        <v>-10810913.074147519</v>
      </c>
      <c r="S988" s="25">
        <f t="shared" ca="1" si="787"/>
        <v>-8824655.6818619259</v>
      </c>
    </row>
    <row r="989" spans="1:19" ht="15.75" customHeight="1" x14ac:dyDescent="0.3">
      <c r="A989" s="37">
        <v>81055</v>
      </c>
      <c r="B989" s="398">
        <f t="shared" ref="B989:C989" si="1000">($A989-B$9)/365.25</f>
        <v>140.03832991101984</v>
      </c>
      <c r="C989" s="398">
        <f t="shared" si="1000"/>
        <v>135.42778918548939</v>
      </c>
      <c r="E989" s="25">
        <f>IF(C989&gt;$B$7,0,'Combined Retirement'!$D$13/12)</f>
        <v>0</v>
      </c>
      <c r="F989" s="25">
        <f>IF(H989=0,'Combined Retirement'!$D$32,0)+'Combined Retirement'!$B$24</f>
        <v>2870.372285649099</v>
      </c>
      <c r="G989" s="25">
        <f>'Combined Retirement'!$C$24</f>
        <v>3254.2644699519233</v>
      </c>
      <c r="H989" s="25">
        <f>IF(B989&lt;62,0,'Combined Retirement'!$I$14)</f>
        <v>2345</v>
      </c>
      <c r="I989" s="25">
        <f>IF(C989&lt;62,0,'Combined Retirement'!$I$13)</f>
        <v>2420</v>
      </c>
      <c r="J989" s="25">
        <f t="shared" si="783"/>
        <v>7896.2379798201846</v>
      </c>
      <c r="K989" s="25">
        <f t="shared" si="784"/>
        <v>20367.195264578786</v>
      </c>
      <c r="L989" s="25"/>
      <c r="N989" s="25">
        <f>'Combined Retirement'!$C$18/12</f>
        <v>39153.069999999992</v>
      </c>
      <c r="O989" s="25">
        <f t="shared" si="785"/>
        <v>10889.636755601023</v>
      </c>
      <c r="P989" s="25">
        <f t="shared" si="786"/>
        <v>28263.43324439897</v>
      </c>
      <c r="Q989" s="25">
        <f t="array" aca="1" ref="Q989" ca="1">INDEX('Isaac 401k'!L:L,MATCH('Retirement Calculator'!A989,'Isaac 401k'!N:N,0),0)</f>
        <v>1986604.3257820469</v>
      </c>
      <c r="R989" s="25">
        <f t="array" aca="1" ref="R989" ca="1">INDEX('Lorri 401b'!L:L,MATCH('Retirement Calculator'!A989,'Lorri 401b'!N:N,0),0)</f>
        <v>-10876410.60386798</v>
      </c>
      <c r="S989" s="25">
        <f t="shared" ca="1" si="787"/>
        <v>-8889806.2780859321</v>
      </c>
    </row>
    <row r="990" spans="1:19" ht="15.75" customHeight="1" x14ac:dyDescent="0.3">
      <c r="A990" s="37">
        <v>81086</v>
      </c>
      <c r="B990" s="398">
        <f t="shared" ref="B990:C990" si="1001">($A990-B$9)/365.25</f>
        <v>140.12320328542094</v>
      </c>
      <c r="C990" s="398">
        <f t="shared" si="1001"/>
        <v>135.51266255989049</v>
      </c>
      <c r="E990" s="25">
        <f>IF(C990&gt;$B$7,0,'Combined Retirement'!$D$13/12)</f>
        <v>0</v>
      </c>
      <c r="F990" s="25">
        <f>IF(H990=0,'Combined Retirement'!$D$32,0)+'Combined Retirement'!$B$24</f>
        <v>2870.372285649099</v>
      </c>
      <c r="G990" s="25">
        <f>'Combined Retirement'!$C$24</f>
        <v>3254.2644699519233</v>
      </c>
      <c r="H990" s="25">
        <f>IF(B990&lt;62,0,'Combined Retirement'!$I$14)</f>
        <v>2345</v>
      </c>
      <c r="I990" s="25">
        <f>IF(C990&lt;62,0,'Combined Retirement'!$I$13)</f>
        <v>2420</v>
      </c>
      <c r="J990" s="25">
        <f t="shared" si="783"/>
        <v>7896.2379798201846</v>
      </c>
      <c r="K990" s="25">
        <f t="shared" si="784"/>
        <v>20367.195264578786</v>
      </c>
      <c r="L990" s="25"/>
      <c r="N990" s="25">
        <f>'Combined Retirement'!$C$18/12</f>
        <v>39153.069999999992</v>
      </c>
      <c r="O990" s="25">
        <f t="shared" si="785"/>
        <v>10889.636755601023</v>
      </c>
      <c r="P990" s="25">
        <f t="shared" si="786"/>
        <v>28263.43324439897</v>
      </c>
      <c r="Q990" s="25">
        <f t="array" aca="1" ref="Q990" ca="1">INDEX('Isaac 401k'!L:L,MATCH('Retirement Calculator'!A990,'Isaac 401k'!N:N,0),0)</f>
        <v>1986952.704834736</v>
      </c>
      <c r="R990" s="25">
        <f t="array" aca="1" ref="R990" ca="1">INDEX('Lorri 401b'!L:L,MATCH('Retirement Calculator'!A990,'Lorri 401b'!N:N,0),0)</f>
        <v>-10942181.039962277</v>
      </c>
      <c r="S990" s="25">
        <f t="shared" ca="1" si="787"/>
        <v>-8955228.3351275399</v>
      </c>
    </row>
    <row r="991" spans="1:19" ht="15.75" customHeight="1" x14ac:dyDescent="0.3">
      <c r="A991" s="37">
        <v>81117</v>
      </c>
      <c r="B991" s="398">
        <f t="shared" ref="B991:C991" si="1002">($A991-B$9)/365.25</f>
        <v>140.20807665982204</v>
      </c>
      <c r="C991" s="398">
        <f t="shared" si="1002"/>
        <v>135.59753593429159</v>
      </c>
      <c r="E991" s="25">
        <f>IF(C991&gt;$B$7,0,'Combined Retirement'!$D$13/12)</f>
        <v>0</v>
      </c>
      <c r="F991" s="25">
        <f>IF(H991=0,'Combined Retirement'!$D$32,0)+'Combined Retirement'!$B$24</f>
        <v>2870.372285649099</v>
      </c>
      <c r="G991" s="25">
        <f>'Combined Retirement'!$C$24</f>
        <v>3254.2644699519233</v>
      </c>
      <c r="H991" s="25">
        <f>IF(B991&lt;62,0,'Combined Retirement'!$I$14)</f>
        <v>2345</v>
      </c>
      <c r="I991" s="25">
        <f>IF(C991&lt;62,0,'Combined Retirement'!$I$13)</f>
        <v>2420</v>
      </c>
      <c r="J991" s="25">
        <f t="shared" si="783"/>
        <v>7896.2379798201846</v>
      </c>
      <c r="K991" s="25">
        <f t="shared" si="784"/>
        <v>20367.195264578786</v>
      </c>
      <c r="L991" s="25"/>
      <c r="N991" s="25">
        <f>'Combined Retirement'!$C$18/12</f>
        <v>39153.069999999992</v>
      </c>
      <c r="O991" s="25">
        <f t="shared" si="785"/>
        <v>10889.636755601023</v>
      </c>
      <c r="P991" s="25">
        <f t="shared" si="786"/>
        <v>28263.43324439897</v>
      </c>
      <c r="Q991" s="25">
        <f t="array" aca="1" ref="Q991" ca="1">INDEX('Isaac 401k'!L:L,MATCH('Retirement Calculator'!A991,'Isaac 401k'!N:N,0),0)</f>
        <v>1987302.5354668112</v>
      </c>
      <c r="R991" s="25">
        <f t="array" aca="1" ref="R991" ca="1">INDEX('Lorri 401b'!L:L,MATCH('Retirement Calculator'!A991,'Lorri 401b'!N:N,0),0)</f>
        <v>-11008225.519540301</v>
      </c>
      <c r="S991" s="25">
        <f t="shared" ca="1" si="787"/>
        <v>-9020922.9840734899</v>
      </c>
    </row>
    <row r="992" spans="1:19" ht="15.75" customHeight="1" x14ac:dyDescent="0.3">
      <c r="A992" s="37">
        <v>81145</v>
      </c>
      <c r="B992" s="398">
        <f t="shared" ref="B992:C992" si="1003">($A992-B$9)/365.25</f>
        <v>140.28473648186173</v>
      </c>
      <c r="C992" s="398">
        <f t="shared" si="1003"/>
        <v>135.67419575633127</v>
      </c>
      <c r="E992" s="25">
        <f>IF(C992&gt;$B$7,0,'Combined Retirement'!$D$13/12)</f>
        <v>0</v>
      </c>
      <c r="F992" s="25">
        <f>IF(H992=0,'Combined Retirement'!$D$32,0)+'Combined Retirement'!$B$24</f>
        <v>2870.372285649099</v>
      </c>
      <c r="G992" s="25">
        <f>'Combined Retirement'!$C$24</f>
        <v>3254.2644699519233</v>
      </c>
      <c r="H992" s="25">
        <f>IF(B992&lt;62,0,'Combined Retirement'!$I$14)</f>
        <v>2345</v>
      </c>
      <c r="I992" s="25">
        <f>IF(C992&lt;62,0,'Combined Retirement'!$I$13)</f>
        <v>2420</v>
      </c>
      <c r="J992" s="25">
        <f t="shared" si="783"/>
        <v>7896.2379798201846</v>
      </c>
      <c r="K992" s="25">
        <f t="shared" si="784"/>
        <v>20367.195264578786</v>
      </c>
      <c r="L992" s="25"/>
      <c r="N992" s="25">
        <f>'Combined Retirement'!$C$18/12</f>
        <v>39153.069999999992</v>
      </c>
      <c r="O992" s="25">
        <f t="shared" si="785"/>
        <v>10889.636755601023</v>
      </c>
      <c r="P992" s="25">
        <f t="shared" si="786"/>
        <v>28263.43324439897</v>
      </c>
      <c r="Q992" s="25">
        <f t="array" aca="1" ref="Q992" ca="1">INDEX('Isaac 401k'!L:L,MATCH('Retirement Calculator'!A992,'Isaac 401k'!N:N,0),0)</f>
        <v>1987653.8237265199</v>
      </c>
      <c r="R992" s="25">
        <f t="array" aca="1" ref="R992" ca="1">INDEX('Lorri 401b'!L:L,MATCH('Retirement Calculator'!A992,'Lorri 401b'!N:N,0),0)</f>
        <v>-11074545.184449898</v>
      </c>
      <c r="S992" s="25">
        <f t="shared" ca="1" si="787"/>
        <v>-9086891.3607233781</v>
      </c>
    </row>
    <row r="993" spans="1:19" ht="15.75" customHeight="1" x14ac:dyDescent="0.3">
      <c r="A993" s="37">
        <v>81176</v>
      </c>
      <c r="B993" s="398">
        <f t="shared" ref="B993:C993" si="1004">($A993-B$9)/365.25</f>
        <v>140.36960985626283</v>
      </c>
      <c r="C993" s="398">
        <f t="shared" si="1004"/>
        <v>135.75906913073237</v>
      </c>
      <c r="E993" s="25">
        <f>IF(C993&gt;$B$7,0,'Combined Retirement'!$D$13/12)</f>
        <v>0</v>
      </c>
      <c r="F993" s="25">
        <f>IF(H993=0,'Combined Retirement'!$D$32,0)+'Combined Retirement'!$B$24</f>
        <v>2870.372285649099</v>
      </c>
      <c r="G993" s="25">
        <f>'Combined Retirement'!$C$24</f>
        <v>3254.2644699519233</v>
      </c>
      <c r="H993" s="25">
        <f>IF(B993&lt;62,0,'Combined Retirement'!$I$14)</f>
        <v>2345</v>
      </c>
      <c r="I993" s="25">
        <f>IF(C993&lt;62,0,'Combined Retirement'!$I$13)</f>
        <v>2420</v>
      </c>
      <c r="J993" s="25">
        <f t="shared" si="783"/>
        <v>7896.2379798201846</v>
      </c>
      <c r="K993" s="25">
        <f t="shared" si="784"/>
        <v>20367.195264578786</v>
      </c>
      <c r="L993" s="25"/>
      <c r="N993" s="25">
        <f>'Combined Retirement'!$C$18/12</f>
        <v>39153.069999999992</v>
      </c>
      <c r="O993" s="25">
        <f t="shared" si="785"/>
        <v>10889.636755601023</v>
      </c>
      <c r="P993" s="25">
        <f t="shared" si="786"/>
        <v>28263.43324439897</v>
      </c>
      <c r="Q993" s="25">
        <f t="array" aca="1" ref="Q993" ca="1">INDEX('Isaac 401k'!L:L,MATCH('Retirement Calculator'!A993,'Isaac 401k'!N:N,0),0)</f>
        <v>1988006.5756873109</v>
      </c>
      <c r="R993" s="25">
        <f t="array" aca="1" ref="R993" ca="1">INDEX('Lorri 401b'!L:L,MATCH('Retirement Calculator'!A993,'Lorri 401b'!N:N,0),0)</f>
        <v>-11141141.181296621</v>
      </c>
      <c r="S993" s="25">
        <f t="shared" ca="1" si="787"/>
        <v>-9153134.6056093089</v>
      </c>
    </row>
    <row r="994" spans="1:19" ht="15.75" customHeight="1" x14ac:dyDescent="0.3">
      <c r="A994" s="37">
        <v>81206</v>
      </c>
      <c r="B994" s="398">
        <f t="shared" ref="B994:C994" si="1005">($A994-B$9)/365.25</f>
        <v>140.4517453798768</v>
      </c>
      <c r="C994" s="398">
        <f t="shared" si="1005"/>
        <v>135.84120465434634</v>
      </c>
      <c r="E994" s="25">
        <f>IF(C994&gt;$B$7,0,'Combined Retirement'!$D$13/12)</f>
        <v>0</v>
      </c>
      <c r="F994" s="25">
        <f>IF(H994=0,'Combined Retirement'!$D$32,0)+'Combined Retirement'!$B$24</f>
        <v>2870.372285649099</v>
      </c>
      <c r="G994" s="25">
        <f>'Combined Retirement'!$C$24</f>
        <v>3254.2644699519233</v>
      </c>
      <c r="H994" s="25">
        <f>IF(B994&lt;62,0,'Combined Retirement'!$I$14)</f>
        <v>2345</v>
      </c>
      <c r="I994" s="25">
        <f>IF(C994&lt;62,0,'Combined Retirement'!$I$13)</f>
        <v>2420</v>
      </c>
      <c r="J994" s="25">
        <f t="shared" si="783"/>
        <v>7896.2379798201846</v>
      </c>
      <c r="K994" s="25">
        <f t="shared" si="784"/>
        <v>20367.195264578786</v>
      </c>
      <c r="L994" s="25"/>
      <c r="N994" s="25">
        <f>'Combined Retirement'!$C$18/12</f>
        <v>39153.069999999992</v>
      </c>
      <c r="O994" s="25">
        <f t="shared" si="785"/>
        <v>10889.636755601023</v>
      </c>
      <c r="P994" s="25">
        <f t="shared" si="786"/>
        <v>28263.43324439897</v>
      </c>
      <c r="Q994" s="25">
        <f t="array" aca="1" ref="Q994" ca="1">INDEX('Isaac 401k'!L:L,MATCH('Retirement Calculator'!A994,'Isaac 401k'!N:N,0),0)</f>
        <v>1988360.7974479385</v>
      </c>
      <c r="R994" s="25">
        <f t="array" aca="1" ref="R994" ca="1">INDEX('Lorri 401b'!L:L,MATCH('Retirement Calculator'!A994,'Lorri 401b'!N:N,0),0)</f>
        <v>-11208014.661463536</v>
      </c>
      <c r="S994" s="25">
        <f t="shared" ca="1" si="787"/>
        <v>-9219653.8640155979</v>
      </c>
    </row>
    <row r="995" spans="1:19" ht="15.75" customHeight="1" x14ac:dyDescent="0.3">
      <c r="A995" s="37">
        <v>81237</v>
      </c>
      <c r="B995" s="398">
        <f t="shared" ref="B995:C995" si="1006">($A995-B$9)/365.25</f>
        <v>140.5366187542779</v>
      </c>
      <c r="C995" s="398">
        <f t="shared" si="1006"/>
        <v>135.92607802874744</v>
      </c>
      <c r="E995" s="25">
        <f>IF(C995&gt;$B$7,0,'Combined Retirement'!$D$13/12)</f>
        <v>0</v>
      </c>
      <c r="F995" s="25">
        <f>IF(H995=0,'Combined Retirement'!$D$32,0)+'Combined Retirement'!$B$24</f>
        <v>2870.372285649099</v>
      </c>
      <c r="G995" s="25">
        <f>'Combined Retirement'!$C$24</f>
        <v>3254.2644699519233</v>
      </c>
      <c r="H995" s="25">
        <f>IF(B995&lt;62,0,'Combined Retirement'!$I$14)</f>
        <v>2345</v>
      </c>
      <c r="I995" s="25">
        <f>IF(C995&lt;62,0,'Combined Retirement'!$I$13)</f>
        <v>2420</v>
      </c>
      <c r="J995" s="25">
        <f t="shared" si="783"/>
        <v>7896.2379798201846</v>
      </c>
      <c r="K995" s="25">
        <f t="shared" si="784"/>
        <v>20367.195264578786</v>
      </c>
      <c r="L995" s="25"/>
      <c r="N995" s="25">
        <f>'Combined Retirement'!$C$18/12</f>
        <v>39153.069999999992</v>
      </c>
      <c r="O995" s="25">
        <f t="shared" si="785"/>
        <v>10889.636755601023</v>
      </c>
      <c r="P995" s="25">
        <f t="shared" si="786"/>
        <v>28263.43324439897</v>
      </c>
      <c r="Q995" s="25">
        <f t="array" aca="1" ref="Q995" ca="1">INDEX('Isaac 401k'!L:L,MATCH('Retirement Calculator'!A995,'Isaac 401k'!N:N,0),0)</f>
        <v>1988716.4951325688</v>
      </c>
      <c r="R995" s="25">
        <f t="array" aca="1" ref="R995" ca="1">INDEX('Lorri 401b'!L:L,MATCH('Retirement Calculator'!A995,'Lorri 401b'!N:N,0),0)</f>
        <v>-11275166.781131148</v>
      </c>
      <c r="S995" s="25">
        <f t="shared" ca="1" si="787"/>
        <v>-9286450.2859985791</v>
      </c>
    </row>
    <row r="996" spans="1:19" ht="15.75" customHeight="1" x14ac:dyDescent="0.3">
      <c r="A996" s="37">
        <v>81267</v>
      </c>
      <c r="B996" s="398">
        <f t="shared" ref="B996:C996" si="1007">($A996-B$9)/365.25</f>
        <v>140.61875427789187</v>
      </c>
      <c r="C996" s="398">
        <f t="shared" si="1007"/>
        <v>136.00821355236138</v>
      </c>
      <c r="E996" s="25">
        <f>IF(C996&gt;$B$7,0,'Combined Retirement'!$D$13/12)</f>
        <v>0</v>
      </c>
      <c r="F996" s="25">
        <f>IF(H996=0,'Combined Retirement'!$D$32,0)+'Combined Retirement'!$B$24</f>
        <v>2870.372285649099</v>
      </c>
      <c r="G996" s="25">
        <f>'Combined Retirement'!$C$24</f>
        <v>3254.2644699519233</v>
      </c>
      <c r="H996" s="25">
        <f>IF(B996&lt;62,0,'Combined Retirement'!$I$14)</f>
        <v>2345</v>
      </c>
      <c r="I996" s="25">
        <f>IF(C996&lt;62,0,'Combined Retirement'!$I$13)</f>
        <v>2420</v>
      </c>
      <c r="J996" s="25">
        <f t="shared" si="783"/>
        <v>7896.2379798201846</v>
      </c>
      <c r="K996" s="25">
        <f t="shared" si="784"/>
        <v>20367.195264578786</v>
      </c>
      <c r="L996" s="25"/>
      <c r="N996" s="25">
        <f>'Combined Retirement'!$C$18/12</f>
        <v>39153.069999999992</v>
      </c>
      <c r="O996" s="25">
        <f t="shared" si="785"/>
        <v>10889.636755601023</v>
      </c>
      <c r="P996" s="25">
        <f t="shared" si="786"/>
        <v>28263.43324439897</v>
      </c>
      <c r="Q996" s="25">
        <f t="array" aca="1" ref="Q996" ca="1">INDEX('Isaac 401k'!L:L,MATCH('Retirement Calculator'!A996,'Isaac 401k'!N:N,0),0)</f>
        <v>1989073.6748908849</v>
      </c>
      <c r="R996" s="25">
        <f t="array" aca="1" ref="R996" ca="1">INDEX('Lorri 401b'!L:L,MATCH('Retirement Calculator'!A996,'Lorri 401b'!N:N,0),0)</f>
        <v>-11342598.701297374</v>
      </c>
      <c r="S996" s="25">
        <f t="shared" ca="1" si="787"/>
        <v>-9353525.0264064893</v>
      </c>
    </row>
    <row r="997" spans="1:19" ht="15.75" customHeight="1" x14ac:dyDescent="0.3">
      <c r="A997" s="37">
        <v>81298</v>
      </c>
      <c r="B997" s="398">
        <f t="shared" ref="B997:C997" si="1008">($A997-B$9)/365.25</f>
        <v>140.70362765229294</v>
      </c>
      <c r="C997" s="398">
        <f t="shared" si="1008"/>
        <v>136.09308692676248</v>
      </c>
      <c r="E997" s="25">
        <f>IF(C997&gt;$B$7,0,'Combined Retirement'!$D$13/12)</f>
        <v>0</v>
      </c>
      <c r="F997" s="25">
        <f>IF(H997=0,'Combined Retirement'!$D$32,0)+'Combined Retirement'!$B$24</f>
        <v>2870.372285649099</v>
      </c>
      <c r="G997" s="25">
        <f>'Combined Retirement'!$C$24</f>
        <v>3254.2644699519233</v>
      </c>
      <c r="H997" s="25">
        <f>IF(B997&lt;62,0,'Combined Retirement'!$I$14)</f>
        <v>2345</v>
      </c>
      <c r="I997" s="25">
        <f>IF(C997&lt;62,0,'Combined Retirement'!$I$13)</f>
        <v>2420</v>
      </c>
      <c r="J997" s="25">
        <f t="shared" si="783"/>
        <v>7896.2379798201846</v>
      </c>
      <c r="K997" s="25">
        <f t="shared" si="784"/>
        <v>20367.195264578786</v>
      </c>
      <c r="L997" s="25"/>
      <c r="N997" s="25">
        <f>'Combined Retirement'!$C$18/12</f>
        <v>39153.069999999992</v>
      </c>
      <c r="O997" s="25">
        <f t="shared" si="785"/>
        <v>10889.636755601023</v>
      </c>
      <c r="P997" s="25">
        <f t="shared" si="786"/>
        <v>28263.43324439897</v>
      </c>
      <c r="Q997" s="25">
        <f t="array" aca="1" ref="Q997" ca="1">INDEX('Isaac 401k'!L:L,MATCH('Retirement Calculator'!A997,'Isaac 401k'!N:N,0),0)</f>
        <v>1989432.3428981942</v>
      </c>
      <c r="R997" s="25">
        <f t="array" aca="1" ref="R997" ca="1">INDEX('Lorri 401b'!L:L,MATCH('Retirement Calculator'!A997,'Lorri 401b'!N:N,0),0)</f>
        <v>-11410311.587797627</v>
      </c>
      <c r="S997" s="25">
        <f t="shared" ca="1" si="787"/>
        <v>-9420879.2448994331</v>
      </c>
    </row>
    <row r="998" spans="1:19" ht="15.75" customHeight="1" x14ac:dyDescent="0.3">
      <c r="A998" s="37">
        <v>81329</v>
      </c>
      <c r="B998" s="398">
        <f t="shared" ref="B998:C998" si="1009">($A998-B$9)/365.25</f>
        <v>140.78850102669404</v>
      </c>
      <c r="C998" s="398">
        <f t="shared" si="1009"/>
        <v>136.17796030116358</v>
      </c>
      <c r="E998" s="25">
        <f>IF(C998&gt;$B$7,0,'Combined Retirement'!$D$13/12)</f>
        <v>0</v>
      </c>
      <c r="F998" s="25">
        <f>IF(H998=0,'Combined Retirement'!$D$32,0)+'Combined Retirement'!$B$24</f>
        <v>2870.372285649099</v>
      </c>
      <c r="G998" s="25">
        <f>'Combined Retirement'!$C$24</f>
        <v>3254.2644699519233</v>
      </c>
      <c r="H998" s="25">
        <f>IF(B998&lt;62,0,'Combined Retirement'!$I$14)</f>
        <v>2345</v>
      </c>
      <c r="I998" s="25">
        <f>IF(C998&lt;62,0,'Combined Retirement'!$I$13)</f>
        <v>2420</v>
      </c>
      <c r="J998" s="25">
        <f t="shared" si="783"/>
        <v>7896.2379798201846</v>
      </c>
      <c r="K998" s="25">
        <f t="shared" si="784"/>
        <v>20367.195264578786</v>
      </c>
      <c r="L998" s="25"/>
      <c r="N998" s="25">
        <f>'Combined Retirement'!$C$18/12</f>
        <v>39153.069999999992</v>
      </c>
      <c r="O998" s="25">
        <f t="shared" si="785"/>
        <v>10889.636755601023</v>
      </c>
      <c r="P998" s="25">
        <f t="shared" si="786"/>
        <v>28263.43324439897</v>
      </c>
      <c r="Q998" s="25">
        <f t="array" aca="1" ref="Q998" ca="1">INDEX('Isaac 401k'!L:L,MATCH('Retirement Calculator'!A998,'Isaac 401k'!N:N,0),0)</f>
        <v>1989792.5053555339</v>
      </c>
      <c r="R998" s="25">
        <f t="array" aca="1" ref="R998" ca="1">INDEX('Lorri 401b'!L:L,MATCH('Retirement Calculator'!A998,'Lorri 401b'!N:N,0),0)</f>
        <v>-11478306.611324964</v>
      </c>
      <c r="S998" s="25">
        <f t="shared" ca="1" si="787"/>
        <v>-9488514.1059694309</v>
      </c>
    </row>
    <row r="999" spans="1:19" ht="15.75" customHeight="1" x14ac:dyDescent="0.3">
      <c r="A999" s="37">
        <v>81359</v>
      </c>
      <c r="B999" s="398">
        <f t="shared" ref="B999:C999" si="1010">($A999-B$9)/365.25</f>
        <v>140.87063655030801</v>
      </c>
      <c r="C999" s="398">
        <f t="shared" si="1010"/>
        <v>136.26009582477755</v>
      </c>
      <c r="E999" s="25">
        <f>IF(C999&gt;$B$7,0,'Combined Retirement'!$D$13/12)</f>
        <v>0</v>
      </c>
      <c r="F999" s="25">
        <f>IF(H999=0,'Combined Retirement'!$D$32,0)+'Combined Retirement'!$B$24</f>
        <v>2870.372285649099</v>
      </c>
      <c r="G999" s="25">
        <f>'Combined Retirement'!$C$24</f>
        <v>3254.2644699519233</v>
      </c>
      <c r="H999" s="25">
        <f>IF(B999&lt;62,0,'Combined Retirement'!$I$14)</f>
        <v>2345</v>
      </c>
      <c r="I999" s="25">
        <f>IF(C999&lt;62,0,'Combined Retirement'!$I$13)</f>
        <v>2420</v>
      </c>
      <c r="J999" s="25">
        <f t="shared" si="783"/>
        <v>7896.2379798201846</v>
      </c>
      <c r="K999" s="25">
        <f t="shared" si="784"/>
        <v>20367.195264578786</v>
      </c>
      <c r="L999" s="25"/>
      <c r="N999" s="25">
        <f>'Combined Retirement'!$C$18/12</f>
        <v>39153.069999999992</v>
      </c>
      <c r="O999" s="25">
        <f t="shared" si="785"/>
        <v>10889.636755601023</v>
      </c>
      <c r="P999" s="25">
        <f t="shared" si="786"/>
        <v>28263.43324439897</v>
      </c>
      <c r="Q999" s="25">
        <f t="array" aca="1" ref="Q999" ca="1">INDEX('Isaac 401k'!L:L,MATCH('Retirement Calculator'!A999,'Isaac 401k'!N:N,0),0)</f>
        <v>1990154.1684897791</v>
      </c>
      <c r="R999" s="25">
        <f t="array" aca="1" ref="R999" ca="1">INDEX('Lorri 401b'!L:L,MATCH('Retirement Calculator'!A999,'Lorri 401b'!N:N,0),0)</f>
        <v>-11546584.947450332</v>
      </c>
      <c r="S999" s="25">
        <f t="shared" ca="1" si="787"/>
        <v>-9556430.7789605539</v>
      </c>
    </row>
    <row r="1000" spans="1:19" ht="15.75" customHeight="1" x14ac:dyDescent="0.3">
      <c r="A1000" s="37">
        <v>81390</v>
      </c>
      <c r="B1000" s="398">
        <f t="shared" ref="B1000:C1000" si="1011">($A1000-B$9)/365.25</f>
        <v>140.95550992470911</v>
      </c>
      <c r="C1000" s="398">
        <f t="shared" si="1011"/>
        <v>136.34496919917865</v>
      </c>
      <c r="E1000" s="25">
        <f>IF(C1000&gt;$B$7,0,'Combined Retirement'!$D$13/12)</f>
        <v>0</v>
      </c>
      <c r="F1000" s="25">
        <f>IF(H1000=0,'Combined Retirement'!$D$32,0)+'Combined Retirement'!$B$24</f>
        <v>2870.372285649099</v>
      </c>
      <c r="G1000" s="25">
        <f>'Combined Retirement'!$C$24</f>
        <v>3254.2644699519233</v>
      </c>
      <c r="H1000" s="25">
        <f>IF(B1000&lt;62,0,'Combined Retirement'!$I$14)</f>
        <v>2345</v>
      </c>
      <c r="I1000" s="25">
        <f>IF(C1000&lt;62,0,'Combined Retirement'!$I$13)</f>
        <v>2420</v>
      </c>
      <c r="J1000" s="25">
        <f t="shared" si="783"/>
        <v>7896.2379798201846</v>
      </c>
      <c r="K1000" s="25">
        <f t="shared" si="784"/>
        <v>20367.195264578786</v>
      </c>
      <c r="L1000" s="25"/>
      <c r="N1000" s="25">
        <f>'Combined Retirement'!$C$18/12</f>
        <v>39153.069999999992</v>
      </c>
      <c r="O1000" s="25">
        <f t="shared" si="785"/>
        <v>10889.636755601023</v>
      </c>
      <c r="P1000" s="25">
        <f t="shared" si="786"/>
        <v>28263.43324439897</v>
      </c>
      <c r="Q1000" s="25">
        <f t="array" aca="1" ref="Q1000" ca="1">INDEX('Isaac 401k'!L:L,MATCH('Retirement Calculator'!A1000,'Isaac 401k'!N:N,0),0)</f>
        <v>1990517.3385537504</v>
      </c>
      <c r="R1000" s="25">
        <f t="array" aca="1" ref="R1000" ca="1">INDEX('Lorri 401b'!L:L,MATCH('Retirement Calculator'!A1000,'Lorri 401b'!N:N,0),0)</f>
        <v>-11615147.776642889</v>
      </c>
      <c r="S1000" s="25">
        <f t="shared" ca="1" si="787"/>
        <v>-9624630.4380891379</v>
      </c>
    </row>
    <row r="1001" spans="1:19" ht="15.75" customHeight="1" x14ac:dyDescent="0.3">
      <c r="A1001" s="37">
        <v>81420</v>
      </c>
      <c r="B1001" s="398">
        <f t="shared" ref="B1001:C1001" si="1012">($A1001-B$9)/365.25</f>
        <v>141.03764544832308</v>
      </c>
      <c r="C1001" s="398">
        <f t="shared" si="1012"/>
        <v>136.42710472279262</v>
      </c>
      <c r="E1001" s="25">
        <f>IF(C1001&gt;$B$7,0,'Combined Retirement'!$D$13/12)</f>
        <v>0</v>
      </c>
      <c r="F1001" s="25">
        <f>IF(H1001=0,'Combined Retirement'!$D$32,0)+'Combined Retirement'!$B$24</f>
        <v>2870.372285649099</v>
      </c>
      <c r="G1001" s="25">
        <f>'Combined Retirement'!$C$24</f>
        <v>3254.2644699519233</v>
      </c>
      <c r="H1001" s="25">
        <f>IF(B1001&lt;62,0,'Combined Retirement'!$I$14)</f>
        <v>2345</v>
      </c>
      <c r="I1001" s="25">
        <f>IF(C1001&lt;62,0,'Combined Retirement'!$I$13)</f>
        <v>2420</v>
      </c>
      <c r="J1001" s="25">
        <f t="shared" si="783"/>
        <v>7896.2379798201846</v>
      </c>
      <c r="K1001" s="25">
        <f t="shared" si="784"/>
        <v>20367.195264578786</v>
      </c>
      <c r="L1001" s="25"/>
      <c r="N1001" s="25">
        <f>'Combined Retirement'!$C$18/12</f>
        <v>39153.069999999992</v>
      </c>
      <c r="O1001" s="25">
        <f t="shared" si="785"/>
        <v>10889.636755601023</v>
      </c>
      <c r="P1001" s="25">
        <f t="shared" si="786"/>
        <v>28263.43324439897</v>
      </c>
      <c r="Q1001" s="25">
        <f t="array" aca="1" ref="Q1001" ca="1">INDEX('Isaac 401k'!L:L,MATCH('Retirement Calculator'!A1001,'Isaac 401k'!N:N,0),0)</f>
        <v>1990882.0218263215</v>
      </c>
      <c r="R1001" s="25">
        <f t="array" aca="1" ref="R1001" ca="1">INDEX('Lorri 401b'!L:L,MATCH('Retirement Calculator'!A1001,'Lorri 401b'!N:N,0),0)</f>
        <v>-11683996.284290414</v>
      </c>
      <c r="S1001" s="25">
        <f t="shared" ca="1" si="787"/>
        <v>-9693114.262464093</v>
      </c>
    </row>
    <row r="1002" spans="1:19" ht="15.75" customHeight="1" x14ac:dyDescent="0.3">
      <c r="A1002" s="37">
        <v>81451</v>
      </c>
      <c r="B1002" s="398">
        <f t="shared" ref="B1002:C1002" si="1013">($A1002-B$9)/365.25</f>
        <v>141.12251882272417</v>
      </c>
      <c r="C1002" s="398">
        <f t="shared" si="1013"/>
        <v>136.51197809719369</v>
      </c>
      <c r="E1002" s="25">
        <f>IF(C1002&gt;$B$7,0,'Combined Retirement'!$D$13/12)</f>
        <v>0</v>
      </c>
      <c r="F1002" s="25">
        <f>IF(H1002=0,'Combined Retirement'!$D$32,0)+'Combined Retirement'!$B$24</f>
        <v>2870.372285649099</v>
      </c>
      <c r="G1002" s="25">
        <f>'Combined Retirement'!$C$24</f>
        <v>3254.2644699519233</v>
      </c>
      <c r="H1002" s="25">
        <f>IF(B1002&lt;62,0,'Combined Retirement'!$I$14)</f>
        <v>2345</v>
      </c>
      <c r="I1002" s="25">
        <f>IF(C1002&lt;62,0,'Combined Retirement'!$I$13)</f>
        <v>2420</v>
      </c>
      <c r="J1002" s="25">
        <f t="shared" si="783"/>
        <v>7896.2379798201846</v>
      </c>
      <c r="K1002" s="25">
        <f t="shared" si="784"/>
        <v>20367.195264578786</v>
      </c>
      <c r="L1002" s="25"/>
      <c r="N1002" s="25">
        <f>'Combined Retirement'!$C$18/12</f>
        <v>39153.069999999992</v>
      </c>
      <c r="O1002" s="25">
        <f t="shared" si="785"/>
        <v>10889.636755601023</v>
      </c>
      <c r="P1002" s="25">
        <f t="shared" si="786"/>
        <v>28263.43324439897</v>
      </c>
      <c r="Q1002" s="25">
        <f t="array" aca="1" ref="Q1002" ca="1">INDEX('Isaac 401k'!L:L,MATCH('Retirement Calculator'!A1002,'Isaac 401k'!N:N,0),0)</f>
        <v>1991248.2246125285</v>
      </c>
      <c r="R1002" s="25">
        <f t="array" aca="1" ref="R1002" ca="1">INDEX('Lorri 401b'!L:L,MATCH('Retirement Calculator'!A1002,'Lorri 401b'!N:N,0),0)</f>
        <v>-11753131.660719804</v>
      </c>
      <c r="S1002" s="25">
        <f t="shared" ca="1" si="787"/>
        <v>-9761883.436107276</v>
      </c>
    </row>
    <row r="1003" spans="1:19" ht="15.75" customHeight="1" x14ac:dyDescent="0.3">
      <c r="A1003" s="37">
        <v>81482</v>
      </c>
      <c r="B1003" s="398">
        <f t="shared" ref="B1003:C1003" si="1014">($A1003-B$9)/365.25</f>
        <v>141.20739219712524</v>
      </c>
      <c r="C1003" s="398">
        <f t="shared" si="1014"/>
        <v>136.59685147159479</v>
      </c>
      <c r="E1003" s="25">
        <f>IF(C1003&gt;$B$7,0,'Combined Retirement'!$D$13/12)</f>
        <v>0</v>
      </c>
      <c r="F1003" s="25">
        <f>IF(H1003=0,'Combined Retirement'!$D$32,0)+'Combined Retirement'!$B$24</f>
        <v>2870.372285649099</v>
      </c>
      <c r="G1003" s="25">
        <f>'Combined Retirement'!$C$24</f>
        <v>3254.2644699519233</v>
      </c>
      <c r="H1003" s="25">
        <f>IF(B1003&lt;62,0,'Combined Retirement'!$I$14)</f>
        <v>2345</v>
      </c>
      <c r="I1003" s="25">
        <f>IF(C1003&lt;62,0,'Combined Retirement'!$I$13)</f>
        <v>2420</v>
      </c>
      <c r="J1003" s="25">
        <f t="shared" si="783"/>
        <v>7896.2379798201846</v>
      </c>
      <c r="K1003" s="25">
        <f t="shared" si="784"/>
        <v>20367.195264578786</v>
      </c>
      <c r="L1003" s="25"/>
      <c r="N1003" s="25">
        <f>'Combined Retirement'!$C$18/12</f>
        <v>39153.069999999992</v>
      </c>
      <c r="O1003" s="25">
        <f t="shared" si="785"/>
        <v>10889.636755601023</v>
      </c>
      <c r="P1003" s="25">
        <f t="shared" si="786"/>
        <v>28263.43324439897</v>
      </c>
      <c r="Q1003" s="25">
        <f t="array" aca="1" ref="Q1003" ca="1">INDEX('Isaac 401k'!L:L,MATCH('Retirement Calculator'!A1003,'Isaac 401k'!N:N,0),0)</f>
        <v>1991615.9532436777</v>
      </c>
      <c r="R1003" s="25">
        <f t="array" aca="1" ref="R1003" ca="1">INDEX('Lorri 401b'!L:L,MATCH('Retirement Calculator'!A1003,'Lorri 401b'!N:N,0),0)</f>
        <v>-11822555.10121765</v>
      </c>
      <c r="S1003" s="25">
        <f t="shared" ca="1" si="787"/>
        <v>-9830939.1479739714</v>
      </c>
    </row>
    <row r="1004" spans="1:19" ht="15.75" customHeight="1" x14ac:dyDescent="0.3">
      <c r="A1004" s="37">
        <v>81510</v>
      </c>
      <c r="B1004" s="398">
        <f t="shared" ref="B1004:C1004" si="1015">($A1004-B$9)/365.25</f>
        <v>141.28405201916496</v>
      </c>
      <c r="C1004" s="398">
        <f t="shared" si="1015"/>
        <v>136.6735112936345</v>
      </c>
      <c r="E1004" s="25">
        <f>IF(C1004&gt;$B$7,0,'Combined Retirement'!$D$13/12)</f>
        <v>0</v>
      </c>
      <c r="F1004" s="25">
        <f>IF(H1004=0,'Combined Retirement'!$D$32,0)+'Combined Retirement'!$B$24</f>
        <v>2870.372285649099</v>
      </c>
      <c r="G1004" s="25">
        <f>'Combined Retirement'!$C$24</f>
        <v>3254.2644699519233</v>
      </c>
      <c r="H1004" s="25">
        <f>IF(B1004&lt;62,0,'Combined Retirement'!$I$14)</f>
        <v>2345</v>
      </c>
      <c r="I1004" s="25">
        <f>IF(C1004&lt;62,0,'Combined Retirement'!$I$13)</f>
        <v>2420</v>
      </c>
      <c r="J1004" s="25">
        <f t="shared" si="783"/>
        <v>7896.2379798201846</v>
      </c>
      <c r="K1004" s="25">
        <f t="shared" si="784"/>
        <v>20367.195264578786</v>
      </c>
      <c r="L1004" s="25"/>
      <c r="N1004" s="25">
        <f>'Combined Retirement'!$C$18/12</f>
        <v>39153.069999999992</v>
      </c>
      <c r="O1004" s="25">
        <f t="shared" si="785"/>
        <v>10889.636755601023</v>
      </c>
      <c r="P1004" s="25">
        <f t="shared" si="786"/>
        <v>28263.43324439897</v>
      </c>
      <c r="Q1004" s="25">
        <f t="array" aca="1" ref="Q1004" ca="1">INDEX('Isaac 401k'!L:L,MATCH('Retirement Calculator'!A1004,'Isaac 401k'!N:N,0),0)</f>
        <v>1991985.2140774569</v>
      </c>
      <c r="R1004" s="25">
        <f t="array" aca="1" ref="R1004" ca="1">INDEX('Lorri 401b'!L:L,MATCH('Retirement Calculator'!A1004,'Lorri 401b'!N:N,0),0)</f>
        <v>-11892267.806050904</v>
      </c>
      <c r="S1004" s="25">
        <f t="shared" ca="1" si="787"/>
        <v>-9900282.5919734463</v>
      </c>
    </row>
    <row r="1005" spans="1:19" ht="15.75" customHeight="1" x14ac:dyDescent="0.3">
      <c r="A1005" s="37">
        <v>81541</v>
      </c>
      <c r="B1005" s="398">
        <f t="shared" ref="B1005:C1005" si="1016">($A1005-B$9)/365.25</f>
        <v>141.36892539356606</v>
      </c>
      <c r="C1005" s="398">
        <f t="shared" si="1016"/>
        <v>136.7583846680356</v>
      </c>
      <c r="E1005" s="25">
        <f>IF(C1005&gt;$B$7,0,'Combined Retirement'!$D$13/12)</f>
        <v>0</v>
      </c>
      <c r="F1005" s="25">
        <f>IF(H1005=0,'Combined Retirement'!$D$32,0)+'Combined Retirement'!$B$24</f>
        <v>2870.372285649099</v>
      </c>
      <c r="G1005" s="25">
        <f>'Combined Retirement'!$C$24</f>
        <v>3254.2644699519233</v>
      </c>
      <c r="H1005" s="25">
        <f>IF(B1005&lt;62,0,'Combined Retirement'!$I$14)</f>
        <v>2345</v>
      </c>
      <c r="I1005" s="25">
        <f>IF(C1005&lt;62,0,'Combined Retirement'!$I$13)</f>
        <v>2420</v>
      </c>
      <c r="J1005" s="25">
        <f t="shared" si="783"/>
        <v>7896.2379798201846</v>
      </c>
      <c r="K1005" s="25">
        <f t="shared" si="784"/>
        <v>20367.195264578786</v>
      </c>
      <c r="L1005" s="25"/>
      <c r="N1005" s="25">
        <f>'Combined Retirement'!$C$18/12</f>
        <v>39153.069999999992</v>
      </c>
      <c r="O1005" s="25">
        <f t="shared" si="785"/>
        <v>10889.636755601023</v>
      </c>
      <c r="P1005" s="25">
        <f t="shared" si="786"/>
        <v>28263.43324439897</v>
      </c>
      <c r="Q1005" s="25">
        <f t="array" aca="1" ref="Q1005" ca="1">INDEX('Isaac 401k'!L:L,MATCH('Retirement Calculator'!A1005,'Isaac 401k'!N:N,0),0)</f>
        <v>1992356.0134980434</v>
      </c>
      <c r="R1005" s="25">
        <f t="array" aca="1" ref="R1005" ca="1">INDEX('Lorri 401b'!L:L,MATCH('Retirement Calculator'!A1005,'Lorri 401b'!N:N,0),0)</f>
        <v>-11962270.98048763</v>
      </c>
      <c r="S1005" s="25">
        <f t="shared" ca="1" si="787"/>
        <v>-9969914.9669895861</v>
      </c>
    </row>
    <row r="1006" spans="1:19" ht="15.75" customHeight="1" x14ac:dyDescent="0.3">
      <c r="A1006" s="37">
        <v>81571</v>
      </c>
      <c r="B1006" s="398">
        <f t="shared" ref="B1006:C1006" si="1017">($A1006-B$9)/365.25</f>
        <v>141.45106091718</v>
      </c>
      <c r="C1006" s="398">
        <f t="shared" si="1017"/>
        <v>136.84052019164955</v>
      </c>
      <c r="E1006" s="25">
        <f>IF(C1006&gt;$B$7,0,'Combined Retirement'!$D$13/12)</f>
        <v>0</v>
      </c>
      <c r="F1006" s="25">
        <f>IF(H1006=0,'Combined Retirement'!$D$32,0)+'Combined Retirement'!$B$24</f>
        <v>2870.372285649099</v>
      </c>
      <c r="G1006" s="25">
        <f>'Combined Retirement'!$C$24</f>
        <v>3254.2644699519233</v>
      </c>
      <c r="H1006" s="25">
        <f>IF(B1006&lt;62,0,'Combined Retirement'!$I$14)</f>
        <v>2345</v>
      </c>
      <c r="I1006" s="25">
        <f>IF(C1006&lt;62,0,'Combined Retirement'!$I$13)</f>
        <v>2420</v>
      </c>
      <c r="J1006" s="25">
        <f t="shared" si="783"/>
        <v>7896.2379798201846</v>
      </c>
      <c r="K1006" s="25">
        <f t="shared" si="784"/>
        <v>20367.195264578786</v>
      </c>
      <c r="L1006" s="25"/>
      <c r="N1006" s="25">
        <f>'Combined Retirement'!$C$18/12</f>
        <v>39153.069999999992</v>
      </c>
      <c r="O1006" s="25">
        <f t="shared" si="785"/>
        <v>10889.636755601023</v>
      </c>
      <c r="P1006" s="25">
        <f t="shared" si="786"/>
        <v>28263.43324439897</v>
      </c>
      <c r="Q1006" s="25">
        <f t="array" aca="1" ref="Q1006" ca="1">INDEX('Isaac 401k'!L:L,MATCH('Retirement Calculator'!A1006,'Isaac 401k'!N:N,0),0)</f>
        <v>1992728.3579162157</v>
      </c>
      <c r="R1006" s="25">
        <f t="array" aca="1" ref="R1006" ca="1">INDEX('Lorri 401b'!L:L,MATCH('Retirement Calculator'!A1006,'Lorri 401b'!N:N,0),0)</f>
        <v>-12032565.834817842</v>
      </c>
      <c r="S1006" s="25">
        <f t="shared" ca="1" si="787"/>
        <v>-10039837.476901626</v>
      </c>
    </row>
    <row r="1007" spans="1:19" ht="15.75" customHeight="1" x14ac:dyDescent="0.3">
      <c r="A1007" s="37">
        <v>81602</v>
      </c>
      <c r="B1007" s="398">
        <f t="shared" ref="B1007:C1007" si="1018">($A1007-B$9)/365.25</f>
        <v>141.5359342915811</v>
      </c>
      <c r="C1007" s="398">
        <f t="shared" si="1018"/>
        <v>136.92539356605064</v>
      </c>
      <c r="E1007" s="25">
        <f>IF(C1007&gt;$B$7,0,'Combined Retirement'!$D$13/12)</f>
        <v>0</v>
      </c>
      <c r="F1007" s="25">
        <f>IF(H1007=0,'Combined Retirement'!$D$32,0)+'Combined Retirement'!$B$24</f>
        <v>2870.372285649099</v>
      </c>
      <c r="G1007" s="25">
        <f>'Combined Retirement'!$C$24</f>
        <v>3254.2644699519233</v>
      </c>
      <c r="H1007" s="25">
        <f>IF(B1007&lt;62,0,'Combined Retirement'!$I$14)</f>
        <v>2345</v>
      </c>
      <c r="I1007" s="25">
        <f>IF(C1007&lt;62,0,'Combined Retirement'!$I$13)</f>
        <v>2420</v>
      </c>
      <c r="J1007" s="25">
        <f t="shared" si="783"/>
        <v>7896.2379798201846</v>
      </c>
      <c r="K1007" s="25">
        <f t="shared" si="784"/>
        <v>20367.195264578786</v>
      </c>
      <c r="L1007" s="25"/>
      <c r="N1007" s="25">
        <f>'Combined Retirement'!$C$18/12</f>
        <v>39153.069999999992</v>
      </c>
      <c r="O1007" s="25">
        <f t="shared" si="785"/>
        <v>10889.636755601023</v>
      </c>
      <c r="P1007" s="25">
        <f t="shared" si="786"/>
        <v>28263.43324439897</v>
      </c>
      <c r="Q1007" s="25">
        <f t="array" aca="1" ref="Q1007" ca="1">INDEX('Isaac 401k'!L:L,MATCH('Retirement Calculator'!A1007,'Isaac 401k'!N:N,0),0)</f>
        <v>1993102.2537694639</v>
      </c>
      <c r="R1007" s="25">
        <f t="array" aca="1" ref="R1007" ca="1">INDEX('Lorri 401b'!L:L,MATCH('Retirement Calculator'!A1007,'Lorri 401b'!N:N,0),0)</f>
        <v>-12103153.58437443</v>
      </c>
      <c r="S1007" s="25">
        <f t="shared" ca="1" si="787"/>
        <v>-10110051.330604967</v>
      </c>
    </row>
    <row r="1008" spans="1:19" ht="15.75" customHeight="1" x14ac:dyDescent="0.3">
      <c r="A1008" s="37">
        <v>81632</v>
      </c>
      <c r="B1008" s="398">
        <f t="shared" ref="B1008:C1008" si="1019">($A1008-B$9)/365.25</f>
        <v>141.61806981519507</v>
      </c>
      <c r="C1008" s="398">
        <f t="shared" si="1019"/>
        <v>137.00752908966462</v>
      </c>
      <c r="E1008" s="25">
        <f>IF(C1008&gt;$B$7,0,'Combined Retirement'!$D$13/12)</f>
        <v>0</v>
      </c>
      <c r="F1008" s="25">
        <f>IF(H1008=0,'Combined Retirement'!$D$32,0)+'Combined Retirement'!$B$24</f>
        <v>2870.372285649099</v>
      </c>
      <c r="G1008" s="25">
        <f>'Combined Retirement'!$C$24</f>
        <v>3254.2644699519233</v>
      </c>
      <c r="H1008" s="25">
        <f>IF(B1008&lt;62,0,'Combined Retirement'!$I$14)</f>
        <v>2345</v>
      </c>
      <c r="I1008" s="25">
        <f>IF(C1008&lt;62,0,'Combined Retirement'!$I$13)</f>
        <v>2420</v>
      </c>
      <c r="J1008" s="25">
        <f t="shared" si="783"/>
        <v>7896.2379798201846</v>
      </c>
      <c r="K1008" s="25">
        <f t="shared" si="784"/>
        <v>20367.195264578786</v>
      </c>
      <c r="L1008" s="25"/>
      <c r="N1008" s="25">
        <f>'Combined Retirement'!$C$18/12</f>
        <v>39153.069999999992</v>
      </c>
      <c r="O1008" s="25">
        <f t="shared" si="785"/>
        <v>10889.636755601023</v>
      </c>
      <c r="P1008" s="25">
        <f t="shared" si="786"/>
        <v>28263.43324439897</v>
      </c>
      <c r="Q1008" s="25">
        <f t="array" aca="1" ref="Q1008" ca="1">INDEX('Isaac 401k'!L:L,MATCH('Retirement Calculator'!A1008,'Isaac 401k'!N:N,0),0)</f>
        <v>1993477.7075221005</v>
      </c>
      <c r="R1008" s="25">
        <f t="array" aca="1" ref="R1008" ca="1">INDEX('Lorri 401b'!L:L,MATCH('Retirement Calculator'!A1008,'Lorri 401b'!N:N,0),0)</f>
        <v>-12174035.44955417</v>
      </c>
      <c r="S1008" s="25">
        <f t="shared" ca="1" si="787"/>
        <v>-10180557.74203207</v>
      </c>
    </row>
    <row r="1009" spans="1:19" ht="15.75" customHeight="1" x14ac:dyDescent="0.3">
      <c r="A1009" s="37">
        <v>81663</v>
      </c>
      <c r="B1009" s="398">
        <f t="shared" ref="B1009:C1009" si="1020">($A1009-B$9)/365.25</f>
        <v>141.70294318959617</v>
      </c>
      <c r="C1009" s="398">
        <f t="shared" si="1020"/>
        <v>137.09240246406571</v>
      </c>
      <c r="E1009" s="25">
        <f>IF(C1009&gt;$B$7,0,'Combined Retirement'!$D$13/12)</f>
        <v>0</v>
      </c>
      <c r="F1009" s="25">
        <f>IF(H1009=0,'Combined Retirement'!$D$32,0)+'Combined Retirement'!$B$24</f>
        <v>2870.372285649099</v>
      </c>
      <c r="G1009" s="25">
        <f>'Combined Retirement'!$C$24</f>
        <v>3254.2644699519233</v>
      </c>
      <c r="H1009" s="25">
        <f>IF(B1009&lt;62,0,'Combined Retirement'!$I$14)</f>
        <v>2345</v>
      </c>
      <c r="I1009" s="25">
        <f>IF(C1009&lt;62,0,'Combined Retirement'!$I$13)</f>
        <v>2420</v>
      </c>
      <c r="J1009" s="25">
        <f t="shared" si="783"/>
        <v>7896.2379798201846</v>
      </c>
      <c r="K1009" s="25">
        <f t="shared" si="784"/>
        <v>20367.195264578786</v>
      </c>
      <c r="L1009" s="25"/>
      <c r="N1009" s="25">
        <f>'Combined Retirement'!$C$18/12</f>
        <v>39153.069999999992</v>
      </c>
      <c r="O1009" s="25">
        <f t="shared" si="785"/>
        <v>10889.636755601023</v>
      </c>
      <c r="P1009" s="25">
        <f t="shared" si="786"/>
        <v>28263.43324439897</v>
      </c>
      <c r="Q1009" s="25">
        <f t="array" aca="1" ref="Q1009" ca="1">INDEX('Isaac 401k'!L:L,MATCH('Retirement Calculator'!A1009,'Isaac 401k'!N:N,0),0)</f>
        <v>1993854.725665373</v>
      </c>
      <c r="R1009" s="25">
        <f t="array" aca="1" ref="R1009" ca="1">INDEX('Lorri 401b'!L:L,MATCH('Retirement Calculator'!A1009,'Lorri 401b'!N:N,0),0)</f>
        <v>-12245212.655838825</v>
      </c>
      <c r="S1009" s="25">
        <f t="shared" ca="1" si="787"/>
        <v>-10251357.930173451</v>
      </c>
    </row>
    <row r="1010" spans="1:19" ht="15.75" customHeight="1" x14ac:dyDescent="0.3">
      <c r="A1010" s="37">
        <v>81694</v>
      </c>
      <c r="B1010" s="398">
        <f t="shared" ref="B1010:C1010" si="1021">($A1010-B$9)/365.25</f>
        <v>141.78781656399727</v>
      </c>
      <c r="C1010" s="398">
        <f t="shared" si="1021"/>
        <v>137.17727583846681</v>
      </c>
      <c r="E1010" s="25">
        <f>IF(C1010&gt;$B$7,0,'Combined Retirement'!$D$13/12)</f>
        <v>0</v>
      </c>
      <c r="F1010" s="25">
        <f>IF(H1010=0,'Combined Retirement'!$D$32,0)+'Combined Retirement'!$B$24</f>
        <v>2870.372285649099</v>
      </c>
      <c r="G1010" s="25">
        <f>'Combined Retirement'!$C$24</f>
        <v>3254.2644699519233</v>
      </c>
      <c r="H1010" s="25">
        <f>IF(B1010&lt;62,0,'Combined Retirement'!$I$14)</f>
        <v>2345</v>
      </c>
      <c r="I1010" s="25">
        <f>IF(C1010&lt;62,0,'Combined Retirement'!$I$13)</f>
        <v>2420</v>
      </c>
      <c r="J1010" s="25">
        <f t="shared" si="783"/>
        <v>7896.2379798201846</v>
      </c>
      <c r="K1010" s="25">
        <f t="shared" si="784"/>
        <v>20367.195264578786</v>
      </c>
      <c r="L1010" s="25"/>
      <c r="N1010" s="25">
        <f>'Combined Retirement'!$C$18/12</f>
        <v>39153.069999999992</v>
      </c>
      <c r="O1010" s="25">
        <f t="shared" si="785"/>
        <v>10889.636755601023</v>
      </c>
      <c r="P1010" s="25">
        <f t="shared" si="786"/>
        <v>28263.43324439897</v>
      </c>
      <c r="Q1010" s="25">
        <f t="array" aca="1" ref="Q1010" ca="1">INDEX('Isaac 401k'!L:L,MATCH('Retirement Calculator'!A1010,'Isaac 401k'!N:N,0),0)</f>
        <v>1994233.3147175759</v>
      </c>
      <c r="R1010" s="25">
        <f t="array" aca="1" ref="R1010" ca="1">INDEX('Lorri 401b'!L:L,MATCH('Retirement Calculator'!A1010,'Lorri 401b'!N:N,0),0)</f>
        <v>-12316686.433816334</v>
      </c>
      <c r="S1010" s="25">
        <f t="shared" ca="1" si="787"/>
        <v>-10322453.119098758</v>
      </c>
    </row>
    <row r="1011" spans="1:19" ht="15.75" customHeight="1" x14ac:dyDescent="0.3">
      <c r="A1011" s="37">
        <v>81724</v>
      </c>
      <c r="B1011" s="398">
        <f t="shared" ref="B1011:C1011" si="1022">($A1011-B$9)/365.25</f>
        <v>141.86995208761124</v>
      </c>
      <c r="C1011" s="398">
        <f t="shared" si="1022"/>
        <v>137.25941136208075</v>
      </c>
      <c r="E1011" s="25">
        <f>IF(C1011&gt;$B$7,0,'Combined Retirement'!$D$13/12)</f>
        <v>0</v>
      </c>
      <c r="F1011" s="25">
        <f>IF(H1011=0,'Combined Retirement'!$D$32,0)+'Combined Retirement'!$B$24</f>
        <v>2870.372285649099</v>
      </c>
      <c r="G1011" s="25">
        <f>'Combined Retirement'!$C$24</f>
        <v>3254.2644699519233</v>
      </c>
      <c r="H1011" s="25">
        <f>IF(B1011&lt;62,0,'Combined Retirement'!$I$14)</f>
        <v>2345</v>
      </c>
      <c r="I1011" s="25">
        <f>IF(C1011&lt;62,0,'Combined Retirement'!$I$13)</f>
        <v>2420</v>
      </c>
      <c r="J1011" s="25">
        <f t="shared" si="783"/>
        <v>7896.2379798201846</v>
      </c>
      <c r="K1011" s="25">
        <f t="shared" si="784"/>
        <v>20367.195264578786</v>
      </c>
      <c r="L1011" s="25"/>
      <c r="N1011" s="25">
        <f>'Combined Retirement'!$C$18/12</f>
        <v>39153.069999999992</v>
      </c>
      <c r="O1011" s="25">
        <f t="shared" si="785"/>
        <v>10889.636755601023</v>
      </c>
      <c r="P1011" s="25">
        <f t="shared" si="786"/>
        <v>28263.43324439897</v>
      </c>
      <c r="Q1011" s="25">
        <f t="array" aca="1" ref="Q1011" ca="1">INDEX('Isaac 401k'!L:L,MATCH('Retirement Calculator'!A1011,'Isaac 401k'!N:N,0),0)</f>
        <v>1994613.481224163</v>
      </c>
      <c r="R1011" s="25">
        <f t="array" aca="1" ref="R1011" ca="1">INDEX('Lorri 401b'!L:L,MATCH('Retirement Calculator'!A1011,'Lorri 401b'!N:N,0),0)</f>
        <v>-12388458.019202083</v>
      </c>
      <c r="S1011" s="25">
        <f t="shared" ca="1" si="787"/>
        <v>-10393844.537977921</v>
      </c>
    </row>
    <row r="1012" spans="1:19" ht="15.75" customHeight="1" x14ac:dyDescent="0.3">
      <c r="A1012" s="37">
        <v>81755</v>
      </c>
      <c r="B1012" s="398">
        <f t="shared" ref="B1012:C1012" si="1023">($A1012-B$9)/365.25</f>
        <v>141.95482546201231</v>
      </c>
      <c r="C1012" s="398">
        <f t="shared" si="1023"/>
        <v>137.34428473648185</v>
      </c>
      <c r="E1012" s="25">
        <f>IF(C1012&gt;$B$7,0,'Combined Retirement'!$D$13/12)</f>
        <v>0</v>
      </c>
      <c r="F1012" s="25">
        <f>IF(H1012=0,'Combined Retirement'!$D$32,0)+'Combined Retirement'!$B$24</f>
        <v>2870.372285649099</v>
      </c>
      <c r="G1012" s="25">
        <f>'Combined Retirement'!$C$24</f>
        <v>3254.2644699519233</v>
      </c>
      <c r="H1012" s="25">
        <f>IF(B1012&lt;62,0,'Combined Retirement'!$I$14)</f>
        <v>2345</v>
      </c>
      <c r="I1012" s="25">
        <f>IF(C1012&lt;62,0,'Combined Retirement'!$I$13)</f>
        <v>2420</v>
      </c>
      <c r="J1012" s="25">
        <f t="shared" si="783"/>
        <v>7896.2379798201846</v>
      </c>
      <c r="K1012" s="25">
        <f t="shared" si="784"/>
        <v>20367.195264578786</v>
      </c>
      <c r="L1012" s="25"/>
      <c r="N1012" s="25">
        <f>'Combined Retirement'!$C$18/12</f>
        <v>39153.069999999992</v>
      </c>
      <c r="O1012" s="25">
        <f t="shared" si="785"/>
        <v>10889.636755601023</v>
      </c>
      <c r="P1012" s="25">
        <f t="shared" si="786"/>
        <v>28263.43324439897</v>
      </c>
      <c r="Q1012" s="25">
        <f t="array" aca="1" ref="Q1012" ca="1">INDEX('Isaac 401k'!L:L,MATCH('Retirement Calculator'!A1012,'Isaac 401k'!N:N,0),0)</f>
        <v>1994995.2317578609</v>
      </c>
      <c r="R1012" s="25">
        <f t="array" aca="1" ref="R1012" ca="1">INDEX('Lorri 401b'!L:L,MATCH('Retirement Calculator'!A1012,'Lorri 401b'!N:N,0),0)</f>
        <v>-12460528.652860273</v>
      </c>
      <c r="S1012" s="25">
        <f t="shared" ca="1" si="787"/>
        <v>-10465533.421102412</v>
      </c>
    </row>
    <row r="1013" spans="1:19" ht="15.75" customHeight="1" x14ac:dyDescent="0.3">
      <c r="A1013" s="37">
        <v>81785</v>
      </c>
      <c r="B1013" s="398">
        <f t="shared" ref="B1013:C1013" si="1024">($A1013-B$9)/365.25</f>
        <v>142.03696098562628</v>
      </c>
      <c r="C1013" s="398">
        <f t="shared" si="1024"/>
        <v>137.42642026009582</v>
      </c>
      <c r="E1013" s="25">
        <f>IF(C1013&gt;$B$7,0,'Combined Retirement'!$D$13/12)</f>
        <v>0</v>
      </c>
      <c r="F1013" s="25">
        <f>IF(H1013=0,'Combined Retirement'!$D$32,0)+'Combined Retirement'!$B$24</f>
        <v>2870.372285649099</v>
      </c>
      <c r="G1013" s="25">
        <f>'Combined Retirement'!$C$24</f>
        <v>3254.2644699519233</v>
      </c>
      <c r="H1013" s="25">
        <f>IF(B1013&lt;62,0,'Combined Retirement'!$I$14)</f>
        <v>2345</v>
      </c>
      <c r="I1013" s="25">
        <f>IF(C1013&lt;62,0,'Combined Retirement'!$I$13)</f>
        <v>2420</v>
      </c>
      <c r="J1013" s="25">
        <f t="shared" si="783"/>
        <v>7896.2379798201846</v>
      </c>
      <c r="K1013" s="25">
        <f t="shared" si="784"/>
        <v>20367.195264578786</v>
      </c>
      <c r="L1013" s="25"/>
      <c r="N1013" s="25">
        <f>'Combined Retirement'!$C$18/12</f>
        <v>39153.069999999992</v>
      </c>
      <c r="O1013" s="25">
        <f t="shared" si="785"/>
        <v>10889.636755601023</v>
      </c>
      <c r="P1013" s="25">
        <f t="shared" si="786"/>
        <v>28263.43324439897</v>
      </c>
      <c r="Q1013" s="25">
        <f t="array" aca="1" ref="Q1013" ca="1">INDEX('Isaac 401k'!L:L,MATCH('Retirement Calculator'!A1013,'Isaac 401k'!N:N,0),0)</f>
        <v>1995378.5729187825</v>
      </c>
      <c r="R1013" s="25">
        <f t="array" aca="1" ref="R1013" ca="1">INDEX('Lorri 401b'!L:L,MATCH('Retirement Calculator'!A1013,'Lorri 401b'!N:N,0),0)</f>
        <v>-12532899.580825372</v>
      </c>
      <c r="S1013" s="25">
        <f t="shared" ca="1" si="787"/>
        <v>-10537521.00790659</v>
      </c>
    </row>
    <row r="1014" spans="1:19" ht="15.75" customHeight="1" x14ac:dyDescent="0.3">
      <c r="A1014" s="37">
        <v>81816</v>
      </c>
      <c r="B1014" s="398">
        <f t="shared" ref="B1014:C1014" si="1025">($A1014-B$9)/365.25</f>
        <v>142.12183436002738</v>
      </c>
      <c r="C1014" s="398">
        <f t="shared" si="1025"/>
        <v>137.51129363449692</v>
      </c>
      <c r="E1014" s="25">
        <f>IF(C1014&gt;$B$7,0,'Combined Retirement'!$D$13/12)</f>
        <v>0</v>
      </c>
      <c r="F1014" s="25">
        <f>IF(H1014=0,'Combined Retirement'!$D$32,0)+'Combined Retirement'!$B$24</f>
        <v>2870.372285649099</v>
      </c>
      <c r="G1014" s="25">
        <f>'Combined Retirement'!$C$24</f>
        <v>3254.2644699519233</v>
      </c>
      <c r="H1014" s="25">
        <f>IF(B1014&lt;62,0,'Combined Retirement'!$I$14)</f>
        <v>2345</v>
      </c>
      <c r="I1014" s="25">
        <f>IF(C1014&lt;62,0,'Combined Retirement'!$I$13)</f>
        <v>2420</v>
      </c>
      <c r="J1014" s="25">
        <f t="shared" si="783"/>
        <v>7896.2379798201846</v>
      </c>
      <c r="K1014" s="25">
        <f t="shared" si="784"/>
        <v>20367.195264578786</v>
      </c>
      <c r="L1014" s="25"/>
      <c r="N1014" s="25">
        <f>'Combined Retirement'!$C$18/12</f>
        <v>39153.069999999992</v>
      </c>
      <c r="O1014" s="25">
        <f t="shared" si="785"/>
        <v>10889.636755601023</v>
      </c>
      <c r="P1014" s="25">
        <f t="shared" si="786"/>
        <v>28263.43324439897</v>
      </c>
      <c r="Q1014" s="25">
        <f t="array" aca="1" ref="Q1014" ca="1">INDEX('Isaac 401k'!L:L,MATCH('Retirement Calculator'!A1014,'Isaac 401k'!N:N,0),0)</f>
        <v>1995763.5113345413</v>
      </c>
      <c r="R1014" s="25">
        <f t="array" aca="1" ref="R1014" ca="1">INDEX('Lorri 401b'!L:L,MATCH('Retirement Calculator'!A1014,'Lorri 401b'!N:N,0),0)</f>
        <v>-12605572.054323658</v>
      </c>
      <c r="S1014" s="25">
        <f t="shared" ca="1" si="787"/>
        <v>-10609808.542989116</v>
      </c>
    </row>
    <row r="1015" spans="1:19" ht="15.75" customHeight="1" x14ac:dyDescent="0.3">
      <c r="A1015" s="37">
        <v>81847</v>
      </c>
      <c r="B1015" s="398">
        <f t="shared" ref="B1015:C1015" si="1026">($A1015-B$9)/365.25</f>
        <v>142.20670773442848</v>
      </c>
      <c r="C1015" s="398">
        <f t="shared" si="1026"/>
        <v>137.59616700889802</v>
      </c>
      <c r="E1015" s="25">
        <f>IF(C1015&gt;$B$7,0,'Combined Retirement'!$D$13/12)</f>
        <v>0</v>
      </c>
      <c r="F1015" s="25">
        <f>IF(H1015=0,'Combined Retirement'!$D$32,0)+'Combined Retirement'!$B$24</f>
        <v>2870.372285649099</v>
      </c>
      <c r="G1015" s="25">
        <f>'Combined Retirement'!$C$24</f>
        <v>3254.2644699519233</v>
      </c>
      <c r="H1015" s="25">
        <f>IF(B1015&lt;62,0,'Combined Retirement'!$I$14)</f>
        <v>2345</v>
      </c>
      <c r="I1015" s="25">
        <f>IF(C1015&lt;62,0,'Combined Retirement'!$I$13)</f>
        <v>2420</v>
      </c>
      <c r="J1015" s="25">
        <f t="shared" si="783"/>
        <v>7896.2379798201846</v>
      </c>
      <c r="K1015" s="25">
        <f t="shared" si="784"/>
        <v>20367.195264578786</v>
      </c>
      <c r="L1015" s="25"/>
      <c r="N1015" s="25">
        <f>'Combined Retirement'!$C$18/12</f>
        <v>39153.069999999992</v>
      </c>
      <c r="O1015" s="25">
        <f t="shared" si="785"/>
        <v>10889.636755601023</v>
      </c>
      <c r="P1015" s="25">
        <f t="shared" si="786"/>
        <v>28263.43324439897</v>
      </c>
      <c r="Q1015" s="25">
        <f t="array" aca="1" ref="Q1015" ca="1">INDEX('Isaac 401k'!L:L,MATCH('Retirement Calculator'!A1015,'Isaac 401k'!N:N,0),0)</f>
        <v>1996150.0536603658</v>
      </c>
      <c r="R1015" s="25">
        <f t="array" aca="1" ref="R1015" ca="1">INDEX('Lorri 401b'!L:L,MATCH('Retirement Calculator'!A1015,'Lorri 401b'!N:N,0),0)</f>
        <v>-12678547.329794854</v>
      </c>
      <c r="S1015" s="25">
        <f t="shared" ca="1" si="787"/>
        <v>-10682397.276134487</v>
      </c>
    </row>
    <row r="1016" spans="1:19" ht="15.75" customHeight="1" x14ac:dyDescent="0.3">
      <c r="A1016" s="37">
        <v>81876</v>
      </c>
      <c r="B1016" s="398">
        <f t="shared" ref="B1016:C1016" si="1027">($A1016-B$9)/365.25</f>
        <v>142.28610540725529</v>
      </c>
      <c r="C1016" s="398">
        <f t="shared" si="1027"/>
        <v>137.67556468172484</v>
      </c>
      <c r="E1016" s="25">
        <f>IF(C1016&gt;$B$7,0,'Combined Retirement'!$D$13/12)</f>
        <v>0</v>
      </c>
      <c r="F1016" s="25">
        <f>IF(H1016=0,'Combined Retirement'!$D$32,0)+'Combined Retirement'!$B$24</f>
        <v>2870.372285649099</v>
      </c>
      <c r="G1016" s="25">
        <f>'Combined Retirement'!$C$24</f>
        <v>3254.2644699519233</v>
      </c>
      <c r="H1016" s="25">
        <f>IF(B1016&lt;62,0,'Combined Retirement'!$I$14)</f>
        <v>2345</v>
      </c>
      <c r="I1016" s="25">
        <f>IF(C1016&lt;62,0,'Combined Retirement'!$I$13)</f>
        <v>2420</v>
      </c>
      <c r="J1016" s="25">
        <f t="shared" si="783"/>
        <v>7896.2379798201846</v>
      </c>
      <c r="K1016" s="25">
        <f t="shared" si="784"/>
        <v>20367.195264578786</v>
      </c>
      <c r="L1016" s="25"/>
      <c r="N1016" s="25">
        <f>'Combined Retirement'!$C$18/12</f>
        <v>39153.069999999992</v>
      </c>
      <c r="O1016" s="25">
        <f t="shared" si="785"/>
        <v>10889.636755601023</v>
      </c>
      <c r="P1016" s="25">
        <f t="shared" si="786"/>
        <v>28263.43324439897</v>
      </c>
      <c r="Q1016" s="25">
        <f t="array" aca="1" ref="Q1016" ca="1">INDEX('Isaac 401k'!L:L,MATCH('Retirement Calculator'!A1016,'Isaac 401k'!N:N,0),0)</f>
        <v>1996538.2065792144</v>
      </c>
      <c r="R1016" s="25">
        <f t="array" aca="1" ref="R1016" ca="1">INDEX('Lorri 401b'!L:L,MATCH('Retirement Calculator'!A1016,'Lorri 401b'!N:N,0),0)</f>
        <v>-12751826.668913847</v>
      </c>
      <c r="S1016" s="25">
        <f t="shared" ca="1" si="787"/>
        <v>-10755288.462334633</v>
      </c>
    </row>
    <row r="1017" spans="1:19" ht="15.75" customHeight="1" x14ac:dyDescent="0.3">
      <c r="A1017" s="37">
        <v>81907</v>
      </c>
      <c r="B1017" s="398">
        <f t="shared" ref="B1017:C1017" si="1028">($A1017-B$9)/365.25</f>
        <v>142.37097878165639</v>
      </c>
      <c r="C1017" s="398">
        <f t="shared" si="1028"/>
        <v>137.76043805612593</v>
      </c>
      <c r="E1017" s="25">
        <f>IF(C1017&gt;$B$7,0,'Combined Retirement'!$D$13/12)</f>
        <v>0</v>
      </c>
      <c r="F1017" s="25">
        <f>IF(H1017=0,'Combined Retirement'!$D$32,0)+'Combined Retirement'!$B$24</f>
        <v>2870.372285649099</v>
      </c>
      <c r="G1017" s="25">
        <f>'Combined Retirement'!$C$24</f>
        <v>3254.2644699519233</v>
      </c>
      <c r="H1017" s="25">
        <f>IF(B1017&lt;62,0,'Combined Retirement'!$I$14)</f>
        <v>2345</v>
      </c>
      <c r="I1017" s="25">
        <f>IF(C1017&lt;62,0,'Combined Retirement'!$I$13)</f>
        <v>2420</v>
      </c>
      <c r="J1017" s="25">
        <f t="shared" si="783"/>
        <v>7896.2379798201846</v>
      </c>
      <c r="K1017" s="25">
        <f t="shared" si="784"/>
        <v>20367.195264578786</v>
      </c>
      <c r="L1017" s="25"/>
      <c r="N1017" s="25">
        <f>'Combined Retirement'!$C$18/12</f>
        <v>39153.069999999992</v>
      </c>
      <c r="O1017" s="25">
        <f t="shared" si="785"/>
        <v>10889.636755601023</v>
      </c>
      <c r="P1017" s="25">
        <f t="shared" si="786"/>
        <v>28263.43324439897</v>
      </c>
      <c r="Q1017" s="25">
        <f t="array" aca="1" ref="Q1017" ca="1">INDEX('Isaac 401k'!L:L,MATCH('Retirement Calculator'!A1017,'Isaac 401k'!N:N,0),0)</f>
        <v>1996927.9768018916</v>
      </c>
      <c r="R1017" s="25">
        <f t="array" aca="1" ref="R1017" ca="1">INDEX('Lorri 401b'!L:L,MATCH('Retirement Calculator'!A1017,'Lorri 401b'!N:N,0),0)</f>
        <v>-12825411.338612501</v>
      </c>
      <c r="S1017" s="25">
        <f t="shared" ca="1" si="787"/>
        <v>-10828483.36181061</v>
      </c>
    </row>
    <row r="1018" spans="1:19" ht="15.75" customHeight="1" x14ac:dyDescent="0.3">
      <c r="A1018" s="37">
        <v>81937</v>
      </c>
      <c r="B1018" s="398">
        <f t="shared" ref="B1018:C1018" si="1029">($A1018-B$9)/365.25</f>
        <v>142.45311430527036</v>
      </c>
      <c r="C1018" s="398">
        <f t="shared" si="1029"/>
        <v>137.84257357973991</v>
      </c>
      <c r="E1018" s="25">
        <f>IF(C1018&gt;$B$7,0,'Combined Retirement'!$D$13/12)</f>
        <v>0</v>
      </c>
      <c r="F1018" s="25">
        <f>IF(H1018=0,'Combined Retirement'!$D$32,0)+'Combined Retirement'!$B$24</f>
        <v>2870.372285649099</v>
      </c>
      <c r="G1018" s="25">
        <f>'Combined Retirement'!$C$24</f>
        <v>3254.2644699519233</v>
      </c>
      <c r="H1018" s="25">
        <f>IF(B1018&lt;62,0,'Combined Retirement'!$I$14)</f>
        <v>2345</v>
      </c>
      <c r="I1018" s="25">
        <f>IF(C1018&lt;62,0,'Combined Retirement'!$I$13)</f>
        <v>2420</v>
      </c>
      <c r="J1018" s="25">
        <f t="shared" si="783"/>
        <v>7896.2379798201846</v>
      </c>
      <c r="K1018" s="25">
        <f t="shared" si="784"/>
        <v>20367.195264578786</v>
      </c>
      <c r="L1018" s="25"/>
      <c r="N1018" s="25">
        <f>'Combined Retirement'!$C$18/12</f>
        <v>39153.069999999992</v>
      </c>
      <c r="O1018" s="25">
        <f t="shared" si="785"/>
        <v>10889.636755601023</v>
      </c>
      <c r="P1018" s="25">
        <f t="shared" si="786"/>
        <v>28263.43324439897</v>
      </c>
      <c r="Q1018" s="25">
        <f t="array" aca="1" ref="Q1018" ca="1">INDEX('Isaac 401k'!L:L,MATCH('Retirement Calculator'!A1018,'Isaac 401k'!N:N,0),0)</f>
        <v>1997319.3710671633</v>
      </c>
      <c r="R1018" s="25">
        <f t="array" aca="1" ref="R1018" ca="1">INDEX('Lorri 401b'!L:L,MATCH('Retirement Calculator'!A1018,'Lorri 401b'!N:N,0),0)</f>
        <v>-12899302.611101566</v>
      </c>
      <c r="S1018" s="25">
        <f t="shared" ca="1" si="787"/>
        <v>-10901983.240034403</v>
      </c>
    </row>
    <row r="1019" spans="1:19" ht="15.75" customHeight="1" x14ac:dyDescent="0.3">
      <c r="A1019" s="37">
        <v>81968</v>
      </c>
      <c r="B1019" s="398">
        <f t="shared" ref="B1019:C1019" si="1030">($A1019-B$9)/365.25</f>
        <v>142.53798767967146</v>
      </c>
      <c r="C1019" s="398">
        <f t="shared" si="1030"/>
        <v>137.927446954141</v>
      </c>
      <c r="E1019" s="25">
        <f>IF(C1019&gt;$B$7,0,'Combined Retirement'!$D$13/12)</f>
        <v>0</v>
      </c>
      <c r="F1019" s="25">
        <f>IF(H1019=0,'Combined Retirement'!$D$32,0)+'Combined Retirement'!$B$24</f>
        <v>2870.372285649099</v>
      </c>
      <c r="G1019" s="25">
        <f>'Combined Retirement'!$C$24</f>
        <v>3254.2644699519233</v>
      </c>
      <c r="H1019" s="25">
        <f>IF(B1019&lt;62,0,'Combined Retirement'!$I$14)</f>
        <v>2345</v>
      </c>
      <c r="I1019" s="25">
        <f>IF(C1019&lt;62,0,'Combined Retirement'!$I$13)</f>
        <v>2420</v>
      </c>
      <c r="J1019" s="25">
        <f t="shared" si="783"/>
        <v>7896.2379798201846</v>
      </c>
      <c r="K1019" s="25">
        <f t="shared" si="784"/>
        <v>20367.195264578786</v>
      </c>
      <c r="L1019" s="25"/>
      <c r="N1019" s="25">
        <f>'Combined Retirement'!$C$18/12</f>
        <v>39153.069999999992</v>
      </c>
      <c r="O1019" s="25">
        <f t="shared" si="785"/>
        <v>10889.636755601023</v>
      </c>
      <c r="P1019" s="25">
        <f t="shared" si="786"/>
        <v>28263.43324439897</v>
      </c>
      <c r="Q1019" s="25">
        <f t="array" aca="1" ref="Q1019" ca="1">INDEX('Isaac 401k'!L:L,MATCH('Retirement Calculator'!A1019,'Isaac 401k'!N:N,0),0)</f>
        <v>1997712.3961418737</v>
      </c>
      <c r="R1019" s="25">
        <f t="array" aca="1" ref="R1019" ca="1">INDEX('Lorri 401b'!L:L,MATCH('Retirement Calculator'!A1019,'Lorri 401b'!N:N,0),0)</f>
        <v>-12973501.763892669</v>
      </c>
      <c r="S1019" s="25">
        <f t="shared" ca="1" si="787"/>
        <v>-10975789.367750796</v>
      </c>
    </row>
    <row r="1020" spans="1:19" ht="15.75" customHeight="1" x14ac:dyDescent="0.3">
      <c r="A1020" s="37">
        <v>81998</v>
      </c>
      <c r="B1020" s="398">
        <f t="shared" ref="B1020:C1020" si="1031">($A1020-B$9)/365.25</f>
        <v>142.62012320328543</v>
      </c>
      <c r="C1020" s="398">
        <f t="shared" si="1031"/>
        <v>138.00958247775498</v>
      </c>
      <c r="E1020" s="25">
        <f>IF(C1020&gt;$B$7,0,'Combined Retirement'!$D$13/12)</f>
        <v>0</v>
      </c>
      <c r="F1020" s="25">
        <f>IF(H1020=0,'Combined Retirement'!$D$32,0)+'Combined Retirement'!$B$24</f>
        <v>2870.372285649099</v>
      </c>
      <c r="G1020" s="25">
        <f>'Combined Retirement'!$C$24</f>
        <v>3254.2644699519233</v>
      </c>
      <c r="H1020" s="25">
        <f>IF(B1020&lt;62,0,'Combined Retirement'!$I$14)</f>
        <v>2345</v>
      </c>
      <c r="I1020" s="25">
        <f>IF(C1020&lt;62,0,'Combined Retirement'!$I$13)</f>
        <v>2420</v>
      </c>
      <c r="J1020" s="25">
        <f t="shared" si="783"/>
        <v>7896.2379798201846</v>
      </c>
      <c r="K1020" s="25">
        <f t="shared" si="784"/>
        <v>20367.195264578786</v>
      </c>
      <c r="L1020" s="25"/>
      <c r="N1020" s="25">
        <f>'Combined Retirement'!$C$18/12</f>
        <v>39153.069999999992</v>
      </c>
      <c r="O1020" s="25">
        <f t="shared" si="785"/>
        <v>10889.636755601023</v>
      </c>
      <c r="P1020" s="25">
        <f t="shared" si="786"/>
        <v>28263.43324439897</v>
      </c>
      <c r="Q1020" s="25">
        <f t="array" aca="1" ref="Q1020" ca="1">INDEX('Isaac 401k'!L:L,MATCH('Retirement Calculator'!A1020,'Isaac 401k'!N:N,0),0)</f>
        <v>1998107.0588210621</v>
      </c>
      <c r="R1020" s="25">
        <f t="array" aca="1" ref="R1020" ca="1">INDEX('Lorri 401b'!L:L,MATCH('Retirement Calculator'!A1020,'Lorri 401b'!N:N,0),0)</f>
        <v>-13048010.079820402</v>
      </c>
      <c r="S1020" s="25">
        <f t="shared" ca="1" si="787"/>
        <v>-11049903.02099934</v>
      </c>
    </row>
    <row r="1021" spans="1:19" ht="15.75" customHeight="1" x14ac:dyDescent="0.3">
      <c r="A1021" s="37">
        <v>82029</v>
      </c>
      <c r="B1021" s="398">
        <f t="shared" ref="B1021:C1021" si="1032">($A1021-B$9)/365.25</f>
        <v>142.70499657768653</v>
      </c>
      <c r="C1021" s="398">
        <f t="shared" si="1032"/>
        <v>138.09445585215605</v>
      </c>
      <c r="E1021" s="25">
        <f>IF(C1021&gt;$B$7,0,'Combined Retirement'!$D$13/12)</f>
        <v>0</v>
      </c>
      <c r="F1021" s="25">
        <f>IF(H1021=0,'Combined Retirement'!$D$32,0)+'Combined Retirement'!$B$24</f>
        <v>2870.372285649099</v>
      </c>
      <c r="G1021" s="25">
        <f>'Combined Retirement'!$C$24</f>
        <v>3254.2644699519233</v>
      </c>
      <c r="H1021" s="25">
        <f>IF(B1021&lt;62,0,'Combined Retirement'!$I$14)</f>
        <v>2345</v>
      </c>
      <c r="I1021" s="25">
        <f>IF(C1021&lt;62,0,'Combined Retirement'!$I$13)</f>
        <v>2420</v>
      </c>
      <c r="J1021" s="25">
        <f t="shared" si="783"/>
        <v>7896.2379798201846</v>
      </c>
      <c r="K1021" s="25">
        <f t="shared" si="784"/>
        <v>20367.195264578786</v>
      </c>
      <c r="L1021" s="25"/>
      <c r="N1021" s="25">
        <f>'Combined Retirement'!$C$18/12</f>
        <v>39153.069999999992</v>
      </c>
      <c r="O1021" s="25">
        <f t="shared" si="785"/>
        <v>10889.636755601023</v>
      </c>
      <c r="P1021" s="25">
        <f t="shared" si="786"/>
        <v>28263.43324439897</v>
      </c>
      <c r="Q1021" s="25">
        <f t="array" aca="1" ref="Q1021" ca="1">INDEX('Isaac 401k'!L:L,MATCH('Retirement Calculator'!A1021,'Isaac 401k'!N:N,0),0)</f>
        <v>1998503.3659280804</v>
      </c>
      <c r="R1021" s="25">
        <f t="array" aca="1" ref="R1021" ca="1">INDEX('Lorri 401b'!L:L,MATCH('Retirement Calculator'!A1021,'Lorri 401b'!N:N,0),0)</f>
        <v>-13122828.847064501</v>
      </c>
      <c r="S1021" s="25">
        <f t="shared" ca="1" si="787"/>
        <v>-11124325.481136421</v>
      </c>
    </row>
    <row r="1022" spans="1:19" ht="15.75" customHeight="1" x14ac:dyDescent="0.3">
      <c r="A1022" s="37">
        <v>82060</v>
      </c>
      <c r="B1022" s="398">
        <f t="shared" ref="B1022:C1022" si="1033">($A1022-B$9)/365.25</f>
        <v>142.7898699520876</v>
      </c>
      <c r="C1022" s="398">
        <f t="shared" si="1033"/>
        <v>138.17932922655714</v>
      </c>
      <c r="E1022" s="25">
        <f>IF(C1022&gt;$B$7,0,'Combined Retirement'!$D$13/12)</f>
        <v>0</v>
      </c>
      <c r="F1022" s="25">
        <f>IF(H1022=0,'Combined Retirement'!$D$32,0)+'Combined Retirement'!$B$24</f>
        <v>2870.372285649099</v>
      </c>
      <c r="G1022" s="25">
        <f>'Combined Retirement'!$C$24</f>
        <v>3254.2644699519233</v>
      </c>
      <c r="H1022" s="25">
        <f>IF(B1022&lt;62,0,'Combined Retirement'!$I$14)</f>
        <v>2345</v>
      </c>
      <c r="I1022" s="25">
        <f>IF(C1022&lt;62,0,'Combined Retirement'!$I$13)</f>
        <v>2420</v>
      </c>
      <c r="J1022" s="25">
        <f t="shared" si="783"/>
        <v>7896.2379798201846</v>
      </c>
      <c r="K1022" s="25">
        <f t="shared" si="784"/>
        <v>20367.195264578786</v>
      </c>
      <c r="L1022" s="25"/>
      <c r="N1022" s="25">
        <f>'Combined Retirement'!$C$18/12</f>
        <v>39153.069999999992</v>
      </c>
      <c r="O1022" s="25">
        <f t="shared" si="785"/>
        <v>10889.636755601023</v>
      </c>
      <c r="P1022" s="25">
        <f t="shared" si="786"/>
        <v>28263.43324439897</v>
      </c>
      <c r="Q1022" s="25">
        <f t="array" aca="1" ref="Q1022" ca="1">INDEX('Isaac 401k'!L:L,MATCH('Retirement Calculator'!A1022,'Isaac 401k'!N:N,0),0)</f>
        <v>1998901.3243147111</v>
      </c>
      <c r="R1022" s="25">
        <f t="array" aca="1" ref="R1022" ca="1">INDEX('Lorri 401b'!L:L,MATCH('Retirement Calculator'!A1022,'Lorri 401b'!N:N,0),0)</f>
        <v>-13197959.359172117</v>
      </c>
      <c r="S1022" s="25">
        <f t="shared" ca="1" si="787"/>
        <v>-11199058.034857405</v>
      </c>
    </row>
    <row r="1023" spans="1:19" ht="15.75" customHeight="1" x14ac:dyDescent="0.3">
      <c r="A1023" s="37">
        <v>82090</v>
      </c>
      <c r="B1023" s="398">
        <f t="shared" ref="B1023:C1023" si="1034">($A1023-B$9)/365.25</f>
        <v>142.87200547570157</v>
      </c>
      <c r="C1023" s="398">
        <f t="shared" si="1034"/>
        <v>138.26146475017111</v>
      </c>
      <c r="E1023" s="25">
        <f>IF(C1023&gt;$B$7,0,'Combined Retirement'!$D$13/12)</f>
        <v>0</v>
      </c>
      <c r="F1023" s="25">
        <f>IF(H1023=0,'Combined Retirement'!$D$32,0)+'Combined Retirement'!$B$24</f>
        <v>2870.372285649099</v>
      </c>
      <c r="G1023" s="25">
        <f>'Combined Retirement'!$C$24</f>
        <v>3254.2644699519233</v>
      </c>
      <c r="H1023" s="25">
        <f>IF(B1023&lt;62,0,'Combined Retirement'!$I$14)</f>
        <v>2345</v>
      </c>
      <c r="I1023" s="25">
        <f>IF(C1023&lt;62,0,'Combined Retirement'!$I$13)</f>
        <v>2420</v>
      </c>
      <c r="J1023" s="25">
        <f t="shared" si="783"/>
        <v>7896.2379798201846</v>
      </c>
      <c r="K1023" s="25">
        <f t="shared" si="784"/>
        <v>20367.195264578786</v>
      </c>
      <c r="L1023" s="25"/>
      <c r="N1023" s="25">
        <f>'Combined Retirement'!$C$18/12</f>
        <v>39153.069999999992</v>
      </c>
      <c r="O1023" s="25">
        <f t="shared" si="785"/>
        <v>10889.636755601023</v>
      </c>
      <c r="P1023" s="25">
        <f t="shared" si="786"/>
        <v>28263.43324439897</v>
      </c>
      <c r="Q1023" s="25">
        <f t="array" aca="1" ref="Q1023" ca="1">INDEX('Isaac 401k'!L:L,MATCH('Retirement Calculator'!A1023,'Isaac 401k'!N:N,0),0)</f>
        <v>1999300.9408612864</v>
      </c>
      <c r="R1023" s="25">
        <f t="array" aca="1" ref="R1023" ca="1">INDEX('Lorri 401b'!L:L,MATCH('Retirement Calculator'!A1023,'Lorri 401b'!N:N,0),0)</f>
        <v>-13273402.91508018</v>
      </c>
      <c r="S1023" s="25">
        <f t="shared" ca="1" si="787"/>
        <v>-11274101.974218894</v>
      </c>
    </row>
    <row r="1024" spans="1:19" ht="15.75" customHeight="1" x14ac:dyDescent="0.3">
      <c r="A1024" s="37">
        <v>82121</v>
      </c>
      <c r="B1024" s="398">
        <f t="shared" ref="B1024:C1024" si="1035">($A1024-B$9)/365.25</f>
        <v>142.95687885010267</v>
      </c>
      <c r="C1024" s="398">
        <f t="shared" si="1035"/>
        <v>138.34633812457221</v>
      </c>
      <c r="E1024" s="25">
        <f>IF(C1024&gt;$B$7,0,'Combined Retirement'!$D$13/12)</f>
        <v>0</v>
      </c>
      <c r="F1024" s="25">
        <f>IF(H1024=0,'Combined Retirement'!$D$32,0)+'Combined Retirement'!$B$24</f>
        <v>2870.372285649099</v>
      </c>
      <c r="G1024" s="25">
        <f>'Combined Retirement'!$C$24</f>
        <v>3254.2644699519233</v>
      </c>
      <c r="H1024" s="25">
        <f>IF(B1024&lt;62,0,'Combined Retirement'!$I$14)</f>
        <v>2345</v>
      </c>
      <c r="I1024" s="25">
        <f>IF(C1024&lt;62,0,'Combined Retirement'!$I$13)</f>
        <v>2420</v>
      </c>
      <c r="J1024" s="25">
        <f t="shared" si="783"/>
        <v>7896.2379798201846</v>
      </c>
      <c r="K1024" s="25">
        <f t="shared" si="784"/>
        <v>20367.195264578786</v>
      </c>
      <c r="L1024" s="25"/>
      <c r="N1024" s="25">
        <f>'Combined Retirement'!$C$18/12</f>
        <v>39153.069999999992</v>
      </c>
      <c r="O1024" s="25">
        <f t="shared" si="785"/>
        <v>10889.636755601023</v>
      </c>
      <c r="P1024" s="25">
        <f t="shared" si="786"/>
        <v>28263.43324439897</v>
      </c>
      <c r="Q1024" s="25">
        <f t="array" aca="1" ref="Q1024" ca="1">INDEX('Isaac 401k'!L:L,MATCH('Retirement Calculator'!A1024,'Isaac 401k'!N:N,0),0)</f>
        <v>1999702.2224768056</v>
      </c>
      <c r="R1024" s="25">
        <f t="array" aca="1" ref="R1024" ca="1">INDEX('Lorri 401b'!L:L,MATCH('Retirement Calculator'!A1024,'Lorri 401b'!N:N,0),0)</f>
        <v>-13349160.819137862</v>
      </c>
      <c r="S1024" s="25">
        <f t="shared" ca="1" si="787"/>
        <v>-11349458.596661057</v>
      </c>
    </row>
    <row r="1025" spans="1:19" ht="15.75" customHeight="1" x14ac:dyDescent="0.3">
      <c r="A1025" s="37">
        <v>82151</v>
      </c>
      <c r="B1025" s="398">
        <f t="shared" ref="B1025:C1025" si="1036">($A1025-B$9)/365.25</f>
        <v>143.03901437371664</v>
      </c>
      <c r="C1025" s="398">
        <f t="shared" si="1036"/>
        <v>138.42847364818618</v>
      </c>
      <c r="E1025" s="25">
        <f>IF(C1025&gt;$B$7,0,'Combined Retirement'!$D$13/12)</f>
        <v>0</v>
      </c>
      <c r="F1025" s="25">
        <f>IF(H1025=0,'Combined Retirement'!$D$32,0)+'Combined Retirement'!$B$24</f>
        <v>2870.372285649099</v>
      </c>
      <c r="G1025" s="25">
        <f>'Combined Retirement'!$C$24</f>
        <v>3254.2644699519233</v>
      </c>
      <c r="H1025" s="25">
        <f>IF(B1025&lt;62,0,'Combined Retirement'!$I$14)</f>
        <v>2345</v>
      </c>
      <c r="I1025" s="25">
        <f>IF(C1025&lt;62,0,'Combined Retirement'!$I$13)</f>
        <v>2420</v>
      </c>
      <c r="J1025" s="25">
        <f t="shared" si="783"/>
        <v>7896.2379798201846</v>
      </c>
      <c r="K1025" s="25">
        <f t="shared" si="784"/>
        <v>20367.195264578786</v>
      </c>
      <c r="L1025" s="25"/>
      <c r="N1025" s="25">
        <f>'Combined Retirement'!$C$18/12</f>
        <v>39153.069999999992</v>
      </c>
      <c r="O1025" s="25">
        <f t="shared" si="785"/>
        <v>10889.636755601023</v>
      </c>
      <c r="P1025" s="25">
        <f t="shared" si="786"/>
        <v>28263.43324439897</v>
      </c>
      <c r="Q1025" s="25">
        <f t="array" aca="1" ref="Q1025" ca="1">INDEX('Isaac 401k'!L:L,MATCH('Retirement Calculator'!A1025,'Isaac 401k'!N:N,0),0)</f>
        <v>2000105.1760990561</v>
      </c>
      <c r="R1025" s="25">
        <f t="array" aca="1" ref="R1025" ca="1">INDEX('Lorri 401b'!L:L,MATCH('Retirement Calculator'!A1025,'Lorri 401b'!N:N,0),0)</f>
        <v>-13425234.381129116</v>
      </c>
      <c r="S1025" s="25">
        <f t="shared" ca="1" si="787"/>
        <v>-11425129.205030059</v>
      </c>
    </row>
    <row r="1026" spans="1:19" ht="15.75" customHeight="1" x14ac:dyDescent="0.3">
      <c r="A1026" s="37">
        <v>82182</v>
      </c>
      <c r="B1026" s="398">
        <f t="shared" ref="B1026:C1026" si="1037">($A1026-B$9)/365.25</f>
        <v>143.12388774811774</v>
      </c>
      <c r="C1026" s="398">
        <f t="shared" si="1037"/>
        <v>138.51334702258728</v>
      </c>
      <c r="E1026" s="25">
        <f>IF(C1026&gt;$B$7,0,'Combined Retirement'!$D$13/12)</f>
        <v>0</v>
      </c>
      <c r="F1026" s="25">
        <f>IF(H1026=0,'Combined Retirement'!$D$32,0)+'Combined Retirement'!$B$24</f>
        <v>2870.372285649099</v>
      </c>
      <c r="G1026" s="25">
        <f>'Combined Retirement'!$C$24</f>
        <v>3254.2644699519233</v>
      </c>
      <c r="H1026" s="25">
        <f>IF(B1026&lt;62,0,'Combined Retirement'!$I$14)</f>
        <v>2345</v>
      </c>
      <c r="I1026" s="25">
        <f>IF(C1026&lt;62,0,'Combined Retirement'!$I$13)</f>
        <v>2420</v>
      </c>
      <c r="J1026" s="25">
        <f t="shared" si="783"/>
        <v>7896.2379798201846</v>
      </c>
      <c r="K1026" s="25">
        <f t="shared" si="784"/>
        <v>20367.195264578786</v>
      </c>
      <c r="L1026" s="25"/>
      <c r="N1026" s="25">
        <f>'Combined Retirement'!$C$18/12</f>
        <v>39153.069999999992</v>
      </c>
      <c r="O1026" s="25">
        <f t="shared" si="785"/>
        <v>10889.636755601023</v>
      </c>
      <c r="P1026" s="25">
        <f t="shared" si="786"/>
        <v>28263.43324439897</v>
      </c>
      <c r="Q1026" s="25">
        <f t="array" aca="1" ref="Q1026" ca="1">INDEX('Isaac 401k'!L:L,MATCH('Retirement Calculator'!A1026,'Isaac 401k'!N:N,0),0)</f>
        <v>2000509.8086947328</v>
      </c>
      <c r="R1026" s="25">
        <f t="array" aca="1" ref="R1026" ca="1">INDEX('Lorri 401b'!L:L,MATCH('Retirement Calculator'!A1026,'Lorri 401b'!N:N,0),0)</f>
        <v>-13501624.916295335</v>
      </c>
      <c r="S1026" s="25">
        <f t="shared" ca="1" si="787"/>
        <v>-11501115.107600601</v>
      </c>
    </row>
    <row r="1027" spans="1:19" ht="15.75" customHeight="1" x14ac:dyDescent="0.3">
      <c r="A1027" s="37">
        <v>82213</v>
      </c>
      <c r="B1027" s="398">
        <f t="shared" ref="B1027:C1027" si="1038">($A1027-B$9)/365.25</f>
        <v>143.20876112251884</v>
      </c>
      <c r="C1027" s="398">
        <f t="shared" si="1038"/>
        <v>138.59822039698835</v>
      </c>
      <c r="E1027" s="25">
        <f>IF(C1027&gt;$B$7,0,'Combined Retirement'!$D$13/12)</f>
        <v>0</v>
      </c>
      <c r="F1027" s="25">
        <f>IF(H1027=0,'Combined Retirement'!$D$32,0)+'Combined Retirement'!$B$24</f>
        <v>2870.372285649099</v>
      </c>
      <c r="G1027" s="25">
        <f>'Combined Retirement'!$C$24</f>
        <v>3254.2644699519233</v>
      </c>
      <c r="H1027" s="25">
        <f>IF(B1027&lt;62,0,'Combined Retirement'!$I$14)</f>
        <v>2345</v>
      </c>
      <c r="I1027" s="25">
        <f>IF(C1027&lt;62,0,'Combined Retirement'!$I$13)</f>
        <v>2420</v>
      </c>
      <c r="J1027" s="25">
        <f t="shared" si="783"/>
        <v>7896.2379798201846</v>
      </c>
      <c r="K1027" s="25">
        <f t="shared" si="784"/>
        <v>20367.195264578786</v>
      </c>
      <c r="L1027" s="25"/>
      <c r="N1027" s="25">
        <f>'Combined Retirement'!$C$18/12</f>
        <v>39153.069999999992</v>
      </c>
      <c r="O1027" s="25">
        <f t="shared" si="785"/>
        <v>10889.636755601023</v>
      </c>
      <c r="P1027" s="25">
        <f t="shared" si="786"/>
        <v>28263.43324439897</v>
      </c>
      <c r="Q1027" s="25">
        <f t="array" aca="1" ref="Q1027" ca="1">INDEX('Isaac 401k'!L:L,MATCH('Retirement Calculator'!A1027,'Isaac 401k'!N:N,0),0)</f>
        <v>2000916.1272595581</v>
      </c>
      <c r="R1027" s="25">
        <f t="array" aca="1" ref="R1027" ca="1">INDEX('Lorri 401b'!L:L,MATCH('Retirement Calculator'!A1027,'Lorri 401b'!N:N,0),0)</f>
        <v>-13578333.74535808</v>
      </c>
      <c r="S1027" s="25">
        <f t="shared" ca="1" si="787"/>
        <v>-11577417.618098522</v>
      </c>
    </row>
    <row r="1028" spans="1:19" ht="15.75" customHeight="1" x14ac:dyDescent="0.3">
      <c r="A1028" s="37">
        <v>82241</v>
      </c>
      <c r="B1028" s="398">
        <f t="shared" ref="B1028:C1028" si="1039">($A1028-B$9)/365.25</f>
        <v>143.28542094455852</v>
      </c>
      <c r="C1028" s="398">
        <f t="shared" si="1039"/>
        <v>138.67488021902807</v>
      </c>
      <c r="E1028" s="25">
        <f>IF(C1028&gt;$B$7,0,'Combined Retirement'!$D$13/12)</f>
        <v>0</v>
      </c>
      <c r="F1028" s="25">
        <f>IF(H1028=0,'Combined Retirement'!$D$32,0)+'Combined Retirement'!$B$24</f>
        <v>2870.372285649099</v>
      </c>
      <c r="G1028" s="25">
        <f>'Combined Retirement'!$C$24</f>
        <v>3254.2644699519233</v>
      </c>
      <c r="H1028" s="25">
        <f>IF(B1028&lt;62,0,'Combined Retirement'!$I$14)</f>
        <v>2345</v>
      </c>
      <c r="I1028" s="25">
        <f>IF(C1028&lt;62,0,'Combined Retirement'!$I$13)</f>
        <v>2420</v>
      </c>
      <c r="J1028" s="25">
        <f t="shared" si="783"/>
        <v>7896.2379798201846</v>
      </c>
      <c r="K1028" s="25">
        <f t="shared" si="784"/>
        <v>20367.195264578786</v>
      </c>
      <c r="L1028" s="25"/>
      <c r="N1028" s="25">
        <f>'Combined Retirement'!$C$18/12</f>
        <v>39153.069999999992</v>
      </c>
      <c r="O1028" s="25">
        <f t="shared" si="785"/>
        <v>10889.636755601023</v>
      </c>
      <c r="P1028" s="25">
        <f t="shared" si="786"/>
        <v>28263.43324439897</v>
      </c>
      <c r="Q1028" s="25">
        <f t="array" aca="1" ref="Q1028" ca="1">INDEX('Isaac 401k'!L:L,MATCH('Retirement Calculator'!A1028,'Isaac 401k'!N:N,0),0)</f>
        <v>2001324.1388184035</v>
      </c>
      <c r="R1028" s="25">
        <f t="array" aca="1" ref="R1028" ca="1">INDEX('Lorri 401b'!L:L,MATCH('Retirement Calculator'!A1028,'Lorri 401b'!N:N,0),0)</f>
        <v>-13655362.194541918</v>
      </c>
      <c r="S1028" s="25">
        <f t="shared" ca="1" si="787"/>
        <v>-11654038.055723514</v>
      </c>
    </row>
    <row r="1029" spans="1:19" ht="15.75" customHeight="1" x14ac:dyDescent="0.3">
      <c r="A1029" s="37">
        <v>82272</v>
      </c>
      <c r="B1029" s="398">
        <f t="shared" ref="B1029:C1029" si="1040">($A1029-B$9)/365.25</f>
        <v>143.37029431895962</v>
      </c>
      <c r="C1029" s="398">
        <f t="shared" si="1040"/>
        <v>138.75975359342917</v>
      </c>
      <c r="E1029" s="25">
        <f>IF(C1029&gt;$B$7,0,'Combined Retirement'!$D$13/12)</f>
        <v>0</v>
      </c>
      <c r="F1029" s="25">
        <f>IF(H1029=0,'Combined Retirement'!$D$32,0)+'Combined Retirement'!$B$24</f>
        <v>2870.372285649099</v>
      </c>
      <c r="G1029" s="25">
        <f>'Combined Retirement'!$C$24</f>
        <v>3254.2644699519233</v>
      </c>
      <c r="H1029" s="25">
        <f>IF(B1029&lt;62,0,'Combined Retirement'!$I$14)</f>
        <v>2345</v>
      </c>
      <c r="I1029" s="25">
        <f>IF(C1029&lt;62,0,'Combined Retirement'!$I$13)</f>
        <v>2420</v>
      </c>
      <c r="J1029" s="25">
        <f t="shared" si="783"/>
        <v>7896.2379798201846</v>
      </c>
      <c r="K1029" s="25">
        <f t="shared" si="784"/>
        <v>20367.195264578786</v>
      </c>
      <c r="L1029" s="25"/>
      <c r="N1029" s="25">
        <f>'Combined Retirement'!$C$18/12</f>
        <v>39153.069999999992</v>
      </c>
      <c r="O1029" s="25">
        <f t="shared" si="785"/>
        <v>10889.636755601023</v>
      </c>
      <c r="P1029" s="25">
        <f t="shared" si="786"/>
        <v>28263.43324439897</v>
      </c>
      <c r="Q1029" s="25">
        <f t="array" aca="1" ref="Q1029" ca="1">INDEX('Isaac 401k'!L:L,MATCH('Retirement Calculator'!A1029,'Isaac 401k'!N:N,0),0)</f>
        <v>2001733.8504254108</v>
      </c>
      <c r="R1029" s="25">
        <f t="array" aca="1" ref="R1029" ca="1">INDEX('Lorri 401b'!L:L,MATCH('Retirement Calculator'!A1029,'Lorri 401b'!N:N,0),0)</f>
        <v>-13732711.595597357</v>
      </c>
      <c r="S1029" s="25">
        <f t="shared" ca="1" si="787"/>
        <v>-11730977.745171946</v>
      </c>
    </row>
    <row r="1030" spans="1:19" ht="15.75" customHeight="1" x14ac:dyDescent="0.3">
      <c r="A1030" s="37">
        <v>82302</v>
      </c>
      <c r="B1030" s="398">
        <f t="shared" ref="B1030:C1030" si="1041">($A1030-B$9)/365.25</f>
        <v>143.45242984257359</v>
      </c>
      <c r="C1030" s="398">
        <f t="shared" si="1041"/>
        <v>138.84188911704311</v>
      </c>
      <c r="E1030" s="25">
        <f>IF(C1030&gt;$B$7,0,'Combined Retirement'!$D$13/12)</f>
        <v>0</v>
      </c>
      <c r="F1030" s="25">
        <f>IF(H1030=0,'Combined Retirement'!$D$32,0)+'Combined Retirement'!$B$24</f>
        <v>2870.372285649099</v>
      </c>
      <c r="G1030" s="25">
        <f>'Combined Retirement'!$C$24</f>
        <v>3254.2644699519233</v>
      </c>
      <c r="H1030" s="25">
        <f>IF(B1030&lt;62,0,'Combined Retirement'!$I$14)</f>
        <v>2345</v>
      </c>
      <c r="I1030" s="25">
        <f>IF(C1030&lt;62,0,'Combined Retirement'!$I$13)</f>
        <v>2420</v>
      </c>
      <c r="J1030" s="25">
        <f t="shared" si="783"/>
        <v>7896.2379798201846</v>
      </c>
      <c r="K1030" s="25">
        <f t="shared" si="784"/>
        <v>20367.195264578786</v>
      </c>
      <c r="L1030" s="25"/>
      <c r="N1030" s="25">
        <f>'Combined Retirement'!$C$18/12</f>
        <v>39153.069999999992</v>
      </c>
      <c r="O1030" s="25">
        <f t="shared" si="785"/>
        <v>10889.636755601023</v>
      </c>
      <c r="P1030" s="25">
        <f t="shared" si="786"/>
        <v>28263.43324439897</v>
      </c>
      <c r="Q1030" s="25">
        <f t="array" aca="1" ref="Q1030" ca="1">INDEX('Isaac 401k'!L:L,MATCH('Retirement Calculator'!A1030,'Isaac 401k'!N:N,0),0)</f>
        <v>2002145.2691641138</v>
      </c>
      <c r="R1030" s="25">
        <f t="array" aca="1" ref="R1030" ca="1">INDEX('Lorri 401b'!L:L,MATCH('Retirement Calculator'!A1030,'Lorri 401b'!N:N,0),0)</f>
        <v>-13810383.285823859</v>
      </c>
      <c r="S1030" s="25">
        <f t="shared" ca="1" si="787"/>
        <v>-11808238.016659746</v>
      </c>
    </row>
    <row r="1031" spans="1:19" ht="15.75" customHeight="1" x14ac:dyDescent="0.3">
      <c r="A1031" s="37">
        <v>82333</v>
      </c>
      <c r="B1031" s="398">
        <f t="shared" ref="B1031:C1031" si="1042">($A1031-B$9)/365.25</f>
        <v>143.53730321697466</v>
      </c>
      <c r="C1031" s="398">
        <f t="shared" si="1042"/>
        <v>138.92676249144421</v>
      </c>
      <c r="E1031" s="25">
        <f>IF(C1031&gt;$B$7,0,'Combined Retirement'!$D$13/12)</f>
        <v>0</v>
      </c>
      <c r="F1031" s="25">
        <f>IF(H1031=0,'Combined Retirement'!$D$32,0)+'Combined Retirement'!$B$24</f>
        <v>2870.372285649099</v>
      </c>
      <c r="G1031" s="25">
        <f>'Combined Retirement'!$C$24</f>
        <v>3254.2644699519233</v>
      </c>
      <c r="H1031" s="25">
        <f>IF(B1031&lt;62,0,'Combined Retirement'!$I$14)</f>
        <v>2345</v>
      </c>
      <c r="I1031" s="25">
        <f>IF(C1031&lt;62,0,'Combined Retirement'!$I$13)</f>
        <v>2420</v>
      </c>
      <c r="J1031" s="25">
        <f t="shared" ref="J1031:J1171" si="1043">IF(C1031&lt;59.5,P1031,P1031*$J$7)</f>
        <v>7896.2379798201846</v>
      </c>
      <c r="K1031" s="25">
        <f t="shared" ref="K1031:K1171" si="1044">IF(C1031&lt;59.5,0,IF(C1031&lt;$B$7,0,P1031*$K$7))</f>
        <v>20367.195264578786</v>
      </c>
      <c r="L1031" s="25"/>
      <c r="N1031" s="25">
        <f>'Combined Retirement'!$C$18/12</f>
        <v>39153.069999999992</v>
      </c>
      <c r="O1031" s="25">
        <f t="shared" ref="O1031:O1171" si="1045">SUM(E1031:I1031)</f>
        <v>10889.636755601023</v>
      </c>
      <c r="P1031" s="25">
        <f t="shared" ref="P1031:P1171" si="1046">N1031-O1031</f>
        <v>28263.43324439897</v>
      </c>
      <c r="Q1031" s="25">
        <f t="array" aca="1" ref="Q1031" ca="1">INDEX('Isaac 401k'!L:L,MATCH('Retirement Calculator'!A1031,'Isaac 401k'!N:N,0),0)</f>
        <v>2002558.4021475615</v>
      </c>
      <c r="R1031" s="25">
        <f t="array" aca="1" ref="R1031" ca="1">INDEX('Lorri 401b'!L:L,MATCH('Retirement Calculator'!A1031,'Lorri 401b'!N:N,0),0)</f>
        <v>-13888378.608092973</v>
      </c>
      <c r="S1031" s="25">
        <f t="shared" ref="S1031:S1171" ca="1" si="1047">SUM(Q1031:R1031)</f>
        <v>-11885820.205945412</v>
      </c>
    </row>
    <row r="1032" spans="1:19" ht="15.75" customHeight="1" x14ac:dyDescent="0.3">
      <c r="A1032" s="37">
        <v>82363</v>
      </c>
      <c r="B1032" s="398">
        <f t="shared" ref="B1032:C1032" si="1048">($A1032-B$9)/365.25</f>
        <v>143.61943874058863</v>
      </c>
      <c r="C1032" s="398">
        <f t="shared" si="1048"/>
        <v>139.00889801505818</v>
      </c>
      <c r="E1032" s="25">
        <f>IF(C1032&gt;$B$7,0,'Combined Retirement'!$D$13/12)</f>
        <v>0</v>
      </c>
      <c r="F1032" s="25">
        <f>IF(H1032=0,'Combined Retirement'!$D$32,0)+'Combined Retirement'!$B$24</f>
        <v>2870.372285649099</v>
      </c>
      <c r="G1032" s="25">
        <f>'Combined Retirement'!$C$24</f>
        <v>3254.2644699519233</v>
      </c>
      <c r="H1032" s="25">
        <f>IF(B1032&lt;62,0,'Combined Retirement'!$I$14)</f>
        <v>2345</v>
      </c>
      <c r="I1032" s="25">
        <f>IF(C1032&lt;62,0,'Combined Retirement'!$I$13)</f>
        <v>2420</v>
      </c>
      <c r="J1032" s="25">
        <f t="shared" si="1043"/>
        <v>7896.2379798201846</v>
      </c>
      <c r="K1032" s="25">
        <f t="shared" si="1044"/>
        <v>20367.195264578786</v>
      </c>
      <c r="L1032" s="25"/>
      <c r="N1032" s="25">
        <f>'Combined Retirement'!$C$18/12</f>
        <v>39153.069999999992</v>
      </c>
      <c r="O1032" s="25">
        <f t="shared" si="1045"/>
        <v>10889.636755601023</v>
      </c>
      <c r="P1032" s="25">
        <f t="shared" si="1046"/>
        <v>28263.43324439897</v>
      </c>
      <c r="Q1032" s="25">
        <f t="array" aca="1" ref="Q1032" ca="1">INDEX('Isaac 401k'!L:L,MATCH('Retirement Calculator'!A1032,'Isaac 401k'!N:N,0),0)</f>
        <v>2002973.2565184403</v>
      </c>
      <c r="R1032" s="25">
        <f t="array" aca="1" ref="R1032" ca="1">INDEX('Lorri 401b'!L:L,MATCH('Retirement Calculator'!A1032,'Lorri 401b'!N:N,0),0)</f>
        <v>-13966698.910871541</v>
      </c>
      <c r="S1032" s="25">
        <f t="shared" ca="1" si="1047"/>
        <v>-11963725.654353101</v>
      </c>
    </row>
    <row r="1033" spans="1:19" ht="15.75" customHeight="1" x14ac:dyDescent="0.3">
      <c r="A1033" s="37">
        <v>82394</v>
      </c>
      <c r="B1033" s="398">
        <f t="shared" ref="B1033:C1033" si="1049">($A1033-B$9)/365.25</f>
        <v>143.70431211498973</v>
      </c>
      <c r="C1033" s="398">
        <f t="shared" si="1049"/>
        <v>139.09377138945928</v>
      </c>
      <c r="E1033" s="25">
        <f>IF(C1033&gt;$B$7,0,'Combined Retirement'!$D$13/12)</f>
        <v>0</v>
      </c>
      <c r="F1033" s="25">
        <f>IF(H1033=0,'Combined Retirement'!$D$32,0)+'Combined Retirement'!$B$24</f>
        <v>2870.372285649099</v>
      </c>
      <c r="G1033" s="25">
        <f>'Combined Retirement'!$C$24</f>
        <v>3254.2644699519233</v>
      </c>
      <c r="H1033" s="25">
        <f>IF(B1033&lt;62,0,'Combined Retirement'!$I$14)</f>
        <v>2345</v>
      </c>
      <c r="I1033" s="25">
        <f>IF(C1033&lt;62,0,'Combined Retirement'!$I$13)</f>
        <v>2420</v>
      </c>
      <c r="J1033" s="25">
        <f t="shared" si="1043"/>
        <v>7896.2379798201846</v>
      </c>
      <c r="K1033" s="25">
        <f t="shared" si="1044"/>
        <v>20367.195264578786</v>
      </c>
      <c r="L1033" s="25"/>
      <c r="N1033" s="25">
        <f>'Combined Retirement'!$C$18/12</f>
        <v>39153.069999999992</v>
      </c>
      <c r="O1033" s="25">
        <f t="shared" si="1045"/>
        <v>10889.636755601023</v>
      </c>
      <c r="P1033" s="25">
        <f t="shared" si="1046"/>
        <v>28263.43324439897</v>
      </c>
      <c r="Q1033" s="25">
        <f t="array" aca="1" ref="Q1033" ca="1">INDEX('Isaac 401k'!L:L,MATCH('Retirement Calculator'!A1033,'Isaac 401k'!N:N,0),0)</f>
        <v>2003389.8394491978</v>
      </c>
      <c r="R1033" s="25">
        <f t="array" aca="1" ref="R1033" ca="1">INDEX('Lorri 401b'!L:L,MATCH('Retirement Calculator'!A1033,'Lorri 401b'!N:N,0),0)</f>
        <v>-14045345.54824502</v>
      </c>
      <c r="S1033" s="25">
        <f t="shared" ca="1" si="1047"/>
        <v>-12041955.708795823</v>
      </c>
    </row>
    <row r="1034" spans="1:19" ht="15.75" customHeight="1" x14ac:dyDescent="0.3">
      <c r="A1034" s="37">
        <v>82425</v>
      </c>
      <c r="B1034" s="398">
        <f t="shared" ref="B1034:C1034" si="1050">($A1034-B$9)/365.25</f>
        <v>143.78918548939083</v>
      </c>
      <c r="C1034" s="398">
        <f t="shared" si="1050"/>
        <v>139.17864476386038</v>
      </c>
      <c r="E1034" s="25">
        <f>IF(C1034&gt;$B$7,0,'Combined Retirement'!$D$13/12)</f>
        <v>0</v>
      </c>
      <c r="F1034" s="25">
        <f>IF(H1034=0,'Combined Retirement'!$D$32,0)+'Combined Retirement'!$B$24</f>
        <v>2870.372285649099</v>
      </c>
      <c r="G1034" s="25">
        <f>'Combined Retirement'!$C$24</f>
        <v>3254.2644699519233</v>
      </c>
      <c r="H1034" s="25">
        <f>IF(B1034&lt;62,0,'Combined Retirement'!$I$14)</f>
        <v>2345</v>
      </c>
      <c r="I1034" s="25">
        <f>IF(C1034&lt;62,0,'Combined Retirement'!$I$13)</f>
        <v>2420</v>
      </c>
      <c r="J1034" s="25">
        <f t="shared" si="1043"/>
        <v>7896.2379798201846</v>
      </c>
      <c r="K1034" s="25">
        <f t="shared" si="1044"/>
        <v>20367.195264578786</v>
      </c>
      <c r="L1034" s="25"/>
      <c r="N1034" s="25">
        <f>'Combined Retirement'!$C$18/12</f>
        <v>39153.069999999992</v>
      </c>
      <c r="O1034" s="25">
        <f t="shared" si="1045"/>
        <v>10889.636755601023</v>
      </c>
      <c r="P1034" s="25">
        <f t="shared" si="1046"/>
        <v>28263.43324439897</v>
      </c>
      <c r="Q1034" s="25">
        <f t="array" aca="1" ref="Q1034" ca="1">INDEX('Isaac 401k'!L:L,MATCH('Retirement Calculator'!A1034,'Isaac 401k'!N:N,0),0)</f>
        <v>2003808.1581421667</v>
      </c>
      <c r="R1034" s="25">
        <f t="array" aca="1" ref="R1034" ca="1">INDEX('Lorri 401b'!L:L,MATCH('Retirement Calculator'!A1034,'Lorri 401b'!N:N,0),0)</f>
        <v>-14124319.879940888</v>
      </c>
      <c r="S1034" s="25">
        <f t="shared" ca="1" si="1047"/>
        <v>-12120511.721798722</v>
      </c>
    </row>
    <row r="1035" spans="1:19" ht="15.75" customHeight="1" x14ac:dyDescent="0.3">
      <c r="A1035" s="37">
        <v>82455</v>
      </c>
      <c r="B1035" s="398">
        <f t="shared" ref="B1035:C1035" si="1051">($A1035-B$9)/365.25</f>
        <v>143.8713210130048</v>
      </c>
      <c r="C1035" s="398">
        <f t="shared" si="1051"/>
        <v>139.26078028747432</v>
      </c>
      <c r="E1035" s="25">
        <f>IF(C1035&gt;$B$7,0,'Combined Retirement'!$D$13/12)</f>
        <v>0</v>
      </c>
      <c r="F1035" s="25">
        <f>IF(H1035=0,'Combined Retirement'!$D$32,0)+'Combined Retirement'!$B$24</f>
        <v>2870.372285649099</v>
      </c>
      <c r="G1035" s="25">
        <f>'Combined Retirement'!$C$24</f>
        <v>3254.2644699519233</v>
      </c>
      <c r="H1035" s="25">
        <f>IF(B1035&lt;62,0,'Combined Retirement'!$I$14)</f>
        <v>2345</v>
      </c>
      <c r="I1035" s="25">
        <f>IF(C1035&lt;62,0,'Combined Retirement'!$I$13)</f>
        <v>2420</v>
      </c>
      <c r="J1035" s="25">
        <f t="shared" si="1043"/>
        <v>7896.2379798201846</v>
      </c>
      <c r="K1035" s="25">
        <f t="shared" si="1044"/>
        <v>20367.195264578786</v>
      </c>
      <c r="L1035" s="25"/>
      <c r="N1035" s="25">
        <f>'Combined Retirement'!$C$18/12</f>
        <v>39153.069999999992</v>
      </c>
      <c r="O1035" s="25">
        <f t="shared" si="1045"/>
        <v>10889.636755601023</v>
      </c>
      <c r="P1035" s="25">
        <f t="shared" si="1046"/>
        <v>28263.43324439897</v>
      </c>
      <c r="Q1035" s="25">
        <f t="array" aca="1" ref="Q1035" ca="1">INDEX('Isaac 401k'!L:L,MATCH('Retirement Calculator'!A1035,'Isaac 401k'!N:N,0),0)</f>
        <v>2004228.2198296895</v>
      </c>
      <c r="R1035" s="25">
        <f t="array" aca="1" ref="R1035" ca="1">INDEX('Lorri 401b'!L:L,MATCH('Retirement Calculator'!A1035,'Lorri 401b'!N:N,0),0)</f>
        <v>-14203623.271352155</v>
      </c>
      <c r="S1035" s="25">
        <f t="shared" ca="1" si="1047"/>
        <v>-12199395.051522465</v>
      </c>
    </row>
    <row r="1036" spans="1:19" ht="15.75" customHeight="1" x14ac:dyDescent="0.3">
      <c r="A1036" s="37">
        <v>82486</v>
      </c>
      <c r="B1036" s="398">
        <f t="shared" ref="B1036:C1036" si="1052">($A1036-B$9)/365.25</f>
        <v>143.95619438740587</v>
      </c>
      <c r="C1036" s="398">
        <f t="shared" si="1052"/>
        <v>139.34565366187542</v>
      </c>
      <c r="E1036" s="25">
        <f>IF(C1036&gt;$B$7,0,'Combined Retirement'!$D$13/12)</f>
        <v>0</v>
      </c>
      <c r="F1036" s="25">
        <f>IF(H1036=0,'Combined Retirement'!$D$32,0)+'Combined Retirement'!$B$24</f>
        <v>2870.372285649099</v>
      </c>
      <c r="G1036" s="25">
        <f>'Combined Retirement'!$C$24</f>
        <v>3254.2644699519233</v>
      </c>
      <c r="H1036" s="25">
        <f>IF(B1036&lt;62,0,'Combined Retirement'!$I$14)</f>
        <v>2345</v>
      </c>
      <c r="I1036" s="25">
        <f>IF(C1036&lt;62,0,'Combined Retirement'!$I$13)</f>
        <v>2420</v>
      </c>
      <c r="J1036" s="25">
        <f t="shared" si="1043"/>
        <v>7896.2379798201846</v>
      </c>
      <c r="K1036" s="25">
        <f t="shared" si="1044"/>
        <v>20367.195264578786</v>
      </c>
      <c r="L1036" s="25"/>
      <c r="N1036" s="25">
        <f>'Combined Retirement'!$C$18/12</f>
        <v>39153.069999999992</v>
      </c>
      <c r="O1036" s="25">
        <f t="shared" si="1045"/>
        <v>10889.636755601023</v>
      </c>
      <c r="P1036" s="25">
        <f t="shared" si="1046"/>
        <v>28263.43324439897</v>
      </c>
      <c r="Q1036" s="25">
        <f t="array" aca="1" ref="Q1036" ca="1">INDEX('Isaac 401k'!L:L,MATCH('Retirement Calculator'!A1036,'Isaac 401k'!N:N,0),0)</f>
        <v>2004650.0317742438</v>
      </c>
      <c r="R1036" s="25">
        <f t="array" aca="1" ref="R1036" ca="1">INDEX('Lorri 401b'!L:L,MATCH('Retirement Calculator'!A1036,'Lorri 401b'!N:N,0),0)</f>
        <v>-14283257.093560969</v>
      </c>
      <c r="S1036" s="25">
        <f t="shared" ca="1" si="1047"/>
        <v>-12278607.061786726</v>
      </c>
    </row>
    <row r="1037" spans="1:19" ht="15.75" customHeight="1" x14ac:dyDescent="0.3">
      <c r="A1037" s="37">
        <v>82516</v>
      </c>
      <c r="B1037" s="398">
        <f t="shared" ref="B1037:C1037" si="1053">($A1037-B$9)/365.25</f>
        <v>144.03832991101984</v>
      </c>
      <c r="C1037" s="398">
        <f t="shared" si="1053"/>
        <v>139.42778918548939</v>
      </c>
      <c r="E1037" s="25">
        <f>IF(C1037&gt;$B$7,0,'Combined Retirement'!$D$13/12)</f>
        <v>0</v>
      </c>
      <c r="F1037" s="25">
        <f>IF(H1037=0,'Combined Retirement'!$D$32,0)+'Combined Retirement'!$B$24</f>
        <v>2870.372285649099</v>
      </c>
      <c r="G1037" s="25">
        <f>'Combined Retirement'!$C$24</f>
        <v>3254.2644699519233</v>
      </c>
      <c r="H1037" s="25">
        <f>IF(B1037&lt;62,0,'Combined Retirement'!$I$14)</f>
        <v>2345</v>
      </c>
      <c r="I1037" s="25">
        <f>IF(C1037&lt;62,0,'Combined Retirement'!$I$13)</f>
        <v>2420</v>
      </c>
      <c r="J1037" s="25">
        <f t="shared" si="1043"/>
        <v>7896.2379798201846</v>
      </c>
      <c r="K1037" s="25">
        <f t="shared" si="1044"/>
        <v>20367.195264578786</v>
      </c>
      <c r="L1037" s="25"/>
      <c r="N1037" s="25">
        <f>'Combined Retirement'!$C$18/12</f>
        <v>39153.069999999992</v>
      </c>
      <c r="O1037" s="25">
        <f t="shared" si="1045"/>
        <v>10889.636755601023</v>
      </c>
      <c r="P1037" s="25">
        <f t="shared" si="1046"/>
        <v>28263.43324439897</v>
      </c>
      <c r="Q1037" s="25">
        <f t="array" aca="1" ref="Q1037" ca="1">INDEX('Isaac 401k'!L:L,MATCH('Retirement Calculator'!A1037,'Isaac 401k'!N:N,0),0)</f>
        <v>2005073.6012685669</v>
      </c>
      <c r="R1037" s="25">
        <f t="array" aca="1" ref="R1037" ca="1">INDEX('Lorri 401b'!L:L,MATCH('Retirement Calculator'!A1037,'Lorri 401b'!N:N,0),0)</f>
        <v>-14363222.723362321</v>
      </c>
      <c r="S1037" s="25">
        <f t="shared" ca="1" si="1047"/>
        <v>-12358149.122093754</v>
      </c>
    </row>
    <row r="1038" spans="1:19" ht="15.75" customHeight="1" x14ac:dyDescent="0.3">
      <c r="A1038" s="37">
        <v>82547</v>
      </c>
      <c r="B1038" s="398">
        <f t="shared" ref="B1038:C1038" si="1054">($A1038-B$9)/365.25</f>
        <v>144.12320328542094</v>
      </c>
      <c r="C1038" s="398">
        <f t="shared" si="1054"/>
        <v>139.51266255989049</v>
      </c>
      <c r="E1038" s="25">
        <f>IF(C1038&gt;$B$7,0,'Combined Retirement'!$D$13/12)</f>
        <v>0</v>
      </c>
      <c r="F1038" s="25">
        <f>IF(H1038=0,'Combined Retirement'!$D$32,0)+'Combined Retirement'!$B$24</f>
        <v>2870.372285649099</v>
      </c>
      <c r="G1038" s="25">
        <f>'Combined Retirement'!$C$24</f>
        <v>3254.2644699519233</v>
      </c>
      <c r="H1038" s="25">
        <f>IF(B1038&lt;62,0,'Combined Retirement'!$I$14)</f>
        <v>2345</v>
      </c>
      <c r="I1038" s="25">
        <f>IF(C1038&lt;62,0,'Combined Retirement'!$I$13)</f>
        <v>2420</v>
      </c>
      <c r="J1038" s="25">
        <f t="shared" si="1043"/>
        <v>7896.2379798201846</v>
      </c>
      <c r="K1038" s="25">
        <f t="shared" si="1044"/>
        <v>20367.195264578786</v>
      </c>
      <c r="L1038" s="25"/>
      <c r="N1038" s="25">
        <f>'Combined Retirement'!$C$18/12</f>
        <v>39153.069999999992</v>
      </c>
      <c r="O1038" s="25">
        <f t="shared" si="1045"/>
        <v>10889.636755601023</v>
      </c>
      <c r="P1038" s="25">
        <f t="shared" si="1046"/>
        <v>28263.43324439897</v>
      </c>
      <c r="Q1038" s="25">
        <f t="array" aca="1" ref="Q1038" ca="1">INDEX('Isaac 401k'!L:L,MATCH('Retirement Calculator'!A1038,'Isaac 401k'!N:N,0),0)</f>
        <v>2005498.935635783</v>
      </c>
      <c r="R1038" s="25">
        <f t="array" aca="1" ref="R1038" ca="1">INDEX('Lorri 401b'!L:L,MATCH('Retirement Calculator'!A1038,'Lorri 401b'!N:N,0),0)</f>
        <v>-14443521.543287843</v>
      </c>
      <c r="S1038" s="25">
        <f t="shared" ca="1" si="1047"/>
        <v>-12438022.607652061</v>
      </c>
    </row>
    <row r="1039" spans="1:19" ht="15.75" customHeight="1" x14ac:dyDescent="0.3">
      <c r="A1039" s="37">
        <v>82578</v>
      </c>
      <c r="B1039" s="398">
        <f t="shared" ref="B1039:C1039" si="1055">($A1039-B$9)/365.25</f>
        <v>144.20807665982204</v>
      </c>
      <c r="C1039" s="398">
        <f t="shared" si="1055"/>
        <v>139.59753593429159</v>
      </c>
      <c r="E1039" s="25">
        <f>IF(C1039&gt;$B$7,0,'Combined Retirement'!$D$13/12)</f>
        <v>0</v>
      </c>
      <c r="F1039" s="25">
        <f>IF(H1039=0,'Combined Retirement'!$D$32,0)+'Combined Retirement'!$B$24</f>
        <v>2870.372285649099</v>
      </c>
      <c r="G1039" s="25">
        <f>'Combined Retirement'!$C$24</f>
        <v>3254.2644699519233</v>
      </c>
      <c r="H1039" s="25">
        <f>IF(B1039&lt;62,0,'Combined Retirement'!$I$14)</f>
        <v>2345</v>
      </c>
      <c r="I1039" s="25">
        <f>IF(C1039&lt;62,0,'Combined Retirement'!$I$13)</f>
        <v>2420</v>
      </c>
      <c r="J1039" s="25">
        <f t="shared" si="1043"/>
        <v>7896.2379798201846</v>
      </c>
      <c r="K1039" s="25">
        <f t="shared" si="1044"/>
        <v>20367.195264578786</v>
      </c>
      <c r="L1039" s="25"/>
      <c r="N1039" s="25">
        <f>'Combined Retirement'!$C$18/12</f>
        <v>39153.069999999992</v>
      </c>
      <c r="O1039" s="25">
        <f t="shared" si="1045"/>
        <v>10889.636755601023</v>
      </c>
      <c r="P1039" s="25">
        <f t="shared" si="1046"/>
        <v>28263.43324439897</v>
      </c>
      <c r="Q1039" s="25">
        <f t="array" aca="1" ref="Q1039" ca="1">INDEX('Isaac 401k'!L:L,MATCH('Retirement Calculator'!A1039,'Isaac 401k'!N:N,0),0)</f>
        <v>2005926.0422295292</v>
      </c>
      <c r="R1039" s="25">
        <f t="array" aca="1" ref="R1039" ca="1">INDEX('Lorri 401b'!L:L,MATCH('Retirement Calculator'!A1039,'Lorri 401b'!N:N,0),0)</f>
        <v>-14524154.941629723</v>
      </c>
      <c r="S1039" s="25">
        <f t="shared" ca="1" si="1047"/>
        <v>-12518228.899400193</v>
      </c>
    </row>
    <row r="1040" spans="1:19" ht="15.75" customHeight="1" x14ac:dyDescent="0.3">
      <c r="A1040" s="37">
        <v>82606</v>
      </c>
      <c r="B1040" s="398">
        <f t="shared" ref="B1040:C1040" si="1056">($A1040-B$9)/365.25</f>
        <v>144.28473648186173</v>
      </c>
      <c r="C1040" s="398">
        <f t="shared" si="1056"/>
        <v>139.67419575633127</v>
      </c>
      <c r="E1040" s="25">
        <f>IF(C1040&gt;$B$7,0,'Combined Retirement'!$D$13/12)</f>
        <v>0</v>
      </c>
      <c r="F1040" s="25">
        <f>IF(H1040=0,'Combined Retirement'!$D$32,0)+'Combined Retirement'!$B$24</f>
        <v>2870.372285649099</v>
      </c>
      <c r="G1040" s="25">
        <f>'Combined Retirement'!$C$24</f>
        <v>3254.2644699519233</v>
      </c>
      <c r="H1040" s="25">
        <f>IF(B1040&lt;62,0,'Combined Retirement'!$I$14)</f>
        <v>2345</v>
      </c>
      <c r="I1040" s="25">
        <f>IF(C1040&lt;62,0,'Combined Retirement'!$I$13)</f>
        <v>2420</v>
      </c>
      <c r="J1040" s="25">
        <f t="shared" si="1043"/>
        <v>7896.2379798201846</v>
      </c>
      <c r="K1040" s="25">
        <f t="shared" si="1044"/>
        <v>20367.195264578786</v>
      </c>
      <c r="L1040" s="25"/>
      <c r="N1040" s="25">
        <f>'Combined Retirement'!$C$18/12</f>
        <v>39153.069999999992</v>
      </c>
      <c r="O1040" s="25">
        <f t="shared" si="1045"/>
        <v>10889.636755601023</v>
      </c>
      <c r="P1040" s="25">
        <f t="shared" si="1046"/>
        <v>28263.43324439897</v>
      </c>
      <c r="Q1040" s="25">
        <f t="array" aca="1" ref="Q1040" ca="1">INDEX('Isaac 401k'!L:L,MATCH('Retirement Calculator'!A1040,'Isaac 401k'!N:N,0),0)</f>
        <v>2006354.9284340828</v>
      </c>
      <c r="R1040" s="25">
        <f t="array" aca="1" ref="R1040" ca="1">INDEX('Lorri 401b'!L:L,MATCH('Retirement Calculator'!A1040,'Lorri 401b'!N:N,0),0)</f>
        <v>-14605124.312464694</v>
      </c>
      <c r="S1040" s="25">
        <f t="shared" ca="1" si="1047"/>
        <v>-12598769.38403061</v>
      </c>
    </row>
    <row r="1041" spans="1:19" ht="15.75" customHeight="1" x14ac:dyDescent="0.3">
      <c r="A1041" s="37">
        <v>82637</v>
      </c>
      <c r="B1041" s="398">
        <f t="shared" ref="B1041:C1041" si="1057">($A1041-B$9)/365.25</f>
        <v>144.36960985626283</v>
      </c>
      <c r="C1041" s="398">
        <f t="shared" si="1057"/>
        <v>139.75906913073237</v>
      </c>
      <c r="E1041" s="25">
        <f>IF(C1041&gt;$B$7,0,'Combined Retirement'!$D$13/12)</f>
        <v>0</v>
      </c>
      <c r="F1041" s="25">
        <f>IF(H1041=0,'Combined Retirement'!$D$32,0)+'Combined Retirement'!$B$24</f>
        <v>2870.372285649099</v>
      </c>
      <c r="G1041" s="25">
        <f>'Combined Retirement'!$C$24</f>
        <v>3254.2644699519233</v>
      </c>
      <c r="H1041" s="25">
        <f>IF(B1041&lt;62,0,'Combined Retirement'!$I$14)</f>
        <v>2345</v>
      </c>
      <c r="I1041" s="25">
        <f>IF(C1041&lt;62,0,'Combined Retirement'!$I$13)</f>
        <v>2420</v>
      </c>
      <c r="J1041" s="25">
        <f t="shared" si="1043"/>
        <v>7896.2379798201846</v>
      </c>
      <c r="K1041" s="25">
        <f t="shared" si="1044"/>
        <v>20367.195264578786</v>
      </c>
      <c r="L1041" s="25"/>
      <c r="N1041" s="25">
        <f>'Combined Retirement'!$C$18/12</f>
        <v>39153.069999999992</v>
      </c>
      <c r="O1041" s="25">
        <f t="shared" si="1045"/>
        <v>10889.636755601023</v>
      </c>
      <c r="P1041" s="25">
        <f t="shared" si="1046"/>
        <v>28263.43324439897</v>
      </c>
      <c r="Q1041" s="25">
        <f t="array" aca="1" ref="Q1041" ca="1">INDEX('Isaac 401k'!L:L,MATCH('Retirement Calculator'!A1041,'Isaac 401k'!N:N,0),0)</f>
        <v>2006785.6016644887</v>
      </c>
      <c r="R1041" s="25">
        <f t="array" aca="1" ref="R1041" ca="1">INDEX('Lorri 401b'!L:L,MATCH('Retirement Calculator'!A1041,'Lorri 401b'!N:N,0),0)</f>
        <v>-14686431.055678144</v>
      </c>
      <c r="S1041" s="25">
        <f t="shared" ca="1" si="1047"/>
        <v>-12679645.454013655</v>
      </c>
    </row>
    <row r="1042" spans="1:19" ht="15.75" customHeight="1" x14ac:dyDescent="0.3">
      <c r="A1042" s="37">
        <v>82667</v>
      </c>
      <c r="B1042" s="398">
        <f t="shared" ref="B1042:C1042" si="1058">($A1042-B$9)/365.25</f>
        <v>144.4517453798768</v>
      </c>
      <c r="C1042" s="398">
        <f t="shared" si="1058"/>
        <v>139.84120465434634</v>
      </c>
      <c r="E1042" s="25">
        <f>IF(C1042&gt;$B$7,0,'Combined Retirement'!$D$13/12)</f>
        <v>0</v>
      </c>
      <c r="F1042" s="25">
        <f>IF(H1042=0,'Combined Retirement'!$D$32,0)+'Combined Retirement'!$B$24</f>
        <v>2870.372285649099</v>
      </c>
      <c r="G1042" s="25">
        <f>'Combined Retirement'!$C$24</f>
        <v>3254.2644699519233</v>
      </c>
      <c r="H1042" s="25">
        <f>IF(B1042&lt;62,0,'Combined Retirement'!$I$14)</f>
        <v>2345</v>
      </c>
      <c r="I1042" s="25">
        <f>IF(C1042&lt;62,0,'Combined Retirement'!$I$13)</f>
        <v>2420</v>
      </c>
      <c r="J1042" s="25">
        <f t="shared" si="1043"/>
        <v>7896.2379798201846</v>
      </c>
      <c r="K1042" s="25">
        <f t="shared" si="1044"/>
        <v>20367.195264578786</v>
      </c>
      <c r="L1042" s="25"/>
      <c r="N1042" s="25">
        <f>'Combined Retirement'!$C$18/12</f>
        <v>39153.069999999992</v>
      </c>
      <c r="O1042" s="25">
        <f t="shared" si="1045"/>
        <v>10889.636755601023</v>
      </c>
      <c r="P1042" s="25">
        <f t="shared" si="1046"/>
        <v>28263.43324439897</v>
      </c>
      <c r="Q1042" s="25">
        <f t="array" aca="1" ref="Q1042" ca="1">INDEX('Isaac 401k'!L:L,MATCH('Retirement Calculator'!A1042,'Isaac 401k'!N:N,0),0)</f>
        <v>2007218.0693666879</v>
      </c>
      <c r="R1042" s="25">
        <f t="array" aca="1" ref="R1042" ca="1">INDEX('Lorri 401b'!L:L,MATCH('Retirement Calculator'!A1042,'Lorri 401b'!N:N,0),0)</f>
        <v>-14768076.576988317</v>
      </c>
      <c r="S1042" s="25">
        <f t="shared" ca="1" si="1047"/>
        <v>-12760858.507621629</v>
      </c>
    </row>
    <row r="1043" spans="1:19" ht="15.75" customHeight="1" x14ac:dyDescent="0.3">
      <c r="A1043" s="37">
        <v>82698</v>
      </c>
      <c r="B1043" s="398">
        <f t="shared" ref="B1043:C1043" si="1059">($A1043-B$9)/365.25</f>
        <v>144.5366187542779</v>
      </c>
      <c r="C1043" s="398">
        <f t="shared" si="1059"/>
        <v>139.92607802874744</v>
      </c>
      <c r="E1043" s="25">
        <f>IF(C1043&gt;$B$7,0,'Combined Retirement'!$D$13/12)</f>
        <v>0</v>
      </c>
      <c r="F1043" s="25">
        <f>IF(H1043=0,'Combined Retirement'!$D$32,0)+'Combined Retirement'!$B$24</f>
        <v>2870.372285649099</v>
      </c>
      <c r="G1043" s="25">
        <f>'Combined Retirement'!$C$24</f>
        <v>3254.2644699519233</v>
      </c>
      <c r="H1043" s="25">
        <f>IF(B1043&lt;62,0,'Combined Retirement'!$I$14)</f>
        <v>2345</v>
      </c>
      <c r="I1043" s="25">
        <f>IF(C1043&lt;62,0,'Combined Retirement'!$I$13)</f>
        <v>2420</v>
      </c>
      <c r="J1043" s="25">
        <f t="shared" si="1043"/>
        <v>7896.2379798201846</v>
      </c>
      <c r="K1043" s="25">
        <f t="shared" si="1044"/>
        <v>20367.195264578786</v>
      </c>
      <c r="L1043" s="25"/>
      <c r="N1043" s="25">
        <f>'Combined Retirement'!$C$18/12</f>
        <v>39153.069999999992</v>
      </c>
      <c r="O1043" s="25">
        <f t="shared" si="1045"/>
        <v>10889.636755601023</v>
      </c>
      <c r="P1043" s="25">
        <f t="shared" si="1046"/>
        <v>28263.43324439897</v>
      </c>
      <c r="Q1043" s="25">
        <f t="array" aca="1" ref="Q1043" ca="1">INDEX('Isaac 401k'!L:L,MATCH('Retirement Calculator'!A1043,'Isaac 401k'!N:N,0),0)</f>
        <v>2007652.3390176464</v>
      </c>
      <c r="R1043" s="25">
        <f t="array" aca="1" ref="R1043" ca="1">INDEX('Lorri 401b'!L:L,MATCH('Retirement Calculator'!A1043,'Lorri 401b'!N:N,0),0)</f>
        <v>-14850062.287970616</v>
      </c>
      <c r="S1043" s="25">
        <f t="shared" ca="1" si="1047"/>
        <v>-12842409.948952969</v>
      </c>
    </row>
    <row r="1044" spans="1:19" ht="15.75" customHeight="1" x14ac:dyDescent="0.3">
      <c r="A1044" s="37">
        <v>82728</v>
      </c>
      <c r="B1044" s="398">
        <f t="shared" ref="B1044:C1044" si="1060">($A1044-B$9)/365.25</f>
        <v>144.61875427789187</v>
      </c>
      <c r="C1044" s="398">
        <f t="shared" si="1060"/>
        <v>140.00821355236138</v>
      </c>
      <c r="E1044" s="25">
        <f>IF(C1044&gt;$B$7,0,'Combined Retirement'!$D$13/12)</f>
        <v>0</v>
      </c>
      <c r="F1044" s="25">
        <f>IF(H1044=0,'Combined Retirement'!$D$32,0)+'Combined Retirement'!$B$24</f>
        <v>2870.372285649099</v>
      </c>
      <c r="G1044" s="25">
        <f>'Combined Retirement'!$C$24</f>
        <v>3254.2644699519233</v>
      </c>
      <c r="H1044" s="25">
        <f>IF(B1044&lt;62,0,'Combined Retirement'!$I$14)</f>
        <v>2345</v>
      </c>
      <c r="I1044" s="25">
        <f>IF(C1044&lt;62,0,'Combined Retirement'!$I$13)</f>
        <v>2420</v>
      </c>
      <c r="J1044" s="25">
        <f t="shared" si="1043"/>
        <v>7896.2379798201846</v>
      </c>
      <c r="K1044" s="25">
        <f t="shared" si="1044"/>
        <v>20367.195264578786</v>
      </c>
      <c r="L1044" s="25"/>
      <c r="N1044" s="25">
        <f>'Combined Retirement'!$C$18/12</f>
        <v>39153.069999999992</v>
      </c>
      <c r="O1044" s="25">
        <f t="shared" si="1045"/>
        <v>10889.636755601023</v>
      </c>
      <c r="P1044" s="25">
        <f t="shared" si="1046"/>
        <v>28263.43324439897</v>
      </c>
      <c r="Q1044" s="25">
        <f t="array" aca="1" ref="Q1044" ca="1">INDEX('Isaac 401k'!L:L,MATCH('Retirement Calculator'!A1044,'Isaac 401k'!N:N,0),0)</f>
        <v>2008088.4181254837</v>
      </c>
      <c r="R1044" s="25">
        <f t="array" aca="1" ref="R1044" ca="1">INDEX('Lorri 401b'!L:L,MATCH('Retirement Calculator'!A1044,'Lorri 401b'!N:N,0),0)</f>
        <v>-14932389.606082007</v>
      </c>
      <c r="S1044" s="25">
        <f t="shared" ca="1" si="1047"/>
        <v>-12924301.187956523</v>
      </c>
    </row>
    <row r="1045" spans="1:19" ht="15.75" customHeight="1" x14ac:dyDescent="0.3">
      <c r="A1045" s="37">
        <v>82759</v>
      </c>
      <c r="B1045" s="398">
        <f t="shared" ref="B1045:C1045" si="1061">($A1045-B$9)/365.25</f>
        <v>144.70362765229294</v>
      </c>
      <c r="C1045" s="398">
        <f t="shared" si="1061"/>
        <v>140.09308692676248</v>
      </c>
      <c r="E1045" s="25">
        <f>IF(C1045&gt;$B$7,0,'Combined Retirement'!$D$13/12)</f>
        <v>0</v>
      </c>
      <c r="F1045" s="25">
        <f>IF(H1045=0,'Combined Retirement'!$D$32,0)+'Combined Retirement'!$B$24</f>
        <v>2870.372285649099</v>
      </c>
      <c r="G1045" s="25">
        <f>'Combined Retirement'!$C$24</f>
        <v>3254.2644699519233</v>
      </c>
      <c r="H1045" s="25">
        <f>IF(B1045&lt;62,0,'Combined Retirement'!$I$14)</f>
        <v>2345</v>
      </c>
      <c r="I1045" s="25">
        <f>IF(C1045&lt;62,0,'Combined Retirement'!$I$13)</f>
        <v>2420</v>
      </c>
      <c r="J1045" s="25">
        <f t="shared" si="1043"/>
        <v>7896.2379798201846</v>
      </c>
      <c r="K1045" s="25">
        <f t="shared" si="1044"/>
        <v>20367.195264578786</v>
      </c>
      <c r="L1045" s="25"/>
      <c r="N1045" s="25">
        <f>'Combined Retirement'!$C$18/12</f>
        <v>39153.069999999992</v>
      </c>
      <c r="O1045" s="25">
        <f t="shared" si="1045"/>
        <v>10889.636755601023</v>
      </c>
      <c r="P1045" s="25">
        <f t="shared" si="1046"/>
        <v>28263.43324439897</v>
      </c>
      <c r="Q1045" s="25">
        <f t="array" aca="1" ref="Q1045" ca="1">INDEX('Isaac 401k'!L:L,MATCH('Retirement Calculator'!A1045,'Isaac 401k'!N:N,0),0)</f>
        <v>2008526.3142296036</v>
      </c>
      <c r="R1045" s="25">
        <f t="array" aca="1" ref="R1045" ca="1">INDEX('Lorri 401b'!L:L,MATCH('Retirement Calculator'!A1045,'Lorri 401b'!N:N,0),0)</f>
        <v>-15015059.95468553</v>
      </c>
      <c r="S1045" s="25">
        <f t="shared" ca="1" si="1047"/>
        <v>-13006533.640455926</v>
      </c>
    </row>
    <row r="1046" spans="1:19" ht="15.75" customHeight="1" x14ac:dyDescent="0.3">
      <c r="A1046" s="37">
        <v>82790</v>
      </c>
      <c r="B1046" s="398">
        <f t="shared" ref="B1046:C1046" si="1062">($A1046-B$9)/365.25</f>
        <v>144.78850102669404</v>
      </c>
      <c r="C1046" s="398">
        <f t="shared" si="1062"/>
        <v>140.17796030116358</v>
      </c>
      <c r="E1046" s="25">
        <f>IF(C1046&gt;$B$7,0,'Combined Retirement'!$D$13/12)</f>
        <v>0</v>
      </c>
      <c r="F1046" s="25">
        <f>IF(H1046=0,'Combined Retirement'!$D$32,0)+'Combined Retirement'!$B$24</f>
        <v>2870.372285649099</v>
      </c>
      <c r="G1046" s="25">
        <f>'Combined Retirement'!$C$24</f>
        <v>3254.2644699519233</v>
      </c>
      <c r="H1046" s="25">
        <f>IF(B1046&lt;62,0,'Combined Retirement'!$I$14)</f>
        <v>2345</v>
      </c>
      <c r="I1046" s="25">
        <f>IF(C1046&lt;62,0,'Combined Retirement'!$I$13)</f>
        <v>2420</v>
      </c>
      <c r="J1046" s="25">
        <f t="shared" si="1043"/>
        <v>7896.2379798201846</v>
      </c>
      <c r="K1046" s="25">
        <f t="shared" si="1044"/>
        <v>20367.195264578786</v>
      </c>
      <c r="L1046" s="25"/>
      <c r="N1046" s="25">
        <f>'Combined Retirement'!$C$18/12</f>
        <v>39153.069999999992</v>
      </c>
      <c r="O1046" s="25">
        <f t="shared" si="1045"/>
        <v>10889.636755601023</v>
      </c>
      <c r="P1046" s="25">
        <f t="shared" si="1046"/>
        <v>28263.43324439897</v>
      </c>
      <c r="Q1046" s="25">
        <f t="array" aca="1" ref="Q1046" ca="1">INDEX('Isaac 401k'!L:L,MATCH('Retirement Calculator'!A1046,'Isaac 401k'!N:N,0),0)</f>
        <v>2008966.0349008241</v>
      </c>
      <c r="R1046" s="25">
        <f t="array" aca="1" ref="R1046" ca="1">INDEX('Lorri 401b'!L:L,MATCH('Retirement Calculator'!A1046,'Lorri 401b'!N:N,0),0)</f>
        <v>-15098074.763074899</v>
      </c>
      <c r="S1046" s="25">
        <f t="shared" ca="1" si="1047"/>
        <v>-13089108.728174075</v>
      </c>
    </row>
    <row r="1047" spans="1:19" ht="15.75" customHeight="1" x14ac:dyDescent="0.3">
      <c r="A1047" s="37">
        <v>82820</v>
      </c>
      <c r="B1047" s="398">
        <f t="shared" ref="B1047:C1047" si="1063">($A1047-B$9)/365.25</f>
        <v>144.87063655030801</v>
      </c>
      <c r="C1047" s="398">
        <f t="shared" si="1063"/>
        <v>140.26009582477755</v>
      </c>
      <c r="E1047" s="25">
        <f>IF(C1047&gt;$B$7,0,'Combined Retirement'!$D$13/12)</f>
        <v>0</v>
      </c>
      <c r="F1047" s="25">
        <f>IF(H1047=0,'Combined Retirement'!$D$32,0)+'Combined Retirement'!$B$24</f>
        <v>2870.372285649099</v>
      </c>
      <c r="G1047" s="25">
        <f>'Combined Retirement'!$C$24</f>
        <v>3254.2644699519233</v>
      </c>
      <c r="H1047" s="25">
        <f>IF(B1047&lt;62,0,'Combined Retirement'!$I$14)</f>
        <v>2345</v>
      </c>
      <c r="I1047" s="25">
        <f>IF(C1047&lt;62,0,'Combined Retirement'!$I$13)</f>
        <v>2420</v>
      </c>
      <c r="J1047" s="25">
        <f t="shared" si="1043"/>
        <v>7896.2379798201846</v>
      </c>
      <c r="K1047" s="25">
        <f t="shared" si="1044"/>
        <v>20367.195264578786</v>
      </c>
      <c r="L1047" s="25"/>
      <c r="N1047" s="25">
        <f>'Combined Retirement'!$C$18/12</f>
        <v>39153.069999999992</v>
      </c>
      <c r="O1047" s="25">
        <f t="shared" si="1045"/>
        <v>10889.636755601023</v>
      </c>
      <c r="P1047" s="25">
        <f t="shared" si="1046"/>
        <v>28263.43324439897</v>
      </c>
      <c r="Q1047" s="25">
        <f t="array" aca="1" ref="Q1047" ca="1">INDEX('Isaac 401k'!L:L,MATCH('Retirement Calculator'!A1047,'Isaac 401k'!N:N,0),0)</f>
        <v>2009407.5877415079</v>
      </c>
      <c r="R1047" s="25">
        <f t="array" aca="1" ref="R1047" ca="1">INDEX('Lorri 401b'!L:L,MATCH('Retirement Calculator'!A1047,'Lorri 401b'!N:N,0),0)</f>
        <v>-15181435.466499224</v>
      </c>
      <c r="S1047" s="25">
        <f t="shared" ca="1" si="1047"/>
        <v>-13172027.878757717</v>
      </c>
    </row>
    <row r="1048" spans="1:19" ht="15.75" customHeight="1" x14ac:dyDescent="0.3">
      <c r="A1048" s="37">
        <v>82851</v>
      </c>
      <c r="B1048" s="398">
        <f t="shared" ref="B1048:C1048" si="1064">($A1048-B$9)/365.25</f>
        <v>144.95550992470911</v>
      </c>
      <c r="C1048" s="398">
        <f t="shared" si="1064"/>
        <v>140.34496919917865</v>
      </c>
      <c r="E1048" s="25">
        <f>IF(C1048&gt;$B$7,0,'Combined Retirement'!$D$13/12)</f>
        <v>0</v>
      </c>
      <c r="F1048" s="25">
        <f>IF(H1048=0,'Combined Retirement'!$D$32,0)+'Combined Retirement'!$B$24</f>
        <v>2870.372285649099</v>
      </c>
      <c r="G1048" s="25">
        <f>'Combined Retirement'!$C$24</f>
        <v>3254.2644699519233</v>
      </c>
      <c r="H1048" s="25">
        <f>IF(B1048&lt;62,0,'Combined Retirement'!$I$14)</f>
        <v>2345</v>
      </c>
      <c r="I1048" s="25">
        <f>IF(C1048&lt;62,0,'Combined Retirement'!$I$13)</f>
        <v>2420</v>
      </c>
      <c r="J1048" s="25">
        <f t="shared" si="1043"/>
        <v>7896.2379798201846</v>
      </c>
      <c r="K1048" s="25">
        <f t="shared" si="1044"/>
        <v>20367.195264578786</v>
      </c>
      <c r="L1048" s="25"/>
      <c r="N1048" s="25">
        <f>'Combined Retirement'!$C$18/12</f>
        <v>39153.069999999992</v>
      </c>
      <c r="O1048" s="25">
        <f t="shared" si="1045"/>
        <v>10889.636755601023</v>
      </c>
      <c r="P1048" s="25">
        <f t="shared" si="1046"/>
        <v>28263.43324439897</v>
      </c>
      <c r="Q1048" s="25">
        <f t="array" aca="1" ref="Q1048" ca="1">INDEX('Isaac 401k'!L:L,MATCH('Retirement Calculator'!A1048,'Isaac 401k'!N:N,0),0)</f>
        <v>2009850.9803856947</v>
      </c>
      <c r="R1048" s="25">
        <f t="array" aca="1" ref="R1048" ca="1">INDEX('Lorri 401b'!L:L,MATCH('Retirement Calculator'!A1048,'Lorri 401b'!N:N,0),0)</f>
        <v>-15265143.506187817</v>
      </c>
      <c r="S1048" s="25">
        <f t="shared" ca="1" si="1047"/>
        <v>-13255292.525802122</v>
      </c>
    </row>
    <row r="1049" spans="1:19" ht="15.75" customHeight="1" x14ac:dyDescent="0.3">
      <c r="A1049" s="37">
        <v>82881</v>
      </c>
      <c r="B1049" s="398">
        <f t="shared" ref="B1049:C1049" si="1065">($A1049-B$9)/365.25</f>
        <v>145.03764544832308</v>
      </c>
      <c r="C1049" s="398">
        <f t="shared" si="1065"/>
        <v>140.42710472279262</v>
      </c>
      <c r="E1049" s="25">
        <f>IF(C1049&gt;$B$7,0,'Combined Retirement'!$D$13/12)</f>
        <v>0</v>
      </c>
      <c r="F1049" s="25">
        <f>IF(H1049=0,'Combined Retirement'!$D$32,0)+'Combined Retirement'!$B$24</f>
        <v>2870.372285649099</v>
      </c>
      <c r="G1049" s="25">
        <f>'Combined Retirement'!$C$24</f>
        <v>3254.2644699519233</v>
      </c>
      <c r="H1049" s="25">
        <f>IF(B1049&lt;62,0,'Combined Retirement'!$I$14)</f>
        <v>2345</v>
      </c>
      <c r="I1049" s="25">
        <f>IF(C1049&lt;62,0,'Combined Retirement'!$I$13)</f>
        <v>2420</v>
      </c>
      <c r="J1049" s="25">
        <f t="shared" si="1043"/>
        <v>7896.2379798201846</v>
      </c>
      <c r="K1049" s="25">
        <f t="shared" si="1044"/>
        <v>20367.195264578786</v>
      </c>
      <c r="L1049" s="25"/>
      <c r="N1049" s="25">
        <f>'Combined Retirement'!$C$18/12</f>
        <v>39153.069999999992</v>
      </c>
      <c r="O1049" s="25">
        <f t="shared" si="1045"/>
        <v>10889.636755601023</v>
      </c>
      <c r="P1049" s="25">
        <f t="shared" si="1046"/>
        <v>28263.43324439897</v>
      </c>
      <c r="Q1049" s="25">
        <f t="array" aca="1" ref="Q1049" ca="1">INDEX('Isaac 401k'!L:L,MATCH('Retirement Calculator'!A1049,'Isaac 401k'!N:N,0),0)</f>
        <v>2010296.2204992322</v>
      </c>
      <c r="R1049" s="25">
        <f t="array" aca="1" ref="R1049" ca="1">INDEX('Lorri 401b'!L:L,MATCH('Retirement Calculator'!A1049,'Lorri 401b'!N:N,0),0)</f>
        <v>-15349200.329375112</v>
      </c>
      <c r="S1049" s="25">
        <f t="shared" ca="1" si="1047"/>
        <v>-13338904.10887588</v>
      </c>
    </row>
    <row r="1050" spans="1:19" ht="15.75" customHeight="1" x14ac:dyDescent="0.3">
      <c r="A1050" s="37">
        <v>82912</v>
      </c>
      <c r="B1050" s="398">
        <f t="shared" ref="B1050:C1050" si="1066">($A1050-B$9)/365.25</f>
        <v>145.12251882272417</v>
      </c>
      <c r="C1050" s="398">
        <f t="shared" si="1066"/>
        <v>140.51197809719369</v>
      </c>
      <c r="E1050" s="25">
        <f>IF(C1050&gt;$B$7,0,'Combined Retirement'!$D$13/12)</f>
        <v>0</v>
      </c>
      <c r="F1050" s="25">
        <f>IF(H1050=0,'Combined Retirement'!$D$32,0)+'Combined Retirement'!$B$24</f>
        <v>2870.372285649099</v>
      </c>
      <c r="G1050" s="25">
        <f>'Combined Retirement'!$C$24</f>
        <v>3254.2644699519233</v>
      </c>
      <c r="H1050" s="25">
        <f>IF(B1050&lt;62,0,'Combined Retirement'!$I$14)</f>
        <v>2345</v>
      </c>
      <c r="I1050" s="25">
        <f>IF(C1050&lt;62,0,'Combined Retirement'!$I$13)</f>
        <v>2420</v>
      </c>
      <c r="J1050" s="25">
        <f t="shared" si="1043"/>
        <v>7896.2379798201846</v>
      </c>
      <c r="K1050" s="25">
        <f t="shared" si="1044"/>
        <v>20367.195264578786</v>
      </c>
      <c r="L1050" s="25"/>
      <c r="N1050" s="25">
        <f>'Combined Retirement'!$C$18/12</f>
        <v>39153.069999999992</v>
      </c>
      <c r="O1050" s="25">
        <f t="shared" si="1045"/>
        <v>10889.636755601023</v>
      </c>
      <c r="P1050" s="25">
        <f t="shared" si="1046"/>
        <v>28263.43324439897</v>
      </c>
      <c r="Q1050" s="25">
        <f t="array" aca="1" ref="Q1050" ca="1">INDEX('Isaac 401k'!L:L,MATCH('Retirement Calculator'!A1050,'Isaac 401k'!N:N,0),0)</f>
        <v>2010743.3157799095</v>
      </c>
      <c r="R1050" s="25">
        <f t="array" aca="1" ref="R1050" ca="1">INDEX('Lorri 401b'!L:L,MATCH('Retirement Calculator'!A1050,'Lorri 401b'!N:N,0),0)</f>
        <v>-15433607.38932569</v>
      </c>
      <c r="S1050" s="25">
        <f t="shared" ca="1" si="1047"/>
        <v>-13422864.07354578</v>
      </c>
    </row>
    <row r="1051" spans="1:19" ht="15.75" customHeight="1" x14ac:dyDescent="0.3">
      <c r="A1051" s="37">
        <v>82943</v>
      </c>
      <c r="B1051" s="398">
        <f t="shared" ref="B1051:C1051" si="1067">($A1051-B$9)/365.25</f>
        <v>145.20739219712524</v>
      </c>
      <c r="C1051" s="398">
        <f t="shared" si="1067"/>
        <v>140.59685147159479</v>
      </c>
      <c r="E1051" s="25">
        <f>IF(C1051&gt;$B$7,0,'Combined Retirement'!$D$13/12)</f>
        <v>0</v>
      </c>
      <c r="F1051" s="25">
        <f>IF(H1051=0,'Combined Retirement'!$D$32,0)+'Combined Retirement'!$B$24</f>
        <v>2870.372285649099</v>
      </c>
      <c r="G1051" s="25">
        <f>'Combined Retirement'!$C$24</f>
        <v>3254.2644699519233</v>
      </c>
      <c r="H1051" s="25">
        <f>IF(B1051&lt;62,0,'Combined Retirement'!$I$14)</f>
        <v>2345</v>
      </c>
      <c r="I1051" s="25">
        <f>IF(C1051&lt;62,0,'Combined Retirement'!$I$13)</f>
        <v>2420</v>
      </c>
      <c r="J1051" s="25">
        <f t="shared" si="1043"/>
        <v>7896.2379798201846</v>
      </c>
      <c r="K1051" s="25">
        <f t="shared" si="1044"/>
        <v>20367.195264578786</v>
      </c>
      <c r="L1051" s="25"/>
      <c r="N1051" s="25">
        <f>'Combined Retirement'!$C$18/12</f>
        <v>39153.069999999992</v>
      </c>
      <c r="O1051" s="25">
        <f t="shared" si="1045"/>
        <v>10889.636755601023</v>
      </c>
      <c r="P1051" s="25">
        <f t="shared" si="1046"/>
        <v>28263.43324439897</v>
      </c>
      <c r="Q1051" s="25">
        <f t="array" aca="1" ref="Q1051" ca="1">INDEX('Isaac 401k'!L:L,MATCH('Retirement Calculator'!A1051,'Isaac 401k'!N:N,0),0)</f>
        <v>2011192.2739575896</v>
      </c>
      <c r="R1051" s="25">
        <f t="array" aca="1" ref="R1051" ca="1">INDEX('Lorri 401b'!L:L,MATCH('Retirement Calculator'!A1051,'Lorri 401b'!N:N,0),0)</f>
        <v>-15518366.145359393</v>
      </c>
      <c r="S1051" s="25">
        <f t="shared" ca="1" si="1047"/>
        <v>-13507173.871401804</v>
      </c>
    </row>
    <row r="1052" spans="1:19" ht="15.75" customHeight="1" x14ac:dyDescent="0.3">
      <c r="A1052" s="37">
        <v>82971</v>
      </c>
      <c r="B1052" s="398">
        <f t="shared" ref="B1052:C1052" si="1068">($A1052-B$9)/365.25</f>
        <v>145.28405201916496</v>
      </c>
      <c r="C1052" s="398">
        <f t="shared" si="1068"/>
        <v>140.6735112936345</v>
      </c>
      <c r="E1052" s="25">
        <f>IF(C1052&gt;$B$7,0,'Combined Retirement'!$D$13/12)</f>
        <v>0</v>
      </c>
      <c r="F1052" s="25">
        <f>IF(H1052=0,'Combined Retirement'!$D$32,0)+'Combined Retirement'!$B$24</f>
        <v>2870.372285649099</v>
      </c>
      <c r="G1052" s="25">
        <f>'Combined Retirement'!$C$24</f>
        <v>3254.2644699519233</v>
      </c>
      <c r="H1052" s="25">
        <f>IF(B1052&lt;62,0,'Combined Retirement'!$I$14)</f>
        <v>2345</v>
      </c>
      <c r="I1052" s="25">
        <f>IF(C1052&lt;62,0,'Combined Retirement'!$I$13)</f>
        <v>2420</v>
      </c>
      <c r="J1052" s="25">
        <f t="shared" si="1043"/>
        <v>7896.2379798201846</v>
      </c>
      <c r="K1052" s="25">
        <f t="shared" si="1044"/>
        <v>20367.195264578786</v>
      </c>
      <c r="L1052" s="25"/>
      <c r="N1052" s="25">
        <f>'Combined Retirement'!$C$18/12</f>
        <v>39153.069999999992</v>
      </c>
      <c r="O1052" s="25">
        <f t="shared" si="1045"/>
        <v>10889.636755601023</v>
      </c>
      <c r="P1052" s="25">
        <f t="shared" si="1046"/>
        <v>28263.43324439897</v>
      </c>
      <c r="Q1052" s="25">
        <f t="array" aca="1" ref="Q1052" ca="1">INDEX('Isaac 401k'!L:L,MATCH('Retirement Calculator'!A1052,'Isaac 401k'!N:N,0),0)</f>
        <v>2011643.1027943434</v>
      </c>
      <c r="R1052" s="25">
        <f t="array" aca="1" ref="R1052" ca="1">INDEX('Lorri 401b'!L:L,MATCH('Retirement Calculator'!A1052,'Lorri 401b'!N:N,0),0)</f>
        <v>-15603478.062876571</v>
      </c>
      <c r="S1052" s="25">
        <f t="shared" ca="1" si="1047"/>
        <v>-13591834.960082227</v>
      </c>
    </row>
    <row r="1053" spans="1:19" ht="15.75" customHeight="1" x14ac:dyDescent="0.3">
      <c r="A1053" s="37">
        <v>83002</v>
      </c>
      <c r="B1053" s="398">
        <f t="shared" ref="B1053:C1053" si="1069">($A1053-B$9)/365.25</f>
        <v>145.36892539356606</v>
      </c>
      <c r="C1053" s="398">
        <f t="shared" si="1069"/>
        <v>140.7583846680356</v>
      </c>
      <c r="E1053" s="25">
        <f>IF(C1053&gt;$B$7,0,'Combined Retirement'!$D$13/12)</f>
        <v>0</v>
      </c>
      <c r="F1053" s="25">
        <f>IF(H1053=0,'Combined Retirement'!$D$32,0)+'Combined Retirement'!$B$24</f>
        <v>2870.372285649099</v>
      </c>
      <c r="G1053" s="25">
        <f>'Combined Retirement'!$C$24</f>
        <v>3254.2644699519233</v>
      </c>
      <c r="H1053" s="25">
        <f>IF(B1053&lt;62,0,'Combined Retirement'!$I$14)</f>
        <v>2345</v>
      </c>
      <c r="I1053" s="25">
        <f>IF(C1053&lt;62,0,'Combined Retirement'!$I$13)</f>
        <v>2420</v>
      </c>
      <c r="J1053" s="25">
        <f t="shared" si="1043"/>
        <v>7896.2379798201846</v>
      </c>
      <c r="K1053" s="25">
        <f t="shared" si="1044"/>
        <v>20367.195264578786</v>
      </c>
      <c r="L1053" s="25"/>
      <c r="N1053" s="25">
        <f>'Combined Retirement'!$C$18/12</f>
        <v>39153.069999999992</v>
      </c>
      <c r="O1053" s="25">
        <f t="shared" si="1045"/>
        <v>10889.636755601023</v>
      </c>
      <c r="P1053" s="25">
        <f t="shared" si="1046"/>
        <v>28263.43324439897</v>
      </c>
      <c r="Q1053" s="25">
        <f t="array" aca="1" ref="Q1053" ca="1">INDEX('Isaac 401k'!L:L,MATCH('Retirement Calculator'!A1053,'Isaac 401k'!N:N,0),0)</f>
        <v>2012095.8100845837</v>
      </c>
      <c r="R1053" s="25">
        <f t="array" aca="1" ref="R1053" ca="1">INDEX('Lorri 401b'!L:L,MATCH('Retirement Calculator'!A1053,'Lorri 401b'!N:N,0),0)</f>
        <v>-15688944.613383403</v>
      </c>
      <c r="S1053" s="25">
        <f t="shared" ca="1" si="1047"/>
        <v>-13676848.80329882</v>
      </c>
    </row>
    <row r="1054" spans="1:19" ht="15.75" customHeight="1" x14ac:dyDescent="0.3">
      <c r="A1054" s="37">
        <v>83032</v>
      </c>
      <c r="B1054" s="398">
        <f t="shared" ref="B1054:C1054" si="1070">($A1054-B$9)/365.25</f>
        <v>145.45106091718</v>
      </c>
      <c r="C1054" s="398">
        <f t="shared" si="1070"/>
        <v>140.84052019164955</v>
      </c>
      <c r="E1054" s="25">
        <f>IF(C1054&gt;$B$7,0,'Combined Retirement'!$D$13/12)</f>
        <v>0</v>
      </c>
      <c r="F1054" s="25">
        <f>IF(H1054=0,'Combined Retirement'!$D$32,0)+'Combined Retirement'!$B$24</f>
        <v>2870.372285649099</v>
      </c>
      <c r="G1054" s="25">
        <f>'Combined Retirement'!$C$24</f>
        <v>3254.2644699519233</v>
      </c>
      <c r="H1054" s="25">
        <f>IF(B1054&lt;62,0,'Combined Retirement'!$I$14)</f>
        <v>2345</v>
      </c>
      <c r="I1054" s="25">
        <f>IF(C1054&lt;62,0,'Combined Retirement'!$I$13)</f>
        <v>2420</v>
      </c>
      <c r="J1054" s="25">
        <f t="shared" si="1043"/>
        <v>7896.2379798201846</v>
      </c>
      <c r="K1054" s="25">
        <f t="shared" si="1044"/>
        <v>20367.195264578786</v>
      </c>
      <c r="L1054" s="25"/>
      <c r="N1054" s="25">
        <f>'Combined Retirement'!$C$18/12</f>
        <v>39153.069999999992</v>
      </c>
      <c r="O1054" s="25">
        <f t="shared" si="1045"/>
        <v>10889.636755601023</v>
      </c>
      <c r="P1054" s="25">
        <f t="shared" si="1046"/>
        <v>28263.43324439897</v>
      </c>
      <c r="Q1054" s="25">
        <f t="array" aca="1" ref="Q1054" ca="1">INDEX('Isaac 401k'!L:L,MATCH('Retirement Calculator'!A1054,'Isaac 401k'!N:N,0),0)</f>
        <v>2012550.4036552</v>
      </c>
      <c r="R1054" s="25">
        <f t="array" aca="1" ref="R1054" ca="1">INDEX('Lorri 401b'!L:L,MATCH('Retirement Calculator'!A1054,'Lorri 401b'!N:N,0),0)</f>
        <v>-15774767.274517348</v>
      </c>
      <c r="S1054" s="25">
        <f t="shared" ca="1" si="1047"/>
        <v>-13762216.870862149</v>
      </c>
    </row>
    <row r="1055" spans="1:19" ht="15.75" customHeight="1" x14ac:dyDescent="0.3">
      <c r="A1055" s="37">
        <v>83063</v>
      </c>
      <c r="B1055" s="398">
        <f t="shared" ref="B1055:C1055" si="1071">($A1055-B$9)/365.25</f>
        <v>145.5359342915811</v>
      </c>
      <c r="C1055" s="398">
        <f t="shared" si="1071"/>
        <v>140.92539356605064</v>
      </c>
      <c r="E1055" s="25">
        <f>IF(C1055&gt;$B$7,0,'Combined Retirement'!$D$13/12)</f>
        <v>0</v>
      </c>
      <c r="F1055" s="25">
        <f>IF(H1055=0,'Combined Retirement'!$D$32,0)+'Combined Retirement'!$B$24</f>
        <v>2870.372285649099</v>
      </c>
      <c r="G1055" s="25">
        <f>'Combined Retirement'!$C$24</f>
        <v>3254.2644699519233</v>
      </c>
      <c r="H1055" s="25">
        <f>IF(B1055&lt;62,0,'Combined Retirement'!$I$14)</f>
        <v>2345</v>
      </c>
      <c r="I1055" s="25">
        <f>IF(C1055&lt;62,0,'Combined Retirement'!$I$13)</f>
        <v>2420</v>
      </c>
      <c r="J1055" s="25">
        <f t="shared" si="1043"/>
        <v>7896.2379798201846</v>
      </c>
      <c r="K1055" s="25">
        <f t="shared" si="1044"/>
        <v>20367.195264578786</v>
      </c>
      <c r="L1055" s="25"/>
      <c r="N1055" s="25">
        <f>'Combined Retirement'!$C$18/12</f>
        <v>39153.069999999992</v>
      </c>
      <c r="O1055" s="25">
        <f t="shared" si="1045"/>
        <v>10889.636755601023</v>
      </c>
      <c r="P1055" s="25">
        <f t="shared" si="1046"/>
        <v>28263.43324439897</v>
      </c>
      <c r="Q1055" s="25">
        <f t="array" aca="1" ref="Q1055" ca="1">INDEX('Isaac 401k'!L:L,MATCH('Retirement Calculator'!A1055,'Isaac 401k'!N:N,0),0)</f>
        <v>2013006.8913656939</v>
      </c>
      <c r="R1055" s="25">
        <f t="array" aca="1" ref="R1055" ca="1">INDEX('Lorri 401b'!L:L,MATCH('Retirement Calculator'!A1055,'Lorri 401b'!N:N,0),0)</f>
        <v>-15860947.530072683</v>
      </c>
      <c r="S1055" s="25">
        <f t="shared" ca="1" si="1047"/>
        <v>-13847940.63870699</v>
      </c>
    </row>
    <row r="1056" spans="1:19" ht="15.75" customHeight="1" x14ac:dyDescent="0.3">
      <c r="A1056" s="37">
        <v>83093</v>
      </c>
      <c r="B1056" s="398">
        <f t="shared" ref="B1056:C1056" si="1072">($A1056-B$9)/365.25</f>
        <v>145.61806981519507</v>
      </c>
      <c r="C1056" s="398">
        <f t="shared" si="1072"/>
        <v>141.00752908966462</v>
      </c>
      <c r="E1056" s="25">
        <f>IF(C1056&gt;$B$7,0,'Combined Retirement'!$D$13/12)</f>
        <v>0</v>
      </c>
      <c r="F1056" s="25">
        <f>IF(H1056=0,'Combined Retirement'!$D$32,0)+'Combined Retirement'!$B$24</f>
        <v>2870.372285649099</v>
      </c>
      <c r="G1056" s="25">
        <f>'Combined Retirement'!$C$24</f>
        <v>3254.2644699519233</v>
      </c>
      <c r="H1056" s="25">
        <f>IF(B1056&lt;62,0,'Combined Retirement'!$I$14)</f>
        <v>2345</v>
      </c>
      <c r="I1056" s="25">
        <f>IF(C1056&lt;62,0,'Combined Retirement'!$I$13)</f>
        <v>2420</v>
      </c>
      <c r="J1056" s="25">
        <f t="shared" si="1043"/>
        <v>7896.2379798201846</v>
      </c>
      <c r="K1056" s="25">
        <f t="shared" si="1044"/>
        <v>20367.195264578786</v>
      </c>
      <c r="L1056" s="25"/>
      <c r="N1056" s="25">
        <f>'Combined Retirement'!$C$18/12</f>
        <v>39153.069999999992</v>
      </c>
      <c r="O1056" s="25">
        <f t="shared" si="1045"/>
        <v>10889.636755601023</v>
      </c>
      <c r="P1056" s="25">
        <f t="shared" si="1046"/>
        <v>28263.43324439897</v>
      </c>
      <c r="Q1056" s="25">
        <f t="array" aca="1" ref="Q1056" ca="1">INDEX('Isaac 401k'!L:L,MATCH('Retirement Calculator'!A1056,'Isaac 401k'!N:N,0),0)</f>
        <v>2013465.2811083149</v>
      </c>
      <c r="R1056" s="25">
        <f t="array" aca="1" ref="R1056" ca="1">INDEX('Lorri 401b'!L:L,MATCH('Retirement Calculator'!A1056,'Lorri 401b'!N:N,0),0)</f>
        <v>-15947486.870026167</v>
      </c>
      <c r="S1056" s="25">
        <f t="shared" ca="1" si="1047"/>
        <v>-13934021.588917853</v>
      </c>
    </row>
    <row r="1057" spans="1:19" ht="15.75" customHeight="1" x14ac:dyDescent="0.3">
      <c r="A1057" s="37">
        <v>83124</v>
      </c>
      <c r="B1057" s="398">
        <f t="shared" ref="B1057:C1057" si="1073">($A1057-B$9)/365.25</f>
        <v>145.70294318959617</v>
      </c>
      <c r="C1057" s="398">
        <f t="shared" si="1073"/>
        <v>141.09240246406571</v>
      </c>
      <c r="E1057" s="25">
        <f>IF(C1057&gt;$B$7,0,'Combined Retirement'!$D$13/12)</f>
        <v>0</v>
      </c>
      <c r="F1057" s="25">
        <f>IF(H1057=0,'Combined Retirement'!$D$32,0)+'Combined Retirement'!$B$24</f>
        <v>2870.372285649099</v>
      </c>
      <c r="G1057" s="25">
        <f>'Combined Retirement'!$C$24</f>
        <v>3254.2644699519233</v>
      </c>
      <c r="H1057" s="25">
        <f>IF(B1057&lt;62,0,'Combined Retirement'!$I$14)</f>
        <v>2345</v>
      </c>
      <c r="I1057" s="25">
        <f>IF(C1057&lt;62,0,'Combined Retirement'!$I$13)</f>
        <v>2420</v>
      </c>
      <c r="J1057" s="25">
        <f t="shared" si="1043"/>
        <v>7896.2379798201846</v>
      </c>
      <c r="K1057" s="25">
        <f t="shared" si="1044"/>
        <v>20367.195264578786</v>
      </c>
      <c r="L1057" s="25"/>
      <c r="N1057" s="25">
        <f>'Combined Retirement'!$C$18/12</f>
        <v>39153.069999999992</v>
      </c>
      <c r="O1057" s="25">
        <f t="shared" si="1045"/>
        <v>10889.636755601023</v>
      </c>
      <c r="P1057" s="25">
        <f t="shared" si="1046"/>
        <v>28263.43324439897</v>
      </c>
      <c r="Q1057" s="25">
        <f t="array" aca="1" ref="Q1057" ca="1">INDEX('Isaac 401k'!L:L,MATCH('Retirement Calculator'!A1057,'Isaac 401k'!N:N,0),0)</f>
        <v>2013925.5808081967</v>
      </c>
      <c r="R1057" s="25">
        <f t="array" aca="1" ref="R1057" ca="1">INDEX('Lorri 401b'!L:L,MATCH('Retirement Calculator'!A1057,'Lorri 401b'!N:N,0),0)</f>
        <v>-16034386.79056279</v>
      </c>
      <c r="S1057" s="25">
        <f t="shared" ca="1" si="1047"/>
        <v>-14020461.209754594</v>
      </c>
    </row>
    <row r="1058" spans="1:19" ht="15.75" customHeight="1" x14ac:dyDescent="0.3">
      <c r="A1058" s="37">
        <v>83155</v>
      </c>
      <c r="B1058" s="398">
        <f t="shared" ref="B1058:C1058" si="1074">($A1058-B$9)/365.25</f>
        <v>145.78781656399727</v>
      </c>
      <c r="C1058" s="398">
        <f t="shared" si="1074"/>
        <v>141.17727583846681</v>
      </c>
      <c r="E1058" s="25">
        <f>IF(C1058&gt;$B$7,0,'Combined Retirement'!$D$13/12)</f>
        <v>0</v>
      </c>
      <c r="F1058" s="25">
        <f>IF(H1058=0,'Combined Retirement'!$D$32,0)+'Combined Retirement'!$B$24</f>
        <v>2870.372285649099</v>
      </c>
      <c r="G1058" s="25">
        <f>'Combined Retirement'!$C$24</f>
        <v>3254.2644699519233</v>
      </c>
      <c r="H1058" s="25">
        <f>IF(B1058&lt;62,0,'Combined Retirement'!$I$14)</f>
        <v>2345</v>
      </c>
      <c r="I1058" s="25">
        <f>IF(C1058&lt;62,0,'Combined Retirement'!$I$13)</f>
        <v>2420</v>
      </c>
      <c r="J1058" s="25">
        <f t="shared" si="1043"/>
        <v>7896.2379798201846</v>
      </c>
      <c r="K1058" s="25">
        <f t="shared" si="1044"/>
        <v>20367.195264578786</v>
      </c>
      <c r="L1058" s="25"/>
      <c r="N1058" s="25">
        <f>'Combined Retirement'!$C$18/12</f>
        <v>39153.069999999992</v>
      </c>
      <c r="O1058" s="25">
        <f t="shared" si="1045"/>
        <v>10889.636755601023</v>
      </c>
      <c r="P1058" s="25">
        <f t="shared" si="1046"/>
        <v>28263.43324439897</v>
      </c>
      <c r="Q1058" s="25">
        <f t="array" aca="1" ref="Q1058" ca="1">INDEX('Isaac 401k'!L:L,MATCH('Retirement Calculator'!A1058,'Isaac 401k'!N:N,0),0)</f>
        <v>2014387.7984234947</v>
      </c>
      <c r="R1058" s="25">
        <f t="array" aca="1" ref="R1058" ca="1">INDEX('Lorri 401b'!L:L,MATCH('Retirement Calculator'!A1058,'Lorri 401b'!N:N,0),0)</f>
        <v>-16121648.794101648</v>
      </c>
      <c r="S1058" s="25">
        <f t="shared" ca="1" si="1047"/>
        <v>-14107260.995678153</v>
      </c>
    </row>
    <row r="1059" spans="1:19" ht="15.75" customHeight="1" x14ac:dyDescent="0.3">
      <c r="A1059" s="37">
        <v>83185</v>
      </c>
      <c r="B1059" s="398">
        <f t="shared" ref="B1059:C1059" si="1075">($A1059-B$9)/365.25</f>
        <v>145.86995208761124</v>
      </c>
      <c r="C1059" s="398">
        <f t="shared" si="1075"/>
        <v>141.25941136208075</v>
      </c>
      <c r="E1059" s="25">
        <f>IF(C1059&gt;$B$7,0,'Combined Retirement'!$D$13/12)</f>
        <v>0</v>
      </c>
      <c r="F1059" s="25">
        <f>IF(H1059=0,'Combined Retirement'!$D$32,0)+'Combined Retirement'!$B$24</f>
        <v>2870.372285649099</v>
      </c>
      <c r="G1059" s="25">
        <f>'Combined Retirement'!$C$24</f>
        <v>3254.2644699519233</v>
      </c>
      <c r="H1059" s="25">
        <f>IF(B1059&lt;62,0,'Combined Retirement'!$I$14)</f>
        <v>2345</v>
      </c>
      <c r="I1059" s="25">
        <f>IF(C1059&lt;62,0,'Combined Retirement'!$I$13)</f>
        <v>2420</v>
      </c>
      <c r="J1059" s="25">
        <f t="shared" si="1043"/>
        <v>7896.2379798201846</v>
      </c>
      <c r="K1059" s="25">
        <f t="shared" si="1044"/>
        <v>20367.195264578786</v>
      </c>
      <c r="L1059" s="25"/>
      <c r="N1059" s="25">
        <f>'Combined Retirement'!$C$18/12</f>
        <v>39153.069999999992</v>
      </c>
      <c r="O1059" s="25">
        <f t="shared" si="1045"/>
        <v>10889.636755601023</v>
      </c>
      <c r="P1059" s="25">
        <f t="shared" si="1046"/>
        <v>28263.43324439897</v>
      </c>
      <c r="Q1059" s="25">
        <f t="array" aca="1" ref="Q1059" ca="1">INDEX('Isaac 401k'!L:L,MATCH('Retirement Calculator'!A1059,'Isaac 401k'!N:N,0),0)</f>
        <v>2014851.941945523</v>
      </c>
      <c r="R1059" s="25">
        <f t="array" aca="1" ref="R1059" ca="1">INDEX('Lorri 401b'!L:L,MATCH('Retirement Calculator'!A1059,'Lorri 401b'!N:N,0),0)</f>
        <v>-16209274.389321918</v>
      </c>
      <c r="S1059" s="25">
        <f t="shared" ca="1" si="1047"/>
        <v>-14194422.447376395</v>
      </c>
    </row>
    <row r="1060" spans="1:19" ht="15.75" customHeight="1" x14ac:dyDescent="0.3">
      <c r="A1060" s="37">
        <v>83216</v>
      </c>
      <c r="B1060" s="398">
        <f t="shared" ref="B1060:C1060" si="1076">($A1060-B$9)/365.25</f>
        <v>145.95482546201231</v>
      </c>
      <c r="C1060" s="398">
        <f t="shared" si="1076"/>
        <v>141.34428473648185</v>
      </c>
      <c r="E1060" s="25">
        <f>IF(C1060&gt;$B$7,0,'Combined Retirement'!$D$13/12)</f>
        <v>0</v>
      </c>
      <c r="F1060" s="25">
        <f>IF(H1060=0,'Combined Retirement'!$D$32,0)+'Combined Retirement'!$B$24</f>
        <v>2870.372285649099</v>
      </c>
      <c r="G1060" s="25">
        <f>'Combined Retirement'!$C$24</f>
        <v>3254.2644699519233</v>
      </c>
      <c r="H1060" s="25">
        <f>IF(B1060&lt;62,0,'Combined Retirement'!$I$14)</f>
        <v>2345</v>
      </c>
      <c r="I1060" s="25">
        <f>IF(C1060&lt;62,0,'Combined Retirement'!$I$13)</f>
        <v>2420</v>
      </c>
      <c r="J1060" s="25">
        <f t="shared" si="1043"/>
        <v>7896.2379798201846</v>
      </c>
      <c r="K1060" s="25">
        <f t="shared" si="1044"/>
        <v>20367.195264578786</v>
      </c>
      <c r="L1060" s="25"/>
      <c r="N1060" s="25">
        <f>'Combined Retirement'!$C$18/12</f>
        <v>39153.069999999992</v>
      </c>
      <c r="O1060" s="25">
        <f t="shared" si="1045"/>
        <v>10889.636755601023</v>
      </c>
      <c r="P1060" s="25">
        <f t="shared" si="1046"/>
        <v>28263.43324439897</v>
      </c>
      <c r="Q1060" s="25">
        <f t="array" aca="1" ref="Q1060" ca="1">INDEX('Isaac 401k'!L:L,MATCH('Retirement Calculator'!A1060,'Isaac 401k'!N:N,0),0)</f>
        <v>2015318.0193988932</v>
      </c>
      <c r="R1060" s="25">
        <f t="array" aca="1" ref="R1060" ca="1">INDEX('Lorri 401b'!L:L,MATCH('Retirement Calculator'!A1060,'Lorri 401b'!N:N,0),0)</f>
        <v>-16297265.091188939</v>
      </c>
      <c r="S1060" s="25">
        <f t="shared" ca="1" si="1047"/>
        <v>-14281947.071790047</v>
      </c>
    </row>
    <row r="1061" spans="1:19" ht="15.75" customHeight="1" x14ac:dyDescent="0.3">
      <c r="A1061" s="37">
        <v>83246</v>
      </c>
      <c r="B1061" s="398">
        <f t="shared" ref="B1061:C1061" si="1077">($A1061-B$9)/365.25</f>
        <v>146.03696098562628</v>
      </c>
      <c r="C1061" s="398">
        <f t="shared" si="1077"/>
        <v>141.42642026009582</v>
      </c>
      <c r="E1061" s="25">
        <f>IF(C1061&gt;$B$7,0,'Combined Retirement'!$D$13/12)</f>
        <v>0</v>
      </c>
      <c r="F1061" s="25">
        <f>IF(H1061=0,'Combined Retirement'!$D$32,0)+'Combined Retirement'!$B$24</f>
        <v>2870.372285649099</v>
      </c>
      <c r="G1061" s="25">
        <f>'Combined Retirement'!$C$24</f>
        <v>3254.2644699519233</v>
      </c>
      <c r="H1061" s="25">
        <f>IF(B1061&lt;62,0,'Combined Retirement'!$I$14)</f>
        <v>2345</v>
      </c>
      <c r="I1061" s="25">
        <f>IF(C1061&lt;62,0,'Combined Retirement'!$I$13)</f>
        <v>2420</v>
      </c>
      <c r="J1061" s="25">
        <f t="shared" si="1043"/>
        <v>7896.2379798201846</v>
      </c>
      <c r="K1061" s="25">
        <f t="shared" si="1044"/>
        <v>20367.195264578786</v>
      </c>
      <c r="L1061" s="25"/>
      <c r="N1061" s="25">
        <f>'Combined Retirement'!$C$18/12</f>
        <v>39153.069999999992</v>
      </c>
      <c r="O1061" s="25">
        <f t="shared" si="1045"/>
        <v>10889.636755601023</v>
      </c>
      <c r="P1061" s="25">
        <f t="shared" si="1046"/>
        <v>28263.43324439897</v>
      </c>
      <c r="Q1061" s="25">
        <f t="array" aca="1" ref="Q1061" ca="1">INDEX('Isaac 401k'!L:L,MATCH('Retirement Calculator'!A1061,'Isaac 401k'!N:N,0),0)</f>
        <v>2015786.0388416525</v>
      </c>
      <c r="R1061" s="25">
        <f t="array" aca="1" ref="R1061" ca="1">INDEX('Lorri 401b'!L:L,MATCH('Retirement Calculator'!A1061,'Lorri 401b'!N:N,0),0)</f>
        <v>-16385622.420980407</v>
      </c>
      <c r="S1061" s="25">
        <f t="shared" ca="1" si="1047"/>
        <v>-14369836.382138755</v>
      </c>
    </row>
    <row r="1062" spans="1:19" ht="15.75" customHeight="1" x14ac:dyDescent="0.3">
      <c r="A1062" s="37">
        <v>83277</v>
      </c>
      <c r="B1062" s="398">
        <f t="shared" ref="B1062:C1062" si="1078">($A1062-B$9)/365.25</f>
        <v>146.12183436002738</v>
      </c>
      <c r="C1062" s="398">
        <f t="shared" si="1078"/>
        <v>141.51129363449692</v>
      </c>
      <c r="E1062" s="25">
        <f>IF(C1062&gt;$B$7,0,'Combined Retirement'!$D$13/12)</f>
        <v>0</v>
      </c>
      <c r="F1062" s="25">
        <f>IF(H1062=0,'Combined Retirement'!$D$32,0)+'Combined Retirement'!$B$24</f>
        <v>2870.372285649099</v>
      </c>
      <c r="G1062" s="25">
        <f>'Combined Retirement'!$C$24</f>
        <v>3254.2644699519233</v>
      </c>
      <c r="H1062" s="25">
        <f>IF(B1062&lt;62,0,'Combined Retirement'!$I$14)</f>
        <v>2345</v>
      </c>
      <c r="I1062" s="25">
        <f>IF(C1062&lt;62,0,'Combined Retirement'!$I$13)</f>
        <v>2420</v>
      </c>
      <c r="J1062" s="25">
        <f t="shared" si="1043"/>
        <v>7896.2379798201846</v>
      </c>
      <c r="K1062" s="25">
        <f t="shared" si="1044"/>
        <v>20367.195264578786</v>
      </c>
      <c r="L1062" s="25"/>
      <c r="N1062" s="25">
        <f>'Combined Retirement'!$C$18/12</f>
        <v>39153.069999999992</v>
      </c>
      <c r="O1062" s="25">
        <f t="shared" si="1045"/>
        <v>10889.636755601023</v>
      </c>
      <c r="P1062" s="25">
        <f t="shared" si="1046"/>
        <v>28263.43324439897</v>
      </c>
      <c r="Q1062" s="25">
        <f t="array" aca="1" ref="Q1062" ca="1">INDEX('Isaac 401k'!L:L,MATCH('Retirement Calculator'!A1062,'Isaac 401k'!N:N,0),0)</f>
        <v>2016256.0083654232</v>
      </c>
      <c r="R1062" s="25">
        <f t="array" aca="1" ref="R1062" ca="1">INDEX('Lorri 401b'!L:L,MATCH('Retirement Calculator'!A1062,'Lorri 401b'!N:N,0),0)</f>
        <v>-16474347.906312672</v>
      </c>
      <c r="S1062" s="25">
        <f t="shared" ca="1" si="1047"/>
        <v>-14458091.89794725</v>
      </c>
    </row>
    <row r="1063" spans="1:19" ht="15.75" customHeight="1" x14ac:dyDescent="0.3">
      <c r="A1063" s="37">
        <v>83308</v>
      </c>
      <c r="B1063" s="398">
        <f t="shared" ref="B1063:C1063" si="1079">($A1063-B$9)/365.25</f>
        <v>146.20670773442848</v>
      </c>
      <c r="C1063" s="398">
        <f t="shared" si="1079"/>
        <v>141.59616700889802</v>
      </c>
      <c r="E1063" s="25">
        <f>IF(C1063&gt;$B$7,0,'Combined Retirement'!$D$13/12)</f>
        <v>0</v>
      </c>
      <c r="F1063" s="25">
        <f>IF(H1063=0,'Combined Retirement'!$D$32,0)+'Combined Retirement'!$B$24</f>
        <v>2870.372285649099</v>
      </c>
      <c r="G1063" s="25">
        <f>'Combined Retirement'!$C$24</f>
        <v>3254.2644699519233</v>
      </c>
      <c r="H1063" s="25">
        <f>IF(B1063&lt;62,0,'Combined Retirement'!$I$14)</f>
        <v>2345</v>
      </c>
      <c r="I1063" s="25">
        <f>IF(C1063&lt;62,0,'Combined Retirement'!$I$13)</f>
        <v>2420</v>
      </c>
      <c r="J1063" s="25">
        <f t="shared" si="1043"/>
        <v>7896.2379798201846</v>
      </c>
      <c r="K1063" s="25">
        <f t="shared" si="1044"/>
        <v>20367.195264578786</v>
      </c>
      <c r="L1063" s="25"/>
      <c r="N1063" s="25">
        <f>'Combined Retirement'!$C$18/12</f>
        <v>39153.069999999992</v>
      </c>
      <c r="O1063" s="25">
        <f t="shared" si="1045"/>
        <v>10889.636755601023</v>
      </c>
      <c r="P1063" s="25">
        <f t="shared" si="1046"/>
        <v>28263.43324439897</v>
      </c>
      <c r="Q1063" s="25">
        <f t="array" aca="1" ref="Q1063" ca="1">INDEX('Isaac 401k'!L:L,MATCH('Retirement Calculator'!A1063,'Isaac 401k'!N:N,0),0)</f>
        <v>2016727.936095543</v>
      </c>
      <c r="R1063" s="25">
        <f t="array" aca="1" ref="R1063" ca="1">INDEX('Lorri 401b'!L:L,MATCH('Retirement Calculator'!A1063,'Lorri 401b'!N:N,0),0)</f>
        <v>-16563443.081167156</v>
      </c>
      <c r="S1063" s="25">
        <f t="shared" ca="1" si="1047"/>
        <v>-14546715.145071613</v>
      </c>
    </row>
    <row r="1064" spans="1:19" ht="15.75" customHeight="1" x14ac:dyDescent="0.3">
      <c r="A1064" s="37">
        <v>83337</v>
      </c>
      <c r="B1064" s="398">
        <f t="shared" ref="B1064:C1064" si="1080">($A1064-B$9)/365.25</f>
        <v>146.28610540725529</v>
      </c>
      <c r="C1064" s="398">
        <f t="shared" si="1080"/>
        <v>141.67556468172484</v>
      </c>
      <c r="E1064" s="25">
        <f>IF(C1064&gt;$B$7,0,'Combined Retirement'!$D$13/12)</f>
        <v>0</v>
      </c>
      <c r="F1064" s="25">
        <f>IF(H1064=0,'Combined Retirement'!$D$32,0)+'Combined Retirement'!$B$24</f>
        <v>2870.372285649099</v>
      </c>
      <c r="G1064" s="25">
        <f>'Combined Retirement'!$C$24</f>
        <v>3254.2644699519233</v>
      </c>
      <c r="H1064" s="25">
        <f>IF(B1064&lt;62,0,'Combined Retirement'!$I$14)</f>
        <v>2345</v>
      </c>
      <c r="I1064" s="25">
        <f>IF(C1064&lt;62,0,'Combined Retirement'!$I$13)</f>
        <v>2420</v>
      </c>
      <c r="J1064" s="25">
        <f t="shared" si="1043"/>
        <v>7896.2379798201846</v>
      </c>
      <c r="K1064" s="25">
        <f t="shared" si="1044"/>
        <v>20367.195264578786</v>
      </c>
      <c r="L1064" s="25"/>
      <c r="N1064" s="25">
        <f>'Combined Retirement'!$C$18/12</f>
        <v>39153.069999999992</v>
      </c>
      <c r="O1064" s="25">
        <f t="shared" si="1045"/>
        <v>10889.636755601023</v>
      </c>
      <c r="P1064" s="25">
        <f t="shared" si="1046"/>
        <v>28263.43324439897</v>
      </c>
      <c r="Q1064" s="25">
        <f t="array" aca="1" ref="Q1064" ca="1">INDEX('Isaac 401k'!L:L,MATCH('Retirement Calculator'!A1064,'Isaac 401k'!N:N,0),0)</f>
        <v>2017201.830191205</v>
      </c>
      <c r="R1064" s="25">
        <f t="array" aca="1" ref="R1064" ca="1">INDEX('Lorri 401b'!L:L,MATCH('Retirement Calculator'!A1064,'Lorri 401b'!N:N,0),0)</f>
        <v>-16652909.485916866</v>
      </c>
      <c r="S1064" s="25">
        <f t="shared" ca="1" si="1047"/>
        <v>-14635707.655725662</v>
      </c>
    </row>
    <row r="1065" spans="1:19" ht="15.75" customHeight="1" x14ac:dyDescent="0.3">
      <c r="A1065" s="37">
        <v>83368</v>
      </c>
      <c r="B1065" s="398">
        <f t="shared" ref="B1065:C1065" si="1081">($A1065-B$9)/365.25</f>
        <v>146.37097878165639</v>
      </c>
      <c r="C1065" s="398">
        <f t="shared" si="1081"/>
        <v>141.76043805612593</v>
      </c>
      <c r="E1065" s="25">
        <f>IF(C1065&gt;$B$7,0,'Combined Retirement'!$D$13/12)</f>
        <v>0</v>
      </c>
      <c r="F1065" s="25">
        <f>IF(H1065=0,'Combined Retirement'!$D$32,0)+'Combined Retirement'!$B$24</f>
        <v>2870.372285649099</v>
      </c>
      <c r="G1065" s="25">
        <f>'Combined Retirement'!$C$24</f>
        <v>3254.2644699519233</v>
      </c>
      <c r="H1065" s="25">
        <f>IF(B1065&lt;62,0,'Combined Retirement'!$I$14)</f>
        <v>2345</v>
      </c>
      <c r="I1065" s="25">
        <f>IF(C1065&lt;62,0,'Combined Retirement'!$I$13)</f>
        <v>2420</v>
      </c>
      <c r="J1065" s="25">
        <f t="shared" si="1043"/>
        <v>7896.2379798201846</v>
      </c>
      <c r="K1065" s="25">
        <f t="shared" si="1044"/>
        <v>20367.195264578786</v>
      </c>
      <c r="L1065" s="25"/>
      <c r="N1065" s="25">
        <f>'Combined Retirement'!$C$18/12</f>
        <v>39153.069999999992</v>
      </c>
      <c r="O1065" s="25">
        <f t="shared" si="1045"/>
        <v>10889.636755601023</v>
      </c>
      <c r="P1065" s="25">
        <f t="shared" si="1046"/>
        <v>28263.43324439897</v>
      </c>
      <c r="Q1065" s="25">
        <f t="array" aca="1" ref="Q1065" ca="1">INDEX('Isaac 401k'!L:L,MATCH('Retirement Calculator'!A1065,'Isaac 401k'!N:N,0),0)</f>
        <v>2017677.6988455988</v>
      </c>
      <c r="R1065" s="25">
        <f t="array" aca="1" ref="R1065" ca="1">INDEX('Lorri 401b'!L:L,MATCH('Retirement Calculator'!A1065,'Lorri 401b'!N:N,0),0)</f>
        <v>-16742748.667353034</v>
      </c>
      <c r="S1065" s="25">
        <f t="shared" ca="1" si="1047"/>
        <v>-14725070.968507435</v>
      </c>
    </row>
    <row r="1066" spans="1:19" ht="15.75" customHeight="1" x14ac:dyDescent="0.3">
      <c r="A1066" s="37">
        <v>83398</v>
      </c>
      <c r="B1066" s="398">
        <f t="shared" ref="B1066:C1066" si="1082">($A1066-B$9)/365.25</f>
        <v>146.45311430527036</v>
      </c>
      <c r="C1066" s="398">
        <f t="shared" si="1082"/>
        <v>141.84257357973991</v>
      </c>
      <c r="E1066" s="25">
        <f>IF(C1066&gt;$B$7,0,'Combined Retirement'!$D$13/12)</f>
        <v>0</v>
      </c>
      <c r="F1066" s="25">
        <f>IF(H1066=0,'Combined Retirement'!$D$32,0)+'Combined Retirement'!$B$24</f>
        <v>2870.372285649099</v>
      </c>
      <c r="G1066" s="25">
        <f>'Combined Retirement'!$C$24</f>
        <v>3254.2644699519233</v>
      </c>
      <c r="H1066" s="25">
        <f>IF(B1066&lt;62,0,'Combined Retirement'!$I$14)</f>
        <v>2345</v>
      </c>
      <c r="I1066" s="25">
        <f>IF(C1066&lt;62,0,'Combined Retirement'!$I$13)</f>
        <v>2420</v>
      </c>
      <c r="J1066" s="25">
        <f t="shared" si="1043"/>
        <v>7896.2379798201846</v>
      </c>
      <c r="K1066" s="25">
        <f t="shared" si="1044"/>
        <v>20367.195264578786</v>
      </c>
      <c r="L1066" s="25"/>
      <c r="N1066" s="25">
        <f>'Combined Retirement'!$C$18/12</f>
        <v>39153.069999999992</v>
      </c>
      <c r="O1066" s="25">
        <f t="shared" si="1045"/>
        <v>10889.636755601023</v>
      </c>
      <c r="P1066" s="25">
        <f t="shared" si="1046"/>
        <v>28263.43324439897</v>
      </c>
      <c r="Q1066" s="25">
        <f t="array" aca="1" ref="Q1066" ca="1">INDEX('Isaac 401k'!L:L,MATCH('Retirement Calculator'!A1066,'Isaac 401k'!N:N,0),0)</f>
        <v>2018155.5502860527</v>
      </c>
      <c r="R1066" s="25">
        <f t="array" aca="1" ref="R1066" ca="1">INDEX('Lorri 401b'!L:L,MATCH('Retirement Calculator'!A1066,'Lorri 401b'!N:N,0),0)</f>
        <v>-16832962.17871185</v>
      </c>
      <c r="S1066" s="25">
        <f t="shared" ca="1" si="1047"/>
        <v>-14814806.628425797</v>
      </c>
    </row>
    <row r="1067" spans="1:19" ht="15.75" customHeight="1" x14ac:dyDescent="0.3">
      <c r="A1067" s="37">
        <v>83429</v>
      </c>
      <c r="B1067" s="398">
        <f t="shared" ref="B1067:C1067" si="1083">($A1067-B$9)/365.25</f>
        <v>146.53798767967146</v>
      </c>
      <c r="C1067" s="398">
        <f t="shared" si="1083"/>
        <v>141.927446954141</v>
      </c>
      <c r="E1067" s="25">
        <f>IF(C1067&gt;$B$7,0,'Combined Retirement'!$D$13/12)</f>
        <v>0</v>
      </c>
      <c r="F1067" s="25">
        <f>IF(H1067=0,'Combined Retirement'!$D$32,0)+'Combined Retirement'!$B$24</f>
        <v>2870.372285649099</v>
      </c>
      <c r="G1067" s="25">
        <f>'Combined Retirement'!$C$24</f>
        <v>3254.2644699519233</v>
      </c>
      <c r="H1067" s="25">
        <f>IF(B1067&lt;62,0,'Combined Retirement'!$I$14)</f>
        <v>2345</v>
      </c>
      <c r="I1067" s="25">
        <f>IF(C1067&lt;62,0,'Combined Retirement'!$I$13)</f>
        <v>2420</v>
      </c>
      <c r="J1067" s="25">
        <f t="shared" si="1043"/>
        <v>7896.2379798201846</v>
      </c>
      <c r="K1067" s="25">
        <f t="shared" si="1044"/>
        <v>20367.195264578786</v>
      </c>
      <c r="L1067" s="25"/>
      <c r="N1067" s="25">
        <f>'Combined Retirement'!$C$18/12</f>
        <v>39153.069999999992</v>
      </c>
      <c r="O1067" s="25">
        <f t="shared" si="1045"/>
        <v>10889.636755601023</v>
      </c>
      <c r="P1067" s="25">
        <f t="shared" si="1046"/>
        <v>28263.43324439897</v>
      </c>
      <c r="Q1067" s="25">
        <f t="array" aca="1" ref="Q1067" ca="1">INDEX('Isaac 401k'!L:L,MATCH('Retirement Calculator'!A1067,'Isaac 401k'!N:N,0),0)</f>
        <v>2018635.3927741752</v>
      </c>
      <c r="R1067" s="25">
        <f t="array" aca="1" ref="R1067" ca="1">INDEX('Lorri 401b'!L:L,MATCH('Retirement Calculator'!A1067,'Lorri 401b'!N:N,0),0)</f>
        <v>-16923551.579701331</v>
      </c>
      <c r="S1067" s="25">
        <f t="shared" ca="1" si="1047"/>
        <v>-14904916.186927155</v>
      </c>
    </row>
    <row r="1068" spans="1:19" ht="15.75" customHeight="1" x14ac:dyDescent="0.3">
      <c r="A1068" s="37">
        <v>83459</v>
      </c>
      <c r="B1068" s="398">
        <f t="shared" ref="B1068:C1068" si="1084">($A1068-B$9)/365.25</f>
        <v>146.62012320328543</v>
      </c>
      <c r="C1068" s="398">
        <f t="shared" si="1084"/>
        <v>142.00958247775498</v>
      </c>
      <c r="E1068" s="25">
        <f>IF(C1068&gt;$B$7,0,'Combined Retirement'!$D$13/12)</f>
        <v>0</v>
      </c>
      <c r="F1068" s="25">
        <f>IF(H1068=0,'Combined Retirement'!$D$32,0)+'Combined Retirement'!$B$24</f>
        <v>2870.372285649099</v>
      </c>
      <c r="G1068" s="25">
        <f>'Combined Retirement'!$C$24</f>
        <v>3254.2644699519233</v>
      </c>
      <c r="H1068" s="25">
        <f>IF(B1068&lt;62,0,'Combined Retirement'!$I$14)</f>
        <v>2345</v>
      </c>
      <c r="I1068" s="25">
        <f>IF(C1068&lt;62,0,'Combined Retirement'!$I$13)</f>
        <v>2420</v>
      </c>
      <c r="J1068" s="25">
        <f t="shared" si="1043"/>
        <v>7896.2379798201846</v>
      </c>
      <c r="K1068" s="25">
        <f t="shared" si="1044"/>
        <v>20367.195264578786</v>
      </c>
      <c r="L1068" s="25"/>
      <c r="N1068" s="25">
        <f>'Combined Retirement'!$C$18/12</f>
        <v>39153.069999999992</v>
      </c>
      <c r="O1068" s="25">
        <f t="shared" si="1045"/>
        <v>10889.636755601023</v>
      </c>
      <c r="P1068" s="25">
        <f t="shared" si="1046"/>
        <v>28263.43324439897</v>
      </c>
      <c r="Q1068" s="25">
        <f t="array" aca="1" ref="Q1068" ca="1">INDEX('Isaac 401k'!L:L,MATCH('Retirement Calculator'!A1068,'Isaac 401k'!N:N,0),0)</f>
        <v>2019117.234605998</v>
      </c>
      <c r="R1068" s="25">
        <f t="array" aca="1" ref="R1068" ca="1">INDEX('Lorri 401b'!L:L,MATCH('Retirement Calculator'!A1068,'Lorri 401b'!N:N,0),0)</f>
        <v>-17014518.436528265</v>
      </c>
      <c r="S1068" s="25">
        <f t="shared" ca="1" si="1047"/>
        <v>-14995401.201922268</v>
      </c>
    </row>
    <row r="1069" spans="1:19" ht="15.75" customHeight="1" x14ac:dyDescent="0.3">
      <c r="A1069" s="37">
        <v>83490</v>
      </c>
      <c r="B1069" s="398">
        <f t="shared" ref="B1069:C1069" si="1085">($A1069-B$9)/365.25</f>
        <v>146.70499657768653</v>
      </c>
      <c r="C1069" s="398">
        <f t="shared" si="1085"/>
        <v>142.09445585215605</v>
      </c>
      <c r="E1069" s="25">
        <f>IF(C1069&gt;$B$7,0,'Combined Retirement'!$D$13/12)</f>
        <v>0</v>
      </c>
      <c r="F1069" s="25">
        <f>IF(H1069=0,'Combined Retirement'!$D$32,0)+'Combined Retirement'!$B$24</f>
        <v>2870.372285649099</v>
      </c>
      <c r="G1069" s="25">
        <f>'Combined Retirement'!$C$24</f>
        <v>3254.2644699519233</v>
      </c>
      <c r="H1069" s="25">
        <f>IF(B1069&lt;62,0,'Combined Retirement'!$I$14)</f>
        <v>2345</v>
      </c>
      <c r="I1069" s="25">
        <f>IF(C1069&lt;62,0,'Combined Retirement'!$I$13)</f>
        <v>2420</v>
      </c>
      <c r="J1069" s="25">
        <f t="shared" si="1043"/>
        <v>7896.2379798201846</v>
      </c>
      <c r="K1069" s="25">
        <f t="shared" si="1044"/>
        <v>20367.195264578786</v>
      </c>
      <c r="L1069" s="25"/>
      <c r="N1069" s="25">
        <f>'Combined Retirement'!$C$18/12</f>
        <v>39153.069999999992</v>
      </c>
      <c r="O1069" s="25">
        <f t="shared" si="1045"/>
        <v>10889.636755601023</v>
      </c>
      <c r="P1069" s="25">
        <f t="shared" si="1046"/>
        <v>28263.43324439897</v>
      </c>
      <c r="Q1069" s="25">
        <f t="array" aca="1" ref="Q1069" ca="1">INDEX('Isaac 401k'!L:L,MATCH('Retirement Calculator'!A1069,'Isaac 401k'!N:N,0),0)</f>
        <v>2019601.0841121201</v>
      </c>
      <c r="R1069" s="25">
        <f t="array" aca="1" ref="R1069" ca="1">INDEX('Lorri 401b'!L:L,MATCH('Retirement Calculator'!A1069,'Lorri 401b'!N:N,0),0)</f>
        <v>-17105864.321925312</v>
      </c>
      <c r="S1069" s="25">
        <f t="shared" ca="1" si="1047"/>
        <v>-15086263.237813191</v>
      </c>
    </row>
    <row r="1070" spans="1:19" ht="15.75" customHeight="1" x14ac:dyDescent="0.3">
      <c r="A1070" s="37">
        <v>83521</v>
      </c>
      <c r="B1070" s="398">
        <f t="shared" ref="B1070:C1070" si="1086">($A1070-B$9)/365.25</f>
        <v>146.7898699520876</v>
      </c>
      <c r="C1070" s="398">
        <f t="shared" si="1086"/>
        <v>142.17932922655714</v>
      </c>
      <c r="E1070" s="25">
        <f>IF(C1070&gt;$B$7,0,'Combined Retirement'!$D$13/12)</f>
        <v>0</v>
      </c>
      <c r="F1070" s="25">
        <f>IF(H1070=0,'Combined Retirement'!$D$32,0)+'Combined Retirement'!$B$24</f>
        <v>2870.372285649099</v>
      </c>
      <c r="G1070" s="25">
        <f>'Combined Retirement'!$C$24</f>
        <v>3254.2644699519233</v>
      </c>
      <c r="H1070" s="25">
        <f>IF(B1070&lt;62,0,'Combined Retirement'!$I$14)</f>
        <v>2345</v>
      </c>
      <c r="I1070" s="25">
        <f>IF(C1070&lt;62,0,'Combined Retirement'!$I$13)</f>
        <v>2420</v>
      </c>
      <c r="J1070" s="25">
        <f t="shared" si="1043"/>
        <v>7896.2379798201846</v>
      </c>
      <c r="K1070" s="25">
        <f t="shared" si="1044"/>
        <v>20367.195264578786</v>
      </c>
      <c r="L1070" s="25"/>
      <c r="N1070" s="25">
        <f>'Combined Retirement'!$C$18/12</f>
        <v>39153.069999999992</v>
      </c>
      <c r="O1070" s="25">
        <f t="shared" si="1045"/>
        <v>10889.636755601023</v>
      </c>
      <c r="P1070" s="25">
        <f t="shared" si="1046"/>
        <v>28263.43324439897</v>
      </c>
      <c r="Q1070" s="25">
        <f t="array" aca="1" ref="Q1070" ca="1">INDEX('Isaac 401k'!L:L,MATCH('Retirement Calculator'!A1070,'Isaac 401k'!N:N,0),0)</f>
        <v>2020086.9496578511</v>
      </c>
      <c r="R1070" s="25">
        <f t="array" aca="1" ref="R1070" ca="1">INDEX('Lorri 401b'!L:L,MATCH('Retirement Calculator'!A1070,'Lorri 401b'!N:N,0),0)</f>
        <v>-17197590.815178182</v>
      </c>
      <c r="S1070" s="25">
        <f t="shared" ca="1" si="1047"/>
        <v>-15177503.86552033</v>
      </c>
    </row>
    <row r="1071" spans="1:19" ht="15.75" customHeight="1" x14ac:dyDescent="0.3">
      <c r="A1071" s="37">
        <v>83551</v>
      </c>
      <c r="B1071" s="398">
        <f t="shared" ref="B1071:C1071" si="1087">($A1071-B$9)/365.25</f>
        <v>146.87200547570157</v>
      </c>
      <c r="C1071" s="398">
        <f t="shared" si="1087"/>
        <v>142.26146475017111</v>
      </c>
      <c r="E1071" s="25">
        <f>IF(C1071&gt;$B$7,0,'Combined Retirement'!$D$13/12)</f>
        <v>0</v>
      </c>
      <c r="F1071" s="25">
        <f>IF(H1071=0,'Combined Retirement'!$D$32,0)+'Combined Retirement'!$B$24</f>
        <v>2870.372285649099</v>
      </c>
      <c r="G1071" s="25">
        <f>'Combined Retirement'!$C$24</f>
        <v>3254.2644699519233</v>
      </c>
      <c r="H1071" s="25">
        <f>IF(B1071&lt;62,0,'Combined Retirement'!$I$14)</f>
        <v>2345</v>
      </c>
      <c r="I1071" s="25">
        <f>IF(C1071&lt;62,0,'Combined Retirement'!$I$13)</f>
        <v>2420</v>
      </c>
      <c r="J1071" s="25">
        <f t="shared" si="1043"/>
        <v>7896.2379798201846</v>
      </c>
      <c r="K1071" s="25">
        <f t="shared" si="1044"/>
        <v>20367.195264578786</v>
      </c>
      <c r="L1071" s="25"/>
      <c r="N1071" s="25">
        <f>'Combined Retirement'!$C$18/12</f>
        <v>39153.069999999992</v>
      </c>
      <c r="O1071" s="25">
        <f t="shared" si="1045"/>
        <v>10889.636755601023</v>
      </c>
      <c r="P1071" s="25">
        <f t="shared" si="1046"/>
        <v>28263.43324439897</v>
      </c>
      <c r="Q1071" s="25">
        <f t="array" aca="1" ref="Q1071" ca="1">INDEX('Isaac 401k'!L:L,MATCH('Retirement Calculator'!A1071,'Isaac 401k'!N:N,0),0)</f>
        <v>2020574.8396433559</v>
      </c>
      <c r="R1071" s="25">
        <f t="array" aca="1" ref="R1071" ca="1">INDEX('Lorri 401b'!L:L,MATCH('Retirement Calculator'!A1071,'Lorri 401b'!N:N,0),0)</f>
        <v>-17289699.502152938</v>
      </c>
      <c r="S1071" s="25">
        <f t="shared" ca="1" si="1047"/>
        <v>-15269124.662509583</v>
      </c>
    </row>
    <row r="1072" spans="1:19" ht="15.75" customHeight="1" x14ac:dyDescent="0.3">
      <c r="A1072" s="37">
        <v>83582</v>
      </c>
      <c r="B1072" s="398">
        <f t="shared" ref="B1072:C1072" si="1088">($A1072-B$9)/365.25</f>
        <v>146.95687885010267</v>
      </c>
      <c r="C1072" s="398">
        <f t="shared" si="1088"/>
        <v>142.34633812457221</v>
      </c>
      <c r="E1072" s="25">
        <f>IF(C1072&gt;$B$7,0,'Combined Retirement'!$D$13/12)</f>
        <v>0</v>
      </c>
      <c r="F1072" s="25">
        <f>IF(H1072=0,'Combined Retirement'!$D$32,0)+'Combined Retirement'!$B$24</f>
        <v>2870.372285649099</v>
      </c>
      <c r="G1072" s="25">
        <f>'Combined Retirement'!$C$24</f>
        <v>3254.2644699519233</v>
      </c>
      <c r="H1072" s="25">
        <f>IF(B1072&lt;62,0,'Combined Retirement'!$I$14)</f>
        <v>2345</v>
      </c>
      <c r="I1072" s="25">
        <f>IF(C1072&lt;62,0,'Combined Retirement'!$I$13)</f>
        <v>2420</v>
      </c>
      <c r="J1072" s="25">
        <f t="shared" si="1043"/>
        <v>7896.2379798201846</v>
      </c>
      <c r="K1072" s="25">
        <f t="shared" si="1044"/>
        <v>20367.195264578786</v>
      </c>
      <c r="L1072" s="25"/>
      <c r="N1072" s="25">
        <f>'Combined Retirement'!$C$18/12</f>
        <v>39153.069999999992</v>
      </c>
      <c r="O1072" s="25">
        <f t="shared" si="1045"/>
        <v>10889.636755601023</v>
      </c>
      <c r="P1072" s="25">
        <f t="shared" si="1046"/>
        <v>28263.43324439897</v>
      </c>
      <c r="Q1072" s="25">
        <f t="array" aca="1" ref="Q1072" ca="1">INDEX('Isaac 401k'!L:L,MATCH('Retirement Calculator'!A1072,'Isaac 401k'!N:N,0),0)</f>
        <v>2021064.7625038004</v>
      </c>
      <c r="R1072" s="25">
        <f t="array" aca="1" ref="R1072" ca="1">INDEX('Lorri 401b'!L:L,MATCH('Retirement Calculator'!A1072,'Lorri 401b'!N:N,0),0)</f>
        <v>-17382191.975323424</v>
      </c>
      <c r="S1072" s="25">
        <f t="shared" ca="1" si="1047"/>
        <v>-15361127.212819623</v>
      </c>
    </row>
    <row r="1073" spans="1:19" ht="15.75" customHeight="1" x14ac:dyDescent="0.3">
      <c r="A1073" s="37">
        <v>83612</v>
      </c>
      <c r="B1073" s="398">
        <f t="shared" ref="B1073:C1073" si="1089">($A1073-B$9)/365.25</f>
        <v>147.03901437371664</v>
      </c>
      <c r="C1073" s="398">
        <f t="shared" si="1089"/>
        <v>142.42847364818618</v>
      </c>
      <c r="E1073" s="25">
        <f>IF(C1073&gt;$B$7,0,'Combined Retirement'!$D$13/12)</f>
        <v>0</v>
      </c>
      <c r="F1073" s="25">
        <f>IF(H1073=0,'Combined Retirement'!$D$32,0)+'Combined Retirement'!$B$24</f>
        <v>2870.372285649099</v>
      </c>
      <c r="G1073" s="25">
        <f>'Combined Retirement'!$C$24</f>
        <v>3254.2644699519233</v>
      </c>
      <c r="H1073" s="25">
        <f>IF(B1073&lt;62,0,'Combined Retirement'!$I$14)</f>
        <v>2345</v>
      </c>
      <c r="I1073" s="25">
        <f>IF(C1073&lt;62,0,'Combined Retirement'!$I$13)</f>
        <v>2420</v>
      </c>
      <c r="J1073" s="25">
        <f t="shared" si="1043"/>
        <v>7896.2379798201846</v>
      </c>
      <c r="K1073" s="25">
        <f t="shared" si="1044"/>
        <v>20367.195264578786</v>
      </c>
      <c r="L1073" s="25"/>
      <c r="N1073" s="25">
        <f>'Combined Retirement'!$C$18/12</f>
        <v>39153.069999999992</v>
      </c>
      <c r="O1073" s="25">
        <f t="shared" si="1045"/>
        <v>10889.636755601023</v>
      </c>
      <c r="P1073" s="25">
        <f t="shared" si="1046"/>
        <v>28263.43324439897</v>
      </c>
      <c r="Q1073" s="25">
        <f t="array" aca="1" ref="Q1073" ca="1">INDEX('Isaac 401k'!L:L,MATCH('Retirement Calculator'!A1073,'Isaac 401k'!N:N,0),0)</f>
        <v>2021556.7267094967</v>
      </c>
      <c r="R1073" s="25">
        <f t="array" aca="1" ref="R1073" ca="1">INDEX('Lorri 401b'!L:L,MATCH('Retirement Calculator'!A1073,'Lorri 401b'!N:N,0),0)</f>
        <v>-17475069.833798785</v>
      </c>
      <c r="S1073" s="25">
        <f t="shared" ca="1" si="1047"/>
        <v>-15453513.107089289</v>
      </c>
    </row>
    <row r="1074" spans="1:19" ht="15.75" customHeight="1" x14ac:dyDescent="0.3">
      <c r="A1074" s="37">
        <v>83643</v>
      </c>
      <c r="B1074" s="398">
        <f t="shared" ref="B1074:C1074" si="1090">($A1074-B$9)/365.25</f>
        <v>147.12388774811774</v>
      </c>
      <c r="C1074" s="398">
        <f t="shared" si="1090"/>
        <v>142.51334702258728</v>
      </c>
      <c r="E1074" s="25">
        <f>IF(C1074&gt;$B$7,0,'Combined Retirement'!$D$13/12)</f>
        <v>0</v>
      </c>
      <c r="F1074" s="25">
        <f>IF(H1074=0,'Combined Retirement'!$D$32,0)+'Combined Retirement'!$B$24</f>
        <v>2870.372285649099</v>
      </c>
      <c r="G1074" s="25">
        <f>'Combined Retirement'!$C$24</f>
        <v>3254.2644699519233</v>
      </c>
      <c r="H1074" s="25">
        <f>IF(B1074&lt;62,0,'Combined Retirement'!$I$14)</f>
        <v>2345</v>
      </c>
      <c r="I1074" s="25">
        <f>IF(C1074&lt;62,0,'Combined Retirement'!$I$13)</f>
        <v>2420</v>
      </c>
      <c r="J1074" s="25">
        <f t="shared" si="1043"/>
        <v>7896.2379798201846</v>
      </c>
      <c r="K1074" s="25">
        <f t="shared" si="1044"/>
        <v>20367.195264578786</v>
      </c>
      <c r="L1074" s="25"/>
      <c r="N1074" s="25">
        <f>'Combined Retirement'!$C$18/12</f>
        <v>39153.069999999992</v>
      </c>
      <c r="O1074" s="25">
        <f t="shared" si="1045"/>
        <v>10889.636755601023</v>
      </c>
      <c r="P1074" s="25">
        <f t="shared" si="1046"/>
        <v>28263.43324439897</v>
      </c>
      <c r="Q1074" s="25">
        <f t="array" aca="1" ref="Q1074" ca="1">INDEX('Isaac 401k'!L:L,MATCH('Retirement Calculator'!A1074,'Isaac 401k'!N:N,0),0)</f>
        <v>2022050.7407660501</v>
      </c>
      <c r="R1074" s="25">
        <f t="array" aca="1" ref="R1074" ca="1">INDEX('Lorri 401b'!L:L,MATCH('Retirement Calculator'!A1074,'Lorri 401b'!N:N,0),0)</f>
        <v>-17568334.683351126</v>
      </c>
      <c r="S1074" s="25">
        <f t="shared" ca="1" si="1047"/>
        <v>-15546283.942585075</v>
      </c>
    </row>
    <row r="1075" spans="1:19" ht="15.75" customHeight="1" x14ac:dyDescent="0.3">
      <c r="A1075" s="37">
        <v>83674</v>
      </c>
      <c r="B1075" s="398">
        <f t="shared" ref="B1075:C1075" si="1091">($A1075-B$9)/365.25</f>
        <v>147.20876112251884</v>
      </c>
      <c r="C1075" s="398">
        <f t="shared" si="1091"/>
        <v>142.59822039698835</v>
      </c>
      <c r="E1075" s="25">
        <f>IF(C1075&gt;$B$7,0,'Combined Retirement'!$D$13/12)</f>
        <v>0</v>
      </c>
      <c r="F1075" s="25">
        <f>IF(H1075=0,'Combined Retirement'!$D$32,0)+'Combined Retirement'!$B$24</f>
        <v>2870.372285649099</v>
      </c>
      <c r="G1075" s="25">
        <f>'Combined Retirement'!$C$24</f>
        <v>3254.2644699519233</v>
      </c>
      <c r="H1075" s="25">
        <f>IF(B1075&lt;62,0,'Combined Retirement'!$I$14)</f>
        <v>2345</v>
      </c>
      <c r="I1075" s="25">
        <f>IF(C1075&lt;62,0,'Combined Retirement'!$I$13)</f>
        <v>2420</v>
      </c>
      <c r="J1075" s="25">
        <f t="shared" si="1043"/>
        <v>7896.2379798201846</v>
      </c>
      <c r="K1075" s="25">
        <f t="shared" si="1044"/>
        <v>20367.195264578786</v>
      </c>
      <c r="L1075" s="25"/>
      <c r="N1075" s="25">
        <f>'Combined Retirement'!$C$18/12</f>
        <v>39153.069999999992</v>
      </c>
      <c r="O1075" s="25">
        <f t="shared" si="1045"/>
        <v>10889.636755601023</v>
      </c>
      <c r="P1075" s="25">
        <f t="shared" si="1046"/>
        <v>28263.43324439897</v>
      </c>
      <c r="Q1075" s="25">
        <f t="array" aca="1" ref="Q1075" ca="1">INDEX('Isaac 401k'!L:L,MATCH('Retirement Calculator'!A1075,'Isaac 401k'!N:N,0),0)</f>
        <v>2022546.8132145058</v>
      </c>
      <c r="R1075" s="25">
        <f t="array" aca="1" ref="R1075" ca="1">INDEX('Lorri 401b'!L:L,MATCH('Retirement Calculator'!A1075,'Lorri 401b'!N:N,0),0)</f>
        <v>-17661988.136443269</v>
      </c>
      <c r="S1075" s="25">
        <f t="shared" ca="1" si="1047"/>
        <v>-15639441.323228763</v>
      </c>
    </row>
    <row r="1076" spans="1:19" ht="15.75" customHeight="1" x14ac:dyDescent="0.3">
      <c r="A1076" s="37">
        <v>83702</v>
      </c>
      <c r="B1076" s="398">
        <f t="shared" ref="B1076:C1076" si="1092">($A1076-B$9)/365.25</f>
        <v>147.28542094455852</v>
      </c>
      <c r="C1076" s="398">
        <f t="shared" si="1092"/>
        <v>142.67488021902807</v>
      </c>
      <c r="E1076" s="25">
        <f>IF(C1076&gt;$B$7,0,'Combined Retirement'!$D$13/12)</f>
        <v>0</v>
      </c>
      <c r="F1076" s="25">
        <f>IF(H1076=0,'Combined Retirement'!$D$32,0)+'Combined Retirement'!$B$24</f>
        <v>2870.372285649099</v>
      </c>
      <c r="G1076" s="25">
        <f>'Combined Retirement'!$C$24</f>
        <v>3254.2644699519233</v>
      </c>
      <c r="H1076" s="25">
        <f>IF(B1076&lt;62,0,'Combined Retirement'!$I$14)</f>
        <v>2345</v>
      </c>
      <c r="I1076" s="25">
        <f>IF(C1076&lt;62,0,'Combined Retirement'!$I$13)</f>
        <v>2420</v>
      </c>
      <c r="J1076" s="25">
        <f t="shared" si="1043"/>
        <v>7896.2379798201846</v>
      </c>
      <c r="K1076" s="25">
        <f t="shared" si="1044"/>
        <v>20367.195264578786</v>
      </c>
      <c r="L1076" s="25"/>
      <c r="N1076" s="25">
        <f>'Combined Retirement'!$C$18/12</f>
        <v>39153.069999999992</v>
      </c>
      <c r="O1076" s="25">
        <f t="shared" si="1045"/>
        <v>10889.636755601023</v>
      </c>
      <c r="P1076" s="25">
        <f t="shared" si="1046"/>
        <v>28263.43324439897</v>
      </c>
      <c r="Q1076" s="25">
        <f t="array" aca="1" ref="Q1076" ca="1">INDEX('Isaac 401k'!L:L,MATCH('Retirement Calculator'!A1076,'Isaac 401k'!N:N,0),0)</f>
        <v>2023044.9526314968</v>
      </c>
      <c r="R1076" s="25">
        <f t="array" aca="1" ref="R1076" ca="1">INDEX('Lorri 401b'!L:L,MATCH('Retirement Calculator'!A1076,'Lorri 401b'!N:N,0),0)</f>
        <v>-17756031.812256631</v>
      </c>
      <c r="S1076" s="25">
        <f t="shared" ca="1" si="1047"/>
        <v>-15732986.859625135</v>
      </c>
    </row>
    <row r="1077" spans="1:19" ht="15.75" customHeight="1" x14ac:dyDescent="0.3">
      <c r="A1077" s="37">
        <v>83733</v>
      </c>
      <c r="B1077" s="398">
        <f t="shared" ref="B1077:C1077" si="1093">($A1077-B$9)/365.25</f>
        <v>147.37029431895962</v>
      </c>
      <c r="C1077" s="398">
        <f t="shared" si="1093"/>
        <v>142.75975359342917</v>
      </c>
      <c r="E1077" s="25">
        <f>IF(C1077&gt;$B$7,0,'Combined Retirement'!$D$13/12)</f>
        <v>0</v>
      </c>
      <c r="F1077" s="25">
        <f>IF(H1077=0,'Combined Retirement'!$D$32,0)+'Combined Retirement'!$B$24</f>
        <v>2870.372285649099</v>
      </c>
      <c r="G1077" s="25">
        <f>'Combined Retirement'!$C$24</f>
        <v>3254.2644699519233</v>
      </c>
      <c r="H1077" s="25">
        <f>IF(B1077&lt;62,0,'Combined Retirement'!$I$14)</f>
        <v>2345</v>
      </c>
      <c r="I1077" s="25">
        <f>IF(C1077&lt;62,0,'Combined Retirement'!$I$13)</f>
        <v>2420</v>
      </c>
      <c r="J1077" s="25">
        <f t="shared" si="1043"/>
        <v>7896.2379798201846</v>
      </c>
      <c r="K1077" s="25">
        <f t="shared" si="1044"/>
        <v>20367.195264578786</v>
      </c>
      <c r="L1077" s="25"/>
      <c r="N1077" s="25">
        <f>'Combined Retirement'!$C$18/12</f>
        <v>39153.069999999992</v>
      </c>
      <c r="O1077" s="25">
        <f t="shared" si="1045"/>
        <v>10889.636755601023</v>
      </c>
      <c r="P1077" s="25">
        <f t="shared" si="1046"/>
        <v>28263.43324439897</v>
      </c>
      <c r="Q1077" s="25">
        <f t="array" aca="1" ref="Q1077" ca="1">INDEX('Isaac 401k'!L:L,MATCH('Retirement Calculator'!A1077,'Isaac 401k'!N:N,0),0)</f>
        <v>2023545.1676293919</v>
      </c>
      <c r="R1077" s="25">
        <f t="array" aca="1" ref="R1077" ca="1">INDEX('Lorri 401b'!L:L,MATCH('Retirement Calculator'!A1077,'Lorri 401b'!N:N,0),0)</f>
        <v>-17850467.336719215</v>
      </c>
      <c r="S1077" s="25">
        <f t="shared" ca="1" si="1047"/>
        <v>-15826922.169089824</v>
      </c>
    </row>
    <row r="1078" spans="1:19" ht="15.75" customHeight="1" x14ac:dyDescent="0.3">
      <c r="A1078" s="37">
        <v>83763</v>
      </c>
      <c r="B1078" s="398">
        <f t="shared" ref="B1078:C1078" si="1094">($A1078-B$9)/365.25</f>
        <v>147.45242984257359</v>
      </c>
      <c r="C1078" s="398">
        <f t="shared" si="1094"/>
        <v>142.84188911704311</v>
      </c>
      <c r="E1078" s="25">
        <f>IF(C1078&gt;$B$7,0,'Combined Retirement'!$D$13/12)</f>
        <v>0</v>
      </c>
      <c r="F1078" s="25">
        <f>IF(H1078=0,'Combined Retirement'!$D$32,0)+'Combined Retirement'!$B$24</f>
        <v>2870.372285649099</v>
      </c>
      <c r="G1078" s="25">
        <f>'Combined Retirement'!$C$24</f>
        <v>3254.2644699519233</v>
      </c>
      <c r="H1078" s="25">
        <f>IF(B1078&lt;62,0,'Combined Retirement'!$I$14)</f>
        <v>2345</v>
      </c>
      <c r="I1078" s="25">
        <f>IF(C1078&lt;62,0,'Combined Retirement'!$I$13)</f>
        <v>2420</v>
      </c>
      <c r="J1078" s="25">
        <f t="shared" si="1043"/>
        <v>7896.2379798201846</v>
      </c>
      <c r="K1078" s="25">
        <f t="shared" si="1044"/>
        <v>20367.195264578786</v>
      </c>
      <c r="L1078" s="25"/>
      <c r="N1078" s="25">
        <f>'Combined Retirement'!$C$18/12</f>
        <v>39153.069999999992</v>
      </c>
      <c r="O1078" s="25">
        <f t="shared" si="1045"/>
        <v>10889.636755601023</v>
      </c>
      <c r="P1078" s="25">
        <f t="shared" si="1046"/>
        <v>28263.43324439897</v>
      </c>
      <c r="Q1078" s="25">
        <f t="array" aca="1" ref="Q1078" ca="1">INDEX('Isaac 401k'!L:L,MATCH('Retirement Calculator'!A1078,'Isaac 401k'!N:N,0),0)</f>
        <v>2024047.466856445</v>
      </c>
      <c r="R1078" s="25">
        <f t="array" aca="1" ref="R1078" ca="1">INDEX('Lorri 401b'!L:L,MATCH('Retirement Calculator'!A1078,'Lorri 401b'!N:N,0),0)</f>
        <v>-17945296.342533726</v>
      </c>
      <c r="S1078" s="25">
        <f t="shared" ca="1" si="1047"/>
        <v>-15921248.875677282</v>
      </c>
    </row>
    <row r="1079" spans="1:19" ht="15.75" customHeight="1" x14ac:dyDescent="0.3">
      <c r="A1079" s="37">
        <v>83794</v>
      </c>
      <c r="B1079" s="398">
        <f t="shared" ref="B1079:C1079" si="1095">($A1079-B$9)/365.25</f>
        <v>147.53730321697466</v>
      </c>
      <c r="C1079" s="398">
        <f t="shared" si="1095"/>
        <v>142.92676249144421</v>
      </c>
      <c r="E1079" s="25">
        <f>IF(C1079&gt;$B$7,0,'Combined Retirement'!$D$13/12)</f>
        <v>0</v>
      </c>
      <c r="F1079" s="25">
        <f>IF(H1079=0,'Combined Retirement'!$D$32,0)+'Combined Retirement'!$B$24</f>
        <v>2870.372285649099</v>
      </c>
      <c r="G1079" s="25">
        <f>'Combined Retirement'!$C$24</f>
        <v>3254.2644699519233</v>
      </c>
      <c r="H1079" s="25">
        <f>IF(B1079&lt;62,0,'Combined Retirement'!$I$14)</f>
        <v>2345</v>
      </c>
      <c r="I1079" s="25">
        <f>IF(C1079&lt;62,0,'Combined Retirement'!$I$13)</f>
        <v>2420</v>
      </c>
      <c r="J1079" s="25">
        <f t="shared" si="1043"/>
        <v>7896.2379798201846</v>
      </c>
      <c r="K1079" s="25">
        <f t="shared" si="1044"/>
        <v>20367.195264578786</v>
      </c>
      <c r="L1079" s="25"/>
      <c r="N1079" s="25">
        <f>'Combined Retirement'!$C$18/12</f>
        <v>39153.069999999992</v>
      </c>
      <c r="O1079" s="25">
        <f t="shared" si="1045"/>
        <v>10889.636755601023</v>
      </c>
      <c r="P1079" s="25">
        <f t="shared" si="1046"/>
        <v>28263.43324439897</v>
      </c>
      <c r="Q1079" s="25">
        <f t="array" aca="1" ref="Q1079" ca="1">INDEX('Isaac 401k'!L:L,MATCH('Retirement Calculator'!A1079,'Isaac 401k'!N:N,0),0)</f>
        <v>2024551.858996944</v>
      </c>
      <c r="R1079" s="25">
        <f t="array" aca="1" ref="R1079" ca="1">INDEX('Lorri 401b'!L:L,MATCH('Retirement Calculator'!A1079,'Lorri 401b'!N:N,0),0)</f>
        <v>-18040520.469205797</v>
      </c>
      <c r="S1079" s="25">
        <f t="shared" ca="1" si="1047"/>
        <v>-16015968.610208852</v>
      </c>
    </row>
    <row r="1080" spans="1:19" ht="15.75" customHeight="1" x14ac:dyDescent="0.3">
      <c r="A1080" s="37">
        <v>83824</v>
      </c>
      <c r="B1080" s="398">
        <f t="shared" ref="B1080:C1080" si="1096">($A1080-B$9)/365.25</f>
        <v>147.61943874058863</v>
      </c>
      <c r="C1080" s="398">
        <f t="shared" si="1096"/>
        <v>143.00889801505818</v>
      </c>
      <c r="E1080" s="25">
        <f>IF(C1080&gt;$B$7,0,'Combined Retirement'!$D$13/12)</f>
        <v>0</v>
      </c>
      <c r="F1080" s="25">
        <f>IF(H1080=0,'Combined Retirement'!$D$32,0)+'Combined Retirement'!$B$24</f>
        <v>2870.372285649099</v>
      </c>
      <c r="G1080" s="25">
        <f>'Combined Retirement'!$C$24</f>
        <v>3254.2644699519233</v>
      </c>
      <c r="H1080" s="25">
        <f>IF(B1080&lt;62,0,'Combined Retirement'!$I$14)</f>
        <v>2345</v>
      </c>
      <c r="I1080" s="25">
        <f>IF(C1080&lt;62,0,'Combined Retirement'!$I$13)</f>
        <v>2420</v>
      </c>
      <c r="J1080" s="25">
        <f t="shared" si="1043"/>
        <v>7896.2379798201846</v>
      </c>
      <c r="K1080" s="25">
        <f t="shared" si="1044"/>
        <v>20367.195264578786</v>
      </c>
      <c r="L1080" s="25"/>
      <c r="N1080" s="25">
        <f>'Combined Retirement'!$C$18/12</f>
        <v>39153.069999999992</v>
      </c>
      <c r="O1080" s="25">
        <f t="shared" si="1045"/>
        <v>10889.636755601023</v>
      </c>
      <c r="P1080" s="25">
        <f t="shared" si="1046"/>
        <v>28263.43324439897</v>
      </c>
      <c r="Q1080" s="25">
        <f t="array" aca="1" ref="Q1080" ca="1">INDEX('Isaac 401k'!L:L,MATCH('Retirement Calculator'!A1080,'Isaac 401k'!N:N,0),0)</f>
        <v>2025058.3527713618</v>
      </c>
      <c r="R1080" s="25">
        <f t="array" aca="1" ref="R1080" ca="1">INDEX('Lorri 401b'!L:L,MATCH('Retirement Calculator'!A1080,'Lorri 401b'!N:N,0),0)</f>
        <v>-18136141.363072336</v>
      </c>
      <c r="S1080" s="25">
        <f t="shared" ca="1" si="1047"/>
        <v>-16111083.010300973</v>
      </c>
    </row>
    <row r="1081" spans="1:19" ht="15.75" customHeight="1" x14ac:dyDescent="0.3">
      <c r="A1081" s="37">
        <v>83855</v>
      </c>
      <c r="B1081" s="398">
        <f t="shared" ref="B1081:C1081" si="1097">($A1081-B$9)/365.25</f>
        <v>147.70431211498973</v>
      </c>
      <c r="C1081" s="398">
        <f t="shared" si="1097"/>
        <v>143.09377138945928</v>
      </c>
      <c r="E1081" s="25">
        <f>IF(C1081&gt;$B$7,0,'Combined Retirement'!$D$13/12)</f>
        <v>0</v>
      </c>
      <c r="F1081" s="25">
        <f>IF(H1081=0,'Combined Retirement'!$D$32,0)+'Combined Retirement'!$B$24</f>
        <v>2870.372285649099</v>
      </c>
      <c r="G1081" s="25">
        <f>'Combined Retirement'!$C$24</f>
        <v>3254.2644699519233</v>
      </c>
      <c r="H1081" s="25">
        <f>IF(B1081&lt;62,0,'Combined Retirement'!$I$14)</f>
        <v>2345</v>
      </c>
      <c r="I1081" s="25">
        <f>IF(C1081&lt;62,0,'Combined Retirement'!$I$13)</f>
        <v>2420</v>
      </c>
      <c r="J1081" s="25">
        <f t="shared" si="1043"/>
        <v>7896.2379798201846</v>
      </c>
      <c r="K1081" s="25">
        <f t="shared" si="1044"/>
        <v>20367.195264578786</v>
      </c>
      <c r="L1081" s="25"/>
      <c r="N1081" s="25">
        <f>'Combined Retirement'!$C$18/12</f>
        <v>39153.069999999992</v>
      </c>
      <c r="O1081" s="25">
        <f t="shared" si="1045"/>
        <v>10889.636755601023</v>
      </c>
      <c r="P1081" s="25">
        <f t="shared" si="1046"/>
        <v>28263.43324439897</v>
      </c>
      <c r="Q1081" s="25">
        <f t="array" aca="1" ref="Q1081" ca="1">INDEX('Isaac 401k'!L:L,MATCH('Retirement Calculator'!A1081,'Isaac 401k'!N:N,0),0)</f>
        <v>2025566.9569365063</v>
      </c>
      <c r="R1081" s="25">
        <f t="array" aca="1" ref="R1081" ca="1">INDEX('Lorri 401b'!L:L,MATCH('Retirement Calculator'!A1081,'Lorri 401b'!N:N,0),0)</f>
        <v>-18232160.677329984</v>
      </c>
      <c r="S1081" s="25">
        <f t="shared" ca="1" si="1047"/>
        <v>-16206593.720393477</v>
      </c>
    </row>
    <row r="1082" spans="1:19" ht="15.75" customHeight="1" x14ac:dyDescent="0.3">
      <c r="A1082" s="37">
        <v>83886</v>
      </c>
      <c r="B1082" s="398">
        <f t="shared" ref="B1082:C1082" si="1098">($A1082-B$9)/365.25</f>
        <v>147.78918548939083</v>
      </c>
      <c r="C1082" s="398">
        <f t="shared" si="1098"/>
        <v>143.17864476386038</v>
      </c>
      <c r="E1082" s="25">
        <f>IF(C1082&gt;$B$7,0,'Combined Retirement'!$D$13/12)</f>
        <v>0</v>
      </c>
      <c r="F1082" s="25">
        <f>IF(H1082=0,'Combined Retirement'!$D$32,0)+'Combined Retirement'!$B$24</f>
        <v>2870.372285649099</v>
      </c>
      <c r="G1082" s="25">
        <f>'Combined Retirement'!$C$24</f>
        <v>3254.2644699519233</v>
      </c>
      <c r="H1082" s="25">
        <f>IF(B1082&lt;62,0,'Combined Retirement'!$I$14)</f>
        <v>2345</v>
      </c>
      <c r="I1082" s="25">
        <f>IF(C1082&lt;62,0,'Combined Retirement'!$I$13)</f>
        <v>2420</v>
      </c>
      <c r="J1082" s="25">
        <f t="shared" si="1043"/>
        <v>7896.2379798201846</v>
      </c>
      <c r="K1082" s="25">
        <f t="shared" si="1044"/>
        <v>20367.195264578786</v>
      </c>
      <c r="L1082" s="25"/>
      <c r="N1082" s="25">
        <f>'Combined Retirement'!$C$18/12</f>
        <v>39153.069999999992</v>
      </c>
      <c r="O1082" s="25">
        <f t="shared" si="1045"/>
        <v>10889.636755601023</v>
      </c>
      <c r="P1082" s="25">
        <f t="shared" si="1046"/>
        <v>28263.43324439897</v>
      </c>
      <c r="Q1082" s="25">
        <f t="array" aca="1" ref="Q1082" ca="1">INDEX('Isaac 401k'!L:L,MATCH('Retirement Calculator'!A1082,'Isaac 401k'!N:N,0),0)</f>
        <v>2026077.6802856722</v>
      </c>
      <c r="R1082" s="25">
        <f t="array" aca="1" ref="R1082" ca="1">INDEX('Lorri 401b'!L:L,MATCH('Retirement Calculator'!A1082,'Lorri 401b'!N:N,0),0)</f>
        <v>-18328580.072063707</v>
      </c>
      <c r="S1082" s="25">
        <f t="shared" ca="1" si="1047"/>
        <v>-16302502.391778035</v>
      </c>
    </row>
    <row r="1083" spans="1:19" ht="15.75" customHeight="1" x14ac:dyDescent="0.3">
      <c r="A1083" s="37">
        <v>83916</v>
      </c>
      <c r="B1083" s="398">
        <f t="shared" ref="B1083:C1083" si="1099">($A1083-B$9)/365.25</f>
        <v>147.8713210130048</v>
      </c>
      <c r="C1083" s="398">
        <f t="shared" si="1099"/>
        <v>143.26078028747432</v>
      </c>
      <c r="E1083" s="25">
        <f>IF(C1083&gt;$B$7,0,'Combined Retirement'!$D$13/12)</f>
        <v>0</v>
      </c>
      <c r="F1083" s="25">
        <f>IF(H1083=0,'Combined Retirement'!$D$32,0)+'Combined Retirement'!$B$24</f>
        <v>2870.372285649099</v>
      </c>
      <c r="G1083" s="25">
        <f>'Combined Retirement'!$C$24</f>
        <v>3254.2644699519233</v>
      </c>
      <c r="H1083" s="25">
        <f>IF(B1083&lt;62,0,'Combined Retirement'!$I$14)</f>
        <v>2345</v>
      </c>
      <c r="I1083" s="25">
        <f>IF(C1083&lt;62,0,'Combined Retirement'!$I$13)</f>
        <v>2420</v>
      </c>
      <c r="J1083" s="25">
        <f t="shared" si="1043"/>
        <v>7896.2379798201846</v>
      </c>
      <c r="K1083" s="25">
        <f t="shared" si="1044"/>
        <v>20367.195264578786</v>
      </c>
      <c r="L1083" s="25"/>
      <c r="N1083" s="25">
        <f>'Combined Retirement'!$C$18/12</f>
        <v>39153.069999999992</v>
      </c>
      <c r="O1083" s="25">
        <f t="shared" si="1045"/>
        <v>10889.636755601023</v>
      </c>
      <c r="P1083" s="25">
        <f t="shared" si="1046"/>
        <v>28263.43324439897</v>
      </c>
      <c r="Q1083" s="25">
        <f t="array" aca="1" ref="Q1083" ca="1">INDEX('Isaac 401k'!L:L,MATCH('Retirement Calculator'!A1083,'Isaac 401k'!N:N,0),0)</f>
        <v>2026590.531648793</v>
      </c>
      <c r="R1083" s="25">
        <f t="array" aca="1" ref="R1083" ca="1">INDEX('Lorri 401b'!L:L,MATCH('Retirement Calculator'!A1083,'Lorri 401b'!N:N,0),0)</f>
        <v>-18425401.214275487</v>
      </c>
      <c r="S1083" s="25">
        <f t="shared" ca="1" si="1047"/>
        <v>-16398810.682626694</v>
      </c>
    </row>
    <row r="1084" spans="1:19" ht="15.75" customHeight="1" x14ac:dyDescent="0.3">
      <c r="A1084" s="37">
        <v>83947</v>
      </c>
      <c r="B1084" s="398">
        <f t="shared" ref="B1084:C1084" si="1100">($A1084-B$9)/365.25</f>
        <v>147.95619438740587</v>
      </c>
      <c r="C1084" s="398">
        <f t="shared" si="1100"/>
        <v>143.34565366187542</v>
      </c>
      <c r="E1084" s="25">
        <f>IF(C1084&gt;$B$7,0,'Combined Retirement'!$D$13/12)</f>
        <v>0</v>
      </c>
      <c r="F1084" s="25">
        <f>IF(H1084=0,'Combined Retirement'!$D$32,0)+'Combined Retirement'!$B$24</f>
        <v>2870.372285649099</v>
      </c>
      <c r="G1084" s="25">
        <f>'Combined Retirement'!$C$24</f>
        <v>3254.2644699519233</v>
      </c>
      <c r="H1084" s="25">
        <f>IF(B1084&lt;62,0,'Combined Retirement'!$I$14)</f>
        <v>2345</v>
      </c>
      <c r="I1084" s="25">
        <f>IF(C1084&lt;62,0,'Combined Retirement'!$I$13)</f>
        <v>2420</v>
      </c>
      <c r="J1084" s="25">
        <f t="shared" si="1043"/>
        <v>7896.2379798201846</v>
      </c>
      <c r="K1084" s="25">
        <f t="shared" si="1044"/>
        <v>20367.195264578786</v>
      </c>
      <c r="L1084" s="25"/>
      <c r="N1084" s="25">
        <f>'Combined Retirement'!$C$18/12</f>
        <v>39153.069999999992</v>
      </c>
      <c r="O1084" s="25">
        <f t="shared" si="1045"/>
        <v>10889.636755601023</v>
      </c>
      <c r="P1084" s="25">
        <f t="shared" si="1046"/>
        <v>28263.43324439897</v>
      </c>
      <c r="Q1084" s="25">
        <f t="array" aca="1" ref="Q1084" ca="1">INDEX('Isaac 401k'!L:L,MATCH('Retirement Calculator'!A1084,'Isaac 401k'!N:N,0),0)</f>
        <v>2027105.5198925936</v>
      </c>
      <c r="R1084" s="25">
        <f t="array" aca="1" ref="R1084" ca="1">INDEX('Lorri 401b'!L:L,MATCH('Retirement Calculator'!A1084,'Lorri 401b'!N:N,0),0)</f>
        <v>-18522625.777913149</v>
      </c>
      <c r="S1084" s="25">
        <f t="shared" ca="1" si="1047"/>
        <v>-16495520.258020556</v>
      </c>
    </row>
    <row r="1085" spans="1:19" ht="15.75" customHeight="1" x14ac:dyDescent="0.3">
      <c r="A1085" s="37">
        <v>83977</v>
      </c>
      <c r="B1085" s="398">
        <f t="shared" ref="B1085:C1085" si="1101">($A1085-B$9)/365.25</f>
        <v>148.03832991101984</v>
      </c>
      <c r="C1085" s="398">
        <f t="shared" si="1101"/>
        <v>143.42778918548939</v>
      </c>
      <c r="E1085" s="25">
        <f>IF(C1085&gt;$B$7,0,'Combined Retirement'!$D$13/12)</f>
        <v>0</v>
      </c>
      <c r="F1085" s="25">
        <f>IF(H1085=0,'Combined Retirement'!$D$32,0)+'Combined Retirement'!$B$24</f>
        <v>2870.372285649099</v>
      </c>
      <c r="G1085" s="25">
        <f>'Combined Retirement'!$C$24</f>
        <v>3254.2644699519233</v>
      </c>
      <c r="H1085" s="25">
        <f>IF(B1085&lt;62,0,'Combined Retirement'!$I$14)</f>
        <v>2345</v>
      </c>
      <c r="I1085" s="25">
        <f>IF(C1085&lt;62,0,'Combined Retirement'!$I$13)</f>
        <v>2420</v>
      </c>
      <c r="J1085" s="25">
        <f t="shared" si="1043"/>
        <v>7896.2379798201846</v>
      </c>
      <c r="K1085" s="25">
        <f t="shared" si="1044"/>
        <v>20367.195264578786</v>
      </c>
      <c r="L1085" s="25"/>
      <c r="N1085" s="25">
        <f>'Combined Retirement'!$C$18/12</f>
        <v>39153.069999999992</v>
      </c>
      <c r="O1085" s="25">
        <f t="shared" si="1045"/>
        <v>10889.636755601023</v>
      </c>
      <c r="P1085" s="25">
        <f t="shared" si="1046"/>
        <v>28263.43324439897</v>
      </c>
      <c r="Q1085" s="25">
        <f t="array" aca="1" ref="Q1085" ca="1">INDEX('Isaac 401k'!L:L,MATCH('Retirement Calculator'!A1085,'Isaac 401k'!N:N,0),0)</f>
        <v>2027622.6539207434</v>
      </c>
      <c r="R1085" s="25">
        <f t="array" aca="1" ref="R1085" ca="1">INDEX('Lorri 401b'!L:L,MATCH('Retirement Calculator'!A1085,'Lorri 401b'!N:N,0),0)</f>
        <v>-18620255.4438993</v>
      </c>
      <c r="S1085" s="25">
        <f t="shared" ca="1" si="1047"/>
        <v>-16592632.789978556</v>
      </c>
    </row>
    <row r="1086" spans="1:19" ht="15.75" customHeight="1" x14ac:dyDescent="0.3">
      <c r="A1086" s="37">
        <v>84008</v>
      </c>
      <c r="B1086" s="398">
        <f t="shared" ref="B1086:C1086" si="1102">($A1086-B$9)/365.25</f>
        <v>148.12320328542094</v>
      </c>
      <c r="C1086" s="398">
        <f t="shared" si="1102"/>
        <v>143.51266255989049</v>
      </c>
      <c r="E1086" s="25">
        <f>IF(C1086&gt;$B$7,0,'Combined Retirement'!$D$13/12)</f>
        <v>0</v>
      </c>
      <c r="F1086" s="25">
        <f>IF(H1086=0,'Combined Retirement'!$D$32,0)+'Combined Retirement'!$B$24</f>
        <v>2870.372285649099</v>
      </c>
      <c r="G1086" s="25">
        <f>'Combined Retirement'!$C$24</f>
        <v>3254.2644699519233</v>
      </c>
      <c r="H1086" s="25">
        <f>IF(B1086&lt;62,0,'Combined Retirement'!$I$14)</f>
        <v>2345</v>
      </c>
      <c r="I1086" s="25">
        <f>IF(C1086&lt;62,0,'Combined Retirement'!$I$13)</f>
        <v>2420</v>
      </c>
      <c r="J1086" s="25">
        <f t="shared" si="1043"/>
        <v>7896.2379798201846</v>
      </c>
      <c r="K1086" s="25">
        <f t="shared" si="1044"/>
        <v>20367.195264578786</v>
      </c>
      <c r="L1086" s="25"/>
      <c r="N1086" s="25">
        <f>'Combined Retirement'!$C$18/12</f>
        <v>39153.069999999992</v>
      </c>
      <c r="O1086" s="25">
        <f t="shared" si="1045"/>
        <v>10889.636755601023</v>
      </c>
      <c r="P1086" s="25">
        <f t="shared" si="1046"/>
        <v>28263.43324439897</v>
      </c>
      <c r="Q1086" s="25">
        <f t="array" aca="1" ref="Q1086" ca="1">INDEX('Isaac 401k'!L:L,MATCH('Retirement Calculator'!A1086,'Isaac 401k'!N:N,0),0)</f>
        <v>2028141.9426740103</v>
      </c>
      <c r="R1086" s="25">
        <f t="array" aca="1" ref="R1086" ca="1">INDEX('Lorri 401b'!L:L,MATCH('Retirement Calculator'!A1086,'Lorri 401b'!N:N,0),0)</f>
        <v>-18718291.900160395</v>
      </c>
      <c r="S1086" s="25">
        <f t="shared" ca="1" si="1047"/>
        <v>-16690149.957486384</v>
      </c>
    </row>
    <row r="1087" spans="1:19" ht="15.75" customHeight="1" x14ac:dyDescent="0.3">
      <c r="A1087" s="37">
        <v>84039</v>
      </c>
      <c r="B1087" s="398">
        <f t="shared" ref="B1087:C1087" si="1103">($A1087-B$9)/365.25</f>
        <v>148.20807665982204</v>
      </c>
      <c r="C1087" s="398">
        <f t="shared" si="1103"/>
        <v>143.59753593429159</v>
      </c>
      <c r="E1087" s="25">
        <f>IF(C1087&gt;$B$7,0,'Combined Retirement'!$D$13/12)</f>
        <v>0</v>
      </c>
      <c r="F1087" s="25">
        <f>IF(H1087=0,'Combined Retirement'!$D$32,0)+'Combined Retirement'!$B$24</f>
        <v>2870.372285649099</v>
      </c>
      <c r="G1087" s="25">
        <f>'Combined Retirement'!$C$24</f>
        <v>3254.2644699519233</v>
      </c>
      <c r="H1087" s="25">
        <f>IF(B1087&lt;62,0,'Combined Retirement'!$I$14)</f>
        <v>2345</v>
      </c>
      <c r="I1087" s="25">
        <f>IF(C1087&lt;62,0,'Combined Retirement'!$I$13)</f>
        <v>2420</v>
      </c>
      <c r="J1087" s="25">
        <f t="shared" si="1043"/>
        <v>7896.2379798201846</v>
      </c>
      <c r="K1087" s="25">
        <f t="shared" si="1044"/>
        <v>20367.195264578786</v>
      </c>
      <c r="L1087" s="25"/>
      <c r="N1087" s="25">
        <f>'Combined Retirement'!$C$18/12</f>
        <v>39153.069999999992</v>
      </c>
      <c r="O1087" s="25">
        <f t="shared" si="1045"/>
        <v>10889.636755601023</v>
      </c>
      <c r="P1087" s="25">
        <f t="shared" si="1046"/>
        <v>28263.43324439897</v>
      </c>
      <c r="Q1087" s="25">
        <f t="array" aca="1" ref="Q1087" ca="1">INDEX('Isaac 401k'!L:L,MATCH('Retirement Calculator'!A1087,'Isaac 401k'!N:N,0),0)</f>
        <v>2028663.3951304159</v>
      </c>
      <c r="R1087" s="25">
        <f t="array" aca="1" ref="R1087" ca="1">INDEX('Lorri 401b'!L:L,MATCH('Retirement Calculator'!A1087,'Lorri 401b'!N:N,0),0)</f>
        <v>-18816736.84165591</v>
      </c>
      <c r="S1087" s="25">
        <f t="shared" ca="1" si="1047"/>
        <v>-16788073.446525495</v>
      </c>
    </row>
    <row r="1088" spans="1:19" ht="15.75" customHeight="1" x14ac:dyDescent="0.3">
      <c r="A1088" s="37">
        <v>84067</v>
      </c>
      <c r="B1088" s="398">
        <f t="shared" ref="B1088:C1088" si="1104">($A1088-B$9)/365.25</f>
        <v>148.28473648186173</v>
      </c>
      <c r="C1088" s="398">
        <f t="shared" si="1104"/>
        <v>143.67419575633127</v>
      </c>
      <c r="E1088" s="25">
        <f>IF(C1088&gt;$B$7,0,'Combined Retirement'!$D$13/12)</f>
        <v>0</v>
      </c>
      <c r="F1088" s="25">
        <f>IF(H1088=0,'Combined Retirement'!$D$32,0)+'Combined Retirement'!$B$24</f>
        <v>2870.372285649099</v>
      </c>
      <c r="G1088" s="25">
        <f>'Combined Retirement'!$C$24</f>
        <v>3254.2644699519233</v>
      </c>
      <c r="H1088" s="25">
        <f>IF(B1088&lt;62,0,'Combined Retirement'!$I$14)</f>
        <v>2345</v>
      </c>
      <c r="I1088" s="25">
        <f>IF(C1088&lt;62,0,'Combined Retirement'!$I$13)</f>
        <v>2420</v>
      </c>
      <c r="J1088" s="25">
        <f t="shared" si="1043"/>
        <v>7896.2379798201846</v>
      </c>
      <c r="K1088" s="25">
        <f t="shared" si="1044"/>
        <v>20367.195264578786</v>
      </c>
      <c r="L1088" s="25"/>
      <c r="N1088" s="25">
        <f>'Combined Retirement'!$C$18/12</f>
        <v>39153.069999999992</v>
      </c>
      <c r="O1088" s="25">
        <f t="shared" si="1045"/>
        <v>10889.636755601023</v>
      </c>
      <c r="P1088" s="25">
        <f t="shared" si="1046"/>
        <v>28263.43324439897</v>
      </c>
      <c r="Q1088" s="25">
        <f t="array" aca="1" ref="Q1088" ca="1">INDEX('Isaac 401k'!L:L,MATCH('Retirement Calculator'!A1088,'Isaac 401k'!N:N,0),0)</f>
        <v>2029187.0203053898</v>
      </c>
      <c r="R1088" s="25">
        <f t="array" aca="1" ref="R1088" ca="1">INDEX('Lorri 401b'!L:L,MATCH('Retirement Calculator'!A1088,'Lorri 401b'!N:N,0),0)</f>
        <v>-18915591.970407657</v>
      </c>
      <c r="S1088" s="25">
        <f t="shared" ca="1" si="1047"/>
        <v>-16886404.950102266</v>
      </c>
    </row>
    <row r="1089" spans="1:19" ht="15.75" customHeight="1" x14ac:dyDescent="0.3">
      <c r="A1089" s="37">
        <v>84098</v>
      </c>
      <c r="B1089" s="398">
        <f t="shared" ref="B1089:C1089" si="1105">($A1089-B$9)/365.25</f>
        <v>148.36960985626283</v>
      </c>
      <c r="C1089" s="398">
        <f t="shared" si="1105"/>
        <v>143.75906913073237</v>
      </c>
      <c r="E1089" s="25">
        <f>IF(C1089&gt;$B$7,0,'Combined Retirement'!$D$13/12)</f>
        <v>0</v>
      </c>
      <c r="F1089" s="25">
        <f>IF(H1089=0,'Combined Retirement'!$D$32,0)+'Combined Retirement'!$B$24</f>
        <v>2870.372285649099</v>
      </c>
      <c r="G1089" s="25">
        <f>'Combined Retirement'!$C$24</f>
        <v>3254.2644699519233</v>
      </c>
      <c r="H1089" s="25">
        <f>IF(B1089&lt;62,0,'Combined Retirement'!$I$14)</f>
        <v>2345</v>
      </c>
      <c r="I1089" s="25">
        <f>IF(C1089&lt;62,0,'Combined Retirement'!$I$13)</f>
        <v>2420</v>
      </c>
      <c r="J1089" s="25">
        <f t="shared" si="1043"/>
        <v>7896.2379798201846</v>
      </c>
      <c r="K1089" s="25">
        <f t="shared" si="1044"/>
        <v>20367.195264578786</v>
      </c>
      <c r="L1089" s="25"/>
      <c r="N1089" s="25">
        <f>'Combined Retirement'!$C$18/12</f>
        <v>39153.069999999992</v>
      </c>
      <c r="O1089" s="25">
        <f t="shared" si="1045"/>
        <v>10889.636755601023</v>
      </c>
      <c r="P1089" s="25">
        <f t="shared" si="1046"/>
        <v>28263.43324439897</v>
      </c>
      <c r="Q1089" s="25">
        <f t="array" aca="1" ref="Q1089" ca="1">INDEX('Isaac 401k'!L:L,MATCH('Retirement Calculator'!A1089,'Isaac 401k'!N:N,0),0)</f>
        <v>2029712.8272519261</v>
      </c>
      <c r="R1089" s="25">
        <f t="array" aca="1" ref="R1089" ca="1">INDEX('Lorri 401b'!L:L,MATCH('Retirement Calculator'!A1089,'Lorri 401b'!N:N,0),0)</f>
        <v>-19014858.995529205</v>
      </c>
      <c r="S1089" s="25">
        <f t="shared" ca="1" si="1047"/>
        <v>-16985146.168277279</v>
      </c>
    </row>
    <row r="1090" spans="1:19" ht="15.75" customHeight="1" x14ac:dyDescent="0.3">
      <c r="A1090" s="37">
        <v>84128</v>
      </c>
      <c r="B1090" s="398">
        <f t="shared" ref="B1090:C1090" si="1106">($A1090-B$9)/365.25</f>
        <v>148.4517453798768</v>
      </c>
      <c r="C1090" s="398">
        <f t="shared" si="1106"/>
        <v>143.84120465434634</v>
      </c>
      <c r="E1090" s="25">
        <f>IF(C1090&gt;$B$7,0,'Combined Retirement'!$D$13/12)</f>
        <v>0</v>
      </c>
      <c r="F1090" s="25">
        <f>IF(H1090=0,'Combined Retirement'!$D$32,0)+'Combined Retirement'!$B$24</f>
        <v>2870.372285649099</v>
      </c>
      <c r="G1090" s="25">
        <f>'Combined Retirement'!$C$24</f>
        <v>3254.2644699519233</v>
      </c>
      <c r="H1090" s="25">
        <f>IF(B1090&lt;62,0,'Combined Retirement'!$I$14)</f>
        <v>2345</v>
      </c>
      <c r="I1090" s="25">
        <f>IF(C1090&lt;62,0,'Combined Retirement'!$I$13)</f>
        <v>2420</v>
      </c>
      <c r="J1090" s="25">
        <f t="shared" si="1043"/>
        <v>7896.2379798201846</v>
      </c>
      <c r="K1090" s="25">
        <f t="shared" si="1044"/>
        <v>20367.195264578786</v>
      </c>
      <c r="L1090" s="25"/>
      <c r="N1090" s="25">
        <f>'Combined Retirement'!$C$18/12</f>
        <v>39153.069999999992</v>
      </c>
      <c r="O1090" s="25">
        <f t="shared" si="1045"/>
        <v>10889.636755601023</v>
      </c>
      <c r="P1090" s="25">
        <f t="shared" si="1046"/>
        <v>28263.43324439897</v>
      </c>
      <c r="Q1090" s="25">
        <f t="array" aca="1" ref="Q1090" ca="1">INDEX('Isaac 401k'!L:L,MATCH('Retirement Calculator'!A1090,'Isaac 401k'!N:N,0),0)</f>
        <v>2030240.8250607396</v>
      </c>
      <c r="R1090" s="25">
        <f t="array" aca="1" ref="R1090" ca="1">INDEX('Lorri 401b'!L:L,MATCH('Retirement Calculator'!A1090,'Lorri 401b'!N:N,0),0)</f>
        <v>-19114539.633255422</v>
      </c>
      <c r="S1090" s="25">
        <f t="shared" ca="1" si="1047"/>
        <v>-17084298.808194682</v>
      </c>
    </row>
    <row r="1091" spans="1:19" ht="15.75" customHeight="1" x14ac:dyDescent="0.3">
      <c r="A1091" s="37">
        <v>84159</v>
      </c>
      <c r="B1091" s="398">
        <f t="shared" ref="B1091:C1091" si="1107">($A1091-B$9)/365.25</f>
        <v>148.5366187542779</v>
      </c>
      <c r="C1091" s="398">
        <f t="shared" si="1107"/>
        <v>143.92607802874744</v>
      </c>
      <c r="E1091" s="25">
        <f>IF(C1091&gt;$B$7,0,'Combined Retirement'!$D$13/12)</f>
        <v>0</v>
      </c>
      <c r="F1091" s="25">
        <f>IF(H1091=0,'Combined Retirement'!$D$32,0)+'Combined Retirement'!$B$24</f>
        <v>2870.372285649099</v>
      </c>
      <c r="G1091" s="25">
        <f>'Combined Retirement'!$C$24</f>
        <v>3254.2644699519233</v>
      </c>
      <c r="H1091" s="25">
        <f>IF(B1091&lt;62,0,'Combined Retirement'!$I$14)</f>
        <v>2345</v>
      </c>
      <c r="I1091" s="25">
        <f>IF(C1091&lt;62,0,'Combined Retirement'!$I$13)</f>
        <v>2420</v>
      </c>
      <c r="J1091" s="25">
        <f t="shared" si="1043"/>
        <v>7896.2379798201846</v>
      </c>
      <c r="K1091" s="25">
        <f t="shared" si="1044"/>
        <v>20367.195264578786</v>
      </c>
      <c r="L1091" s="25"/>
      <c r="N1091" s="25">
        <f>'Combined Retirement'!$C$18/12</f>
        <v>39153.069999999992</v>
      </c>
      <c r="O1091" s="25">
        <f t="shared" si="1045"/>
        <v>10889.636755601023</v>
      </c>
      <c r="P1091" s="25">
        <f t="shared" si="1046"/>
        <v>28263.43324439897</v>
      </c>
      <c r="Q1091" s="25">
        <f t="array" aca="1" ref="Q1091" ca="1">INDEX('Isaac 401k'!L:L,MATCH('Retirement Calculator'!A1091,'Isaac 401k'!N:N,0),0)</f>
        <v>2030771.0228604232</v>
      </c>
      <c r="R1091" s="25">
        <f t="array" aca="1" ref="R1091" ca="1">INDEX('Lorri 401b'!L:L,MATCH('Retirement Calculator'!A1091,'Lorri 401b'!N:N,0),0)</f>
        <v>-19214635.606972165</v>
      </c>
      <c r="S1091" s="25">
        <f t="shared" ca="1" si="1047"/>
        <v>-17183864.584111743</v>
      </c>
    </row>
    <row r="1092" spans="1:19" ht="15.75" customHeight="1" x14ac:dyDescent="0.3">
      <c r="A1092" s="37">
        <v>84189</v>
      </c>
      <c r="B1092" s="398">
        <f t="shared" ref="B1092:C1092" si="1108">($A1092-B$9)/365.25</f>
        <v>148.61875427789187</v>
      </c>
      <c r="C1092" s="398">
        <f t="shared" si="1108"/>
        <v>144.00821355236138</v>
      </c>
      <c r="E1092" s="25">
        <f>IF(C1092&gt;$B$7,0,'Combined Retirement'!$D$13/12)</f>
        <v>0</v>
      </c>
      <c r="F1092" s="25">
        <f>IF(H1092=0,'Combined Retirement'!$D$32,0)+'Combined Retirement'!$B$24</f>
        <v>2870.372285649099</v>
      </c>
      <c r="G1092" s="25">
        <f>'Combined Retirement'!$C$24</f>
        <v>3254.2644699519233</v>
      </c>
      <c r="H1092" s="25">
        <f>IF(B1092&lt;62,0,'Combined Retirement'!$I$14)</f>
        <v>2345</v>
      </c>
      <c r="I1092" s="25">
        <f>IF(C1092&lt;62,0,'Combined Retirement'!$I$13)</f>
        <v>2420</v>
      </c>
      <c r="J1092" s="25">
        <f t="shared" si="1043"/>
        <v>7896.2379798201846</v>
      </c>
      <c r="K1092" s="25">
        <f t="shared" si="1044"/>
        <v>20367.195264578786</v>
      </c>
      <c r="L1092" s="25"/>
      <c r="N1092" s="25">
        <f>'Combined Retirement'!$C$18/12</f>
        <v>39153.069999999992</v>
      </c>
      <c r="O1092" s="25">
        <f t="shared" si="1045"/>
        <v>10889.636755601023</v>
      </c>
      <c r="P1092" s="25">
        <f t="shared" si="1046"/>
        <v>28263.43324439897</v>
      </c>
      <c r="Q1092" s="25">
        <f t="array" aca="1" ref="Q1092" ca="1">INDEX('Isaac 401k'!L:L,MATCH('Retirement Calculator'!A1092,'Isaac 401k'!N:N,0),0)</f>
        <v>2031303.4298176055</v>
      </c>
      <c r="R1092" s="25">
        <f t="array" aca="1" ref="R1092" ca="1">INDEX('Lorri 401b'!L:L,MATCH('Retirement Calculator'!A1092,'Lorri 401b'!N:N,0),0)</f>
        <v>-19315148.647246063</v>
      </c>
      <c r="S1092" s="25">
        <f t="shared" ca="1" si="1047"/>
        <v>-17283845.217428457</v>
      </c>
    </row>
    <row r="1093" spans="1:19" ht="15.75" customHeight="1" x14ac:dyDescent="0.3">
      <c r="A1093" s="37">
        <v>84220</v>
      </c>
      <c r="B1093" s="398">
        <f t="shared" ref="B1093:C1093" si="1109">($A1093-B$9)/365.25</f>
        <v>148.70362765229294</v>
      </c>
      <c r="C1093" s="398">
        <f t="shared" si="1109"/>
        <v>144.09308692676248</v>
      </c>
      <c r="E1093" s="25">
        <f>IF(C1093&gt;$B$7,0,'Combined Retirement'!$D$13/12)</f>
        <v>0</v>
      </c>
      <c r="F1093" s="25">
        <f>IF(H1093=0,'Combined Retirement'!$D$32,0)+'Combined Retirement'!$B$24</f>
        <v>2870.372285649099</v>
      </c>
      <c r="G1093" s="25">
        <f>'Combined Retirement'!$C$24</f>
        <v>3254.2644699519233</v>
      </c>
      <c r="H1093" s="25">
        <f>IF(B1093&lt;62,0,'Combined Retirement'!$I$14)</f>
        <v>2345</v>
      </c>
      <c r="I1093" s="25">
        <f>IF(C1093&lt;62,0,'Combined Retirement'!$I$13)</f>
        <v>2420</v>
      </c>
      <c r="J1093" s="25">
        <f t="shared" si="1043"/>
        <v>7896.2379798201846</v>
      </c>
      <c r="K1093" s="25">
        <f t="shared" si="1044"/>
        <v>20367.195264578786</v>
      </c>
      <c r="L1093" s="25"/>
      <c r="N1093" s="25">
        <f>'Combined Retirement'!$C$18/12</f>
        <v>39153.069999999992</v>
      </c>
      <c r="O1093" s="25">
        <f t="shared" si="1045"/>
        <v>10889.636755601023</v>
      </c>
      <c r="P1093" s="25">
        <f t="shared" si="1046"/>
        <v>28263.43324439897</v>
      </c>
      <c r="Q1093" s="25">
        <f t="array" aca="1" ref="Q1093" ca="1">INDEX('Isaac 401k'!L:L,MATCH('Retirement Calculator'!A1093,'Isaac 401k'!N:N,0),0)</f>
        <v>2031838.0551371095</v>
      </c>
      <c r="R1093" s="25">
        <f t="array" aca="1" ref="R1093" ca="1">INDEX('Lorri 401b'!L:L,MATCH('Retirement Calculator'!A1093,'Lorri 401b'!N:N,0),0)</f>
        <v>-19416080.491854437</v>
      </c>
      <c r="S1093" s="25">
        <f t="shared" ca="1" si="1047"/>
        <v>-17384242.436717328</v>
      </c>
    </row>
    <row r="1094" spans="1:19" ht="15.75" customHeight="1" x14ac:dyDescent="0.3">
      <c r="A1094" s="37">
        <v>84251</v>
      </c>
      <c r="B1094" s="398">
        <f t="shared" ref="B1094:C1094" si="1110">($A1094-B$9)/365.25</f>
        <v>148.78850102669404</v>
      </c>
      <c r="C1094" s="398">
        <f t="shared" si="1110"/>
        <v>144.17796030116358</v>
      </c>
      <c r="E1094" s="25">
        <f>IF(C1094&gt;$B$7,0,'Combined Retirement'!$D$13/12)</f>
        <v>0</v>
      </c>
      <c r="F1094" s="25">
        <f>IF(H1094=0,'Combined Retirement'!$D$32,0)+'Combined Retirement'!$B$24</f>
        <v>2870.372285649099</v>
      </c>
      <c r="G1094" s="25">
        <f>'Combined Retirement'!$C$24</f>
        <v>3254.2644699519233</v>
      </c>
      <c r="H1094" s="25">
        <f>IF(B1094&lt;62,0,'Combined Retirement'!$I$14)</f>
        <v>2345</v>
      </c>
      <c r="I1094" s="25">
        <f>IF(C1094&lt;62,0,'Combined Retirement'!$I$13)</f>
        <v>2420</v>
      </c>
      <c r="J1094" s="25">
        <f t="shared" si="1043"/>
        <v>7896.2379798201846</v>
      </c>
      <c r="K1094" s="25">
        <f t="shared" si="1044"/>
        <v>20367.195264578786</v>
      </c>
      <c r="L1094" s="25"/>
      <c r="N1094" s="25">
        <f>'Combined Retirement'!$C$18/12</f>
        <v>39153.069999999992</v>
      </c>
      <c r="O1094" s="25">
        <f t="shared" si="1045"/>
        <v>10889.636755601023</v>
      </c>
      <c r="P1094" s="25">
        <f t="shared" si="1046"/>
        <v>28263.43324439897</v>
      </c>
      <c r="Q1094" s="25">
        <f t="array" aca="1" ref="Q1094" ca="1">INDEX('Isaac 401k'!L:L,MATCH('Retirement Calculator'!A1094,'Isaac 401k'!N:N,0),0)</f>
        <v>2032374.9080621114</v>
      </c>
      <c r="R1094" s="25">
        <f t="array" aca="1" ref="R1094" ca="1">INDEX('Lorri 401b'!L:L,MATCH('Retirement Calculator'!A1094,'Lorri 401b'!N:N,0),0)</f>
        <v>-19517432.885815345</v>
      </c>
      <c r="S1094" s="25">
        <f t="shared" ca="1" si="1047"/>
        <v>-17485057.977753233</v>
      </c>
    </row>
    <row r="1095" spans="1:19" ht="15.75" customHeight="1" x14ac:dyDescent="0.3">
      <c r="A1095" s="37">
        <v>84281</v>
      </c>
      <c r="B1095" s="398">
        <f t="shared" ref="B1095:C1095" si="1111">($A1095-B$9)/365.25</f>
        <v>148.87063655030801</v>
      </c>
      <c r="C1095" s="398">
        <f t="shared" si="1111"/>
        <v>144.26009582477755</v>
      </c>
      <c r="E1095" s="25">
        <f>IF(C1095&gt;$B$7,0,'Combined Retirement'!$D$13/12)</f>
        <v>0</v>
      </c>
      <c r="F1095" s="25">
        <f>IF(H1095=0,'Combined Retirement'!$D$32,0)+'Combined Retirement'!$B$24</f>
        <v>2870.372285649099</v>
      </c>
      <c r="G1095" s="25">
        <f>'Combined Retirement'!$C$24</f>
        <v>3254.2644699519233</v>
      </c>
      <c r="H1095" s="25">
        <f>IF(B1095&lt;62,0,'Combined Retirement'!$I$14)</f>
        <v>2345</v>
      </c>
      <c r="I1095" s="25">
        <f>IF(C1095&lt;62,0,'Combined Retirement'!$I$13)</f>
        <v>2420</v>
      </c>
      <c r="J1095" s="25">
        <f t="shared" si="1043"/>
        <v>7896.2379798201846</v>
      </c>
      <c r="K1095" s="25">
        <f t="shared" si="1044"/>
        <v>20367.195264578786</v>
      </c>
      <c r="L1095" s="25"/>
      <c r="N1095" s="25">
        <f>'Combined Retirement'!$C$18/12</f>
        <v>39153.069999999992</v>
      </c>
      <c r="O1095" s="25">
        <f t="shared" si="1045"/>
        <v>10889.636755601023</v>
      </c>
      <c r="P1095" s="25">
        <f t="shared" si="1046"/>
        <v>28263.43324439897</v>
      </c>
      <c r="Q1095" s="25">
        <f t="array" aca="1" ref="Q1095" ca="1">INDEX('Isaac 401k'!L:L,MATCH('Retirement Calculator'!A1095,'Isaac 401k'!N:N,0),0)</f>
        <v>2032913.9978743007</v>
      </c>
      <c r="R1095" s="25">
        <f t="array" aca="1" ref="R1095" ca="1">INDEX('Lorri 401b'!L:L,MATCH('Retirement Calculator'!A1095,'Lorri 401b'!N:N,0),0)</f>
        <v>-19619207.581417754</v>
      </c>
      <c r="S1095" s="25">
        <f t="shared" ca="1" si="1047"/>
        <v>-17586293.583543453</v>
      </c>
    </row>
    <row r="1096" spans="1:19" ht="15.75" customHeight="1" x14ac:dyDescent="0.3">
      <c r="A1096" s="37">
        <v>84312</v>
      </c>
      <c r="B1096" s="398">
        <f t="shared" ref="B1096:C1096" si="1112">($A1096-B$9)/365.25</f>
        <v>148.95550992470911</v>
      </c>
      <c r="C1096" s="398">
        <f t="shared" si="1112"/>
        <v>144.34496919917865</v>
      </c>
      <c r="E1096" s="25">
        <f>IF(C1096&gt;$B$7,0,'Combined Retirement'!$D$13/12)</f>
        <v>0</v>
      </c>
      <c r="F1096" s="25">
        <f>IF(H1096=0,'Combined Retirement'!$D$32,0)+'Combined Retirement'!$B$24</f>
        <v>2870.372285649099</v>
      </c>
      <c r="G1096" s="25">
        <f>'Combined Retirement'!$C$24</f>
        <v>3254.2644699519233</v>
      </c>
      <c r="H1096" s="25">
        <f>IF(B1096&lt;62,0,'Combined Retirement'!$I$14)</f>
        <v>2345</v>
      </c>
      <c r="I1096" s="25">
        <f>IF(C1096&lt;62,0,'Combined Retirement'!$I$13)</f>
        <v>2420</v>
      </c>
      <c r="J1096" s="25">
        <f t="shared" si="1043"/>
        <v>7896.2379798201846</v>
      </c>
      <c r="K1096" s="25">
        <f t="shared" si="1044"/>
        <v>20367.195264578786</v>
      </c>
      <c r="L1096" s="25"/>
      <c r="N1096" s="25">
        <f>'Combined Retirement'!$C$18/12</f>
        <v>39153.069999999992</v>
      </c>
      <c r="O1096" s="25">
        <f t="shared" si="1045"/>
        <v>10889.636755601023</v>
      </c>
      <c r="P1096" s="25">
        <f t="shared" si="1046"/>
        <v>28263.43324439897</v>
      </c>
      <c r="Q1096" s="25">
        <f t="array" aca="1" ref="Q1096" ca="1">INDEX('Isaac 401k'!L:L,MATCH('Retirement Calculator'!A1096,'Isaac 401k'!N:N,0),0)</f>
        <v>2033455.3338940409</v>
      </c>
      <c r="R1096" s="25">
        <f t="array" aca="1" ref="R1096" ca="1">INDEX('Lorri 401b'!L:L,MATCH('Retirement Calculator'!A1096,'Lorri 401b'!N:N,0),0)</f>
        <v>-19721406.33825184</v>
      </c>
      <c r="S1096" s="25">
        <f t="shared" ca="1" si="1047"/>
        <v>-17687951.0043578</v>
      </c>
    </row>
    <row r="1097" spans="1:19" ht="15.75" customHeight="1" x14ac:dyDescent="0.3">
      <c r="A1097" s="37">
        <v>84342</v>
      </c>
      <c r="B1097" s="398">
        <f t="shared" ref="B1097:C1097" si="1113">($A1097-B$9)/365.25</f>
        <v>149.03764544832308</v>
      </c>
      <c r="C1097" s="398">
        <f t="shared" si="1113"/>
        <v>144.42710472279262</v>
      </c>
      <c r="E1097" s="25">
        <f>IF(C1097&gt;$B$7,0,'Combined Retirement'!$D$13/12)</f>
        <v>0</v>
      </c>
      <c r="F1097" s="25">
        <f>IF(H1097=0,'Combined Retirement'!$D$32,0)+'Combined Retirement'!$B$24</f>
        <v>2870.372285649099</v>
      </c>
      <c r="G1097" s="25">
        <f>'Combined Retirement'!$C$24</f>
        <v>3254.2644699519233</v>
      </c>
      <c r="H1097" s="25">
        <f>IF(B1097&lt;62,0,'Combined Retirement'!$I$14)</f>
        <v>2345</v>
      </c>
      <c r="I1097" s="25">
        <f>IF(C1097&lt;62,0,'Combined Retirement'!$I$13)</f>
        <v>2420</v>
      </c>
      <c r="J1097" s="25">
        <f t="shared" si="1043"/>
        <v>7896.2379798201846</v>
      </c>
      <c r="K1097" s="25">
        <f t="shared" si="1044"/>
        <v>20367.195264578786</v>
      </c>
      <c r="L1097" s="25"/>
      <c r="N1097" s="25">
        <f>'Combined Retirement'!$C$18/12</f>
        <v>39153.069999999992</v>
      </c>
      <c r="O1097" s="25">
        <f t="shared" si="1045"/>
        <v>10889.636755601023</v>
      </c>
      <c r="P1097" s="25">
        <f t="shared" si="1046"/>
        <v>28263.43324439897</v>
      </c>
      <c r="Q1097" s="25">
        <f t="array" aca="1" ref="Q1097" ca="1">INDEX('Isaac 401k'!L:L,MATCH('Retirement Calculator'!A1097,'Isaac 401k'!N:N,0),0)</f>
        <v>2033998.9254805299</v>
      </c>
      <c r="R1097" s="25">
        <f t="array" aca="1" ref="R1097" ca="1">INDEX('Lorri 401b'!L:L,MATCH('Retirement Calculator'!A1097,'Lorri 401b'!N:N,0),0)</f>
        <v>-19824030.923239402</v>
      </c>
      <c r="S1097" s="25">
        <f t="shared" ca="1" si="1047"/>
        <v>-17790031.997758873</v>
      </c>
    </row>
    <row r="1098" spans="1:19" ht="15.75" customHeight="1" x14ac:dyDescent="0.3">
      <c r="A1098" s="37">
        <v>84373</v>
      </c>
      <c r="B1098" s="398">
        <f t="shared" ref="B1098:C1098" si="1114">($A1098-B$9)/365.25</f>
        <v>149.12251882272417</v>
      </c>
      <c r="C1098" s="398">
        <f t="shared" si="1114"/>
        <v>144.51197809719369</v>
      </c>
      <c r="E1098" s="25">
        <f>IF(C1098&gt;$B$7,0,'Combined Retirement'!$D$13/12)</f>
        <v>0</v>
      </c>
      <c r="F1098" s="25">
        <f>IF(H1098=0,'Combined Retirement'!$D$32,0)+'Combined Retirement'!$B$24</f>
        <v>2870.372285649099</v>
      </c>
      <c r="G1098" s="25">
        <f>'Combined Retirement'!$C$24</f>
        <v>3254.2644699519233</v>
      </c>
      <c r="H1098" s="25">
        <f>IF(B1098&lt;62,0,'Combined Retirement'!$I$14)</f>
        <v>2345</v>
      </c>
      <c r="I1098" s="25">
        <f>IF(C1098&lt;62,0,'Combined Retirement'!$I$13)</f>
        <v>2420</v>
      </c>
      <c r="J1098" s="25">
        <f t="shared" si="1043"/>
        <v>7896.2379798201846</v>
      </c>
      <c r="K1098" s="25">
        <f t="shared" si="1044"/>
        <v>20367.195264578786</v>
      </c>
      <c r="L1098" s="25"/>
      <c r="N1098" s="25">
        <f>'Combined Retirement'!$C$18/12</f>
        <v>39153.069999999992</v>
      </c>
      <c r="O1098" s="25">
        <f t="shared" si="1045"/>
        <v>10889.636755601023</v>
      </c>
      <c r="P1098" s="25">
        <f t="shared" si="1046"/>
        <v>28263.43324439897</v>
      </c>
      <c r="Q1098" s="25">
        <f t="array" aca="1" ref="Q1098" ca="1">INDEX('Isaac 401k'!L:L,MATCH('Retirement Calculator'!A1098,'Isaac 401k'!N:N,0),0)</f>
        <v>2034544.7820319626</v>
      </c>
      <c r="R1098" s="25">
        <f t="array" aca="1" ref="R1098" ca="1">INDEX('Lorri 401b'!L:L,MATCH('Retirement Calculator'!A1098,'Lorri 401b'!N:N,0),0)</f>
        <v>-19927083.110664412</v>
      </c>
      <c r="S1098" s="25">
        <f t="shared" ca="1" si="1047"/>
        <v>-17892538.328632452</v>
      </c>
    </row>
    <row r="1099" spans="1:19" ht="15.75" customHeight="1" x14ac:dyDescent="0.3">
      <c r="A1099" s="37">
        <v>84404</v>
      </c>
      <c r="B1099" s="398">
        <f t="shared" ref="B1099:C1099" si="1115">($A1099-B$9)/365.25</f>
        <v>149.20739219712524</v>
      </c>
      <c r="C1099" s="398">
        <f t="shared" si="1115"/>
        <v>144.59685147159479</v>
      </c>
      <c r="E1099" s="25">
        <f>IF(C1099&gt;$B$7,0,'Combined Retirement'!$D$13/12)</f>
        <v>0</v>
      </c>
      <c r="F1099" s="25">
        <f>IF(H1099=0,'Combined Retirement'!$D$32,0)+'Combined Retirement'!$B$24</f>
        <v>2870.372285649099</v>
      </c>
      <c r="G1099" s="25">
        <f>'Combined Retirement'!$C$24</f>
        <v>3254.2644699519233</v>
      </c>
      <c r="H1099" s="25">
        <f>IF(B1099&lt;62,0,'Combined Retirement'!$I$14)</f>
        <v>2345</v>
      </c>
      <c r="I1099" s="25">
        <f>IF(C1099&lt;62,0,'Combined Retirement'!$I$13)</f>
        <v>2420</v>
      </c>
      <c r="J1099" s="25">
        <f t="shared" si="1043"/>
        <v>7896.2379798201846</v>
      </c>
      <c r="K1099" s="25">
        <f t="shared" si="1044"/>
        <v>20367.195264578786</v>
      </c>
      <c r="L1099" s="25"/>
      <c r="N1099" s="25">
        <f>'Combined Retirement'!$C$18/12</f>
        <v>39153.069999999992</v>
      </c>
      <c r="O1099" s="25">
        <f t="shared" si="1045"/>
        <v>10889.636755601023</v>
      </c>
      <c r="P1099" s="25">
        <f t="shared" si="1046"/>
        <v>28263.43324439897</v>
      </c>
      <c r="Q1099" s="25">
        <f t="array" aca="1" ref="Q1099" ca="1">INDEX('Isaac 401k'!L:L,MATCH('Retirement Calculator'!A1099,'Isaac 401k'!N:N,0),0)</f>
        <v>2035092.912985693</v>
      </c>
      <c r="R1099" s="25">
        <f t="array" aca="1" ref="R1099" ca="1">INDEX('Lorri 401b'!L:L,MATCH('Retirement Calculator'!A1099,'Lorri 401b'!N:N,0),0)</f>
        <v>-20030564.682203695</v>
      </c>
      <c r="S1099" s="25">
        <f t="shared" ca="1" si="1047"/>
        <v>-17995471.769218002</v>
      </c>
    </row>
    <row r="1100" spans="1:19" ht="15.75" customHeight="1" x14ac:dyDescent="0.3">
      <c r="A1100" s="37">
        <v>84432</v>
      </c>
      <c r="B1100" s="398">
        <f t="shared" ref="B1100:C1100" si="1116">($A1100-B$9)/365.25</f>
        <v>149.28405201916496</v>
      </c>
      <c r="C1100" s="398">
        <f t="shared" si="1116"/>
        <v>144.6735112936345</v>
      </c>
      <c r="E1100" s="25">
        <f>IF(C1100&gt;$B$7,0,'Combined Retirement'!$D$13/12)</f>
        <v>0</v>
      </c>
      <c r="F1100" s="25">
        <f>IF(H1100=0,'Combined Retirement'!$D$32,0)+'Combined Retirement'!$B$24</f>
        <v>2870.372285649099</v>
      </c>
      <c r="G1100" s="25">
        <f>'Combined Retirement'!$C$24</f>
        <v>3254.2644699519233</v>
      </c>
      <c r="H1100" s="25">
        <f>IF(B1100&lt;62,0,'Combined Retirement'!$I$14)</f>
        <v>2345</v>
      </c>
      <c r="I1100" s="25">
        <f>IF(C1100&lt;62,0,'Combined Retirement'!$I$13)</f>
        <v>2420</v>
      </c>
      <c r="J1100" s="25">
        <f t="shared" si="1043"/>
        <v>7896.2379798201846</v>
      </c>
      <c r="K1100" s="25">
        <f t="shared" si="1044"/>
        <v>20367.195264578786</v>
      </c>
      <c r="L1100" s="25"/>
      <c r="N1100" s="25">
        <f>'Combined Retirement'!$C$18/12</f>
        <v>39153.069999999992</v>
      </c>
      <c r="O1100" s="25">
        <f t="shared" si="1045"/>
        <v>10889.636755601023</v>
      </c>
      <c r="P1100" s="25">
        <f t="shared" si="1046"/>
        <v>28263.43324439897</v>
      </c>
      <c r="Q1100" s="25">
        <f t="array" aca="1" ref="Q1100" ca="1">INDEX('Isaac 401k'!L:L,MATCH('Retirement Calculator'!A1100,'Isaac 401k'!N:N,0),0)</f>
        <v>2035643.3278183972</v>
      </c>
      <c r="R1100" s="25">
        <f t="array" aca="1" ref="R1100" ca="1">INDEX('Lorri 401b'!L:L,MATCH('Retirement Calculator'!A1100,'Lorri 401b'!N:N,0),0)</f>
        <v>-20134477.426957723</v>
      </c>
      <c r="S1100" s="25">
        <f t="shared" ca="1" si="1047"/>
        <v>-18098834.099139325</v>
      </c>
    </row>
    <row r="1101" spans="1:19" ht="15.75" customHeight="1" x14ac:dyDescent="0.3">
      <c r="A1101" s="37">
        <v>84463</v>
      </c>
      <c r="B1101" s="398">
        <f t="shared" ref="B1101:C1101" si="1117">($A1101-B$9)/365.25</f>
        <v>149.36892539356606</v>
      </c>
      <c r="C1101" s="398">
        <f t="shared" si="1117"/>
        <v>144.7583846680356</v>
      </c>
      <c r="E1101" s="25">
        <f>IF(C1101&gt;$B$7,0,'Combined Retirement'!$D$13/12)</f>
        <v>0</v>
      </c>
      <c r="F1101" s="25">
        <f>IF(H1101=0,'Combined Retirement'!$D$32,0)+'Combined Retirement'!$B$24</f>
        <v>2870.372285649099</v>
      </c>
      <c r="G1101" s="25">
        <f>'Combined Retirement'!$C$24</f>
        <v>3254.2644699519233</v>
      </c>
      <c r="H1101" s="25">
        <f>IF(B1101&lt;62,0,'Combined Retirement'!$I$14)</f>
        <v>2345</v>
      </c>
      <c r="I1101" s="25">
        <f>IF(C1101&lt;62,0,'Combined Retirement'!$I$13)</f>
        <v>2420</v>
      </c>
      <c r="J1101" s="25">
        <f t="shared" si="1043"/>
        <v>7896.2379798201846</v>
      </c>
      <c r="K1101" s="25">
        <f t="shared" si="1044"/>
        <v>20367.195264578786</v>
      </c>
      <c r="L1101" s="25"/>
      <c r="N1101" s="25">
        <f>'Combined Retirement'!$C$18/12</f>
        <v>39153.069999999992</v>
      </c>
      <c r="O1101" s="25">
        <f t="shared" si="1045"/>
        <v>10889.636755601023</v>
      </c>
      <c r="P1101" s="25">
        <f t="shared" si="1046"/>
        <v>28263.43324439897</v>
      </c>
      <c r="Q1101" s="25">
        <f t="array" aca="1" ref="Q1101" ca="1">INDEX('Isaac 401k'!L:L,MATCH('Retirement Calculator'!A1101,'Isaac 401k'!N:N,0),0)</f>
        <v>2036196.0360462377</v>
      </c>
      <c r="R1101" s="25">
        <f t="array" aca="1" ref="R1101" ca="1">INDEX('Lorri 401b'!L:L,MATCH('Retirement Calculator'!A1101,'Lorri 401b'!N:N,0),0)</f>
        <v>-20238823.14148156</v>
      </c>
      <c r="S1101" s="25">
        <f t="shared" ca="1" si="1047"/>
        <v>-18202627.105435323</v>
      </c>
    </row>
    <row r="1102" spans="1:19" ht="15.75" customHeight="1" x14ac:dyDescent="0.3">
      <c r="A1102" s="37">
        <v>84493</v>
      </c>
      <c r="B1102" s="398">
        <f t="shared" ref="B1102:C1102" si="1118">($A1102-B$9)/365.25</f>
        <v>149.45106091718</v>
      </c>
      <c r="C1102" s="398">
        <f t="shared" si="1118"/>
        <v>144.84052019164955</v>
      </c>
      <c r="E1102" s="25">
        <f>IF(C1102&gt;$B$7,0,'Combined Retirement'!$D$13/12)</f>
        <v>0</v>
      </c>
      <c r="F1102" s="25">
        <f>IF(H1102=0,'Combined Retirement'!$D$32,0)+'Combined Retirement'!$B$24</f>
        <v>2870.372285649099</v>
      </c>
      <c r="G1102" s="25">
        <f>'Combined Retirement'!$C$24</f>
        <v>3254.2644699519233</v>
      </c>
      <c r="H1102" s="25">
        <f>IF(B1102&lt;62,0,'Combined Retirement'!$I$14)</f>
        <v>2345</v>
      </c>
      <c r="I1102" s="25">
        <f>IF(C1102&lt;62,0,'Combined Retirement'!$I$13)</f>
        <v>2420</v>
      </c>
      <c r="J1102" s="25">
        <f t="shared" si="1043"/>
        <v>7896.2379798201846</v>
      </c>
      <c r="K1102" s="25">
        <f t="shared" si="1044"/>
        <v>20367.195264578786</v>
      </c>
      <c r="L1102" s="25"/>
      <c r="N1102" s="25">
        <f>'Combined Retirement'!$C$18/12</f>
        <v>39153.069999999992</v>
      </c>
      <c r="O1102" s="25">
        <f t="shared" si="1045"/>
        <v>10889.636755601023</v>
      </c>
      <c r="P1102" s="25">
        <f t="shared" si="1046"/>
        <v>28263.43324439897</v>
      </c>
      <c r="Q1102" s="25">
        <f t="array" aca="1" ref="Q1102" ca="1">INDEX('Isaac 401k'!L:L,MATCH('Retirement Calculator'!A1102,'Isaac 401k'!N:N,0),0)</f>
        <v>2036751.0472250276</v>
      </c>
      <c r="R1102" s="25">
        <f t="array" aca="1" ref="R1102" ca="1">INDEX('Lorri 401b'!L:L,MATCH('Retirement Calculator'!A1102,'Lorri 401b'!N:N,0),0)</f>
        <v>-20343603.629815914</v>
      </c>
      <c r="S1102" s="25">
        <f t="shared" ca="1" si="1047"/>
        <v>-18306852.582590885</v>
      </c>
    </row>
    <row r="1103" spans="1:19" ht="15.75" customHeight="1" x14ac:dyDescent="0.3">
      <c r="A1103" s="37">
        <v>84524</v>
      </c>
      <c r="B1103" s="398">
        <f t="shared" ref="B1103:C1103" si="1119">($A1103-B$9)/365.25</f>
        <v>149.5359342915811</v>
      </c>
      <c r="C1103" s="398">
        <f t="shared" si="1119"/>
        <v>144.92539356605064</v>
      </c>
      <c r="E1103" s="25">
        <f>IF(C1103&gt;$B$7,0,'Combined Retirement'!$D$13/12)</f>
        <v>0</v>
      </c>
      <c r="F1103" s="25">
        <f>IF(H1103=0,'Combined Retirement'!$D$32,0)+'Combined Retirement'!$B$24</f>
        <v>2870.372285649099</v>
      </c>
      <c r="G1103" s="25">
        <f>'Combined Retirement'!$C$24</f>
        <v>3254.2644699519233</v>
      </c>
      <c r="H1103" s="25">
        <f>IF(B1103&lt;62,0,'Combined Retirement'!$I$14)</f>
        <v>2345</v>
      </c>
      <c r="I1103" s="25">
        <f>IF(C1103&lt;62,0,'Combined Retirement'!$I$13)</f>
        <v>2420</v>
      </c>
      <c r="J1103" s="25">
        <f t="shared" si="1043"/>
        <v>7896.2379798201846</v>
      </c>
      <c r="K1103" s="25">
        <f t="shared" si="1044"/>
        <v>20367.195264578786</v>
      </c>
      <c r="L1103" s="25"/>
      <c r="N1103" s="25">
        <f>'Combined Retirement'!$C$18/12</f>
        <v>39153.069999999992</v>
      </c>
      <c r="O1103" s="25">
        <f t="shared" si="1045"/>
        <v>10889.636755601023</v>
      </c>
      <c r="P1103" s="25">
        <f t="shared" si="1046"/>
        <v>28263.43324439897</v>
      </c>
      <c r="Q1103" s="25">
        <f t="array" aca="1" ref="Q1103" ca="1">INDEX('Isaac 401k'!L:L,MATCH('Retirement Calculator'!A1103,'Isaac 401k'!N:N,0),0)</f>
        <v>2037308.3709503957</v>
      </c>
      <c r="R1103" s="25">
        <f t="array" aca="1" ref="R1103" ca="1">INDEX('Lorri 401b'!L:L,MATCH('Retirement Calculator'!A1103,'Lorri 401b'!N:N,0),0)</f>
        <v>-20448820.703518327</v>
      </c>
      <c r="S1103" s="25">
        <f t="shared" ca="1" si="1047"/>
        <v>-18411512.33256793</v>
      </c>
    </row>
    <row r="1104" spans="1:19" ht="15.75" customHeight="1" x14ac:dyDescent="0.3">
      <c r="A1104" s="37">
        <v>84554</v>
      </c>
      <c r="B1104" s="398">
        <f t="shared" ref="B1104:C1104" si="1120">($A1104-B$9)/365.25</f>
        <v>149.61806981519507</v>
      </c>
      <c r="C1104" s="398">
        <f t="shared" si="1120"/>
        <v>145.00752908966462</v>
      </c>
      <c r="E1104" s="25">
        <f>IF(C1104&gt;$B$7,0,'Combined Retirement'!$D$13/12)</f>
        <v>0</v>
      </c>
      <c r="F1104" s="25">
        <f>IF(H1104=0,'Combined Retirement'!$D$32,0)+'Combined Retirement'!$B$24</f>
        <v>2870.372285649099</v>
      </c>
      <c r="G1104" s="25">
        <f>'Combined Retirement'!$C$24</f>
        <v>3254.2644699519233</v>
      </c>
      <c r="H1104" s="25">
        <f>IF(B1104&lt;62,0,'Combined Retirement'!$I$14)</f>
        <v>2345</v>
      </c>
      <c r="I1104" s="25">
        <f>IF(C1104&lt;62,0,'Combined Retirement'!$I$13)</f>
        <v>2420</v>
      </c>
      <c r="J1104" s="25">
        <f t="shared" si="1043"/>
        <v>7896.2379798201846</v>
      </c>
      <c r="K1104" s="25">
        <f t="shared" si="1044"/>
        <v>20367.195264578786</v>
      </c>
      <c r="L1104" s="25"/>
      <c r="N1104" s="25">
        <f>'Combined Retirement'!$C$18/12</f>
        <v>39153.069999999992</v>
      </c>
      <c r="O1104" s="25">
        <f t="shared" si="1045"/>
        <v>10889.636755601023</v>
      </c>
      <c r="P1104" s="25">
        <f t="shared" si="1046"/>
        <v>28263.43324439897</v>
      </c>
      <c r="Q1104" s="25">
        <f t="array" aca="1" ref="Q1104" ca="1">INDEX('Isaac 401k'!L:L,MATCH('Retirement Calculator'!A1104,'Isaac 401k'!N:N,0),0)</f>
        <v>2037868.0168579528</v>
      </c>
      <c r="R1104" s="25">
        <f t="array" aca="1" ref="R1104" ca="1">INDEX('Lorri 401b'!L:L,MATCH('Retirement Calculator'!A1104,'Lorri 401b'!N:N,0),0)</f>
        <v>-20554476.1816945</v>
      </c>
      <c r="S1104" s="25">
        <f t="shared" ca="1" si="1047"/>
        <v>-18516608.164836548</v>
      </c>
    </row>
    <row r="1105" spans="1:19" ht="15.75" customHeight="1" x14ac:dyDescent="0.3">
      <c r="A1105" s="37">
        <v>84585</v>
      </c>
      <c r="B1105" s="398">
        <f t="shared" ref="B1105:C1105" si="1121">($A1105-B$9)/365.25</f>
        <v>149.70294318959617</v>
      </c>
      <c r="C1105" s="398">
        <f t="shared" si="1121"/>
        <v>145.09240246406571</v>
      </c>
      <c r="E1105" s="25">
        <f>IF(C1105&gt;$B$7,0,'Combined Retirement'!$D$13/12)</f>
        <v>0</v>
      </c>
      <c r="F1105" s="25">
        <f>IF(H1105=0,'Combined Retirement'!$D$32,0)+'Combined Retirement'!$B$24</f>
        <v>2870.372285649099</v>
      </c>
      <c r="G1105" s="25">
        <f>'Combined Retirement'!$C$24</f>
        <v>3254.2644699519233</v>
      </c>
      <c r="H1105" s="25">
        <f>IF(B1105&lt;62,0,'Combined Retirement'!$I$14)</f>
        <v>2345</v>
      </c>
      <c r="I1105" s="25">
        <f>IF(C1105&lt;62,0,'Combined Retirement'!$I$13)</f>
        <v>2420</v>
      </c>
      <c r="J1105" s="25">
        <f t="shared" si="1043"/>
        <v>7896.2379798201846</v>
      </c>
      <c r="K1105" s="25">
        <f t="shared" si="1044"/>
        <v>20367.195264578786</v>
      </c>
      <c r="L1105" s="25"/>
      <c r="N1105" s="25">
        <f>'Combined Retirement'!$C$18/12</f>
        <v>39153.069999999992</v>
      </c>
      <c r="O1105" s="25">
        <f t="shared" si="1045"/>
        <v>10889.636755601023</v>
      </c>
      <c r="P1105" s="25">
        <f t="shared" si="1046"/>
        <v>28263.43324439897</v>
      </c>
      <c r="Q1105" s="25">
        <f t="array" aca="1" ref="Q1105" ca="1">INDEX('Isaac 401k'!L:L,MATCH('Retirement Calculator'!A1105,'Isaac 401k'!N:N,0),0)</f>
        <v>2038429.9946234582</v>
      </c>
      <c r="R1105" s="25">
        <f t="array" aca="1" ref="R1105" ca="1">INDEX('Lorri 401b'!L:L,MATCH('Retirement Calculator'!A1105,'Lorri 401b'!N:N,0),0)</f>
        <v>-20660571.891029742</v>
      </c>
      <c r="S1105" s="25">
        <f t="shared" ca="1" si="1047"/>
        <v>-18622141.896406282</v>
      </c>
    </row>
    <row r="1106" spans="1:19" ht="15.75" customHeight="1" x14ac:dyDescent="0.3">
      <c r="A1106" s="37">
        <v>84616</v>
      </c>
      <c r="B1106" s="398">
        <f t="shared" ref="B1106:C1106" si="1122">($A1106-B$9)/365.25</f>
        <v>149.78781656399727</v>
      </c>
      <c r="C1106" s="398">
        <f t="shared" si="1122"/>
        <v>145.17727583846681</v>
      </c>
      <c r="E1106" s="25">
        <f>IF(C1106&gt;$B$7,0,'Combined Retirement'!$D$13/12)</f>
        <v>0</v>
      </c>
      <c r="F1106" s="25">
        <f>IF(H1106=0,'Combined Retirement'!$D$32,0)+'Combined Retirement'!$B$24</f>
        <v>2870.372285649099</v>
      </c>
      <c r="G1106" s="25">
        <f>'Combined Retirement'!$C$24</f>
        <v>3254.2644699519233</v>
      </c>
      <c r="H1106" s="25">
        <f>IF(B1106&lt;62,0,'Combined Retirement'!$I$14)</f>
        <v>2345</v>
      </c>
      <c r="I1106" s="25">
        <f>IF(C1106&lt;62,0,'Combined Retirement'!$I$13)</f>
        <v>2420</v>
      </c>
      <c r="J1106" s="25">
        <f t="shared" si="1043"/>
        <v>7896.2379798201846</v>
      </c>
      <c r="K1106" s="25">
        <f t="shared" si="1044"/>
        <v>20367.195264578786</v>
      </c>
      <c r="L1106" s="25"/>
      <c r="N1106" s="25">
        <f>'Combined Retirement'!$C$18/12</f>
        <v>39153.069999999992</v>
      </c>
      <c r="O1106" s="25">
        <f t="shared" si="1045"/>
        <v>10889.636755601023</v>
      </c>
      <c r="P1106" s="25">
        <f t="shared" si="1046"/>
        <v>28263.43324439897</v>
      </c>
      <c r="Q1106" s="25">
        <f t="array" aca="1" ref="Q1106" ca="1">INDEX('Isaac 401k'!L:L,MATCH('Retirement Calculator'!A1106,'Isaac 401k'!N:N,0),0)</f>
        <v>2038994.3139629865</v>
      </c>
      <c r="R1106" s="25">
        <f t="array" aca="1" ref="R1106" ca="1">INDEX('Lorri 401b'!L:L,MATCH('Retirement Calculator'!A1106,'Lorri 401b'!N:N,0),0)</f>
        <v>-20767109.665820546</v>
      </c>
      <c r="S1106" s="25">
        <f t="shared" ca="1" si="1047"/>
        <v>-18728115.351857562</v>
      </c>
    </row>
    <row r="1107" spans="1:19" ht="15.75" customHeight="1" x14ac:dyDescent="0.3">
      <c r="A1107" s="37">
        <v>84646</v>
      </c>
      <c r="B1107" s="398">
        <f t="shared" ref="B1107:C1107" si="1123">($A1107-B$9)/365.25</f>
        <v>149.86995208761124</v>
      </c>
      <c r="C1107" s="398">
        <f t="shared" si="1123"/>
        <v>145.25941136208075</v>
      </c>
      <c r="E1107" s="25">
        <f>IF(C1107&gt;$B$7,0,'Combined Retirement'!$D$13/12)</f>
        <v>0</v>
      </c>
      <c r="F1107" s="25">
        <f>IF(H1107=0,'Combined Retirement'!$D$32,0)+'Combined Retirement'!$B$24</f>
        <v>2870.372285649099</v>
      </c>
      <c r="G1107" s="25">
        <f>'Combined Retirement'!$C$24</f>
        <v>3254.2644699519233</v>
      </c>
      <c r="H1107" s="25">
        <f>IF(B1107&lt;62,0,'Combined Retirement'!$I$14)</f>
        <v>2345</v>
      </c>
      <c r="I1107" s="25">
        <f>IF(C1107&lt;62,0,'Combined Retirement'!$I$13)</f>
        <v>2420</v>
      </c>
      <c r="J1107" s="25">
        <f t="shared" si="1043"/>
        <v>7896.2379798201846</v>
      </c>
      <c r="K1107" s="25">
        <f t="shared" si="1044"/>
        <v>20367.195264578786</v>
      </c>
      <c r="L1107" s="25"/>
      <c r="N1107" s="25">
        <f>'Combined Retirement'!$C$18/12</f>
        <v>39153.069999999992</v>
      </c>
      <c r="O1107" s="25">
        <f t="shared" si="1045"/>
        <v>10889.636755601023</v>
      </c>
      <c r="P1107" s="25">
        <f t="shared" si="1046"/>
        <v>28263.43324439897</v>
      </c>
      <c r="Q1107" s="25">
        <f t="array" aca="1" ref="Q1107" ca="1">INDEX('Isaac 401k'!L:L,MATCH('Retirement Calculator'!A1107,'Isaac 401k'!N:N,0),0)</f>
        <v>2039560.984633096</v>
      </c>
      <c r="R1107" s="25">
        <f t="array" aca="1" ref="R1107" ca="1">INDEX('Lorri 401b'!L:L,MATCH('Retirement Calculator'!A1107,'Lorri 401b'!N:N,0),0)</f>
        <v>-20874091.348006312</v>
      </c>
      <c r="S1107" s="25">
        <f t="shared" ca="1" si="1047"/>
        <v>-18834530.363373216</v>
      </c>
    </row>
    <row r="1108" spans="1:19" ht="15.75" customHeight="1" x14ac:dyDescent="0.3">
      <c r="A1108" s="37">
        <v>84677</v>
      </c>
      <c r="B1108" s="398">
        <f t="shared" ref="B1108:C1108" si="1124">($A1108-B$9)/365.25</f>
        <v>149.95482546201231</v>
      </c>
      <c r="C1108" s="398">
        <f t="shared" si="1124"/>
        <v>145.34428473648185</v>
      </c>
      <c r="E1108" s="25">
        <f>IF(C1108&gt;$B$7,0,'Combined Retirement'!$D$13/12)</f>
        <v>0</v>
      </c>
      <c r="F1108" s="25">
        <f>IF(H1108=0,'Combined Retirement'!$D$32,0)+'Combined Retirement'!$B$24</f>
        <v>2870.372285649099</v>
      </c>
      <c r="G1108" s="25">
        <f>'Combined Retirement'!$C$24</f>
        <v>3254.2644699519233</v>
      </c>
      <c r="H1108" s="25">
        <f>IF(B1108&lt;62,0,'Combined Retirement'!$I$14)</f>
        <v>2345</v>
      </c>
      <c r="I1108" s="25">
        <f>IF(C1108&lt;62,0,'Combined Retirement'!$I$13)</f>
        <v>2420</v>
      </c>
      <c r="J1108" s="25">
        <f t="shared" si="1043"/>
        <v>7896.2379798201846</v>
      </c>
      <c r="K1108" s="25">
        <f t="shared" si="1044"/>
        <v>20367.195264578786</v>
      </c>
      <c r="L1108" s="25"/>
      <c r="N1108" s="25">
        <f>'Combined Retirement'!$C$18/12</f>
        <v>39153.069999999992</v>
      </c>
      <c r="O1108" s="25">
        <f t="shared" si="1045"/>
        <v>10889.636755601023</v>
      </c>
      <c r="P1108" s="25">
        <f t="shared" si="1046"/>
        <v>28263.43324439897</v>
      </c>
      <c r="Q1108" s="25">
        <f t="array" aca="1" ref="Q1108" ca="1">INDEX('Isaac 401k'!L:L,MATCH('Retirement Calculator'!A1108,'Isaac 401k'!N:N,0),0)</f>
        <v>2040130.0164309978</v>
      </c>
      <c r="R1108" s="25">
        <f t="array" aca="1" ref="R1108" ca="1">INDEX('Lorri 401b'!L:L,MATCH('Retirement Calculator'!A1108,'Lorri 401b'!N:N,0),0)</f>
        <v>-20981518.787201185</v>
      </c>
      <c r="S1108" s="25">
        <f t="shared" ca="1" si="1047"/>
        <v>-18941388.770770188</v>
      </c>
    </row>
    <row r="1109" spans="1:19" ht="15.75" customHeight="1" x14ac:dyDescent="0.3">
      <c r="A1109" s="37">
        <v>84707</v>
      </c>
      <c r="B1109" s="398">
        <f t="shared" ref="B1109:C1109" si="1125">($A1109-B$9)/365.25</f>
        <v>150.03696098562628</v>
      </c>
      <c r="C1109" s="398">
        <f t="shared" si="1125"/>
        <v>145.42642026009582</v>
      </c>
      <c r="E1109" s="25">
        <f>IF(C1109&gt;$B$7,0,'Combined Retirement'!$D$13/12)</f>
        <v>0</v>
      </c>
      <c r="F1109" s="25">
        <f>IF(H1109=0,'Combined Retirement'!$D$32,0)+'Combined Retirement'!$B$24</f>
        <v>2870.372285649099</v>
      </c>
      <c r="G1109" s="25">
        <f>'Combined Retirement'!$C$24</f>
        <v>3254.2644699519233</v>
      </c>
      <c r="H1109" s="25">
        <f>IF(B1109&lt;62,0,'Combined Retirement'!$I$14)</f>
        <v>2345</v>
      </c>
      <c r="I1109" s="25">
        <f>IF(C1109&lt;62,0,'Combined Retirement'!$I$13)</f>
        <v>2420</v>
      </c>
      <c r="J1109" s="25">
        <f t="shared" si="1043"/>
        <v>7896.2379798201846</v>
      </c>
      <c r="K1109" s="25">
        <f t="shared" si="1044"/>
        <v>20367.195264578786</v>
      </c>
      <c r="L1109" s="25"/>
      <c r="N1109" s="25">
        <f>'Combined Retirement'!$C$18/12</f>
        <v>39153.069999999992</v>
      </c>
      <c r="O1109" s="25">
        <f t="shared" si="1045"/>
        <v>10889.636755601023</v>
      </c>
      <c r="P1109" s="25">
        <f t="shared" si="1046"/>
        <v>28263.43324439897</v>
      </c>
      <c r="Q1109" s="25">
        <f t="array" aca="1" ref="Q1109" ca="1">INDEX('Isaac 401k'!L:L,MATCH('Retirement Calculator'!A1109,'Isaac 401k'!N:N,0),0)</f>
        <v>2040701.4191947242</v>
      </c>
      <c r="R1109" s="25">
        <f t="array" aca="1" ref="R1109" ca="1">INDEX('Lorri 401b'!L:L,MATCH('Retirement Calculator'!A1109,'Lorri 401b'!N:N,0),0)</f>
        <v>-21089393.840726037</v>
      </c>
      <c r="S1109" s="25">
        <f t="shared" ca="1" si="1047"/>
        <v>-19048692.421531312</v>
      </c>
    </row>
    <row r="1110" spans="1:19" ht="15.75" customHeight="1" x14ac:dyDescent="0.3">
      <c r="A1110" s="37">
        <v>84738</v>
      </c>
      <c r="B1110" s="398">
        <f t="shared" ref="B1110:C1110" si="1126">($A1110-B$9)/365.25</f>
        <v>150.12183436002738</v>
      </c>
      <c r="C1110" s="398">
        <f t="shared" si="1126"/>
        <v>145.51129363449692</v>
      </c>
      <c r="E1110" s="25">
        <f>IF(C1110&gt;$B$7,0,'Combined Retirement'!$D$13/12)</f>
        <v>0</v>
      </c>
      <c r="F1110" s="25">
        <f>IF(H1110=0,'Combined Retirement'!$D$32,0)+'Combined Retirement'!$B$24</f>
        <v>2870.372285649099</v>
      </c>
      <c r="G1110" s="25">
        <f>'Combined Retirement'!$C$24</f>
        <v>3254.2644699519233</v>
      </c>
      <c r="H1110" s="25">
        <f>IF(B1110&lt;62,0,'Combined Retirement'!$I$14)</f>
        <v>2345</v>
      </c>
      <c r="I1110" s="25">
        <f>IF(C1110&lt;62,0,'Combined Retirement'!$I$13)</f>
        <v>2420</v>
      </c>
      <c r="J1110" s="25">
        <f t="shared" si="1043"/>
        <v>7896.2379798201846</v>
      </c>
      <c r="K1110" s="25">
        <f t="shared" si="1044"/>
        <v>20367.195264578786</v>
      </c>
      <c r="L1110" s="25"/>
      <c r="N1110" s="25">
        <f>'Combined Retirement'!$C$18/12</f>
        <v>39153.069999999992</v>
      </c>
      <c r="O1110" s="25">
        <f t="shared" si="1045"/>
        <v>10889.636755601023</v>
      </c>
      <c r="P1110" s="25">
        <f t="shared" si="1046"/>
        <v>28263.43324439897</v>
      </c>
      <c r="Q1110" s="25">
        <f t="array" aca="1" ref="Q1110" ca="1">INDEX('Isaac 401k'!L:L,MATCH('Retirement Calculator'!A1110,'Isaac 401k'!N:N,0),0)</f>
        <v>2041275.2028032993</v>
      </c>
      <c r="R1110" s="25">
        <f t="array" aca="1" ref="R1110" ca="1">INDEX('Lorri 401b'!L:L,MATCH('Retirement Calculator'!A1110,'Lorri 401b'!N:N,0),0)</f>
        <v>-21197718.373640575</v>
      </c>
      <c r="S1110" s="25">
        <f t="shared" ca="1" si="1047"/>
        <v>-19156443.170837276</v>
      </c>
    </row>
    <row r="1111" spans="1:19" ht="15.75" customHeight="1" x14ac:dyDescent="0.3">
      <c r="A1111" s="37">
        <v>84769</v>
      </c>
      <c r="B1111" s="398">
        <f t="shared" ref="B1111:C1111" si="1127">($A1111-B$9)/365.25</f>
        <v>150.20670773442848</v>
      </c>
      <c r="C1111" s="398">
        <f t="shared" si="1127"/>
        <v>145.59616700889802</v>
      </c>
      <c r="E1111" s="25">
        <f>IF(C1111&gt;$B$7,0,'Combined Retirement'!$D$13/12)</f>
        <v>0</v>
      </c>
      <c r="F1111" s="25">
        <f>IF(H1111=0,'Combined Retirement'!$D$32,0)+'Combined Retirement'!$B$24</f>
        <v>2870.372285649099</v>
      </c>
      <c r="G1111" s="25">
        <f>'Combined Retirement'!$C$24</f>
        <v>3254.2644699519233</v>
      </c>
      <c r="H1111" s="25">
        <f>IF(B1111&lt;62,0,'Combined Retirement'!$I$14)</f>
        <v>2345</v>
      </c>
      <c r="I1111" s="25">
        <f>IF(C1111&lt;62,0,'Combined Retirement'!$I$13)</f>
        <v>2420</v>
      </c>
      <c r="J1111" s="25">
        <f t="shared" si="1043"/>
        <v>7896.2379798201846</v>
      </c>
      <c r="K1111" s="25">
        <f t="shared" si="1044"/>
        <v>20367.195264578786</v>
      </c>
      <c r="L1111" s="25"/>
      <c r="N1111" s="25">
        <f>'Combined Retirement'!$C$18/12</f>
        <v>39153.069999999992</v>
      </c>
      <c r="O1111" s="25">
        <f t="shared" si="1045"/>
        <v>10889.636755601023</v>
      </c>
      <c r="P1111" s="25">
        <f t="shared" si="1046"/>
        <v>28263.43324439897</v>
      </c>
      <c r="Q1111" s="25">
        <f t="array" aca="1" ref="Q1111" ca="1">INDEX('Isaac 401k'!L:L,MATCH('Retirement Calculator'!A1111,'Isaac 401k'!N:N,0),0)</f>
        <v>2041851.3771769102</v>
      </c>
      <c r="R1111" s="25">
        <f t="array" aca="1" ref="R1111" ca="1">INDEX('Lorri 401b'!L:L,MATCH('Retirement Calculator'!A1111,'Lorri 401b'!N:N,0),0)</f>
        <v>-21306494.258775592</v>
      </c>
      <c r="S1111" s="25">
        <f t="shared" ca="1" si="1047"/>
        <v>-19264642.881598681</v>
      </c>
    </row>
    <row r="1112" spans="1:19" ht="15.75" customHeight="1" x14ac:dyDescent="0.3">
      <c r="A1112" s="37">
        <v>84798</v>
      </c>
      <c r="B1112" s="398">
        <f t="shared" ref="B1112:C1112" si="1128">($A1112-B$9)/365.25</f>
        <v>150.28610540725529</v>
      </c>
      <c r="C1112" s="398">
        <f t="shared" si="1128"/>
        <v>145.67556468172484</v>
      </c>
      <c r="E1112" s="25">
        <f>IF(C1112&gt;$B$7,0,'Combined Retirement'!$D$13/12)</f>
        <v>0</v>
      </c>
      <c r="F1112" s="25">
        <f>IF(H1112=0,'Combined Retirement'!$D$32,0)+'Combined Retirement'!$B$24</f>
        <v>2870.372285649099</v>
      </c>
      <c r="G1112" s="25">
        <f>'Combined Retirement'!$C$24</f>
        <v>3254.2644699519233</v>
      </c>
      <c r="H1112" s="25">
        <f>IF(B1112&lt;62,0,'Combined Retirement'!$I$14)</f>
        <v>2345</v>
      </c>
      <c r="I1112" s="25">
        <f>IF(C1112&lt;62,0,'Combined Retirement'!$I$13)</f>
        <v>2420</v>
      </c>
      <c r="J1112" s="25">
        <f t="shared" si="1043"/>
        <v>7896.2379798201846</v>
      </c>
      <c r="K1112" s="25">
        <f t="shared" si="1044"/>
        <v>20367.195264578786</v>
      </c>
      <c r="L1112" s="25"/>
      <c r="N1112" s="25">
        <f>'Combined Retirement'!$C$18/12</f>
        <v>39153.069999999992</v>
      </c>
      <c r="O1112" s="25">
        <f t="shared" si="1045"/>
        <v>10889.636755601023</v>
      </c>
      <c r="P1112" s="25">
        <f t="shared" si="1046"/>
        <v>28263.43324439897</v>
      </c>
      <c r="Q1112" s="25">
        <f t="array" aca="1" ref="Q1112" ca="1">INDEX('Isaac 401k'!L:L,MATCH('Retirement Calculator'!A1112,'Isaac 401k'!N:N,0),0)</f>
        <v>2042429.9522770778</v>
      </c>
      <c r="R1112" s="25">
        <f t="array" aca="1" ref="R1112" ca="1">INDEX('Lorri 401b'!L:L,MATCH('Retirement Calculator'!A1112,'Lorri 401b'!N:N,0),0)</f>
        <v>-21415723.376765337</v>
      </c>
      <c r="S1112" s="25">
        <f t="shared" ca="1" si="1047"/>
        <v>-19373293.424488258</v>
      </c>
    </row>
    <row r="1113" spans="1:19" ht="15.75" customHeight="1" x14ac:dyDescent="0.3">
      <c r="A1113" s="37">
        <v>84829</v>
      </c>
      <c r="B1113" s="398">
        <f t="shared" ref="B1113:C1113" si="1129">($A1113-B$9)/365.25</f>
        <v>150.37097878165639</v>
      </c>
      <c r="C1113" s="398">
        <f t="shared" si="1129"/>
        <v>145.76043805612593</v>
      </c>
      <c r="E1113" s="25">
        <f>IF(C1113&gt;$B$7,0,'Combined Retirement'!$D$13/12)</f>
        <v>0</v>
      </c>
      <c r="F1113" s="25">
        <f>IF(H1113=0,'Combined Retirement'!$D$32,0)+'Combined Retirement'!$B$24</f>
        <v>2870.372285649099</v>
      </c>
      <c r="G1113" s="25">
        <f>'Combined Retirement'!$C$24</f>
        <v>3254.2644699519233</v>
      </c>
      <c r="H1113" s="25">
        <f>IF(B1113&lt;62,0,'Combined Retirement'!$I$14)</f>
        <v>2345</v>
      </c>
      <c r="I1113" s="25">
        <f>IF(C1113&lt;62,0,'Combined Retirement'!$I$13)</f>
        <v>2420</v>
      </c>
      <c r="J1113" s="25">
        <f t="shared" si="1043"/>
        <v>7896.2379798201846</v>
      </c>
      <c r="K1113" s="25">
        <f t="shared" si="1044"/>
        <v>20367.195264578786</v>
      </c>
      <c r="L1113" s="25"/>
      <c r="N1113" s="25">
        <f>'Combined Retirement'!$C$18/12</f>
        <v>39153.069999999992</v>
      </c>
      <c r="O1113" s="25">
        <f t="shared" si="1045"/>
        <v>10889.636755601023</v>
      </c>
      <c r="P1113" s="25">
        <f t="shared" si="1046"/>
        <v>28263.43324439897</v>
      </c>
      <c r="Q1113" s="25">
        <f t="array" aca="1" ref="Q1113" ca="1">INDEX('Isaac 401k'!L:L,MATCH('Retirement Calculator'!A1113,'Isaac 401k'!N:N,0),0)</f>
        <v>2043010.9381068295</v>
      </c>
      <c r="R1113" s="25">
        <f t="array" aca="1" ref="R1113" ca="1">INDEX('Lorri 401b'!L:L,MATCH('Retirement Calculator'!A1113,'Lorri 401b'!N:N,0),0)</f>
        <v>-21525407.616080038</v>
      </c>
      <c r="S1113" s="25">
        <f t="shared" ca="1" si="1047"/>
        <v>-19482396.677973207</v>
      </c>
    </row>
    <row r="1114" spans="1:19" ht="15.75" customHeight="1" x14ac:dyDescent="0.3">
      <c r="A1114" s="37">
        <v>84859</v>
      </c>
      <c r="B1114" s="398">
        <f t="shared" ref="B1114:C1114" si="1130">($A1114-B$9)/365.25</f>
        <v>150.45311430527036</v>
      </c>
      <c r="C1114" s="398">
        <f t="shared" si="1130"/>
        <v>145.84257357973991</v>
      </c>
      <c r="E1114" s="25">
        <f>IF(C1114&gt;$B$7,0,'Combined Retirement'!$D$13/12)</f>
        <v>0</v>
      </c>
      <c r="F1114" s="25">
        <f>IF(H1114=0,'Combined Retirement'!$D$32,0)+'Combined Retirement'!$B$24</f>
        <v>2870.372285649099</v>
      </c>
      <c r="G1114" s="25">
        <f>'Combined Retirement'!$C$24</f>
        <v>3254.2644699519233</v>
      </c>
      <c r="H1114" s="25">
        <f>IF(B1114&lt;62,0,'Combined Retirement'!$I$14)</f>
        <v>2345</v>
      </c>
      <c r="I1114" s="25">
        <f>IF(C1114&lt;62,0,'Combined Retirement'!$I$13)</f>
        <v>2420</v>
      </c>
      <c r="J1114" s="25">
        <f t="shared" si="1043"/>
        <v>7896.2379798201846</v>
      </c>
      <c r="K1114" s="25">
        <f t="shared" si="1044"/>
        <v>20367.195264578786</v>
      </c>
      <c r="L1114" s="25"/>
      <c r="N1114" s="25">
        <f>'Combined Retirement'!$C$18/12</f>
        <v>39153.069999999992</v>
      </c>
      <c r="O1114" s="25">
        <f t="shared" si="1045"/>
        <v>10889.636755601023</v>
      </c>
      <c r="P1114" s="25">
        <f t="shared" si="1046"/>
        <v>28263.43324439897</v>
      </c>
      <c r="Q1114" s="25">
        <f t="array" aca="1" ref="Q1114" ca="1">INDEX('Isaac 401k'!L:L,MATCH('Retirement Calculator'!A1114,'Isaac 401k'!N:N,0),0)</f>
        <v>2043594.3447108718</v>
      </c>
      <c r="R1114" s="25">
        <f t="array" aca="1" ref="R1114" ca="1">INDEX('Lorri 401b'!L:L,MATCH('Retirement Calculator'!A1114,'Lorri 401b'!N:N,0),0)</f>
        <v>-21635548.873058554</v>
      </c>
      <c r="S1114" s="25">
        <f t="shared" ca="1" si="1047"/>
        <v>-19591954.528347682</v>
      </c>
    </row>
    <row r="1115" spans="1:19" ht="15.75" customHeight="1" x14ac:dyDescent="0.3">
      <c r="A1115" s="37">
        <v>84890</v>
      </c>
      <c r="B1115" s="398">
        <f t="shared" ref="B1115:C1115" si="1131">($A1115-B$9)/365.25</f>
        <v>150.53798767967146</v>
      </c>
      <c r="C1115" s="398">
        <f t="shared" si="1131"/>
        <v>145.927446954141</v>
      </c>
      <c r="E1115" s="25">
        <f>IF(C1115&gt;$B$7,0,'Combined Retirement'!$D$13/12)</f>
        <v>0</v>
      </c>
      <c r="F1115" s="25">
        <f>IF(H1115=0,'Combined Retirement'!$D$32,0)+'Combined Retirement'!$B$24</f>
        <v>2870.372285649099</v>
      </c>
      <c r="G1115" s="25">
        <f>'Combined Retirement'!$C$24</f>
        <v>3254.2644699519233</v>
      </c>
      <c r="H1115" s="25">
        <f>IF(B1115&lt;62,0,'Combined Retirement'!$I$14)</f>
        <v>2345</v>
      </c>
      <c r="I1115" s="25">
        <f>IF(C1115&lt;62,0,'Combined Retirement'!$I$13)</f>
        <v>2420</v>
      </c>
      <c r="J1115" s="25">
        <f t="shared" si="1043"/>
        <v>7896.2379798201846</v>
      </c>
      <c r="K1115" s="25">
        <f t="shared" si="1044"/>
        <v>20367.195264578786</v>
      </c>
      <c r="L1115" s="25"/>
      <c r="N1115" s="25">
        <f>'Combined Retirement'!$C$18/12</f>
        <v>39153.069999999992</v>
      </c>
      <c r="O1115" s="25">
        <f t="shared" si="1045"/>
        <v>10889.636755601023</v>
      </c>
      <c r="P1115" s="25">
        <f t="shared" si="1046"/>
        <v>28263.43324439897</v>
      </c>
      <c r="Q1115" s="25">
        <f t="array" aca="1" ref="Q1115" ca="1">INDEX('Isaac 401k'!L:L,MATCH('Retirement Calculator'!A1115,'Isaac 401k'!N:N,0),0)</f>
        <v>2044180.1821757643</v>
      </c>
      <c r="R1115" s="25">
        <f t="array" aca="1" ref="R1115" ca="1">INDEX('Lorri 401b'!L:L,MATCH('Retirement Calculator'!A1115,'Lorri 401b'!N:N,0),0)</f>
        <v>-21746149.051941145</v>
      </c>
      <c r="S1115" s="25">
        <f t="shared" ca="1" si="1047"/>
        <v>-19701968.869765382</v>
      </c>
    </row>
    <row r="1116" spans="1:19" ht="15.75" customHeight="1" x14ac:dyDescent="0.3">
      <c r="A1116" s="37">
        <v>84920</v>
      </c>
      <c r="B1116" s="398">
        <f t="shared" ref="B1116:C1116" si="1132">($A1116-B$9)/365.25</f>
        <v>150.62012320328543</v>
      </c>
      <c r="C1116" s="398">
        <f t="shared" si="1132"/>
        <v>146.00958247775498</v>
      </c>
      <c r="E1116" s="25">
        <f>IF(C1116&gt;$B$7,0,'Combined Retirement'!$D$13/12)</f>
        <v>0</v>
      </c>
      <c r="F1116" s="25">
        <f>IF(H1116=0,'Combined Retirement'!$D$32,0)+'Combined Retirement'!$B$24</f>
        <v>2870.372285649099</v>
      </c>
      <c r="G1116" s="25">
        <f>'Combined Retirement'!$C$24</f>
        <v>3254.2644699519233</v>
      </c>
      <c r="H1116" s="25">
        <f>IF(B1116&lt;62,0,'Combined Retirement'!$I$14)</f>
        <v>2345</v>
      </c>
      <c r="I1116" s="25">
        <f>IF(C1116&lt;62,0,'Combined Retirement'!$I$13)</f>
        <v>2420</v>
      </c>
      <c r="J1116" s="25">
        <f t="shared" si="1043"/>
        <v>7896.2379798201846</v>
      </c>
      <c r="K1116" s="25">
        <f t="shared" si="1044"/>
        <v>20367.195264578786</v>
      </c>
      <c r="L1116" s="25"/>
      <c r="N1116" s="25">
        <f>'Combined Retirement'!$C$18/12</f>
        <v>39153.069999999992</v>
      </c>
      <c r="O1116" s="25">
        <f t="shared" si="1045"/>
        <v>10889.636755601023</v>
      </c>
      <c r="P1116" s="25">
        <f t="shared" si="1046"/>
        <v>28263.43324439897</v>
      </c>
      <c r="Q1116" s="25">
        <f t="array" aca="1" ref="Q1116" ca="1">INDEX('Isaac 401k'!L:L,MATCH('Retirement Calculator'!A1116,'Isaac 401k'!N:N,0),0)</f>
        <v>2044768.4606300939</v>
      </c>
      <c r="R1116" s="25">
        <f t="array" aca="1" ref="R1116" ca="1">INDEX('Lorri 401b'!L:L,MATCH('Retirement Calculator'!A1116,'Lorri 401b'!N:N,0),0)</f>
        <v>-21857210.064902414</v>
      </c>
      <c r="S1116" s="25">
        <f t="shared" ca="1" si="1047"/>
        <v>-19812441.604272321</v>
      </c>
    </row>
    <row r="1117" spans="1:19" ht="15.75" customHeight="1" x14ac:dyDescent="0.3">
      <c r="A1117" s="37">
        <v>84951</v>
      </c>
      <c r="B1117" s="398">
        <f t="shared" ref="B1117:C1117" si="1133">($A1117-B$9)/365.25</f>
        <v>150.70499657768653</v>
      </c>
      <c r="C1117" s="398">
        <f t="shared" si="1133"/>
        <v>146.09445585215605</v>
      </c>
      <c r="E1117" s="25">
        <f>IF(C1117&gt;$B$7,0,'Combined Retirement'!$D$13/12)</f>
        <v>0</v>
      </c>
      <c r="F1117" s="25">
        <f>IF(H1117=0,'Combined Retirement'!$D$32,0)+'Combined Retirement'!$B$24</f>
        <v>2870.372285649099</v>
      </c>
      <c r="G1117" s="25">
        <f>'Combined Retirement'!$C$24</f>
        <v>3254.2644699519233</v>
      </c>
      <c r="H1117" s="25">
        <f>IF(B1117&lt;62,0,'Combined Retirement'!$I$14)</f>
        <v>2345</v>
      </c>
      <c r="I1117" s="25">
        <f>IF(C1117&lt;62,0,'Combined Retirement'!$I$13)</f>
        <v>2420</v>
      </c>
      <c r="J1117" s="25">
        <f t="shared" si="1043"/>
        <v>7896.2379798201846</v>
      </c>
      <c r="K1117" s="25">
        <f t="shared" si="1044"/>
        <v>20367.195264578786</v>
      </c>
      <c r="L1117" s="25"/>
      <c r="N1117" s="25">
        <f>'Combined Retirement'!$C$18/12</f>
        <v>39153.069999999992</v>
      </c>
      <c r="O1117" s="25">
        <f t="shared" si="1045"/>
        <v>10889.636755601023</v>
      </c>
      <c r="P1117" s="25">
        <f t="shared" si="1046"/>
        <v>28263.43324439897</v>
      </c>
      <c r="Q1117" s="25">
        <f t="array" aca="1" ref="Q1117" ca="1">INDEX('Isaac 401k'!L:L,MATCH('Retirement Calculator'!A1117,'Isaac 401k'!N:N,0),0)</f>
        <v>2045359.1902446498</v>
      </c>
      <c r="R1117" s="25">
        <f t="array" aca="1" ref="R1117" ca="1">INDEX('Lorri 401b'!L:L,MATCH('Retirement Calculator'!A1117,'Lorri 401b'!N:N,0),0)</f>
        <v>-21968733.832084354</v>
      </c>
      <c r="S1117" s="25">
        <f t="shared" ca="1" si="1047"/>
        <v>-19923374.641839705</v>
      </c>
    </row>
    <row r="1118" spans="1:19" ht="15.75" customHeight="1" x14ac:dyDescent="0.3">
      <c r="A1118" s="37">
        <v>84982</v>
      </c>
      <c r="B1118" s="398">
        <f t="shared" ref="B1118:C1118" si="1134">($A1118-B$9)/365.25</f>
        <v>150.7898699520876</v>
      </c>
      <c r="C1118" s="398">
        <f t="shared" si="1134"/>
        <v>146.17932922655714</v>
      </c>
      <c r="E1118" s="25">
        <f>IF(C1118&gt;$B$7,0,'Combined Retirement'!$D$13/12)</f>
        <v>0</v>
      </c>
      <c r="F1118" s="25">
        <f>IF(H1118=0,'Combined Retirement'!$D$32,0)+'Combined Retirement'!$B$24</f>
        <v>2870.372285649099</v>
      </c>
      <c r="G1118" s="25">
        <f>'Combined Retirement'!$C$24</f>
        <v>3254.2644699519233</v>
      </c>
      <c r="H1118" s="25">
        <f>IF(B1118&lt;62,0,'Combined Retirement'!$I$14)</f>
        <v>2345</v>
      </c>
      <c r="I1118" s="25">
        <f>IF(C1118&lt;62,0,'Combined Retirement'!$I$13)</f>
        <v>2420</v>
      </c>
      <c r="J1118" s="25">
        <f t="shared" si="1043"/>
        <v>7896.2379798201846</v>
      </c>
      <c r="K1118" s="25">
        <f t="shared" si="1044"/>
        <v>20367.195264578786</v>
      </c>
      <c r="L1118" s="25"/>
      <c r="N1118" s="25">
        <f>'Combined Retirement'!$C$18/12</f>
        <v>39153.069999999992</v>
      </c>
      <c r="O1118" s="25">
        <f t="shared" si="1045"/>
        <v>10889.636755601023</v>
      </c>
      <c r="P1118" s="25">
        <f t="shared" si="1046"/>
        <v>28263.43324439897</v>
      </c>
      <c r="Q1118" s="25">
        <f t="array" aca="1" ref="Q1118" ca="1">INDEX('Isaac 401k'!L:L,MATCH('Retirement Calculator'!A1118,'Isaac 401k'!N:N,0),0)</f>
        <v>2045952.3812325997</v>
      </c>
      <c r="R1118" s="25">
        <f t="array" aca="1" ref="R1118" ca="1">INDEX('Lorri 401b'!L:L,MATCH('Retirement Calculator'!A1118,'Lorri 401b'!N:N,0),0)</f>
        <v>-22080722.281629551</v>
      </c>
      <c r="S1118" s="25">
        <f t="shared" ca="1" si="1047"/>
        <v>-20034769.900396951</v>
      </c>
    </row>
    <row r="1119" spans="1:19" ht="15.75" customHeight="1" x14ac:dyDescent="0.3">
      <c r="A1119" s="37">
        <v>85012</v>
      </c>
      <c r="B1119" s="398">
        <f t="shared" ref="B1119:C1119" si="1135">($A1119-B$9)/365.25</f>
        <v>150.87200547570157</v>
      </c>
      <c r="C1119" s="398">
        <f t="shared" si="1135"/>
        <v>146.26146475017111</v>
      </c>
      <c r="E1119" s="25">
        <f>IF(C1119&gt;$B$7,0,'Combined Retirement'!$D$13/12)</f>
        <v>0</v>
      </c>
      <c r="F1119" s="25">
        <f>IF(H1119=0,'Combined Retirement'!$D$32,0)+'Combined Retirement'!$B$24</f>
        <v>2870.372285649099</v>
      </c>
      <c r="G1119" s="25">
        <f>'Combined Retirement'!$C$24</f>
        <v>3254.2644699519233</v>
      </c>
      <c r="H1119" s="25">
        <f>IF(B1119&lt;62,0,'Combined Retirement'!$I$14)</f>
        <v>2345</v>
      </c>
      <c r="I1119" s="25">
        <f>IF(C1119&lt;62,0,'Combined Retirement'!$I$13)</f>
        <v>2420</v>
      </c>
      <c r="J1119" s="25">
        <f t="shared" si="1043"/>
        <v>7896.2379798201846</v>
      </c>
      <c r="K1119" s="25">
        <f t="shared" si="1044"/>
        <v>20367.195264578786</v>
      </c>
      <c r="L1119" s="25"/>
      <c r="N1119" s="25">
        <f>'Combined Retirement'!$C$18/12</f>
        <v>39153.069999999992</v>
      </c>
      <c r="O1119" s="25">
        <f t="shared" si="1045"/>
        <v>10889.636755601023</v>
      </c>
      <c r="P1119" s="25">
        <f t="shared" si="1046"/>
        <v>28263.43324439897</v>
      </c>
      <c r="Q1119" s="25">
        <f t="array" aca="1" ref="Q1119" ca="1">INDEX('Isaac 401k'!L:L,MATCH('Retirement Calculator'!A1119,'Isaac 401k'!N:N,0),0)</f>
        <v>2046548.0438496661</v>
      </c>
      <c r="R1119" s="25">
        <f t="array" aca="1" ref="R1119" ca="1">INDEX('Lorri 401b'!L:L,MATCH('Retirement Calculator'!A1119,'Lorri 401b'!N:N,0),0)</f>
        <v>-22193177.349714521</v>
      </c>
      <c r="S1119" s="25">
        <f t="shared" ca="1" si="1047"/>
        <v>-20146629.305864856</v>
      </c>
    </row>
    <row r="1120" spans="1:19" ht="15.75" customHeight="1" x14ac:dyDescent="0.3">
      <c r="A1120" s="37">
        <v>85043</v>
      </c>
      <c r="B1120" s="398">
        <f t="shared" ref="B1120:C1120" si="1136">($A1120-B$9)/365.25</f>
        <v>150.95687885010267</v>
      </c>
      <c r="C1120" s="398">
        <f t="shared" si="1136"/>
        <v>146.34633812457221</v>
      </c>
      <c r="E1120" s="25">
        <f>IF(C1120&gt;$B$7,0,'Combined Retirement'!$D$13/12)</f>
        <v>0</v>
      </c>
      <c r="F1120" s="25">
        <f>IF(H1120=0,'Combined Retirement'!$D$32,0)+'Combined Retirement'!$B$24</f>
        <v>2870.372285649099</v>
      </c>
      <c r="G1120" s="25">
        <f>'Combined Retirement'!$C$24</f>
        <v>3254.2644699519233</v>
      </c>
      <c r="H1120" s="25">
        <f>IF(B1120&lt;62,0,'Combined Retirement'!$I$14)</f>
        <v>2345</v>
      </c>
      <c r="I1120" s="25">
        <f>IF(C1120&lt;62,0,'Combined Retirement'!$I$13)</f>
        <v>2420</v>
      </c>
      <c r="J1120" s="25">
        <f t="shared" si="1043"/>
        <v>7896.2379798201846</v>
      </c>
      <c r="K1120" s="25">
        <f t="shared" si="1044"/>
        <v>20367.195264578786</v>
      </c>
      <c r="L1120" s="25"/>
      <c r="N1120" s="25">
        <f>'Combined Retirement'!$C$18/12</f>
        <v>39153.069999999992</v>
      </c>
      <c r="O1120" s="25">
        <f t="shared" si="1045"/>
        <v>10889.636755601023</v>
      </c>
      <c r="P1120" s="25">
        <f t="shared" si="1046"/>
        <v>28263.43324439897</v>
      </c>
      <c r="Q1120" s="25">
        <f t="array" aca="1" ref="Q1120" ca="1">INDEX('Isaac 401k'!L:L,MATCH('Retirement Calculator'!A1120,'Isaac 401k'!N:N,0),0)</f>
        <v>2047146.1883943037</v>
      </c>
      <c r="R1120" s="25">
        <f t="array" aca="1" ref="R1120" ca="1">INDEX('Lorri 401b'!L:L,MATCH('Retirement Calculator'!A1120,'Lorri 401b'!N:N,0),0)</f>
        <v>-22306100.98058318</v>
      </c>
      <c r="S1120" s="25">
        <f t="shared" ca="1" si="1047"/>
        <v>-20258954.792188875</v>
      </c>
    </row>
    <row r="1121" spans="1:19" ht="15.75" customHeight="1" x14ac:dyDescent="0.3">
      <c r="A1121" s="37">
        <v>85073</v>
      </c>
      <c r="B1121" s="398">
        <f t="shared" ref="B1121:C1121" si="1137">($A1121-B$9)/365.25</f>
        <v>151.03901437371664</v>
      </c>
      <c r="C1121" s="398">
        <f t="shared" si="1137"/>
        <v>146.42847364818618</v>
      </c>
      <c r="E1121" s="25">
        <f>IF(C1121&gt;$B$7,0,'Combined Retirement'!$D$13/12)</f>
        <v>0</v>
      </c>
      <c r="F1121" s="25">
        <f>IF(H1121=0,'Combined Retirement'!$D$32,0)+'Combined Retirement'!$B$24</f>
        <v>2870.372285649099</v>
      </c>
      <c r="G1121" s="25">
        <f>'Combined Retirement'!$C$24</f>
        <v>3254.2644699519233</v>
      </c>
      <c r="H1121" s="25">
        <f>IF(B1121&lt;62,0,'Combined Retirement'!$I$14)</f>
        <v>2345</v>
      </c>
      <c r="I1121" s="25">
        <f>IF(C1121&lt;62,0,'Combined Retirement'!$I$13)</f>
        <v>2420</v>
      </c>
      <c r="J1121" s="25">
        <f t="shared" si="1043"/>
        <v>7896.2379798201846</v>
      </c>
      <c r="K1121" s="25">
        <f t="shared" si="1044"/>
        <v>20367.195264578786</v>
      </c>
      <c r="L1121" s="25"/>
      <c r="N1121" s="25">
        <f>'Combined Retirement'!$C$18/12</f>
        <v>39153.069999999992</v>
      </c>
      <c r="O1121" s="25">
        <f t="shared" si="1045"/>
        <v>10889.636755601023</v>
      </c>
      <c r="P1121" s="25">
        <f t="shared" si="1046"/>
        <v>28263.43324439897</v>
      </c>
      <c r="Q1121" s="25">
        <f t="array" aca="1" ref="Q1121" ca="1">INDEX('Isaac 401k'!L:L,MATCH('Retirement Calculator'!A1121,'Isaac 401k'!N:N,0),0)</f>
        <v>2047746.8252078772</v>
      </c>
      <c r="R1121" s="25">
        <f t="array" aca="1" ref="R1121" ca="1">INDEX('Lorri 401b'!L:L,MATCH('Retirement Calculator'!A1121,'Lorri 401b'!N:N,0),0)</f>
        <v>-22419495.126580458</v>
      </c>
      <c r="S1121" s="25">
        <f t="shared" ca="1" si="1047"/>
        <v>-20371748.30137258</v>
      </c>
    </row>
    <row r="1122" spans="1:19" ht="15.75" customHeight="1" x14ac:dyDescent="0.3">
      <c r="A1122" s="37">
        <v>85104</v>
      </c>
      <c r="B1122" s="398">
        <f t="shared" ref="B1122:C1122" si="1138">($A1122-B$9)/365.25</f>
        <v>151.12388774811774</v>
      </c>
      <c r="C1122" s="398">
        <f t="shared" si="1138"/>
        <v>146.51334702258728</v>
      </c>
      <c r="E1122" s="25">
        <f>IF(C1122&gt;$B$7,0,'Combined Retirement'!$D$13/12)</f>
        <v>0</v>
      </c>
      <c r="F1122" s="25">
        <f>IF(H1122=0,'Combined Retirement'!$D$32,0)+'Combined Retirement'!$B$24</f>
        <v>2870.372285649099</v>
      </c>
      <c r="G1122" s="25">
        <f>'Combined Retirement'!$C$24</f>
        <v>3254.2644699519233</v>
      </c>
      <c r="H1122" s="25">
        <f>IF(B1122&lt;62,0,'Combined Retirement'!$I$14)</f>
        <v>2345</v>
      </c>
      <c r="I1122" s="25">
        <f>IF(C1122&lt;62,0,'Combined Retirement'!$I$13)</f>
        <v>2420</v>
      </c>
      <c r="J1122" s="25">
        <f t="shared" si="1043"/>
        <v>7896.2379798201846</v>
      </c>
      <c r="K1122" s="25">
        <f t="shared" si="1044"/>
        <v>20367.195264578786</v>
      </c>
      <c r="L1122" s="25"/>
      <c r="N1122" s="25">
        <f>'Combined Retirement'!$C$18/12</f>
        <v>39153.069999999992</v>
      </c>
      <c r="O1122" s="25">
        <f t="shared" si="1045"/>
        <v>10889.636755601023</v>
      </c>
      <c r="P1122" s="25">
        <f t="shared" si="1046"/>
        <v>28263.43324439897</v>
      </c>
      <c r="Q1122" s="25">
        <f t="array" aca="1" ref="Q1122" ca="1">INDEX('Isaac 401k'!L:L,MATCH('Retirement Calculator'!A1122,'Isaac 401k'!N:N,0),0)</f>
        <v>2048349.9646748404</v>
      </c>
      <c r="R1122" s="25">
        <f t="array" aca="1" ref="R1122" ca="1">INDEX('Lorri 401b'!L:L,MATCH('Retirement Calculator'!A1122,'Lorri 401b'!N:N,0),0)</f>
        <v>-22533361.748186056</v>
      </c>
      <c r="S1122" s="25">
        <f t="shared" ca="1" si="1047"/>
        <v>-20485011.783511214</v>
      </c>
    </row>
    <row r="1123" spans="1:19" ht="15.75" customHeight="1" x14ac:dyDescent="0.3">
      <c r="A1123" s="37">
        <v>85135</v>
      </c>
      <c r="B1123" s="398">
        <f t="shared" ref="B1123:C1123" si="1139">($A1123-B$9)/365.25</f>
        <v>151.20876112251884</v>
      </c>
      <c r="C1123" s="398">
        <f t="shared" si="1139"/>
        <v>146.59822039698835</v>
      </c>
      <c r="E1123" s="25">
        <f>IF(C1123&gt;$B$7,0,'Combined Retirement'!$D$13/12)</f>
        <v>0</v>
      </c>
      <c r="F1123" s="25">
        <f>IF(H1123=0,'Combined Retirement'!$D$32,0)+'Combined Retirement'!$B$24</f>
        <v>2870.372285649099</v>
      </c>
      <c r="G1123" s="25">
        <f>'Combined Retirement'!$C$24</f>
        <v>3254.2644699519233</v>
      </c>
      <c r="H1123" s="25">
        <f>IF(B1123&lt;62,0,'Combined Retirement'!$I$14)</f>
        <v>2345</v>
      </c>
      <c r="I1123" s="25">
        <f>IF(C1123&lt;62,0,'Combined Retirement'!$I$13)</f>
        <v>2420</v>
      </c>
      <c r="J1123" s="25">
        <f t="shared" si="1043"/>
        <v>7896.2379798201846</v>
      </c>
      <c r="K1123" s="25">
        <f t="shared" si="1044"/>
        <v>20367.195264578786</v>
      </c>
      <c r="L1123" s="25"/>
      <c r="N1123" s="25">
        <f>'Combined Retirement'!$C$18/12</f>
        <v>39153.069999999992</v>
      </c>
      <c r="O1123" s="25">
        <f t="shared" si="1045"/>
        <v>10889.636755601023</v>
      </c>
      <c r="P1123" s="25">
        <f t="shared" si="1046"/>
        <v>28263.43324439897</v>
      </c>
      <c r="Q1123" s="25">
        <f t="array" aca="1" ref="Q1123" ca="1">INDEX('Isaac 401k'!L:L,MATCH('Retirement Calculator'!A1123,'Isaac 401k'!N:N,0),0)</f>
        <v>2048955.6172229161</v>
      </c>
      <c r="R1123" s="25">
        <f t="array" aca="1" ref="R1123" ca="1">INDEX('Lorri 401b'!L:L,MATCH('Retirement Calculator'!A1123,'Lorri 401b'!N:N,0),0)</f>
        <v>-22647702.814048346</v>
      </c>
      <c r="S1123" s="25">
        <f t="shared" ca="1" si="1047"/>
        <v>-20598747.19682543</v>
      </c>
    </row>
    <row r="1124" spans="1:19" ht="15.75" customHeight="1" x14ac:dyDescent="0.3">
      <c r="A1124" s="37">
        <v>85163</v>
      </c>
      <c r="B1124" s="398">
        <f t="shared" ref="B1124:C1124" si="1140">($A1124-B$9)/365.25</f>
        <v>151.28542094455852</v>
      </c>
      <c r="C1124" s="398">
        <f t="shared" si="1140"/>
        <v>146.67488021902807</v>
      </c>
      <c r="E1124" s="25">
        <f>IF(C1124&gt;$B$7,0,'Combined Retirement'!$D$13/12)</f>
        <v>0</v>
      </c>
      <c r="F1124" s="25">
        <f>IF(H1124=0,'Combined Retirement'!$D$32,0)+'Combined Retirement'!$B$24</f>
        <v>2870.372285649099</v>
      </c>
      <c r="G1124" s="25">
        <f>'Combined Retirement'!$C$24</f>
        <v>3254.2644699519233</v>
      </c>
      <c r="H1124" s="25">
        <f>IF(B1124&lt;62,0,'Combined Retirement'!$I$14)</f>
        <v>2345</v>
      </c>
      <c r="I1124" s="25">
        <f>IF(C1124&lt;62,0,'Combined Retirement'!$I$13)</f>
        <v>2420</v>
      </c>
      <c r="J1124" s="25">
        <f t="shared" si="1043"/>
        <v>7896.2379798201846</v>
      </c>
      <c r="K1124" s="25">
        <f t="shared" si="1044"/>
        <v>20367.195264578786</v>
      </c>
      <c r="L1124" s="25"/>
      <c r="N1124" s="25">
        <f>'Combined Retirement'!$C$18/12</f>
        <v>39153.069999999992</v>
      </c>
      <c r="O1124" s="25">
        <f t="shared" si="1045"/>
        <v>10889.636755601023</v>
      </c>
      <c r="P1124" s="25">
        <f t="shared" si="1046"/>
        <v>28263.43324439897</v>
      </c>
      <c r="Q1124" s="25">
        <f t="array" aca="1" ref="Q1124" ca="1">INDEX('Isaac 401k'!L:L,MATCH('Retirement Calculator'!A1124,'Isaac 401k'!N:N,0),0)</f>
        <v>2049563.7933232754</v>
      </c>
      <c r="R1124" s="25">
        <f t="array" aca="1" ref="R1124" ca="1">INDEX('Lorri 401b'!L:L,MATCH('Retirement Calculator'!A1124,'Lorri 401b'!N:N,0),0)</f>
        <v>-22762520.301018395</v>
      </c>
      <c r="S1124" s="25">
        <f t="shared" ca="1" si="1047"/>
        <v>-20712956.50769512</v>
      </c>
    </row>
    <row r="1125" spans="1:19" ht="15.75" customHeight="1" x14ac:dyDescent="0.3">
      <c r="A1125" s="37">
        <v>85194</v>
      </c>
      <c r="B1125" s="398">
        <f t="shared" ref="B1125:C1125" si="1141">($A1125-B$9)/365.25</f>
        <v>151.37029431895962</v>
      </c>
      <c r="C1125" s="398">
        <f t="shared" si="1141"/>
        <v>146.75975359342917</v>
      </c>
      <c r="E1125" s="25">
        <f>IF(C1125&gt;$B$7,0,'Combined Retirement'!$D$13/12)</f>
        <v>0</v>
      </c>
      <c r="F1125" s="25">
        <f>IF(H1125=0,'Combined Retirement'!$D$32,0)+'Combined Retirement'!$B$24</f>
        <v>2870.372285649099</v>
      </c>
      <c r="G1125" s="25">
        <f>'Combined Retirement'!$C$24</f>
        <v>3254.2644699519233</v>
      </c>
      <c r="H1125" s="25">
        <f>IF(B1125&lt;62,0,'Combined Retirement'!$I$14)</f>
        <v>2345</v>
      </c>
      <c r="I1125" s="25">
        <f>IF(C1125&lt;62,0,'Combined Retirement'!$I$13)</f>
        <v>2420</v>
      </c>
      <c r="J1125" s="25">
        <f t="shared" si="1043"/>
        <v>7896.2379798201846</v>
      </c>
      <c r="K1125" s="25">
        <f t="shared" si="1044"/>
        <v>20367.195264578786</v>
      </c>
      <c r="L1125" s="25"/>
      <c r="N1125" s="25">
        <f>'Combined Retirement'!$C$18/12</f>
        <v>39153.069999999992</v>
      </c>
      <c r="O1125" s="25">
        <f t="shared" si="1045"/>
        <v>10889.636755601023</v>
      </c>
      <c r="P1125" s="25">
        <f t="shared" si="1046"/>
        <v>28263.43324439897</v>
      </c>
      <c r="Q1125" s="25">
        <f t="array" aca="1" ref="Q1125" ca="1">INDEX('Isaac 401k'!L:L,MATCH('Retirement Calculator'!A1125,'Isaac 401k'!N:N,0),0)</f>
        <v>2050174.5034907195</v>
      </c>
      <c r="R1125" s="25">
        <f t="array" aca="1" ref="R1125" ca="1">INDEX('Lorri 401b'!L:L,MATCH('Retirement Calculator'!A1125,'Lorri 401b'!N:N,0),0)</f>
        <v>-22877816.194184151</v>
      </c>
      <c r="S1125" s="25">
        <f t="shared" ca="1" si="1047"/>
        <v>-20827641.690693431</v>
      </c>
    </row>
    <row r="1126" spans="1:19" ht="15.75" customHeight="1" x14ac:dyDescent="0.3">
      <c r="A1126" s="37">
        <v>85224</v>
      </c>
      <c r="B1126" s="398">
        <f t="shared" ref="B1126:C1126" si="1142">($A1126-B$9)/365.25</f>
        <v>151.45242984257359</v>
      </c>
      <c r="C1126" s="398">
        <f t="shared" si="1142"/>
        <v>146.84188911704311</v>
      </c>
      <c r="E1126" s="25">
        <f>IF(C1126&gt;$B$7,0,'Combined Retirement'!$D$13/12)</f>
        <v>0</v>
      </c>
      <c r="F1126" s="25">
        <f>IF(H1126=0,'Combined Retirement'!$D$32,0)+'Combined Retirement'!$B$24</f>
        <v>2870.372285649099</v>
      </c>
      <c r="G1126" s="25">
        <f>'Combined Retirement'!$C$24</f>
        <v>3254.2644699519233</v>
      </c>
      <c r="H1126" s="25">
        <f>IF(B1126&lt;62,0,'Combined Retirement'!$I$14)</f>
        <v>2345</v>
      </c>
      <c r="I1126" s="25">
        <f>IF(C1126&lt;62,0,'Combined Retirement'!$I$13)</f>
        <v>2420</v>
      </c>
      <c r="J1126" s="25">
        <f t="shared" si="1043"/>
        <v>7896.2379798201846</v>
      </c>
      <c r="K1126" s="25">
        <f t="shared" si="1044"/>
        <v>20367.195264578786</v>
      </c>
      <c r="L1126" s="25"/>
      <c r="N1126" s="25">
        <f>'Combined Retirement'!$C$18/12</f>
        <v>39153.069999999992</v>
      </c>
      <c r="O1126" s="25">
        <f t="shared" si="1045"/>
        <v>10889.636755601023</v>
      </c>
      <c r="P1126" s="25">
        <f t="shared" si="1046"/>
        <v>28263.43324439897</v>
      </c>
      <c r="Q1126" s="25">
        <f t="array" aca="1" ref="Q1126" ca="1">INDEX('Isaac 401k'!L:L,MATCH('Retirement Calculator'!A1126,'Isaac 401k'!N:N,0),0)</f>
        <v>2050787.7582838612</v>
      </c>
      <c r="R1126" s="25">
        <f t="array" aca="1" ref="R1126" ca="1">INDEX('Lorri 401b'!L:L,MATCH('Retirement Calculator'!A1126,'Lorri 401b'!N:N,0),0)</f>
        <v>-22993592.486904766</v>
      </c>
      <c r="S1126" s="25">
        <f t="shared" ca="1" si="1047"/>
        <v>-20942804.728620905</v>
      </c>
    </row>
    <row r="1127" spans="1:19" ht="15.75" customHeight="1" x14ac:dyDescent="0.3">
      <c r="A1127" s="37">
        <v>85255</v>
      </c>
      <c r="B1127" s="398">
        <f t="shared" ref="B1127:C1127" si="1143">($A1127-B$9)/365.25</f>
        <v>151.53730321697466</v>
      </c>
      <c r="C1127" s="398">
        <f t="shared" si="1143"/>
        <v>146.92676249144421</v>
      </c>
      <c r="E1127" s="25">
        <f>IF(C1127&gt;$B$7,0,'Combined Retirement'!$D$13/12)</f>
        <v>0</v>
      </c>
      <c r="F1127" s="25">
        <f>IF(H1127=0,'Combined Retirement'!$D$32,0)+'Combined Retirement'!$B$24</f>
        <v>2870.372285649099</v>
      </c>
      <c r="G1127" s="25">
        <f>'Combined Retirement'!$C$24</f>
        <v>3254.2644699519233</v>
      </c>
      <c r="H1127" s="25">
        <f>IF(B1127&lt;62,0,'Combined Retirement'!$I$14)</f>
        <v>2345</v>
      </c>
      <c r="I1127" s="25">
        <f>IF(C1127&lt;62,0,'Combined Retirement'!$I$13)</f>
        <v>2420</v>
      </c>
      <c r="J1127" s="25">
        <f t="shared" si="1043"/>
        <v>7896.2379798201846</v>
      </c>
      <c r="K1127" s="25">
        <f t="shared" si="1044"/>
        <v>20367.195264578786</v>
      </c>
      <c r="L1127" s="25"/>
      <c r="N1127" s="25">
        <f>'Combined Retirement'!$C$18/12</f>
        <v>39153.069999999992</v>
      </c>
      <c r="O1127" s="25">
        <f t="shared" si="1045"/>
        <v>10889.636755601023</v>
      </c>
      <c r="P1127" s="25">
        <f t="shared" si="1046"/>
        <v>28263.43324439897</v>
      </c>
      <c r="Q1127" s="25">
        <f t="array" aca="1" ref="Q1127" ca="1">INDEX('Isaac 401k'!L:L,MATCH('Retirement Calculator'!A1127,'Isaac 401k'!N:N,0),0)</f>
        <v>2051403.5683053078</v>
      </c>
      <c r="R1127" s="25">
        <f t="array" aca="1" ref="R1127" ca="1">INDEX('Lorri 401b'!L:L,MATCH('Retirement Calculator'!A1127,'Lorri 401b'!N:N,0),0)</f>
        <v>-23109851.180845048</v>
      </c>
      <c r="S1127" s="25">
        <f t="shared" ca="1" si="1047"/>
        <v>-21058447.612539742</v>
      </c>
    </row>
    <row r="1128" spans="1:19" ht="15.75" customHeight="1" x14ac:dyDescent="0.3">
      <c r="A1128" s="37">
        <v>85285</v>
      </c>
      <c r="B1128" s="398">
        <f t="shared" ref="B1128:C1128" si="1144">($A1128-B$9)/365.25</f>
        <v>151.61943874058863</v>
      </c>
      <c r="C1128" s="398">
        <f t="shared" si="1144"/>
        <v>147.00889801505818</v>
      </c>
      <c r="E1128" s="25">
        <f>IF(C1128&gt;$B$7,0,'Combined Retirement'!$D$13/12)</f>
        <v>0</v>
      </c>
      <c r="F1128" s="25">
        <f>IF(H1128=0,'Combined Retirement'!$D$32,0)+'Combined Retirement'!$B$24</f>
        <v>2870.372285649099</v>
      </c>
      <c r="G1128" s="25">
        <f>'Combined Retirement'!$C$24</f>
        <v>3254.2644699519233</v>
      </c>
      <c r="H1128" s="25">
        <f>IF(B1128&lt;62,0,'Combined Retirement'!$I$14)</f>
        <v>2345</v>
      </c>
      <c r="I1128" s="25">
        <f>IF(C1128&lt;62,0,'Combined Retirement'!$I$13)</f>
        <v>2420</v>
      </c>
      <c r="J1128" s="25">
        <f t="shared" si="1043"/>
        <v>7896.2379798201846</v>
      </c>
      <c r="K1128" s="25">
        <f t="shared" si="1044"/>
        <v>20367.195264578786</v>
      </c>
      <c r="L1128" s="25"/>
      <c r="N1128" s="25">
        <f>'Combined Retirement'!$C$18/12</f>
        <v>39153.069999999992</v>
      </c>
      <c r="O1128" s="25">
        <f t="shared" si="1045"/>
        <v>10889.636755601023</v>
      </c>
      <c r="P1128" s="25">
        <f t="shared" si="1046"/>
        <v>28263.43324439897</v>
      </c>
      <c r="Q1128" s="25">
        <f t="array" aca="1" ref="Q1128" ca="1">INDEX('Isaac 401k'!L:L,MATCH('Retirement Calculator'!A1128,'Isaac 401k'!N:N,0),0)</f>
        <v>2052021.9442018438</v>
      </c>
      <c r="R1128" s="25">
        <f t="array" aca="1" ref="R1128" ca="1">INDEX('Lorri 401b'!L:L,MATCH('Retirement Calculator'!A1128,'Lorri 401b'!N:N,0),0)</f>
        <v>-23226594.286010083</v>
      </c>
      <c r="S1128" s="25">
        <f t="shared" ca="1" si="1047"/>
        <v>-21174572.341808237</v>
      </c>
    </row>
    <row r="1129" spans="1:19" ht="15.75" customHeight="1" x14ac:dyDescent="0.3">
      <c r="A1129" s="37">
        <v>85316</v>
      </c>
      <c r="B1129" s="398">
        <f t="shared" ref="B1129:C1129" si="1145">($A1129-B$9)/365.25</f>
        <v>151.70431211498973</v>
      </c>
      <c r="C1129" s="398">
        <f t="shared" si="1145"/>
        <v>147.09377138945928</v>
      </c>
      <c r="E1129" s="25">
        <f>IF(C1129&gt;$B$7,0,'Combined Retirement'!$D$13/12)</f>
        <v>0</v>
      </c>
      <c r="F1129" s="25">
        <f>IF(H1129=0,'Combined Retirement'!$D$32,0)+'Combined Retirement'!$B$24</f>
        <v>2870.372285649099</v>
      </c>
      <c r="G1129" s="25">
        <f>'Combined Retirement'!$C$24</f>
        <v>3254.2644699519233</v>
      </c>
      <c r="H1129" s="25">
        <f>IF(B1129&lt;62,0,'Combined Retirement'!$I$14)</f>
        <v>2345</v>
      </c>
      <c r="I1129" s="25">
        <f>IF(C1129&lt;62,0,'Combined Retirement'!$I$13)</f>
        <v>2420</v>
      </c>
      <c r="J1129" s="25">
        <f t="shared" si="1043"/>
        <v>7896.2379798201846</v>
      </c>
      <c r="K1129" s="25">
        <f t="shared" si="1044"/>
        <v>20367.195264578786</v>
      </c>
      <c r="L1129" s="25"/>
      <c r="N1129" s="25">
        <f>'Combined Retirement'!$C$18/12</f>
        <v>39153.069999999992</v>
      </c>
      <c r="O1129" s="25">
        <f t="shared" si="1045"/>
        <v>10889.636755601023</v>
      </c>
      <c r="P1129" s="25">
        <f t="shared" si="1046"/>
        <v>28263.43324439897</v>
      </c>
      <c r="Q1129" s="25">
        <f t="array" aca="1" ref="Q1129" ca="1">INDEX('Isaac 401k'!L:L,MATCH('Retirement Calculator'!A1129,'Isaac 401k'!N:N,0),0)</f>
        <v>2052642.8966646153</v>
      </c>
      <c r="R1129" s="25">
        <f t="array" aca="1" ref="R1129" ca="1">INDEX('Lorri 401b'!L:L,MATCH('Retirement Calculator'!A1129,'Lorri 401b'!N:N,0),0)</f>
        <v>-23343823.820779972</v>
      </c>
      <c r="S1129" s="25">
        <f t="shared" ca="1" si="1047"/>
        <v>-21291180.924115356</v>
      </c>
    </row>
    <row r="1130" spans="1:19" ht="15.75" customHeight="1" x14ac:dyDescent="0.3">
      <c r="A1130" s="37">
        <v>85347</v>
      </c>
      <c r="B1130" s="398">
        <f t="shared" ref="B1130:C1130" si="1146">($A1130-B$9)/365.25</f>
        <v>151.78918548939083</v>
      </c>
      <c r="C1130" s="398">
        <f t="shared" si="1146"/>
        <v>147.17864476386038</v>
      </c>
      <c r="E1130" s="25">
        <f>IF(C1130&gt;$B$7,0,'Combined Retirement'!$D$13/12)</f>
        <v>0</v>
      </c>
      <c r="F1130" s="25">
        <f>IF(H1130=0,'Combined Retirement'!$D$32,0)+'Combined Retirement'!$B$24</f>
        <v>2870.372285649099</v>
      </c>
      <c r="G1130" s="25">
        <f>'Combined Retirement'!$C$24</f>
        <v>3254.2644699519233</v>
      </c>
      <c r="H1130" s="25">
        <f>IF(B1130&lt;62,0,'Combined Retirement'!$I$14)</f>
        <v>2345</v>
      </c>
      <c r="I1130" s="25">
        <f>IF(C1130&lt;62,0,'Combined Retirement'!$I$13)</f>
        <v>2420</v>
      </c>
      <c r="J1130" s="25">
        <f t="shared" si="1043"/>
        <v>7896.2379798201846</v>
      </c>
      <c r="K1130" s="25">
        <f t="shared" si="1044"/>
        <v>20367.195264578786</v>
      </c>
      <c r="L1130" s="25"/>
      <c r="N1130" s="25">
        <f>'Combined Retirement'!$C$18/12</f>
        <v>39153.069999999992</v>
      </c>
      <c r="O1130" s="25">
        <f t="shared" si="1045"/>
        <v>10889.636755601023</v>
      </c>
      <c r="P1130" s="25">
        <f t="shared" si="1046"/>
        <v>28263.43324439897</v>
      </c>
      <c r="Q1130" s="25">
        <f t="array" aca="1" ref="Q1130" ca="1">INDEX('Isaac 401k'!L:L,MATCH('Retirement Calculator'!A1130,'Isaac 401k'!N:N,0),0)</f>
        <v>2053266.436429315</v>
      </c>
      <c r="R1130" s="25">
        <f t="array" aca="1" ref="R1130" ca="1">INDEX('Lorri 401b'!L:L,MATCH('Retirement Calculator'!A1130,'Lorri 401b'!N:N,0),0)</f>
        <v>-23461541.811944734</v>
      </c>
      <c r="S1130" s="25">
        <f t="shared" ca="1" si="1047"/>
        <v>-21408275.37551542</v>
      </c>
    </row>
    <row r="1131" spans="1:19" ht="15.75" customHeight="1" x14ac:dyDescent="0.3">
      <c r="A1131" s="37">
        <v>85377</v>
      </c>
      <c r="B1131" s="398">
        <f t="shared" ref="B1131:C1131" si="1147">($A1131-B$9)/365.25</f>
        <v>151.8713210130048</v>
      </c>
      <c r="C1131" s="398">
        <f t="shared" si="1147"/>
        <v>147.26078028747432</v>
      </c>
      <c r="E1131" s="25">
        <f>IF(C1131&gt;$B$7,0,'Combined Retirement'!$D$13/12)</f>
        <v>0</v>
      </c>
      <c r="F1131" s="25">
        <f>IF(H1131=0,'Combined Retirement'!$D$32,0)+'Combined Retirement'!$B$24</f>
        <v>2870.372285649099</v>
      </c>
      <c r="G1131" s="25">
        <f>'Combined Retirement'!$C$24</f>
        <v>3254.2644699519233</v>
      </c>
      <c r="H1131" s="25">
        <f>IF(B1131&lt;62,0,'Combined Retirement'!$I$14)</f>
        <v>2345</v>
      </c>
      <c r="I1131" s="25">
        <f>IF(C1131&lt;62,0,'Combined Retirement'!$I$13)</f>
        <v>2420</v>
      </c>
      <c r="J1131" s="25">
        <f t="shared" si="1043"/>
        <v>7896.2379798201846</v>
      </c>
      <c r="K1131" s="25">
        <f t="shared" si="1044"/>
        <v>20367.195264578786</v>
      </c>
      <c r="L1131" s="25"/>
      <c r="N1131" s="25">
        <f>'Combined Retirement'!$C$18/12</f>
        <v>39153.069999999992</v>
      </c>
      <c r="O1131" s="25">
        <f t="shared" si="1045"/>
        <v>10889.636755601023</v>
      </c>
      <c r="P1131" s="25">
        <f t="shared" si="1046"/>
        <v>28263.43324439897</v>
      </c>
      <c r="Q1131" s="25">
        <f t="array" aca="1" ref="Q1131" ca="1">INDEX('Isaac 401k'!L:L,MATCH('Retirement Calculator'!A1131,'Isaac 401k'!N:N,0),0)</f>
        <v>2053892.5742763677</v>
      </c>
      <c r="R1131" s="25">
        <f t="array" aca="1" ref="R1131" ca="1">INDEX('Lorri 401b'!L:L,MATCH('Retirement Calculator'!A1131,'Lorri 401b'!N:N,0),0)</f>
        <v>-23579750.294739351</v>
      </c>
      <c r="S1131" s="25">
        <f t="shared" ca="1" si="1047"/>
        <v>-21525857.720462982</v>
      </c>
    </row>
    <row r="1132" spans="1:19" ht="15.75" customHeight="1" x14ac:dyDescent="0.3">
      <c r="A1132" s="37">
        <v>85408</v>
      </c>
      <c r="B1132" s="398">
        <f t="shared" ref="B1132:C1132" si="1148">($A1132-B$9)/365.25</f>
        <v>151.95619438740587</v>
      </c>
      <c r="C1132" s="398">
        <f t="shared" si="1148"/>
        <v>147.34565366187542</v>
      </c>
      <c r="E1132" s="25">
        <f>IF(C1132&gt;$B$7,0,'Combined Retirement'!$D$13/12)</f>
        <v>0</v>
      </c>
      <c r="F1132" s="25">
        <f>IF(H1132=0,'Combined Retirement'!$D$32,0)+'Combined Retirement'!$B$24</f>
        <v>2870.372285649099</v>
      </c>
      <c r="G1132" s="25">
        <f>'Combined Retirement'!$C$24</f>
        <v>3254.2644699519233</v>
      </c>
      <c r="H1132" s="25">
        <f>IF(B1132&lt;62,0,'Combined Retirement'!$I$14)</f>
        <v>2345</v>
      </c>
      <c r="I1132" s="25">
        <f>IF(C1132&lt;62,0,'Combined Retirement'!$I$13)</f>
        <v>2420</v>
      </c>
      <c r="J1132" s="25">
        <f t="shared" si="1043"/>
        <v>7896.2379798201846</v>
      </c>
      <c r="K1132" s="25">
        <f t="shared" si="1044"/>
        <v>20367.195264578786</v>
      </c>
      <c r="L1132" s="25"/>
      <c r="N1132" s="25">
        <f>'Combined Retirement'!$C$18/12</f>
        <v>39153.069999999992</v>
      </c>
      <c r="O1132" s="25">
        <f t="shared" si="1045"/>
        <v>10889.636755601023</v>
      </c>
      <c r="P1132" s="25">
        <f t="shared" si="1046"/>
        <v>28263.43324439897</v>
      </c>
      <c r="Q1132" s="25">
        <f t="array" aca="1" ref="Q1132" ca="1">INDEX('Isaac 401k'!L:L,MATCH('Retirement Calculator'!A1132,'Isaac 401k'!N:N,0),0)</f>
        <v>2054521.3210311164</v>
      </c>
      <c r="R1132" s="25">
        <f t="array" aca="1" ref="R1132" ca="1">INDEX('Lorri 401b'!L:L,MATCH('Retirement Calculator'!A1132,'Lorri 401b'!N:N,0),0)</f>
        <v>-23698451.312878944</v>
      </c>
      <c r="S1132" s="25">
        <f t="shared" ca="1" si="1047"/>
        <v>-21643929.991847828</v>
      </c>
    </row>
    <row r="1133" spans="1:19" ht="15.75" customHeight="1" x14ac:dyDescent="0.3">
      <c r="A1133" s="37">
        <v>85438</v>
      </c>
      <c r="B1133" s="398">
        <f t="shared" ref="B1133:C1133" si="1149">($A1133-B$9)/365.25</f>
        <v>152.03832991101984</v>
      </c>
      <c r="C1133" s="398">
        <f t="shared" si="1149"/>
        <v>147.42778918548939</v>
      </c>
      <c r="E1133" s="25">
        <f>IF(C1133&gt;$B$7,0,'Combined Retirement'!$D$13/12)</f>
        <v>0</v>
      </c>
      <c r="F1133" s="25">
        <f>IF(H1133=0,'Combined Retirement'!$D$32,0)+'Combined Retirement'!$B$24</f>
        <v>2870.372285649099</v>
      </c>
      <c r="G1133" s="25">
        <f>'Combined Retirement'!$C$24</f>
        <v>3254.2644699519233</v>
      </c>
      <c r="H1133" s="25">
        <f>IF(B1133&lt;62,0,'Combined Retirement'!$I$14)</f>
        <v>2345</v>
      </c>
      <c r="I1133" s="25">
        <f>IF(C1133&lt;62,0,'Combined Retirement'!$I$13)</f>
        <v>2420</v>
      </c>
      <c r="J1133" s="25">
        <f t="shared" si="1043"/>
        <v>7896.2379798201846</v>
      </c>
      <c r="K1133" s="25">
        <f t="shared" si="1044"/>
        <v>20367.195264578786</v>
      </c>
      <c r="L1133" s="25"/>
      <c r="N1133" s="25">
        <f>'Combined Retirement'!$C$18/12</f>
        <v>39153.069999999992</v>
      </c>
      <c r="O1133" s="25">
        <f t="shared" si="1045"/>
        <v>10889.636755601023</v>
      </c>
      <c r="P1133" s="25">
        <f t="shared" si="1046"/>
        <v>28263.43324439897</v>
      </c>
      <c r="Q1133" s="25">
        <f t="array" aca="1" ref="Q1133" ca="1">INDEX('Isaac 401k'!L:L,MATCH('Retirement Calculator'!A1133,'Isaac 401k'!N:N,0),0)</f>
        <v>2055152.6875640098</v>
      </c>
      <c r="R1133" s="25">
        <f t="array" aca="1" ref="R1133" ca="1">INDEX('Lorri 401b'!L:L,MATCH('Retirement Calculator'!A1133,'Lorri 401b'!N:N,0),0)</f>
        <v>-23817646.918594118</v>
      </c>
      <c r="S1133" s="25">
        <f t="shared" ca="1" si="1047"/>
        <v>-21762494.231030107</v>
      </c>
    </row>
    <row r="1134" spans="1:19" ht="15.75" customHeight="1" x14ac:dyDescent="0.3">
      <c r="A1134" s="37">
        <v>85469</v>
      </c>
      <c r="B1134" s="398">
        <f t="shared" ref="B1134:C1134" si="1150">($A1134-B$9)/365.25</f>
        <v>152.12320328542094</v>
      </c>
      <c r="C1134" s="398">
        <f t="shared" si="1150"/>
        <v>147.51266255989049</v>
      </c>
      <c r="E1134" s="25">
        <f>IF(C1134&gt;$B$7,0,'Combined Retirement'!$D$13/12)</f>
        <v>0</v>
      </c>
      <c r="F1134" s="25">
        <f>IF(H1134=0,'Combined Retirement'!$D$32,0)+'Combined Retirement'!$B$24</f>
        <v>2870.372285649099</v>
      </c>
      <c r="G1134" s="25">
        <f>'Combined Retirement'!$C$24</f>
        <v>3254.2644699519233</v>
      </c>
      <c r="H1134" s="25">
        <f>IF(B1134&lt;62,0,'Combined Retirement'!$I$14)</f>
        <v>2345</v>
      </c>
      <c r="I1134" s="25">
        <f>IF(C1134&lt;62,0,'Combined Retirement'!$I$13)</f>
        <v>2420</v>
      </c>
      <c r="J1134" s="25">
        <f t="shared" si="1043"/>
        <v>7896.2379798201846</v>
      </c>
      <c r="K1134" s="25">
        <f t="shared" si="1044"/>
        <v>20367.195264578786</v>
      </c>
      <c r="L1134" s="25"/>
      <c r="N1134" s="25">
        <f>'Combined Retirement'!$C$18/12</f>
        <v>39153.069999999992</v>
      </c>
      <c r="O1134" s="25">
        <f t="shared" si="1045"/>
        <v>10889.636755601023</v>
      </c>
      <c r="P1134" s="25">
        <f t="shared" si="1046"/>
        <v>28263.43324439897</v>
      </c>
      <c r="Q1134" s="25">
        <f t="array" aca="1" ref="Q1134" ca="1">INDEX('Isaac 401k'!L:L,MATCH('Retirement Calculator'!A1134,'Isaac 401k'!N:N,0),0)</f>
        <v>2055786.6847907903</v>
      </c>
      <c r="R1134" s="25">
        <f t="array" aca="1" ref="R1134" ca="1">INDEX('Lorri 401b'!L:L,MATCH('Retirement Calculator'!A1134,'Lorri 401b'!N:N,0),0)</f>
        <v>-23937339.172666442</v>
      </c>
      <c r="S1134" s="25">
        <f t="shared" ca="1" si="1047"/>
        <v>-21881552.487875652</v>
      </c>
    </row>
    <row r="1135" spans="1:19" ht="15.75" customHeight="1" x14ac:dyDescent="0.3">
      <c r="A1135" s="37">
        <v>85500</v>
      </c>
      <c r="B1135" s="398">
        <f t="shared" ref="B1135:C1135" si="1151">($A1135-B$9)/365.25</f>
        <v>152.20807665982204</v>
      </c>
      <c r="C1135" s="398">
        <f t="shared" si="1151"/>
        <v>147.59753593429159</v>
      </c>
      <c r="E1135" s="25">
        <f>IF(C1135&gt;$B$7,0,'Combined Retirement'!$D$13/12)</f>
        <v>0</v>
      </c>
      <c r="F1135" s="25">
        <f>IF(H1135=0,'Combined Retirement'!$D$32,0)+'Combined Retirement'!$B$24</f>
        <v>2870.372285649099</v>
      </c>
      <c r="G1135" s="25">
        <f>'Combined Retirement'!$C$24</f>
        <v>3254.2644699519233</v>
      </c>
      <c r="H1135" s="25">
        <f>IF(B1135&lt;62,0,'Combined Retirement'!$I$14)</f>
        <v>2345</v>
      </c>
      <c r="I1135" s="25">
        <f>IF(C1135&lt;62,0,'Combined Retirement'!$I$13)</f>
        <v>2420</v>
      </c>
      <c r="J1135" s="25">
        <f t="shared" si="1043"/>
        <v>7896.2379798201846</v>
      </c>
      <c r="K1135" s="25">
        <f t="shared" si="1044"/>
        <v>20367.195264578786</v>
      </c>
      <c r="L1135" s="25"/>
      <c r="N1135" s="25">
        <f>'Combined Retirement'!$C$18/12</f>
        <v>39153.069999999992</v>
      </c>
      <c r="O1135" s="25">
        <f t="shared" si="1045"/>
        <v>10889.636755601023</v>
      </c>
      <c r="P1135" s="25">
        <f t="shared" si="1046"/>
        <v>28263.43324439897</v>
      </c>
      <c r="Q1135" s="25">
        <f t="array" aca="1" ref="Q1135" ca="1">INDEX('Isaac 401k'!L:L,MATCH('Retirement Calculator'!A1135,'Isaac 401k'!N:N,0),0)</f>
        <v>2056423.3236726825</v>
      </c>
      <c r="R1135" s="25">
        <f t="array" aca="1" ref="R1135" ca="1">INDEX('Lorri 401b'!L:L,MATCH('Retirement Calculator'!A1135,'Lorri 401b'!N:N,0),0)</f>
        <v>-24057530.144464064</v>
      </c>
      <c r="S1135" s="25">
        <f t="shared" ca="1" si="1047"/>
        <v>-22001106.820791382</v>
      </c>
    </row>
    <row r="1136" spans="1:19" ht="15.75" customHeight="1" x14ac:dyDescent="0.3">
      <c r="A1136" s="37">
        <v>85528</v>
      </c>
      <c r="B1136" s="398">
        <f t="shared" ref="B1136:C1136" si="1152">($A1136-B$9)/365.25</f>
        <v>152.28473648186173</v>
      </c>
      <c r="C1136" s="398">
        <f t="shared" si="1152"/>
        <v>147.67419575633127</v>
      </c>
      <c r="E1136" s="25">
        <f>IF(C1136&gt;$B$7,0,'Combined Retirement'!$D$13/12)</f>
        <v>0</v>
      </c>
      <c r="F1136" s="25">
        <f>IF(H1136=0,'Combined Retirement'!$D$32,0)+'Combined Retirement'!$B$24</f>
        <v>2870.372285649099</v>
      </c>
      <c r="G1136" s="25">
        <f>'Combined Retirement'!$C$24</f>
        <v>3254.2644699519233</v>
      </c>
      <c r="H1136" s="25">
        <f>IF(B1136&lt;62,0,'Combined Retirement'!$I$14)</f>
        <v>2345</v>
      </c>
      <c r="I1136" s="25">
        <f>IF(C1136&lt;62,0,'Combined Retirement'!$I$13)</f>
        <v>2420</v>
      </c>
      <c r="J1136" s="25">
        <f t="shared" si="1043"/>
        <v>7896.2379798201846</v>
      </c>
      <c r="K1136" s="25">
        <f t="shared" si="1044"/>
        <v>20367.195264578786</v>
      </c>
      <c r="L1136" s="25"/>
      <c r="N1136" s="25">
        <f>'Combined Retirement'!$C$18/12</f>
        <v>39153.069999999992</v>
      </c>
      <c r="O1136" s="25">
        <f t="shared" si="1045"/>
        <v>10889.636755601023</v>
      </c>
      <c r="P1136" s="25">
        <f t="shared" si="1046"/>
        <v>28263.43324439897</v>
      </c>
      <c r="Q1136" s="25">
        <f t="array" aca="1" ref="Q1136" ca="1">INDEX('Isaac 401k'!L:L,MATCH('Retirement Calculator'!A1136,'Isaac 401k'!N:N,0),0)</f>
        <v>2057062.6152165825</v>
      </c>
      <c r="R1136" s="25">
        <f t="array" aca="1" ref="R1136" ca="1">INDEX('Lorri 401b'!L:L,MATCH('Retirement Calculator'!A1136,'Lorri 401b'!N:N,0),0)</f>
        <v>-24178221.911977511</v>
      </c>
      <c r="S1136" s="25">
        <f t="shared" ca="1" si="1047"/>
        <v>-22121159.296760928</v>
      </c>
    </row>
    <row r="1137" spans="1:19" ht="15.75" customHeight="1" x14ac:dyDescent="0.3">
      <c r="A1137" s="37">
        <v>85559</v>
      </c>
      <c r="B1137" s="398">
        <f t="shared" ref="B1137:C1137" si="1153">($A1137-B$9)/365.25</f>
        <v>152.36960985626283</v>
      </c>
      <c r="C1137" s="398">
        <f t="shared" si="1153"/>
        <v>147.75906913073237</v>
      </c>
      <c r="E1137" s="25">
        <f>IF(C1137&gt;$B$7,0,'Combined Retirement'!$D$13/12)</f>
        <v>0</v>
      </c>
      <c r="F1137" s="25">
        <f>IF(H1137=0,'Combined Retirement'!$D$32,0)+'Combined Retirement'!$B$24</f>
        <v>2870.372285649099</v>
      </c>
      <c r="G1137" s="25">
        <f>'Combined Retirement'!$C$24</f>
        <v>3254.2644699519233</v>
      </c>
      <c r="H1137" s="25">
        <f>IF(B1137&lt;62,0,'Combined Retirement'!$I$14)</f>
        <v>2345</v>
      </c>
      <c r="I1137" s="25">
        <f>IF(C1137&lt;62,0,'Combined Retirement'!$I$13)</f>
        <v>2420</v>
      </c>
      <c r="J1137" s="25">
        <f t="shared" si="1043"/>
        <v>7896.2379798201846</v>
      </c>
      <c r="K1137" s="25">
        <f t="shared" si="1044"/>
        <v>20367.195264578786</v>
      </c>
      <c r="L1137" s="25"/>
      <c r="N1137" s="25">
        <f>'Combined Retirement'!$C$18/12</f>
        <v>39153.069999999992</v>
      </c>
      <c r="O1137" s="25">
        <f t="shared" si="1045"/>
        <v>10889.636755601023</v>
      </c>
      <c r="P1137" s="25">
        <f t="shared" si="1046"/>
        <v>28263.43324439897</v>
      </c>
      <c r="Q1137" s="25">
        <f t="array" aca="1" ref="Q1137" ca="1">INDEX('Isaac 401k'!L:L,MATCH('Retirement Calculator'!A1137,'Isaac 401k'!N:N,0),0)</f>
        <v>2057704.5704752489</v>
      </c>
      <c r="R1137" s="25">
        <f t="array" aca="1" ref="R1137" ca="1">INDEX('Lorri 401b'!L:L,MATCH('Retirement Calculator'!A1137,'Lorri 401b'!N:N,0),0)</f>
        <v>-24299416.561855599</v>
      </c>
      <c r="S1137" s="25">
        <f t="shared" ca="1" si="1047"/>
        <v>-22241711.991380349</v>
      </c>
    </row>
    <row r="1138" spans="1:19" ht="15.75" customHeight="1" x14ac:dyDescent="0.3">
      <c r="A1138" s="37">
        <v>85589</v>
      </c>
      <c r="B1138" s="398">
        <f t="shared" ref="B1138:C1138" si="1154">($A1138-B$9)/365.25</f>
        <v>152.4517453798768</v>
      </c>
      <c r="C1138" s="398">
        <f t="shared" si="1154"/>
        <v>147.84120465434634</v>
      </c>
      <c r="E1138" s="25">
        <f>IF(C1138&gt;$B$7,0,'Combined Retirement'!$D$13/12)</f>
        <v>0</v>
      </c>
      <c r="F1138" s="25">
        <f>IF(H1138=0,'Combined Retirement'!$D$32,0)+'Combined Retirement'!$B$24</f>
        <v>2870.372285649099</v>
      </c>
      <c r="G1138" s="25">
        <f>'Combined Retirement'!$C$24</f>
        <v>3254.2644699519233</v>
      </c>
      <c r="H1138" s="25">
        <f>IF(B1138&lt;62,0,'Combined Retirement'!$I$14)</f>
        <v>2345</v>
      </c>
      <c r="I1138" s="25">
        <f>IF(C1138&lt;62,0,'Combined Retirement'!$I$13)</f>
        <v>2420</v>
      </c>
      <c r="J1138" s="25">
        <f t="shared" si="1043"/>
        <v>7896.2379798201846</v>
      </c>
      <c r="K1138" s="25">
        <f t="shared" si="1044"/>
        <v>20367.195264578786</v>
      </c>
      <c r="L1138" s="25"/>
      <c r="N1138" s="25">
        <f>'Combined Retirement'!$C$18/12</f>
        <v>39153.069999999992</v>
      </c>
      <c r="O1138" s="25">
        <f t="shared" si="1045"/>
        <v>10889.636755601023</v>
      </c>
      <c r="P1138" s="25">
        <f t="shared" si="1046"/>
        <v>28263.43324439897</v>
      </c>
      <c r="Q1138" s="25">
        <f t="array" aca="1" ref="Q1138" ca="1">INDEX('Isaac 401k'!L:L,MATCH('Retirement Calculator'!A1138,'Isaac 401k'!N:N,0),0)</f>
        <v>2058349.2005474928</v>
      </c>
      <c r="R1138" s="25">
        <f t="array" aca="1" ref="R1138" ca="1">INDEX('Lorri 401b'!L:L,MATCH('Retirement Calculator'!A1138,'Lorri 401b'!N:N,0),0)</f>
        <v>-24421116.18944151</v>
      </c>
      <c r="S1138" s="25">
        <f t="shared" ca="1" si="1047"/>
        <v>-22362766.988894016</v>
      </c>
    </row>
    <row r="1139" spans="1:19" ht="15.75" customHeight="1" x14ac:dyDescent="0.3">
      <c r="A1139" s="37">
        <v>85620</v>
      </c>
      <c r="B1139" s="398">
        <f t="shared" ref="B1139:C1139" si="1155">($A1139-B$9)/365.25</f>
        <v>152.5366187542779</v>
      </c>
      <c r="C1139" s="398">
        <f t="shared" si="1155"/>
        <v>147.92607802874744</v>
      </c>
      <c r="E1139" s="25">
        <f>IF(C1139&gt;$B$7,0,'Combined Retirement'!$D$13/12)</f>
        <v>0</v>
      </c>
      <c r="F1139" s="25">
        <f>IF(H1139=0,'Combined Retirement'!$D$32,0)+'Combined Retirement'!$B$24</f>
        <v>2870.372285649099</v>
      </c>
      <c r="G1139" s="25">
        <f>'Combined Retirement'!$C$24</f>
        <v>3254.2644699519233</v>
      </c>
      <c r="H1139" s="25">
        <f>IF(B1139&lt;62,0,'Combined Retirement'!$I$14)</f>
        <v>2345</v>
      </c>
      <c r="I1139" s="25">
        <f>IF(C1139&lt;62,0,'Combined Retirement'!$I$13)</f>
        <v>2420</v>
      </c>
      <c r="J1139" s="25">
        <f t="shared" si="1043"/>
        <v>7896.2379798201846</v>
      </c>
      <c r="K1139" s="25">
        <f t="shared" si="1044"/>
        <v>20367.195264578786</v>
      </c>
      <c r="L1139" s="25"/>
      <c r="N1139" s="25">
        <f>'Combined Retirement'!$C$18/12</f>
        <v>39153.069999999992</v>
      </c>
      <c r="O1139" s="25">
        <f t="shared" si="1045"/>
        <v>10889.636755601023</v>
      </c>
      <c r="P1139" s="25">
        <f t="shared" si="1046"/>
        <v>28263.43324439897</v>
      </c>
      <c r="Q1139" s="25">
        <f t="array" aca="1" ref="Q1139" ca="1">INDEX('Isaac 401k'!L:L,MATCH('Retirement Calculator'!A1139,'Isaac 401k'!N:N,0),0)</f>
        <v>2058996.5165783712</v>
      </c>
      <c r="R1139" s="25">
        <f t="array" aca="1" ref="R1139" ca="1">INDEX('Lorri 401b'!L:L,MATCH('Retirement Calculator'!A1139,'Lorri 401b'!N:N,0),0)</f>
        <v>-24543322.898809031</v>
      </c>
      <c r="S1139" s="25">
        <f t="shared" ca="1" si="1047"/>
        <v>-22484326.382230658</v>
      </c>
    </row>
    <row r="1140" spans="1:19" ht="15.75" customHeight="1" x14ac:dyDescent="0.3">
      <c r="A1140" s="37">
        <v>85650</v>
      </c>
      <c r="B1140" s="398">
        <f t="shared" ref="B1140:C1140" si="1156">($A1140-B$9)/365.25</f>
        <v>152.61875427789187</v>
      </c>
      <c r="C1140" s="398">
        <f t="shared" si="1156"/>
        <v>148.00821355236138</v>
      </c>
      <c r="E1140" s="25">
        <f>IF(C1140&gt;$B$7,0,'Combined Retirement'!$D$13/12)</f>
        <v>0</v>
      </c>
      <c r="F1140" s="25">
        <f>IF(H1140=0,'Combined Retirement'!$D$32,0)+'Combined Retirement'!$B$24</f>
        <v>2870.372285649099</v>
      </c>
      <c r="G1140" s="25">
        <f>'Combined Retirement'!$C$24</f>
        <v>3254.2644699519233</v>
      </c>
      <c r="H1140" s="25">
        <f>IF(B1140&lt;62,0,'Combined Retirement'!$I$14)</f>
        <v>2345</v>
      </c>
      <c r="I1140" s="25">
        <f>IF(C1140&lt;62,0,'Combined Retirement'!$I$13)</f>
        <v>2420</v>
      </c>
      <c r="J1140" s="25">
        <f t="shared" si="1043"/>
        <v>7896.2379798201846</v>
      </c>
      <c r="K1140" s="25">
        <f t="shared" si="1044"/>
        <v>20367.195264578786</v>
      </c>
      <c r="L1140" s="25"/>
      <c r="N1140" s="25">
        <f>'Combined Retirement'!$C$18/12</f>
        <v>39153.069999999992</v>
      </c>
      <c r="O1140" s="25">
        <f t="shared" si="1045"/>
        <v>10889.636755601023</v>
      </c>
      <c r="P1140" s="25">
        <f t="shared" si="1046"/>
        <v>28263.43324439897</v>
      </c>
      <c r="Q1140" s="25">
        <f t="array" aca="1" ref="Q1140" ca="1">INDEX('Isaac 401k'!L:L,MATCH('Retirement Calculator'!A1140,'Isaac 401k'!N:N,0),0)</f>
        <v>2059646.5297593782</v>
      </c>
      <c r="R1140" s="25">
        <f t="array" aca="1" ref="R1140" ca="1">INDEX('Lorri 401b'!L:L,MATCH('Retirement Calculator'!A1140,'Lorri 401b'!N:N,0),0)</f>
        <v>-24666038.802798916</v>
      </c>
      <c r="S1140" s="25">
        <f t="shared" ca="1" si="1047"/>
        <v>-22606392.273039538</v>
      </c>
    </row>
    <row r="1141" spans="1:19" ht="15.75" customHeight="1" x14ac:dyDescent="0.3">
      <c r="A1141" s="37">
        <v>85681</v>
      </c>
      <c r="B1141" s="398">
        <f t="shared" ref="B1141:C1141" si="1157">($A1141-B$9)/365.25</f>
        <v>152.70362765229294</v>
      </c>
      <c r="C1141" s="398">
        <f t="shared" si="1157"/>
        <v>148.09308692676248</v>
      </c>
      <c r="E1141" s="25">
        <f>IF(C1141&gt;$B$7,0,'Combined Retirement'!$D$13/12)</f>
        <v>0</v>
      </c>
      <c r="F1141" s="25">
        <f>IF(H1141=0,'Combined Retirement'!$D$32,0)+'Combined Retirement'!$B$24</f>
        <v>2870.372285649099</v>
      </c>
      <c r="G1141" s="25">
        <f>'Combined Retirement'!$C$24</f>
        <v>3254.2644699519233</v>
      </c>
      <c r="H1141" s="25">
        <f>IF(B1141&lt;62,0,'Combined Retirement'!$I$14)</f>
        <v>2345</v>
      </c>
      <c r="I1141" s="25">
        <f>IF(C1141&lt;62,0,'Combined Retirement'!$I$13)</f>
        <v>2420</v>
      </c>
      <c r="J1141" s="25">
        <f t="shared" si="1043"/>
        <v>7896.2379798201846</v>
      </c>
      <c r="K1141" s="25">
        <f t="shared" si="1044"/>
        <v>20367.195264578786</v>
      </c>
      <c r="L1141" s="25"/>
      <c r="N1141" s="25">
        <f>'Combined Retirement'!$C$18/12</f>
        <v>39153.069999999992</v>
      </c>
      <c r="O1141" s="25">
        <f t="shared" si="1045"/>
        <v>10889.636755601023</v>
      </c>
      <c r="P1141" s="25">
        <f t="shared" si="1046"/>
        <v>28263.43324439897</v>
      </c>
      <c r="Q1141" s="25">
        <f t="array" aca="1" ref="Q1141" ca="1">INDEX('Isaac 401k'!L:L,MATCH('Retirement Calculator'!A1141,'Isaac 401k'!N:N,0),0)</f>
        <v>2060299.2513286395</v>
      </c>
      <c r="R1141" s="25">
        <f t="array" aca="1" ref="R1141" ca="1">INDEX('Lorri 401b'!L:L,MATCH('Retirement Calculator'!A1141,'Lorri 401b'!N:N,0),0)</f>
        <v>-24789266.023055423</v>
      </c>
      <c r="S1141" s="25">
        <f t="shared" ca="1" si="1047"/>
        <v>-22728966.771726783</v>
      </c>
    </row>
    <row r="1142" spans="1:19" ht="15.75" customHeight="1" x14ac:dyDescent="0.3">
      <c r="A1142" s="37">
        <v>85712</v>
      </c>
      <c r="B1142" s="398">
        <f t="shared" ref="B1142:C1142" si="1158">($A1142-B$9)/365.25</f>
        <v>152.78850102669404</v>
      </c>
      <c r="C1142" s="398">
        <f t="shared" si="1158"/>
        <v>148.17796030116358</v>
      </c>
      <c r="E1142" s="25">
        <f>IF(C1142&gt;$B$7,0,'Combined Retirement'!$D$13/12)</f>
        <v>0</v>
      </c>
      <c r="F1142" s="25">
        <f>IF(H1142=0,'Combined Retirement'!$D$32,0)+'Combined Retirement'!$B$24</f>
        <v>2870.372285649099</v>
      </c>
      <c r="G1142" s="25">
        <f>'Combined Retirement'!$C$24</f>
        <v>3254.2644699519233</v>
      </c>
      <c r="H1142" s="25">
        <f>IF(B1142&lt;62,0,'Combined Retirement'!$I$14)</f>
        <v>2345</v>
      </c>
      <c r="I1142" s="25">
        <f>IF(C1142&lt;62,0,'Combined Retirement'!$I$13)</f>
        <v>2420</v>
      </c>
      <c r="J1142" s="25">
        <f t="shared" si="1043"/>
        <v>7896.2379798201846</v>
      </c>
      <c r="K1142" s="25">
        <f t="shared" si="1044"/>
        <v>20367.195264578786</v>
      </c>
      <c r="L1142" s="25"/>
      <c r="N1142" s="25">
        <f>'Combined Retirement'!$C$18/12</f>
        <v>39153.069999999992</v>
      </c>
      <c r="O1142" s="25">
        <f t="shared" si="1045"/>
        <v>10889.636755601023</v>
      </c>
      <c r="P1142" s="25">
        <f t="shared" si="1046"/>
        <v>28263.43324439897</v>
      </c>
      <c r="Q1142" s="25">
        <f t="array" aca="1" ref="Q1142" ca="1">INDEX('Isaac 401k'!L:L,MATCH('Retirement Calculator'!A1142,'Isaac 401k'!N:N,0),0)</f>
        <v>2060954.6925711059</v>
      </c>
      <c r="R1142" s="25">
        <f t="array" aca="1" ref="R1142" ca="1">INDEX('Lorri 401b'!L:L,MATCH('Retirement Calculator'!A1142,'Lorri 401b'!N:N,0),0)</f>
        <v>-24913006.690063</v>
      </c>
      <c r="S1142" s="25">
        <f t="shared" ca="1" si="1047"/>
        <v>-22852051.997491892</v>
      </c>
    </row>
    <row r="1143" spans="1:19" ht="15.75" customHeight="1" x14ac:dyDescent="0.3">
      <c r="A1143" s="37">
        <v>85742</v>
      </c>
      <c r="B1143" s="398">
        <f t="shared" ref="B1143:C1143" si="1159">($A1143-B$9)/365.25</f>
        <v>152.87063655030801</v>
      </c>
      <c r="C1143" s="398">
        <f t="shared" si="1159"/>
        <v>148.26009582477755</v>
      </c>
      <c r="E1143" s="25">
        <f>IF(C1143&gt;$B$7,0,'Combined Retirement'!$D$13/12)</f>
        <v>0</v>
      </c>
      <c r="F1143" s="25">
        <f>IF(H1143=0,'Combined Retirement'!$D$32,0)+'Combined Retirement'!$B$24</f>
        <v>2870.372285649099</v>
      </c>
      <c r="G1143" s="25">
        <f>'Combined Retirement'!$C$24</f>
        <v>3254.2644699519233</v>
      </c>
      <c r="H1143" s="25">
        <f>IF(B1143&lt;62,0,'Combined Retirement'!$I$14)</f>
        <v>2345</v>
      </c>
      <c r="I1143" s="25">
        <f>IF(C1143&lt;62,0,'Combined Retirement'!$I$13)</f>
        <v>2420</v>
      </c>
      <c r="J1143" s="25">
        <f t="shared" si="1043"/>
        <v>7896.2379798201846</v>
      </c>
      <c r="K1143" s="25">
        <f t="shared" si="1044"/>
        <v>20367.195264578786</v>
      </c>
      <c r="L1143" s="25"/>
      <c r="N1143" s="25">
        <f>'Combined Retirement'!$C$18/12</f>
        <v>39153.069999999992</v>
      </c>
      <c r="O1143" s="25">
        <f t="shared" si="1045"/>
        <v>10889.636755601023</v>
      </c>
      <c r="P1143" s="25">
        <f t="shared" si="1046"/>
        <v>28263.43324439897</v>
      </c>
      <c r="Q1143" s="25">
        <f t="array" aca="1" ref="Q1143" ca="1">INDEX('Isaac 401k'!L:L,MATCH('Retirement Calculator'!A1143,'Isaac 401k'!N:N,0),0)</f>
        <v>2061612.8648187493</v>
      </c>
      <c r="R1143" s="25">
        <f t="array" aca="1" ref="R1143" ca="1">INDEX('Lorri 401b'!L:L,MATCH('Retirement Calculator'!A1143,'Lorri 401b'!N:N,0),0)</f>
        <v>-25037262.943183109</v>
      </c>
      <c r="S1143" s="25">
        <f t="shared" ca="1" si="1047"/>
        <v>-22975650.078364361</v>
      </c>
    </row>
    <row r="1144" spans="1:19" ht="15.75" customHeight="1" x14ac:dyDescent="0.3">
      <c r="A1144" s="37">
        <v>85773</v>
      </c>
      <c r="B1144" s="398">
        <f t="shared" ref="B1144:C1144" si="1160">($A1144-B$9)/365.25</f>
        <v>152.95550992470911</v>
      </c>
      <c r="C1144" s="398">
        <f t="shared" si="1160"/>
        <v>148.34496919917865</v>
      </c>
      <c r="E1144" s="25">
        <f>IF(C1144&gt;$B$7,0,'Combined Retirement'!$D$13/12)</f>
        <v>0</v>
      </c>
      <c r="F1144" s="25">
        <f>IF(H1144=0,'Combined Retirement'!$D$32,0)+'Combined Retirement'!$B$24</f>
        <v>2870.372285649099</v>
      </c>
      <c r="G1144" s="25">
        <f>'Combined Retirement'!$C$24</f>
        <v>3254.2644699519233</v>
      </c>
      <c r="H1144" s="25">
        <f>IF(B1144&lt;62,0,'Combined Retirement'!$I$14)</f>
        <v>2345</v>
      </c>
      <c r="I1144" s="25">
        <f>IF(C1144&lt;62,0,'Combined Retirement'!$I$13)</f>
        <v>2420</v>
      </c>
      <c r="J1144" s="25">
        <f t="shared" si="1043"/>
        <v>7896.2379798201846</v>
      </c>
      <c r="K1144" s="25">
        <f t="shared" si="1044"/>
        <v>20367.195264578786</v>
      </c>
      <c r="L1144" s="25"/>
      <c r="N1144" s="25">
        <f>'Combined Retirement'!$C$18/12</f>
        <v>39153.069999999992</v>
      </c>
      <c r="O1144" s="25">
        <f t="shared" si="1045"/>
        <v>10889.636755601023</v>
      </c>
      <c r="P1144" s="25">
        <f t="shared" si="1046"/>
        <v>28263.43324439897</v>
      </c>
      <c r="Q1144" s="25">
        <f t="array" aca="1" ref="Q1144" ca="1">INDEX('Isaac 401k'!L:L,MATCH('Retirement Calculator'!A1144,'Isaac 401k'!N:N,0),0)</f>
        <v>2062273.7794507579</v>
      </c>
      <c r="R1144" s="25">
        <f t="array" aca="1" ref="R1144" ca="1">INDEX('Lorri 401b'!L:L,MATCH('Retirement Calculator'!A1144,'Lorri 401b'!N:N,0),0)</f>
        <v>-25162036.93069122</v>
      </c>
      <c r="S1144" s="25">
        <f t="shared" ca="1" si="1047"/>
        <v>-23099763.151240461</v>
      </c>
    </row>
    <row r="1145" spans="1:19" ht="15.75" customHeight="1" x14ac:dyDescent="0.3">
      <c r="A1145" s="37">
        <v>85803</v>
      </c>
      <c r="B1145" s="398">
        <f t="shared" ref="B1145:C1145" si="1161">($A1145-B$9)/365.25</f>
        <v>153.03764544832308</v>
      </c>
      <c r="C1145" s="398">
        <f t="shared" si="1161"/>
        <v>148.42710472279262</v>
      </c>
      <c r="E1145" s="25">
        <f>IF(C1145&gt;$B$7,0,'Combined Retirement'!$D$13/12)</f>
        <v>0</v>
      </c>
      <c r="F1145" s="25">
        <f>IF(H1145=0,'Combined Retirement'!$D$32,0)+'Combined Retirement'!$B$24</f>
        <v>2870.372285649099</v>
      </c>
      <c r="G1145" s="25">
        <f>'Combined Retirement'!$C$24</f>
        <v>3254.2644699519233</v>
      </c>
      <c r="H1145" s="25">
        <f>IF(B1145&lt;62,0,'Combined Retirement'!$I$14)</f>
        <v>2345</v>
      </c>
      <c r="I1145" s="25">
        <f>IF(C1145&lt;62,0,'Combined Retirement'!$I$13)</f>
        <v>2420</v>
      </c>
      <c r="J1145" s="25">
        <f t="shared" si="1043"/>
        <v>7896.2379798201846</v>
      </c>
      <c r="K1145" s="25">
        <f t="shared" si="1044"/>
        <v>20367.195264578786</v>
      </c>
      <c r="L1145" s="25"/>
      <c r="N1145" s="25">
        <f>'Combined Retirement'!$C$18/12</f>
        <v>39153.069999999992</v>
      </c>
      <c r="O1145" s="25">
        <f t="shared" si="1045"/>
        <v>10889.636755601023</v>
      </c>
      <c r="P1145" s="25">
        <f t="shared" si="1046"/>
        <v>28263.43324439897</v>
      </c>
      <c r="Q1145" s="25">
        <f t="array" aca="1" ref="Q1145" ca="1">INDEX('Isaac 401k'!L:L,MATCH('Retirement Calculator'!A1145,'Isaac 401k'!N:N,0),0)</f>
        <v>2062937.4478937332</v>
      </c>
      <c r="R1145" s="25">
        <f t="array" aca="1" ref="R1145" ca="1">INDEX('Lorri 401b'!L:L,MATCH('Retirement Calculator'!A1145,'Lorri 401b'!N:N,0),0)</f>
        <v>-25287330.809813946</v>
      </c>
      <c r="S1145" s="25">
        <f t="shared" ca="1" si="1047"/>
        <v>-23224393.361920215</v>
      </c>
    </row>
    <row r="1146" spans="1:19" ht="15.75" customHeight="1" x14ac:dyDescent="0.3">
      <c r="A1146" s="37">
        <v>85834</v>
      </c>
      <c r="B1146" s="398">
        <f t="shared" ref="B1146:C1146" si="1162">($A1146-B$9)/365.25</f>
        <v>153.12251882272417</v>
      </c>
      <c r="C1146" s="398">
        <f t="shared" si="1162"/>
        <v>148.51197809719369</v>
      </c>
      <c r="E1146" s="25">
        <f>IF(C1146&gt;$B$7,0,'Combined Retirement'!$D$13/12)</f>
        <v>0</v>
      </c>
      <c r="F1146" s="25">
        <f>IF(H1146=0,'Combined Retirement'!$D$32,0)+'Combined Retirement'!$B$24</f>
        <v>2870.372285649099</v>
      </c>
      <c r="G1146" s="25">
        <f>'Combined Retirement'!$C$24</f>
        <v>3254.2644699519233</v>
      </c>
      <c r="H1146" s="25">
        <f>IF(B1146&lt;62,0,'Combined Retirement'!$I$14)</f>
        <v>2345</v>
      </c>
      <c r="I1146" s="25">
        <f>IF(C1146&lt;62,0,'Combined Retirement'!$I$13)</f>
        <v>2420</v>
      </c>
      <c r="J1146" s="25">
        <f t="shared" si="1043"/>
        <v>7896.2379798201846</v>
      </c>
      <c r="K1146" s="25">
        <f t="shared" si="1044"/>
        <v>20367.195264578786</v>
      </c>
      <c r="L1146" s="25"/>
      <c r="N1146" s="25">
        <f>'Combined Retirement'!$C$18/12</f>
        <v>39153.069999999992</v>
      </c>
      <c r="O1146" s="25">
        <f t="shared" si="1045"/>
        <v>10889.636755601023</v>
      </c>
      <c r="P1146" s="25">
        <f t="shared" si="1046"/>
        <v>28263.43324439897</v>
      </c>
      <c r="Q1146" s="25">
        <f t="array" aca="1" ref="Q1146" ca="1">INDEX('Isaac 401k'!L:L,MATCH('Retirement Calculator'!A1146,'Isaac 401k'!N:N,0),0)</f>
        <v>2063603.8816218877</v>
      </c>
      <c r="R1146" s="25">
        <f t="array" aca="1" ref="R1146" ca="1">INDEX('Lorri 401b'!L:L,MATCH('Retirement Calculator'!A1146,'Lorri 401b'!N:N,0),0)</f>
        <v>-25413146.746766351</v>
      </c>
      <c r="S1146" s="25">
        <f t="shared" ca="1" si="1047"/>
        <v>-23349542.865144465</v>
      </c>
    </row>
    <row r="1147" spans="1:19" ht="15.75" customHeight="1" x14ac:dyDescent="0.3">
      <c r="A1147" s="37">
        <v>85865</v>
      </c>
      <c r="B1147" s="398">
        <f t="shared" ref="B1147:C1147" si="1163">($A1147-B$9)/365.25</f>
        <v>153.20739219712524</v>
      </c>
      <c r="C1147" s="398">
        <f t="shared" si="1163"/>
        <v>148.59685147159479</v>
      </c>
      <c r="E1147" s="25">
        <f>IF(C1147&gt;$B$7,0,'Combined Retirement'!$D$13/12)</f>
        <v>0</v>
      </c>
      <c r="F1147" s="25">
        <f>IF(H1147=0,'Combined Retirement'!$D$32,0)+'Combined Retirement'!$B$24</f>
        <v>2870.372285649099</v>
      </c>
      <c r="G1147" s="25">
        <f>'Combined Retirement'!$C$24</f>
        <v>3254.2644699519233</v>
      </c>
      <c r="H1147" s="25">
        <f>IF(B1147&lt;62,0,'Combined Retirement'!$I$14)</f>
        <v>2345</v>
      </c>
      <c r="I1147" s="25">
        <f>IF(C1147&lt;62,0,'Combined Retirement'!$I$13)</f>
        <v>2420</v>
      </c>
      <c r="J1147" s="25">
        <f t="shared" si="1043"/>
        <v>7896.2379798201846</v>
      </c>
      <c r="K1147" s="25">
        <f t="shared" si="1044"/>
        <v>20367.195264578786</v>
      </c>
      <c r="L1147" s="25"/>
      <c r="N1147" s="25">
        <f>'Combined Retirement'!$C$18/12</f>
        <v>39153.069999999992</v>
      </c>
      <c r="O1147" s="25">
        <f t="shared" si="1045"/>
        <v>10889.636755601023</v>
      </c>
      <c r="P1147" s="25">
        <f t="shared" si="1046"/>
        <v>28263.43324439897</v>
      </c>
      <c r="Q1147" s="25">
        <f t="array" aca="1" ref="Q1147" ca="1">INDEX('Isaac 401k'!L:L,MATCH('Retirement Calculator'!A1147,'Isaac 401k'!N:N,0),0)</f>
        <v>2064273.0921572428</v>
      </c>
      <c r="R1147" s="25">
        <f t="array" aca="1" ref="R1147" ca="1">INDEX('Lorri 401b'!L:L,MATCH('Retirement Calculator'!A1147,'Lorri 401b'!N:N,0),0)</f>
        <v>-25539486.91678939</v>
      </c>
      <c r="S1147" s="25">
        <f t="shared" ca="1" si="1047"/>
        <v>-23475213.824632145</v>
      </c>
    </row>
    <row r="1148" spans="1:19" ht="15.75" customHeight="1" x14ac:dyDescent="0.3">
      <c r="A1148" s="37">
        <v>85893</v>
      </c>
      <c r="B1148" s="398">
        <f t="shared" ref="B1148:C1148" si="1164">($A1148-B$9)/365.25</f>
        <v>153.28405201916496</v>
      </c>
      <c r="C1148" s="398">
        <f t="shared" si="1164"/>
        <v>148.6735112936345</v>
      </c>
      <c r="E1148" s="25">
        <f>IF(C1148&gt;$B$7,0,'Combined Retirement'!$D$13/12)</f>
        <v>0</v>
      </c>
      <c r="F1148" s="25">
        <f>IF(H1148=0,'Combined Retirement'!$D$32,0)+'Combined Retirement'!$B$24</f>
        <v>2870.372285649099</v>
      </c>
      <c r="G1148" s="25">
        <f>'Combined Retirement'!$C$24</f>
        <v>3254.2644699519233</v>
      </c>
      <c r="H1148" s="25">
        <f>IF(B1148&lt;62,0,'Combined Retirement'!$I$14)</f>
        <v>2345</v>
      </c>
      <c r="I1148" s="25">
        <f>IF(C1148&lt;62,0,'Combined Retirement'!$I$13)</f>
        <v>2420</v>
      </c>
      <c r="J1148" s="25">
        <f t="shared" si="1043"/>
        <v>7896.2379798201846</v>
      </c>
      <c r="K1148" s="25">
        <f t="shared" si="1044"/>
        <v>20367.195264578786</v>
      </c>
      <c r="L1148" s="25"/>
      <c r="N1148" s="25">
        <f>'Combined Retirement'!$C$18/12</f>
        <v>39153.069999999992</v>
      </c>
      <c r="O1148" s="25">
        <f t="shared" si="1045"/>
        <v>10889.636755601023</v>
      </c>
      <c r="P1148" s="25">
        <f t="shared" si="1046"/>
        <v>28263.43324439897</v>
      </c>
      <c r="Q1148" s="25">
        <f t="array" aca="1" ref="Q1148" ca="1">INDEX('Isaac 401k'!L:L,MATCH('Retirement Calculator'!A1148,'Isaac 401k'!N:N,0),0)</f>
        <v>2064945.0910698285</v>
      </c>
      <c r="R1148" s="25">
        <f t="array" aca="1" ref="R1148" ca="1">INDEX('Lorri 401b'!L:L,MATCH('Retirement Calculator'!A1148,'Lorri 401b'!N:N,0),0)</f>
        <v>-25666353.504187528</v>
      </c>
      <c r="S1148" s="25">
        <f t="shared" ca="1" si="1047"/>
        <v>-23601408.413117699</v>
      </c>
    </row>
    <row r="1149" spans="1:19" ht="15.75" customHeight="1" x14ac:dyDescent="0.3">
      <c r="A1149" s="37">
        <v>85924</v>
      </c>
      <c r="B1149" s="398">
        <f t="shared" ref="B1149:C1149" si="1165">($A1149-B$9)/365.25</f>
        <v>153.36892539356606</v>
      </c>
      <c r="C1149" s="398">
        <f t="shared" si="1165"/>
        <v>148.7583846680356</v>
      </c>
      <c r="E1149" s="25">
        <f>IF(C1149&gt;$B$7,0,'Combined Retirement'!$D$13/12)</f>
        <v>0</v>
      </c>
      <c r="F1149" s="25">
        <f>IF(H1149=0,'Combined Retirement'!$D$32,0)+'Combined Retirement'!$B$24</f>
        <v>2870.372285649099</v>
      </c>
      <c r="G1149" s="25">
        <f>'Combined Retirement'!$C$24</f>
        <v>3254.2644699519233</v>
      </c>
      <c r="H1149" s="25">
        <f>IF(B1149&lt;62,0,'Combined Retirement'!$I$14)</f>
        <v>2345</v>
      </c>
      <c r="I1149" s="25">
        <f>IF(C1149&lt;62,0,'Combined Retirement'!$I$13)</f>
        <v>2420</v>
      </c>
      <c r="J1149" s="25">
        <f t="shared" si="1043"/>
        <v>7896.2379798201846</v>
      </c>
      <c r="K1149" s="25">
        <f t="shared" si="1044"/>
        <v>20367.195264578786</v>
      </c>
      <c r="L1149" s="25"/>
      <c r="N1149" s="25">
        <f>'Combined Retirement'!$C$18/12</f>
        <v>39153.069999999992</v>
      </c>
      <c r="O1149" s="25">
        <f t="shared" si="1045"/>
        <v>10889.636755601023</v>
      </c>
      <c r="P1149" s="25">
        <f t="shared" si="1046"/>
        <v>28263.43324439897</v>
      </c>
      <c r="Q1149" s="25">
        <f t="array" aca="1" ref="Q1149" ca="1">INDEX('Isaac 401k'!L:L,MATCH('Retirement Calculator'!A1149,'Isaac 401k'!N:N,0),0)</f>
        <v>2065619.8899778833</v>
      </c>
      <c r="R1149" s="25">
        <f t="array" aca="1" ref="R1149" ca="1">INDEX('Lorri 401b'!L:L,MATCH('Retirement Calculator'!A1149,'Lorri 401b'!N:N,0),0)</f>
        <v>-25793748.70236649</v>
      </c>
      <c r="S1149" s="25">
        <f t="shared" ca="1" si="1047"/>
        <v>-23728128.812388606</v>
      </c>
    </row>
    <row r="1150" spans="1:19" ht="15.75" customHeight="1" x14ac:dyDescent="0.3">
      <c r="A1150" s="37">
        <v>85954</v>
      </c>
      <c r="B1150" s="398">
        <f t="shared" ref="B1150:C1150" si="1166">($A1150-B$9)/365.25</f>
        <v>153.45106091718</v>
      </c>
      <c r="C1150" s="398">
        <f t="shared" si="1166"/>
        <v>148.84052019164955</v>
      </c>
      <c r="E1150" s="25">
        <f>IF(C1150&gt;$B$7,0,'Combined Retirement'!$D$13/12)</f>
        <v>0</v>
      </c>
      <c r="F1150" s="25">
        <f>IF(H1150=0,'Combined Retirement'!$D$32,0)+'Combined Retirement'!$B$24</f>
        <v>2870.372285649099</v>
      </c>
      <c r="G1150" s="25">
        <f>'Combined Retirement'!$C$24</f>
        <v>3254.2644699519233</v>
      </c>
      <c r="H1150" s="25">
        <f>IF(B1150&lt;62,0,'Combined Retirement'!$I$14)</f>
        <v>2345</v>
      </c>
      <c r="I1150" s="25">
        <f>IF(C1150&lt;62,0,'Combined Retirement'!$I$13)</f>
        <v>2420</v>
      </c>
      <c r="J1150" s="25">
        <f t="shared" si="1043"/>
        <v>7896.2379798201846</v>
      </c>
      <c r="K1150" s="25">
        <f t="shared" si="1044"/>
        <v>20367.195264578786</v>
      </c>
      <c r="L1150" s="25"/>
      <c r="N1150" s="25">
        <f>'Combined Retirement'!$C$18/12</f>
        <v>39153.069999999992</v>
      </c>
      <c r="O1150" s="25">
        <f t="shared" si="1045"/>
        <v>10889.636755601023</v>
      </c>
      <c r="P1150" s="25">
        <f t="shared" si="1046"/>
        <v>28263.43324439897</v>
      </c>
      <c r="Q1150" s="25">
        <f t="array" aca="1" ref="Q1150" ca="1">INDEX('Isaac 401k'!L:L,MATCH('Retirement Calculator'!A1150,'Isaac 401k'!N:N,0),0)</f>
        <v>2066297.5005480549</v>
      </c>
      <c r="R1150" s="25">
        <f t="array" aca="1" ref="R1150" ca="1">INDEX('Lorri 401b'!L:L,MATCH('Retirement Calculator'!A1150,'Lorri 401b'!N:N,0),0)</f>
        <v>-25921674.713871196</v>
      </c>
      <c r="S1150" s="25">
        <f t="shared" ca="1" si="1047"/>
        <v>-23855377.213323142</v>
      </c>
    </row>
    <row r="1151" spans="1:19" ht="15.75" customHeight="1" x14ac:dyDescent="0.3">
      <c r="A1151" s="37">
        <v>85985</v>
      </c>
      <c r="B1151" s="398">
        <f t="shared" ref="B1151:C1151" si="1167">($A1151-B$9)/365.25</f>
        <v>153.5359342915811</v>
      </c>
      <c r="C1151" s="398">
        <f t="shared" si="1167"/>
        <v>148.92539356605064</v>
      </c>
      <c r="E1151" s="25">
        <f>IF(C1151&gt;$B$7,0,'Combined Retirement'!$D$13/12)</f>
        <v>0</v>
      </c>
      <c r="F1151" s="25">
        <f>IF(H1151=0,'Combined Retirement'!$D$32,0)+'Combined Retirement'!$B$24</f>
        <v>2870.372285649099</v>
      </c>
      <c r="G1151" s="25">
        <f>'Combined Retirement'!$C$24</f>
        <v>3254.2644699519233</v>
      </c>
      <c r="H1151" s="25">
        <f>IF(B1151&lt;62,0,'Combined Retirement'!$I$14)</f>
        <v>2345</v>
      </c>
      <c r="I1151" s="25">
        <f>IF(C1151&lt;62,0,'Combined Retirement'!$I$13)</f>
        <v>2420</v>
      </c>
      <c r="J1151" s="25">
        <f t="shared" si="1043"/>
        <v>7896.2379798201846</v>
      </c>
      <c r="K1151" s="25">
        <f t="shared" si="1044"/>
        <v>20367.195264578786</v>
      </c>
      <c r="L1151" s="25"/>
      <c r="N1151" s="25">
        <f>'Combined Retirement'!$C$18/12</f>
        <v>39153.069999999992</v>
      </c>
      <c r="O1151" s="25">
        <f t="shared" si="1045"/>
        <v>10889.636755601023</v>
      </c>
      <c r="P1151" s="25">
        <f t="shared" si="1046"/>
        <v>28263.43324439897</v>
      </c>
      <c r="Q1151" s="25">
        <f t="array" aca="1" ref="Q1151" ca="1">INDEX('Isaac 401k'!L:L,MATCH('Retirement Calculator'!A1151,'Isaac 401k'!N:N,0),0)</f>
        <v>2066977.9344956023</v>
      </c>
      <c r="R1151" s="25">
        <f t="array" aca="1" ref="R1151" ca="1">INDEX('Lorri 401b'!L:L,MATCH('Retirement Calculator'!A1151,'Lorri 401b'!N:N,0),0)</f>
        <v>-26050133.750423841</v>
      </c>
      <c r="S1151" s="25">
        <f t="shared" ca="1" si="1047"/>
        <v>-23983155.815928239</v>
      </c>
    </row>
    <row r="1152" spans="1:19" ht="15.75" customHeight="1" x14ac:dyDescent="0.3">
      <c r="A1152" s="37">
        <v>86015</v>
      </c>
      <c r="B1152" s="398">
        <f t="shared" ref="B1152:C1152" si="1168">($A1152-B$9)/365.25</f>
        <v>153.61806981519507</v>
      </c>
      <c r="C1152" s="398">
        <f t="shared" si="1168"/>
        <v>149.00752908966462</v>
      </c>
      <c r="E1152" s="25">
        <f>IF(C1152&gt;$B$7,0,'Combined Retirement'!$D$13/12)</f>
        <v>0</v>
      </c>
      <c r="F1152" s="25">
        <f>IF(H1152=0,'Combined Retirement'!$D$32,0)+'Combined Retirement'!$B$24</f>
        <v>2870.372285649099</v>
      </c>
      <c r="G1152" s="25">
        <f>'Combined Retirement'!$C$24</f>
        <v>3254.2644699519233</v>
      </c>
      <c r="H1152" s="25">
        <f>IF(B1152&lt;62,0,'Combined Retirement'!$I$14)</f>
        <v>2345</v>
      </c>
      <c r="I1152" s="25">
        <f>IF(C1152&lt;62,0,'Combined Retirement'!$I$13)</f>
        <v>2420</v>
      </c>
      <c r="J1152" s="25">
        <f t="shared" si="1043"/>
        <v>7896.2379798201846</v>
      </c>
      <c r="K1152" s="25">
        <f t="shared" si="1044"/>
        <v>20367.195264578786</v>
      </c>
      <c r="L1152" s="25"/>
      <c r="N1152" s="25">
        <f>'Combined Retirement'!$C$18/12</f>
        <v>39153.069999999992</v>
      </c>
      <c r="O1152" s="25">
        <f t="shared" si="1045"/>
        <v>10889.636755601023</v>
      </c>
      <c r="P1152" s="25">
        <f t="shared" si="1046"/>
        <v>28263.43324439897</v>
      </c>
      <c r="Q1152" s="25">
        <f t="array" aca="1" ref="Q1152" ca="1">INDEX('Isaac 401k'!L:L,MATCH('Retirement Calculator'!A1152,'Isaac 401k'!N:N,0),0)</f>
        <v>2067661.2035845979</v>
      </c>
      <c r="R1152" s="25">
        <f t="array" aca="1" ref="R1152" ca="1">INDEX('Lorri 401b'!L:L,MATCH('Retirement Calculator'!A1152,'Lorri 401b'!N:N,0),0)</f>
        <v>-26179128.032962121</v>
      </c>
      <c r="S1152" s="25">
        <f t="shared" ca="1" si="1047"/>
        <v>-24111466.829377525</v>
      </c>
    </row>
    <row r="1153" spans="1:19" ht="15.75" customHeight="1" x14ac:dyDescent="0.3">
      <c r="A1153" s="37">
        <v>86046</v>
      </c>
      <c r="B1153" s="398">
        <f t="shared" ref="B1153:C1153" si="1169">($A1153-B$9)/365.25</f>
        <v>153.70294318959617</v>
      </c>
      <c r="C1153" s="398">
        <f t="shared" si="1169"/>
        <v>149.09240246406571</v>
      </c>
      <c r="E1153" s="25">
        <f>IF(C1153&gt;$B$7,0,'Combined Retirement'!$D$13/12)</f>
        <v>0</v>
      </c>
      <c r="F1153" s="25">
        <f>IF(H1153=0,'Combined Retirement'!$D$32,0)+'Combined Retirement'!$B$24</f>
        <v>2870.372285649099</v>
      </c>
      <c r="G1153" s="25">
        <f>'Combined Retirement'!$C$24</f>
        <v>3254.2644699519233</v>
      </c>
      <c r="H1153" s="25">
        <f>IF(B1153&lt;62,0,'Combined Retirement'!$I$14)</f>
        <v>2345</v>
      </c>
      <c r="I1153" s="25">
        <f>IF(C1153&lt;62,0,'Combined Retirement'!$I$13)</f>
        <v>2420</v>
      </c>
      <c r="J1153" s="25">
        <f t="shared" si="1043"/>
        <v>7896.2379798201846</v>
      </c>
      <c r="K1153" s="25">
        <f t="shared" si="1044"/>
        <v>20367.195264578786</v>
      </c>
      <c r="L1153" s="25"/>
      <c r="N1153" s="25">
        <f>'Combined Retirement'!$C$18/12</f>
        <v>39153.069999999992</v>
      </c>
      <c r="O1153" s="25">
        <f t="shared" si="1045"/>
        <v>10889.636755601023</v>
      </c>
      <c r="P1153" s="25">
        <f t="shared" si="1046"/>
        <v>28263.43324439897</v>
      </c>
      <c r="Q1153" s="25">
        <f t="array" aca="1" ref="Q1153" ca="1">INDEX('Isaac 401k'!L:L,MATCH('Retirement Calculator'!A1153,'Isaac 401k'!N:N,0),0)</f>
        <v>2068347.3196281309</v>
      </c>
      <c r="R1153" s="25">
        <f t="array" aca="1" ref="R1153" ca="1">INDEX('Lorri 401b'!L:L,MATCH('Retirement Calculator'!A1153,'Lorri 401b'!N:N,0),0)</f>
        <v>-26308659.791677643</v>
      </c>
      <c r="S1153" s="25">
        <f t="shared" ca="1" si="1047"/>
        <v>-24240312.472049512</v>
      </c>
    </row>
    <row r="1154" spans="1:19" ht="15.75" customHeight="1" x14ac:dyDescent="0.3">
      <c r="A1154" s="37">
        <v>86077</v>
      </c>
      <c r="B1154" s="398">
        <f t="shared" ref="B1154:C1154" si="1170">($A1154-B$9)/365.25</f>
        <v>153.78781656399727</v>
      </c>
      <c r="C1154" s="398">
        <f t="shared" si="1170"/>
        <v>149.17727583846681</v>
      </c>
      <c r="E1154" s="25">
        <f>IF(C1154&gt;$B$7,0,'Combined Retirement'!$D$13/12)</f>
        <v>0</v>
      </c>
      <c r="F1154" s="25">
        <f>IF(H1154=0,'Combined Retirement'!$D$32,0)+'Combined Retirement'!$B$24</f>
        <v>2870.372285649099</v>
      </c>
      <c r="G1154" s="25">
        <f>'Combined Retirement'!$C$24</f>
        <v>3254.2644699519233</v>
      </c>
      <c r="H1154" s="25">
        <f>IF(B1154&lt;62,0,'Combined Retirement'!$I$14)</f>
        <v>2345</v>
      </c>
      <c r="I1154" s="25">
        <f>IF(C1154&lt;62,0,'Combined Retirement'!$I$13)</f>
        <v>2420</v>
      </c>
      <c r="J1154" s="25">
        <f t="shared" si="1043"/>
        <v>7896.2379798201846</v>
      </c>
      <c r="K1154" s="25">
        <f t="shared" si="1044"/>
        <v>20367.195264578786</v>
      </c>
      <c r="L1154" s="25"/>
      <c r="N1154" s="25">
        <f>'Combined Retirement'!$C$18/12</f>
        <v>39153.069999999992</v>
      </c>
      <c r="O1154" s="25">
        <f t="shared" si="1045"/>
        <v>10889.636755601023</v>
      </c>
      <c r="P1154" s="25">
        <f t="shared" si="1046"/>
        <v>28263.43324439897</v>
      </c>
      <c r="Q1154" s="25">
        <f t="array" aca="1" ref="Q1154" ca="1">INDEX('Isaac 401k'!L:L,MATCH('Retirement Calculator'!A1154,'Isaac 401k'!N:N,0),0)</f>
        <v>2069036.294488512</v>
      </c>
      <c r="R1154" s="25">
        <f t="array" aca="1" ref="R1154" ca="1">INDEX('Lorri 401b'!L:L,MATCH('Retirement Calculator'!A1154,'Lorri 401b'!N:N,0),0)</f>
        <v>-26438731.266054481</v>
      </c>
      <c r="S1154" s="25">
        <f t="shared" ca="1" si="1047"/>
        <v>-24369694.971565969</v>
      </c>
    </row>
    <row r="1155" spans="1:19" ht="15.75" customHeight="1" x14ac:dyDescent="0.3">
      <c r="A1155" s="37">
        <v>86107</v>
      </c>
      <c r="B1155" s="398">
        <f t="shared" ref="B1155:C1155" si="1171">($A1155-B$9)/365.25</f>
        <v>153.86995208761124</v>
      </c>
      <c r="C1155" s="398">
        <f t="shared" si="1171"/>
        <v>149.25941136208075</v>
      </c>
      <c r="E1155" s="25">
        <f>IF(C1155&gt;$B$7,0,'Combined Retirement'!$D$13/12)</f>
        <v>0</v>
      </c>
      <c r="F1155" s="25">
        <f>IF(H1155=0,'Combined Retirement'!$D$32,0)+'Combined Retirement'!$B$24</f>
        <v>2870.372285649099</v>
      </c>
      <c r="G1155" s="25">
        <f>'Combined Retirement'!$C$24</f>
        <v>3254.2644699519233</v>
      </c>
      <c r="H1155" s="25">
        <f>IF(B1155&lt;62,0,'Combined Retirement'!$I$14)</f>
        <v>2345</v>
      </c>
      <c r="I1155" s="25">
        <f>IF(C1155&lt;62,0,'Combined Retirement'!$I$13)</f>
        <v>2420</v>
      </c>
      <c r="J1155" s="25">
        <f t="shared" si="1043"/>
        <v>7896.2379798201846</v>
      </c>
      <c r="K1155" s="25">
        <f t="shared" si="1044"/>
        <v>20367.195264578786</v>
      </c>
      <c r="L1155" s="25"/>
      <c r="N1155" s="25">
        <f>'Combined Retirement'!$C$18/12</f>
        <v>39153.069999999992</v>
      </c>
      <c r="O1155" s="25">
        <f t="shared" si="1045"/>
        <v>10889.636755601023</v>
      </c>
      <c r="P1155" s="25">
        <f t="shared" si="1046"/>
        <v>28263.43324439897</v>
      </c>
      <c r="Q1155" s="25">
        <f t="array" aca="1" ref="Q1155" ca="1">INDEX('Isaac 401k'!L:L,MATCH('Retirement Calculator'!A1155,'Isaac 401k'!N:N,0),0)</f>
        <v>2069728.140077478</v>
      </c>
      <c r="R1155" s="25">
        <f t="array" aca="1" ref="R1155" ca="1">INDEX('Lorri 401b'!L:L,MATCH('Retirement Calculator'!A1155,'Lorri 401b'!N:N,0),0)</f>
        <v>-26569344.704907887</v>
      </c>
      <c r="S1155" s="25">
        <f t="shared" ca="1" si="1047"/>
        <v>-24499616.564830408</v>
      </c>
    </row>
    <row r="1156" spans="1:19" ht="15.75" customHeight="1" x14ac:dyDescent="0.3">
      <c r="A1156" s="37">
        <v>86138</v>
      </c>
      <c r="B1156" s="398">
        <f t="shared" ref="B1156:C1156" si="1172">($A1156-B$9)/365.25</f>
        <v>153.95482546201231</v>
      </c>
      <c r="C1156" s="398">
        <f t="shared" si="1172"/>
        <v>149.34428473648185</v>
      </c>
      <c r="E1156" s="25">
        <f>IF(C1156&gt;$B$7,0,'Combined Retirement'!$D$13/12)</f>
        <v>0</v>
      </c>
      <c r="F1156" s="25">
        <f>IF(H1156=0,'Combined Retirement'!$D$32,0)+'Combined Retirement'!$B$24</f>
        <v>2870.372285649099</v>
      </c>
      <c r="G1156" s="25">
        <f>'Combined Retirement'!$C$24</f>
        <v>3254.2644699519233</v>
      </c>
      <c r="H1156" s="25">
        <f>IF(B1156&lt;62,0,'Combined Retirement'!$I$14)</f>
        <v>2345</v>
      </c>
      <c r="I1156" s="25">
        <f>IF(C1156&lt;62,0,'Combined Retirement'!$I$13)</f>
        <v>2420</v>
      </c>
      <c r="J1156" s="25">
        <f t="shared" si="1043"/>
        <v>7896.2379798201846</v>
      </c>
      <c r="K1156" s="25">
        <f t="shared" si="1044"/>
        <v>20367.195264578786</v>
      </c>
      <c r="L1156" s="25"/>
      <c r="N1156" s="25">
        <f>'Combined Retirement'!$C$18/12</f>
        <v>39153.069999999992</v>
      </c>
      <c r="O1156" s="25">
        <f t="shared" si="1045"/>
        <v>10889.636755601023</v>
      </c>
      <c r="P1156" s="25">
        <f t="shared" si="1046"/>
        <v>28263.43324439897</v>
      </c>
      <c r="Q1156" s="25">
        <f t="array" aca="1" ref="Q1156" ca="1">INDEX('Isaac 401k'!L:L,MATCH('Retirement Calculator'!A1156,'Isaac 401k'!N:N,0),0)</f>
        <v>2070422.8683563981</v>
      </c>
      <c r="R1156" s="25">
        <f t="array" aca="1" ref="R1156" ca="1">INDEX('Lorri 401b'!L:L,MATCH('Retirement Calculator'!A1156,'Lorri 401b'!N:N,0),0)</f>
        <v>-26700502.366423182</v>
      </c>
      <c r="S1156" s="25">
        <f t="shared" ca="1" si="1047"/>
        <v>-24630079.498066783</v>
      </c>
    </row>
    <row r="1157" spans="1:19" ht="15.75" customHeight="1" x14ac:dyDescent="0.3">
      <c r="A1157" s="37">
        <v>86168</v>
      </c>
      <c r="B1157" s="398">
        <f t="shared" ref="B1157:C1157" si="1173">($A1157-B$9)/365.25</f>
        <v>154.03696098562628</v>
      </c>
      <c r="C1157" s="398">
        <f t="shared" si="1173"/>
        <v>149.42642026009582</v>
      </c>
      <c r="E1157" s="25">
        <f>IF(C1157&gt;$B$7,0,'Combined Retirement'!$D$13/12)</f>
        <v>0</v>
      </c>
      <c r="F1157" s="25">
        <f>IF(H1157=0,'Combined Retirement'!$D$32,0)+'Combined Retirement'!$B$24</f>
        <v>2870.372285649099</v>
      </c>
      <c r="G1157" s="25">
        <f>'Combined Retirement'!$C$24</f>
        <v>3254.2644699519233</v>
      </c>
      <c r="H1157" s="25">
        <f>IF(B1157&lt;62,0,'Combined Retirement'!$I$14)</f>
        <v>2345</v>
      </c>
      <c r="I1157" s="25">
        <f>IF(C1157&lt;62,0,'Combined Retirement'!$I$13)</f>
        <v>2420</v>
      </c>
      <c r="J1157" s="25">
        <f t="shared" si="1043"/>
        <v>7896.2379798201846</v>
      </c>
      <c r="K1157" s="25">
        <f t="shared" si="1044"/>
        <v>20367.195264578786</v>
      </c>
      <c r="L1157" s="25"/>
      <c r="N1157" s="25">
        <f>'Combined Retirement'!$C$18/12</f>
        <v>39153.069999999992</v>
      </c>
      <c r="O1157" s="25">
        <f t="shared" si="1045"/>
        <v>10889.636755601023</v>
      </c>
      <c r="P1157" s="25">
        <f t="shared" si="1046"/>
        <v>28263.43324439897</v>
      </c>
      <c r="Q1157" s="25">
        <f t="array" aca="1" ref="Q1157" ca="1">INDEX('Isaac 401k'!L:L,MATCH('Retirement Calculator'!A1157,'Isaac 401k'!N:N,0),0)</f>
        <v>2071120.4913364802</v>
      </c>
      <c r="R1157" s="25">
        <f t="array" aca="1" ref="R1157" ca="1">INDEX('Lorri 401b'!L:L,MATCH('Retirement Calculator'!A1157,'Lorri 401b'!N:N,0),0)</f>
        <v>-26832206.518194791</v>
      </c>
      <c r="S1157" s="25">
        <f t="shared" ca="1" si="1047"/>
        <v>-24761086.026858311</v>
      </c>
    </row>
    <row r="1158" spans="1:19" ht="15.75" customHeight="1" x14ac:dyDescent="0.3">
      <c r="A1158" s="37">
        <v>86199</v>
      </c>
      <c r="B1158" s="398">
        <f t="shared" ref="B1158:C1158" si="1174">($A1158-B$9)/365.25</f>
        <v>154.12183436002738</v>
      </c>
      <c r="C1158" s="398">
        <f t="shared" si="1174"/>
        <v>149.51129363449692</v>
      </c>
      <c r="E1158" s="25">
        <f>IF(C1158&gt;$B$7,0,'Combined Retirement'!$D$13/12)</f>
        <v>0</v>
      </c>
      <c r="F1158" s="25">
        <f>IF(H1158=0,'Combined Retirement'!$D$32,0)+'Combined Retirement'!$B$24</f>
        <v>2870.372285649099</v>
      </c>
      <c r="G1158" s="25">
        <f>'Combined Retirement'!$C$24</f>
        <v>3254.2644699519233</v>
      </c>
      <c r="H1158" s="25">
        <f>IF(B1158&lt;62,0,'Combined Retirement'!$I$14)</f>
        <v>2345</v>
      </c>
      <c r="I1158" s="25">
        <f>IF(C1158&lt;62,0,'Combined Retirement'!$I$13)</f>
        <v>2420</v>
      </c>
      <c r="J1158" s="25">
        <f t="shared" si="1043"/>
        <v>7896.2379798201846</v>
      </c>
      <c r="K1158" s="25">
        <f t="shared" si="1044"/>
        <v>20367.195264578786</v>
      </c>
      <c r="L1158" s="25"/>
      <c r="N1158" s="25">
        <f>'Combined Retirement'!$C$18/12</f>
        <v>39153.069999999992</v>
      </c>
      <c r="O1158" s="25">
        <f t="shared" si="1045"/>
        <v>10889.636755601023</v>
      </c>
      <c r="P1158" s="25">
        <f t="shared" si="1046"/>
        <v>28263.43324439897</v>
      </c>
      <c r="Q1158" s="25">
        <f t="array" aca="1" ref="Q1158" ca="1">INDEX('Isaac 401k'!L:L,MATCH('Retirement Calculator'!A1158,'Isaac 401k'!N:N,0),0)</f>
        <v>2071821.0210789794</v>
      </c>
      <c r="R1158" s="25">
        <f t="array" aca="1" ref="R1158" ca="1">INDEX('Lorri 401b'!L:L,MATCH('Retirement Calculator'!A1158,'Lorri 401b'!N:N,0),0)</f>
        <v>-26964459.437265448</v>
      </c>
      <c r="S1158" s="25">
        <f t="shared" ca="1" si="1047"/>
        <v>-24892638.416186471</v>
      </c>
    </row>
    <row r="1159" spans="1:19" ht="15.75" customHeight="1" x14ac:dyDescent="0.3">
      <c r="A1159" s="37">
        <v>86230</v>
      </c>
      <c r="B1159" s="398">
        <f t="shared" ref="B1159:C1159" si="1175">($A1159-B$9)/365.25</f>
        <v>154.20670773442848</v>
      </c>
      <c r="C1159" s="398">
        <f t="shared" si="1175"/>
        <v>149.59616700889802</v>
      </c>
      <c r="E1159" s="25">
        <f>IF(C1159&gt;$B$7,0,'Combined Retirement'!$D$13/12)</f>
        <v>0</v>
      </c>
      <c r="F1159" s="25">
        <f>IF(H1159=0,'Combined Retirement'!$D$32,0)+'Combined Retirement'!$B$24</f>
        <v>2870.372285649099</v>
      </c>
      <c r="G1159" s="25">
        <f>'Combined Retirement'!$C$24</f>
        <v>3254.2644699519233</v>
      </c>
      <c r="H1159" s="25">
        <f>IF(B1159&lt;62,0,'Combined Retirement'!$I$14)</f>
        <v>2345</v>
      </c>
      <c r="I1159" s="25">
        <f>IF(C1159&lt;62,0,'Combined Retirement'!$I$13)</f>
        <v>2420</v>
      </c>
      <c r="J1159" s="25">
        <f t="shared" si="1043"/>
        <v>7896.2379798201846</v>
      </c>
      <c r="K1159" s="25">
        <f t="shared" si="1044"/>
        <v>20367.195264578786</v>
      </c>
      <c r="L1159" s="25"/>
      <c r="N1159" s="25">
        <f>'Combined Retirement'!$C$18/12</f>
        <v>39153.069999999992</v>
      </c>
      <c r="O1159" s="25">
        <f t="shared" si="1045"/>
        <v>10889.636755601023</v>
      </c>
      <c r="P1159" s="25">
        <f t="shared" si="1046"/>
        <v>28263.43324439897</v>
      </c>
      <c r="Q1159" s="25">
        <f t="array" aca="1" ref="Q1159" ca="1">INDEX('Isaac 401k'!L:L,MATCH('Retirement Calculator'!A1159,'Isaac 401k'!N:N,0),0)</f>
        <v>2072524.4696954056</v>
      </c>
      <c r="R1159" s="25">
        <f t="array" aca="1" ref="R1159" ca="1">INDEX('Lorri 401b'!L:L,MATCH('Retirement Calculator'!A1159,'Lorri 401b'!N:N,0),0)</f>
        <v>-27097263.410165567</v>
      </c>
      <c r="S1159" s="25">
        <f t="shared" ca="1" si="1047"/>
        <v>-25024738.940470163</v>
      </c>
    </row>
    <row r="1160" spans="1:19" ht="15.75" customHeight="1" x14ac:dyDescent="0.3">
      <c r="A1160" s="37">
        <v>86259</v>
      </c>
      <c r="B1160" s="398">
        <f t="shared" ref="B1160:C1160" si="1176">($A1160-B$9)/365.25</f>
        <v>154.28610540725529</v>
      </c>
      <c r="C1160" s="398">
        <f t="shared" si="1176"/>
        <v>149.67556468172484</v>
      </c>
      <c r="E1160" s="25">
        <f>IF(C1160&gt;$B$7,0,'Combined Retirement'!$D$13/12)</f>
        <v>0</v>
      </c>
      <c r="F1160" s="25">
        <f>IF(H1160=0,'Combined Retirement'!$D$32,0)+'Combined Retirement'!$B$24</f>
        <v>2870.372285649099</v>
      </c>
      <c r="G1160" s="25">
        <f>'Combined Retirement'!$C$24</f>
        <v>3254.2644699519233</v>
      </c>
      <c r="H1160" s="25">
        <f>IF(B1160&lt;62,0,'Combined Retirement'!$I$14)</f>
        <v>2345</v>
      </c>
      <c r="I1160" s="25">
        <f>IF(C1160&lt;62,0,'Combined Retirement'!$I$13)</f>
        <v>2420</v>
      </c>
      <c r="J1160" s="25">
        <f t="shared" si="1043"/>
        <v>7896.2379798201846</v>
      </c>
      <c r="K1160" s="25">
        <f t="shared" si="1044"/>
        <v>20367.195264578786</v>
      </c>
      <c r="L1160" s="25"/>
      <c r="N1160" s="25">
        <f>'Combined Retirement'!$C$18/12</f>
        <v>39153.069999999992</v>
      </c>
      <c r="O1160" s="25">
        <f t="shared" si="1045"/>
        <v>10889.636755601023</v>
      </c>
      <c r="P1160" s="25">
        <f t="shared" si="1046"/>
        <v>28263.43324439897</v>
      </c>
      <c r="Q1160" s="25">
        <f t="array" aca="1" ref="Q1160" ca="1">INDEX('Isaac 401k'!L:L,MATCH('Retirement Calculator'!A1160,'Isaac 401k'!N:N,0),0)</f>
        <v>2073230.8493477337</v>
      </c>
      <c r="R1160" s="25">
        <f t="array" aca="1" ref="R1160" ca="1">INDEX('Lorri 401b'!L:L,MATCH('Retirement Calculator'!A1160,'Lorri 401b'!N:N,0),0)</f>
        <v>-27230620.73295277</v>
      </c>
      <c r="S1160" s="25">
        <f t="shared" ca="1" si="1047"/>
        <v>-25157389.883605037</v>
      </c>
    </row>
    <row r="1161" spans="1:19" ht="15.75" customHeight="1" x14ac:dyDescent="0.3">
      <c r="A1161" s="37">
        <v>86290</v>
      </c>
      <c r="B1161" s="398">
        <f t="shared" ref="B1161:C1161" si="1177">($A1161-B$9)/365.25</f>
        <v>154.37097878165639</v>
      </c>
      <c r="C1161" s="398">
        <f t="shared" si="1177"/>
        <v>149.76043805612593</v>
      </c>
      <c r="E1161" s="25">
        <f>IF(C1161&gt;$B$7,0,'Combined Retirement'!$D$13/12)</f>
        <v>0</v>
      </c>
      <c r="F1161" s="25">
        <f>IF(H1161=0,'Combined Retirement'!$D$32,0)+'Combined Retirement'!$B$24</f>
        <v>2870.372285649099</v>
      </c>
      <c r="G1161" s="25">
        <f>'Combined Retirement'!$C$24</f>
        <v>3254.2644699519233</v>
      </c>
      <c r="H1161" s="25">
        <f>IF(B1161&lt;62,0,'Combined Retirement'!$I$14)</f>
        <v>2345</v>
      </c>
      <c r="I1161" s="25">
        <f>IF(C1161&lt;62,0,'Combined Retirement'!$I$13)</f>
        <v>2420</v>
      </c>
      <c r="J1161" s="25">
        <f t="shared" si="1043"/>
        <v>7896.2379798201846</v>
      </c>
      <c r="K1161" s="25">
        <f t="shared" si="1044"/>
        <v>20367.195264578786</v>
      </c>
      <c r="L1161" s="25"/>
      <c r="N1161" s="25">
        <f>'Combined Retirement'!$C$18/12</f>
        <v>39153.069999999992</v>
      </c>
      <c r="O1161" s="25">
        <f t="shared" si="1045"/>
        <v>10889.636755601023</v>
      </c>
      <c r="P1161" s="25">
        <f t="shared" si="1046"/>
        <v>28263.43324439897</v>
      </c>
      <c r="Q1161" s="25">
        <f t="array" aca="1" ref="Q1161" ca="1">INDEX('Isaac 401k'!L:L,MATCH('Retirement Calculator'!A1161,'Isaac 401k'!N:N,0),0)</f>
        <v>2073940.1722486131</v>
      </c>
      <c r="R1161" s="25">
        <f t="array" aca="1" ref="R1161" ca="1">INDEX('Lorri 401b'!L:L,MATCH('Retirement Calculator'!A1161,'Lorri 401b'!N:N,0),0)</f>
        <v>-27364533.711251587</v>
      </c>
      <c r="S1161" s="25">
        <f t="shared" ca="1" si="1047"/>
        <v>-25290593.539002974</v>
      </c>
    </row>
    <row r="1162" spans="1:19" ht="15.75" customHeight="1" x14ac:dyDescent="0.3">
      <c r="A1162" s="37">
        <v>86320</v>
      </c>
      <c r="B1162" s="398">
        <f t="shared" ref="B1162:C1162" si="1178">($A1162-B$9)/365.25</f>
        <v>154.45311430527036</v>
      </c>
      <c r="C1162" s="398">
        <f t="shared" si="1178"/>
        <v>149.84257357973991</v>
      </c>
      <c r="E1162" s="25">
        <f>IF(C1162&gt;$B$7,0,'Combined Retirement'!$D$13/12)</f>
        <v>0</v>
      </c>
      <c r="F1162" s="25">
        <f>IF(H1162=0,'Combined Retirement'!$D$32,0)+'Combined Retirement'!$B$24</f>
        <v>2870.372285649099</v>
      </c>
      <c r="G1162" s="25">
        <f>'Combined Retirement'!$C$24</f>
        <v>3254.2644699519233</v>
      </c>
      <c r="H1162" s="25">
        <f>IF(B1162&lt;62,0,'Combined Retirement'!$I$14)</f>
        <v>2345</v>
      </c>
      <c r="I1162" s="25">
        <f>IF(C1162&lt;62,0,'Combined Retirement'!$I$13)</f>
        <v>2420</v>
      </c>
      <c r="J1162" s="25">
        <f t="shared" si="1043"/>
        <v>7896.2379798201846</v>
      </c>
      <c r="K1162" s="25">
        <f t="shared" si="1044"/>
        <v>20367.195264578786</v>
      </c>
      <c r="L1162" s="25"/>
      <c r="N1162" s="25">
        <f>'Combined Retirement'!$C$18/12</f>
        <v>39153.069999999992</v>
      </c>
      <c r="O1162" s="25">
        <f t="shared" si="1045"/>
        <v>10889.636755601023</v>
      </c>
      <c r="P1162" s="25">
        <f t="shared" si="1046"/>
        <v>28263.43324439897</v>
      </c>
      <c r="Q1162" s="25">
        <f t="array" aca="1" ref="Q1162" ca="1">INDEX('Isaac 401k'!L:L,MATCH('Retirement Calculator'!A1162,'Isaac 401k'!N:N,0),0)</f>
        <v>2074652.4506615796</v>
      </c>
      <c r="R1162" s="25">
        <f t="array" aca="1" ref="R1162" ca="1">INDEX('Lorri 401b'!L:L,MATCH('Retirement Calculator'!A1162,'Lorri 401b'!N:N,0),0)</f>
        <v>-27499004.660293315</v>
      </c>
      <c r="S1162" s="25">
        <f t="shared" ca="1" si="1047"/>
        <v>-25424352.209631734</v>
      </c>
    </row>
    <row r="1163" spans="1:19" ht="15.75" customHeight="1" x14ac:dyDescent="0.3">
      <c r="A1163" s="37">
        <v>86351</v>
      </c>
      <c r="B1163" s="398">
        <f t="shared" ref="B1163:C1163" si="1179">($A1163-B$9)/365.25</f>
        <v>154.53798767967146</v>
      </c>
      <c r="C1163" s="398">
        <f t="shared" si="1179"/>
        <v>149.927446954141</v>
      </c>
      <c r="E1163" s="25">
        <f>IF(C1163&gt;$B$7,0,'Combined Retirement'!$D$13/12)</f>
        <v>0</v>
      </c>
      <c r="F1163" s="25">
        <f>IF(H1163=0,'Combined Retirement'!$D$32,0)+'Combined Retirement'!$B$24</f>
        <v>2870.372285649099</v>
      </c>
      <c r="G1163" s="25">
        <f>'Combined Retirement'!$C$24</f>
        <v>3254.2644699519233</v>
      </c>
      <c r="H1163" s="25">
        <f>IF(B1163&lt;62,0,'Combined Retirement'!$I$14)</f>
        <v>2345</v>
      </c>
      <c r="I1163" s="25">
        <f>IF(C1163&lt;62,0,'Combined Retirement'!$I$13)</f>
        <v>2420</v>
      </c>
      <c r="J1163" s="25">
        <f t="shared" si="1043"/>
        <v>7896.2379798201846</v>
      </c>
      <c r="K1163" s="25">
        <f t="shared" si="1044"/>
        <v>20367.195264578786</v>
      </c>
      <c r="L1163" s="25"/>
      <c r="N1163" s="25">
        <f>'Combined Retirement'!$C$18/12</f>
        <v>39153.069999999992</v>
      </c>
      <c r="O1163" s="25">
        <f t="shared" si="1045"/>
        <v>10889.636755601023</v>
      </c>
      <c r="P1163" s="25">
        <f t="shared" si="1046"/>
        <v>28263.43324439897</v>
      </c>
      <c r="Q1163" s="25">
        <f t="array" aca="1" ref="Q1163" ca="1">INDEX('Isaac 401k'!L:L,MATCH('Retirement Calculator'!A1163,'Isaac 401k'!N:N,0),0)</f>
        <v>2075367.6969012667</v>
      </c>
      <c r="R1163" s="25">
        <f t="array" aca="1" ref="R1163" ca="1">INDEX('Lorri 401b'!L:L,MATCH('Retirement Calculator'!A1163,'Lorri 401b'!N:N,0),0)</f>
        <v>-27634035.90495605</v>
      </c>
      <c r="S1163" s="25">
        <f t="shared" ca="1" si="1047"/>
        <v>-25558668.208054785</v>
      </c>
    </row>
    <row r="1164" spans="1:19" ht="15.75" customHeight="1" x14ac:dyDescent="0.3">
      <c r="A1164" s="37">
        <v>86381</v>
      </c>
      <c r="B1164" s="398">
        <f t="shared" ref="B1164:C1164" si="1180">($A1164-B$9)/365.25</f>
        <v>154.62012320328543</v>
      </c>
      <c r="C1164" s="398">
        <f t="shared" si="1180"/>
        <v>150.00958247775498</v>
      </c>
      <c r="E1164" s="25">
        <f>IF(C1164&gt;$B$7,0,'Combined Retirement'!$D$13/12)</f>
        <v>0</v>
      </c>
      <c r="F1164" s="25">
        <f>IF(H1164=0,'Combined Retirement'!$D$32,0)+'Combined Retirement'!$B$24</f>
        <v>2870.372285649099</v>
      </c>
      <c r="G1164" s="25">
        <f>'Combined Retirement'!$C$24</f>
        <v>3254.2644699519233</v>
      </c>
      <c r="H1164" s="25">
        <f>IF(B1164&lt;62,0,'Combined Retirement'!$I$14)</f>
        <v>2345</v>
      </c>
      <c r="I1164" s="25">
        <f>IF(C1164&lt;62,0,'Combined Retirement'!$I$13)</f>
        <v>2420</v>
      </c>
      <c r="J1164" s="25">
        <f t="shared" si="1043"/>
        <v>7896.2379798201846</v>
      </c>
      <c r="K1164" s="25">
        <f t="shared" si="1044"/>
        <v>20367.195264578786</v>
      </c>
      <c r="L1164" s="25"/>
      <c r="N1164" s="25">
        <f>'Combined Retirement'!$C$18/12</f>
        <v>39153.069999999992</v>
      </c>
      <c r="O1164" s="25">
        <f t="shared" si="1045"/>
        <v>10889.636755601023</v>
      </c>
      <c r="P1164" s="25">
        <f t="shared" si="1046"/>
        <v>28263.43324439897</v>
      </c>
      <c r="Q1164" s="25">
        <f t="array" aca="1" ref="Q1164" ca="1">INDEX('Isaac 401k'!L:L,MATCH('Retirement Calculator'!A1164,'Isaac 401k'!N:N,0),0)</f>
        <v>2076085.9233336193</v>
      </c>
      <c r="R1164" s="25">
        <f t="array" aca="1" ref="R1164" ca="1">INDEX('Lorri 401b'!L:L,MATCH('Retirement Calculator'!A1164,'Lorri 401b'!N:N,0),0)</f>
        <v>-27769629.779804882</v>
      </c>
      <c r="S1164" s="25">
        <f t="shared" ca="1" si="1047"/>
        <v>-25693543.856471263</v>
      </c>
    </row>
    <row r="1165" spans="1:19" ht="15.75" customHeight="1" x14ac:dyDescent="0.3">
      <c r="A1165" s="37">
        <v>86412</v>
      </c>
      <c r="B1165" s="398">
        <f t="shared" ref="B1165:C1165" si="1181">($A1165-B$9)/365.25</f>
        <v>154.70499657768653</v>
      </c>
      <c r="C1165" s="398">
        <f t="shared" si="1181"/>
        <v>150.09445585215605</v>
      </c>
      <c r="E1165" s="25">
        <f>IF(C1165&gt;$B$7,0,'Combined Retirement'!$D$13/12)</f>
        <v>0</v>
      </c>
      <c r="F1165" s="25">
        <f>IF(H1165=0,'Combined Retirement'!$D$32,0)+'Combined Retirement'!$B$24</f>
        <v>2870.372285649099</v>
      </c>
      <c r="G1165" s="25">
        <f>'Combined Retirement'!$C$24</f>
        <v>3254.2644699519233</v>
      </c>
      <c r="H1165" s="25">
        <f>IF(B1165&lt;62,0,'Combined Retirement'!$I$14)</f>
        <v>2345</v>
      </c>
      <c r="I1165" s="25">
        <f>IF(C1165&lt;62,0,'Combined Retirement'!$I$13)</f>
        <v>2420</v>
      </c>
      <c r="J1165" s="25">
        <f t="shared" si="1043"/>
        <v>7896.2379798201846</v>
      </c>
      <c r="K1165" s="25">
        <f t="shared" si="1044"/>
        <v>20367.195264578786</v>
      </c>
      <c r="L1165" s="25"/>
      <c r="N1165" s="25">
        <f>'Combined Retirement'!$C$18/12</f>
        <v>39153.069999999992</v>
      </c>
      <c r="O1165" s="25">
        <f t="shared" si="1045"/>
        <v>10889.636755601023</v>
      </c>
      <c r="P1165" s="25">
        <f t="shared" si="1046"/>
        <v>28263.43324439897</v>
      </c>
      <c r="Q1165" s="25">
        <f t="array" aca="1" ref="Q1165" ca="1">INDEX('Isaac 401k'!L:L,MATCH('Retirement Calculator'!A1165,'Isaac 401k'!N:N,0),0)</f>
        <v>2076807.1423761065</v>
      </c>
      <c r="R1165" s="25">
        <f t="array" aca="1" ref="R1165" ca="1">INDEX('Lorri 401b'!L:L,MATCH('Retirement Calculator'!A1165,'Lorri 401b'!N:N,0),0)</f>
        <v>-27905788.629132248</v>
      </c>
      <c r="S1165" s="25">
        <f t="shared" ca="1" si="1047"/>
        <v>-25828981.486756142</v>
      </c>
    </row>
    <row r="1166" spans="1:19" ht="15.75" customHeight="1" x14ac:dyDescent="0.3">
      <c r="A1166" s="37">
        <v>86443</v>
      </c>
      <c r="B1166" s="398">
        <f t="shared" ref="B1166:C1166" si="1182">($A1166-B$9)/365.25</f>
        <v>154.7898699520876</v>
      </c>
      <c r="C1166" s="398">
        <f t="shared" si="1182"/>
        <v>150.17932922655714</v>
      </c>
      <c r="E1166" s="25">
        <f>IF(C1166&gt;$B$7,0,'Combined Retirement'!$D$13/12)</f>
        <v>0</v>
      </c>
      <c r="F1166" s="25">
        <f>IF(H1166=0,'Combined Retirement'!$D$32,0)+'Combined Retirement'!$B$24</f>
        <v>2870.372285649099</v>
      </c>
      <c r="G1166" s="25">
        <f>'Combined Retirement'!$C$24</f>
        <v>3254.2644699519233</v>
      </c>
      <c r="H1166" s="25">
        <f>IF(B1166&lt;62,0,'Combined Retirement'!$I$14)</f>
        <v>2345</v>
      </c>
      <c r="I1166" s="25">
        <f>IF(C1166&lt;62,0,'Combined Retirement'!$I$13)</f>
        <v>2420</v>
      </c>
      <c r="J1166" s="25">
        <f t="shared" si="1043"/>
        <v>7896.2379798201846</v>
      </c>
      <c r="K1166" s="25">
        <f t="shared" si="1044"/>
        <v>20367.195264578786</v>
      </c>
      <c r="L1166" s="25"/>
      <c r="N1166" s="25">
        <f>'Combined Retirement'!$C$18/12</f>
        <v>39153.069999999992</v>
      </c>
      <c r="O1166" s="25">
        <f t="shared" si="1045"/>
        <v>10889.636755601023</v>
      </c>
      <c r="P1166" s="25">
        <f t="shared" si="1046"/>
        <v>28263.43324439897</v>
      </c>
      <c r="Q1166" s="25">
        <f t="array" aca="1" ref="Q1166" ca="1">INDEX('Isaac 401k'!L:L,MATCH('Retirement Calculator'!A1166,'Isaac 401k'!N:N,0),0)</f>
        <v>2077531.3664979374</v>
      </c>
      <c r="R1166" s="25">
        <f t="array" aca="1" ref="R1166" ca="1">INDEX('Lorri 401b'!L:L,MATCH('Retirement Calculator'!A1166,'Lorri 401b'!N:N,0),0)</f>
        <v>-28042514.80699848</v>
      </c>
      <c r="S1166" s="25">
        <f t="shared" ca="1" si="1047"/>
        <v>-25964983.440500543</v>
      </c>
    </row>
    <row r="1167" spans="1:19" ht="15.75" customHeight="1" x14ac:dyDescent="0.3">
      <c r="A1167" s="37">
        <v>86473</v>
      </c>
      <c r="B1167" s="398">
        <f t="shared" ref="B1167:C1167" si="1183">($A1167-B$9)/365.25</f>
        <v>154.87200547570157</v>
      </c>
      <c r="C1167" s="398">
        <f t="shared" si="1183"/>
        <v>150.26146475017111</v>
      </c>
      <c r="E1167" s="25">
        <f>IF(C1167&gt;$B$7,0,'Combined Retirement'!$D$13/12)</f>
        <v>0</v>
      </c>
      <c r="F1167" s="25">
        <f>IF(H1167=0,'Combined Retirement'!$D$32,0)+'Combined Retirement'!$B$24</f>
        <v>2870.372285649099</v>
      </c>
      <c r="G1167" s="25">
        <f>'Combined Retirement'!$C$24</f>
        <v>3254.2644699519233</v>
      </c>
      <c r="H1167" s="25">
        <f>IF(B1167&lt;62,0,'Combined Retirement'!$I$14)</f>
        <v>2345</v>
      </c>
      <c r="I1167" s="25">
        <f>IF(C1167&lt;62,0,'Combined Retirement'!$I$13)</f>
        <v>2420</v>
      </c>
      <c r="J1167" s="25">
        <f t="shared" si="1043"/>
        <v>7896.2379798201846</v>
      </c>
      <c r="K1167" s="25">
        <f t="shared" si="1044"/>
        <v>20367.195264578786</v>
      </c>
      <c r="L1167" s="25"/>
      <c r="N1167" s="25">
        <f>'Combined Retirement'!$C$18/12</f>
        <v>39153.069999999992</v>
      </c>
      <c r="O1167" s="25">
        <f t="shared" si="1045"/>
        <v>10889.636755601023</v>
      </c>
      <c r="P1167" s="25">
        <f t="shared" si="1046"/>
        <v>28263.43324439897</v>
      </c>
      <c r="Q1167" s="25">
        <f t="array" aca="1" ref="Q1167" ca="1">INDEX('Isaac 401k'!L:L,MATCH('Retirement Calculator'!A1167,'Isaac 401k'!N:N,0),0)</f>
        <v>2078258.608220276</v>
      </c>
      <c r="R1167" s="25">
        <f t="array" aca="1" ref="R1167" ca="1">INDEX('Lorri 401b'!L:L,MATCH('Retirement Calculator'!A1167,'Lorri 401b'!N:N,0),0)</f>
        <v>-28179810.677272487</v>
      </c>
      <c r="S1167" s="25">
        <f t="shared" ca="1" si="1047"/>
        <v>-26101552.069052212</v>
      </c>
    </row>
    <row r="1168" spans="1:19" ht="15.75" customHeight="1" x14ac:dyDescent="0.3">
      <c r="A1168" s="37">
        <v>86504</v>
      </c>
      <c r="B1168" s="398">
        <f t="shared" ref="B1168:C1168" si="1184">($A1168-B$9)/365.25</f>
        <v>154.95687885010267</v>
      </c>
      <c r="C1168" s="398">
        <f t="shared" si="1184"/>
        <v>150.34633812457221</v>
      </c>
      <c r="E1168" s="25">
        <f>IF(C1168&gt;$B$7,0,'Combined Retirement'!$D$13/12)</f>
        <v>0</v>
      </c>
      <c r="F1168" s="25">
        <f>IF(H1168=0,'Combined Retirement'!$D$32,0)+'Combined Retirement'!$B$24</f>
        <v>2870.372285649099</v>
      </c>
      <c r="G1168" s="25">
        <f>'Combined Retirement'!$C$24</f>
        <v>3254.2644699519233</v>
      </c>
      <c r="H1168" s="25">
        <f>IF(B1168&lt;62,0,'Combined Retirement'!$I$14)</f>
        <v>2345</v>
      </c>
      <c r="I1168" s="25">
        <f>IF(C1168&lt;62,0,'Combined Retirement'!$I$13)</f>
        <v>2420</v>
      </c>
      <c r="J1168" s="25">
        <f t="shared" si="1043"/>
        <v>7896.2379798201846</v>
      </c>
      <c r="K1168" s="25">
        <f t="shared" si="1044"/>
        <v>20367.195264578786</v>
      </c>
      <c r="L1168" s="25"/>
      <c r="N1168" s="25">
        <f>'Combined Retirement'!$C$18/12</f>
        <v>39153.069999999992</v>
      </c>
      <c r="O1168" s="25">
        <f t="shared" si="1045"/>
        <v>10889.636755601023</v>
      </c>
      <c r="P1168" s="25">
        <f t="shared" si="1046"/>
        <v>28263.43324439897</v>
      </c>
      <c r="Q1168" s="25">
        <f t="array" aca="1" ref="Q1168" ca="1">INDEX('Isaac 401k'!L:L,MATCH('Retirement Calculator'!A1168,'Isaac 401k'!N:N,0),0)</f>
        <v>2078988.8801164576</v>
      </c>
      <c r="R1168" s="25">
        <f t="array" aca="1" ref="R1168" ca="1">INDEX('Lorri 401b'!L:L,MATCH('Retirement Calculator'!A1168,'Lorri 401b'!N:N,0),0)</f>
        <v>-28317678.613672636</v>
      </c>
      <c r="S1168" s="25">
        <f t="shared" ca="1" si="1047"/>
        <v>-26238689.733556177</v>
      </c>
    </row>
    <row r="1169" spans="1:19" ht="15.75" customHeight="1" x14ac:dyDescent="0.3">
      <c r="A1169" s="37">
        <v>86534</v>
      </c>
      <c r="B1169" s="398">
        <f t="shared" ref="B1169:C1169" si="1185">($A1169-B$9)/365.25</f>
        <v>155.03901437371664</v>
      </c>
      <c r="C1169" s="398">
        <f t="shared" si="1185"/>
        <v>150.42847364818618</v>
      </c>
      <c r="E1169" s="25">
        <f>IF(C1169&gt;$B$7,0,'Combined Retirement'!$D$13/12)</f>
        <v>0</v>
      </c>
      <c r="F1169" s="25">
        <f>IF(H1169=0,'Combined Retirement'!$D$32,0)+'Combined Retirement'!$B$24</f>
        <v>2870.372285649099</v>
      </c>
      <c r="G1169" s="25">
        <f>'Combined Retirement'!$C$24</f>
        <v>3254.2644699519233</v>
      </c>
      <c r="H1169" s="25">
        <f>IF(B1169&lt;62,0,'Combined Retirement'!$I$14)</f>
        <v>2345</v>
      </c>
      <c r="I1169" s="25">
        <f>IF(C1169&lt;62,0,'Combined Retirement'!$I$13)</f>
        <v>2420</v>
      </c>
      <c r="J1169" s="25">
        <f t="shared" si="1043"/>
        <v>7896.2379798201846</v>
      </c>
      <c r="K1169" s="25">
        <f t="shared" si="1044"/>
        <v>20367.195264578786</v>
      </c>
      <c r="L1169" s="25"/>
      <c r="N1169" s="25">
        <f>'Combined Retirement'!$C$18/12</f>
        <v>39153.069999999992</v>
      </c>
      <c r="O1169" s="25">
        <f t="shared" si="1045"/>
        <v>10889.636755601023</v>
      </c>
      <c r="P1169" s="25">
        <f t="shared" si="1046"/>
        <v>28263.43324439897</v>
      </c>
      <c r="Q1169" s="25">
        <f t="array" aca="1" ref="Q1169" ca="1">INDEX('Isaac 401k'!L:L,MATCH('Retirement Calculator'!A1169,'Isaac 401k'!N:N,0),0)</f>
        <v>2079722.1948122068</v>
      </c>
      <c r="R1169" s="25">
        <f t="array" aca="1" ref="R1169" ca="1">INDEX('Lorri 401b'!L:L,MATCH('Retirement Calculator'!A1169,'Lorri 401b'!N:N,0),0)</f>
        <v>-28456120.999807786</v>
      </c>
      <c r="S1169" s="25">
        <f t="shared" ca="1" si="1047"/>
        <v>-26376398.804995578</v>
      </c>
    </row>
    <row r="1170" spans="1:19" ht="15.75" customHeight="1" x14ac:dyDescent="0.3">
      <c r="A1170" s="37">
        <v>86565</v>
      </c>
      <c r="B1170" s="398">
        <f t="shared" ref="B1170:C1170" si="1186">($A1170-B$9)/365.25</f>
        <v>155.12388774811774</v>
      </c>
      <c r="C1170" s="398">
        <f t="shared" si="1186"/>
        <v>150.51334702258728</v>
      </c>
      <c r="E1170" s="25">
        <f>IF(C1170&gt;$B$7,0,'Combined Retirement'!$D$13/12)</f>
        <v>0</v>
      </c>
      <c r="F1170" s="25">
        <f>IF(H1170=0,'Combined Retirement'!$D$32,0)+'Combined Retirement'!$B$24</f>
        <v>2870.372285649099</v>
      </c>
      <c r="G1170" s="25">
        <f>'Combined Retirement'!$C$24</f>
        <v>3254.2644699519233</v>
      </c>
      <c r="H1170" s="25">
        <f>IF(B1170&lt;62,0,'Combined Retirement'!$I$14)</f>
        <v>2345</v>
      </c>
      <c r="I1170" s="25">
        <f>IF(C1170&lt;62,0,'Combined Retirement'!$I$13)</f>
        <v>2420</v>
      </c>
      <c r="J1170" s="25">
        <f t="shared" si="1043"/>
        <v>7896.2379798201846</v>
      </c>
      <c r="K1170" s="25">
        <f t="shared" si="1044"/>
        <v>20367.195264578786</v>
      </c>
      <c r="L1170" s="25"/>
      <c r="N1170" s="25">
        <f>'Combined Retirement'!$C$18/12</f>
        <v>39153.069999999992</v>
      </c>
      <c r="O1170" s="25">
        <f t="shared" si="1045"/>
        <v>10889.636755601023</v>
      </c>
      <c r="P1170" s="25">
        <f t="shared" si="1046"/>
        <v>28263.43324439897</v>
      </c>
      <c r="Q1170" s="25">
        <f t="array" aca="1" ref="Q1170" ca="1">INDEX('Isaac 401k'!L:L,MATCH('Retirement Calculator'!A1170,'Isaac 401k'!N:N,0),0)</f>
        <v>2080458.5649858548</v>
      </c>
      <c r="R1170" s="25">
        <f t="array" aca="1" ref="R1170" ca="1">INDEX('Lorri 401b'!L:L,MATCH('Retirement Calculator'!A1170,'Lorri 401b'!N:N,0),0)</f>
        <v>-28595140.229218498</v>
      </c>
      <c r="S1170" s="25">
        <f t="shared" ca="1" si="1047"/>
        <v>-26514681.664232641</v>
      </c>
    </row>
    <row r="1171" spans="1:19" ht="15.75" customHeight="1" x14ac:dyDescent="0.3">
      <c r="A1171" s="37">
        <v>86596</v>
      </c>
      <c r="B1171" s="398">
        <f t="shared" ref="B1171:C1171" si="1187">($A1171-B$9)/365.25</f>
        <v>155.20876112251884</v>
      </c>
      <c r="C1171" s="398">
        <f t="shared" si="1187"/>
        <v>150.59822039698835</v>
      </c>
      <c r="E1171" s="25">
        <f>IF(C1171&gt;$B$7,0,'Combined Retirement'!$D$13/12)</f>
        <v>0</v>
      </c>
      <c r="F1171" s="25">
        <f>IF(H1171=0,'Combined Retirement'!$D$32,0)+'Combined Retirement'!$B$24</f>
        <v>2870.372285649099</v>
      </c>
      <c r="G1171" s="25">
        <f>'Combined Retirement'!$C$24</f>
        <v>3254.2644699519233</v>
      </c>
      <c r="H1171" s="25">
        <f>IF(B1171&lt;62,0,'Combined Retirement'!$I$14)</f>
        <v>2345</v>
      </c>
      <c r="I1171" s="25">
        <f>IF(C1171&lt;62,0,'Combined Retirement'!$I$13)</f>
        <v>2420</v>
      </c>
      <c r="J1171" s="25">
        <f t="shared" si="1043"/>
        <v>7896.2379798201846</v>
      </c>
      <c r="K1171" s="25">
        <f t="shared" si="1044"/>
        <v>20367.195264578786</v>
      </c>
      <c r="L1171" s="25"/>
      <c r="N1171" s="25">
        <f>'Combined Retirement'!$C$18/12</f>
        <v>39153.069999999992</v>
      </c>
      <c r="O1171" s="25">
        <f t="shared" si="1045"/>
        <v>10889.636755601023</v>
      </c>
      <c r="P1171" s="25">
        <f t="shared" si="1046"/>
        <v>28263.43324439897</v>
      </c>
      <c r="Q1171" s="25">
        <f t="array" aca="1" ref="Q1171" ca="1">INDEX('Isaac 401k'!L:L,MATCH('Retirement Calculator'!A1171,'Isaac 401k'!N:N,0),0)</f>
        <v>2081198.0033685598</v>
      </c>
      <c r="R1171" s="25">
        <f t="array" aca="1" ref="R1171" ca="1">INDEX('Lorri 401b'!L:L,MATCH('Retirement Calculator'!A1171,'Lorri 401b'!N:N,0),0)</f>
        <v>-28734738.705418423</v>
      </c>
      <c r="S1171" s="25">
        <f t="shared" ca="1" si="1047"/>
        <v>-26653540.702049863</v>
      </c>
    </row>
  </sheetData>
  <autoFilter ref="A10:P10" xr:uid="{00000000-0009-0000-0000-000009000000}"/>
  <mergeCells count="2">
    <mergeCell ref="M1:N1"/>
    <mergeCell ref="J6:K6"/>
  </mergeCells>
  <pageMargins left="0.7" right="0.7" top="0.75" bottom="0.75" header="0" footer="0"/>
  <pageSetup orientation="portrait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dimension ref="A1:Z1000"/>
  <sheetViews>
    <sheetView workbookViewId="0">
      <pane ySplit="6" topLeftCell="A44" activePane="bottomLeft" state="frozen"/>
      <selection pane="bottomLeft" activeCell="A98" sqref="A98"/>
    </sheetView>
  </sheetViews>
  <sheetFormatPr defaultColWidth="14.44140625" defaultRowHeight="15" customHeight="1" x14ac:dyDescent="0.3"/>
  <cols>
    <col min="1" max="1" width="11.33203125" customWidth="1"/>
    <col min="2" max="3" width="11" customWidth="1"/>
    <col min="4" max="4" width="15.6640625" customWidth="1"/>
    <col min="5" max="5" width="16.109375" customWidth="1"/>
    <col min="6" max="6" width="14.109375" customWidth="1"/>
    <col min="7" max="7" width="10" customWidth="1"/>
    <col min="8" max="8" width="19.33203125" customWidth="1"/>
    <col min="9" max="9" width="16.109375" customWidth="1"/>
    <col min="10" max="10" width="13.109375" customWidth="1"/>
    <col min="11" max="11" width="8" customWidth="1"/>
    <col min="12" max="13" width="13.6640625" customWidth="1"/>
    <col min="14" max="14" width="16.109375" customWidth="1"/>
    <col min="15" max="15" width="12.6640625" customWidth="1"/>
    <col min="16" max="16" width="8" customWidth="1"/>
    <col min="17" max="17" width="19.33203125" customWidth="1"/>
    <col min="18" max="18" width="13.109375" customWidth="1"/>
    <col min="19" max="19" width="16.109375" customWidth="1"/>
    <col min="20" max="20" width="13.109375" customWidth="1"/>
    <col min="21" max="21" width="8" customWidth="1"/>
    <col min="22" max="22" width="15.109375" customWidth="1"/>
    <col min="23" max="23" width="13.109375" customWidth="1"/>
    <col min="24" max="24" width="16.109375" customWidth="1"/>
    <col min="25" max="25" width="12.6640625" customWidth="1"/>
    <col min="26" max="26" width="8" customWidth="1"/>
  </cols>
  <sheetData>
    <row r="1" spans="1:26" ht="11.25" customHeight="1" x14ac:dyDescent="0.3">
      <c r="A1" s="293"/>
      <c r="B1" s="338" t="s">
        <v>592</v>
      </c>
      <c r="C1" s="338" t="s">
        <v>593</v>
      </c>
      <c r="D1" s="399" t="s">
        <v>594</v>
      </c>
      <c r="E1" s="399" t="s">
        <v>595</v>
      </c>
      <c r="F1" s="399" t="s">
        <v>596</v>
      </c>
      <c r="G1" s="399" t="s">
        <v>597</v>
      </c>
      <c r="H1" s="296"/>
      <c r="I1" s="296"/>
      <c r="J1" s="400"/>
      <c r="K1" s="400"/>
      <c r="L1" s="296"/>
      <c r="M1" s="296"/>
      <c r="N1" s="296"/>
      <c r="O1" s="400"/>
      <c r="P1" s="400"/>
      <c r="Q1" s="401">
        <f ca="1">(TODAY()-B18)/365</f>
        <v>15.961643835616439</v>
      </c>
      <c r="R1" s="400"/>
      <c r="S1" s="400"/>
      <c r="T1" s="400"/>
      <c r="U1" s="400"/>
      <c r="V1" s="401">
        <f ca="1">(TODAY()-B16)/365</f>
        <v>16.457534246575342</v>
      </c>
      <c r="W1" s="296"/>
      <c r="X1" s="400"/>
      <c r="Y1" s="296"/>
      <c r="Z1" s="296"/>
    </row>
    <row r="2" spans="1:26" ht="11.25" customHeight="1" x14ac:dyDescent="0.3">
      <c r="A2" s="401">
        <f ca="1">(C2-B2)/365</f>
        <v>18.712328767123289</v>
      </c>
      <c r="B2" s="338">
        <v>39356</v>
      </c>
      <c r="C2" s="338">
        <f ca="1">TODAY()</f>
        <v>46186</v>
      </c>
      <c r="D2" s="399">
        <f>-(SUM(D7:D80))</f>
        <v>-435224.27000000008</v>
      </c>
      <c r="E2" s="399">
        <f>(H82+L82+Q82+V82)*-1</f>
        <v>1107311.7599999998</v>
      </c>
      <c r="F2" s="285">
        <f ca="1">D4</f>
        <v>0.11471958756446837</v>
      </c>
      <c r="G2" s="402">
        <f ca="1">(72/(F2*100))</f>
        <v>6.2761731913949337</v>
      </c>
      <c r="H2" s="401"/>
      <c r="I2" s="296"/>
      <c r="J2" s="400"/>
      <c r="K2" s="400"/>
      <c r="L2" s="296"/>
      <c r="M2" s="296"/>
      <c r="N2" s="296"/>
      <c r="O2" s="400"/>
      <c r="P2" s="400"/>
      <c r="Q2" s="400"/>
      <c r="R2" s="400"/>
      <c r="S2" s="400"/>
      <c r="T2" s="400"/>
      <c r="U2" s="400"/>
      <c r="V2" s="400"/>
      <c r="W2" s="296"/>
      <c r="X2" s="400"/>
      <c r="Y2" s="296"/>
      <c r="Z2" s="296"/>
    </row>
    <row r="3" spans="1:26" ht="11.25" customHeight="1" x14ac:dyDescent="0.3">
      <c r="A3" s="293"/>
      <c r="B3" s="403"/>
      <c r="C3" s="403"/>
      <c r="D3" s="400"/>
      <c r="E3" s="400"/>
      <c r="F3" s="296"/>
      <c r="G3" s="296"/>
      <c r="H3" s="296"/>
      <c r="I3" s="296"/>
      <c r="J3" s="400"/>
      <c r="K3" s="400"/>
      <c r="L3" s="296"/>
      <c r="M3" s="296"/>
      <c r="N3" s="296"/>
      <c r="O3" s="400"/>
      <c r="P3" s="400"/>
      <c r="Q3" s="400"/>
      <c r="R3" s="400"/>
      <c r="S3" s="400"/>
      <c r="T3" s="400"/>
      <c r="U3" s="400"/>
      <c r="V3" s="400"/>
      <c r="W3" s="296"/>
      <c r="X3" s="400"/>
      <c r="Y3" s="296"/>
      <c r="Z3" s="296"/>
    </row>
    <row r="4" spans="1:26" ht="11.25" customHeight="1" x14ac:dyDescent="0.3">
      <c r="A4" s="404"/>
      <c r="B4" s="405"/>
      <c r="C4" s="406"/>
      <c r="D4" s="296">
        <f ca="1">XIRR(D7:D82,B7:B82)</f>
        <v>0.11471958756446837</v>
      </c>
      <c r="E4" s="400"/>
      <c r="F4" s="296"/>
      <c r="G4" s="296"/>
      <c r="H4" s="296"/>
      <c r="I4" s="400"/>
      <c r="J4" s="296">
        <f ca="1">XIRR(H8:H82,B8:B82)</f>
        <v>0.11605342030525209</v>
      </c>
      <c r="K4" s="296"/>
      <c r="L4" s="296"/>
      <c r="M4" s="296"/>
      <c r="N4" s="400"/>
      <c r="O4" s="296">
        <f ca="1">XIRR(L7:L82,B7:B82)</f>
        <v>0.11313894391059875</v>
      </c>
      <c r="P4" s="296"/>
      <c r="Q4" s="296"/>
      <c r="R4" s="400"/>
      <c r="S4" s="400"/>
      <c r="T4" s="296">
        <f ca="1">XIRR(Q18:Q82,B18:B82)</f>
        <v>0.11381079554557802</v>
      </c>
      <c r="U4" s="296"/>
      <c r="V4" s="296"/>
      <c r="W4" s="296"/>
      <c r="X4" s="400"/>
      <c r="Y4" s="296">
        <f ca="1">XIRR(V16:V82,B16:B82)</f>
        <v>0.11471765637397766</v>
      </c>
      <c r="Z4" s="296"/>
    </row>
    <row r="5" spans="1:26" ht="11.25" customHeight="1" x14ac:dyDescent="0.3">
      <c r="A5" s="404"/>
      <c r="B5" s="295"/>
      <c r="C5" s="295"/>
      <c r="D5" s="566" t="s">
        <v>598</v>
      </c>
      <c r="E5" s="562"/>
      <c r="F5" s="562"/>
      <c r="G5" s="547"/>
      <c r="H5" s="567" t="s">
        <v>599</v>
      </c>
      <c r="I5" s="562"/>
      <c r="J5" s="562"/>
      <c r="K5" s="547"/>
      <c r="L5" s="568" t="s">
        <v>600</v>
      </c>
      <c r="M5" s="562"/>
      <c r="N5" s="562"/>
      <c r="O5" s="562"/>
      <c r="P5" s="547"/>
      <c r="Q5" s="567" t="s">
        <v>601</v>
      </c>
      <c r="R5" s="562"/>
      <c r="S5" s="562"/>
      <c r="T5" s="562"/>
      <c r="U5" s="547"/>
      <c r="V5" s="568" t="s">
        <v>602</v>
      </c>
      <c r="W5" s="562"/>
      <c r="X5" s="562"/>
      <c r="Y5" s="562"/>
      <c r="Z5" s="547"/>
    </row>
    <row r="6" spans="1:26" ht="11.25" customHeight="1" x14ac:dyDescent="0.3">
      <c r="A6" s="407" t="s">
        <v>603</v>
      </c>
      <c r="B6" s="407">
        <f ca="1">MAX(A:A)</f>
        <v>75</v>
      </c>
      <c r="C6" s="405"/>
      <c r="D6" s="338" t="s">
        <v>604</v>
      </c>
      <c r="E6" s="285" t="s">
        <v>605</v>
      </c>
      <c r="F6" s="285" t="s">
        <v>606</v>
      </c>
      <c r="G6" s="285" t="s">
        <v>607</v>
      </c>
      <c r="H6" s="408" t="s">
        <v>604</v>
      </c>
      <c r="I6" s="408" t="s">
        <v>605</v>
      </c>
      <c r="J6" s="408" t="s">
        <v>606</v>
      </c>
      <c r="K6" s="408" t="s">
        <v>607</v>
      </c>
      <c r="L6" s="409" t="s">
        <v>604</v>
      </c>
      <c r="M6" s="409" t="s">
        <v>608</v>
      </c>
      <c r="N6" s="409" t="s">
        <v>605</v>
      </c>
      <c r="O6" s="409" t="s">
        <v>606</v>
      </c>
      <c r="P6" s="409" t="s">
        <v>607</v>
      </c>
      <c r="Q6" s="408" t="s">
        <v>609</v>
      </c>
      <c r="R6" s="408" t="s">
        <v>610</v>
      </c>
      <c r="S6" s="408" t="s">
        <v>611</v>
      </c>
      <c r="T6" s="408" t="s">
        <v>606</v>
      </c>
      <c r="U6" s="408" t="s">
        <v>607</v>
      </c>
      <c r="V6" s="409" t="s">
        <v>612</v>
      </c>
      <c r="W6" s="409" t="s">
        <v>610</v>
      </c>
      <c r="X6" s="409" t="s">
        <v>605</v>
      </c>
      <c r="Y6" s="409" t="s">
        <v>606</v>
      </c>
      <c r="Z6" s="409" t="s">
        <v>607</v>
      </c>
    </row>
    <row r="7" spans="1:26" ht="11.25" customHeight="1" x14ac:dyDescent="0.3">
      <c r="A7" s="410">
        <f t="shared" ref="A7:A81" si="0">_xlfn.RANK.EQ(G7,$G$7:$G$81)</f>
        <v>58</v>
      </c>
      <c r="B7" s="411">
        <v>39356</v>
      </c>
      <c r="C7" s="411">
        <v>39447</v>
      </c>
      <c r="D7" s="399">
        <f t="shared" ref="D7:D81" si="1">H7+L7+Q7+V7</f>
        <v>33.119999999999997</v>
      </c>
      <c r="E7" s="341">
        <f t="shared" ref="E7:F7" si="2">I7+N7+S7+X7</f>
        <v>0.05</v>
      </c>
      <c r="F7" s="341">
        <f t="shared" si="2"/>
        <v>33.17</v>
      </c>
      <c r="G7" s="285">
        <f>E7/(0+(D7/2))</f>
        <v>3.0193236714975849E-3</v>
      </c>
      <c r="H7" s="408">
        <v>0</v>
      </c>
      <c r="I7" s="408"/>
      <c r="J7" s="408"/>
      <c r="K7" s="412"/>
      <c r="L7" s="409">
        <v>33.119999999999997</v>
      </c>
      <c r="M7" s="409"/>
      <c r="N7" s="409">
        <v>0.05</v>
      </c>
      <c r="O7" s="409">
        <v>33.17</v>
      </c>
      <c r="P7" s="413">
        <f>N7/(0+(L7/2))</f>
        <v>3.0193236714975849E-3</v>
      </c>
      <c r="Q7" s="408"/>
      <c r="R7" s="408"/>
      <c r="S7" s="408"/>
      <c r="T7" s="408"/>
      <c r="U7" s="408"/>
      <c r="V7" s="409"/>
      <c r="W7" s="409"/>
      <c r="X7" s="409"/>
      <c r="Y7" s="409"/>
      <c r="Z7" s="409"/>
    </row>
    <row r="8" spans="1:26" ht="11.25" customHeight="1" x14ac:dyDescent="0.3">
      <c r="A8" s="410">
        <f t="shared" si="0"/>
        <v>55</v>
      </c>
      <c r="B8" s="411">
        <v>39448</v>
      </c>
      <c r="C8" s="411">
        <v>39538</v>
      </c>
      <c r="D8" s="399">
        <f t="shared" si="1"/>
        <v>616.89</v>
      </c>
      <c r="E8" s="341">
        <f t="shared" ref="E8:F8" si="3">I8+N8+S8+X8</f>
        <v>2.14</v>
      </c>
      <c r="F8" s="341">
        <f t="shared" si="3"/>
        <v>652.20000000000005</v>
      </c>
      <c r="G8" s="285">
        <f t="shared" ref="G8:G81" si="4">E8/(F7+(D8/2))</f>
        <v>6.2643619279012927E-3</v>
      </c>
      <c r="H8" s="408">
        <v>479.8</v>
      </c>
      <c r="I8" s="408">
        <v>1.1200000000000001</v>
      </c>
      <c r="J8" s="408">
        <v>480.92</v>
      </c>
      <c r="K8" s="412">
        <f t="shared" ref="K8:K81" si="5">I8/(J7+(H8/2))</f>
        <v>4.6686119216340144E-3</v>
      </c>
      <c r="L8" s="409">
        <v>137.09</v>
      </c>
      <c r="M8" s="409"/>
      <c r="N8" s="409">
        <v>1.02</v>
      </c>
      <c r="O8" s="409">
        <f t="shared" ref="O8:O75" si="6">O7+L8+N8</f>
        <v>171.28</v>
      </c>
      <c r="P8" s="413">
        <f t="shared" ref="P8:P81" si="7">N8/(O7+(L8/2))</f>
        <v>1.0028019466155435E-2</v>
      </c>
      <c r="Q8" s="408"/>
      <c r="R8" s="408"/>
      <c r="S8" s="408"/>
      <c r="T8" s="408"/>
      <c r="U8" s="408"/>
      <c r="V8" s="409"/>
      <c r="W8" s="409"/>
      <c r="X8" s="409"/>
      <c r="Y8" s="409"/>
      <c r="Z8" s="409"/>
    </row>
    <row r="9" spans="1:26" ht="11.25" customHeight="1" x14ac:dyDescent="0.3">
      <c r="A9" s="410">
        <f t="shared" si="0"/>
        <v>52</v>
      </c>
      <c r="B9" s="411">
        <v>39539</v>
      </c>
      <c r="C9" s="411">
        <v>39629</v>
      </c>
      <c r="D9" s="399">
        <f t="shared" si="1"/>
        <v>1853.77</v>
      </c>
      <c r="E9" s="341">
        <f t="shared" ref="E9:F9" si="8">I9+N9+S9+X9</f>
        <v>12.58</v>
      </c>
      <c r="F9" s="341">
        <f t="shared" si="8"/>
        <v>2518.5500000000002</v>
      </c>
      <c r="G9" s="285">
        <f t="shared" si="4"/>
        <v>7.9666389079751879E-3</v>
      </c>
      <c r="H9" s="408">
        <v>1185.3800000000001</v>
      </c>
      <c r="I9" s="408">
        <v>9.18</v>
      </c>
      <c r="J9" s="408">
        <f t="shared" ref="J9:J81" si="9">J8+H9+I9</f>
        <v>1675.4800000000002</v>
      </c>
      <c r="K9" s="412">
        <f t="shared" si="5"/>
        <v>8.5505909967306549E-3</v>
      </c>
      <c r="L9" s="409">
        <v>668.39</v>
      </c>
      <c r="M9" s="409"/>
      <c r="N9" s="409">
        <v>3.4</v>
      </c>
      <c r="O9" s="409">
        <f t="shared" si="6"/>
        <v>843.06999999999994</v>
      </c>
      <c r="P9" s="413">
        <f t="shared" si="7"/>
        <v>6.7263465057619065E-3</v>
      </c>
      <c r="Q9" s="408"/>
      <c r="R9" s="408"/>
      <c r="S9" s="408"/>
      <c r="T9" s="408"/>
      <c r="U9" s="408"/>
      <c r="V9" s="409"/>
      <c r="W9" s="409"/>
      <c r="X9" s="409"/>
      <c r="Y9" s="409"/>
      <c r="Z9" s="409"/>
    </row>
    <row r="10" spans="1:26" ht="11.25" customHeight="1" x14ac:dyDescent="0.3">
      <c r="A10" s="410">
        <f t="shared" si="0"/>
        <v>49</v>
      </c>
      <c r="B10" s="411">
        <v>39630</v>
      </c>
      <c r="C10" s="411">
        <v>39721</v>
      </c>
      <c r="D10" s="399">
        <f t="shared" si="1"/>
        <v>1317.67</v>
      </c>
      <c r="E10" s="341">
        <f t="shared" ref="E10:F10" si="10">I10+N10+S10+X10</f>
        <v>32.43</v>
      </c>
      <c r="F10" s="341">
        <f t="shared" si="10"/>
        <v>3868.6500000000005</v>
      </c>
      <c r="G10" s="285">
        <f t="shared" si="4"/>
        <v>1.0206506293697489E-2</v>
      </c>
      <c r="H10" s="408">
        <v>1016.04</v>
      </c>
      <c r="I10" s="408">
        <v>22.28</v>
      </c>
      <c r="J10" s="408">
        <f t="shared" si="9"/>
        <v>2713.8000000000006</v>
      </c>
      <c r="K10" s="412">
        <f t="shared" si="5"/>
        <v>1.0203801236546829E-2</v>
      </c>
      <c r="L10" s="409">
        <v>301.63</v>
      </c>
      <c r="M10" s="409"/>
      <c r="N10" s="409">
        <v>10.15</v>
      </c>
      <c r="O10" s="409">
        <f t="shared" si="6"/>
        <v>1154.8499999999999</v>
      </c>
      <c r="P10" s="413">
        <f t="shared" si="7"/>
        <v>1.0212449126407985E-2</v>
      </c>
      <c r="Q10" s="408"/>
      <c r="R10" s="408"/>
      <c r="S10" s="408"/>
      <c r="T10" s="408"/>
      <c r="U10" s="408"/>
      <c r="V10" s="409"/>
      <c r="W10" s="409"/>
      <c r="X10" s="409"/>
      <c r="Y10" s="409"/>
      <c r="Z10" s="409"/>
    </row>
    <row r="11" spans="1:26" ht="11.25" customHeight="1" x14ac:dyDescent="0.3">
      <c r="A11" s="410">
        <f t="shared" si="0"/>
        <v>50</v>
      </c>
      <c r="B11" s="411">
        <v>39722</v>
      </c>
      <c r="C11" s="411">
        <v>39813</v>
      </c>
      <c r="D11" s="399">
        <f t="shared" si="1"/>
        <v>1523.3000000000002</v>
      </c>
      <c r="E11" s="341">
        <f t="shared" ref="E11:F11" si="11">I11+N11+S11+X11</f>
        <v>39.36</v>
      </c>
      <c r="F11" s="341">
        <f t="shared" si="11"/>
        <v>5431.31</v>
      </c>
      <c r="G11" s="285">
        <f t="shared" si="4"/>
        <v>8.5005291233829321E-3</v>
      </c>
      <c r="H11" s="408">
        <v>1255.94</v>
      </c>
      <c r="I11" s="408">
        <v>28.04</v>
      </c>
      <c r="J11" s="408">
        <f t="shared" si="9"/>
        <v>3997.7800000000007</v>
      </c>
      <c r="K11" s="412">
        <f t="shared" si="5"/>
        <v>8.3907629789004012E-3</v>
      </c>
      <c r="L11" s="409">
        <v>267.36</v>
      </c>
      <c r="M11" s="409"/>
      <c r="N11" s="409">
        <v>11.32</v>
      </c>
      <c r="O11" s="409">
        <f t="shared" si="6"/>
        <v>1433.53</v>
      </c>
      <c r="P11" s="413">
        <f t="shared" si="7"/>
        <v>8.7852048458320724E-3</v>
      </c>
      <c r="Q11" s="408"/>
      <c r="R11" s="408"/>
      <c r="S11" s="408"/>
      <c r="T11" s="408"/>
      <c r="U11" s="408"/>
      <c r="V11" s="409"/>
      <c r="W11" s="409"/>
      <c r="X11" s="409"/>
      <c r="Y11" s="409"/>
      <c r="Z11" s="409"/>
    </row>
    <row r="12" spans="1:26" ht="11.25" customHeight="1" x14ac:dyDescent="0.3">
      <c r="A12" s="410">
        <f t="shared" si="0"/>
        <v>63</v>
      </c>
      <c r="B12" s="414">
        <v>39814</v>
      </c>
      <c r="C12" s="414">
        <v>39903</v>
      </c>
      <c r="D12" s="399">
        <f t="shared" si="1"/>
        <v>1580.0299999999997</v>
      </c>
      <c r="E12" s="341">
        <f t="shared" ref="E12:F12" si="12">I12+N12+S12+X12</f>
        <v>-150.55000000000001</v>
      </c>
      <c r="F12" s="341">
        <f t="shared" si="12"/>
        <v>6860.7900000000009</v>
      </c>
      <c r="G12" s="285">
        <f t="shared" si="4"/>
        <v>-2.4199025127283978E-2</v>
      </c>
      <c r="H12" s="408">
        <v>1523.0499999999997</v>
      </c>
      <c r="I12" s="408">
        <v>-105.23</v>
      </c>
      <c r="J12" s="408">
        <f t="shared" si="9"/>
        <v>5415.6</v>
      </c>
      <c r="K12" s="412">
        <f t="shared" si="5"/>
        <v>-2.2110371157133237E-2</v>
      </c>
      <c r="L12" s="409">
        <v>56.98</v>
      </c>
      <c r="M12" s="409"/>
      <c r="N12" s="409">
        <v>-45.32</v>
      </c>
      <c r="O12" s="409">
        <f t="shared" si="6"/>
        <v>1445.19</v>
      </c>
      <c r="P12" s="413">
        <f t="shared" si="7"/>
        <v>-3.0998207958851453E-2</v>
      </c>
      <c r="Q12" s="408"/>
      <c r="R12" s="408"/>
      <c r="S12" s="408"/>
      <c r="T12" s="408"/>
      <c r="U12" s="408"/>
      <c r="V12" s="409"/>
      <c r="W12" s="409"/>
      <c r="X12" s="409"/>
      <c r="Y12" s="409"/>
      <c r="Z12" s="409"/>
    </row>
    <row r="13" spans="1:26" ht="11.25" customHeight="1" x14ac:dyDescent="0.3">
      <c r="A13" s="410">
        <f t="shared" si="0"/>
        <v>2</v>
      </c>
      <c r="B13" s="411">
        <v>39904</v>
      </c>
      <c r="C13" s="411">
        <v>39994</v>
      </c>
      <c r="D13" s="399">
        <f t="shared" si="1"/>
        <v>2024.3000000000002</v>
      </c>
      <c r="E13" s="341">
        <f t="shared" ref="E13:F13" si="13">I13+N13+S13+X13</f>
        <v>1364.23</v>
      </c>
      <c r="F13" s="341">
        <f t="shared" si="13"/>
        <v>10249.32</v>
      </c>
      <c r="G13" s="285">
        <f t="shared" si="4"/>
        <v>0.17328088363432212</v>
      </c>
      <c r="H13" s="408">
        <v>1796.41</v>
      </c>
      <c r="I13" s="408">
        <v>1083.82</v>
      </c>
      <c r="J13" s="408">
        <f t="shared" si="9"/>
        <v>8295.83</v>
      </c>
      <c r="K13" s="412">
        <f t="shared" si="5"/>
        <v>0.17165876994934115</v>
      </c>
      <c r="L13" s="409">
        <v>227.89</v>
      </c>
      <c r="M13" s="409"/>
      <c r="N13" s="409">
        <v>280.41000000000003</v>
      </c>
      <c r="O13" s="409">
        <f t="shared" si="6"/>
        <v>1953.49</v>
      </c>
      <c r="P13" s="413">
        <f t="shared" si="7"/>
        <v>0.17984972436639549</v>
      </c>
      <c r="Q13" s="408"/>
      <c r="R13" s="408"/>
      <c r="S13" s="408"/>
      <c r="T13" s="408"/>
      <c r="U13" s="408"/>
      <c r="V13" s="409"/>
      <c r="W13" s="409"/>
      <c r="X13" s="409"/>
      <c r="Y13" s="409"/>
      <c r="Z13" s="409"/>
    </row>
    <row r="14" spans="1:26" ht="11.25" customHeight="1" x14ac:dyDescent="0.3">
      <c r="A14" s="410">
        <f t="shared" si="0"/>
        <v>3</v>
      </c>
      <c r="B14" s="411">
        <v>39995</v>
      </c>
      <c r="C14" s="411">
        <v>40086</v>
      </c>
      <c r="D14" s="399">
        <f t="shared" si="1"/>
        <v>1150.5</v>
      </c>
      <c r="E14" s="341">
        <f t="shared" ref="E14:F14" si="14">I14+N14+S14+X14</f>
        <v>1817.51</v>
      </c>
      <c r="F14" s="341">
        <f t="shared" si="14"/>
        <v>13217.33</v>
      </c>
      <c r="G14" s="285">
        <f t="shared" si="4"/>
        <v>0.16790597686559375</v>
      </c>
      <c r="H14" s="408">
        <v>256.63</v>
      </c>
      <c r="I14" s="408">
        <v>1434.94</v>
      </c>
      <c r="J14" s="408">
        <f t="shared" si="9"/>
        <v>9987.4</v>
      </c>
      <c r="K14" s="412">
        <f t="shared" si="5"/>
        <v>0.17033657421613707</v>
      </c>
      <c r="L14" s="409">
        <v>893.87</v>
      </c>
      <c r="M14" s="409"/>
      <c r="N14" s="409">
        <v>382.57</v>
      </c>
      <c r="O14" s="409">
        <f t="shared" si="6"/>
        <v>3229.9300000000003</v>
      </c>
      <c r="P14" s="413">
        <f t="shared" si="7"/>
        <v>0.15937594384327775</v>
      </c>
      <c r="Q14" s="408"/>
      <c r="R14" s="408"/>
      <c r="S14" s="408"/>
      <c r="T14" s="408"/>
      <c r="U14" s="408"/>
      <c r="V14" s="409"/>
      <c r="W14" s="409"/>
      <c r="X14" s="409"/>
      <c r="Y14" s="409"/>
      <c r="Z14" s="409"/>
    </row>
    <row r="15" spans="1:26" ht="11.25" customHeight="1" x14ac:dyDescent="0.3">
      <c r="A15" s="410">
        <f t="shared" si="0"/>
        <v>37</v>
      </c>
      <c r="B15" s="411">
        <v>40087</v>
      </c>
      <c r="C15" s="411">
        <v>40178</v>
      </c>
      <c r="D15" s="399">
        <f t="shared" si="1"/>
        <v>1466</v>
      </c>
      <c r="E15" s="341">
        <f t="shared" ref="E15:F15" si="15">I15+N15+S15+X15</f>
        <v>558.29</v>
      </c>
      <c r="F15" s="341">
        <f t="shared" si="15"/>
        <v>15241.619999999999</v>
      </c>
      <c r="G15" s="285">
        <f t="shared" si="4"/>
        <v>4.0019841824530313E-2</v>
      </c>
      <c r="H15" s="408">
        <v>0</v>
      </c>
      <c r="I15" s="408">
        <v>391.74</v>
      </c>
      <c r="J15" s="408">
        <f t="shared" si="9"/>
        <v>10379.14</v>
      </c>
      <c r="K15" s="412">
        <f t="shared" si="5"/>
        <v>3.9223421511103994E-2</v>
      </c>
      <c r="L15" s="409">
        <v>1466</v>
      </c>
      <c r="M15" s="409"/>
      <c r="N15" s="409">
        <v>166.55</v>
      </c>
      <c r="O15" s="409">
        <f t="shared" si="6"/>
        <v>4862.4800000000005</v>
      </c>
      <c r="P15" s="413">
        <f t="shared" si="7"/>
        <v>4.2026985084268456E-2</v>
      </c>
      <c r="Q15" s="408"/>
      <c r="R15" s="408"/>
      <c r="S15" s="408"/>
      <c r="T15" s="408"/>
      <c r="U15" s="408"/>
      <c r="V15" s="409"/>
      <c r="W15" s="409"/>
      <c r="X15" s="409"/>
      <c r="Y15" s="409"/>
      <c r="Z15" s="409"/>
    </row>
    <row r="16" spans="1:26" ht="11.25" customHeight="1" x14ac:dyDescent="0.3">
      <c r="A16" s="410">
        <f t="shared" si="0"/>
        <v>28</v>
      </c>
      <c r="B16" s="411">
        <v>40179</v>
      </c>
      <c r="C16" s="411">
        <v>40268</v>
      </c>
      <c r="D16" s="399">
        <f t="shared" si="1"/>
        <v>1386.53</v>
      </c>
      <c r="E16" s="341">
        <f t="shared" ref="E16:F16" si="16">I16+N16+S16+X16</f>
        <v>828.7700000000001</v>
      </c>
      <c r="F16" s="341">
        <f t="shared" si="16"/>
        <v>17456.920000000002</v>
      </c>
      <c r="G16" s="285">
        <f t="shared" si="4"/>
        <v>5.2009788586488082E-2</v>
      </c>
      <c r="H16" s="408">
        <v>0</v>
      </c>
      <c r="I16" s="408">
        <v>522.48</v>
      </c>
      <c r="J16" s="408">
        <f t="shared" si="9"/>
        <v>10901.619999999999</v>
      </c>
      <c r="K16" s="412">
        <f t="shared" si="5"/>
        <v>5.0339430819894525E-2</v>
      </c>
      <c r="L16" s="409">
        <v>1090</v>
      </c>
      <c r="M16" s="409"/>
      <c r="N16" s="409">
        <v>297.17</v>
      </c>
      <c r="O16" s="409">
        <f t="shared" si="6"/>
        <v>6249.6500000000005</v>
      </c>
      <c r="P16" s="413">
        <f t="shared" si="7"/>
        <v>5.4955358133548342E-2</v>
      </c>
      <c r="Q16" s="408"/>
      <c r="R16" s="408"/>
      <c r="S16" s="408"/>
      <c r="T16" s="408"/>
      <c r="U16" s="408"/>
      <c r="V16" s="409">
        <v>296.52999999999997</v>
      </c>
      <c r="W16" s="409"/>
      <c r="X16" s="409">
        <v>9.1199999999999992</v>
      </c>
      <c r="Y16" s="409">
        <f t="shared" ref="Y16:Y81" si="17">Y15+V16+X16+W16</f>
        <v>305.64999999999998</v>
      </c>
      <c r="Z16" s="413">
        <f t="shared" ref="Z16:Z81" si="18">X16/(Y15+(V16/2))</f>
        <v>6.1511482817927357E-2</v>
      </c>
    </row>
    <row r="17" spans="1:26" ht="11.25" customHeight="1" x14ac:dyDescent="0.3">
      <c r="A17" s="410">
        <f t="shared" si="0"/>
        <v>71</v>
      </c>
      <c r="B17" s="411">
        <v>40269</v>
      </c>
      <c r="C17" s="415">
        <v>40359</v>
      </c>
      <c r="D17" s="399">
        <f t="shared" si="1"/>
        <v>1914.0600000000002</v>
      </c>
      <c r="E17" s="341">
        <f t="shared" ref="E17:F17" si="19">I17+N17+S17+X17</f>
        <v>-1649.6899999999998</v>
      </c>
      <c r="F17" s="341">
        <f t="shared" si="19"/>
        <v>17721.29</v>
      </c>
      <c r="G17" s="285">
        <f t="shared" si="4"/>
        <v>-8.9589143013856329E-2</v>
      </c>
      <c r="H17" s="408">
        <v>269.69</v>
      </c>
      <c r="I17" s="408">
        <v>-964.57</v>
      </c>
      <c r="J17" s="408">
        <f t="shared" si="9"/>
        <v>10206.74</v>
      </c>
      <c r="K17" s="412">
        <f t="shared" si="5"/>
        <v>-8.739845593675151E-2</v>
      </c>
      <c r="L17" s="409">
        <v>1324.91</v>
      </c>
      <c r="M17" s="409"/>
      <c r="N17" s="409">
        <v>-653.51</v>
      </c>
      <c r="O17" s="409">
        <f t="shared" si="6"/>
        <v>6921.05</v>
      </c>
      <c r="P17" s="413">
        <f t="shared" si="7"/>
        <v>-9.4545728110322386E-2</v>
      </c>
      <c r="Q17" s="408"/>
      <c r="R17" s="408"/>
      <c r="S17" s="408"/>
      <c r="T17" s="408"/>
      <c r="U17" s="408"/>
      <c r="V17" s="409">
        <v>319.45999999999998</v>
      </c>
      <c r="W17" s="409"/>
      <c r="X17" s="409">
        <v>-31.61</v>
      </c>
      <c r="Y17" s="409">
        <f t="shared" si="17"/>
        <v>593.49999999999989</v>
      </c>
      <c r="Z17" s="413">
        <f t="shared" si="18"/>
        <v>-6.7922987665993376E-2</v>
      </c>
    </row>
    <row r="18" spans="1:26" ht="11.25" customHeight="1" x14ac:dyDescent="0.3">
      <c r="A18" s="410">
        <f t="shared" si="0"/>
        <v>9</v>
      </c>
      <c r="B18" s="411">
        <v>40360</v>
      </c>
      <c r="C18" s="415">
        <v>40451</v>
      </c>
      <c r="D18" s="399">
        <f t="shared" si="1"/>
        <v>2547.6999999999998</v>
      </c>
      <c r="E18" s="341">
        <f t="shared" ref="E18:F18" si="20">I18+N18+S18+X18</f>
        <v>2062.5700000000002</v>
      </c>
      <c r="F18" s="341">
        <f t="shared" si="20"/>
        <v>22331.559999999998</v>
      </c>
      <c r="G18" s="285">
        <f t="shared" si="4"/>
        <v>0.10858409045682213</v>
      </c>
      <c r="H18" s="408">
        <v>1618.14</v>
      </c>
      <c r="I18" s="408">
        <v>1192.33</v>
      </c>
      <c r="J18" s="408">
        <f t="shared" si="9"/>
        <v>13017.21</v>
      </c>
      <c r="K18" s="412">
        <f t="shared" si="5"/>
        <v>0.10823806873938457</v>
      </c>
      <c r="L18" s="409">
        <v>377.78</v>
      </c>
      <c r="M18" s="409"/>
      <c r="N18" s="409">
        <v>799.23</v>
      </c>
      <c r="O18" s="409">
        <f t="shared" si="6"/>
        <v>8098.0599999999995</v>
      </c>
      <c r="P18" s="413">
        <f t="shared" si="7"/>
        <v>0.11241023130996886</v>
      </c>
      <c r="Q18" s="408">
        <v>273.5</v>
      </c>
      <c r="R18" s="408"/>
      <c r="S18" s="408">
        <v>2.15</v>
      </c>
      <c r="T18" s="408">
        <f t="shared" ref="T18:T81" si="21">T17+Q18+S18+R18</f>
        <v>275.64999999999998</v>
      </c>
      <c r="U18" s="412">
        <f t="shared" ref="U18:U81" si="22">S18/(T17+(Q18/2))</f>
        <v>1.5722120658135282E-2</v>
      </c>
      <c r="V18" s="409">
        <v>278.27999999999997</v>
      </c>
      <c r="W18" s="409"/>
      <c r="X18" s="409">
        <v>68.86</v>
      </c>
      <c r="Y18" s="409">
        <f t="shared" si="17"/>
        <v>940.63999999999987</v>
      </c>
      <c r="Z18" s="413">
        <f t="shared" si="18"/>
        <v>9.3988862196986253E-2</v>
      </c>
    </row>
    <row r="19" spans="1:26" ht="11.25" customHeight="1" x14ac:dyDescent="0.3">
      <c r="A19" s="410">
        <f t="shared" si="0"/>
        <v>11</v>
      </c>
      <c r="B19" s="411">
        <v>40452</v>
      </c>
      <c r="C19" s="415">
        <v>40543</v>
      </c>
      <c r="D19" s="399">
        <f t="shared" si="1"/>
        <v>6533.1900000000005</v>
      </c>
      <c r="E19" s="341">
        <f t="shared" ref="E19:F19" si="23">I19+N19+S19+X19</f>
        <v>2252.0500000000002</v>
      </c>
      <c r="F19" s="341">
        <f t="shared" si="23"/>
        <v>31116.799999999999</v>
      </c>
      <c r="G19" s="285">
        <f t="shared" si="4"/>
        <v>8.7977043658029275E-2</v>
      </c>
      <c r="H19" s="408">
        <v>3863.84</v>
      </c>
      <c r="I19" s="408">
        <v>1331.18</v>
      </c>
      <c r="J19" s="408">
        <f t="shared" si="9"/>
        <v>18212.23</v>
      </c>
      <c r="K19" s="412">
        <f t="shared" si="5"/>
        <v>8.9047322486325298E-2</v>
      </c>
      <c r="L19" s="409">
        <v>283.35000000000002</v>
      </c>
      <c r="M19" s="409"/>
      <c r="N19" s="409">
        <v>687.46</v>
      </c>
      <c r="O19" s="409">
        <f t="shared" si="6"/>
        <v>9068.869999999999</v>
      </c>
      <c r="P19" s="413">
        <f t="shared" si="7"/>
        <v>8.3432294849288255E-2</v>
      </c>
      <c r="Q19" s="408">
        <v>2045.16</v>
      </c>
      <c r="R19" s="408"/>
      <c r="S19" s="408">
        <v>123.52</v>
      </c>
      <c r="T19" s="408">
        <f t="shared" si="21"/>
        <v>2444.33</v>
      </c>
      <c r="U19" s="412">
        <f t="shared" si="22"/>
        <v>9.5144928094405459E-2</v>
      </c>
      <c r="V19" s="409">
        <v>340.84</v>
      </c>
      <c r="W19" s="409"/>
      <c r="X19" s="409">
        <v>109.89</v>
      </c>
      <c r="Y19" s="409">
        <f t="shared" si="17"/>
        <v>1391.37</v>
      </c>
      <c r="Z19" s="413">
        <f t="shared" si="18"/>
        <v>9.8905549655284142E-2</v>
      </c>
    </row>
    <row r="20" spans="1:26" ht="11.25" customHeight="1" x14ac:dyDescent="0.3">
      <c r="A20" s="410">
        <f t="shared" si="0"/>
        <v>31</v>
      </c>
      <c r="B20" s="411">
        <v>40544</v>
      </c>
      <c r="C20" s="415">
        <v>40633</v>
      </c>
      <c r="D20" s="399">
        <f t="shared" si="1"/>
        <v>3746.7000000000007</v>
      </c>
      <c r="E20" s="341">
        <f t="shared" ref="E20:F20" si="24">I20+N20+S20+X20</f>
        <v>1618.06</v>
      </c>
      <c r="F20" s="341">
        <f t="shared" si="24"/>
        <v>36481.56</v>
      </c>
      <c r="G20" s="285">
        <f t="shared" si="4"/>
        <v>4.9046760927125212E-2</v>
      </c>
      <c r="H20" s="408">
        <v>1660.2900000000002</v>
      </c>
      <c r="I20" s="408">
        <v>923.35</v>
      </c>
      <c r="J20" s="408">
        <f t="shared" si="9"/>
        <v>20795.87</v>
      </c>
      <c r="K20" s="412">
        <f t="shared" si="5"/>
        <v>4.8489224689672379E-2</v>
      </c>
      <c r="L20" s="409">
        <v>223.47</v>
      </c>
      <c r="M20" s="409"/>
      <c r="N20" s="409">
        <v>452.46</v>
      </c>
      <c r="O20" s="409">
        <f t="shared" si="6"/>
        <v>9744.7999999999975</v>
      </c>
      <c r="P20" s="413">
        <f t="shared" si="7"/>
        <v>4.9284333657749133E-2</v>
      </c>
      <c r="Q20" s="408">
        <v>1562.47</v>
      </c>
      <c r="R20" s="408"/>
      <c r="S20" s="408">
        <v>163.33000000000001</v>
      </c>
      <c r="T20" s="408">
        <f t="shared" si="21"/>
        <v>4170.13</v>
      </c>
      <c r="U20" s="412">
        <f t="shared" si="22"/>
        <v>5.0636090111344838E-2</v>
      </c>
      <c r="V20" s="409">
        <v>300.47000000000003</v>
      </c>
      <c r="W20" s="409"/>
      <c r="X20" s="409">
        <v>78.92</v>
      </c>
      <c r="Y20" s="409">
        <f t="shared" si="17"/>
        <v>1770.76</v>
      </c>
      <c r="Z20" s="413">
        <f t="shared" si="18"/>
        <v>5.1193399087314843E-2</v>
      </c>
    </row>
    <row r="21" spans="1:26" ht="11.25" customHeight="1" x14ac:dyDescent="0.3">
      <c r="A21" s="410">
        <f t="shared" si="0"/>
        <v>57</v>
      </c>
      <c r="B21" s="411">
        <v>40634</v>
      </c>
      <c r="C21" s="415">
        <v>40724</v>
      </c>
      <c r="D21" s="399">
        <f t="shared" si="1"/>
        <v>4581.7999999999993</v>
      </c>
      <c r="E21" s="341">
        <f t="shared" ref="E21:F21" si="25">I21+N21+S21+X21</f>
        <v>163.54999999999998</v>
      </c>
      <c r="F21" s="341">
        <f t="shared" si="25"/>
        <v>41226.910000000003</v>
      </c>
      <c r="G21" s="285">
        <f t="shared" si="4"/>
        <v>4.2182002380039847E-3</v>
      </c>
      <c r="H21" s="408">
        <v>1946.84</v>
      </c>
      <c r="I21" s="408">
        <v>143.38</v>
      </c>
      <c r="J21" s="408">
        <f t="shared" si="9"/>
        <v>22886.09</v>
      </c>
      <c r="K21" s="412">
        <f t="shared" si="5"/>
        <v>6.5863425035910684E-3</v>
      </c>
      <c r="L21" s="409">
        <v>446.92</v>
      </c>
      <c r="M21" s="409"/>
      <c r="N21" s="409">
        <v>64.150000000000006</v>
      </c>
      <c r="O21" s="409">
        <f t="shared" si="6"/>
        <v>10255.869999999997</v>
      </c>
      <c r="P21" s="413">
        <f t="shared" si="7"/>
        <v>6.4354260422581303E-3</v>
      </c>
      <c r="Q21" s="408">
        <v>1835.14</v>
      </c>
      <c r="R21" s="408"/>
      <c r="S21" s="408">
        <v>-31.3</v>
      </c>
      <c r="T21" s="408">
        <f t="shared" si="21"/>
        <v>5973.97</v>
      </c>
      <c r="U21" s="412">
        <f t="shared" si="22"/>
        <v>-6.1520923010397631E-3</v>
      </c>
      <c r="V21" s="409">
        <v>352.9</v>
      </c>
      <c r="W21" s="409"/>
      <c r="X21" s="409">
        <v>-12.68</v>
      </c>
      <c r="Y21" s="409">
        <f t="shared" si="17"/>
        <v>2110.98</v>
      </c>
      <c r="Z21" s="413">
        <f t="shared" si="18"/>
        <v>-6.5118811016788118E-3</v>
      </c>
    </row>
    <row r="22" spans="1:26" ht="11.25" customHeight="1" x14ac:dyDescent="0.3">
      <c r="A22" s="410">
        <f t="shared" si="0"/>
        <v>74</v>
      </c>
      <c r="B22" s="411">
        <v>40725</v>
      </c>
      <c r="C22" s="415">
        <v>40816</v>
      </c>
      <c r="D22" s="399">
        <f t="shared" si="1"/>
        <v>3774.6600000000008</v>
      </c>
      <c r="E22" s="341">
        <f t="shared" ref="E22:F22" si="26">I22+N22+S22+X22</f>
        <v>-6501.0899999999992</v>
      </c>
      <c r="F22" s="341">
        <f t="shared" si="26"/>
        <v>38500.479999999996</v>
      </c>
      <c r="G22" s="285">
        <f t="shared" si="4"/>
        <v>-0.15078753562628028</v>
      </c>
      <c r="H22" s="408">
        <v>1668.7200000000003</v>
      </c>
      <c r="I22" s="408">
        <v>-3546.62</v>
      </c>
      <c r="J22" s="408">
        <f t="shared" si="9"/>
        <v>21008.190000000002</v>
      </c>
      <c r="K22" s="412">
        <f t="shared" si="5"/>
        <v>-0.14951739954343193</v>
      </c>
      <c r="L22" s="409">
        <v>368.07</v>
      </c>
      <c r="M22" s="409"/>
      <c r="N22" s="409">
        <v>-1548.35</v>
      </c>
      <c r="O22" s="409">
        <f t="shared" si="6"/>
        <v>9075.5899999999965</v>
      </c>
      <c r="P22" s="413">
        <f t="shared" si="7"/>
        <v>-0.14831073654405863</v>
      </c>
      <c r="Q22" s="408">
        <v>1457.5700000000002</v>
      </c>
      <c r="R22" s="408"/>
      <c r="S22" s="408">
        <v>-1054.22</v>
      </c>
      <c r="T22" s="408">
        <f t="shared" si="21"/>
        <v>6377.3200000000006</v>
      </c>
      <c r="U22" s="412">
        <f t="shared" si="22"/>
        <v>-0.15728159540368103</v>
      </c>
      <c r="V22" s="409">
        <v>280.3</v>
      </c>
      <c r="W22" s="409"/>
      <c r="X22" s="409">
        <v>-351.9</v>
      </c>
      <c r="Y22" s="409">
        <f t="shared" si="17"/>
        <v>2039.38</v>
      </c>
      <c r="Z22" s="413">
        <f t="shared" si="18"/>
        <v>-0.15632149187297045</v>
      </c>
    </row>
    <row r="23" spans="1:26" ht="11.25" customHeight="1" x14ac:dyDescent="0.3">
      <c r="A23" s="410">
        <f t="shared" si="0"/>
        <v>12</v>
      </c>
      <c r="B23" s="411">
        <v>40817</v>
      </c>
      <c r="C23" s="415">
        <v>40908</v>
      </c>
      <c r="D23" s="399">
        <f t="shared" si="1"/>
        <v>4156.38</v>
      </c>
      <c r="E23" s="341">
        <f t="shared" ref="E23:F23" si="27">I23+N23+S23+X23</f>
        <v>3470.22</v>
      </c>
      <c r="F23" s="341">
        <f t="shared" si="27"/>
        <v>46127.079999999994</v>
      </c>
      <c r="G23" s="285">
        <f t="shared" si="4"/>
        <v>8.5518327732279048E-2</v>
      </c>
      <c r="H23" s="408">
        <v>2040.26</v>
      </c>
      <c r="I23" s="408">
        <v>1961.05</v>
      </c>
      <c r="J23" s="408">
        <f t="shared" si="9"/>
        <v>25009.5</v>
      </c>
      <c r="K23" s="412">
        <f t="shared" si="5"/>
        <v>8.9024038147257692E-2</v>
      </c>
      <c r="L23" s="409">
        <v>270.62</v>
      </c>
      <c r="M23" s="409"/>
      <c r="N23" s="409">
        <v>824.52</v>
      </c>
      <c r="O23" s="409">
        <f t="shared" si="6"/>
        <v>10170.729999999998</v>
      </c>
      <c r="P23" s="413">
        <f t="shared" si="7"/>
        <v>8.9515682506595487E-2</v>
      </c>
      <c r="Q23" s="408">
        <v>1547.8500000000001</v>
      </c>
      <c r="R23" s="408"/>
      <c r="S23" s="408">
        <v>521.65</v>
      </c>
      <c r="T23" s="408">
        <f t="shared" si="21"/>
        <v>8446.8200000000015</v>
      </c>
      <c r="U23" s="412">
        <f t="shared" si="22"/>
        <v>7.2945340286901084E-2</v>
      </c>
      <c r="V23" s="409">
        <v>297.64999999999998</v>
      </c>
      <c r="W23" s="409"/>
      <c r="X23" s="409">
        <v>163</v>
      </c>
      <c r="Y23" s="409">
        <f t="shared" si="17"/>
        <v>2500.0300000000002</v>
      </c>
      <c r="Z23" s="413">
        <f t="shared" si="18"/>
        <v>7.4490278561652135E-2</v>
      </c>
    </row>
    <row r="24" spans="1:26" ht="11.25" customHeight="1" x14ac:dyDescent="0.3">
      <c r="A24" s="410">
        <f t="shared" si="0"/>
        <v>8</v>
      </c>
      <c r="B24" s="411">
        <v>40909</v>
      </c>
      <c r="C24" s="415">
        <v>40999</v>
      </c>
      <c r="D24" s="399">
        <f t="shared" si="1"/>
        <v>4009.2599999999998</v>
      </c>
      <c r="E24" s="341">
        <f t="shared" ref="E24:F24" si="28">I24+N24+S24+X24</f>
        <v>5260.63</v>
      </c>
      <c r="F24" s="341">
        <f t="shared" si="28"/>
        <v>55396.97</v>
      </c>
      <c r="G24" s="285">
        <f t="shared" si="4"/>
        <v>0.10929655314552508</v>
      </c>
      <c r="H24" s="408">
        <v>1824.4199999999998</v>
      </c>
      <c r="I24" s="408">
        <v>2841.64</v>
      </c>
      <c r="J24" s="408">
        <f t="shared" si="9"/>
        <v>29675.559999999998</v>
      </c>
      <c r="K24" s="412">
        <f t="shared" si="5"/>
        <v>0.10962394070452913</v>
      </c>
      <c r="L24" s="409">
        <v>326.49</v>
      </c>
      <c r="M24" s="409"/>
      <c r="N24" s="409">
        <v>1133.67</v>
      </c>
      <c r="O24" s="409">
        <f t="shared" si="6"/>
        <v>11630.889999999998</v>
      </c>
      <c r="P24" s="413">
        <f t="shared" si="7"/>
        <v>0.10970318778591977</v>
      </c>
      <c r="Q24" s="408">
        <v>1558.6200000000001</v>
      </c>
      <c r="R24" s="408"/>
      <c r="S24" s="408">
        <v>996.22</v>
      </c>
      <c r="T24" s="408">
        <f t="shared" si="21"/>
        <v>11001.660000000002</v>
      </c>
      <c r="U24" s="412">
        <f t="shared" si="22"/>
        <v>0.10797810132742547</v>
      </c>
      <c r="V24" s="409">
        <v>299.73</v>
      </c>
      <c r="W24" s="409"/>
      <c r="X24" s="409">
        <v>289.10000000000002</v>
      </c>
      <c r="Y24" s="409">
        <f t="shared" si="17"/>
        <v>3088.86</v>
      </c>
      <c r="Z24" s="413">
        <f t="shared" si="18"/>
        <v>0.10909866239983093</v>
      </c>
    </row>
    <row r="25" spans="1:26" ht="11.25" customHeight="1" x14ac:dyDescent="0.3">
      <c r="A25" s="410">
        <f t="shared" si="0"/>
        <v>67</v>
      </c>
      <c r="B25" s="411">
        <v>41000</v>
      </c>
      <c r="C25" s="415">
        <v>41090</v>
      </c>
      <c r="D25" s="399">
        <f t="shared" si="1"/>
        <v>4597.21</v>
      </c>
      <c r="E25" s="341">
        <f t="shared" ref="E25:F25" si="29">I25+N25+S25+X25</f>
        <v>-1979.1799999999998</v>
      </c>
      <c r="F25" s="341">
        <f t="shared" si="29"/>
        <v>58014.999999999993</v>
      </c>
      <c r="G25" s="285">
        <f t="shared" si="4"/>
        <v>-3.4303843925639003E-2</v>
      </c>
      <c r="H25" s="408">
        <v>1946.84</v>
      </c>
      <c r="I25" s="408">
        <v>-1067.25</v>
      </c>
      <c r="J25" s="408">
        <f t="shared" si="9"/>
        <v>30555.149999999998</v>
      </c>
      <c r="K25" s="412">
        <f t="shared" si="5"/>
        <v>-3.4821713479535048E-2</v>
      </c>
      <c r="L25" s="409">
        <v>274.95999999999998</v>
      </c>
      <c r="M25" s="409"/>
      <c r="N25" s="409">
        <v>-422.87</v>
      </c>
      <c r="O25" s="409">
        <f t="shared" si="6"/>
        <v>11482.979999999996</v>
      </c>
      <c r="P25" s="413">
        <f t="shared" si="7"/>
        <v>-3.5932758742289725E-2</v>
      </c>
      <c r="Q25" s="408">
        <v>1992.29</v>
      </c>
      <c r="R25" s="408"/>
      <c r="S25" s="408">
        <v>-380.96</v>
      </c>
      <c r="T25" s="408">
        <f t="shared" si="21"/>
        <v>12612.990000000002</v>
      </c>
      <c r="U25" s="412">
        <f t="shared" si="22"/>
        <v>-3.1752474723501498E-2</v>
      </c>
      <c r="V25" s="409">
        <v>383.12</v>
      </c>
      <c r="W25" s="409"/>
      <c r="X25" s="409">
        <v>-108.1</v>
      </c>
      <c r="Y25" s="409">
        <f t="shared" si="17"/>
        <v>3363.88</v>
      </c>
      <c r="Z25" s="413">
        <f t="shared" si="18"/>
        <v>-3.2953097469226499E-2</v>
      </c>
    </row>
    <row r="26" spans="1:26" ht="11.25" customHeight="1" x14ac:dyDescent="0.3">
      <c r="A26" s="410">
        <f t="shared" si="0"/>
        <v>26</v>
      </c>
      <c r="B26" s="411">
        <v>41091</v>
      </c>
      <c r="C26" s="415">
        <v>41182</v>
      </c>
      <c r="D26" s="399">
        <f t="shared" si="1"/>
        <v>3933.5200000000004</v>
      </c>
      <c r="E26" s="341">
        <f t="shared" ref="E26:F26" si="30">I26+N26+S26+X26</f>
        <v>3440.42</v>
      </c>
      <c r="F26" s="341">
        <f t="shared" si="30"/>
        <v>65388.939999999995</v>
      </c>
      <c r="G26" s="285">
        <f t="shared" si="4"/>
        <v>5.7357770095442351E-2</v>
      </c>
      <c r="H26" s="408">
        <v>1529.66</v>
      </c>
      <c r="I26" s="408">
        <v>1808.7</v>
      </c>
      <c r="J26" s="408">
        <f t="shared" si="9"/>
        <v>33893.509999999995</v>
      </c>
      <c r="K26" s="412">
        <f t="shared" si="5"/>
        <v>5.7749079022400403E-2</v>
      </c>
      <c r="L26" s="409">
        <v>532.69000000000005</v>
      </c>
      <c r="M26" s="409"/>
      <c r="N26" s="409">
        <v>676.72</v>
      </c>
      <c r="O26" s="409">
        <f t="shared" si="6"/>
        <v>12692.389999999996</v>
      </c>
      <c r="P26" s="413">
        <f t="shared" si="7"/>
        <v>5.7596500224481005E-2</v>
      </c>
      <c r="Q26" s="408">
        <v>1569.3700000000001</v>
      </c>
      <c r="R26" s="408"/>
      <c r="S26" s="408">
        <v>756.83</v>
      </c>
      <c r="T26" s="408">
        <f t="shared" si="21"/>
        <v>14939.190000000002</v>
      </c>
      <c r="U26" s="412">
        <f t="shared" si="22"/>
        <v>5.6489652122476475E-2</v>
      </c>
      <c r="V26" s="409">
        <v>301.8</v>
      </c>
      <c r="W26" s="409"/>
      <c r="X26" s="409">
        <v>198.17</v>
      </c>
      <c r="Y26" s="409">
        <f t="shared" si="17"/>
        <v>3863.8500000000004</v>
      </c>
      <c r="Z26" s="413">
        <f t="shared" si="18"/>
        <v>5.6381907260198358E-2</v>
      </c>
    </row>
    <row r="27" spans="1:26" ht="11.25" customHeight="1" x14ac:dyDescent="0.3">
      <c r="A27" s="410">
        <f t="shared" si="0"/>
        <v>41</v>
      </c>
      <c r="B27" s="411">
        <v>41183</v>
      </c>
      <c r="C27" s="415">
        <v>41274</v>
      </c>
      <c r="D27" s="399">
        <f t="shared" si="1"/>
        <v>4615.8599999999997</v>
      </c>
      <c r="E27" s="341">
        <f t="shared" ref="E27:F27" si="31">I27+N27+S27+X27</f>
        <v>1640.4599999999998</v>
      </c>
      <c r="F27" s="341">
        <f t="shared" si="31"/>
        <v>71645.25999999998</v>
      </c>
      <c r="G27" s="285">
        <f t="shared" si="4"/>
        <v>2.4232434970774867E-2</v>
      </c>
      <c r="H27" s="408">
        <v>1946.84</v>
      </c>
      <c r="I27" s="408">
        <v>835.2</v>
      </c>
      <c r="J27" s="408">
        <f t="shared" si="9"/>
        <v>36675.549999999988</v>
      </c>
      <c r="K27" s="412">
        <f t="shared" si="5"/>
        <v>2.3953929984658822E-2</v>
      </c>
      <c r="L27" s="409">
        <v>438.25</v>
      </c>
      <c r="M27" s="409"/>
      <c r="N27" s="409">
        <v>307.38</v>
      </c>
      <c r="O27" s="409">
        <f t="shared" si="6"/>
        <v>13438.019999999995</v>
      </c>
      <c r="P27" s="413">
        <f t="shared" si="7"/>
        <v>2.380665630640557E-2</v>
      </c>
      <c r="Q27" s="408">
        <v>1870.98</v>
      </c>
      <c r="R27" s="408"/>
      <c r="S27" s="408">
        <v>398.3</v>
      </c>
      <c r="T27" s="408">
        <f t="shared" si="21"/>
        <v>17208.47</v>
      </c>
      <c r="U27" s="412">
        <f t="shared" si="22"/>
        <v>2.5090269536141827E-2</v>
      </c>
      <c r="V27" s="409">
        <v>359.79</v>
      </c>
      <c r="W27" s="409"/>
      <c r="X27" s="409">
        <v>99.58</v>
      </c>
      <c r="Y27" s="409">
        <f t="shared" si="17"/>
        <v>4323.22</v>
      </c>
      <c r="Z27" s="413">
        <f t="shared" si="18"/>
        <v>2.4625687326970416E-2</v>
      </c>
    </row>
    <row r="28" spans="1:26" ht="11.25" customHeight="1" x14ac:dyDescent="0.3">
      <c r="A28" s="410">
        <f t="shared" si="0"/>
        <v>13</v>
      </c>
      <c r="B28" s="411">
        <v>41275</v>
      </c>
      <c r="C28" s="415">
        <v>41364</v>
      </c>
      <c r="D28" s="399">
        <f t="shared" si="1"/>
        <v>3774.9599999999996</v>
      </c>
      <c r="E28" s="341">
        <f t="shared" ref="E28:F28" si="32">I28+N28+S28+X28</f>
        <v>5662.7</v>
      </c>
      <c r="F28" s="341">
        <f t="shared" si="32"/>
        <v>81082.919999999984</v>
      </c>
      <c r="G28" s="285">
        <f t="shared" si="4"/>
        <v>7.7009234254020745E-2</v>
      </c>
      <c r="H28" s="408">
        <v>1495.97</v>
      </c>
      <c r="I28" s="408">
        <v>3009.58</v>
      </c>
      <c r="J28" s="408">
        <f t="shared" si="9"/>
        <v>41181.099999999991</v>
      </c>
      <c r="K28" s="412">
        <f t="shared" si="5"/>
        <v>8.0419447280969072E-2</v>
      </c>
      <c r="L28" s="409">
        <v>406.95</v>
      </c>
      <c r="M28" s="409"/>
      <c r="N28" s="409">
        <v>1093.82</v>
      </c>
      <c r="O28" s="409">
        <f t="shared" si="6"/>
        <v>14938.789999999995</v>
      </c>
      <c r="P28" s="413">
        <f t="shared" si="7"/>
        <v>8.0183293693249919E-2</v>
      </c>
      <c r="Q28" s="408">
        <v>1570.11</v>
      </c>
      <c r="R28" s="408"/>
      <c r="S28" s="408">
        <v>1248.3</v>
      </c>
      <c r="T28" s="408">
        <f t="shared" si="21"/>
        <v>20026.88</v>
      </c>
      <c r="U28" s="412">
        <f t="shared" si="22"/>
        <v>6.9374955713235723E-2</v>
      </c>
      <c r="V28" s="409">
        <v>301.93</v>
      </c>
      <c r="W28" s="409"/>
      <c r="X28" s="409">
        <v>311</v>
      </c>
      <c r="Y28" s="409">
        <f t="shared" si="17"/>
        <v>4936.1500000000005</v>
      </c>
      <c r="Z28" s="413">
        <f t="shared" si="18"/>
        <v>6.9509866042642393E-2</v>
      </c>
    </row>
    <row r="29" spans="1:26" ht="11.25" customHeight="1" x14ac:dyDescent="0.3">
      <c r="A29" s="410">
        <f t="shared" si="0"/>
        <v>54</v>
      </c>
      <c r="B29" s="411">
        <v>41365</v>
      </c>
      <c r="C29" s="415">
        <v>41455</v>
      </c>
      <c r="D29" s="399">
        <f t="shared" si="1"/>
        <v>4436.24</v>
      </c>
      <c r="E29" s="341">
        <f t="shared" ref="E29:F29" si="33">I29+N29+S29+X29</f>
        <v>607.16</v>
      </c>
      <c r="F29" s="341">
        <f t="shared" si="33"/>
        <v>86126.319999999992</v>
      </c>
      <c r="G29" s="285">
        <f t="shared" si="4"/>
        <v>7.2887445342819266E-3</v>
      </c>
      <c r="H29" s="408">
        <v>501.47</v>
      </c>
      <c r="I29" s="408">
        <v>553.12</v>
      </c>
      <c r="J29" s="408">
        <f t="shared" si="9"/>
        <v>42235.689999999995</v>
      </c>
      <c r="K29" s="412">
        <f t="shared" si="5"/>
        <v>1.3350120746522575E-2</v>
      </c>
      <c r="L29" s="409">
        <v>1453.39</v>
      </c>
      <c r="M29" s="409"/>
      <c r="N29" s="409">
        <v>183.76</v>
      </c>
      <c r="O29" s="409">
        <f t="shared" si="6"/>
        <v>16575.939999999995</v>
      </c>
      <c r="P29" s="413">
        <f t="shared" si="7"/>
        <v>1.1730246462206568E-2</v>
      </c>
      <c r="Q29" s="408">
        <v>2081.16</v>
      </c>
      <c r="R29" s="408"/>
      <c r="S29" s="408">
        <v>-105.6</v>
      </c>
      <c r="T29" s="408">
        <f t="shared" si="21"/>
        <v>22002.440000000002</v>
      </c>
      <c r="U29" s="412">
        <f t="shared" si="22"/>
        <v>-5.0124694671308265E-3</v>
      </c>
      <c r="V29" s="409">
        <v>400.22</v>
      </c>
      <c r="W29" s="409"/>
      <c r="X29" s="409">
        <v>-24.12</v>
      </c>
      <c r="Y29" s="409">
        <f t="shared" si="17"/>
        <v>5312.2500000000009</v>
      </c>
      <c r="Z29" s="413">
        <f t="shared" si="18"/>
        <v>-4.6960239551736092E-3</v>
      </c>
    </row>
    <row r="30" spans="1:26" ht="11.25" customHeight="1" x14ac:dyDescent="0.3">
      <c r="A30" s="410">
        <f t="shared" si="0"/>
        <v>21</v>
      </c>
      <c r="B30" s="411">
        <v>41456</v>
      </c>
      <c r="C30" s="415">
        <v>41547</v>
      </c>
      <c r="D30" s="399">
        <f t="shared" si="1"/>
        <v>3950.57</v>
      </c>
      <c r="E30" s="341">
        <f t="shared" ref="E30:F30" si="34">I30+N30+S30+X30</f>
        <v>5984.2</v>
      </c>
      <c r="F30" s="341">
        <f t="shared" si="34"/>
        <v>96061.090000000011</v>
      </c>
      <c r="G30" s="285">
        <f t="shared" si="4"/>
        <v>6.7923847698347833E-2</v>
      </c>
      <c r="H30" s="408">
        <v>0</v>
      </c>
      <c r="I30" s="408">
        <v>3021.48</v>
      </c>
      <c r="J30" s="408">
        <f t="shared" si="9"/>
        <v>45257.17</v>
      </c>
      <c r="K30" s="412">
        <f t="shared" si="5"/>
        <v>7.1538549506353522E-2</v>
      </c>
      <c r="L30" s="409">
        <v>1744.08</v>
      </c>
      <c r="M30" s="409"/>
      <c r="N30" s="409">
        <v>1238.0899999999999</v>
      </c>
      <c r="O30" s="409">
        <f t="shared" si="6"/>
        <v>19558.109999999997</v>
      </c>
      <c r="P30" s="413">
        <f t="shared" si="7"/>
        <v>7.0958930489374711E-2</v>
      </c>
      <c r="Q30" s="408">
        <v>1850.59</v>
      </c>
      <c r="R30" s="408"/>
      <c r="S30" s="408">
        <v>1390.7</v>
      </c>
      <c r="T30" s="408">
        <f t="shared" si="21"/>
        <v>25243.730000000003</v>
      </c>
      <c r="U30" s="412">
        <f t="shared" si="22"/>
        <v>6.0655795262811611E-2</v>
      </c>
      <c r="V30" s="409">
        <v>355.9</v>
      </c>
      <c r="W30" s="409"/>
      <c r="X30" s="409">
        <v>333.93</v>
      </c>
      <c r="Y30" s="409">
        <f t="shared" si="17"/>
        <v>6002.0800000000008</v>
      </c>
      <c r="Z30" s="413">
        <f t="shared" si="18"/>
        <v>6.0822920840770824E-2</v>
      </c>
    </row>
    <row r="31" spans="1:26" ht="11.25" customHeight="1" x14ac:dyDescent="0.3">
      <c r="A31" s="410">
        <f t="shared" si="0"/>
        <v>17</v>
      </c>
      <c r="B31" s="411">
        <v>41548</v>
      </c>
      <c r="C31" s="415">
        <v>41639</v>
      </c>
      <c r="D31" s="399">
        <f t="shared" si="1"/>
        <v>4145.34</v>
      </c>
      <c r="E31" s="341">
        <f t="shared" ref="E31:F31" si="35">I31+N31+S31+X31</f>
        <v>6997.7899999999991</v>
      </c>
      <c r="F31" s="341">
        <f t="shared" si="35"/>
        <v>107206.51000000001</v>
      </c>
      <c r="G31" s="285">
        <f t="shared" si="4"/>
        <v>7.130869132090728E-2</v>
      </c>
      <c r="H31" s="408">
        <v>0</v>
      </c>
      <c r="I31" s="408">
        <v>3416.72</v>
      </c>
      <c r="J31" s="408">
        <f t="shared" si="9"/>
        <v>48673.89</v>
      </c>
      <c r="K31" s="412">
        <f t="shared" si="5"/>
        <v>7.549566179237456E-2</v>
      </c>
      <c r="L31" s="409">
        <v>2111.1999999999998</v>
      </c>
      <c r="M31" s="409"/>
      <c r="N31" s="409">
        <v>1555.19</v>
      </c>
      <c r="O31" s="409">
        <f t="shared" si="6"/>
        <v>23224.499999999996</v>
      </c>
      <c r="P31" s="413">
        <f t="shared" si="7"/>
        <v>7.5444449349486353E-2</v>
      </c>
      <c r="Q31" s="408">
        <v>1706.06</v>
      </c>
      <c r="R31" s="408">
        <v>2.27</v>
      </c>
      <c r="S31" s="408">
        <v>1638.4</v>
      </c>
      <c r="T31" s="408">
        <f t="shared" si="21"/>
        <v>28590.460000000006</v>
      </c>
      <c r="U31" s="412">
        <f t="shared" si="22"/>
        <v>6.2781739955458077E-2</v>
      </c>
      <c r="V31" s="409">
        <v>328.08</v>
      </c>
      <c r="W31" s="409">
        <v>0.02</v>
      </c>
      <c r="X31" s="409">
        <v>387.48</v>
      </c>
      <c r="Y31" s="409">
        <f t="shared" si="17"/>
        <v>6717.6600000000017</v>
      </c>
      <c r="Z31" s="413">
        <f t="shared" si="18"/>
        <v>6.2840165290328431E-2</v>
      </c>
    </row>
    <row r="32" spans="1:26" ht="11.25" customHeight="1" x14ac:dyDescent="0.3">
      <c r="A32" s="410">
        <f t="shared" si="0"/>
        <v>45</v>
      </c>
      <c r="B32" s="411">
        <v>41640</v>
      </c>
      <c r="C32" s="415">
        <v>41729</v>
      </c>
      <c r="D32" s="399">
        <f t="shared" si="1"/>
        <v>3846.0099999999998</v>
      </c>
      <c r="E32" s="341">
        <f t="shared" ref="E32:F32" si="36">I32+N32+S32+X32</f>
        <v>1931.0800000000002</v>
      </c>
      <c r="F32" s="341">
        <f t="shared" si="36"/>
        <v>112983.6</v>
      </c>
      <c r="G32" s="285">
        <f t="shared" si="4"/>
        <v>1.7695304519588489E-2</v>
      </c>
      <c r="H32" s="408">
        <v>0</v>
      </c>
      <c r="I32" s="408">
        <v>829.61</v>
      </c>
      <c r="J32" s="408">
        <f t="shared" si="9"/>
        <v>49503.5</v>
      </c>
      <c r="K32" s="412">
        <f t="shared" si="5"/>
        <v>1.7044251034795042E-2</v>
      </c>
      <c r="L32" s="409">
        <v>1531.6</v>
      </c>
      <c r="M32" s="409"/>
      <c r="N32" s="409">
        <v>424.27</v>
      </c>
      <c r="O32" s="409">
        <f t="shared" si="6"/>
        <v>25180.369999999995</v>
      </c>
      <c r="P32" s="413">
        <f t="shared" si="7"/>
        <v>1.7685064380186993E-2</v>
      </c>
      <c r="Q32" s="408">
        <v>1823.48</v>
      </c>
      <c r="R32" s="408">
        <v>0</v>
      </c>
      <c r="S32" s="408">
        <v>547.29</v>
      </c>
      <c r="T32" s="408">
        <f t="shared" si="21"/>
        <v>30961.230000000007</v>
      </c>
      <c r="U32" s="412">
        <f t="shared" si="22"/>
        <v>1.8550819938852013E-2</v>
      </c>
      <c r="V32" s="409">
        <v>490.93</v>
      </c>
      <c r="W32" s="409">
        <v>0</v>
      </c>
      <c r="X32" s="409">
        <v>129.91</v>
      </c>
      <c r="Y32" s="409">
        <f t="shared" si="17"/>
        <v>7338.5000000000018</v>
      </c>
      <c r="Z32" s="413">
        <f t="shared" si="18"/>
        <v>1.8656853065254459E-2</v>
      </c>
    </row>
    <row r="33" spans="1:26" ht="11.25" customHeight="1" x14ac:dyDescent="0.3">
      <c r="A33" s="410">
        <f t="shared" si="0"/>
        <v>35</v>
      </c>
      <c r="B33" s="411">
        <v>41730</v>
      </c>
      <c r="C33" s="415">
        <v>41820</v>
      </c>
      <c r="D33" s="399">
        <f t="shared" si="1"/>
        <v>6383.4399999999987</v>
      </c>
      <c r="E33" s="341">
        <f t="shared" ref="E33:F33" si="37">I33+N33+S33+X33</f>
        <v>4965.99</v>
      </c>
      <c r="F33" s="341">
        <f t="shared" si="37"/>
        <v>124333.03</v>
      </c>
      <c r="G33" s="285">
        <f t="shared" si="4"/>
        <v>4.2745653724043965E-2</v>
      </c>
      <c r="H33" s="408">
        <v>3610.98</v>
      </c>
      <c r="I33" s="408">
        <v>2055.4699999999998</v>
      </c>
      <c r="J33" s="408">
        <f t="shared" si="9"/>
        <v>55169.950000000004</v>
      </c>
      <c r="K33" s="412">
        <f t="shared" si="5"/>
        <v>4.0060620955508962E-2</v>
      </c>
      <c r="L33" s="409">
        <v>796.42</v>
      </c>
      <c r="M33" s="409"/>
      <c r="N33" s="409">
        <v>1067.98</v>
      </c>
      <c r="O33" s="409">
        <f t="shared" si="6"/>
        <v>27044.769999999993</v>
      </c>
      <c r="P33" s="413">
        <f t="shared" si="7"/>
        <v>4.1752904187800893E-2</v>
      </c>
      <c r="Q33" s="408">
        <v>1556.8899999999999</v>
      </c>
      <c r="R33" s="408">
        <v>0</v>
      </c>
      <c r="S33" s="408">
        <v>1488.41</v>
      </c>
      <c r="T33" s="408">
        <f t="shared" si="21"/>
        <v>34006.530000000006</v>
      </c>
      <c r="U33" s="412">
        <f t="shared" si="22"/>
        <v>4.6894304998397113E-2</v>
      </c>
      <c r="V33" s="409">
        <v>419.15</v>
      </c>
      <c r="W33" s="409">
        <v>0</v>
      </c>
      <c r="X33" s="409">
        <v>354.13</v>
      </c>
      <c r="Y33" s="409">
        <f t="shared" si="17"/>
        <v>8111.7800000000016</v>
      </c>
      <c r="Z33" s="413">
        <f t="shared" si="18"/>
        <v>4.6916597940534495E-2</v>
      </c>
    </row>
    <row r="34" spans="1:26" ht="11.25" customHeight="1" x14ac:dyDescent="0.3">
      <c r="A34" s="410">
        <f t="shared" si="0"/>
        <v>62</v>
      </c>
      <c r="B34" s="411">
        <v>41821</v>
      </c>
      <c r="C34" s="415">
        <v>41912</v>
      </c>
      <c r="D34" s="399">
        <f t="shared" si="1"/>
        <v>5020.3499999999995</v>
      </c>
      <c r="E34" s="341">
        <f t="shared" ref="E34:F34" si="38">I34+N34+S34+X34</f>
        <v>-2295.38</v>
      </c>
      <c r="F34" s="341">
        <f t="shared" si="38"/>
        <v>127058</v>
      </c>
      <c r="G34" s="285">
        <f t="shared" si="4"/>
        <v>-1.8096199950166824E-2</v>
      </c>
      <c r="H34" s="408">
        <v>2025.8700000000001</v>
      </c>
      <c r="I34" s="408">
        <v>-1025.43</v>
      </c>
      <c r="J34" s="408">
        <f t="shared" si="9"/>
        <v>56170.390000000007</v>
      </c>
      <c r="K34" s="412">
        <f t="shared" si="5"/>
        <v>-1.8251643716765346E-2</v>
      </c>
      <c r="L34" s="409">
        <v>592.21</v>
      </c>
      <c r="M34" s="409"/>
      <c r="N34" s="409">
        <v>-500.96</v>
      </c>
      <c r="O34" s="409">
        <f t="shared" si="6"/>
        <v>27136.019999999993</v>
      </c>
      <c r="P34" s="413">
        <f t="shared" si="7"/>
        <v>-1.8322749363361639E-2</v>
      </c>
      <c r="Q34" s="408">
        <v>1892.7</v>
      </c>
      <c r="R34" s="408">
        <v>0</v>
      </c>
      <c r="S34" s="408">
        <v>-620.16999999999996</v>
      </c>
      <c r="T34" s="408">
        <f t="shared" si="21"/>
        <v>35279.060000000005</v>
      </c>
      <c r="U34" s="412">
        <f t="shared" si="22"/>
        <v>-1.7743030045020609E-2</v>
      </c>
      <c r="V34" s="409">
        <v>509.57</v>
      </c>
      <c r="W34" s="409">
        <v>0</v>
      </c>
      <c r="X34" s="409">
        <v>-148.82</v>
      </c>
      <c r="Y34" s="409">
        <f t="shared" si="17"/>
        <v>8472.5300000000025</v>
      </c>
      <c r="Z34" s="413">
        <f t="shared" si="18"/>
        <v>-1.7787467138544906E-2</v>
      </c>
    </row>
    <row r="35" spans="1:26" ht="11.25" customHeight="1" x14ac:dyDescent="0.3">
      <c r="A35" s="410">
        <f t="shared" si="0"/>
        <v>43</v>
      </c>
      <c r="B35" s="411">
        <v>41913</v>
      </c>
      <c r="C35" s="415">
        <v>42004</v>
      </c>
      <c r="D35" s="399">
        <f t="shared" si="1"/>
        <v>4102.1200000000008</v>
      </c>
      <c r="E35" s="341">
        <f t="shared" ref="E35:F35" si="39">I35+N35+S35+X35</f>
        <v>2984.8799999999997</v>
      </c>
      <c r="F35" s="341">
        <f t="shared" si="39"/>
        <v>134145</v>
      </c>
      <c r="G35" s="285">
        <f t="shared" si="4"/>
        <v>2.3119059189184707E-2</v>
      </c>
      <c r="H35" s="408">
        <v>1736.46</v>
      </c>
      <c r="I35" s="408">
        <v>1319.31</v>
      </c>
      <c r="J35" s="408">
        <f t="shared" si="9"/>
        <v>59226.16</v>
      </c>
      <c r="K35" s="412">
        <f t="shared" si="5"/>
        <v>2.3130117804392877E-2</v>
      </c>
      <c r="L35" s="409">
        <v>326.72000000000003</v>
      </c>
      <c r="M35" s="409"/>
      <c r="N35" s="409">
        <v>634.78</v>
      </c>
      <c r="O35" s="409">
        <f t="shared" si="6"/>
        <v>28097.519999999993</v>
      </c>
      <c r="P35" s="413">
        <f t="shared" si="7"/>
        <v>2.3252542731739701E-2</v>
      </c>
      <c r="Q35" s="408">
        <v>1606.43</v>
      </c>
      <c r="R35" s="408">
        <v>0</v>
      </c>
      <c r="S35" s="408">
        <v>830.77</v>
      </c>
      <c r="T35" s="408">
        <f t="shared" si="21"/>
        <v>37716.26</v>
      </c>
      <c r="U35" s="412">
        <f t="shared" si="22"/>
        <v>2.3024324270019002E-2</v>
      </c>
      <c r="V35" s="409">
        <v>432.51</v>
      </c>
      <c r="W35" s="409">
        <v>0</v>
      </c>
      <c r="X35" s="409">
        <v>200.02</v>
      </c>
      <c r="Y35" s="409">
        <f t="shared" si="17"/>
        <v>9105.0600000000031</v>
      </c>
      <c r="Z35" s="413">
        <f t="shared" si="18"/>
        <v>2.3020479848448312E-2</v>
      </c>
    </row>
    <row r="36" spans="1:26" ht="11.25" customHeight="1" x14ac:dyDescent="0.3">
      <c r="A36" s="410">
        <f t="shared" si="0"/>
        <v>40</v>
      </c>
      <c r="B36" s="411">
        <v>42005</v>
      </c>
      <c r="C36" s="415">
        <v>42094</v>
      </c>
      <c r="D36" s="399">
        <f t="shared" si="1"/>
        <v>4793.9600000000009</v>
      </c>
      <c r="E36" s="341">
        <f t="shared" ref="E36:F36" si="40">I36+N36+S36+X36</f>
        <v>3973.43</v>
      </c>
      <c r="F36" s="341">
        <f t="shared" si="40"/>
        <v>142918.84999999998</v>
      </c>
      <c r="G36" s="285">
        <f t="shared" si="4"/>
        <v>2.910042757546067E-2</v>
      </c>
      <c r="H36" s="408">
        <v>2091.4</v>
      </c>
      <c r="I36" s="408">
        <v>1787.19</v>
      </c>
      <c r="J36" s="408">
        <f t="shared" si="9"/>
        <v>63104.750000000007</v>
      </c>
      <c r="K36" s="412">
        <f t="shared" si="5"/>
        <v>2.9652146125903531E-2</v>
      </c>
      <c r="L36" s="409">
        <v>247.5</v>
      </c>
      <c r="M36" s="409"/>
      <c r="N36" s="409">
        <v>834.13</v>
      </c>
      <c r="O36" s="409">
        <f t="shared" si="6"/>
        <v>29179.149999999994</v>
      </c>
      <c r="P36" s="413">
        <f t="shared" si="7"/>
        <v>2.9556784652143585E-2</v>
      </c>
      <c r="Q36" s="408">
        <v>1934.29</v>
      </c>
      <c r="R36" s="408">
        <v>5.54</v>
      </c>
      <c r="S36" s="408">
        <v>1088.68</v>
      </c>
      <c r="T36" s="408">
        <f t="shared" si="21"/>
        <v>40744.770000000004</v>
      </c>
      <c r="U36" s="412">
        <f t="shared" si="22"/>
        <v>2.8143334331608091E-2</v>
      </c>
      <c r="V36" s="409">
        <v>520.77</v>
      </c>
      <c r="W36" s="409">
        <v>0.92</v>
      </c>
      <c r="X36" s="409">
        <v>263.43</v>
      </c>
      <c r="Y36" s="409">
        <f t="shared" si="17"/>
        <v>9890.1800000000039</v>
      </c>
      <c r="Z36" s="413">
        <f t="shared" si="18"/>
        <v>2.8127867922987101E-2</v>
      </c>
    </row>
    <row r="37" spans="1:26" ht="11.25" customHeight="1" x14ac:dyDescent="0.3">
      <c r="A37" s="410">
        <f t="shared" si="0"/>
        <v>59</v>
      </c>
      <c r="B37" s="411">
        <v>42095</v>
      </c>
      <c r="C37" s="415">
        <v>42185</v>
      </c>
      <c r="D37" s="399">
        <f t="shared" si="1"/>
        <v>4068.3700000000003</v>
      </c>
      <c r="E37" s="341">
        <f t="shared" ref="E37:F37" si="41">I37+N37+S37+X37</f>
        <v>-226.57999999999998</v>
      </c>
      <c r="F37" s="341">
        <f t="shared" si="41"/>
        <v>146760.63999999998</v>
      </c>
      <c r="G37" s="285">
        <f t="shared" si="4"/>
        <v>-1.5631269810942559E-3</v>
      </c>
      <c r="H37" s="408">
        <v>1804.98</v>
      </c>
      <c r="I37" s="408">
        <v>123.14</v>
      </c>
      <c r="J37" s="408">
        <f t="shared" si="9"/>
        <v>65032.87000000001</v>
      </c>
      <c r="K37" s="412">
        <f t="shared" si="5"/>
        <v>1.9238448650496412E-3</v>
      </c>
      <c r="L37" s="409">
        <v>165.03</v>
      </c>
      <c r="M37" s="409"/>
      <c r="N37" s="409">
        <v>69.069999999999993</v>
      </c>
      <c r="O37" s="409">
        <f t="shared" si="6"/>
        <v>29413.249999999993</v>
      </c>
      <c r="P37" s="413">
        <f t="shared" si="7"/>
        <v>2.3604261753389635E-3</v>
      </c>
      <c r="Q37" s="408">
        <v>1653.25</v>
      </c>
      <c r="R37" s="408">
        <v>0</v>
      </c>
      <c r="S37" s="408">
        <v>-336.09</v>
      </c>
      <c r="T37" s="408">
        <f t="shared" si="21"/>
        <v>42061.930000000008</v>
      </c>
      <c r="U37" s="412">
        <f t="shared" si="22"/>
        <v>-8.0846457040953269E-3</v>
      </c>
      <c r="V37" s="409">
        <v>445.11</v>
      </c>
      <c r="W37" s="409">
        <v>0</v>
      </c>
      <c r="X37" s="409">
        <v>-82.7</v>
      </c>
      <c r="Y37" s="409">
        <f t="shared" si="17"/>
        <v>10252.590000000004</v>
      </c>
      <c r="Z37" s="413">
        <f t="shared" si="18"/>
        <v>-8.177807487292011E-3</v>
      </c>
    </row>
    <row r="38" spans="1:26" ht="11.25" customHeight="1" x14ac:dyDescent="0.3">
      <c r="A38" s="410">
        <f t="shared" si="0"/>
        <v>70</v>
      </c>
      <c r="B38" s="411">
        <v>42186</v>
      </c>
      <c r="C38" s="415">
        <v>42277</v>
      </c>
      <c r="D38" s="399">
        <f t="shared" si="1"/>
        <v>5794.38</v>
      </c>
      <c r="E38" s="341">
        <f t="shared" ref="E38:F38" si="42">I38+N38+S38+X38</f>
        <v>-10558.59</v>
      </c>
      <c r="F38" s="341">
        <f t="shared" si="42"/>
        <v>141996.43</v>
      </c>
      <c r="G38" s="285">
        <f t="shared" si="4"/>
        <v>-7.0551537463826655E-2</v>
      </c>
      <c r="H38" s="408">
        <v>2219.66</v>
      </c>
      <c r="I38" s="408">
        <v>-4630.16</v>
      </c>
      <c r="J38" s="408">
        <f t="shared" si="9"/>
        <v>62622.37000000001</v>
      </c>
      <c r="K38" s="412">
        <f t="shared" si="5"/>
        <v>-7.0002585319317162E-2</v>
      </c>
      <c r="L38" s="409">
        <v>845.66</v>
      </c>
      <c r="M38" s="409"/>
      <c r="N38" s="409">
        <v>-2066.1999999999998</v>
      </c>
      <c r="O38" s="409">
        <f t="shared" si="6"/>
        <v>28192.709999999992</v>
      </c>
      <c r="P38" s="413">
        <f t="shared" si="7"/>
        <v>-6.9251724757407818E-2</v>
      </c>
      <c r="Q38" s="408">
        <v>2150.17</v>
      </c>
      <c r="R38" s="408">
        <v>0</v>
      </c>
      <c r="S38" s="408">
        <v>-3103.52</v>
      </c>
      <c r="T38" s="408">
        <f t="shared" si="21"/>
        <v>41108.580000000009</v>
      </c>
      <c r="U38" s="412">
        <f t="shared" si="22"/>
        <v>-7.1945636479482863E-2</v>
      </c>
      <c r="V38" s="409">
        <v>578.89</v>
      </c>
      <c r="W38" s="409">
        <v>0</v>
      </c>
      <c r="X38" s="409">
        <v>-758.71</v>
      </c>
      <c r="Y38" s="409">
        <f t="shared" si="17"/>
        <v>10072.770000000004</v>
      </c>
      <c r="Z38" s="413">
        <f t="shared" si="18"/>
        <v>-7.1969975436431369E-2</v>
      </c>
    </row>
    <row r="39" spans="1:26" ht="11.25" customHeight="1" x14ac:dyDescent="0.3">
      <c r="A39" s="410">
        <f t="shared" si="0"/>
        <v>32</v>
      </c>
      <c r="B39" s="411">
        <v>42278</v>
      </c>
      <c r="C39" s="415">
        <v>42369</v>
      </c>
      <c r="D39" s="399">
        <f t="shared" si="1"/>
        <v>5396.380000000001</v>
      </c>
      <c r="E39" s="341">
        <f t="shared" ref="E39:F39" si="43">I39+N39+S39+X39</f>
        <v>6605.6100000000006</v>
      </c>
      <c r="F39" s="341">
        <f t="shared" si="43"/>
        <v>154009.28</v>
      </c>
      <c r="G39" s="285">
        <f t="shared" si="4"/>
        <v>4.565207745802851E-2</v>
      </c>
      <c r="H39" s="408">
        <v>2032.6799999999998</v>
      </c>
      <c r="I39" s="408">
        <v>2853.65</v>
      </c>
      <c r="J39" s="408">
        <f t="shared" si="9"/>
        <v>67508.700000000012</v>
      </c>
      <c r="K39" s="412">
        <f t="shared" si="5"/>
        <v>4.4841418061428329E-2</v>
      </c>
      <c r="L39" s="409">
        <v>419.55</v>
      </c>
      <c r="M39" s="409"/>
      <c r="N39" s="409">
        <v>1292.8499999999999</v>
      </c>
      <c r="O39" s="409">
        <f t="shared" si="6"/>
        <v>29905.10999999999</v>
      </c>
      <c r="P39" s="413">
        <f t="shared" si="7"/>
        <v>4.5518904419806938E-2</v>
      </c>
      <c r="Q39" s="408">
        <v>2319.63</v>
      </c>
      <c r="R39" s="408">
        <v>8.6199999999999992</v>
      </c>
      <c r="S39" s="408">
        <v>1975.43</v>
      </c>
      <c r="T39" s="408">
        <f t="shared" si="21"/>
        <v>45412.260000000009</v>
      </c>
      <c r="U39" s="412">
        <f t="shared" si="22"/>
        <v>4.6735391774397859E-2</v>
      </c>
      <c r="V39" s="409">
        <v>624.52</v>
      </c>
      <c r="W39" s="409">
        <v>2.2400000000000002</v>
      </c>
      <c r="X39" s="409">
        <v>483.68</v>
      </c>
      <c r="Y39" s="409">
        <f t="shared" si="17"/>
        <v>11183.210000000005</v>
      </c>
      <c r="Z39" s="413">
        <f t="shared" si="18"/>
        <v>4.6574733053250668E-2</v>
      </c>
    </row>
    <row r="40" spans="1:26" ht="11.25" customHeight="1" x14ac:dyDescent="0.3">
      <c r="A40" s="410">
        <f t="shared" si="0"/>
        <v>53</v>
      </c>
      <c r="B40" s="411">
        <v>42370</v>
      </c>
      <c r="C40" s="415">
        <v>42460</v>
      </c>
      <c r="D40" s="399">
        <f t="shared" si="1"/>
        <v>5972.98</v>
      </c>
      <c r="E40" s="341">
        <f t="shared" ref="E40:F40" si="44">I40+N40+S40+X40</f>
        <v>1204.92</v>
      </c>
      <c r="F40" s="341">
        <f t="shared" si="44"/>
        <v>161187.18000000002</v>
      </c>
      <c r="G40" s="285">
        <f t="shared" si="4"/>
        <v>7.6748564626932317E-3</v>
      </c>
      <c r="H40" s="408">
        <v>2391.1600000000003</v>
      </c>
      <c r="I40" s="408">
        <v>216.96</v>
      </c>
      <c r="J40" s="408">
        <f t="shared" si="9"/>
        <v>70116.820000000022</v>
      </c>
      <c r="K40" s="412">
        <f t="shared" si="5"/>
        <v>3.1578818670394328E-3</v>
      </c>
      <c r="L40" s="409">
        <v>257.87</v>
      </c>
      <c r="M40" s="409"/>
      <c r="N40" s="409">
        <v>53.78</v>
      </c>
      <c r="O40" s="409">
        <f t="shared" si="6"/>
        <v>30216.759999999987</v>
      </c>
      <c r="P40" s="413">
        <f t="shared" si="7"/>
        <v>1.7906345948406222E-3</v>
      </c>
      <c r="Q40" s="408">
        <v>2618.87</v>
      </c>
      <c r="R40" s="408">
        <v>0</v>
      </c>
      <c r="S40" s="408">
        <v>746.75</v>
      </c>
      <c r="T40" s="408">
        <f t="shared" si="21"/>
        <v>48777.880000000012</v>
      </c>
      <c r="U40" s="412">
        <f t="shared" si="22"/>
        <v>1.5982938975137778E-2</v>
      </c>
      <c r="V40" s="409">
        <v>705.08</v>
      </c>
      <c r="W40" s="409">
        <v>0</v>
      </c>
      <c r="X40" s="409">
        <v>187.43</v>
      </c>
      <c r="Y40" s="409">
        <f t="shared" si="17"/>
        <v>12075.720000000005</v>
      </c>
      <c r="Z40" s="413">
        <f t="shared" si="18"/>
        <v>1.6247751554948738E-2</v>
      </c>
    </row>
    <row r="41" spans="1:26" ht="11.25" customHeight="1" x14ac:dyDescent="0.3">
      <c r="A41" s="410">
        <f t="shared" si="0"/>
        <v>47</v>
      </c>
      <c r="B41" s="411">
        <v>42461</v>
      </c>
      <c r="C41" s="415">
        <v>42551</v>
      </c>
      <c r="D41" s="399">
        <f t="shared" si="1"/>
        <v>5490.93</v>
      </c>
      <c r="E41" s="341">
        <f t="shared" ref="E41:F41" si="45">I41+N41+S41+X41</f>
        <v>2765.2200000000003</v>
      </c>
      <c r="F41" s="341">
        <f t="shared" si="45"/>
        <v>169443.33000000005</v>
      </c>
      <c r="G41" s="285">
        <f t="shared" si="4"/>
        <v>1.6868025279528673E-2</v>
      </c>
      <c r="H41" s="408">
        <v>2056.3200000000002</v>
      </c>
      <c r="I41" s="408">
        <v>1078.08</v>
      </c>
      <c r="J41" s="408">
        <f t="shared" si="9"/>
        <v>73251.22000000003</v>
      </c>
      <c r="K41" s="412">
        <f t="shared" si="5"/>
        <v>1.5153282775538056E-2</v>
      </c>
      <c r="L41" s="409">
        <v>365.3</v>
      </c>
      <c r="M41" s="409"/>
      <c r="N41" s="409">
        <v>458.99</v>
      </c>
      <c r="O41" s="409">
        <f t="shared" si="6"/>
        <v>31041.049999999988</v>
      </c>
      <c r="P41" s="413">
        <f t="shared" si="7"/>
        <v>1.5098648296134701E-2</v>
      </c>
      <c r="Q41" s="408">
        <v>2418.2399999999998</v>
      </c>
      <c r="R41" s="408">
        <v>0</v>
      </c>
      <c r="S41" s="408">
        <v>984.08</v>
      </c>
      <c r="T41" s="408">
        <f t="shared" si="21"/>
        <v>52180.200000000012</v>
      </c>
      <c r="U41" s="412">
        <f t="shared" si="22"/>
        <v>1.968671854682217E-2</v>
      </c>
      <c r="V41" s="409">
        <v>651.07000000000005</v>
      </c>
      <c r="W41" s="409">
        <v>0</v>
      </c>
      <c r="X41" s="409">
        <v>244.07</v>
      </c>
      <c r="Y41" s="409">
        <f t="shared" si="17"/>
        <v>12970.860000000004</v>
      </c>
      <c r="Z41" s="413">
        <f t="shared" si="18"/>
        <v>1.9681072601119797E-2</v>
      </c>
    </row>
    <row r="42" spans="1:26" ht="11.25" customHeight="1" x14ac:dyDescent="0.3">
      <c r="A42" s="410">
        <f t="shared" si="0"/>
        <v>33</v>
      </c>
      <c r="B42" s="411">
        <v>42552</v>
      </c>
      <c r="C42" s="415">
        <v>42643</v>
      </c>
      <c r="D42" s="399">
        <f t="shared" si="1"/>
        <v>6394.45</v>
      </c>
      <c r="E42" s="341">
        <f t="shared" ref="E42:F42" si="46">I42+N42+S42+X42</f>
        <v>7537.78</v>
      </c>
      <c r="F42" s="341">
        <f t="shared" si="46"/>
        <v>183375.56000000003</v>
      </c>
      <c r="G42" s="285">
        <f t="shared" si="4"/>
        <v>4.3661699303503727E-2</v>
      </c>
      <c r="H42" s="408">
        <v>2432.4899999999998</v>
      </c>
      <c r="I42" s="408">
        <v>3287.43</v>
      </c>
      <c r="J42" s="408">
        <f t="shared" si="9"/>
        <v>78971.140000000029</v>
      </c>
      <c r="K42" s="412">
        <f t="shared" si="5"/>
        <v>4.4145856180279518E-2</v>
      </c>
      <c r="L42" s="409">
        <v>580.16</v>
      </c>
      <c r="M42" s="409"/>
      <c r="N42" s="409">
        <v>1388.59</v>
      </c>
      <c r="O42" s="409">
        <f t="shared" si="6"/>
        <v>33009.799999999988</v>
      </c>
      <c r="P42" s="413">
        <f t="shared" si="7"/>
        <v>4.4319818659588735E-2</v>
      </c>
      <c r="Q42" s="408">
        <v>2664.45</v>
      </c>
      <c r="R42" s="408">
        <v>0</v>
      </c>
      <c r="S42" s="408">
        <v>2291.5500000000002</v>
      </c>
      <c r="T42" s="408">
        <f t="shared" si="21"/>
        <v>57136.200000000012</v>
      </c>
      <c r="U42" s="412">
        <f t="shared" si="22"/>
        <v>4.2822764993363689E-2</v>
      </c>
      <c r="V42" s="409">
        <v>717.35</v>
      </c>
      <c r="W42" s="409">
        <v>0</v>
      </c>
      <c r="X42" s="409">
        <v>570.21</v>
      </c>
      <c r="Y42" s="409">
        <f t="shared" si="17"/>
        <v>14258.420000000006</v>
      </c>
      <c r="Z42" s="413">
        <f t="shared" si="18"/>
        <v>4.2777936364621863E-2</v>
      </c>
    </row>
    <row r="43" spans="1:26" ht="11.25" customHeight="1" x14ac:dyDescent="0.3">
      <c r="A43" s="410">
        <f t="shared" si="0"/>
        <v>48</v>
      </c>
      <c r="B43" s="411">
        <v>42644</v>
      </c>
      <c r="C43" s="415">
        <v>42735</v>
      </c>
      <c r="D43" s="399">
        <f t="shared" si="1"/>
        <v>5352.59</v>
      </c>
      <c r="E43" s="341">
        <f t="shared" ref="E43:F43" si="47">I43+N43+S43+X43</f>
        <v>3018.9100000000003</v>
      </c>
      <c r="F43" s="341">
        <f t="shared" si="47"/>
        <v>191754.43000000002</v>
      </c>
      <c r="G43" s="285">
        <f t="shared" si="4"/>
        <v>1.6226175224106201E-2</v>
      </c>
      <c r="H43" s="408">
        <v>2123.2200000000003</v>
      </c>
      <c r="I43" s="408">
        <v>1866.38</v>
      </c>
      <c r="J43" s="408">
        <f t="shared" si="9"/>
        <v>82960.740000000034</v>
      </c>
      <c r="K43" s="412">
        <f t="shared" si="5"/>
        <v>2.3320203291777423E-2</v>
      </c>
      <c r="L43" s="409">
        <v>257.85000000000002</v>
      </c>
      <c r="M43" s="409"/>
      <c r="N43" s="409">
        <v>769.01</v>
      </c>
      <c r="O43" s="409">
        <f t="shared" si="6"/>
        <v>34036.659999999989</v>
      </c>
      <c r="P43" s="413">
        <f t="shared" si="7"/>
        <v>2.320578115180956E-2</v>
      </c>
      <c r="Q43" s="408">
        <v>2341.19</v>
      </c>
      <c r="R43" s="408">
        <v>6.28</v>
      </c>
      <c r="S43" s="408">
        <v>306.20999999999998</v>
      </c>
      <c r="T43" s="408">
        <f t="shared" si="21"/>
        <v>59789.880000000012</v>
      </c>
      <c r="U43" s="412">
        <f t="shared" si="22"/>
        <v>5.2517035107143154E-3</v>
      </c>
      <c r="V43" s="409">
        <v>630.33000000000004</v>
      </c>
      <c r="W43" s="409">
        <v>1.0900000000000001</v>
      </c>
      <c r="X43" s="409">
        <v>77.31</v>
      </c>
      <c r="Y43" s="409">
        <f t="shared" si="17"/>
        <v>14967.150000000005</v>
      </c>
      <c r="Z43" s="413">
        <f t="shared" si="18"/>
        <v>5.3048031764318781E-3</v>
      </c>
    </row>
    <row r="44" spans="1:26" ht="11.25" customHeight="1" x14ac:dyDescent="0.3">
      <c r="A44" s="410">
        <f t="shared" si="0"/>
        <v>27</v>
      </c>
      <c r="B44" s="411">
        <v>42736</v>
      </c>
      <c r="C44" s="415">
        <v>42825</v>
      </c>
      <c r="D44" s="399">
        <f t="shared" si="1"/>
        <v>6321.97</v>
      </c>
      <c r="E44" s="341">
        <f t="shared" ref="E44:F44" si="48">I44+N44+S44+X44</f>
        <v>10772.96</v>
      </c>
      <c r="F44" s="341">
        <f t="shared" si="48"/>
        <v>208849.36000000004</v>
      </c>
      <c r="G44" s="285">
        <f t="shared" si="4"/>
        <v>5.5269923109980801E-2</v>
      </c>
      <c r="H44" s="408">
        <v>2507.04</v>
      </c>
      <c r="I44" s="408">
        <v>4436.24</v>
      </c>
      <c r="J44" s="408">
        <f t="shared" si="9"/>
        <v>89904.020000000033</v>
      </c>
      <c r="K44" s="412">
        <f t="shared" si="5"/>
        <v>5.2678014388537024E-2</v>
      </c>
      <c r="L44" s="409">
        <v>263.27999999999997</v>
      </c>
      <c r="M44" s="409"/>
      <c r="N44" s="409">
        <v>1801.81</v>
      </c>
      <c r="O44" s="409">
        <f t="shared" si="6"/>
        <v>36101.749999999985</v>
      </c>
      <c r="P44" s="413">
        <f t="shared" si="7"/>
        <v>5.2733381526151452E-2</v>
      </c>
      <c r="Q44" s="408">
        <v>2798.2700000000004</v>
      </c>
      <c r="R44" s="408">
        <v>0</v>
      </c>
      <c r="S44" s="408">
        <v>3626</v>
      </c>
      <c r="T44" s="408">
        <f t="shared" si="21"/>
        <v>66214.150000000009</v>
      </c>
      <c r="U44" s="412">
        <f t="shared" si="22"/>
        <v>5.9259002616727841E-2</v>
      </c>
      <c r="V44" s="409">
        <v>753.38</v>
      </c>
      <c r="W44" s="409">
        <v>0</v>
      </c>
      <c r="X44" s="409">
        <v>908.91</v>
      </c>
      <c r="Y44" s="409">
        <f t="shared" si="17"/>
        <v>16629.440000000006</v>
      </c>
      <c r="Z44" s="413">
        <f t="shared" si="18"/>
        <v>5.9236149490609888E-2</v>
      </c>
    </row>
    <row r="45" spans="1:26" ht="11.25" customHeight="1" x14ac:dyDescent="0.3">
      <c r="A45" s="410">
        <f t="shared" si="0"/>
        <v>38</v>
      </c>
      <c r="B45" s="411">
        <v>42826</v>
      </c>
      <c r="C45" s="411">
        <v>42916</v>
      </c>
      <c r="D45" s="399">
        <f t="shared" si="1"/>
        <v>6130.92</v>
      </c>
      <c r="E45" s="341">
        <f t="shared" ref="E45:F45" si="49">I45+N45+S45+X45</f>
        <v>7656.6699999999992</v>
      </c>
      <c r="F45" s="341">
        <f t="shared" si="49"/>
        <v>222636.95</v>
      </c>
      <c r="G45" s="285">
        <f t="shared" si="4"/>
        <v>3.6130885041452024E-2</v>
      </c>
      <c r="H45" s="408">
        <v>2519.0200000000004</v>
      </c>
      <c r="I45" s="408">
        <v>3138.16</v>
      </c>
      <c r="J45" s="408">
        <f t="shared" si="9"/>
        <v>95561.200000000041</v>
      </c>
      <c r="K45" s="412">
        <f t="shared" si="5"/>
        <v>3.4423414714195459E-2</v>
      </c>
      <c r="L45" s="409">
        <v>329.1</v>
      </c>
      <c r="M45" s="409"/>
      <c r="N45" s="409">
        <v>1254.71</v>
      </c>
      <c r="O45" s="409">
        <f t="shared" si="6"/>
        <v>37685.559999999983</v>
      </c>
      <c r="P45" s="413">
        <f t="shared" si="7"/>
        <v>3.4597132875424305E-2</v>
      </c>
      <c r="Q45" s="408">
        <v>2586.4499999999998</v>
      </c>
      <c r="R45" s="408">
        <v>0</v>
      </c>
      <c r="S45" s="408">
        <v>2608.19</v>
      </c>
      <c r="T45" s="408">
        <f t="shared" si="21"/>
        <v>71408.790000000008</v>
      </c>
      <c r="U45" s="412">
        <f t="shared" si="22"/>
        <v>3.8635630551476778E-2</v>
      </c>
      <c r="V45" s="409">
        <v>696.35</v>
      </c>
      <c r="W45" s="409">
        <v>0</v>
      </c>
      <c r="X45" s="409">
        <v>655.61</v>
      </c>
      <c r="Y45" s="409">
        <f t="shared" si="17"/>
        <v>17981.400000000005</v>
      </c>
      <c r="Z45" s="413">
        <f t="shared" si="18"/>
        <v>3.8616142491156726E-2</v>
      </c>
    </row>
    <row r="46" spans="1:26" ht="11.25" customHeight="1" x14ac:dyDescent="0.3">
      <c r="A46" s="410">
        <f t="shared" si="0"/>
        <v>34</v>
      </c>
      <c r="B46" s="411">
        <v>42917</v>
      </c>
      <c r="C46" s="411">
        <v>43008</v>
      </c>
      <c r="D46" s="399">
        <f t="shared" si="1"/>
        <v>6326.3899999999994</v>
      </c>
      <c r="E46" s="341">
        <f t="shared" ref="E46:F46" si="50">I46+N46+S46+X46</f>
        <v>9681.82</v>
      </c>
      <c r="F46" s="341">
        <f t="shared" si="50"/>
        <v>238645.16</v>
      </c>
      <c r="G46" s="285">
        <f t="shared" si="4"/>
        <v>4.2877828975707695E-2</v>
      </c>
      <c r="H46" s="408">
        <v>2193</v>
      </c>
      <c r="I46" s="408">
        <v>4008.93</v>
      </c>
      <c r="J46" s="408">
        <f t="shared" si="9"/>
        <v>101763.13000000003</v>
      </c>
      <c r="K46" s="412">
        <f t="shared" si="5"/>
        <v>4.1475536868764706E-2</v>
      </c>
      <c r="L46" s="409">
        <v>614.30999999999995</v>
      </c>
      <c r="M46" s="409"/>
      <c r="N46" s="409">
        <v>1571.89</v>
      </c>
      <c r="O46" s="409">
        <f t="shared" si="6"/>
        <v>39871.75999999998</v>
      </c>
      <c r="P46" s="413">
        <f t="shared" si="7"/>
        <v>4.1373458043206461E-2</v>
      </c>
      <c r="Q46" s="408">
        <v>2772.6</v>
      </c>
      <c r="R46" s="408">
        <v>0</v>
      </c>
      <c r="S46" s="408">
        <v>3275.23</v>
      </c>
      <c r="T46" s="408">
        <f t="shared" si="21"/>
        <v>77456.62000000001</v>
      </c>
      <c r="U46" s="412">
        <f t="shared" si="22"/>
        <v>4.4992457595697727E-2</v>
      </c>
      <c r="V46" s="409">
        <v>746.48</v>
      </c>
      <c r="W46" s="409">
        <v>0</v>
      </c>
      <c r="X46" s="409">
        <v>825.77</v>
      </c>
      <c r="Y46" s="409">
        <f t="shared" si="17"/>
        <v>19553.650000000005</v>
      </c>
      <c r="Z46" s="413">
        <f t="shared" si="18"/>
        <v>4.498971377264821E-2</v>
      </c>
    </row>
    <row r="47" spans="1:26" ht="11.25" customHeight="1" x14ac:dyDescent="0.3">
      <c r="A47" s="410">
        <f t="shared" si="0"/>
        <v>30</v>
      </c>
      <c r="B47" s="411">
        <v>43009</v>
      </c>
      <c r="C47" s="411">
        <v>43100</v>
      </c>
      <c r="D47" s="399">
        <f t="shared" si="1"/>
        <v>6272.63</v>
      </c>
      <c r="E47" s="341">
        <f t="shared" ref="E47:F47" si="51">I47+N47+S47+X47</f>
        <v>11946.29</v>
      </c>
      <c r="F47" s="341">
        <f t="shared" si="51"/>
        <v>256868.65000000002</v>
      </c>
      <c r="G47" s="285">
        <f t="shared" si="4"/>
        <v>4.9409451241043179E-2</v>
      </c>
      <c r="H47" s="408">
        <v>2226.84</v>
      </c>
      <c r="I47" s="408">
        <v>4866.43</v>
      </c>
      <c r="J47" s="408">
        <f t="shared" si="9"/>
        <v>108856.40000000002</v>
      </c>
      <c r="K47" s="412">
        <f t="shared" si="5"/>
        <v>4.7303588621507998E-2</v>
      </c>
      <c r="L47" s="409">
        <v>1158.25</v>
      </c>
      <c r="M47" s="409"/>
      <c r="N47" s="409">
        <v>1923.03</v>
      </c>
      <c r="O47" s="409">
        <f t="shared" si="6"/>
        <v>42953.039999999979</v>
      </c>
      <c r="P47" s="413">
        <f t="shared" si="7"/>
        <v>4.7539874591124541E-2</v>
      </c>
      <c r="Q47" s="408">
        <v>2275.04</v>
      </c>
      <c r="R47" s="408">
        <v>4.5599999999999996</v>
      </c>
      <c r="S47" s="408">
        <v>4116.6000000000004</v>
      </c>
      <c r="T47" s="408">
        <f t="shared" si="21"/>
        <v>83852.820000000007</v>
      </c>
      <c r="U47" s="412">
        <f t="shared" si="22"/>
        <v>5.2377950824323539E-2</v>
      </c>
      <c r="V47" s="409">
        <v>612.5</v>
      </c>
      <c r="W47" s="409">
        <v>0.01</v>
      </c>
      <c r="X47" s="409">
        <v>1040.23</v>
      </c>
      <c r="Y47" s="409">
        <f t="shared" si="17"/>
        <v>21206.390000000003</v>
      </c>
      <c r="Z47" s="413">
        <f t="shared" si="18"/>
        <v>5.2378410767425804E-2</v>
      </c>
    </row>
    <row r="48" spans="1:26" ht="11.25" customHeight="1" x14ac:dyDescent="0.3">
      <c r="A48" s="410">
        <f t="shared" si="0"/>
        <v>61</v>
      </c>
      <c r="B48" s="411">
        <v>43101</v>
      </c>
      <c r="C48" s="411">
        <v>43190</v>
      </c>
      <c r="D48" s="399">
        <f t="shared" si="1"/>
        <v>6576.6399999999994</v>
      </c>
      <c r="E48" s="341">
        <f t="shared" ref="E48:F48" si="52">I48+N48+S48+X48</f>
        <v>-1986.06</v>
      </c>
      <c r="F48" s="341">
        <f t="shared" si="52"/>
        <v>261459.23</v>
      </c>
      <c r="G48" s="285">
        <f t="shared" si="4"/>
        <v>-7.634083376662942E-3</v>
      </c>
      <c r="H48" s="408">
        <v>2629.98</v>
      </c>
      <c r="I48" s="408">
        <v>-625.94000000000005</v>
      </c>
      <c r="J48" s="408">
        <f t="shared" si="9"/>
        <v>110860.44000000002</v>
      </c>
      <c r="K48" s="412">
        <f t="shared" si="5"/>
        <v>-5.6815113252179162E-3</v>
      </c>
      <c r="L48" s="409">
        <v>278.63</v>
      </c>
      <c r="M48" s="409"/>
      <c r="N48" s="409">
        <v>-225.64</v>
      </c>
      <c r="O48" s="409">
        <f t="shared" si="6"/>
        <v>43006.029999999977</v>
      </c>
      <c r="P48" s="413">
        <f t="shared" si="7"/>
        <v>-5.2361956082465225E-3</v>
      </c>
      <c r="Q48" s="408">
        <v>2889.97</v>
      </c>
      <c r="R48" s="408">
        <v>0</v>
      </c>
      <c r="S48" s="408">
        <v>-904.56</v>
      </c>
      <c r="T48" s="408">
        <f t="shared" si="21"/>
        <v>85838.23000000001</v>
      </c>
      <c r="U48" s="412">
        <f t="shared" si="22"/>
        <v>-1.0604727753545356E-2</v>
      </c>
      <c r="V48" s="409">
        <v>778.06</v>
      </c>
      <c r="W48" s="409">
        <v>0</v>
      </c>
      <c r="X48" s="409">
        <v>-229.92</v>
      </c>
      <c r="Y48" s="409">
        <f t="shared" si="17"/>
        <v>21754.530000000006</v>
      </c>
      <c r="Z48" s="413">
        <f t="shared" si="18"/>
        <v>-1.0646701939577927E-2</v>
      </c>
    </row>
    <row r="49" spans="1:26" ht="11.25" customHeight="1" x14ac:dyDescent="0.3">
      <c r="A49" s="410">
        <f t="shared" si="0"/>
        <v>44</v>
      </c>
      <c r="B49" s="411">
        <v>43191</v>
      </c>
      <c r="C49" s="411">
        <v>43281</v>
      </c>
      <c r="D49" s="399">
        <f t="shared" si="1"/>
        <v>6412.6500000000005</v>
      </c>
      <c r="E49" s="341">
        <f t="shared" ref="E49:F49" si="53">I49+N49+S49+X49</f>
        <v>4812.1499999999996</v>
      </c>
      <c r="F49" s="341">
        <f t="shared" si="53"/>
        <v>272684.03000000003</v>
      </c>
      <c r="G49" s="285">
        <f t="shared" si="4"/>
        <v>1.8182003321134857E-2</v>
      </c>
      <c r="H49" s="408">
        <v>2454.0100000000002</v>
      </c>
      <c r="I49" s="408">
        <v>2306.91</v>
      </c>
      <c r="J49" s="408">
        <f t="shared" si="9"/>
        <v>115621.36000000002</v>
      </c>
      <c r="K49" s="412">
        <f t="shared" si="5"/>
        <v>2.058134164803203E-2</v>
      </c>
      <c r="L49" s="409">
        <v>633.24</v>
      </c>
      <c r="M49" s="409"/>
      <c r="N49" s="409">
        <v>892.71</v>
      </c>
      <c r="O49" s="409">
        <f t="shared" si="6"/>
        <v>44531.979999999974</v>
      </c>
      <c r="P49" s="413">
        <f t="shared" si="7"/>
        <v>2.0606080191308714E-2</v>
      </c>
      <c r="Q49" s="408">
        <v>2620.0100000000002</v>
      </c>
      <c r="R49" s="408">
        <v>0</v>
      </c>
      <c r="S49" s="408">
        <v>1286.52</v>
      </c>
      <c r="T49" s="408">
        <f t="shared" si="21"/>
        <v>89744.760000000009</v>
      </c>
      <c r="U49" s="412">
        <f t="shared" si="22"/>
        <v>1.4762433226559318E-2</v>
      </c>
      <c r="V49" s="409">
        <v>705.39</v>
      </c>
      <c r="W49" s="409">
        <v>0</v>
      </c>
      <c r="X49" s="409">
        <v>326.01</v>
      </c>
      <c r="Y49" s="409">
        <f t="shared" si="17"/>
        <v>22785.930000000004</v>
      </c>
      <c r="Z49" s="413">
        <f t="shared" si="18"/>
        <v>1.4746762653385936E-2</v>
      </c>
    </row>
    <row r="50" spans="1:26" ht="11.25" customHeight="1" x14ac:dyDescent="0.3">
      <c r="A50" s="410">
        <f t="shared" si="0"/>
        <v>36</v>
      </c>
      <c r="B50" s="411">
        <v>43282</v>
      </c>
      <c r="C50" s="411">
        <v>43373</v>
      </c>
      <c r="D50" s="399">
        <f t="shared" si="1"/>
        <v>5881.42</v>
      </c>
      <c r="E50" s="341">
        <f t="shared" ref="E50:F50" si="54">I50+N50+S50+X50</f>
        <v>11350.779999999999</v>
      </c>
      <c r="F50" s="341">
        <f t="shared" si="54"/>
        <v>289916.23</v>
      </c>
      <c r="G50" s="285">
        <f t="shared" si="4"/>
        <v>4.1182007101394441E-2</v>
      </c>
      <c r="H50" s="408">
        <v>2076.4699999999998</v>
      </c>
      <c r="I50" s="408">
        <v>5094.57</v>
      </c>
      <c r="J50" s="408">
        <f t="shared" si="9"/>
        <v>122792.40000000002</v>
      </c>
      <c r="K50" s="412">
        <f t="shared" si="5"/>
        <v>4.3670389906633904E-2</v>
      </c>
      <c r="L50" s="409">
        <v>303.95999999999998</v>
      </c>
      <c r="M50" s="409"/>
      <c r="N50" s="409">
        <v>1955.79</v>
      </c>
      <c r="O50" s="409">
        <f t="shared" si="6"/>
        <v>46791.729999999974</v>
      </c>
      <c r="P50" s="413">
        <f t="shared" si="7"/>
        <v>4.3769397340790765E-2</v>
      </c>
      <c r="Q50" s="408">
        <v>2758.34</v>
      </c>
      <c r="R50" s="408">
        <v>0</v>
      </c>
      <c r="S50" s="408">
        <v>3429.13</v>
      </c>
      <c r="T50" s="408">
        <f t="shared" si="21"/>
        <v>95932.23000000001</v>
      </c>
      <c r="U50" s="412">
        <f t="shared" si="22"/>
        <v>3.7631498114710372E-2</v>
      </c>
      <c r="V50" s="409">
        <v>742.65</v>
      </c>
      <c r="W50" s="409">
        <v>0</v>
      </c>
      <c r="X50" s="409">
        <v>871.29</v>
      </c>
      <c r="Y50" s="409">
        <f t="shared" si="17"/>
        <v>24399.870000000006</v>
      </c>
      <c r="Z50" s="413">
        <f t="shared" si="18"/>
        <v>3.7624925752210256E-2</v>
      </c>
    </row>
    <row r="51" spans="1:26" ht="11.25" customHeight="1" x14ac:dyDescent="0.3">
      <c r="A51" s="410">
        <f t="shared" si="0"/>
        <v>72</v>
      </c>
      <c r="B51" s="411">
        <v>43374</v>
      </c>
      <c r="C51" s="411">
        <v>43465</v>
      </c>
      <c r="D51" s="399">
        <f t="shared" si="1"/>
        <v>6077.6</v>
      </c>
      <c r="E51" s="341">
        <f t="shared" ref="E51:F51" si="55">I51+N51+S51+X51</f>
        <v>-33155.630000000005</v>
      </c>
      <c r="F51" s="341">
        <f t="shared" si="55"/>
        <v>262846.91000000003</v>
      </c>
      <c r="G51" s="285">
        <f t="shared" si="4"/>
        <v>-0.11317651722859992</v>
      </c>
      <c r="H51" s="408">
        <v>2265.2399999999998</v>
      </c>
      <c r="I51" s="408">
        <v>-14051.78</v>
      </c>
      <c r="J51" s="408">
        <f t="shared" si="9"/>
        <v>111005.86000000003</v>
      </c>
      <c r="K51" s="412">
        <f t="shared" si="5"/>
        <v>-0.11338937044351495</v>
      </c>
      <c r="L51" s="409">
        <v>303.95999999999998</v>
      </c>
      <c r="M51" s="409"/>
      <c r="N51" s="409">
        <v>-5317.24</v>
      </c>
      <c r="O51" s="409">
        <f t="shared" si="6"/>
        <v>41778.449999999975</v>
      </c>
      <c r="P51" s="413">
        <f t="shared" si="7"/>
        <v>-0.11326842296870022</v>
      </c>
      <c r="Q51" s="408">
        <v>2764.1800000000003</v>
      </c>
      <c r="R51" s="408">
        <v>7.98</v>
      </c>
      <c r="S51" s="408">
        <v>-10989.38</v>
      </c>
      <c r="T51" s="408">
        <f t="shared" si="21"/>
        <v>87715.01</v>
      </c>
      <c r="U51" s="412">
        <f t="shared" si="22"/>
        <v>-0.11292664841104576</v>
      </c>
      <c r="V51" s="409">
        <v>744.22</v>
      </c>
      <c r="W51" s="409">
        <v>0.73</v>
      </c>
      <c r="X51" s="409">
        <v>-2797.23</v>
      </c>
      <c r="Y51" s="409">
        <f t="shared" si="17"/>
        <v>22347.590000000007</v>
      </c>
      <c r="Z51" s="413">
        <f t="shared" si="18"/>
        <v>-0.11291911264259051</v>
      </c>
    </row>
    <row r="52" spans="1:26" ht="11.25" customHeight="1" x14ac:dyDescent="0.3">
      <c r="A52" s="410">
        <f t="shared" si="0"/>
        <v>7</v>
      </c>
      <c r="B52" s="411">
        <v>43466</v>
      </c>
      <c r="C52" s="411">
        <v>43555</v>
      </c>
      <c r="D52" s="399">
        <f t="shared" si="1"/>
        <v>6254.04</v>
      </c>
      <c r="E52" s="341">
        <f t="shared" ref="E52:F52" si="56">I52+N52+S52+X52</f>
        <v>30179.269999999997</v>
      </c>
      <c r="F52" s="341">
        <f t="shared" si="56"/>
        <v>299280.21999999997</v>
      </c>
      <c r="G52" s="285">
        <f t="shared" si="4"/>
        <v>0.11346702287701652</v>
      </c>
      <c r="H52" s="408">
        <v>2642.78</v>
      </c>
      <c r="I52" s="408">
        <v>11936.14</v>
      </c>
      <c r="J52" s="408">
        <f t="shared" si="9"/>
        <v>125584.78000000003</v>
      </c>
      <c r="K52" s="412">
        <f t="shared" si="5"/>
        <v>0.10626219372414082</v>
      </c>
      <c r="L52" s="409">
        <v>434.51</v>
      </c>
      <c r="M52" s="409"/>
      <c r="N52" s="409">
        <v>4462.8500000000004</v>
      </c>
      <c r="O52" s="409">
        <f t="shared" si="6"/>
        <v>46675.809999999976</v>
      </c>
      <c r="P52" s="413">
        <f t="shared" si="7"/>
        <v>0.10626920062420676</v>
      </c>
      <c r="Q52" s="408">
        <v>2359.86</v>
      </c>
      <c r="R52" s="408">
        <v>0</v>
      </c>
      <c r="S52" s="408">
        <v>10975.25</v>
      </c>
      <c r="T52" s="408">
        <f t="shared" si="21"/>
        <v>101050.12</v>
      </c>
      <c r="U52" s="412">
        <f t="shared" si="22"/>
        <v>0.12346315774553648</v>
      </c>
      <c r="V52" s="409">
        <v>816.89</v>
      </c>
      <c r="W52" s="409">
        <v>0</v>
      </c>
      <c r="X52" s="409">
        <v>2805.03</v>
      </c>
      <c r="Y52" s="409">
        <f t="shared" si="17"/>
        <v>25969.510000000006</v>
      </c>
      <c r="Z52" s="413">
        <f t="shared" si="18"/>
        <v>0.12326532280337939</v>
      </c>
    </row>
    <row r="53" spans="1:26" ht="11.25" customHeight="1" x14ac:dyDescent="0.3">
      <c r="A53" s="410">
        <f t="shared" si="0"/>
        <v>39</v>
      </c>
      <c r="B53" s="411">
        <v>43556</v>
      </c>
      <c r="C53" s="411">
        <v>43646</v>
      </c>
      <c r="D53" s="399">
        <f t="shared" si="1"/>
        <v>6406.14</v>
      </c>
      <c r="E53" s="341">
        <f t="shared" ref="E53:F53" si="57">I53+N53+S53+X53</f>
        <v>10419.14</v>
      </c>
      <c r="F53" s="341">
        <f t="shared" si="57"/>
        <v>316095.5</v>
      </c>
      <c r="G53" s="285">
        <f t="shared" si="4"/>
        <v>3.4445340765765935E-2</v>
      </c>
      <c r="H53" s="408">
        <v>2720.5</v>
      </c>
      <c r="I53" s="408">
        <v>4541.88</v>
      </c>
      <c r="J53" s="408">
        <f t="shared" si="9"/>
        <v>132847.16000000003</v>
      </c>
      <c r="K53" s="412">
        <f t="shared" si="5"/>
        <v>3.5778320742450485E-2</v>
      </c>
      <c r="L53" s="409">
        <v>276.60000000000002</v>
      </c>
      <c r="M53" s="409"/>
      <c r="N53" s="409">
        <v>1676.71</v>
      </c>
      <c r="O53" s="409">
        <f t="shared" si="6"/>
        <v>48629.119999999974</v>
      </c>
      <c r="P53" s="413">
        <f t="shared" si="7"/>
        <v>3.5816338279206862E-2</v>
      </c>
      <c r="Q53" s="408">
        <v>2532.42</v>
      </c>
      <c r="R53" s="408">
        <v>-5</v>
      </c>
      <c r="S53" s="408">
        <v>3336.74</v>
      </c>
      <c r="T53" s="408">
        <f t="shared" si="21"/>
        <v>106914.28</v>
      </c>
      <c r="U53" s="412">
        <f t="shared" si="22"/>
        <v>3.2611998495254861E-2</v>
      </c>
      <c r="V53" s="409">
        <v>876.62</v>
      </c>
      <c r="W53" s="409">
        <v>-5</v>
      </c>
      <c r="X53" s="409">
        <v>863.81</v>
      </c>
      <c r="Y53" s="409">
        <f t="shared" si="17"/>
        <v>27704.940000000006</v>
      </c>
      <c r="Z53" s="413">
        <f t="shared" si="18"/>
        <v>3.2710386544591706E-2</v>
      </c>
    </row>
    <row r="54" spans="1:26" ht="11.25" customHeight="1" x14ac:dyDescent="0.3">
      <c r="A54" s="410">
        <f t="shared" si="0"/>
        <v>56</v>
      </c>
      <c r="B54" s="411">
        <v>43647</v>
      </c>
      <c r="C54" s="411">
        <v>43738</v>
      </c>
      <c r="D54" s="399">
        <f t="shared" si="1"/>
        <v>7673.9400000000005</v>
      </c>
      <c r="E54" s="341">
        <f t="shared" ref="E54:F54" si="58">I54+N54+S54+X54</f>
        <v>1434.08</v>
      </c>
      <c r="F54" s="341">
        <f t="shared" si="58"/>
        <v>325193.52</v>
      </c>
      <c r="G54" s="285">
        <f t="shared" si="4"/>
        <v>4.4824459361689677E-3</v>
      </c>
      <c r="H54" s="408">
        <v>2338.65</v>
      </c>
      <c r="I54" s="408">
        <v>572.88</v>
      </c>
      <c r="J54" s="408">
        <f t="shared" si="9"/>
        <v>135758.69000000003</v>
      </c>
      <c r="K54" s="412">
        <f t="shared" si="5"/>
        <v>4.2746979970411832E-3</v>
      </c>
      <c r="L54" s="409">
        <v>774.48</v>
      </c>
      <c r="M54" s="409"/>
      <c r="N54" s="409">
        <v>197.29</v>
      </c>
      <c r="O54" s="409">
        <f t="shared" si="6"/>
        <v>49600.889999999978</v>
      </c>
      <c r="P54" s="413">
        <f t="shared" si="7"/>
        <v>4.024982679252399E-3</v>
      </c>
      <c r="Q54" s="408">
        <v>3388.01</v>
      </c>
      <c r="R54" s="408">
        <v>-5</v>
      </c>
      <c r="S54" s="408">
        <v>525.37</v>
      </c>
      <c r="T54" s="408">
        <f t="shared" si="21"/>
        <v>110822.65999999999</v>
      </c>
      <c r="U54" s="412">
        <f t="shared" si="22"/>
        <v>4.8372921089767694E-3</v>
      </c>
      <c r="V54" s="409">
        <v>1172.8</v>
      </c>
      <c r="W54" s="409">
        <v>-5</v>
      </c>
      <c r="X54" s="409">
        <v>138.54</v>
      </c>
      <c r="Y54" s="409">
        <f t="shared" si="17"/>
        <v>29011.280000000006</v>
      </c>
      <c r="Z54" s="413">
        <f t="shared" si="18"/>
        <v>4.8969048479145898E-3</v>
      </c>
    </row>
    <row r="55" spans="1:26" ht="11.25" customHeight="1" x14ac:dyDescent="0.3">
      <c r="A55" s="410">
        <f t="shared" si="0"/>
        <v>14</v>
      </c>
      <c r="B55" s="416">
        <v>43739</v>
      </c>
      <c r="C55" s="416">
        <v>43830</v>
      </c>
      <c r="D55" s="417">
        <f t="shared" si="1"/>
        <v>7170.0499999999993</v>
      </c>
      <c r="E55" s="418">
        <f t="shared" ref="E55:F55" si="59">I55+N55+S55+X55</f>
        <v>25173.34</v>
      </c>
      <c r="F55" s="418">
        <f t="shared" si="59"/>
        <v>357563.51</v>
      </c>
      <c r="G55" s="285">
        <f t="shared" si="4"/>
        <v>7.6566249175413797E-2</v>
      </c>
      <c r="H55" s="419">
        <v>2373.7199999999998</v>
      </c>
      <c r="I55" s="419">
        <v>9824.64</v>
      </c>
      <c r="J55" s="419">
        <f t="shared" si="9"/>
        <v>147957.05000000005</v>
      </c>
      <c r="K55" s="420">
        <f t="shared" si="5"/>
        <v>7.1741213935027442E-2</v>
      </c>
      <c r="L55" s="421">
        <v>342.79</v>
      </c>
      <c r="M55" s="421"/>
      <c r="N55" s="421">
        <v>3566.35</v>
      </c>
      <c r="O55" s="421">
        <f t="shared" si="6"/>
        <v>53510.029999999977</v>
      </c>
      <c r="P55" s="422">
        <f t="shared" si="7"/>
        <v>7.1653330764299888E-2</v>
      </c>
      <c r="Q55" s="419">
        <v>3308.31</v>
      </c>
      <c r="R55" s="419">
        <v>28.77</v>
      </c>
      <c r="S55" s="419">
        <v>9328.2900000000009</v>
      </c>
      <c r="T55" s="419">
        <f t="shared" si="21"/>
        <v>123488.02999999998</v>
      </c>
      <c r="U55" s="420">
        <f t="shared" si="22"/>
        <v>8.2935225361777914E-2</v>
      </c>
      <c r="V55" s="421">
        <v>1145.23</v>
      </c>
      <c r="W55" s="421">
        <v>-2.17</v>
      </c>
      <c r="X55" s="421">
        <v>2454.06</v>
      </c>
      <c r="Y55" s="421">
        <f t="shared" si="17"/>
        <v>32608.400000000009</v>
      </c>
      <c r="Z55" s="413">
        <f t="shared" si="18"/>
        <v>8.2952565914664017E-2</v>
      </c>
    </row>
    <row r="56" spans="1:26" ht="11.25" customHeight="1" x14ac:dyDescent="0.3">
      <c r="A56" s="410">
        <f t="shared" si="0"/>
        <v>75</v>
      </c>
      <c r="B56" s="411">
        <v>43831</v>
      </c>
      <c r="C56" s="411">
        <v>43921</v>
      </c>
      <c r="D56" s="399">
        <f t="shared" si="1"/>
        <v>7742.6099999999988</v>
      </c>
      <c r="E56" s="341">
        <f t="shared" ref="E56:F56" si="60">I56+N56+S56+X56</f>
        <v>-70829.37</v>
      </c>
      <c r="F56" s="341">
        <f t="shared" si="60"/>
        <v>294466.75</v>
      </c>
      <c r="G56" s="285">
        <f t="shared" si="4"/>
        <v>-0.19596720365745618</v>
      </c>
      <c r="H56" s="408">
        <v>2012.79</v>
      </c>
      <c r="I56" s="408">
        <v>-27147.94</v>
      </c>
      <c r="J56" s="408">
        <f t="shared" si="9"/>
        <v>122821.90000000005</v>
      </c>
      <c r="K56" s="412">
        <f t="shared" si="5"/>
        <v>-0.18224565093805392</v>
      </c>
      <c r="L56" s="409">
        <v>1354.74</v>
      </c>
      <c r="M56" s="409"/>
      <c r="N56" s="409">
        <v>-9790.6200000000008</v>
      </c>
      <c r="O56" s="409">
        <f t="shared" si="6"/>
        <v>45074.149999999972</v>
      </c>
      <c r="P56" s="413">
        <f t="shared" si="7"/>
        <v>-0.18068074866112796</v>
      </c>
      <c r="Q56" s="408">
        <v>3250.02</v>
      </c>
      <c r="R56" s="408">
        <v>-5</v>
      </c>
      <c r="S56" s="408">
        <v>-26778.080000000002</v>
      </c>
      <c r="T56" s="408">
        <f t="shared" si="21"/>
        <v>99954.969999999987</v>
      </c>
      <c r="U56" s="412">
        <f t="shared" si="22"/>
        <v>-0.21403108740703611</v>
      </c>
      <c r="V56" s="409">
        <v>1125.06</v>
      </c>
      <c r="W56" s="409">
        <v>-5</v>
      </c>
      <c r="X56" s="409">
        <v>-7112.73</v>
      </c>
      <c r="Y56" s="409">
        <f t="shared" si="17"/>
        <v>26615.730000000007</v>
      </c>
      <c r="Z56" s="413">
        <f t="shared" si="18"/>
        <v>-0.21442660787623374</v>
      </c>
    </row>
    <row r="57" spans="1:26" ht="11.25" customHeight="1" x14ac:dyDescent="0.3">
      <c r="A57" s="410">
        <f t="shared" si="0"/>
        <v>1</v>
      </c>
      <c r="B57" s="411">
        <v>43922</v>
      </c>
      <c r="C57" s="411">
        <v>44012</v>
      </c>
      <c r="D57" s="399">
        <f t="shared" si="1"/>
        <v>7612.45</v>
      </c>
      <c r="E57" s="341">
        <f t="shared" ref="E57:F57" si="61">I57+N57+S57+X57</f>
        <v>52103.11</v>
      </c>
      <c r="F57" s="341">
        <f t="shared" si="61"/>
        <v>354172.31000000006</v>
      </c>
      <c r="G57" s="285">
        <f t="shared" si="4"/>
        <v>0.17468263760737962</v>
      </c>
      <c r="H57" s="408">
        <v>763.49</v>
      </c>
      <c r="I57" s="408">
        <v>20618.64</v>
      </c>
      <c r="J57" s="408">
        <f t="shared" si="9"/>
        <v>144204.03000000006</v>
      </c>
      <c r="K57" s="412">
        <f t="shared" si="5"/>
        <v>0.16735413956299744</v>
      </c>
      <c r="L57" s="409">
        <v>2473.89</v>
      </c>
      <c r="M57" s="409"/>
      <c r="N57" s="409">
        <v>7704.29</v>
      </c>
      <c r="O57" s="409">
        <f t="shared" si="6"/>
        <v>55252.329999999973</v>
      </c>
      <c r="P57" s="413">
        <f t="shared" si="7"/>
        <v>0.1663594868573072</v>
      </c>
      <c r="Q57" s="408">
        <v>3250.02</v>
      </c>
      <c r="R57" s="408">
        <v>-5</v>
      </c>
      <c r="S57" s="408">
        <v>18764.759999999998</v>
      </c>
      <c r="T57" s="408">
        <f t="shared" si="21"/>
        <v>121964.74999999999</v>
      </c>
      <c r="U57" s="412">
        <f t="shared" si="22"/>
        <v>0.18472892000963184</v>
      </c>
      <c r="V57" s="409">
        <v>1125.05</v>
      </c>
      <c r="W57" s="409">
        <v>-5</v>
      </c>
      <c r="X57" s="409">
        <v>5015.42</v>
      </c>
      <c r="Y57" s="409">
        <f t="shared" si="17"/>
        <v>32751.200000000004</v>
      </c>
      <c r="Z57" s="413">
        <f t="shared" si="18"/>
        <v>0.18453796978503581</v>
      </c>
    </row>
    <row r="58" spans="1:26" ht="11.25" customHeight="1" x14ac:dyDescent="0.3">
      <c r="A58" s="410">
        <f t="shared" si="0"/>
        <v>20</v>
      </c>
      <c r="B58" s="411">
        <v>44013</v>
      </c>
      <c r="C58" s="411">
        <v>44104</v>
      </c>
      <c r="D58" s="399">
        <f t="shared" si="1"/>
        <v>7217.0099999999993</v>
      </c>
      <c r="E58" s="341">
        <f t="shared" ref="E58:F58" si="62">I58+N58+S58+X58</f>
        <v>24573.86</v>
      </c>
      <c r="F58" s="341">
        <f t="shared" si="62"/>
        <v>385953.18</v>
      </c>
      <c r="G58" s="285">
        <f t="shared" si="4"/>
        <v>6.8684118794910778E-2</v>
      </c>
      <c r="H58" s="408">
        <v>2341.29</v>
      </c>
      <c r="I58" s="408">
        <v>9153.7999999999993</v>
      </c>
      <c r="J58" s="408">
        <f t="shared" si="9"/>
        <v>155699.12000000005</v>
      </c>
      <c r="K58" s="412">
        <f t="shared" si="5"/>
        <v>6.2966950742968097E-2</v>
      </c>
      <c r="L58" s="409">
        <v>500.66</v>
      </c>
      <c r="M58" s="409"/>
      <c r="N58" s="409">
        <v>3518.08</v>
      </c>
      <c r="O58" s="409">
        <f t="shared" si="6"/>
        <v>59271.069999999978</v>
      </c>
      <c r="P58" s="413">
        <f t="shared" si="7"/>
        <v>6.3385790879211937E-2</v>
      </c>
      <c r="Q58" s="408">
        <v>3250.02</v>
      </c>
      <c r="R58" s="408">
        <v>-5</v>
      </c>
      <c r="S58" s="408">
        <v>9379.41</v>
      </c>
      <c r="T58" s="408">
        <f t="shared" si="21"/>
        <v>134589.18</v>
      </c>
      <c r="U58" s="412">
        <f t="shared" si="22"/>
        <v>7.5891481624367596E-2</v>
      </c>
      <c r="V58" s="409">
        <v>1125.04</v>
      </c>
      <c r="W58" s="409">
        <v>-5</v>
      </c>
      <c r="X58" s="409">
        <v>2522.5700000000002</v>
      </c>
      <c r="Y58" s="409">
        <f t="shared" si="17"/>
        <v>36393.810000000005</v>
      </c>
      <c r="Z58" s="413">
        <f t="shared" si="18"/>
        <v>7.5721654621579343E-2</v>
      </c>
    </row>
    <row r="59" spans="1:26" ht="11.25" customHeight="1" x14ac:dyDescent="0.3">
      <c r="A59" s="410">
        <f t="shared" si="0"/>
        <v>5</v>
      </c>
      <c r="B59" s="411">
        <v>44105</v>
      </c>
      <c r="C59" s="411">
        <v>44196</v>
      </c>
      <c r="D59" s="399">
        <f t="shared" si="1"/>
        <v>7890.2699999999995</v>
      </c>
      <c r="E59" s="341">
        <f t="shared" ref="E59:F59" si="63">I59+N59+S59+X59</f>
        <v>52550.63</v>
      </c>
      <c r="F59" s="341">
        <f t="shared" si="63"/>
        <v>446432.66000000003</v>
      </c>
      <c r="G59" s="285">
        <f t="shared" si="4"/>
        <v>0.13478034651162829</v>
      </c>
      <c r="H59" s="408">
        <v>3043.98</v>
      </c>
      <c r="I59" s="408">
        <v>20324.8</v>
      </c>
      <c r="J59" s="408">
        <f t="shared" si="9"/>
        <v>179067.90000000005</v>
      </c>
      <c r="K59" s="412">
        <f t="shared" si="5"/>
        <v>0.12927526080944216</v>
      </c>
      <c r="L59" s="409">
        <v>471.22</v>
      </c>
      <c r="M59" s="409"/>
      <c r="N59" s="409">
        <v>7727.21</v>
      </c>
      <c r="O59" s="409">
        <f t="shared" si="6"/>
        <v>67469.499999999985</v>
      </c>
      <c r="P59" s="413">
        <f t="shared" si="7"/>
        <v>0.12985449700773094</v>
      </c>
      <c r="Q59" s="408">
        <v>3250.02</v>
      </c>
      <c r="R59" s="408">
        <v>39.450000000000003</v>
      </c>
      <c r="S59" s="408">
        <v>19269.02</v>
      </c>
      <c r="T59" s="408">
        <f t="shared" si="21"/>
        <v>157147.66999999998</v>
      </c>
      <c r="U59" s="412">
        <f t="shared" si="22"/>
        <v>0.14146117963187241</v>
      </c>
      <c r="V59" s="409">
        <v>1125.05</v>
      </c>
      <c r="W59" s="409">
        <v>-0.87</v>
      </c>
      <c r="X59" s="409">
        <v>5229.6000000000004</v>
      </c>
      <c r="Y59" s="409">
        <f t="shared" si="17"/>
        <v>42747.590000000004</v>
      </c>
      <c r="Z59" s="413">
        <f t="shared" si="18"/>
        <v>0.14150753855868012</v>
      </c>
    </row>
    <row r="60" spans="1:26" ht="11.25" customHeight="1" x14ac:dyDescent="0.3">
      <c r="A60" s="410">
        <f t="shared" si="0"/>
        <v>29</v>
      </c>
      <c r="B60" s="411">
        <v>44197</v>
      </c>
      <c r="C60" s="411">
        <v>44286</v>
      </c>
      <c r="D60" s="399">
        <f t="shared" si="1"/>
        <v>7692.97</v>
      </c>
      <c r="E60" s="341">
        <f t="shared" ref="E60:F60" si="64">I60+N60+S60+X60</f>
        <v>23221.300000000003</v>
      </c>
      <c r="F60" s="341">
        <f t="shared" si="64"/>
        <v>477336.93000000005</v>
      </c>
      <c r="G60" s="285">
        <f t="shared" si="4"/>
        <v>5.1570898314644356E-2</v>
      </c>
      <c r="H60" s="408">
        <v>3135.9</v>
      </c>
      <c r="I60" s="408">
        <v>9365.5400000000009</v>
      </c>
      <c r="J60" s="408">
        <f t="shared" si="9"/>
        <v>191569.34000000005</v>
      </c>
      <c r="K60" s="412">
        <f t="shared" si="5"/>
        <v>5.1847626038795717E-2</v>
      </c>
      <c r="L60" s="409">
        <v>182</v>
      </c>
      <c r="M60" s="409"/>
      <c r="N60" s="409">
        <v>3519.58</v>
      </c>
      <c r="O60" s="409">
        <f t="shared" si="6"/>
        <v>71171.079999999987</v>
      </c>
      <c r="P60" s="413">
        <f t="shared" si="7"/>
        <v>5.2095233161388692E-2</v>
      </c>
      <c r="Q60" s="408">
        <v>3250.02</v>
      </c>
      <c r="R60" s="408">
        <v>-5</v>
      </c>
      <c r="S60" s="408">
        <v>8122.69</v>
      </c>
      <c r="T60" s="408">
        <f t="shared" si="21"/>
        <v>168515.37999999998</v>
      </c>
      <c r="U60" s="412">
        <f t="shared" si="22"/>
        <v>5.1159242257547081E-2</v>
      </c>
      <c r="V60" s="409">
        <v>1125.05</v>
      </c>
      <c r="W60" s="409">
        <v>-5</v>
      </c>
      <c r="X60" s="409">
        <v>2213.4899999999998</v>
      </c>
      <c r="Y60" s="409">
        <f t="shared" si="17"/>
        <v>46081.130000000005</v>
      </c>
      <c r="Z60" s="413">
        <f t="shared" si="18"/>
        <v>5.1107922479540852E-2</v>
      </c>
    </row>
    <row r="61" spans="1:26" ht="11.25" customHeight="1" x14ac:dyDescent="0.3">
      <c r="A61" s="410">
        <f t="shared" si="0"/>
        <v>19</v>
      </c>
      <c r="B61" s="411">
        <v>44287</v>
      </c>
      <c r="C61" s="411">
        <v>44377</v>
      </c>
      <c r="D61" s="399">
        <f t="shared" si="1"/>
        <v>9395.75</v>
      </c>
      <c r="E61" s="341">
        <f t="shared" ref="E61:F61" si="65">I61+N61+S61+X61</f>
        <v>33364.39</v>
      </c>
      <c r="F61" s="341">
        <f t="shared" si="65"/>
        <v>520087.07</v>
      </c>
      <c r="G61" s="285">
        <f t="shared" si="4"/>
        <v>6.9215728104944613E-2</v>
      </c>
      <c r="H61" s="408">
        <v>3722.18</v>
      </c>
      <c r="I61" s="408">
        <v>13315.57</v>
      </c>
      <c r="J61" s="408">
        <f t="shared" si="9"/>
        <v>208607.09000000005</v>
      </c>
      <c r="K61" s="412">
        <f t="shared" si="5"/>
        <v>6.8839065290812809E-2</v>
      </c>
      <c r="L61" s="409">
        <v>1152.69</v>
      </c>
      <c r="M61" s="409"/>
      <c r="N61" s="409">
        <v>4935.9399999999996</v>
      </c>
      <c r="O61" s="409">
        <f t="shared" si="6"/>
        <v>77259.709999999992</v>
      </c>
      <c r="P61" s="413">
        <f t="shared" si="7"/>
        <v>6.8796057837615776E-2</v>
      </c>
      <c r="Q61" s="408">
        <v>3358.36</v>
      </c>
      <c r="R61" s="408">
        <v>-5</v>
      </c>
      <c r="S61" s="408">
        <v>11862.74</v>
      </c>
      <c r="T61" s="408">
        <f t="shared" si="21"/>
        <v>183731.47999999995</v>
      </c>
      <c r="U61" s="412">
        <f t="shared" si="22"/>
        <v>6.9701052724599435E-2</v>
      </c>
      <c r="V61" s="409">
        <v>1162.52</v>
      </c>
      <c r="W61" s="409">
        <v>-5</v>
      </c>
      <c r="X61" s="409">
        <v>3250.14</v>
      </c>
      <c r="Y61" s="409">
        <f t="shared" si="17"/>
        <v>50488.79</v>
      </c>
      <c r="Z61" s="413">
        <f t="shared" si="18"/>
        <v>6.9652240273162164E-2</v>
      </c>
    </row>
    <row r="62" spans="1:26" ht="11.25" customHeight="1" x14ac:dyDescent="0.3">
      <c r="A62" s="410">
        <f t="shared" si="0"/>
        <v>60</v>
      </c>
      <c r="B62" s="411">
        <v>44378</v>
      </c>
      <c r="C62" s="411">
        <v>44469</v>
      </c>
      <c r="D62" s="399">
        <f t="shared" si="1"/>
        <v>8662.85</v>
      </c>
      <c r="E62" s="341">
        <f t="shared" ref="E62:F62" si="66">I62+N62+S62+X62</f>
        <v>-2806.3399999999997</v>
      </c>
      <c r="F62" s="341">
        <f t="shared" si="66"/>
        <v>525933.58000000007</v>
      </c>
      <c r="G62" s="285">
        <f t="shared" si="4"/>
        <v>-5.351336817363773E-3</v>
      </c>
      <c r="H62" s="408">
        <v>3263.16</v>
      </c>
      <c r="I62" s="408">
        <v>-830.29</v>
      </c>
      <c r="J62" s="408">
        <f t="shared" si="9"/>
        <v>211039.96000000005</v>
      </c>
      <c r="K62" s="412">
        <f t="shared" si="5"/>
        <v>-3.9492734614426537E-3</v>
      </c>
      <c r="L62" s="409">
        <v>667.35</v>
      </c>
      <c r="M62" s="409"/>
      <c r="N62" s="409">
        <v>-288.94</v>
      </c>
      <c r="O62" s="409">
        <f t="shared" si="6"/>
        <v>77638.12</v>
      </c>
      <c r="P62" s="413">
        <f t="shared" si="7"/>
        <v>-3.7237710405339324E-3</v>
      </c>
      <c r="Q62" s="408">
        <v>3515.44</v>
      </c>
      <c r="R62" s="408">
        <v>-5</v>
      </c>
      <c r="S62" s="408">
        <v>-1319.84</v>
      </c>
      <c r="T62" s="408">
        <f t="shared" si="21"/>
        <v>185922.07999999996</v>
      </c>
      <c r="U62" s="412">
        <f t="shared" si="22"/>
        <v>-7.1154547003275679E-3</v>
      </c>
      <c r="V62" s="409">
        <v>1216.9000000000001</v>
      </c>
      <c r="W62" s="409">
        <v>-5</v>
      </c>
      <c r="X62" s="409">
        <v>-367.27</v>
      </c>
      <c r="Y62" s="409">
        <f t="shared" si="17"/>
        <v>51333.420000000006</v>
      </c>
      <c r="Z62" s="413">
        <f t="shared" si="18"/>
        <v>-7.1876680619148902E-3</v>
      </c>
    </row>
    <row r="63" spans="1:26" ht="11.25" customHeight="1" x14ac:dyDescent="0.3">
      <c r="A63" s="410">
        <f t="shared" si="0"/>
        <v>23</v>
      </c>
      <c r="B63" s="411">
        <v>44470</v>
      </c>
      <c r="C63" s="411">
        <v>44561</v>
      </c>
      <c r="D63" s="399">
        <f t="shared" si="1"/>
        <v>9311.3900000000012</v>
      </c>
      <c r="E63" s="341">
        <f t="shared" ref="E63:F63" si="67">I63+N63+S63+X63</f>
        <v>34528.080000000002</v>
      </c>
      <c r="F63" s="341">
        <f t="shared" si="67"/>
        <v>569814.69000000006</v>
      </c>
      <c r="G63" s="285">
        <f t="shared" si="4"/>
        <v>6.507496782704475E-2</v>
      </c>
      <c r="H63" s="408">
        <v>3879.38</v>
      </c>
      <c r="I63" s="408">
        <v>13905.92</v>
      </c>
      <c r="J63" s="408">
        <f t="shared" si="9"/>
        <v>228825.26000000007</v>
      </c>
      <c r="K63" s="412">
        <f t="shared" si="5"/>
        <v>6.5292247404857673E-2</v>
      </c>
      <c r="L63" s="409">
        <v>371.59</v>
      </c>
      <c r="M63" s="409"/>
      <c r="N63" s="409">
        <v>5097.01</v>
      </c>
      <c r="O63" s="409">
        <f t="shared" si="6"/>
        <v>83106.719999999987</v>
      </c>
      <c r="P63" s="413">
        <f t="shared" si="7"/>
        <v>6.5494135061182679E-2</v>
      </c>
      <c r="Q63" s="408">
        <v>3759.15</v>
      </c>
      <c r="R63" s="408">
        <v>43.2</v>
      </c>
      <c r="S63" s="408">
        <v>12162.04</v>
      </c>
      <c r="T63" s="408">
        <f t="shared" si="21"/>
        <v>201886.46999999997</v>
      </c>
      <c r="U63" s="412">
        <f t="shared" si="22"/>
        <v>6.4760025677090022E-2</v>
      </c>
      <c r="V63" s="409">
        <v>1301.27</v>
      </c>
      <c r="W63" s="409">
        <v>-1.56</v>
      </c>
      <c r="X63" s="409">
        <v>3363.11</v>
      </c>
      <c r="Y63" s="409">
        <f t="shared" si="17"/>
        <v>55996.240000000005</v>
      </c>
      <c r="Z63" s="413">
        <f t="shared" si="18"/>
        <v>6.4695030043346938E-2</v>
      </c>
    </row>
    <row r="64" spans="1:26" ht="11.25" customHeight="1" x14ac:dyDescent="0.3">
      <c r="A64" s="410">
        <f t="shared" si="0"/>
        <v>69</v>
      </c>
      <c r="B64" s="411">
        <v>44562</v>
      </c>
      <c r="C64" s="411">
        <v>44651</v>
      </c>
      <c r="D64" s="399">
        <f t="shared" si="1"/>
        <v>8989.7800000000007</v>
      </c>
      <c r="E64" s="341">
        <f t="shared" ref="E64:F64" si="68">I64+N64+S64+X64</f>
        <v>-33020.32</v>
      </c>
      <c r="F64" s="341">
        <f t="shared" si="68"/>
        <v>545774.14999999991</v>
      </c>
      <c r="G64" s="285">
        <f t="shared" si="4"/>
        <v>-5.7495680291455339E-2</v>
      </c>
      <c r="H64" s="408">
        <v>3295.8</v>
      </c>
      <c r="I64" s="408">
        <v>-13162.7</v>
      </c>
      <c r="J64" s="408">
        <f t="shared" si="9"/>
        <v>218958.36000000004</v>
      </c>
      <c r="K64" s="412">
        <f t="shared" si="5"/>
        <v>-5.7111639377010311E-2</v>
      </c>
      <c r="L64" s="409">
        <v>508.81</v>
      </c>
      <c r="M64" s="409"/>
      <c r="N64" s="409">
        <v>-4788.0200000000004</v>
      </c>
      <c r="O64" s="409">
        <f t="shared" si="6"/>
        <v>78827.50999999998</v>
      </c>
      <c r="P64" s="413">
        <f t="shared" si="7"/>
        <v>-5.7437084732241815E-2</v>
      </c>
      <c r="Q64" s="408">
        <v>3851.81</v>
      </c>
      <c r="R64" s="408">
        <v>-5</v>
      </c>
      <c r="S64" s="408">
        <v>-11799.38</v>
      </c>
      <c r="T64" s="408">
        <f t="shared" si="21"/>
        <v>193933.89999999997</v>
      </c>
      <c r="U64" s="412">
        <f t="shared" si="22"/>
        <v>-5.7893344307478882E-2</v>
      </c>
      <c r="V64" s="409">
        <v>1333.36</v>
      </c>
      <c r="W64" s="409">
        <v>-5</v>
      </c>
      <c r="X64" s="409">
        <v>-3270.22</v>
      </c>
      <c r="Y64" s="409">
        <f t="shared" si="17"/>
        <v>54054.380000000005</v>
      </c>
      <c r="Z64" s="413">
        <f t="shared" si="18"/>
        <v>-5.7713580592034429E-2</v>
      </c>
    </row>
    <row r="65" spans="1:26" ht="11.25" customHeight="1" x14ac:dyDescent="0.3">
      <c r="A65" s="410">
        <f t="shared" si="0"/>
        <v>73</v>
      </c>
      <c r="B65" s="416">
        <v>44652</v>
      </c>
      <c r="C65" s="416">
        <v>44742</v>
      </c>
      <c r="D65" s="417">
        <f t="shared" si="1"/>
        <v>9559.6299999999992</v>
      </c>
      <c r="E65" s="418">
        <f t="shared" ref="E65:F65" si="69">I65+N65+S65+X65</f>
        <v>-81085.710000000006</v>
      </c>
      <c r="F65" s="418">
        <f t="shared" si="69"/>
        <v>474238.07</v>
      </c>
      <c r="G65" s="423">
        <f t="shared" si="4"/>
        <v>-0.14728022165819846</v>
      </c>
      <c r="H65" s="419">
        <v>3845.1</v>
      </c>
      <c r="I65" s="419">
        <v>-32359.85</v>
      </c>
      <c r="J65" s="419">
        <f t="shared" si="9"/>
        <v>190443.61000000004</v>
      </c>
      <c r="K65" s="420">
        <f t="shared" si="5"/>
        <v>-0.14650360685312278</v>
      </c>
      <c r="L65" s="421">
        <v>572.42999999999995</v>
      </c>
      <c r="M65" s="421"/>
      <c r="N65" s="421">
        <v>-11601.04</v>
      </c>
      <c r="O65" s="421">
        <f t="shared" si="6"/>
        <v>67798.899999999965</v>
      </c>
      <c r="P65" s="422">
        <f t="shared" si="7"/>
        <v>-0.14663751453998664</v>
      </c>
      <c r="Q65" s="419">
        <v>3819.84</v>
      </c>
      <c r="R65" s="419">
        <v>-5</v>
      </c>
      <c r="S65" s="419">
        <v>-29017.27</v>
      </c>
      <c r="T65" s="419">
        <f t="shared" si="21"/>
        <v>168731.46999999997</v>
      </c>
      <c r="U65" s="420">
        <f t="shared" si="22"/>
        <v>-0.14816535951964174</v>
      </c>
      <c r="V65" s="421">
        <v>1322.26</v>
      </c>
      <c r="W65" s="421">
        <v>-5</v>
      </c>
      <c r="X65" s="421">
        <v>-8107.55</v>
      </c>
      <c r="Y65" s="421">
        <f t="shared" si="17"/>
        <v>47264.090000000004</v>
      </c>
      <c r="Z65" s="422">
        <f t="shared" si="18"/>
        <v>-0.14817644941991767</v>
      </c>
    </row>
    <row r="66" spans="1:26" ht="11.25" customHeight="1" x14ac:dyDescent="0.3">
      <c r="A66" s="410">
        <f t="shared" si="0"/>
        <v>68</v>
      </c>
      <c r="B66" s="411">
        <v>44743</v>
      </c>
      <c r="C66" s="411">
        <v>44834</v>
      </c>
      <c r="D66" s="399">
        <f t="shared" si="1"/>
        <v>9265.27</v>
      </c>
      <c r="E66" s="341">
        <f t="shared" ref="E66:F66" si="70">I66+N66+S66+X66</f>
        <v>-25104.760000000002</v>
      </c>
      <c r="F66" s="341">
        <f t="shared" si="70"/>
        <v>458388.58</v>
      </c>
      <c r="G66" s="285">
        <f t="shared" si="4"/>
        <v>-5.2424923341259727E-2</v>
      </c>
      <c r="H66" s="408">
        <v>3380.7</v>
      </c>
      <c r="I66" s="408">
        <v>-9909.2900000000009</v>
      </c>
      <c r="J66" s="408">
        <f t="shared" si="9"/>
        <v>183915.02000000005</v>
      </c>
      <c r="K66" s="412">
        <f t="shared" si="5"/>
        <v>-5.1574901178323695E-2</v>
      </c>
      <c r="L66" s="409">
        <v>477.07</v>
      </c>
      <c r="M66" s="409"/>
      <c r="N66" s="409">
        <v>-3445.67</v>
      </c>
      <c r="O66" s="409">
        <f t="shared" si="6"/>
        <v>64830.299999999974</v>
      </c>
      <c r="P66" s="413">
        <f t="shared" si="7"/>
        <v>-5.0643737524790608E-2</v>
      </c>
      <c r="Q66" s="408">
        <v>4017</v>
      </c>
      <c r="R66" s="408">
        <v>-5</v>
      </c>
      <c r="S66" s="408">
        <v>-9161.0300000000007</v>
      </c>
      <c r="T66" s="408">
        <f t="shared" si="21"/>
        <v>163582.43999999997</v>
      </c>
      <c r="U66" s="412">
        <f t="shared" si="22"/>
        <v>-5.3654864763066329E-2</v>
      </c>
      <c r="V66" s="409">
        <v>1390.5</v>
      </c>
      <c r="W66" s="409">
        <v>-5</v>
      </c>
      <c r="X66" s="409">
        <v>-2588.77</v>
      </c>
      <c r="Y66" s="409">
        <f t="shared" si="17"/>
        <v>46060.820000000007</v>
      </c>
      <c r="Z66" s="413">
        <f t="shared" si="18"/>
        <v>-5.3978432563917683E-2</v>
      </c>
    </row>
    <row r="67" spans="1:26" ht="11.25" customHeight="1" x14ac:dyDescent="0.3">
      <c r="A67" s="410">
        <f t="shared" si="0"/>
        <v>16</v>
      </c>
      <c r="B67" s="411">
        <v>44835</v>
      </c>
      <c r="C67" s="411">
        <v>44926</v>
      </c>
      <c r="D67" s="399">
        <f t="shared" si="1"/>
        <v>9930.630000000001</v>
      </c>
      <c r="E67" s="341">
        <f t="shared" ref="E67:F67" si="71">I67+N67+S67+X67</f>
        <v>33263.85</v>
      </c>
      <c r="F67" s="341">
        <f t="shared" si="71"/>
        <v>501614.6</v>
      </c>
      <c r="G67" s="285">
        <f t="shared" si="4"/>
        <v>7.1789296170694752E-2</v>
      </c>
      <c r="H67" s="408">
        <v>4014.32</v>
      </c>
      <c r="I67" s="408">
        <v>13678.97</v>
      </c>
      <c r="J67" s="408">
        <f t="shared" si="9"/>
        <v>201608.31000000006</v>
      </c>
      <c r="K67" s="412">
        <f t="shared" si="5"/>
        <v>7.3573631720540253E-2</v>
      </c>
      <c r="L67" s="409">
        <v>508.81</v>
      </c>
      <c r="M67" s="409"/>
      <c r="N67" s="409">
        <v>4811.8999999999996</v>
      </c>
      <c r="O67" s="409">
        <f t="shared" si="6"/>
        <v>70151.009999999966</v>
      </c>
      <c r="P67" s="413">
        <f t="shared" si="7"/>
        <v>7.3932884845986493E-2</v>
      </c>
      <c r="Q67" s="408">
        <v>4017</v>
      </c>
      <c r="R67" s="408">
        <v>34.32</v>
      </c>
      <c r="S67" s="408">
        <v>11526.26</v>
      </c>
      <c r="T67" s="408">
        <f t="shared" si="21"/>
        <v>179160.02</v>
      </c>
      <c r="U67" s="412">
        <f t="shared" si="22"/>
        <v>6.9606827523293252E-2</v>
      </c>
      <c r="V67" s="409">
        <v>1390.5</v>
      </c>
      <c r="W67" s="409">
        <v>-2.78</v>
      </c>
      <c r="X67" s="409">
        <v>3246.72</v>
      </c>
      <c r="Y67" s="409">
        <f t="shared" si="17"/>
        <v>50695.260000000009</v>
      </c>
      <c r="Z67" s="413">
        <f t="shared" si="18"/>
        <v>6.9439540149546342E-2</v>
      </c>
    </row>
    <row r="68" spans="1:26" ht="11.25" customHeight="1" x14ac:dyDescent="0.3">
      <c r="A68" s="410">
        <f t="shared" si="0"/>
        <v>22</v>
      </c>
      <c r="B68" s="416">
        <v>44927</v>
      </c>
      <c r="C68" s="416">
        <v>45016</v>
      </c>
      <c r="D68" s="417">
        <f t="shared" si="1"/>
        <v>12386.3</v>
      </c>
      <c r="E68" s="418">
        <f t="shared" ref="E68:F68" si="72">I68+N68+S68+X68</f>
        <v>33062.86</v>
      </c>
      <c r="F68" s="418">
        <f t="shared" si="72"/>
        <v>547053.76</v>
      </c>
      <c r="G68" s="423">
        <f t="shared" si="4"/>
        <v>6.5109010250434349E-2</v>
      </c>
      <c r="H68" s="419">
        <v>4901.84</v>
      </c>
      <c r="I68" s="419">
        <v>13482.75</v>
      </c>
      <c r="J68" s="419">
        <f t="shared" si="9"/>
        <v>219992.90000000005</v>
      </c>
      <c r="K68" s="420">
        <f t="shared" si="5"/>
        <v>6.6072728001570893E-2</v>
      </c>
      <c r="L68" s="421">
        <v>531.96</v>
      </c>
      <c r="M68" s="421"/>
      <c r="N68" s="421">
        <v>4673.3</v>
      </c>
      <c r="O68" s="421">
        <f t="shared" si="6"/>
        <v>75356.269999999975</v>
      </c>
      <c r="P68" s="422">
        <f t="shared" si="7"/>
        <v>6.6366085798327965E-2</v>
      </c>
      <c r="Q68" s="419">
        <v>5562</v>
      </c>
      <c r="R68" s="419">
        <v>-5</v>
      </c>
      <c r="S68" s="419">
        <v>11622.05</v>
      </c>
      <c r="T68" s="419">
        <f t="shared" si="21"/>
        <v>196339.06999999998</v>
      </c>
      <c r="U68" s="420">
        <f t="shared" si="22"/>
        <v>6.3878118304492304E-2</v>
      </c>
      <c r="V68" s="421">
        <v>1390.5</v>
      </c>
      <c r="W68" s="421">
        <v>-5</v>
      </c>
      <c r="X68" s="421">
        <v>3284.76</v>
      </c>
      <c r="Y68" s="421">
        <f t="shared" si="17"/>
        <v>55365.520000000011</v>
      </c>
      <c r="Z68" s="422">
        <f t="shared" si="18"/>
        <v>6.3917637711709802E-2</v>
      </c>
    </row>
    <row r="69" spans="1:26" ht="11.25" customHeight="1" x14ac:dyDescent="0.3">
      <c r="A69" s="410">
        <f t="shared" si="0"/>
        <v>25</v>
      </c>
      <c r="B69" s="411">
        <v>45017</v>
      </c>
      <c r="C69" s="411">
        <v>45107</v>
      </c>
      <c r="D69" s="399">
        <f t="shared" si="1"/>
        <v>14328.099999999999</v>
      </c>
      <c r="E69" s="341">
        <f t="shared" ref="E69:F69" si="73">I69+N69+S69+X69</f>
        <v>34397.699999999997</v>
      </c>
      <c r="F69" s="341">
        <f t="shared" si="73"/>
        <v>595769.56000000006</v>
      </c>
      <c r="G69" s="285">
        <f t="shared" si="4"/>
        <v>6.2065309665887483E-2</v>
      </c>
      <c r="H69" s="408">
        <v>6041</v>
      </c>
      <c r="I69" s="408">
        <v>13966.9</v>
      </c>
      <c r="J69" s="408">
        <f t="shared" si="9"/>
        <v>240000.80000000005</v>
      </c>
      <c r="K69" s="412">
        <f t="shared" si="5"/>
        <v>6.2628075263638852E-2</v>
      </c>
      <c r="L69" s="409">
        <v>721.98</v>
      </c>
      <c r="M69" s="409"/>
      <c r="N69" s="409">
        <v>4714.47</v>
      </c>
      <c r="O69" s="409">
        <f t="shared" si="6"/>
        <v>80792.719999999972</v>
      </c>
      <c r="P69" s="413">
        <f t="shared" si="7"/>
        <v>6.2264138982313963E-2</v>
      </c>
      <c r="Q69" s="408">
        <v>6052.07</v>
      </c>
      <c r="R69" s="408">
        <v>-5</v>
      </c>
      <c r="S69" s="408">
        <v>12265.99</v>
      </c>
      <c r="T69" s="408">
        <f t="shared" si="21"/>
        <v>214652.12999999998</v>
      </c>
      <c r="U69" s="412">
        <f t="shared" si="22"/>
        <v>6.1525260401011507E-2</v>
      </c>
      <c r="V69" s="409">
        <v>1513.05</v>
      </c>
      <c r="W69" s="409">
        <v>-5</v>
      </c>
      <c r="X69" s="409">
        <v>3450.34</v>
      </c>
      <c r="Y69" s="409">
        <f t="shared" si="17"/>
        <v>60323.910000000018</v>
      </c>
      <c r="Z69" s="413">
        <f t="shared" si="18"/>
        <v>6.1479227993206577E-2</v>
      </c>
    </row>
    <row r="70" spans="1:26" ht="11.25" customHeight="1" x14ac:dyDescent="0.3">
      <c r="A70" s="410">
        <f t="shared" si="0"/>
        <v>66</v>
      </c>
      <c r="B70" s="416">
        <v>45108</v>
      </c>
      <c r="C70" s="416">
        <v>45199</v>
      </c>
      <c r="D70" s="417">
        <f t="shared" si="1"/>
        <v>8695.1500000000015</v>
      </c>
      <c r="E70" s="418">
        <f t="shared" ref="E70:F70" si="74">I70+N70+S70+X70</f>
        <v>-20377.89</v>
      </c>
      <c r="F70" s="418">
        <f t="shared" si="74"/>
        <v>584076.81999999995</v>
      </c>
      <c r="G70" s="423">
        <f t="shared" si="4"/>
        <v>-3.3956520838219359E-2</v>
      </c>
      <c r="H70" s="419">
        <v>2705.4</v>
      </c>
      <c r="I70" s="419">
        <v>-8220.6</v>
      </c>
      <c r="J70" s="419">
        <f t="shared" si="9"/>
        <v>234485.60000000003</v>
      </c>
      <c r="K70" s="420">
        <f t="shared" si="5"/>
        <v>-3.4060413459924957E-2</v>
      </c>
      <c r="L70" s="421">
        <v>569.95000000000005</v>
      </c>
      <c r="M70" s="421"/>
      <c r="N70" s="421">
        <v>-2746.93</v>
      </c>
      <c r="O70" s="421">
        <f t="shared" si="6"/>
        <v>78615.739999999976</v>
      </c>
      <c r="P70" s="422">
        <f t="shared" si="7"/>
        <v>-3.388021822771356E-2</v>
      </c>
      <c r="Q70" s="419">
        <v>3879.36</v>
      </c>
      <c r="R70" s="419">
        <v>-5</v>
      </c>
      <c r="S70" s="419">
        <v>-7333.51</v>
      </c>
      <c r="T70" s="419">
        <f t="shared" si="21"/>
        <v>211192.97999999995</v>
      </c>
      <c r="U70" s="420">
        <f t="shared" si="22"/>
        <v>-3.3858667139814759E-2</v>
      </c>
      <c r="V70" s="421">
        <v>1540.44</v>
      </c>
      <c r="W70" s="421">
        <v>-5</v>
      </c>
      <c r="X70" s="421">
        <v>-2076.85</v>
      </c>
      <c r="Y70" s="421">
        <f t="shared" si="17"/>
        <v>59782.500000000022</v>
      </c>
      <c r="Z70" s="422">
        <f t="shared" si="18"/>
        <v>-3.3994264260739933E-2</v>
      </c>
    </row>
    <row r="71" spans="1:26" ht="11.25" customHeight="1" x14ac:dyDescent="0.3">
      <c r="A71" s="410">
        <f t="shared" si="0"/>
        <v>6</v>
      </c>
      <c r="B71" s="416">
        <v>45200</v>
      </c>
      <c r="C71" s="416">
        <v>45291</v>
      </c>
      <c r="D71" s="417">
        <f t="shared" si="1"/>
        <v>7745.54</v>
      </c>
      <c r="E71" s="418">
        <f t="shared" ref="E71:F71" si="75">I71+N71+S71+X71</f>
        <v>67381.100000000006</v>
      </c>
      <c r="F71" s="418">
        <f t="shared" si="75"/>
        <v>659246.27</v>
      </c>
      <c r="G71" s="423">
        <f t="shared" si="4"/>
        <v>0.11460353259196934</v>
      </c>
      <c r="H71" s="419">
        <v>2525.04</v>
      </c>
      <c r="I71" s="419">
        <v>26988.77</v>
      </c>
      <c r="J71" s="419">
        <f t="shared" si="9"/>
        <v>263999.41000000003</v>
      </c>
      <c r="K71" s="420">
        <f t="shared" si="5"/>
        <v>0.11448137953337655</v>
      </c>
      <c r="L71" s="421">
        <v>259.39999999999998</v>
      </c>
      <c r="M71" s="421"/>
      <c r="N71" s="421">
        <v>9008.08</v>
      </c>
      <c r="O71" s="421">
        <f t="shared" si="6"/>
        <v>87883.219999999972</v>
      </c>
      <c r="P71" s="422">
        <f t="shared" si="7"/>
        <v>0.11439494147216656</v>
      </c>
      <c r="Q71" s="419">
        <v>3421.44</v>
      </c>
      <c r="R71" s="419">
        <v>43.83</v>
      </c>
      <c r="S71" s="419">
        <v>24426.68</v>
      </c>
      <c r="T71" s="419">
        <f t="shared" si="21"/>
        <v>239084.92999999993</v>
      </c>
      <c r="U71" s="420">
        <f t="shared" si="22"/>
        <v>0.11473112022008075</v>
      </c>
      <c r="V71" s="421">
        <v>1539.66</v>
      </c>
      <c r="W71" s="421">
        <v>-1.02</v>
      </c>
      <c r="X71" s="421">
        <v>6957.57</v>
      </c>
      <c r="Y71" s="421">
        <f t="shared" si="17"/>
        <v>68278.710000000021</v>
      </c>
      <c r="Z71" s="422">
        <f t="shared" si="18"/>
        <v>0.11490177174024513</v>
      </c>
    </row>
    <row r="72" spans="1:26" ht="11.25" customHeight="1" x14ac:dyDescent="0.3">
      <c r="A72" s="410">
        <f t="shared" si="0"/>
        <v>15</v>
      </c>
      <c r="B72" s="416">
        <v>45292</v>
      </c>
      <c r="C72" s="416">
        <v>45382</v>
      </c>
      <c r="D72" s="417">
        <f t="shared" si="1"/>
        <v>7595.43</v>
      </c>
      <c r="E72" s="418">
        <f t="shared" ref="E72:F72" si="76">I72+N72+S72+X72</f>
        <v>49773.11</v>
      </c>
      <c r="F72" s="418">
        <f t="shared" si="76"/>
        <v>716604.80999999994</v>
      </c>
      <c r="G72" s="423">
        <f t="shared" si="4"/>
        <v>7.5067583940151422E-2</v>
      </c>
      <c r="H72" s="419">
        <v>2164.3200000000002</v>
      </c>
      <c r="I72" s="419">
        <v>20180.509999999998</v>
      </c>
      <c r="J72" s="419">
        <f t="shared" si="9"/>
        <v>286344.24000000005</v>
      </c>
      <c r="K72" s="420">
        <f t="shared" si="5"/>
        <v>7.6129434422770315E-2</v>
      </c>
      <c r="L72" s="421">
        <v>327.45999999999998</v>
      </c>
      <c r="M72" s="421"/>
      <c r="N72" s="421">
        <v>6689.22</v>
      </c>
      <c r="O72" s="421">
        <f t="shared" si="6"/>
        <v>94899.89999999998</v>
      </c>
      <c r="P72" s="422">
        <f t="shared" si="7"/>
        <v>7.597333013806841E-2</v>
      </c>
      <c r="Q72" s="419">
        <v>3421.44</v>
      </c>
      <c r="R72" s="419">
        <v>-5</v>
      </c>
      <c r="S72" s="419">
        <v>17786.68</v>
      </c>
      <c r="T72" s="419">
        <f t="shared" si="21"/>
        <v>260288.04999999993</v>
      </c>
      <c r="U72" s="420">
        <f t="shared" si="22"/>
        <v>7.3866284544592084E-2</v>
      </c>
      <c r="V72" s="421">
        <v>1682.21</v>
      </c>
      <c r="W72" s="421">
        <v>-5</v>
      </c>
      <c r="X72" s="421">
        <v>5116.7</v>
      </c>
      <c r="Y72" s="421">
        <f t="shared" si="17"/>
        <v>75072.620000000024</v>
      </c>
      <c r="Z72" s="422">
        <f t="shared" si="18"/>
        <v>7.402652915086648E-2</v>
      </c>
    </row>
    <row r="73" spans="1:26" ht="11.25" customHeight="1" x14ac:dyDescent="0.3">
      <c r="A73" s="410">
        <f t="shared" si="0"/>
        <v>46</v>
      </c>
      <c r="B73" s="411">
        <v>45383</v>
      </c>
      <c r="C73" s="411">
        <v>45473</v>
      </c>
      <c r="D73" s="399">
        <f t="shared" si="1"/>
        <v>8308.86</v>
      </c>
      <c r="E73" s="341">
        <f t="shared" ref="E73:F73" si="77">I73+N73+S73+X73</f>
        <v>12647.249999999998</v>
      </c>
      <c r="F73" s="341">
        <f t="shared" si="77"/>
        <v>737550.92</v>
      </c>
      <c r="G73" s="285">
        <f t="shared" si="4"/>
        <v>1.7547121560314644E-2</v>
      </c>
      <c r="H73" s="408">
        <v>2525.04</v>
      </c>
      <c r="I73" s="408">
        <v>4888.4399999999996</v>
      </c>
      <c r="J73" s="408">
        <f t="shared" si="9"/>
        <v>293757.72000000003</v>
      </c>
      <c r="K73" s="412">
        <f t="shared" si="5"/>
        <v>1.6996957929639758E-2</v>
      </c>
      <c r="L73" s="409">
        <v>600.34</v>
      </c>
      <c r="M73" s="409"/>
      <c r="N73" s="409">
        <v>1614.03</v>
      </c>
      <c r="O73" s="409">
        <f t="shared" si="6"/>
        <v>97114.269999999975</v>
      </c>
      <c r="P73" s="413">
        <f t="shared" si="7"/>
        <v>1.6954084172417103E-2</v>
      </c>
      <c r="Q73" s="408">
        <v>3455.64</v>
      </c>
      <c r="R73" s="408">
        <v>-5</v>
      </c>
      <c r="S73" s="408">
        <v>4756.29</v>
      </c>
      <c r="T73" s="408">
        <f t="shared" si="21"/>
        <v>268494.97999999992</v>
      </c>
      <c r="U73" s="412">
        <f t="shared" si="22"/>
        <v>1.8152679072454662E-2</v>
      </c>
      <c r="V73" s="409">
        <v>1727.84</v>
      </c>
      <c r="W73" s="409">
        <v>-5</v>
      </c>
      <c r="X73" s="409">
        <v>1388.49</v>
      </c>
      <c r="Y73" s="409">
        <f t="shared" si="17"/>
        <v>78183.950000000026</v>
      </c>
      <c r="Z73" s="413">
        <f t="shared" si="18"/>
        <v>1.8284873132223295E-2</v>
      </c>
    </row>
    <row r="74" spans="1:26" ht="11.25" customHeight="1" x14ac:dyDescent="0.3">
      <c r="A74" s="410">
        <f t="shared" si="0"/>
        <v>24</v>
      </c>
      <c r="B74" s="411">
        <v>45474</v>
      </c>
      <c r="C74" s="411">
        <v>45565</v>
      </c>
      <c r="D74" s="399">
        <f t="shared" si="1"/>
        <v>8470.7900000000009</v>
      </c>
      <c r="E74" s="341">
        <f t="shared" ref="E74:F74" si="78">I74+N74+S74+X74</f>
        <v>47123.93</v>
      </c>
      <c r="F74" s="341">
        <f t="shared" si="78"/>
        <v>793135.6399999999</v>
      </c>
      <c r="G74" s="285">
        <f t="shared" si="4"/>
        <v>6.3527634639633374E-2</v>
      </c>
      <c r="H74" s="408">
        <v>2651.04</v>
      </c>
      <c r="I74" s="408">
        <v>18444.8</v>
      </c>
      <c r="J74" s="408">
        <f t="shared" si="9"/>
        <v>314853.56</v>
      </c>
      <c r="K74" s="412">
        <f t="shared" si="5"/>
        <v>6.2507108163784547E-2</v>
      </c>
      <c r="L74" s="409">
        <v>518.47</v>
      </c>
      <c r="M74" s="409"/>
      <c r="N74" s="409">
        <v>6088.4</v>
      </c>
      <c r="O74" s="409">
        <f t="shared" si="6"/>
        <v>103721.13999999997</v>
      </c>
      <c r="P74" s="413">
        <f t="shared" si="7"/>
        <v>6.252624879837694E-2</v>
      </c>
      <c r="Q74" s="408">
        <v>3534.15</v>
      </c>
      <c r="R74" s="408">
        <v>-5</v>
      </c>
      <c r="S74" s="408">
        <v>17468.02</v>
      </c>
      <c r="T74" s="408">
        <f t="shared" si="21"/>
        <v>289492.14999999997</v>
      </c>
      <c r="U74" s="412">
        <f t="shared" si="22"/>
        <v>6.4633638636396831E-2</v>
      </c>
      <c r="V74" s="409">
        <v>1767.13</v>
      </c>
      <c r="W74" s="409">
        <v>-5</v>
      </c>
      <c r="X74" s="409">
        <v>5122.71</v>
      </c>
      <c r="Y74" s="409">
        <f t="shared" si="17"/>
        <v>85068.790000000037</v>
      </c>
      <c r="Z74" s="413">
        <f t="shared" si="18"/>
        <v>6.478906033659966E-2</v>
      </c>
    </row>
    <row r="75" spans="1:26" ht="11.25" customHeight="1" x14ac:dyDescent="0.3">
      <c r="A75" s="410">
        <f t="shared" si="0"/>
        <v>51</v>
      </c>
      <c r="B75" s="416">
        <v>45566</v>
      </c>
      <c r="C75" s="416">
        <v>45657</v>
      </c>
      <c r="D75" s="399">
        <f t="shared" si="1"/>
        <v>7875.74</v>
      </c>
      <c r="E75" s="341">
        <f t="shared" ref="E75:F75" si="79">I75+N75+S75+X75</f>
        <v>6634.9400000000005</v>
      </c>
      <c r="F75" s="341">
        <f t="shared" si="79"/>
        <v>807705.33</v>
      </c>
      <c r="G75" s="285">
        <f t="shared" si="4"/>
        <v>8.3241255878645382E-3</v>
      </c>
      <c r="H75" s="408">
        <v>2316.7199999999998</v>
      </c>
      <c r="I75" s="408">
        <v>2656.75</v>
      </c>
      <c r="J75" s="408">
        <f t="shared" si="9"/>
        <v>319827.02999999997</v>
      </c>
      <c r="K75" s="412">
        <f t="shared" si="5"/>
        <v>8.4071195795399119E-3</v>
      </c>
      <c r="L75" s="409">
        <v>272.89999999999998</v>
      </c>
      <c r="M75" s="409"/>
      <c r="N75" s="409">
        <v>881.97</v>
      </c>
      <c r="O75" s="409">
        <f t="shared" si="6"/>
        <v>104876.00999999997</v>
      </c>
      <c r="P75" s="413">
        <f t="shared" si="7"/>
        <v>8.4921092430509919E-3</v>
      </c>
      <c r="Q75" s="408">
        <v>3524.04</v>
      </c>
      <c r="R75" s="408">
        <v>56.15</v>
      </c>
      <c r="S75" s="408">
        <v>2399.9</v>
      </c>
      <c r="T75" s="408">
        <f t="shared" si="21"/>
        <v>295472.24</v>
      </c>
      <c r="U75" s="412">
        <f t="shared" si="22"/>
        <v>8.2398820246934162E-3</v>
      </c>
      <c r="V75" s="409">
        <v>1762.08</v>
      </c>
      <c r="W75" s="409">
        <v>2.86</v>
      </c>
      <c r="X75" s="409">
        <v>696.32</v>
      </c>
      <c r="Y75" s="409">
        <f t="shared" si="17"/>
        <v>87530.050000000047</v>
      </c>
      <c r="Z75" s="413">
        <f t="shared" si="18"/>
        <v>8.1014703577656846E-3</v>
      </c>
    </row>
    <row r="76" spans="1:26" ht="11.25" customHeight="1" x14ac:dyDescent="0.3">
      <c r="A76" s="410">
        <f t="shared" si="0"/>
        <v>65</v>
      </c>
      <c r="B76" s="411">
        <v>45658</v>
      </c>
      <c r="C76" s="411">
        <v>45747</v>
      </c>
      <c r="D76" s="399">
        <f t="shared" si="1"/>
        <v>8468.5</v>
      </c>
      <c r="E76" s="341">
        <f t="shared" ref="E76:F76" si="80">I76+N76+S76+X76</f>
        <v>-23233.47</v>
      </c>
      <c r="F76" s="341">
        <f t="shared" si="80"/>
        <v>792984.94</v>
      </c>
      <c r="G76" s="285">
        <f t="shared" si="4"/>
        <v>-2.8614776976385363E-2</v>
      </c>
      <c r="H76" s="408">
        <v>2754.64</v>
      </c>
      <c r="I76" s="408">
        <v>-9406.6200000000008</v>
      </c>
      <c r="J76" s="408">
        <f t="shared" si="9"/>
        <v>313175.05</v>
      </c>
      <c r="K76" s="412">
        <f t="shared" si="5"/>
        <v>-2.9285468892311085E-2</v>
      </c>
      <c r="L76" s="409">
        <v>427.74</v>
      </c>
      <c r="M76" s="409">
        <v>54.58</v>
      </c>
      <c r="N76" s="409">
        <v>-3072.99</v>
      </c>
      <c r="O76" s="409">
        <f t="shared" ref="O76:O81" si="81">O75+M76+L76+N76</f>
        <v>102285.33999999997</v>
      </c>
      <c r="P76" s="413">
        <f t="shared" si="7"/>
        <v>-2.9241540669758124E-2</v>
      </c>
      <c r="Q76" s="408">
        <v>3524.04</v>
      </c>
      <c r="R76" s="408">
        <v>-5</v>
      </c>
      <c r="S76" s="408">
        <v>-8273.32</v>
      </c>
      <c r="T76" s="408">
        <f t="shared" si="21"/>
        <v>290717.95999999996</v>
      </c>
      <c r="U76" s="412">
        <f t="shared" si="22"/>
        <v>-2.7834341842020497E-2</v>
      </c>
      <c r="V76" s="409">
        <v>1762.08</v>
      </c>
      <c r="W76" s="409">
        <v>-5</v>
      </c>
      <c r="X76" s="409">
        <v>-2480.54</v>
      </c>
      <c r="Y76" s="409">
        <f t="shared" si="17"/>
        <v>86806.590000000055</v>
      </c>
      <c r="Z76" s="413">
        <f t="shared" si="18"/>
        <v>-2.8056887433465631E-2</v>
      </c>
    </row>
    <row r="77" spans="1:26" ht="11.25" customHeight="1" x14ac:dyDescent="0.3">
      <c r="A77" s="410">
        <f t="shared" si="0"/>
        <v>10</v>
      </c>
      <c r="B77" s="411">
        <v>45748</v>
      </c>
      <c r="C77" s="411">
        <v>45838</v>
      </c>
      <c r="D77" s="399">
        <f t="shared" si="1"/>
        <v>8336.2599999999984</v>
      </c>
      <c r="E77" s="341">
        <f t="shared" ref="E77:F77" si="82">I77+N77+S77+X77</f>
        <v>78804.489999999991</v>
      </c>
      <c r="F77" s="341">
        <f t="shared" si="82"/>
        <v>880115.68999999983</v>
      </c>
      <c r="G77" s="285">
        <f t="shared" si="4"/>
        <v>9.885741266730616E-2</v>
      </c>
      <c r="H77" s="408">
        <v>2361.12</v>
      </c>
      <c r="I77" s="408">
        <v>31230.560000000001</v>
      </c>
      <c r="J77" s="408">
        <f t="shared" si="9"/>
        <v>346766.73</v>
      </c>
      <c r="K77" s="412">
        <f t="shared" si="5"/>
        <v>9.9347869121852173E-2</v>
      </c>
      <c r="L77" s="409">
        <v>627.36</v>
      </c>
      <c r="M77" s="409"/>
      <c r="N77" s="409">
        <v>10189.65</v>
      </c>
      <c r="O77" s="409">
        <f t="shared" si="81"/>
        <v>113102.34999999996</v>
      </c>
      <c r="P77" s="413">
        <f t="shared" si="7"/>
        <v>9.9315276110824482E-2</v>
      </c>
      <c r="Q77" s="408">
        <v>3565.16</v>
      </c>
      <c r="R77" s="408">
        <v>-5</v>
      </c>
      <c r="S77" s="408">
        <v>28737.85</v>
      </c>
      <c r="T77" s="408">
        <f t="shared" si="21"/>
        <v>323015.96999999991</v>
      </c>
      <c r="U77" s="412">
        <f t="shared" si="22"/>
        <v>9.8248878446515003E-2</v>
      </c>
      <c r="V77" s="409">
        <v>1782.62</v>
      </c>
      <c r="W77" s="409">
        <v>-5</v>
      </c>
      <c r="X77" s="409">
        <v>8646.43</v>
      </c>
      <c r="Y77" s="409">
        <f t="shared" si="17"/>
        <v>97230.640000000043</v>
      </c>
      <c r="Z77" s="413">
        <f t="shared" si="18"/>
        <v>9.8593352862497222E-2</v>
      </c>
    </row>
    <row r="78" spans="1:26" ht="11.25" customHeight="1" x14ac:dyDescent="0.3">
      <c r="A78" s="410">
        <f t="shared" si="0"/>
        <v>18</v>
      </c>
      <c r="B78" s="411">
        <v>45839</v>
      </c>
      <c r="C78" s="411">
        <v>45930</v>
      </c>
      <c r="D78" s="399">
        <f t="shared" si="1"/>
        <v>8512.1500000000015</v>
      </c>
      <c r="E78" s="341">
        <f t="shared" ref="E78:F78" si="83">I78+N78+S78+X78</f>
        <v>62574.47</v>
      </c>
      <c r="F78" s="341">
        <f t="shared" si="83"/>
        <v>951192.30999999994</v>
      </c>
      <c r="G78" s="285">
        <f t="shared" si="4"/>
        <v>7.0755843273671251E-2</v>
      </c>
      <c r="H78" s="408">
        <v>2754.64</v>
      </c>
      <c r="I78" s="408">
        <v>24277.07</v>
      </c>
      <c r="J78" s="408">
        <f t="shared" si="9"/>
        <v>373798.44</v>
      </c>
      <c r="K78" s="412">
        <f t="shared" si="5"/>
        <v>6.9732830418902755E-2</v>
      </c>
      <c r="L78" s="409">
        <v>228.13</v>
      </c>
      <c r="M78" s="409"/>
      <c r="N78" s="409">
        <v>7890.03</v>
      </c>
      <c r="O78" s="409">
        <f t="shared" si="81"/>
        <v>121220.50999999997</v>
      </c>
      <c r="P78" s="413">
        <f t="shared" si="7"/>
        <v>6.9689806023269699E-2</v>
      </c>
      <c r="Q78" s="408">
        <v>3686.25</v>
      </c>
      <c r="R78" s="408">
        <v>-5</v>
      </c>
      <c r="S78" s="408">
        <v>23348.720000000001</v>
      </c>
      <c r="T78" s="408">
        <f t="shared" si="21"/>
        <v>350045.93999999994</v>
      </c>
      <c r="U78" s="412">
        <f t="shared" si="22"/>
        <v>7.1873376363373806E-2</v>
      </c>
      <c r="V78" s="409">
        <v>1843.13</v>
      </c>
      <c r="W78" s="409">
        <v>-5</v>
      </c>
      <c r="X78" s="409">
        <v>7058.65</v>
      </c>
      <c r="Y78" s="409">
        <f t="shared" si="17"/>
        <v>106127.42000000004</v>
      </c>
      <c r="Z78" s="413">
        <f t="shared" si="18"/>
        <v>7.191534820842789E-2</v>
      </c>
    </row>
    <row r="79" spans="1:26" ht="11.25" customHeight="1" x14ac:dyDescent="0.3">
      <c r="A79" s="410">
        <f t="shared" si="0"/>
        <v>42</v>
      </c>
      <c r="B79" s="411">
        <v>45931</v>
      </c>
      <c r="C79" s="411">
        <v>46022</v>
      </c>
      <c r="D79" s="399">
        <f t="shared" si="1"/>
        <v>7950.88</v>
      </c>
      <c r="E79" s="341">
        <f t="shared" ref="E79:F79" si="84">I79+N79+S79+X79</f>
        <v>22107.989999999998</v>
      </c>
      <c r="F79" s="341">
        <f t="shared" si="84"/>
        <v>981285.71</v>
      </c>
      <c r="G79" s="285">
        <f t="shared" si="4"/>
        <v>2.3145662110137199E-2</v>
      </c>
      <c r="H79" s="408">
        <v>2362.08</v>
      </c>
      <c r="I79" s="408">
        <v>8987.66</v>
      </c>
      <c r="J79" s="408">
        <f t="shared" si="9"/>
        <v>385148.18</v>
      </c>
      <c r="K79" s="412">
        <f t="shared" si="5"/>
        <v>2.396840488444861E-2</v>
      </c>
      <c r="L79" s="409">
        <v>117.7</v>
      </c>
      <c r="M79" s="409"/>
      <c r="N79" s="409">
        <v>2907.64</v>
      </c>
      <c r="O79" s="409">
        <f t="shared" si="81"/>
        <v>124245.84999999996</v>
      </c>
      <c r="P79" s="413">
        <f t="shared" si="7"/>
        <v>2.3974730737365373E-2</v>
      </c>
      <c r="Q79" s="408">
        <v>3647.4</v>
      </c>
      <c r="R79" s="408">
        <v>33.979999999999997</v>
      </c>
      <c r="S79" s="408">
        <v>7831.87</v>
      </c>
      <c r="T79" s="408">
        <f t="shared" si="21"/>
        <v>361559.18999999994</v>
      </c>
      <c r="U79" s="412">
        <f t="shared" si="22"/>
        <v>2.2257873682992375E-2</v>
      </c>
      <c r="V79" s="409">
        <v>1823.7</v>
      </c>
      <c r="W79" s="409">
        <v>0.55000000000000004</v>
      </c>
      <c r="X79" s="409">
        <v>2380.8200000000002</v>
      </c>
      <c r="Y79" s="409">
        <f t="shared" si="17"/>
        <v>110332.49000000005</v>
      </c>
      <c r="Z79" s="413">
        <f t="shared" si="18"/>
        <v>2.2242491003535422E-2</v>
      </c>
    </row>
    <row r="80" spans="1:26" ht="11.25" customHeight="1" x14ac:dyDescent="0.3">
      <c r="A80" s="410">
        <f t="shared" si="0"/>
        <v>64</v>
      </c>
      <c r="B80" s="411">
        <v>46023</v>
      </c>
      <c r="C80" s="411">
        <v>46112</v>
      </c>
      <c r="D80" s="399">
        <f t="shared" si="1"/>
        <v>9490.0500000000011</v>
      </c>
      <c r="E80" s="341">
        <f t="shared" ref="E80:F80" si="85">I80+N80+S80+X80</f>
        <v>-26205.96</v>
      </c>
      <c r="F80" s="341">
        <f t="shared" si="85"/>
        <v>964559.79999999993</v>
      </c>
      <c r="G80" s="285">
        <f t="shared" si="4"/>
        <v>-2.6577224289058291E-2</v>
      </c>
      <c r="H80" s="408">
        <v>2898.86</v>
      </c>
      <c r="I80" s="408">
        <v>-10534.77</v>
      </c>
      <c r="J80" s="408">
        <f t="shared" si="9"/>
        <v>377512.26999999996</v>
      </c>
      <c r="K80" s="412">
        <f t="shared" si="5"/>
        <v>-2.7249961529767348E-2</v>
      </c>
      <c r="L80" s="409">
        <v>488.67</v>
      </c>
      <c r="M80" s="409"/>
      <c r="N80" s="409">
        <v>-3387.97</v>
      </c>
      <c r="O80" s="409">
        <f t="shared" si="81"/>
        <v>121346.54999999996</v>
      </c>
      <c r="P80" s="413">
        <f t="shared" si="7"/>
        <v>-2.7214755926340706E-2</v>
      </c>
      <c r="Q80" s="408">
        <v>4068.32</v>
      </c>
      <c r="R80" s="408">
        <v>-5</v>
      </c>
      <c r="S80" s="408">
        <v>-9700.08</v>
      </c>
      <c r="T80" s="408">
        <f t="shared" si="21"/>
        <v>355922.42999999993</v>
      </c>
      <c r="U80" s="412">
        <f t="shared" si="22"/>
        <v>-2.6678375718367793E-2</v>
      </c>
      <c r="V80" s="409">
        <v>2034.2</v>
      </c>
      <c r="W80" s="409">
        <v>-5</v>
      </c>
      <c r="X80" s="409">
        <v>-2583.14</v>
      </c>
      <c r="Y80" s="409">
        <f t="shared" si="17"/>
        <v>109778.55000000005</v>
      </c>
      <c r="Z80" s="413">
        <f t="shared" si="18"/>
        <v>-2.3198468894227619E-2</v>
      </c>
    </row>
    <row r="81" spans="1:26" ht="11.25" customHeight="1" x14ac:dyDescent="0.3">
      <c r="A81" s="410">
        <f t="shared" si="0"/>
        <v>4</v>
      </c>
      <c r="B81" s="411">
        <v>46113</v>
      </c>
      <c r="C81" s="411">
        <v>46186</v>
      </c>
      <c r="D81" s="399">
        <f t="shared" si="1"/>
        <v>7632.11</v>
      </c>
      <c r="E81" s="341">
        <f t="shared" ref="E81:F81" si="86">I81+N81+S81+X81</f>
        <v>135129.34999999998</v>
      </c>
      <c r="F81" s="341">
        <f t="shared" si="86"/>
        <v>1107311.7599999998</v>
      </c>
      <c r="G81" s="285">
        <f t="shared" si="4"/>
        <v>0.13954225448960619</v>
      </c>
      <c r="H81" s="408">
        <v>2004.8</v>
      </c>
      <c r="I81" s="408">
        <v>54005.24</v>
      </c>
      <c r="J81" s="408">
        <f t="shared" si="9"/>
        <v>433522.30999999994</v>
      </c>
      <c r="K81" s="412">
        <f t="shared" si="5"/>
        <v>0.14267674222507679</v>
      </c>
      <c r="L81" s="409">
        <v>305.39999999999998</v>
      </c>
      <c r="M81" s="409">
        <v>0</v>
      </c>
      <c r="N81" s="409">
        <v>17964.05</v>
      </c>
      <c r="O81" s="409">
        <f t="shared" si="81"/>
        <v>139615.99999999994</v>
      </c>
      <c r="P81" s="413">
        <f t="shared" si="7"/>
        <v>0.14785317604841186</v>
      </c>
      <c r="Q81" s="408">
        <v>3547.92</v>
      </c>
      <c r="R81" s="408">
        <v>-4.75</v>
      </c>
      <c r="S81" s="408">
        <v>49236.17</v>
      </c>
      <c r="T81" s="408">
        <f t="shared" si="21"/>
        <v>408701.7699999999</v>
      </c>
      <c r="U81" s="412">
        <f t="shared" si="22"/>
        <v>0.13764793656430249</v>
      </c>
      <c r="V81" s="409">
        <v>1773.99</v>
      </c>
      <c r="W81" s="409">
        <v>-4.75</v>
      </c>
      <c r="X81" s="409">
        <v>13923.89</v>
      </c>
      <c r="Y81" s="409">
        <f t="shared" si="17"/>
        <v>125471.68000000005</v>
      </c>
      <c r="Z81" s="413">
        <f t="shared" si="18"/>
        <v>0.1258195583819697</v>
      </c>
    </row>
    <row r="82" spans="1:26" ht="11.25" customHeight="1" x14ac:dyDescent="0.3">
      <c r="A82" s="424"/>
      <c r="B82" s="411">
        <f ca="1">TODAY()</f>
        <v>46186</v>
      </c>
      <c r="C82" s="425"/>
      <c r="D82" s="426">
        <f>-F81</f>
        <v>-1107311.7599999998</v>
      </c>
      <c r="E82" s="426"/>
      <c r="F82" s="426"/>
      <c r="G82" s="426"/>
      <c r="H82" s="426">
        <f>-J81</f>
        <v>-433522.30999999994</v>
      </c>
      <c r="I82" s="427"/>
      <c r="J82" s="426"/>
      <c r="K82" s="426"/>
      <c r="L82" s="426">
        <f>-O81</f>
        <v>-139615.99999999994</v>
      </c>
      <c r="M82" s="426"/>
      <c r="N82" s="427"/>
      <c r="O82" s="426"/>
      <c r="P82" s="426"/>
      <c r="Q82" s="426">
        <f>-T81</f>
        <v>-408701.7699999999</v>
      </c>
      <c r="R82" s="426"/>
      <c r="S82" s="426"/>
      <c r="T82" s="426"/>
      <c r="U82" s="426"/>
      <c r="V82" s="426">
        <f>-Y81</f>
        <v>-125471.68000000005</v>
      </c>
      <c r="W82" s="428"/>
      <c r="X82" s="428"/>
      <c r="Y82" s="428"/>
      <c r="Z82" s="428"/>
    </row>
    <row r="83" spans="1:26" ht="11.25" customHeight="1" x14ac:dyDescent="0.3">
      <c r="A83" s="404"/>
      <c r="B83" s="295"/>
      <c r="C83" s="406"/>
      <c r="D83" s="400"/>
      <c r="E83" s="400"/>
      <c r="F83" s="400"/>
      <c r="G83" s="400"/>
      <c r="H83" s="400"/>
      <c r="I83" s="400"/>
      <c r="J83" s="400"/>
      <c r="K83" s="400"/>
      <c r="L83" s="400"/>
      <c r="M83" s="400"/>
      <c r="N83" s="400"/>
      <c r="O83" s="400"/>
      <c r="P83" s="400"/>
      <c r="Q83" s="400"/>
      <c r="R83" s="400"/>
      <c r="S83" s="400"/>
      <c r="T83" s="400"/>
      <c r="U83" s="400"/>
      <c r="V83" s="188"/>
      <c r="W83" s="400"/>
      <c r="X83" s="403"/>
      <c r="Y83" s="188"/>
      <c r="Z83" s="188"/>
    </row>
    <row r="84" spans="1:26" ht="11.25" customHeight="1" x14ac:dyDescent="0.3">
      <c r="A84" s="404"/>
      <c r="B84" s="295"/>
      <c r="C84" s="406"/>
      <c r="D84" s="400"/>
      <c r="E84" s="400"/>
      <c r="F84" s="400"/>
      <c r="G84" s="400"/>
      <c r="H84" s="296"/>
      <c r="I84" s="296"/>
      <c r="J84" s="400"/>
      <c r="K84" s="400"/>
      <c r="L84" s="400"/>
      <c r="M84" s="400"/>
      <c r="N84" s="403"/>
      <c r="O84" s="400"/>
      <c r="P84" s="400"/>
      <c r="Q84" s="400"/>
      <c r="R84" s="400"/>
      <c r="S84" s="400"/>
      <c r="T84" s="400"/>
      <c r="U84" s="400"/>
      <c r="V84" s="188"/>
      <c r="W84" s="400"/>
      <c r="X84" s="403"/>
      <c r="Y84" s="188"/>
      <c r="Z84" s="188"/>
    </row>
    <row r="85" spans="1:26" ht="11.25" customHeight="1" x14ac:dyDescent="0.3">
      <c r="A85" s="293" t="s">
        <v>613</v>
      </c>
      <c r="B85" s="295"/>
      <c r="C85" s="406"/>
      <c r="D85" s="400"/>
      <c r="E85" s="400"/>
      <c r="F85" s="400"/>
      <c r="G85" s="400"/>
      <c r="H85" s="401"/>
      <c r="I85" s="296"/>
      <c r="J85" s="400"/>
      <c r="K85" s="400"/>
      <c r="L85" s="400"/>
      <c r="M85" s="400"/>
      <c r="N85" s="400"/>
      <c r="O85" s="400"/>
      <c r="P85" s="400"/>
      <c r="Q85" s="400"/>
      <c r="R85" s="400"/>
      <c r="S85" s="400"/>
      <c r="T85" s="400"/>
      <c r="U85" s="400"/>
      <c r="V85" s="188"/>
      <c r="W85" s="400"/>
      <c r="X85" s="400"/>
      <c r="Y85" s="188"/>
      <c r="Z85" s="188"/>
    </row>
    <row r="86" spans="1:26" ht="11.25" customHeight="1" x14ac:dyDescent="0.3">
      <c r="A86" s="293">
        <f>COUNTIF(E7:E82,"&gt;0")</f>
        <v>58</v>
      </c>
      <c r="B86" s="295"/>
      <c r="C86" s="406"/>
      <c r="D86" s="400"/>
      <c r="E86" s="400"/>
      <c r="F86" s="400"/>
      <c r="G86" s="400"/>
      <c r="H86" s="188"/>
      <c r="I86" s="296"/>
      <c r="J86" s="400"/>
      <c r="K86" s="400"/>
      <c r="L86" s="400"/>
      <c r="M86" s="400"/>
      <c r="N86" s="400"/>
      <c r="O86" s="400"/>
      <c r="P86" s="400"/>
      <c r="Q86" s="400"/>
      <c r="R86" s="400"/>
      <c r="S86" s="400"/>
      <c r="T86" s="400"/>
      <c r="U86" s="400"/>
      <c r="V86" s="188"/>
      <c r="W86" s="400"/>
      <c r="X86" s="400"/>
      <c r="Y86" s="188"/>
      <c r="Z86" s="188"/>
    </row>
    <row r="87" spans="1:26" ht="11.25" customHeight="1" x14ac:dyDescent="0.3">
      <c r="A87" s="293" t="s">
        <v>614</v>
      </c>
      <c r="B87" s="295"/>
      <c r="C87" s="406"/>
      <c r="D87" s="400"/>
      <c r="E87" s="400"/>
      <c r="F87" s="400"/>
      <c r="G87" s="400"/>
      <c r="H87" s="188"/>
      <c r="I87" s="296"/>
      <c r="J87" s="400"/>
      <c r="K87" s="400"/>
      <c r="L87" s="400"/>
      <c r="M87" s="400"/>
      <c r="N87" s="400"/>
      <c r="O87" s="400"/>
      <c r="P87" s="400"/>
      <c r="Q87" s="400"/>
      <c r="R87" s="400"/>
      <c r="S87" s="400"/>
      <c r="T87" s="400"/>
      <c r="U87" s="400"/>
      <c r="V87" s="400"/>
      <c r="W87" s="400"/>
      <c r="X87" s="400"/>
      <c r="Y87" s="188"/>
      <c r="Z87" s="188"/>
    </row>
    <row r="88" spans="1:26" ht="11.25" customHeight="1" x14ac:dyDescent="0.3">
      <c r="A88" s="296">
        <f>(SUMIFS(G7:G82,E7:E82,"&gt;0"))/A86</f>
        <v>5.7035094314765347E-2</v>
      </c>
      <c r="B88" s="295"/>
      <c r="C88" s="406"/>
      <c r="D88" s="400"/>
      <c r="E88" s="400"/>
      <c r="F88" s="400"/>
      <c r="G88" s="400"/>
      <c r="H88" s="296"/>
      <c r="I88" s="296"/>
      <c r="J88" s="400"/>
      <c r="K88" s="400"/>
      <c r="L88" s="400"/>
      <c r="M88" s="400"/>
      <c r="N88" s="296"/>
      <c r="O88" s="400"/>
      <c r="P88" s="400"/>
      <c r="Q88" s="400"/>
      <c r="R88" s="400"/>
      <c r="S88" s="400"/>
      <c r="T88" s="400"/>
      <c r="U88" s="400"/>
      <c r="V88" s="400"/>
      <c r="W88" s="400"/>
      <c r="X88" s="296"/>
      <c r="Y88" s="188"/>
      <c r="Z88" s="188"/>
    </row>
    <row r="89" spans="1:26" ht="11.25" customHeight="1" x14ac:dyDescent="0.3">
      <c r="A89" s="293" t="s">
        <v>615</v>
      </c>
      <c r="B89" s="295"/>
      <c r="C89" s="406"/>
      <c r="D89" s="400"/>
      <c r="E89" s="400"/>
      <c r="F89" s="400"/>
      <c r="G89" s="400"/>
      <c r="H89" s="296"/>
      <c r="I89" s="296"/>
      <c r="J89" s="296"/>
      <c r="K89" s="296"/>
      <c r="L89" s="296"/>
      <c r="M89" s="296"/>
      <c r="N89" s="296"/>
      <c r="O89" s="400"/>
      <c r="P89" s="400"/>
      <c r="Q89" s="400"/>
      <c r="R89" s="400"/>
      <c r="S89" s="400"/>
      <c r="T89" s="400"/>
      <c r="U89" s="400"/>
      <c r="V89" s="188"/>
      <c r="W89" s="188"/>
      <c r="X89" s="188"/>
      <c r="Y89" s="188"/>
      <c r="Z89" s="188"/>
    </row>
    <row r="90" spans="1:26" ht="11.25" customHeight="1" x14ac:dyDescent="0.3">
      <c r="A90" s="293">
        <f>COUNTIF(E7:E82,"&lt;0")</f>
        <v>17</v>
      </c>
    </row>
    <row r="91" spans="1:26" ht="11.25" customHeight="1" x14ac:dyDescent="0.3">
      <c r="A91" s="293" t="s">
        <v>616</v>
      </c>
    </row>
    <row r="92" spans="1:26" ht="11.25" customHeight="1" x14ac:dyDescent="0.3">
      <c r="A92" s="296">
        <f>(SUMIFS(G7:G82,E7:E82,"&lt;0"))/A90</f>
        <v>-6.2209935327223916E-2</v>
      </c>
    </row>
    <row r="93" spans="1:26" ht="15.75" customHeight="1" x14ac:dyDescent="0.3"/>
    <row r="94" spans="1:26" ht="15.75" customHeight="1" x14ac:dyDescent="0.3"/>
    <row r="95" spans="1:26" ht="15" customHeight="1" x14ac:dyDescent="0.3">
      <c r="A95" s="11" t="s">
        <v>617</v>
      </c>
    </row>
    <row r="96" spans="1:26" ht="15" customHeight="1" x14ac:dyDescent="0.3">
      <c r="A96" s="50">
        <f>AVERAGE(G8,G12,G16,G20,G24,G28,G32,G36,G40,G44,G48,G52,G56,G60,G64,G68,G72,G76,G80)</f>
        <v>1.9373354324880427E-2</v>
      </c>
    </row>
    <row r="97" spans="1:1" ht="15" customHeight="1" x14ac:dyDescent="0.3">
      <c r="A97" s="50" t="s">
        <v>618</v>
      </c>
    </row>
    <row r="98" spans="1:1" ht="15" customHeight="1" x14ac:dyDescent="0.3">
      <c r="A98" s="50">
        <f>AVERAGE(G9,G13,G17,G21,G25,G29,G33,G37,G41,G45,G49,G53,G57,G61,G65,G69,G73,G77,G81)</f>
        <v>3.3173710734903127E-2</v>
      </c>
    </row>
    <row r="99" spans="1:1" ht="15" customHeight="1" x14ac:dyDescent="0.3">
      <c r="A99" s="50" t="s">
        <v>619</v>
      </c>
    </row>
    <row r="100" spans="1:1" ht="15" customHeight="1" x14ac:dyDescent="0.3">
      <c r="A100" s="50">
        <f>AVERAGE(G10,G14,G18,G22,G26,G30,G34,G38,G42,G46,G50,G54,G58,G62,G66,G70,G74,G78)</f>
        <v>2.3110095299876503E-2</v>
      </c>
    </row>
    <row r="101" spans="1:1" ht="15" customHeight="1" x14ac:dyDescent="0.3">
      <c r="A101" s="50" t="s">
        <v>620</v>
      </c>
    </row>
    <row r="102" spans="1:1" ht="15" customHeight="1" x14ac:dyDescent="0.3">
      <c r="A102" s="50">
        <f>AVERAGE(G7,G11,G15,G19,G23,G27,G31,G35,G39,G43,G47,G51,G55,G59,G63,G67,G71,G75,G79)</f>
        <v>4.4004769376837713E-2</v>
      </c>
    </row>
    <row r="103" spans="1:1" ht="15.75" customHeight="1" x14ac:dyDescent="0.3"/>
    <row r="104" spans="1:1" ht="15.75" customHeight="1" x14ac:dyDescent="0.3"/>
    <row r="105" spans="1:1" ht="15.75" customHeight="1" x14ac:dyDescent="0.3"/>
    <row r="106" spans="1:1" ht="15.75" customHeight="1" x14ac:dyDescent="0.3"/>
    <row r="107" spans="1:1" ht="15.75" customHeight="1" x14ac:dyDescent="0.3"/>
    <row r="108" spans="1:1" ht="15.75" customHeight="1" x14ac:dyDescent="0.3"/>
    <row r="109" spans="1:1" ht="15.75" customHeight="1" x14ac:dyDescent="0.3"/>
    <row r="110" spans="1:1" ht="15.75" customHeight="1" x14ac:dyDescent="0.3"/>
    <row r="111" spans="1:1" ht="15.75" customHeight="1" x14ac:dyDescent="0.3"/>
    <row r="112" spans="1:1" ht="15.75" customHeight="1" x14ac:dyDescent="0.3"/>
    <row r="113" ht="15.75" customHeight="1" x14ac:dyDescent="0.3"/>
    <row r="114" ht="15.75" customHeight="1" x14ac:dyDescent="0.3"/>
    <row r="115" ht="15.75" customHeight="1" x14ac:dyDescent="0.3"/>
    <row r="116" ht="15.75" customHeight="1" x14ac:dyDescent="0.3"/>
    <row r="117" ht="15.75" customHeight="1" x14ac:dyDescent="0.3"/>
    <row r="118" ht="15.75" customHeight="1" x14ac:dyDescent="0.3"/>
    <row r="119" ht="15.75" customHeight="1" x14ac:dyDescent="0.3"/>
    <row r="120" ht="15.75" customHeight="1" x14ac:dyDescent="0.3"/>
    <row r="121" ht="15.75" customHeight="1" x14ac:dyDescent="0.3"/>
    <row r="122" ht="15.75" customHeight="1" x14ac:dyDescent="0.3"/>
    <row r="123" ht="15.75" customHeight="1" x14ac:dyDescent="0.3"/>
    <row r="124" ht="15.75" customHeight="1" x14ac:dyDescent="0.3"/>
    <row r="125" ht="15.75" customHeight="1" x14ac:dyDescent="0.3"/>
    <row r="126" ht="15.75" customHeight="1" x14ac:dyDescent="0.3"/>
    <row r="127" ht="15.75" customHeight="1" x14ac:dyDescent="0.3"/>
    <row r="128" ht="15.75" customHeight="1" x14ac:dyDescent="0.3"/>
    <row r="129" ht="15.75" customHeight="1" x14ac:dyDescent="0.3"/>
    <row r="130" ht="15.75" customHeight="1" x14ac:dyDescent="0.3"/>
    <row r="131" ht="15.75" customHeight="1" x14ac:dyDescent="0.3"/>
    <row r="132" ht="15.75" customHeight="1" x14ac:dyDescent="0.3"/>
    <row r="133" ht="15.75" customHeight="1" x14ac:dyDescent="0.3"/>
    <row r="134" ht="15.75" customHeight="1" x14ac:dyDescent="0.3"/>
    <row r="135" ht="15.75" customHeight="1" x14ac:dyDescent="0.3"/>
    <row r="136" ht="15.75" customHeight="1" x14ac:dyDescent="0.3"/>
    <row r="137" ht="15.75" customHeight="1" x14ac:dyDescent="0.3"/>
    <row r="138" ht="15.75" customHeight="1" x14ac:dyDescent="0.3"/>
    <row r="139" ht="15.75" customHeight="1" x14ac:dyDescent="0.3"/>
    <row r="140" ht="15.75" customHeight="1" x14ac:dyDescent="0.3"/>
    <row r="141" ht="15.75" customHeight="1" x14ac:dyDescent="0.3"/>
    <row r="142" ht="15.75" customHeight="1" x14ac:dyDescent="0.3"/>
    <row r="143" ht="15.75" customHeight="1" x14ac:dyDescent="0.3"/>
    <row r="144" ht="15.75" customHeight="1" x14ac:dyDescent="0.3"/>
    <row r="145" ht="15.75" customHeight="1" x14ac:dyDescent="0.3"/>
    <row r="146" ht="15.75" customHeight="1" x14ac:dyDescent="0.3"/>
    <row r="147" ht="15.75" customHeight="1" x14ac:dyDescent="0.3"/>
    <row r="148" ht="15.75" customHeight="1" x14ac:dyDescent="0.3"/>
    <row r="149" ht="15.75" customHeight="1" x14ac:dyDescent="0.3"/>
    <row r="150" ht="15.75" customHeight="1" x14ac:dyDescent="0.3"/>
    <row r="151" ht="15.75" customHeight="1" x14ac:dyDescent="0.3"/>
    <row r="152" ht="15.75" customHeight="1" x14ac:dyDescent="0.3"/>
    <row r="153" ht="15.75" customHeight="1" x14ac:dyDescent="0.3"/>
    <row r="154" ht="15.75" customHeight="1" x14ac:dyDescent="0.3"/>
    <row r="155" ht="15.75" customHeight="1" x14ac:dyDescent="0.3"/>
    <row r="156" ht="15.75" customHeight="1" x14ac:dyDescent="0.3"/>
    <row r="157" ht="15.75" customHeight="1" x14ac:dyDescent="0.3"/>
    <row r="158" ht="15.75" customHeight="1" x14ac:dyDescent="0.3"/>
    <row r="159" ht="15.75" customHeight="1" x14ac:dyDescent="0.3"/>
    <row r="160" ht="15.75" customHeight="1" x14ac:dyDescent="0.3"/>
    <row r="161" ht="15.75" customHeight="1" x14ac:dyDescent="0.3"/>
    <row r="162" ht="15.75" customHeight="1" x14ac:dyDescent="0.3"/>
    <row r="163" ht="15.75" customHeight="1" x14ac:dyDescent="0.3"/>
    <row r="164" ht="15.75" customHeight="1" x14ac:dyDescent="0.3"/>
    <row r="165" ht="15.75" customHeight="1" x14ac:dyDescent="0.3"/>
    <row r="166" ht="15.75" customHeight="1" x14ac:dyDescent="0.3"/>
    <row r="167" ht="15.75" customHeight="1" x14ac:dyDescent="0.3"/>
    <row r="168" ht="15.75" customHeight="1" x14ac:dyDescent="0.3"/>
    <row r="169" ht="15.75" customHeight="1" x14ac:dyDescent="0.3"/>
    <row r="170" ht="15.75" customHeight="1" x14ac:dyDescent="0.3"/>
    <row r="171" ht="15.75" customHeight="1" x14ac:dyDescent="0.3"/>
    <row r="172" ht="15.75" customHeight="1" x14ac:dyDescent="0.3"/>
    <row r="173" ht="15.75" customHeight="1" x14ac:dyDescent="0.3"/>
    <row r="174" ht="15.75" customHeight="1" x14ac:dyDescent="0.3"/>
    <row r="175" ht="15.75" customHeight="1" x14ac:dyDescent="0.3"/>
    <row r="176" ht="15.75" customHeight="1" x14ac:dyDescent="0.3"/>
    <row r="177" ht="15.75" customHeight="1" x14ac:dyDescent="0.3"/>
    <row r="178" ht="15.75" customHeight="1" x14ac:dyDescent="0.3"/>
    <row r="179" ht="15.75" customHeight="1" x14ac:dyDescent="0.3"/>
    <row r="180" ht="15.75" customHeight="1" x14ac:dyDescent="0.3"/>
    <row r="181" ht="15.75" customHeight="1" x14ac:dyDescent="0.3"/>
    <row r="182" ht="15.75" customHeight="1" x14ac:dyDescent="0.3"/>
    <row r="183" ht="15.75" customHeight="1" x14ac:dyDescent="0.3"/>
    <row r="184" ht="15.75" customHeight="1" x14ac:dyDescent="0.3"/>
    <row r="185" ht="15.75" customHeight="1" x14ac:dyDescent="0.3"/>
    <row r="186" ht="15.75" customHeight="1" x14ac:dyDescent="0.3"/>
    <row r="187" ht="15.75" customHeight="1" x14ac:dyDescent="0.3"/>
    <row r="188" ht="15.75" customHeight="1" x14ac:dyDescent="0.3"/>
    <row r="189" ht="15.75" customHeight="1" x14ac:dyDescent="0.3"/>
    <row r="190" ht="15.75" customHeight="1" x14ac:dyDescent="0.3"/>
    <row r="191" ht="15.75" customHeight="1" x14ac:dyDescent="0.3"/>
    <row r="192" ht="15.75" customHeight="1" x14ac:dyDescent="0.3"/>
    <row r="193" ht="15.75" customHeight="1" x14ac:dyDescent="0.3"/>
    <row r="194" ht="15.75" customHeight="1" x14ac:dyDescent="0.3"/>
    <row r="195" ht="15.75" customHeight="1" x14ac:dyDescent="0.3"/>
    <row r="196" ht="15.75" customHeight="1" x14ac:dyDescent="0.3"/>
    <row r="197" ht="15.75" customHeight="1" x14ac:dyDescent="0.3"/>
    <row r="198" ht="15.75" customHeight="1" x14ac:dyDescent="0.3"/>
    <row r="199" ht="15.75" customHeight="1" x14ac:dyDescent="0.3"/>
    <row r="200" ht="15.75" customHeight="1" x14ac:dyDescent="0.3"/>
    <row r="201" ht="15.75" customHeight="1" x14ac:dyDescent="0.3"/>
    <row r="202" ht="15.75" customHeight="1" x14ac:dyDescent="0.3"/>
    <row r="203" ht="15.75" customHeight="1" x14ac:dyDescent="0.3"/>
    <row r="204" ht="15.75" customHeight="1" x14ac:dyDescent="0.3"/>
    <row r="205" ht="15.75" customHeight="1" x14ac:dyDescent="0.3"/>
    <row r="206" ht="15.75" customHeight="1" x14ac:dyDescent="0.3"/>
    <row r="207" ht="15.75" customHeight="1" x14ac:dyDescent="0.3"/>
    <row r="208" ht="15.75" customHeight="1" x14ac:dyDescent="0.3"/>
    <row r="209" ht="15.75" customHeight="1" x14ac:dyDescent="0.3"/>
    <row r="210" ht="15.75" customHeight="1" x14ac:dyDescent="0.3"/>
    <row r="211" ht="15.75" customHeight="1" x14ac:dyDescent="0.3"/>
    <row r="212" ht="15.75" customHeight="1" x14ac:dyDescent="0.3"/>
    <row r="213" ht="15.75" customHeight="1" x14ac:dyDescent="0.3"/>
    <row r="214" ht="15.75" customHeight="1" x14ac:dyDescent="0.3"/>
    <row r="215" ht="15.75" customHeight="1" x14ac:dyDescent="0.3"/>
    <row r="216" ht="15.75" customHeight="1" x14ac:dyDescent="0.3"/>
    <row r="217" ht="15.75" customHeight="1" x14ac:dyDescent="0.3"/>
    <row r="218" ht="15.75" customHeight="1" x14ac:dyDescent="0.3"/>
    <row r="219" ht="15.75" customHeight="1" x14ac:dyDescent="0.3"/>
    <row r="220" ht="15.75" customHeight="1" x14ac:dyDescent="0.3"/>
    <row r="221" ht="15.75" customHeight="1" x14ac:dyDescent="0.3"/>
    <row r="222" ht="15.75" customHeight="1" x14ac:dyDescent="0.3"/>
    <row r="223" ht="15.75" customHeight="1" x14ac:dyDescent="0.3"/>
    <row r="224" ht="15.75" customHeight="1" x14ac:dyDescent="0.3"/>
    <row r="225" ht="15.75" customHeight="1" x14ac:dyDescent="0.3"/>
    <row r="226" ht="15.75" customHeight="1" x14ac:dyDescent="0.3"/>
    <row r="227" ht="15.75" customHeight="1" x14ac:dyDescent="0.3"/>
    <row r="228" ht="15.75" customHeight="1" x14ac:dyDescent="0.3"/>
    <row r="229" ht="15.75" customHeight="1" x14ac:dyDescent="0.3"/>
    <row r="230" ht="15.75" customHeight="1" x14ac:dyDescent="0.3"/>
    <row r="231" ht="15.75" customHeight="1" x14ac:dyDescent="0.3"/>
    <row r="232" ht="15.75" customHeight="1" x14ac:dyDescent="0.3"/>
    <row r="233" ht="15.75" customHeight="1" x14ac:dyDescent="0.3"/>
    <row r="234" ht="15.75" customHeight="1" x14ac:dyDescent="0.3"/>
    <row r="235" ht="15.75" customHeight="1" x14ac:dyDescent="0.3"/>
    <row r="236" ht="15.75" customHeight="1" x14ac:dyDescent="0.3"/>
    <row r="237" ht="15.75" customHeight="1" x14ac:dyDescent="0.3"/>
    <row r="238" ht="15.75" customHeight="1" x14ac:dyDescent="0.3"/>
    <row r="239" ht="15.75" customHeight="1" x14ac:dyDescent="0.3"/>
    <row r="240" ht="15.75" customHeight="1" x14ac:dyDescent="0.3"/>
    <row r="241" ht="15.75" customHeight="1" x14ac:dyDescent="0.3"/>
    <row r="242" ht="15.75" customHeight="1" x14ac:dyDescent="0.3"/>
    <row r="243" ht="15.75" customHeight="1" x14ac:dyDescent="0.3"/>
    <row r="244" ht="15.75" customHeight="1" x14ac:dyDescent="0.3"/>
    <row r="245" ht="15.75" customHeight="1" x14ac:dyDescent="0.3"/>
    <row r="246" ht="15.75" customHeight="1" x14ac:dyDescent="0.3"/>
    <row r="247" ht="15.75" customHeight="1" x14ac:dyDescent="0.3"/>
    <row r="248" ht="15.75" customHeight="1" x14ac:dyDescent="0.3"/>
    <row r="249" ht="15.75" customHeight="1" x14ac:dyDescent="0.3"/>
    <row r="250" ht="15.75" customHeight="1" x14ac:dyDescent="0.3"/>
    <row r="251" ht="15.75" customHeight="1" x14ac:dyDescent="0.3"/>
    <row r="252" ht="15.75" customHeight="1" x14ac:dyDescent="0.3"/>
    <row r="253" ht="15.75" customHeight="1" x14ac:dyDescent="0.3"/>
    <row r="254" ht="15.75" customHeight="1" x14ac:dyDescent="0.3"/>
    <row r="255" ht="15.75" customHeight="1" x14ac:dyDescent="0.3"/>
    <row r="256" ht="15.75" customHeight="1" x14ac:dyDescent="0.3"/>
    <row r="257" ht="15.75" customHeight="1" x14ac:dyDescent="0.3"/>
    <row r="258" ht="15.75" customHeight="1" x14ac:dyDescent="0.3"/>
    <row r="259" ht="15.75" customHeight="1" x14ac:dyDescent="0.3"/>
    <row r="260" ht="15.75" customHeight="1" x14ac:dyDescent="0.3"/>
    <row r="261" ht="15.75" customHeight="1" x14ac:dyDescent="0.3"/>
    <row r="262" ht="15.75" customHeight="1" x14ac:dyDescent="0.3"/>
    <row r="263" ht="15.75" customHeight="1" x14ac:dyDescent="0.3"/>
    <row r="264" ht="15.75" customHeight="1" x14ac:dyDescent="0.3"/>
    <row r="265" ht="15.75" customHeight="1" x14ac:dyDescent="0.3"/>
    <row r="266" ht="15.75" customHeight="1" x14ac:dyDescent="0.3"/>
    <row r="267" ht="15.75" customHeight="1" x14ac:dyDescent="0.3"/>
    <row r="268" ht="15.75" customHeight="1" x14ac:dyDescent="0.3"/>
    <row r="269" ht="15.75" customHeight="1" x14ac:dyDescent="0.3"/>
    <row r="270" ht="15.75" customHeight="1" x14ac:dyDescent="0.3"/>
    <row r="271" ht="15.75" customHeight="1" x14ac:dyDescent="0.3"/>
    <row r="272" ht="15.75" customHeight="1" x14ac:dyDescent="0.3"/>
    <row r="273" ht="15.75" customHeight="1" x14ac:dyDescent="0.3"/>
    <row r="274" ht="15.75" customHeight="1" x14ac:dyDescent="0.3"/>
    <row r="275" ht="15.75" customHeight="1" x14ac:dyDescent="0.3"/>
    <row r="276" ht="15.75" customHeight="1" x14ac:dyDescent="0.3"/>
    <row r="277" ht="15.75" customHeight="1" x14ac:dyDescent="0.3"/>
    <row r="278" ht="15.75" customHeight="1" x14ac:dyDescent="0.3"/>
    <row r="279" ht="15.75" customHeight="1" x14ac:dyDescent="0.3"/>
    <row r="280" ht="15.75" customHeight="1" x14ac:dyDescent="0.3"/>
    <row r="281" ht="15.75" customHeight="1" x14ac:dyDescent="0.3"/>
    <row r="282" ht="15.75" customHeight="1" x14ac:dyDescent="0.3"/>
    <row r="283" ht="15.75" customHeight="1" x14ac:dyDescent="0.3"/>
    <row r="284" ht="15.75" customHeight="1" x14ac:dyDescent="0.3"/>
    <row r="285" ht="15.75" customHeight="1" x14ac:dyDescent="0.3"/>
    <row r="286" ht="15.75" customHeight="1" x14ac:dyDescent="0.3"/>
    <row r="287" ht="15.75" customHeight="1" x14ac:dyDescent="0.3"/>
    <row r="288" ht="15.75" customHeight="1" x14ac:dyDescent="0.3"/>
    <row r="289" ht="15.75" customHeight="1" x14ac:dyDescent="0.3"/>
    <row r="290" ht="15.75" customHeight="1" x14ac:dyDescent="0.3"/>
    <row r="291" ht="15.75" customHeight="1" x14ac:dyDescent="0.3"/>
    <row r="292" ht="15.75" customHeight="1" x14ac:dyDescent="0.3"/>
    <row r="293" ht="15.75" customHeight="1" x14ac:dyDescent="0.3"/>
    <row r="294" ht="15.75" customHeight="1" x14ac:dyDescent="0.3"/>
    <row r="295" ht="15.75" customHeight="1" x14ac:dyDescent="0.3"/>
    <row r="296" ht="15.75" customHeight="1" x14ac:dyDescent="0.3"/>
    <row r="297" ht="15.75" customHeight="1" x14ac:dyDescent="0.3"/>
    <row r="298" ht="15.75" customHeight="1" x14ac:dyDescent="0.3"/>
    <row r="299" ht="15.75" customHeight="1" x14ac:dyDescent="0.3"/>
    <row r="300" ht="15.75" customHeight="1" x14ac:dyDescent="0.3"/>
    <row r="301" ht="15.75" customHeight="1" x14ac:dyDescent="0.3"/>
    <row r="302" ht="15.75" customHeight="1" x14ac:dyDescent="0.3"/>
    <row r="303" ht="15.75" customHeight="1" x14ac:dyDescent="0.3"/>
    <row r="304" ht="15.75" customHeight="1" x14ac:dyDescent="0.3"/>
    <row r="305" ht="15.75" customHeight="1" x14ac:dyDescent="0.3"/>
    <row r="306" ht="15.75" customHeight="1" x14ac:dyDescent="0.3"/>
    <row r="307" ht="15.75" customHeight="1" x14ac:dyDescent="0.3"/>
    <row r="308" ht="15.75" customHeight="1" x14ac:dyDescent="0.3"/>
    <row r="309" ht="15.75" customHeight="1" x14ac:dyDescent="0.3"/>
    <row r="310" ht="15.75" customHeight="1" x14ac:dyDescent="0.3"/>
    <row r="311" ht="15.75" customHeight="1" x14ac:dyDescent="0.3"/>
    <row r="312" ht="15.75" customHeight="1" x14ac:dyDescent="0.3"/>
    <row r="313" ht="15.75" customHeight="1" x14ac:dyDescent="0.3"/>
    <row r="314" ht="15.75" customHeight="1" x14ac:dyDescent="0.3"/>
    <row r="315" ht="15.75" customHeight="1" x14ac:dyDescent="0.3"/>
    <row r="316" ht="15.75" customHeight="1" x14ac:dyDescent="0.3"/>
    <row r="317" ht="15.75" customHeight="1" x14ac:dyDescent="0.3"/>
    <row r="318" ht="15.75" customHeight="1" x14ac:dyDescent="0.3"/>
    <row r="319" ht="15.75" customHeight="1" x14ac:dyDescent="0.3"/>
    <row r="320" ht="15.75" customHeight="1" x14ac:dyDescent="0.3"/>
    <row r="321" ht="15.75" customHeight="1" x14ac:dyDescent="0.3"/>
    <row r="322" ht="15.75" customHeight="1" x14ac:dyDescent="0.3"/>
    <row r="323" ht="15.75" customHeight="1" x14ac:dyDescent="0.3"/>
    <row r="324" ht="15.75" customHeight="1" x14ac:dyDescent="0.3"/>
    <row r="325" ht="15.75" customHeight="1" x14ac:dyDescent="0.3"/>
    <row r="326" ht="15.75" customHeight="1" x14ac:dyDescent="0.3"/>
    <row r="327" ht="15.75" customHeight="1" x14ac:dyDescent="0.3"/>
    <row r="328" ht="15.75" customHeight="1" x14ac:dyDescent="0.3"/>
    <row r="329" ht="15.75" customHeight="1" x14ac:dyDescent="0.3"/>
    <row r="330" ht="15.75" customHeight="1" x14ac:dyDescent="0.3"/>
    <row r="331" ht="15.75" customHeight="1" x14ac:dyDescent="0.3"/>
    <row r="332" ht="15.75" customHeight="1" x14ac:dyDescent="0.3"/>
    <row r="333" ht="15.75" customHeight="1" x14ac:dyDescent="0.3"/>
    <row r="334" ht="15.75" customHeight="1" x14ac:dyDescent="0.3"/>
    <row r="335" ht="15.75" customHeight="1" x14ac:dyDescent="0.3"/>
    <row r="336" ht="15.75" customHeight="1" x14ac:dyDescent="0.3"/>
    <row r="337" ht="15.75" customHeight="1" x14ac:dyDescent="0.3"/>
    <row r="338" ht="15.75" customHeight="1" x14ac:dyDescent="0.3"/>
    <row r="339" ht="15.75" customHeight="1" x14ac:dyDescent="0.3"/>
    <row r="340" ht="15.75" customHeight="1" x14ac:dyDescent="0.3"/>
    <row r="341" ht="15.75" customHeight="1" x14ac:dyDescent="0.3"/>
    <row r="342" ht="15.75" customHeight="1" x14ac:dyDescent="0.3"/>
    <row r="343" ht="15.75" customHeight="1" x14ac:dyDescent="0.3"/>
    <row r="344" ht="15.75" customHeight="1" x14ac:dyDescent="0.3"/>
    <row r="345" ht="15.75" customHeight="1" x14ac:dyDescent="0.3"/>
    <row r="346" ht="15.75" customHeight="1" x14ac:dyDescent="0.3"/>
    <row r="347" ht="15.75" customHeight="1" x14ac:dyDescent="0.3"/>
    <row r="348" ht="15.75" customHeight="1" x14ac:dyDescent="0.3"/>
    <row r="349" ht="15.75" customHeight="1" x14ac:dyDescent="0.3"/>
    <row r="350" ht="15.75" customHeight="1" x14ac:dyDescent="0.3"/>
    <row r="351" ht="15.75" customHeight="1" x14ac:dyDescent="0.3"/>
    <row r="352" ht="15.75" customHeight="1" x14ac:dyDescent="0.3"/>
    <row r="353" ht="15.75" customHeight="1" x14ac:dyDescent="0.3"/>
    <row r="354" ht="15.75" customHeight="1" x14ac:dyDescent="0.3"/>
    <row r="355" ht="15.75" customHeight="1" x14ac:dyDescent="0.3"/>
    <row r="356" ht="15.75" customHeight="1" x14ac:dyDescent="0.3"/>
    <row r="357" ht="15.75" customHeight="1" x14ac:dyDescent="0.3"/>
    <row r="358" ht="15.75" customHeight="1" x14ac:dyDescent="0.3"/>
    <row r="359" ht="15.75" customHeight="1" x14ac:dyDescent="0.3"/>
    <row r="360" ht="15.75" customHeight="1" x14ac:dyDescent="0.3"/>
    <row r="361" ht="15.75" customHeight="1" x14ac:dyDescent="0.3"/>
    <row r="362" ht="15.75" customHeight="1" x14ac:dyDescent="0.3"/>
    <row r="363" ht="15.75" customHeight="1" x14ac:dyDescent="0.3"/>
    <row r="364" ht="15.75" customHeight="1" x14ac:dyDescent="0.3"/>
    <row r="365" ht="15.75" customHeight="1" x14ac:dyDescent="0.3"/>
    <row r="366" ht="15.75" customHeight="1" x14ac:dyDescent="0.3"/>
    <row r="367" ht="15.75" customHeight="1" x14ac:dyDescent="0.3"/>
    <row r="368" ht="15.75" customHeight="1" x14ac:dyDescent="0.3"/>
    <row r="369" ht="15.75" customHeight="1" x14ac:dyDescent="0.3"/>
    <row r="370" ht="15.75" customHeight="1" x14ac:dyDescent="0.3"/>
    <row r="371" ht="15.75" customHeight="1" x14ac:dyDescent="0.3"/>
    <row r="372" ht="15.75" customHeight="1" x14ac:dyDescent="0.3"/>
    <row r="373" ht="15.75" customHeight="1" x14ac:dyDescent="0.3"/>
    <row r="374" ht="15.75" customHeight="1" x14ac:dyDescent="0.3"/>
    <row r="375" ht="15.75" customHeight="1" x14ac:dyDescent="0.3"/>
    <row r="376" ht="15.75" customHeight="1" x14ac:dyDescent="0.3"/>
    <row r="377" ht="15.75" customHeight="1" x14ac:dyDescent="0.3"/>
    <row r="378" ht="15.75" customHeight="1" x14ac:dyDescent="0.3"/>
    <row r="379" ht="15.75" customHeight="1" x14ac:dyDescent="0.3"/>
    <row r="380" ht="15.75" customHeight="1" x14ac:dyDescent="0.3"/>
    <row r="381" ht="15.75" customHeight="1" x14ac:dyDescent="0.3"/>
    <row r="382" ht="15.75" customHeight="1" x14ac:dyDescent="0.3"/>
    <row r="383" ht="15.75" customHeight="1" x14ac:dyDescent="0.3"/>
    <row r="384" ht="15.75" customHeight="1" x14ac:dyDescent="0.3"/>
    <row r="385" ht="15.75" customHeight="1" x14ac:dyDescent="0.3"/>
    <row r="386" ht="15.75" customHeight="1" x14ac:dyDescent="0.3"/>
    <row r="387" ht="15.75" customHeight="1" x14ac:dyDescent="0.3"/>
    <row r="388" ht="15.75" customHeight="1" x14ac:dyDescent="0.3"/>
    <row r="389" ht="15.75" customHeight="1" x14ac:dyDescent="0.3"/>
    <row r="390" ht="15.75" customHeight="1" x14ac:dyDescent="0.3"/>
    <row r="391" ht="15.75" customHeight="1" x14ac:dyDescent="0.3"/>
    <row r="392" ht="15.75" customHeight="1" x14ac:dyDescent="0.3"/>
    <row r="393" ht="15.75" customHeight="1" x14ac:dyDescent="0.3"/>
    <row r="394" ht="15.75" customHeight="1" x14ac:dyDescent="0.3"/>
    <row r="395" ht="15.75" customHeight="1" x14ac:dyDescent="0.3"/>
    <row r="396" ht="15.75" customHeight="1" x14ac:dyDescent="0.3"/>
    <row r="397" ht="15.75" customHeight="1" x14ac:dyDescent="0.3"/>
    <row r="398" ht="15.75" customHeight="1" x14ac:dyDescent="0.3"/>
    <row r="399" ht="15.75" customHeight="1" x14ac:dyDescent="0.3"/>
    <row r="400" ht="15.75" customHeight="1" x14ac:dyDescent="0.3"/>
    <row r="401" ht="15.75" customHeight="1" x14ac:dyDescent="0.3"/>
    <row r="402" ht="15.75" customHeight="1" x14ac:dyDescent="0.3"/>
    <row r="403" ht="15.75" customHeight="1" x14ac:dyDescent="0.3"/>
    <row r="404" ht="15.75" customHeight="1" x14ac:dyDescent="0.3"/>
    <row r="405" ht="15.75" customHeight="1" x14ac:dyDescent="0.3"/>
    <row r="406" ht="15.75" customHeight="1" x14ac:dyDescent="0.3"/>
    <row r="407" ht="15.75" customHeight="1" x14ac:dyDescent="0.3"/>
    <row r="408" ht="15.75" customHeight="1" x14ac:dyDescent="0.3"/>
    <row r="409" ht="15.75" customHeight="1" x14ac:dyDescent="0.3"/>
    <row r="410" ht="15.75" customHeight="1" x14ac:dyDescent="0.3"/>
    <row r="411" ht="15.75" customHeight="1" x14ac:dyDescent="0.3"/>
    <row r="412" ht="15.75" customHeight="1" x14ac:dyDescent="0.3"/>
    <row r="413" ht="15.75" customHeight="1" x14ac:dyDescent="0.3"/>
    <row r="414" ht="15.75" customHeight="1" x14ac:dyDescent="0.3"/>
    <row r="415" ht="15.75" customHeight="1" x14ac:dyDescent="0.3"/>
    <row r="416" ht="15.75" customHeight="1" x14ac:dyDescent="0.3"/>
    <row r="417" ht="15.75" customHeight="1" x14ac:dyDescent="0.3"/>
    <row r="418" ht="15.75" customHeight="1" x14ac:dyDescent="0.3"/>
    <row r="419" ht="15.75" customHeight="1" x14ac:dyDescent="0.3"/>
    <row r="420" ht="15.75" customHeight="1" x14ac:dyDescent="0.3"/>
    <row r="421" ht="15.75" customHeight="1" x14ac:dyDescent="0.3"/>
    <row r="422" ht="15.75" customHeight="1" x14ac:dyDescent="0.3"/>
    <row r="423" ht="15.75" customHeight="1" x14ac:dyDescent="0.3"/>
    <row r="424" ht="15.75" customHeight="1" x14ac:dyDescent="0.3"/>
    <row r="425" ht="15.75" customHeight="1" x14ac:dyDescent="0.3"/>
    <row r="426" ht="15.75" customHeight="1" x14ac:dyDescent="0.3"/>
    <row r="427" ht="15.75" customHeight="1" x14ac:dyDescent="0.3"/>
    <row r="428" ht="15.75" customHeight="1" x14ac:dyDescent="0.3"/>
    <row r="429" ht="15.75" customHeight="1" x14ac:dyDescent="0.3"/>
    <row r="430" ht="15.75" customHeight="1" x14ac:dyDescent="0.3"/>
    <row r="431" ht="15.75" customHeight="1" x14ac:dyDescent="0.3"/>
    <row r="432" ht="15.75" customHeight="1" x14ac:dyDescent="0.3"/>
    <row r="433" ht="15.75" customHeight="1" x14ac:dyDescent="0.3"/>
    <row r="434" ht="15.75" customHeight="1" x14ac:dyDescent="0.3"/>
    <row r="435" ht="15.75" customHeight="1" x14ac:dyDescent="0.3"/>
    <row r="436" ht="15.75" customHeight="1" x14ac:dyDescent="0.3"/>
    <row r="437" ht="15.75" customHeight="1" x14ac:dyDescent="0.3"/>
    <row r="438" ht="15.75" customHeight="1" x14ac:dyDescent="0.3"/>
    <row r="439" ht="15.75" customHeight="1" x14ac:dyDescent="0.3"/>
    <row r="440" ht="15.75" customHeight="1" x14ac:dyDescent="0.3"/>
    <row r="441" ht="15.75" customHeight="1" x14ac:dyDescent="0.3"/>
    <row r="442" ht="15.75" customHeight="1" x14ac:dyDescent="0.3"/>
    <row r="443" ht="15.75" customHeight="1" x14ac:dyDescent="0.3"/>
    <row r="444" ht="15.75" customHeight="1" x14ac:dyDescent="0.3"/>
    <row r="445" ht="15.75" customHeight="1" x14ac:dyDescent="0.3"/>
    <row r="446" ht="15.75" customHeight="1" x14ac:dyDescent="0.3"/>
    <row r="447" ht="15.75" customHeight="1" x14ac:dyDescent="0.3"/>
    <row r="448" ht="15.75" customHeight="1" x14ac:dyDescent="0.3"/>
    <row r="449" ht="15.75" customHeight="1" x14ac:dyDescent="0.3"/>
    <row r="450" ht="15.75" customHeight="1" x14ac:dyDescent="0.3"/>
    <row r="451" ht="15.75" customHeight="1" x14ac:dyDescent="0.3"/>
    <row r="452" ht="15.75" customHeight="1" x14ac:dyDescent="0.3"/>
    <row r="453" ht="15.75" customHeight="1" x14ac:dyDescent="0.3"/>
    <row r="454" ht="15.75" customHeight="1" x14ac:dyDescent="0.3"/>
    <row r="455" ht="15.75" customHeight="1" x14ac:dyDescent="0.3"/>
    <row r="456" ht="15.75" customHeight="1" x14ac:dyDescent="0.3"/>
    <row r="457" ht="15.75" customHeight="1" x14ac:dyDescent="0.3"/>
    <row r="458" ht="15.75" customHeight="1" x14ac:dyDescent="0.3"/>
    <row r="459" ht="15.75" customHeight="1" x14ac:dyDescent="0.3"/>
    <row r="460" ht="15.75" customHeight="1" x14ac:dyDescent="0.3"/>
    <row r="461" ht="15.75" customHeight="1" x14ac:dyDescent="0.3"/>
    <row r="462" ht="15.75" customHeight="1" x14ac:dyDescent="0.3"/>
    <row r="463" ht="15.75" customHeight="1" x14ac:dyDescent="0.3"/>
    <row r="464" ht="15.75" customHeight="1" x14ac:dyDescent="0.3"/>
    <row r="465" ht="15.75" customHeight="1" x14ac:dyDescent="0.3"/>
    <row r="466" ht="15.75" customHeight="1" x14ac:dyDescent="0.3"/>
    <row r="467" ht="15.75" customHeight="1" x14ac:dyDescent="0.3"/>
    <row r="468" ht="15.75" customHeight="1" x14ac:dyDescent="0.3"/>
    <row r="469" ht="15.75" customHeight="1" x14ac:dyDescent="0.3"/>
    <row r="470" ht="15.75" customHeight="1" x14ac:dyDescent="0.3"/>
    <row r="471" ht="15.75" customHeight="1" x14ac:dyDescent="0.3"/>
    <row r="472" ht="15.75" customHeight="1" x14ac:dyDescent="0.3"/>
    <row r="473" ht="15.75" customHeight="1" x14ac:dyDescent="0.3"/>
    <row r="474" ht="15.75" customHeight="1" x14ac:dyDescent="0.3"/>
    <row r="475" ht="15.75" customHeight="1" x14ac:dyDescent="0.3"/>
    <row r="476" ht="15.75" customHeight="1" x14ac:dyDescent="0.3"/>
    <row r="477" ht="15.75" customHeight="1" x14ac:dyDescent="0.3"/>
    <row r="478" ht="15.75" customHeight="1" x14ac:dyDescent="0.3"/>
    <row r="479" ht="15.75" customHeight="1" x14ac:dyDescent="0.3"/>
    <row r="480" ht="15.75" customHeight="1" x14ac:dyDescent="0.3"/>
    <row r="481" ht="15.75" customHeight="1" x14ac:dyDescent="0.3"/>
    <row r="482" ht="15.75" customHeight="1" x14ac:dyDescent="0.3"/>
    <row r="483" ht="15.75" customHeight="1" x14ac:dyDescent="0.3"/>
    <row r="484" ht="15.75" customHeight="1" x14ac:dyDescent="0.3"/>
    <row r="485" ht="15.75" customHeight="1" x14ac:dyDescent="0.3"/>
    <row r="486" ht="15.75" customHeight="1" x14ac:dyDescent="0.3"/>
    <row r="487" ht="15.75" customHeight="1" x14ac:dyDescent="0.3"/>
    <row r="488" ht="15.75" customHeight="1" x14ac:dyDescent="0.3"/>
    <row r="489" ht="15.75" customHeight="1" x14ac:dyDescent="0.3"/>
    <row r="490" ht="15.75" customHeight="1" x14ac:dyDescent="0.3"/>
    <row r="491" ht="15.75" customHeight="1" x14ac:dyDescent="0.3"/>
    <row r="492" ht="15.75" customHeight="1" x14ac:dyDescent="0.3"/>
    <row r="493" ht="15.75" customHeight="1" x14ac:dyDescent="0.3"/>
    <row r="494" ht="15.75" customHeight="1" x14ac:dyDescent="0.3"/>
    <row r="495" ht="15.75" customHeight="1" x14ac:dyDescent="0.3"/>
    <row r="496" ht="15.75" customHeight="1" x14ac:dyDescent="0.3"/>
    <row r="497" ht="15.75" customHeight="1" x14ac:dyDescent="0.3"/>
    <row r="498" ht="15.75" customHeight="1" x14ac:dyDescent="0.3"/>
    <row r="499" ht="15.75" customHeight="1" x14ac:dyDescent="0.3"/>
    <row r="500" ht="15.75" customHeight="1" x14ac:dyDescent="0.3"/>
    <row r="501" ht="15.75" customHeight="1" x14ac:dyDescent="0.3"/>
    <row r="502" ht="15.75" customHeight="1" x14ac:dyDescent="0.3"/>
    <row r="503" ht="15.75" customHeight="1" x14ac:dyDescent="0.3"/>
    <row r="504" ht="15.75" customHeight="1" x14ac:dyDescent="0.3"/>
    <row r="505" ht="15.75" customHeight="1" x14ac:dyDescent="0.3"/>
    <row r="506" ht="15.75" customHeight="1" x14ac:dyDescent="0.3"/>
    <row r="507" ht="15.75" customHeight="1" x14ac:dyDescent="0.3"/>
    <row r="508" ht="15.75" customHeight="1" x14ac:dyDescent="0.3"/>
    <row r="509" ht="15.75" customHeight="1" x14ac:dyDescent="0.3"/>
    <row r="510" ht="15.75" customHeight="1" x14ac:dyDescent="0.3"/>
    <row r="511" ht="15.75" customHeight="1" x14ac:dyDescent="0.3"/>
    <row r="512" ht="15.75" customHeight="1" x14ac:dyDescent="0.3"/>
    <row r="513" ht="15.75" customHeight="1" x14ac:dyDescent="0.3"/>
    <row r="514" ht="15.75" customHeight="1" x14ac:dyDescent="0.3"/>
    <row r="515" ht="15.75" customHeight="1" x14ac:dyDescent="0.3"/>
    <row r="516" ht="15.75" customHeight="1" x14ac:dyDescent="0.3"/>
    <row r="517" ht="15.75" customHeight="1" x14ac:dyDescent="0.3"/>
    <row r="518" ht="15.75" customHeight="1" x14ac:dyDescent="0.3"/>
    <row r="519" ht="15.75" customHeight="1" x14ac:dyDescent="0.3"/>
    <row r="520" ht="15.75" customHeight="1" x14ac:dyDescent="0.3"/>
    <row r="521" ht="15.75" customHeight="1" x14ac:dyDescent="0.3"/>
    <row r="522" ht="15.75" customHeight="1" x14ac:dyDescent="0.3"/>
    <row r="523" ht="15.75" customHeight="1" x14ac:dyDescent="0.3"/>
    <row r="524" ht="15.75" customHeight="1" x14ac:dyDescent="0.3"/>
    <row r="525" ht="15.75" customHeight="1" x14ac:dyDescent="0.3"/>
    <row r="526" ht="15.75" customHeight="1" x14ac:dyDescent="0.3"/>
    <row r="527" ht="15.75" customHeight="1" x14ac:dyDescent="0.3"/>
    <row r="528" ht="15.75" customHeight="1" x14ac:dyDescent="0.3"/>
    <row r="529" ht="15.75" customHeight="1" x14ac:dyDescent="0.3"/>
    <row r="530" ht="15.75" customHeight="1" x14ac:dyDescent="0.3"/>
    <row r="531" ht="15.75" customHeight="1" x14ac:dyDescent="0.3"/>
    <row r="532" ht="15.75" customHeight="1" x14ac:dyDescent="0.3"/>
    <row r="533" ht="15.75" customHeight="1" x14ac:dyDescent="0.3"/>
    <row r="534" ht="15.75" customHeight="1" x14ac:dyDescent="0.3"/>
    <row r="535" ht="15.75" customHeight="1" x14ac:dyDescent="0.3"/>
    <row r="536" ht="15.75" customHeight="1" x14ac:dyDescent="0.3"/>
    <row r="537" ht="15.75" customHeight="1" x14ac:dyDescent="0.3"/>
    <row r="538" ht="15.75" customHeight="1" x14ac:dyDescent="0.3"/>
    <row r="539" ht="15.75" customHeight="1" x14ac:dyDescent="0.3"/>
    <row r="540" ht="15.75" customHeight="1" x14ac:dyDescent="0.3"/>
    <row r="541" ht="15.75" customHeight="1" x14ac:dyDescent="0.3"/>
    <row r="542" ht="15.75" customHeight="1" x14ac:dyDescent="0.3"/>
    <row r="543" ht="15.75" customHeight="1" x14ac:dyDescent="0.3"/>
    <row r="544" ht="15.75" customHeight="1" x14ac:dyDescent="0.3"/>
    <row r="545" ht="15.75" customHeight="1" x14ac:dyDescent="0.3"/>
    <row r="546" ht="15.75" customHeight="1" x14ac:dyDescent="0.3"/>
    <row r="547" ht="15.75" customHeight="1" x14ac:dyDescent="0.3"/>
    <row r="548" ht="15.75" customHeight="1" x14ac:dyDescent="0.3"/>
    <row r="549" ht="15.75" customHeight="1" x14ac:dyDescent="0.3"/>
    <row r="550" ht="15.75" customHeight="1" x14ac:dyDescent="0.3"/>
    <row r="551" ht="15.75" customHeight="1" x14ac:dyDescent="0.3"/>
    <row r="552" ht="15.75" customHeight="1" x14ac:dyDescent="0.3"/>
    <row r="553" ht="15.75" customHeight="1" x14ac:dyDescent="0.3"/>
    <row r="554" ht="15.75" customHeight="1" x14ac:dyDescent="0.3"/>
    <row r="555" ht="15.75" customHeight="1" x14ac:dyDescent="0.3"/>
    <row r="556" ht="15.75" customHeight="1" x14ac:dyDescent="0.3"/>
    <row r="557" ht="15.75" customHeight="1" x14ac:dyDescent="0.3"/>
    <row r="558" ht="15.75" customHeight="1" x14ac:dyDescent="0.3"/>
    <row r="559" ht="15.75" customHeight="1" x14ac:dyDescent="0.3"/>
    <row r="560" ht="15.75" customHeight="1" x14ac:dyDescent="0.3"/>
    <row r="561" ht="15.75" customHeight="1" x14ac:dyDescent="0.3"/>
    <row r="562" ht="15.75" customHeight="1" x14ac:dyDescent="0.3"/>
    <row r="563" ht="15.75" customHeight="1" x14ac:dyDescent="0.3"/>
    <row r="564" ht="15.75" customHeight="1" x14ac:dyDescent="0.3"/>
    <row r="565" ht="15.75" customHeight="1" x14ac:dyDescent="0.3"/>
    <row r="566" ht="15.75" customHeight="1" x14ac:dyDescent="0.3"/>
    <row r="567" ht="15.75" customHeight="1" x14ac:dyDescent="0.3"/>
    <row r="568" ht="15.75" customHeight="1" x14ac:dyDescent="0.3"/>
    <row r="569" ht="15.75" customHeight="1" x14ac:dyDescent="0.3"/>
    <row r="570" ht="15.75" customHeight="1" x14ac:dyDescent="0.3"/>
    <row r="571" ht="15.75" customHeight="1" x14ac:dyDescent="0.3"/>
    <row r="572" ht="15.75" customHeight="1" x14ac:dyDescent="0.3"/>
    <row r="573" ht="15.75" customHeight="1" x14ac:dyDescent="0.3"/>
    <row r="574" ht="15.75" customHeight="1" x14ac:dyDescent="0.3"/>
    <row r="575" ht="15.75" customHeight="1" x14ac:dyDescent="0.3"/>
    <row r="576" ht="15.75" customHeight="1" x14ac:dyDescent="0.3"/>
    <row r="577" ht="15.75" customHeight="1" x14ac:dyDescent="0.3"/>
    <row r="578" ht="15.75" customHeight="1" x14ac:dyDescent="0.3"/>
    <row r="579" ht="15.75" customHeight="1" x14ac:dyDescent="0.3"/>
    <row r="580" ht="15.75" customHeight="1" x14ac:dyDescent="0.3"/>
    <row r="581" ht="15.75" customHeight="1" x14ac:dyDescent="0.3"/>
    <row r="582" ht="15.75" customHeight="1" x14ac:dyDescent="0.3"/>
    <row r="583" ht="15.75" customHeight="1" x14ac:dyDescent="0.3"/>
    <row r="584" ht="15.75" customHeight="1" x14ac:dyDescent="0.3"/>
    <row r="585" ht="15.75" customHeight="1" x14ac:dyDescent="0.3"/>
    <row r="586" ht="15.75" customHeight="1" x14ac:dyDescent="0.3"/>
    <row r="587" ht="15.75" customHeight="1" x14ac:dyDescent="0.3"/>
    <row r="588" ht="15.75" customHeight="1" x14ac:dyDescent="0.3"/>
    <row r="589" ht="15.75" customHeight="1" x14ac:dyDescent="0.3"/>
    <row r="590" ht="15.75" customHeight="1" x14ac:dyDescent="0.3"/>
    <row r="591" ht="15.75" customHeight="1" x14ac:dyDescent="0.3"/>
    <row r="592" ht="15.75" customHeight="1" x14ac:dyDescent="0.3"/>
    <row r="593" ht="15.75" customHeight="1" x14ac:dyDescent="0.3"/>
    <row r="594" ht="15.75" customHeight="1" x14ac:dyDescent="0.3"/>
    <row r="595" ht="15.75" customHeight="1" x14ac:dyDescent="0.3"/>
    <row r="596" ht="15.75" customHeight="1" x14ac:dyDescent="0.3"/>
    <row r="597" ht="15.75" customHeight="1" x14ac:dyDescent="0.3"/>
    <row r="598" ht="15.75" customHeight="1" x14ac:dyDescent="0.3"/>
    <row r="599" ht="15.75" customHeight="1" x14ac:dyDescent="0.3"/>
    <row r="600" ht="15.75" customHeight="1" x14ac:dyDescent="0.3"/>
    <row r="601" ht="15.75" customHeight="1" x14ac:dyDescent="0.3"/>
    <row r="602" ht="15.75" customHeight="1" x14ac:dyDescent="0.3"/>
    <row r="603" ht="15.75" customHeight="1" x14ac:dyDescent="0.3"/>
    <row r="604" ht="15.75" customHeight="1" x14ac:dyDescent="0.3"/>
    <row r="605" ht="15.75" customHeight="1" x14ac:dyDescent="0.3"/>
    <row r="606" ht="15.75" customHeight="1" x14ac:dyDescent="0.3"/>
    <row r="607" ht="15.75" customHeight="1" x14ac:dyDescent="0.3"/>
    <row r="608" ht="15.75" customHeight="1" x14ac:dyDescent="0.3"/>
    <row r="609" ht="15.75" customHeight="1" x14ac:dyDescent="0.3"/>
    <row r="610" ht="15.75" customHeight="1" x14ac:dyDescent="0.3"/>
    <row r="611" ht="15.75" customHeight="1" x14ac:dyDescent="0.3"/>
    <row r="612" ht="15.75" customHeight="1" x14ac:dyDescent="0.3"/>
    <row r="613" ht="15.75" customHeight="1" x14ac:dyDescent="0.3"/>
    <row r="614" ht="15.75" customHeight="1" x14ac:dyDescent="0.3"/>
    <row r="615" ht="15.75" customHeight="1" x14ac:dyDescent="0.3"/>
    <row r="616" ht="15.75" customHeight="1" x14ac:dyDescent="0.3"/>
    <row r="617" ht="15.75" customHeight="1" x14ac:dyDescent="0.3"/>
    <row r="618" ht="15.75" customHeight="1" x14ac:dyDescent="0.3"/>
    <row r="619" ht="15.75" customHeight="1" x14ac:dyDescent="0.3"/>
    <row r="620" ht="15.75" customHeight="1" x14ac:dyDescent="0.3"/>
    <row r="621" ht="15.75" customHeight="1" x14ac:dyDescent="0.3"/>
    <row r="622" ht="15.75" customHeight="1" x14ac:dyDescent="0.3"/>
    <row r="623" ht="15.75" customHeight="1" x14ac:dyDescent="0.3"/>
    <row r="624" ht="15.75" customHeight="1" x14ac:dyDescent="0.3"/>
    <row r="625" ht="15.75" customHeight="1" x14ac:dyDescent="0.3"/>
    <row r="626" ht="15.75" customHeight="1" x14ac:dyDescent="0.3"/>
    <row r="627" ht="15.75" customHeight="1" x14ac:dyDescent="0.3"/>
    <row r="628" ht="15.75" customHeight="1" x14ac:dyDescent="0.3"/>
    <row r="629" ht="15.75" customHeight="1" x14ac:dyDescent="0.3"/>
    <row r="630" ht="15.75" customHeight="1" x14ac:dyDescent="0.3"/>
    <row r="631" ht="15.75" customHeight="1" x14ac:dyDescent="0.3"/>
    <row r="632" ht="15.75" customHeight="1" x14ac:dyDescent="0.3"/>
    <row r="633" ht="15.75" customHeight="1" x14ac:dyDescent="0.3"/>
    <row r="634" ht="15.75" customHeight="1" x14ac:dyDescent="0.3"/>
    <row r="635" ht="15.75" customHeight="1" x14ac:dyDescent="0.3"/>
    <row r="636" ht="15.75" customHeight="1" x14ac:dyDescent="0.3"/>
    <row r="637" ht="15.75" customHeight="1" x14ac:dyDescent="0.3"/>
    <row r="638" ht="15.75" customHeight="1" x14ac:dyDescent="0.3"/>
    <row r="639" ht="15.75" customHeight="1" x14ac:dyDescent="0.3"/>
    <row r="640" ht="15.75" customHeight="1" x14ac:dyDescent="0.3"/>
    <row r="641" ht="15.75" customHeight="1" x14ac:dyDescent="0.3"/>
    <row r="642" ht="15.75" customHeight="1" x14ac:dyDescent="0.3"/>
    <row r="643" ht="15.75" customHeight="1" x14ac:dyDescent="0.3"/>
    <row r="644" ht="15.75" customHeight="1" x14ac:dyDescent="0.3"/>
    <row r="645" ht="15.75" customHeight="1" x14ac:dyDescent="0.3"/>
    <row r="646" ht="15.75" customHeight="1" x14ac:dyDescent="0.3"/>
    <row r="647" ht="15.75" customHeight="1" x14ac:dyDescent="0.3"/>
    <row r="648" ht="15.75" customHeight="1" x14ac:dyDescent="0.3"/>
    <row r="649" ht="15.75" customHeight="1" x14ac:dyDescent="0.3"/>
    <row r="650" ht="15.75" customHeight="1" x14ac:dyDescent="0.3"/>
    <row r="651" ht="15.75" customHeight="1" x14ac:dyDescent="0.3"/>
    <row r="652" ht="15.75" customHeight="1" x14ac:dyDescent="0.3"/>
    <row r="653" ht="15.75" customHeight="1" x14ac:dyDescent="0.3"/>
    <row r="654" ht="15.75" customHeight="1" x14ac:dyDescent="0.3"/>
    <row r="655" ht="15.75" customHeight="1" x14ac:dyDescent="0.3"/>
    <row r="656" ht="15.75" customHeight="1" x14ac:dyDescent="0.3"/>
    <row r="657" ht="15.75" customHeight="1" x14ac:dyDescent="0.3"/>
    <row r="658" ht="15.75" customHeight="1" x14ac:dyDescent="0.3"/>
    <row r="659" ht="15.75" customHeight="1" x14ac:dyDescent="0.3"/>
    <row r="660" ht="15.75" customHeight="1" x14ac:dyDescent="0.3"/>
    <row r="661" ht="15.75" customHeight="1" x14ac:dyDescent="0.3"/>
    <row r="662" ht="15.75" customHeight="1" x14ac:dyDescent="0.3"/>
    <row r="663" ht="15.75" customHeight="1" x14ac:dyDescent="0.3"/>
    <row r="664" ht="15.75" customHeight="1" x14ac:dyDescent="0.3"/>
    <row r="665" ht="15.75" customHeight="1" x14ac:dyDescent="0.3"/>
    <row r="666" ht="15.75" customHeight="1" x14ac:dyDescent="0.3"/>
    <row r="667" ht="15.75" customHeight="1" x14ac:dyDescent="0.3"/>
    <row r="668" ht="15.75" customHeight="1" x14ac:dyDescent="0.3"/>
    <row r="669" ht="15.75" customHeight="1" x14ac:dyDescent="0.3"/>
    <row r="670" ht="15.75" customHeight="1" x14ac:dyDescent="0.3"/>
    <row r="671" ht="15.75" customHeight="1" x14ac:dyDescent="0.3"/>
    <row r="672" ht="15.75" customHeight="1" x14ac:dyDescent="0.3"/>
    <row r="673" ht="15.75" customHeight="1" x14ac:dyDescent="0.3"/>
    <row r="674" ht="15.75" customHeight="1" x14ac:dyDescent="0.3"/>
    <row r="675" ht="15.75" customHeight="1" x14ac:dyDescent="0.3"/>
    <row r="676" ht="15.75" customHeight="1" x14ac:dyDescent="0.3"/>
    <row r="677" ht="15.75" customHeight="1" x14ac:dyDescent="0.3"/>
    <row r="678" ht="15.75" customHeight="1" x14ac:dyDescent="0.3"/>
    <row r="679" ht="15.75" customHeight="1" x14ac:dyDescent="0.3"/>
    <row r="680" ht="15.75" customHeight="1" x14ac:dyDescent="0.3"/>
    <row r="681" ht="15.75" customHeight="1" x14ac:dyDescent="0.3"/>
    <row r="682" ht="15.75" customHeight="1" x14ac:dyDescent="0.3"/>
    <row r="683" ht="15.75" customHeight="1" x14ac:dyDescent="0.3"/>
    <row r="684" ht="15.75" customHeight="1" x14ac:dyDescent="0.3"/>
    <row r="685" ht="15.75" customHeight="1" x14ac:dyDescent="0.3"/>
    <row r="686" ht="15.75" customHeight="1" x14ac:dyDescent="0.3"/>
    <row r="687" ht="15.75" customHeight="1" x14ac:dyDescent="0.3"/>
    <row r="688" ht="15.75" customHeight="1" x14ac:dyDescent="0.3"/>
    <row r="689" ht="15.75" customHeight="1" x14ac:dyDescent="0.3"/>
    <row r="690" ht="15.75" customHeight="1" x14ac:dyDescent="0.3"/>
    <row r="691" ht="15.75" customHeight="1" x14ac:dyDescent="0.3"/>
    <row r="692" ht="15.75" customHeight="1" x14ac:dyDescent="0.3"/>
    <row r="693" ht="15.75" customHeight="1" x14ac:dyDescent="0.3"/>
    <row r="694" ht="15.75" customHeight="1" x14ac:dyDescent="0.3"/>
    <row r="695" ht="15.75" customHeight="1" x14ac:dyDescent="0.3"/>
    <row r="696" ht="15.75" customHeight="1" x14ac:dyDescent="0.3"/>
    <row r="697" ht="15.75" customHeight="1" x14ac:dyDescent="0.3"/>
    <row r="698" ht="15.75" customHeight="1" x14ac:dyDescent="0.3"/>
    <row r="699" ht="15.75" customHeight="1" x14ac:dyDescent="0.3"/>
    <row r="700" ht="15.75" customHeight="1" x14ac:dyDescent="0.3"/>
    <row r="701" ht="15.75" customHeight="1" x14ac:dyDescent="0.3"/>
    <row r="702" ht="15.75" customHeight="1" x14ac:dyDescent="0.3"/>
    <row r="703" ht="15.75" customHeight="1" x14ac:dyDescent="0.3"/>
    <row r="704" ht="15.75" customHeight="1" x14ac:dyDescent="0.3"/>
    <row r="705" ht="15.75" customHeight="1" x14ac:dyDescent="0.3"/>
    <row r="706" ht="15.75" customHeight="1" x14ac:dyDescent="0.3"/>
    <row r="707" ht="15.75" customHeight="1" x14ac:dyDescent="0.3"/>
    <row r="708" ht="15.75" customHeight="1" x14ac:dyDescent="0.3"/>
    <row r="709" ht="15.75" customHeight="1" x14ac:dyDescent="0.3"/>
    <row r="710" ht="15.75" customHeight="1" x14ac:dyDescent="0.3"/>
    <row r="711" ht="15.75" customHeight="1" x14ac:dyDescent="0.3"/>
    <row r="712" ht="15.75" customHeight="1" x14ac:dyDescent="0.3"/>
    <row r="713" ht="15.75" customHeight="1" x14ac:dyDescent="0.3"/>
    <row r="714" ht="15.75" customHeight="1" x14ac:dyDescent="0.3"/>
    <row r="715" ht="15.75" customHeight="1" x14ac:dyDescent="0.3"/>
    <row r="716" ht="15.75" customHeight="1" x14ac:dyDescent="0.3"/>
    <row r="717" ht="15.75" customHeight="1" x14ac:dyDescent="0.3"/>
    <row r="718" ht="15.75" customHeight="1" x14ac:dyDescent="0.3"/>
    <row r="719" ht="15.75" customHeight="1" x14ac:dyDescent="0.3"/>
    <row r="720" ht="15.75" customHeight="1" x14ac:dyDescent="0.3"/>
    <row r="721" ht="15.75" customHeight="1" x14ac:dyDescent="0.3"/>
    <row r="722" ht="15.75" customHeight="1" x14ac:dyDescent="0.3"/>
    <row r="723" ht="15.75" customHeight="1" x14ac:dyDescent="0.3"/>
    <row r="724" ht="15.75" customHeight="1" x14ac:dyDescent="0.3"/>
    <row r="725" ht="15.75" customHeight="1" x14ac:dyDescent="0.3"/>
    <row r="726" ht="15.75" customHeight="1" x14ac:dyDescent="0.3"/>
    <row r="727" ht="15.75" customHeight="1" x14ac:dyDescent="0.3"/>
    <row r="728" ht="15.75" customHeight="1" x14ac:dyDescent="0.3"/>
    <row r="729" ht="15.75" customHeight="1" x14ac:dyDescent="0.3"/>
    <row r="730" ht="15.75" customHeight="1" x14ac:dyDescent="0.3"/>
    <row r="731" ht="15.75" customHeight="1" x14ac:dyDescent="0.3"/>
    <row r="732" ht="15.75" customHeight="1" x14ac:dyDescent="0.3"/>
    <row r="733" ht="15.75" customHeight="1" x14ac:dyDescent="0.3"/>
    <row r="734" ht="15.75" customHeight="1" x14ac:dyDescent="0.3"/>
    <row r="735" ht="15.75" customHeight="1" x14ac:dyDescent="0.3"/>
    <row r="736" ht="15.75" customHeight="1" x14ac:dyDescent="0.3"/>
    <row r="737" ht="15.75" customHeight="1" x14ac:dyDescent="0.3"/>
    <row r="738" ht="15.75" customHeight="1" x14ac:dyDescent="0.3"/>
    <row r="739" ht="15.75" customHeight="1" x14ac:dyDescent="0.3"/>
    <row r="740" ht="15.75" customHeight="1" x14ac:dyDescent="0.3"/>
    <row r="741" ht="15.75" customHeight="1" x14ac:dyDescent="0.3"/>
    <row r="742" ht="15.75" customHeight="1" x14ac:dyDescent="0.3"/>
    <row r="743" ht="15.75" customHeight="1" x14ac:dyDescent="0.3"/>
    <row r="744" ht="15.75" customHeight="1" x14ac:dyDescent="0.3"/>
    <row r="745" ht="15.75" customHeight="1" x14ac:dyDescent="0.3"/>
    <row r="746" ht="15.75" customHeight="1" x14ac:dyDescent="0.3"/>
    <row r="747" ht="15.75" customHeight="1" x14ac:dyDescent="0.3"/>
    <row r="748" ht="15.75" customHeight="1" x14ac:dyDescent="0.3"/>
    <row r="749" ht="15.75" customHeight="1" x14ac:dyDescent="0.3"/>
    <row r="750" ht="15.75" customHeight="1" x14ac:dyDescent="0.3"/>
    <row r="751" ht="15.75" customHeight="1" x14ac:dyDescent="0.3"/>
    <row r="752" ht="15.75" customHeight="1" x14ac:dyDescent="0.3"/>
    <row r="753" ht="15.75" customHeight="1" x14ac:dyDescent="0.3"/>
    <row r="754" ht="15.75" customHeight="1" x14ac:dyDescent="0.3"/>
    <row r="755" ht="15.75" customHeight="1" x14ac:dyDescent="0.3"/>
    <row r="756" ht="15.75" customHeight="1" x14ac:dyDescent="0.3"/>
    <row r="757" ht="15.75" customHeight="1" x14ac:dyDescent="0.3"/>
    <row r="758" ht="15.75" customHeight="1" x14ac:dyDescent="0.3"/>
    <row r="759" ht="15.75" customHeight="1" x14ac:dyDescent="0.3"/>
    <row r="760" ht="15.75" customHeight="1" x14ac:dyDescent="0.3"/>
    <row r="761" ht="15.75" customHeight="1" x14ac:dyDescent="0.3"/>
    <row r="762" ht="15.75" customHeight="1" x14ac:dyDescent="0.3"/>
    <row r="763" ht="15.75" customHeight="1" x14ac:dyDescent="0.3"/>
    <row r="764" ht="15.75" customHeight="1" x14ac:dyDescent="0.3"/>
    <row r="765" ht="15.75" customHeight="1" x14ac:dyDescent="0.3"/>
    <row r="766" ht="15.75" customHeight="1" x14ac:dyDescent="0.3"/>
    <row r="767" ht="15.75" customHeight="1" x14ac:dyDescent="0.3"/>
    <row r="768" ht="15.75" customHeight="1" x14ac:dyDescent="0.3"/>
    <row r="769" ht="15.75" customHeight="1" x14ac:dyDescent="0.3"/>
    <row r="770" ht="15.75" customHeight="1" x14ac:dyDescent="0.3"/>
    <row r="771" ht="15.75" customHeight="1" x14ac:dyDescent="0.3"/>
    <row r="772" ht="15.75" customHeight="1" x14ac:dyDescent="0.3"/>
    <row r="773" ht="15.75" customHeight="1" x14ac:dyDescent="0.3"/>
    <row r="774" ht="15.75" customHeight="1" x14ac:dyDescent="0.3"/>
    <row r="775" ht="15.75" customHeight="1" x14ac:dyDescent="0.3"/>
    <row r="776" ht="15.75" customHeight="1" x14ac:dyDescent="0.3"/>
    <row r="777" ht="15.75" customHeight="1" x14ac:dyDescent="0.3"/>
    <row r="778" ht="15.75" customHeight="1" x14ac:dyDescent="0.3"/>
    <row r="779" ht="15.75" customHeight="1" x14ac:dyDescent="0.3"/>
    <row r="780" ht="15.75" customHeight="1" x14ac:dyDescent="0.3"/>
    <row r="781" ht="15.75" customHeight="1" x14ac:dyDescent="0.3"/>
    <row r="782" ht="15.75" customHeight="1" x14ac:dyDescent="0.3"/>
    <row r="783" ht="15.75" customHeight="1" x14ac:dyDescent="0.3"/>
    <row r="784" ht="15.75" customHeight="1" x14ac:dyDescent="0.3"/>
    <row r="785" ht="15.75" customHeight="1" x14ac:dyDescent="0.3"/>
    <row r="786" ht="15.75" customHeight="1" x14ac:dyDescent="0.3"/>
    <row r="787" ht="15.75" customHeight="1" x14ac:dyDescent="0.3"/>
    <row r="788" ht="15.75" customHeight="1" x14ac:dyDescent="0.3"/>
    <row r="789" ht="15.75" customHeight="1" x14ac:dyDescent="0.3"/>
    <row r="790" ht="15.75" customHeight="1" x14ac:dyDescent="0.3"/>
    <row r="791" ht="15.75" customHeight="1" x14ac:dyDescent="0.3"/>
    <row r="792" ht="15.75" customHeight="1" x14ac:dyDescent="0.3"/>
    <row r="793" ht="15.75" customHeight="1" x14ac:dyDescent="0.3"/>
    <row r="794" ht="15.75" customHeight="1" x14ac:dyDescent="0.3"/>
    <row r="795" ht="15.75" customHeight="1" x14ac:dyDescent="0.3"/>
    <row r="796" ht="15.75" customHeight="1" x14ac:dyDescent="0.3"/>
    <row r="797" ht="15.75" customHeight="1" x14ac:dyDescent="0.3"/>
    <row r="798" ht="15.75" customHeight="1" x14ac:dyDescent="0.3"/>
    <row r="799" ht="15.75" customHeight="1" x14ac:dyDescent="0.3"/>
    <row r="800" ht="15.75" customHeight="1" x14ac:dyDescent="0.3"/>
    <row r="801" ht="15.75" customHeight="1" x14ac:dyDescent="0.3"/>
    <row r="802" ht="15.75" customHeight="1" x14ac:dyDescent="0.3"/>
    <row r="803" ht="15.75" customHeight="1" x14ac:dyDescent="0.3"/>
    <row r="804" ht="15.75" customHeight="1" x14ac:dyDescent="0.3"/>
    <row r="805" ht="15.75" customHeight="1" x14ac:dyDescent="0.3"/>
    <row r="806" ht="15.75" customHeight="1" x14ac:dyDescent="0.3"/>
    <row r="807" ht="15.75" customHeight="1" x14ac:dyDescent="0.3"/>
    <row r="808" ht="15.75" customHeight="1" x14ac:dyDescent="0.3"/>
    <row r="809" ht="15.75" customHeight="1" x14ac:dyDescent="0.3"/>
    <row r="810" ht="15.75" customHeight="1" x14ac:dyDescent="0.3"/>
    <row r="811" ht="15.75" customHeight="1" x14ac:dyDescent="0.3"/>
    <row r="812" ht="15.75" customHeight="1" x14ac:dyDescent="0.3"/>
    <row r="813" ht="15.75" customHeight="1" x14ac:dyDescent="0.3"/>
    <row r="814" ht="15.75" customHeight="1" x14ac:dyDescent="0.3"/>
    <row r="815" ht="15.75" customHeight="1" x14ac:dyDescent="0.3"/>
    <row r="816" ht="15.75" customHeight="1" x14ac:dyDescent="0.3"/>
    <row r="817" ht="15.75" customHeight="1" x14ac:dyDescent="0.3"/>
    <row r="818" ht="15.75" customHeight="1" x14ac:dyDescent="0.3"/>
    <row r="819" ht="15.75" customHeight="1" x14ac:dyDescent="0.3"/>
    <row r="820" ht="15.75" customHeight="1" x14ac:dyDescent="0.3"/>
    <row r="821" ht="15.75" customHeight="1" x14ac:dyDescent="0.3"/>
    <row r="822" ht="15.75" customHeight="1" x14ac:dyDescent="0.3"/>
    <row r="823" ht="15.75" customHeight="1" x14ac:dyDescent="0.3"/>
    <row r="824" ht="15.75" customHeight="1" x14ac:dyDescent="0.3"/>
    <row r="825" ht="15.75" customHeight="1" x14ac:dyDescent="0.3"/>
    <row r="826" ht="15.75" customHeight="1" x14ac:dyDescent="0.3"/>
    <row r="827" ht="15.75" customHeight="1" x14ac:dyDescent="0.3"/>
    <row r="828" ht="15.75" customHeight="1" x14ac:dyDescent="0.3"/>
    <row r="829" ht="15.75" customHeight="1" x14ac:dyDescent="0.3"/>
    <row r="830" ht="15.75" customHeight="1" x14ac:dyDescent="0.3"/>
    <row r="831" ht="15.75" customHeight="1" x14ac:dyDescent="0.3"/>
    <row r="832" ht="15.75" customHeight="1" x14ac:dyDescent="0.3"/>
    <row r="833" ht="15.75" customHeight="1" x14ac:dyDescent="0.3"/>
    <row r="834" ht="15.75" customHeight="1" x14ac:dyDescent="0.3"/>
    <row r="835" ht="15.75" customHeight="1" x14ac:dyDescent="0.3"/>
    <row r="836" ht="15.75" customHeight="1" x14ac:dyDescent="0.3"/>
    <row r="837" ht="15.75" customHeight="1" x14ac:dyDescent="0.3"/>
    <row r="838" ht="15.75" customHeight="1" x14ac:dyDescent="0.3"/>
    <row r="839" ht="15.75" customHeight="1" x14ac:dyDescent="0.3"/>
    <row r="840" ht="15.75" customHeight="1" x14ac:dyDescent="0.3"/>
    <row r="841" ht="15.75" customHeight="1" x14ac:dyDescent="0.3"/>
    <row r="842" ht="15.75" customHeight="1" x14ac:dyDescent="0.3"/>
    <row r="843" ht="15.75" customHeight="1" x14ac:dyDescent="0.3"/>
    <row r="844" ht="15.75" customHeight="1" x14ac:dyDescent="0.3"/>
    <row r="845" ht="15.75" customHeight="1" x14ac:dyDescent="0.3"/>
    <row r="846" ht="15.75" customHeight="1" x14ac:dyDescent="0.3"/>
    <row r="847" ht="15.75" customHeight="1" x14ac:dyDescent="0.3"/>
    <row r="848" ht="15.75" customHeight="1" x14ac:dyDescent="0.3"/>
    <row r="849" ht="15.75" customHeight="1" x14ac:dyDescent="0.3"/>
    <row r="850" ht="15.75" customHeight="1" x14ac:dyDescent="0.3"/>
    <row r="851" ht="15.75" customHeight="1" x14ac:dyDescent="0.3"/>
    <row r="852" ht="15.75" customHeight="1" x14ac:dyDescent="0.3"/>
    <row r="853" ht="15.75" customHeight="1" x14ac:dyDescent="0.3"/>
    <row r="854" ht="15.75" customHeight="1" x14ac:dyDescent="0.3"/>
    <row r="855" ht="15.75" customHeight="1" x14ac:dyDescent="0.3"/>
    <row r="856" ht="15.75" customHeight="1" x14ac:dyDescent="0.3"/>
    <row r="857" ht="15.75" customHeight="1" x14ac:dyDescent="0.3"/>
    <row r="858" ht="15.75" customHeight="1" x14ac:dyDescent="0.3"/>
    <row r="859" ht="15.75" customHeight="1" x14ac:dyDescent="0.3"/>
    <row r="860" ht="15.75" customHeight="1" x14ac:dyDescent="0.3"/>
    <row r="861" ht="15.75" customHeight="1" x14ac:dyDescent="0.3"/>
    <row r="862" ht="15.75" customHeight="1" x14ac:dyDescent="0.3"/>
    <row r="863" ht="15.75" customHeight="1" x14ac:dyDescent="0.3"/>
    <row r="864" ht="15.75" customHeight="1" x14ac:dyDescent="0.3"/>
    <row r="865" ht="15.75" customHeight="1" x14ac:dyDescent="0.3"/>
    <row r="866" ht="15.75" customHeight="1" x14ac:dyDescent="0.3"/>
    <row r="867" ht="15.75" customHeight="1" x14ac:dyDescent="0.3"/>
    <row r="868" ht="15.75" customHeight="1" x14ac:dyDescent="0.3"/>
    <row r="869" ht="15.75" customHeight="1" x14ac:dyDescent="0.3"/>
    <row r="870" ht="15.75" customHeight="1" x14ac:dyDescent="0.3"/>
    <row r="871" ht="15.75" customHeight="1" x14ac:dyDescent="0.3"/>
    <row r="872" ht="15.75" customHeight="1" x14ac:dyDescent="0.3"/>
    <row r="873" ht="15.75" customHeight="1" x14ac:dyDescent="0.3"/>
    <row r="874" ht="15.75" customHeight="1" x14ac:dyDescent="0.3"/>
    <row r="875" ht="15.75" customHeight="1" x14ac:dyDescent="0.3"/>
    <row r="876" ht="15.75" customHeight="1" x14ac:dyDescent="0.3"/>
    <row r="877" ht="15.75" customHeight="1" x14ac:dyDescent="0.3"/>
    <row r="878" ht="15.75" customHeight="1" x14ac:dyDescent="0.3"/>
    <row r="879" ht="15.75" customHeight="1" x14ac:dyDescent="0.3"/>
    <row r="880" ht="15.75" customHeight="1" x14ac:dyDescent="0.3"/>
    <row r="881" ht="15.75" customHeight="1" x14ac:dyDescent="0.3"/>
    <row r="882" ht="15.75" customHeight="1" x14ac:dyDescent="0.3"/>
    <row r="883" ht="15.75" customHeight="1" x14ac:dyDescent="0.3"/>
    <row r="884" ht="15.75" customHeight="1" x14ac:dyDescent="0.3"/>
    <row r="885" ht="15.75" customHeight="1" x14ac:dyDescent="0.3"/>
    <row r="886" ht="15.75" customHeight="1" x14ac:dyDescent="0.3"/>
    <row r="887" ht="15.75" customHeight="1" x14ac:dyDescent="0.3"/>
    <row r="888" ht="15.75" customHeight="1" x14ac:dyDescent="0.3"/>
    <row r="889" ht="15.75" customHeight="1" x14ac:dyDescent="0.3"/>
    <row r="890" ht="15.75" customHeight="1" x14ac:dyDescent="0.3"/>
    <row r="891" ht="15.75" customHeight="1" x14ac:dyDescent="0.3"/>
    <row r="892" ht="15.75" customHeight="1" x14ac:dyDescent="0.3"/>
    <row r="893" ht="15.75" customHeight="1" x14ac:dyDescent="0.3"/>
    <row r="894" ht="15.75" customHeight="1" x14ac:dyDescent="0.3"/>
    <row r="895" ht="15.75" customHeight="1" x14ac:dyDescent="0.3"/>
    <row r="896" ht="15.75" customHeight="1" x14ac:dyDescent="0.3"/>
    <row r="897" ht="15.75" customHeight="1" x14ac:dyDescent="0.3"/>
    <row r="898" ht="15.75" customHeight="1" x14ac:dyDescent="0.3"/>
    <row r="899" ht="15.75" customHeight="1" x14ac:dyDescent="0.3"/>
    <row r="900" ht="15.75" customHeight="1" x14ac:dyDescent="0.3"/>
    <row r="901" ht="15.75" customHeight="1" x14ac:dyDescent="0.3"/>
    <row r="902" ht="15.75" customHeight="1" x14ac:dyDescent="0.3"/>
    <row r="903" ht="15.75" customHeight="1" x14ac:dyDescent="0.3"/>
    <row r="904" ht="15.75" customHeight="1" x14ac:dyDescent="0.3"/>
    <row r="905" ht="15.75" customHeight="1" x14ac:dyDescent="0.3"/>
    <row r="906" ht="15.75" customHeight="1" x14ac:dyDescent="0.3"/>
    <row r="907" ht="15.75" customHeight="1" x14ac:dyDescent="0.3"/>
    <row r="908" ht="15.75" customHeight="1" x14ac:dyDescent="0.3"/>
    <row r="909" ht="15.75" customHeight="1" x14ac:dyDescent="0.3"/>
    <row r="910" ht="15.75" customHeight="1" x14ac:dyDescent="0.3"/>
    <row r="911" ht="15.75" customHeight="1" x14ac:dyDescent="0.3"/>
    <row r="912" ht="15.75" customHeight="1" x14ac:dyDescent="0.3"/>
    <row r="913" ht="15.75" customHeight="1" x14ac:dyDescent="0.3"/>
    <row r="914" ht="15.75" customHeight="1" x14ac:dyDescent="0.3"/>
    <row r="915" ht="15.75" customHeight="1" x14ac:dyDescent="0.3"/>
    <row r="916" ht="15.75" customHeight="1" x14ac:dyDescent="0.3"/>
    <row r="917" ht="15.75" customHeight="1" x14ac:dyDescent="0.3"/>
    <row r="918" ht="15.75" customHeight="1" x14ac:dyDescent="0.3"/>
    <row r="919" ht="15.75" customHeight="1" x14ac:dyDescent="0.3"/>
    <row r="920" ht="15.75" customHeight="1" x14ac:dyDescent="0.3"/>
    <row r="921" ht="15.75" customHeight="1" x14ac:dyDescent="0.3"/>
    <row r="922" ht="15.75" customHeight="1" x14ac:dyDescent="0.3"/>
    <row r="923" ht="15.75" customHeight="1" x14ac:dyDescent="0.3"/>
    <row r="924" ht="15.75" customHeight="1" x14ac:dyDescent="0.3"/>
    <row r="925" ht="15.75" customHeight="1" x14ac:dyDescent="0.3"/>
    <row r="926" ht="15.75" customHeight="1" x14ac:dyDescent="0.3"/>
    <row r="927" ht="15.75" customHeight="1" x14ac:dyDescent="0.3"/>
    <row r="928" ht="15.75" customHeight="1" x14ac:dyDescent="0.3"/>
    <row r="929" ht="15.75" customHeight="1" x14ac:dyDescent="0.3"/>
    <row r="930" ht="15.75" customHeight="1" x14ac:dyDescent="0.3"/>
    <row r="931" ht="15.75" customHeight="1" x14ac:dyDescent="0.3"/>
    <row r="932" ht="15.75" customHeight="1" x14ac:dyDescent="0.3"/>
    <row r="933" ht="15.75" customHeight="1" x14ac:dyDescent="0.3"/>
    <row r="934" ht="15.75" customHeight="1" x14ac:dyDescent="0.3"/>
    <row r="935" ht="15.75" customHeight="1" x14ac:dyDescent="0.3"/>
    <row r="936" ht="15.75" customHeight="1" x14ac:dyDescent="0.3"/>
    <row r="937" ht="15.75" customHeight="1" x14ac:dyDescent="0.3"/>
    <row r="938" ht="15.75" customHeight="1" x14ac:dyDescent="0.3"/>
    <row r="939" ht="15.75" customHeight="1" x14ac:dyDescent="0.3"/>
    <row r="940" ht="15.75" customHeight="1" x14ac:dyDescent="0.3"/>
    <row r="941" ht="15.75" customHeight="1" x14ac:dyDescent="0.3"/>
    <row r="942" ht="15.75" customHeight="1" x14ac:dyDescent="0.3"/>
    <row r="943" ht="15.75" customHeight="1" x14ac:dyDescent="0.3"/>
    <row r="944" ht="15.75" customHeight="1" x14ac:dyDescent="0.3"/>
    <row r="945" ht="15.75" customHeight="1" x14ac:dyDescent="0.3"/>
    <row r="946" ht="15.75" customHeight="1" x14ac:dyDescent="0.3"/>
    <row r="947" ht="15.75" customHeight="1" x14ac:dyDescent="0.3"/>
    <row r="948" ht="15.75" customHeight="1" x14ac:dyDescent="0.3"/>
    <row r="949" ht="15.75" customHeight="1" x14ac:dyDescent="0.3"/>
    <row r="950" ht="15.75" customHeight="1" x14ac:dyDescent="0.3"/>
    <row r="951" ht="15.75" customHeight="1" x14ac:dyDescent="0.3"/>
    <row r="952" ht="15.75" customHeight="1" x14ac:dyDescent="0.3"/>
    <row r="953" ht="15.75" customHeight="1" x14ac:dyDescent="0.3"/>
    <row r="954" ht="15.75" customHeight="1" x14ac:dyDescent="0.3"/>
    <row r="955" ht="15.75" customHeight="1" x14ac:dyDescent="0.3"/>
    <row r="956" ht="15.75" customHeight="1" x14ac:dyDescent="0.3"/>
    <row r="957" ht="15.75" customHeight="1" x14ac:dyDescent="0.3"/>
    <row r="958" ht="15.75" customHeight="1" x14ac:dyDescent="0.3"/>
    <row r="959" ht="15.75" customHeight="1" x14ac:dyDescent="0.3"/>
    <row r="960" ht="15.75" customHeight="1" x14ac:dyDescent="0.3"/>
    <row r="961" ht="15.75" customHeight="1" x14ac:dyDescent="0.3"/>
    <row r="962" ht="15.75" customHeight="1" x14ac:dyDescent="0.3"/>
    <row r="963" ht="15.75" customHeight="1" x14ac:dyDescent="0.3"/>
    <row r="964" ht="15.75" customHeight="1" x14ac:dyDescent="0.3"/>
    <row r="965" ht="15.75" customHeight="1" x14ac:dyDescent="0.3"/>
    <row r="966" ht="15.75" customHeight="1" x14ac:dyDescent="0.3"/>
    <row r="967" ht="15.75" customHeight="1" x14ac:dyDescent="0.3"/>
    <row r="968" ht="15.75" customHeight="1" x14ac:dyDescent="0.3"/>
    <row r="969" ht="15.75" customHeight="1" x14ac:dyDescent="0.3"/>
    <row r="970" ht="15.75" customHeight="1" x14ac:dyDescent="0.3"/>
    <row r="971" ht="15.75" customHeight="1" x14ac:dyDescent="0.3"/>
    <row r="972" ht="15.75" customHeight="1" x14ac:dyDescent="0.3"/>
    <row r="973" ht="15.75" customHeight="1" x14ac:dyDescent="0.3"/>
    <row r="974" ht="15.75" customHeight="1" x14ac:dyDescent="0.3"/>
    <row r="975" ht="15.75" customHeight="1" x14ac:dyDescent="0.3"/>
    <row r="976" ht="15.75" customHeight="1" x14ac:dyDescent="0.3"/>
    <row r="977" ht="15.75" customHeight="1" x14ac:dyDescent="0.3"/>
    <row r="978" ht="15.75" customHeight="1" x14ac:dyDescent="0.3"/>
    <row r="979" ht="15.75" customHeight="1" x14ac:dyDescent="0.3"/>
    <row r="980" ht="15.75" customHeight="1" x14ac:dyDescent="0.3"/>
    <row r="981" ht="15.75" customHeight="1" x14ac:dyDescent="0.3"/>
    <row r="982" ht="15.75" customHeight="1" x14ac:dyDescent="0.3"/>
    <row r="983" ht="15.75" customHeight="1" x14ac:dyDescent="0.3"/>
    <row r="984" ht="15.75" customHeight="1" x14ac:dyDescent="0.3"/>
    <row r="985" ht="15.75" customHeight="1" x14ac:dyDescent="0.3"/>
    <row r="986" ht="15.75" customHeight="1" x14ac:dyDescent="0.3"/>
    <row r="987" ht="15.75" customHeight="1" x14ac:dyDescent="0.3"/>
    <row r="988" ht="15.75" customHeight="1" x14ac:dyDescent="0.3"/>
    <row r="989" ht="15.75" customHeight="1" x14ac:dyDescent="0.3"/>
    <row r="990" ht="15.75" customHeight="1" x14ac:dyDescent="0.3"/>
    <row r="991" ht="15.75" customHeight="1" x14ac:dyDescent="0.3"/>
    <row r="992" ht="15.75" customHeight="1" x14ac:dyDescent="0.3"/>
    <row r="993" ht="15.75" customHeight="1" x14ac:dyDescent="0.3"/>
    <row r="994" ht="15.75" customHeight="1" x14ac:dyDescent="0.3"/>
    <row r="995" ht="15.75" customHeight="1" x14ac:dyDescent="0.3"/>
    <row r="996" ht="15.75" customHeight="1" x14ac:dyDescent="0.3"/>
    <row r="997" ht="15.75" customHeight="1" x14ac:dyDescent="0.3"/>
    <row r="998" ht="15.75" customHeight="1" x14ac:dyDescent="0.3"/>
    <row r="999" ht="15.75" customHeight="1" x14ac:dyDescent="0.3"/>
    <row r="1000" ht="15.75" customHeight="1" x14ac:dyDescent="0.3"/>
  </sheetData>
  <mergeCells count="5">
    <mergeCell ref="D5:G5"/>
    <mergeCell ref="H5:K5"/>
    <mergeCell ref="L5:P5"/>
    <mergeCell ref="Q5:U5"/>
    <mergeCell ref="V5:Z5"/>
  </mergeCells>
  <conditionalFormatting sqref="A7:A81">
    <cfRule type="colorScale" priority="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E7:E81">
    <cfRule type="cellIs" dxfId="3" priority="2" operator="lessThan">
      <formula>0</formula>
    </cfRule>
    <cfRule type="cellIs" dxfId="2" priority="3" operator="greaterThan">
      <formula>0</formula>
    </cfRule>
  </conditionalFormatting>
  <conditionalFormatting sqref="G7:G81">
    <cfRule type="colorScale" priority="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J1:K3 I4:K4 J82:K82 J84:K90 I91:K1000">
    <cfRule type="cellIs" dxfId="1" priority="5" operator="lessThan">
      <formula>0</formula>
    </cfRule>
  </conditionalFormatting>
  <conditionalFormatting sqref="X1:X3">
    <cfRule type="cellIs" dxfId="0" priority="6" operator="lessThan">
      <formula>0</formula>
    </cfRule>
  </conditionalFormatting>
  <pageMargins left="0.7" right="0.7" top="0.75" bottom="0.75" header="0" footer="0"/>
  <pageSetup orientation="portrait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dimension ref="B1:R1000"/>
  <sheetViews>
    <sheetView workbookViewId="0"/>
  </sheetViews>
  <sheetFormatPr defaultColWidth="14.44140625" defaultRowHeight="15" customHeight="1" x14ac:dyDescent="0.3"/>
  <cols>
    <col min="1" max="1" width="4.44140625" customWidth="1"/>
    <col min="2" max="2" width="14.6640625" customWidth="1"/>
    <col min="3" max="3" width="15.5546875" customWidth="1"/>
    <col min="4" max="4" width="11" customWidth="1"/>
    <col min="5" max="5" width="11.33203125" customWidth="1"/>
    <col min="6" max="6" width="11" customWidth="1"/>
    <col min="7" max="7" width="11.33203125" customWidth="1"/>
    <col min="8" max="8" width="11" customWidth="1"/>
    <col min="9" max="9" width="12.109375" customWidth="1"/>
    <col min="10" max="10" width="15.5546875" customWidth="1"/>
    <col min="11" max="11" width="12.33203125" customWidth="1"/>
    <col min="12" max="12" width="9.109375" customWidth="1"/>
    <col min="13" max="13" width="14.6640625" customWidth="1"/>
    <col min="14" max="14" width="11" customWidth="1"/>
    <col min="15" max="15" width="12.33203125" customWidth="1"/>
    <col min="16" max="16" width="11.6640625" customWidth="1"/>
    <col min="17" max="18" width="9.5546875" customWidth="1"/>
  </cols>
  <sheetData>
    <row r="1" spans="2:18" ht="11.25" customHeight="1" x14ac:dyDescent="0.3">
      <c r="B1" s="429" t="s">
        <v>621</v>
      </c>
      <c r="C1" s="430">
        <f ca="1">TODAY()</f>
        <v>46186</v>
      </c>
      <c r="D1" s="569" t="s">
        <v>622</v>
      </c>
      <c r="E1" s="547"/>
      <c r="F1" s="569" t="s">
        <v>623</v>
      </c>
      <c r="G1" s="547"/>
      <c r="H1" s="569" t="s">
        <v>624</v>
      </c>
      <c r="I1" s="547"/>
      <c r="J1" s="569" t="s">
        <v>625</v>
      </c>
      <c r="K1" s="547"/>
      <c r="L1" s="431"/>
      <c r="M1" s="431"/>
      <c r="N1" s="432">
        <f>R1/Q1</f>
        <v>0.21977797398773583</v>
      </c>
      <c r="O1" s="570" t="s">
        <v>626</v>
      </c>
      <c r="P1" s="556"/>
      <c r="Q1" s="433">
        <f>'Retirement Calculator'!B3</f>
        <v>469836.83999999991</v>
      </c>
      <c r="R1" s="434">
        <f>SUM(R3:R9)</f>
        <v>103259.78879999998</v>
      </c>
    </row>
    <row r="2" spans="2:18" ht="11.25" customHeight="1" x14ac:dyDescent="0.3">
      <c r="B2" s="429" t="s">
        <v>627</v>
      </c>
      <c r="C2" s="430">
        <f>'Retirement Calculator'!D6</f>
        <v>51288</v>
      </c>
      <c r="D2" s="435" t="s">
        <v>548</v>
      </c>
      <c r="E2" s="436">
        <f>B13</f>
        <v>104249.60000000001</v>
      </c>
      <c r="F2" s="435" t="s">
        <v>548</v>
      </c>
      <c r="G2" s="436">
        <f>C13</f>
        <v>18000</v>
      </c>
      <c r="H2" s="435" t="s">
        <v>548</v>
      </c>
      <c r="I2" s="436">
        <f>D13</f>
        <v>162500</v>
      </c>
      <c r="J2" s="435" t="s">
        <v>548</v>
      </c>
      <c r="K2" s="436">
        <f>I2</f>
        <v>162500</v>
      </c>
      <c r="L2" s="431"/>
      <c r="M2" s="431"/>
      <c r="N2" s="437" t="s">
        <v>562</v>
      </c>
      <c r="O2" s="438" t="s">
        <v>628</v>
      </c>
      <c r="P2" s="438" t="s">
        <v>629</v>
      </c>
      <c r="Q2" s="439" t="s">
        <v>630</v>
      </c>
      <c r="R2" s="440" t="s">
        <v>631</v>
      </c>
    </row>
    <row r="3" spans="2:18" ht="11.25" customHeight="1" x14ac:dyDescent="0.3">
      <c r="B3" s="429" t="s">
        <v>632</v>
      </c>
      <c r="C3" s="438">
        <f ca="1">(C2-C1)/365.25</f>
        <v>13.968514715947981</v>
      </c>
      <c r="D3" s="429" t="s">
        <v>633</v>
      </c>
      <c r="E3" s="441">
        <f ca="1">'TSP-401K'!J4</f>
        <v>0.11605342030525209</v>
      </c>
      <c r="F3" s="429" t="s">
        <v>633</v>
      </c>
      <c r="G3" s="441">
        <f ca="1">'TSP-401K'!O4</f>
        <v>0.11313894391059875</v>
      </c>
      <c r="H3" s="429" t="s">
        <v>633</v>
      </c>
      <c r="I3" s="441">
        <f ca="1">'TSP-401K'!T4</f>
        <v>0.11381079554557802</v>
      </c>
      <c r="J3" s="429" t="s">
        <v>633</v>
      </c>
      <c r="K3" s="441">
        <f ca="1">'TSP-401K'!Y4</f>
        <v>0.11471765637397766</v>
      </c>
      <c r="L3" s="431"/>
      <c r="M3" s="431"/>
      <c r="N3" s="442">
        <v>0.1</v>
      </c>
      <c r="O3" s="436">
        <v>0</v>
      </c>
      <c r="P3" s="436">
        <v>24800</v>
      </c>
      <c r="Q3" s="436">
        <f>IF($Q$1&gt;P3,P3,$Q$1-Q3)</f>
        <v>24800</v>
      </c>
      <c r="R3" s="443">
        <f t="shared" ref="R3:R9" si="0">Q3*N3</f>
        <v>2480</v>
      </c>
    </row>
    <row r="4" spans="2:18" ht="11.25" customHeight="1" x14ac:dyDescent="0.3">
      <c r="B4" s="435" t="s">
        <v>634</v>
      </c>
      <c r="C4" s="430">
        <f>'Retirement Calculator'!D7</f>
        <v>51288</v>
      </c>
      <c r="D4" s="429"/>
      <c r="E4" s="441"/>
      <c r="F4" s="429"/>
      <c r="G4" s="441"/>
      <c r="H4" s="429"/>
      <c r="I4" s="441"/>
      <c r="J4" s="429"/>
      <c r="K4" s="441"/>
      <c r="L4" s="431"/>
      <c r="M4" s="431"/>
      <c r="N4" s="442">
        <v>0.12</v>
      </c>
      <c r="O4" s="436">
        <f t="shared" ref="O4:O9" si="1">P3+0.01</f>
        <v>24800.01</v>
      </c>
      <c r="P4" s="436">
        <v>100800</v>
      </c>
      <c r="Q4" s="436">
        <f>IF($Q$1&gt;P4,P4-Q3,$Q$1-Q3)</f>
        <v>76000</v>
      </c>
      <c r="R4" s="443">
        <f t="shared" si="0"/>
        <v>9120</v>
      </c>
    </row>
    <row r="5" spans="2:18" ht="11.25" customHeight="1" x14ac:dyDescent="0.3">
      <c r="B5" s="435" t="s">
        <v>635</v>
      </c>
      <c r="C5" s="438">
        <f ca="1">(C4-C1)/365.25</f>
        <v>13.968514715947981</v>
      </c>
      <c r="D5" s="429"/>
      <c r="E5" s="441"/>
      <c r="F5" s="429"/>
      <c r="G5" s="441"/>
      <c r="H5" s="429"/>
      <c r="I5" s="441"/>
      <c r="J5" s="429"/>
      <c r="K5" s="441"/>
      <c r="L5" s="444"/>
      <c r="M5" s="431"/>
      <c r="N5" s="442">
        <v>0.22</v>
      </c>
      <c r="O5" s="436">
        <f t="shared" si="1"/>
        <v>100800.01</v>
      </c>
      <c r="P5" s="436">
        <v>211400</v>
      </c>
      <c r="Q5" s="436">
        <f>IF($Q$1&gt;P5,P5-Q4-Q3,$Q$1-Q4-Q3)</f>
        <v>110600</v>
      </c>
      <c r="R5" s="443">
        <f t="shared" si="0"/>
        <v>24332</v>
      </c>
    </row>
    <row r="6" spans="2:18" ht="11.25" customHeight="1" x14ac:dyDescent="0.3">
      <c r="B6" s="429" t="s">
        <v>636</v>
      </c>
      <c r="C6" s="445">
        <f>E6+G6+I6+K6</f>
        <v>1107311.7599999998</v>
      </c>
      <c r="D6" s="429" t="s">
        <v>637</v>
      </c>
      <c r="E6" s="445">
        <f>'TSP-401K'!H82*-1</f>
        <v>433522.30999999994</v>
      </c>
      <c r="F6" s="429" t="s">
        <v>637</v>
      </c>
      <c r="G6" s="445">
        <f>'TSP-401K'!L82*-1</f>
        <v>139615.99999999994</v>
      </c>
      <c r="H6" s="429" t="s">
        <v>637</v>
      </c>
      <c r="I6" s="445">
        <f>'TSP-401K'!Q82*-1</f>
        <v>408701.7699999999</v>
      </c>
      <c r="J6" s="429" t="s">
        <v>637</v>
      </c>
      <c r="K6" s="445">
        <f>'TSP-401K'!V82*-1</f>
        <v>125471.68000000005</v>
      </c>
      <c r="L6" s="446"/>
      <c r="M6" s="431"/>
      <c r="N6" s="442">
        <v>0.24</v>
      </c>
      <c r="O6" s="436">
        <f t="shared" si="1"/>
        <v>211400.01</v>
      </c>
      <c r="P6" s="436">
        <v>403550</v>
      </c>
      <c r="Q6" s="436">
        <f>IF($Q$1&gt;P6,P6-Q5-Q4-Q3,$Q$1-Q5-Q4-Q3)</f>
        <v>192150</v>
      </c>
      <c r="R6" s="443">
        <f t="shared" si="0"/>
        <v>46116</v>
      </c>
    </row>
    <row r="7" spans="2:18" ht="11.25" customHeight="1" x14ac:dyDescent="0.3">
      <c r="B7" s="429"/>
      <c r="C7" s="439"/>
      <c r="D7" s="429"/>
      <c r="E7" s="439"/>
      <c r="F7" s="429"/>
      <c r="G7" s="439"/>
      <c r="H7" s="429"/>
      <c r="I7" s="439"/>
      <c r="J7" s="429"/>
      <c r="K7" s="439"/>
      <c r="L7" s="444"/>
      <c r="M7" s="431"/>
      <c r="N7" s="442">
        <v>0.32</v>
      </c>
      <c r="O7" s="436">
        <f t="shared" si="1"/>
        <v>403550.01</v>
      </c>
      <c r="P7" s="436">
        <v>512450</v>
      </c>
      <c r="Q7" s="436">
        <f>IF($Q$1&gt;P7,P7-Q6-Q5-Q4-Q3,$Q$1-Q6-Q5-Q4-Q3)</f>
        <v>66286.839999999909</v>
      </c>
      <c r="R7" s="443">
        <f t="shared" si="0"/>
        <v>21211.788799999973</v>
      </c>
    </row>
    <row r="8" spans="2:18" ht="11.25" customHeight="1" x14ac:dyDescent="0.3">
      <c r="B8" s="429" t="s">
        <v>638</v>
      </c>
      <c r="C8" s="445">
        <f ca="1">E8+G8+I8+K8</f>
        <v>6767077.2524809875</v>
      </c>
      <c r="D8" s="429" t="s">
        <v>639</v>
      </c>
      <c r="E8" s="445">
        <f ca="1">FV(E3/26,C3*26,-(E2*0.1)/26,-E6,1)</f>
        <v>2549694.1712406902</v>
      </c>
      <c r="F8" s="429" t="s">
        <v>639</v>
      </c>
      <c r="G8" s="445">
        <f ca="1">FV(G3/12,12*C3,-(G2*0.1)/12,-G6,1)</f>
        <v>734451.12933781545</v>
      </c>
      <c r="H8" s="429" t="s">
        <v>639</v>
      </c>
      <c r="I8" s="445">
        <f ca="1">FV(I3/24,C5*24,-(I2*0.1)/24,-I6,1)</f>
        <v>2553413.1179331648</v>
      </c>
      <c r="J8" s="429" t="s">
        <v>639</v>
      </c>
      <c r="K8" s="445">
        <f ca="1">FV(K3/24,C5*24,-(K2*0.055)/24,-K6,1)</f>
        <v>929518.83396931784</v>
      </c>
      <c r="L8" s="444"/>
      <c r="M8" s="431"/>
      <c r="N8" s="442">
        <v>0.35</v>
      </c>
      <c r="O8" s="436">
        <f t="shared" si="1"/>
        <v>512450.01</v>
      </c>
      <c r="P8" s="436">
        <v>768700</v>
      </c>
      <c r="Q8" s="436">
        <f>IF($Q$1&gt;P8,P8-Q7-Q6-Q5-Q4-Q3,$Q$1-Q7-Q6-Q5-Q4-Q3)</f>
        <v>0</v>
      </c>
      <c r="R8" s="443">
        <f t="shared" si="0"/>
        <v>0</v>
      </c>
    </row>
    <row r="9" spans="2:18" ht="11.25" customHeight="1" x14ac:dyDescent="0.3">
      <c r="B9" s="446"/>
      <c r="C9" s="445"/>
      <c r="D9" s="446"/>
      <c r="E9" s="444"/>
      <c r="F9" s="446"/>
      <c r="G9" s="447"/>
      <c r="H9" s="446"/>
      <c r="I9" s="447"/>
      <c r="J9" s="446"/>
      <c r="K9" s="447"/>
      <c r="L9" s="444"/>
      <c r="M9" s="431"/>
      <c r="N9" s="448">
        <v>0.37</v>
      </c>
      <c r="O9" s="449">
        <f t="shared" si="1"/>
        <v>768700.01</v>
      </c>
      <c r="P9" s="449">
        <v>10000000</v>
      </c>
      <c r="Q9" s="449">
        <f>IF($Q$1&gt;P9,P9-Q8-Q7,$Q$1-Q8-Q7-Q6-Q5-Q4-Q3)</f>
        <v>0</v>
      </c>
      <c r="R9" s="450">
        <f t="shared" si="0"/>
        <v>0</v>
      </c>
    </row>
    <row r="10" spans="2:18" ht="11.25" customHeight="1" x14ac:dyDescent="0.3">
      <c r="B10" s="446"/>
      <c r="C10" s="444"/>
      <c r="D10" s="446"/>
      <c r="E10" s="444"/>
      <c r="F10" s="446"/>
      <c r="G10" s="447"/>
      <c r="H10" s="446"/>
      <c r="I10" s="447"/>
      <c r="J10" s="446"/>
      <c r="K10" s="447"/>
      <c r="L10" s="444"/>
      <c r="M10" s="431"/>
      <c r="N10" s="451"/>
      <c r="O10" s="451"/>
      <c r="P10" s="451"/>
      <c r="Q10" s="452"/>
      <c r="R10" s="444"/>
    </row>
    <row r="11" spans="2:18" ht="11.25" customHeight="1" x14ac:dyDescent="0.3">
      <c r="B11" s="453"/>
      <c r="C11" s="444"/>
      <c r="D11" s="431"/>
      <c r="E11" s="444"/>
      <c r="F11" s="431"/>
      <c r="G11" s="444"/>
      <c r="H11" s="431"/>
      <c r="I11" s="444"/>
      <c r="J11" s="431"/>
      <c r="K11" s="444"/>
      <c r="L11" s="444"/>
      <c r="M11" s="431"/>
      <c r="N11" s="451"/>
      <c r="O11" s="451"/>
      <c r="P11" s="451"/>
      <c r="Q11" s="452"/>
      <c r="R11" s="444"/>
    </row>
    <row r="12" spans="2:18" ht="11.25" customHeight="1" x14ac:dyDescent="0.3">
      <c r="B12" s="446" t="s">
        <v>640</v>
      </c>
      <c r="C12" s="446" t="s">
        <v>564</v>
      </c>
      <c r="D12" s="446" t="s">
        <v>641</v>
      </c>
      <c r="E12" s="454" t="s">
        <v>642</v>
      </c>
      <c r="F12" s="444"/>
      <c r="G12" s="446"/>
      <c r="H12" s="431"/>
      <c r="I12" s="446" t="s">
        <v>551</v>
      </c>
      <c r="J12" s="446" t="s">
        <v>552</v>
      </c>
      <c r="K12" s="446" t="s">
        <v>553</v>
      </c>
      <c r="L12" s="446" t="s">
        <v>554</v>
      </c>
      <c r="M12" s="431"/>
      <c r="N12" s="451"/>
      <c r="O12" s="451"/>
      <c r="P12" s="451"/>
      <c r="Q12" s="452"/>
      <c r="R12" s="444"/>
    </row>
    <row r="13" spans="2:18" ht="11.25" customHeight="1" x14ac:dyDescent="0.3">
      <c r="B13" s="455">
        <f>'Retirement Calculator'!D2</f>
        <v>104249.60000000001</v>
      </c>
      <c r="C13" s="455">
        <f>'Retirement Calculator'!D3</f>
        <v>18000</v>
      </c>
      <c r="D13" s="455">
        <f>'Retirement Calculator'!D1</f>
        <v>162500</v>
      </c>
      <c r="E13" s="452">
        <f>B13+C13+D13</f>
        <v>284749.59999999998</v>
      </c>
      <c r="F13" s="444"/>
      <c r="G13" s="456">
        <v>31590</v>
      </c>
      <c r="H13" s="431" t="s">
        <v>643</v>
      </c>
      <c r="I13" s="457">
        <f>'Retirement Calculator'!F2</f>
        <v>2420</v>
      </c>
      <c r="J13" s="457">
        <f>'Retirement Calculator'!G2</f>
        <v>3519</v>
      </c>
      <c r="K13" s="457">
        <f>'Retirement Calculator'!H2</f>
        <v>4397</v>
      </c>
      <c r="L13" s="457">
        <f>'Retirement Calculator'!I2</f>
        <v>0</v>
      </c>
      <c r="M13" s="431"/>
      <c r="N13" s="451"/>
      <c r="O13" s="451"/>
      <c r="P13" s="451"/>
      <c r="Q13" s="452"/>
      <c r="R13" s="444"/>
    </row>
    <row r="14" spans="2:18" ht="11.25" customHeight="1" x14ac:dyDescent="0.3">
      <c r="B14" s="455"/>
      <c r="C14" s="457"/>
      <c r="D14" s="457"/>
      <c r="E14" s="452"/>
      <c r="F14" s="444"/>
      <c r="G14" s="456">
        <v>29906</v>
      </c>
      <c r="H14" s="431" t="s">
        <v>644</v>
      </c>
      <c r="I14" s="457">
        <f>'Retirement Calculator'!F3</f>
        <v>2345</v>
      </c>
      <c r="J14" s="457">
        <f>'Retirement Calculator'!G3</f>
        <v>3401</v>
      </c>
      <c r="K14" s="457">
        <f>'Retirement Calculator'!H3</f>
        <v>4262</v>
      </c>
      <c r="L14" s="457">
        <f>'Retirement Calculator'!I3</f>
        <v>0</v>
      </c>
      <c r="M14" s="431"/>
      <c r="N14" s="451"/>
      <c r="O14" s="451"/>
      <c r="P14" s="451"/>
      <c r="Q14" s="452"/>
      <c r="R14" s="444"/>
    </row>
    <row r="15" spans="2:18" ht="11.25" customHeight="1" x14ac:dyDescent="0.3">
      <c r="B15" s="455"/>
      <c r="C15" s="457"/>
      <c r="D15" s="457"/>
      <c r="E15" s="452"/>
      <c r="F15" s="444"/>
      <c r="G15" s="456"/>
      <c r="H15" s="431"/>
      <c r="I15" s="457"/>
      <c r="J15" s="457"/>
      <c r="K15" s="457"/>
      <c r="L15" s="457"/>
      <c r="M15" s="431"/>
      <c r="N15" s="451"/>
      <c r="O15" s="451"/>
      <c r="P15" s="451"/>
      <c r="Q15" s="452"/>
      <c r="R15" s="444"/>
    </row>
    <row r="16" spans="2:18" ht="11.25" customHeight="1" x14ac:dyDescent="0.3">
      <c r="B16" s="455" t="s">
        <v>645</v>
      </c>
      <c r="C16" s="455" t="s">
        <v>646</v>
      </c>
      <c r="D16" s="457"/>
      <c r="E16" s="452"/>
      <c r="F16" s="444"/>
      <c r="G16" s="431"/>
      <c r="H16" s="444"/>
      <c r="I16" s="431"/>
      <c r="J16" s="431"/>
      <c r="K16" s="444"/>
      <c r="L16" s="444"/>
      <c r="M16" s="431"/>
      <c r="N16" s="451"/>
      <c r="O16" s="451"/>
      <c r="P16" s="451"/>
      <c r="Q16" s="452"/>
      <c r="R16" s="444"/>
    </row>
    <row r="17" spans="2:11" ht="11.25" customHeight="1" x14ac:dyDescent="0.3">
      <c r="B17" s="451">
        <f>(C2-B18)/365.25</f>
        <v>33.040383299110196</v>
      </c>
      <c r="C17" s="458">
        <f>'Retirement Calculator'!B2</f>
        <v>0.65</v>
      </c>
      <c r="D17" s="457"/>
      <c r="E17" s="457"/>
      <c r="F17" s="444"/>
      <c r="G17" s="431"/>
      <c r="H17" s="444"/>
      <c r="I17" s="431"/>
      <c r="J17" s="431"/>
      <c r="K17" s="444"/>
    </row>
    <row r="18" spans="2:11" ht="11.25" customHeight="1" x14ac:dyDescent="0.3">
      <c r="B18" s="456">
        <v>39220</v>
      </c>
      <c r="C18" s="455">
        <f>E13*(1+C17)</f>
        <v>469836.83999999991</v>
      </c>
      <c r="D18" s="457"/>
      <c r="E18" s="457"/>
      <c r="F18" s="444"/>
      <c r="G18" s="431"/>
      <c r="H18" s="446" t="s">
        <v>647</v>
      </c>
      <c r="I18" s="431"/>
      <c r="J18" s="431"/>
      <c r="K18" s="431"/>
    </row>
    <row r="19" spans="2:11" ht="11.25" customHeight="1" x14ac:dyDescent="0.3">
      <c r="B19" s="444"/>
      <c r="C19" s="455"/>
      <c r="D19" s="457"/>
      <c r="E19" s="457"/>
      <c r="F19" s="431"/>
      <c r="G19" s="431"/>
      <c r="H19" s="459">
        <v>71</v>
      </c>
      <c r="I19" s="457">
        <f t="shared" ref="I19:I33" si="2">(I$14*12)*($H19-62)</f>
        <v>253260</v>
      </c>
      <c r="J19" s="457">
        <f t="shared" ref="J19:J33" si="3">(J$14*12)*($H19-67)</f>
        <v>163248</v>
      </c>
      <c r="K19" s="457">
        <f t="shared" ref="K19:K33" si="4">(K$14*12)*($H19-70)</f>
        <v>51144</v>
      </c>
    </row>
    <row r="20" spans="2:11" ht="11.25" customHeight="1" x14ac:dyDescent="0.3">
      <c r="B20" s="444"/>
      <c r="C20" s="455"/>
      <c r="D20" s="457"/>
      <c r="E20" s="457"/>
      <c r="F20" s="431"/>
      <c r="G20" s="431"/>
      <c r="H20" s="459">
        <v>72</v>
      </c>
      <c r="I20" s="457">
        <f t="shared" si="2"/>
        <v>281400</v>
      </c>
      <c r="J20" s="457">
        <f t="shared" si="3"/>
        <v>204060</v>
      </c>
      <c r="K20" s="457">
        <f t="shared" si="4"/>
        <v>102288</v>
      </c>
    </row>
    <row r="21" spans="2:11" ht="11.25" customHeight="1" x14ac:dyDescent="0.3">
      <c r="B21" s="444" t="s">
        <v>648</v>
      </c>
      <c r="C21" s="455" t="s">
        <v>649</v>
      </c>
      <c r="D21" s="455" t="s">
        <v>650</v>
      </c>
      <c r="E21" s="457" t="s">
        <v>651</v>
      </c>
      <c r="F21" s="431"/>
      <c r="G21" s="431"/>
      <c r="H21" s="459">
        <v>73</v>
      </c>
      <c r="I21" s="457">
        <f t="shared" si="2"/>
        <v>309540</v>
      </c>
      <c r="J21" s="457">
        <f t="shared" si="3"/>
        <v>244872</v>
      </c>
      <c r="K21" s="457">
        <f t="shared" si="4"/>
        <v>153432</v>
      </c>
    </row>
    <row r="22" spans="2:11" ht="11.25" customHeight="1" x14ac:dyDescent="0.3">
      <c r="B22" s="444">
        <f>B13*(B17*0.01)</f>
        <v>34444.46742778919</v>
      </c>
      <c r="C22" s="455">
        <f>C24*12</f>
        <v>39051.173639423083</v>
      </c>
      <c r="D22" s="455">
        <f>B22+C22</f>
        <v>73495.641067212273</v>
      </c>
      <c r="E22" s="460">
        <f>D22/(B13+C13)</f>
        <v>0.60119330506776525</v>
      </c>
      <c r="F22" s="431"/>
      <c r="G22" s="431"/>
      <c r="H22" s="459">
        <v>74</v>
      </c>
      <c r="I22" s="457">
        <f t="shared" si="2"/>
        <v>337680</v>
      </c>
      <c r="J22" s="457">
        <f t="shared" si="3"/>
        <v>285684</v>
      </c>
      <c r="K22" s="457">
        <f t="shared" si="4"/>
        <v>204576</v>
      </c>
    </row>
    <row r="23" spans="2:11" ht="11.25" customHeight="1" x14ac:dyDescent="0.3">
      <c r="B23" s="446" t="s">
        <v>652</v>
      </c>
      <c r="C23" s="446" t="s">
        <v>653</v>
      </c>
      <c r="D23" s="446" t="s">
        <v>654</v>
      </c>
      <c r="E23" s="431"/>
      <c r="F23" s="446"/>
      <c r="G23" s="446"/>
      <c r="H23" s="459">
        <v>75</v>
      </c>
      <c r="I23" s="457">
        <f t="shared" si="2"/>
        <v>365820</v>
      </c>
      <c r="J23" s="457">
        <f t="shared" si="3"/>
        <v>326496</v>
      </c>
      <c r="K23" s="457">
        <f t="shared" si="4"/>
        <v>255720</v>
      </c>
    </row>
    <row r="24" spans="2:11" ht="11.25" customHeight="1" x14ac:dyDescent="0.3">
      <c r="B24" s="455">
        <f>B22/12</f>
        <v>2870.372285649099</v>
      </c>
      <c r="C24" s="455">
        <f>AVERAGE('Guard Ret Calc'!I23:I24)</f>
        <v>3254.2644699519233</v>
      </c>
      <c r="D24" s="455">
        <f>B24+C24</f>
        <v>6124.6367556010227</v>
      </c>
      <c r="E24" s="431"/>
      <c r="F24" s="446"/>
      <c r="G24" s="455"/>
      <c r="H24" s="459">
        <v>76</v>
      </c>
      <c r="I24" s="457">
        <f t="shared" si="2"/>
        <v>393960</v>
      </c>
      <c r="J24" s="457">
        <f t="shared" si="3"/>
        <v>367308</v>
      </c>
      <c r="K24" s="457">
        <f t="shared" si="4"/>
        <v>306864</v>
      </c>
    </row>
    <row r="25" spans="2:11" ht="11.25" customHeight="1" x14ac:dyDescent="0.3">
      <c r="B25" s="459"/>
      <c r="C25" s="455"/>
      <c r="D25" s="455"/>
      <c r="E25" s="455"/>
      <c r="F25" s="446"/>
      <c r="G25" s="455"/>
      <c r="H25" s="459">
        <v>77</v>
      </c>
      <c r="I25" s="457">
        <f t="shared" si="2"/>
        <v>422100</v>
      </c>
      <c r="J25" s="457">
        <f t="shared" si="3"/>
        <v>408120</v>
      </c>
      <c r="K25" s="457">
        <f t="shared" si="4"/>
        <v>358008</v>
      </c>
    </row>
    <row r="26" spans="2:11" ht="11.25" customHeight="1" x14ac:dyDescent="0.3">
      <c r="B26" s="459"/>
      <c r="C26" s="455"/>
      <c r="D26" s="455"/>
      <c r="E26" s="455"/>
      <c r="F26" s="446"/>
      <c r="G26" s="455"/>
      <c r="H26" s="459">
        <v>78</v>
      </c>
      <c r="I26" s="457">
        <f t="shared" si="2"/>
        <v>450240</v>
      </c>
      <c r="J26" s="461">
        <f t="shared" si="3"/>
        <v>448932</v>
      </c>
      <c r="K26" s="457">
        <f t="shared" si="4"/>
        <v>409152</v>
      </c>
    </row>
    <row r="27" spans="2:11" ht="11.25" customHeight="1" x14ac:dyDescent="0.3">
      <c r="B27" s="459"/>
      <c r="C27" s="455"/>
      <c r="D27" s="455"/>
      <c r="E27" s="455"/>
      <c r="F27" s="455"/>
      <c r="G27" s="455"/>
      <c r="H27" s="459">
        <v>79</v>
      </c>
      <c r="I27" s="457">
        <f t="shared" si="2"/>
        <v>478380</v>
      </c>
      <c r="J27" s="457">
        <f t="shared" si="3"/>
        <v>489744</v>
      </c>
      <c r="K27" s="457">
        <f t="shared" si="4"/>
        <v>460296</v>
      </c>
    </row>
    <row r="28" spans="2:11" ht="11.25" customHeight="1" x14ac:dyDescent="0.3">
      <c r="B28" s="459" t="s">
        <v>647</v>
      </c>
      <c r="C28" s="455" t="s">
        <v>655</v>
      </c>
      <c r="D28" s="455" t="s">
        <v>656</v>
      </c>
      <c r="E28" s="455" t="s">
        <v>68</v>
      </c>
      <c r="F28" s="455"/>
      <c r="G28" s="455"/>
      <c r="H28" s="459">
        <v>80</v>
      </c>
      <c r="I28" s="457">
        <f t="shared" si="2"/>
        <v>506520</v>
      </c>
      <c r="J28" s="457">
        <f t="shared" si="3"/>
        <v>530556</v>
      </c>
      <c r="K28" s="461">
        <f t="shared" si="4"/>
        <v>511440</v>
      </c>
    </row>
    <row r="29" spans="2:11" ht="11.25" customHeight="1" x14ac:dyDescent="0.3">
      <c r="B29" s="451">
        <v>57</v>
      </c>
      <c r="C29" s="455">
        <v>2185</v>
      </c>
      <c r="D29" s="455">
        <v>1319</v>
      </c>
      <c r="E29" s="455">
        <f>SUM(C29:D29)</f>
        <v>3504</v>
      </c>
      <c r="F29" s="455"/>
      <c r="G29" s="455"/>
      <c r="H29" s="459">
        <v>81</v>
      </c>
      <c r="I29" s="457">
        <f t="shared" si="2"/>
        <v>534660</v>
      </c>
      <c r="J29" s="457">
        <f t="shared" si="3"/>
        <v>571368</v>
      </c>
      <c r="K29" s="457">
        <f t="shared" si="4"/>
        <v>562584</v>
      </c>
    </row>
    <row r="30" spans="2:11" ht="11.25" customHeight="1" x14ac:dyDescent="0.3">
      <c r="B30" s="451">
        <v>57.5</v>
      </c>
      <c r="C30" s="455"/>
      <c r="D30" s="455"/>
      <c r="E30" s="455"/>
      <c r="F30" s="455"/>
      <c r="G30" s="455"/>
      <c r="H30" s="459">
        <v>82</v>
      </c>
      <c r="I30" s="457">
        <f t="shared" si="2"/>
        <v>562800</v>
      </c>
      <c r="J30" s="457">
        <f t="shared" si="3"/>
        <v>612180</v>
      </c>
      <c r="K30" s="457">
        <f t="shared" si="4"/>
        <v>613728</v>
      </c>
    </row>
    <row r="31" spans="2:11" ht="11.25" customHeight="1" x14ac:dyDescent="0.3">
      <c r="B31" s="451">
        <v>58</v>
      </c>
      <c r="C31" s="455"/>
      <c r="D31" s="455"/>
      <c r="E31" s="455"/>
      <c r="F31" s="455"/>
      <c r="G31" s="455"/>
      <c r="H31" s="459">
        <v>83</v>
      </c>
      <c r="I31" s="457">
        <f t="shared" si="2"/>
        <v>590940</v>
      </c>
      <c r="J31" s="457">
        <f t="shared" si="3"/>
        <v>652992</v>
      </c>
      <c r="K31" s="457">
        <f t="shared" si="4"/>
        <v>664872</v>
      </c>
    </row>
    <row r="32" spans="2:11" ht="11.25" customHeight="1" x14ac:dyDescent="0.3">
      <c r="B32" s="451">
        <v>58.5</v>
      </c>
      <c r="C32" s="455">
        <v>2295</v>
      </c>
      <c r="D32" s="455">
        <v>1569</v>
      </c>
      <c r="E32" s="455">
        <f>SUM(C32:D32)</f>
        <v>3864</v>
      </c>
      <c r="F32" s="455"/>
      <c r="G32" s="455"/>
      <c r="H32" s="459">
        <v>84</v>
      </c>
      <c r="I32" s="457">
        <f t="shared" si="2"/>
        <v>619080</v>
      </c>
      <c r="J32" s="457">
        <f t="shared" si="3"/>
        <v>693804</v>
      </c>
      <c r="K32" s="457">
        <f t="shared" si="4"/>
        <v>716016</v>
      </c>
    </row>
    <row r="33" spans="2:11" ht="11.25" customHeight="1" x14ac:dyDescent="0.3">
      <c r="B33" s="451">
        <v>59</v>
      </c>
      <c r="C33" s="455"/>
      <c r="D33" s="455"/>
      <c r="E33" s="455"/>
      <c r="F33" s="455"/>
      <c r="G33" s="455"/>
      <c r="H33" s="459">
        <v>85</v>
      </c>
      <c r="I33" s="457">
        <f t="shared" si="2"/>
        <v>647220</v>
      </c>
      <c r="J33" s="457">
        <f t="shared" si="3"/>
        <v>734616</v>
      </c>
      <c r="K33" s="457">
        <f t="shared" si="4"/>
        <v>767160</v>
      </c>
    </row>
    <row r="34" spans="2:11" ht="11.25" customHeight="1" x14ac:dyDescent="0.3">
      <c r="B34" s="451">
        <v>59.5</v>
      </c>
      <c r="C34" s="455"/>
      <c r="D34" s="455"/>
      <c r="E34" s="455"/>
      <c r="F34" s="455"/>
      <c r="G34" s="455"/>
      <c r="H34" s="455"/>
      <c r="I34" s="455"/>
      <c r="J34" s="455"/>
      <c r="K34" s="455"/>
    </row>
    <row r="35" spans="2:11" ht="11.25" customHeight="1" x14ac:dyDescent="0.3">
      <c r="B35" s="451">
        <v>60</v>
      </c>
      <c r="C35" s="455">
        <v>2393.65</v>
      </c>
      <c r="D35" s="455">
        <v>1467</v>
      </c>
      <c r="E35" s="455">
        <f>SUM(C35:D35)</f>
        <v>3860.65</v>
      </c>
      <c r="F35" s="455"/>
      <c r="G35" s="455"/>
      <c r="H35" s="455"/>
      <c r="I35" s="455"/>
      <c r="J35" s="455"/>
      <c r="K35" s="455"/>
    </row>
    <row r="36" spans="2:11" ht="15.75" customHeight="1" x14ac:dyDescent="0.3"/>
    <row r="37" spans="2:11" ht="15.75" customHeight="1" x14ac:dyDescent="0.3"/>
    <row r="38" spans="2:11" ht="15.75" customHeight="1" x14ac:dyDescent="0.3"/>
    <row r="39" spans="2:11" ht="15.75" customHeight="1" x14ac:dyDescent="0.3"/>
    <row r="40" spans="2:11" ht="15.75" customHeight="1" x14ac:dyDescent="0.3"/>
    <row r="41" spans="2:11" ht="15.75" customHeight="1" x14ac:dyDescent="0.3"/>
    <row r="42" spans="2:11" ht="15.75" customHeight="1" x14ac:dyDescent="0.3"/>
    <row r="43" spans="2:11" ht="15.75" customHeight="1" x14ac:dyDescent="0.3"/>
    <row r="44" spans="2:11" ht="15.75" customHeight="1" x14ac:dyDescent="0.3"/>
    <row r="45" spans="2:11" ht="15.75" customHeight="1" x14ac:dyDescent="0.3"/>
    <row r="46" spans="2:11" ht="15.75" customHeight="1" x14ac:dyDescent="0.3"/>
    <row r="47" spans="2:11" ht="15.75" customHeight="1" x14ac:dyDescent="0.3"/>
    <row r="48" spans="2:11" ht="15.75" customHeight="1" x14ac:dyDescent="0.3"/>
    <row r="49" ht="15.75" customHeight="1" x14ac:dyDescent="0.3"/>
    <row r="50" ht="15.75" customHeight="1" x14ac:dyDescent="0.3"/>
    <row r="51" ht="15.75" customHeight="1" x14ac:dyDescent="0.3"/>
    <row r="52" ht="15.75" customHeight="1" x14ac:dyDescent="0.3"/>
    <row r="53" ht="15.75" customHeight="1" x14ac:dyDescent="0.3"/>
    <row r="54" ht="15.75" customHeight="1" x14ac:dyDescent="0.3"/>
    <row r="55" ht="15.75" customHeight="1" x14ac:dyDescent="0.3"/>
    <row r="56" ht="15.75" customHeight="1" x14ac:dyDescent="0.3"/>
    <row r="57" ht="15.75" customHeight="1" x14ac:dyDescent="0.3"/>
    <row r="58" ht="15.75" customHeight="1" x14ac:dyDescent="0.3"/>
    <row r="59" ht="15.75" customHeight="1" x14ac:dyDescent="0.3"/>
    <row r="60" ht="15.75" customHeight="1" x14ac:dyDescent="0.3"/>
    <row r="61" ht="15.75" customHeight="1" x14ac:dyDescent="0.3"/>
    <row r="62" ht="15.75" customHeight="1" x14ac:dyDescent="0.3"/>
    <row r="63" ht="15.75" customHeight="1" x14ac:dyDescent="0.3"/>
    <row r="64" ht="15.75" customHeight="1" x14ac:dyDescent="0.3"/>
    <row r="65" ht="15.75" customHeight="1" x14ac:dyDescent="0.3"/>
    <row r="66" ht="15.75" customHeight="1" x14ac:dyDescent="0.3"/>
    <row r="67" ht="15.75" customHeight="1" x14ac:dyDescent="0.3"/>
    <row r="68" ht="15.75" customHeight="1" x14ac:dyDescent="0.3"/>
    <row r="69" ht="15.75" customHeight="1" x14ac:dyDescent="0.3"/>
    <row r="70" ht="15.75" customHeight="1" x14ac:dyDescent="0.3"/>
    <row r="71" ht="15.75" customHeight="1" x14ac:dyDescent="0.3"/>
    <row r="72" ht="15.75" customHeight="1" x14ac:dyDescent="0.3"/>
    <row r="73" ht="15.75" customHeight="1" x14ac:dyDescent="0.3"/>
    <row r="74" ht="15.75" customHeight="1" x14ac:dyDescent="0.3"/>
    <row r="75" ht="15.75" customHeight="1" x14ac:dyDescent="0.3"/>
    <row r="76" ht="15.75" customHeight="1" x14ac:dyDescent="0.3"/>
    <row r="77" ht="15.75" customHeight="1" x14ac:dyDescent="0.3"/>
    <row r="78" ht="15.75" customHeight="1" x14ac:dyDescent="0.3"/>
    <row r="79" ht="15.75" customHeight="1" x14ac:dyDescent="0.3"/>
    <row r="80" ht="15.75" customHeight="1" x14ac:dyDescent="0.3"/>
    <row r="81" ht="15.75" customHeight="1" x14ac:dyDescent="0.3"/>
    <row r="82" ht="15.75" customHeight="1" x14ac:dyDescent="0.3"/>
    <row r="83" ht="15.75" customHeight="1" x14ac:dyDescent="0.3"/>
    <row r="84" ht="15.75" customHeight="1" x14ac:dyDescent="0.3"/>
    <row r="85" ht="15.75" customHeight="1" x14ac:dyDescent="0.3"/>
    <row r="86" ht="15.75" customHeight="1" x14ac:dyDescent="0.3"/>
    <row r="87" ht="15.75" customHeight="1" x14ac:dyDescent="0.3"/>
    <row r="88" ht="15.75" customHeight="1" x14ac:dyDescent="0.3"/>
    <row r="89" ht="15.75" customHeight="1" x14ac:dyDescent="0.3"/>
    <row r="90" ht="15.75" customHeight="1" x14ac:dyDescent="0.3"/>
    <row r="91" ht="15.75" customHeight="1" x14ac:dyDescent="0.3"/>
    <row r="92" ht="15.75" customHeight="1" x14ac:dyDescent="0.3"/>
    <row r="93" ht="15.75" customHeight="1" x14ac:dyDescent="0.3"/>
    <row r="94" ht="15.75" customHeight="1" x14ac:dyDescent="0.3"/>
    <row r="95" ht="15.75" customHeight="1" x14ac:dyDescent="0.3"/>
    <row r="96" ht="15.75" customHeight="1" x14ac:dyDescent="0.3"/>
    <row r="97" ht="15.75" customHeight="1" x14ac:dyDescent="0.3"/>
    <row r="98" ht="15.75" customHeight="1" x14ac:dyDescent="0.3"/>
    <row r="99" ht="15.75" customHeight="1" x14ac:dyDescent="0.3"/>
    <row r="100" ht="15.75" customHeight="1" x14ac:dyDescent="0.3"/>
    <row r="101" ht="15.75" customHeight="1" x14ac:dyDescent="0.3"/>
    <row r="102" ht="15.75" customHeight="1" x14ac:dyDescent="0.3"/>
    <row r="103" ht="15.75" customHeight="1" x14ac:dyDescent="0.3"/>
    <row r="104" ht="15.75" customHeight="1" x14ac:dyDescent="0.3"/>
    <row r="105" ht="15.75" customHeight="1" x14ac:dyDescent="0.3"/>
    <row r="106" ht="15.75" customHeight="1" x14ac:dyDescent="0.3"/>
    <row r="107" ht="15.75" customHeight="1" x14ac:dyDescent="0.3"/>
    <row r="108" ht="15.75" customHeight="1" x14ac:dyDescent="0.3"/>
    <row r="109" ht="15.75" customHeight="1" x14ac:dyDescent="0.3"/>
    <row r="110" ht="15.75" customHeight="1" x14ac:dyDescent="0.3"/>
    <row r="111" ht="15.75" customHeight="1" x14ac:dyDescent="0.3"/>
    <row r="112" ht="15.75" customHeight="1" x14ac:dyDescent="0.3"/>
    <row r="113" ht="15.75" customHeight="1" x14ac:dyDescent="0.3"/>
    <row r="114" ht="15.75" customHeight="1" x14ac:dyDescent="0.3"/>
    <row r="115" ht="15.75" customHeight="1" x14ac:dyDescent="0.3"/>
    <row r="116" ht="15.75" customHeight="1" x14ac:dyDescent="0.3"/>
    <row r="117" ht="15.75" customHeight="1" x14ac:dyDescent="0.3"/>
    <row r="118" ht="15.75" customHeight="1" x14ac:dyDescent="0.3"/>
    <row r="119" ht="15.75" customHeight="1" x14ac:dyDescent="0.3"/>
    <row r="120" ht="15.75" customHeight="1" x14ac:dyDescent="0.3"/>
    <row r="121" ht="15.75" customHeight="1" x14ac:dyDescent="0.3"/>
    <row r="122" ht="15.75" customHeight="1" x14ac:dyDescent="0.3"/>
    <row r="123" ht="15.75" customHeight="1" x14ac:dyDescent="0.3"/>
    <row r="124" ht="15.75" customHeight="1" x14ac:dyDescent="0.3"/>
    <row r="125" ht="15.75" customHeight="1" x14ac:dyDescent="0.3"/>
    <row r="126" ht="15.75" customHeight="1" x14ac:dyDescent="0.3"/>
    <row r="127" ht="15.75" customHeight="1" x14ac:dyDescent="0.3"/>
    <row r="128" ht="15.75" customHeight="1" x14ac:dyDescent="0.3"/>
    <row r="129" ht="15.75" customHeight="1" x14ac:dyDescent="0.3"/>
    <row r="130" ht="15.75" customHeight="1" x14ac:dyDescent="0.3"/>
    <row r="131" ht="15.75" customHeight="1" x14ac:dyDescent="0.3"/>
    <row r="132" ht="15.75" customHeight="1" x14ac:dyDescent="0.3"/>
    <row r="133" ht="15.75" customHeight="1" x14ac:dyDescent="0.3"/>
    <row r="134" ht="15.75" customHeight="1" x14ac:dyDescent="0.3"/>
    <row r="135" ht="15.75" customHeight="1" x14ac:dyDescent="0.3"/>
    <row r="136" ht="15.75" customHeight="1" x14ac:dyDescent="0.3"/>
    <row r="137" ht="15.75" customHeight="1" x14ac:dyDescent="0.3"/>
    <row r="138" ht="15.75" customHeight="1" x14ac:dyDescent="0.3"/>
    <row r="139" ht="15.75" customHeight="1" x14ac:dyDescent="0.3"/>
    <row r="140" ht="15.75" customHeight="1" x14ac:dyDescent="0.3"/>
    <row r="141" ht="15.75" customHeight="1" x14ac:dyDescent="0.3"/>
    <row r="142" ht="15.75" customHeight="1" x14ac:dyDescent="0.3"/>
    <row r="143" ht="15.75" customHeight="1" x14ac:dyDescent="0.3"/>
    <row r="144" ht="15.75" customHeight="1" x14ac:dyDescent="0.3"/>
    <row r="145" ht="15.75" customHeight="1" x14ac:dyDescent="0.3"/>
    <row r="146" ht="15.75" customHeight="1" x14ac:dyDescent="0.3"/>
    <row r="147" ht="15.75" customHeight="1" x14ac:dyDescent="0.3"/>
    <row r="148" ht="15.75" customHeight="1" x14ac:dyDescent="0.3"/>
    <row r="149" ht="15.75" customHeight="1" x14ac:dyDescent="0.3"/>
    <row r="150" ht="15.75" customHeight="1" x14ac:dyDescent="0.3"/>
    <row r="151" ht="15.75" customHeight="1" x14ac:dyDescent="0.3"/>
    <row r="152" ht="15.75" customHeight="1" x14ac:dyDescent="0.3"/>
    <row r="153" ht="15.75" customHeight="1" x14ac:dyDescent="0.3"/>
    <row r="154" ht="15.75" customHeight="1" x14ac:dyDescent="0.3"/>
    <row r="155" ht="15.75" customHeight="1" x14ac:dyDescent="0.3"/>
    <row r="156" ht="15.75" customHeight="1" x14ac:dyDescent="0.3"/>
    <row r="157" ht="15.75" customHeight="1" x14ac:dyDescent="0.3"/>
    <row r="158" ht="15.75" customHeight="1" x14ac:dyDescent="0.3"/>
    <row r="159" ht="15.75" customHeight="1" x14ac:dyDescent="0.3"/>
    <row r="160" ht="15.75" customHeight="1" x14ac:dyDescent="0.3"/>
    <row r="161" ht="15.75" customHeight="1" x14ac:dyDescent="0.3"/>
    <row r="162" ht="15.75" customHeight="1" x14ac:dyDescent="0.3"/>
    <row r="163" ht="15.75" customHeight="1" x14ac:dyDescent="0.3"/>
    <row r="164" ht="15.75" customHeight="1" x14ac:dyDescent="0.3"/>
    <row r="165" ht="15.75" customHeight="1" x14ac:dyDescent="0.3"/>
    <row r="166" ht="15.75" customHeight="1" x14ac:dyDescent="0.3"/>
    <row r="167" ht="15.75" customHeight="1" x14ac:dyDescent="0.3"/>
    <row r="168" ht="15.75" customHeight="1" x14ac:dyDescent="0.3"/>
    <row r="169" ht="15.75" customHeight="1" x14ac:dyDescent="0.3"/>
    <row r="170" ht="15.75" customHeight="1" x14ac:dyDescent="0.3"/>
    <row r="171" ht="15.75" customHeight="1" x14ac:dyDescent="0.3"/>
    <row r="172" ht="15.75" customHeight="1" x14ac:dyDescent="0.3"/>
    <row r="173" ht="15.75" customHeight="1" x14ac:dyDescent="0.3"/>
    <row r="174" ht="15.75" customHeight="1" x14ac:dyDescent="0.3"/>
    <row r="175" ht="15.75" customHeight="1" x14ac:dyDescent="0.3"/>
    <row r="176" ht="15.75" customHeight="1" x14ac:dyDescent="0.3"/>
    <row r="177" ht="15.75" customHeight="1" x14ac:dyDescent="0.3"/>
    <row r="178" ht="15.75" customHeight="1" x14ac:dyDescent="0.3"/>
    <row r="179" ht="15.75" customHeight="1" x14ac:dyDescent="0.3"/>
    <row r="180" ht="15.75" customHeight="1" x14ac:dyDescent="0.3"/>
    <row r="181" ht="15.75" customHeight="1" x14ac:dyDescent="0.3"/>
    <row r="182" ht="15.75" customHeight="1" x14ac:dyDescent="0.3"/>
    <row r="183" ht="15.75" customHeight="1" x14ac:dyDescent="0.3"/>
    <row r="184" ht="15.75" customHeight="1" x14ac:dyDescent="0.3"/>
    <row r="185" ht="15.75" customHeight="1" x14ac:dyDescent="0.3"/>
    <row r="186" ht="15.75" customHeight="1" x14ac:dyDescent="0.3"/>
    <row r="187" ht="15.75" customHeight="1" x14ac:dyDescent="0.3"/>
    <row r="188" ht="15.75" customHeight="1" x14ac:dyDescent="0.3"/>
    <row r="189" ht="15.75" customHeight="1" x14ac:dyDescent="0.3"/>
    <row r="190" ht="15.75" customHeight="1" x14ac:dyDescent="0.3"/>
    <row r="191" ht="15.75" customHeight="1" x14ac:dyDescent="0.3"/>
    <row r="192" ht="15.75" customHeight="1" x14ac:dyDescent="0.3"/>
    <row r="193" ht="15.75" customHeight="1" x14ac:dyDescent="0.3"/>
    <row r="194" ht="15.75" customHeight="1" x14ac:dyDescent="0.3"/>
    <row r="195" ht="15.75" customHeight="1" x14ac:dyDescent="0.3"/>
    <row r="196" ht="15.75" customHeight="1" x14ac:dyDescent="0.3"/>
    <row r="197" ht="15.75" customHeight="1" x14ac:dyDescent="0.3"/>
    <row r="198" ht="15.75" customHeight="1" x14ac:dyDescent="0.3"/>
    <row r="199" ht="15.75" customHeight="1" x14ac:dyDescent="0.3"/>
    <row r="200" ht="15.75" customHeight="1" x14ac:dyDescent="0.3"/>
    <row r="201" ht="15.75" customHeight="1" x14ac:dyDescent="0.3"/>
    <row r="202" ht="15.75" customHeight="1" x14ac:dyDescent="0.3"/>
    <row r="203" ht="15.75" customHeight="1" x14ac:dyDescent="0.3"/>
    <row r="204" ht="15.75" customHeight="1" x14ac:dyDescent="0.3"/>
    <row r="205" ht="15.75" customHeight="1" x14ac:dyDescent="0.3"/>
    <row r="206" ht="15.75" customHeight="1" x14ac:dyDescent="0.3"/>
    <row r="207" ht="15.75" customHeight="1" x14ac:dyDescent="0.3"/>
    <row r="208" ht="15.75" customHeight="1" x14ac:dyDescent="0.3"/>
    <row r="209" ht="15.75" customHeight="1" x14ac:dyDescent="0.3"/>
    <row r="210" ht="15.75" customHeight="1" x14ac:dyDescent="0.3"/>
    <row r="211" ht="15.75" customHeight="1" x14ac:dyDescent="0.3"/>
    <row r="212" ht="15.75" customHeight="1" x14ac:dyDescent="0.3"/>
    <row r="213" ht="15.75" customHeight="1" x14ac:dyDescent="0.3"/>
    <row r="214" ht="15.75" customHeight="1" x14ac:dyDescent="0.3"/>
    <row r="215" ht="15.75" customHeight="1" x14ac:dyDescent="0.3"/>
    <row r="216" ht="15.75" customHeight="1" x14ac:dyDescent="0.3"/>
    <row r="217" ht="15.75" customHeight="1" x14ac:dyDescent="0.3"/>
    <row r="218" ht="15.75" customHeight="1" x14ac:dyDescent="0.3"/>
    <row r="219" ht="15.75" customHeight="1" x14ac:dyDescent="0.3"/>
    <row r="220" ht="15.75" customHeight="1" x14ac:dyDescent="0.3"/>
    <row r="221" ht="15.75" customHeight="1" x14ac:dyDescent="0.3"/>
    <row r="222" ht="15.75" customHeight="1" x14ac:dyDescent="0.3"/>
    <row r="223" ht="15.75" customHeight="1" x14ac:dyDescent="0.3"/>
    <row r="224" ht="15.75" customHeight="1" x14ac:dyDescent="0.3"/>
    <row r="225" ht="15.75" customHeight="1" x14ac:dyDescent="0.3"/>
    <row r="226" ht="15.75" customHeight="1" x14ac:dyDescent="0.3"/>
    <row r="227" ht="15.75" customHeight="1" x14ac:dyDescent="0.3"/>
    <row r="228" ht="15.75" customHeight="1" x14ac:dyDescent="0.3"/>
    <row r="229" ht="15.75" customHeight="1" x14ac:dyDescent="0.3"/>
    <row r="230" ht="15.75" customHeight="1" x14ac:dyDescent="0.3"/>
    <row r="231" ht="15.75" customHeight="1" x14ac:dyDescent="0.3"/>
    <row r="232" ht="15.75" customHeight="1" x14ac:dyDescent="0.3"/>
    <row r="233" ht="15.75" customHeight="1" x14ac:dyDescent="0.3"/>
    <row r="234" ht="15.75" customHeight="1" x14ac:dyDescent="0.3"/>
    <row r="235" ht="15.75" customHeight="1" x14ac:dyDescent="0.3"/>
    <row r="236" ht="15.75" customHeight="1" x14ac:dyDescent="0.3"/>
    <row r="237" ht="15.75" customHeight="1" x14ac:dyDescent="0.3"/>
    <row r="238" ht="15.75" customHeight="1" x14ac:dyDescent="0.3"/>
    <row r="239" ht="15.75" customHeight="1" x14ac:dyDescent="0.3"/>
    <row r="240" ht="15.75" customHeight="1" x14ac:dyDescent="0.3"/>
    <row r="241" ht="15.75" customHeight="1" x14ac:dyDescent="0.3"/>
    <row r="242" ht="15.75" customHeight="1" x14ac:dyDescent="0.3"/>
    <row r="243" ht="15.75" customHeight="1" x14ac:dyDescent="0.3"/>
    <row r="244" ht="15.75" customHeight="1" x14ac:dyDescent="0.3"/>
    <row r="245" ht="15.75" customHeight="1" x14ac:dyDescent="0.3"/>
    <row r="246" ht="15.75" customHeight="1" x14ac:dyDescent="0.3"/>
    <row r="247" ht="15.75" customHeight="1" x14ac:dyDescent="0.3"/>
    <row r="248" ht="15.75" customHeight="1" x14ac:dyDescent="0.3"/>
    <row r="249" ht="15.75" customHeight="1" x14ac:dyDescent="0.3"/>
    <row r="250" ht="15.75" customHeight="1" x14ac:dyDescent="0.3"/>
    <row r="251" ht="15.75" customHeight="1" x14ac:dyDescent="0.3"/>
    <row r="252" ht="15.75" customHeight="1" x14ac:dyDescent="0.3"/>
    <row r="253" ht="15.75" customHeight="1" x14ac:dyDescent="0.3"/>
    <row r="254" ht="15.75" customHeight="1" x14ac:dyDescent="0.3"/>
    <row r="255" ht="15.75" customHeight="1" x14ac:dyDescent="0.3"/>
    <row r="256" ht="15.75" customHeight="1" x14ac:dyDescent="0.3"/>
    <row r="257" ht="15.75" customHeight="1" x14ac:dyDescent="0.3"/>
    <row r="258" ht="15.75" customHeight="1" x14ac:dyDescent="0.3"/>
    <row r="259" ht="15.75" customHeight="1" x14ac:dyDescent="0.3"/>
    <row r="260" ht="15.75" customHeight="1" x14ac:dyDescent="0.3"/>
    <row r="261" ht="15.75" customHeight="1" x14ac:dyDescent="0.3"/>
    <row r="262" ht="15.75" customHeight="1" x14ac:dyDescent="0.3"/>
    <row r="263" ht="15.75" customHeight="1" x14ac:dyDescent="0.3"/>
    <row r="264" ht="15.75" customHeight="1" x14ac:dyDescent="0.3"/>
    <row r="265" ht="15.75" customHeight="1" x14ac:dyDescent="0.3"/>
    <row r="266" ht="15.75" customHeight="1" x14ac:dyDescent="0.3"/>
    <row r="267" ht="15.75" customHeight="1" x14ac:dyDescent="0.3"/>
    <row r="268" ht="15.75" customHeight="1" x14ac:dyDescent="0.3"/>
    <row r="269" ht="15.75" customHeight="1" x14ac:dyDescent="0.3"/>
    <row r="270" ht="15.75" customHeight="1" x14ac:dyDescent="0.3"/>
    <row r="271" ht="15.75" customHeight="1" x14ac:dyDescent="0.3"/>
    <row r="272" ht="15.75" customHeight="1" x14ac:dyDescent="0.3"/>
    <row r="273" ht="15.75" customHeight="1" x14ac:dyDescent="0.3"/>
    <row r="274" ht="15.75" customHeight="1" x14ac:dyDescent="0.3"/>
    <row r="275" ht="15.75" customHeight="1" x14ac:dyDescent="0.3"/>
    <row r="276" ht="15.75" customHeight="1" x14ac:dyDescent="0.3"/>
    <row r="277" ht="15.75" customHeight="1" x14ac:dyDescent="0.3"/>
    <row r="278" ht="15.75" customHeight="1" x14ac:dyDescent="0.3"/>
    <row r="279" ht="15.75" customHeight="1" x14ac:dyDescent="0.3"/>
    <row r="280" ht="15.75" customHeight="1" x14ac:dyDescent="0.3"/>
    <row r="281" ht="15.75" customHeight="1" x14ac:dyDescent="0.3"/>
    <row r="282" ht="15.75" customHeight="1" x14ac:dyDescent="0.3"/>
    <row r="283" ht="15.75" customHeight="1" x14ac:dyDescent="0.3"/>
    <row r="284" ht="15.75" customHeight="1" x14ac:dyDescent="0.3"/>
    <row r="285" ht="15.75" customHeight="1" x14ac:dyDescent="0.3"/>
    <row r="286" ht="15.75" customHeight="1" x14ac:dyDescent="0.3"/>
    <row r="287" ht="15.75" customHeight="1" x14ac:dyDescent="0.3"/>
    <row r="288" ht="15.75" customHeight="1" x14ac:dyDescent="0.3"/>
    <row r="289" ht="15.75" customHeight="1" x14ac:dyDescent="0.3"/>
    <row r="290" ht="15.75" customHeight="1" x14ac:dyDescent="0.3"/>
    <row r="291" ht="15.75" customHeight="1" x14ac:dyDescent="0.3"/>
    <row r="292" ht="15.75" customHeight="1" x14ac:dyDescent="0.3"/>
    <row r="293" ht="15.75" customHeight="1" x14ac:dyDescent="0.3"/>
    <row r="294" ht="15.75" customHeight="1" x14ac:dyDescent="0.3"/>
    <row r="295" ht="15.75" customHeight="1" x14ac:dyDescent="0.3"/>
    <row r="296" ht="15.75" customHeight="1" x14ac:dyDescent="0.3"/>
    <row r="297" ht="15.75" customHeight="1" x14ac:dyDescent="0.3"/>
    <row r="298" ht="15.75" customHeight="1" x14ac:dyDescent="0.3"/>
    <row r="299" ht="15.75" customHeight="1" x14ac:dyDescent="0.3"/>
    <row r="300" ht="15.75" customHeight="1" x14ac:dyDescent="0.3"/>
    <row r="301" ht="15.75" customHeight="1" x14ac:dyDescent="0.3"/>
    <row r="302" ht="15.75" customHeight="1" x14ac:dyDescent="0.3"/>
    <row r="303" ht="15.75" customHeight="1" x14ac:dyDescent="0.3"/>
    <row r="304" ht="15.75" customHeight="1" x14ac:dyDescent="0.3"/>
    <row r="305" ht="15.75" customHeight="1" x14ac:dyDescent="0.3"/>
    <row r="306" ht="15.75" customHeight="1" x14ac:dyDescent="0.3"/>
    <row r="307" ht="15.75" customHeight="1" x14ac:dyDescent="0.3"/>
    <row r="308" ht="15.75" customHeight="1" x14ac:dyDescent="0.3"/>
    <row r="309" ht="15.75" customHeight="1" x14ac:dyDescent="0.3"/>
    <row r="310" ht="15.75" customHeight="1" x14ac:dyDescent="0.3"/>
    <row r="311" ht="15.75" customHeight="1" x14ac:dyDescent="0.3"/>
    <row r="312" ht="15.75" customHeight="1" x14ac:dyDescent="0.3"/>
    <row r="313" ht="15.75" customHeight="1" x14ac:dyDescent="0.3"/>
    <row r="314" ht="15.75" customHeight="1" x14ac:dyDescent="0.3"/>
    <row r="315" ht="15.75" customHeight="1" x14ac:dyDescent="0.3"/>
    <row r="316" ht="15.75" customHeight="1" x14ac:dyDescent="0.3"/>
    <row r="317" ht="15.75" customHeight="1" x14ac:dyDescent="0.3"/>
    <row r="318" ht="15.75" customHeight="1" x14ac:dyDescent="0.3"/>
    <row r="319" ht="15.75" customHeight="1" x14ac:dyDescent="0.3"/>
    <row r="320" ht="15.75" customHeight="1" x14ac:dyDescent="0.3"/>
    <row r="321" ht="15.75" customHeight="1" x14ac:dyDescent="0.3"/>
    <row r="322" ht="15.75" customHeight="1" x14ac:dyDescent="0.3"/>
    <row r="323" ht="15.75" customHeight="1" x14ac:dyDescent="0.3"/>
    <row r="324" ht="15.75" customHeight="1" x14ac:dyDescent="0.3"/>
    <row r="325" ht="15.75" customHeight="1" x14ac:dyDescent="0.3"/>
    <row r="326" ht="15.75" customHeight="1" x14ac:dyDescent="0.3"/>
    <row r="327" ht="15.75" customHeight="1" x14ac:dyDescent="0.3"/>
    <row r="328" ht="15.75" customHeight="1" x14ac:dyDescent="0.3"/>
    <row r="329" ht="15.75" customHeight="1" x14ac:dyDescent="0.3"/>
    <row r="330" ht="15.75" customHeight="1" x14ac:dyDescent="0.3"/>
    <row r="331" ht="15.75" customHeight="1" x14ac:dyDescent="0.3"/>
    <row r="332" ht="15.75" customHeight="1" x14ac:dyDescent="0.3"/>
    <row r="333" ht="15.75" customHeight="1" x14ac:dyDescent="0.3"/>
    <row r="334" ht="15.75" customHeight="1" x14ac:dyDescent="0.3"/>
    <row r="335" ht="15.75" customHeight="1" x14ac:dyDescent="0.3"/>
    <row r="336" ht="15.75" customHeight="1" x14ac:dyDescent="0.3"/>
    <row r="337" ht="15.75" customHeight="1" x14ac:dyDescent="0.3"/>
    <row r="338" ht="15.75" customHeight="1" x14ac:dyDescent="0.3"/>
    <row r="339" ht="15.75" customHeight="1" x14ac:dyDescent="0.3"/>
    <row r="340" ht="15.75" customHeight="1" x14ac:dyDescent="0.3"/>
    <row r="341" ht="15.75" customHeight="1" x14ac:dyDescent="0.3"/>
    <row r="342" ht="15.75" customHeight="1" x14ac:dyDescent="0.3"/>
    <row r="343" ht="15.75" customHeight="1" x14ac:dyDescent="0.3"/>
    <row r="344" ht="15.75" customHeight="1" x14ac:dyDescent="0.3"/>
    <row r="345" ht="15.75" customHeight="1" x14ac:dyDescent="0.3"/>
    <row r="346" ht="15.75" customHeight="1" x14ac:dyDescent="0.3"/>
    <row r="347" ht="15.75" customHeight="1" x14ac:dyDescent="0.3"/>
    <row r="348" ht="15.75" customHeight="1" x14ac:dyDescent="0.3"/>
    <row r="349" ht="15.75" customHeight="1" x14ac:dyDescent="0.3"/>
    <row r="350" ht="15.75" customHeight="1" x14ac:dyDescent="0.3"/>
    <row r="351" ht="15.75" customHeight="1" x14ac:dyDescent="0.3"/>
    <row r="352" ht="15.75" customHeight="1" x14ac:dyDescent="0.3"/>
    <row r="353" ht="15.75" customHeight="1" x14ac:dyDescent="0.3"/>
    <row r="354" ht="15.75" customHeight="1" x14ac:dyDescent="0.3"/>
    <row r="355" ht="15.75" customHeight="1" x14ac:dyDescent="0.3"/>
    <row r="356" ht="15.75" customHeight="1" x14ac:dyDescent="0.3"/>
    <row r="357" ht="15.75" customHeight="1" x14ac:dyDescent="0.3"/>
    <row r="358" ht="15.75" customHeight="1" x14ac:dyDescent="0.3"/>
    <row r="359" ht="15.75" customHeight="1" x14ac:dyDescent="0.3"/>
    <row r="360" ht="15.75" customHeight="1" x14ac:dyDescent="0.3"/>
    <row r="361" ht="15.75" customHeight="1" x14ac:dyDescent="0.3"/>
    <row r="362" ht="15.75" customHeight="1" x14ac:dyDescent="0.3"/>
    <row r="363" ht="15.75" customHeight="1" x14ac:dyDescent="0.3"/>
    <row r="364" ht="15.75" customHeight="1" x14ac:dyDescent="0.3"/>
    <row r="365" ht="15.75" customHeight="1" x14ac:dyDescent="0.3"/>
    <row r="366" ht="15.75" customHeight="1" x14ac:dyDescent="0.3"/>
    <row r="367" ht="15.75" customHeight="1" x14ac:dyDescent="0.3"/>
    <row r="368" ht="15.75" customHeight="1" x14ac:dyDescent="0.3"/>
    <row r="369" ht="15.75" customHeight="1" x14ac:dyDescent="0.3"/>
    <row r="370" ht="15.75" customHeight="1" x14ac:dyDescent="0.3"/>
    <row r="371" ht="15.75" customHeight="1" x14ac:dyDescent="0.3"/>
    <row r="372" ht="15.75" customHeight="1" x14ac:dyDescent="0.3"/>
    <row r="373" ht="15.75" customHeight="1" x14ac:dyDescent="0.3"/>
    <row r="374" ht="15.75" customHeight="1" x14ac:dyDescent="0.3"/>
    <row r="375" ht="15.75" customHeight="1" x14ac:dyDescent="0.3"/>
    <row r="376" ht="15.75" customHeight="1" x14ac:dyDescent="0.3"/>
    <row r="377" ht="15.75" customHeight="1" x14ac:dyDescent="0.3"/>
    <row r="378" ht="15.75" customHeight="1" x14ac:dyDescent="0.3"/>
    <row r="379" ht="15.75" customHeight="1" x14ac:dyDescent="0.3"/>
    <row r="380" ht="15.75" customHeight="1" x14ac:dyDescent="0.3"/>
    <row r="381" ht="15.75" customHeight="1" x14ac:dyDescent="0.3"/>
    <row r="382" ht="15.75" customHeight="1" x14ac:dyDescent="0.3"/>
    <row r="383" ht="15.75" customHeight="1" x14ac:dyDescent="0.3"/>
    <row r="384" ht="15.75" customHeight="1" x14ac:dyDescent="0.3"/>
    <row r="385" ht="15.75" customHeight="1" x14ac:dyDescent="0.3"/>
    <row r="386" ht="15.75" customHeight="1" x14ac:dyDescent="0.3"/>
    <row r="387" ht="15.75" customHeight="1" x14ac:dyDescent="0.3"/>
    <row r="388" ht="15.75" customHeight="1" x14ac:dyDescent="0.3"/>
    <row r="389" ht="15.75" customHeight="1" x14ac:dyDescent="0.3"/>
    <row r="390" ht="15.75" customHeight="1" x14ac:dyDescent="0.3"/>
    <row r="391" ht="15.75" customHeight="1" x14ac:dyDescent="0.3"/>
    <row r="392" ht="15.75" customHeight="1" x14ac:dyDescent="0.3"/>
    <row r="393" ht="15.75" customHeight="1" x14ac:dyDescent="0.3"/>
    <row r="394" ht="15.75" customHeight="1" x14ac:dyDescent="0.3"/>
    <row r="395" ht="15.75" customHeight="1" x14ac:dyDescent="0.3"/>
    <row r="396" ht="15.75" customHeight="1" x14ac:dyDescent="0.3"/>
    <row r="397" ht="15.75" customHeight="1" x14ac:dyDescent="0.3"/>
    <row r="398" ht="15.75" customHeight="1" x14ac:dyDescent="0.3"/>
    <row r="399" ht="15.75" customHeight="1" x14ac:dyDescent="0.3"/>
    <row r="400" ht="15.75" customHeight="1" x14ac:dyDescent="0.3"/>
    <row r="401" ht="15.75" customHeight="1" x14ac:dyDescent="0.3"/>
    <row r="402" ht="15.75" customHeight="1" x14ac:dyDescent="0.3"/>
    <row r="403" ht="15.75" customHeight="1" x14ac:dyDescent="0.3"/>
    <row r="404" ht="15.75" customHeight="1" x14ac:dyDescent="0.3"/>
    <row r="405" ht="15.75" customHeight="1" x14ac:dyDescent="0.3"/>
    <row r="406" ht="15.75" customHeight="1" x14ac:dyDescent="0.3"/>
    <row r="407" ht="15.75" customHeight="1" x14ac:dyDescent="0.3"/>
    <row r="408" ht="15.75" customHeight="1" x14ac:dyDescent="0.3"/>
    <row r="409" ht="15.75" customHeight="1" x14ac:dyDescent="0.3"/>
    <row r="410" ht="15.75" customHeight="1" x14ac:dyDescent="0.3"/>
    <row r="411" ht="15.75" customHeight="1" x14ac:dyDescent="0.3"/>
    <row r="412" ht="15.75" customHeight="1" x14ac:dyDescent="0.3"/>
    <row r="413" ht="15.75" customHeight="1" x14ac:dyDescent="0.3"/>
    <row r="414" ht="15.75" customHeight="1" x14ac:dyDescent="0.3"/>
    <row r="415" ht="15.75" customHeight="1" x14ac:dyDescent="0.3"/>
    <row r="416" ht="15.75" customHeight="1" x14ac:dyDescent="0.3"/>
    <row r="417" ht="15.75" customHeight="1" x14ac:dyDescent="0.3"/>
    <row r="418" ht="15.75" customHeight="1" x14ac:dyDescent="0.3"/>
    <row r="419" ht="15.75" customHeight="1" x14ac:dyDescent="0.3"/>
    <row r="420" ht="15.75" customHeight="1" x14ac:dyDescent="0.3"/>
    <row r="421" ht="15.75" customHeight="1" x14ac:dyDescent="0.3"/>
    <row r="422" ht="15.75" customHeight="1" x14ac:dyDescent="0.3"/>
    <row r="423" ht="15.75" customHeight="1" x14ac:dyDescent="0.3"/>
    <row r="424" ht="15.75" customHeight="1" x14ac:dyDescent="0.3"/>
    <row r="425" ht="15.75" customHeight="1" x14ac:dyDescent="0.3"/>
    <row r="426" ht="15.75" customHeight="1" x14ac:dyDescent="0.3"/>
    <row r="427" ht="15.75" customHeight="1" x14ac:dyDescent="0.3"/>
    <row r="428" ht="15.75" customHeight="1" x14ac:dyDescent="0.3"/>
    <row r="429" ht="15.75" customHeight="1" x14ac:dyDescent="0.3"/>
    <row r="430" ht="15.75" customHeight="1" x14ac:dyDescent="0.3"/>
    <row r="431" ht="15.75" customHeight="1" x14ac:dyDescent="0.3"/>
    <row r="432" ht="15.75" customHeight="1" x14ac:dyDescent="0.3"/>
    <row r="433" ht="15.75" customHeight="1" x14ac:dyDescent="0.3"/>
    <row r="434" ht="15.75" customHeight="1" x14ac:dyDescent="0.3"/>
    <row r="435" ht="15.75" customHeight="1" x14ac:dyDescent="0.3"/>
    <row r="436" ht="15.75" customHeight="1" x14ac:dyDescent="0.3"/>
    <row r="437" ht="15.75" customHeight="1" x14ac:dyDescent="0.3"/>
    <row r="438" ht="15.75" customHeight="1" x14ac:dyDescent="0.3"/>
    <row r="439" ht="15.75" customHeight="1" x14ac:dyDescent="0.3"/>
    <row r="440" ht="15.75" customHeight="1" x14ac:dyDescent="0.3"/>
    <row r="441" ht="15.75" customHeight="1" x14ac:dyDescent="0.3"/>
    <row r="442" ht="15.75" customHeight="1" x14ac:dyDescent="0.3"/>
    <row r="443" ht="15.75" customHeight="1" x14ac:dyDescent="0.3"/>
    <row r="444" ht="15.75" customHeight="1" x14ac:dyDescent="0.3"/>
    <row r="445" ht="15.75" customHeight="1" x14ac:dyDescent="0.3"/>
    <row r="446" ht="15.75" customHeight="1" x14ac:dyDescent="0.3"/>
    <row r="447" ht="15.75" customHeight="1" x14ac:dyDescent="0.3"/>
    <row r="448" ht="15.75" customHeight="1" x14ac:dyDescent="0.3"/>
    <row r="449" ht="15.75" customHeight="1" x14ac:dyDescent="0.3"/>
    <row r="450" ht="15.75" customHeight="1" x14ac:dyDescent="0.3"/>
    <row r="451" ht="15.75" customHeight="1" x14ac:dyDescent="0.3"/>
    <row r="452" ht="15.75" customHeight="1" x14ac:dyDescent="0.3"/>
    <row r="453" ht="15.75" customHeight="1" x14ac:dyDescent="0.3"/>
    <row r="454" ht="15.75" customHeight="1" x14ac:dyDescent="0.3"/>
    <row r="455" ht="15.75" customHeight="1" x14ac:dyDescent="0.3"/>
    <row r="456" ht="15.75" customHeight="1" x14ac:dyDescent="0.3"/>
    <row r="457" ht="15.75" customHeight="1" x14ac:dyDescent="0.3"/>
    <row r="458" ht="15.75" customHeight="1" x14ac:dyDescent="0.3"/>
    <row r="459" ht="15.75" customHeight="1" x14ac:dyDescent="0.3"/>
    <row r="460" ht="15.75" customHeight="1" x14ac:dyDescent="0.3"/>
    <row r="461" ht="15.75" customHeight="1" x14ac:dyDescent="0.3"/>
    <row r="462" ht="15.75" customHeight="1" x14ac:dyDescent="0.3"/>
    <row r="463" ht="15.75" customHeight="1" x14ac:dyDescent="0.3"/>
    <row r="464" ht="15.75" customHeight="1" x14ac:dyDescent="0.3"/>
    <row r="465" ht="15.75" customHeight="1" x14ac:dyDescent="0.3"/>
    <row r="466" ht="15.75" customHeight="1" x14ac:dyDescent="0.3"/>
    <row r="467" ht="15.75" customHeight="1" x14ac:dyDescent="0.3"/>
    <row r="468" ht="15.75" customHeight="1" x14ac:dyDescent="0.3"/>
    <row r="469" ht="15.75" customHeight="1" x14ac:dyDescent="0.3"/>
    <row r="470" ht="15.75" customHeight="1" x14ac:dyDescent="0.3"/>
    <row r="471" ht="15.75" customHeight="1" x14ac:dyDescent="0.3"/>
    <row r="472" ht="15.75" customHeight="1" x14ac:dyDescent="0.3"/>
    <row r="473" ht="15.75" customHeight="1" x14ac:dyDescent="0.3"/>
    <row r="474" ht="15.75" customHeight="1" x14ac:dyDescent="0.3"/>
    <row r="475" ht="15.75" customHeight="1" x14ac:dyDescent="0.3"/>
    <row r="476" ht="15.75" customHeight="1" x14ac:dyDescent="0.3"/>
    <row r="477" ht="15.75" customHeight="1" x14ac:dyDescent="0.3"/>
    <row r="478" ht="15.75" customHeight="1" x14ac:dyDescent="0.3"/>
    <row r="479" ht="15.75" customHeight="1" x14ac:dyDescent="0.3"/>
    <row r="480" ht="15.75" customHeight="1" x14ac:dyDescent="0.3"/>
    <row r="481" ht="15.75" customHeight="1" x14ac:dyDescent="0.3"/>
    <row r="482" ht="15.75" customHeight="1" x14ac:dyDescent="0.3"/>
    <row r="483" ht="15.75" customHeight="1" x14ac:dyDescent="0.3"/>
    <row r="484" ht="15.75" customHeight="1" x14ac:dyDescent="0.3"/>
    <row r="485" ht="15.75" customHeight="1" x14ac:dyDescent="0.3"/>
    <row r="486" ht="15.75" customHeight="1" x14ac:dyDescent="0.3"/>
    <row r="487" ht="15.75" customHeight="1" x14ac:dyDescent="0.3"/>
    <row r="488" ht="15.75" customHeight="1" x14ac:dyDescent="0.3"/>
    <row r="489" ht="15.75" customHeight="1" x14ac:dyDescent="0.3"/>
    <row r="490" ht="15.75" customHeight="1" x14ac:dyDescent="0.3"/>
    <row r="491" ht="15.75" customHeight="1" x14ac:dyDescent="0.3"/>
    <row r="492" ht="15.75" customHeight="1" x14ac:dyDescent="0.3"/>
    <row r="493" ht="15.75" customHeight="1" x14ac:dyDescent="0.3"/>
    <row r="494" ht="15.75" customHeight="1" x14ac:dyDescent="0.3"/>
    <row r="495" ht="15.75" customHeight="1" x14ac:dyDescent="0.3"/>
    <row r="496" ht="15.75" customHeight="1" x14ac:dyDescent="0.3"/>
    <row r="497" ht="15.75" customHeight="1" x14ac:dyDescent="0.3"/>
    <row r="498" ht="15.75" customHeight="1" x14ac:dyDescent="0.3"/>
    <row r="499" ht="15.75" customHeight="1" x14ac:dyDescent="0.3"/>
    <row r="500" ht="15.75" customHeight="1" x14ac:dyDescent="0.3"/>
    <row r="501" ht="15.75" customHeight="1" x14ac:dyDescent="0.3"/>
    <row r="502" ht="15.75" customHeight="1" x14ac:dyDescent="0.3"/>
    <row r="503" ht="15.75" customHeight="1" x14ac:dyDescent="0.3"/>
    <row r="504" ht="15.75" customHeight="1" x14ac:dyDescent="0.3"/>
    <row r="505" ht="15.75" customHeight="1" x14ac:dyDescent="0.3"/>
    <row r="506" ht="15.75" customHeight="1" x14ac:dyDescent="0.3"/>
    <row r="507" ht="15.75" customHeight="1" x14ac:dyDescent="0.3"/>
    <row r="508" ht="15.75" customHeight="1" x14ac:dyDescent="0.3"/>
    <row r="509" ht="15.75" customHeight="1" x14ac:dyDescent="0.3"/>
    <row r="510" ht="15.75" customHeight="1" x14ac:dyDescent="0.3"/>
    <row r="511" ht="15.75" customHeight="1" x14ac:dyDescent="0.3"/>
    <row r="512" ht="15.75" customHeight="1" x14ac:dyDescent="0.3"/>
    <row r="513" ht="15.75" customHeight="1" x14ac:dyDescent="0.3"/>
    <row r="514" ht="15.75" customHeight="1" x14ac:dyDescent="0.3"/>
    <row r="515" ht="15.75" customHeight="1" x14ac:dyDescent="0.3"/>
    <row r="516" ht="15.75" customHeight="1" x14ac:dyDescent="0.3"/>
    <row r="517" ht="15.75" customHeight="1" x14ac:dyDescent="0.3"/>
    <row r="518" ht="15.75" customHeight="1" x14ac:dyDescent="0.3"/>
    <row r="519" ht="15.75" customHeight="1" x14ac:dyDescent="0.3"/>
    <row r="520" ht="15.75" customHeight="1" x14ac:dyDescent="0.3"/>
    <row r="521" ht="15.75" customHeight="1" x14ac:dyDescent="0.3"/>
    <row r="522" ht="15.75" customHeight="1" x14ac:dyDescent="0.3"/>
    <row r="523" ht="15.75" customHeight="1" x14ac:dyDescent="0.3"/>
    <row r="524" ht="15.75" customHeight="1" x14ac:dyDescent="0.3"/>
    <row r="525" ht="15.75" customHeight="1" x14ac:dyDescent="0.3"/>
    <row r="526" ht="15.75" customHeight="1" x14ac:dyDescent="0.3"/>
    <row r="527" ht="15.75" customHeight="1" x14ac:dyDescent="0.3"/>
    <row r="528" ht="15.75" customHeight="1" x14ac:dyDescent="0.3"/>
    <row r="529" ht="15.75" customHeight="1" x14ac:dyDescent="0.3"/>
    <row r="530" ht="15.75" customHeight="1" x14ac:dyDescent="0.3"/>
    <row r="531" ht="15.75" customHeight="1" x14ac:dyDescent="0.3"/>
    <row r="532" ht="15.75" customHeight="1" x14ac:dyDescent="0.3"/>
    <row r="533" ht="15.75" customHeight="1" x14ac:dyDescent="0.3"/>
    <row r="534" ht="15.75" customHeight="1" x14ac:dyDescent="0.3"/>
    <row r="535" ht="15.75" customHeight="1" x14ac:dyDescent="0.3"/>
    <row r="536" ht="15.75" customHeight="1" x14ac:dyDescent="0.3"/>
    <row r="537" ht="15.75" customHeight="1" x14ac:dyDescent="0.3"/>
    <row r="538" ht="15.75" customHeight="1" x14ac:dyDescent="0.3"/>
    <row r="539" ht="15.75" customHeight="1" x14ac:dyDescent="0.3"/>
    <row r="540" ht="15.75" customHeight="1" x14ac:dyDescent="0.3"/>
    <row r="541" ht="15.75" customHeight="1" x14ac:dyDescent="0.3"/>
    <row r="542" ht="15.75" customHeight="1" x14ac:dyDescent="0.3"/>
    <row r="543" ht="15.75" customHeight="1" x14ac:dyDescent="0.3"/>
    <row r="544" ht="15.75" customHeight="1" x14ac:dyDescent="0.3"/>
    <row r="545" ht="15.75" customHeight="1" x14ac:dyDescent="0.3"/>
    <row r="546" ht="15.75" customHeight="1" x14ac:dyDescent="0.3"/>
    <row r="547" ht="15.75" customHeight="1" x14ac:dyDescent="0.3"/>
    <row r="548" ht="15.75" customHeight="1" x14ac:dyDescent="0.3"/>
    <row r="549" ht="15.75" customHeight="1" x14ac:dyDescent="0.3"/>
    <row r="550" ht="15.75" customHeight="1" x14ac:dyDescent="0.3"/>
    <row r="551" ht="15.75" customHeight="1" x14ac:dyDescent="0.3"/>
    <row r="552" ht="15.75" customHeight="1" x14ac:dyDescent="0.3"/>
    <row r="553" ht="15.75" customHeight="1" x14ac:dyDescent="0.3"/>
    <row r="554" ht="15.75" customHeight="1" x14ac:dyDescent="0.3"/>
    <row r="555" ht="15.75" customHeight="1" x14ac:dyDescent="0.3"/>
    <row r="556" ht="15.75" customHeight="1" x14ac:dyDescent="0.3"/>
    <row r="557" ht="15.75" customHeight="1" x14ac:dyDescent="0.3"/>
    <row r="558" ht="15.75" customHeight="1" x14ac:dyDescent="0.3"/>
    <row r="559" ht="15.75" customHeight="1" x14ac:dyDescent="0.3"/>
    <row r="560" ht="15.75" customHeight="1" x14ac:dyDescent="0.3"/>
    <row r="561" ht="15.75" customHeight="1" x14ac:dyDescent="0.3"/>
    <row r="562" ht="15.75" customHeight="1" x14ac:dyDescent="0.3"/>
    <row r="563" ht="15.75" customHeight="1" x14ac:dyDescent="0.3"/>
    <row r="564" ht="15.75" customHeight="1" x14ac:dyDescent="0.3"/>
    <row r="565" ht="15.75" customHeight="1" x14ac:dyDescent="0.3"/>
    <row r="566" ht="15.75" customHeight="1" x14ac:dyDescent="0.3"/>
    <row r="567" ht="15.75" customHeight="1" x14ac:dyDescent="0.3"/>
    <row r="568" ht="15.75" customHeight="1" x14ac:dyDescent="0.3"/>
    <row r="569" ht="15.75" customHeight="1" x14ac:dyDescent="0.3"/>
    <row r="570" ht="15.75" customHeight="1" x14ac:dyDescent="0.3"/>
    <row r="571" ht="15.75" customHeight="1" x14ac:dyDescent="0.3"/>
    <row r="572" ht="15.75" customHeight="1" x14ac:dyDescent="0.3"/>
    <row r="573" ht="15.75" customHeight="1" x14ac:dyDescent="0.3"/>
    <row r="574" ht="15.75" customHeight="1" x14ac:dyDescent="0.3"/>
    <row r="575" ht="15.75" customHeight="1" x14ac:dyDescent="0.3"/>
    <row r="576" ht="15.75" customHeight="1" x14ac:dyDescent="0.3"/>
    <row r="577" ht="15.75" customHeight="1" x14ac:dyDescent="0.3"/>
    <row r="578" ht="15.75" customHeight="1" x14ac:dyDescent="0.3"/>
    <row r="579" ht="15.75" customHeight="1" x14ac:dyDescent="0.3"/>
    <row r="580" ht="15.75" customHeight="1" x14ac:dyDescent="0.3"/>
    <row r="581" ht="15.75" customHeight="1" x14ac:dyDescent="0.3"/>
    <row r="582" ht="15.75" customHeight="1" x14ac:dyDescent="0.3"/>
    <row r="583" ht="15.75" customHeight="1" x14ac:dyDescent="0.3"/>
    <row r="584" ht="15.75" customHeight="1" x14ac:dyDescent="0.3"/>
    <row r="585" ht="15.75" customHeight="1" x14ac:dyDescent="0.3"/>
    <row r="586" ht="15.75" customHeight="1" x14ac:dyDescent="0.3"/>
    <row r="587" ht="15.75" customHeight="1" x14ac:dyDescent="0.3"/>
    <row r="588" ht="15.75" customHeight="1" x14ac:dyDescent="0.3"/>
    <row r="589" ht="15.75" customHeight="1" x14ac:dyDescent="0.3"/>
    <row r="590" ht="15.75" customHeight="1" x14ac:dyDescent="0.3"/>
    <row r="591" ht="15.75" customHeight="1" x14ac:dyDescent="0.3"/>
    <row r="592" ht="15.75" customHeight="1" x14ac:dyDescent="0.3"/>
    <row r="593" ht="15.75" customHeight="1" x14ac:dyDescent="0.3"/>
    <row r="594" ht="15.75" customHeight="1" x14ac:dyDescent="0.3"/>
    <row r="595" ht="15.75" customHeight="1" x14ac:dyDescent="0.3"/>
    <row r="596" ht="15.75" customHeight="1" x14ac:dyDescent="0.3"/>
    <row r="597" ht="15.75" customHeight="1" x14ac:dyDescent="0.3"/>
    <row r="598" ht="15.75" customHeight="1" x14ac:dyDescent="0.3"/>
    <row r="599" ht="15.75" customHeight="1" x14ac:dyDescent="0.3"/>
    <row r="600" ht="15.75" customHeight="1" x14ac:dyDescent="0.3"/>
    <row r="601" ht="15.75" customHeight="1" x14ac:dyDescent="0.3"/>
    <row r="602" ht="15.75" customHeight="1" x14ac:dyDescent="0.3"/>
    <row r="603" ht="15.75" customHeight="1" x14ac:dyDescent="0.3"/>
    <row r="604" ht="15.75" customHeight="1" x14ac:dyDescent="0.3"/>
    <row r="605" ht="15.75" customHeight="1" x14ac:dyDescent="0.3"/>
    <row r="606" ht="15.75" customHeight="1" x14ac:dyDescent="0.3"/>
    <row r="607" ht="15.75" customHeight="1" x14ac:dyDescent="0.3"/>
    <row r="608" ht="15.75" customHeight="1" x14ac:dyDescent="0.3"/>
    <row r="609" ht="15.75" customHeight="1" x14ac:dyDescent="0.3"/>
    <row r="610" ht="15.75" customHeight="1" x14ac:dyDescent="0.3"/>
    <row r="611" ht="15.75" customHeight="1" x14ac:dyDescent="0.3"/>
    <row r="612" ht="15.75" customHeight="1" x14ac:dyDescent="0.3"/>
    <row r="613" ht="15.75" customHeight="1" x14ac:dyDescent="0.3"/>
    <row r="614" ht="15.75" customHeight="1" x14ac:dyDescent="0.3"/>
    <row r="615" ht="15.75" customHeight="1" x14ac:dyDescent="0.3"/>
    <row r="616" ht="15.75" customHeight="1" x14ac:dyDescent="0.3"/>
    <row r="617" ht="15.75" customHeight="1" x14ac:dyDescent="0.3"/>
    <row r="618" ht="15.75" customHeight="1" x14ac:dyDescent="0.3"/>
    <row r="619" ht="15.75" customHeight="1" x14ac:dyDescent="0.3"/>
    <row r="620" ht="15.75" customHeight="1" x14ac:dyDescent="0.3"/>
    <row r="621" ht="15.75" customHeight="1" x14ac:dyDescent="0.3"/>
    <row r="622" ht="15.75" customHeight="1" x14ac:dyDescent="0.3"/>
    <row r="623" ht="15.75" customHeight="1" x14ac:dyDescent="0.3"/>
    <row r="624" ht="15.75" customHeight="1" x14ac:dyDescent="0.3"/>
    <row r="625" ht="15.75" customHeight="1" x14ac:dyDescent="0.3"/>
    <row r="626" ht="15.75" customHeight="1" x14ac:dyDescent="0.3"/>
    <row r="627" ht="15.75" customHeight="1" x14ac:dyDescent="0.3"/>
    <row r="628" ht="15.75" customHeight="1" x14ac:dyDescent="0.3"/>
    <row r="629" ht="15.75" customHeight="1" x14ac:dyDescent="0.3"/>
    <row r="630" ht="15.75" customHeight="1" x14ac:dyDescent="0.3"/>
    <row r="631" ht="15.75" customHeight="1" x14ac:dyDescent="0.3"/>
    <row r="632" ht="15.75" customHeight="1" x14ac:dyDescent="0.3"/>
    <row r="633" ht="15.75" customHeight="1" x14ac:dyDescent="0.3"/>
    <row r="634" ht="15.75" customHeight="1" x14ac:dyDescent="0.3"/>
    <row r="635" ht="15.75" customHeight="1" x14ac:dyDescent="0.3"/>
    <row r="636" ht="15.75" customHeight="1" x14ac:dyDescent="0.3"/>
    <row r="637" ht="15.75" customHeight="1" x14ac:dyDescent="0.3"/>
    <row r="638" ht="15.75" customHeight="1" x14ac:dyDescent="0.3"/>
    <row r="639" ht="15.75" customHeight="1" x14ac:dyDescent="0.3"/>
    <row r="640" ht="15.75" customHeight="1" x14ac:dyDescent="0.3"/>
    <row r="641" ht="15.75" customHeight="1" x14ac:dyDescent="0.3"/>
    <row r="642" ht="15.75" customHeight="1" x14ac:dyDescent="0.3"/>
    <row r="643" ht="15.75" customHeight="1" x14ac:dyDescent="0.3"/>
    <row r="644" ht="15.75" customHeight="1" x14ac:dyDescent="0.3"/>
    <row r="645" ht="15.75" customHeight="1" x14ac:dyDescent="0.3"/>
    <row r="646" ht="15.75" customHeight="1" x14ac:dyDescent="0.3"/>
    <row r="647" ht="15.75" customHeight="1" x14ac:dyDescent="0.3"/>
    <row r="648" ht="15.75" customHeight="1" x14ac:dyDescent="0.3"/>
    <row r="649" ht="15.75" customHeight="1" x14ac:dyDescent="0.3"/>
    <row r="650" ht="15.75" customHeight="1" x14ac:dyDescent="0.3"/>
    <row r="651" ht="15.75" customHeight="1" x14ac:dyDescent="0.3"/>
    <row r="652" ht="15.75" customHeight="1" x14ac:dyDescent="0.3"/>
    <row r="653" ht="15.75" customHeight="1" x14ac:dyDescent="0.3"/>
    <row r="654" ht="15.75" customHeight="1" x14ac:dyDescent="0.3"/>
    <row r="655" ht="15.75" customHeight="1" x14ac:dyDescent="0.3"/>
    <row r="656" ht="15.75" customHeight="1" x14ac:dyDescent="0.3"/>
    <row r="657" ht="15.75" customHeight="1" x14ac:dyDescent="0.3"/>
    <row r="658" ht="15.75" customHeight="1" x14ac:dyDescent="0.3"/>
    <row r="659" ht="15.75" customHeight="1" x14ac:dyDescent="0.3"/>
    <row r="660" ht="15.75" customHeight="1" x14ac:dyDescent="0.3"/>
    <row r="661" ht="15.75" customHeight="1" x14ac:dyDescent="0.3"/>
    <row r="662" ht="15.75" customHeight="1" x14ac:dyDescent="0.3"/>
    <row r="663" ht="15.75" customHeight="1" x14ac:dyDescent="0.3"/>
    <row r="664" ht="15.75" customHeight="1" x14ac:dyDescent="0.3"/>
    <row r="665" ht="15.75" customHeight="1" x14ac:dyDescent="0.3"/>
    <row r="666" ht="15.75" customHeight="1" x14ac:dyDescent="0.3"/>
    <row r="667" ht="15.75" customHeight="1" x14ac:dyDescent="0.3"/>
    <row r="668" ht="15.75" customHeight="1" x14ac:dyDescent="0.3"/>
    <row r="669" ht="15.75" customHeight="1" x14ac:dyDescent="0.3"/>
    <row r="670" ht="15.75" customHeight="1" x14ac:dyDescent="0.3"/>
    <row r="671" ht="15.75" customHeight="1" x14ac:dyDescent="0.3"/>
    <row r="672" ht="15.75" customHeight="1" x14ac:dyDescent="0.3"/>
    <row r="673" ht="15.75" customHeight="1" x14ac:dyDescent="0.3"/>
    <row r="674" ht="15.75" customHeight="1" x14ac:dyDescent="0.3"/>
    <row r="675" ht="15.75" customHeight="1" x14ac:dyDescent="0.3"/>
    <row r="676" ht="15.75" customHeight="1" x14ac:dyDescent="0.3"/>
    <row r="677" ht="15.75" customHeight="1" x14ac:dyDescent="0.3"/>
    <row r="678" ht="15.75" customHeight="1" x14ac:dyDescent="0.3"/>
    <row r="679" ht="15.75" customHeight="1" x14ac:dyDescent="0.3"/>
    <row r="680" ht="15.75" customHeight="1" x14ac:dyDescent="0.3"/>
    <row r="681" ht="15.75" customHeight="1" x14ac:dyDescent="0.3"/>
    <row r="682" ht="15.75" customHeight="1" x14ac:dyDescent="0.3"/>
    <row r="683" ht="15.75" customHeight="1" x14ac:dyDescent="0.3"/>
    <row r="684" ht="15.75" customHeight="1" x14ac:dyDescent="0.3"/>
    <row r="685" ht="15.75" customHeight="1" x14ac:dyDescent="0.3"/>
    <row r="686" ht="15.75" customHeight="1" x14ac:dyDescent="0.3"/>
    <row r="687" ht="15.75" customHeight="1" x14ac:dyDescent="0.3"/>
    <row r="688" ht="15.75" customHeight="1" x14ac:dyDescent="0.3"/>
    <row r="689" ht="15.75" customHeight="1" x14ac:dyDescent="0.3"/>
    <row r="690" ht="15.75" customHeight="1" x14ac:dyDescent="0.3"/>
    <row r="691" ht="15.75" customHeight="1" x14ac:dyDescent="0.3"/>
    <row r="692" ht="15.75" customHeight="1" x14ac:dyDescent="0.3"/>
    <row r="693" ht="15.75" customHeight="1" x14ac:dyDescent="0.3"/>
    <row r="694" ht="15.75" customHeight="1" x14ac:dyDescent="0.3"/>
    <row r="695" ht="15.75" customHeight="1" x14ac:dyDescent="0.3"/>
    <row r="696" ht="15.75" customHeight="1" x14ac:dyDescent="0.3"/>
    <row r="697" ht="15.75" customHeight="1" x14ac:dyDescent="0.3"/>
    <row r="698" ht="15.75" customHeight="1" x14ac:dyDescent="0.3"/>
    <row r="699" ht="15.75" customHeight="1" x14ac:dyDescent="0.3"/>
    <row r="700" ht="15.75" customHeight="1" x14ac:dyDescent="0.3"/>
    <row r="701" ht="15.75" customHeight="1" x14ac:dyDescent="0.3"/>
    <row r="702" ht="15.75" customHeight="1" x14ac:dyDescent="0.3"/>
    <row r="703" ht="15.75" customHeight="1" x14ac:dyDescent="0.3"/>
    <row r="704" ht="15.75" customHeight="1" x14ac:dyDescent="0.3"/>
    <row r="705" ht="15.75" customHeight="1" x14ac:dyDescent="0.3"/>
    <row r="706" ht="15.75" customHeight="1" x14ac:dyDescent="0.3"/>
    <row r="707" ht="15.75" customHeight="1" x14ac:dyDescent="0.3"/>
    <row r="708" ht="15.75" customHeight="1" x14ac:dyDescent="0.3"/>
    <row r="709" ht="15.75" customHeight="1" x14ac:dyDescent="0.3"/>
    <row r="710" ht="15.75" customHeight="1" x14ac:dyDescent="0.3"/>
    <row r="711" ht="15.75" customHeight="1" x14ac:dyDescent="0.3"/>
    <row r="712" ht="15.75" customHeight="1" x14ac:dyDescent="0.3"/>
    <row r="713" ht="15.75" customHeight="1" x14ac:dyDescent="0.3"/>
    <row r="714" ht="15.75" customHeight="1" x14ac:dyDescent="0.3"/>
    <row r="715" ht="15.75" customHeight="1" x14ac:dyDescent="0.3"/>
    <row r="716" ht="15.75" customHeight="1" x14ac:dyDescent="0.3"/>
    <row r="717" ht="15.75" customHeight="1" x14ac:dyDescent="0.3"/>
    <row r="718" ht="15.75" customHeight="1" x14ac:dyDescent="0.3"/>
    <row r="719" ht="15.75" customHeight="1" x14ac:dyDescent="0.3"/>
    <row r="720" ht="15.75" customHeight="1" x14ac:dyDescent="0.3"/>
    <row r="721" ht="15.75" customHeight="1" x14ac:dyDescent="0.3"/>
    <row r="722" ht="15.75" customHeight="1" x14ac:dyDescent="0.3"/>
    <row r="723" ht="15.75" customHeight="1" x14ac:dyDescent="0.3"/>
    <row r="724" ht="15.75" customHeight="1" x14ac:dyDescent="0.3"/>
    <row r="725" ht="15.75" customHeight="1" x14ac:dyDescent="0.3"/>
    <row r="726" ht="15.75" customHeight="1" x14ac:dyDescent="0.3"/>
    <row r="727" ht="15.75" customHeight="1" x14ac:dyDescent="0.3"/>
    <row r="728" ht="15.75" customHeight="1" x14ac:dyDescent="0.3"/>
    <row r="729" ht="15.75" customHeight="1" x14ac:dyDescent="0.3"/>
    <row r="730" ht="15.75" customHeight="1" x14ac:dyDescent="0.3"/>
    <row r="731" ht="15.75" customHeight="1" x14ac:dyDescent="0.3"/>
    <row r="732" ht="15.75" customHeight="1" x14ac:dyDescent="0.3"/>
    <row r="733" ht="15.75" customHeight="1" x14ac:dyDescent="0.3"/>
    <row r="734" ht="15.75" customHeight="1" x14ac:dyDescent="0.3"/>
    <row r="735" ht="15.75" customHeight="1" x14ac:dyDescent="0.3"/>
    <row r="736" ht="15.75" customHeight="1" x14ac:dyDescent="0.3"/>
    <row r="737" ht="15.75" customHeight="1" x14ac:dyDescent="0.3"/>
    <row r="738" ht="15.75" customHeight="1" x14ac:dyDescent="0.3"/>
    <row r="739" ht="15.75" customHeight="1" x14ac:dyDescent="0.3"/>
    <row r="740" ht="15.75" customHeight="1" x14ac:dyDescent="0.3"/>
    <row r="741" ht="15.75" customHeight="1" x14ac:dyDescent="0.3"/>
    <row r="742" ht="15.75" customHeight="1" x14ac:dyDescent="0.3"/>
    <row r="743" ht="15.75" customHeight="1" x14ac:dyDescent="0.3"/>
    <row r="744" ht="15.75" customHeight="1" x14ac:dyDescent="0.3"/>
    <row r="745" ht="15.75" customHeight="1" x14ac:dyDescent="0.3"/>
    <row r="746" ht="15.75" customHeight="1" x14ac:dyDescent="0.3"/>
    <row r="747" ht="15.75" customHeight="1" x14ac:dyDescent="0.3"/>
    <row r="748" ht="15.75" customHeight="1" x14ac:dyDescent="0.3"/>
    <row r="749" ht="15.75" customHeight="1" x14ac:dyDescent="0.3"/>
    <row r="750" ht="15.75" customHeight="1" x14ac:dyDescent="0.3"/>
    <row r="751" ht="15.75" customHeight="1" x14ac:dyDescent="0.3"/>
    <row r="752" ht="15.75" customHeight="1" x14ac:dyDescent="0.3"/>
    <row r="753" ht="15.75" customHeight="1" x14ac:dyDescent="0.3"/>
    <row r="754" ht="15.75" customHeight="1" x14ac:dyDescent="0.3"/>
    <row r="755" ht="15.75" customHeight="1" x14ac:dyDescent="0.3"/>
    <row r="756" ht="15.75" customHeight="1" x14ac:dyDescent="0.3"/>
    <row r="757" ht="15.75" customHeight="1" x14ac:dyDescent="0.3"/>
    <row r="758" ht="15.75" customHeight="1" x14ac:dyDescent="0.3"/>
    <row r="759" ht="15.75" customHeight="1" x14ac:dyDescent="0.3"/>
    <row r="760" ht="15.75" customHeight="1" x14ac:dyDescent="0.3"/>
    <row r="761" ht="15.75" customHeight="1" x14ac:dyDescent="0.3"/>
    <row r="762" ht="15.75" customHeight="1" x14ac:dyDescent="0.3"/>
    <row r="763" ht="15.75" customHeight="1" x14ac:dyDescent="0.3"/>
    <row r="764" ht="15.75" customHeight="1" x14ac:dyDescent="0.3"/>
    <row r="765" ht="15.75" customHeight="1" x14ac:dyDescent="0.3"/>
    <row r="766" ht="15.75" customHeight="1" x14ac:dyDescent="0.3"/>
    <row r="767" ht="15.75" customHeight="1" x14ac:dyDescent="0.3"/>
    <row r="768" ht="15.75" customHeight="1" x14ac:dyDescent="0.3"/>
    <row r="769" ht="15.75" customHeight="1" x14ac:dyDescent="0.3"/>
    <row r="770" ht="15.75" customHeight="1" x14ac:dyDescent="0.3"/>
    <row r="771" ht="15.75" customHeight="1" x14ac:dyDescent="0.3"/>
    <row r="772" ht="15.75" customHeight="1" x14ac:dyDescent="0.3"/>
    <row r="773" ht="15.75" customHeight="1" x14ac:dyDescent="0.3"/>
    <row r="774" ht="15.75" customHeight="1" x14ac:dyDescent="0.3"/>
    <row r="775" ht="15.75" customHeight="1" x14ac:dyDescent="0.3"/>
    <row r="776" ht="15.75" customHeight="1" x14ac:dyDescent="0.3"/>
    <row r="777" ht="15.75" customHeight="1" x14ac:dyDescent="0.3"/>
    <row r="778" ht="15.75" customHeight="1" x14ac:dyDescent="0.3"/>
    <row r="779" ht="15.75" customHeight="1" x14ac:dyDescent="0.3"/>
    <row r="780" ht="15.75" customHeight="1" x14ac:dyDescent="0.3"/>
    <row r="781" ht="15.75" customHeight="1" x14ac:dyDescent="0.3"/>
    <row r="782" ht="15.75" customHeight="1" x14ac:dyDescent="0.3"/>
    <row r="783" ht="15.75" customHeight="1" x14ac:dyDescent="0.3"/>
    <row r="784" ht="15.75" customHeight="1" x14ac:dyDescent="0.3"/>
    <row r="785" ht="15.75" customHeight="1" x14ac:dyDescent="0.3"/>
    <row r="786" ht="15.75" customHeight="1" x14ac:dyDescent="0.3"/>
    <row r="787" ht="15.75" customHeight="1" x14ac:dyDescent="0.3"/>
    <row r="788" ht="15.75" customHeight="1" x14ac:dyDescent="0.3"/>
    <row r="789" ht="15.75" customHeight="1" x14ac:dyDescent="0.3"/>
    <row r="790" ht="15.75" customHeight="1" x14ac:dyDescent="0.3"/>
    <row r="791" ht="15.75" customHeight="1" x14ac:dyDescent="0.3"/>
    <row r="792" ht="15.75" customHeight="1" x14ac:dyDescent="0.3"/>
    <row r="793" ht="15.75" customHeight="1" x14ac:dyDescent="0.3"/>
    <row r="794" ht="15.75" customHeight="1" x14ac:dyDescent="0.3"/>
    <row r="795" ht="15.75" customHeight="1" x14ac:dyDescent="0.3"/>
    <row r="796" ht="15.75" customHeight="1" x14ac:dyDescent="0.3"/>
    <row r="797" ht="15.75" customHeight="1" x14ac:dyDescent="0.3"/>
    <row r="798" ht="15.75" customHeight="1" x14ac:dyDescent="0.3"/>
    <row r="799" ht="15.75" customHeight="1" x14ac:dyDescent="0.3"/>
    <row r="800" ht="15.75" customHeight="1" x14ac:dyDescent="0.3"/>
    <row r="801" ht="15.75" customHeight="1" x14ac:dyDescent="0.3"/>
    <row r="802" ht="15.75" customHeight="1" x14ac:dyDescent="0.3"/>
    <row r="803" ht="15.75" customHeight="1" x14ac:dyDescent="0.3"/>
    <row r="804" ht="15.75" customHeight="1" x14ac:dyDescent="0.3"/>
    <row r="805" ht="15.75" customHeight="1" x14ac:dyDescent="0.3"/>
    <row r="806" ht="15.75" customHeight="1" x14ac:dyDescent="0.3"/>
    <row r="807" ht="15.75" customHeight="1" x14ac:dyDescent="0.3"/>
    <row r="808" ht="15.75" customHeight="1" x14ac:dyDescent="0.3"/>
    <row r="809" ht="15.75" customHeight="1" x14ac:dyDescent="0.3"/>
    <row r="810" ht="15.75" customHeight="1" x14ac:dyDescent="0.3"/>
    <row r="811" ht="15.75" customHeight="1" x14ac:dyDescent="0.3"/>
    <row r="812" ht="15.75" customHeight="1" x14ac:dyDescent="0.3"/>
    <row r="813" ht="15.75" customHeight="1" x14ac:dyDescent="0.3"/>
    <row r="814" ht="15.75" customHeight="1" x14ac:dyDescent="0.3"/>
    <row r="815" ht="15.75" customHeight="1" x14ac:dyDescent="0.3"/>
    <row r="816" ht="15.75" customHeight="1" x14ac:dyDescent="0.3"/>
    <row r="817" ht="15.75" customHeight="1" x14ac:dyDescent="0.3"/>
    <row r="818" ht="15.75" customHeight="1" x14ac:dyDescent="0.3"/>
    <row r="819" ht="15.75" customHeight="1" x14ac:dyDescent="0.3"/>
    <row r="820" ht="15.75" customHeight="1" x14ac:dyDescent="0.3"/>
    <row r="821" ht="15.75" customHeight="1" x14ac:dyDescent="0.3"/>
    <row r="822" ht="15.75" customHeight="1" x14ac:dyDescent="0.3"/>
    <row r="823" ht="15.75" customHeight="1" x14ac:dyDescent="0.3"/>
    <row r="824" ht="15.75" customHeight="1" x14ac:dyDescent="0.3"/>
    <row r="825" ht="15.75" customHeight="1" x14ac:dyDescent="0.3"/>
    <row r="826" ht="15.75" customHeight="1" x14ac:dyDescent="0.3"/>
    <row r="827" ht="15.75" customHeight="1" x14ac:dyDescent="0.3"/>
    <row r="828" ht="15.75" customHeight="1" x14ac:dyDescent="0.3"/>
    <row r="829" ht="15.75" customHeight="1" x14ac:dyDescent="0.3"/>
    <row r="830" ht="15.75" customHeight="1" x14ac:dyDescent="0.3"/>
    <row r="831" ht="15.75" customHeight="1" x14ac:dyDescent="0.3"/>
    <row r="832" ht="15.75" customHeight="1" x14ac:dyDescent="0.3"/>
    <row r="833" ht="15.75" customHeight="1" x14ac:dyDescent="0.3"/>
    <row r="834" ht="15.75" customHeight="1" x14ac:dyDescent="0.3"/>
    <row r="835" ht="15.75" customHeight="1" x14ac:dyDescent="0.3"/>
    <row r="836" ht="15.75" customHeight="1" x14ac:dyDescent="0.3"/>
    <row r="837" ht="15.75" customHeight="1" x14ac:dyDescent="0.3"/>
    <row r="838" ht="15.75" customHeight="1" x14ac:dyDescent="0.3"/>
    <row r="839" ht="15.75" customHeight="1" x14ac:dyDescent="0.3"/>
    <row r="840" ht="15.75" customHeight="1" x14ac:dyDescent="0.3"/>
    <row r="841" ht="15.75" customHeight="1" x14ac:dyDescent="0.3"/>
    <row r="842" ht="15.75" customHeight="1" x14ac:dyDescent="0.3"/>
    <row r="843" ht="15.75" customHeight="1" x14ac:dyDescent="0.3"/>
    <row r="844" ht="15.75" customHeight="1" x14ac:dyDescent="0.3"/>
    <row r="845" ht="15.75" customHeight="1" x14ac:dyDescent="0.3"/>
    <row r="846" ht="15.75" customHeight="1" x14ac:dyDescent="0.3"/>
    <row r="847" ht="15.75" customHeight="1" x14ac:dyDescent="0.3"/>
    <row r="848" ht="15.75" customHeight="1" x14ac:dyDescent="0.3"/>
    <row r="849" ht="15.75" customHeight="1" x14ac:dyDescent="0.3"/>
    <row r="850" ht="15.75" customHeight="1" x14ac:dyDescent="0.3"/>
    <row r="851" ht="15.75" customHeight="1" x14ac:dyDescent="0.3"/>
    <row r="852" ht="15.75" customHeight="1" x14ac:dyDescent="0.3"/>
    <row r="853" ht="15.75" customHeight="1" x14ac:dyDescent="0.3"/>
    <row r="854" ht="15.75" customHeight="1" x14ac:dyDescent="0.3"/>
    <row r="855" ht="15.75" customHeight="1" x14ac:dyDescent="0.3"/>
    <row r="856" ht="15.75" customHeight="1" x14ac:dyDescent="0.3"/>
    <row r="857" ht="15.75" customHeight="1" x14ac:dyDescent="0.3"/>
    <row r="858" ht="15.75" customHeight="1" x14ac:dyDescent="0.3"/>
    <row r="859" ht="15.75" customHeight="1" x14ac:dyDescent="0.3"/>
    <row r="860" ht="15.75" customHeight="1" x14ac:dyDescent="0.3"/>
    <row r="861" ht="15.75" customHeight="1" x14ac:dyDescent="0.3"/>
    <row r="862" ht="15.75" customHeight="1" x14ac:dyDescent="0.3"/>
    <row r="863" ht="15.75" customHeight="1" x14ac:dyDescent="0.3"/>
    <row r="864" ht="15.75" customHeight="1" x14ac:dyDescent="0.3"/>
    <row r="865" ht="15.75" customHeight="1" x14ac:dyDescent="0.3"/>
    <row r="866" ht="15.75" customHeight="1" x14ac:dyDescent="0.3"/>
    <row r="867" ht="15.75" customHeight="1" x14ac:dyDescent="0.3"/>
    <row r="868" ht="15.75" customHeight="1" x14ac:dyDescent="0.3"/>
    <row r="869" ht="15.75" customHeight="1" x14ac:dyDescent="0.3"/>
    <row r="870" ht="15.75" customHeight="1" x14ac:dyDescent="0.3"/>
    <row r="871" ht="15.75" customHeight="1" x14ac:dyDescent="0.3"/>
    <row r="872" ht="15.75" customHeight="1" x14ac:dyDescent="0.3"/>
    <row r="873" ht="15.75" customHeight="1" x14ac:dyDescent="0.3"/>
    <row r="874" ht="15.75" customHeight="1" x14ac:dyDescent="0.3"/>
    <row r="875" ht="15.75" customHeight="1" x14ac:dyDescent="0.3"/>
    <row r="876" ht="15.75" customHeight="1" x14ac:dyDescent="0.3"/>
    <row r="877" ht="15.75" customHeight="1" x14ac:dyDescent="0.3"/>
    <row r="878" ht="15.75" customHeight="1" x14ac:dyDescent="0.3"/>
    <row r="879" ht="15.75" customHeight="1" x14ac:dyDescent="0.3"/>
    <row r="880" ht="15.75" customHeight="1" x14ac:dyDescent="0.3"/>
    <row r="881" ht="15.75" customHeight="1" x14ac:dyDescent="0.3"/>
    <row r="882" ht="15.75" customHeight="1" x14ac:dyDescent="0.3"/>
    <row r="883" ht="15.75" customHeight="1" x14ac:dyDescent="0.3"/>
    <row r="884" ht="15.75" customHeight="1" x14ac:dyDescent="0.3"/>
    <row r="885" ht="15.75" customHeight="1" x14ac:dyDescent="0.3"/>
    <row r="886" ht="15.75" customHeight="1" x14ac:dyDescent="0.3"/>
    <row r="887" ht="15.75" customHeight="1" x14ac:dyDescent="0.3"/>
    <row r="888" ht="15.75" customHeight="1" x14ac:dyDescent="0.3"/>
    <row r="889" ht="15.75" customHeight="1" x14ac:dyDescent="0.3"/>
    <row r="890" ht="15.75" customHeight="1" x14ac:dyDescent="0.3"/>
    <row r="891" ht="15.75" customHeight="1" x14ac:dyDescent="0.3"/>
    <row r="892" ht="15.75" customHeight="1" x14ac:dyDescent="0.3"/>
    <row r="893" ht="15.75" customHeight="1" x14ac:dyDescent="0.3"/>
    <row r="894" ht="15.75" customHeight="1" x14ac:dyDescent="0.3"/>
    <row r="895" ht="15.75" customHeight="1" x14ac:dyDescent="0.3"/>
    <row r="896" ht="15.75" customHeight="1" x14ac:dyDescent="0.3"/>
    <row r="897" ht="15.75" customHeight="1" x14ac:dyDescent="0.3"/>
    <row r="898" ht="15.75" customHeight="1" x14ac:dyDescent="0.3"/>
    <row r="899" ht="15.75" customHeight="1" x14ac:dyDescent="0.3"/>
    <row r="900" ht="15.75" customHeight="1" x14ac:dyDescent="0.3"/>
    <row r="901" ht="15.75" customHeight="1" x14ac:dyDescent="0.3"/>
    <row r="902" ht="15.75" customHeight="1" x14ac:dyDescent="0.3"/>
    <row r="903" ht="15.75" customHeight="1" x14ac:dyDescent="0.3"/>
    <row r="904" ht="15.75" customHeight="1" x14ac:dyDescent="0.3"/>
    <row r="905" ht="15.75" customHeight="1" x14ac:dyDescent="0.3"/>
    <row r="906" ht="15.75" customHeight="1" x14ac:dyDescent="0.3"/>
    <row r="907" ht="15.75" customHeight="1" x14ac:dyDescent="0.3"/>
    <row r="908" ht="15.75" customHeight="1" x14ac:dyDescent="0.3"/>
    <row r="909" ht="15.75" customHeight="1" x14ac:dyDescent="0.3"/>
    <row r="910" ht="15.75" customHeight="1" x14ac:dyDescent="0.3"/>
    <row r="911" ht="15.75" customHeight="1" x14ac:dyDescent="0.3"/>
    <row r="912" ht="15.75" customHeight="1" x14ac:dyDescent="0.3"/>
    <row r="913" ht="15.75" customHeight="1" x14ac:dyDescent="0.3"/>
    <row r="914" ht="15.75" customHeight="1" x14ac:dyDescent="0.3"/>
    <row r="915" ht="15.75" customHeight="1" x14ac:dyDescent="0.3"/>
    <row r="916" ht="15.75" customHeight="1" x14ac:dyDescent="0.3"/>
    <row r="917" ht="15.75" customHeight="1" x14ac:dyDescent="0.3"/>
    <row r="918" ht="15.75" customHeight="1" x14ac:dyDescent="0.3"/>
    <row r="919" ht="15.75" customHeight="1" x14ac:dyDescent="0.3"/>
    <row r="920" ht="15.75" customHeight="1" x14ac:dyDescent="0.3"/>
    <row r="921" ht="15.75" customHeight="1" x14ac:dyDescent="0.3"/>
    <row r="922" ht="15.75" customHeight="1" x14ac:dyDescent="0.3"/>
    <row r="923" ht="15.75" customHeight="1" x14ac:dyDescent="0.3"/>
    <row r="924" ht="15.75" customHeight="1" x14ac:dyDescent="0.3"/>
    <row r="925" ht="15.75" customHeight="1" x14ac:dyDescent="0.3"/>
    <row r="926" ht="15.75" customHeight="1" x14ac:dyDescent="0.3"/>
    <row r="927" ht="15.75" customHeight="1" x14ac:dyDescent="0.3"/>
    <row r="928" ht="15.75" customHeight="1" x14ac:dyDescent="0.3"/>
    <row r="929" ht="15.75" customHeight="1" x14ac:dyDescent="0.3"/>
    <row r="930" ht="15.75" customHeight="1" x14ac:dyDescent="0.3"/>
    <row r="931" ht="15.75" customHeight="1" x14ac:dyDescent="0.3"/>
    <row r="932" ht="15.75" customHeight="1" x14ac:dyDescent="0.3"/>
    <row r="933" ht="15.75" customHeight="1" x14ac:dyDescent="0.3"/>
    <row r="934" ht="15.75" customHeight="1" x14ac:dyDescent="0.3"/>
    <row r="935" ht="15.75" customHeight="1" x14ac:dyDescent="0.3"/>
    <row r="936" ht="15.75" customHeight="1" x14ac:dyDescent="0.3"/>
    <row r="937" ht="15.75" customHeight="1" x14ac:dyDescent="0.3"/>
    <row r="938" ht="15.75" customHeight="1" x14ac:dyDescent="0.3"/>
    <row r="939" ht="15.75" customHeight="1" x14ac:dyDescent="0.3"/>
    <row r="940" ht="15.75" customHeight="1" x14ac:dyDescent="0.3"/>
    <row r="941" ht="15.75" customHeight="1" x14ac:dyDescent="0.3"/>
    <row r="942" ht="15.75" customHeight="1" x14ac:dyDescent="0.3"/>
    <row r="943" ht="15.75" customHeight="1" x14ac:dyDescent="0.3"/>
    <row r="944" ht="15.75" customHeight="1" x14ac:dyDescent="0.3"/>
    <row r="945" ht="15.75" customHeight="1" x14ac:dyDescent="0.3"/>
    <row r="946" ht="15.75" customHeight="1" x14ac:dyDescent="0.3"/>
    <row r="947" ht="15.75" customHeight="1" x14ac:dyDescent="0.3"/>
    <row r="948" ht="15.75" customHeight="1" x14ac:dyDescent="0.3"/>
    <row r="949" ht="15.75" customHeight="1" x14ac:dyDescent="0.3"/>
    <row r="950" ht="15.75" customHeight="1" x14ac:dyDescent="0.3"/>
    <row r="951" ht="15.75" customHeight="1" x14ac:dyDescent="0.3"/>
    <row r="952" ht="15.75" customHeight="1" x14ac:dyDescent="0.3"/>
    <row r="953" ht="15.75" customHeight="1" x14ac:dyDescent="0.3"/>
    <row r="954" ht="15.75" customHeight="1" x14ac:dyDescent="0.3"/>
    <row r="955" ht="15.75" customHeight="1" x14ac:dyDescent="0.3"/>
    <row r="956" ht="15.75" customHeight="1" x14ac:dyDescent="0.3"/>
    <row r="957" ht="15.75" customHeight="1" x14ac:dyDescent="0.3"/>
    <row r="958" ht="15.75" customHeight="1" x14ac:dyDescent="0.3"/>
    <row r="959" ht="15.75" customHeight="1" x14ac:dyDescent="0.3"/>
    <row r="960" ht="15.75" customHeight="1" x14ac:dyDescent="0.3"/>
    <row r="961" ht="15.75" customHeight="1" x14ac:dyDescent="0.3"/>
    <row r="962" ht="15.75" customHeight="1" x14ac:dyDescent="0.3"/>
    <row r="963" ht="15.75" customHeight="1" x14ac:dyDescent="0.3"/>
    <row r="964" ht="15.75" customHeight="1" x14ac:dyDescent="0.3"/>
    <row r="965" ht="15.75" customHeight="1" x14ac:dyDescent="0.3"/>
    <row r="966" ht="15.75" customHeight="1" x14ac:dyDescent="0.3"/>
    <row r="967" ht="15.75" customHeight="1" x14ac:dyDescent="0.3"/>
    <row r="968" ht="15.75" customHeight="1" x14ac:dyDescent="0.3"/>
    <row r="969" ht="15.75" customHeight="1" x14ac:dyDescent="0.3"/>
    <row r="970" ht="15.75" customHeight="1" x14ac:dyDescent="0.3"/>
    <row r="971" ht="15.75" customHeight="1" x14ac:dyDescent="0.3"/>
    <row r="972" ht="15.75" customHeight="1" x14ac:dyDescent="0.3"/>
    <row r="973" ht="15.75" customHeight="1" x14ac:dyDescent="0.3"/>
    <row r="974" ht="15.75" customHeight="1" x14ac:dyDescent="0.3"/>
    <row r="975" ht="15.75" customHeight="1" x14ac:dyDescent="0.3"/>
    <row r="976" ht="15.75" customHeight="1" x14ac:dyDescent="0.3"/>
    <row r="977" ht="15.75" customHeight="1" x14ac:dyDescent="0.3"/>
    <row r="978" ht="15.75" customHeight="1" x14ac:dyDescent="0.3"/>
    <row r="979" ht="15.75" customHeight="1" x14ac:dyDescent="0.3"/>
    <row r="980" ht="15.75" customHeight="1" x14ac:dyDescent="0.3"/>
    <row r="981" ht="15.75" customHeight="1" x14ac:dyDescent="0.3"/>
    <row r="982" ht="15.75" customHeight="1" x14ac:dyDescent="0.3"/>
    <row r="983" ht="15.75" customHeight="1" x14ac:dyDescent="0.3"/>
    <row r="984" ht="15.75" customHeight="1" x14ac:dyDescent="0.3"/>
    <row r="985" ht="15.75" customHeight="1" x14ac:dyDescent="0.3"/>
    <row r="986" ht="15.75" customHeight="1" x14ac:dyDescent="0.3"/>
    <row r="987" ht="15.75" customHeight="1" x14ac:dyDescent="0.3"/>
    <row r="988" ht="15.75" customHeight="1" x14ac:dyDescent="0.3"/>
    <row r="989" ht="15.75" customHeight="1" x14ac:dyDescent="0.3"/>
    <row r="990" ht="15.75" customHeight="1" x14ac:dyDescent="0.3"/>
    <row r="991" ht="15.75" customHeight="1" x14ac:dyDescent="0.3"/>
    <row r="992" ht="15.75" customHeight="1" x14ac:dyDescent="0.3"/>
    <row r="993" ht="15.75" customHeight="1" x14ac:dyDescent="0.3"/>
    <row r="994" ht="15.75" customHeight="1" x14ac:dyDescent="0.3"/>
    <row r="995" ht="15.75" customHeight="1" x14ac:dyDescent="0.3"/>
    <row r="996" ht="15.75" customHeight="1" x14ac:dyDescent="0.3"/>
    <row r="997" ht="15.75" customHeight="1" x14ac:dyDescent="0.3"/>
    <row r="998" ht="15.75" customHeight="1" x14ac:dyDescent="0.3"/>
    <row r="999" ht="15.75" customHeight="1" x14ac:dyDescent="0.3"/>
    <row r="1000" ht="15.75" customHeight="1" x14ac:dyDescent="0.3"/>
  </sheetData>
  <mergeCells count="5">
    <mergeCell ref="D1:E1"/>
    <mergeCell ref="F1:G1"/>
    <mergeCell ref="H1:I1"/>
    <mergeCell ref="J1:K1"/>
    <mergeCell ref="O1:P1"/>
  </mergeCells>
  <pageMargins left="0.7" right="0.7" top="0.75" bottom="0.75" header="0" footer="0"/>
  <pageSetup orientation="portrait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dimension ref="A1:N6250"/>
  <sheetViews>
    <sheetView workbookViewId="0">
      <pane ySplit="4" topLeftCell="A5" activePane="bottomLeft" state="frozen"/>
      <selection pane="bottomLeft" activeCell="B6" sqref="B6"/>
    </sheetView>
  </sheetViews>
  <sheetFormatPr defaultColWidth="14.44140625" defaultRowHeight="15" customHeight="1" x14ac:dyDescent="0.3"/>
  <cols>
    <col min="1" max="1" width="14.5546875" customWidth="1"/>
    <col min="2" max="2" width="12.33203125" customWidth="1"/>
    <col min="3" max="4" width="10.44140625" customWidth="1"/>
    <col min="5" max="5" width="12.109375" customWidth="1"/>
    <col min="6" max="6" width="14.6640625" customWidth="1"/>
    <col min="7" max="7" width="3.5546875" customWidth="1"/>
    <col min="8" max="8" width="5.44140625" customWidth="1"/>
    <col min="9" max="9" width="20.5546875" customWidth="1"/>
    <col min="10" max="10" width="9.109375" customWidth="1"/>
    <col min="11" max="11" width="18.44140625" customWidth="1"/>
    <col min="12" max="12" width="20.5546875" customWidth="1"/>
    <col min="13" max="13" width="5.109375" customWidth="1"/>
    <col min="14" max="14" width="14.6640625" customWidth="1"/>
  </cols>
  <sheetData>
    <row r="1" spans="1:14" ht="11.25" customHeight="1" x14ac:dyDescent="0.3">
      <c r="A1" s="459" t="s">
        <v>657</v>
      </c>
      <c r="B1" s="444">
        <f ca="1">'Combined Retirement'!E8+'Combined Retirement'!G8</f>
        <v>3284145.3005785057</v>
      </c>
      <c r="C1" s="446"/>
      <c r="D1" s="446"/>
      <c r="E1" s="446"/>
      <c r="F1" s="446"/>
      <c r="G1" s="459"/>
      <c r="H1" s="459"/>
      <c r="I1" s="431"/>
      <c r="J1" s="431"/>
      <c r="K1" s="431"/>
      <c r="L1" s="431"/>
      <c r="M1" s="462"/>
      <c r="N1" s="431"/>
    </row>
    <row r="2" spans="1:14" ht="11.25" customHeight="1" x14ac:dyDescent="0.3">
      <c r="A2" s="459" t="s">
        <v>658</v>
      </c>
      <c r="B2" s="460">
        <v>0.05</v>
      </c>
      <c r="C2" s="446" t="s">
        <v>659</v>
      </c>
      <c r="D2" s="446"/>
      <c r="E2" s="446"/>
      <c r="F2" s="446"/>
      <c r="G2" s="459"/>
      <c r="H2" s="459"/>
      <c r="I2" s="431"/>
      <c r="J2" s="431"/>
      <c r="K2" s="431"/>
      <c r="L2" s="431"/>
      <c r="M2" s="462"/>
      <c r="N2" s="431"/>
    </row>
    <row r="3" spans="1:14" ht="11.25" customHeight="1" x14ac:dyDescent="0.3">
      <c r="A3" s="459"/>
      <c r="B3" s="446"/>
      <c r="C3" s="446"/>
      <c r="D3" s="446"/>
      <c r="E3" s="446"/>
      <c r="F3" s="446"/>
      <c r="G3" s="459"/>
      <c r="H3" s="459"/>
      <c r="I3" s="431"/>
      <c r="J3" s="431"/>
      <c r="K3" s="431"/>
      <c r="L3" s="431"/>
      <c r="M3" s="462"/>
      <c r="N3" s="431"/>
    </row>
    <row r="4" spans="1:14" ht="11.25" customHeight="1" x14ac:dyDescent="0.3">
      <c r="A4" s="459" t="s">
        <v>660</v>
      </c>
      <c r="B4" s="451">
        <f ca="1">(SUMIFS(H:H,I:I,"&gt;0",L:L,"&lt;0"))/12</f>
        <v>0</v>
      </c>
      <c r="C4" s="463">
        <f ca="1">(SUMIFS(H:H,I:I,"&gt;0",L:L,"&lt;0"))</f>
        <v>0</v>
      </c>
      <c r="D4" s="456" t="e">
        <f t="array" aca="1" ref="D4" ca="1">INDEX(N:N,MATCH(C4,H:H,0),0)</f>
        <v>#N/A</v>
      </c>
      <c r="E4" s="446"/>
      <c r="F4" s="446"/>
      <c r="G4" s="459"/>
      <c r="H4" s="459"/>
      <c r="I4" s="446"/>
      <c r="J4" s="431"/>
      <c r="K4" s="431"/>
      <c r="L4" s="431"/>
      <c r="M4" s="462"/>
      <c r="N4" s="431"/>
    </row>
    <row r="5" spans="1:14" ht="11.25" customHeight="1" x14ac:dyDescent="0.3">
      <c r="A5" s="459"/>
      <c r="B5" s="446"/>
      <c r="C5" s="446"/>
      <c r="D5" s="446"/>
      <c r="E5" s="446"/>
      <c r="F5" s="446"/>
      <c r="G5" s="459"/>
      <c r="H5" s="459"/>
      <c r="I5" s="431"/>
      <c r="J5" s="431"/>
      <c r="K5" s="431"/>
      <c r="L5" s="431"/>
      <c r="M5" s="462"/>
      <c r="N5" s="431"/>
    </row>
    <row r="6" spans="1:14" ht="11.25" customHeight="1" x14ac:dyDescent="0.3">
      <c r="A6" s="459"/>
      <c r="B6" s="446"/>
      <c r="C6" s="446"/>
      <c r="D6" s="446"/>
      <c r="E6" s="446"/>
      <c r="F6" s="446"/>
      <c r="G6" s="459"/>
      <c r="H6" s="459"/>
      <c r="I6" s="431"/>
      <c r="J6" s="431"/>
      <c r="K6" s="431"/>
      <c r="L6" s="431"/>
      <c r="M6" s="462"/>
      <c r="N6" s="431"/>
    </row>
    <row r="7" spans="1:14" ht="11.25" customHeight="1" x14ac:dyDescent="0.3">
      <c r="A7" s="459" t="s">
        <v>661</v>
      </c>
      <c r="B7" s="446" t="s">
        <v>662</v>
      </c>
      <c r="C7" s="446" t="s">
        <v>663</v>
      </c>
      <c r="D7" s="446" t="s">
        <v>664</v>
      </c>
      <c r="E7" s="446" t="s">
        <v>665</v>
      </c>
      <c r="F7" s="446"/>
      <c r="G7" s="459" t="s">
        <v>666</v>
      </c>
      <c r="H7" s="459" t="s">
        <v>224</v>
      </c>
      <c r="I7" s="446" t="s">
        <v>662</v>
      </c>
      <c r="J7" s="446" t="s">
        <v>663</v>
      </c>
      <c r="K7" s="446" t="s">
        <v>664</v>
      </c>
      <c r="L7" s="446" t="s">
        <v>665</v>
      </c>
      <c r="M7" s="460"/>
      <c r="N7" s="431" t="s">
        <v>592</v>
      </c>
    </row>
    <row r="8" spans="1:14" ht="11.25" customHeight="1" x14ac:dyDescent="0.3">
      <c r="A8" s="459">
        <v>1</v>
      </c>
      <c r="B8" s="447">
        <f ca="1">B1</f>
        <v>3284145.3005785057</v>
      </c>
      <c r="C8" s="447">
        <f t="shared" ref="C8:C136" si="0">SUMIF(G:G,A8,J:J)</f>
        <v>377513.19893278764</v>
      </c>
      <c r="D8" s="447">
        <f ca="1">SUMIF(G:G,1,K:K)</f>
        <v>157640.94646257785</v>
      </c>
      <c r="E8" s="447">
        <f t="shared" ref="E8:E136" ca="1" si="1">B8-C8+D8</f>
        <v>3064273.048108296</v>
      </c>
      <c r="F8" s="431"/>
      <c r="G8" s="459">
        <v>1</v>
      </c>
      <c r="H8" s="459">
        <v>1</v>
      </c>
      <c r="I8" s="444">
        <f ca="1">B1</f>
        <v>3284145.3005785057</v>
      </c>
      <c r="J8" s="444">
        <f t="array" ref="J8">IFERROR(INDEX('Retirement Calculator'!J:J,MATCH('Isaac 401k'!N8,'Retirement Calculator'!A:A,0),0),0)</f>
        <v>31459.43324439897</v>
      </c>
      <c r="K8" s="444">
        <f t="shared" ref="K8:K262" ca="1" si="2">IPMT(M8/12,1,12,-I8+J8,,0)</f>
        <v>13552.857780558779</v>
      </c>
      <c r="L8" s="444">
        <f t="shared" ref="L8:L262" ca="1" si="3">I8-J8+K8</f>
        <v>3266238.7251146659</v>
      </c>
      <c r="M8" s="460">
        <f>B2</f>
        <v>0.05</v>
      </c>
      <c r="N8" s="464">
        <f>'Retirement Calculator'!D6</f>
        <v>51288</v>
      </c>
    </row>
    <row r="9" spans="1:14" ht="11.25" customHeight="1" x14ac:dyDescent="0.3">
      <c r="A9" s="459">
        <v>2</v>
      </c>
      <c r="B9" s="447">
        <f t="shared" ref="B9:B136" ca="1" si="4">E8</f>
        <v>3064273.048108296</v>
      </c>
      <c r="C9" s="447">
        <f t="shared" si="0"/>
        <v>377513.19893278764</v>
      </c>
      <c r="D9" s="447">
        <f ca="1">SUMIF(G:G,2,K:K)</f>
        <v>146391.86473467038</v>
      </c>
      <c r="E9" s="447">
        <f t="shared" ca="1" si="1"/>
        <v>2833151.7139101783</v>
      </c>
      <c r="F9" s="431"/>
      <c r="G9" s="459">
        <v>1</v>
      </c>
      <c r="H9" s="459">
        <v>2</v>
      </c>
      <c r="I9" s="444">
        <f t="shared" ref="I9:I263" ca="1" si="5">L8</f>
        <v>3266238.7251146659</v>
      </c>
      <c r="J9" s="444">
        <f t="array" ref="J9">IFERROR(INDEX('Retirement Calculator'!J:J,MATCH('Isaac 401k'!N9,'Retirement Calculator'!A:A,0),0),0)</f>
        <v>31459.43324439897</v>
      </c>
      <c r="K9" s="444">
        <f t="shared" ca="1" si="2"/>
        <v>13478.247049459445</v>
      </c>
      <c r="L9" s="444">
        <f t="shared" ca="1" si="3"/>
        <v>3248257.5389197264</v>
      </c>
      <c r="M9" s="460">
        <f t="shared" ref="M9:M263" si="6">M8</f>
        <v>0.05</v>
      </c>
      <c r="N9" s="464">
        <f t="shared" ref="N9:N263" si="7">EDATE(N8,1)</f>
        <v>51318</v>
      </c>
    </row>
    <row r="10" spans="1:14" ht="11.25" customHeight="1" x14ac:dyDescent="0.3">
      <c r="A10" s="459">
        <v>3</v>
      </c>
      <c r="B10" s="447">
        <f t="shared" ca="1" si="4"/>
        <v>2833151.7139101783</v>
      </c>
      <c r="C10" s="447">
        <f t="shared" si="0"/>
        <v>377513.19893278764</v>
      </c>
      <c r="D10" s="447">
        <f ca="1">SUMIF(G:G,3,K:K)</f>
        <v>134567.25863613654</v>
      </c>
      <c r="E10" s="447">
        <f t="shared" ca="1" si="1"/>
        <v>2590205.7736135274</v>
      </c>
      <c r="F10" s="431"/>
      <c r="G10" s="459">
        <v>1</v>
      </c>
      <c r="H10" s="459">
        <v>3</v>
      </c>
      <c r="I10" s="444">
        <f t="shared" ca="1" si="5"/>
        <v>3248257.5389197264</v>
      </c>
      <c r="J10" s="444">
        <f t="array" ref="J10">IFERROR(INDEX('Retirement Calculator'!J:J,MATCH('Isaac 401k'!N10,'Retirement Calculator'!A:A,0),0),0)</f>
        <v>31459.43324439897</v>
      </c>
      <c r="K10" s="444">
        <f t="shared" ca="1" si="2"/>
        <v>13403.325440313865</v>
      </c>
      <c r="L10" s="444">
        <f t="shared" ca="1" si="3"/>
        <v>3230201.4311156413</v>
      </c>
      <c r="M10" s="460">
        <f t="shared" si="6"/>
        <v>0.05</v>
      </c>
      <c r="N10" s="464">
        <f t="shared" si="7"/>
        <v>51349</v>
      </c>
    </row>
    <row r="11" spans="1:14" ht="11.25" customHeight="1" x14ac:dyDescent="0.3">
      <c r="A11" s="459">
        <v>4</v>
      </c>
      <c r="B11" s="447">
        <f t="shared" ca="1" si="4"/>
        <v>2590205.7736135274</v>
      </c>
      <c r="C11" s="447">
        <f t="shared" si="0"/>
        <v>372857.19893278764</v>
      </c>
      <c r="D11" s="447">
        <f ca="1">SUMIF(G:G,4,K:K)</f>
        <v>122206.05674529316</v>
      </c>
      <c r="E11" s="447">
        <f t="shared" ca="1" si="1"/>
        <v>2339554.6314260331</v>
      </c>
      <c r="F11" s="431"/>
      <c r="G11" s="459">
        <v>1</v>
      </c>
      <c r="H11" s="459">
        <v>4</v>
      </c>
      <c r="I11" s="444">
        <f t="shared" ca="1" si="5"/>
        <v>3230201.4311156413</v>
      </c>
      <c r="J11" s="444">
        <f t="array" ref="J11">IFERROR(INDEX('Retirement Calculator'!J:J,MATCH('Isaac 401k'!N11,'Retirement Calculator'!A:A,0),0),0)</f>
        <v>31459.43324439897</v>
      </c>
      <c r="K11" s="444">
        <f t="shared" ca="1" si="2"/>
        <v>13328.091657796844</v>
      </c>
      <c r="L11" s="444">
        <f t="shared" ca="1" si="3"/>
        <v>3212070.0895290393</v>
      </c>
      <c r="M11" s="460">
        <f t="shared" si="6"/>
        <v>0.05</v>
      </c>
      <c r="N11" s="464">
        <f t="shared" si="7"/>
        <v>51380</v>
      </c>
    </row>
    <row r="12" spans="1:14" ht="11.25" customHeight="1" x14ac:dyDescent="0.3">
      <c r="A12" s="459">
        <v>5</v>
      </c>
      <c r="B12" s="447">
        <f t="shared" ca="1" si="4"/>
        <v>2339554.6314260331</v>
      </c>
      <c r="C12" s="447">
        <f t="shared" si="0"/>
        <v>368201.19893278764</v>
      </c>
      <c r="D12" s="447">
        <f ca="1">SUMIF(G:G,5,K:K)</f>
        <v>109569.98860161169</v>
      </c>
      <c r="E12" s="447">
        <f t="shared" ca="1" si="1"/>
        <v>2080923.4210948572</v>
      </c>
      <c r="F12" s="431"/>
      <c r="G12" s="459">
        <v>1</v>
      </c>
      <c r="H12" s="459">
        <v>5</v>
      </c>
      <c r="I12" s="444">
        <f t="shared" ca="1" si="5"/>
        <v>3212070.0895290393</v>
      </c>
      <c r="J12" s="444">
        <f t="array" ref="J12">IFERROR(INDEX('Retirement Calculator'!J:J,MATCH('Isaac 401k'!N12,'Retirement Calculator'!A:A,0),0),0)</f>
        <v>31459.43324439897</v>
      </c>
      <c r="K12" s="444">
        <f t="shared" ca="1" si="2"/>
        <v>13252.544401186002</v>
      </c>
      <c r="L12" s="444">
        <f t="shared" ca="1" si="3"/>
        <v>3193863.2006858266</v>
      </c>
      <c r="M12" s="460">
        <f t="shared" si="6"/>
        <v>0.05</v>
      </c>
      <c r="N12" s="464">
        <f t="shared" si="7"/>
        <v>51410</v>
      </c>
    </row>
    <row r="13" spans="1:14" ht="11.25" customHeight="1" x14ac:dyDescent="0.3">
      <c r="A13" s="459">
        <v>6</v>
      </c>
      <c r="B13" s="447">
        <f t="shared" ca="1" si="4"/>
        <v>2080923.4210948572</v>
      </c>
      <c r="C13" s="447">
        <f t="shared" si="0"/>
        <v>257645.72060989373</v>
      </c>
      <c r="D13" s="447">
        <f ca="1">SUMIF(G:G,6,K:K)</f>
        <v>97727.570004516485</v>
      </c>
      <c r="E13" s="447">
        <f t="shared" ca="1" si="1"/>
        <v>1921005.2704894799</v>
      </c>
      <c r="F13" s="431"/>
      <c r="G13" s="459">
        <v>1</v>
      </c>
      <c r="H13" s="459">
        <v>6</v>
      </c>
      <c r="I13" s="444">
        <f t="shared" ca="1" si="5"/>
        <v>3193863.2006858266</v>
      </c>
      <c r="J13" s="444">
        <f t="array" ref="J13">IFERROR(INDEX('Retirement Calculator'!J:J,MATCH('Isaac 401k'!N13,'Retirement Calculator'!A:A,0),0),0)</f>
        <v>31459.43324439897</v>
      </c>
      <c r="K13" s="444">
        <f t="shared" ca="1" si="2"/>
        <v>13176.682364339282</v>
      </c>
      <c r="L13" s="444">
        <f t="shared" ca="1" si="3"/>
        <v>3175580.4498057673</v>
      </c>
      <c r="M13" s="460">
        <f t="shared" si="6"/>
        <v>0.05</v>
      </c>
      <c r="N13" s="464">
        <f t="shared" si="7"/>
        <v>51441</v>
      </c>
    </row>
    <row r="14" spans="1:14" ht="11.25" customHeight="1" x14ac:dyDescent="0.3">
      <c r="A14" s="459">
        <v>7</v>
      </c>
      <c r="B14" s="447">
        <f t="shared" ca="1" si="4"/>
        <v>1921005.2704894799</v>
      </c>
      <c r="C14" s="447">
        <f t="shared" si="0"/>
        <v>102868.05095784225</v>
      </c>
      <c r="D14" s="447">
        <f ca="1">SUMIF(G:G,7,K:K)</f>
        <v>95453.255009069311</v>
      </c>
      <c r="E14" s="447">
        <f t="shared" ca="1" si="1"/>
        <v>1913590.474540707</v>
      </c>
      <c r="F14" s="431"/>
      <c r="G14" s="459">
        <v>1</v>
      </c>
      <c r="H14" s="459">
        <v>7</v>
      </c>
      <c r="I14" s="444">
        <f t="shared" ca="1" si="5"/>
        <v>3175580.4498057673</v>
      </c>
      <c r="J14" s="444">
        <f t="array" ref="J14">IFERROR(INDEX('Retirement Calculator'!J:J,MATCH('Isaac 401k'!N14,'Retirement Calculator'!A:A,0),0),0)</f>
        <v>31459.43324439897</v>
      </c>
      <c r="K14" s="444">
        <f t="shared" ca="1" si="2"/>
        <v>13100.504235672368</v>
      </c>
      <c r="L14" s="444">
        <f t="shared" ca="1" si="3"/>
        <v>3157221.5207970408</v>
      </c>
      <c r="M14" s="460">
        <f t="shared" si="6"/>
        <v>0.05</v>
      </c>
      <c r="N14" s="464">
        <f t="shared" si="7"/>
        <v>51471</v>
      </c>
    </row>
    <row r="15" spans="1:14" ht="11.25" customHeight="1" x14ac:dyDescent="0.3">
      <c r="A15" s="459">
        <v>8</v>
      </c>
      <c r="B15" s="447">
        <f t="shared" ca="1" si="4"/>
        <v>1913590.474540707</v>
      </c>
      <c r="C15" s="447">
        <f t="shared" si="0"/>
        <v>102868.05095784225</v>
      </c>
      <c r="D15" s="447">
        <f ca="1">SUMIF(G:G,8,K:K)</f>
        <v>95073.899975924374</v>
      </c>
      <c r="E15" s="447">
        <f t="shared" ca="1" si="1"/>
        <v>1905796.323558789</v>
      </c>
      <c r="F15" s="431"/>
      <c r="G15" s="459">
        <v>1</v>
      </c>
      <c r="H15" s="459">
        <v>8</v>
      </c>
      <c r="I15" s="444">
        <f t="shared" ca="1" si="5"/>
        <v>3157221.5207970408</v>
      </c>
      <c r="J15" s="444">
        <f t="array" ref="J15">IFERROR(INDEX('Retirement Calculator'!J:J,MATCH('Isaac 401k'!N15,'Retirement Calculator'!A:A,0),0),0)</f>
        <v>31459.43324439897</v>
      </c>
      <c r="K15" s="444">
        <f t="shared" ca="1" si="2"/>
        <v>13024.008698136007</v>
      </c>
      <c r="L15" s="444">
        <f t="shared" ca="1" si="3"/>
        <v>3138786.0962507781</v>
      </c>
      <c r="M15" s="460">
        <f t="shared" si="6"/>
        <v>0.05</v>
      </c>
      <c r="N15" s="464">
        <f t="shared" si="7"/>
        <v>51502</v>
      </c>
    </row>
    <row r="16" spans="1:14" ht="11.25" customHeight="1" x14ac:dyDescent="0.3">
      <c r="A16" s="459">
        <v>9</v>
      </c>
      <c r="B16" s="447">
        <f t="shared" ca="1" si="4"/>
        <v>1905796.323558789</v>
      </c>
      <c r="C16" s="447">
        <f t="shared" si="0"/>
        <v>95430.955357842235</v>
      </c>
      <c r="D16" s="447">
        <f ca="1">SUMIF(G:G,9,K:K)</f>
        <v>94863.670505652088</v>
      </c>
      <c r="E16" s="447">
        <f t="shared" ca="1" si="1"/>
        <v>1905229.0387065988</v>
      </c>
      <c r="F16" s="431"/>
      <c r="G16" s="459">
        <v>1</v>
      </c>
      <c r="H16" s="459">
        <v>9</v>
      </c>
      <c r="I16" s="444">
        <f t="shared" ca="1" si="5"/>
        <v>3138786.0962507781</v>
      </c>
      <c r="J16" s="444">
        <f t="array" ref="J16">IFERROR(INDEX('Retirement Calculator'!J:J,MATCH('Isaac 401k'!N16,'Retirement Calculator'!A:A,0),0),0)</f>
        <v>31459.43324439897</v>
      </c>
      <c r="K16" s="444">
        <f t="shared" ca="1" si="2"/>
        <v>12947.194429193247</v>
      </c>
      <c r="L16" s="444">
        <f t="shared" ca="1" si="3"/>
        <v>3120273.8574355724</v>
      </c>
      <c r="M16" s="460">
        <f t="shared" si="6"/>
        <v>0.05</v>
      </c>
      <c r="N16" s="464">
        <f t="shared" si="7"/>
        <v>51533</v>
      </c>
    </row>
    <row r="17" spans="1:14" ht="11.25" customHeight="1" x14ac:dyDescent="0.3">
      <c r="A17" s="459">
        <v>10</v>
      </c>
      <c r="B17" s="447">
        <f t="shared" ca="1" si="4"/>
        <v>1905229.0387065988</v>
      </c>
      <c r="C17" s="447">
        <f t="shared" si="0"/>
        <v>94754.855757842233</v>
      </c>
      <c r="D17" s="447">
        <f ca="1">SUMIF(G:G,10,K:K)</f>
        <v>94869.237674667544</v>
      </c>
      <c r="E17" s="447">
        <f t="shared" ca="1" si="1"/>
        <v>1905343.420623424</v>
      </c>
      <c r="F17" s="431"/>
      <c r="G17" s="459">
        <v>1</v>
      </c>
      <c r="H17" s="459">
        <v>10</v>
      </c>
      <c r="I17" s="444">
        <f t="shared" ca="1" si="5"/>
        <v>3120273.8574355724</v>
      </c>
      <c r="J17" s="444">
        <f t="array" ref="J17">IFERROR(INDEX('Retirement Calculator'!J:J,MATCH('Isaac 401k'!N17,'Retirement Calculator'!A:A,0),0),0)</f>
        <v>31459.43324439897</v>
      </c>
      <c r="K17" s="444">
        <f t="shared" ca="1" si="2"/>
        <v>12870.060100796556</v>
      </c>
      <c r="L17" s="444">
        <f t="shared" ca="1" si="3"/>
        <v>3101684.4842919703</v>
      </c>
      <c r="M17" s="460">
        <f t="shared" si="6"/>
        <v>0.05</v>
      </c>
      <c r="N17" s="464">
        <f t="shared" si="7"/>
        <v>51561</v>
      </c>
    </row>
    <row r="18" spans="1:14" ht="11.25" customHeight="1" x14ac:dyDescent="0.3">
      <c r="A18" s="459">
        <v>11</v>
      </c>
      <c r="B18" s="447">
        <f t="shared" ca="1" si="4"/>
        <v>1905343.420623424</v>
      </c>
      <c r="C18" s="447">
        <f t="shared" si="0"/>
        <v>94754.855757842233</v>
      </c>
      <c r="D18" s="447">
        <f ca="1">SUMIF(G:G,11,K:K)</f>
        <v>94875.089670615678</v>
      </c>
      <c r="E18" s="447">
        <f t="shared" ca="1" si="1"/>
        <v>1905463.6545361974</v>
      </c>
      <c r="F18" s="431"/>
      <c r="G18" s="459">
        <v>1</v>
      </c>
      <c r="H18" s="459">
        <v>11</v>
      </c>
      <c r="I18" s="444">
        <f t="shared" ca="1" si="5"/>
        <v>3101684.4842919703</v>
      </c>
      <c r="J18" s="444">
        <f t="array" ref="J18">IFERROR(INDEX('Retirement Calculator'!J:J,MATCH('Isaac 401k'!N18,'Retirement Calculator'!A:A,0),0),0)</f>
        <v>31459.43324439897</v>
      </c>
      <c r="K18" s="444">
        <f t="shared" ca="1" si="2"/>
        <v>12792.604379364881</v>
      </c>
      <c r="L18" s="444">
        <f t="shared" ca="1" si="3"/>
        <v>3083017.6554269362</v>
      </c>
      <c r="M18" s="460">
        <f t="shared" si="6"/>
        <v>0.05</v>
      </c>
      <c r="N18" s="464">
        <f t="shared" si="7"/>
        <v>51592</v>
      </c>
    </row>
    <row r="19" spans="1:14" ht="11.25" customHeight="1" x14ac:dyDescent="0.3">
      <c r="A19" s="459">
        <v>12</v>
      </c>
      <c r="B19" s="447">
        <f t="shared" ca="1" si="4"/>
        <v>1905463.6545361974</v>
      </c>
      <c r="C19" s="447">
        <f t="shared" si="0"/>
        <v>94754.855757842233</v>
      </c>
      <c r="D19" s="447">
        <f ca="1">SUMIF(G:G,12,K:K)</f>
        <v>94881.241065782859</v>
      </c>
      <c r="E19" s="447">
        <f t="shared" ca="1" si="1"/>
        <v>1905590.0398441381</v>
      </c>
      <c r="F19" s="431"/>
      <c r="G19" s="459">
        <v>1</v>
      </c>
      <c r="H19" s="459">
        <v>12</v>
      </c>
      <c r="I19" s="444">
        <f t="shared" ca="1" si="5"/>
        <v>3083017.6554269362</v>
      </c>
      <c r="J19" s="444">
        <f t="array" ref="J19">IFERROR(INDEX('Retirement Calculator'!J:J,MATCH('Isaac 401k'!N19,'Retirement Calculator'!A:A,0),0),0)</f>
        <v>31459.43324439897</v>
      </c>
      <c r="K19" s="444">
        <f t="shared" ca="1" si="2"/>
        <v>12714.825925760573</v>
      </c>
      <c r="L19" s="444">
        <f t="shared" ca="1" si="3"/>
        <v>3064273.0481082979</v>
      </c>
      <c r="M19" s="460">
        <f t="shared" si="6"/>
        <v>0.05</v>
      </c>
      <c r="N19" s="464">
        <f t="shared" si="7"/>
        <v>51622</v>
      </c>
    </row>
    <row r="20" spans="1:14" ht="11.25" customHeight="1" x14ac:dyDescent="0.3">
      <c r="A20" s="459">
        <v>13</v>
      </c>
      <c r="B20" s="447">
        <f t="shared" ca="1" si="4"/>
        <v>1905590.0398441381</v>
      </c>
      <c r="C20" s="447">
        <f t="shared" si="0"/>
        <v>94754.855757842233</v>
      </c>
      <c r="D20" s="447">
        <f ca="1">SUMIF(G:G,13,K:K)</f>
        <v>94887.707178001438</v>
      </c>
      <c r="E20" s="447">
        <f t="shared" ca="1" si="1"/>
        <v>1905722.8912642973</v>
      </c>
      <c r="F20" s="431"/>
      <c r="G20" s="459">
        <v>2</v>
      </c>
      <c r="H20" s="459">
        <v>13</v>
      </c>
      <c r="I20" s="444">
        <f t="shared" ca="1" si="5"/>
        <v>3064273.0481082979</v>
      </c>
      <c r="J20" s="444">
        <f t="array" ref="J20">IFERROR(INDEX('Retirement Calculator'!J:J,MATCH('Isaac 401k'!N20,'Retirement Calculator'!A:A,0),0),0)</f>
        <v>31459.43324439897</v>
      </c>
      <c r="K20" s="444">
        <f t="shared" ca="1" si="2"/>
        <v>12636.723395266246</v>
      </c>
      <c r="L20" s="444">
        <f t="shared" ca="1" si="3"/>
        <v>3045450.3382591652</v>
      </c>
      <c r="M20" s="460">
        <f t="shared" si="6"/>
        <v>0.05</v>
      </c>
      <c r="N20" s="464">
        <f t="shared" si="7"/>
        <v>51653</v>
      </c>
    </row>
    <row r="21" spans="1:14" ht="11.25" customHeight="1" x14ac:dyDescent="0.3">
      <c r="A21" s="459">
        <v>14</v>
      </c>
      <c r="B21" s="447">
        <f t="shared" ca="1" si="4"/>
        <v>1905722.8912642973</v>
      </c>
      <c r="C21" s="447">
        <f t="shared" si="0"/>
        <v>94754.855757842233</v>
      </c>
      <c r="D21" s="447">
        <f ca="1">SUMIF(G:G,14,K:K)</f>
        <v>94894.504108793029</v>
      </c>
      <c r="E21" s="447">
        <f t="shared" ca="1" si="1"/>
        <v>1905862.5396152481</v>
      </c>
      <c r="F21" s="431"/>
      <c r="G21" s="459">
        <v>2</v>
      </c>
      <c r="H21" s="459">
        <v>14</v>
      </c>
      <c r="I21" s="444">
        <f t="shared" ca="1" si="5"/>
        <v>3045450.3382591652</v>
      </c>
      <c r="J21" s="444">
        <f t="array" ref="J21">IFERROR(INDEX('Retirement Calculator'!J:J,MATCH('Isaac 401k'!N21,'Retirement Calculator'!A:A,0),0),0)</f>
        <v>31459.43324439897</v>
      </c>
      <c r="K21" s="444">
        <f t="shared" ca="1" si="2"/>
        <v>12558.295437561526</v>
      </c>
      <c r="L21" s="444">
        <f t="shared" ca="1" si="3"/>
        <v>3026549.2004523277</v>
      </c>
      <c r="M21" s="460">
        <f t="shared" si="6"/>
        <v>0.05</v>
      </c>
      <c r="N21" s="464">
        <f t="shared" si="7"/>
        <v>51683</v>
      </c>
    </row>
    <row r="22" spans="1:14" ht="11.25" customHeight="1" x14ac:dyDescent="0.3">
      <c r="A22" s="459">
        <v>15</v>
      </c>
      <c r="B22" s="447">
        <f t="shared" ca="1" si="4"/>
        <v>1905862.5396152481</v>
      </c>
      <c r="C22" s="447">
        <f t="shared" si="0"/>
        <v>94754.855757842233</v>
      </c>
      <c r="D22" s="447">
        <f ca="1">SUMIF(G:G,15,K:K)</f>
        <v>94901.648783463708</v>
      </c>
      <c r="E22" s="447">
        <f t="shared" ca="1" si="1"/>
        <v>1906009.3326408695</v>
      </c>
      <c r="F22" s="431"/>
      <c r="G22" s="459">
        <v>2</v>
      </c>
      <c r="H22" s="459">
        <v>15</v>
      </c>
      <c r="I22" s="444">
        <f t="shared" ca="1" si="5"/>
        <v>3026549.2004523277</v>
      </c>
      <c r="J22" s="444">
        <f t="array" ref="J22">IFERROR(INDEX('Retirement Calculator'!J:J,MATCH('Isaac 401k'!N22,'Retirement Calculator'!A:A,0),0),0)</f>
        <v>31459.43324439897</v>
      </c>
      <c r="K22" s="444">
        <f t="shared" ca="1" si="2"/>
        <v>12479.540696699703</v>
      </c>
      <c r="L22" s="444">
        <f t="shared" ca="1" si="3"/>
        <v>3007569.3079046286</v>
      </c>
      <c r="M22" s="460">
        <f t="shared" si="6"/>
        <v>0.05</v>
      </c>
      <c r="N22" s="464">
        <f t="shared" si="7"/>
        <v>51714</v>
      </c>
    </row>
    <row r="23" spans="1:14" ht="11.25" customHeight="1" x14ac:dyDescent="0.3">
      <c r="A23" s="459">
        <v>16</v>
      </c>
      <c r="B23" s="447">
        <f t="shared" ca="1" si="4"/>
        <v>1906009.3326408695</v>
      </c>
      <c r="C23" s="447">
        <f t="shared" si="0"/>
        <v>94754.855757842233</v>
      </c>
      <c r="D23" s="447">
        <f ca="1">SUMIF(G:G,16,K:K)</f>
        <v>94909.158993250297</v>
      </c>
      <c r="E23" s="447">
        <f t="shared" ca="1" si="1"/>
        <v>1906163.6358762775</v>
      </c>
      <c r="F23" s="431"/>
      <c r="G23" s="459">
        <v>2</v>
      </c>
      <c r="H23" s="459">
        <v>16</v>
      </c>
      <c r="I23" s="444">
        <f t="shared" ca="1" si="5"/>
        <v>3007569.3079046286</v>
      </c>
      <c r="J23" s="444">
        <f t="array" ref="J23">IFERROR(INDEX('Retirement Calculator'!J:J,MATCH('Isaac 401k'!N23,'Retirement Calculator'!A:A,0),0),0)</f>
        <v>31459.43324439897</v>
      </c>
      <c r="K23" s="444">
        <f t="shared" ca="1" si="2"/>
        <v>12400.45781108429</v>
      </c>
      <c r="L23" s="444">
        <f t="shared" ca="1" si="3"/>
        <v>2988510.3324713139</v>
      </c>
      <c r="M23" s="460">
        <f t="shared" si="6"/>
        <v>0.05</v>
      </c>
      <c r="N23" s="464">
        <f t="shared" si="7"/>
        <v>51745</v>
      </c>
    </row>
    <row r="24" spans="1:14" ht="11.25" customHeight="1" x14ac:dyDescent="0.3">
      <c r="A24" s="459">
        <v>17</v>
      </c>
      <c r="B24" s="447">
        <f t="shared" ca="1" si="4"/>
        <v>1906163.6358762775</v>
      </c>
      <c r="C24" s="447">
        <f t="shared" si="0"/>
        <v>94754.855757842233</v>
      </c>
      <c r="D24" s="447">
        <f ca="1">SUMIF(G:G,17,K:K)</f>
        <v>94917.053439623036</v>
      </c>
      <c r="E24" s="447">
        <f t="shared" ca="1" si="1"/>
        <v>1906325.8335580581</v>
      </c>
      <c r="F24" s="431"/>
      <c r="G24" s="459">
        <v>2</v>
      </c>
      <c r="H24" s="459">
        <v>17</v>
      </c>
      <c r="I24" s="444">
        <f t="shared" ca="1" si="5"/>
        <v>2988510.3324713139</v>
      </c>
      <c r="J24" s="444">
        <f t="array" ref="J24">IFERROR(INDEX('Retirement Calculator'!J:J,MATCH('Isaac 401k'!N24,'Retirement Calculator'!A:A,0),0),0)</f>
        <v>31459.43324439897</v>
      </c>
      <c r="K24" s="444">
        <f t="shared" ca="1" si="2"/>
        <v>12321.045413445479</v>
      </c>
      <c r="L24" s="444">
        <f t="shared" ca="1" si="3"/>
        <v>2969371.9446403608</v>
      </c>
      <c r="M24" s="460">
        <f t="shared" si="6"/>
        <v>0.05</v>
      </c>
      <c r="N24" s="464">
        <f t="shared" si="7"/>
        <v>51775</v>
      </c>
    </row>
    <row r="25" spans="1:14" ht="11.25" customHeight="1" x14ac:dyDescent="0.3">
      <c r="A25" s="459">
        <v>18</v>
      </c>
      <c r="B25" s="447">
        <f t="shared" ca="1" si="4"/>
        <v>1906325.8335580581</v>
      </c>
      <c r="C25" s="447">
        <f t="shared" si="0"/>
        <v>94754.855757842233</v>
      </c>
      <c r="D25" s="447">
        <f ca="1">SUMIF(G:G,18,K:K)</f>
        <v>94925.351780854922</v>
      </c>
      <c r="E25" s="447">
        <f t="shared" ca="1" si="1"/>
        <v>1906496.3295810707</v>
      </c>
      <c r="F25" s="431"/>
      <c r="G25" s="459">
        <v>2</v>
      </c>
      <c r="H25" s="459">
        <v>18</v>
      </c>
      <c r="I25" s="444">
        <f t="shared" ca="1" si="5"/>
        <v>2969371.9446403608</v>
      </c>
      <c r="J25" s="444">
        <f t="array" ref="J25">IFERROR(INDEX('Retirement Calculator'!J:J,MATCH('Isaac 401k'!N25,'Retirement Calculator'!A:A,0),0),0)</f>
        <v>31459.43324439897</v>
      </c>
      <c r="K25" s="444">
        <f t="shared" ca="1" si="2"/>
        <v>12241.302130816508</v>
      </c>
      <c r="L25" s="444">
        <f t="shared" ca="1" si="3"/>
        <v>2950153.8135267785</v>
      </c>
      <c r="M25" s="460">
        <f t="shared" si="6"/>
        <v>0.05</v>
      </c>
      <c r="N25" s="464">
        <f t="shared" si="7"/>
        <v>51806</v>
      </c>
    </row>
    <row r="26" spans="1:14" ht="11.25" customHeight="1" x14ac:dyDescent="0.3">
      <c r="A26" s="459">
        <v>19</v>
      </c>
      <c r="B26" s="447">
        <f t="shared" ca="1" si="4"/>
        <v>1906496.3295810707</v>
      </c>
      <c r="C26" s="447">
        <f t="shared" si="0"/>
        <v>94754.855757842233</v>
      </c>
      <c r="D26" s="447">
        <f ca="1">SUMIF(G:G,19,K:K)</f>
        <v>94934.074680973499</v>
      </c>
      <c r="E26" s="447">
        <f t="shared" ca="1" si="1"/>
        <v>1906675.5485042019</v>
      </c>
      <c r="F26" s="431"/>
      <c r="G26" s="459">
        <v>2</v>
      </c>
      <c r="H26" s="459">
        <v>19</v>
      </c>
      <c r="I26" s="444">
        <f t="shared" ca="1" si="5"/>
        <v>2950153.8135267785</v>
      </c>
      <c r="J26" s="444">
        <f t="array" ref="J26">IFERROR(INDEX('Retirement Calculator'!J:J,MATCH('Isaac 401k'!N26,'Retirement Calculator'!A:A,0),0),0)</f>
        <v>31459.43324439897</v>
      </c>
      <c r="K26" s="444">
        <f t="shared" ca="1" si="2"/>
        <v>12161.226584509915</v>
      </c>
      <c r="L26" s="444">
        <f t="shared" ca="1" si="3"/>
        <v>2930855.6068668896</v>
      </c>
      <c r="M26" s="460">
        <f t="shared" si="6"/>
        <v>0.05</v>
      </c>
      <c r="N26" s="464">
        <f t="shared" si="7"/>
        <v>51836</v>
      </c>
    </row>
    <row r="27" spans="1:14" ht="11.25" customHeight="1" x14ac:dyDescent="0.3">
      <c r="A27" s="459">
        <v>20</v>
      </c>
      <c r="B27" s="447">
        <f t="shared" ca="1" si="4"/>
        <v>1906675.5485042019</v>
      </c>
      <c r="C27" s="447">
        <f t="shared" si="0"/>
        <v>94754.855757842233</v>
      </c>
      <c r="D27" s="447">
        <f ca="1">SUMIF(G:G,20,K:K)</f>
        <v>94943.243861217197</v>
      </c>
      <c r="E27" s="447">
        <f t="shared" ca="1" si="1"/>
        <v>1906863.9366075769</v>
      </c>
      <c r="F27" s="431"/>
      <c r="G27" s="459">
        <v>2</v>
      </c>
      <c r="H27" s="459">
        <v>20</v>
      </c>
      <c r="I27" s="444">
        <f t="shared" ca="1" si="5"/>
        <v>2930855.6068668896</v>
      </c>
      <c r="J27" s="444">
        <f t="array" ref="J27">IFERROR(INDEX('Retirement Calculator'!J:J,MATCH('Isaac 401k'!N27,'Retirement Calculator'!A:A,0),0),0)</f>
        <v>31459.43324439897</v>
      </c>
      <c r="K27" s="444">
        <f t="shared" ca="1" si="2"/>
        <v>12080.817390093711</v>
      </c>
      <c r="L27" s="444">
        <f t="shared" ca="1" si="3"/>
        <v>2911476.9910125844</v>
      </c>
      <c r="M27" s="460">
        <f t="shared" si="6"/>
        <v>0.05</v>
      </c>
      <c r="N27" s="464">
        <f t="shared" si="7"/>
        <v>51867</v>
      </c>
    </row>
    <row r="28" spans="1:14" ht="11.25" customHeight="1" x14ac:dyDescent="0.3">
      <c r="A28" s="459">
        <v>21</v>
      </c>
      <c r="B28" s="447">
        <f t="shared" ca="1" si="4"/>
        <v>1906863.9366075769</v>
      </c>
      <c r="C28" s="447">
        <f t="shared" si="0"/>
        <v>94754.855757842233</v>
      </c>
      <c r="D28" s="447">
        <f ca="1">SUMIF(G:G,21,K:K)</f>
        <v>94952.882154124163</v>
      </c>
      <c r="E28" s="447">
        <f t="shared" ca="1" si="1"/>
        <v>1907061.9630038587</v>
      </c>
      <c r="F28" s="431"/>
      <c r="G28" s="459">
        <v>2</v>
      </c>
      <c r="H28" s="459">
        <v>21</v>
      </c>
      <c r="I28" s="444">
        <f t="shared" ca="1" si="5"/>
        <v>2911476.9910125844</v>
      </c>
      <c r="J28" s="444">
        <f t="array" ref="J28">IFERROR(INDEX('Retirement Calculator'!J:J,MATCH('Isaac 401k'!N28,'Retirement Calculator'!A:A,0),0),0)</f>
        <v>31459.43324439897</v>
      </c>
      <c r="K28" s="444">
        <f t="shared" ca="1" si="2"/>
        <v>12000.07315736744</v>
      </c>
      <c r="L28" s="444">
        <f t="shared" ca="1" si="3"/>
        <v>2892017.6309255529</v>
      </c>
      <c r="M28" s="460">
        <f t="shared" si="6"/>
        <v>0.05</v>
      </c>
      <c r="N28" s="464">
        <f t="shared" si="7"/>
        <v>51898</v>
      </c>
    </row>
    <row r="29" spans="1:14" ht="11.25" customHeight="1" x14ac:dyDescent="0.3">
      <c r="A29" s="459">
        <v>22</v>
      </c>
      <c r="B29" s="447">
        <f t="shared" ca="1" si="4"/>
        <v>1907061.9630038587</v>
      </c>
      <c r="C29" s="447">
        <f t="shared" si="0"/>
        <v>94754.855757842233</v>
      </c>
      <c r="D29" s="447">
        <f ca="1">SUMIF(G:G,22,K:K)</f>
        <v>94963.013560388616</v>
      </c>
      <c r="E29" s="447">
        <f t="shared" ca="1" si="1"/>
        <v>1907270.1208064051</v>
      </c>
      <c r="F29" s="431"/>
      <c r="G29" s="459">
        <v>2</v>
      </c>
      <c r="H29" s="459">
        <v>22</v>
      </c>
      <c r="I29" s="444">
        <f t="shared" ca="1" si="5"/>
        <v>2892017.6309255529</v>
      </c>
      <c r="J29" s="444">
        <f t="array" ref="J29">IFERROR(INDEX('Retirement Calculator'!J:J,MATCH('Isaac 401k'!N29,'Retirement Calculator'!A:A,0),0),0)</f>
        <v>31459.43324439897</v>
      </c>
      <c r="K29" s="444">
        <f t="shared" ca="1" si="2"/>
        <v>11918.992490338142</v>
      </c>
      <c r="L29" s="444">
        <f t="shared" ca="1" si="3"/>
        <v>2872477.1901714923</v>
      </c>
      <c r="M29" s="460">
        <f t="shared" si="6"/>
        <v>0.05</v>
      </c>
      <c r="N29" s="464">
        <f t="shared" si="7"/>
        <v>51926</v>
      </c>
    </row>
    <row r="30" spans="1:14" ht="11.25" customHeight="1" x14ac:dyDescent="0.3">
      <c r="A30" s="459">
        <v>23</v>
      </c>
      <c r="B30" s="447">
        <f t="shared" ca="1" si="4"/>
        <v>1907270.1208064051</v>
      </c>
      <c r="C30" s="447">
        <f t="shared" si="0"/>
        <v>94754.855757842233</v>
      </c>
      <c r="D30" s="447">
        <f ca="1">SUMIF(G:G,23,K:K)</f>
        <v>94973.663308625735</v>
      </c>
      <c r="E30" s="447">
        <f t="shared" ca="1" si="1"/>
        <v>1907488.9283571886</v>
      </c>
      <c r="F30" s="431"/>
      <c r="G30" s="459">
        <v>2</v>
      </c>
      <c r="H30" s="459">
        <v>23</v>
      </c>
      <c r="I30" s="444">
        <f t="shared" ca="1" si="5"/>
        <v>2872477.1901714923</v>
      </c>
      <c r="J30" s="444">
        <f t="array" ref="J30">IFERROR(INDEX('Retirement Calculator'!J:J,MATCH('Isaac 401k'!N30,'Retirement Calculator'!A:A,0),0),0)</f>
        <v>31459.43324439897</v>
      </c>
      <c r="K30" s="444">
        <f t="shared" ca="1" si="2"/>
        <v>11837.573987196223</v>
      </c>
      <c r="L30" s="444">
        <f t="shared" ca="1" si="3"/>
        <v>2852855.3309142897</v>
      </c>
      <c r="M30" s="460">
        <f t="shared" si="6"/>
        <v>0.05</v>
      </c>
      <c r="N30" s="464">
        <f t="shared" si="7"/>
        <v>51957</v>
      </c>
    </row>
    <row r="31" spans="1:14" ht="11.25" customHeight="1" x14ac:dyDescent="0.3">
      <c r="A31" s="459">
        <v>24</v>
      </c>
      <c r="B31" s="447">
        <f t="shared" ca="1" si="4"/>
        <v>1907488.9283571886</v>
      </c>
      <c r="C31" s="447">
        <f t="shared" si="0"/>
        <v>94754.855757842233</v>
      </c>
      <c r="D31" s="447">
        <f ca="1">SUMIF(G:G,24,K:K)</f>
        <v>94984.857918194641</v>
      </c>
      <c r="E31" s="447">
        <f t="shared" ca="1" si="1"/>
        <v>1907718.930517541</v>
      </c>
      <c r="F31" s="431"/>
      <c r="G31" s="459">
        <v>2</v>
      </c>
      <c r="H31" s="459">
        <v>24</v>
      </c>
      <c r="I31" s="444">
        <f t="shared" ca="1" si="5"/>
        <v>2852855.3309142897</v>
      </c>
      <c r="J31" s="444">
        <f t="array" ref="J31">IFERROR(INDEX('Retirement Calculator'!J:J,MATCH('Isaac 401k'!N31,'Retirement Calculator'!A:A,0),0),0)</f>
        <v>31459.43324439897</v>
      </c>
      <c r="K31" s="444">
        <f t="shared" ca="1" si="2"/>
        <v>11755.816240291211</v>
      </c>
      <c r="L31" s="444">
        <f t="shared" ca="1" si="3"/>
        <v>2833151.713910182</v>
      </c>
      <c r="M31" s="460">
        <f t="shared" si="6"/>
        <v>0.05</v>
      </c>
      <c r="N31" s="464">
        <f t="shared" si="7"/>
        <v>51987</v>
      </c>
    </row>
    <row r="32" spans="1:14" ht="11.25" customHeight="1" x14ac:dyDescent="0.3">
      <c r="A32" s="459">
        <v>25</v>
      </c>
      <c r="B32" s="447">
        <f t="shared" ca="1" si="4"/>
        <v>1907718.930517541</v>
      </c>
      <c r="C32" s="447">
        <f t="shared" si="0"/>
        <v>94754.855757842233</v>
      </c>
      <c r="D32" s="447">
        <f ca="1">SUMIF(G:G,25,K:K)</f>
        <v>94996.62526523514</v>
      </c>
      <c r="E32" s="447">
        <f t="shared" ca="1" si="1"/>
        <v>1907960.7000249338</v>
      </c>
      <c r="F32" s="431"/>
      <c r="G32" s="459">
        <v>3</v>
      </c>
      <c r="H32" s="459">
        <v>25</v>
      </c>
      <c r="I32" s="444">
        <f t="shared" ca="1" si="5"/>
        <v>2833151.713910182</v>
      </c>
      <c r="J32" s="444">
        <f t="array" ref="J32">IFERROR(INDEX('Retirement Calculator'!J:J,MATCH('Isaac 401k'!N32,'Retirement Calculator'!A:A,0),0),0)</f>
        <v>31459.43324439897</v>
      </c>
      <c r="K32" s="444">
        <f t="shared" ca="1" si="2"/>
        <v>11673.717836107429</v>
      </c>
      <c r="L32" s="444">
        <f t="shared" ca="1" si="3"/>
        <v>2813365.9985018908</v>
      </c>
      <c r="M32" s="460">
        <f t="shared" si="6"/>
        <v>0.05</v>
      </c>
      <c r="N32" s="464">
        <f t="shared" si="7"/>
        <v>52018</v>
      </c>
    </row>
    <row r="33" spans="1:14" ht="11.25" customHeight="1" x14ac:dyDescent="0.3">
      <c r="A33" s="459">
        <v>26</v>
      </c>
      <c r="B33" s="447">
        <f t="shared" ca="1" si="4"/>
        <v>1907960.7000249338</v>
      </c>
      <c r="C33" s="447">
        <f t="shared" si="0"/>
        <v>94754.855757842233</v>
      </c>
      <c r="D33" s="447">
        <f ca="1">SUMIF(G:G,26,K:K)</f>
        <v>95008.99465208326</v>
      </c>
      <c r="E33" s="447">
        <f t="shared" ca="1" si="1"/>
        <v>1908214.8389191749</v>
      </c>
      <c r="F33" s="431"/>
      <c r="G33" s="459">
        <v>3</v>
      </c>
      <c r="H33" s="459">
        <v>26</v>
      </c>
      <c r="I33" s="444">
        <f t="shared" ca="1" si="5"/>
        <v>2813365.9985018908</v>
      </c>
      <c r="J33" s="444">
        <f t="array" ref="J33">IFERROR(INDEX('Retirement Calculator'!J:J,MATCH('Isaac 401k'!N33,'Retirement Calculator'!A:A,0),0),0)</f>
        <v>31459.43324439897</v>
      </c>
      <c r="K33" s="444">
        <f t="shared" ca="1" si="2"/>
        <v>11591.27735523955</v>
      </c>
      <c r="L33" s="444">
        <f t="shared" ca="1" si="3"/>
        <v>2793497.8426127317</v>
      </c>
      <c r="M33" s="460">
        <f t="shared" si="6"/>
        <v>0.05</v>
      </c>
      <c r="N33" s="464">
        <f t="shared" si="7"/>
        <v>52048</v>
      </c>
    </row>
    <row r="34" spans="1:14" ht="11.25" customHeight="1" x14ac:dyDescent="0.3">
      <c r="A34" s="459">
        <v>27</v>
      </c>
      <c r="B34" s="447">
        <f t="shared" ca="1" si="4"/>
        <v>1908214.8389191749</v>
      </c>
      <c r="C34" s="447">
        <f t="shared" si="0"/>
        <v>94754.855757842233</v>
      </c>
      <c r="D34" s="447">
        <f ca="1">SUMIF(G:G,27,K:K)</f>
        <v>95021.996880238192</v>
      </c>
      <c r="E34" s="447">
        <f t="shared" ca="1" si="1"/>
        <v>1908481.9800415707</v>
      </c>
      <c r="F34" s="431"/>
      <c r="G34" s="459">
        <v>3</v>
      </c>
      <c r="H34" s="459">
        <v>27</v>
      </c>
      <c r="I34" s="444">
        <f t="shared" ca="1" si="5"/>
        <v>2793497.8426127317</v>
      </c>
      <c r="J34" s="444">
        <f t="array" ref="J34">IFERROR(INDEX('Retirement Calculator'!J:J,MATCH('Isaac 401k'!N34,'Retirement Calculator'!A:A,0),0),0)</f>
        <v>31459.43324439897</v>
      </c>
      <c r="K34" s="444">
        <f t="shared" ca="1" si="2"/>
        <v>11508.493372368053</v>
      </c>
      <c r="L34" s="444">
        <f t="shared" ca="1" si="3"/>
        <v>2773546.9027407011</v>
      </c>
      <c r="M34" s="460">
        <f t="shared" si="6"/>
        <v>0.05</v>
      </c>
      <c r="N34" s="464">
        <f t="shared" si="7"/>
        <v>52079</v>
      </c>
    </row>
    <row r="35" spans="1:14" ht="11.25" customHeight="1" x14ac:dyDescent="0.3">
      <c r="A35" s="459">
        <v>28</v>
      </c>
      <c r="B35" s="447">
        <f t="shared" ca="1" si="4"/>
        <v>1908481.9800415707</v>
      </c>
      <c r="C35" s="447">
        <f t="shared" si="0"/>
        <v>94754.855757842233</v>
      </c>
      <c r="D35" s="447">
        <f ca="1">SUMIF(G:G,28,K:K)</f>
        <v>95035.664327062201</v>
      </c>
      <c r="E35" s="447">
        <f t="shared" ca="1" si="1"/>
        <v>1908762.7886107906</v>
      </c>
      <c r="F35" s="431"/>
      <c r="G35" s="459">
        <v>3</v>
      </c>
      <c r="H35" s="459">
        <v>28</v>
      </c>
      <c r="I35" s="444">
        <f t="shared" ca="1" si="5"/>
        <v>2773546.9027407011</v>
      </c>
      <c r="J35" s="444">
        <f t="array" ref="J35">IFERROR(INDEX('Retirement Calculator'!J:J,MATCH('Isaac 401k'!N35,'Retirement Calculator'!A:A,0),0),0)</f>
        <v>31459.43324439897</v>
      </c>
      <c r="K35" s="444">
        <f t="shared" ca="1" si="2"/>
        <v>11425.364456234593</v>
      </c>
      <c r="L35" s="444">
        <f t="shared" ca="1" si="3"/>
        <v>2753512.8339525368</v>
      </c>
      <c r="M35" s="460">
        <f t="shared" si="6"/>
        <v>0.05</v>
      </c>
      <c r="N35" s="464">
        <f t="shared" si="7"/>
        <v>52110</v>
      </c>
    </row>
    <row r="36" spans="1:14" ht="11.25" customHeight="1" x14ac:dyDescent="0.3">
      <c r="A36" s="459">
        <v>29</v>
      </c>
      <c r="B36" s="447">
        <f t="shared" ca="1" si="4"/>
        <v>1908762.7886107906</v>
      </c>
      <c r="C36" s="447">
        <f t="shared" si="0"/>
        <v>94754.855757842233</v>
      </c>
      <c r="D36" s="447">
        <f ca="1">SUMIF(G:G,29,K:K)</f>
        <v>95050.031026404919</v>
      </c>
      <c r="E36" s="447">
        <f t="shared" ca="1" si="1"/>
        <v>1909057.9638793531</v>
      </c>
      <c r="F36" s="431"/>
      <c r="G36" s="459">
        <v>3</v>
      </c>
      <c r="H36" s="459">
        <v>29</v>
      </c>
      <c r="I36" s="444">
        <f t="shared" ca="1" si="5"/>
        <v>2753512.8339525368</v>
      </c>
      <c r="J36" s="444">
        <f t="array" ref="J36">IFERROR(INDEX('Retirement Calculator'!J:J,MATCH('Isaac 401k'!N36,'Retirement Calculator'!A:A,0),0),0)</f>
        <v>31459.43324439897</v>
      </c>
      <c r="K36" s="444">
        <f t="shared" ca="1" si="2"/>
        <v>11341.889169617241</v>
      </c>
      <c r="L36" s="444">
        <f t="shared" ca="1" si="3"/>
        <v>2733395.2898777551</v>
      </c>
      <c r="M36" s="460">
        <f t="shared" si="6"/>
        <v>0.05</v>
      </c>
      <c r="N36" s="464">
        <f t="shared" si="7"/>
        <v>52140</v>
      </c>
    </row>
    <row r="37" spans="1:14" ht="11.25" customHeight="1" x14ac:dyDescent="0.3">
      <c r="A37" s="459">
        <v>30</v>
      </c>
      <c r="B37" s="447">
        <f t="shared" ca="1" si="4"/>
        <v>1909057.9638793531</v>
      </c>
      <c r="C37" s="447">
        <f t="shared" si="0"/>
        <v>94754.855757842233</v>
      </c>
      <c r="D37" s="447">
        <f ca="1">SUMIF(G:G,30,K:K)</f>
        <v>95065.132753352344</v>
      </c>
      <c r="E37" s="447">
        <f t="shared" ca="1" si="1"/>
        <v>1909368.2408748632</v>
      </c>
      <c r="F37" s="431"/>
      <c r="G37" s="459">
        <v>3</v>
      </c>
      <c r="H37" s="459">
        <v>30</v>
      </c>
      <c r="I37" s="444">
        <f t="shared" ca="1" si="5"/>
        <v>2733395.2898777551</v>
      </c>
      <c r="J37" s="444">
        <f t="array" ref="J37">IFERROR(INDEX('Retirement Calculator'!J:J,MATCH('Isaac 401k'!N37,'Retirement Calculator'!A:A,0),0),0)</f>
        <v>31459.43324439897</v>
      </c>
      <c r="K37" s="444">
        <f t="shared" ca="1" si="2"/>
        <v>11258.066069305651</v>
      </c>
      <c r="L37" s="444">
        <f t="shared" ca="1" si="3"/>
        <v>2713193.9227026622</v>
      </c>
      <c r="M37" s="460">
        <f t="shared" si="6"/>
        <v>0.05</v>
      </c>
      <c r="N37" s="464">
        <f t="shared" si="7"/>
        <v>52171</v>
      </c>
    </row>
    <row r="38" spans="1:14" ht="11.25" customHeight="1" x14ac:dyDescent="0.3">
      <c r="A38" s="459">
        <v>31</v>
      </c>
      <c r="B38" s="447">
        <f t="shared" ca="1" si="4"/>
        <v>1909368.2408748632</v>
      </c>
      <c r="C38" s="447">
        <f t="shared" si="0"/>
        <v>94754.855757842233</v>
      </c>
      <c r="D38" s="447">
        <f ca="1">SUMIF(G:G,31,K:K)</f>
        <v>95081.007113311658</v>
      </c>
      <c r="E38" s="447">
        <f t="shared" ca="1" si="1"/>
        <v>1909694.3922303326</v>
      </c>
      <c r="F38" s="431"/>
      <c r="G38" s="459">
        <v>3</v>
      </c>
      <c r="H38" s="459">
        <v>31</v>
      </c>
      <c r="I38" s="444">
        <f t="shared" ca="1" si="5"/>
        <v>2713193.9227026622</v>
      </c>
      <c r="J38" s="444">
        <f t="array" ref="J38">IFERROR(INDEX('Retirement Calculator'!J:J,MATCH('Isaac 401k'!N38,'Retirement Calculator'!A:A,0),0),0)</f>
        <v>31459.43324439897</v>
      </c>
      <c r="K38" s="444">
        <f t="shared" ca="1" si="2"/>
        <v>11173.893706076098</v>
      </c>
      <c r="L38" s="444">
        <f t="shared" ca="1" si="3"/>
        <v>2692908.3831643397</v>
      </c>
      <c r="M38" s="460">
        <f t="shared" si="6"/>
        <v>0.05</v>
      </c>
      <c r="N38" s="464">
        <f t="shared" si="7"/>
        <v>52201</v>
      </c>
    </row>
    <row r="39" spans="1:14" ht="11.25" customHeight="1" x14ac:dyDescent="0.3">
      <c r="A39" s="459">
        <v>32</v>
      </c>
      <c r="B39" s="447">
        <f t="shared" ca="1" si="4"/>
        <v>1909694.3922303326</v>
      </c>
      <c r="C39" s="447">
        <f t="shared" si="0"/>
        <v>94754.855757842233</v>
      </c>
      <c r="D39" s="447">
        <f ca="1">SUMIF(G:G,32,K:K)</f>
        <v>95097.693635654156</v>
      </c>
      <c r="E39" s="447">
        <f t="shared" ca="1" si="1"/>
        <v>1910037.2301081445</v>
      </c>
      <c r="F39" s="431"/>
      <c r="G39" s="459">
        <v>3</v>
      </c>
      <c r="H39" s="459">
        <v>32</v>
      </c>
      <c r="I39" s="444">
        <f t="shared" ca="1" si="5"/>
        <v>2692908.3831643397</v>
      </c>
      <c r="J39" s="444">
        <f t="array" ref="J39">IFERROR(INDEX('Retirement Calculator'!J:J,MATCH('Isaac 401k'!N39,'Retirement Calculator'!A:A,0),0),0)</f>
        <v>31459.43324439897</v>
      </c>
      <c r="K39" s="444">
        <f t="shared" ca="1" si="2"/>
        <v>11089.370624666421</v>
      </c>
      <c r="L39" s="444">
        <f t="shared" ca="1" si="3"/>
        <v>2672538.3205446075</v>
      </c>
      <c r="M39" s="460">
        <f t="shared" si="6"/>
        <v>0.05</v>
      </c>
      <c r="N39" s="464">
        <f t="shared" si="7"/>
        <v>52232</v>
      </c>
    </row>
    <row r="40" spans="1:14" ht="11.25" customHeight="1" x14ac:dyDescent="0.3">
      <c r="A40" s="459">
        <v>33</v>
      </c>
      <c r="B40" s="447">
        <f t="shared" ca="1" si="4"/>
        <v>1910037.2301081445</v>
      </c>
      <c r="C40" s="447">
        <f t="shared" si="0"/>
        <v>94754.855757842233</v>
      </c>
      <c r="D40" s="447">
        <f ca="1">SUMIF(G:G,33,K:K)</f>
        <v>95115.233872148732</v>
      </c>
      <c r="E40" s="447">
        <f t="shared" ca="1" si="1"/>
        <v>1910397.6082224508</v>
      </c>
      <c r="F40" s="431"/>
      <c r="G40" s="459">
        <v>3</v>
      </c>
      <c r="H40" s="459">
        <v>33</v>
      </c>
      <c r="I40" s="444">
        <f t="shared" ca="1" si="5"/>
        <v>2672538.3205446075</v>
      </c>
      <c r="J40" s="444">
        <f t="array" ref="J40">IFERROR(INDEX('Retirement Calculator'!J:J,MATCH('Isaac 401k'!N40,'Retirement Calculator'!A:A,0),0),0)</f>
        <v>31459.43324439897</v>
      </c>
      <c r="K40" s="444">
        <f t="shared" ca="1" si="2"/>
        <v>11004.49536375087</v>
      </c>
      <c r="L40" s="444">
        <f t="shared" ca="1" si="3"/>
        <v>2652083.3826639596</v>
      </c>
      <c r="M40" s="460">
        <f t="shared" si="6"/>
        <v>0.05</v>
      </c>
      <c r="N40" s="464">
        <f t="shared" si="7"/>
        <v>52263</v>
      </c>
    </row>
    <row r="41" spans="1:14" ht="11.25" customHeight="1" x14ac:dyDescent="0.3">
      <c r="A41" s="459">
        <v>34</v>
      </c>
      <c r="B41" s="447">
        <f t="shared" ca="1" si="4"/>
        <v>1910397.6082224508</v>
      </c>
      <c r="C41" s="447">
        <f t="shared" si="0"/>
        <v>94754.855757842233</v>
      </c>
      <c r="D41" s="447">
        <f ca="1">SUMIF(G:G,34,K:K)</f>
        <v>95133.671500431665</v>
      </c>
      <c r="E41" s="447">
        <f t="shared" ca="1" si="1"/>
        <v>1910776.4239650401</v>
      </c>
      <c r="F41" s="431"/>
      <c r="G41" s="459">
        <v>3</v>
      </c>
      <c r="H41" s="459">
        <v>34</v>
      </c>
      <c r="I41" s="444">
        <f t="shared" ca="1" si="5"/>
        <v>2652083.3826639596</v>
      </c>
      <c r="J41" s="444">
        <f t="array" ref="J41">IFERROR(INDEX('Retirement Calculator'!J:J,MATCH('Isaac 401k'!N41,'Retirement Calculator'!A:A,0),0),0)</f>
        <v>31459.43324439897</v>
      </c>
      <c r="K41" s="444">
        <f t="shared" ca="1" si="2"/>
        <v>10919.266455914836</v>
      </c>
      <c r="L41" s="444">
        <f t="shared" ca="1" si="3"/>
        <v>2631543.2158754757</v>
      </c>
      <c r="M41" s="460">
        <f t="shared" si="6"/>
        <v>0.05</v>
      </c>
      <c r="N41" s="464">
        <f t="shared" si="7"/>
        <v>52291</v>
      </c>
    </row>
    <row r="42" spans="1:14" ht="11.25" customHeight="1" x14ac:dyDescent="0.3">
      <c r="A42" s="459">
        <v>35</v>
      </c>
      <c r="B42" s="447">
        <f t="shared" ca="1" si="4"/>
        <v>1910776.4239650401</v>
      </c>
      <c r="C42" s="447">
        <f t="shared" si="0"/>
        <v>94754.855757842233</v>
      </c>
      <c r="D42" s="447">
        <f ca="1">SUMIF(G:G,35,K:K)</f>
        <v>95153.052432769968</v>
      </c>
      <c r="E42" s="447">
        <f t="shared" ca="1" si="1"/>
        <v>1911174.6206399677</v>
      </c>
      <c r="F42" s="431"/>
      <c r="G42" s="459">
        <v>3</v>
      </c>
      <c r="H42" s="459">
        <v>35</v>
      </c>
      <c r="I42" s="444">
        <f t="shared" ca="1" si="5"/>
        <v>2631543.2158754757</v>
      </c>
      <c r="J42" s="444">
        <f t="array" ref="J42">IFERROR(INDEX('Retirement Calculator'!J:J,MATCH('Isaac 401k'!N42,'Retirement Calculator'!A:A,0),0),0)</f>
        <v>31459.43324439897</v>
      </c>
      <c r="K42" s="444">
        <f t="shared" ca="1" si="2"/>
        <v>10833.682427629486</v>
      </c>
      <c r="L42" s="444">
        <f t="shared" ca="1" si="3"/>
        <v>2610917.4650587062</v>
      </c>
      <c r="M42" s="460">
        <f t="shared" si="6"/>
        <v>0.05</v>
      </c>
      <c r="N42" s="464">
        <f t="shared" si="7"/>
        <v>52322</v>
      </c>
    </row>
    <row r="43" spans="1:14" ht="11.25" customHeight="1" x14ac:dyDescent="0.3">
      <c r="A43" s="459">
        <v>36</v>
      </c>
      <c r="B43" s="447">
        <f t="shared" ca="1" si="4"/>
        <v>1911174.6206399677</v>
      </c>
      <c r="C43" s="447">
        <f t="shared" si="0"/>
        <v>94754.855757842233</v>
      </c>
      <c r="D43" s="447">
        <f ca="1">SUMIF(G:G,36,K:K)</f>
        <v>95173.424930389447</v>
      </c>
      <c r="E43" s="447">
        <f t="shared" ca="1" si="1"/>
        <v>1911593.1898125149</v>
      </c>
      <c r="F43" s="431"/>
      <c r="G43" s="459">
        <v>3</v>
      </c>
      <c r="H43" s="459">
        <v>36</v>
      </c>
      <c r="I43" s="444">
        <f t="shared" ca="1" si="5"/>
        <v>2610917.4650587062</v>
      </c>
      <c r="J43" s="444">
        <f t="array" ref="J43">IFERROR(INDEX('Retirement Calculator'!J:J,MATCH('Isaac 401k'!N43,'Retirement Calculator'!A:A,0),0),0)</f>
        <v>31459.43324439897</v>
      </c>
      <c r="K43" s="444">
        <f t="shared" ca="1" si="2"/>
        <v>10747.741799226282</v>
      </c>
      <c r="L43" s="444">
        <f t="shared" ca="1" si="3"/>
        <v>2590205.7736135339</v>
      </c>
      <c r="M43" s="460">
        <f t="shared" si="6"/>
        <v>0.05</v>
      </c>
      <c r="N43" s="464">
        <f t="shared" si="7"/>
        <v>52352</v>
      </c>
    </row>
    <row r="44" spans="1:14" ht="11.25" customHeight="1" x14ac:dyDescent="0.3">
      <c r="A44" s="459">
        <v>37</v>
      </c>
      <c r="B44" s="447">
        <f t="shared" ca="1" si="4"/>
        <v>1911593.1898125149</v>
      </c>
      <c r="C44" s="447">
        <f t="shared" si="0"/>
        <v>94754.855757842233</v>
      </c>
      <c r="D44" s="447">
        <f ca="1">SUMIF(G:G,37,K:K)</f>
        <v>95194.839723651719</v>
      </c>
      <c r="E44" s="447">
        <f t="shared" ca="1" si="1"/>
        <v>1912033.1737783244</v>
      </c>
      <c r="F44" s="431"/>
      <c r="G44" s="459">
        <v>4</v>
      </c>
      <c r="H44" s="459">
        <v>37</v>
      </c>
      <c r="I44" s="444">
        <f t="shared" ca="1" si="5"/>
        <v>2590205.7736135339</v>
      </c>
      <c r="J44" s="444">
        <f t="array" ref="J44">IFERROR(INDEX('Retirement Calculator'!J:J,MATCH('Isaac 401k'!N44,'Retirement Calculator'!A:A,0),0),0)</f>
        <v>31459.43324439897</v>
      </c>
      <c r="K44" s="444">
        <f t="shared" ca="1" si="2"/>
        <v>10661.443084871396</v>
      </c>
      <c r="L44" s="444">
        <f t="shared" ca="1" si="3"/>
        <v>2569407.7834540065</v>
      </c>
      <c r="M44" s="460">
        <f t="shared" si="6"/>
        <v>0.05</v>
      </c>
      <c r="N44" s="464">
        <f t="shared" si="7"/>
        <v>52383</v>
      </c>
    </row>
    <row r="45" spans="1:14" ht="11.25" customHeight="1" x14ac:dyDescent="0.3">
      <c r="A45" s="459">
        <v>38</v>
      </c>
      <c r="B45" s="447">
        <f t="shared" ca="1" si="4"/>
        <v>1912033.1737783244</v>
      </c>
      <c r="C45" s="447">
        <f t="shared" si="0"/>
        <v>94754.855757842233</v>
      </c>
      <c r="D45" s="447">
        <f ca="1">SUMIF(G:G,38,K:K)</f>
        <v>95217.350138380032</v>
      </c>
      <c r="E45" s="447">
        <f t="shared" ca="1" si="1"/>
        <v>1912495.668158862</v>
      </c>
      <c r="F45" s="431"/>
      <c r="G45" s="459">
        <v>4</v>
      </c>
      <c r="H45" s="459">
        <v>38</v>
      </c>
      <c r="I45" s="444">
        <f t="shared" ca="1" si="5"/>
        <v>2569407.7834540065</v>
      </c>
      <c r="J45" s="444">
        <f t="array" ref="J45">IFERROR(INDEX('Retirement Calculator'!J:J,MATCH('Isaac 401k'!N45,'Retirement Calculator'!A:A,0),0),0)</f>
        <v>31459.43324439897</v>
      </c>
      <c r="K45" s="444">
        <f t="shared" ca="1" si="2"/>
        <v>10574.784792540033</v>
      </c>
      <c r="L45" s="444">
        <f t="shared" ca="1" si="3"/>
        <v>2548523.1350021479</v>
      </c>
      <c r="M45" s="460">
        <f t="shared" si="6"/>
        <v>0.05</v>
      </c>
      <c r="N45" s="464">
        <f t="shared" si="7"/>
        <v>52413</v>
      </c>
    </row>
    <row r="46" spans="1:14" ht="11.25" customHeight="1" x14ac:dyDescent="0.3">
      <c r="A46" s="459">
        <v>39</v>
      </c>
      <c r="B46" s="447">
        <f t="shared" ca="1" si="4"/>
        <v>1912495.668158862</v>
      </c>
      <c r="C46" s="447">
        <f t="shared" si="0"/>
        <v>94754.855757842233</v>
      </c>
      <c r="D46" s="447">
        <f ca="1">SUMIF(G:G,39,K:K)</f>
        <v>95241.01222864796</v>
      </c>
      <c r="E46" s="447">
        <f t="shared" ca="1" si="1"/>
        <v>1912981.8246296677</v>
      </c>
      <c r="F46" s="431"/>
      <c r="G46" s="459">
        <v>4</v>
      </c>
      <c r="H46" s="459">
        <v>39</v>
      </c>
      <c r="I46" s="444">
        <f t="shared" ca="1" si="5"/>
        <v>2548523.1350021479</v>
      </c>
      <c r="J46" s="444">
        <f t="array" ref="J46">IFERROR(INDEX('Retirement Calculator'!J:J,MATCH('Isaac 401k'!N46,'Retirement Calculator'!A:A,0),0),0)</f>
        <v>31459.43324439897</v>
      </c>
      <c r="K46" s="444">
        <f t="shared" ca="1" si="2"/>
        <v>10487.765423990621</v>
      </c>
      <c r="L46" s="444">
        <f t="shared" ca="1" si="3"/>
        <v>2527551.4671817399</v>
      </c>
      <c r="M46" s="460">
        <f t="shared" si="6"/>
        <v>0.05</v>
      </c>
      <c r="N46" s="464">
        <f t="shared" si="7"/>
        <v>52444</v>
      </c>
    </row>
    <row r="47" spans="1:14" ht="11.25" customHeight="1" x14ac:dyDescent="0.3">
      <c r="A47" s="459">
        <v>40</v>
      </c>
      <c r="B47" s="447">
        <f t="shared" ca="1" si="4"/>
        <v>1912981.8246296677</v>
      </c>
      <c r="C47" s="447">
        <f t="shared" si="0"/>
        <v>94754.855757842233</v>
      </c>
      <c r="D47" s="447">
        <f ca="1">SUMIF(G:G,40,K:K)</f>
        <v>95265.884916361843</v>
      </c>
      <c r="E47" s="447">
        <f t="shared" ca="1" si="1"/>
        <v>1913492.8537881873</v>
      </c>
      <c r="F47" s="431"/>
      <c r="G47" s="459">
        <v>4</v>
      </c>
      <c r="H47" s="459">
        <v>40</v>
      </c>
      <c r="I47" s="444">
        <f t="shared" ca="1" si="5"/>
        <v>2527551.4671817399</v>
      </c>
      <c r="J47" s="444">
        <f t="array" ref="J47">IFERROR(INDEX('Retirement Calculator'!J:J,MATCH('Isaac 401k'!N47,'Retirement Calculator'!A:A,0),0),0)</f>
        <v>31459.43324439897</v>
      </c>
      <c r="K47" s="444">
        <f t="shared" ca="1" si="2"/>
        <v>10400.383474738921</v>
      </c>
      <c r="L47" s="444">
        <f t="shared" ca="1" si="3"/>
        <v>2506492.4174120799</v>
      </c>
      <c r="M47" s="460">
        <f t="shared" si="6"/>
        <v>0.05</v>
      </c>
      <c r="N47" s="464">
        <f t="shared" si="7"/>
        <v>52475</v>
      </c>
    </row>
    <row r="48" spans="1:14" ht="11.25" customHeight="1" x14ac:dyDescent="0.3">
      <c r="A48" s="459">
        <v>41</v>
      </c>
      <c r="B48" s="447">
        <f t="shared" ca="1" si="4"/>
        <v>1913492.8537881873</v>
      </c>
      <c r="C48" s="447">
        <f t="shared" si="0"/>
        <v>94754.855757842233</v>
      </c>
      <c r="D48" s="447">
        <f ca="1">SUMIF(G:G,41,K:K)</f>
        <v>95292.030137984548</v>
      </c>
      <c r="E48" s="447">
        <f t="shared" ca="1" si="1"/>
        <v>1914030.0281683295</v>
      </c>
      <c r="F48" s="431"/>
      <c r="G48" s="459">
        <v>4</v>
      </c>
      <c r="H48" s="459">
        <v>41</v>
      </c>
      <c r="I48" s="444">
        <f t="shared" ca="1" si="5"/>
        <v>2506492.4174120799</v>
      </c>
      <c r="J48" s="444">
        <f t="array" ref="J48">IFERROR(INDEX('Retirement Calculator'!J:J,MATCH('Isaac 401k'!N48,'Retirement Calculator'!A:A,0),0),0)</f>
        <v>31459.43324439897</v>
      </c>
      <c r="K48" s="444">
        <f t="shared" ca="1" si="2"/>
        <v>10312.637434032004</v>
      </c>
      <c r="L48" s="444">
        <f t="shared" ca="1" si="3"/>
        <v>2485345.6216017129</v>
      </c>
      <c r="M48" s="460">
        <f t="shared" si="6"/>
        <v>0.05</v>
      </c>
      <c r="N48" s="464">
        <f t="shared" si="7"/>
        <v>52505</v>
      </c>
    </row>
    <row r="49" spans="1:14" ht="11.25" customHeight="1" x14ac:dyDescent="0.3">
      <c r="A49" s="459">
        <v>42</v>
      </c>
      <c r="B49" s="447">
        <f t="shared" ca="1" si="4"/>
        <v>1914030.0281683295</v>
      </c>
      <c r="C49" s="447">
        <f t="shared" si="0"/>
        <v>94754.855757842233</v>
      </c>
      <c r="D49" s="447">
        <f ca="1">SUMIF(G:G,42,K:K)</f>
        <v>95319.512998766062</v>
      </c>
      <c r="E49" s="447">
        <f t="shared" ca="1" si="1"/>
        <v>1914594.6854092532</v>
      </c>
      <c r="F49" s="431"/>
      <c r="G49" s="459">
        <v>4</v>
      </c>
      <c r="H49" s="459">
        <v>42</v>
      </c>
      <c r="I49" s="444">
        <f t="shared" ca="1" si="5"/>
        <v>2485345.6216017129</v>
      </c>
      <c r="J49" s="444">
        <f t="array" ref="J49">IFERROR(INDEX('Retirement Calculator'!J:J,MATCH('Isaac 401k'!N49,'Retirement Calculator'!A:A,0),0),0)</f>
        <v>31459.43324439897</v>
      </c>
      <c r="K49" s="444">
        <f t="shared" ca="1" si="2"/>
        <v>10224.525784822143</v>
      </c>
      <c r="L49" s="444">
        <f t="shared" ca="1" si="3"/>
        <v>2464110.7141421363</v>
      </c>
      <c r="M49" s="460">
        <f t="shared" si="6"/>
        <v>0.05</v>
      </c>
      <c r="N49" s="464">
        <f t="shared" si="7"/>
        <v>52536</v>
      </c>
    </row>
    <row r="50" spans="1:14" ht="11.25" customHeight="1" x14ac:dyDescent="0.3">
      <c r="A50" s="459">
        <v>43</v>
      </c>
      <c r="B50" s="447">
        <f t="shared" ca="1" si="4"/>
        <v>1914594.6854092532</v>
      </c>
      <c r="C50" s="447">
        <f t="shared" si="0"/>
        <v>94754.855757842233</v>
      </c>
      <c r="D50" s="447">
        <f ca="1">SUMIF(G:G,43,K:K)</f>
        <v>95348.401934864363</v>
      </c>
      <c r="E50" s="447">
        <f t="shared" ca="1" si="1"/>
        <v>1915188.2315862754</v>
      </c>
      <c r="F50" s="431"/>
      <c r="G50" s="459">
        <v>4</v>
      </c>
      <c r="H50" s="459">
        <v>43</v>
      </c>
      <c r="I50" s="444">
        <f t="shared" ca="1" si="5"/>
        <v>2464110.7141421363</v>
      </c>
      <c r="J50" s="444">
        <f t="array" ref="J50">IFERROR(INDEX('Retirement Calculator'!J:J,MATCH('Isaac 401k'!N50,'Retirement Calculator'!A:A,0),0),0)</f>
        <v>30683.43324439897</v>
      </c>
      <c r="K50" s="444">
        <f t="shared" ca="1" si="2"/>
        <v>10139.280337073906</v>
      </c>
      <c r="L50" s="444">
        <f t="shared" ca="1" si="3"/>
        <v>2443566.5612348113</v>
      </c>
      <c r="M50" s="460">
        <f t="shared" si="6"/>
        <v>0.05</v>
      </c>
      <c r="N50" s="464">
        <f t="shared" si="7"/>
        <v>52566</v>
      </c>
    </row>
    <row r="51" spans="1:14" ht="11.25" customHeight="1" x14ac:dyDescent="0.3">
      <c r="A51" s="459">
        <v>44</v>
      </c>
      <c r="B51" s="447">
        <f t="shared" ca="1" si="4"/>
        <v>1915188.2315862754</v>
      </c>
      <c r="C51" s="447">
        <f t="shared" si="0"/>
        <v>94754.855757842233</v>
      </c>
      <c r="D51" s="447">
        <f ca="1">SUMIF(G:G,44,K:K)</f>
        <v>95378.768883761237</v>
      </c>
      <c r="E51" s="447">
        <f t="shared" ca="1" si="1"/>
        <v>1915812.1447121943</v>
      </c>
      <c r="F51" s="431"/>
      <c r="G51" s="459">
        <v>4</v>
      </c>
      <c r="H51" s="459">
        <v>44</v>
      </c>
      <c r="I51" s="444">
        <f t="shared" ca="1" si="5"/>
        <v>2443566.5612348113</v>
      </c>
      <c r="J51" s="444">
        <f t="array" ref="J51">IFERROR(INDEX('Retirement Calculator'!J:J,MATCH('Isaac 401k'!N51,'Retirement Calculator'!A:A,0),0),0)</f>
        <v>30683.43324439897</v>
      </c>
      <c r="K51" s="444">
        <f t="shared" ca="1" si="2"/>
        <v>10053.679699960052</v>
      </c>
      <c r="L51" s="444">
        <f t="shared" ca="1" si="3"/>
        <v>2422936.8076903727</v>
      </c>
      <c r="M51" s="460">
        <f t="shared" si="6"/>
        <v>0.05</v>
      </c>
      <c r="N51" s="464">
        <f t="shared" si="7"/>
        <v>52597</v>
      </c>
    </row>
    <row r="52" spans="1:14" ht="11.25" customHeight="1" x14ac:dyDescent="0.3">
      <c r="A52" s="459">
        <v>45</v>
      </c>
      <c r="B52" s="447">
        <f t="shared" ca="1" si="4"/>
        <v>1915812.1447121943</v>
      </c>
      <c r="C52" s="447">
        <f t="shared" si="0"/>
        <v>94754.855757842233</v>
      </c>
      <c r="D52" s="447">
        <f ca="1">SUMIF(G:G,45,K:K)</f>
        <v>95410.689463396571</v>
      </c>
      <c r="E52" s="447">
        <f t="shared" ca="1" si="1"/>
        <v>1916467.9784177486</v>
      </c>
      <c r="F52" s="431"/>
      <c r="G52" s="459">
        <v>4</v>
      </c>
      <c r="H52" s="459">
        <v>45</v>
      </c>
      <c r="I52" s="444">
        <f t="shared" ca="1" si="5"/>
        <v>2422936.8076903727</v>
      </c>
      <c r="J52" s="444">
        <f t="array" ref="J52">IFERROR(INDEX('Retirement Calculator'!J:J,MATCH('Isaac 401k'!N52,'Retirement Calculator'!A:A,0),0),0)</f>
        <v>30683.43324439897</v>
      </c>
      <c r="K52" s="444">
        <f t="shared" ca="1" si="2"/>
        <v>9967.7223935248912</v>
      </c>
      <c r="L52" s="444">
        <f t="shared" ca="1" si="3"/>
        <v>2402221.0968394987</v>
      </c>
      <c r="M52" s="460">
        <f t="shared" si="6"/>
        <v>0.05</v>
      </c>
      <c r="N52" s="464">
        <f t="shared" si="7"/>
        <v>52628</v>
      </c>
    </row>
    <row r="53" spans="1:14" ht="11.25" customHeight="1" x14ac:dyDescent="0.3">
      <c r="A53" s="459">
        <v>46</v>
      </c>
      <c r="B53" s="447">
        <f t="shared" ca="1" si="4"/>
        <v>1916467.9784177486</v>
      </c>
      <c r="C53" s="447">
        <f t="shared" si="0"/>
        <v>94754.855757842233</v>
      </c>
      <c r="D53" s="447">
        <f ca="1">SUMIF(G:G,46,K:K)</f>
        <v>95444.243160467522</v>
      </c>
      <c r="E53" s="447">
        <f t="shared" ca="1" si="1"/>
        <v>1917157.3658203739</v>
      </c>
      <c r="F53" s="431"/>
      <c r="G53" s="459">
        <v>4</v>
      </c>
      <c r="H53" s="459">
        <v>46</v>
      </c>
      <c r="I53" s="444">
        <f t="shared" ca="1" si="5"/>
        <v>2402221.0968394987</v>
      </c>
      <c r="J53" s="444">
        <f t="array" ref="J53">IFERROR(INDEX('Retirement Calculator'!J:J,MATCH('Isaac 401k'!N53,'Retirement Calculator'!A:A,0),0),0)</f>
        <v>30683.43324439897</v>
      </c>
      <c r="K53" s="444">
        <f t="shared" ca="1" si="2"/>
        <v>9881.4069316462501</v>
      </c>
      <c r="L53" s="444">
        <f t="shared" ca="1" si="3"/>
        <v>2381419.0705267461</v>
      </c>
      <c r="M53" s="460">
        <f t="shared" si="6"/>
        <v>0.05</v>
      </c>
      <c r="N53" s="464">
        <f t="shared" si="7"/>
        <v>52657</v>
      </c>
    </row>
    <row r="54" spans="1:14" ht="11.25" customHeight="1" x14ac:dyDescent="0.3">
      <c r="A54" s="459">
        <v>47</v>
      </c>
      <c r="B54" s="447">
        <f t="shared" ca="1" si="4"/>
        <v>1917157.3658203739</v>
      </c>
      <c r="C54" s="447">
        <f t="shared" si="0"/>
        <v>94754.855757842233</v>
      </c>
      <c r="D54" s="447">
        <f ca="1">SUMIF(G:G,47,K:K)</f>
        <v>95479.513528361538</v>
      </c>
      <c r="E54" s="447">
        <f t="shared" ca="1" si="1"/>
        <v>1917882.023590893</v>
      </c>
      <c r="F54" s="431"/>
      <c r="G54" s="459">
        <v>4</v>
      </c>
      <c r="H54" s="459">
        <v>47</v>
      </c>
      <c r="I54" s="444">
        <f t="shared" ca="1" si="5"/>
        <v>2381419.0705267461</v>
      </c>
      <c r="J54" s="444">
        <f t="array" ref="J54">IFERROR(INDEX('Retirement Calculator'!J:J,MATCH('Isaac 401k'!N54,'Retirement Calculator'!A:A,0),0),0)</f>
        <v>30683.43324439897</v>
      </c>
      <c r="K54" s="444">
        <f t="shared" ca="1" si="2"/>
        <v>9794.7318220097804</v>
      </c>
      <c r="L54" s="444">
        <f t="shared" ca="1" si="3"/>
        <v>2360530.369104357</v>
      </c>
      <c r="M54" s="460">
        <f t="shared" si="6"/>
        <v>0.05</v>
      </c>
      <c r="N54" s="464">
        <f t="shared" si="7"/>
        <v>52688</v>
      </c>
    </row>
    <row r="55" spans="1:14" ht="11.25" customHeight="1" x14ac:dyDescent="0.3">
      <c r="A55" s="459">
        <v>48</v>
      </c>
      <c r="B55" s="447">
        <f t="shared" ca="1" si="4"/>
        <v>1917882.023590893</v>
      </c>
      <c r="C55" s="447">
        <f t="shared" si="0"/>
        <v>94754.855757842233</v>
      </c>
      <c r="D55" s="447">
        <f ca="1">SUMIF(G:G,48,K:K)</f>
        <v>95516.588395216007</v>
      </c>
      <c r="E55" s="447">
        <f t="shared" ca="1" si="1"/>
        <v>1918643.7562282667</v>
      </c>
      <c r="F55" s="431"/>
      <c r="G55" s="459">
        <v>4</v>
      </c>
      <c r="H55" s="459">
        <v>48</v>
      </c>
      <c r="I55" s="444">
        <f t="shared" ca="1" si="5"/>
        <v>2360530.369104357</v>
      </c>
      <c r="J55" s="444">
        <f t="array" ref="J55">IFERROR(INDEX('Retirement Calculator'!J:J,MATCH('Isaac 401k'!N55,'Retirement Calculator'!A:A,0),0),0)</f>
        <v>30683.43324439897</v>
      </c>
      <c r="K55" s="444">
        <f t="shared" ca="1" si="2"/>
        <v>9707.6955660831591</v>
      </c>
      <c r="L55" s="444">
        <f t="shared" ca="1" si="3"/>
        <v>2339554.6314260415</v>
      </c>
      <c r="M55" s="460">
        <f t="shared" si="6"/>
        <v>0.05</v>
      </c>
      <c r="N55" s="464">
        <f t="shared" si="7"/>
        <v>52718</v>
      </c>
    </row>
    <row r="56" spans="1:14" ht="11.25" customHeight="1" x14ac:dyDescent="0.3">
      <c r="A56" s="459">
        <v>49</v>
      </c>
      <c r="B56" s="447">
        <f t="shared" ca="1" si="4"/>
        <v>1918643.7562282667</v>
      </c>
      <c r="C56" s="447">
        <f t="shared" si="0"/>
        <v>94754.855757842233</v>
      </c>
      <c r="D56" s="447">
        <f ca="1">SUMIF(G:G,49,K:K)</f>
        <v>95555.560082622513</v>
      </c>
      <c r="E56" s="447">
        <f t="shared" ca="1" si="1"/>
        <v>1919444.460553047</v>
      </c>
      <c r="F56" s="431"/>
      <c r="G56" s="459">
        <f>G55+1</f>
        <v>5</v>
      </c>
      <c r="H56" s="459">
        <v>49</v>
      </c>
      <c r="I56" s="444">
        <f t="shared" ca="1" si="5"/>
        <v>2339554.6314260415</v>
      </c>
      <c r="J56" s="444">
        <f t="array" ref="J56">IFERROR(INDEX('Retirement Calculator'!J:J,MATCH('Isaac 401k'!N56,'Retirement Calculator'!A:A,0),0),0)</f>
        <v>30683.43324439897</v>
      </c>
      <c r="K56" s="444">
        <f t="shared" ca="1" si="2"/>
        <v>9620.2966590901779</v>
      </c>
      <c r="L56" s="444">
        <f t="shared" ca="1" si="3"/>
        <v>2318491.4948407328</v>
      </c>
      <c r="M56" s="460">
        <f t="shared" si="6"/>
        <v>0.05</v>
      </c>
      <c r="N56" s="464">
        <f t="shared" si="7"/>
        <v>52749</v>
      </c>
    </row>
    <row r="57" spans="1:14" ht="11.25" customHeight="1" x14ac:dyDescent="0.3">
      <c r="A57" s="459">
        <v>50</v>
      </c>
      <c r="B57" s="447">
        <f t="shared" ca="1" si="4"/>
        <v>1919444.460553047</v>
      </c>
      <c r="C57" s="447">
        <f t="shared" si="0"/>
        <v>94754.855757842233</v>
      </c>
      <c r="D57" s="447">
        <f ca="1">SUMIF(G:G,50,K:K)</f>
        <v>95596.525635520331</v>
      </c>
      <c r="E57" s="447">
        <f t="shared" ca="1" si="1"/>
        <v>1920286.1304307249</v>
      </c>
      <c r="F57" s="431"/>
      <c r="G57" s="459">
        <f t="shared" ref="G57:G67" si="8">G56</f>
        <v>5</v>
      </c>
      <c r="H57" s="459">
        <v>50</v>
      </c>
      <c r="I57" s="444">
        <f t="shared" ca="1" si="5"/>
        <v>2318491.4948407328</v>
      </c>
      <c r="J57" s="444">
        <f t="array" ref="J57">IFERROR(INDEX('Retirement Calculator'!J:J,MATCH('Isaac 401k'!N57,'Retirement Calculator'!A:A,0),0),0)</f>
        <v>30683.43324439897</v>
      </c>
      <c r="K57" s="444">
        <f t="shared" ca="1" si="2"/>
        <v>9532.533589984725</v>
      </c>
      <c r="L57" s="444">
        <f t="shared" ca="1" si="3"/>
        <v>2297340.5951863187</v>
      </c>
      <c r="M57" s="460">
        <f t="shared" si="6"/>
        <v>0.05</v>
      </c>
      <c r="N57" s="464">
        <f t="shared" si="7"/>
        <v>52779</v>
      </c>
    </row>
    <row r="58" spans="1:14" ht="11.25" customHeight="1" x14ac:dyDescent="0.3">
      <c r="A58" s="459">
        <v>51</v>
      </c>
      <c r="B58" s="447">
        <f t="shared" ca="1" si="4"/>
        <v>1920286.1304307249</v>
      </c>
      <c r="C58" s="447">
        <f t="shared" si="0"/>
        <v>94754.855757842233</v>
      </c>
      <c r="D58" s="447">
        <f ca="1">SUMIF(G:G,51,K:K)</f>
        <v>95639.587063852217</v>
      </c>
      <c r="E58" s="447">
        <f t="shared" ca="1" si="1"/>
        <v>1921170.8617367349</v>
      </c>
      <c r="F58" s="431"/>
      <c r="G58" s="459">
        <f t="shared" si="8"/>
        <v>5</v>
      </c>
      <c r="H58" s="459">
        <v>51</v>
      </c>
      <c r="I58" s="444">
        <f t="shared" ca="1" si="5"/>
        <v>2297340.5951863187</v>
      </c>
      <c r="J58" s="444">
        <f t="array" ref="J58">IFERROR(INDEX('Retirement Calculator'!J:J,MATCH('Isaac 401k'!N58,'Retirement Calculator'!A:A,0),0),0)</f>
        <v>30683.43324439897</v>
      </c>
      <c r="K58" s="444">
        <f t="shared" ca="1" si="2"/>
        <v>9444.4048414246663</v>
      </c>
      <c r="L58" s="444">
        <f t="shared" ca="1" si="3"/>
        <v>2276101.5667833448</v>
      </c>
      <c r="M58" s="460">
        <f t="shared" si="6"/>
        <v>0.05</v>
      </c>
      <c r="N58" s="464">
        <f t="shared" si="7"/>
        <v>52810</v>
      </c>
    </row>
    <row r="59" spans="1:14" ht="11.25" customHeight="1" x14ac:dyDescent="0.3">
      <c r="A59" s="459">
        <v>52</v>
      </c>
      <c r="B59" s="447">
        <f t="shared" ca="1" si="4"/>
        <v>1921170.8617367349</v>
      </c>
      <c r="C59" s="447">
        <f t="shared" si="0"/>
        <v>94754.855757842233</v>
      </c>
      <c r="D59" s="447">
        <f ca="1">SUMIF(G:G,52,K:K)</f>
        <v>95684.85159658303</v>
      </c>
      <c r="E59" s="447">
        <f t="shared" ca="1" si="1"/>
        <v>1922100.8575754757</v>
      </c>
      <c r="F59" s="431"/>
      <c r="G59" s="459">
        <f t="shared" si="8"/>
        <v>5</v>
      </c>
      <c r="H59" s="459">
        <v>52</v>
      </c>
      <c r="I59" s="444">
        <f t="shared" ca="1" si="5"/>
        <v>2276101.5667833448</v>
      </c>
      <c r="J59" s="444">
        <f t="array" ref="J59">IFERROR(INDEX('Retirement Calculator'!J:J,MATCH('Isaac 401k'!N59,'Retirement Calculator'!A:A,0),0),0)</f>
        <v>30683.43324439897</v>
      </c>
      <c r="K59" s="444">
        <f t="shared" ca="1" si="2"/>
        <v>9355.9088897456077</v>
      </c>
      <c r="L59" s="444">
        <f t="shared" ca="1" si="3"/>
        <v>2254774.0424286919</v>
      </c>
      <c r="M59" s="460">
        <f t="shared" si="6"/>
        <v>0.05</v>
      </c>
      <c r="N59" s="464">
        <f t="shared" si="7"/>
        <v>52841</v>
      </c>
    </row>
    <row r="60" spans="1:14" ht="11.25" customHeight="1" x14ac:dyDescent="0.3">
      <c r="A60" s="459">
        <v>53</v>
      </c>
      <c r="B60" s="447">
        <f t="shared" ca="1" si="4"/>
        <v>1922100.8575754757</v>
      </c>
      <c r="C60" s="447">
        <f t="shared" si="0"/>
        <v>94754.855757842233</v>
      </c>
      <c r="D60" s="447">
        <f ca="1">SUMIF(G:G,53,K:K)</f>
        <v>95732.431948715079</v>
      </c>
      <c r="E60" s="447">
        <f t="shared" ca="1" si="1"/>
        <v>1923078.4337663485</v>
      </c>
      <c r="F60" s="431"/>
      <c r="G60" s="459">
        <f t="shared" si="8"/>
        <v>5</v>
      </c>
      <c r="H60" s="459">
        <v>53</v>
      </c>
      <c r="I60" s="444">
        <f t="shared" ca="1" si="5"/>
        <v>2254774.0424286919</v>
      </c>
      <c r="J60" s="444">
        <f t="array" ref="J60">IFERROR(INDEX('Retirement Calculator'!J:J,MATCH('Isaac 401k'!N60,'Retirement Calculator'!A:A,0),0),0)</f>
        <v>30683.43324439897</v>
      </c>
      <c r="K60" s="444">
        <f t="shared" ca="1" si="2"/>
        <v>9267.0442049345547</v>
      </c>
      <c r="L60" s="444">
        <f t="shared" ca="1" si="3"/>
        <v>2233357.6533892276</v>
      </c>
      <c r="M60" s="460">
        <f t="shared" si="6"/>
        <v>0.05</v>
      </c>
      <c r="N60" s="464">
        <f t="shared" si="7"/>
        <v>52871</v>
      </c>
    </row>
    <row r="61" spans="1:14" ht="11.25" customHeight="1" x14ac:dyDescent="0.3">
      <c r="A61" s="459">
        <v>54</v>
      </c>
      <c r="B61" s="447">
        <f t="shared" ca="1" si="4"/>
        <v>1923078.4337663485</v>
      </c>
      <c r="C61" s="447">
        <f t="shared" si="0"/>
        <v>94754.855757842233</v>
      </c>
      <c r="D61" s="447">
        <f ca="1">SUMIF(G:G,54,K:K)</f>
        <v>95782.446601964097</v>
      </c>
      <c r="E61" s="447">
        <f t="shared" ca="1" si="1"/>
        <v>1924106.0246104703</v>
      </c>
      <c r="F61" s="431"/>
      <c r="G61" s="459">
        <f t="shared" si="8"/>
        <v>5</v>
      </c>
      <c r="H61" s="459">
        <v>54</v>
      </c>
      <c r="I61" s="444">
        <f t="shared" ca="1" si="5"/>
        <v>2233357.6533892276</v>
      </c>
      <c r="J61" s="444">
        <f t="array" ref="J61">IFERROR(INDEX('Retirement Calculator'!J:J,MATCH('Isaac 401k'!N61,'Retirement Calculator'!A:A,0),0),0)</f>
        <v>30683.43324439897</v>
      </c>
      <c r="K61" s="444">
        <f t="shared" ca="1" si="2"/>
        <v>9177.8092506034536</v>
      </c>
      <c r="L61" s="444">
        <f t="shared" ca="1" si="3"/>
        <v>2211852.0293954322</v>
      </c>
      <c r="M61" s="460">
        <f t="shared" si="6"/>
        <v>0.05</v>
      </c>
      <c r="N61" s="464">
        <f t="shared" si="7"/>
        <v>52902</v>
      </c>
    </row>
    <row r="62" spans="1:14" ht="11.25" customHeight="1" x14ac:dyDescent="0.3">
      <c r="A62" s="459">
        <v>55</v>
      </c>
      <c r="B62" s="447">
        <f t="shared" ca="1" si="4"/>
        <v>1924106.0246104703</v>
      </c>
      <c r="C62" s="447">
        <f t="shared" si="0"/>
        <v>94754.855757842233</v>
      </c>
      <c r="D62" s="447">
        <f ca="1">SUMIF(G:G,55,K:K)</f>
        <v>95835.020099795234</v>
      </c>
      <c r="E62" s="447">
        <f t="shared" ca="1" si="1"/>
        <v>1925186.1889524232</v>
      </c>
      <c r="F62" s="431"/>
      <c r="G62" s="459">
        <f t="shared" si="8"/>
        <v>5</v>
      </c>
      <c r="H62" s="459">
        <v>55</v>
      </c>
      <c r="I62" s="444">
        <f t="shared" ca="1" si="5"/>
        <v>2211852.0293954322</v>
      </c>
      <c r="J62" s="444">
        <f t="array" ref="J62">IFERROR(INDEX('Retirement Calculator'!J:J,MATCH('Isaac 401k'!N62,'Retirement Calculator'!A:A,0),0),0)</f>
        <v>30683.43324439897</v>
      </c>
      <c r="K62" s="444">
        <f t="shared" ca="1" si="2"/>
        <v>9088.2024839626392</v>
      </c>
      <c r="L62" s="444">
        <f t="shared" ca="1" si="3"/>
        <v>2190256.7986349962</v>
      </c>
      <c r="M62" s="460">
        <f t="shared" si="6"/>
        <v>0.05</v>
      </c>
      <c r="N62" s="464">
        <f t="shared" si="7"/>
        <v>52932</v>
      </c>
    </row>
    <row r="63" spans="1:14" ht="11.25" customHeight="1" x14ac:dyDescent="0.3">
      <c r="A63" s="459">
        <v>56</v>
      </c>
      <c r="B63" s="447">
        <f t="shared" ca="1" si="4"/>
        <v>1925186.1889524232</v>
      </c>
      <c r="C63" s="447">
        <f t="shared" si="0"/>
        <v>94754.855757842233</v>
      </c>
      <c r="D63" s="447">
        <f ca="1">SUMIF(G:G,56,K:K)</f>
        <v>95890.283357553693</v>
      </c>
      <c r="E63" s="447">
        <f t="shared" ca="1" si="1"/>
        <v>1926321.6165521345</v>
      </c>
      <c r="F63" s="431"/>
      <c r="G63" s="459">
        <f t="shared" si="8"/>
        <v>5</v>
      </c>
      <c r="H63" s="459">
        <v>56</v>
      </c>
      <c r="I63" s="444">
        <f t="shared" ca="1" si="5"/>
        <v>2190256.7986349962</v>
      </c>
      <c r="J63" s="444">
        <f t="array" ref="J63">IFERROR(INDEX('Retirement Calculator'!J:J,MATCH('Isaac 401k'!N63,'Retirement Calculator'!A:A,0),0),0)</f>
        <v>30683.43324439897</v>
      </c>
      <c r="K63" s="444">
        <f t="shared" ca="1" si="2"/>
        <v>8998.2223557941561</v>
      </c>
      <c r="L63" s="444">
        <f t="shared" ca="1" si="3"/>
        <v>2168571.5877463915</v>
      </c>
      <c r="M63" s="460">
        <f t="shared" si="6"/>
        <v>0.05</v>
      </c>
      <c r="N63" s="464">
        <f t="shared" si="7"/>
        <v>52963</v>
      </c>
    </row>
    <row r="64" spans="1:14" ht="11.25" customHeight="1" x14ac:dyDescent="0.3">
      <c r="A64" s="459">
        <v>57</v>
      </c>
      <c r="B64" s="447">
        <f t="shared" ca="1" si="4"/>
        <v>1926321.6165521345</v>
      </c>
      <c r="C64" s="447">
        <f t="shared" si="0"/>
        <v>94754.855757842233</v>
      </c>
      <c r="D64" s="447">
        <f ca="1">SUMIF(G:G,57,K:K)</f>
        <v>95948.373988462219</v>
      </c>
      <c r="E64" s="447">
        <f t="shared" ca="1" si="1"/>
        <v>1927515.1347827544</v>
      </c>
      <c r="F64" s="431"/>
      <c r="G64" s="459">
        <f t="shared" si="8"/>
        <v>5</v>
      </c>
      <c r="H64" s="459">
        <v>57</v>
      </c>
      <c r="I64" s="444">
        <f t="shared" ca="1" si="5"/>
        <v>2168571.5877463915</v>
      </c>
      <c r="J64" s="444">
        <f t="array" ref="J64">IFERROR(INDEX('Retirement Calculator'!J:J,MATCH('Isaac 401k'!N64,'Retirement Calculator'!A:A,0),0),0)</f>
        <v>30683.43324439897</v>
      </c>
      <c r="K64" s="444">
        <f t="shared" ca="1" si="2"/>
        <v>8907.8673104249701</v>
      </c>
      <c r="L64" s="444">
        <f t="shared" ca="1" si="3"/>
        <v>2146796.0218124175</v>
      </c>
      <c r="M64" s="460">
        <f t="shared" si="6"/>
        <v>0.05</v>
      </c>
      <c r="N64" s="464">
        <f t="shared" si="7"/>
        <v>52994</v>
      </c>
    </row>
    <row r="65" spans="1:14" ht="11.25" customHeight="1" x14ac:dyDescent="0.3">
      <c r="A65" s="459">
        <v>58</v>
      </c>
      <c r="B65" s="447">
        <f t="shared" ca="1" si="4"/>
        <v>1927515.1347827544</v>
      </c>
      <c r="C65" s="447">
        <f t="shared" si="0"/>
        <v>94754.855757842233</v>
      </c>
      <c r="D65" s="447">
        <f ca="1">SUMIF(G:G,58,K:K)</f>
        <v>96009.436646297167</v>
      </c>
      <c r="E65" s="447">
        <f t="shared" ca="1" si="1"/>
        <v>1928769.7156712092</v>
      </c>
      <c r="F65" s="431"/>
      <c r="G65" s="459">
        <f t="shared" si="8"/>
        <v>5</v>
      </c>
      <c r="H65" s="459">
        <v>58</v>
      </c>
      <c r="I65" s="444">
        <f t="shared" ca="1" si="5"/>
        <v>2146796.0218124175</v>
      </c>
      <c r="J65" s="444">
        <f t="array" ref="J65">IFERROR(INDEX('Retirement Calculator'!J:J,MATCH('Isaac 401k'!N65,'Retirement Calculator'!A:A,0),0),0)</f>
        <v>30683.43324439897</v>
      </c>
      <c r="K65" s="444">
        <f t="shared" ca="1" si="2"/>
        <v>8817.1357857000785</v>
      </c>
      <c r="L65" s="444">
        <f t="shared" ca="1" si="3"/>
        <v>2124929.724353719</v>
      </c>
      <c r="M65" s="460">
        <f t="shared" si="6"/>
        <v>0.05</v>
      </c>
      <c r="N65" s="464">
        <f t="shared" si="7"/>
        <v>53022</v>
      </c>
    </row>
    <row r="66" spans="1:14" ht="11.25" customHeight="1" x14ac:dyDescent="0.3">
      <c r="A66" s="459">
        <v>59</v>
      </c>
      <c r="B66" s="447">
        <f t="shared" ca="1" si="4"/>
        <v>1928769.7156712092</v>
      </c>
      <c r="C66" s="447">
        <f t="shared" si="0"/>
        <v>94754.855757842233</v>
      </c>
      <c r="D66" s="447">
        <f ca="1">SUMIF(G:G,59,K:K)</f>
        <v>96073.623385596613</v>
      </c>
      <c r="E66" s="447">
        <f t="shared" ca="1" si="1"/>
        <v>1930088.4832989634</v>
      </c>
      <c r="F66" s="431"/>
      <c r="G66" s="459">
        <f t="shared" si="8"/>
        <v>5</v>
      </c>
      <c r="H66" s="459">
        <v>59</v>
      </c>
      <c r="I66" s="444">
        <f t="shared" ca="1" si="5"/>
        <v>2124929.724353719</v>
      </c>
      <c r="J66" s="444">
        <f t="array" ref="J66">IFERROR(INDEX('Retirement Calculator'!J:J,MATCH('Isaac 401k'!N66,'Retirement Calculator'!A:A,0),0),0)</f>
        <v>30683.43324439897</v>
      </c>
      <c r="K66" s="444">
        <f t="shared" ca="1" si="2"/>
        <v>8726.0262129554994</v>
      </c>
      <c r="L66" s="444">
        <f t="shared" ca="1" si="3"/>
        <v>2102972.3173222756</v>
      </c>
      <c r="M66" s="460">
        <f t="shared" si="6"/>
        <v>0.05</v>
      </c>
      <c r="N66" s="464">
        <f t="shared" si="7"/>
        <v>53053</v>
      </c>
    </row>
    <row r="67" spans="1:14" ht="11.25" customHeight="1" x14ac:dyDescent="0.3">
      <c r="A67" s="459">
        <v>60</v>
      </c>
      <c r="B67" s="447">
        <f t="shared" ca="1" si="4"/>
        <v>1930088.4832989634</v>
      </c>
      <c r="C67" s="447">
        <f t="shared" si="0"/>
        <v>94754.855757842233</v>
      </c>
      <c r="D67" s="447">
        <f t="shared" ref="D67:D136" ca="1" si="9">SUMIF(G:G,60,K:K)</f>
        <v>96141.094040297481</v>
      </c>
      <c r="E67" s="447">
        <f t="shared" ca="1" si="1"/>
        <v>1931474.7215814185</v>
      </c>
      <c r="F67" s="431"/>
      <c r="G67" s="459">
        <f t="shared" si="8"/>
        <v>5</v>
      </c>
      <c r="H67" s="459">
        <v>60</v>
      </c>
      <c r="I67" s="444">
        <f t="shared" ca="1" si="5"/>
        <v>2102972.3173222756</v>
      </c>
      <c r="J67" s="444">
        <f t="array" ref="J67">IFERROR(INDEX('Retirement Calculator'!J:J,MATCH('Isaac 401k'!N67,'Retirement Calculator'!A:A,0),0),0)</f>
        <v>30683.43324439897</v>
      </c>
      <c r="K67" s="444">
        <f t="shared" ca="1" si="2"/>
        <v>8634.537016991153</v>
      </c>
      <c r="L67" s="444">
        <f t="shared" ca="1" si="3"/>
        <v>2080923.4210948676</v>
      </c>
      <c r="M67" s="460">
        <f t="shared" si="6"/>
        <v>0.05</v>
      </c>
      <c r="N67" s="464">
        <f t="shared" si="7"/>
        <v>53083</v>
      </c>
    </row>
    <row r="68" spans="1:14" ht="11.25" customHeight="1" x14ac:dyDescent="0.3">
      <c r="A68" s="459">
        <v>61</v>
      </c>
      <c r="B68" s="447">
        <f t="shared" ca="1" si="4"/>
        <v>1931474.7215814185</v>
      </c>
      <c r="C68" s="447">
        <f t="shared" si="0"/>
        <v>94754.855757842233</v>
      </c>
      <c r="D68" s="447">
        <f t="shared" ca="1" si="9"/>
        <v>96141.094040297481</v>
      </c>
      <c r="E68" s="447">
        <f t="shared" ca="1" si="1"/>
        <v>1932860.9598638737</v>
      </c>
      <c r="F68" s="431"/>
      <c r="G68" s="459">
        <f>G67+1</f>
        <v>6</v>
      </c>
      <c r="H68" s="459">
        <v>61</v>
      </c>
      <c r="I68" s="444">
        <f t="shared" ca="1" si="5"/>
        <v>2080923.4210948676</v>
      </c>
      <c r="J68" s="444">
        <f t="array" ref="J68">IFERROR(INDEX('Retirement Calculator'!J:J,MATCH('Isaac 401k'!N68,'Retirement Calculator'!A:A,0),0),0)</f>
        <v>30683.43324439897</v>
      </c>
      <c r="K68" s="444">
        <f t="shared" ca="1" si="2"/>
        <v>8542.666616043618</v>
      </c>
      <c r="L68" s="444">
        <f t="shared" ca="1" si="3"/>
        <v>2058782.6544665121</v>
      </c>
      <c r="M68" s="460">
        <f t="shared" si="6"/>
        <v>0.05</v>
      </c>
      <c r="N68" s="464">
        <f t="shared" si="7"/>
        <v>53114</v>
      </c>
    </row>
    <row r="69" spans="1:14" ht="11.25" customHeight="1" x14ac:dyDescent="0.3">
      <c r="A69" s="459">
        <v>62</v>
      </c>
      <c r="B69" s="447">
        <f t="shared" ca="1" si="4"/>
        <v>1932860.9598638737</v>
      </c>
      <c r="C69" s="447">
        <f t="shared" si="0"/>
        <v>94754.855757842233</v>
      </c>
      <c r="D69" s="447">
        <f t="shared" ca="1" si="9"/>
        <v>96141.094040297481</v>
      </c>
      <c r="E69" s="447">
        <f t="shared" ca="1" si="1"/>
        <v>1934247.1981463288</v>
      </c>
      <c r="F69" s="431"/>
      <c r="G69" s="459">
        <f t="shared" ref="G69:G79" si="10">G68</f>
        <v>6</v>
      </c>
      <c r="H69" s="459">
        <v>62</v>
      </c>
      <c r="I69" s="444">
        <f t="shared" ca="1" si="5"/>
        <v>2058782.6544665121</v>
      </c>
      <c r="J69" s="444">
        <f t="array" ref="J69">IFERROR(INDEX('Retirement Calculator'!J:J,MATCH('Isaac 401k'!N69,'Retirement Calculator'!A:A,0),0),0)</f>
        <v>30683.43324439897</v>
      </c>
      <c r="K69" s="444">
        <f t="shared" ca="1" si="2"/>
        <v>8450.4134217588053</v>
      </c>
      <c r="L69" s="444">
        <f t="shared" ca="1" si="3"/>
        <v>2036549.634643872</v>
      </c>
      <c r="M69" s="460">
        <f t="shared" si="6"/>
        <v>0.05</v>
      </c>
      <c r="N69" s="464">
        <f t="shared" si="7"/>
        <v>53144</v>
      </c>
    </row>
    <row r="70" spans="1:14" ht="11.25" customHeight="1" x14ac:dyDescent="0.3">
      <c r="A70" s="459">
        <v>63</v>
      </c>
      <c r="B70" s="447">
        <f t="shared" ca="1" si="4"/>
        <v>1934247.1981463288</v>
      </c>
      <c r="C70" s="447">
        <f t="shared" si="0"/>
        <v>94754.855757842233</v>
      </c>
      <c r="D70" s="447">
        <f t="shared" ca="1" si="9"/>
        <v>96141.094040297481</v>
      </c>
      <c r="E70" s="447">
        <f t="shared" ca="1" si="1"/>
        <v>1935633.4364287839</v>
      </c>
      <c r="F70" s="431"/>
      <c r="G70" s="459">
        <f t="shared" si="10"/>
        <v>6</v>
      </c>
      <c r="H70" s="459">
        <v>63</v>
      </c>
      <c r="I70" s="444">
        <f t="shared" ca="1" si="5"/>
        <v>2036549.634643872</v>
      </c>
      <c r="J70" s="444">
        <f t="array" ref="J70">IFERROR(INDEX('Retirement Calculator'!J:J,MATCH('Isaac 401k'!N70,'Retirement Calculator'!A:A,0),0),0)</f>
        <v>30683.43324439897</v>
      </c>
      <c r="K70" s="444">
        <f t="shared" ca="1" si="2"/>
        <v>8357.7758391644711</v>
      </c>
      <c r="L70" s="444">
        <f t="shared" ca="1" si="3"/>
        <v>2014223.9772386374</v>
      </c>
      <c r="M70" s="460">
        <f t="shared" si="6"/>
        <v>0.05</v>
      </c>
      <c r="N70" s="464">
        <f t="shared" si="7"/>
        <v>53175</v>
      </c>
    </row>
    <row r="71" spans="1:14" ht="11.25" customHeight="1" x14ac:dyDescent="0.3">
      <c r="A71" s="459">
        <v>64</v>
      </c>
      <c r="B71" s="447">
        <f t="shared" ca="1" si="4"/>
        <v>1935633.4364287839</v>
      </c>
      <c r="C71" s="447">
        <f t="shared" si="0"/>
        <v>94754.855757842233</v>
      </c>
      <c r="D71" s="447">
        <f t="shared" ca="1" si="9"/>
        <v>96141.094040297481</v>
      </c>
      <c r="E71" s="447">
        <f t="shared" ca="1" si="1"/>
        <v>1937019.6747112391</v>
      </c>
      <c r="F71" s="431"/>
      <c r="G71" s="459">
        <f t="shared" si="10"/>
        <v>6</v>
      </c>
      <c r="H71" s="459">
        <v>64</v>
      </c>
      <c r="I71" s="444">
        <f t="shared" ca="1" si="5"/>
        <v>2014223.9772386374</v>
      </c>
      <c r="J71" s="444">
        <f t="array" ref="J71">IFERROR(INDEX('Retirement Calculator'!J:J,MATCH('Isaac 401k'!N71,'Retirement Calculator'!A:A,0),0),0)</f>
        <v>30683.43324439897</v>
      </c>
      <c r="K71" s="444">
        <f t="shared" ca="1" si="2"/>
        <v>8264.7522666426594</v>
      </c>
      <c r="L71" s="444">
        <f t="shared" ca="1" si="3"/>
        <v>1991805.296260881</v>
      </c>
      <c r="M71" s="460">
        <f t="shared" si="6"/>
        <v>0.05</v>
      </c>
      <c r="N71" s="464">
        <f t="shared" si="7"/>
        <v>53206</v>
      </c>
    </row>
    <row r="72" spans="1:14" ht="11.25" customHeight="1" x14ac:dyDescent="0.3">
      <c r="A72" s="459">
        <v>65</v>
      </c>
      <c r="B72" s="447">
        <f t="shared" ca="1" si="4"/>
        <v>1937019.6747112391</v>
      </c>
      <c r="C72" s="447">
        <f t="shared" si="0"/>
        <v>94754.855757842233</v>
      </c>
      <c r="D72" s="447">
        <f t="shared" ca="1" si="9"/>
        <v>96141.094040297481</v>
      </c>
      <c r="E72" s="447">
        <f t="shared" ca="1" si="1"/>
        <v>1938405.9129936942</v>
      </c>
      <c r="F72" s="431"/>
      <c r="G72" s="459">
        <f t="shared" si="10"/>
        <v>6</v>
      </c>
      <c r="H72" s="459">
        <v>65</v>
      </c>
      <c r="I72" s="444">
        <f t="shared" ca="1" si="5"/>
        <v>1991805.296260881</v>
      </c>
      <c r="J72" s="444">
        <f t="array" ref="J72">IFERROR(INDEX('Retirement Calculator'!J:J,MATCH('Isaac 401k'!N72,'Retirement Calculator'!A:A,0),0),0)</f>
        <v>30683.43324439897</v>
      </c>
      <c r="K72" s="444">
        <f t="shared" ca="1" si="2"/>
        <v>8171.3410959020084</v>
      </c>
      <c r="L72" s="444">
        <f t="shared" ca="1" si="3"/>
        <v>1969293.204112384</v>
      </c>
      <c r="M72" s="460">
        <f t="shared" si="6"/>
        <v>0.05</v>
      </c>
      <c r="N72" s="464">
        <f t="shared" si="7"/>
        <v>53236</v>
      </c>
    </row>
    <row r="73" spans="1:14" ht="11.25" customHeight="1" x14ac:dyDescent="0.3">
      <c r="A73" s="459">
        <v>66</v>
      </c>
      <c r="B73" s="447">
        <f t="shared" ca="1" si="4"/>
        <v>1938405.9129936942</v>
      </c>
      <c r="C73" s="447">
        <f t="shared" si="0"/>
        <v>94754.855757842233</v>
      </c>
      <c r="D73" s="447">
        <f t="shared" ca="1" si="9"/>
        <v>96141.094040297481</v>
      </c>
      <c r="E73" s="447">
        <f t="shared" ca="1" si="1"/>
        <v>1939792.1512761493</v>
      </c>
      <c r="F73" s="431"/>
      <c r="G73" s="459">
        <f t="shared" si="10"/>
        <v>6</v>
      </c>
      <c r="H73" s="459">
        <v>66</v>
      </c>
      <c r="I73" s="444">
        <f t="shared" ca="1" si="5"/>
        <v>1969293.204112384</v>
      </c>
      <c r="J73" s="444">
        <f t="array" ref="J73">IFERROR(INDEX('Retirement Calculator'!J:J,MATCH('Isaac 401k'!N73,'Retirement Calculator'!A:A,0),0),0)</f>
        <v>30683.43324439897</v>
      </c>
      <c r="K73" s="444">
        <f t="shared" ca="1" si="2"/>
        <v>8077.5407119499368</v>
      </c>
      <c r="L73" s="444">
        <f t="shared" ca="1" si="3"/>
        <v>1946687.311579935</v>
      </c>
      <c r="M73" s="460">
        <f t="shared" si="6"/>
        <v>0.05</v>
      </c>
      <c r="N73" s="464">
        <f t="shared" si="7"/>
        <v>53267</v>
      </c>
    </row>
    <row r="74" spans="1:14" ht="11.25" customHeight="1" x14ac:dyDescent="0.3">
      <c r="A74" s="459">
        <v>67</v>
      </c>
      <c r="B74" s="447">
        <f t="shared" ca="1" si="4"/>
        <v>1939792.1512761493</v>
      </c>
      <c r="C74" s="447">
        <f t="shared" si="0"/>
        <v>94754.855757842233</v>
      </c>
      <c r="D74" s="447">
        <f t="shared" ca="1" si="9"/>
        <v>96141.094040297481</v>
      </c>
      <c r="E74" s="447">
        <f t="shared" ca="1" si="1"/>
        <v>1941178.3895586045</v>
      </c>
      <c r="F74" s="431"/>
      <c r="G74" s="459">
        <f t="shared" si="10"/>
        <v>6</v>
      </c>
      <c r="H74" s="459">
        <v>67</v>
      </c>
      <c r="I74" s="444">
        <f t="shared" ca="1" si="5"/>
        <v>1946687.311579935</v>
      </c>
      <c r="J74" s="444">
        <f t="array" ref="J74">IFERROR(INDEX('Retirement Calculator'!J:J,MATCH('Isaac 401k'!N74,'Retirement Calculator'!A:A,0),0),0)</f>
        <v>30683.43324439897</v>
      </c>
      <c r="K74" s="444">
        <f t="shared" ca="1" si="2"/>
        <v>7983.3494930647339</v>
      </c>
      <c r="L74" s="444">
        <f t="shared" ca="1" si="3"/>
        <v>1923987.2278286007</v>
      </c>
      <c r="M74" s="460">
        <f t="shared" si="6"/>
        <v>0.05</v>
      </c>
      <c r="N74" s="464">
        <f t="shared" si="7"/>
        <v>53297</v>
      </c>
    </row>
    <row r="75" spans="1:14" ht="11.25" customHeight="1" x14ac:dyDescent="0.3">
      <c r="A75" s="459">
        <v>68</v>
      </c>
      <c r="B75" s="447">
        <f t="shared" ca="1" si="4"/>
        <v>1941178.3895586045</v>
      </c>
      <c r="C75" s="447">
        <f t="shared" si="0"/>
        <v>94754.855757842233</v>
      </c>
      <c r="D75" s="447">
        <f t="shared" ca="1" si="9"/>
        <v>96141.094040297481</v>
      </c>
      <c r="E75" s="447">
        <f t="shared" ca="1" si="1"/>
        <v>1942564.6278410596</v>
      </c>
      <c r="F75" s="431"/>
      <c r="G75" s="459">
        <f t="shared" si="10"/>
        <v>6</v>
      </c>
      <c r="H75" s="459">
        <v>68</v>
      </c>
      <c r="I75" s="444">
        <f t="shared" ca="1" si="5"/>
        <v>1923987.2278286007</v>
      </c>
      <c r="J75" s="444">
        <f t="array" ref="J75">IFERROR(INDEX('Retirement Calculator'!J:J,MATCH('Isaac 401k'!N75,'Retirement Calculator'!A:A,0),0),0)</f>
        <v>8572.3375798201851</v>
      </c>
      <c r="K75" s="444">
        <f t="shared" ca="1" si="2"/>
        <v>7980.8953760365857</v>
      </c>
      <c r="L75" s="444">
        <f t="shared" ca="1" si="3"/>
        <v>1923395.7856248172</v>
      </c>
      <c r="M75" s="460">
        <f t="shared" si="6"/>
        <v>0.05</v>
      </c>
      <c r="N75" s="464">
        <f t="shared" si="7"/>
        <v>53328</v>
      </c>
    </row>
    <row r="76" spans="1:14" ht="11.25" customHeight="1" x14ac:dyDescent="0.3">
      <c r="A76" s="459">
        <v>69</v>
      </c>
      <c r="B76" s="447">
        <f t="shared" ca="1" si="4"/>
        <v>1942564.6278410596</v>
      </c>
      <c r="C76" s="447">
        <f t="shared" si="0"/>
        <v>94754.855757842233</v>
      </c>
      <c r="D76" s="447">
        <f t="shared" ca="1" si="9"/>
        <v>96141.094040297481</v>
      </c>
      <c r="E76" s="447">
        <f t="shared" ca="1" si="1"/>
        <v>1943950.8661235147</v>
      </c>
      <c r="F76" s="431"/>
      <c r="G76" s="459">
        <f t="shared" si="10"/>
        <v>6</v>
      </c>
      <c r="H76" s="459">
        <v>69</v>
      </c>
      <c r="I76" s="444">
        <f t="shared" ca="1" si="5"/>
        <v>1923395.7856248172</v>
      </c>
      <c r="J76" s="444">
        <f t="array" ref="J76">IFERROR(INDEX('Retirement Calculator'!J:J,MATCH('Isaac 401k'!N76,'Retirement Calculator'!A:A,0),0),0)</f>
        <v>8572.3375798201851</v>
      </c>
      <c r="K76" s="444">
        <f t="shared" ca="1" si="2"/>
        <v>7978.431033520822</v>
      </c>
      <c r="L76" s="444">
        <f t="shared" ca="1" si="3"/>
        <v>1922801.8790785179</v>
      </c>
      <c r="M76" s="460">
        <f t="shared" si="6"/>
        <v>0.05</v>
      </c>
      <c r="N76" s="464">
        <f t="shared" si="7"/>
        <v>53359</v>
      </c>
    </row>
    <row r="77" spans="1:14" ht="11.25" customHeight="1" x14ac:dyDescent="0.3">
      <c r="A77" s="459">
        <v>70</v>
      </c>
      <c r="B77" s="447">
        <f t="shared" ca="1" si="4"/>
        <v>1943950.8661235147</v>
      </c>
      <c r="C77" s="447">
        <f t="shared" si="0"/>
        <v>94754.855757842233</v>
      </c>
      <c r="D77" s="447">
        <f t="shared" ca="1" si="9"/>
        <v>96141.094040297481</v>
      </c>
      <c r="E77" s="447">
        <f t="shared" ca="1" si="1"/>
        <v>1945337.1044059698</v>
      </c>
      <c r="F77" s="431"/>
      <c r="G77" s="459">
        <f t="shared" si="10"/>
        <v>6</v>
      </c>
      <c r="H77" s="459">
        <v>70</v>
      </c>
      <c r="I77" s="444">
        <f t="shared" ca="1" si="5"/>
        <v>1922801.8790785179</v>
      </c>
      <c r="J77" s="444">
        <f t="array" ref="J77">IFERROR(INDEX('Retirement Calculator'!J:J,MATCH('Isaac 401k'!N77,'Retirement Calculator'!A:A,0),0),0)</f>
        <v>8572.3375798201851</v>
      </c>
      <c r="K77" s="444">
        <f t="shared" ca="1" si="2"/>
        <v>7975.9564229112411</v>
      </c>
      <c r="L77" s="444">
        <f t="shared" ca="1" si="3"/>
        <v>1922205.4979216091</v>
      </c>
      <c r="M77" s="460">
        <f t="shared" si="6"/>
        <v>0.05</v>
      </c>
      <c r="N77" s="464">
        <f t="shared" si="7"/>
        <v>53387</v>
      </c>
    </row>
    <row r="78" spans="1:14" ht="11.25" customHeight="1" x14ac:dyDescent="0.3">
      <c r="A78" s="459">
        <v>71</v>
      </c>
      <c r="B78" s="447">
        <f t="shared" ca="1" si="4"/>
        <v>1945337.1044059698</v>
      </c>
      <c r="C78" s="447">
        <f t="shared" si="0"/>
        <v>94754.855757842233</v>
      </c>
      <c r="D78" s="447">
        <f t="shared" ca="1" si="9"/>
        <v>96141.094040297481</v>
      </c>
      <c r="E78" s="447">
        <f t="shared" ca="1" si="1"/>
        <v>1946723.342688425</v>
      </c>
      <c r="F78" s="431"/>
      <c r="G78" s="459">
        <f t="shared" si="10"/>
        <v>6</v>
      </c>
      <c r="H78" s="459">
        <v>71</v>
      </c>
      <c r="I78" s="444">
        <f t="shared" ca="1" si="5"/>
        <v>1922205.4979216091</v>
      </c>
      <c r="J78" s="444">
        <f t="array" ref="J78">IFERROR(INDEX('Retirement Calculator'!J:J,MATCH('Isaac 401k'!N78,'Retirement Calculator'!A:A,0),0),0)</f>
        <v>8572.3375798201851</v>
      </c>
      <c r="K78" s="444">
        <f t="shared" ca="1" si="2"/>
        <v>7973.4715014241219</v>
      </c>
      <c r="L78" s="444">
        <f t="shared" ca="1" si="3"/>
        <v>1921606.6318432132</v>
      </c>
      <c r="M78" s="460">
        <f t="shared" si="6"/>
        <v>0.05</v>
      </c>
      <c r="N78" s="464">
        <f t="shared" si="7"/>
        <v>53418</v>
      </c>
    </row>
    <row r="79" spans="1:14" ht="11.25" customHeight="1" x14ac:dyDescent="0.3">
      <c r="A79" s="459">
        <v>72</v>
      </c>
      <c r="B79" s="447">
        <f t="shared" ca="1" si="4"/>
        <v>1946723.342688425</v>
      </c>
      <c r="C79" s="447">
        <f t="shared" si="0"/>
        <v>94754.855757842233</v>
      </c>
      <c r="D79" s="447">
        <f t="shared" ca="1" si="9"/>
        <v>96141.094040297481</v>
      </c>
      <c r="E79" s="447">
        <f t="shared" ca="1" si="1"/>
        <v>1948109.5809708801</v>
      </c>
      <c r="F79" s="431"/>
      <c r="G79" s="459">
        <f t="shared" si="10"/>
        <v>6</v>
      </c>
      <c r="H79" s="459">
        <v>72</v>
      </c>
      <c r="I79" s="444">
        <f t="shared" ca="1" si="5"/>
        <v>1921606.6318432132</v>
      </c>
      <c r="J79" s="444">
        <f t="array" ref="J79">IFERROR(INDEX('Retirement Calculator'!J:J,MATCH('Isaac 401k'!N79,'Retirement Calculator'!A:A,0),0),0)</f>
        <v>8572.3375798201851</v>
      </c>
      <c r="K79" s="444">
        <f t="shared" ca="1" si="2"/>
        <v>7970.9762260974712</v>
      </c>
      <c r="L79" s="444">
        <f t="shared" ca="1" si="3"/>
        <v>1921005.2704894906</v>
      </c>
      <c r="M79" s="460">
        <f t="shared" si="6"/>
        <v>0.05</v>
      </c>
      <c r="N79" s="464">
        <f t="shared" si="7"/>
        <v>53448</v>
      </c>
    </row>
    <row r="80" spans="1:14" ht="11.25" customHeight="1" x14ac:dyDescent="0.3">
      <c r="A80" s="459">
        <v>73</v>
      </c>
      <c r="B80" s="447">
        <f t="shared" ca="1" si="4"/>
        <v>1948109.5809708801</v>
      </c>
      <c r="C80" s="447">
        <f t="shared" si="0"/>
        <v>94754.855757842233</v>
      </c>
      <c r="D80" s="447">
        <f t="shared" ca="1" si="9"/>
        <v>96141.094040297481</v>
      </c>
      <c r="E80" s="447">
        <f t="shared" ca="1" si="1"/>
        <v>1949495.8192533352</v>
      </c>
      <c r="F80" s="431"/>
      <c r="G80" s="459">
        <f>G79+1</f>
        <v>7</v>
      </c>
      <c r="H80" s="459">
        <v>73</v>
      </c>
      <c r="I80" s="444">
        <f t="shared" ca="1" si="5"/>
        <v>1921005.2704894906</v>
      </c>
      <c r="J80" s="444">
        <f t="array" ref="J80">IFERROR(INDEX('Retirement Calculator'!J:J,MATCH('Isaac 401k'!N80,'Retirement Calculator'!A:A,0),0),0)</f>
        <v>8572.3375798201851</v>
      </c>
      <c r="K80" s="444">
        <f t="shared" ca="1" si="2"/>
        <v>7968.4705537902937</v>
      </c>
      <c r="L80" s="444">
        <f t="shared" ca="1" si="3"/>
        <v>1920401.4034634607</v>
      </c>
      <c r="M80" s="460">
        <f t="shared" si="6"/>
        <v>0.05</v>
      </c>
      <c r="N80" s="464">
        <f t="shared" si="7"/>
        <v>53479</v>
      </c>
    </row>
    <row r="81" spans="1:14" ht="11.25" customHeight="1" x14ac:dyDescent="0.3">
      <c r="A81" s="459">
        <v>74</v>
      </c>
      <c r="B81" s="447">
        <f t="shared" ca="1" si="4"/>
        <v>1949495.8192533352</v>
      </c>
      <c r="C81" s="447">
        <f t="shared" si="0"/>
        <v>94754.855757842233</v>
      </c>
      <c r="D81" s="447">
        <f t="shared" ca="1" si="9"/>
        <v>96141.094040297481</v>
      </c>
      <c r="E81" s="447">
        <f t="shared" ca="1" si="1"/>
        <v>1950882.0575357904</v>
      </c>
      <c r="F81" s="431"/>
      <c r="G81" s="459">
        <f t="shared" ref="G81:G91" si="11">G80</f>
        <v>7</v>
      </c>
      <c r="H81" s="459">
        <v>74</v>
      </c>
      <c r="I81" s="444">
        <f t="shared" ca="1" si="5"/>
        <v>1920401.4034634607</v>
      </c>
      <c r="J81" s="444">
        <f t="array" ref="J81">IFERROR(INDEX('Retirement Calculator'!J:J,MATCH('Isaac 401k'!N81,'Retirement Calculator'!A:A,0),0),0)</f>
        <v>8572.3375798201851</v>
      </c>
      <c r="K81" s="444">
        <f t="shared" ca="1" si="2"/>
        <v>7965.954441181836</v>
      </c>
      <c r="L81" s="444">
        <f t="shared" ca="1" si="3"/>
        <v>1919795.0203248225</v>
      </c>
      <c r="M81" s="460">
        <f t="shared" si="6"/>
        <v>0.05</v>
      </c>
      <c r="N81" s="464">
        <f t="shared" si="7"/>
        <v>53509</v>
      </c>
    </row>
    <row r="82" spans="1:14" ht="11.25" customHeight="1" x14ac:dyDescent="0.3">
      <c r="A82" s="459">
        <v>75</v>
      </c>
      <c r="B82" s="447">
        <f t="shared" ca="1" si="4"/>
        <v>1950882.0575357904</v>
      </c>
      <c r="C82" s="447">
        <f t="shared" si="0"/>
        <v>94754.855757842233</v>
      </c>
      <c r="D82" s="447">
        <f t="shared" ca="1" si="9"/>
        <v>96141.094040297481</v>
      </c>
      <c r="E82" s="447">
        <f t="shared" ca="1" si="1"/>
        <v>1952268.2958182455</v>
      </c>
      <c r="F82" s="431"/>
      <c r="G82" s="459">
        <f t="shared" si="11"/>
        <v>7</v>
      </c>
      <c r="H82" s="459">
        <v>75</v>
      </c>
      <c r="I82" s="444">
        <f t="shared" ca="1" si="5"/>
        <v>1919795.0203248225</v>
      </c>
      <c r="J82" s="444">
        <f t="array" ref="J82">IFERROR(INDEX('Retirement Calculator'!J:J,MATCH('Isaac 401k'!N82,'Retirement Calculator'!A:A,0),0),0)</f>
        <v>8572.3375798201851</v>
      </c>
      <c r="K82" s="444">
        <f t="shared" ca="1" si="2"/>
        <v>7963.4278447708448</v>
      </c>
      <c r="L82" s="444">
        <f t="shared" ca="1" si="3"/>
        <v>1919186.1105897734</v>
      </c>
      <c r="M82" s="460">
        <f t="shared" si="6"/>
        <v>0.05</v>
      </c>
      <c r="N82" s="464">
        <f t="shared" si="7"/>
        <v>53540</v>
      </c>
    </row>
    <row r="83" spans="1:14" ht="11.25" customHeight="1" x14ac:dyDescent="0.3">
      <c r="A83" s="459">
        <v>76</v>
      </c>
      <c r="B83" s="447">
        <f t="shared" ca="1" si="4"/>
        <v>1952268.2958182455</v>
      </c>
      <c r="C83" s="447">
        <f t="shared" si="0"/>
        <v>94754.855757842233</v>
      </c>
      <c r="D83" s="447">
        <f t="shared" ca="1" si="9"/>
        <v>96141.094040297481</v>
      </c>
      <c r="E83" s="447">
        <f t="shared" ca="1" si="1"/>
        <v>1953654.5341007006</v>
      </c>
      <c r="F83" s="431"/>
      <c r="G83" s="459">
        <f t="shared" si="11"/>
        <v>7</v>
      </c>
      <c r="H83" s="459">
        <v>76</v>
      </c>
      <c r="I83" s="444">
        <f t="shared" ca="1" si="5"/>
        <v>1919186.1105897734</v>
      </c>
      <c r="J83" s="444">
        <f t="array" ref="J83">IFERROR(INDEX('Retirement Calculator'!J:J,MATCH('Isaac 401k'!N83,'Retirement Calculator'!A:A,0),0),0)</f>
        <v>8572.3375798201851</v>
      </c>
      <c r="K83" s="444">
        <f t="shared" ca="1" si="2"/>
        <v>7960.8907208748051</v>
      </c>
      <c r="L83" s="444">
        <f t="shared" ca="1" si="3"/>
        <v>1918574.6637308281</v>
      </c>
      <c r="M83" s="460">
        <f t="shared" si="6"/>
        <v>0.05</v>
      </c>
      <c r="N83" s="464">
        <f t="shared" si="7"/>
        <v>53571</v>
      </c>
    </row>
    <row r="84" spans="1:14" ht="11.25" customHeight="1" x14ac:dyDescent="0.3">
      <c r="A84" s="459">
        <v>77</v>
      </c>
      <c r="B84" s="447">
        <f t="shared" ca="1" si="4"/>
        <v>1953654.5341007006</v>
      </c>
      <c r="C84" s="447">
        <f t="shared" si="0"/>
        <v>94754.855757842233</v>
      </c>
      <c r="D84" s="447">
        <f t="shared" ca="1" si="9"/>
        <v>96141.094040297481</v>
      </c>
      <c r="E84" s="447">
        <f t="shared" ca="1" si="1"/>
        <v>1955040.7723831558</v>
      </c>
      <c r="F84" s="431"/>
      <c r="G84" s="459">
        <f t="shared" si="11"/>
        <v>7</v>
      </c>
      <c r="H84" s="459">
        <v>77</v>
      </c>
      <c r="I84" s="444">
        <f t="shared" ca="1" si="5"/>
        <v>1918574.6637308281</v>
      </c>
      <c r="J84" s="444">
        <f t="array" ref="J84">IFERROR(INDEX('Retirement Calculator'!J:J,MATCH('Isaac 401k'!N84,'Retirement Calculator'!A:A,0),0),0)</f>
        <v>8572.3375798201851</v>
      </c>
      <c r="K84" s="444">
        <f t="shared" ca="1" si="2"/>
        <v>7958.3430256292004</v>
      </c>
      <c r="L84" s="444">
        <f t="shared" ca="1" si="3"/>
        <v>1917960.6691766372</v>
      </c>
      <c r="M84" s="460">
        <f t="shared" si="6"/>
        <v>0.05</v>
      </c>
      <c r="N84" s="464">
        <f t="shared" si="7"/>
        <v>53601</v>
      </c>
    </row>
    <row r="85" spans="1:14" ht="11.25" customHeight="1" x14ac:dyDescent="0.3">
      <c r="A85" s="459">
        <v>78</v>
      </c>
      <c r="B85" s="447">
        <f t="shared" ca="1" si="4"/>
        <v>1955040.7723831558</v>
      </c>
      <c r="C85" s="447">
        <f t="shared" si="0"/>
        <v>94754.855757842233</v>
      </c>
      <c r="D85" s="447">
        <f t="shared" ca="1" si="9"/>
        <v>96141.094040297481</v>
      </c>
      <c r="E85" s="447">
        <f t="shared" ca="1" si="1"/>
        <v>1956427.0106656109</v>
      </c>
      <c r="F85" s="431"/>
      <c r="G85" s="459">
        <f t="shared" si="11"/>
        <v>7</v>
      </c>
      <c r="H85" s="459">
        <v>78</v>
      </c>
      <c r="I85" s="444">
        <f t="shared" ca="1" si="5"/>
        <v>1917960.6691766372</v>
      </c>
      <c r="J85" s="444">
        <f t="array" ref="J85">IFERROR(INDEX('Retirement Calculator'!J:J,MATCH('Isaac 401k'!N85,'Retirement Calculator'!A:A,0),0),0)</f>
        <v>8572.3375798201851</v>
      </c>
      <c r="K85" s="444">
        <f t="shared" ca="1" si="2"/>
        <v>7955.7847149867366</v>
      </c>
      <c r="L85" s="444">
        <f t="shared" ca="1" si="3"/>
        <v>1917344.1163118039</v>
      </c>
      <c r="M85" s="460">
        <f t="shared" si="6"/>
        <v>0.05</v>
      </c>
      <c r="N85" s="464">
        <f t="shared" si="7"/>
        <v>53632</v>
      </c>
    </row>
    <row r="86" spans="1:14" ht="11.25" customHeight="1" x14ac:dyDescent="0.3">
      <c r="A86" s="459">
        <v>79</v>
      </c>
      <c r="B86" s="447">
        <f t="shared" ca="1" si="4"/>
        <v>1956427.0106656109</v>
      </c>
      <c r="C86" s="447">
        <f t="shared" si="0"/>
        <v>94754.855757842233</v>
      </c>
      <c r="D86" s="447">
        <f t="shared" ca="1" si="9"/>
        <v>96141.094040297481</v>
      </c>
      <c r="E86" s="447">
        <f t="shared" ca="1" si="1"/>
        <v>1957813.248948066</v>
      </c>
      <c r="F86" s="431"/>
      <c r="G86" s="459">
        <f t="shared" si="11"/>
        <v>7</v>
      </c>
      <c r="H86" s="459">
        <v>79</v>
      </c>
      <c r="I86" s="444">
        <f t="shared" ca="1" si="5"/>
        <v>1917344.1163118039</v>
      </c>
      <c r="J86" s="444">
        <f t="array" ref="J86">IFERROR(INDEX('Retirement Calculator'!J:J,MATCH('Isaac 401k'!N86,'Retirement Calculator'!A:A,0),0),0)</f>
        <v>8572.3375798201851</v>
      </c>
      <c r="K86" s="444">
        <f t="shared" ca="1" si="2"/>
        <v>7953.2157447165991</v>
      </c>
      <c r="L86" s="444">
        <f t="shared" ca="1" si="3"/>
        <v>1916724.9944767004</v>
      </c>
      <c r="M86" s="460">
        <f t="shared" si="6"/>
        <v>0.05</v>
      </c>
      <c r="N86" s="464">
        <f t="shared" si="7"/>
        <v>53662</v>
      </c>
    </row>
    <row r="87" spans="1:14" ht="11.25" customHeight="1" x14ac:dyDescent="0.3">
      <c r="A87" s="459">
        <v>80</v>
      </c>
      <c r="B87" s="447">
        <f t="shared" ca="1" si="4"/>
        <v>1957813.248948066</v>
      </c>
      <c r="C87" s="447">
        <f t="shared" si="0"/>
        <v>94754.855757842233</v>
      </c>
      <c r="D87" s="447">
        <f t="shared" ca="1" si="9"/>
        <v>96141.094040297481</v>
      </c>
      <c r="E87" s="447">
        <f t="shared" ca="1" si="1"/>
        <v>1959199.4872305212</v>
      </c>
      <c r="F87" s="431"/>
      <c r="G87" s="459">
        <f t="shared" si="11"/>
        <v>7</v>
      </c>
      <c r="H87" s="459">
        <v>80</v>
      </c>
      <c r="I87" s="444">
        <f t="shared" ca="1" si="5"/>
        <v>1916724.9944767004</v>
      </c>
      <c r="J87" s="444">
        <f t="array" ref="J87">IFERROR(INDEX('Retirement Calculator'!J:J,MATCH('Isaac 401k'!N87,'Retirement Calculator'!A:A,0),0),0)</f>
        <v>8572.3375798201851</v>
      </c>
      <c r="K87" s="444">
        <f t="shared" ca="1" si="2"/>
        <v>7950.6360704036679</v>
      </c>
      <c r="L87" s="444">
        <f t="shared" ca="1" si="3"/>
        <v>1916103.2929672841</v>
      </c>
      <c r="M87" s="460">
        <f t="shared" si="6"/>
        <v>0.05</v>
      </c>
      <c r="N87" s="464">
        <f t="shared" si="7"/>
        <v>53693</v>
      </c>
    </row>
    <row r="88" spans="1:14" ht="11.25" customHeight="1" x14ac:dyDescent="0.3">
      <c r="A88" s="459">
        <v>81</v>
      </c>
      <c r="B88" s="447">
        <f t="shared" ca="1" si="4"/>
        <v>1959199.4872305212</v>
      </c>
      <c r="C88" s="447">
        <f t="shared" si="0"/>
        <v>94754.855757842233</v>
      </c>
      <c r="D88" s="447">
        <f t="shared" ca="1" si="9"/>
        <v>96141.094040297481</v>
      </c>
      <c r="E88" s="447">
        <f t="shared" ca="1" si="1"/>
        <v>1960585.7255129763</v>
      </c>
      <c r="F88" s="431"/>
      <c r="G88" s="459">
        <f t="shared" si="11"/>
        <v>7</v>
      </c>
      <c r="H88" s="459">
        <v>81</v>
      </c>
      <c r="I88" s="444">
        <f t="shared" ca="1" si="5"/>
        <v>1916103.2929672841</v>
      </c>
      <c r="J88" s="444">
        <f t="array" ref="J88">IFERROR(INDEX('Retirement Calculator'!J:J,MATCH('Isaac 401k'!N88,'Retirement Calculator'!A:A,0),0),0)</f>
        <v>8572.3375798201851</v>
      </c>
      <c r="K88" s="444">
        <f t="shared" ca="1" si="2"/>
        <v>7948.0456474477669</v>
      </c>
      <c r="L88" s="444">
        <f t="shared" ca="1" si="3"/>
        <v>1915479.0010349117</v>
      </c>
      <c r="M88" s="460">
        <f t="shared" si="6"/>
        <v>0.05</v>
      </c>
      <c r="N88" s="464">
        <f t="shared" si="7"/>
        <v>53724</v>
      </c>
    </row>
    <row r="89" spans="1:14" ht="11.25" customHeight="1" x14ac:dyDescent="0.3">
      <c r="A89" s="459">
        <v>82</v>
      </c>
      <c r="B89" s="447">
        <f t="shared" ca="1" si="4"/>
        <v>1960585.7255129763</v>
      </c>
      <c r="C89" s="447">
        <f t="shared" si="0"/>
        <v>94754.855757842233</v>
      </c>
      <c r="D89" s="447">
        <f t="shared" ca="1" si="9"/>
        <v>96141.094040297481</v>
      </c>
      <c r="E89" s="447">
        <f t="shared" ca="1" si="1"/>
        <v>1961971.9637954314</v>
      </c>
      <c r="F89" s="431"/>
      <c r="G89" s="459">
        <f t="shared" si="11"/>
        <v>7</v>
      </c>
      <c r="H89" s="459">
        <v>82</v>
      </c>
      <c r="I89" s="444">
        <f t="shared" ca="1" si="5"/>
        <v>1915479.0010349117</v>
      </c>
      <c r="J89" s="444">
        <f t="array" ref="J89">IFERROR(INDEX('Retirement Calculator'!J:J,MATCH('Isaac 401k'!N89,'Retirement Calculator'!A:A,0),0),0)</f>
        <v>8572.3375798201851</v>
      </c>
      <c r="K89" s="444">
        <f t="shared" ca="1" si="2"/>
        <v>7945.4444310628814</v>
      </c>
      <c r="L89" s="444">
        <f t="shared" ca="1" si="3"/>
        <v>1914852.1078861544</v>
      </c>
      <c r="M89" s="460">
        <f t="shared" si="6"/>
        <v>0.05</v>
      </c>
      <c r="N89" s="464">
        <f t="shared" si="7"/>
        <v>53752</v>
      </c>
    </row>
    <row r="90" spans="1:14" ht="11.25" customHeight="1" x14ac:dyDescent="0.3">
      <c r="A90" s="459">
        <v>83</v>
      </c>
      <c r="B90" s="447">
        <f t="shared" ca="1" si="4"/>
        <v>1961971.9637954314</v>
      </c>
      <c r="C90" s="447">
        <f t="shared" si="0"/>
        <v>94754.855757842233</v>
      </c>
      <c r="D90" s="447">
        <f t="shared" ca="1" si="9"/>
        <v>96141.094040297481</v>
      </c>
      <c r="E90" s="447">
        <f t="shared" ca="1" si="1"/>
        <v>1963358.2020778866</v>
      </c>
      <c r="F90" s="431"/>
      <c r="G90" s="459">
        <f t="shared" si="11"/>
        <v>7</v>
      </c>
      <c r="H90" s="459">
        <v>83</v>
      </c>
      <c r="I90" s="444">
        <f t="shared" ca="1" si="5"/>
        <v>1914852.1078861544</v>
      </c>
      <c r="J90" s="444">
        <f t="array" ref="J90">IFERROR(INDEX('Retirement Calculator'!J:J,MATCH('Isaac 401k'!N90,'Retirement Calculator'!A:A,0),0),0)</f>
        <v>8572.3375798201851</v>
      </c>
      <c r="K90" s="444">
        <f t="shared" ca="1" si="2"/>
        <v>7942.832376276393</v>
      </c>
      <c r="L90" s="444">
        <f t="shared" ca="1" si="3"/>
        <v>1914222.6026826107</v>
      </c>
      <c r="M90" s="460">
        <f t="shared" si="6"/>
        <v>0.05</v>
      </c>
      <c r="N90" s="464">
        <f t="shared" si="7"/>
        <v>53783</v>
      </c>
    </row>
    <row r="91" spans="1:14" ht="11.25" customHeight="1" x14ac:dyDescent="0.3">
      <c r="A91" s="459">
        <v>84</v>
      </c>
      <c r="B91" s="447">
        <f t="shared" ca="1" si="4"/>
        <v>1963358.2020778866</v>
      </c>
      <c r="C91" s="447">
        <f t="shared" si="0"/>
        <v>94754.855757842233</v>
      </c>
      <c r="D91" s="447">
        <f t="shared" ca="1" si="9"/>
        <v>96141.094040297481</v>
      </c>
      <c r="E91" s="447">
        <f t="shared" ca="1" si="1"/>
        <v>1964744.4403603417</v>
      </c>
      <c r="F91" s="431"/>
      <c r="G91" s="459">
        <f t="shared" si="11"/>
        <v>7</v>
      </c>
      <c r="H91" s="459">
        <v>84</v>
      </c>
      <c r="I91" s="444">
        <f t="shared" ca="1" si="5"/>
        <v>1914222.6026826107</v>
      </c>
      <c r="J91" s="444">
        <f t="array" ref="J91">IFERROR(INDEX('Retirement Calculator'!J:J,MATCH('Isaac 401k'!N91,'Retirement Calculator'!A:A,0),0),0)</f>
        <v>8572.3375798201851</v>
      </c>
      <c r="K91" s="444">
        <f t="shared" ca="1" si="2"/>
        <v>7940.2094379282944</v>
      </c>
      <c r="L91" s="444">
        <f t="shared" ca="1" si="3"/>
        <v>1913590.4745407191</v>
      </c>
      <c r="M91" s="460">
        <f t="shared" si="6"/>
        <v>0.05</v>
      </c>
      <c r="N91" s="464">
        <f t="shared" si="7"/>
        <v>53813</v>
      </c>
    </row>
    <row r="92" spans="1:14" ht="11.25" customHeight="1" x14ac:dyDescent="0.3">
      <c r="A92" s="459">
        <v>85</v>
      </c>
      <c r="B92" s="447">
        <f t="shared" ca="1" si="4"/>
        <v>1964744.4403603417</v>
      </c>
      <c r="C92" s="447">
        <f t="shared" si="0"/>
        <v>94754.855757842233</v>
      </c>
      <c r="D92" s="447">
        <f t="shared" ca="1" si="9"/>
        <v>96141.094040297481</v>
      </c>
      <c r="E92" s="447">
        <f t="shared" ca="1" si="1"/>
        <v>1966130.6786427968</v>
      </c>
      <c r="F92" s="431"/>
      <c r="G92" s="459">
        <f>G91+1</f>
        <v>8</v>
      </c>
      <c r="H92" s="459">
        <v>85</v>
      </c>
      <c r="I92" s="444">
        <f t="shared" ca="1" si="5"/>
        <v>1913590.4745407191</v>
      </c>
      <c r="J92" s="444">
        <f t="array" ref="J92">IFERROR(INDEX('Retirement Calculator'!J:J,MATCH('Isaac 401k'!N92,'Retirement Calculator'!A:A,0),0),0)</f>
        <v>8572.3375798201851</v>
      </c>
      <c r="K92" s="444">
        <f t="shared" ca="1" si="2"/>
        <v>7937.5755706704122</v>
      </c>
      <c r="L92" s="444">
        <f t="shared" ca="1" si="3"/>
        <v>1912955.7125315694</v>
      </c>
      <c r="M92" s="460">
        <f t="shared" si="6"/>
        <v>0.05</v>
      </c>
      <c r="N92" s="464">
        <f t="shared" si="7"/>
        <v>53844</v>
      </c>
    </row>
    <row r="93" spans="1:14" ht="11.25" customHeight="1" x14ac:dyDescent="0.3">
      <c r="A93" s="459">
        <v>86</v>
      </c>
      <c r="B93" s="447">
        <f t="shared" ca="1" si="4"/>
        <v>1966130.6786427968</v>
      </c>
      <c r="C93" s="447">
        <f t="shared" si="0"/>
        <v>94754.855757842233</v>
      </c>
      <c r="D93" s="447">
        <f t="shared" ca="1" si="9"/>
        <v>96141.094040297481</v>
      </c>
      <c r="E93" s="447">
        <f t="shared" ca="1" si="1"/>
        <v>1967516.9169252519</v>
      </c>
      <c r="F93" s="431"/>
      <c r="G93" s="459">
        <f t="shared" ref="G93:G103" si="12">G92</f>
        <v>8</v>
      </c>
      <c r="H93" s="459">
        <v>86</v>
      </c>
      <c r="I93" s="444">
        <f t="shared" ca="1" si="5"/>
        <v>1912955.7125315694</v>
      </c>
      <c r="J93" s="444">
        <f t="array" ref="J93">IFERROR(INDEX('Retirement Calculator'!J:J,MATCH('Isaac 401k'!N93,'Retirement Calculator'!A:A,0),0),0)</f>
        <v>8572.3375798201851</v>
      </c>
      <c r="K93" s="444">
        <f t="shared" ca="1" si="2"/>
        <v>7934.9307289656235</v>
      </c>
      <c r="L93" s="444">
        <f t="shared" ca="1" si="3"/>
        <v>1912318.305680715</v>
      </c>
      <c r="M93" s="460">
        <f t="shared" si="6"/>
        <v>0.05</v>
      </c>
      <c r="N93" s="464">
        <f t="shared" si="7"/>
        <v>53874</v>
      </c>
    </row>
    <row r="94" spans="1:14" ht="11.25" customHeight="1" x14ac:dyDescent="0.3">
      <c r="A94" s="459">
        <v>87</v>
      </c>
      <c r="B94" s="447">
        <f t="shared" ca="1" si="4"/>
        <v>1967516.9169252519</v>
      </c>
      <c r="C94" s="447">
        <f t="shared" si="0"/>
        <v>94754.855757842233</v>
      </c>
      <c r="D94" s="447">
        <f t="shared" ca="1" si="9"/>
        <v>96141.094040297481</v>
      </c>
      <c r="E94" s="447">
        <f t="shared" ca="1" si="1"/>
        <v>1968903.1552077071</v>
      </c>
      <c r="F94" s="431"/>
      <c r="G94" s="459">
        <f t="shared" si="12"/>
        <v>8</v>
      </c>
      <c r="H94" s="459">
        <v>87</v>
      </c>
      <c r="I94" s="444">
        <f t="shared" ca="1" si="5"/>
        <v>1912318.305680715</v>
      </c>
      <c r="J94" s="444">
        <f t="array" ref="J94">IFERROR(INDEX('Retirement Calculator'!J:J,MATCH('Isaac 401k'!N94,'Retirement Calculator'!A:A,0),0),0)</f>
        <v>8572.3375798201851</v>
      </c>
      <c r="K94" s="444">
        <f t="shared" ca="1" si="2"/>
        <v>7932.2748670870624</v>
      </c>
      <c r="L94" s="444">
        <f t="shared" ca="1" si="3"/>
        <v>1911678.2429679821</v>
      </c>
      <c r="M94" s="460">
        <f t="shared" si="6"/>
        <v>0.05</v>
      </c>
      <c r="N94" s="464">
        <f t="shared" si="7"/>
        <v>53905</v>
      </c>
    </row>
    <row r="95" spans="1:14" ht="11.25" customHeight="1" x14ac:dyDescent="0.3">
      <c r="A95" s="459">
        <v>88</v>
      </c>
      <c r="B95" s="447">
        <f t="shared" ca="1" si="4"/>
        <v>1968903.1552077071</v>
      </c>
      <c r="C95" s="447">
        <f t="shared" si="0"/>
        <v>94754.855757842233</v>
      </c>
      <c r="D95" s="447">
        <f t="shared" ca="1" si="9"/>
        <v>96141.094040297481</v>
      </c>
      <c r="E95" s="447">
        <f t="shared" ca="1" si="1"/>
        <v>1970289.3934901622</v>
      </c>
      <c r="F95" s="431"/>
      <c r="G95" s="459">
        <f t="shared" si="12"/>
        <v>8</v>
      </c>
      <c r="H95" s="459">
        <v>88</v>
      </c>
      <c r="I95" s="444">
        <f t="shared" ca="1" si="5"/>
        <v>1911678.2429679821</v>
      </c>
      <c r="J95" s="444">
        <f t="array" ref="J95">IFERROR(INDEX('Retirement Calculator'!J:J,MATCH('Isaac 401k'!N95,'Retirement Calculator'!A:A,0),0),0)</f>
        <v>8572.3375798201851</v>
      </c>
      <c r="K95" s="444">
        <f t="shared" ca="1" si="2"/>
        <v>7929.6079391173416</v>
      </c>
      <c r="L95" s="444">
        <f t="shared" ca="1" si="3"/>
        <v>1911035.5133272794</v>
      </c>
      <c r="M95" s="460">
        <f t="shared" si="6"/>
        <v>0.05</v>
      </c>
      <c r="N95" s="464">
        <f t="shared" si="7"/>
        <v>53936</v>
      </c>
    </row>
    <row r="96" spans="1:14" ht="11.25" customHeight="1" x14ac:dyDescent="0.3">
      <c r="A96" s="459">
        <v>89</v>
      </c>
      <c r="B96" s="447">
        <f t="shared" ca="1" si="4"/>
        <v>1970289.3934901622</v>
      </c>
      <c r="C96" s="447">
        <f t="shared" si="0"/>
        <v>94754.855757842233</v>
      </c>
      <c r="D96" s="447">
        <f t="shared" ca="1" si="9"/>
        <v>96141.094040297481</v>
      </c>
      <c r="E96" s="447">
        <f t="shared" ca="1" si="1"/>
        <v>1971675.6317726173</v>
      </c>
      <c r="F96" s="431"/>
      <c r="G96" s="459">
        <f t="shared" si="12"/>
        <v>8</v>
      </c>
      <c r="H96" s="459">
        <v>89</v>
      </c>
      <c r="I96" s="444">
        <f t="shared" ca="1" si="5"/>
        <v>1911035.5133272794</v>
      </c>
      <c r="J96" s="444">
        <f t="array" ref="J96">IFERROR(INDEX('Retirement Calculator'!J:J,MATCH('Isaac 401k'!N96,'Retirement Calculator'!A:A,0),0),0)</f>
        <v>8572.3375798201851</v>
      </c>
      <c r="K96" s="444">
        <f t="shared" ca="1" si="2"/>
        <v>7926.9298989477456</v>
      </c>
      <c r="L96" s="444">
        <f t="shared" ca="1" si="3"/>
        <v>1910390.105646407</v>
      </c>
      <c r="M96" s="460">
        <f t="shared" si="6"/>
        <v>0.05</v>
      </c>
      <c r="N96" s="464">
        <f t="shared" si="7"/>
        <v>53966</v>
      </c>
    </row>
    <row r="97" spans="1:14" ht="11.25" customHeight="1" x14ac:dyDescent="0.3">
      <c r="A97" s="459">
        <v>90</v>
      </c>
      <c r="B97" s="447">
        <f t="shared" ca="1" si="4"/>
        <v>1971675.6317726173</v>
      </c>
      <c r="C97" s="447">
        <f t="shared" si="0"/>
        <v>94754.855757842233</v>
      </c>
      <c r="D97" s="447">
        <f t="shared" ca="1" si="9"/>
        <v>96141.094040297481</v>
      </c>
      <c r="E97" s="447">
        <f t="shared" ca="1" si="1"/>
        <v>1973061.8700550725</v>
      </c>
      <c r="F97" s="431"/>
      <c r="G97" s="459">
        <f t="shared" si="12"/>
        <v>8</v>
      </c>
      <c r="H97" s="459">
        <v>90</v>
      </c>
      <c r="I97" s="444">
        <f t="shared" ca="1" si="5"/>
        <v>1910390.105646407</v>
      </c>
      <c r="J97" s="444">
        <f t="array" ref="J97">IFERROR(INDEX('Retirement Calculator'!J:J,MATCH('Isaac 401k'!N97,'Retirement Calculator'!A:A,0),0),0)</f>
        <v>8572.3375798201851</v>
      </c>
      <c r="K97" s="444">
        <f t="shared" ca="1" si="2"/>
        <v>7924.2407002774462</v>
      </c>
      <c r="L97" s="444">
        <f t="shared" ca="1" si="3"/>
        <v>1909742.0087668644</v>
      </c>
      <c r="M97" s="460">
        <f t="shared" si="6"/>
        <v>0.05</v>
      </c>
      <c r="N97" s="464">
        <f t="shared" si="7"/>
        <v>53997</v>
      </c>
    </row>
    <row r="98" spans="1:14" ht="11.25" customHeight="1" x14ac:dyDescent="0.3">
      <c r="A98" s="459">
        <v>91</v>
      </c>
      <c r="B98" s="447">
        <f t="shared" ca="1" si="4"/>
        <v>1973061.8700550725</v>
      </c>
      <c r="C98" s="447">
        <f t="shared" si="0"/>
        <v>94754.855757842233</v>
      </c>
      <c r="D98" s="447">
        <f t="shared" ca="1" si="9"/>
        <v>96141.094040297481</v>
      </c>
      <c r="E98" s="447">
        <f t="shared" ca="1" si="1"/>
        <v>1974448.1083375276</v>
      </c>
      <c r="F98" s="431"/>
      <c r="G98" s="459">
        <f t="shared" si="12"/>
        <v>8</v>
      </c>
      <c r="H98" s="459">
        <v>91</v>
      </c>
      <c r="I98" s="444">
        <f t="shared" ca="1" si="5"/>
        <v>1909742.0087668644</v>
      </c>
      <c r="J98" s="444">
        <f t="array" ref="J98">IFERROR(INDEX('Retirement Calculator'!J:J,MATCH('Isaac 401k'!N98,'Retirement Calculator'!A:A,0),0),0)</f>
        <v>8572.3375798201851</v>
      </c>
      <c r="K98" s="444">
        <f t="shared" ca="1" si="2"/>
        <v>7921.5402966126849</v>
      </c>
      <c r="L98" s="444">
        <f t="shared" ca="1" si="3"/>
        <v>1909091.2114836571</v>
      </c>
      <c r="M98" s="460">
        <f t="shared" si="6"/>
        <v>0.05</v>
      </c>
      <c r="N98" s="464">
        <f t="shared" si="7"/>
        <v>54027</v>
      </c>
    </row>
    <row r="99" spans="1:14" ht="11.25" customHeight="1" x14ac:dyDescent="0.3">
      <c r="A99" s="459">
        <v>92</v>
      </c>
      <c r="B99" s="447">
        <f t="shared" ca="1" si="4"/>
        <v>1974448.1083375276</v>
      </c>
      <c r="C99" s="447">
        <f t="shared" si="0"/>
        <v>94754.855757842233</v>
      </c>
      <c r="D99" s="447">
        <f t="shared" ca="1" si="9"/>
        <v>96141.094040297481</v>
      </c>
      <c r="E99" s="447">
        <f t="shared" ca="1" si="1"/>
        <v>1975834.3466199827</v>
      </c>
      <c r="F99" s="431"/>
      <c r="G99" s="459">
        <f t="shared" si="12"/>
        <v>8</v>
      </c>
      <c r="H99" s="459">
        <v>92</v>
      </c>
      <c r="I99" s="444">
        <f t="shared" ca="1" si="5"/>
        <v>1909091.2114836571</v>
      </c>
      <c r="J99" s="444">
        <f t="array" ref="J99">IFERROR(INDEX('Retirement Calculator'!J:J,MATCH('Isaac 401k'!N99,'Retirement Calculator'!A:A,0),0),0)</f>
        <v>8572.3375798201851</v>
      </c>
      <c r="K99" s="444">
        <f t="shared" ca="1" si="2"/>
        <v>7918.8286412659872</v>
      </c>
      <c r="L99" s="444">
        <f t="shared" ca="1" si="3"/>
        <v>1908437.7025451032</v>
      </c>
      <c r="M99" s="460">
        <f t="shared" si="6"/>
        <v>0.05</v>
      </c>
      <c r="N99" s="464">
        <f t="shared" si="7"/>
        <v>54058</v>
      </c>
    </row>
    <row r="100" spans="1:14" ht="11.25" customHeight="1" x14ac:dyDescent="0.3">
      <c r="A100" s="459">
        <v>93</v>
      </c>
      <c r="B100" s="447">
        <f t="shared" ca="1" si="4"/>
        <v>1975834.3466199827</v>
      </c>
      <c r="C100" s="447">
        <f t="shared" si="0"/>
        <v>94754.855757842233</v>
      </c>
      <c r="D100" s="447">
        <f t="shared" ca="1" si="9"/>
        <v>96141.094040297481</v>
      </c>
      <c r="E100" s="447">
        <f t="shared" ca="1" si="1"/>
        <v>1977220.5849024379</v>
      </c>
      <c r="F100" s="431"/>
      <c r="G100" s="459">
        <f t="shared" si="12"/>
        <v>8</v>
      </c>
      <c r="H100" s="459">
        <v>93</v>
      </c>
      <c r="I100" s="444">
        <f t="shared" ca="1" si="5"/>
        <v>1908437.7025451032</v>
      </c>
      <c r="J100" s="444">
        <f t="array" ref="J100">IFERROR(INDEX('Retirement Calculator'!J:J,MATCH('Isaac 401k'!N100,'Retirement Calculator'!A:A,0),0),0)</f>
        <v>8572.3375798201851</v>
      </c>
      <c r="K100" s="444">
        <f t="shared" ca="1" si="2"/>
        <v>7916.1056873553453</v>
      </c>
      <c r="L100" s="444">
        <f t="shared" ca="1" si="3"/>
        <v>1907781.4706526385</v>
      </c>
      <c r="M100" s="460">
        <f t="shared" si="6"/>
        <v>0.05</v>
      </c>
      <c r="N100" s="464">
        <f t="shared" si="7"/>
        <v>54089</v>
      </c>
    </row>
    <row r="101" spans="1:14" ht="11.25" customHeight="1" x14ac:dyDescent="0.3">
      <c r="A101" s="459">
        <v>94</v>
      </c>
      <c r="B101" s="447">
        <f t="shared" ca="1" si="4"/>
        <v>1977220.5849024379</v>
      </c>
      <c r="C101" s="447">
        <f t="shared" si="0"/>
        <v>94754.855757842233</v>
      </c>
      <c r="D101" s="447">
        <f t="shared" ca="1" si="9"/>
        <v>96141.094040297481</v>
      </c>
      <c r="E101" s="447">
        <f t="shared" ca="1" si="1"/>
        <v>1978606.823184893</v>
      </c>
      <c r="F101" s="431"/>
      <c r="G101" s="459">
        <f t="shared" si="12"/>
        <v>8</v>
      </c>
      <c r="H101" s="459">
        <v>94</v>
      </c>
      <c r="I101" s="444">
        <f t="shared" ca="1" si="5"/>
        <v>1907781.4706526385</v>
      </c>
      <c r="J101" s="444">
        <f t="array" ref="J101">IFERROR(INDEX('Retirement Calculator'!J:J,MATCH('Isaac 401k'!N101,'Retirement Calculator'!A:A,0),0),0)</f>
        <v>8572.3375798201851</v>
      </c>
      <c r="K101" s="444">
        <f t="shared" ca="1" si="2"/>
        <v>7913.3713878034096</v>
      </c>
      <c r="L101" s="444">
        <f t="shared" ca="1" si="3"/>
        <v>1907122.5044606219</v>
      </c>
      <c r="M101" s="460">
        <f t="shared" si="6"/>
        <v>0.05</v>
      </c>
      <c r="N101" s="464">
        <f t="shared" si="7"/>
        <v>54118</v>
      </c>
    </row>
    <row r="102" spans="1:14" ht="11.25" customHeight="1" x14ac:dyDescent="0.3">
      <c r="A102" s="459">
        <v>95</v>
      </c>
      <c r="B102" s="447">
        <f t="shared" ca="1" si="4"/>
        <v>1978606.823184893</v>
      </c>
      <c r="C102" s="447">
        <f t="shared" si="0"/>
        <v>94754.855757842233</v>
      </c>
      <c r="D102" s="447">
        <f t="shared" ca="1" si="9"/>
        <v>96141.094040297481</v>
      </c>
      <c r="E102" s="447">
        <f t="shared" ca="1" si="1"/>
        <v>1979993.0614673481</v>
      </c>
      <c r="F102" s="431"/>
      <c r="G102" s="459">
        <f t="shared" si="12"/>
        <v>8</v>
      </c>
      <c r="H102" s="459">
        <v>95</v>
      </c>
      <c r="I102" s="444">
        <f t="shared" ca="1" si="5"/>
        <v>1907122.5044606219</v>
      </c>
      <c r="J102" s="444">
        <f t="array" ref="J102">IFERROR(INDEX('Retirement Calculator'!J:J,MATCH('Isaac 401k'!N102,'Retirement Calculator'!A:A,0),0),0)</f>
        <v>8572.3375798201851</v>
      </c>
      <c r="K102" s="444">
        <f t="shared" ca="1" si="2"/>
        <v>7910.6256953366737</v>
      </c>
      <c r="L102" s="444">
        <f t="shared" ca="1" si="3"/>
        <v>1906460.7925761384</v>
      </c>
      <c r="M102" s="460">
        <f t="shared" si="6"/>
        <v>0.05</v>
      </c>
      <c r="N102" s="464">
        <f t="shared" si="7"/>
        <v>54149</v>
      </c>
    </row>
    <row r="103" spans="1:14" ht="11.25" customHeight="1" x14ac:dyDescent="0.3">
      <c r="A103" s="459">
        <v>96</v>
      </c>
      <c r="B103" s="447">
        <f t="shared" ca="1" si="4"/>
        <v>1979993.0614673481</v>
      </c>
      <c r="C103" s="447">
        <f t="shared" si="0"/>
        <v>94754.855757842233</v>
      </c>
      <c r="D103" s="447">
        <f t="shared" ca="1" si="9"/>
        <v>96141.094040297481</v>
      </c>
      <c r="E103" s="447">
        <f t="shared" ca="1" si="1"/>
        <v>1981379.2997498033</v>
      </c>
      <c r="F103" s="431"/>
      <c r="G103" s="459">
        <f t="shared" si="12"/>
        <v>8</v>
      </c>
      <c r="H103" s="459">
        <v>96</v>
      </c>
      <c r="I103" s="444">
        <f t="shared" ca="1" si="5"/>
        <v>1906460.7925761384</v>
      </c>
      <c r="J103" s="444">
        <f t="array" ref="J103">IFERROR(INDEX('Retirement Calculator'!J:J,MATCH('Isaac 401k'!N103,'Retirement Calculator'!A:A,0),0),0)</f>
        <v>8572.3375798201851</v>
      </c>
      <c r="K103" s="444">
        <f t="shared" ca="1" si="2"/>
        <v>7907.8685624846603</v>
      </c>
      <c r="L103" s="444">
        <f t="shared" ca="1" si="3"/>
        <v>1905796.3235588029</v>
      </c>
      <c r="M103" s="460">
        <f t="shared" si="6"/>
        <v>0.05</v>
      </c>
      <c r="N103" s="464">
        <f t="shared" si="7"/>
        <v>54179</v>
      </c>
    </row>
    <row r="104" spans="1:14" ht="11.25" customHeight="1" x14ac:dyDescent="0.3">
      <c r="A104" s="459">
        <v>97</v>
      </c>
      <c r="B104" s="447">
        <f t="shared" ca="1" si="4"/>
        <v>1981379.2997498033</v>
      </c>
      <c r="C104" s="447">
        <f t="shared" si="0"/>
        <v>71066.141818381671</v>
      </c>
      <c r="D104" s="447">
        <f t="shared" ca="1" si="9"/>
        <v>96141.094040297481</v>
      </c>
      <c r="E104" s="447">
        <f t="shared" ca="1" si="1"/>
        <v>2006454.2519717191</v>
      </c>
      <c r="F104" s="431"/>
      <c r="G104" s="459">
        <f>G103+1</f>
        <v>9</v>
      </c>
      <c r="H104" s="459">
        <v>97</v>
      </c>
      <c r="I104" s="444">
        <f t="shared" ca="1" si="5"/>
        <v>1905796.3235588029</v>
      </c>
      <c r="J104" s="444">
        <f t="array" ref="J104">IFERROR(INDEX('Retirement Calculator'!J:J,MATCH('Isaac 401k'!N104,'Retirement Calculator'!A:A,0),0),0)</f>
        <v>8572.3375798201851</v>
      </c>
      <c r="K104" s="444">
        <f t="shared" ca="1" si="2"/>
        <v>7905.0999415790939</v>
      </c>
      <c r="L104" s="444">
        <f t="shared" ca="1" si="3"/>
        <v>1905129.085920562</v>
      </c>
      <c r="M104" s="460">
        <f t="shared" si="6"/>
        <v>0.05</v>
      </c>
      <c r="N104" s="464">
        <f t="shared" si="7"/>
        <v>54210</v>
      </c>
    </row>
    <row r="105" spans="1:14" ht="11.25" customHeight="1" x14ac:dyDescent="0.3">
      <c r="A105" s="459">
        <v>98</v>
      </c>
      <c r="B105" s="447">
        <f t="shared" ca="1" si="4"/>
        <v>2006454.2519717191</v>
      </c>
      <c r="C105" s="447">
        <f t="shared" si="0"/>
        <v>0</v>
      </c>
      <c r="D105" s="447">
        <f t="shared" ca="1" si="9"/>
        <v>96141.094040297481</v>
      </c>
      <c r="E105" s="447">
        <f t="shared" ca="1" si="1"/>
        <v>2102595.3460120168</v>
      </c>
      <c r="F105" s="431"/>
      <c r="G105" s="459">
        <f t="shared" ref="G105:G115" si="13">G104</f>
        <v>9</v>
      </c>
      <c r="H105" s="459">
        <v>98</v>
      </c>
      <c r="I105" s="444">
        <f t="shared" ca="1" si="5"/>
        <v>1905129.085920562</v>
      </c>
      <c r="J105" s="444">
        <f t="array" ref="J105">IFERROR(INDEX('Retirement Calculator'!J:J,MATCH('Isaac 401k'!N105,'Retirement Calculator'!A:A,0),0),0)</f>
        <v>7896.2379798201846</v>
      </c>
      <c r="K105" s="444">
        <f t="shared" ca="1" si="2"/>
        <v>7905.1368664197571</v>
      </c>
      <c r="L105" s="444">
        <f t="shared" ca="1" si="3"/>
        <v>1905137.9848071616</v>
      </c>
      <c r="M105" s="460">
        <f t="shared" si="6"/>
        <v>0.05</v>
      </c>
      <c r="N105" s="464">
        <f t="shared" si="7"/>
        <v>54240</v>
      </c>
    </row>
    <row r="106" spans="1:14" ht="11.25" customHeight="1" x14ac:dyDescent="0.3">
      <c r="A106" s="459">
        <v>99</v>
      </c>
      <c r="B106" s="447">
        <f t="shared" ca="1" si="4"/>
        <v>2102595.3460120168</v>
      </c>
      <c r="C106" s="447">
        <f t="shared" si="0"/>
        <v>0</v>
      </c>
      <c r="D106" s="447">
        <f t="shared" ca="1" si="9"/>
        <v>96141.094040297481</v>
      </c>
      <c r="E106" s="447">
        <f t="shared" ca="1" si="1"/>
        <v>2198736.4400523142</v>
      </c>
      <c r="F106" s="431"/>
      <c r="G106" s="459">
        <f t="shared" si="13"/>
        <v>9</v>
      </c>
      <c r="H106" s="459">
        <v>99</v>
      </c>
      <c r="I106" s="444">
        <f t="shared" ca="1" si="5"/>
        <v>1905137.9848071616</v>
      </c>
      <c r="J106" s="444">
        <f t="array" ref="J106">IFERROR(INDEX('Retirement Calculator'!J:J,MATCH('Isaac 401k'!N106,'Retirement Calculator'!A:A,0),0),0)</f>
        <v>7896.2379798201846</v>
      </c>
      <c r="K106" s="444">
        <f t="shared" ca="1" si="2"/>
        <v>7905.1739451139229</v>
      </c>
      <c r="L106" s="444">
        <f t="shared" ca="1" si="3"/>
        <v>1905146.9207724554</v>
      </c>
      <c r="M106" s="460">
        <f t="shared" si="6"/>
        <v>0.05</v>
      </c>
      <c r="N106" s="464">
        <f t="shared" si="7"/>
        <v>54271</v>
      </c>
    </row>
    <row r="107" spans="1:14" ht="11.25" customHeight="1" x14ac:dyDescent="0.3">
      <c r="A107" s="459">
        <v>100</v>
      </c>
      <c r="B107" s="447">
        <f t="shared" ca="1" si="4"/>
        <v>2198736.4400523142</v>
      </c>
      <c r="C107" s="447">
        <f t="shared" si="0"/>
        <v>0</v>
      </c>
      <c r="D107" s="447">
        <f t="shared" ca="1" si="9"/>
        <v>96141.094040297481</v>
      </c>
      <c r="E107" s="447">
        <f t="shared" ca="1" si="1"/>
        <v>2294877.5340926116</v>
      </c>
      <c r="F107" s="431"/>
      <c r="G107" s="459">
        <f t="shared" si="13"/>
        <v>9</v>
      </c>
      <c r="H107" s="459">
        <v>100</v>
      </c>
      <c r="I107" s="444">
        <f t="shared" ca="1" si="5"/>
        <v>1905146.9207724554</v>
      </c>
      <c r="J107" s="444">
        <f t="array" ref="J107">IFERROR(INDEX('Retirement Calculator'!J:J,MATCH('Isaac 401k'!N107,'Retirement Calculator'!A:A,0),0),0)</f>
        <v>7896.2379798201846</v>
      </c>
      <c r="K107" s="444">
        <f t="shared" ca="1" si="2"/>
        <v>7905.2111783026476</v>
      </c>
      <c r="L107" s="444">
        <f t="shared" ca="1" si="3"/>
        <v>1905155.8939709377</v>
      </c>
      <c r="M107" s="460">
        <f t="shared" si="6"/>
        <v>0.05</v>
      </c>
      <c r="N107" s="464">
        <f t="shared" si="7"/>
        <v>54302</v>
      </c>
    </row>
    <row r="108" spans="1:14" ht="11.25" customHeight="1" x14ac:dyDescent="0.3">
      <c r="A108" s="459">
        <v>101</v>
      </c>
      <c r="B108" s="447">
        <f t="shared" ca="1" si="4"/>
        <v>2294877.5340926116</v>
      </c>
      <c r="C108" s="447">
        <f t="shared" si="0"/>
        <v>0</v>
      </c>
      <c r="D108" s="447">
        <f t="shared" ca="1" si="9"/>
        <v>96141.094040297481</v>
      </c>
      <c r="E108" s="447">
        <f t="shared" ca="1" si="1"/>
        <v>2391018.6281329091</v>
      </c>
      <c r="F108" s="431"/>
      <c r="G108" s="459">
        <f t="shared" si="13"/>
        <v>9</v>
      </c>
      <c r="H108" s="459">
        <v>101</v>
      </c>
      <c r="I108" s="444">
        <f t="shared" ca="1" si="5"/>
        <v>1905155.8939709377</v>
      </c>
      <c r="J108" s="444">
        <f t="array" ref="J108">IFERROR(INDEX('Retirement Calculator'!J:J,MATCH('Isaac 401k'!N108,'Retirement Calculator'!A:A,0),0),0)</f>
        <v>7896.2379798201846</v>
      </c>
      <c r="K108" s="444">
        <f t="shared" ca="1" si="2"/>
        <v>7905.2485666296561</v>
      </c>
      <c r="L108" s="444">
        <f t="shared" ca="1" si="3"/>
        <v>1905164.9045577471</v>
      </c>
      <c r="M108" s="460">
        <f t="shared" si="6"/>
        <v>0.05</v>
      </c>
      <c r="N108" s="464">
        <f t="shared" si="7"/>
        <v>54332</v>
      </c>
    </row>
    <row r="109" spans="1:14" ht="11.25" customHeight="1" x14ac:dyDescent="0.3">
      <c r="A109" s="459">
        <v>102</v>
      </c>
      <c r="B109" s="447">
        <f t="shared" ca="1" si="4"/>
        <v>2391018.6281329091</v>
      </c>
      <c r="C109" s="447">
        <f t="shared" si="0"/>
        <v>0</v>
      </c>
      <c r="D109" s="447">
        <f t="shared" ca="1" si="9"/>
        <v>96141.094040297481</v>
      </c>
      <c r="E109" s="447">
        <f t="shared" ca="1" si="1"/>
        <v>2487159.7221732065</v>
      </c>
      <c r="F109" s="431"/>
      <c r="G109" s="459">
        <f t="shared" si="13"/>
        <v>9</v>
      </c>
      <c r="H109" s="459">
        <v>102</v>
      </c>
      <c r="I109" s="444">
        <f t="shared" ca="1" si="5"/>
        <v>1905164.9045577471</v>
      </c>
      <c r="J109" s="444">
        <f t="array" ref="J109">IFERROR(INDEX('Retirement Calculator'!J:J,MATCH('Isaac 401k'!N109,'Retirement Calculator'!A:A,0),0),0)</f>
        <v>7896.2379798201846</v>
      </c>
      <c r="K109" s="444">
        <f t="shared" ca="1" si="2"/>
        <v>7905.2861107413619</v>
      </c>
      <c r="L109" s="444">
        <f t="shared" ca="1" si="3"/>
        <v>1905173.9526886682</v>
      </c>
      <c r="M109" s="460">
        <f t="shared" si="6"/>
        <v>0.05</v>
      </c>
      <c r="N109" s="464">
        <f t="shared" si="7"/>
        <v>54363</v>
      </c>
    </row>
    <row r="110" spans="1:14" ht="11.25" customHeight="1" x14ac:dyDescent="0.3">
      <c r="A110" s="459">
        <v>103</v>
      </c>
      <c r="B110" s="447">
        <f t="shared" ca="1" si="4"/>
        <v>2487159.7221732065</v>
      </c>
      <c r="C110" s="447">
        <f t="shared" si="0"/>
        <v>0</v>
      </c>
      <c r="D110" s="447">
        <f t="shared" ca="1" si="9"/>
        <v>96141.094040297481</v>
      </c>
      <c r="E110" s="447">
        <f t="shared" ca="1" si="1"/>
        <v>2583300.8162135039</v>
      </c>
      <c r="F110" s="431"/>
      <c r="G110" s="459">
        <f t="shared" si="13"/>
        <v>9</v>
      </c>
      <c r="H110" s="459">
        <v>103</v>
      </c>
      <c r="I110" s="444">
        <f t="shared" ca="1" si="5"/>
        <v>1905173.9526886682</v>
      </c>
      <c r="J110" s="444">
        <f t="array" ref="J110">IFERROR(INDEX('Retirement Calculator'!J:J,MATCH('Isaac 401k'!N110,'Retirement Calculator'!A:A,0),0),0)</f>
        <v>7896.2379798201846</v>
      </c>
      <c r="K110" s="444">
        <f t="shared" ca="1" si="2"/>
        <v>7905.3238112868667</v>
      </c>
      <c r="L110" s="444">
        <f t="shared" ca="1" si="3"/>
        <v>1905183.0385201348</v>
      </c>
      <c r="M110" s="460">
        <f t="shared" si="6"/>
        <v>0.05</v>
      </c>
      <c r="N110" s="464">
        <f t="shared" si="7"/>
        <v>54393</v>
      </c>
    </row>
    <row r="111" spans="1:14" ht="11.25" customHeight="1" x14ac:dyDescent="0.3">
      <c r="A111" s="459">
        <v>104</v>
      </c>
      <c r="B111" s="447">
        <f t="shared" ca="1" si="4"/>
        <v>2583300.8162135039</v>
      </c>
      <c r="C111" s="447">
        <f t="shared" si="0"/>
        <v>0</v>
      </c>
      <c r="D111" s="447">
        <f t="shared" ca="1" si="9"/>
        <v>96141.094040297481</v>
      </c>
      <c r="E111" s="447">
        <f t="shared" ca="1" si="1"/>
        <v>2679441.9102538014</v>
      </c>
      <c r="F111" s="431"/>
      <c r="G111" s="459">
        <f t="shared" si="13"/>
        <v>9</v>
      </c>
      <c r="H111" s="459">
        <v>104</v>
      </c>
      <c r="I111" s="444">
        <f t="shared" ca="1" si="5"/>
        <v>1905183.0385201348</v>
      </c>
      <c r="J111" s="444">
        <f t="array" ref="J111">IFERROR(INDEX('Retirement Calculator'!J:J,MATCH('Isaac 401k'!N111,'Retirement Calculator'!A:A,0),0),0)</f>
        <v>7896.2379798201846</v>
      </c>
      <c r="K111" s="444">
        <f t="shared" ca="1" si="2"/>
        <v>7905.3616689179771</v>
      </c>
      <c r="L111" s="444">
        <f t="shared" ca="1" si="3"/>
        <v>1905192.1622092326</v>
      </c>
      <c r="M111" s="460">
        <f t="shared" si="6"/>
        <v>0.05</v>
      </c>
      <c r="N111" s="464">
        <f t="shared" si="7"/>
        <v>54424</v>
      </c>
    </row>
    <row r="112" spans="1:14" ht="11.25" customHeight="1" x14ac:dyDescent="0.3">
      <c r="A112" s="459">
        <v>105</v>
      </c>
      <c r="B112" s="447">
        <f t="shared" ca="1" si="4"/>
        <v>2679441.9102538014</v>
      </c>
      <c r="C112" s="447">
        <f t="shared" si="0"/>
        <v>0</v>
      </c>
      <c r="D112" s="447">
        <f t="shared" ca="1" si="9"/>
        <v>96141.094040297481</v>
      </c>
      <c r="E112" s="447">
        <f t="shared" ca="1" si="1"/>
        <v>2775583.0042940988</v>
      </c>
      <c r="F112" s="431"/>
      <c r="G112" s="459">
        <f t="shared" si="13"/>
        <v>9</v>
      </c>
      <c r="H112" s="459">
        <v>105</v>
      </c>
      <c r="I112" s="444">
        <f t="shared" ca="1" si="5"/>
        <v>1905192.1622092326</v>
      </c>
      <c r="J112" s="444">
        <f t="array" ref="J112">IFERROR(INDEX('Retirement Calculator'!J:J,MATCH('Isaac 401k'!N112,'Retirement Calculator'!A:A,0),0),0)</f>
        <v>7896.2379798201846</v>
      </c>
      <c r="K112" s="444">
        <f t="shared" ca="1" si="2"/>
        <v>7905.3996842892184</v>
      </c>
      <c r="L112" s="444">
        <f t="shared" ca="1" si="3"/>
        <v>1905201.3239137016</v>
      </c>
      <c r="M112" s="460">
        <f t="shared" si="6"/>
        <v>0.05</v>
      </c>
      <c r="N112" s="464">
        <f t="shared" si="7"/>
        <v>54455</v>
      </c>
    </row>
    <row r="113" spans="1:14" ht="11.25" customHeight="1" x14ac:dyDescent="0.3">
      <c r="A113" s="459">
        <v>106</v>
      </c>
      <c r="B113" s="447">
        <f t="shared" ca="1" si="4"/>
        <v>2775583.0042940988</v>
      </c>
      <c r="C113" s="447">
        <f t="shared" si="0"/>
        <v>0</v>
      </c>
      <c r="D113" s="447">
        <f t="shared" ca="1" si="9"/>
        <v>96141.094040297481</v>
      </c>
      <c r="E113" s="447">
        <f t="shared" ca="1" si="1"/>
        <v>2871724.0983343963</v>
      </c>
      <c r="F113" s="431"/>
      <c r="G113" s="459">
        <f t="shared" si="13"/>
        <v>9</v>
      </c>
      <c r="H113" s="459">
        <v>106</v>
      </c>
      <c r="I113" s="444">
        <f t="shared" ca="1" si="5"/>
        <v>1905201.3239137016</v>
      </c>
      <c r="J113" s="444">
        <f t="array" ref="J113">IFERROR(INDEX('Retirement Calculator'!J:J,MATCH('Isaac 401k'!N113,'Retirement Calculator'!A:A,0),0),0)</f>
        <v>7896.2379798201846</v>
      </c>
      <c r="K113" s="444">
        <f t="shared" ca="1" si="2"/>
        <v>7905.4378580578386</v>
      </c>
      <c r="L113" s="444">
        <f t="shared" ca="1" si="3"/>
        <v>1905210.5237919393</v>
      </c>
      <c r="M113" s="460">
        <f t="shared" si="6"/>
        <v>0.05</v>
      </c>
      <c r="N113" s="464">
        <f t="shared" si="7"/>
        <v>54483</v>
      </c>
    </row>
    <row r="114" spans="1:14" ht="11.25" customHeight="1" x14ac:dyDescent="0.3">
      <c r="A114" s="459">
        <v>107</v>
      </c>
      <c r="B114" s="447">
        <f t="shared" ca="1" si="4"/>
        <v>2871724.0983343963</v>
      </c>
      <c r="C114" s="447">
        <f t="shared" si="0"/>
        <v>0</v>
      </c>
      <c r="D114" s="447">
        <f t="shared" ca="1" si="9"/>
        <v>96141.094040297481</v>
      </c>
      <c r="E114" s="447">
        <f t="shared" ca="1" si="1"/>
        <v>2967865.1923746937</v>
      </c>
      <c r="F114" s="431"/>
      <c r="G114" s="459">
        <f t="shared" si="13"/>
        <v>9</v>
      </c>
      <c r="H114" s="459">
        <v>107</v>
      </c>
      <c r="I114" s="444">
        <f t="shared" ca="1" si="5"/>
        <v>1905210.5237919393</v>
      </c>
      <c r="J114" s="444">
        <f t="array" ref="J114">IFERROR(INDEX('Retirement Calculator'!J:J,MATCH('Isaac 401k'!N114,'Retirement Calculator'!A:A,0),0),0)</f>
        <v>7896.2379798201846</v>
      </c>
      <c r="K114" s="444">
        <f t="shared" ca="1" si="2"/>
        <v>7905.47619088383</v>
      </c>
      <c r="L114" s="444">
        <f t="shared" ca="1" si="3"/>
        <v>1905219.7620030029</v>
      </c>
      <c r="M114" s="460">
        <f t="shared" si="6"/>
        <v>0.05</v>
      </c>
      <c r="N114" s="464">
        <f t="shared" si="7"/>
        <v>54514</v>
      </c>
    </row>
    <row r="115" spans="1:14" ht="11.25" customHeight="1" x14ac:dyDescent="0.3">
      <c r="A115" s="459">
        <v>108</v>
      </c>
      <c r="B115" s="447">
        <f t="shared" ca="1" si="4"/>
        <v>2967865.1923746937</v>
      </c>
      <c r="C115" s="447">
        <f t="shared" si="0"/>
        <v>0</v>
      </c>
      <c r="D115" s="447">
        <f t="shared" ca="1" si="9"/>
        <v>96141.094040297481</v>
      </c>
      <c r="E115" s="447">
        <f t="shared" ca="1" si="1"/>
        <v>3064006.2864149911</v>
      </c>
      <c r="F115" s="431"/>
      <c r="G115" s="459">
        <f t="shared" si="13"/>
        <v>9</v>
      </c>
      <c r="H115" s="459">
        <v>108</v>
      </c>
      <c r="I115" s="444">
        <f t="shared" ca="1" si="5"/>
        <v>1905219.7620030029</v>
      </c>
      <c r="J115" s="444">
        <f t="array" ref="J115">IFERROR(INDEX('Retirement Calculator'!J:J,MATCH('Isaac 401k'!N115,'Retirement Calculator'!A:A,0),0),0)</f>
        <v>7896.2379798201846</v>
      </c>
      <c r="K115" s="444">
        <f t="shared" ca="1" si="2"/>
        <v>7905.5146834299276</v>
      </c>
      <c r="L115" s="444">
        <f t="shared" ca="1" si="3"/>
        <v>1905229.0387066125</v>
      </c>
      <c r="M115" s="460">
        <f t="shared" si="6"/>
        <v>0.05</v>
      </c>
      <c r="N115" s="464">
        <f t="shared" si="7"/>
        <v>54544</v>
      </c>
    </row>
    <row r="116" spans="1:14" ht="11.25" customHeight="1" x14ac:dyDescent="0.3">
      <c r="A116" s="459">
        <v>109</v>
      </c>
      <c r="B116" s="447">
        <f t="shared" ca="1" si="4"/>
        <v>3064006.2864149911</v>
      </c>
      <c r="C116" s="447">
        <f t="shared" si="0"/>
        <v>0</v>
      </c>
      <c r="D116" s="447">
        <f t="shared" ca="1" si="9"/>
        <v>96141.094040297481</v>
      </c>
      <c r="E116" s="447">
        <f t="shared" ca="1" si="1"/>
        <v>3160147.3804552886</v>
      </c>
      <c r="F116" s="431"/>
      <c r="G116" s="459">
        <f>G115+1</f>
        <v>10</v>
      </c>
      <c r="H116" s="459">
        <v>109</v>
      </c>
      <c r="I116" s="444">
        <f t="shared" ca="1" si="5"/>
        <v>1905229.0387066125</v>
      </c>
      <c r="J116" s="444">
        <f t="array" ref="J116">IFERROR(INDEX('Retirement Calculator'!J:J,MATCH('Isaac 401k'!N116,'Retirement Calculator'!A:A,0),0),0)</f>
        <v>7896.2379798201846</v>
      </c>
      <c r="K116" s="444">
        <f t="shared" ca="1" si="2"/>
        <v>7905.5533363616341</v>
      </c>
      <c r="L116" s="444">
        <f t="shared" ca="1" si="3"/>
        <v>1905238.354063154</v>
      </c>
      <c r="M116" s="460">
        <f t="shared" si="6"/>
        <v>0.05</v>
      </c>
      <c r="N116" s="464">
        <f t="shared" si="7"/>
        <v>54575</v>
      </c>
    </row>
    <row r="117" spans="1:14" ht="11.25" customHeight="1" x14ac:dyDescent="0.3">
      <c r="A117" s="459">
        <v>110</v>
      </c>
      <c r="B117" s="447">
        <f t="shared" ca="1" si="4"/>
        <v>3160147.3804552886</v>
      </c>
      <c r="C117" s="447">
        <f t="shared" si="0"/>
        <v>0</v>
      </c>
      <c r="D117" s="447">
        <f t="shared" ca="1" si="9"/>
        <v>96141.094040297481</v>
      </c>
      <c r="E117" s="447">
        <f t="shared" ca="1" si="1"/>
        <v>3256288.474495586</v>
      </c>
      <c r="F117" s="431"/>
      <c r="G117" s="459">
        <f t="shared" ref="G117:G127" si="14">G116</f>
        <v>10</v>
      </c>
      <c r="H117" s="459">
        <v>110</v>
      </c>
      <c r="I117" s="444">
        <f t="shared" ca="1" si="5"/>
        <v>1905238.354063154</v>
      </c>
      <c r="J117" s="444">
        <f t="array" ref="J117">IFERROR(INDEX('Retirement Calculator'!J:J,MATCH('Isaac 401k'!N117,'Retirement Calculator'!A:A,0),0),0)</f>
        <v>7896.2379798201846</v>
      </c>
      <c r="K117" s="444">
        <f t="shared" ca="1" si="2"/>
        <v>7905.5921503472237</v>
      </c>
      <c r="L117" s="444">
        <f t="shared" ca="1" si="3"/>
        <v>1905247.708233681</v>
      </c>
      <c r="M117" s="460">
        <f t="shared" si="6"/>
        <v>0.05</v>
      </c>
      <c r="N117" s="464">
        <f t="shared" si="7"/>
        <v>54605</v>
      </c>
    </row>
    <row r="118" spans="1:14" ht="11.25" customHeight="1" x14ac:dyDescent="0.3">
      <c r="A118" s="459">
        <v>111</v>
      </c>
      <c r="B118" s="447">
        <f t="shared" ca="1" si="4"/>
        <v>3256288.474495586</v>
      </c>
      <c r="C118" s="447">
        <f t="shared" si="0"/>
        <v>0</v>
      </c>
      <c r="D118" s="447">
        <f t="shared" ca="1" si="9"/>
        <v>96141.094040297481</v>
      </c>
      <c r="E118" s="447">
        <f t="shared" ca="1" si="1"/>
        <v>3352429.5685358834</v>
      </c>
      <c r="F118" s="431"/>
      <c r="G118" s="459">
        <f t="shared" si="14"/>
        <v>10</v>
      </c>
      <c r="H118" s="459">
        <v>111</v>
      </c>
      <c r="I118" s="444">
        <f t="shared" ca="1" si="5"/>
        <v>1905247.708233681</v>
      </c>
      <c r="J118" s="444">
        <f t="array" ref="J118">IFERROR(INDEX('Retirement Calculator'!J:J,MATCH('Isaac 401k'!N118,'Retirement Calculator'!A:A,0),0),0)</f>
        <v>7896.2379798201846</v>
      </c>
      <c r="K118" s="444">
        <f t="shared" ca="1" si="2"/>
        <v>7905.6311260577531</v>
      </c>
      <c r="L118" s="444">
        <f t="shared" ca="1" si="3"/>
        <v>1905257.1013799186</v>
      </c>
      <c r="M118" s="460">
        <f t="shared" si="6"/>
        <v>0.05</v>
      </c>
      <c r="N118" s="464">
        <f t="shared" si="7"/>
        <v>54636</v>
      </c>
    </row>
    <row r="119" spans="1:14" ht="11.25" customHeight="1" x14ac:dyDescent="0.3">
      <c r="A119" s="459">
        <v>112</v>
      </c>
      <c r="B119" s="447">
        <f t="shared" ca="1" si="4"/>
        <v>3352429.5685358834</v>
      </c>
      <c r="C119" s="447">
        <f t="shared" si="0"/>
        <v>0</v>
      </c>
      <c r="D119" s="447">
        <f t="shared" ca="1" si="9"/>
        <v>96141.094040297481</v>
      </c>
      <c r="E119" s="447">
        <f t="shared" ca="1" si="1"/>
        <v>3448570.6625761809</v>
      </c>
      <c r="F119" s="431"/>
      <c r="G119" s="459">
        <f t="shared" si="14"/>
        <v>10</v>
      </c>
      <c r="H119" s="459">
        <v>112</v>
      </c>
      <c r="I119" s="444">
        <f t="shared" ca="1" si="5"/>
        <v>1905257.1013799186</v>
      </c>
      <c r="J119" s="444">
        <f t="array" ref="J119">IFERROR(INDEX('Retirement Calculator'!J:J,MATCH('Isaac 401k'!N119,'Retirement Calculator'!A:A,0),0),0)</f>
        <v>7896.2379798201846</v>
      </c>
      <c r="K119" s="444">
        <f t="shared" ca="1" si="2"/>
        <v>7905.6702641670763</v>
      </c>
      <c r="L119" s="444">
        <f t="shared" ca="1" si="3"/>
        <v>1905266.5336642654</v>
      </c>
      <c r="M119" s="460">
        <f t="shared" si="6"/>
        <v>0.05</v>
      </c>
      <c r="N119" s="464">
        <f t="shared" si="7"/>
        <v>54667</v>
      </c>
    </row>
    <row r="120" spans="1:14" ht="11.25" customHeight="1" x14ac:dyDescent="0.3">
      <c r="A120" s="459">
        <v>113</v>
      </c>
      <c r="B120" s="447">
        <f t="shared" ca="1" si="4"/>
        <v>3448570.6625761809</v>
      </c>
      <c r="C120" s="447">
        <f t="shared" si="0"/>
        <v>0</v>
      </c>
      <c r="D120" s="447">
        <f t="shared" ca="1" si="9"/>
        <v>96141.094040297481</v>
      </c>
      <c r="E120" s="447">
        <f t="shared" ca="1" si="1"/>
        <v>3544711.7566164783</v>
      </c>
      <c r="F120" s="431"/>
      <c r="G120" s="459">
        <f t="shared" si="14"/>
        <v>10</v>
      </c>
      <c r="H120" s="459">
        <v>113</v>
      </c>
      <c r="I120" s="444">
        <f t="shared" ca="1" si="5"/>
        <v>1905266.5336642654</v>
      </c>
      <c r="J120" s="444">
        <f t="array" ref="J120">IFERROR(INDEX('Retirement Calculator'!J:J,MATCH('Isaac 401k'!N120,'Retirement Calculator'!A:A,0),0),0)</f>
        <v>7896.2379798201846</v>
      </c>
      <c r="K120" s="444">
        <f t="shared" ca="1" si="2"/>
        <v>7905.7095653518545</v>
      </c>
      <c r="L120" s="444">
        <f t="shared" ca="1" si="3"/>
        <v>1905276.0052497971</v>
      </c>
      <c r="M120" s="460">
        <f t="shared" si="6"/>
        <v>0.05</v>
      </c>
      <c r="N120" s="464">
        <f t="shared" si="7"/>
        <v>54697</v>
      </c>
    </row>
    <row r="121" spans="1:14" ht="11.25" customHeight="1" x14ac:dyDescent="0.3">
      <c r="A121" s="459">
        <v>114</v>
      </c>
      <c r="B121" s="447">
        <f t="shared" ca="1" si="4"/>
        <v>3544711.7566164783</v>
      </c>
      <c r="C121" s="447">
        <f t="shared" si="0"/>
        <v>0</v>
      </c>
      <c r="D121" s="447">
        <f t="shared" ca="1" si="9"/>
        <v>96141.094040297481</v>
      </c>
      <c r="E121" s="447">
        <f t="shared" ca="1" si="1"/>
        <v>3640852.8506567758</v>
      </c>
      <c r="F121" s="431"/>
      <c r="G121" s="459">
        <f t="shared" si="14"/>
        <v>10</v>
      </c>
      <c r="H121" s="459">
        <v>114</v>
      </c>
      <c r="I121" s="444">
        <f t="shared" ca="1" si="5"/>
        <v>1905276.0052497971</v>
      </c>
      <c r="J121" s="444">
        <f t="array" ref="J121">IFERROR(INDEX('Retirement Calculator'!J:J,MATCH('Isaac 401k'!N121,'Retirement Calculator'!A:A,0),0),0)</f>
        <v>7896.2379798201846</v>
      </c>
      <c r="K121" s="444">
        <f t="shared" ca="1" si="2"/>
        <v>7905.7490302915694</v>
      </c>
      <c r="L121" s="444">
        <f t="shared" ca="1" si="3"/>
        <v>1905285.5163002685</v>
      </c>
      <c r="M121" s="460">
        <f t="shared" si="6"/>
        <v>0.05</v>
      </c>
      <c r="N121" s="464">
        <f t="shared" si="7"/>
        <v>54728</v>
      </c>
    </row>
    <row r="122" spans="1:14" ht="11.25" customHeight="1" x14ac:dyDescent="0.3">
      <c r="A122" s="459">
        <v>115</v>
      </c>
      <c r="B122" s="447">
        <f t="shared" ca="1" si="4"/>
        <v>3640852.8506567758</v>
      </c>
      <c r="C122" s="447">
        <f t="shared" si="0"/>
        <v>0</v>
      </c>
      <c r="D122" s="447">
        <f t="shared" ca="1" si="9"/>
        <v>96141.094040297481</v>
      </c>
      <c r="E122" s="447">
        <f t="shared" ca="1" si="1"/>
        <v>3736993.9446970732</v>
      </c>
      <c r="F122" s="431"/>
      <c r="G122" s="459">
        <f t="shared" si="14"/>
        <v>10</v>
      </c>
      <c r="H122" s="459">
        <v>115</v>
      </c>
      <c r="I122" s="444">
        <f t="shared" ca="1" si="5"/>
        <v>1905285.5163002685</v>
      </c>
      <c r="J122" s="444">
        <f t="array" ref="J122">IFERROR(INDEX('Retirement Calculator'!J:J,MATCH('Isaac 401k'!N122,'Retirement Calculator'!A:A,0),0),0)</f>
        <v>7896.2379798201846</v>
      </c>
      <c r="K122" s="444">
        <f t="shared" ca="1" si="2"/>
        <v>7905.7886596685339</v>
      </c>
      <c r="L122" s="444">
        <f t="shared" ca="1" si="3"/>
        <v>1905295.0669801168</v>
      </c>
      <c r="M122" s="460">
        <f t="shared" si="6"/>
        <v>0.05</v>
      </c>
      <c r="N122" s="464">
        <f t="shared" si="7"/>
        <v>54758</v>
      </c>
    </row>
    <row r="123" spans="1:14" ht="11.25" customHeight="1" x14ac:dyDescent="0.3">
      <c r="A123" s="459">
        <v>116</v>
      </c>
      <c r="B123" s="447">
        <f t="shared" ca="1" si="4"/>
        <v>3736993.9446970732</v>
      </c>
      <c r="C123" s="447">
        <f t="shared" si="0"/>
        <v>0</v>
      </c>
      <c r="D123" s="447">
        <f t="shared" ca="1" si="9"/>
        <v>96141.094040297481</v>
      </c>
      <c r="E123" s="447">
        <f t="shared" ca="1" si="1"/>
        <v>3833135.0387373706</v>
      </c>
      <c r="F123" s="431"/>
      <c r="G123" s="459">
        <f t="shared" si="14"/>
        <v>10</v>
      </c>
      <c r="H123" s="459">
        <v>116</v>
      </c>
      <c r="I123" s="444">
        <f t="shared" ca="1" si="5"/>
        <v>1905295.0669801168</v>
      </c>
      <c r="J123" s="444">
        <f t="array" ref="J123">IFERROR(INDEX('Retirement Calculator'!J:J,MATCH('Isaac 401k'!N123,'Retirement Calculator'!A:A,0),0),0)</f>
        <v>7896.2379798201846</v>
      </c>
      <c r="K123" s="444">
        <f t="shared" ca="1" si="2"/>
        <v>7905.8284541679031</v>
      </c>
      <c r="L123" s="444">
        <f t="shared" ca="1" si="3"/>
        <v>1905304.6574544644</v>
      </c>
      <c r="M123" s="460">
        <f t="shared" si="6"/>
        <v>0.05</v>
      </c>
      <c r="N123" s="464">
        <f t="shared" si="7"/>
        <v>54789</v>
      </c>
    </row>
    <row r="124" spans="1:14" ht="11.25" customHeight="1" x14ac:dyDescent="0.3">
      <c r="A124" s="459">
        <v>117</v>
      </c>
      <c r="B124" s="447">
        <f t="shared" ca="1" si="4"/>
        <v>3833135.0387373706</v>
      </c>
      <c r="C124" s="447">
        <f t="shared" si="0"/>
        <v>0</v>
      </c>
      <c r="D124" s="447">
        <f t="shared" ca="1" si="9"/>
        <v>96141.094040297481</v>
      </c>
      <c r="E124" s="447">
        <f t="shared" ca="1" si="1"/>
        <v>3929276.1327776681</v>
      </c>
      <c r="F124" s="431"/>
      <c r="G124" s="459">
        <f t="shared" si="14"/>
        <v>10</v>
      </c>
      <c r="H124" s="459">
        <v>117</v>
      </c>
      <c r="I124" s="444">
        <f t="shared" ca="1" si="5"/>
        <v>1905304.6574544644</v>
      </c>
      <c r="J124" s="444">
        <f t="array" ref="J124">IFERROR(INDEX('Retirement Calculator'!J:J,MATCH('Isaac 401k'!N124,'Retirement Calculator'!A:A,0),0),0)</f>
        <v>7896.2379798201846</v>
      </c>
      <c r="K124" s="444">
        <f t="shared" ca="1" si="2"/>
        <v>7905.8684144776844</v>
      </c>
      <c r="L124" s="444">
        <f t="shared" ca="1" si="3"/>
        <v>1905314.2878891218</v>
      </c>
      <c r="M124" s="460">
        <f t="shared" si="6"/>
        <v>0.05</v>
      </c>
      <c r="N124" s="464">
        <f t="shared" si="7"/>
        <v>54820</v>
      </c>
    </row>
    <row r="125" spans="1:14" ht="11.25" customHeight="1" x14ac:dyDescent="0.3">
      <c r="A125" s="459">
        <v>118</v>
      </c>
      <c r="B125" s="447">
        <f t="shared" ca="1" si="4"/>
        <v>3929276.1327776681</v>
      </c>
      <c r="C125" s="447">
        <f t="shared" si="0"/>
        <v>0</v>
      </c>
      <c r="D125" s="447">
        <f t="shared" ca="1" si="9"/>
        <v>96141.094040297481</v>
      </c>
      <c r="E125" s="447">
        <f t="shared" ca="1" si="1"/>
        <v>4025417.2268179655</v>
      </c>
      <c r="F125" s="431"/>
      <c r="G125" s="459">
        <f t="shared" si="14"/>
        <v>10</v>
      </c>
      <c r="H125" s="459">
        <v>118</v>
      </c>
      <c r="I125" s="444">
        <f t="shared" ca="1" si="5"/>
        <v>1905314.2878891218</v>
      </c>
      <c r="J125" s="444">
        <f t="array" ref="J125">IFERROR(INDEX('Retirement Calculator'!J:J,MATCH('Isaac 401k'!N125,'Retirement Calculator'!A:A,0),0),0)</f>
        <v>7896.2379798201846</v>
      </c>
      <c r="K125" s="444">
        <f t="shared" ca="1" si="2"/>
        <v>7905.9085412887562</v>
      </c>
      <c r="L125" s="444">
        <f t="shared" ca="1" si="3"/>
        <v>1905323.9584505903</v>
      </c>
      <c r="M125" s="460">
        <f t="shared" si="6"/>
        <v>0.05</v>
      </c>
      <c r="N125" s="464">
        <f t="shared" si="7"/>
        <v>54848</v>
      </c>
    </row>
    <row r="126" spans="1:14" ht="11.25" customHeight="1" x14ac:dyDescent="0.3">
      <c r="A126" s="459">
        <v>119</v>
      </c>
      <c r="B126" s="447">
        <f t="shared" ca="1" si="4"/>
        <v>4025417.2268179655</v>
      </c>
      <c r="C126" s="447">
        <f t="shared" si="0"/>
        <v>0</v>
      </c>
      <c r="D126" s="447">
        <f t="shared" ca="1" si="9"/>
        <v>96141.094040297481</v>
      </c>
      <c r="E126" s="447">
        <f t="shared" ca="1" si="1"/>
        <v>4121558.3208582629</v>
      </c>
      <c r="F126" s="431"/>
      <c r="G126" s="459">
        <f t="shared" si="14"/>
        <v>10</v>
      </c>
      <c r="H126" s="459">
        <v>119</v>
      </c>
      <c r="I126" s="444">
        <f t="shared" ca="1" si="5"/>
        <v>1905323.9584505903</v>
      </c>
      <c r="J126" s="444">
        <f t="array" ref="J126">IFERROR(INDEX('Retirement Calculator'!J:J,MATCH('Isaac 401k'!N126,'Retirement Calculator'!A:A,0),0),0)</f>
        <v>7896.2379798201846</v>
      </c>
      <c r="K126" s="444">
        <f t="shared" ca="1" si="2"/>
        <v>7905.9488352948747</v>
      </c>
      <c r="L126" s="444">
        <f t="shared" ca="1" si="3"/>
        <v>1905333.669306065</v>
      </c>
      <c r="M126" s="460">
        <f t="shared" si="6"/>
        <v>0.05</v>
      </c>
      <c r="N126" s="464">
        <f t="shared" si="7"/>
        <v>54879</v>
      </c>
    </row>
    <row r="127" spans="1:14" ht="11.25" customHeight="1" x14ac:dyDescent="0.3">
      <c r="A127" s="459">
        <v>120</v>
      </c>
      <c r="B127" s="447">
        <f t="shared" ca="1" si="4"/>
        <v>4121558.3208582629</v>
      </c>
      <c r="C127" s="447">
        <f t="shared" si="0"/>
        <v>0</v>
      </c>
      <c r="D127" s="447">
        <f t="shared" ca="1" si="9"/>
        <v>96141.094040297481</v>
      </c>
      <c r="E127" s="447">
        <f t="shared" ca="1" si="1"/>
        <v>4217699.4148985604</v>
      </c>
      <c r="F127" s="431"/>
      <c r="G127" s="459">
        <f t="shared" si="14"/>
        <v>10</v>
      </c>
      <c r="H127" s="459">
        <v>120</v>
      </c>
      <c r="I127" s="444">
        <f t="shared" ca="1" si="5"/>
        <v>1905333.669306065</v>
      </c>
      <c r="J127" s="444">
        <f t="array" ref="J127">IFERROR(INDEX('Retirement Calculator'!J:J,MATCH('Isaac 401k'!N127,'Retirement Calculator'!A:A,0),0),0)</f>
        <v>7896.2379798201846</v>
      </c>
      <c r="K127" s="444">
        <f t="shared" ca="1" si="2"/>
        <v>7905.9892971926865</v>
      </c>
      <c r="L127" s="444">
        <f t="shared" ca="1" si="3"/>
        <v>1905343.4206234375</v>
      </c>
      <c r="M127" s="460">
        <f t="shared" si="6"/>
        <v>0.05</v>
      </c>
      <c r="N127" s="464">
        <f t="shared" si="7"/>
        <v>54909</v>
      </c>
    </row>
    <row r="128" spans="1:14" ht="11.25" customHeight="1" x14ac:dyDescent="0.3">
      <c r="A128" s="459">
        <v>121</v>
      </c>
      <c r="B128" s="447">
        <f t="shared" ca="1" si="4"/>
        <v>4217699.4148985604</v>
      </c>
      <c r="C128" s="447">
        <f t="shared" si="0"/>
        <v>0</v>
      </c>
      <c r="D128" s="447">
        <f t="shared" ca="1" si="9"/>
        <v>96141.094040297481</v>
      </c>
      <c r="E128" s="447">
        <f t="shared" ca="1" si="1"/>
        <v>4313840.5089388583</v>
      </c>
      <c r="F128" s="431"/>
      <c r="G128" s="459">
        <f>G127+1</f>
        <v>11</v>
      </c>
      <c r="H128" s="459">
        <v>121</v>
      </c>
      <c r="I128" s="444">
        <f t="shared" ca="1" si="5"/>
        <v>1905343.4206234375</v>
      </c>
      <c r="J128" s="444">
        <f t="array" ref="J128">IFERROR(INDEX('Retirement Calculator'!J:J,MATCH('Isaac 401k'!N128,'Retirement Calculator'!A:A,0),0),0)</f>
        <v>7896.2379798201846</v>
      </c>
      <c r="K128" s="444">
        <f t="shared" ca="1" si="2"/>
        <v>7906.0299276817377</v>
      </c>
      <c r="L128" s="444">
        <f t="shared" ca="1" si="3"/>
        <v>1905353.2125712989</v>
      </c>
      <c r="M128" s="460">
        <f t="shared" si="6"/>
        <v>0.05</v>
      </c>
      <c r="N128" s="464">
        <f t="shared" si="7"/>
        <v>54940</v>
      </c>
    </row>
    <row r="129" spans="1:14" ht="11.25" customHeight="1" x14ac:dyDescent="0.3">
      <c r="A129" s="459">
        <v>122</v>
      </c>
      <c r="B129" s="447">
        <f t="shared" ca="1" si="4"/>
        <v>4313840.5089388583</v>
      </c>
      <c r="C129" s="447">
        <f t="shared" si="0"/>
        <v>0</v>
      </c>
      <c r="D129" s="447">
        <f t="shared" ca="1" si="9"/>
        <v>96141.094040297481</v>
      </c>
      <c r="E129" s="447">
        <f t="shared" ca="1" si="1"/>
        <v>4409981.6029791562</v>
      </c>
      <c r="F129" s="431"/>
      <c r="G129" s="459">
        <f t="shared" ref="G129:G139" si="15">G128</f>
        <v>11</v>
      </c>
      <c r="H129" s="459">
        <v>122</v>
      </c>
      <c r="I129" s="444">
        <f t="shared" ca="1" si="5"/>
        <v>1905353.2125712989</v>
      </c>
      <c r="J129" s="444">
        <f t="array" ref="J129">IFERROR(INDEX('Retirement Calculator'!J:J,MATCH('Isaac 401k'!N129,'Retirement Calculator'!A:A,0),0),0)</f>
        <v>7896.2379798201846</v>
      </c>
      <c r="K129" s="444">
        <f t="shared" ca="1" si="2"/>
        <v>7906.0707274644947</v>
      </c>
      <c r="L129" s="444">
        <f t="shared" ca="1" si="3"/>
        <v>1905363.0453189432</v>
      </c>
      <c r="M129" s="460">
        <f t="shared" si="6"/>
        <v>0.05</v>
      </c>
      <c r="N129" s="464">
        <f t="shared" si="7"/>
        <v>54970</v>
      </c>
    </row>
    <row r="130" spans="1:14" ht="11.25" customHeight="1" x14ac:dyDescent="0.3">
      <c r="A130" s="459">
        <v>123</v>
      </c>
      <c r="B130" s="447">
        <f t="shared" ca="1" si="4"/>
        <v>4409981.6029791562</v>
      </c>
      <c r="C130" s="447">
        <f t="shared" si="0"/>
        <v>0</v>
      </c>
      <c r="D130" s="447">
        <f t="shared" ca="1" si="9"/>
        <v>96141.094040297481</v>
      </c>
      <c r="E130" s="447">
        <f t="shared" ca="1" si="1"/>
        <v>4506122.6970194541</v>
      </c>
      <c r="F130" s="431"/>
      <c r="G130" s="459">
        <f t="shared" si="15"/>
        <v>11</v>
      </c>
      <c r="H130" s="459">
        <v>123</v>
      </c>
      <c r="I130" s="444">
        <f t="shared" ca="1" si="5"/>
        <v>1905363.0453189432</v>
      </c>
      <c r="J130" s="444">
        <f t="array" ref="J130">IFERROR(INDEX('Retirement Calculator'!J:J,MATCH('Isaac 401k'!N130,'Retirement Calculator'!A:A,0),0),0)</f>
        <v>7896.2379798201846</v>
      </c>
      <c r="K130" s="444">
        <f t="shared" ca="1" si="2"/>
        <v>7906.1116972463469</v>
      </c>
      <c r="L130" s="444">
        <f t="shared" ca="1" si="3"/>
        <v>1905372.9190363693</v>
      </c>
      <c r="M130" s="460">
        <f t="shared" si="6"/>
        <v>0.05</v>
      </c>
      <c r="N130" s="464">
        <f t="shared" si="7"/>
        <v>55001</v>
      </c>
    </row>
    <row r="131" spans="1:14" ht="11.25" customHeight="1" x14ac:dyDescent="0.3">
      <c r="A131" s="459">
        <v>124</v>
      </c>
      <c r="B131" s="447">
        <f t="shared" ca="1" si="4"/>
        <v>4506122.6970194541</v>
      </c>
      <c r="C131" s="447">
        <f t="shared" si="0"/>
        <v>0</v>
      </c>
      <c r="D131" s="447">
        <f t="shared" ca="1" si="9"/>
        <v>96141.094040297481</v>
      </c>
      <c r="E131" s="447">
        <f t="shared" ca="1" si="1"/>
        <v>4602263.791059752</v>
      </c>
      <c r="F131" s="431"/>
      <c r="G131" s="459">
        <f t="shared" si="15"/>
        <v>11</v>
      </c>
      <c r="H131" s="459">
        <v>124</v>
      </c>
      <c r="I131" s="444">
        <f t="shared" ca="1" si="5"/>
        <v>1905372.9190363693</v>
      </c>
      <c r="J131" s="444">
        <f t="array" ref="J131">IFERROR(INDEX('Retirement Calculator'!J:J,MATCH('Isaac 401k'!N131,'Retirement Calculator'!A:A,0),0),0)</f>
        <v>7896.2379798201846</v>
      </c>
      <c r="K131" s="444">
        <f t="shared" ca="1" si="2"/>
        <v>7906.1528377356208</v>
      </c>
      <c r="L131" s="444">
        <f t="shared" ca="1" si="3"/>
        <v>1905382.8338942847</v>
      </c>
      <c r="M131" s="460">
        <f t="shared" si="6"/>
        <v>0.05</v>
      </c>
      <c r="N131" s="464">
        <f t="shared" si="7"/>
        <v>55032</v>
      </c>
    </row>
    <row r="132" spans="1:14" ht="11.25" customHeight="1" x14ac:dyDescent="0.3">
      <c r="A132" s="459">
        <v>125</v>
      </c>
      <c r="B132" s="447">
        <f t="shared" ca="1" si="4"/>
        <v>4602263.791059752</v>
      </c>
      <c r="C132" s="447">
        <f t="shared" si="0"/>
        <v>0</v>
      </c>
      <c r="D132" s="447">
        <f t="shared" ca="1" si="9"/>
        <v>96141.094040297481</v>
      </c>
      <c r="E132" s="447">
        <f t="shared" ca="1" si="1"/>
        <v>4698404.8851000499</v>
      </c>
      <c r="F132" s="431"/>
      <c r="G132" s="459">
        <f t="shared" si="15"/>
        <v>11</v>
      </c>
      <c r="H132" s="459">
        <v>125</v>
      </c>
      <c r="I132" s="444">
        <f t="shared" ca="1" si="5"/>
        <v>1905382.8338942847</v>
      </c>
      <c r="J132" s="444">
        <f t="array" ref="J132">IFERROR(INDEX('Retirement Calculator'!J:J,MATCH('Isaac 401k'!N132,'Retirement Calculator'!A:A,0),0),0)</f>
        <v>7896.2379798201846</v>
      </c>
      <c r="K132" s="444">
        <f t="shared" ca="1" si="2"/>
        <v>7906.194149643602</v>
      </c>
      <c r="L132" s="444">
        <f t="shared" ca="1" si="3"/>
        <v>1905392.7900641081</v>
      </c>
      <c r="M132" s="460">
        <f t="shared" si="6"/>
        <v>0.05</v>
      </c>
      <c r="N132" s="464">
        <f t="shared" si="7"/>
        <v>55062</v>
      </c>
    </row>
    <row r="133" spans="1:14" ht="11.25" customHeight="1" x14ac:dyDescent="0.3">
      <c r="A133" s="459">
        <v>126</v>
      </c>
      <c r="B133" s="447">
        <f t="shared" ca="1" si="4"/>
        <v>4698404.8851000499</v>
      </c>
      <c r="C133" s="447">
        <f t="shared" si="0"/>
        <v>0</v>
      </c>
      <c r="D133" s="447">
        <f t="shared" ca="1" si="9"/>
        <v>96141.094040297481</v>
      </c>
      <c r="E133" s="447">
        <f t="shared" ca="1" si="1"/>
        <v>4794545.9791403478</v>
      </c>
      <c r="F133" s="431"/>
      <c r="G133" s="459">
        <f t="shared" si="15"/>
        <v>11</v>
      </c>
      <c r="H133" s="459">
        <v>126</v>
      </c>
      <c r="I133" s="444">
        <f t="shared" ca="1" si="5"/>
        <v>1905392.7900641081</v>
      </c>
      <c r="J133" s="444">
        <f t="array" ref="J133">IFERROR(INDEX('Retirement Calculator'!J:J,MATCH('Isaac 401k'!N133,'Retirement Calculator'!A:A,0),0),0)</f>
        <v>7896.2379798201846</v>
      </c>
      <c r="K133" s="444">
        <f t="shared" ca="1" si="2"/>
        <v>7906.2356336845332</v>
      </c>
      <c r="L133" s="444">
        <f t="shared" ca="1" si="3"/>
        <v>1905402.7877179724</v>
      </c>
      <c r="M133" s="460">
        <f t="shared" si="6"/>
        <v>0.05</v>
      </c>
      <c r="N133" s="464">
        <f t="shared" si="7"/>
        <v>55093</v>
      </c>
    </row>
    <row r="134" spans="1:14" ht="11.25" customHeight="1" x14ac:dyDescent="0.3">
      <c r="A134" s="459">
        <v>127</v>
      </c>
      <c r="B134" s="447">
        <f t="shared" ca="1" si="4"/>
        <v>4794545.9791403478</v>
      </c>
      <c r="C134" s="447">
        <f t="shared" si="0"/>
        <v>0</v>
      </c>
      <c r="D134" s="447">
        <f t="shared" ca="1" si="9"/>
        <v>96141.094040297481</v>
      </c>
      <c r="E134" s="447">
        <f t="shared" ca="1" si="1"/>
        <v>4890687.0731806457</v>
      </c>
      <c r="F134" s="431"/>
      <c r="G134" s="459">
        <f t="shared" si="15"/>
        <v>11</v>
      </c>
      <c r="H134" s="459">
        <v>127</v>
      </c>
      <c r="I134" s="444">
        <f t="shared" ca="1" si="5"/>
        <v>1905402.7877179724</v>
      </c>
      <c r="J134" s="444">
        <f t="array" ref="J134">IFERROR(INDEX('Retirement Calculator'!J:J,MATCH('Isaac 401k'!N134,'Retirement Calculator'!A:A,0),0),0)</f>
        <v>7896.2379798201846</v>
      </c>
      <c r="K134" s="444">
        <f t="shared" ca="1" si="2"/>
        <v>7906.2772905756328</v>
      </c>
      <c r="L134" s="444">
        <f t="shared" ca="1" si="3"/>
        <v>1905412.8270287279</v>
      </c>
      <c r="M134" s="460">
        <f t="shared" si="6"/>
        <v>0.05</v>
      </c>
      <c r="N134" s="464">
        <f t="shared" si="7"/>
        <v>55123</v>
      </c>
    </row>
    <row r="135" spans="1:14" ht="11.25" customHeight="1" x14ac:dyDescent="0.3">
      <c r="A135" s="459">
        <v>128</v>
      </c>
      <c r="B135" s="447">
        <f t="shared" ca="1" si="4"/>
        <v>4890687.0731806457</v>
      </c>
      <c r="C135" s="447">
        <f t="shared" si="0"/>
        <v>0</v>
      </c>
      <c r="D135" s="447">
        <f t="shared" ca="1" si="9"/>
        <v>96141.094040297481</v>
      </c>
      <c r="E135" s="447">
        <f t="shared" ca="1" si="1"/>
        <v>4986828.1672209436</v>
      </c>
      <c r="F135" s="431"/>
      <c r="G135" s="459">
        <f t="shared" si="15"/>
        <v>11</v>
      </c>
      <c r="H135" s="459">
        <v>128</v>
      </c>
      <c r="I135" s="444">
        <f t="shared" ca="1" si="5"/>
        <v>1905412.8270287279</v>
      </c>
      <c r="J135" s="444">
        <f t="array" ref="J135">IFERROR(INDEX('Retirement Calculator'!J:J,MATCH('Isaac 401k'!N135,'Retirement Calculator'!A:A,0),0),0)</f>
        <v>7896.2379798201846</v>
      </c>
      <c r="K135" s="444">
        <f t="shared" ca="1" si="2"/>
        <v>7906.3191210371151</v>
      </c>
      <c r="L135" s="444">
        <f t="shared" ca="1" si="3"/>
        <v>1905422.9081699448</v>
      </c>
      <c r="M135" s="460">
        <f t="shared" si="6"/>
        <v>0.05</v>
      </c>
      <c r="N135" s="464">
        <f t="shared" si="7"/>
        <v>55154</v>
      </c>
    </row>
    <row r="136" spans="1:14" ht="11.25" customHeight="1" x14ac:dyDescent="0.3">
      <c r="A136" s="459">
        <v>129</v>
      </c>
      <c r="B136" s="447">
        <f t="shared" ca="1" si="4"/>
        <v>4986828.1672209436</v>
      </c>
      <c r="C136" s="447">
        <f t="shared" si="0"/>
        <v>0</v>
      </c>
      <c r="D136" s="447">
        <f t="shared" ca="1" si="9"/>
        <v>96141.094040297481</v>
      </c>
      <c r="E136" s="447">
        <f t="shared" ca="1" si="1"/>
        <v>5082969.2612612415</v>
      </c>
      <c r="F136" s="431"/>
      <c r="G136" s="459">
        <f t="shared" si="15"/>
        <v>11</v>
      </c>
      <c r="H136" s="459">
        <v>129</v>
      </c>
      <c r="I136" s="444">
        <f t="shared" ca="1" si="5"/>
        <v>1905422.9081699448</v>
      </c>
      <c r="J136" s="444">
        <f t="array" ref="J136">IFERROR(INDEX('Retirement Calculator'!J:J,MATCH('Isaac 401k'!N136,'Retirement Calculator'!A:A,0),0),0)</f>
        <v>7896.2379798201846</v>
      </c>
      <c r="K136" s="444">
        <f t="shared" ca="1" si="2"/>
        <v>7906.3611257921857</v>
      </c>
      <c r="L136" s="444">
        <f t="shared" ca="1" si="3"/>
        <v>1905433.0313159167</v>
      </c>
      <c r="M136" s="460">
        <f t="shared" si="6"/>
        <v>0.05</v>
      </c>
      <c r="N136" s="464">
        <f t="shared" si="7"/>
        <v>55185</v>
      </c>
    </row>
    <row r="137" spans="1:14" ht="11.25" customHeight="1" x14ac:dyDescent="0.3">
      <c r="A137" s="459"/>
      <c r="B137" s="431"/>
      <c r="C137" s="431"/>
      <c r="D137" s="431"/>
      <c r="E137" s="431"/>
      <c r="F137" s="431"/>
      <c r="G137" s="459">
        <f t="shared" si="15"/>
        <v>11</v>
      </c>
      <c r="H137" s="459">
        <v>130</v>
      </c>
      <c r="I137" s="444">
        <f t="shared" ca="1" si="5"/>
        <v>1905433.0313159167</v>
      </c>
      <c r="J137" s="444">
        <f t="array" ref="J137">IFERROR(INDEX('Retirement Calculator'!J:J,MATCH('Isaac 401k'!N137,'Retirement Calculator'!A:A,0),0),0)</f>
        <v>7896.2379798201846</v>
      </c>
      <c r="K137" s="444">
        <f t="shared" ca="1" si="2"/>
        <v>7906.4033055670689</v>
      </c>
      <c r="L137" s="444">
        <f t="shared" ca="1" si="3"/>
        <v>1905443.1966416636</v>
      </c>
      <c r="M137" s="460">
        <f t="shared" si="6"/>
        <v>0.05</v>
      </c>
      <c r="N137" s="464">
        <f t="shared" si="7"/>
        <v>55213</v>
      </c>
    </row>
    <row r="138" spans="1:14" ht="11.25" customHeight="1" x14ac:dyDescent="0.3">
      <c r="A138" s="459"/>
      <c r="B138" s="431"/>
      <c r="C138" s="431"/>
      <c r="D138" s="431"/>
      <c r="E138" s="431"/>
      <c r="F138" s="431"/>
      <c r="G138" s="459">
        <f t="shared" si="15"/>
        <v>11</v>
      </c>
      <c r="H138" s="459">
        <v>131</v>
      </c>
      <c r="I138" s="444">
        <f t="shared" ca="1" si="5"/>
        <v>1905443.1966416636</v>
      </c>
      <c r="J138" s="444">
        <f t="array" ref="J138">IFERROR(INDEX('Retirement Calculator'!J:J,MATCH('Isaac 401k'!N138,'Retirement Calculator'!A:A,0),0),0)</f>
        <v>7896.2379798201846</v>
      </c>
      <c r="K138" s="444">
        <f t="shared" ca="1" si="2"/>
        <v>7906.4456610910129</v>
      </c>
      <c r="L138" s="444">
        <f t="shared" ca="1" si="3"/>
        <v>1905453.4043229343</v>
      </c>
      <c r="M138" s="460">
        <f t="shared" si="6"/>
        <v>0.05</v>
      </c>
      <c r="N138" s="464">
        <f t="shared" si="7"/>
        <v>55244</v>
      </c>
    </row>
    <row r="139" spans="1:14" ht="11.25" customHeight="1" x14ac:dyDescent="0.3">
      <c r="A139" s="459"/>
      <c r="B139" s="431"/>
      <c r="C139" s="431"/>
      <c r="D139" s="431"/>
      <c r="E139" s="431"/>
      <c r="F139" s="431"/>
      <c r="G139" s="459">
        <f t="shared" si="15"/>
        <v>11</v>
      </c>
      <c r="H139" s="459">
        <v>132</v>
      </c>
      <c r="I139" s="444">
        <f t="shared" ca="1" si="5"/>
        <v>1905453.4043229343</v>
      </c>
      <c r="J139" s="444">
        <f t="array" ref="J139">IFERROR(INDEX('Retirement Calculator'!J:J,MATCH('Isaac 401k'!N139,'Retirement Calculator'!A:A,0),0),0)</f>
        <v>7896.2379798201846</v>
      </c>
      <c r="K139" s="444">
        <f t="shared" ca="1" si="2"/>
        <v>7906.4881930963093</v>
      </c>
      <c r="L139" s="444">
        <f t="shared" ca="1" si="3"/>
        <v>1905463.6545362105</v>
      </c>
      <c r="M139" s="460">
        <f t="shared" si="6"/>
        <v>0.05</v>
      </c>
      <c r="N139" s="464">
        <f t="shared" si="7"/>
        <v>55274</v>
      </c>
    </row>
    <row r="140" spans="1:14" ht="11.25" customHeight="1" x14ac:dyDescent="0.3">
      <c r="A140" s="459"/>
      <c r="B140" s="431"/>
      <c r="C140" s="431"/>
      <c r="D140" s="431"/>
      <c r="E140" s="431"/>
      <c r="F140" s="431"/>
      <c r="G140" s="459">
        <f>G139+1</f>
        <v>12</v>
      </c>
      <c r="H140" s="459">
        <v>133</v>
      </c>
      <c r="I140" s="444">
        <f t="shared" ca="1" si="5"/>
        <v>1905463.6545362105</v>
      </c>
      <c r="J140" s="444">
        <f t="array" ref="J140">IFERROR(INDEX('Retirement Calculator'!J:J,MATCH('Isaac 401k'!N140,'Retirement Calculator'!A:A,0),0),0)</f>
        <v>7896.2379798201846</v>
      </c>
      <c r="K140" s="444">
        <f t="shared" ca="1" si="2"/>
        <v>7906.5309023182917</v>
      </c>
      <c r="L140" s="444">
        <f t="shared" ca="1" si="3"/>
        <v>1905473.9474587084</v>
      </c>
      <c r="M140" s="460">
        <f t="shared" si="6"/>
        <v>0.05</v>
      </c>
      <c r="N140" s="464">
        <f t="shared" si="7"/>
        <v>55305</v>
      </c>
    </row>
    <row r="141" spans="1:14" ht="11.25" customHeight="1" x14ac:dyDescent="0.3">
      <c r="A141" s="459"/>
      <c r="B141" s="431"/>
      <c r="C141" s="431"/>
      <c r="D141" s="431"/>
      <c r="E141" s="431"/>
      <c r="F141" s="431"/>
      <c r="G141" s="459">
        <f t="shared" ref="G141:G151" si="16">G140</f>
        <v>12</v>
      </c>
      <c r="H141" s="459">
        <v>134</v>
      </c>
      <c r="I141" s="444">
        <f t="shared" ca="1" si="5"/>
        <v>1905473.9474587084</v>
      </c>
      <c r="J141" s="444">
        <f t="array" ref="J141">IFERROR(INDEX('Retirement Calculator'!J:J,MATCH('Isaac 401k'!N141,'Retirement Calculator'!A:A,0),0),0)</f>
        <v>7896.2379798201846</v>
      </c>
      <c r="K141" s="444">
        <f t="shared" ca="1" si="2"/>
        <v>7906.5737894953672</v>
      </c>
      <c r="L141" s="444">
        <f t="shared" ca="1" si="3"/>
        <v>1905484.2832683835</v>
      </c>
      <c r="M141" s="460">
        <f t="shared" si="6"/>
        <v>0.05</v>
      </c>
      <c r="N141" s="464">
        <f t="shared" si="7"/>
        <v>55335</v>
      </c>
    </row>
    <row r="142" spans="1:14" ht="11.25" customHeight="1" x14ac:dyDescent="0.3">
      <c r="A142" s="459"/>
      <c r="B142" s="431"/>
      <c r="C142" s="431"/>
      <c r="D142" s="431"/>
      <c r="E142" s="431"/>
      <c r="F142" s="431"/>
      <c r="G142" s="459">
        <f t="shared" si="16"/>
        <v>12</v>
      </c>
      <c r="H142" s="459">
        <v>135</v>
      </c>
      <c r="I142" s="444">
        <f t="shared" ca="1" si="5"/>
        <v>1905484.2832683835</v>
      </c>
      <c r="J142" s="444">
        <f t="array" ref="J142">IFERROR(INDEX('Retirement Calculator'!J:J,MATCH('Isaac 401k'!N142,'Retirement Calculator'!A:A,0),0),0)</f>
        <v>7896.2379798201846</v>
      </c>
      <c r="K142" s="444">
        <f t="shared" ca="1" si="2"/>
        <v>7906.6168553690131</v>
      </c>
      <c r="L142" s="444">
        <f t="shared" ca="1" si="3"/>
        <v>1905494.6621439322</v>
      </c>
      <c r="M142" s="460">
        <f t="shared" si="6"/>
        <v>0.05</v>
      </c>
      <c r="N142" s="464">
        <f t="shared" si="7"/>
        <v>55366</v>
      </c>
    </row>
    <row r="143" spans="1:14" ht="11.25" customHeight="1" x14ac:dyDescent="0.3">
      <c r="A143" s="459"/>
      <c r="B143" s="431"/>
      <c r="C143" s="431"/>
      <c r="D143" s="431"/>
      <c r="E143" s="431"/>
      <c r="F143" s="431"/>
      <c r="G143" s="459">
        <f t="shared" si="16"/>
        <v>12</v>
      </c>
      <c r="H143" s="459">
        <v>136</v>
      </c>
      <c r="I143" s="444">
        <f t="shared" ca="1" si="5"/>
        <v>1905494.6621439322</v>
      </c>
      <c r="J143" s="444">
        <f t="array" ref="J143">IFERROR(INDEX('Retirement Calculator'!J:J,MATCH('Isaac 401k'!N143,'Retirement Calculator'!A:A,0),0),0)</f>
        <v>7896.2379798201846</v>
      </c>
      <c r="K143" s="444">
        <f t="shared" ca="1" si="2"/>
        <v>7906.6601006837991</v>
      </c>
      <c r="L143" s="444">
        <f t="shared" ca="1" si="3"/>
        <v>1905505.0842647958</v>
      </c>
      <c r="M143" s="460">
        <f t="shared" si="6"/>
        <v>0.05</v>
      </c>
      <c r="N143" s="464">
        <f t="shared" si="7"/>
        <v>55397</v>
      </c>
    </row>
    <row r="144" spans="1:14" ht="11.25" customHeight="1" x14ac:dyDescent="0.3">
      <c r="A144" s="459"/>
      <c r="B144" s="431"/>
      <c r="C144" s="431"/>
      <c r="D144" s="431"/>
      <c r="E144" s="431"/>
      <c r="F144" s="431"/>
      <c r="G144" s="459">
        <f t="shared" si="16"/>
        <v>12</v>
      </c>
      <c r="H144" s="459">
        <v>137</v>
      </c>
      <c r="I144" s="444">
        <f t="shared" ca="1" si="5"/>
        <v>1905505.0842647958</v>
      </c>
      <c r="J144" s="444">
        <f t="array" ref="J144">IFERROR(INDEX('Retirement Calculator'!J:J,MATCH('Isaac 401k'!N144,'Retirement Calculator'!A:A,0),0),0)</f>
        <v>7896.2379798201846</v>
      </c>
      <c r="K144" s="444">
        <f t="shared" ca="1" si="2"/>
        <v>7906.703526187398</v>
      </c>
      <c r="L144" s="444">
        <f t="shared" ca="1" si="3"/>
        <v>1905515.549811163</v>
      </c>
      <c r="M144" s="460">
        <f t="shared" si="6"/>
        <v>0.05</v>
      </c>
      <c r="N144" s="464">
        <f t="shared" si="7"/>
        <v>55427</v>
      </c>
    </row>
    <row r="145" spans="7:14" ht="11.25" customHeight="1" x14ac:dyDescent="0.3">
      <c r="G145" s="459">
        <f t="shared" si="16"/>
        <v>12</v>
      </c>
      <c r="H145" s="459">
        <v>138</v>
      </c>
      <c r="I145" s="444">
        <f t="shared" ca="1" si="5"/>
        <v>1905515.549811163</v>
      </c>
      <c r="J145" s="444">
        <f t="array" ref="J145">IFERROR(INDEX('Retirement Calculator'!J:J,MATCH('Isaac 401k'!N145,'Retirement Calculator'!A:A,0),0),0)</f>
        <v>7896.2379798201846</v>
      </c>
      <c r="K145" s="444">
        <f t="shared" ca="1" si="2"/>
        <v>7906.7471326305949</v>
      </c>
      <c r="L145" s="444">
        <f t="shared" ca="1" si="3"/>
        <v>1905526.0589639733</v>
      </c>
      <c r="M145" s="460">
        <f t="shared" si="6"/>
        <v>0.05</v>
      </c>
      <c r="N145" s="464">
        <f t="shared" si="7"/>
        <v>55458</v>
      </c>
    </row>
    <row r="146" spans="7:14" ht="11.25" customHeight="1" x14ac:dyDescent="0.3">
      <c r="G146" s="459">
        <f t="shared" si="16"/>
        <v>12</v>
      </c>
      <c r="H146" s="459">
        <v>139</v>
      </c>
      <c r="I146" s="444">
        <f t="shared" ca="1" si="5"/>
        <v>1905526.0589639733</v>
      </c>
      <c r="J146" s="444">
        <f t="array" ref="J146">IFERROR(INDEX('Retirement Calculator'!J:J,MATCH('Isaac 401k'!N146,'Retirement Calculator'!A:A,0),0),0)</f>
        <v>7896.2379798201846</v>
      </c>
      <c r="K146" s="444">
        <f t="shared" ca="1" si="2"/>
        <v>7906.7909207673047</v>
      </c>
      <c r="L146" s="444">
        <f t="shared" ca="1" si="3"/>
        <v>1905536.6119049203</v>
      </c>
      <c r="M146" s="460">
        <f t="shared" si="6"/>
        <v>0.05</v>
      </c>
      <c r="N146" s="464">
        <f t="shared" si="7"/>
        <v>55488</v>
      </c>
    </row>
    <row r="147" spans="7:14" ht="11.25" customHeight="1" x14ac:dyDescent="0.3">
      <c r="G147" s="459">
        <f t="shared" si="16"/>
        <v>12</v>
      </c>
      <c r="H147" s="459">
        <v>140</v>
      </c>
      <c r="I147" s="444">
        <f t="shared" ca="1" si="5"/>
        <v>1905536.6119049203</v>
      </c>
      <c r="J147" s="444">
        <f t="array" ref="J147">IFERROR(INDEX('Retirement Calculator'!J:J,MATCH('Isaac 401k'!N147,'Retirement Calculator'!A:A,0),0),0)</f>
        <v>7896.2379798201846</v>
      </c>
      <c r="K147" s="444">
        <f t="shared" ca="1" si="2"/>
        <v>7906.8348913545824</v>
      </c>
      <c r="L147" s="444">
        <f t="shared" ca="1" si="3"/>
        <v>1905547.2088164547</v>
      </c>
      <c r="M147" s="460">
        <f t="shared" si="6"/>
        <v>0.05</v>
      </c>
      <c r="N147" s="464">
        <f t="shared" si="7"/>
        <v>55519</v>
      </c>
    </row>
    <row r="148" spans="7:14" ht="11.25" customHeight="1" x14ac:dyDescent="0.3">
      <c r="G148" s="459">
        <f t="shared" si="16"/>
        <v>12</v>
      </c>
      <c r="H148" s="459">
        <v>141</v>
      </c>
      <c r="I148" s="444">
        <f t="shared" ca="1" si="5"/>
        <v>1905547.2088164547</v>
      </c>
      <c r="J148" s="444">
        <f t="array" ref="J148">IFERROR(INDEX('Retirement Calculator'!J:J,MATCH('Isaac 401k'!N148,'Retirement Calculator'!A:A,0),0),0)</f>
        <v>7896.2379798201846</v>
      </c>
      <c r="K148" s="444">
        <f t="shared" ca="1" si="2"/>
        <v>7906.8790451526429</v>
      </c>
      <c r="L148" s="444">
        <f t="shared" ca="1" si="3"/>
        <v>1905557.8498817871</v>
      </c>
      <c r="M148" s="460">
        <f t="shared" si="6"/>
        <v>0.05</v>
      </c>
      <c r="N148" s="464">
        <f t="shared" si="7"/>
        <v>55550</v>
      </c>
    </row>
    <row r="149" spans="7:14" ht="11.25" customHeight="1" x14ac:dyDescent="0.3">
      <c r="G149" s="459">
        <f t="shared" si="16"/>
        <v>12</v>
      </c>
      <c r="H149" s="459">
        <v>142</v>
      </c>
      <c r="I149" s="444">
        <f t="shared" ca="1" si="5"/>
        <v>1905557.8498817871</v>
      </c>
      <c r="J149" s="444">
        <f t="array" ref="J149">IFERROR(INDEX('Retirement Calculator'!J:J,MATCH('Isaac 401k'!N149,'Retirement Calculator'!A:A,0),0),0)</f>
        <v>7896.2379798201846</v>
      </c>
      <c r="K149" s="444">
        <f t="shared" ca="1" si="2"/>
        <v>7906.9233829248624</v>
      </c>
      <c r="L149" s="444">
        <f t="shared" ca="1" si="3"/>
        <v>1905568.5352848917</v>
      </c>
      <c r="M149" s="460">
        <f t="shared" si="6"/>
        <v>0.05</v>
      </c>
      <c r="N149" s="464">
        <f t="shared" si="7"/>
        <v>55579</v>
      </c>
    </row>
    <row r="150" spans="7:14" ht="11.25" customHeight="1" x14ac:dyDescent="0.3">
      <c r="G150" s="459">
        <f t="shared" si="16"/>
        <v>12</v>
      </c>
      <c r="H150" s="459">
        <v>143</v>
      </c>
      <c r="I150" s="444">
        <f t="shared" ca="1" si="5"/>
        <v>1905568.5352848917</v>
      </c>
      <c r="J150" s="444">
        <f t="array" ref="J150">IFERROR(INDEX('Retirement Calculator'!J:J,MATCH('Isaac 401k'!N150,'Retirement Calculator'!A:A,0),0),0)</f>
        <v>7896.2379798201846</v>
      </c>
      <c r="K150" s="444">
        <f t="shared" ca="1" si="2"/>
        <v>7906.9679054377966</v>
      </c>
      <c r="L150" s="444">
        <f t="shared" ca="1" si="3"/>
        <v>1905579.2652105093</v>
      </c>
      <c r="M150" s="460">
        <f t="shared" si="6"/>
        <v>0.05</v>
      </c>
      <c r="N150" s="464">
        <f t="shared" si="7"/>
        <v>55610</v>
      </c>
    </row>
    <row r="151" spans="7:14" ht="11.25" customHeight="1" x14ac:dyDescent="0.3">
      <c r="G151" s="459">
        <f t="shared" si="16"/>
        <v>12</v>
      </c>
      <c r="H151" s="459">
        <v>144</v>
      </c>
      <c r="I151" s="444">
        <f t="shared" ca="1" si="5"/>
        <v>1905579.2652105093</v>
      </c>
      <c r="J151" s="444">
        <f t="array" ref="J151">IFERROR(INDEX('Retirement Calculator'!J:J,MATCH('Isaac 401k'!N151,'Retirement Calculator'!A:A,0),0),0)</f>
        <v>7896.2379798201846</v>
      </c>
      <c r="K151" s="444">
        <f t="shared" ca="1" si="2"/>
        <v>7907.0126134612055</v>
      </c>
      <c r="L151" s="444">
        <f t="shared" ca="1" si="3"/>
        <v>1905590.0398441502</v>
      </c>
      <c r="M151" s="460">
        <f t="shared" si="6"/>
        <v>0.05</v>
      </c>
      <c r="N151" s="464">
        <f t="shared" si="7"/>
        <v>55640</v>
      </c>
    </row>
    <row r="152" spans="7:14" ht="11.25" customHeight="1" x14ac:dyDescent="0.3">
      <c r="G152" s="459">
        <f>G151+1</f>
        <v>13</v>
      </c>
      <c r="H152" s="459">
        <v>145</v>
      </c>
      <c r="I152" s="444">
        <f t="shared" ca="1" si="5"/>
        <v>1905590.0398441502</v>
      </c>
      <c r="J152" s="444">
        <f t="array" ref="J152">IFERROR(INDEX('Retirement Calculator'!J:J,MATCH('Isaac 401k'!N152,'Retirement Calculator'!A:A,0),0),0)</f>
        <v>7896.2379798201846</v>
      </c>
      <c r="K152" s="444">
        <f t="shared" ca="1" si="2"/>
        <v>7907.0575077680405</v>
      </c>
      <c r="L152" s="444">
        <f t="shared" ca="1" si="3"/>
        <v>1905600.859372098</v>
      </c>
      <c r="M152" s="460">
        <f t="shared" si="6"/>
        <v>0.05</v>
      </c>
      <c r="N152" s="464">
        <f t="shared" si="7"/>
        <v>55671</v>
      </c>
    </row>
    <row r="153" spans="7:14" ht="11.25" customHeight="1" x14ac:dyDescent="0.3">
      <c r="G153" s="459">
        <f t="shared" ref="G153:G163" si="17">G152</f>
        <v>13</v>
      </c>
      <c r="H153" s="459">
        <v>146</v>
      </c>
      <c r="I153" s="444">
        <f t="shared" ca="1" si="5"/>
        <v>1905600.859372098</v>
      </c>
      <c r="J153" s="444">
        <f t="array" ref="J153">IFERROR(INDEX('Retirement Calculator'!J:J,MATCH('Isaac 401k'!N153,'Retirement Calculator'!A:A,0),0),0)</f>
        <v>7896.2379798201846</v>
      </c>
      <c r="K153" s="444">
        <f t="shared" ca="1" si="2"/>
        <v>7907.1025891344907</v>
      </c>
      <c r="L153" s="444">
        <f t="shared" ca="1" si="3"/>
        <v>1905611.7239814124</v>
      </c>
      <c r="M153" s="460">
        <f t="shared" si="6"/>
        <v>0.05</v>
      </c>
      <c r="N153" s="464">
        <f t="shared" si="7"/>
        <v>55701</v>
      </c>
    </row>
    <row r="154" spans="7:14" ht="11.25" customHeight="1" x14ac:dyDescent="0.3">
      <c r="G154" s="459">
        <f t="shared" si="17"/>
        <v>13</v>
      </c>
      <c r="H154" s="459">
        <v>147</v>
      </c>
      <c r="I154" s="444">
        <f t="shared" ca="1" si="5"/>
        <v>1905611.7239814124</v>
      </c>
      <c r="J154" s="444">
        <f t="array" ref="J154">IFERROR(INDEX('Retirement Calculator'!J:J,MATCH('Isaac 401k'!N154,'Retirement Calculator'!A:A,0),0),0)</f>
        <v>7896.2379798201846</v>
      </c>
      <c r="K154" s="444">
        <f t="shared" ca="1" si="2"/>
        <v>7907.1478583399667</v>
      </c>
      <c r="L154" s="444">
        <f t="shared" ca="1" si="3"/>
        <v>1905622.6338599322</v>
      </c>
      <c r="M154" s="460">
        <f t="shared" si="6"/>
        <v>0.05</v>
      </c>
      <c r="N154" s="464">
        <f t="shared" si="7"/>
        <v>55732</v>
      </c>
    </row>
    <row r="155" spans="7:14" ht="11.25" customHeight="1" x14ac:dyDescent="0.3">
      <c r="G155" s="459">
        <f t="shared" si="17"/>
        <v>13</v>
      </c>
      <c r="H155" s="459">
        <v>148</v>
      </c>
      <c r="I155" s="444">
        <f t="shared" ca="1" si="5"/>
        <v>1905622.6338599322</v>
      </c>
      <c r="J155" s="444">
        <f t="array" ref="J155">IFERROR(INDEX('Retirement Calculator'!J:J,MATCH('Isaac 401k'!N155,'Retirement Calculator'!A:A,0),0),0)</f>
        <v>7896.2379798201846</v>
      </c>
      <c r="K155" s="444">
        <f t="shared" ca="1" si="2"/>
        <v>7907.1933161671323</v>
      </c>
      <c r="L155" s="444">
        <f t="shared" ca="1" si="3"/>
        <v>1905633.5891962792</v>
      </c>
      <c r="M155" s="460">
        <f t="shared" si="6"/>
        <v>0.05</v>
      </c>
      <c r="N155" s="464">
        <f t="shared" si="7"/>
        <v>55763</v>
      </c>
    </row>
    <row r="156" spans="7:14" ht="11.25" customHeight="1" x14ac:dyDescent="0.3">
      <c r="G156" s="459">
        <f t="shared" si="17"/>
        <v>13</v>
      </c>
      <c r="H156" s="459">
        <v>149</v>
      </c>
      <c r="I156" s="444">
        <f t="shared" ca="1" si="5"/>
        <v>1905633.5891962792</v>
      </c>
      <c r="J156" s="444">
        <f t="array" ref="J156">IFERROR(INDEX('Retirement Calculator'!J:J,MATCH('Isaac 401k'!N156,'Retirement Calculator'!A:A,0),0),0)</f>
        <v>7896.2379798201846</v>
      </c>
      <c r="K156" s="444">
        <f t="shared" ca="1" si="2"/>
        <v>7907.2389634019119</v>
      </c>
      <c r="L156" s="444">
        <f t="shared" ca="1" si="3"/>
        <v>1905644.5901798608</v>
      </c>
      <c r="M156" s="460">
        <f t="shared" si="6"/>
        <v>0.05</v>
      </c>
      <c r="N156" s="464">
        <f t="shared" si="7"/>
        <v>55793</v>
      </c>
    </row>
    <row r="157" spans="7:14" ht="11.25" customHeight="1" x14ac:dyDescent="0.3">
      <c r="G157" s="459">
        <f t="shared" si="17"/>
        <v>13</v>
      </c>
      <c r="H157" s="459">
        <v>150</v>
      </c>
      <c r="I157" s="444">
        <f t="shared" ca="1" si="5"/>
        <v>1905644.5901798608</v>
      </c>
      <c r="J157" s="444">
        <f t="array" ref="J157">IFERROR(INDEX('Retirement Calculator'!J:J,MATCH('Isaac 401k'!N157,'Retirement Calculator'!A:A,0),0),0)</f>
        <v>7896.2379798201846</v>
      </c>
      <c r="K157" s="444">
        <f t="shared" ca="1" si="2"/>
        <v>7907.2848008335022</v>
      </c>
      <c r="L157" s="444">
        <f t="shared" ca="1" si="3"/>
        <v>1905655.6370008742</v>
      </c>
      <c r="M157" s="460">
        <f t="shared" si="6"/>
        <v>0.05</v>
      </c>
      <c r="N157" s="464">
        <f t="shared" si="7"/>
        <v>55824</v>
      </c>
    </row>
    <row r="158" spans="7:14" ht="11.25" customHeight="1" x14ac:dyDescent="0.3">
      <c r="G158" s="459">
        <f t="shared" si="17"/>
        <v>13</v>
      </c>
      <c r="H158" s="459">
        <v>151</v>
      </c>
      <c r="I158" s="444">
        <f t="shared" ca="1" si="5"/>
        <v>1905655.6370008742</v>
      </c>
      <c r="J158" s="444">
        <f t="array" ref="J158">IFERROR(INDEX('Retirement Calculator'!J:J,MATCH('Isaac 401k'!N158,'Retirement Calculator'!A:A,0),0),0)</f>
        <v>7896.2379798201846</v>
      </c>
      <c r="K158" s="444">
        <f t="shared" ca="1" si="2"/>
        <v>7907.3308292543925</v>
      </c>
      <c r="L158" s="444">
        <f t="shared" ca="1" si="3"/>
        <v>1905666.7298503083</v>
      </c>
      <c r="M158" s="460">
        <f t="shared" si="6"/>
        <v>0.05</v>
      </c>
      <c r="N158" s="464">
        <f t="shared" si="7"/>
        <v>55854</v>
      </c>
    </row>
    <row r="159" spans="7:14" ht="11.25" customHeight="1" x14ac:dyDescent="0.3">
      <c r="G159" s="459">
        <f t="shared" si="17"/>
        <v>13</v>
      </c>
      <c r="H159" s="459">
        <v>152</v>
      </c>
      <c r="I159" s="444">
        <f t="shared" ca="1" si="5"/>
        <v>1905666.7298503083</v>
      </c>
      <c r="J159" s="444">
        <f t="array" ref="J159">IFERROR(INDEX('Retirement Calculator'!J:J,MATCH('Isaac 401k'!N159,'Retirement Calculator'!A:A,0),0),0)</f>
        <v>7896.2379798201846</v>
      </c>
      <c r="K159" s="444">
        <f t="shared" ca="1" si="2"/>
        <v>7907.3770494603668</v>
      </c>
      <c r="L159" s="444">
        <f t="shared" ca="1" si="3"/>
        <v>1905677.8689199483</v>
      </c>
      <c r="M159" s="460">
        <f t="shared" si="6"/>
        <v>0.05</v>
      </c>
      <c r="N159" s="464">
        <f t="shared" si="7"/>
        <v>55885</v>
      </c>
    </row>
    <row r="160" spans="7:14" ht="11.25" customHeight="1" x14ac:dyDescent="0.3">
      <c r="G160" s="459">
        <f t="shared" si="17"/>
        <v>13</v>
      </c>
      <c r="H160" s="459">
        <v>153</v>
      </c>
      <c r="I160" s="444">
        <f t="shared" ca="1" si="5"/>
        <v>1905677.8689199483</v>
      </c>
      <c r="J160" s="444">
        <f t="array" ref="J160">IFERROR(INDEX('Retirement Calculator'!J:J,MATCH('Isaac 401k'!N160,'Retirement Calculator'!A:A,0),0),0)</f>
        <v>7896.2379798201846</v>
      </c>
      <c r="K160" s="444">
        <f t="shared" ca="1" si="2"/>
        <v>7907.4234622505346</v>
      </c>
      <c r="L160" s="444">
        <f t="shared" ca="1" si="3"/>
        <v>1905689.0544023786</v>
      </c>
      <c r="M160" s="460">
        <f t="shared" si="6"/>
        <v>0.05</v>
      </c>
      <c r="N160" s="464">
        <f t="shared" si="7"/>
        <v>55916</v>
      </c>
    </row>
    <row r="161" spans="7:14" ht="11.25" customHeight="1" x14ac:dyDescent="0.3">
      <c r="G161" s="459">
        <f t="shared" si="17"/>
        <v>13</v>
      </c>
      <c r="H161" s="459">
        <v>154</v>
      </c>
      <c r="I161" s="444">
        <f t="shared" ca="1" si="5"/>
        <v>1905689.0544023786</v>
      </c>
      <c r="J161" s="444">
        <f t="array" ref="J161">IFERROR(INDEX('Retirement Calculator'!J:J,MATCH('Isaac 401k'!N161,'Retirement Calculator'!A:A,0),0),0)</f>
        <v>7896.2379798201846</v>
      </c>
      <c r="K161" s="444">
        <f t="shared" ca="1" si="2"/>
        <v>7907.4700684273266</v>
      </c>
      <c r="L161" s="444">
        <f t="shared" ca="1" si="3"/>
        <v>1905700.2864909857</v>
      </c>
      <c r="M161" s="460">
        <f t="shared" si="6"/>
        <v>0.05</v>
      </c>
      <c r="N161" s="464">
        <f t="shared" si="7"/>
        <v>55944</v>
      </c>
    </row>
    <row r="162" spans="7:14" ht="11.25" customHeight="1" x14ac:dyDescent="0.3">
      <c r="G162" s="459">
        <f t="shared" si="17"/>
        <v>13</v>
      </c>
      <c r="H162" s="459">
        <v>155</v>
      </c>
      <c r="I162" s="444">
        <f t="shared" ca="1" si="5"/>
        <v>1905700.2864909857</v>
      </c>
      <c r="J162" s="444">
        <f t="array" ref="J162">IFERROR(INDEX('Retirement Calculator'!J:J,MATCH('Isaac 401k'!N162,'Retirement Calculator'!A:A,0),0),0)</f>
        <v>7896.2379798201846</v>
      </c>
      <c r="K162" s="444">
        <f t="shared" ca="1" si="2"/>
        <v>7907.5168687965233</v>
      </c>
      <c r="L162" s="444">
        <f t="shared" ca="1" si="3"/>
        <v>1905711.5653799619</v>
      </c>
      <c r="M162" s="460">
        <f t="shared" si="6"/>
        <v>0.05</v>
      </c>
      <c r="N162" s="464">
        <f t="shared" si="7"/>
        <v>55975</v>
      </c>
    </row>
    <row r="163" spans="7:14" ht="11.25" customHeight="1" x14ac:dyDescent="0.3">
      <c r="G163" s="459">
        <f t="shared" si="17"/>
        <v>13</v>
      </c>
      <c r="H163" s="459">
        <v>156</v>
      </c>
      <c r="I163" s="444">
        <f t="shared" ca="1" si="5"/>
        <v>1905711.5653799619</v>
      </c>
      <c r="J163" s="444">
        <f t="array" ref="J163">IFERROR(INDEX('Retirement Calculator'!J:J,MATCH('Isaac 401k'!N163,'Retirement Calculator'!A:A,0),0),0)</f>
        <v>7896.2379798201846</v>
      </c>
      <c r="K163" s="444">
        <f t="shared" ca="1" si="2"/>
        <v>7907.5638641672567</v>
      </c>
      <c r="L163" s="444">
        <f t="shared" ca="1" si="3"/>
        <v>1905722.8912643089</v>
      </c>
      <c r="M163" s="460">
        <f t="shared" si="6"/>
        <v>0.05</v>
      </c>
      <c r="N163" s="464">
        <f t="shared" si="7"/>
        <v>56005</v>
      </c>
    </row>
    <row r="164" spans="7:14" ht="11.25" customHeight="1" x14ac:dyDescent="0.3">
      <c r="G164" s="459">
        <f>G163+1</f>
        <v>14</v>
      </c>
      <c r="H164" s="459">
        <v>157</v>
      </c>
      <c r="I164" s="444">
        <f t="shared" ca="1" si="5"/>
        <v>1905722.8912643089</v>
      </c>
      <c r="J164" s="444">
        <f t="array" ref="J164">IFERROR(INDEX('Retirement Calculator'!J:J,MATCH('Isaac 401k'!N164,'Retirement Calculator'!A:A,0),0),0)</f>
        <v>7896.2379798201846</v>
      </c>
      <c r="K164" s="444">
        <f t="shared" ca="1" si="2"/>
        <v>7907.6110553520366</v>
      </c>
      <c r="L164" s="444">
        <f t="shared" ca="1" si="3"/>
        <v>1905734.2643398407</v>
      </c>
      <c r="M164" s="460">
        <f t="shared" si="6"/>
        <v>0.05</v>
      </c>
      <c r="N164" s="464">
        <f t="shared" si="7"/>
        <v>56036</v>
      </c>
    </row>
    <row r="165" spans="7:14" ht="11.25" customHeight="1" x14ac:dyDescent="0.3">
      <c r="G165" s="459">
        <f t="shared" ref="G165:G175" si="18">G164</f>
        <v>14</v>
      </c>
      <c r="H165" s="459">
        <v>158</v>
      </c>
      <c r="I165" s="444">
        <f t="shared" ca="1" si="5"/>
        <v>1905734.2643398407</v>
      </c>
      <c r="J165" s="444">
        <f t="array" ref="J165">IFERROR(INDEX('Retirement Calculator'!J:J,MATCH('Isaac 401k'!N165,'Retirement Calculator'!A:A,0),0),0)</f>
        <v>7896.2379798201846</v>
      </c>
      <c r="K165" s="444">
        <f t="shared" ca="1" si="2"/>
        <v>7907.6584431667516</v>
      </c>
      <c r="L165" s="444">
        <f t="shared" ca="1" si="3"/>
        <v>1905745.6848031871</v>
      </c>
      <c r="M165" s="460">
        <f t="shared" si="6"/>
        <v>0.05</v>
      </c>
      <c r="N165" s="464">
        <f t="shared" si="7"/>
        <v>56066</v>
      </c>
    </row>
    <row r="166" spans="7:14" ht="11.25" customHeight="1" x14ac:dyDescent="0.3">
      <c r="G166" s="459">
        <f t="shared" si="18"/>
        <v>14</v>
      </c>
      <c r="H166" s="459">
        <v>159</v>
      </c>
      <c r="I166" s="444">
        <f t="shared" ca="1" si="5"/>
        <v>1905745.6848031871</v>
      </c>
      <c r="J166" s="444">
        <f t="array" ref="J166">IFERROR(INDEX('Retirement Calculator'!J:J,MATCH('Isaac 401k'!N166,'Retirement Calculator'!A:A,0),0),0)</f>
        <v>7896.2379798201846</v>
      </c>
      <c r="K166" s="444">
        <f t="shared" ca="1" si="2"/>
        <v>7907.7060284306954</v>
      </c>
      <c r="L166" s="444">
        <f t="shared" ca="1" si="3"/>
        <v>1905757.1528517976</v>
      </c>
      <c r="M166" s="460">
        <f t="shared" si="6"/>
        <v>0.05</v>
      </c>
      <c r="N166" s="464">
        <f t="shared" si="7"/>
        <v>56097</v>
      </c>
    </row>
    <row r="167" spans="7:14" ht="11.25" customHeight="1" x14ac:dyDescent="0.3">
      <c r="G167" s="459">
        <f t="shared" si="18"/>
        <v>14</v>
      </c>
      <c r="H167" s="459">
        <v>160</v>
      </c>
      <c r="I167" s="444">
        <f t="shared" ca="1" si="5"/>
        <v>1905757.1528517976</v>
      </c>
      <c r="J167" s="444">
        <f t="array" ref="J167">IFERROR(INDEX('Retirement Calculator'!J:J,MATCH('Isaac 401k'!N167,'Retirement Calculator'!A:A,0),0),0)</f>
        <v>7896.2379798201846</v>
      </c>
      <c r="K167" s="444">
        <f t="shared" ca="1" si="2"/>
        <v>7907.7538119665733</v>
      </c>
      <c r="L167" s="444">
        <f t="shared" ca="1" si="3"/>
        <v>1905768.668683944</v>
      </c>
      <c r="M167" s="460">
        <f t="shared" si="6"/>
        <v>0.05</v>
      </c>
      <c r="N167" s="464">
        <f t="shared" si="7"/>
        <v>56128</v>
      </c>
    </row>
    <row r="168" spans="7:14" ht="11.25" customHeight="1" x14ac:dyDescent="0.3">
      <c r="G168" s="459">
        <f t="shared" si="18"/>
        <v>14</v>
      </c>
      <c r="H168" s="459">
        <v>161</v>
      </c>
      <c r="I168" s="444">
        <f t="shared" ca="1" si="5"/>
        <v>1905768.668683944</v>
      </c>
      <c r="J168" s="444">
        <f t="array" ref="J168">IFERROR(INDEX('Retirement Calculator'!J:J,MATCH('Isaac 401k'!N168,'Retirement Calculator'!A:A,0),0),0)</f>
        <v>7896.2379798201846</v>
      </c>
      <c r="K168" s="444">
        <f t="shared" ca="1" si="2"/>
        <v>7907.8017946005157</v>
      </c>
      <c r="L168" s="444">
        <f t="shared" ca="1" si="3"/>
        <v>1905780.2324987242</v>
      </c>
      <c r="M168" s="460">
        <f t="shared" si="6"/>
        <v>0.05</v>
      </c>
      <c r="N168" s="464">
        <f t="shared" si="7"/>
        <v>56158</v>
      </c>
    </row>
    <row r="169" spans="7:14" ht="11.25" customHeight="1" x14ac:dyDescent="0.3">
      <c r="G169" s="459">
        <f t="shared" si="18"/>
        <v>14</v>
      </c>
      <c r="H169" s="459">
        <v>162</v>
      </c>
      <c r="I169" s="444">
        <f t="shared" ca="1" si="5"/>
        <v>1905780.2324987242</v>
      </c>
      <c r="J169" s="444">
        <f t="array" ref="J169">IFERROR(INDEX('Retirement Calculator'!J:J,MATCH('Isaac 401k'!N169,'Retirement Calculator'!A:A,0),0),0)</f>
        <v>7896.2379798201846</v>
      </c>
      <c r="K169" s="444">
        <f t="shared" ca="1" si="2"/>
        <v>7907.8499771621009</v>
      </c>
      <c r="L169" s="444">
        <f t="shared" ca="1" si="3"/>
        <v>1905791.8444960662</v>
      </c>
      <c r="M169" s="460">
        <f t="shared" si="6"/>
        <v>0.05</v>
      </c>
      <c r="N169" s="464">
        <f t="shared" si="7"/>
        <v>56189</v>
      </c>
    </row>
    <row r="170" spans="7:14" ht="11.25" customHeight="1" x14ac:dyDescent="0.3">
      <c r="G170" s="459">
        <f t="shared" si="18"/>
        <v>14</v>
      </c>
      <c r="H170" s="459">
        <v>163</v>
      </c>
      <c r="I170" s="444">
        <f t="shared" ca="1" si="5"/>
        <v>1905791.8444960662</v>
      </c>
      <c r="J170" s="444">
        <f t="array" ref="J170">IFERROR(INDEX('Retirement Calculator'!J:J,MATCH('Isaac 401k'!N170,'Retirement Calculator'!A:A,0),0),0)</f>
        <v>7896.2379798201846</v>
      </c>
      <c r="K170" s="444">
        <f t="shared" ca="1" si="2"/>
        <v>7907.8983604843579</v>
      </c>
      <c r="L170" s="444">
        <f t="shared" ca="1" si="3"/>
        <v>1905803.5048767303</v>
      </c>
      <c r="M170" s="460">
        <f t="shared" si="6"/>
        <v>0.05</v>
      </c>
      <c r="N170" s="464">
        <f t="shared" si="7"/>
        <v>56219</v>
      </c>
    </row>
    <row r="171" spans="7:14" ht="11.25" customHeight="1" x14ac:dyDescent="0.3">
      <c r="G171" s="459">
        <f t="shared" si="18"/>
        <v>14</v>
      </c>
      <c r="H171" s="459">
        <v>164</v>
      </c>
      <c r="I171" s="444">
        <f t="shared" ca="1" si="5"/>
        <v>1905803.5048767303</v>
      </c>
      <c r="J171" s="444">
        <f t="array" ref="J171">IFERROR(INDEX('Retirement Calculator'!J:J,MATCH('Isaac 401k'!N171,'Retirement Calculator'!A:A,0),0),0)</f>
        <v>7896.2379798201846</v>
      </c>
      <c r="K171" s="444">
        <f t="shared" ca="1" si="2"/>
        <v>7907.9469454037908</v>
      </c>
      <c r="L171" s="444">
        <f t="shared" ca="1" si="3"/>
        <v>1905815.2138423137</v>
      </c>
      <c r="M171" s="460">
        <f t="shared" si="6"/>
        <v>0.05</v>
      </c>
      <c r="N171" s="464">
        <f t="shared" si="7"/>
        <v>56250</v>
      </c>
    </row>
    <row r="172" spans="7:14" ht="11.25" customHeight="1" x14ac:dyDescent="0.3">
      <c r="G172" s="459">
        <f t="shared" si="18"/>
        <v>14</v>
      </c>
      <c r="H172" s="459">
        <v>165</v>
      </c>
      <c r="I172" s="444">
        <f t="shared" ca="1" si="5"/>
        <v>1905815.2138423137</v>
      </c>
      <c r="J172" s="444">
        <f t="array" ref="J172">IFERROR(INDEX('Retirement Calculator'!J:J,MATCH('Isaac 401k'!N172,'Retirement Calculator'!A:A,0),0),0)</f>
        <v>7896.2379798201846</v>
      </c>
      <c r="K172" s="444">
        <f t="shared" ca="1" si="2"/>
        <v>7907.9957327603897</v>
      </c>
      <c r="L172" s="444">
        <f t="shared" ca="1" si="3"/>
        <v>1905826.9715952538</v>
      </c>
      <c r="M172" s="460">
        <f t="shared" si="6"/>
        <v>0.05</v>
      </c>
      <c r="N172" s="464">
        <f t="shared" si="7"/>
        <v>56281</v>
      </c>
    </row>
    <row r="173" spans="7:14" ht="11.25" customHeight="1" x14ac:dyDescent="0.3">
      <c r="G173" s="459">
        <f t="shared" si="18"/>
        <v>14</v>
      </c>
      <c r="H173" s="459">
        <v>166</v>
      </c>
      <c r="I173" s="444">
        <f t="shared" ca="1" si="5"/>
        <v>1905826.9715952538</v>
      </c>
      <c r="J173" s="444">
        <f t="array" ref="J173">IFERROR(INDEX('Retirement Calculator'!J:J,MATCH('Isaac 401k'!N173,'Retirement Calculator'!A:A,0),0),0)</f>
        <v>7896.2379798201846</v>
      </c>
      <c r="K173" s="444">
        <f t="shared" ca="1" si="2"/>
        <v>7908.0447233976411</v>
      </c>
      <c r="L173" s="444">
        <f t="shared" ca="1" si="3"/>
        <v>1905838.7783388312</v>
      </c>
      <c r="M173" s="460">
        <f t="shared" si="6"/>
        <v>0.05</v>
      </c>
      <c r="N173" s="464">
        <f t="shared" si="7"/>
        <v>56309</v>
      </c>
    </row>
    <row r="174" spans="7:14" ht="11.25" customHeight="1" x14ac:dyDescent="0.3">
      <c r="G174" s="459">
        <f t="shared" si="18"/>
        <v>14</v>
      </c>
      <c r="H174" s="459">
        <v>167</v>
      </c>
      <c r="I174" s="444">
        <f t="shared" ca="1" si="5"/>
        <v>1905838.7783388312</v>
      </c>
      <c r="J174" s="444">
        <f t="array" ref="J174">IFERROR(INDEX('Retirement Calculator'!J:J,MATCH('Isaac 401k'!N174,'Retirement Calculator'!A:A,0),0),0)</f>
        <v>7896.2379798201846</v>
      </c>
      <c r="K174" s="444">
        <f t="shared" ca="1" si="2"/>
        <v>7908.0939181625454</v>
      </c>
      <c r="L174" s="444">
        <f t="shared" ca="1" si="3"/>
        <v>1905850.6342771736</v>
      </c>
      <c r="M174" s="460">
        <f t="shared" si="6"/>
        <v>0.05</v>
      </c>
      <c r="N174" s="464">
        <f t="shared" si="7"/>
        <v>56340</v>
      </c>
    </row>
    <row r="175" spans="7:14" ht="11.25" customHeight="1" x14ac:dyDescent="0.3">
      <c r="G175" s="459">
        <f t="shared" si="18"/>
        <v>14</v>
      </c>
      <c r="H175" s="459">
        <v>168</v>
      </c>
      <c r="I175" s="444">
        <f t="shared" ca="1" si="5"/>
        <v>1905850.6342771736</v>
      </c>
      <c r="J175" s="444">
        <f t="array" ref="J175">IFERROR(INDEX('Retirement Calculator'!J:J,MATCH('Isaac 401k'!N175,'Retirement Calculator'!A:A,0),0),0)</f>
        <v>7896.2379798201846</v>
      </c>
      <c r="K175" s="444">
        <f t="shared" ca="1" si="2"/>
        <v>7908.1433179056394</v>
      </c>
      <c r="L175" s="444">
        <f t="shared" ca="1" si="3"/>
        <v>1905862.539615259</v>
      </c>
      <c r="M175" s="460">
        <f t="shared" si="6"/>
        <v>0.05</v>
      </c>
      <c r="N175" s="464">
        <f t="shared" si="7"/>
        <v>56370</v>
      </c>
    </row>
    <row r="176" spans="7:14" ht="11.25" customHeight="1" x14ac:dyDescent="0.3">
      <c r="G176" s="459">
        <f>G175+1</f>
        <v>15</v>
      </c>
      <c r="H176" s="459">
        <v>169</v>
      </c>
      <c r="I176" s="444">
        <f t="shared" ca="1" si="5"/>
        <v>1905862.539615259</v>
      </c>
      <c r="J176" s="444">
        <f t="array" ref="J176">IFERROR(INDEX('Retirement Calculator'!J:J,MATCH('Isaac 401k'!N176,'Retirement Calculator'!A:A,0),0),0)</f>
        <v>7896.2379798201846</v>
      </c>
      <c r="K176" s="444">
        <f t="shared" ca="1" si="2"/>
        <v>7908.192923480995</v>
      </c>
      <c r="L176" s="444">
        <f t="shared" ca="1" si="3"/>
        <v>1905874.4945589199</v>
      </c>
      <c r="M176" s="460">
        <f t="shared" si="6"/>
        <v>0.05</v>
      </c>
      <c r="N176" s="464">
        <f t="shared" si="7"/>
        <v>56401</v>
      </c>
    </row>
    <row r="177" spans="7:14" ht="11.25" customHeight="1" x14ac:dyDescent="0.3">
      <c r="G177" s="459">
        <f t="shared" ref="G177:G187" si="19">G176</f>
        <v>15</v>
      </c>
      <c r="H177" s="459">
        <v>170</v>
      </c>
      <c r="I177" s="444">
        <f t="shared" ca="1" si="5"/>
        <v>1905874.4945589199</v>
      </c>
      <c r="J177" s="444">
        <f t="array" ref="J177">IFERROR(INDEX('Retirement Calculator'!J:J,MATCH('Isaac 401k'!N177,'Retirement Calculator'!A:A,0),0),0)</f>
        <v>7896.2379798201846</v>
      </c>
      <c r="K177" s="444">
        <f t="shared" ca="1" si="2"/>
        <v>7908.2427357462484</v>
      </c>
      <c r="L177" s="444">
        <f t="shared" ca="1" si="3"/>
        <v>1905886.499314846</v>
      </c>
      <c r="M177" s="460">
        <f t="shared" si="6"/>
        <v>0.05</v>
      </c>
      <c r="N177" s="464">
        <f t="shared" si="7"/>
        <v>56431</v>
      </c>
    </row>
    <row r="178" spans="7:14" ht="11.25" customHeight="1" x14ac:dyDescent="0.3">
      <c r="G178" s="459">
        <f t="shared" si="19"/>
        <v>15</v>
      </c>
      <c r="H178" s="459">
        <v>171</v>
      </c>
      <c r="I178" s="444">
        <f t="shared" ca="1" si="5"/>
        <v>1905886.499314846</v>
      </c>
      <c r="J178" s="444">
        <f t="array" ref="J178">IFERROR(INDEX('Retirement Calculator'!J:J,MATCH('Isaac 401k'!N178,'Retirement Calculator'!A:A,0),0),0)</f>
        <v>7896.2379798201846</v>
      </c>
      <c r="K178" s="444">
        <f t="shared" ca="1" si="2"/>
        <v>7908.2927555626075</v>
      </c>
      <c r="L178" s="444">
        <f t="shared" ca="1" si="3"/>
        <v>1905898.5540905884</v>
      </c>
      <c r="M178" s="460">
        <f t="shared" si="6"/>
        <v>0.05</v>
      </c>
      <c r="N178" s="464">
        <f t="shared" si="7"/>
        <v>56462</v>
      </c>
    </row>
    <row r="179" spans="7:14" ht="11.25" customHeight="1" x14ac:dyDescent="0.3">
      <c r="G179" s="459">
        <f t="shared" si="19"/>
        <v>15</v>
      </c>
      <c r="H179" s="459">
        <v>172</v>
      </c>
      <c r="I179" s="444">
        <f t="shared" ca="1" si="5"/>
        <v>1905898.5540905884</v>
      </c>
      <c r="J179" s="444">
        <f t="array" ref="J179">IFERROR(INDEX('Retirement Calculator'!J:J,MATCH('Isaac 401k'!N179,'Retirement Calculator'!A:A,0),0),0)</f>
        <v>7896.2379798201846</v>
      </c>
      <c r="K179" s="444">
        <f t="shared" ca="1" si="2"/>
        <v>7908.3429837948661</v>
      </c>
      <c r="L179" s="444">
        <f t="shared" ca="1" si="3"/>
        <v>1905910.659094563</v>
      </c>
      <c r="M179" s="460">
        <f t="shared" si="6"/>
        <v>0.05</v>
      </c>
      <c r="N179" s="464">
        <f t="shared" si="7"/>
        <v>56493</v>
      </c>
    </row>
    <row r="180" spans="7:14" ht="11.25" customHeight="1" x14ac:dyDescent="0.3">
      <c r="G180" s="459">
        <f t="shared" si="19"/>
        <v>15</v>
      </c>
      <c r="H180" s="459">
        <v>173</v>
      </c>
      <c r="I180" s="444">
        <f t="shared" ca="1" si="5"/>
        <v>1905910.659094563</v>
      </c>
      <c r="J180" s="444">
        <f t="array" ref="J180">IFERROR(INDEX('Retirement Calculator'!J:J,MATCH('Isaac 401k'!N180,'Retirement Calculator'!A:A,0),0),0)</f>
        <v>7896.2379798201846</v>
      </c>
      <c r="K180" s="444">
        <f t="shared" ca="1" si="2"/>
        <v>7908.3934213114289</v>
      </c>
      <c r="L180" s="444">
        <f t="shared" ca="1" si="3"/>
        <v>1905922.8145360542</v>
      </c>
      <c r="M180" s="460">
        <f t="shared" si="6"/>
        <v>0.05</v>
      </c>
      <c r="N180" s="464">
        <f t="shared" si="7"/>
        <v>56523</v>
      </c>
    </row>
    <row r="181" spans="7:14" ht="11.25" customHeight="1" x14ac:dyDescent="0.3">
      <c r="G181" s="459">
        <f t="shared" si="19"/>
        <v>15</v>
      </c>
      <c r="H181" s="459">
        <v>174</v>
      </c>
      <c r="I181" s="444">
        <f t="shared" ca="1" si="5"/>
        <v>1905922.8145360542</v>
      </c>
      <c r="J181" s="444">
        <f t="array" ref="J181">IFERROR(INDEX('Retirement Calculator'!J:J,MATCH('Isaac 401k'!N181,'Retirement Calculator'!A:A,0),0),0)</f>
        <v>7896.2379798201846</v>
      </c>
      <c r="K181" s="444">
        <f t="shared" ca="1" si="2"/>
        <v>7908.4440689843077</v>
      </c>
      <c r="L181" s="444">
        <f t="shared" ca="1" si="3"/>
        <v>1905935.0206252183</v>
      </c>
      <c r="M181" s="460">
        <f t="shared" si="6"/>
        <v>0.05</v>
      </c>
      <c r="N181" s="464">
        <f t="shared" si="7"/>
        <v>56554</v>
      </c>
    </row>
    <row r="182" spans="7:14" ht="11.25" customHeight="1" x14ac:dyDescent="0.3">
      <c r="G182" s="459">
        <f t="shared" si="19"/>
        <v>15</v>
      </c>
      <c r="H182" s="459">
        <v>175</v>
      </c>
      <c r="I182" s="444">
        <f t="shared" ca="1" si="5"/>
        <v>1905935.0206252183</v>
      </c>
      <c r="J182" s="444">
        <f t="array" ref="J182">IFERROR(INDEX('Retirement Calculator'!J:J,MATCH('Isaac 401k'!N182,'Retirement Calculator'!A:A,0),0),0)</f>
        <v>7896.2379798201846</v>
      </c>
      <c r="K182" s="444">
        <f t="shared" ca="1" si="2"/>
        <v>7908.4949276891593</v>
      </c>
      <c r="L182" s="444">
        <f t="shared" ca="1" si="3"/>
        <v>1905947.2775730873</v>
      </c>
      <c r="M182" s="460">
        <f t="shared" si="6"/>
        <v>0.05</v>
      </c>
      <c r="N182" s="464">
        <f t="shared" si="7"/>
        <v>56584</v>
      </c>
    </row>
    <row r="183" spans="7:14" ht="11.25" customHeight="1" x14ac:dyDescent="0.3">
      <c r="G183" s="459">
        <f t="shared" si="19"/>
        <v>15</v>
      </c>
      <c r="H183" s="459">
        <v>176</v>
      </c>
      <c r="I183" s="444">
        <f t="shared" ca="1" si="5"/>
        <v>1905947.2775730873</v>
      </c>
      <c r="J183" s="444">
        <f t="array" ref="J183">IFERROR(INDEX('Retirement Calculator'!J:J,MATCH('Isaac 401k'!N183,'Retirement Calculator'!A:A,0),0),0)</f>
        <v>7896.2379798201846</v>
      </c>
      <c r="K183" s="444">
        <f t="shared" ca="1" si="2"/>
        <v>7908.5459983052797</v>
      </c>
      <c r="L183" s="444">
        <f t="shared" ca="1" si="3"/>
        <v>1905959.5855915723</v>
      </c>
      <c r="M183" s="460">
        <f t="shared" si="6"/>
        <v>0.05</v>
      </c>
      <c r="N183" s="464">
        <f t="shared" si="7"/>
        <v>56615</v>
      </c>
    </row>
    <row r="184" spans="7:14" ht="11.25" customHeight="1" x14ac:dyDescent="0.3">
      <c r="G184" s="459">
        <f t="shared" si="19"/>
        <v>15</v>
      </c>
      <c r="H184" s="459">
        <v>177</v>
      </c>
      <c r="I184" s="444">
        <f t="shared" ca="1" si="5"/>
        <v>1905959.5855915723</v>
      </c>
      <c r="J184" s="444">
        <f t="array" ref="J184">IFERROR(INDEX('Retirement Calculator'!J:J,MATCH('Isaac 401k'!N184,'Retirement Calculator'!A:A,0),0),0)</f>
        <v>7896.2379798201846</v>
      </c>
      <c r="K184" s="444">
        <f t="shared" ca="1" si="2"/>
        <v>7908.5972817156335</v>
      </c>
      <c r="L184" s="444">
        <f t="shared" ca="1" si="3"/>
        <v>1905971.9448934677</v>
      </c>
      <c r="M184" s="460">
        <f t="shared" si="6"/>
        <v>0.05</v>
      </c>
      <c r="N184" s="464">
        <f t="shared" si="7"/>
        <v>56646</v>
      </c>
    </row>
    <row r="185" spans="7:14" ht="11.25" customHeight="1" x14ac:dyDescent="0.3">
      <c r="G185" s="459">
        <f t="shared" si="19"/>
        <v>15</v>
      </c>
      <c r="H185" s="459">
        <v>178</v>
      </c>
      <c r="I185" s="444">
        <f t="shared" ca="1" si="5"/>
        <v>1905971.9448934677</v>
      </c>
      <c r="J185" s="444">
        <f t="array" ref="J185">IFERROR(INDEX('Retirement Calculator'!J:J,MATCH('Isaac 401k'!N185,'Retirement Calculator'!A:A,0),0),0)</f>
        <v>7896.2379798201846</v>
      </c>
      <c r="K185" s="444">
        <f t="shared" ca="1" si="2"/>
        <v>7908.6487788068653</v>
      </c>
      <c r="L185" s="444">
        <f t="shared" ca="1" si="3"/>
        <v>1905984.3556924544</v>
      </c>
      <c r="M185" s="460">
        <f t="shared" si="6"/>
        <v>0.05</v>
      </c>
      <c r="N185" s="464">
        <f t="shared" si="7"/>
        <v>56674</v>
      </c>
    </row>
    <row r="186" spans="7:14" ht="11.25" customHeight="1" x14ac:dyDescent="0.3">
      <c r="G186" s="459">
        <f t="shared" si="19"/>
        <v>15</v>
      </c>
      <c r="H186" s="459">
        <v>179</v>
      </c>
      <c r="I186" s="444">
        <f t="shared" ca="1" si="5"/>
        <v>1905984.3556924544</v>
      </c>
      <c r="J186" s="444">
        <f t="array" ref="J186">IFERROR(INDEX('Retirement Calculator'!J:J,MATCH('Isaac 401k'!N186,'Retirement Calculator'!A:A,0),0),0)</f>
        <v>7896.2379798201846</v>
      </c>
      <c r="K186" s="444">
        <f t="shared" ca="1" si="2"/>
        <v>7908.7004904693085</v>
      </c>
      <c r="L186" s="444">
        <f t="shared" ca="1" si="3"/>
        <v>1905996.8182031035</v>
      </c>
      <c r="M186" s="460">
        <f t="shared" si="6"/>
        <v>0.05</v>
      </c>
      <c r="N186" s="464">
        <f t="shared" si="7"/>
        <v>56705</v>
      </c>
    </row>
    <row r="187" spans="7:14" ht="11.25" customHeight="1" x14ac:dyDescent="0.3">
      <c r="G187" s="459">
        <f t="shared" si="19"/>
        <v>15</v>
      </c>
      <c r="H187" s="459">
        <v>180</v>
      </c>
      <c r="I187" s="444">
        <f t="shared" ca="1" si="5"/>
        <v>1905996.8182031035</v>
      </c>
      <c r="J187" s="444">
        <f t="array" ref="J187">IFERROR(INDEX('Retirement Calculator'!J:J,MATCH('Isaac 401k'!N187,'Retirement Calculator'!A:A,0),0),0)</f>
        <v>7896.2379798201846</v>
      </c>
      <c r="K187" s="444">
        <f t="shared" ca="1" si="2"/>
        <v>7908.7524175970138</v>
      </c>
      <c r="L187" s="444">
        <f t="shared" ca="1" si="3"/>
        <v>1906009.3326408803</v>
      </c>
      <c r="M187" s="460">
        <f t="shared" si="6"/>
        <v>0.05</v>
      </c>
      <c r="N187" s="464">
        <f t="shared" si="7"/>
        <v>56735</v>
      </c>
    </row>
    <row r="188" spans="7:14" ht="11.25" customHeight="1" x14ac:dyDescent="0.3">
      <c r="G188" s="459">
        <f>G187+1</f>
        <v>16</v>
      </c>
      <c r="H188" s="459">
        <v>181</v>
      </c>
      <c r="I188" s="444">
        <f t="shared" ca="1" si="5"/>
        <v>1906009.3326408803</v>
      </c>
      <c r="J188" s="444">
        <f t="array" ref="J188">IFERROR(INDEX('Retirement Calculator'!J:J,MATCH('Isaac 401k'!N188,'Retirement Calculator'!A:A,0),0),0)</f>
        <v>7896.2379798201846</v>
      </c>
      <c r="K188" s="444">
        <f t="shared" ca="1" si="2"/>
        <v>7908.8045610877498</v>
      </c>
      <c r="L188" s="444">
        <f t="shared" ca="1" si="3"/>
        <v>1906021.8992221479</v>
      </c>
      <c r="M188" s="460">
        <f t="shared" si="6"/>
        <v>0.05</v>
      </c>
      <c r="N188" s="464">
        <f t="shared" si="7"/>
        <v>56766</v>
      </c>
    </row>
    <row r="189" spans="7:14" ht="11.25" customHeight="1" x14ac:dyDescent="0.3">
      <c r="G189" s="459">
        <f t="shared" ref="G189:G199" si="20">G188</f>
        <v>16</v>
      </c>
      <c r="H189" s="459">
        <v>182</v>
      </c>
      <c r="I189" s="444">
        <f t="shared" ca="1" si="5"/>
        <v>1906021.8992221479</v>
      </c>
      <c r="J189" s="444">
        <f t="array" ref="J189">IFERROR(INDEX('Retirement Calculator'!J:J,MATCH('Isaac 401k'!N189,'Retirement Calculator'!A:A,0),0),0)</f>
        <v>7896.2379798201846</v>
      </c>
      <c r="K189" s="444">
        <f t="shared" ca="1" si="2"/>
        <v>7908.8569218430321</v>
      </c>
      <c r="L189" s="444">
        <f t="shared" ca="1" si="3"/>
        <v>1906034.5181641707</v>
      </c>
      <c r="M189" s="460">
        <f t="shared" si="6"/>
        <v>0.05</v>
      </c>
      <c r="N189" s="464">
        <f t="shared" si="7"/>
        <v>56796</v>
      </c>
    </row>
    <row r="190" spans="7:14" ht="11.25" customHeight="1" x14ac:dyDescent="0.3">
      <c r="G190" s="459">
        <f t="shared" si="20"/>
        <v>16</v>
      </c>
      <c r="H190" s="459">
        <v>183</v>
      </c>
      <c r="I190" s="444">
        <f t="shared" ca="1" si="5"/>
        <v>1906034.5181641707</v>
      </c>
      <c r="J190" s="444">
        <f t="array" ref="J190">IFERROR(INDEX('Retirement Calculator'!J:J,MATCH('Isaac 401k'!N190,'Retirement Calculator'!A:A,0),0),0)</f>
        <v>7896.2379798201846</v>
      </c>
      <c r="K190" s="444">
        <f t="shared" ca="1" si="2"/>
        <v>7908.9095007681271</v>
      </c>
      <c r="L190" s="444">
        <f t="shared" ca="1" si="3"/>
        <v>1906047.1896851186</v>
      </c>
      <c r="M190" s="460">
        <f t="shared" si="6"/>
        <v>0.05</v>
      </c>
      <c r="N190" s="464">
        <f t="shared" si="7"/>
        <v>56827</v>
      </c>
    </row>
    <row r="191" spans="7:14" ht="11.25" customHeight="1" x14ac:dyDescent="0.3">
      <c r="G191" s="459">
        <f t="shared" si="20"/>
        <v>16</v>
      </c>
      <c r="H191" s="459">
        <v>184</v>
      </c>
      <c r="I191" s="444">
        <f t="shared" ca="1" si="5"/>
        <v>1906047.1896851186</v>
      </c>
      <c r="J191" s="444">
        <f t="array" ref="J191">IFERROR(INDEX('Retirement Calculator'!J:J,MATCH('Isaac 401k'!N191,'Retirement Calculator'!A:A,0),0),0)</f>
        <v>7896.2379798201846</v>
      </c>
      <c r="K191" s="444">
        <f t="shared" ca="1" si="2"/>
        <v>7908.9622987720759</v>
      </c>
      <c r="L191" s="444">
        <f t="shared" ca="1" si="3"/>
        <v>1906059.9140040705</v>
      </c>
      <c r="M191" s="460">
        <f t="shared" si="6"/>
        <v>0.05</v>
      </c>
      <c r="N191" s="464">
        <f t="shared" si="7"/>
        <v>56858</v>
      </c>
    </row>
    <row r="192" spans="7:14" ht="11.25" customHeight="1" x14ac:dyDescent="0.3">
      <c r="G192" s="459">
        <f t="shared" si="20"/>
        <v>16</v>
      </c>
      <c r="H192" s="459">
        <v>185</v>
      </c>
      <c r="I192" s="444">
        <f t="shared" ca="1" si="5"/>
        <v>1906059.9140040705</v>
      </c>
      <c r="J192" s="444">
        <f t="array" ref="J192">IFERROR(INDEX('Retirement Calculator'!J:J,MATCH('Isaac 401k'!N192,'Retirement Calculator'!A:A,0),0),0)</f>
        <v>7896.2379798201846</v>
      </c>
      <c r="K192" s="444">
        <f t="shared" ca="1" si="2"/>
        <v>7909.0153167677099</v>
      </c>
      <c r="L192" s="444">
        <f t="shared" ca="1" si="3"/>
        <v>1906072.6913410178</v>
      </c>
      <c r="M192" s="460">
        <f t="shared" si="6"/>
        <v>0.05</v>
      </c>
      <c r="N192" s="464">
        <f t="shared" si="7"/>
        <v>56888</v>
      </c>
    </row>
    <row r="193" spans="7:14" ht="11.25" customHeight="1" x14ac:dyDescent="0.3">
      <c r="G193" s="459">
        <f t="shared" si="20"/>
        <v>16</v>
      </c>
      <c r="H193" s="459">
        <v>186</v>
      </c>
      <c r="I193" s="444">
        <f t="shared" ca="1" si="5"/>
        <v>1906072.6913410178</v>
      </c>
      <c r="J193" s="444">
        <f t="array" ref="J193">IFERROR(INDEX('Retirement Calculator'!J:J,MATCH('Isaac 401k'!N193,'Retirement Calculator'!A:A,0),0),0)</f>
        <v>7896.2379798201846</v>
      </c>
      <c r="K193" s="444">
        <f t="shared" ca="1" si="2"/>
        <v>7909.0685556716562</v>
      </c>
      <c r="L193" s="444">
        <f t="shared" ca="1" si="3"/>
        <v>1906085.5219168693</v>
      </c>
      <c r="M193" s="460">
        <f t="shared" si="6"/>
        <v>0.05</v>
      </c>
      <c r="N193" s="464">
        <f t="shared" si="7"/>
        <v>56919</v>
      </c>
    </row>
    <row r="194" spans="7:14" ht="11.25" customHeight="1" x14ac:dyDescent="0.3">
      <c r="G194" s="459">
        <f t="shared" si="20"/>
        <v>16</v>
      </c>
      <c r="H194" s="459">
        <v>187</v>
      </c>
      <c r="I194" s="444">
        <f t="shared" ca="1" si="5"/>
        <v>1906085.5219168693</v>
      </c>
      <c r="J194" s="444">
        <f t="array" ref="J194">IFERROR(INDEX('Retirement Calculator'!J:J,MATCH('Isaac 401k'!N194,'Retirement Calculator'!A:A,0),0),0)</f>
        <v>7896.2379798201846</v>
      </c>
      <c r="K194" s="444">
        <f t="shared" ca="1" si="2"/>
        <v>7909.1220164043707</v>
      </c>
      <c r="L194" s="444">
        <f t="shared" ca="1" si="3"/>
        <v>1906098.4059534534</v>
      </c>
      <c r="M194" s="460">
        <f t="shared" si="6"/>
        <v>0.05</v>
      </c>
      <c r="N194" s="464">
        <f t="shared" si="7"/>
        <v>56949</v>
      </c>
    </row>
    <row r="195" spans="7:14" ht="11.25" customHeight="1" x14ac:dyDescent="0.3">
      <c r="G195" s="459">
        <f t="shared" si="20"/>
        <v>16</v>
      </c>
      <c r="H195" s="459">
        <v>188</v>
      </c>
      <c r="I195" s="444">
        <f t="shared" ca="1" si="5"/>
        <v>1906098.4059534534</v>
      </c>
      <c r="J195" s="444">
        <f t="array" ref="J195">IFERROR(INDEX('Retirement Calculator'!J:J,MATCH('Isaac 401k'!N195,'Retirement Calculator'!A:A,0),0),0)</f>
        <v>7896.2379798201846</v>
      </c>
      <c r="K195" s="444">
        <f t="shared" ca="1" si="2"/>
        <v>7909.1756998901383</v>
      </c>
      <c r="L195" s="444">
        <f t="shared" ca="1" si="3"/>
        <v>1906111.3436735233</v>
      </c>
      <c r="M195" s="460">
        <f t="shared" si="6"/>
        <v>0.05</v>
      </c>
      <c r="N195" s="464">
        <f t="shared" si="7"/>
        <v>56980</v>
      </c>
    </row>
    <row r="196" spans="7:14" ht="11.25" customHeight="1" x14ac:dyDescent="0.3">
      <c r="G196" s="459">
        <f t="shared" si="20"/>
        <v>16</v>
      </c>
      <c r="H196" s="459">
        <v>189</v>
      </c>
      <c r="I196" s="444">
        <f t="shared" ca="1" si="5"/>
        <v>1906111.3436735233</v>
      </c>
      <c r="J196" s="444">
        <f t="array" ref="J196">IFERROR(INDEX('Retirement Calculator'!J:J,MATCH('Isaac 401k'!N196,'Retirement Calculator'!A:A,0),0),0)</f>
        <v>7896.2379798201846</v>
      </c>
      <c r="K196" s="444">
        <f t="shared" ca="1" si="2"/>
        <v>7909.2296070570956</v>
      </c>
      <c r="L196" s="444">
        <f t="shared" ca="1" si="3"/>
        <v>1906124.3353007601</v>
      </c>
      <c r="M196" s="460">
        <f t="shared" si="6"/>
        <v>0.05</v>
      </c>
      <c r="N196" s="464">
        <f t="shared" si="7"/>
        <v>57011</v>
      </c>
    </row>
    <row r="197" spans="7:14" ht="11.25" customHeight="1" x14ac:dyDescent="0.3">
      <c r="G197" s="459">
        <f t="shared" si="20"/>
        <v>16</v>
      </c>
      <c r="H197" s="459">
        <v>190</v>
      </c>
      <c r="I197" s="444">
        <f t="shared" ca="1" si="5"/>
        <v>1906124.3353007601</v>
      </c>
      <c r="J197" s="444">
        <f t="array" ref="J197">IFERROR(INDEX('Retirement Calculator'!J:J,MATCH('Isaac 401k'!N197,'Retirement Calculator'!A:A,0),0),0)</f>
        <v>7896.2379798201846</v>
      </c>
      <c r="K197" s="444">
        <f t="shared" ca="1" si="2"/>
        <v>7909.28373883725</v>
      </c>
      <c r="L197" s="444">
        <f t="shared" ca="1" si="3"/>
        <v>1906137.3810597772</v>
      </c>
      <c r="M197" s="460">
        <f t="shared" si="6"/>
        <v>0.05</v>
      </c>
      <c r="N197" s="464">
        <f t="shared" si="7"/>
        <v>57040</v>
      </c>
    </row>
    <row r="198" spans="7:14" ht="11.25" customHeight="1" x14ac:dyDescent="0.3">
      <c r="G198" s="459">
        <f t="shared" si="20"/>
        <v>16</v>
      </c>
      <c r="H198" s="459">
        <v>191</v>
      </c>
      <c r="I198" s="444">
        <f t="shared" ca="1" si="5"/>
        <v>1906137.3810597772</v>
      </c>
      <c r="J198" s="444">
        <f t="array" ref="J198">IFERROR(INDEX('Retirement Calculator'!J:J,MATCH('Isaac 401k'!N198,'Retirement Calculator'!A:A,0),0),0)</f>
        <v>7896.2379798201846</v>
      </c>
      <c r="K198" s="444">
        <f t="shared" ca="1" si="2"/>
        <v>7909.338096166487</v>
      </c>
      <c r="L198" s="444">
        <f t="shared" ca="1" si="3"/>
        <v>1906150.4811761235</v>
      </c>
      <c r="M198" s="460">
        <f t="shared" si="6"/>
        <v>0.05</v>
      </c>
      <c r="N198" s="464">
        <f t="shared" si="7"/>
        <v>57071</v>
      </c>
    </row>
    <row r="199" spans="7:14" ht="11.25" customHeight="1" x14ac:dyDescent="0.3">
      <c r="G199" s="459">
        <f t="shared" si="20"/>
        <v>16</v>
      </c>
      <c r="H199" s="459">
        <v>192</v>
      </c>
      <c r="I199" s="444">
        <f t="shared" ca="1" si="5"/>
        <v>1906150.4811761235</v>
      </c>
      <c r="J199" s="444">
        <f t="array" ref="J199">IFERROR(INDEX('Retirement Calculator'!J:J,MATCH('Isaac 401k'!N199,'Retirement Calculator'!A:A,0),0),0)</f>
        <v>7896.2379798201846</v>
      </c>
      <c r="K199" s="444">
        <f t="shared" ca="1" si="2"/>
        <v>7909.3926799845967</v>
      </c>
      <c r="L199" s="444">
        <f t="shared" ca="1" si="3"/>
        <v>1906163.6358762879</v>
      </c>
      <c r="M199" s="460">
        <f t="shared" si="6"/>
        <v>0.05</v>
      </c>
      <c r="N199" s="464">
        <f t="shared" si="7"/>
        <v>57101</v>
      </c>
    </row>
    <row r="200" spans="7:14" ht="11.25" customHeight="1" x14ac:dyDescent="0.3">
      <c r="G200" s="459">
        <f>G199+1</f>
        <v>17</v>
      </c>
      <c r="H200" s="459">
        <v>193</v>
      </c>
      <c r="I200" s="444">
        <f t="shared" ca="1" si="5"/>
        <v>1906163.6358762879</v>
      </c>
      <c r="J200" s="444">
        <f t="array" ref="J200">IFERROR(INDEX('Retirement Calculator'!J:J,MATCH('Isaac 401k'!N200,'Retirement Calculator'!A:A,0),0),0)</f>
        <v>7896.2379798201846</v>
      </c>
      <c r="K200" s="444">
        <f t="shared" ca="1" si="2"/>
        <v>7909.4474912352816</v>
      </c>
      <c r="L200" s="444">
        <f t="shared" ca="1" si="3"/>
        <v>1906176.845387703</v>
      </c>
      <c r="M200" s="460">
        <f t="shared" si="6"/>
        <v>0.05</v>
      </c>
      <c r="N200" s="464">
        <f t="shared" si="7"/>
        <v>57132</v>
      </c>
    </row>
    <row r="201" spans="7:14" ht="11.25" customHeight="1" x14ac:dyDescent="0.3">
      <c r="G201" s="459">
        <f t="shared" ref="G201:G211" si="21">G200</f>
        <v>17</v>
      </c>
      <c r="H201" s="459">
        <v>194</v>
      </c>
      <c r="I201" s="444">
        <f t="shared" ca="1" si="5"/>
        <v>1906176.845387703</v>
      </c>
      <c r="J201" s="444">
        <f t="array" ref="J201">IFERROR(INDEX('Retirement Calculator'!J:J,MATCH('Isaac 401k'!N201,'Retirement Calculator'!A:A,0),0),0)</f>
        <v>7896.2379798201846</v>
      </c>
      <c r="K201" s="444">
        <f t="shared" ca="1" si="2"/>
        <v>7909.5025308661779</v>
      </c>
      <c r="L201" s="444">
        <f t="shared" ca="1" si="3"/>
        <v>1906190.1099387489</v>
      </c>
      <c r="M201" s="460">
        <f t="shared" si="6"/>
        <v>0.05</v>
      </c>
      <c r="N201" s="464">
        <f t="shared" si="7"/>
        <v>57162</v>
      </c>
    </row>
    <row r="202" spans="7:14" ht="11.25" customHeight="1" x14ac:dyDescent="0.3">
      <c r="G202" s="459">
        <f t="shared" si="21"/>
        <v>17</v>
      </c>
      <c r="H202" s="459">
        <v>195</v>
      </c>
      <c r="I202" s="444">
        <f t="shared" ca="1" si="5"/>
        <v>1906190.1099387489</v>
      </c>
      <c r="J202" s="444">
        <f t="array" ref="J202">IFERROR(INDEX('Retirement Calculator'!J:J,MATCH('Isaac 401k'!N202,'Retirement Calculator'!A:A,0),0),0)</f>
        <v>7896.2379798201846</v>
      </c>
      <c r="K202" s="444">
        <f t="shared" ca="1" si="2"/>
        <v>7909.5577998288691</v>
      </c>
      <c r="L202" s="444">
        <f t="shared" ca="1" si="3"/>
        <v>1906203.4297587576</v>
      </c>
      <c r="M202" s="460">
        <f t="shared" si="6"/>
        <v>0.05</v>
      </c>
      <c r="N202" s="464">
        <f t="shared" si="7"/>
        <v>57193</v>
      </c>
    </row>
    <row r="203" spans="7:14" ht="11.25" customHeight="1" x14ac:dyDescent="0.3">
      <c r="G203" s="459">
        <f t="shared" si="21"/>
        <v>17</v>
      </c>
      <c r="H203" s="459">
        <v>196</v>
      </c>
      <c r="I203" s="444">
        <f t="shared" ca="1" si="5"/>
        <v>1906203.4297587576</v>
      </c>
      <c r="J203" s="444">
        <f t="array" ref="J203">IFERROR(INDEX('Retirement Calculator'!J:J,MATCH('Isaac 401k'!N203,'Retirement Calculator'!A:A,0),0),0)</f>
        <v>7896.2379798201846</v>
      </c>
      <c r="K203" s="444">
        <f t="shared" ca="1" si="2"/>
        <v>7909.6132990789056</v>
      </c>
      <c r="L203" s="444">
        <f t="shared" ca="1" si="3"/>
        <v>1906216.8050780164</v>
      </c>
      <c r="M203" s="460">
        <f t="shared" si="6"/>
        <v>0.05</v>
      </c>
      <c r="N203" s="464">
        <f t="shared" si="7"/>
        <v>57224</v>
      </c>
    </row>
    <row r="204" spans="7:14" ht="11.25" customHeight="1" x14ac:dyDescent="0.3">
      <c r="G204" s="459">
        <f t="shared" si="21"/>
        <v>17</v>
      </c>
      <c r="H204" s="459">
        <v>197</v>
      </c>
      <c r="I204" s="444">
        <f t="shared" ca="1" si="5"/>
        <v>1906216.8050780164</v>
      </c>
      <c r="J204" s="444">
        <f t="array" ref="J204">IFERROR(INDEX('Retirement Calculator'!J:J,MATCH('Isaac 401k'!N204,'Retirement Calculator'!A:A,0),0),0)</f>
        <v>7896.2379798201846</v>
      </c>
      <c r="K204" s="444">
        <f t="shared" ca="1" si="2"/>
        <v>7909.6690295758171</v>
      </c>
      <c r="L204" s="444">
        <f t="shared" ca="1" si="3"/>
        <v>1906230.2361277719</v>
      </c>
      <c r="M204" s="460">
        <f t="shared" si="6"/>
        <v>0.05</v>
      </c>
      <c r="N204" s="464">
        <f t="shared" si="7"/>
        <v>57254</v>
      </c>
    </row>
    <row r="205" spans="7:14" ht="11.25" customHeight="1" x14ac:dyDescent="0.3">
      <c r="G205" s="459">
        <f t="shared" si="21"/>
        <v>17</v>
      </c>
      <c r="H205" s="459">
        <v>198</v>
      </c>
      <c r="I205" s="444">
        <f t="shared" ca="1" si="5"/>
        <v>1906230.2361277719</v>
      </c>
      <c r="J205" s="444">
        <f t="array" ref="J205">IFERROR(INDEX('Retirement Calculator'!J:J,MATCH('Isaac 401k'!N205,'Retirement Calculator'!A:A,0),0),0)</f>
        <v>7896.2379798201846</v>
      </c>
      <c r="K205" s="444">
        <f t="shared" ca="1" si="2"/>
        <v>7909.7249922831315</v>
      </c>
      <c r="L205" s="444">
        <f t="shared" ca="1" si="3"/>
        <v>1906243.7231402348</v>
      </c>
      <c r="M205" s="460">
        <f t="shared" si="6"/>
        <v>0.05</v>
      </c>
      <c r="N205" s="464">
        <f t="shared" si="7"/>
        <v>57285</v>
      </c>
    </row>
    <row r="206" spans="7:14" ht="11.25" customHeight="1" x14ac:dyDescent="0.3">
      <c r="G206" s="459">
        <f t="shared" si="21"/>
        <v>17</v>
      </c>
      <c r="H206" s="459">
        <v>199</v>
      </c>
      <c r="I206" s="444">
        <f t="shared" ca="1" si="5"/>
        <v>1906243.7231402348</v>
      </c>
      <c r="J206" s="444">
        <f t="array" ref="J206">IFERROR(INDEX('Retirement Calculator'!J:J,MATCH('Isaac 401k'!N206,'Retirement Calculator'!A:A,0),0),0)</f>
        <v>7896.2379798201846</v>
      </c>
      <c r="K206" s="444">
        <f t="shared" ca="1" si="2"/>
        <v>7909.7811881683938</v>
      </c>
      <c r="L206" s="444">
        <f t="shared" ca="1" si="3"/>
        <v>1906257.2663485829</v>
      </c>
      <c r="M206" s="460">
        <f t="shared" si="6"/>
        <v>0.05</v>
      </c>
      <c r="N206" s="464">
        <f t="shared" si="7"/>
        <v>57315</v>
      </c>
    </row>
    <row r="207" spans="7:14" ht="11.25" customHeight="1" x14ac:dyDescent="0.3">
      <c r="G207" s="459">
        <f t="shared" si="21"/>
        <v>17</v>
      </c>
      <c r="H207" s="459">
        <v>200</v>
      </c>
      <c r="I207" s="444">
        <f t="shared" ca="1" si="5"/>
        <v>1906257.2663485829</v>
      </c>
      <c r="J207" s="444">
        <f t="array" ref="J207">IFERROR(INDEX('Retirement Calculator'!J:J,MATCH('Isaac 401k'!N207,'Retirement Calculator'!A:A,0),0),0)</f>
        <v>7896.2379798201846</v>
      </c>
      <c r="K207" s="444">
        <f t="shared" ca="1" si="2"/>
        <v>7909.8376182031789</v>
      </c>
      <c r="L207" s="444">
        <f t="shared" ca="1" si="3"/>
        <v>1906270.8659869658</v>
      </c>
      <c r="M207" s="460">
        <f t="shared" si="6"/>
        <v>0.05</v>
      </c>
      <c r="N207" s="464">
        <f t="shared" si="7"/>
        <v>57346</v>
      </c>
    </row>
    <row r="208" spans="7:14" ht="11.25" customHeight="1" x14ac:dyDescent="0.3">
      <c r="G208" s="459">
        <f t="shared" si="21"/>
        <v>17</v>
      </c>
      <c r="H208" s="459">
        <v>201</v>
      </c>
      <c r="I208" s="444">
        <f t="shared" ca="1" si="5"/>
        <v>1906270.8659869658</v>
      </c>
      <c r="J208" s="444">
        <f t="array" ref="J208">IFERROR(INDEX('Retirement Calculator'!J:J,MATCH('Isaac 401k'!N208,'Retirement Calculator'!A:A,0),0),0)</f>
        <v>7896.2379798201846</v>
      </c>
      <c r="K208" s="444">
        <f t="shared" ca="1" si="2"/>
        <v>7909.8942833631063</v>
      </c>
      <c r="L208" s="444">
        <f t="shared" ca="1" si="3"/>
        <v>1906284.5222905087</v>
      </c>
      <c r="M208" s="460">
        <f t="shared" si="6"/>
        <v>0.05</v>
      </c>
      <c r="N208" s="464">
        <f t="shared" si="7"/>
        <v>57377</v>
      </c>
    </row>
    <row r="209" spans="7:14" ht="11.25" customHeight="1" x14ac:dyDescent="0.3">
      <c r="G209" s="459">
        <f t="shared" si="21"/>
        <v>17</v>
      </c>
      <c r="H209" s="459">
        <v>202</v>
      </c>
      <c r="I209" s="444">
        <f t="shared" ca="1" si="5"/>
        <v>1906284.5222905087</v>
      </c>
      <c r="J209" s="444">
        <f t="array" ref="J209">IFERROR(INDEX('Retirement Calculator'!J:J,MATCH('Isaac 401k'!N209,'Retirement Calculator'!A:A,0),0),0)</f>
        <v>7896.2379798201846</v>
      </c>
      <c r="K209" s="444">
        <f t="shared" ca="1" si="2"/>
        <v>7909.9511846278683</v>
      </c>
      <c r="L209" s="444">
        <f t="shared" ca="1" si="3"/>
        <v>1906298.2354953163</v>
      </c>
      <c r="M209" s="460">
        <f t="shared" si="6"/>
        <v>0.05</v>
      </c>
      <c r="N209" s="464">
        <f t="shared" si="7"/>
        <v>57405</v>
      </c>
    </row>
    <row r="210" spans="7:14" ht="11.25" customHeight="1" x14ac:dyDescent="0.3">
      <c r="G210" s="459">
        <f t="shared" si="21"/>
        <v>17</v>
      </c>
      <c r="H210" s="459">
        <v>203</v>
      </c>
      <c r="I210" s="444">
        <f t="shared" ca="1" si="5"/>
        <v>1906298.2354953163</v>
      </c>
      <c r="J210" s="444">
        <f t="array" ref="J210">IFERROR(INDEX('Retirement Calculator'!J:J,MATCH('Isaac 401k'!N210,'Retirement Calculator'!A:A,0),0),0)</f>
        <v>7896.2379798201846</v>
      </c>
      <c r="K210" s="444">
        <f t="shared" ca="1" si="2"/>
        <v>7910.0083229812326</v>
      </c>
      <c r="L210" s="444">
        <f t="shared" ca="1" si="3"/>
        <v>1906312.0058384773</v>
      </c>
      <c r="M210" s="460">
        <f t="shared" si="6"/>
        <v>0.05</v>
      </c>
      <c r="N210" s="464">
        <f t="shared" si="7"/>
        <v>57436</v>
      </c>
    </row>
    <row r="211" spans="7:14" ht="11.25" customHeight="1" x14ac:dyDescent="0.3">
      <c r="G211" s="459">
        <f t="shared" si="21"/>
        <v>17</v>
      </c>
      <c r="H211" s="459">
        <v>204</v>
      </c>
      <c r="I211" s="444">
        <f t="shared" ca="1" si="5"/>
        <v>1906312.0058384773</v>
      </c>
      <c r="J211" s="444">
        <f t="array" ref="J211">IFERROR(INDEX('Retirement Calculator'!J:J,MATCH('Isaac 401k'!N211,'Retirement Calculator'!A:A,0),0),0)</f>
        <v>7896.2379798201846</v>
      </c>
      <c r="K211" s="444">
        <f t="shared" ca="1" si="2"/>
        <v>7910.0656994110714</v>
      </c>
      <c r="L211" s="444">
        <f t="shared" ca="1" si="3"/>
        <v>1906325.8335580681</v>
      </c>
      <c r="M211" s="460">
        <f t="shared" si="6"/>
        <v>0.05</v>
      </c>
      <c r="N211" s="464">
        <f t="shared" si="7"/>
        <v>57466</v>
      </c>
    </row>
    <row r="212" spans="7:14" ht="11.25" customHeight="1" x14ac:dyDescent="0.3">
      <c r="G212" s="459">
        <f>G211+1</f>
        <v>18</v>
      </c>
      <c r="H212" s="459">
        <v>205</v>
      </c>
      <c r="I212" s="444">
        <f t="shared" ca="1" si="5"/>
        <v>1906325.8335580681</v>
      </c>
      <c r="J212" s="444">
        <f t="array" ref="J212">IFERROR(INDEX('Retirement Calculator'!J:J,MATCH('Isaac 401k'!N212,'Retirement Calculator'!A:A,0),0),0)</f>
        <v>7896.2379798201846</v>
      </c>
      <c r="K212" s="444">
        <f t="shared" ca="1" si="2"/>
        <v>7910.123314909365</v>
      </c>
      <c r="L212" s="444">
        <f t="shared" ca="1" si="3"/>
        <v>1906339.7188931573</v>
      </c>
      <c r="M212" s="460">
        <f t="shared" si="6"/>
        <v>0.05</v>
      </c>
      <c r="N212" s="464">
        <f t="shared" si="7"/>
        <v>57497</v>
      </c>
    </row>
    <row r="213" spans="7:14" ht="11.25" customHeight="1" x14ac:dyDescent="0.3">
      <c r="G213" s="459">
        <f t="shared" ref="G213:G223" si="22">G212</f>
        <v>18</v>
      </c>
      <c r="H213" s="459">
        <v>206</v>
      </c>
      <c r="I213" s="444">
        <f t="shared" ca="1" si="5"/>
        <v>1906339.7188931573</v>
      </c>
      <c r="J213" s="444">
        <f t="array" ref="J213">IFERROR(INDEX('Retirement Calculator'!J:J,MATCH('Isaac 401k'!N213,'Retirement Calculator'!A:A,0),0),0)</f>
        <v>7896.2379798201846</v>
      </c>
      <c r="K213" s="444">
        <f t="shared" ca="1" si="2"/>
        <v>7910.1811704722377</v>
      </c>
      <c r="L213" s="444">
        <f t="shared" ca="1" si="3"/>
        <v>1906353.6620838093</v>
      </c>
      <c r="M213" s="460">
        <f t="shared" si="6"/>
        <v>0.05</v>
      </c>
      <c r="N213" s="464">
        <f t="shared" si="7"/>
        <v>57527</v>
      </c>
    </row>
    <row r="214" spans="7:14" ht="11.25" customHeight="1" x14ac:dyDescent="0.3">
      <c r="G214" s="459">
        <f t="shared" si="22"/>
        <v>18</v>
      </c>
      <c r="H214" s="459">
        <v>207</v>
      </c>
      <c r="I214" s="444">
        <f t="shared" ca="1" si="5"/>
        <v>1906353.6620838093</v>
      </c>
      <c r="J214" s="444">
        <f t="array" ref="J214">IFERROR(INDEX('Retirement Calculator'!J:J,MATCH('Isaac 401k'!N214,'Retirement Calculator'!A:A,0),0),0)</f>
        <v>7896.2379798201846</v>
      </c>
      <c r="K214" s="444">
        <f t="shared" ca="1" si="2"/>
        <v>7910.2392670999534</v>
      </c>
      <c r="L214" s="444">
        <f t="shared" ca="1" si="3"/>
        <v>1906367.6633710889</v>
      </c>
      <c r="M214" s="460">
        <f t="shared" si="6"/>
        <v>0.05</v>
      </c>
      <c r="N214" s="464">
        <f t="shared" si="7"/>
        <v>57558</v>
      </c>
    </row>
    <row r="215" spans="7:14" ht="11.25" customHeight="1" x14ac:dyDescent="0.3">
      <c r="G215" s="459">
        <f t="shared" si="22"/>
        <v>18</v>
      </c>
      <c r="H215" s="459">
        <v>208</v>
      </c>
      <c r="I215" s="444">
        <f t="shared" ca="1" si="5"/>
        <v>1906367.6633710889</v>
      </c>
      <c r="J215" s="444">
        <f t="array" ref="J215">IFERROR(INDEX('Retirement Calculator'!J:J,MATCH('Isaac 401k'!N215,'Retirement Calculator'!A:A,0),0),0)</f>
        <v>7896.2379798201846</v>
      </c>
      <c r="K215" s="444">
        <f t="shared" ca="1" si="2"/>
        <v>7910.2976057969527</v>
      </c>
      <c r="L215" s="444">
        <f t="shared" ca="1" si="3"/>
        <v>1906381.7229970656</v>
      </c>
      <c r="M215" s="460">
        <f t="shared" si="6"/>
        <v>0.05</v>
      </c>
      <c r="N215" s="464">
        <f t="shared" si="7"/>
        <v>57589</v>
      </c>
    </row>
    <row r="216" spans="7:14" ht="11.25" customHeight="1" x14ac:dyDescent="0.3">
      <c r="G216" s="459">
        <f t="shared" si="22"/>
        <v>18</v>
      </c>
      <c r="H216" s="459">
        <v>209</v>
      </c>
      <c r="I216" s="444">
        <f t="shared" ca="1" si="5"/>
        <v>1906381.7229970656</v>
      </c>
      <c r="J216" s="444">
        <f t="array" ref="J216">IFERROR(INDEX('Retirement Calculator'!J:J,MATCH('Isaac 401k'!N216,'Retirement Calculator'!A:A,0),0),0)</f>
        <v>7896.2379798201846</v>
      </c>
      <c r="K216" s="444">
        <f t="shared" ca="1" si="2"/>
        <v>7910.3561875718551</v>
      </c>
      <c r="L216" s="444">
        <f t="shared" ca="1" si="3"/>
        <v>1906395.8412048172</v>
      </c>
      <c r="M216" s="460">
        <f t="shared" si="6"/>
        <v>0.05</v>
      </c>
      <c r="N216" s="464">
        <f t="shared" si="7"/>
        <v>57619</v>
      </c>
    </row>
    <row r="217" spans="7:14" ht="11.25" customHeight="1" x14ac:dyDescent="0.3">
      <c r="G217" s="459">
        <f t="shared" si="22"/>
        <v>18</v>
      </c>
      <c r="H217" s="459">
        <v>210</v>
      </c>
      <c r="I217" s="444">
        <f t="shared" ca="1" si="5"/>
        <v>1906395.8412048172</v>
      </c>
      <c r="J217" s="444">
        <f t="array" ref="J217">IFERROR(INDEX('Retirement Calculator'!J:J,MATCH('Isaac 401k'!N217,'Retirement Calculator'!A:A,0),0),0)</f>
        <v>7896.2379798201846</v>
      </c>
      <c r="K217" s="444">
        <f t="shared" ca="1" si="2"/>
        <v>7910.4150134374877</v>
      </c>
      <c r="L217" s="444">
        <f t="shared" ca="1" si="3"/>
        <v>1906410.0182384343</v>
      </c>
      <c r="M217" s="460">
        <f t="shared" si="6"/>
        <v>0.05</v>
      </c>
      <c r="N217" s="464">
        <f t="shared" si="7"/>
        <v>57650</v>
      </c>
    </row>
    <row r="218" spans="7:14" ht="11.25" customHeight="1" x14ac:dyDescent="0.3">
      <c r="G218" s="459">
        <f t="shared" si="22"/>
        <v>18</v>
      </c>
      <c r="H218" s="459">
        <v>211</v>
      </c>
      <c r="I218" s="444">
        <f t="shared" ca="1" si="5"/>
        <v>1906410.0182384343</v>
      </c>
      <c r="J218" s="444">
        <f t="array" ref="J218">IFERROR(INDEX('Retirement Calculator'!J:J,MATCH('Isaac 401k'!N218,'Retirement Calculator'!A:A,0),0),0)</f>
        <v>7896.2379798201846</v>
      </c>
      <c r="K218" s="444">
        <f t="shared" ca="1" si="2"/>
        <v>7910.4740844108928</v>
      </c>
      <c r="L218" s="444">
        <f t="shared" ca="1" si="3"/>
        <v>1906424.2543430249</v>
      </c>
      <c r="M218" s="460">
        <f t="shared" si="6"/>
        <v>0.05</v>
      </c>
      <c r="N218" s="464">
        <f t="shared" si="7"/>
        <v>57680</v>
      </c>
    </row>
    <row r="219" spans="7:14" ht="11.25" customHeight="1" x14ac:dyDescent="0.3">
      <c r="G219" s="459">
        <f t="shared" si="22"/>
        <v>18</v>
      </c>
      <c r="H219" s="459">
        <v>212</v>
      </c>
      <c r="I219" s="444">
        <f t="shared" ca="1" si="5"/>
        <v>1906424.2543430249</v>
      </c>
      <c r="J219" s="444">
        <f t="array" ref="J219">IFERROR(INDEX('Retirement Calculator'!J:J,MATCH('Isaac 401k'!N219,'Retirement Calculator'!A:A,0),0),0)</f>
        <v>7896.2379798201846</v>
      </c>
      <c r="K219" s="444">
        <f t="shared" ca="1" si="2"/>
        <v>7910.5334015133531</v>
      </c>
      <c r="L219" s="444">
        <f t="shared" ca="1" si="3"/>
        <v>1906438.5497647179</v>
      </c>
      <c r="M219" s="460">
        <f t="shared" si="6"/>
        <v>0.05</v>
      </c>
      <c r="N219" s="464">
        <f t="shared" si="7"/>
        <v>57711</v>
      </c>
    </row>
    <row r="220" spans="7:14" ht="11.25" customHeight="1" x14ac:dyDescent="0.3">
      <c r="G220" s="459">
        <f t="shared" si="22"/>
        <v>18</v>
      </c>
      <c r="H220" s="459">
        <v>213</v>
      </c>
      <c r="I220" s="444">
        <f t="shared" ca="1" si="5"/>
        <v>1906438.5497647179</v>
      </c>
      <c r="J220" s="444">
        <f t="array" ref="J220">IFERROR(INDEX('Retirement Calculator'!J:J,MATCH('Isaac 401k'!N220,'Retirement Calculator'!A:A,0),0),0)</f>
        <v>7896.2379798201846</v>
      </c>
      <c r="K220" s="444">
        <f t="shared" ca="1" si="2"/>
        <v>7910.5929657704073</v>
      </c>
      <c r="L220" s="444">
        <f t="shared" ca="1" si="3"/>
        <v>1906452.9047506682</v>
      </c>
      <c r="M220" s="460">
        <f t="shared" si="6"/>
        <v>0.05</v>
      </c>
      <c r="N220" s="464">
        <f t="shared" si="7"/>
        <v>57742</v>
      </c>
    </row>
    <row r="221" spans="7:14" ht="11.25" customHeight="1" x14ac:dyDescent="0.3">
      <c r="G221" s="459">
        <f t="shared" si="22"/>
        <v>18</v>
      </c>
      <c r="H221" s="459">
        <v>214</v>
      </c>
      <c r="I221" s="444">
        <f t="shared" ca="1" si="5"/>
        <v>1906452.9047506682</v>
      </c>
      <c r="J221" s="444">
        <f t="array" ref="J221">IFERROR(INDEX('Retirement Calculator'!J:J,MATCH('Isaac 401k'!N221,'Retirement Calculator'!A:A,0),0),0)</f>
        <v>7896.2379798201846</v>
      </c>
      <c r="K221" s="444">
        <f t="shared" ca="1" si="2"/>
        <v>7910.6527782118665</v>
      </c>
      <c r="L221" s="444">
        <f t="shared" ca="1" si="3"/>
        <v>1906467.31954906</v>
      </c>
      <c r="M221" s="460">
        <f t="shared" si="6"/>
        <v>0.05</v>
      </c>
      <c r="N221" s="464">
        <f t="shared" si="7"/>
        <v>57770</v>
      </c>
    </row>
    <row r="222" spans="7:14" ht="11.25" customHeight="1" x14ac:dyDescent="0.3">
      <c r="G222" s="459">
        <f t="shared" si="22"/>
        <v>18</v>
      </c>
      <c r="H222" s="459">
        <v>215</v>
      </c>
      <c r="I222" s="444">
        <f t="shared" ca="1" si="5"/>
        <v>1906467.31954906</v>
      </c>
      <c r="J222" s="444">
        <f t="array" ref="J222">IFERROR(INDEX('Retirement Calculator'!J:J,MATCH('Isaac 401k'!N222,'Retirement Calculator'!A:A,0),0),0)</f>
        <v>7896.2379798201846</v>
      </c>
      <c r="K222" s="444">
        <f t="shared" ca="1" si="2"/>
        <v>7910.7128398718323</v>
      </c>
      <c r="L222" s="444">
        <f t="shared" ca="1" si="3"/>
        <v>1906481.7944091116</v>
      </c>
      <c r="M222" s="460">
        <f t="shared" si="6"/>
        <v>0.05</v>
      </c>
      <c r="N222" s="464">
        <f t="shared" si="7"/>
        <v>57801</v>
      </c>
    </row>
    <row r="223" spans="7:14" ht="11.25" customHeight="1" x14ac:dyDescent="0.3">
      <c r="G223" s="459">
        <f t="shared" si="22"/>
        <v>18</v>
      </c>
      <c r="H223" s="459">
        <v>216</v>
      </c>
      <c r="I223" s="444">
        <f t="shared" ca="1" si="5"/>
        <v>1906481.7944091116</v>
      </c>
      <c r="J223" s="444">
        <f t="array" ref="J223">IFERROR(INDEX('Retirement Calculator'!J:J,MATCH('Isaac 401k'!N223,'Retirement Calculator'!A:A,0),0),0)</f>
        <v>7896.2379798201846</v>
      </c>
      <c r="K223" s="444">
        <f t="shared" ca="1" si="2"/>
        <v>7910.7731517887141</v>
      </c>
      <c r="L223" s="444">
        <f t="shared" ca="1" si="3"/>
        <v>1906496.32958108</v>
      </c>
      <c r="M223" s="460">
        <f t="shared" si="6"/>
        <v>0.05</v>
      </c>
      <c r="N223" s="464">
        <f t="shared" si="7"/>
        <v>57831</v>
      </c>
    </row>
    <row r="224" spans="7:14" ht="11.25" customHeight="1" x14ac:dyDescent="0.3">
      <c r="G224" s="459">
        <f>G223+1</f>
        <v>19</v>
      </c>
      <c r="H224" s="459">
        <v>217</v>
      </c>
      <c r="I224" s="444">
        <f t="shared" ca="1" si="5"/>
        <v>1906496.32958108</v>
      </c>
      <c r="J224" s="444">
        <f t="array" ref="J224">IFERROR(INDEX('Retirement Calculator'!J:J,MATCH('Isaac 401k'!N224,'Retirement Calculator'!A:A,0),0),0)</f>
        <v>7896.2379798201846</v>
      </c>
      <c r="K224" s="444">
        <f t="shared" ca="1" si="2"/>
        <v>7910.8337150052494</v>
      </c>
      <c r="L224" s="444">
        <f t="shared" ca="1" si="3"/>
        <v>1906510.9253162651</v>
      </c>
      <c r="M224" s="460">
        <f t="shared" si="6"/>
        <v>0.05</v>
      </c>
      <c r="N224" s="464">
        <f t="shared" si="7"/>
        <v>57862</v>
      </c>
    </row>
    <row r="225" spans="7:14" ht="11.25" customHeight="1" x14ac:dyDescent="0.3">
      <c r="G225" s="459">
        <f t="shared" ref="G225:G235" si="23">G224</f>
        <v>19</v>
      </c>
      <c r="H225" s="459">
        <v>218</v>
      </c>
      <c r="I225" s="444">
        <f t="shared" ca="1" si="5"/>
        <v>1906510.9253162651</v>
      </c>
      <c r="J225" s="444">
        <f t="array" ref="J225">IFERROR(INDEX('Retirement Calculator'!J:J,MATCH('Isaac 401k'!N225,'Retirement Calculator'!A:A,0),0),0)</f>
        <v>7896.2379798201846</v>
      </c>
      <c r="K225" s="444">
        <f t="shared" ca="1" si="2"/>
        <v>7910.8945305685211</v>
      </c>
      <c r="L225" s="444">
        <f t="shared" ca="1" si="3"/>
        <v>1906525.5818670134</v>
      </c>
      <c r="M225" s="460">
        <f t="shared" si="6"/>
        <v>0.05</v>
      </c>
      <c r="N225" s="464">
        <f t="shared" si="7"/>
        <v>57892</v>
      </c>
    </row>
    <row r="226" spans="7:14" ht="11.25" customHeight="1" x14ac:dyDescent="0.3">
      <c r="G226" s="459">
        <f t="shared" si="23"/>
        <v>19</v>
      </c>
      <c r="H226" s="459">
        <v>219</v>
      </c>
      <c r="I226" s="444">
        <f t="shared" ca="1" si="5"/>
        <v>1906525.5818670134</v>
      </c>
      <c r="J226" s="444">
        <f t="array" ref="J226">IFERROR(INDEX('Retirement Calculator'!J:J,MATCH('Isaac 401k'!N226,'Retirement Calculator'!A:A,0),0),0)</f>
        <v>7896.2379798201846</v>
      </c>
      <c r="K226" s="444">
        <f t="shared" ca="1" si="2"/>
        <v>7910.9555995299716</v>
      </c>
      <c r="L226" s="444">
        <f t="shared" ca="1" si="3"/>
        <v>1906540.299486723</v>
      </c>
      <c r="M226" s="460">
        <f t="shared" si="6"/>
        <v>0.05</v>
      </c>
      <c r="N226" s="464">
        <f t="shared" si="7"/>
        <v>57923</v>
      </c>
    </row>
    <row r="227" spans="7:14" ht="11.25" customHeight="1" x14ac:dyDescent="0.3">
      <c r="G227" s="459">
        <f t="shared" si="23"/>
        <v>19</v>
      </c>
      <c r="H227" s="459">
        <v>220</v>
      </c>
      <c r="I227" s="444">
        <f t="shared" ca="1" si="5"/>
        <v>1906540.299486723</v>
      </c>
      <c r="J227" s="444">
        <f t="array" ref="J227">IFERROR(INDEX('Retirement Calculator'!J:J,MATCH('Isaac 401k'!N227,'Retirement Calculator'!A:A,0),0),0)</f>
        <v>7896.2379798201846</v>
      </c>
      <c r="K227" s="444">
        <f t="shared" ca="1" si="2"/>
        <v>7911.0169229454295</v>
      </c>
      <c r="L227" s="444">
        <f t="shared" ca="1" si="3"/>
        <v>1906555.0784298482</v>
      </c>
      <c r="M227" s="460">
        <f t="shared" si="6"/>
        <v>0.05</v>
      </c>
      <c r="N227" s="464">
        <f t="shared" si="7"/>
        <v>57954</v>
      </c>
    </row>
    <row r="228" spans="7:14" ht="11.25" customHeight="1" x14ac:dyDescent="0.3">
      <c r="G228" s="459">
        <f t="shared" si="23"/>
        <v>19</v>
      </c>
      <c r="H228" s="459">
        <v>221</v>
      </c>
      <c r="I228" s="444">
        <f t="shared" ca="1" si="5"/>
        <v>1906555.0784298482</v>
      </c>
      <c r="J228" s="444">
        <f t="array" ref="J228">IFERROR(INDEX('Retirement Calculator'!J:J,MATCH('Isaac 401k'!N228,'Retirement Calculator'!A:A,0),0),0)</f>
        <v>7896.2379798201846</v>
      </c>
      <c r="K228" s="444">
        <f t="shared" ca="1" si="2"/>
        <v>7911.0785018751158</v>
      </c>
      <c r="L228" s="444">
        <f t="shared" ca="1" si="3"/>
        <v>1906569.918951903</v>
      </c>
      <c r="M228" s="460">
        <f t="shared" si="6"/>
        <v>0.05</v>
      </c>
      <c r="N228" s="464">
        <f t="shared" si="7"/>
        <v>57984</v>
      </c>
    </row>
    <row r="229" spans="7:14" ht="11.25" customHeight="1" x14ac:dyDescent="0.3">
      <c r="G229" s="459">
        <f t="shared" si="23"/>
        <v>19</v>
      </c>
      <c r="H229" s="459">
        <v>222</v>
      </c>
      <c r="I229" s="444">
        <f t="shared" ca="1" si="5"/>
        <v>1906569.918951903</v>
      </c>
      <c r="J229" s="444">
        <f t="array" ref="J229">IFERROR(INDEX('Retirement Calculator'!J:J,MATCH('Isaac 401k'!N229,'Retirement Calculator'!A:A,0),0),0)</f>
        <v>7896.2379798201846</v>
      </c>
      <c r="K229" s="444">
        <f t="shared" ca="1" si="2"/>
        <v>7911.1403373836783</v>
      </c>
      <c r="L229" s="444">
        <f t="shared" ca="1" si="3"/>
        <v>1906584.8213094664</v>
      </c>
      <c r="M229" s="460">
        <f t="shared" si="6"/>
        <v>0.05</v>
      </c>
      <c r="N229" s="464">
        <f t="shared" si="7"/>
        <v>58015</v>
      </c>
    </row>
    <row r="230" spans="7:14" ht="11.25" customHeight="1" x14ac:dyDescent="0.3">
      <c r="G230" s="459">
        <f t="shared" si="23"/>
        <v>19</v>
      </c>
      <c r="H230" s="459">
        <v>223</v>
      </c>
      <c r="I230" s="444">
        <f t="shared" ca="1" si="5"/>
        <v>1906584.8213094664</v>
      </c>
      <c r="J230" s="444">
        <f t="array" ref="J230">IFERROR(INDEX('Retirement Calculator'!J:J,MATCH('Isaac 401k'!N230,'Retirement Calculator'!A:A,0),0),0)</f>
        <v>7896.2379798201846</v>
      </c>
      <c r="K230" s="444">
        <f t="shared" ca="1" si="2"/>
        <v>7911.2024305401919</v>
      </c>
      <c r="L230" s="444">
        <f t="shared" ca="1" si="3"/>
        <v>1906599.7857601864</v>
      </c>
      <c r="M230" s="460">
        <f t="shared" si="6"/>
        <v>0.05</v>
      </c>
      <c r="N230" s="464">
        <f t="shared" si="7"/>
        <v>58045</v>
      </c>
    </row>
    <row r="231" spans="7:14" ht="11.25" customHeight="1" x14ac:dyDescent="0.3">
      <c r="G231" s="459">
        <f t="shared" si="23"/>
        <v>19</v>
      </c>
      <c r="H231" s="459">
        <v>224</v>
      </c>
      <c r="I231" s="444">
        <f t="shared" ca="1" si="5"/>
        <v>1906599.7857601864</v>
      </c>
      <c r="J231" s="444">
        <f t="array" ref="J231">IFERROR(INDEX('Retirement Calculator'!J:J,MATCH('Isaac 401k'!N231,'Retirement Calculator'!A:A,0),0),0)</f>
        <v>7896.2379798201846</v>
      </c>
      <c r="K231" s="444">
        <f t="shared" ca="1" si="2"/>
        <v>7911.2647824181931</v>
      </c>
      <c r="L231" s="444">
        <f t="shared" ca="1" si="3"/>
        <v>1906614.8125627844</v>
      </c>
      <c r="M231" s="460">
        <f t="shared" si="6"/>
        <v>0.05</v>
      </c>
      <c r="N231" s="464">
        <f t="shared" si="7"/>
        <v>58076</v>
      </c>
    </row>
    <row r="232" spans="7:14" ht="11.25" customHeight="1" x14ac:dyDescent="0.3">
      <c r="G232" s="459">
        <f t="shared" si="23"/>
        <v>19</v>
      </c>
      <c r="H232" s="459">
        <v>225</v>
      </c>
      <c r="I232" s="444">
        <f t="shared" ca="1" si="5"/>
        <v>1906614.8125627844</v>
      </c>
      <c r="J232" s="444">
        <f t="array" ref="J232">IFERROR(INDEX('Retirement Calculator'!J:J,MATCH('Isaac 401k'!N232,'Retirement Calculator'!A:A,0),0),0)</f>
        <v>7896.2379798201846</v>
      </c>
      <c r="K232" s="444">
        <f t="shared" ca="1" si="2"/>
        <v>7911.3273940956842</v>
      </c>
      <c r="L232" s="444">
        <f t="shared" ca="1" si="3"/>
        <v>1906629.9019770599</v>
      </c>
      <c r="M232" s="460">
        <f t="shared" si="6"/>
        <v>0.05</v>
      </c>
      <c r="N232" s="464">
        <f t="shared" si="7"/>
        <v>58107</v>
      </c>
    </row>
    <row r="233" spans="7:14" ht="11.25" customHeight="1" x14ac:dyDescent="0.3">
      <c r="G233" s="459">
        <f t="shared" si="23"/>
        <v>19</v>
      </c>
      <c r="H233" s="459">
        <v>226</v>
      </c>
      <c r="I233" s="444">
        <f t="shared" ca="1" si="5"/>
        <v>1906629.9019770599</v>
      </c>
      <c r="J233" s="444">
        <f t="array" ref="J233">IFERROR(INDEX('Retirement Calculator'!J:J,MATCH('Isaac 401k'!N233,'Retirement Calculator'!A:A,0),0),0)</f>
        <v>7896.2379798201846</v>
      </c>
      <c r="K233" s="444">
        <f t="shared" ca="1" si="2"/>
        <v>7911.3902666551639</v>
      </c>
      <c r="L233" s="444">
        <f t="shared" ca="1" si="3"/>
        <v>1906645.0542638949</v>
      </c>
      <c r="M233" s="460">
        <f t="shared" si="6"/>
        <v>0.05</v>
      </c>
      <c r="N233" s="464">
        <f t="shared" si="7"/>
        <v>58135</v>
      </c>
    </row>
    <row r="234" spans="7:14" ht="11.25" customHeight="1" x14ac:dyDescent="0.3">
      <c r="G234" s="459">
        <f t="shared" si="23"/>
        <v>19</v>
      </c>
      <c r="H234" s="459">
        <v>227</v>
      </c>
      <c r="I234" s="444">
        <f t="shared" ca="1" si="5"/>
        <v>1906645.0542638949</v>
      </c>
      <c r="J234" s="444">
        <f t="array" ref="J234">IFERROR(INDEX('Retirement Calculator'!J:J,MATCH('Isaac 401k'!N234,'Retirement Calculator'!A:A,0),0),0)</f>
        <v>7896.2379798201846</v>
      </c>
      <c r="K234" s="444">
        <f t="shared" ca="1" si="2"/>
        <v>7911.4534011836449</v>
      </c>
      <c r="L234" s="444">
        <f t="shared" ca="1" si="3"/>
        <v>1906660.2696852584</v>
      </c>
      <c r="M234" s="460">
        <f t="shared" si="6"/>
        <v>0.05</v>
      </c>
      <c r="N234" s="464">
        <f t="shared" si="7"/>
        <v>58166</v>
      </c>
    </row>
    <row r="235" spans="7:14" ht="11.25" customHeight="1" x14ac:dyDescent="0.3">
      <c r="G235" s="459">
        <f t="shared" si="23"/>
        <v>19</v>
      </c>
      <c r="H235" s="459">
        <v>228</v>
      </c>
      <c r="I235" s="444">
        <f t="shared" ca="1" si="5"/>
        <v>1906660.2696852584</v>
      </c>
      <c r="J235" s="444">
        <f t="array" ref="J235">IFERROR(INDEX('Retirement Calculator'!J:J,MATCH('Isaac 401k'!N235,'Retirement Calculator'!A:A,0),0),0)</f>
        <v>7896.2379798201846</v>
      </c>
      <c r="K235" s="444">
        <f t="shared" ca="1" si="2"/>
        <v>7911.5167987726581</v>
      </c>
      <c r="L235" s="444">
        <f t="shared" ca="1" si="3"/>
        <v>1906675.5485042108</v>
      </c>
      <c r="M235" s="460">
        <f t="shared" si="6"/>
        <v>0.05</v>
      </c>
      <c r="N235" s="464">
        <f t="shared" si="7"/>
        <v>58196</v>
      </c>
    </row>
    <row r="236" spans="7:14" ht="11.25" customHeight="1" x14ac:dyDescent="0.3">
      <c r="G236" s="459">
        <f>G235+1</f>
        <v>20</v>
      </c>
      <c r="H236" s="459">
        <v>229</v>
      </c>
      <c r="I236" s="444">
        <f t="shared" ca="1" si="5"/>
        <v>1906675.5485042108</v>
      </c>
      <c r="J236" s="444">
        <f t="array" ref="J236">IFERROR(INDEX('Retirement Calculator'!J:J,MATCH('Isaac 401k'!N236,'Retirement Calculator'!A:A,0),0),0)</f>
        <v>7896.2379798201846</v>
      </c>
      <c r="K236" s="444">
        <f t="shared" ca="1" si="2"/>
        <v>7911.5804605182939</v>
      </c>
      <c r="L236" s="444">
        <f t="shared" ca="1" si="3"/>
        <v>1906690.8909849089</v>
      </c>
      <c r="M236" s="460">
        <f t="shared" si="6"/>
        <v>0.05</v>
      </c>
      <c r="N236" s="464">
        <f t="shared" si="7"/>
        <v>58227</v>
      </c>
    </row>
    <row r="237" spans="7:14" ht="11.25" customHeight="1" x14ac:dyDescent="0.3">
      <c r="G237" s="459">
        <f t="shared" ref="G237:G247" si="24">G236</f>
        <v>20</v>
      </c>
      <c r="H237" s="459">
        <v>230</v>
      </c>
      <c r="I237" s="444">
        <f t="shared" ca="1" si="5"/>
        <v>1906690.8909849089</v>
      </c>
      <c r="J237" s="444">
        <f t="array" ref="J237">IFERROR(INDEX('Retirement Calculator'!J:J,MATCH('Isaac 401k'!N237,'Retirement Calculator'!A:A,0),0),0)</f>
        <v>7896.2379798201846</v>
      </c>
      <c r="K237" s="444">
        <f t="shared" ca="1" si="2"/>
        <v>7911.6443875212035</v>
      </c>
      <c r="L237" s="444">
        <f t="shared" ca="1" si="3"/>
        <v>1906706.29739261</v>
      </c>
      <c r="M237" s="460">
        <f t="shared" si="6"/>
        <v>0.05</v>
      </c>
      <c r="N237" s="464">
        <f t="shared" si="7"/>
        <v>58257</v>
      </c>
    </row>
    <row r="238" spans="7:14" ht="11.25" customHeight="1" x14ac:dyDescent="0.3">
      <c r="G238" s="459">
        <f t="shared" si="24"/>
        <v>20</v>
      </c>
      <c r="H238" s="459">
        <v>231</v>
      </c>
      <c r="I238" s="444">
        <f t="shared" ca="1" si="5"/>
        <v>1906706.29739261</v>
      </c>
      <c r="J238" s="444">
        <f t="array" ref="J238">IFERROR(INDEX('Retirement Calculator'!J:J,MATCH('Isaac 401k'!N238,'Retirement Calculator'!A:A,0),0),0)</f>
        <v>7896.2379798201846</v>
      </c>
      <c r="K238" s="444">
        <f t="shared" ca="1" si="2"/>
        <v>7911.708580886625</v>
      </c>
      <c r="L238" s="444">
        <f t="shared" ca="1" si="3"/>
        <v>1906721.7679936765</v>
      </c>
      <c r="M238" s="460">
        <f t="shared" si="6"/>
        <v>0.05</v>
      </c>
      <c r="N238" s="464">
        <f t="shared" si="7"/>
        <v>58288</v>
      </c>
    </row>
    <row r="239" spans="7:14" ht="11.25" customHeight="1" x14ac:dyDescent="0.3">
      <c r="G239" s="459">
        <f t="shared" si="24"/>
        <v>20</v>
      </c>
      <c r="H239" s="459">
        <v>232</v>
      </c>
      <c r="I239" s="444">
        <f t="shared" ca="1" si="5"/>
        <v>1906721.7679936765</v>
      </c>
      <c r="J239" s="444">
        <f t="array" ref="J239">IFERROR(INDEX('Retirement Calculator'!J:J,MATCH('Isaac 401k'!N239,'Retirement Calculator'!A:A,0),0),0)</f>
        <v>7896.2379798201846</v>
      </c>
      <c r="K239" s="444">
        <f t="shared" ca="1" si="2"/>
        <v>7911.773041724402</v>
      </c>
      <c r="L239" s="444">
        <f t="shared" ca="1" si="3"/>
        <v>1906737.3030555807</v>
      </c>
      <c r="M239" s="460">
        <f t="shared" si="6"/>
        <v>0.05</v>
      </c>
      <c r="N239" s="464">
        <f t="shared" si="7"/>
        <v>58319</v>
      </c>
    </row>
    <row r="240" spans="7:14" ht="11.25" customHeight="1" x14ac:dyDescent="0.3">
      <c r="G240" s="459">
        <f t="shared" si="24"/>
        <v>20</v>
      </c>
      <c r="H240" s="459">
        <v>233</v>
      </c>
      <c r="I240" s="444">
        <f t="shared" ca="1" si="5"/>
        <v>1906737.3030555807</v>
      </c>
      <c r="J240" s="444">
        <f t="array" ref="J240">IFERROR(INDEX('Retirement Calculator'!J:J,MATCH('Isaac 401k'!N240,'Retirement Calculator'!A:A,0),0),0)</f>
        <v>7896.2379798201846</v>
      </c>
      <c r="K240" s="444">
        <f t="shared" ca="1" si="2"/>
        <v>7911.837771149002</v>
      </c>
      <c r="L240" s="444">
        <f t="shared" ca="1" si="3"/>
        <v>1906752.9028469094</v>
      </c>
      <c r="M240" s="460">
        <f t="shared" si="6"/>
        <v>0.05</v>
      </c>
      <c r="N240" s="464">
        <f t="shared" si="7"/>
        <v>58349</v>
      </c>
    </row>
    <row r="241" spans="7:14" ht="11.25" customHeight="1" x14ac:dyDescent="0.3">
      <c r="G241" s="459">
        <f t="shared" si="24"/>
        <v>20</v>
      </c>
      <c r="H241" s="459">
        <v>234</v>
      </c>
      <c r="I241" s="444">
        <f t="shared" ca="1" si="5"/>
        <v>1906752.9028469094</v>
      </c>
      <c r="J241" s="444">
        <f t="array" ref="J241">IFERROR(INDEX('Retirement Calculator'!J:J,MATCH('Isaac 401k'!N241,'Retirement Calculator'!A:A,0),0),0)</f>
        <v>7896.2379798201846</v>
      </c>
      <c r="K241" s="444">
        <f t="shared" ca="1" si="2"/>
        <v>7911.9027702795383</v>
      </c>
      <c r="L241" s="444">
        <f t="shared" ca="1" si="3"/>
        <v>1906768.5676373686</v>
      </c>
      <c r="M241" s="460">
        <f t="shared" si="6"/>
        <v>0.05</v>
      </c>
      <c r="N241" s="464">
        <f t="shared" si="7"/>
        <v>58380</v>
      </c>
    </row>
    <row r="242" spans="7:14" ht="11.25" customHeight="1" x14ac:dyDescent="0.3">
      <c r="G242" s="459">
        <f t="shared" si="24"/>
        <v>20</v>
      </c>
      <c r="H242" s="459">
        <v>235</v>
      </c>
      <c r="I242" s="444">
        <f t="shared" ca="1" si="5"/>
        <v>1906768.5676373686</v>
      </c>
      <c r="J242" s="444">
        <f t="array" ref="J242">IFERROR(INDEX('Retirement Calculator'!J:J,MATCH('Isaac 401k'!N242,'Retirement Calculator'!A:A,0),0),0)</f>
        <v>7896.2379798201846</v>
      </c>
      <c r="K242" s="444">
        <f t="shared" ca="1" si="2"/>
        <v>7911.9680402397844</v>
      </c>
      <c r="L242" s="444">
        <f t="shared" ca="1" si="3"/>
        <v>1906784.2976977881</v>
      </c>
      <c r="M242" s="460">
        <f t="shared" si="6"/>
        <v>0.05</v>
      </c>
      <c r="N242" s="464">
        <f t="shared" si="7"/>
        <v>58410</v>
      </c>
    </row>
    <row r="243" spans="7:14" ht="11.25" customHeight="1" x14ac:dyDescent="0.3">
      <c r="G243" s="459">
        <f t="shared" si="24"/>
        <v>20</v>
      </c>
      <c r="H243" s="459">
        <v>236</v>
      </c>
      <c r="I243" s="444">
        <f t="shared" ca="1" si="5"/>
        <v>1906784.2976977881</v>
      </c>
      <c r="J243" s="444">
        <f t="array" ref="J243">IFERROR(INDEX('Retirement Calculator'!J:J,MATCH('Isaac 401k'!N243,'Retirement Calculator'!A:A,0),0),0)</f>
        <v>7896.2379798201846</v>
      </c>
      <c r="K243" s="444">
        <f t="shared" ca="1" si="2"/>
        <v>7912.0335821581994</v>
      </c>
      <c r="L243" s="444">
        <f t="shared" ca="1" si="3"/>
        <v>1906800.093300126</v>
      </c>
      <c r="M243" s="460">
        <f t="shared" si="6"/>
        <v>0.05</v>
      </c>
      <c r="N243" s="464">
        <f t="shared" si="7"/>
        <v>58441</v>
      </c>
    </row>
    <row r="244" spans="7:14" ht="11.25" customHeight="1" x14ac:dyDescent="0.3">
      <c r="G244" s="459">
        <f t="shared" si="24"/>
        <v>20</v>
      </c>
      <c r="H244" s="459">
        <v>237</v>
      </c>
      <c r="I244" s="444">
        <f t="shared" ca="1" si="5"/>
        <v>1906800.093300126</v>
      </c>
      <c r="J244" s="444">
        <f t="array" ref="J244">IFERROR(INDEX('Retirement Calculator'!J:J,MATCH('Isaac 401k'!N244,'Retirement Calculator'!A:A,0),0),0)</f>
        <v>7896.2379798201846</v>
      </c>
      <c r="K244" s="444">
        <f t="shared" ca="1" si="2"/>
        <v>7912.0993971679409</v>
      </c>
      <c r="L244" s="444">
        <f t="shared" ca="1" si="3"/>
        <v>1906815.9547174738</v>
      </c>
      <c r="M244" s="460">
        <f t="shared" si="6"/>
        <v>0.05</v>
      </c>
      <c r="N244" s="464">
        <f t="shared" si="7"/>
        <v>58472</v>
      </c>
    </row>
    <row r="245" spans="7:14" ht="11.25" customHeight="1" x14ac:dyDescent="0.3">
      <c r="G245" s="459">
        <f t="shared" si="24"/>
        <v>20</v>
      </c>
      <c r="H245" s="459">
        <v>238</v>
      </c>
      <c r="I245" s="444">
        <f t="shared" ca="1" si="5"/>
        <v>1906815.9547174738</v>
      </c>
      <c r="J245" s="444">
        <f t="array" ref="J245">IFERROR(INDEX('Retirement Calculator'!J:J,MATCH('Isaac 401k'!N245,'Retirement Calculator'!A:A,0),0),0)</f>
        <v>7896.2379798201846</v>
      </c>
      <c r="K245" s="444">
        <f t="shared" ca="1" si="2"/>
        <v>7912.1654864068896</v>
      </c>
      <c r="L245" s="444">
        <f t="shared" ca="1" si="3"/>
        <v>1906831.8822240606</v>
      </c>
      <c r="M245" s="460">
        <f t="shared" si="6"/>
        <v>0.05</v>
      </c>
      <c r="N245" s="464">
        <f t="shared" si="7"/>
        <v>58501</v>
      </c>
    </row>
    <row r="246" spans="7:14" ht="11.25" customHeight="1" x14ac:dyDescent="0.3">
      <c r="G246" s="459">
        <f t="shared" si="24"/>
        <v>20</v>
      </c>
      <c r="H246" s="459">
        <v>239</v>
      </c>
      <c r="I246" s="444">
        <f t="shared" ca="1" si="5"/>
        <v>1906831.8822240606</v>
      </c>
      <c r="J246" s="444">
        <f t="array" ref="J246">IFERROR(INDEX('Retirement Calculator'!J:J,MATCH('Isaac 401k'!N246,'Retirement Calculator'!A:A,0),0),0)</f>
        <v>7896.2379798201846</v>
      </c>
      <c r="K246" s="444">
        <f t="shared" ca="1" si="2"/>
        <v>7912.2318510176683</v>
      </c>
      <c r="L246" s="444">
        <f t="shared" ca="1" si="3"/>
        <v>1906847.8760952579</v>
      </c>
      <c r="M246" s="460">
        <f t="shared" si="6"/>
        <v>0.05</v>
      </c>
      <c r="N246" s="464">
        <f t="shared" si="7"/>
        <v>58532</v>
      </c>
    </row>
    <row r="247" spans="7:14" ht="11.25" customHeight="1" x14ac:dyDescent="0.3">
      <c r="G247" s="459">
        <f t="shared" si="24"/>
        <v>20</v>
      </c>
      <c r="H247" s="459">
        <v>240</v>
      </c>
      <c r="I247" s="444">
        <f t="shared" ca="1" si="5"/>
        <v>1906847.8760952579</v>
      </c>
      <c r="J247" s="444">
        <f t="array" ref="J247">IFERROR(INDEX('Retirement Calculator'!J:J,MATCH('Isaac 401k'!N247,'Retirement Calculator'!A:A,0),0),0)</f>
        <v>7896.2379798201846</v>
      </c>
      <c r="K247" s="444">
        <f t="shared" ca="1" si="2"/>
        <v>7912.2984921476564</v>
      </c>
      <c r="L247" s="444">
        <f t="shared" ca="1" si="3"/>
        <v>1906863.9366075853</v>
      </c>
      <c r="M247" s="460">
        <f t="shared" si="6"/>
        <v>0.05</v>
      </c>
      <c r="N247" s="464">
        <f t="shared" si="7"/>
        <v>58562</v>
      </c>
    </row>
    <row r="248" spans="7:14" ht="11.25" customHeight="1" x14ac:dyDescent="0.3">
      <c r="G248" s="459">
        <f>G247+1</f>
        <v>21</v>
      </c>
      <c r="H248" s="459">
        <v>241</v>
      </c>
      <c r="I248" s="444">
        <f t="shared" ca="1" si="5"/>
        <v>1906863.9366075853</v>
      </c>
      <c r="J248" s="444">
        <f t="array" ref="J248">IFERROR(INDEX('Retirement Calculator'!J:J,MATCH('Isaac 401k'!N248,'Retirement Calculator'!A:A,0),0),0)</f>
        <v>7896.2379798201846</v>
      </c>
      <c r="K248" s="444">
        <f t="shared" ca="1" si="2"/>
        <v>7912.3654109490208</v>
      </c>
      <c r="L248" s="444">
        <f t="shared" ca="1" si="3"/>
        <v>1906880.0640387142</v>
      </c>
      <c r="M248" s="460">
        <f t="shared" si="6"/>
        <v>0.05</v>
      </c>
      <c r="N248" s="464">
        <f t="shared" si="7"/>
        <v>58593</v>
      </c>
    </row>
    <row r="249" spans="7:14" ht="11.25" customHeight="1" x14ac:dyDescent="0.3">
      <c r="G249" s="459">
        <f t="shared" ref="G249:G259" si="25">G248</f>
        <v>21</v>
      </c>
      <c r="H249" s="459">
        <v>242</v>
      </c>
      <c r="I249" s="444">
        <f t="shared" ca="1" si="5"/>
        <v>1906880.0640387142</v>
      </c>
      <c r="J249" s="444">
        <f t="array" ref="J249">IFERROR(INDEX('Retirement Calculator'!J:J,MATCH('Isaac 401k'!N249,'Retirement Calculator'!A:A,0),0),0)</f>
        <v>7896.2379798201846</v>
      </c>
      <c r="K249" s="444">
        <f t="shared" ca="1" si="2"/>
        <v>7912.4326085787243</v>
      </c>
      <c r="L249" s="444">
        <f t="shared" ca="1" si="3"/>
        <v>1906896.2586674727</v>
      </c>
      <c r="M249" s="460">
        <f t="shared" si="6"/>
        <v>0.05</v>
      </c>
      <c r="N249" s="464">
        <f t="shared" si="7"/>
        <v>58623</v>
      </c>
    </row>
    <row r="250" spans="7:14" ht="11.25" customHeight="1" x14ac:dyDescent="0.3">
      <c r="G250" s="459">
        <f t="shared" si="25"/>
        <v>21</v>
      </c>
      <c r="H250" s="459">
        <v>243</v>
      </c>
      <c r="I250" s="444">
        <f t="shared" ca="1" si="5"/>
        <v>1906896.2586674727</v>
      </c>
      <c r="J250" s="444">
        <f t="array" ref="J250">IFERROR(INDEX('Retirement Calculator'!J:J,MATCH('Isaac 401k'!N250,'Retirement Calculator'!A:A,0),0),0)</f>
        <v>7896.2379798201846</v>
      </c>
      <c r="K250" s="444">
        <f t="shared" ca="1" si="2"/>
        <v>7912.5000861985518</v>
      </c>
      <c r="L250" s="444">
        <f t="shared" ca="1" si="3"/>
        <v>1906912.5207738511</v>
      </c>
      <c r="M250" s="460">
        <f t="shared" si="6"/>
        <v>0.05</v>
      </c>
      <c r="N250" s="464">
        <f t="shared" si="7"/>
        <v>58654</v>
      </c>
    </row>
    <row r="251" spans="7:14" ht="11.25" customHeight="1" x14ac:dyDescent="0.3">
      <c r="G251" s="459">
        <f t="shared" si="25"/>
        <v>21</v>
      </c>
      <c r="H251" s="459">
        <v>244</v>
      </c>
      <c r="I251" s="444">
        <f t="shared" ca="1" si="5"/>
        <v>1906912.5207738511</v>
      </c>
      <c r="J251" s="444">
        <f t="array" ref="J251">IFERROR(INDEX('Retirement Calculator'!J:J,MATCH('Isaac 401k'!N251,'Retirement Calculator'!A:A,0),0),0)</f>
        <v>7896.2379798201846</v>
      </c>
      <c r="K251" s="444">
        <f t="shared" ca="1" si="2"/>
        <v>7912.5678449751276</v>
      </c>
      <c r="L251" s="444">
        <f t="shared" ca="1" si="3"/>
        <v>1906928.8506390059</v>
      </c>
      <c r="M251" s="460">
        <f t="shared" si="6"/>
        <v>0.05</v>
      </c>
      <c r="N251" s="464">
        <f t="shared" si="7"/>
        <v>58685</v>
      </c>
    </row>
    <row r="252" spans="7:14" ht="11.25" customHeight="1" x14ac:dyDescent="0.3">
      <c r="G252" s="459">
        <f t="shared" si="25"/>
        <v>21</v>
      </c>
      <c r="H252" s="459">
        <v>245</v>
      </c>
      <c r="I252" s="444">
        <f t="shared" ca="1" si="5"/>
        <v>1906928.8506390059</v>
      </c>
      <c r="J252" s="444">
        <f t="array" ref="J252">IFERROR(INDEX('Retirement Calculator'!J:J,MATCH('Isaac 401k'!N252,'Retirement Calculator'!A:A,0),0),0)</f>
        <v>7896.2379798201846</v>
      </c>
      <c r="K252" s="444">
        <f t="shared" ca="1" si="2"/>
        <v>7912.6358860799401</v>
      </c>
      <c r="L252" s="444">
        <f t="shared" ca="1" si="3"/>
        <v>1906945.2485452655</v>
      </c>
      <c r="M252" s="460">
        <f t="shared" si="6"/>
        <v>0.05</v>
      </c>
      <c r="N252" s="464">
        <f t="shared" si="7"/>
        <v>58715</v>
      </c>
    </row>
    <row r="253" spans="7:14" ht="11.25" customHeight="1" x14ac:dyDescent="0.3">
      <c r="G253" s="459">
        <f t="shared" si="25"/>
        <v>21</v>
      </c>
      <c r="H253" s="459">
        <v>246</v>
      </c>
      <c r="I253" s="444">
        <f t="shared" ca="1" si="5"/>
        <v>1906945.2485452655</v>
      </c>
      <c r="J253" s="444">
        <f t="array" ref="J253">IFERROR(INDEX('Retirement Calculator'!J:J,MATCH('Isaac 401k'!N253,'Retirement Calculator'!A:A,0),0),0)</f>
        <v>7896.2379798201846</v>
      </c>
      <c r="K253" s="444">
        <f t="shared" ca="1" si="2"/>
        <v>7912.704210689355</v>
      </c>
      <c r="L253" s="444">
        <f t="shared" ca="1" si="3"/>
        <v>1906961.7147761346</v>
      </c>
      <c r="M253" s="460">
        <f t="shared" si="6"/>
        <v>0.05</v>
      </c>
      <c r="N253" s="464">
        <f t="shared" si="7"/>
        <v>58746</v>
      </c>
    </row>
    <row r="254" spans="7:14" ht="11.25" customHeight="1" x14ac:dyDescent="0.3">
      <c r="G254" s="459">
        <f t="shared" si="25"/>
        <v>21</v>
      </c>
      <c r="H254" s="459">
        <v>247</v>
      </c>
      <c r="I254" s="444">
        <f t="shared" ca="1" si="5"/>
        <v>1906961.7147761346</v>
      </c>
      <c r="J254" s="444">
        <f t="array" ref="J254">IFERROR(INDEX('Retirement Calculator'!J:J,MATCH('Isaac 401k'!N254,'Retirement Calculator'!A:A,0),0),0)</f>
        <v>7896.2379798201846</v>
      </c>
      <c r="K254" s="444">
        <f t="shared" ca="1" si="2"/>
        <v>7912.7728199846433</v>
      </c>
      <c r="L254" s="444">
        <f t="shared" ca="1" si="3"/>
        <v>1906978.2496162991</v>
      </c>
      <c r="M254" s="460">
        <f t="shared" si="6"/>
        <v>0.05</v>
      </c>
      <c r="N254" s="464">
        <f t="shared" si="7"/>
        <v>58776</v>
      </c>
    </row>
    <row r="255" spans="7:14" ht="11.25" customHeight="1" x14ac:dyDescent="0.3">
      <c r="G255" s="459">
        <f t="shared" si="25"/>
        <v>21</v>
      </c>
      <c r="H255" s="459">
        <v>248</v>
      </c>
      <c r="I255" s="444">
        <f t="shared" ca="1" si="5"/>
        <v>1906978.2496162991</v>
      </c>
      <c r="J255" s="444">
        <f t="array" ref="J255">IFERROR(INDEX('Retirement Calculator'!J:J,MATCH('Isaac 401k'!N255,'Retirement Calculator'!A:A,0),0),0)</f>
        <v>7896.2379798201846</v>
      </c>
      <c r="K255" s="444">
        <f t="shared" ca="1" si="2"/>
        <v>7912.8417151519952</v>
      </c>
      <c r="L255" s="444">
        <f t="shared" ca="1" si="3"/>
        <v>1906994.8533516307</v>
      </c>
      <c r="M255" s="460">
        <f t="shared" si="6"/>
        <v>0.05</v>
      </c>
      <c r="N255" s="464">
        <f t="shared" si="7"/>
        <v>58807</v>
      </c>
    </row>
    <row r="256" spans="7:14" ht="11.25" customHeight="1" x14ac:dyDescent="0.3">
      <c r="G256" s="459">
        <f t="shared" si="25"/>
        <v>21</v>
      </c>
      <c r="H256" s="459">
        <v>249</v>
      </c>
      <c r="I256" s="444">
        <f t="shared" ca="1" si="5"/>
        <v>1906994.8533516307</v>
      </c>
      <c r="J256" s="444">
        <f t="array" ref="J256">IFERROR(INDEX('Retirement Calculator'!J:J,MATCH('Isaac 401k'!N256,'Retirement Calculator'!A:A,0),0),0)</f>
        <v>7896.2379798201846</v>
      </c>
      <c r="K256" s="444">
        <f t="shared" ca="1" si="2"/>
        <v>7912.910897382545</v>
      </c>
      <c r="L256" s="444">
        <f t="shared" ca="1" si="3"/>
        <v>1907011.526269193</v>
      </c>
      <c r="M256" s="460">
        <f t="shared" si="6"/>
        <v>0.05</v>
      </c>
      <c r="N256" s="464">
        <f t="shared" si="7"/>
        <v>58838</v>
      </c>
    </row>
    <row r="257" spans="7:14" ht="11.25" customHeight="1" x14ac:dyDescent="0.3">
      <c r="G257" s="459">
        <f t="shared" si="25"/>
        <v>21</v>
      </c>
      <c r="H257" s="459">
        <v>250</v>
      </c>
      <c r="I257" s="444">
        <f t="shared" ca="1" si="5"/>
        <v>1907011.526269193</v>
      </c>
      <c r="J257" s="444">
        <f t="array" ref="J257">IFERROR(INDEX('Retirement Calculator'!J:J,MATCH('Isaac 401k'!N257,'Retirement Calculator'!A:A,0),0),0)</f>
        <v>7896.2379798201846</v>
      </c>
      <c r="K257" s="444">
        <f t="shared" ca="1" si="2"/>
        <v>7912.9803678723865</v>
      </c>
      <c r="L257" s="444">
        <f t="shared" ca="1" si="3"/>
        <v>1907028.2686572452</v>
      </c>
      <c r="M257" s="460">
        <f t="shared" si="6"/>
        <v>0.05</v>
      </c>
      <c r="N257" s="464">
        <f t="shared" si="7"/>
        <v>58866</v>
      </c>
    </row>
    <row r="258" spans="7:14" ht="11.25" customHeight="1" x14ac:dyDescent="0.3">
      <c r="G258" s="459">
        <f t="shared" si="25"/>
        <v>21</v>
      </c>
      <c r="H258" s="459">
        <v>251</v>
      </c>
      <c r="I258" s="444">
        <f t="shared" ca="1" si="5"/>
        <v>1907028.2686572452</v>
      </c>
      <c r="J258" s="444">
        <f t="array" ref="J258">IFERROR(INDEX('Retirement Calculator'!J:J,MATCH('Isaac 401k'!N258,'Retirement Calculator'!A:A,0),0),0)</f>
        <v>7896.2379798201846</v>
      </c>
      <c r="K258" s="444">
        <f t="shared" ca="1" si="2"/>
        <v>7913.0501278226038</v>
      </c>
      <c r="L258" s="444">
        <f t="shared" ca="1" si="3"/>
        <v>1907045.0808052476</v>
      </c>
      <c r="M258" s="460">
        <f t="shared" si="6"/>
        <v>0.05</v>
      </c>
      <c r="N258" s="464">
        <f t="shared" si="7"/>
        <v>58897</v>
      </c>
    </row>
    <row r="259" spans="7:14" ht="11.25" customHeight="1" x14ac:dyDescent="0.3">
      <c r="G259" s="459">
        <f t="shared" si="25"/>
        <v>21</v>
      </c>
      <c r="H259" s="459">
        <v>252</v>
      </c>
      <c r="I259" s="444">
        <f t="shared" ca="1" si="5"/>
        <v>1907045.0808052476</v>
      </c>
      <c r="J259" s="444">
        <f t="array" ref="J259">IFERROR(INDEX('Retirement Calculator'!J:J,MATCH('Isaac 401k'!N259,'Retirement Calculator'!A:A,0),0),0)</f>
        <v>7896.2379798201846</v>
      </c>
      <c r="K259" s="444">
        <f t="shared" ca="1" si="2"/>
        <v>7913.1201784392815</v>
      </c>
      <c r="L259" s="444">
        <f t="shared" ca="1" si="3"/>
        <v>1907061.9630038666</v>
      </c>
      <c r="M259" s="460">
        <f t="shared" si="6"/>
        <v>0.05</v>
      </c>
      <c r="N259" s="464">
        <f t="shared" si="7"/>
        <v>58927</v>
      </c>
    </row>
    <row r="260" spans="7:14" ht="11.25" customHeight="1" x14ac:dyDescent="0.3">
      <c r="G260" s="459">
        <f>G259+1</f>
        <v>22</v>
      </c>
      <c r="H260" s="459">
        <v>253</v>
      </c>
      <c r="I260" s="444">
        <f t="shared" ca="1" si="5"/>
        <v>1907061.9630038666</v>
      </c>
      <c r="J260" s="444">
        <f t="array" ref="J260">IFERROR(INDEX('Retirement Calculator'!J:J,MATCH('Isaac 401k'!N260,'Retirement Calculator'!A:A,0),0),0)</f>
        <v>7896.2379798201846</v>
      </c>
      <c r="K260" s="444">
        <f t="shared" ca="1" si="2"/>
        <v>7913.1905209335255</v>
      </c>
      <c r="L260" s="444">
        <f t="shared" ca="1" si="3"/>
        <v>1907078.91554498</v>
      </c>
      <c r="M260" s="460">
        <f t="shared" si="6"/>
        <v>0.05</v>
      </c>
      <c r="N260" s="464">
        <f t="shared" si="7"/>
        <v>58958</v>
      </c>
    </row>
    <row r="261" spans="7:14" ht="11.25" customHeight="1" x14ac:dyDescent="0.3">
      <c r="G261" s="459">
        <f t="shared" ref="G261:G271" si="26">G260</f>
        <v>22</v>
      </c>
      <c r="H261" s="459">
        <v>254</v>
      </c>
      <c r="I261" s="444">
        <f t="shared" ca="1" si="5"/>
        <v>1907078.91554498</v>
      </c>
      <c r="J261" s="444">
        <f t="array" ref="J261">IFERROR(INDEX('Retirement Calculator'!J:J,MATCH('Isaac 401k'!N261,'Retirement Calculator'!A:A,0),0),0)</f>
        <v>7896.2379798201846</v>
      </c>
      <c r="K261" s="444">
        <f t="shared" ca="1" si="2"/>
        <v>7913.2611565214984</v>
      </c>
      <c r="L261" s="444">
        <f t="shared" ca="1" si="3"/>
        <v>1907095.9387216812</v>
      </c>
      <c r="M261" s="460">
        <f t="shared" si="6"/>
        <v>0.05</v>
      </c>
      <c r="N261" s="464">
        <f t="shared" si="7"/>
        <v>58988</v>
      </c>
    </row>
    <row r="262" spans="7:14" ht="11.25" customHeight="1" x14ac:dyDescent="0.3">
      <c r="G262" s="459">
        <f t="shared" si="26"/>
        <v>22</v>
      </c>
      <c r="H262" s="459">
        <v>255</v>
      </c>
      <c r="I262" s="444">
        <f t="shared" ca="1" si="5"/>
        <v>1907095.9387216812</v>
      </c>
      <c r="J262" s="444">
        <f t="array" ref="J262">IFERROR(INDEX('Retirement Calculator'!J:J,MATCH('Isaac 401k'!N262,'Retirement Calculator'!A:A,0),0),0)</f>
        <v>7896.2379798201846</v>
      </c>
      <c r="K262" s="444">
        <f t="shared" ca="1" si="2"/>
        <v>7913.3320864244215</v>
      </c>
      <c r="L262" s="444">
        <f t="shared" ca="1" si="3"/>
        <v>1907113.0328282854</v>
      </c>
      <c r="M262" s="460">
        <f t="shared" si="6"/>
        <v>0.05</v>
      </c>
      <c r="N262" s="464">
        <f t="shared" si="7"/>
        <v>59019</v>
      </c>
    </row>
    <row r="263" spans="7:14" ht="11.25" customHeight="1" x14ac:dyDescent="0.3">
      <c r="G263" s="459">
        <f t="shared" si="26"/>
        <v>22</v>
      </c>
      <c r="H263" s="459">
        <v>256</v>
      </c>
      <c r="I263" s="444">
        <f t="shared" ca="1" si="5"/>
        <v>1907113.0328282854</v>
      </c>
      <c r="J263" s="444">
        <f t="array" ref="J263">IFERROR(INDEX('Retirement Calculator'!J:J,MATCH('Isaac 401k'!N263,'Retirement Calculator'!A:A,0),0),0)</f>
        <v>7896.2379798201846</v>
      </c>
      <c r="K263" s="444">
        <f t="shared" ref="K263:K517" ca="1" si="27">IPMT(M263/12,1,12,-I263+J263,,0)</f>
        <v>7913.4033118686048</v>
      </c>
      <c r="L263" s="444">
        <f t="shared" ref="L263:L517" ca="1" si="28">I263-J263+K263</f>
        <v>1907130.1981603338</v>
      </c>
      <c r="M263" s="460">
        <f t="shared" si="6"/>
        <v>0.05</v>
      </c>
      <c r="N263" s="464">
        <f t="shared" si="7"/>
        <v>59050</v>
      </c>
    </row>
    <row r="264" spans="7:14" ht="11.25" customHeight="1" x14ac:dyDescent="0.3">
      <c r="G264" s="459">
        <f t="shared" si="26"/>
        <v>22</v>
      </c>
      <c r="H264" s="459">
        <v>257</v>
      </c>
      <c r="I264" s="444">
        <f t="shared" ref="I264:I518" ca="1" si="29">L263</f>
        <v>1907130.1981603338</v>
      </c>
      <c r="J264" s="444">
        <f t="array" ref="J264">IFERROR(INDEX('Retirement Calculator'!J:J,MATCH('Isaac 401k'!N264,'Retirement Calculator'!A:A,0),0),0)</f>
        <v>7896.2379798201846</v>
      </c>
      <c r="K264" s="444">
        <f t="shared" ca="1" si="27"/>
        <v>7913.474834085473</v>
      </c>
      <c r="L264" s="444">
        <f t="shared" ca="1" si="28"/>
        <v>1907147.435014599</v>
      </c>
      <c r="M264" s="460">
        <f t="shared" ref="M264:M518" si="30">M263</f>
        <v>0.05</v>
      </c>
      <c r="N264" s="464">
        <f t="shared" ref="N264:N518" si="31">EDATE(N263,1)</f>
        <v>59080</v>
      </c>
    </row>
    <row r="265" spans="7:14" ht="11.25" customHeight="1" x14ac:dyDescent="0.3">
      <c r="G265" s="459">
        <f t="shared" si="26"/>
        <v>22</v>
      </c>
      <c r="H265" s="459">
        <v>258</v>
      </c>
      <c r="I265" s="444">
        <f t="shared" ca="1" si="29"/>
        <v>1907147.435014599</v>
      </c>
      <c r="J265" s="444">
        <f t="array" ref="J265">IFERROR(INDEX('Retirement Calculator'!J:J,MATCH('Isaac 401k'!N265,'Retirement Calculator'!A:A,0),0),0)</f>
        <v>7896.2379798201846</v>
      </c>
      <c r="K265" s="444">
        <f t="shared" ca="1" si="27"/>
        <v>7913.5466543115781</v>
      </c>
      <c r="L265" s="444">
        <f t="shared" ca="1" si="28"/>
        <v>1907164.7436890902</v>
      </c>
      <c r="M265" s="460">
        <f t="shared" si="30"/>
        <v>0.05</v>
      </c>
      <c r="N265" s="464">
        <f t="shared" si="31"/>
        <v>59111</v>
      </c>
    </row>
    <row r="266" spans="7:14" ht="11.25" customHeight="1" x14ac:dyDescent="0.3">
      <c r="G266" s="459">
        <f t="shared" si="26"/>
        <v>22</v>
      </c>
      <c r="H266" s="459">
        <v>259</v>
      </c>
      <c r="I266" s="444">
        <f t="shared" ca="1" si="29"/>
        <v>1907164.7436890902</v>
      </c>
      <c r="J266" s="444">
        <f t="array" ref="J266">IFERROR(INDEX('Retirement Calculator'!J:J,MATCH('Isaac 401k'!N266,'Retirement Calculator'!A:A,0),0),0)</f>
        <v>7896.2379798201846</v>
      </c>
      <c r="K266" s="444">
        <f t="shared" ca="1" si="27"/>
        <v>7913.6187737886257</v>
      </c>
      <c r="L266" s="444">
        <f t="shared" ca="1" si="28"/>
        <v>1907182.1244830587</v>
      </c>
      <c r="M266" s="460">
        <f t="shared" si="30"/>
        <v>0.05</v>
      </c>
      <c r="N266" s="464">
        <f t="shared" si="31"/>
        <v>59141</v>
      </c>
    </row>
    <row r="267" spans="7:14" ht="11.25" customHeight="1" x14ac:dyDescent="0.3">
      <c r="G267" s="459">
        <f t="shared" si="26"/>
        <v>22</v>
      </c>
      <c r="H267" s="459">
        <v>260</v>
      </c>
      <c r="I267" s="444">
        <f t="shared" ca="1" si="29"/>
        <v>1907182.1244830587</v>
      </c>
      <c r="J267" s="444">
        <f t="array" ref="J267">IFERROR(INDEX('Retirement Calculator'!J:J,MATCH('Isaac 401k'!N267,'Retirement Calculator'!A:A,0),0),0)</f>
        <v>7896.2379798201846</v>
      </c>
      <c r="K267" s="444">
        <f t="shared" ca="1" si="27"/>
        <v>7913.6911937634932</v>
      </c>
      <c r="L267" s="444">
        <f t="shared" ca="1" si="28"/>
        <v>1907199.5776970019</v>
      </c>
      <c r="M267" s="460">
        <f t="shared" si="30"/>
        <v>0.05</v>
      </c>
      <c r="N267" s="464">
        <f t="shared" si="31"/>
        <v>59172</v>
      </c>
    </row>
    <row r="268" spans="7:14" ht="11.25" customHeight="1" x14ac:dyDescent="0.3">
      <c r="G268" s="459">
        <f t="shared" si="26"/>
        <v>22</v>
      </c>
      <c r="H268" s="459">
        <v>261</v>
      </c>
      <c r="I268" s="444">
        <f t="shared" ca="1" si="29"/>
        <v>1907199.5776970019</v>
      </c>
      <c r="J268" s="444">
        <f t="array" ref="J268">IFERROR(INDEX('Retirement Calculator'!J:J,MATCH('Isaac 401k'!N268,'Retirement Calculator'!A:A,0),0),0)</f>
        <v>7896.2379798201846</v>
      </c>
      <c r="K268" s="444">
        <f t="shared" ca="1" si="27"/>
        <v>7913.7639154882563</v>
      </c>
      <c r="L268" s="444">
        <f t="shared" ca="1" si="28"/>
        <v>1907217.1036326699</v>
      </c>
      <c r="M268" s="460">
        <f t="shared" si="30"/>
        <v>0.05</v>
      </c>
      <c r="N268" s="464">
        <f t="shared" si="31"/>
        <v>59203</v>
      </c>
    </row>
    <row r="269" spans="7:14" ht="11.25" customHeight="1" x14ac:dyDescent="0.3">
      <c r="G269" s="459">
        <f t="shared" si="26"/>
        <v>22</v>
      </c>
      <c r="H269" s="459">
        <v>262</v>
      </c>
      <c r="I269" s="444">
        <f t="shared" ca="1" si="29"/>
        <v>1907217.1036326699</v>
      </c>
      <c r="J269" s="444">
        <f t="array" ref="J269">IFERROR(INDEX('Retirement Calculator'!J:J,MATCH('Isaac 401k'!N269,'Retirement Calculator'!A:A,0),0),0)</f>
        <v>7896.2379798201846</v>
      </c>
      <c r="K269" s="444">
        <f t="shared" ca="1" si="27"/>
        <v>7913.836940220207</v>
      </c>
      <c r="L269" s="444">
        <f t="shared" ca="1" si="28"/>
        <v>1907234.7025930698</v>
      </c>
      <c r="M269" s="460">
        <f t="shared" si="30"/>
        <v>0.05</v>
      </c>
      <c r="N269" s="464">
        <f t="shared" si="31"/>
        <v>59231</v>
      </c>
    </row>
    <row r="270" spans="7:14" ht="11.25" customHeight="1" x14ac:dyDescent="0.3">
      <c r="G270" s="459">
        <f t="shared" si="26"/>
        <v>22</v>
      </c>
      <c r="H270" s="459">
        <v>263</v>
      </c>
      <c r="I270" s="444">
        <f t="shared" ca="1" si="29"/>
        <v>1907234.7025930698</v>
      </c>
      <c r="J270" s="444">
        <f t="array" ref="J270">IFERROR(INDEX('Retirement Calculator'!J:J,MATCH('Isaac 401k'!N270,'Retirement Calculator'!A:A,0),0),0)</f>
        <v>7896.2379798201846</v>
      </c>
      <c r="K270" s="444">
        <f t="shared" ca="1" si="27"/>
        <v>7913.910269221873</v>
      </c>
      <c r="L270" s="444">
        <f t="shared" ca="1" si="28"/>
        <v>1907252.3748824713</v>
      </c>
      <c r="M270" s="460">
        <f t="shared" si="30"/>
        <v>0.05</v>
      </c>
      <c r="N270" s="464">
        <f t="shared" si="31"/>
        <v>59262</v>
      </c>
    </row>
    <row r="271" spans="7:14" ht="11.25" customHeight="1" x14ac:dyDescent="0.3">
      <c r="G271" s="459">
        <f t="shared" si="26"/>
        <v>22</v>
      </c>
      <c r="H271" s="459">
        <v>264</v>
      </c>
      <c r="I271" s="444">
        <f t="shared" ca="1" si="29"/>
        <v>1907252.3748824713</v>
      </c>
      <c r="J271" s="444">
        <f t="array" ref="J271">IFERROR(INDEX('Retirement Calculator'!J:J,MATCH('Isaac 401k'!N271,'Retirement Calculator'!A:A,0),0),0)</f>
        <v>7896.2379798201846</v>
      </c>
      <c r="K271" s="444">
        <f t="shared" ca="1" si="27"/>
        <v>7913.9839037610463</v>
      </c>
      <c r="L271" s="444">
        <f t="shared" ca="1" si="28"/>
        <v>1907270.1208064121</v>
      </c>
      <c r="M271" s="460">
        <f t="shared" si="30"/>
        <v>0.05</v>
      </c>
      <c r="N271" s="464">
        <f t="shared" si="31"/>
        <v>59292</v>
      </c>
    </row>
    <row r="272" spans="7:14" ht="11.25" customHeight="1" x14ac:dyDescent="0.3">
      <c r="G272" s="459">
        <f>G271+1</f>
        <v>23</v>
      </c>
      <c r="H272" s="459">
        <v>265</v>
      </c>
      <c r="I272" s="444">
        <f t="shared" ca="1" si="29"/>
        <v>1907270.1208064121</v>
      </c>
      <c r="J272" s="444">
        <f t="array" ref="J272">IFERROR(INDEX('Retirement Calculator'!J:J,MATCH('Isaac 401k'!N272,'Retirement Calculator'!A:A,0),0),0)</f>
        <v>7896.2379798201846</v>
      </c>
      <c r="K272" s="444">
        <f t="shared" ca="1" si="27"/>
        <v>7914.0578451107986</v>
      </c>
      <c r="L272" s="444">
        <f t="shared" ca="1" si="28"/>
        <v>1907287.9406717026</v>
      </c>
      <c r="M272" s="460">
        <f t="shared" si="30"/>
        <v>0.05</v>
      </c>
      <c r="N272" s="464">
        <f t="shared" si="31"/>
        <v>59323</v>
      </c>
    </row>
    <row r="273" spans="7:14" ht="11.25" customHeight="1" x14ac:dyDescent="0.3">
      <c r="G273" s="459">
        <f t="shared" ref="G273:G283" si="32">G272</f>
        <v>23</v>
      </c>
      <c r="H273" s="459">
        <v>266</v>
      </c>
      <c r="I273" s="444">
        <f t="shared" ca="1" si="29"/>
        <v>1907287.9406717026</v>
      </c>
      <c r="J273" s="444">
        <f t="array" ref="J273">IFERROR(INDEX('Retirement Calculator'!J:J,MATCH('Isaac 401k'!N273,'Retirement Calculator'!A:A,0),0),0)</f>
        <v>7896.2379798201846</v>
      </c>
      <c r="K273" s="444">
        <f t="shared" ca="1" si="27"/>
        <v>7914.1320945495099</v>
      </c>
      <c r="L273" s="444">
        <f t="shared" ca="1" si="28"/>
        <v>1907305.8347864319</v>
      </c>
      <c r="M273" s="460">
        <f t="shared" si="30"/>
        <v>0.05</v>
      </c>
      <c r="N273" s="464">
        <f t="shared" si="31"/>
        <v>59353</v>
      </c>
    </row>
    <row r="274" spans="7:14" ht="11.25" customHeight="1" x14ac:dyDescent="0.3">
      <c r="G274" s="459">
        <f t="shared" si="32"/>
        <v>23</v>
      </c>
      <c r="H274" s="459">
        <v>267</v>
      </c>
      <c r="I274" s="444">
        <f t="shared" ca="1" si="29"/>
        <v>1907305.8347864319</v>
      </c>
      <c r="J274" s="444">
        <f t="array" ref="J274">IFERROR(INDEX('Retirement Calculator'!J:J,MATCH('Isaac 401k'!N274,'Retirement Calculator'!A:A,0),0),0)</f>
        <v>7896.2379798201846</v>
      </c>
      <c r="K274" s="444">
        <f t="shared" ca="1" si="27"/>
        <v>7914.2066533608813</v>
      </c>
      <c r="L274" s="444">
        <f t="shared" ca="1" si="28"/>
        <v>1907323.8034599726</v>
      </c>
      <c r="M274" s="460">
        <f t="shared" si="30"/>
        <v>0.05</v>
      </c>
      <c r="N274" s="464">
        <f t="shared" si="31"/>
        <v>59384</v>
      </c>
    </row>
    <row r="275" spans="7:14" ht="11.25" customHeight="1" x14ac:dyDescent="0.3">
      <c r="G275" s="459">
        <f t="shared" si="32"/>
        <v>23</v>
      </c>
      <c r="H275" s="459">
        <v>268</v>
      </c>
      <c r="I275" s="444">
        <f t="shared" ca="1" si="29"/>
        <v>1907323.8034599726</v>
      </c>
      <c r="J275" s="444">
        <f t="array" ref="J275">IFERROR(INDEX('Retirement Calculator'!J:J,MATCH('Isaac 401k'!N275,'Retirement Calculator'!A:A,0),0),0)</f>
        <v>7896.2379798201846</v>
      </c>
      <c r="K275" s="444">
        <f t="shared" ca="1" si="27"/>
        <v>7914.2815228339678</v>
      </c>
      <c r="L275" s="444">
        <f t="shared" ca="1" si="28"/>
        <v>1907341.8470029864</v>
      </c>
      <c r="M275" s="460">
        <f t="shared" si="30"/>
        <v>0.05</v>
      </c>
      <c r="N275" s="464">
        <f t="shared" si="31"/>
        <v>59415</v>
      </c>
    </row>
    <row r="276" spans="7:14" ht="11.25" customHeight="1" x14ac:dyDescent="0.3">
      <c r="G276" s="459">
        <f t="shared" si="32"/>
        <v>23</v>
      </c>
      <c r="H276" s="459">
        <v>269</v>
      </c>
      <c r="I276" s="444">
        <f t="shared" ca="1" si="29"/>
        <v>1907341.8470029864</v>
      </c>
      <c r="J276" s="444">
        <f t="array" ref="J276">IFERROR(INDEX('Retirement Calculator'!J:J,MATCH('Isaac 401k'!N276,'Retirement Calculator'!A:A,0),0),0)</f>
        <v>7896.2379798201846</v>
      </c>
      <c r="K276" s="444">
        <f t="shared" ca="1" si="27"/>
        <v>7914.3567042631921</v>
      </c>
      <c r="L276" s="444">
        <f t="shared" ca="1" si="28"/>
        <v>1907359.9657274294</v>
      </c>
      <c r="M276" s="460">
        <f t="shared" si="30"/>
        <v>0.05</v>
      </c>
      <c r="N276" s="464">
        <f t="shared" si="31"/>
        <v>59445</v>
      </c>
    </row>
    <row r="277" spans="7:14" ht="11.25" customHeight="1" x14ac:dyDescent="0.3">
      <c r="G277" s="459">
        <f t="shared" si="32"/>
        <v>23</v>
      </c>
      <c r="H277" s="459">
        <v>270</v>
      </c>
      <c r="I277" s="444">
        <f t="shared" ca="1" si="29"/>
        <v>1907359.9657274294</v>
      </c>
      <c r="J277" s="444">
        <f t="array" ref="J277">IFERROR(INDEX('Retirement Calculator'!J:J,MATCH('Isaac 401k'!N277,'Retirement Calculator'!A:A,0),0),0)</f>
        <v>7896.2379798201846</v>
      </c>
      <c r="K277" s="444">
        <f t="shared" ca="1" si="27"/>
        <v>7914.4321989483715</v>
      </c>
      <c r="L277" s="444">
        <f t="shared" ca="1" si="28"/>
        <v>1907378.1599465576</v>
      </c>
      <c r="M277" s="460">
        <f t="shared" si="30"/>
        <v>0.05</v>
      </c>
      <c r="N277" s="464">
        <f t="shared" si="31"/>
        <v>59476</v>
      </c>
    </row>
    <row r="278" spans="7:14" ht="11.25" customHeight="1" x14ac:dyDescent="0.3">
      <c r="G278" s="459">
        <f t="shared" si="32"/>
        <v>23</v>
      </c>
      <c r="H278" s="459">
        <v>271</v>
      </c>
      <c r="I278" s="444">
        <f t="shared" ca="1" si="29"/>
        <v>1907378.1599465576</v>
      </c>
      <c r="J278" s="444">
        <f t="array" ref="J278">IFERROR(INDEX('Retirement Calculator'!J:J,MATCH('Isaac 401k'!N278,'Retirement Calculator'!A:A,0),0),0)</f>
        <v>7896.2379798201846</v>
      </c>
      <c r="K278" s="444">
        <f t="shared" ca="1" si="27"/>
        <v>7914.5080081947399</v>
      </c>
      <c r="L278" s="444">
        <f t="shared" ca="1" si="28"/>
        <v>1907396.4299749322</v>
      </c>
      <c r="M278" s="460">
        <f t="shared" si="30"/>
        <v>0.05</v>
      </c>
      <c r="N278" s="464">
        <f t="shared" si="31"/>
        <v>59506</v>
      </c>
    </row>
    <row r="279" spans="7:14" ht="11.25" customHeight="1" x14ac:dyDescent="0.3">
      <c r="G279" s="459">
        <f t="shared" si="32"/>
        <v>23</v>
      </c>
      <c r="H279" s="459">
        <v>272</v>
      </c>
      <c r="I279" s="444">
        <f t="shared" ca="1" si="29"/>
        <v>1907396.4299749322</v>
      </c>
      <c r="J279" s="444">
        <f t="array" ref="J279">IFERROR(INDEX('Retirement Calculator'!J:J,MATCH('Isaac 401k'!N279,'Retirement Calculator'!A:A,0),0),0)</f>
        <v>7896.2379798201846</v>
      </c>
      <c r="K279" s="444">
        <f t="shared" ca="1" si="27"/>
        <v>7914.5841333129665</v>
      </c>
      <c r="L279" s="444">
        <f t="shared" ca="1" si="28"/>
        <v>1907414.776128425</v>
      </c>
      <c r="M279" s="460">
        <f t="shared" si="30"/>
        <v>0.05</v>
      </c>
      <c r="N279" s="464">
        <f t="shared" si="31"/>
        <v>59537</v>
      </c>
    </row>
    <row r="280" spans="7:14" ht="11.25" customHeight="1" x14ac:dyDescent="0.3">
      <c r="G280" s="459">
        <f t="shared" si="32"/>
        <v>23</v>
      </c>
      <c r="H280" s="459">
        <v>273</v>
      </c>
      <c r="I280" s="444">
        <f t="shared" ca="1" si="29"/>
        <v>1907414.776128425</v>
      </c>
      <c r="J280" s="444">
        <f t="array" ref="J280">IFERROR(INDEX('Retirement Calculator'!J:J,MATCH('Isaac 401k'!N280,'Retirement Calculator'!A:A,0),0),0)</f>
        <v>7896.2379798201846</v>
      </c>
      <c r="K280" s="444">
        <f t="shared" ca="1" si="27"/>
        <v>7914.6605756191866</v>
      </c>
      <c r="L280" s="444">
        <f t="shared" ca="1" si="28"/>
        <v>1907433.198724224</v>
      </c>
      <c r="M280" s="460">
        <f t="shared" si="30"/>
        <v>0.05</v>
      </c>
      <c r="N280" s="464">
        <f t="shared" si="31"/>
        <v>59568</v>
      </c>
    </row>
    <row r="281" spans="7:14" ht="11.25" customHeight="1" x14ac:dyDescent="0.3">
      <c r="G281" s="459">
        <f t="shared" si="32"/>
        <v>23</v>
      </c>
      <c r="H281" s="459">
        <v>274</v>
      </c>
      <c r="I281" s="444">
        <f t="shared" ca="1" si="29"/>
        <v>1907433.198724224</v>
      </c>
      <c r="J281" s="444">
        <f t="array" ref="J281">IFERROR(INDEX('Retirement Calculator'!J:J,MATCH('Isaac 401k'!N281,'Retirement Calculator'!A:A,0),0),0)</f>
        <v>7896.2379798201846</v>
      </c>
      <c r="K281" s="444">
        <f t="shared" ca="1" si="27"/>
        <v>7914.7373364350169</v>
      </c>
      <c r="L281" s="444">
        <f t="shared" ca="1" si="28"/>
        <v>1907451.6980808389</v>
      </c>
      <c r="M281" s="460">
        <f t="shared" si="30"/>
        <v>0.05</v>
      </c>
      <c r="N281" s="464">
        <f t="shared" si="31"/>
        <v>59596</v>
      </c>
    </row>
    <row r="282" spans="7:14" ht="11.25" customHeight="1" x14ac:dyDescent="0.3">
      <c r="G282" s="459">
        <f t="shared" si="32"/>
        <v>23</v>
      </c>
      <c r="H282" s="459">
        <v>275</v>
      </c>
      <c r="I282" s="444">
        <f t="shared" ca="1" si="29"/>
        <v>1907451.6980808389</v>
      </c>
      <c r="J282" s="444">
        <f t="array" ref="J282">IFERROR(INDEX('Retirement Calculator'!J:J,MATCH('Isaac 401k'!N282,'Retirement Calculator'!A:A,0),0),0)</f>
        <v>7896.2379798201846</v>
      </c>
      <c r="K282" s="444">
        <f t="shared" ca="1" si="27"/>
        <v>7914.8144170875785</v>
      </c>
      <c r="L282" s="444">
        <f t="shared" ca="1" si="28"/>
        <v>1907470.2745181061</v>
      </c>
      <c r="M282" s="460">
        <f t="shared" si="30"/>
        <v>0.05</v>
      </c>
      <c r="N282" s="464">
        <f t="shared" si="31"/>
        <v>59627</v>
      </c>
    </row>
    <row r="283" spans="7:14" ht="11.25" customHeight="1" x14ac:dyDescent="0.3">
      <c r="G283" s="459">
        <f t="shared" si="32"/>
        <v>23</v>
      </c>
      <c r="H283" s="459">
        <v>276</v>
      </c>
      <c r="I283" s="444">
        <f t="shared" ca="1" si="29"/>
        <v>1907470.2745181061</v>
      </c>
      <c r="J283" s="444">
        <f t="array" ref="J283">IFERROR(INDEX('Retirement Calculator'!J:J,MATCH('Isaac 401k'!N283,'Retirement Calculator'!A:A,0),0),0)</f>
        <v>7896.2379798201846</v>
      </c>
      <c r="K283" s="444">
        <f t="shared" ca="1" si="27"/>
        <v>7914.8918189095248</v>
      </c>
      <c r="L283" s="444">
        <f t="shared" ca="1" si="28"/>
        <v>1907488.9283571953</v>
      </c>
      <c r="M283" s="460">
        <f t="shared" si="30"/>
        <v>0.05</v>
      </c>
      <c r="N283" s="464">
        <f t="shared" si="31"/>
        <v>59657</v>
      </c>
    </row>
    <row r="284" spans="7:14" ht="11.25" customHeight="1" x14ac:dyDescent="0.3">
      <c r="G284" s="459">
        <f>G283+1</f>
        <v>24</v>
      </c>
      <c r="H284" s="459">
        <v>277</v>
      </c>
      <c r="I284" s="444">
        <f t="shared" ca="1" si="29"/>
        <v>1907488.9283571953</v>
      </c>
      <c r="J284" s="444">
        <f t="array" ref="J284">IFERROR(INDEX('Retirement Calculator'!J:J,MATCH('Isaac 401k'!N284,'Retirement Calculator'!A:A,0),0),0)</f>
        <v>7896.2379798201846</v>
      </c>
      <c r="K284" s="444">
        <f t="shared" ca="1" si="27"/>
        <v>7914.9695432390617</v>
      </c>
      <c r="L284" s="444">
        <f t="shared" ca="1" si="28"/>
        <v>1907507.6599206142</v>
      </c>
      <c r="M284" s="460">
        <f t="shared" si="30"/>
        <v>0.05</v>
      </c>
      <c r="N284" s="464">
        <f t="shared" si="31"/>
        <v>59688</v>
      </c>
    </row>
    <row r="285" spans="7:14" ht="11.25" customHeight="1" x14ac:dyDescent="0.3">
      <c r="G285" s="459">
        <f t="shared" ref="G285:G295" si="33">G284</f>
        <v>24</v>
      </c>
      <c r="H285" s="459">
        <v>278</v>
      </c>
      <c r="I285" s="444">
        <f t="shared" ca="1" si="29"/>
        <v>1907507.6599206142</v>
      </c>
      <c r="J285" s="444">
        <f t="array" ref="J285">IFERROR(INDEX('Retirement Calculator'!J:J,MATCH('Isaac 401k'!N285,'Retirement Calculator'!A:A,0),0),0)</f>
        <v>7896.2379798201846</v>
      </c>
      <c r="K285" s="444">
        <f t="shared" ca="1" si="27"/>
        <v>7915.0475914199751</v>
      </c>
      <c r="L285" s="444">
        <f t="shared" ca="1" si="28"/>
        <v>1907526.4695322139</v>
      </c>
      <c r="M285" s="460">
        <f t="shared" si="30"/>
        <v>0.05</v>
      </c>
      <c r="N285" s="464">
        <f t="shared" si="31"/>
        <v>59718</v>
      </c>
    </row>
    <row r="286" spans="7:14" ht="11.25" customHeight="1" x14ac:dyDescent="0.3">
      <c r="G286" s="459">
        <f t="shared" si="33"/>
        <v>24</v>
      </c>
      <c r="H286" s="459">
        <v>279</v>
      </c>
      <c r="I286" s="444">
        <f t="shared" ca="1" si="29"/>
        <v>1907526.4695322139</v>
      </c>
      <c r="J286" s="444">
        <f t="array" ref="J286">IFERROR(INDEX('Retirement Calculator'!J:J,MATCH('Isaac 401k'!N286,'Retirement Calculator'!A:A,0),0),0)</f>
        <v>7896.2379798201846</v>
      </c>
      <c r="K286" s="444">
        <f t="shared" ca="1" si="27"/>
        <v>7915.1259648016403</v>
      </c>
      <c r="L286" s="444">
        <f t="shared" ca="1" si="28"/>
        <v>1907545.3575171952</v>
      </c>
      <c r="M286" s="460">
        <f t="shared" si="30"/>
        <v>0.05</v>
      </c>
      <c r="N286" s="464">
        <f t="shared" si="31"/>
        <v>59749</v>
      </c>
    </row>
    <row r="287" spans="7:14" ht="11.25" customHeight="1" x14ac:dyDescent="0.3">
      <c r="G287" s="459">
        <f t="shared" si="33"/>
        <v>24</v>
      </c>
      <c r="H287" s="459">
        <v>280</v>
      </c>
      <c r="I287" s="444">
        <f t="shared" ca="1" si="29"/>
        <v>1907545.3575171952</v>
      </c>
      <c r="J287" s="444">
        <f t="array" ref="J287">IFERROR(INDEX('Retirement Calculator'!J:J,MATCH('Isaac 401k'!N287,'Retirement Calculator'!A:A,0),0),0)</f>
        <v>7896.2379798201846</v>
      </c>
      <c r="K287" s="444">
        <f t="shared" ca="1" si="27"/>
        <v>7915.2046647390625</v>
      </c>
      <c r="L287" s="444">
        <f t="shared" ca="1" si="28"/>
        <v>1907564.324202114</v>
      </c>
      <c r="M287" s="460">
        <f t="shared" si="30"/>
        <v>0.05</v>
      </c>
      <c r="N287" s="464">
        <f t="shared" si="31"/>
        <v>59780</v>
      </c>
    </row>
    <row r="288" spans="7:14" ht="11.25" customHeight="1" x14ac:dyDescent="0.3">
      <c r="G288" s="459">
        <f t="shared" si="33"/>
        <v>24</v>
      </c>
      <c r="H288" s="459">
        <v>281</v>
      </c>
      <c r="I288" s="444">
        <f t="shared" ca="1" si="29"/>
        <v>1907564.324202114</v>
      </c>
      <c r="J288" s="444">
        <f t="array" ref="J288">IFERROR(INDEX('Retirement Calculator'!J:J,MATCH('Isaac 401k'!N288,'Retirement Calculator'!A:A,0),0),0)</f>
        <v>7896.2379798201846</v>
      </c>
      <c r="K288" s="444">
        <f t="shared" ca="1" si="27"/>
        <v>7915.2836925928896</v>
      </c>
      <c r="L288" s="444">
        <f t="shared" ca="1" si="28"/>
        <v>1907583.3699148868</v>
      </c>
      <c r="M288" s="460">
        <f t="shared" si="30"/>
        <v>0.05</v>
      </c>
      <c r="N288" s="464">
        <f t="shared" si="31"/>
        <v>59810</v>
      </c>
    </row>
    <row r="289" spans="7:14" ht="11.25" customHeight="1" x14ac:dyDescent="0.3">
      <c r="G289" s="459">
        <f t="shared" si="33"/>
        <v>24</v>
      </c>
      <c r="H289" s="459">
        <v>282</v>
      </c>
      <c r="I289" s="444">
        <f t="shared" ca="1" si="29"/>
        <v>1907583.3699148868</v>
      </c>
      <c r="J289" s="444">
        <f t="array" ref="J289">IFERROR(INDEX('Retirement Calculator'!J:J,MATCH('Isaac 401k'!N289,'Retirement Calculator'!A:A,0),0),0)</f>
        <v>7896.2379798201846</v>
      </c>
      <c r="K289" s="444">
        <f t="shared" ca="1" si="27"/>
        <v>7915.3630497294434</v>
      </c>
      <c r="L289" s="444">
        <f t="shared" ca="1" si="28"/>
        <v>1907602.494984796</v>
      </c>
      <c r="M289" s="460">
        <f t="shared" si="30"/>
        <v>0.05</v>
      </c>
      <c r="N289" s="464">
        <f t="shared" si="31"/>
        <v>59841</v>
      </c>
    </row>
    <row r="290" spans="7:14" ht="11.25" customHeight="1" x14ac:dyDescent="0.3">
      <c r="G290" s="459">
        <f t="shared" si="33"/>
        <v>24</v>
      </c>
      <c r="H290" s="459">
        <v>283</v>
      </c>
      <c r="I290" s="444">
        <f t="shared" ca="1" si="29"/>
        <v>1907602.494984796</v>
      </c>
      <c r="J290" s="444">
        <f t="array" ref="J290">IFERROR(INDEX('Retirement Calculator'!J:J,MATCH('Isaac 401k'!N290,'Retirement Calculator'!A:A,0),0),0)</f>
        <v>7896.2379798201846</v>
      </c>
      <c r="K290" s="444">
        <f t="shared" ca="1" si="27"/>
        <v>7915.4427375207315</v>
      </c>
      <c r="L290" s="444">
        <f t="shared" ca="1" si="28"/>
        <v>1907621.6997424965</v>
      </c>
      <c r="M290" s="460">
        <f t="shared" si="30"/>
        <v>0.05</v>
      </c>
      <c r="N290" s="464">
        <f t="shared" si="31"/>
        <v>59871</v>
      </c>
    </row>
    <row r="291" spans="7:14" ht="11.25" customHeight="1" x14ac:dyDescent="0.3">
      <c r="G291" s="459">
        <f t="shared" si="33"/>
        <v>24</v>
      </c>
      <c r="H291" s="459">
        <v>284</v>
      </c>
      <c r="I291" s="444">
        <f t="shared" ca="1" si="29"/>
        <v>1907621.6997424965</v>
      </c>
      <c r="J291" s="444">
        <f t="array" ref="J291">IFERROR(INDEX('Retirement Calculator'!J:J,MATCH('Isaac 401k'!N291,'Retirement Calculator'!A:A,0),0),0)</f>
        <v>7896.2379798201846</v>
      </c>
      <c r="K291" s="444">
        <f t="shared" ca="1" si="27"/>
        <v>7915.5227573444854</v>
      </c>
      <c r="L291" s="444">
        <f t="shared" ca="1" si="28"/>
        <v>1907640.9845200207</v>
      </c>
      <c r="M291" s="460">
        <f t="shared" si="30"/>
        <v>0.05</v>
      </c>
      <c r="N291" s="464">
        <f t="shared" si="31"/>
        <v>59902</v>
      </c>
    </row>
    <row r="292" spans="7:14" ht="11.25" customHeight="1" x14ac:dyDescent="0.3">
      <c r="G292" s="459">
        <f t="shared" si="33"/>
        <v>24</v>
      </c>
      <c r="H292" s="459">
        <v>285</v>
      </c>
      <c r="I292" s="444">
        <f t="shared" ca="1" si="29"/>
        <v>1907640.9845200207</v>
      </c>
      <c r="J292" s="444">
        <f t="array" ref="J292">IFERROR(INDEX('Retirement Calculator'!J:J,MATCH('Isaac 401k'!N292,'Retirement Calculator'!A:A,0),0),0)</f>
        <v>7896.2379798201846</v>
      </c>
      <c r="K292" s="444">
        <f t="shared" ca="1" si="27"/>
        <v>7915.6031105841676</v>
      </c>
      <c r="L292" s="444">
        <f t="shared" ca="1" si="28"/>
        <v>1907660.3496507846</v>
      </c>
      <c r="M292" s="460">
        <f t="shared" si="30"/>
        <v>0.05</v>
      </c>
      <c r="N292" s="464">
        <f t="shared" si="31"/>
        <v>59933</v>
      </c>
    </row>
    <row r="293" spans="7:14" ht="11.25" customHeight="1" x14ac:dyDescent="0.3">
      <c r="G293" s="459">
        <f t="shared" si="33"/>
        <v>24</v>
      </c>
      <c r="H293" s="459">
        <v>286</v>
      </c>
      <c r="I293" s="444">
        <f t="shared" ca="1" si="29"/>
        <v>1907660.3496507846</v>
      </c>
      <c r="J293" s="444">
        <f t="array" ref="J293">IFERROR(INDEX('Retirement Calculator'!J:J,MATCH('Isaac 401k'!N293,'Retirement Calculator'!A:A,0),0),0)</f>
        <v>7896.2379798201846</v>
      </c>
      <c r="K293" s="444">
        <f t="shared" ca="1" si="27"/>
        <v>7915.6837986290184</v>
      </c>
      <c r="L293" s="444">
        <f t="shared" ca="1" si="28"/>
        <v>1907679.7954695935</v>
      </c>
      <c r="M293" s="460">
        <f t="shared" si="30"/>
        <v>0.05</v>
      </c>
      <c r="N293" s="464">
        <f t="shared" si="31"/>
        <v>59962</v>
      </c>
    </row>
    <row r="294" spans="7:14" ht="11.25" customHeight="1" x14ac:dyDescent="0.3">
      <c r="G294" s="459">
        <f t="shared" si="33"/>
        <v>24</v>
      </c>
      <c r="H294" s="459">
        <v>287</v>
      </c>
      <c r="I294" s="444">
        <f t="shared" ca="1" si="29"/>
        <v>1907679.7954695935</v>
      </c>
      <c r="J294" s="444">
        <f t="array" ref="J294">IFERROR(INDEX('Retirement Calculator'!J:J,MATCH('Isaac 401k'!N294,'Retirement Calculator'!A:A,0),0),0)</f>
        <v>7896.2379798201846</v>
      </c>
      <c r="K294" s="444">
        <f t="shared" ca="1" si="27"/>
        <v>7915.7648228740554</v>
      </c>
      <c r="L294" s="444">
        <f t="shared" ca="1" si="28"/>
        <v>1907699.3223126472</v>
      </c>
      <c r="M294" s="460">
        <f t="shared" si="30"/>
        <v>0.05</v>
      </c>
      <c r="N294" s="464">
        <f t="shared" si="31"/>
        <v>59993</v>
      </c>
    </row>
    <row r="295" spans="7:14" ht="11.25" customHeight="1" x14ac:dyDescent="0.3">
      <c r="G295" s="459">
        <f t="shared" si="33"/>
        <v>24</v>
      </c>
      <c r="H295" s="459">
        <v>288</v>
      </c>
      <c r="I295" s="444">
        <f t="shared" ca="1" si="29"/>
        <v>1907699.3223126472</v>
      </c>
      <c r="J295" s="444">
        <f t="array" ref="J295">IFERROR(INDEX('Retirement Calculator'!J:J,MATCH('Isaac 401k'!N295,'Retirement Calculator'!A:A,0),0),0)</f>
        <v>7896.2379798201846</v>
      </c>
      <c r="K295" s="444">
        <f t="shared" ca="1" si="27"/>
        <v>7915.8461847201115</v>
      </c>
      <c r="L295" s="444">
        <f t="shared" ca="1" si="28"/>
        <v>1907718.9305175471</v>
      </c>
      <c r="M295" s="460">
        <f t="shared" si="30"/>
        <v>0.05</v>
      </c>
      <c r="N295" s="464">
        <f t="shared" si="31"/>
        <v>60023</v>
      </c>
    </row>
    <row r="296" spans="7:14" ht="11.25" customHeight="1" x14ac:dyDescent="0.3">
      <c r="G296" s="459">
        <f>G295+1</f>
        <v>25</v>
      </c>
      <c r="H296" s="459">
        <v>289</v>
      </c>
      <c r="I296" s="444">
        <f t="shared" ca="1" si="29"/>
        <v>1907718.9305175471</v>
      </c>
      <c r="J296" s="444">
        <f t="array" ref="J296">IFERROR(INDEX('Retirement Calculator'!J:J,MATCH('Isaac 401k'!N296,'Retirement Calculator'!A:A,0),0),0)</f>
        <v>7896.2379798201846</v>
      </c>
      <c r="K296" s="444">
        <f t="shared" ca="1" si="27"/>
        <v>7915.9278855738621</v>
      </c>
      <c r="L296" s="444">
        <f t="shared" ca="1" si="28"/>
        <v>1907738.6204233007</v>
      </c>
      <c r="M296" s="460">
        <f t="shared" si="30"/>
        <v>0.05</v>
      </c>
      <c r="N296" s="464">
        <f t="shared" si="31"/>
        <v>60054</v>
      </c>
    </row>
    <row r="297" spans="7:14" ht="11.25" customHeight="1" x14ac:dyDescent="0.3">
      <c r="G297" s="459">
        <f t="shared" ref="G297:G307" si="34">G296</f>
        <v>25</v>
      </c>
      <c r="H297" s="459">
        <v>290</v>
      </c>
      <c r="I297" s="444">
        <f t="shared" ca="1" si="29"/>
        <v>1907738.6204233007</v>
      </c>
      <c r="J297" s="444">
        <f t="array" ref="J297">IFERROR(INDEX('Retirement Calculator'!J:J,MATCH('Isaac 401k'!N297,'Retirement Calculator'!A:A,0),0),0)</f>
        <v>7896.2379798201846</v>
      </c>
      <c r="K297" s="444">
        <f t="shared" ca="1" si="27"/>
        <v>7916.0099268478352</v>
      </c>
      <c r="L297" s="444">
        <f t="shared" ca="1" si="28"/>
        <v>1907758.3923703283</v>
      </c>
      <c r="M297" s="460">
        <f t="shared" si="30"/>
        <v>0.05</v>
      </c>
      <c r="N297" s="464">
        <f t="shared" si="31"/>
        <v>60084</v>
      </c>
    </row>
    <row r="298" spans="7:14" ht="11.25" customHeight="1" x14ac:dyDescent="0.3">
      <c r="G298" s="459">
        <f t="shared" si="34"/>
        <v>25</v>
      </c>
      <c r="H298" s="459">
        <v>291</v>
      </c>
      <c r="I298" s="444">
        <f t="shared" ca="1" si="29"/>
        <v>1907758.3923703283</v>
      </c>
      <c r="J298" s="444">
        <f t="array" ref="J298">IFERROR(INDEX('Retirement Calculator'!J:J,MATCH('Isaac 401k'!N298,'Retirement Calculator'!A:A,0),0),0)</f>
        <v>7896.2379798201846</v>
      </c>
      <c r="K298" s="444">
        <f t="shared" ca="1" si="27"/>
        <v>7916.0923099604506</v>
      </c>
      <c r="L298" s="444">
        <f t="shared" ca="1" si="28"/>
        <v>1907778.2467004685</v>
      </c>
      <c r="M298" s="460">
        <f t="shared" si="30"/>
        <v>0.05</v>
      </c>
      <c r="N298" s="464">
        <f t="shared" si="31"/>
        <v>60115</v>
      </c>
    </row>
    <row r="299" spans="7:14" ht="11.25" customHeight="1" x14ac:dyDescent="0.3">
      <c r="G299" s="459">
        <f t="shared" si="34"/>
        <v>25</v>
      </c>
      <c r="H299" s="459">
        <v>292</v>
      </c>
      <c r="I299" s="444">
        <f t="shared" ca="1" si="29"/>
        <v>1907778.2467004685</v>
      </c>
      <c r="J299" s="444">
        <f t="array" ref="J299">IFERROR(INDEX('Retirement Calculator'!J:J,MATCH('Isaac 401k'!N299,'Retirement Calculator'!A:A,0),0),0)</f>
        <v>7896.2379798201846</v>
      </c>
      <c r="K299" s="444">
        <f t="shared" ca="1" si="27"/>
        <v>7916.1750363360343</v>
      </c>
      <c r="L299" s="444">
        <f t="shared" ca="1" si="28"/>
        <v>1907798.1837569843</v>
      </c>
      <c r="M299" s="460">
        <f t="shared" si="30"/>
        <v>0.05</v>
      </c>
      <c r="N299" s="464">
        <f t="shared" si="31"/>
        <v>60146</v>
      </c>
    </row>
    <row r="300" spans="7:14" ht="11.25" customHeight="1" x14ac:dyDescent="0.3">
      <c r="G300" s="459">
        <f t="shared" si="34"/>
        <v>25</v>
      </c>
      <c r="H300" s="459">
        <v>293</v>
      </c>
      <c r="I300" s="444">
        <f t="shared" ca="1" si="29"/>
        <v>1907798.1837569843</v>
      </c>
      <c r="J300" s="444">
        <f t="array" ref="J300">IFERROR(INDEX('Retirement Calculator'!J:J,MATCH('Isaac 401k'!N300,'Retirement Calculator'!A:A,0),0),0)</f>
        <v>7896.2379798201846</v>
      </c>
      <c r="K300" s="444">
        <f t="shared" ca="1" si="27"/>
        <v>7916.2581074048503</v>
      </c>
      <c r="L300" s="444">
        <f t="shared" ca="1" si="28"/>
        <v>1907818.203884569</v>
      </c>
      <c r="M300" s="460">
        <f t="shared" si="30"/>
        <v>0.05</v>
      </c>
      <c r="N300" s="464">
        <f t="shared" si="31"/>
        <v>60176</v>
      </c>
    </row>
    <row r="301" spans="7:14" ht="11.25" customHeight="1" x14ac:dyDescent="0.3">
      <c r="G301" s="459">
        <f t="shared" si="34"/>
        <v>25</v>
      </c>
      <c r="H301" s="459">
        <v>294</v>
      </c>
      <c r="I301" s="444">
        <f t="shared" ca="1" si="29"/>
        <v>1907818.203884569</v>
      </c>
      <c r="J301" s="444">
        <f t="array" ref="J301">IFERROR(INDEX('Retirement Calculator'!J:J,MATCH('Isaac 401k'!N301,'Retirement Calculator'!A:A,0),0),0)</f>
        <v>7896.2379798201846</v>
      </c>
      <c r="K301" s="444">
        <f t="shared" ca="1" si="27"/>
        <v>7916.34152460312</v>
      </c>
      <c r="L301" s="444">
        <f t="shared" ca="1" si="28"/>
        <v>1907838.3074293518</v>
      </c>
      <c r="M301" s="460">
        <f t="shared" si="30"/>
        <v>0.05</v>
      </c>
      <c r="N301" s="464">
        <f t="shared" si="31"/>
        <v>60207</v>
      </c>
    </row>
    <row r="302" spans="7:14" ht="11.25" customHeight="1" x14ac:dyDescent="0.3">
      <c r="G302" s="459">
        <f t="shared" si="34"/>
        <v>25</v>
      </c>
      <c r="H302" s="459">
        <v>295</v>
      </c>
      <c r="I302" s="444">
        <f t="shared" ca="1" si="29"/>
        <v>1907838.3074293518</v>
      </c>
      <c r="J302" s="444">
        <f t="array" ref="J302">IFERROR(INDEX('Retirement Calculator'!J:J,MATCH('Isaac 401k'!N302,'Retirement Calculator'!A:A,0),0),0)</f>
        <v>7896.2379798201846</v>
      </c>
      <c r="K302" s="444">
        <f t="shared" ca="1" si="27"/>
        <v>7916.4252893730481</v>
      </c>
      <c r="L302" s="444">
        <f t="shared" ca="1" si="28"/>
        <v>1907858.4947389048</v>
      </c>
      <c r="M302" s="460">
        <f t="shared" si="30"/>
        <v>0.05</v>
      </c>
      <c r="N302" s="464">
        <f t="shared" si="31"/>
        <v>60237</v>
      </c>
    </row>
    <row r="303" spans="7:14" ht="11.25" customHeight="1" x14ac:dyDescent="0.3">
      <c r="G303" s="459">
        <f t="shared" si="34"/>
        <v>25</v>
      </c>
      <c r="H303" s="459">
        <v>296</v>
      </c>
      <c r="I303" s="444">
        <f t="shared" ca="1" si="29"/>
        <v>1907858.4947389048</v>
      </c>
      <c r="J303" s="444">
        <f t="array" ref="J303">IFERROR(INDEX('Retirement Calculator'!J:J,MATCH('Isaac 401k'!N303,'Retirement Calculator'!A:A,0),0),0)</f>
        <v>7896.2379798201846</v>
      </c>
      <c r="K303" s="444">
        <f t="shared" ca="1" si="27"/>
        <v>7916.5094031628523</v>
      </c>
      <c r="L303" s="444">
        <f t="shared" ca="1" si="28"/>
        <v>1907878.7661622474</v>
      </c>
      <c r="M303" s="460">
        <f t="shared" si="30"/>
        <v>0.05</v>
      </c>
      <c r="N303" s="464">
        <f t="shared" si="31"/>
        <v>60268</v>
      </c>
    </row>
    <row r="304" spans="7:14" ht="11.25" customHeight="1" x14ac:dyDescent="0.3">
      <c r="G304" s="459">
        <f t="shared" si="34"/>
        <v>25</v>
      </c>
      <c r="H304" s="459">
        <v>297</v>
      </c>
      <c r="I304" s="444">
        <f t="shared" ca="1" si="29"/>
        <v>1907878.7661622474</v>
      </c>
      <c r="J304" s="444">
        <f t="array" ref="J304">IFERROR(INDEX('Retirement Calculator'!J:J,MATCH('Isaac 401k'!N304,'Retirement Calculator'!A:A,0),0),0)</f>
        <v>7896.2379798201846</v>
      </c>
      <c r="K304" s="444">
        <f t="shared" ca="1" si="27"/>
        <v>7916.5938674267809</v>
      </c>
      <c r="L304" s="444">
        <f t="shared" ca="1" si="28"/>
        <v>1907899.1220498539</v>
      </c>
      <c r="M304" s="460">
        <f t="shared" si="30"/>
        <v>0.05</v>
      </c>
      <c r="N304" s="464">
        <f t="shared" si="31"/>
        <v>60299</v>
      </c>
    </row>
    <row r="305" spans="7:14" ht="11.25" customHeight="1" x14ac:dyDescent="0.3">
      <c r="G305" s="459">
        <f t="shared" si="34"/>
        <v>25</v>
      </c>
      <c r="H305" s="459">
        <v>298</v>
      </c>
      <c r="I305" s="444">
        <f t="shared" ca="1" si="29"/>
        <v>1907899.1220498539</v>
      </c>
      <c r="J305" s="444">
        <f t="array" ref="J305">IFERROR(INDEX('Retirement Calculator'!J:J,MATCH('Isaac 401k'!N305,'Retirement Calculator'!A:A,0),0),0)</f>
        <v>7896.2379798201846</v>
      </c>
      <c r="K305" s="444">
        <f t="shared" ca="1" si="27"/>
        <v>7916.6786836251413</v>
      </c>
      <c r="L305" s="444">
        <f t="shared" ca="1" si="28"/>
        <v>1907919.5627536587</v>
      </c>
      <c r="M305" s="460">
        <f t="shared" si="30"/>
        <v>0.05</v>
      </c>
      <c r="N305" s="464">
        <f t="shared" si="31"/>
        <v>60327</v>
      </c>
    </row>
    <row r="306" spans="7:14" ht="11.25" customHeight="1" x14ac:dyDescent="0.3">
      <c r="G306" s="459">
        <f t="shared" si="34"/>
        <v>25</v>
      </c>
      <c r="H306" s="459">
        <v>299</v>
      </c>
      <c r="I306" s="444">
        <f t="shared" ca="1" si="29"/>
        <v>1907919.5627536587</v>
      </c>
      <c r="J306" s="444">
        <f t="array" ref="J306">IFERROR(INDEX('Retirement Calculator'!J:J,MATCH('Isaac 401k'!N306,'Retirement Calculator'!A:A,0),0),0)</f>
        <v>7896.2379798201846</v>
      </c>
      <c r="K306" s="444">
        <f t="shared" ca="1" si="27"/>
        <v>7916.7638532243272</v>
      </c>
      <c r="L306" s="444">
        <f t="shared" ca="1" si="28"/>
        <v>1907940.0886270627</v>
      </c>
      <c r="M306" s="460">
        <f t="shared" si="30"/>
        <v>0.05</v>
      </c>
      <c r="N306" s="464">
        <f t="shared" si="31"/>
        <v>60358</v>
      </c>
    </row>
    <row r="307" spans="7:14" ht="11.25" customHeight="1" x14ac:dyDescent="0.3">
      <c r="G307" s="459">
        <f t="shared" si="34"/>
        <v>25</v>
      </c>
      <c r="H307" s="459">
        <v>300</v>
      </c>
      <c r="I307" s="444">
        <f t="shared" ca="1" si="29"/>
        <v>1907940.0886270627</v>
      </c>
      <c r="J307" s="444">
        <f t="array" ref="J307">IFERROR(INDEX('Retirement Calculator'!J:J,MATCH('Isaac 401k'!N307,'Retirement Calculator'!A:A,0),0),0)</f>
        <v>7896.2379798201846</v>
      </c>
      <c r="K307" s="444">
        <f t="shared" ca="1" si="27"/>
        <v>7916.8493776968435</v>
      </c>
      <c r="L307" s="444">
        <f t="shared" ca="1" si="28"/>
        <v>1907960.7000249394</v>
      </c>
      <c r="M307" s="460">
        <f t="shared" si="30"/>
        <v>0.05</v>
      </c>
      <c r="N307" s="464">
        <f t="shared" si="31"/>
        <v>60388</v>
      </c>
    </row>
    <row r="308" spans="7:14" ht="11.25" customHeight="1" x14ac:dyDescent="0.3">
      <c r="G308" s="459">
        <f>G307+1</f>
        <v>26</v>
      </c>
      <c r="H308" s="459">
        <v>301</v>
      </c>
      <c r="I308" s="444">
        <f t="shared" ca="1" si="29"/>
        <v>1907960.7000249394</v>
      </c>
      <c r="J308" s="444">
        <f t="array" ref="J308">IFERROR(INDEX('Retirement Calculator'!J:J,MATCH('Isaac 401k'!N308,'Retirement Calculator'!A:A,0),0),0)</f>
        <v>7896.2379798201846</v>
      </c>
      <c r="K308" s="444">
        <f t="shared" ca="1" si="27"/>
        <v>7916.9352585213301</v>
      </c>
      <c r="L308" s="444">
        <f t="shared" ca="1" si="28"/>
        <v>1907981.3973036404</v>
      </c>
      <c r="M308" s="460">
        <f t="shared" si="30"/>
        <v>0.05</v>
      </c>
      <c r="N308" s="464">
        <f t="shared" si="31"/>
        <v>60419</v>
      </c>
    </row>
    <row r="309" spans="7:14" ht="11.25" customHeight="1" x14ac:dyDescent="0.3">
      <c r="G309" s="459">
        <f t="shared" ref="G309:G319" si="35">G308</f>
        <v>26</v>
      </c>
      <c r="H309" s="459">
        <v>302</v>
      </c>
      <c r="I309" s="444">
        <f t="shared" ca="1" si="29"/>
        <v>1907981.3973036404</v>
      </c>
      <c r="J309" s="444">
        <f t="array" ref="J309">IFERROR(INDEX('Retirement Calculator'!J:J,MATCH('Isaac 401k'!N309,'Retirement Calculator'!A:A,0),0),0)</f>
        <v>7896.2379798201846</v>
      </c>
      <c r="K309" s="444">
        <f t="shared" ca="1" si="27"/>
        <v>7917.0214971825844</v>
      </c>
      <c r="L309" s="444">
        <f t="shared" ca="1" si="28"/>
        <v>1908002.1808210027</v>
      </c>
      <c r="M309" s="460">
        <f t="shared" si="30"/>
        <v>0.05</v>
      </c>
      <c r="N309" s="464">
        <f t="shared" si="31"/>
        <v>60449</v>
      </c>
    </row>
    <row r="310" spans="7:14" ht="11.25" customHeight="1" x14ac:dyDescent="0.3">
      <c r="G310" s="459">
        <f t="shared" si="35"/>
        <v>26</v>
      </c>
      <c r="H310" s="459">
        <v>303</v>
      </c>
      <c r="I310" s="444">
        <f t="shared" ca="1" si="29"/>
        <v>1908002.1808210027</v>
      </c>
      <c r="J310" s="444">
        <f t="array" ref="J310">IFERROR(INDEX('Retirement Calculator'!J:J,MATCH('Isaac 401k'!N310,'Retirement Calculator'!A:A,0),0),0)</f>
        <v>7896.2379798201846</v>
      </c>
      <c r="K310" s="444">
        <f t="shared" ca="1" si="27"/>
        <v>7917.1080951715949</v>
      </c>
      <c r="L310" s="444">
        <f t="shared" ca="1" si="28"/>
        <v>1908023.0509363541</v>
      </c>
      <c r="M310" s="460">
        <f t="shared" si="30"/>
        <v>0.05</v>
      </c>
      <c r="N310" s="464">
        <f t="shared" si="31"/>
        <v>60480</v>
      </c>
    </row>
    <row r="311" spans="7:14" ht="11.25" customHeight="1" x14ac:dyDescent="0.3">
      <c r="G311" s="459">
        <f t="shared" si="35"/>
        <v>26</v>
      </c>
      <c r="H311" s="459">
        <v>304</v>
      </c>
      <c r="I311" s="444">
        <f t="shared" ca="1" si="29"/>
        <v>1908023.0509363541</v>
      </c>
      <c r="J311" s="444">
        <f t="array" ref="J311">IFERROR(INDEX('Retirement Calculator'!J:J,MATCH('Isaac 401k'!N311,'Retirement Calculator'!A:A,0),0),0)</f>
        <v>7896.2379798201846</v>
      </c>
      <c r="K311" s="444">
        <f t="shared" ca="1" si="27"/>
        <v>7917.1950539855579</v>
      </c>
      <c r="L311" s="444">
        <f t="shared" ca="1" si="28"/>
        <v>1908044.0080105194</v>
      </c>
      <c r="M311" s="460">
        <f t="shared" si="30"/>
        <v>0.05</v>
      </c>
      <c r="N311" s="464">
        <f t="shared" si="31"/>
        <v>60511</v>
      </c>
    </row>
    <row r="312" spans="7:14" ht="11.25" customHeight="1" x14ac:dyDescent="0.3">
      <c r="G312" s="459">
        <f t="shared" si="35"/>
        <v>26</v>
      </c>
      <c r="H312" s="459">
        <v>305</v>
      </c>
      <c r="I312" s="444">
        <f t="shared" ca="1" si="29"/>
        <v>1908044.0080105194</v>
      </c>
      <c r="J312" s="444">
        <f t="array" ref="J312">IFERROR(INDEX('Retirement Calculator'!J:J,MATCH('Isaac 401k'!N312,'Retirement Calculator'!A:A,0),0),0)</f>
        <v>7896.2379798201846</v>
      </c>
      <c r="K312" s="444">
        <f t="shared" ca="1" si="27"/>
        <v>7917.2823751279129</v>
      </c>
      <c r="L312" s="444">
        <f t="shared" ca="1" si="28"/>
        <v>1908065.0524058272</v>
      </c>
      <c r="M312" s="460">
        <f t="shared" si="30"/>
        <v>0.05</v>
      </c>
      <c r="N312" s="464">
        <f t="shared" si="31"/>
        <v>60541</v>
      </c>
    </row>
    <row r="313" spans="7:14" ht="11.25" customHeight="1" x14ac:dyDescent="0.3">
      <c r="G313" s="459">
        <f t="shared" si="35"/>
        <v>26</v>
      </c>
      <c r="H313" s="459">
        <v>306</v>
      </c>
      <c r="I313" s="444">
        <f t="shared" ca="1" si="29"/>
        <v>1908065.0524058272</v>
      </c>
      <c r="J313" s="444">
        <f t="array" ref="J313">IFERROR(INDEX('Retirement Calculator'!J:J,MATCH('Isaac 401k'!N313,'Retirement Calculator'!A:A,0),0),0)</f>
        <v>7896.2379798201846</v>
      </c>
      <c r="K313" s="444">
        <f t="shared" ca="1" si="27"/>
        <v>7917.3700601083628</v>
      </c>
      <c r="L313" s="444">
        <f t="shared" ca="1" si="28"/>
        <v>1908086.1844861154</v>
      </c>
      <c r="M313" s="460">
        <f t="shared" si="30"/>
        <v>0.05</v>
      </c>
      <c r="N313" s="464">
        <f t="shared" si="31"/>
        <v>60572</v>
      </c>
    </row>
    <row r="314" spans="7:14" ht="11.25" customHeight="1" x14ac:dyDescent="0.3">
      <c r="G314" s="459">
        <f t="shared" si="35"/>
        <v>26</v>
      </c>
      <c r="H314" s="459">
        <v>307</v>
      </c>
      <c r="I314" s="444">
        <f t="shared" ca="1" si="29"/>
        <v>1908086.1844861154</v>
      </c>
      <c r="J314" s="444">
        <f t="array" ref="J314">IFERROR(INDEX('Retirement Calculator'!J:J,MATCH('Isaac 401k'!N314,'Retirement Calculator'!A:A,0),0),0)</f>
        <v>7896.2379798201846</v>
      </c>
      <c r="K314" s="444">
        <f t="shared" ca="1" si="27"/>
        <v>7917.4581104428962</v>
      </c>
      <c r="L314" s="444">
        <f t="shared" ca="1" si="28"/>
        <v>1908107.404616738</v>
      </c>
      <c r="M314" s="460">
        <f t="shared" si="30"/>
        <v>0.05</v>
      </c>
      <c r="N314" s="464">
        <f t="shared" si="31"/>
        <v>60602</v>
      </c>
    </row>
    <row r="315" spans="7:14" ht="11.25" customHeight="1" x14ac:dyDescent="0.3">
      <c r="G315" s="459">
        <f t="shared" si="35"/>
        <v>26</v>
      </c>
      <c r="H315" s="459">
        <v>308</v>
      </c>
      <c r="I315" s="444">
        <f t="shared" ca="1" si="29"/>
        <v>1908107.404616738</v>
      </c>
      <c r="J315" s="444">
        <f t="array" ref="J315">IFERROR(INDEX('Retirement Calculator'!J:J,MATCH('Isaac 401k'!N315,'Retirement Calculator'!A:A,0),0),0)</f>
        <v>7896.2379798201846</v>
      </c>
      <c r="K315" s="444">
        <f t="shared" ca="1" si="27"/>
        <v>7917.5465276538225</v>
      </c>
      <c r="L315" s="444">
        <f t="shared" ca="1" si="28"/>
        <v>1908128.7131645717</v>
      </c>
      <c r="M315" s="460">
        <f t="shared" si="30"/>
        <v>0.05</v>
      </c>
      <c r="N315" s="464">
        <f t="shared" si="31"/>
        <v>60633</v>
      </c>
    </row>
    <row r="316" spans="7:14" ht="11.25" customHeight="1" x14ac:dyDescent="0.3">
      <c r="G316" s="459">
        <f t="shared" si="35"/>
        <v>26</v>
      </c>
      <c r="H316" s="459">
        <v>309</v>
      </c>
      <c r="I316" s="444">
        <f t="shared" ca="1" si="29"/>
        <v>1908128.7131645717</v>
      </c>
      <c r="J316" s="444">
        <f t="array" ref="J316">IFERROR(INDEX('Retirement Calculator'!J:J,MATCH('Isaac 401k'!N316,'Retirement Calculator'!A:A,0),0),0)</f>
        <v>7896.2379798201846</v>
      </c>
      <c r="K316" s="444">
        <f t="shared" ca="1" si="27"/>
        <v>7917.6353132697986</v>
      </c>
      <c r="L316" s="444">
        <f t="shared" ca="1" si="28"/>
        <v>1908150.1104980214</v>
      </c>
      <c r="M316" s="460">
        <f t="shared" si="30"/>
        <v>0.05</v>
      </c>
      <c r="N316" s="464">
        <f t="shared" si="31"/>
        <v>60664</v>
      </c>
    </row>
    <row r="317" spans="7:14" ht="11.25" customHeight="1" x14ac:dyDescent="0.3">
      <c r="G317" s="459">
        <f t="shared" si="35"/>
        <v>26</v>
      </c>
      <c r="H317" s="459">
        <v>310</v>
      </c>
      <c r="I317" s="444">
        <f t="shared" ca="1" si="29"/>
        <v>1908150.1104980214</v>
      </c>
      <c r="J317" s="444">
        <f t="array" ref="J317">IFERROR(INDEX('Retirement Calculator'!J:J,MATCH('Isaac 401k'!N317,'Retirement Calculator'!A:A,0),0),0)</f>
        <v>7896.2379798201846</v>
      </c>
      <c r="K317" s="444">
        <f t="shared" ca="1" si="27"/>
        <v>7917.7244688258379</v>
      </c>
      <c r="L317" s="444">
        <f t="shared" ca="1" si="28"/>
        <v>1908171.596987027</v>
      </c>
      <c r="M317" s="460">
        <f t="shared" si="30"/>
        <v>0.05</v>
      </c>
      <c r="N317" s="464">
        <f t="shared" si="31"/>
        <v>60692</v>
      </c>
    </row>
    <row r="318" spans="7:14" ht="11.25" customHeight="1" x14ac:dyDescent="0.3">
      <c r="G318" s="459">
        <f t="shared" si="35"/>
        <v>26</v>
      </c>
      <c r="H318" s="459">
        <v>311</v>
      </c>
      <c r="I318" s="444">
        <f t="shared" ca="1" si="29"/>
        <v>1908171.596987027</v>
      </c>
      <c r="J318" s="444">
        <f t="array" ref="J318">IFERROR(INDEX('Retirement Calculator'!J:J,MATCH('Isaac 401k'!N318,'Retirement Calculator'!A:A,0),0),0)</f>
        <v>7896.2379798201846</v>
      </c>
      <c r="K318" s="444">
        <f t="shared" ca="1" si="27"/>
        <v>7917.8139958633619</v>
      </c>
      <c r="L318" s="444">
        <f t="shared" ca="1" si="28"/>
        <v>1908193.1730030701</v>
      </c>
      <c r="M318" s="460">
        <f t="shared" si="30"/>
        <v>0.05</v>
      </c>
      <c r="N318" s="464">
        <f t="shared" si="31"/>
        <v>60723</v>
      </c>
    </row>
    <row r="319" spans="7:14" ht="11.25" customHeight="1" x14ac:dyDescent="0.3">
      <c r="G319" s="459">
        <f t="shared" si="35"/>
        <v>26</v>
      </c>
      <c r="H319" s="459">
        <v>312</v>
      </c>
      <c r="I319" s="444">
        <f t="shared" ca="1" si="29"/>
        <v>1908193.1730030701</v>
      </c>
      <c r="J319" s="444">
        <f t="array" ref="J319">IFERROR(INDEX('Retirement Calculator'!J:J,MATCH('Isaac 401k'!N319,'Retirement Calculator'!A:A,0),0),0)</f>
        <v>7896.2379798201846</v>
      </c>
      <c r="K319" s="444">
        <f t="shared" ca="1" si="27"/>
        <v>7917.9038959302079</v>
      </c>
      <c r="L319" s="444">
        <f t="shared" ca="1" si="28"/>
        <v>1908214.83891918</v>
      </c>
      <c r="M319" s="460">
        <f t="shared" si="30"/>
        <v>0.05</v>
      </c>
      <c r="N319" s="464">
        <f t="shared" si="31"/>
        <v>60753</v>
      </c>
    </row>
    <row r="320" spans="7:14" ht="11.25" customHeight="1" x14ac:dyDescent="0.3">
      <c r="G320" s="459">
        <f>G319+1</f>
        <v>27</v>
      </c>
      <c r="H320" s="459">
        <v>313</v>
      </c>
      <c r="I320" s="444">
        <f t="shared" ca="1" si="29"/>
        <v>1908214.83891918</v>
      </c>
      <c r="J320" s="444">
        <f t="array" ref="J320">IFERROR(INDEX('Retirement Calculator'!J:J,MATCH('Isaac 401k'!N320,'Retirement Calculator'!A:A,0),0),0)</f>
        <v>7896.2379798201846</v>
      </c>
      <c r="K320" s="444">
        <f t="shared" ca="1" si="27"/>
        <v>7917.9941705806668</v>
      </c>
      <c r="L320" s="444">
        <f t="shared" ca="1" si="28"/>
        <v>1908236.5951099405</v>
      </c>
      <c r="M320" s="460">
        <f t="shared" si="30"/>
        <v>0.05</v>
      </c>
      <c r="N320" s="464">
        <f t="shared" si="31"/>
        <v>60784</v>
      </c>
    </row>
    <row r="321" spans="7:14" ht="11.25" customHeight="1" x14ac:dyDescent="0.3">
      <c r="G321" s="459">
        <f t="shared" ref="G321:G331" si="36">G320</f>
        <v>27</v>
      </c>
      <c r="H321" s="459">
        <v>314</v>
      </c>
      <c r="I321" s="444">
        <f t="shared" ca="1" si="29"/>
        <v>1908236.5951099405</v>
      </c>
      <c r="J321" s="444">
        <f t="array" ref="J321">IFERROR(INDEX('Retirement Calculator'!J:J,MATCH('Isaac 401k'!N321,'Retirement Calculator'!A:A,0),0),0)</f>
        <v>7896.2379798201846</v>
      </c>
      <c r="K321" s="444">
        <f t="shared" ca="1" si="27"/>
        <v>7918.0848213755007</v>
      </c>
      <c r="L321" s="444">
        <f t="shared" ca="1" si="28"/>
        <v>1908258.4419514958</v>
      </c>
      <c r="M321" s="460">
        <f t="shared" si="30"/>
        <v>0.05</v>
      </c>
      <c r="N321" s="464">
        <f t="shared" si="31"/>
        <v>60814</v>
      </c>
    </row>
    <row r="322" spans="7:14" ht="11.25" customHeight="1" x14ac:dyDescent="0.3">
      <c r="G322" s="459">
        <f t="shared" si="36"/>
        <v>27</v>
      </c>
      <c r="H322" s="459">
        <v>315</v>
      </c>
      <c r="I322" s="444">
        <f t="shared" ca="1" si="29"/>
        <v>1908258.4419514958</v>
      </c>
      <c r="J322" s="444">
        <f t="array" ref="J322">IFERROR(INDEX('Retirement Calculator'!J:J,MATCH('Isaac 401k'!N322,'Retirement Calculator'!A:A,0),0),0)</f>
        <v>7896.2379798201846</v>
      </c>
      <c r="K322" s="444">
        <f t="shared" ca="1" si="27"/>
        <v>7918.1758498819818</v>
      </c>
      <c r="L322" s="444">
        <f t="shared" ca="1" si="28"/>
        <v>1908280.3798215576</v>
      </c>
      <c r="M322" s="460">
        <f t="shared" si="30"/>
        <v>0.05</v>
      </c>
      <c r="N322" s="464">
        <f t="shared" si="31"/>
        <v>60845</v>
      </c>
    </row>
    <row r="323" spans="7:14" ht="11.25" customHeight="1" x14ac:dyDescent="0.3">
      <c r="G323" s="459">
        <f t="shared" si="36"/>
        <v>27</v>
      </c>
      <c r="H323" s="459">
        <v>316</v>
      </c>
      <c r="I323" s="444">
        <f t="shared" ca="1" si="29"/>
        <v>1908280.3798215576</v>
      </c>
      <c r="J323" s="444">
        <f t="array" ref="J323">IFERROR(INDEX('Retirement Calculator'!J:J,MATCH('Isaac 401k'!N323,'Retirement Calculator'!A:A,0),0),0)</f>
        <v>7896.2379798201846</v>
      </c>
      <c r="K323" s="444">
        <f t="shared" ca="1" si="27"/>
        <v>7918.2672576739051</v>
      </c>
      <c r="L323" s="444">
        <f t="shared" ca="1" si="28"/>
        <v>1908302.4090994112</v>
      </c>
      <c r="M323" s="460">
        <f t="shared" si="30"/>
        <v>0.05</v>
      </c>
      <c r="N323" s="464">
        <f t="shared" si="31"/>
        <v>60876</v>
      </c>
    </row>
    <row r="324" spans="7:14" ht="11.25" customHeight="1" x14ac:dyDescent="0.3">
      <c r="G324" s="459">
        <f t="shared" si="36"/>
        <v>27</v>
      </c>
      <c r="H324" s="459">
        <v>317</v>
      </c>
      <c r="I324" s="444">
        <f t="shared" ca="1" si="29"/>
        <v>1908302.4090994112</v>
      </c>
      <c r="J324" s="444">
        <f t="array" ref="J324">IFERROR(INDEX('Retirement Calculator'!J:J,MATCH('Isaac 401k'!N324,'Retirement Calculator'!A:A,0),0),0)</f>
        <v>7896.2379798201846</v>
      </c>
      <c r="K324" s="444">
        <f t="shared" ca="1" si="27"/>
        <v>7918.3590463316286</v>
      </c>
      <c r="L324" s="444">
        <f t="shared" ca="1" si="28"/>
        <v>1908324.5301659226</v>
      </c>
      <c r="M324" s="460">
        <f t="shared" si="30"/>
        <v>0.05</v>
      </c>
      <c r="N324" s="464">
        <f t="shared" si="31"/>
        <v>60906</v>
      </c>
    </row>
    <row r="325" spans="7:14" ht="11.25" customHeight="1" x14ac:dyDescent="0.3">
      <c r="G325" s="459">
        <f t="shared" si="36"/>
        <v>27</v>
      </c>
      <c r="H325" s="459">
        <v>318</v>
      </c>
      <c r="I325" s="444">
        <f t="shared" ca="1" si="29"/>
        <v>1908324.5301659226</v>
      </c>
      <c r="J325" s="444">
        <f t="array" ref="J325">IFERROR(INDEX('Retirement Calculator'!J:J,MATCH('Isaac 401k'!N325,'Retirement Calculator'!A:A,0),0),0)</f>
        <v>7896.2379798201846</v>
      </c>
      <c r="K325" s="444">
        <f t="shared" ca="1" si="27"/>
        <v>7918.4512174420925</v>
      </c>
      <c r="L325" s="444">
        <f t="shared" ca="1" si="28"/>
        <v>1908346.7434035444</v>
      </c>
      <c r="M325" s="460">
        <f t="shared" si="30"/>
        <v>0.05</v>
      </c>
      <c r="N325" s="464">
        <f t="shared" si="31"/>
        <v>60937</v>
      </c>
    </row>
    <row r="326" spans="7:14" ht="11.25" customHeight="1" x14ac:dyDescent="0.3">
      <c r="G326" s="459">
        <f t="shared" si="36"/>
        <v>27</v>
      </c>
      <c r="H326" s="459">
        <v>319</v>
      </c>
      <c r="I326" s="444">
        <f t="shared" ca="1" si="29"/>
        <v>1908346.7434035444</v>
      </c>
      <c r="J326" s="444">
        <f t="array" ref="J326">IFERROR(INDEX('Retirement Calculator'!J:J,MATCH('Isaac 401k'!N326,'Retirement Calculator'!A:A,0),0),0)</f>
        <v>7896.2379798201846</v>
      </c>
      <c r="K326" s="444">
        <f t="shared" ca="1" si="27"/>
        <v>7918.5437725988513</v>
      </c>
      <c r="L326" s="444">
        <f t="shared" ca="1" si="28"/>
        <v>1908369.0491963231</v>
      </c>
      <c r="M326" s="460">
        <f t="shared" si="30"/>
        <v>0.05</v>
      </c>
      <c r="N326" s="464">
        <f t="shared" si="31"/>
        <v>60967</v>
      </c>
    </row>
    <row r="327" spans="7:14" ht="11.25" customHeight="1" x14ac:dyDescent="0.3">
      <c r="G327" s="459">
        <f t="shared" si="36"/>
        <v>27</v>
      </c>
      <c r="H327" s="459">
        <v>320</v>
      </c>
      <c r="I327" s="444">
        <f t="shared" ca="1" si="29"/>
        <v>1908369.0491963231</v>
      </c>
      <c r="J327" s="444">
        <f t="array" ref="J327">IFERROR(INDEX('Retirement Calculator'!J:J,MATCH('Isaac 401k'!N327,'Retirement Calculator'!A:A,0),0),0)</f>
        <v>7896.2379798201846</v>
      </c>
      <c r="K327" s="444">
        <f t="shared" ca="1" si="27"/>
        <v>7918.6367134020957</v>
      </c>
      <c r="L327" s="444">
        <f t="shared" ca="1" si="28"/>
        <v>1908391.447929905</v>
      </c>
      <c r="M327" s="460">
        <f t="shared" si="30"/>
        <v>0.05</v>
      </c>
      <c r="N327" s="464">
        <f t="shared" si="31"/>
        <v>60998</v>
      </c>
    </row>
    <row r="328" spans="7:14" ht="11.25" customHeight="1" x14ac:dyDescent="0.3">
      <c r="G328" s="459">
        <f t="shared" si="36"/>
        <v>27</v>
      </c>
      <c r="H328" s="459">
        <v>321</v>
      </c>
      <c r="I328" s="444">
        <f t="shared" ca="1" si="29"/>
        <v>1908391.447929905</v>
      </c>
      <c r="J328" s="444">
        <f t="array" ref="J328">IFERROR(INDEX('Retirement Calculator'!J:J,MATCH('Isaac 401k'!N328,'Retirement Calculator'!A:A,0),0),0)</f>
        <v>7896.2379798201846</v>
      </c>
      <c r="K328" s="444">
        <f t="shared" ca="1" si="27"/>
        <v>7918.7300414586862</v>
      </c>
      <c r="L328" s="444">
        <f t="shared" ca="1" si="28"/>
        <v>1908413.9399915435</v>
      </c>
      <c r="M328" s="460">
        <f t="shared" si="30"/>
        <v>0.05</v>
      </c>
      <c r="N328" s="464">
        <f t="shared" si="31"/>
        <v>61029</v>
      </c>
    </row>
    <row r="329" spans="7:14" ht="11.25" customHeight="1" x14ac:dyDescent="0.3">
      <c r="G329" s="459">
        <f t="shared" si="36"/>
        <v>27</v>
      </c>
      <c r="H329" s="459">
        <v>322</v>
      </c>
      <c r="I329" s="444">
        <f t="shared" ca="1" si="29"/>
        <v>1908413.9399915435</v>
      </c>
      <c r="J329" s="444">
        <f t="array" ref="J329">IFERROR(INDEX('Retirement Calculator'!J:J,MATCH('Isaac 401k'!N329,'Retirement Calculator'!A:A,0),0),0)</f>
        <v>7896.2379798201846</v>
      </c>
      <c r="K329" s="444">
        <f t="shared" ca="1" si="27"/>
        <v>7918.8237583821801</v>
      </c>
      <c r="L329" s="444">
        <f t="shared" ca="1" si="28"/>
        <v>1908436.5257701054</v>
      </c>
      <c r="M329" s="460">
        <f t="shared" si="30"/>
        <v>0.05</v>
      </c>
      <c r="N329" s="464">
        <f t="shared" si="31"/>
        <v>61057</v>
      </c>
    </row>
    <row r="330" spans="7:14" ht="11.25" customHeight="1" x14ac:dyDescent="0.3">
      <c r="G330" s="459">
        <f t="shared" si="36"/>
        <v>27</v>
      </c>
      <c r="H330" s="459">
        <v>323</v>
      </c>
      <c r="I330" s="444">
        <f t="shared" ca="1" si="29"/>
        <v>1908436.5257701054</v>
      </c>
      <c r="J330" s="444">
        <f t="array" ref="J330">IFERROR(INDEX('Retirement Calculator'!J:J,MATCH('Isaac 401k'!N330,'Retirement Calculator'!A:A,0),0),0)</f>
        <v>7896.2379798201846</v>
      </c>
      <c r="K330" s="444">
        <f t="shared" ca="1" si="27"/>
        <v>7918.9178657928542</v>
      </c>
      <c r="L330" s="444">
        <f t="shared" ca="1" si="28"/>
        <v>1908459.2056560779</v>
      </c>
      <c r="M330" s="460">
        <f t="shared" si="30"/>
        <v>0.05</v>
      </c>
      <c r="N330" s="464">
        <f t="shared" si="31"/>
        <v>61088</v>
      </c>
    </row>
    <row r="331" spans="7:14" ht="11.25" customHeight="1" x14ac:dyDescent="0.3">
      <c r="G331" s="459">
        <f t="shared" si="36"/>
        <v>27</v>
      </c>
      <c r="H331" s="459">
        <v>324</v>
      </c>
      <c r="I331" s="444">
        <f t="shared" ca="1" si="29"/>
        <v>1908459.2056560779</v>
      </c>
      <c r="J331" s="444">
        <f t="array" ref="J331">IFERROR(INDEX('Retirement Calculator'!J:J,MATCH('Isaac 401k'!N331,'Retirement Calculator'!A:A,0),0),0)</f>
        <v>7896.2379798201846</v>
      </c>
      <c r="K331" s="444">
        <f t="shared" ca="1" si="27"/>
        <v>7919.0123653177407</v>
      </c>
      <c r="L331" s="444">
        <f t="shared" ca="1" si="28"/>
        <v>1908481.9800415754</v>
      </c>
      <c r="M331" s="460">
        <f t="shared" si="30"/>
        <v>0.05</v>
      </c>
      <c r="N331" s="464">
        <f t="shared" si="31"/>
        <v>61118</v>
      </c>
    </row>
    <row r="332" spans="7:14" ht="11.25" customHeight="1" x14ac:dyDescent="0.3">
      <c r="G332" s="459">
        <f>G331+1</f>
        <v>28</v>
      </c>
      <c r="H332" s="459">
        <v>325</v>
      </c>
      <c r="I332" s="444">
        <f t="shared" ca="1" si="29"/>
        <v>1908481.9800415754</v>
      </c>
      <c r="J332" s="444">
        <f t="array" ref="J332">IFERROR(INDEX('Retirement Calculator'!J:J,MATCH('Isaac 401k'!N332,'Retirement Calculator'!A:A,0),0),0)</f>
        <v>7896.2379798201846</v>
      </c>
      <c r="K332" s="444">
        <f t="shared" ca="1" si="27"/>
        <v>7919.1072585906468</v>
      </c>
      <c r="L332" s="444">
        <f t="shared" ca="1" si="28"/>
        <v>1908504.8493203458</v>
      </c>
      <c r="M332" s="460">
        <f t="shared" si="30"/>
        <v>0.05</v>
      </c>
      <c r="N332" s="464">
        <f t="shared" si="31"/>
        <v>61149</v>
      </c>
    </row>
    <row r="333" spans="7:14" ht="11.25" customHeight="1" x14ac:dyDescent="0.3">
      <c r="G333" s="459">
        <f t="shared" ref="G333:G343" si="37">G332</f>
        <v>28</v>
      </c>
      <c r="H333" s="459">
        <v>326</v>
      </c>
      <c r="I333" s="444">
        <f t="shared" ca="1" si="29"/>
        <v>1908504.8493203458</v>
      </c>
      <c r="J333" s="444">
        <f t="array" ref="J333">IFERROR(INDEX('Retirement Calculator'!J:J,MATCH('Isaac 401k'!N333,'Retirement Calculator'!A:A,0),0),0)</f>
        <v>7896.2379798201846</v>
      </c>
      <c r="K333" s="444">
        <f t="shared" ca="1" si="27"/>
        <v>7919.20254725219</v>
      </c>
      <c r="L333" s="444">
        <f t="shared" ca="1" si="28"/>
        <v>1908527.8138877777</v>
      </c>
      <c r="M333" s="460">
        <f t="shared" si="30"/>
        <v>0.05</v>
      </c>
      <c r="N333" s="464">
        <f t="shared" si="31"/>
        <v>61179</v>
      </c>
    </row>
    <row r="334" spans="7:14" ht="11.25" customHeight="1" x14ac:dyDescent="0.3">
      <c r="G334" s="459">
        <f t="shared" si="37"/>
        <v>28</v>
      </c>
      <c r="H334" s="459">
        <v>327</v>
      </c>
      <c r="I334" s="444">
        <f t="shared" ca="1" si="29"/>
        <v>1908527.8138877777</v>
      </c>
      <c r="J334" s="444">
        <f t="array" ref="J334">IFERROR(INDEX('Retirement Calculator'!J:J,MATCH('Isaac 401k'!N334,'Retirement Calculator'!A:A,0),0),0)</f>
        <v>7896.2379798201846</v>
      </c>
      <c r="K334" s="444">
        <f t="shared" ca="1" si="27"/>
        <v>7919.2982329498236</v>
      </c>
      <c r="L334" s="444">
        <f t="shared" ca="1" si="28"/>
        <v>1908550.8741409073</v>
      </c>
      <c r="M334" s="460">
        <f t="shared" si="30"/>
        <v>0.05</v>
      </c>
      <c r="N334" s="464">
        <f t="shared" si="31"/>
        <v>61210</v>
      </c>
    </row>
    <row r="335" spans="7:14" ht="11.25" customHeight="1" x14ac:dyDescent="0.3">
      <c r="G335" s="459">
        <f t="shared" si="37"/>
        <v>28</v>
      </c>
      <c r="H335" s="459">
        <v>328</v>
      </c>
      <c r="I335" s="444">
        <f t="shared" ca="1" si="29"/>
        <v>1908550.8741409073</v>
      </c>
      <c r="J335" s="444">
        <f t="array" ref="J335">IFERROR(INDEX('Retirement Calculator'!J:J,MATCH('Isaac 401k'!N335,'Retirement Calculator'!A:A,0),0),0)</f>
        <v>7896.2379798201846</v>
      </c>
      <c r="K335" s="444">
        <f t="shared" ca="1" si="27"/>
        <v>7919.394317337863</v>
      </c>
      <c r="L335" s="444">
        <f t="shared" ca="1" si="28"/>
        <v>1908574.0304784249</v>
      </c>
      <c r="M335" s="460">
        <f t="shared" si="30"/>
        <v>0.05</v>
      </c>
      <c r="N335" s="464">
        <f t="shared" si="31"/>
        <v>61241</v>
      </c>
    </row>
    <row r="336" spans="7:14" ht="11.25" customHeight="1" x14ac:dyDescent="0.3">
      <c r="G336" s="459">
        <f t="shared" si="37"/>
        <v>28</v>
      </c>
      <c r="H336" s="459">
        <v>329</v>
      </c>
      <c r="I336" s="444">
        <f t="shared" ca="1" si="29"/>
        <v>1908574.0304784249</v>
      </c>
      <c r="J336" s="444">
        <f t="array" ref="J336">IFERROR(INDEX('Retirement Calculator'!J:J,MATCH('Isaac 401k'!N336,'Retirement Calculator'!A:A,0),0),0)</f>
        <v>7896.2379798201846</v>
      </c>
      <c r="K336" s="444">
        <f t="shared" ca="1" si="27"/>
        <v>7919.4908020775192</v>
      </c>
      <c r="L336" s="444">
        <f t="shared" ca="1" si="28"/>
        <v>1908597.2833006822</v>
      </c>
      <c r="M336" s="460">
        <f t="shared" si="30"/>
        <v>0.05</v>
      </c>
      <c r="N336" s="464">
        <f t="shared" si="31"/>
        <v>61271</v>
      </c>
    </row>
    <row r="337" spans="7:14" ht="11.25" customHeight="1" x14ac:dyDescent="0.3">
      <c r="G337" s="459">
        <f t="shared" si="37"/>
        <v>28</v>
      </c>
      <c r="H337" s="459">
        <v>330</v>
      </c>
      <c r="I337" s="444">
        <f t="shared" ca="1" si="29"/>
        <v>1908597.2833006822</v>
      </c>
      <c r="J337" s="444">
        <f t="array" ref="J337">IFERROR(INDEX('Retirement Calculator'!J:J,MATCH('Isaac 401k'!N337,'Retirement Calculator'!A:A,0),0),0)</f>
        <v>7896.2379798201846</v>
      </c>
      <c r="K337" s="444">
        <f t="shared" ca="1" si="27"/>
        <v>7919.5876888369257</v>
      </c>
      <c r="L337" s="444">
        <f t="shared" ca="1" si="28"/>
        <v>1908620.6330096989</v>
      </c>
      <c r="M337" s="460">
        <f t="shared" si="30"/>
        <v>0.05</v>
      </c>
      <c r="N337" s="464">
        <f t="shared" si="31"/>
        <v>61302</v>
      </c>
    </row>
    <row r="338" spans="7:14" ht="11.25" customHeight="1" x14ac:dyDescent="0.3">
      <c r="G338" s="459">
        <f t="shared" si="37"/>
        <v>28</v>
      </c>
      <c r="H338" s="459">
        <v>331</v>
      </c>
      <c r="I338" s="444">
        <f t="shared" ca="1" si="29"/>
        <v>1908620.6330096989</v>
      </c>
      <c r="J338" s="444">
        <f t="array" ref="J338">IFERROR(INDEX('Retirement Calculator'!J:J,MATCH('Isaac 401k'!N338,'Retirement Calculator'!A:A,0),0),0)</f>
        <v>7896.2379798201846</v>
      </c>
      <c r="K338" s="444">
        <f t="shared" ca="1" si="27"/>
        <v>7919.6849792911626</v>
      </c>
      <c r="L338" s="444">
        <f t="shared" ca="1" si="28"/>
        <v>1908644.0800091699</v>
      </c>
      <c r="M338" s="460">
        <f t="shared" si="30"/>
        <v>0.05</v>
      </c>
      <c r="N338" s="464">
        <f t="shared" si="31"/>
        <v>61332</v>
      </c>
    </row>
    <row r="339" spans="7:14" ht="11.25" customHeight="1" x14ac:dyDescent="0.3">
      <c r="G339" s="459">
        <f t="shared" si="37"/>
        <v>28</v>
      </c>
      <c r="H339" s="459">
        <v>332</v>
      </c>
      <c r="I339" s="444">
        <f t="shared" ca="1" si="29"/>
        <v>1908644.0800091699</v>
      </c>
      <c r="J339" s="444">
        <f t="array" ref="J339">IFERROR(INDEX('Retirement Calculator'!J:J,MATCH('Isaac 401k'!N339,'Retirement Calculator'!A:A,0),0),0)</f>
        <v>7896.2379798201846</v>
      </c>
      <c r="K339" s="444">
        <f t="shared" ca="1" si="27"/>
        <v>7919.7826751222901</v>
      </c>
      <c r="L339" s="444">
        <f t="shared" ca="1" si="28"/>
        <v>1908667.624704472</v>
      </c>
      <c r="M339" s="460">
        <f t="shared" si="30"/>
        <v>0.05</v>
      </c>
      <c r="N339" s="464">
        <f t="shared" si="31"/>
        <v>61363</v>
      </c>
    </row>
    <row r="340" spans="7:14" ht="11.25" customHeight="1" x14ac:dyDescent="0.3">
      <c r="G340" s="459">
        <f t="shared" si="37"/>
        <v>28</v>
      </c>
      <c r="H340" s="459">
        <v>333</v>
      </c>
      <c r="I340" s="444">
        <f t="shared" ca="1" si="29"/>
        <v>1908667.624704472</v>
      </c>
      <c r="J340" s="444">
        <f t="array" ref="J340">IFERROR(INDEX('Retirement Calculator'!J:J,MATCH('Isaac 401k'!N340,'Retirement Calculator'!A:A,0),0),0)</f>
        <v>7896.2379798201846</v>
      </c>
      <c r="K340" s="444">
        <f t="shared" ca="1" si="27"/>
        <v>7919.880778019382</v>
      </c>
      <c r="L340" s="444">
        <f t="shared" ca="1" si="28"/>
        <v>1908691.2675026711</v>
      </c>
      <c r="M340" s="460">
        <f t="shared" si="30"/>
        <v>0.05</v>
      </c>
      <c r="N340" s="464">
        <f t="shared" si="31"/>
        <v>61394</v>
      </c>
    </row>
    <row r="341" spans="7:14" ht="11.25" customHeight="1" x14ac:dyDescent="0.3">
      <c r="G341" s="459">
        <f t="shared" si="37"/>
        <v>28</v>
      </c>
      <c r="H341" s="459">
        <v>334</v>
      </c>
      <c r="I341" s="444">
        <f t="shared" ca="1" si="29"/>
        <v>1908691.2675026711</v>
      </c>
      <c r="J341" s="444">
        <f t="array" ref="J341">IFERROR(INDEX('Retirement Calculator'!J:J,MATCH('Isaac 401k'!N341,'Retirement Calculator'!A:A,0),0),0)</f>
        <v>7896.2379798201846</v>
      </c>
      <c r="K341" s="444">
        <f t="shared" ca="1" si="27"/>
        <v>7919.9792896785448</v>
      </c>
      <c r="L341" s="444">
        <f t="shared" ca="1" si="28"/>
        <v>1908715.0088125295</v>
      </c>
      <c r="M341" s="460">
        <f t="shared" si="30"/>
        <v>0.05</v>
      </c>
      <c r="N341" s="464">
        <f t="shared" si="31"/>
        <v>61423</v>
      </c>
    </row>
    <row r="342" spans="7:14" ht="11.25" customHeight="1" x14ac:dyDescent="0.3">
      <c r="G342" s="459">
        <f t="shared" si="37"/>
        <v>28</v>
      </c>
      <c r="H342" s="459">
        <v>335</v>
      </c>
      <c r="I342" s="444">
        <f t="shared" ca="1" si="29"/>
        <v>1908715.0088125295</v>
      </c>
      <c r="J342" s="444">
        <f t="array" ref="J342">IFERROR(INDEX('Retirement Calculator'!J:J,MATCH('Isaac 401k'!N342,'Retirement Calculator'!A:A,0),0),0)</f>
        <v>7896.2379798201846</v>
      </c>
      <c r="K342" s="444">
        <f t="shared" ca="1" si="27"/>
        <v>7920.0782118029565</v>
      </c>
      <c r="L342" s="444">
        <f t="shared" ca="1" si="28"/>
        <v>1908738.8490445123</v>
      </c>
      <c r="M342" s="460">
        <f t="shared" si="30"/>
        <v>0.05</v>
      </c>
      <c r="N342" s="464">
        <f t="shared" si="31"/>
        <v>61454</v>
      </c>
    </row>
    <row r="343" spans="7:14" ht="11.25" customHeight="1" x14ac:dyDescent="0.3">
      <c r="G343" s="459">
        <f t="shared" si="37"/>
        <v>28</v>
      </c>
      <c r="H343" s="459">
        <v>336</v>
      </c>
      <c r="I343" s="444">
        <f t="shared" ca="1" si="29"/>
        <v>1908738.8490445123</v>
      </c>
      <c r="J343" s="444">
        <f t="array" ref="J343">IFERROR(INDEX('Retirement Calculator'!J:J,MATCH('Isaac 401k'!N343,'Retirement Calculator'!A:A,0),0),0)</f>
        <v>7896.2379798201846</v>
      </c>
      <c r="K343" s="444">
        <f t="shared" ca="1" si="27"/>
        <v>7920.1775461028847</v>
      </c>
      <c r="L343" s="444">
        <f t="shared" ca="1" si="28"/>
        <v>1908762.7886107948</v>
      </c>
      <c r="M343" s="460">
        <f t="shared" si="30"/>
        <v>0.05</v>
      </c>
      <c r="N343" s="464">
        <f t="shared" si="31"/>
        <v>61484</v>
      </c>
    </row>
    <row r="344" spans="7:14" ht="11.25" customHeight="1" x14ac:dyDescent="0.3">
      <c r="G344" s="459">
        <f>G343+1</f>
        <v>29</v>
      </c>
      <c r="H344" s="459">
        <v>337</v>
      </c>
      <c r="I344" s="444">
        <f t="shared" ca="1" si="29"/>
        <v>1908762.7886107948</v>
      </c>
      <c r="J344" s="444">
        <f t="array" ref="J344">IFERROR(INDEX('Retirement Calculator'!J:J,MATCH('Isaac 401k'!N344,'Retirement Calculator'!A:A,0),0),0)</f>
        <v>7896.2379798201846</v>
      </c>
      <c r="K344" s="444">
        <f t="shared" ca="1" si="27"/>
        <v>7920.2772942957272</v>
      </c>
      <c r="L344" s="444">
        <f t="shared" ca="1" si="28"/>
        <v>1908786.8279252704</v>
      </c>
      <c r="M344" s="460">
        <f t="shared" si="30"/>
        <v>0.05</v>
      </c>
      <c r="N344" s="464">
        <f t="shared" si="31"/>
        <v>61515</v>
      </c>
    </row>
    <row r="345" spans="7:14" ht="11.25" customHeight="1" x14ac:dyDescent="0.3">
      <c r="G345" s="459">
        <f t="shared" ref="G345:G355" si="38">G344</f>
        <v>29</v>
      </c>
      <c r="H345" s="459">
        <v>338</v>
      </c>
      <c r="I345" s="444">
        <f t="shared" ca="1" si="29"/>
        <v>1908786.8279252704</v>
      </c>
      <c r="J345" s="444">
        <f t="array" ref="J345">IFERROR(INDEX('Retirement Calculator'!J:J,MATCH('Isaac 401k'!N345,'Retirement Calculator'!A:A,0),0),0)</f>
        <v>7896.2379798201846</v>
      </c>
      <c r="K345" s="444">
        <f t="shared" ca="1" si="27"/>
        <v>7920.3774581060434</v>
      </c>
      <c r="L345" s="444">
        <f t="shared" ca="1" si="28"/>
        <v>1908810.9674035562</v>
      </c>
      <c r="M345" s="460">
        <f t="shared" si="30"/>
        <v>0.05</v>
      </c>
      <c r="N345" s="464">
        <f t="shared" si="31"/>
        <v>61545</v>
      </c>
    </row>
    <row r="346" spans="7:14" ht="11.25" customHeight="1" x14ac:dyDescent="0.3">
      <c r="G346" s="459">
        <f t="shared" si="38"/>
        <v>29</v>
      </c>
      <c r="H346" s="459">
        <v>339</v>
      </c>
      <c r="I346" s="444">
        <f t="shared" ca="1" si="29"/>
        <v>1908810.9674035562</v>
      </c>
      <c r="J346" s="444">
        <f t="array" ref="J346">IFERROR(INDEX('Retirement Calculator'!J:J,MATCH('Isaac 401k'!N346,'Retirement Calculator'!A:A,0),0),0)</f>
        <v>7896.2379798201846</v>
      </c>
      <c r="K346" s="444">
        <f t="shared" ca="1" si="27"/>
        <v>7920.4780392655666</v>
      </c>
      <c r="L346" s="444">
        <f t="shared" ca="1" si="28"/>
        <v>1908835.2074630016</v>
      </c>
      <c r="M346" s="460">
        <f t="shared" si="30"/>
        <v>0.05</v>
      </c>
      <c r="N346" s="464">
        <f t="shared" si="31"/>
        <v>61576</v>
      </c>
    </row>
    <row r="347" spans="7:14" ht="11.25" customHeight="1" x14ac:dyDescent="0.3">
      <c r="G347" s="459">
        <f t="shared" si="38"/>
        <v>29</v>
      </c>
      <c r="H347" s="459">
        <v>340</v>
      </c>
      <c r="I347" s="444">
        <f t="shared" ca="1" si="29"/>
        <v>1908835.2074630016</v>
      </c>
      <c r="J347" s="444">
        <f t="array" ref="J347">IFERROR(INDEX('Retirement Calculator'!J:J,MATCH('Isaac 401k'!N347,'Retirement Calculator'!A:A,0),0),0)</f>
        <v>7896.2379798201846</v>
      </c>
      <c r="K347" s="444">
        <f t="shared" ca="1" si="27"/>
        <v>7920.5790395132553</v>
      </c>
      <c r="L347" s="444">
        <f t="shared" ca="1" si="28"/>
        <v>1908859.5485226947</v>
      </c>
      <c r="M347" s="460">
        <f t="shared" si="30"/>
        <v>0.05</v>
      </c>
      <c r="N347" s="464">
        <f t="shared" si="31"/>
        <v>61607</v>
      </c>
    </row>
    <row r="348" spans="7:14" ht="11.25" customHeight="1" x14ac:dyDescent="0.3">
      <c r="G348" s="459">
        <f t="shared" si="38"/>
        <v>29</v>
      </c>
      <c r="H348" s="459">
        <v>341</v>
      </c>
      <c r="I348" s="444">
        <f t="shared" ca="1" si="29"/>
        <v>1908859.5485226947</v>
      </c>
      <c r="J348" s="444">
        <f t="array" ref="J348">IFERROR(INDEX('Retirement Calculator'!J:J,MATCH('Isaac 401k'!N348,'Retirement Calculator'!A:A,0),0),0)</f>
        <v>7896.2379798201846</v>
      </c>
      <c r="K348" s="444">
        <f t="shared" ca="1" si="27"/>
        <v>7920.6804605953103</v>
      </c>
      <c r="L348" s="444">
        <f t="shared" ca="1" si="28"/>
        <v>1908883.9910034698</v>
      </c>
      <c r="M348" s="460">
        <f t="shared" si="30"/>
        <v>0.05</v>
      </c>
      <c r="N348" s="464">
        <f t="shared" si="31"/>
        <v>61637</v>
      </c>
    </row>
    <row r="349" spans="7:14" ht="11.25" customHeight="1" x14ac:dyDescent="0.3">
      <c r="G349" s="459">
        <f t="shared" si="38"/>
        <v>29</v>
      </c>
      <c r="H349" s="459">
        <v>342</v>
      </c>
      <c r="I349" s="444">
        <f t="shared" ca="1" si="29"/>
        <v>1908883.9910034698</v>
      </c>
      <c r="J349" s="444">
        <f t="array" ref="J349">IFERROR(INDEX('Retirement Calculator'!J:J,MATCH('Isaac 401k'!N349,'Retirement Calculator'!A:A,0),0),0)</f>
        <v>7896.2379798201846</v>
      </c>
      <c r="K349" s="444">
        <f t="shared" ca="1" si="27"/>
        <v>7920.7823042652053</v>
      </c>
      <c r="L349" s="444">
        <f t="shared" ca="1" si="28"/>
        <v>1908908.5353279149</v>
      </c>
      <c r="M349" s="460">
        <f t="shared" si="30"/>
        <v>0.05</v>
      </c>
      <c r="N349" s="464">
        <f t="shared" si="31"/>
        <v>61668</v>
      </c>
    </row>
    <row r="350" spans="7:14" ht="11.25" customHeight="1" x14ac:dyDescent="0.3">
      <c r="G350" s="459">
        <f t="shared" si="38"/>
        <v>29</v>
      </c>
      <c r="H350" s="459">
        <v>343</v>
      </c>
      <c r="I350" s="444">
        <f t="shared" ca="1" si="29"/>
        <v>1908908.5353279149</v>
      </c>
      <c r="J350" s="444">
        <f t="array" ref="J350">IFERROR(INDEX('Retirement Calculator'!J:J,MATCH('Isaac 401k'!N350,'Retirement Calculator'!A:A,0),0),0)</f>
        <v>7896.2379798201846</v>
      </c>
      <c r="K350" s="444">
        <f t="shared" ca="1" si="27"/>
        <v>7920.8845722837277</v>
      </c>
      <c r="L350" s="444">
        <f t="shared" ca="1" si="28"/>
        <v>1908933.1819203785</v>
      </c>
      <c r="M350" s="460">
        <f t="shared" si="30"/>
        <v>0.05</v>
      </c>
      <c r="N350" s="464">
        <f t="shared" si="31"/>
        <v>61698</v>
      </c>
    </row>
    <row r="351" spans="7:14" ht="11.25" customHeight="1" x14ac:dyDescent="0.3">
      <c r="G351" s="459">
        <f t="shared" si="38"/>
        <v>29</v>
      </c>
      <c r="H351" s="459">
        <v>344</v>
      </c>
      <c r="I351" s="444">
        <f t="shared" ca="1" si="29"/>
        <v>1908933.1819203785</v>
      </c>
      <c r="J351" s="444">
        <f t="array" ref="J351">IFERROR(INDEX('Retirement Calculator'!J:J,MATCH('Isaac 401k'!N351,'Retirement Calculator'!A:A,0),0),0)</f>
        <v>7896.2379798201846</v>
      </c>
      <c r="K351" s="444">
        <f t="shared" ca="1" si="27"/>
        <v>7920.9872664189925</v>
      </c>
      <c r="L351" s="444">
        <f t="shared" ca="1" si="28"/>
        <v>1908957.9312069772</v>
      </c>
      <c r="M351" s="460">
        <f t="shared" si="30"/>
        <v>0.05</v>
      </c>
      <c r="N351" s="464">
        <f t="shared" si="31"/>
        <v>61729</v>
      </c>
    </row>
    <row r="352" spans="7:14" ht="11.25" customHeight="1" x14ac:dyDescent="0.3">
      <c r="G352" s="459">
        <f t="shared" si="38"/>
        <v>29</v>
      </c>
      <c r="H352" s="459">
        <v>345</v>
      </c>
      <c r="I352" s="444">
        <f t="shared" ca="1" si="29"/>
        <v>1908957.9312069772</v>
      </c>
      <c r="J352" s="444">
        <f t="array" ref="J352">IFERROR(INDEX('Retirement Calculator'!J:J,MATCH('Isaac 401k'!N352,'Retirement Calculator'!A:A,0),0),0)</f>
        <v>7896.2379798201846</v>
      </c>
      <c r="K352" s="444">
        <f t="shared" ca="1" si="27"/>
        <v>7921.0903884464869</v>
      </c>
      <c r="L352" s="444">
        <f t="shared" ca="1" si="28"/>
        <v>1908982.7836156036</v>
      </c>
      <c r="M352" s="460">
        <f t="shared" si="30"/>
        <v>0.05</v>
      </c>
      <c r="N352" s="464">
        <f t="shared" si="31"/>
        <v>61760</v>
      </c>
    </row>
    <row r="353" spans="7:14" ht="11.25" customHeight="1" x14ac:dyDescent="0.3">
      <c r="G353" s="459">
        <f t="shared" si="38"/>
        <v>29</v>
      </c>
      <c r="H353" s="459">
        <v>346</v>
      </c>
      <c r="I353" s="444">
        <f t="shared" ca="1" si="29"/>
        <v>1908982.7836156036</v>
      </c>
      <c r="J353" s="444">
        <f t="array" ref="J353">IFERROR(INDEX('Retirement Calculator'!J:J,MATCH('Isaac 401k'!N353,'Retirement Calculator'!A:A,0),0),0)</f>
        <v>7896.2379798201846</v>
      </c>
      <c r="K353" s="444">
        <f t="shared" ca="1" si="27"/>
        <v>7921.1939401490972</v>
      </c>
      <c r="L353" s="444">
        <f t="shared" ca="1" si="28"/>
        <v>1909007.7395759325</v>
      </c>
      <c r="M353" s="460">
        <f t="shared" si="30"/>
        <v>0.05</v>
      </c>
      <c r="N353" s="464">
        <f t="shared" si="31"/>
        <v>61788</v>
      </c>
    </row>
    <row r="354" spans="7:14" ht="11.25" customHeight="1" x14ac:dyDescent="0.3">
      <c r="G354" s="459">
        <f t="shared" si="38"/>
        <v>29</v>
      </c>
      <c r="H354" s="459">
        <v>347</v>
      </c>
      <c r="I354" s="444">
        <f t="shared" ca="1" si="29"/>
        <v>1909007.7395759325</v>
      </c>
      <c r="J354" s="444">
        <f t="array" ref="J354">IFERROR(INDEX('Retirement Calculator'!J:J,MATCH('Isaac 401k'!N354,'Retirement Calculator'!A:A,0),0),0)</f>
        <v>7896.2379798201846</v>
      </c>
      <c r="K354" s="444">
        <f t="shared" ca="1" si="27"/>
        <v>7921.2979233171345</v>
      </c>
      <c r="L354" s="444">
        <f t="shared" ca="1" si="28"/>
        <v>1909032.7995194294</v>
      </c>
      <c r="M354" s="460">
        <f t="shared" si="30"/>
        <v>0.05</v>
      </c>
      <c r="N354" s="464">
        <f t="shared" si="31"/>
        <v>61819</v>
      </c>
    </row>
    <row r="355" spans="7:14" ht="11.25" customHeight="1" x14ac:dyDescent="0.3">
      <c r="G355" s="459">
        <f t="shared" si="38"/>
        <v>29</v>
      </c>
      <c r="H355" s="459">
        <v>348</v>
      </c>
      <c r="I355" s="444">
        <f t="shared" ca="1" si="29"/>
        <v>1909032.7995194294</v>
      </c>
      <c r="J355" s="444">
        <f t="array" ref="J355">IFERROR(INDEX('Retirement Calculator'!J:J,MATCH('Isaac 401k'!N355,'Retirement Calculator'!A:A,0),0),0)</f>
        <v>7896.2379798201846</v>
      </c>
      <c r="K355" s="444">
        <f t="shared" ca="1" si="27"/>
        <v>7921.4023397483716</v>
      </c>
      <c r="L355" s="444">
        <f t="shared" ca="1" si="28"/>
        <v>1909057.9638793576</v>
      </c>
      <c r="M355" s="460">
        <f t="shared" si="30"/>
        <v>0.05</v>
      </c>
      <c r="N355" s="464">
        <f t="shared" si="31"/>
        <v>61849</v>
      </c>
    </row>
    <row r="356" spans="7:14" ht="11.25" customHeight="1" x14ac:dyDescent="0.3">
      <c r="G356" s="459">
        <f>G355+1</f>
        <v>30</v>
      </c>
      <c r="H356" s="459">
        <v>349</v>
      </c>
      <c r="I356" s="444">
        <f t="shared" ca="1" si="29"/>
        <v>1909057.9638793576</v>
      </c>
      <c r="J356" s="444">
        <f t="array" ref="J356">IFERROR(INDEX('Retirement Calculator'!J:J,MATCH('Isaac 401k'!N356,'Retirement Calculator'!A:A,0),0),0)</f>
        <v>7896.2379798201846</v>
      </c>
      <c r="K356" s="444">
        <f t="shared" ca="1" si="27"/>
        <v>7921.5071912480735</v>
      </c>
      <c r="L356" s="444">
        <f t="shared" ca="1" si="28"/>
        <v>1909083.2330907853</v>
      </c>
      <c r="M356" s="460">
        <f t="shared" si="30"/>
        <v>0.05</v>
      </c>
      <c r="N356" s="464">
        <f t="shared" si="31"/>
        <v>61880</v>
      </c>
    </row>
    <row r="357" spans="7:14" ht="11.25" customHeight="1" x14ac:dyDescent="0.3">
      <c r="G357" s="459">
        <f t="shared" ref="G357:G367" si="39">G356</f>
        <v>30</v>
      </c>
      <c r="H357" s="459">
        <v>350</v>
      </c>
      <c r="I357" s="444">
        <f t="shared" ca="1" si="29"/>
        <v>1909083.2330907853</v>
      </c>
      <c r="J357" s="444">
        <f t="array" ref="J357">IFERROR(INDEX('Retirement Calculator'!J:J,MATCH('Isaac 401k'!N357,'Retirement Calculator'!A:A,0),0),0)</f>
        <v>7896.2379798201846</v>
      </c>
      <c r="K357" s="444">
        <f t="shared" ca="1" si="27"/>
        <v>7921.6124796290214</v>
      </c>
      <c r="L357" s="444">
        <f t="shared" ca="1" si="28"/>
        <v>1909108.6075905941</v>
      </c>
      <c r="M357" s="460">
        <f t="shared" si="30"/>
        <v>0.05</v>
      </c>
      <c r="N357" s="464">
        <f t="shared" si="31"/>
        <v>61910</v>
      </c>
    </row>
    <row r="358" spans="7:14" ht="11.25" customHeight="1" x14ac:dyDescent="0.3">
      <c r="G358" s="459">
        <f t="shared" si="39"/>
        <v>30</v>
      </c>
      <c r="H358" s="459">
        <v>351</v>
      </c>
      <c r="I358" s="444">
        <f t="shared" ca="1" si="29"/>
        <v>1909108.6075905941</v>
      </c>
      <c r="J358" s="444">
        <f t="array" ref="J358">IFERROR(INDEX('Retirement Calculator'!J:J,MATCH('Isaac 401k'!N358,'Retirement Calculator'!A:A,0),0),0)</f>
        <v>7896.2379798201846</v>
      </c>
      <c r="K358" s="444">
        <f t="shared" ca="1" si="27"/>
        <v>7921.7182067115573</v>
      </c>
      <c r="L358" s="444">
        <f t="shared" ca="1" si="28"/>
        <v>1909134.0878174854</v>
      </c>
      <c r="M358" s="460">
        <f t="shared" si="30"/>
        <v>0.05</v>
      </c>
      <c r="N358" s="464">
        <f t="shared" si="31"/>
        <v>61941</v>
      </c>
    </row>
    <row r="359" spans="7:14" ht="11.25" customHeight="1" x14ac:dyDescent="0.3">
      <c r="G359" s="459">
        <f t="shared" si="39"/>
        <v>30</v>
      </c>
      <c r="H359" s="459">
        <v>352</v>
      </c>
      <c r="I359" s="444">
        <f t="shared" ca="1" si="29"/>
        <v>1909134.0878174854</v>
      </c>
      <c r="J359" s="444">
        <f t="array" ref="J359">IFERROR(INDEX('Retirement Calculator'!J:J,MATCH('Isaac 401k'!N359,'Retirement Calculator'!A:A,0),0),0)</f>
        <v>7896.2379798201846</v>
      </c>
      <c r="K359" s="444">
        <f t="shared" ca="1" si="27"/>
        <v>7921.8243743236053</v>
      </c>
      <c r="L359" s="444">
        <f t="shared" ca="1" si="28"/>
        <v>1909159.6742119889</v>
      </c>
      <c r="M359" s="460">
        <f t="shared" si="30"/>
        <v>0.05</v>
      </c>
      <c r="N359" s="464">
        <f t="shared" si="31"/>
        <v>61972</v>
      </c>
    </row>
    <row r="360" spans="7:14" ht="11.25" customHeight="1" x14ac:dyDescent="0.3">
      <c r="G360" s="459">
        <f t="shared" si="39"/>
        <v>30</v>
      </c>
      <c r="H360" s="459">
        <v>353</v>
      </c>
      <c r="I360" s="444">
        <f t="shared" ca="1" si="29"/>
        <v>1909159.6742119889</v>
      </c>
      <c r="J360" s="444">
        <f t="array" ref="J360">IFERROR(INDEX('Retirement Calculator'!J:J,MATCH('Isaac 401k'!N360,'Retirement Calculator'!A:A,0),0),0)</f>
        <v>7896.2379798201846</v>
      </c>
      <c r="K360" s="444">
        <f t="shared" ca="1" si="27"/>
        <v>7921.9309843007031</v>
      </c>
      <c r="L360" s="444">
        <f t="shared" ca="1" si="28"/>
        <v>1909185.3672164695</v>
      </c>
      <c r="M360" s="460">
        <f t="shared" si="30"/>
        <v>0.05</v>
      </c>
      <c r="N360" s="464">
        <f t="shared" si="31"/>
        <v>62002</v>
      </c>
    </row>
    <row r="361" spans="7:14" ht="11.25" customHeight="1" x14ac:dyDescent="0.3">
      <c r="G361" s="459">
        <f t="shared" si="39"/>
        <v>30</v>
      </c>
      <c r="H361" s="459">
        <v>354</v>
      </c>
      <c r="I361" s="444">
        <f t="shared" ca="1" si="29"/>
        <v>1909185.3672164695</v>
      </c>
      <c r="J361" s="444">
        <f t="array" ref="J361">IFERROR(INDEX('Retirement Calculator'!J:J,MATCH('Isaac 401k'!N361,'Retirement Calculator'!A:A,0),0),0)</f>
        <v>7896.2379798201846</v>
      </c>
      <c r="K361" s="444">
        <f t="shared" ca="1" si="27"/>
        <v>7922.0380384860391</v>
      </c>
      <c r="L361" s="444">
        <f t="shared" ca="1" si="28"/>
        <v>1909211.1672751354</v>
      </c>
      <c r="M361" s="460">
        <f t="shared" si="30"/>
        <v>0.05</v>
      </c>
      <c r="N361" s="464">
        <f t="shared" si="31"/>
        <v>62033</v>
      </c>
    </row>
    <row r="362" spans="7:14" ht="11.25" customHeight="1" x14ac:dyDescent="0.3">
      <c r="G362" s="459">
        <f t="shared" si="39"/>
        <v>30</v>
      </c>
      <c r="H362" s="459">
        <v>355</v>
      </c>
      <c r="I362" s="444">
        <f t="shared" ca="1" si="29"/>
        <v>1909211.1672751354</v>
      </c>
      <c r="J362" s="444">
        <f t="array" ref="J362">IFERROR(INDEX('Retirement Calculator'!J:J,MATCH('Isaac 401k'!N362,'Retirement Calculator'!A:A,0),0),0)</f>
        <v>7896.2379798201846</v>
      </c>
      <c r="K362" s="444">
        <f t="shared" ca="1" si="27"/>
        <v>7922.1455387304786</v>
      </c>
      <c r="L362" s="444">
        <f t="shared" ca="1" si="28"/>
        <v>1909237.0748340457</v>
      </c>
      <c r="M362" s="460">
        <f t="shared" si="30"/>
        <v>0.05</v>
      </c>
      <c r="N362" s="464">
        <f t="shared" si="31"/>
        <v>62063</v>
      </c>
    </row>
    <row r="363" spans="7:14" ht="11.25" customHeight="1" x14ac:dyDescent="0.3">
      <c r="G363" s="459">
        <f t="shared" si="39"/>
        <v>30</v>
      </c>
      <c r="H363" s="459">
        <v>356</v>
      </c>
      <c r="I363" s="444">
        <f t="shared" ca="1" si="29"/>
        <v>1909237.0748340457</v>
      </c>
      <c r="J363" s="444">
        <f t="array" ref="J363">IFERROR(INDEX('Retirement Calculator'!J:J,MATCH('Isaac 401k'!N363,'Retirement Calculator'!A:A,0),0),0)</f>
        <v>7896.2379798201846</v>
      </c>
      <c r="K363" s="444">
        <f t="shared" ca="1" si="27"/>
        <v>7922.2534868926059</v>
      </c>
      <c r="L363" s="444">
        <f t="shared" ca="1" si="28"/>
        <v>1909263.0903411182</v>
      </c>
      <c r="M363" s="460">
        <f t="shared" si="30"/>
        <v>0.05</v>
      </c>
      <c r="N363" s="464">
        <f t="shared" si="31"/>
        <v>62094</v>
      </c>
    </row>
    <row r="364" spans="7:14" ht="11.25" customHeight="1" x14ac:dyDescent="0.3">
      <c r="G364" s="459">
        <f t="shared" si="39"/>
        <v>30</v>
      </c>
      <c r="H364" s="459">
        <v>357</v>
      </c>
      <c r="I364" s="444">
        <f t="shared" ca="1" si="29"/>
        <v>1909263.0903411182</v>
      </c>
      <c r="J364" s="444">
        <f t="array" ref="J364">IFERROR(INDEX('Retirement Calculator'!J:J,MATCH('Isaac 401k'!N364,'Retirement Calculator'!A:A,0),0),0)</f>
        <v>7896.2379798201846</v>
      </c>
      <c r="K364" s="444">
        <f t="shared" ca="1" si="27"/>
        <v>7922.3618848387423</v>
      </c>
      <c r="L364" s="444">
        <f t="shared" ca="1" si="28"/>
        <v>1909289.2142461366</v>
      </c>
      <c r="M364" s="460">
        <f t="shared" si="30"/>
        <v>0.05</v>
      </c>
      <c r="N364" s="464">
        <f t="shared" si="31"/>
        <v>62125</v>
      </c>
    </row>
    <row r="365" spans="7:14" ht="11.25" customHeight="1" x14ac:dyDescent="0.3">
      <c r="G365" s="459">
        <f t="shared" si="39"/>
        <v>30</v>
      </c>
      <c r="H365" s="459">
        <v>358</v>
      </c>
      <c r="I365" s="444">
        <f t="shared" ca="1" si="29"/>
        <v>1909289.2142461366</v>
      </c>
      <c r="J365" s="444">
        <f t="array" ref="J365">IFERROR(INDEX('Retirement Calculator'!J:J,MATCH('Isaac 401k'!N365,'Retirement Calculator'!A:A,0),0),0)</f>
        <v>7896.2379798201846</v>
      </c>
      <c r="K365" s="444">
        <f t="shared" ca="1" si="27"/>
        <v>7922.4707344429853</v>
      </c>
      <c r="L365" s="444">
        <f t="shared" ca="1" si="28"/>
        <v>1909315.4470007594</v>
      </c>
      <c r="M365" s="460">
        <f t="shared" si="30"/>
        <v>0.05</v>
      </c>
      <c r="N365" s="464">
        <f t="shared" si="31"/>
        <v>62153</v>
      </c>
    </row>
    <row r="366" spans="7:14" ht="11.25" customHeight="1" x14ac:dyDescent="0.3">
      <c r="G366" s="459">
        <f t="shared" si="39"/>
        <v>30</v>
      </c>
      <c r="H366" s="459">
        <v>359</v>
      </c>
      <c r="I366" s="444">
        <f t="shared" ca="1" si="29"/>
        <v>1909315.4470007594</v>
      </c>
      <c r="J366" s="444">
        <f t="array" ref="J366">IFERROR(INDEX('Retirement Calculator'!J:J,MATCH('Isaac 401k'!N366,'Retirement Calculator'!A:A,0),0),0)</f>
        <v>7896.2379798201846</v>
      </c>
      <c r="K366" s="444">
        <f t="shared" ca="1" si="27"/>
        <v>7922.5800375872468</v>
      </c>
      <c r="L366" s="444">
        <f t="shared" ca="1" si="28"/>
        <v>1909341.7890585265</v>
      </c>
      <c r="M366" s="460">
        <f t="shared" si="30"/>
        <v>0.05</v>
      </c>
      <c r="N366" s="464">
        <f t="shared" si="31"/>
        <v>62184</v>
      </c>
    </row>
    <row r="367" spans="7:14" ht="11.25" customHeight="1" x14ac:dyDescent="0.3">
      <c r="G367" s="459">
        <f t="shared" si="39"/>
        <v>30</v>
      </c>
      <c r="H367" s="459">
        <v>360</v>
      </c>
      <c r="I367" s="444">
        <f t="shared" ca="1" si="29"/>
        <v>1909341.7890585265</v>
      </c>
      <c r="J367" s="444">
        <f t="array" ref="J367">IFERROR(INDEX('Retirement Calculator'!J:J,MATCH('Isaac 401k'!N367,'Retirement Calculator'!A:A,0),0),0)</f>
        <v>7896.2379798201846</v>
      </c>
      <c r="K367" s="444">
        <f t="shared" ca="1" si="27"/>
        <v>7922.6897961612749</v>
      </c>
      <c r="L367" s="444">
        <f t="shared" ca="1" si="28"/>
        <v>1909368.2408748677</v>
      </c>
      <c r="M367" s="460">
        <f t="shared" si="30"/>
        <v>0.05</v>
      </c>
      <c r="N367" s="464">
        <f t="shared" si="31"/>
        <v>62214</v>
      </c>
    </row>
    <row r="368" spans="7:14" ht="11.25" customHeight="1" x14ac:dyDescent="0.3">
      <c r="G368" s="459">
        <f>G367+1</f>
        <v>31</v>
      </c>
      <c r="H368" s="459">
        <v>361</v>
      </c>
      <c r="I368" s="444">
        <f t="shared" ca="1" si="29"/>
        <v>1909368.2408748677</v>
      </c>
      <c r="J368" s="444">
        <f t="array" ref="J368">IFERROR(INDEX('Retirement Calculator'!J:J,MATCH('Isaac 401k'!N368,'Retirement Calculator'!A:A,0),0),0)</f>
        <v>7896.2379798201846</v>
      </c>
      <c r="K368" s="444">
        <f t="shared" ca="1" si="27"/>
        <v>7922.8000120626975</v>
      </c>
      <c r="L368" s="444">
        <f t="shared" ca="1" si="28"/>
        <v>1909394.8029071102</v>
      </c>
      <c r="M368" s="460">
        <f t="shared" si="30"/>
        <v>0.05</v>
      </c>
      <c r="N368" s="464">
        <f t="shared" si="31"/>
        <v>62245</v>
      </c>
    </row>
    <row r="369" spans="7:14" ht="11.25" customHeight="1" x14ac:dyDescent="0.3">
      <c r="G369" s="459">
        <f t="shared" ref="G369:G379" si="40">G368</f>
        <v>31</v>
      </c>
      <c r="H369" s="459">
        <v>362</v>
      </c>
      <c r="I369" s="444">
        <f t="shared" ca="1" si="29"/>
        <v>1909394.8029071102</v>
      </c>
      <c r="J369" s="444">
        <f t="array" ref="J369">IFERROR(INDEX('Retirement Calculator'!J:J,MATCH('Isaac 401k'!N369,'Retirement Calculator'!A:A,0),0),0)</f>
        <v>7896.2379798201846</v>
      </c>
      <c r="K369" s="444">
        <f t="shared" ca="1" si="27"/>
        <v>7922.9106871970416</v>
      </c>
      <c r="L369" s="444">
        <f t="shared" ca="1" si="28"/>
        <v>1909421.475614487</v>
      </c>
      <c r="M369" s="460">
        <f t="shared" si="30"/>
        <v>0.05</v>
      </c>
      <c r="N369" s="464">
        <f t="shared" si="31"/>
        <v>62275</v>
      </c>
    </row>
    <row r="370" spans="7:14" ht="11.25" customHeight="1" x14ac:dyDescent="0.3">
      <c r="G370" s="459">
        <f t="shared" si="40"/>
        <v>31</v>
      </c>
      <c r="H370" s="459">
        <v>363</v>
      </c>
      <c r="I370" s="444">
        <f t="shared" ca="1" si="29"/>
        <v>1909421.475614487</v>
      </c>
      <c r="J370" s="444">
        <f t="array" ref="J370">IFERROR(INDEX('Retirement Calculator'!J:J,MATCH('Isaac 401k'!N370,'Retirement Calculator'!A:A,0),0),0)</f>
        <v>7896.2379798201846</v>
      </c>
      <c r="K370" s="444">
        <f t="shared" ca="1" si="27"/>
        <v>7923.0218234777776</v>
      </c>
      <c r="L370" s="444">
        <f t="shared" ca="1" si="28"/>
        <v>1909448.2594581444</v>
      </c>
      <c r="M370" s="460">
        <f t="shared" si="30"/>
        <v>0.05</v>
      </c>
      <c r="N370" s="464">
        <f t="shared" si="31"/>
        <v>62306</v>
      </c>
    </row>
    <row r="371" spans="7:14" ht="11.25" customHeight="1" x14ac:dyDescent="0.3">
      <c r="G371" s="459">
        <f t="shared" si="40"/>
        <v>31</v>
      </c>
      <c r="H371" s="459">
        <v>364</v>
      </c>
      <c r="I371" s="444">
        <f t="shared" ca="1" si="29"/>
        <v>1909448.2594581444</v>
      </c>
      <c r="J371" s="444">
        <f t="array" ref="J371">IFERROR(INDEX('Retirement Calculator'!J:J,MATCH('Isaac 401k'!N371,'Retirement Calculator'!A:A,0),0),0)</f>
        <v>7896.2379798201846</v>
      </c>
      <c r="K371" s="444">
        <f t="shared" ca="1" si="27"/>
        <v>7923.1334228263504</v>
      </c>
      <c r="L371" s="444">
        <f t="shared" ca="1" si="28"/>
        <v>1909475.1549011506</v>
      </c>
      <c r="M371" s="460">
        <f t="shared" si="30"/>
        <v>0.05</v>
      </c>
      <c r="N371" s="464">
        <f t="shared" si="31"/>
        <v>62337</v>
      </c>
    </row>
    <row r="372" spans="7:14" ht="11.25" customHeight="1" x14ac:dyDescent="0.3">
      <c r="G372" s="459">
        <f t="shared" si="40"/>
        <v>31</v>
      </c>
      <c r="H372" s="459">
        <v>365</v>
      </c>
      <c r="I372" s="444">
        <f t="shared" ca="1" si="29"/>
        <v>1909475.1549011506</v>
      </c>
      <c r="J372" s="444">
        <f t="array" ref="J372">IFERROR(INDEX('Retirement Calculator'!J:J,MATCH('Isaac 401k'!N372,'Retirement Calculator'!A:A,0),0),0)</f>
        <v>7896.2379798201846</v>
      </c>
      <c r="K372" s="444">
        <f t="shared" ca="1" si="27"/>
        <v>7923.2454871722084</v>
      </c>
      <c r="L372" s="444">
        <f t="shared" ca="1" si="28"/>
        <v>1909502.1624085025</v>
      </c>
      <c r="M372" s="460">
        <f t="shared" si="30"/>
        <v>0.05</v>
      </c>
      <c r="N372" s="464">
        <f t="shared" si="31"/>
        <v>62367</v>
      </c>
    </row>
    <row r="373" spans="7:14" ht="11.25" customHeight="1" x14ac:dyDescent="0.3">
      <c r="G373" s="459">
        <f t="shared" si="40"/>
        <v>31</v>
      </c>
      <c r="H373" s="459">
        <v>366</v>
      </c>
      <c r="I373" s="444">
        <f t="shared" ca="1" si="29"/>
        <v>1909502.1624085025</v>
      </c>
      <c r="J373" s="444">
        <f t="array" ref="J373">IFERROR(INDEX('Retirement Calculator'!J:J,MATCH('Isaac 401k'!N373,'Retirement Calculator'!A:A,0),0),0)</f>
        <v>7896.2379798201846</v>
      </c>
      <c r="K373" s="444">
        <f t="shared" ca="1" si="27"/>
        <v>7923.3580184528437</v>
      </c>
      <c r="L373" s="444">
        <f t="shared" ca="1" si="28"/>
        <v>1909529.2824471351</v>
      </c>
      <c r="M373" s="460">
        <f t="shared" si="30"/>
        <v>0.05</v>
      </c>
      <c r="N373" s="464">
        <f t="shared" si="31"/>
        <v>62398</v>
      </c>
    </row>
    <row r="374" spans="7:14" ht="11.25" customHeight="1" x14ac:dyDescent="0.3">
      <c r="G374" s="459">
        <f t="shared" si="40"/>
        <v>31</v>
      </c>
      <c r="H374" s="459">
        <v>367</v>
      </c>
      <c r="I374" s="444">
        <f t="shared" ca="1" si="29"/>
        <v>1909529.2824471351</v>
      </c>
      <c r="J374" s="444">
        <f t="array" ref="J374">IFERROR(INDEX('Retirement Calculator'!J:J,MATCH('Isaac 401k'!N374,'Retirement Calculator'!A:A,0),0),0)</f>
        <v>7896.2379798201846</v>
      </c>
      <c r="K374" s="444">
        <f t="shared" ca="1" si="27"/>
        <v>7923.4710186138109</v>
      </c>
      <c r="L374" s="444">
        <f t="shared" ca="1" si="28"/>
        <v>1909556.5154859286</v>
      </c>
      <c r="M374" s="460">
        <f t="shared" si="30"/>
        <v>0.05</v>
      </c>
      <c r="N374" s="464">
        <f t="shared" si="31"/>
        <v>62428</v>
      </c>
    </row>
    <row r="375" spans="7:14" ht="11.25" customHeight="1" x14ac:dyDescent="0.3">
      <c r="G375" s="459">
        <f t="shared" si="40"/>
        <v>31</v>
      </c>
      <c r="H375" s="459">
        <v>368</v>
      </c>
      <c r="I375" s="444">
        <f t="shared" ca="1" si="29"/>
        <v>1909556.5154859286</v>
      </c>
      <c r="J375" s="444">
        <f t="array" ref="J375">IFERROR(INDEX('Retirement Calculator'!J:J,MATCH('Isaac 401k'!N375,'Retirement Calculator'!A:A,0),0),0)</f>
        <v>7896.2379798201846</v>
      </c>
      <c r="K375" s="444">
        <f t="shared" ca="1" si="27"/>
        <v>7923.5844896087838</v>
      </c>
      <c r="L375" s="444">
        <f t="shared" ca="1" si="28"/>
        <v>1909583.8619957173</v>
      </c>
      <c r="M375" s="460">
        <f t="shared" si="30"/>
        <v>0.05</v>
      </c>
      <c r="N375" s="464">
        <f t="shared" si="31"/>
        <v>62459</v>
      </c>
    </row>
    <row r="376" spans="7:14" ht="11.25" customHeight="1" x14ac:dyDescent="0.3">
      <c r="G376" s="459">
        <f t="shared" si="40"/>
        <v>31</v>
      </c>
      <c r="H376" s="459">
        <v>369</v>
      </c>
      <c r="I376" s="444">
        <f t="shared" ca="1" si="29"/>
        <v>1909583.8619957173</v>
      </c>
      <c r="J376" s="444">
        <f t="array" ref="J376">IFERROR(INDEX('Retirement Calculator'!J:J,MATCH('Isaac 401k'!N376,'Retirement Calculator'!A:A,0),0),0)</f>
        <v>7896.2379798201846</v>
      </c>
      <c r="K376" s="444">
        <f t="shared" ca="1" si="27"/>
        <v>7923.6984333995706</v>
      </c>
      <c r="L376" s="444">
        <f t="shared" ca="1" si="28"/>
        <v>1909611.3224492967</v>
      </c>
      <c r="M376" s="460">
        <f t="shared" si="30"/>
        <v>0.05</v>
      </c>
      <c r="N376" s="464">
        <f t="shared" si="31"/>
        <v>62490</v>
      </c>
    </row>
    <row r="377" spans="7:14" ht="11.25" customHeight="1" x14ac:dyDescent="0.3">
      <c r="G377" s="459">
        <f t="shared" si="40"/>
        <v>31</v>
      </c>
      <c r="H377" s="459">
        <v>370</v>
      </c>
      <c r="I377" s="444">
        <f t="shared" ca="1" si="29"/>
        <v>1909611.3224492967</v>
      </c>
      <c r="J377" s="444">
        <f t="array" ref="J377">IFERROR(INDEX('Retirement Calculator'!J:J,MATCH('Isaac 401k'!N377,'Retirement Calculator'!A:A,0),0),0)</f>
        <v>7896.2379798201846</v>
      </c>
      <c r="K377" s="444">
        <f t="shared" ca="1" si="27"/>
        <v>7923.8128519561515</v>
      </c>
      <c r="L377" s="444">
        <f t="shared" ca="1" si="28"/>
        <v>1909638.8973214326</v>
      </c>
      <c r="M377" s="460">
        <f t="shared" si="30"/>
        <v>0.05</v>
      </c>
      <c r="N377" s="464">
        <f t="shared" si="31"/>
        <v>62518</v>
      </c>
    </row>
    <row r="378" spans="7:14" ht="11.25" customHeight="1" x14ac:dyDescent="0.3">
      <c r="G378" s="459">
        <f t="shared" si="40"/>
        <v>31</v>
      </c>
      <c r="H378" s="459">
        <v>371</v>
      </c>
      <c r="I378" s="444">
        <f t="shared" ca="1" si="29"/>
        <v>1909638.8973214326</v>
      </c>
      <c r="J378" s="444">
        <f t="array" ref="J378">IFERROR(INDEX('Retirement Calculator'!J:J,MATCH('Isaac 401k'!N378,'Retirement Calculator'!A:A,0),0),0)</f>
        <v>7896.2379798201846</v>
      </c>
      <c r="K378" s="444">
        <f t="shared" ca="1" si="27"/>
        <v>7923.9277472567173</v>
      </c>
      <c r="L378" s="444">
        <f t="shared" ca="1" si="28"/>
        <v>1909666.5870888692</v>
      </c>
      <c r="M378" s="460">
        <f t="shared" si="30"/>
        <v>0.05</v>
      </c>
      <c r="N378" s="464">
        <f t="shared" si="31"/>
        <v>62549</v>
      </c>
    </row>
    <row r="379" spans="7:14" ht="11.25" customHeight="1" x14ac:dyDescent="0.3">
      <c r="G379" s="459">
        <f t="shared" si="40"/>
        <v>31</v>
      </c>
      <c r="H379" s="459">
        <v>372</v>
      </c>
      <c r="I379" s="444">
        <f t="shared" ca="1" si="29"/>
        <v>1909666.5870888692</v>
      </c>
      <c r="J379" s="444">
        <f t="array" ref="J379">IFERROR(INDEX('Retirement Calculator'!J:J,MATCH('Isaac 401k'!N379,'Retirement Calculator'!A:A,0),0),0)</f>
        <v>7896.2379798201846</v>
      </c>
      <c r="K379" s="444">
        <f t="shared" ca="1" si="27"/>
        <v>7924.0431212877038</v>
      </c>
      <c r="L379" s="444">
        <f t="shared" ca="1" si="28"/>
        <v>1909694.3922303366</v>
      </c>
      <c r="M379" s="460">
        <f t="shared" si="30"/>
        <v>0.05</v>
      </c>
      <c r="N379" s="464">
        <f t="shared" si="31"/>
        <v>62579</v>
      </c>
    </row>
    <row r="380" spans="7:14" ht="11.25" customHeight="1" x14ac:dyDescent="0.3">
      <c r="G380" s="459">
        <f>G379+1</f>
        <v>32</v>
      </c>
      <c r="H380" s="459">
        <v>373</v>
      </c>
      <c r="I380" s="444">
        <f t="shared" ca="1" si="29"/>
        <v>1909694.3922303366</v>
      </c>
      <c r="J380" s="444">
        <f t="array" ref="J380">IFERROR(INDEX('Retirement Calculator'!J:J,MATCH('Isaac 401k'!N380,'Retirement Calculator'!A:A,0),0),0)</f>
        <v>7896.2379798201846</v>
      </c>
      <c r="K380" s="444">
        <f t="shared" ca="1" si="27"/>
        <v>7924.1589760438192</v>
      </c>
      <c r="L380" s="444">
        <f t="shared" ca="1" si="28"/>
        <v>1909722.3132265601</v>
      </c>
      <c r="M380" s="460">
        <f t="shared" si="30"/>
        <v>0.05</v>
      </c>
      <c r="N380" s="464">
        <f t="shared" si="31"/>
        <v>62610</v>
      </c>
    </row>
    <row r="381" spans="7:14" ht="11.25" customHeight="1" x14ac:dyDescent="0.3">
      <c r="G381" s="459">
        <f t="shared" ref="G381:G391" si="41">G380</f>
        <v>32</v>
      </c>
      <c r="H381" s="459">
        <v>374</v>
      </c>
      <c r="I381" s="444">
        <f t="shared" ca="1" si="29"/>
        <v>1909722.3132265601</v>
      </c>
      <c r="J381" s="444">
        <f t="array" ref="J381">IFERROR(INDEX('Retirement Calculator'!J:J,MATCH('Isaac 401k'!N381,'Retirement Calculator'!A:A,0),0),0)</f>
        <v>7896.2379798201846</v>
      </c>
      <c r="K381" s="444">
        <f t="shared" ca="1" si="27"/>
        <v>7924.2753135280836</v>
      </c>
      <c r="L381" s="444">
        <f t="shared" ca="1" si="28"/>
        <v>1909750.3505602679</v>
      </c>
      <c r="M381" s="460">
        <f t="shared" si="30"/>
        <v>0.05</v>
      </c>
      <c r="N381" s="464">
        <f t="shared" si="31"/>
        <v>62640</v>
      </c>
    </row>
    <row r="382" spans="7:14" ht="11.25" customHeight="1" x14ac:dyDescent="0.3">
      <c r="G382" s="459">
        <f t="shared" si="41"/>
        <v>32</v>
      </c>
      <c r="H382" s="459">
        <v>375</v>
      </c>
      <c r="I382" s="444">
        <f t="shared" ca="1" si="29"/>
        <v>1909750.3505602679</v>
      </c>
      <c r="J382" s="444">
        <f t="array" ref="J382">IFERROR(INDEX('Retirement Calculator'!J:J,MATCH('Isaac 401k'!N382,'Retirement Calculator'!A:A,0),0),0)</f>
        <v>7896.2379798201846</v>
      </c>
      <c r="K382" s="444">
        <f t="shared" ca="1" si="27"/>
        <v>7924.3921357518639</v>
      </c>
      <c r="L382" s="444">
        <f t="shared" ca="1" si="28"/>
        <v>1909778.5047161996</v>
      </c>
      <c r="M382" s="460">
        <f t="shared" si="30"/>
        <v>0.05</v>
      </c>
      <c r="N382" s="464">
        <f t="shared" si="31"/>
        <v>62671</v>
      </c>
    </row>
    <row r="383" spans="7:14" ht="11.25" customHeight="1" x14ac:dyDescent="0.3">
      <c r="G383" s="459">
        <f t="shared" si="41"/>
        <v>32</v>
      </c>
      <c r="H383" s="459">
        <v>376</v>
      </c>
      <c r="I383" s="444">
        <f t="shared" ca="1" si="29"/>
        <v>1909778.5047161996</v>
      </c>
      <c r="J383" s="444">
        <f t="array" ref="J383">IFERROR(INDEX('Retirement Calculator'!J:J,MATCH('Isaac 401k'!N383,'Retirement Calculator'!A:A,0),0),0)</f>
        <v>7896.2379798201846</v>
      </c>
      <c r="K383" s="444">
        <f t="shared" ca="1" si="27"/>
        <v>7924.5094447349138</v>
      </c>
      <c r="L383" s="444">
        <f t="shared" ca="1" si="28"/>
        <v>1909806.7761811144</v>
      </c>
      <c r="M383" s="460">
        <f t="shared" si="30"/>
        <v>0.05</v>
      </c>
      <c r="N383" s="464">
        <f t="shared" si="31"/>
        <v>62702</v>
      </c>
    </row>
    <row r="384" spans="7:14" ht="11.25" customHeight="1" x14ac:dyDescent="0.3">
      <c r="G384" s="459">
        <f t="shared" si="41"/>
        <v>32</v>
      </c>
      <c r="H384" s="459">
        <v>377</v>
      </c>
      <c r="I384" s="444">
        <f t="shared" ca="1" si="29"/>
        <v>1909806.7761811144</v>
      </c>
      <c r="J384" s="444">
        <f t="array" ref="J384">IFERROR(INDEX('Retirement Calculator'!J:J,MATCH('Isaac 401k'!N384,'Retirement Calculator'!A:A,0),0),0)</f>
        <v>7896.2379798201846</v>
      </c>
      <c r="K384" s="444">
        <f t="shared" ca="1" si="27"/>
        <v>7924.6272425053921</v>
      </c>
      <c r="L384" s="444">
        <f t="shared" ca="1" si="28"/>
        <v>1909835.1654437995</v>
      </c>
      <c r="M384" s="460">
        <f t="shared" si="30"/>
        <v>0.05</v>
      </c>
      <c r="N384" s="464">
        <f t="shared" si="31"/>
        <v>62732</v>
      </c>
    </row>
    <row r="385" spans="7:14" ht="11.25" customHeight="1" x14ac:dyDescent="0.3">
      <c r="G385" s="459">
        <f t="shared" si="41"/>
        <v>32</v>
      </c>
      <c r="H385" s="459">
        <v>378</v>
      </c>
      <c r="I385" s="444">
        <f t="shared" ca="1" si="29"/>
        <v>1909835.1654437995</v>
      </c>
      <c r="J385" s="444">
        <f t="array" ref="J385">IFERROR(INDEX('Retirement Calculator'!J:J,MATCH('Isaac 401k'!N385,'Retirement Calculator'!A:A,0),0),0)</f>
        <v>7896.2379798201846</v>
      </c>
      <c r="K385" s="444">
        <f t="shared" ca="1" si="27"/>
        <v>7924.745531099913</v>
      </c>
      <c r="L385" s="444">
        <f t="shared" ca="1" si="28"/>
        <v>1909863.6729950791</v>
      </c>
      <c r="M385" s="460">
        <f t="shared" si="30"/>
        <v>0.05</v>
      </c>
      <c r="N385" s="464">
        <f t="shared" si="31"/>
        <v>62763</v>
      </c>
    </row>
    <row r="386" spans="7:14" ht="11.25" customHeight="1" x14ac:dyDescent="0.3">
      <c r="G386" s="459">
        <f t="shared" si="41"/>
        <v>32</v>
      </c>
      <c r="H386" s="459">
        <v>379</v>
      </c>
      <c r="I386" s="444">
        <f t="shared" ca="1" si="29"/>
        <v>1909863.6729950791</v>
      </c>
      <c r="J386" s="444">
        <f t="array" ref="J386">IFERROR(INDEX('Retirement Calculator'!J:J,MATCH('Isaac 401k'!N386,'Retirement Calculator'!A:A,0),0),0)</f>
        <v>7896.2379798201846</v>
      </c>
      <c r="K386" s="444">
        <f t="shared" ca="1" si="27"/>
        <v>7924.8643125635781</v>
      </c>
      <c r="L386" s="444">
        <f t="shared" ca="1" si="28"/>
        <v>1909892.2993278224</v>
      </c>
      <c r="M386" s="460">
        <f t="shared" si="30"/>
        <v>0.05</v>
      </c>
      <c r="N386" s="464">
        <f t="shared" si="31"/>
        <v>62793</v>
      </c>
    </row>
    <row r="387" spans="7:14" ht="11.25" customHeight="1" x14ac:dyDescent="0.3">
      <c r="G387" s="459">
        <f t="shared" si="41"/>
        <v>32</v>
      </c>
      <c r="H387" s="459">
        <v>380</v>
      </c>
      <c r="I387" s="444">
        <f t="shared" ca="1" si="29"/>
        <v>1909892.2993278224</v>
      </c>
      <c r="J387" s="444">
        <f t="array" ref="J387">IFERROR(INDEX('Retirement Calculator'!J:J,MATCH('Isaac 401k'!N387,'Retirement Calculator'!A:A,0),0),0)</f>
        <v>7896.2379798201846</v>
      </c>
      <c r="K387" s="444">
        <f t="shared" ca="1" si="27"/>
        <v>7924.98358895001</v>
      </c>
      <c r="L387" s="444">
        <f t="shared" ca="1" si="28"/>
        <v>1909921.0449369522</v>
      </c>
      <c r="M387" s="460">
        <f t="shared" si="30"/>
        <v>0.05</v>
      </c>
      <c r="N387" s="464">
        <f t="shared" si="31"/>
        <v>62824</v>
      </c>
    </row>
    <row r="388" spans="7:14" ht="11.25" customHeight="1" x14ac:dyDescent="0.3">
      <c r="G388" s="459">
        <f t="shared" si="41"/>
        <v>32</v>
      </c>
      <c r="H388" s="459">
        <v>381</v>
      </c>
      <c r="I388" s="444">
        <f t="shared" ca="1" si="29"/>
        <v>1909921.0449369522</v>
      </c>
      <c r="J388" s="444">
        <f t="array" ref="J388">IFERROR(INDEX('Retirement Calculator'!J:J,MATCH('Isaac 401k'!N388,'Retirement Calculator'!A:A,0),0),0)</f>
        <v>7896.2379798201846</v>
      </c>
      <c r="K388" s="444">
        <f t="shared" ca="1" si="27"/>
        <v>7925.1033623213816</v>
      </c>
      <c r="L388" s="444">
        <f t="shared" ca="1" si="28"/>
        <v>1909949.9103194533</v>
      </c>
      <c r="M388" s="460">
        <f t="shared" si="30"/>
        <v>0.05</v>
      </c>
      <c r="N388" s="464">
        <f t="shared" si="31"/>
        <v>62855</v>
      </c>
    </row>
    <row r="389" spans="7:14" ht="11.25" customHeight="1" x14ac:dyDescent="0.3">
      <c r="G389" s="459">
        <f t="shared" si="41"/>
        <v>32</v>
      </c>
      <c r="H389" s="459">
        <v>382</v>
      </c>
      <c r="I389" s="444">
        <f t="shared" ca="1" si="29"/>
        <v>1909949.9103194533</v>
      </c>
      <c r="J389" s="444">
        <f t="array" ref="J389">IFERROR(INDEX('Retirement Calculator'!J:J,MATCH('Isaac 401k'!N389,'Retirement Calculator'!A:A,0),0),0)</f>
        <v>7896.2379798201846</v>
      </c>
      <c r="K389" s="444">
        <f t="shared" ca="1" si="27"/>
        <v>7925.2236347484713</v>
      </c>
      <c r="L389" s="444">
        <f t="shared" ca="1" si="28"/>
        <v>1909978.8959743816</v>
      </c>
      <c r="M389" s="460">
        <f t="shared" si="30"/>
        <v>0.05</v>
      </c>
      <c r="N389" s="464">
        <f t="shared" si="31"/>
        <v>62884</v>
      </c>
    </row>
    <row r="390" spans="7:14" ht="11.25" customHeight="1" x14ac:dyDescent="0.3">
      <c r="G390" s="459">
        <f t="shared" si="41"/>
        <v>32</v>
      </c>
      <c r="H390" s="459">
        <v>383</v>
      </c>
      <c r="I390" s="444">
        <f t="shared" ca="1" si="29"/>
        <v>1909978.8959743816</v>
      </c>
      <c r="J390" s="444">
        <f t="array" ref="J390">IFERROR(INDEX('Retirement Calculator'!J:J,MATCH('Isaac 401k'!N390,'Retirement Calculator'!A:A,0),0),0)</f>
        <v>7896.2379798201846</v>
      </c>
      <c r="K390" s="444">
        <f t="shared" ca="1" si="27"/>
        <v>7925.3444083106724</v>
      </c>
      <c r="L390" s="444">
        <f t="shared" ca="1" si="28"/>
        <v>1910008.0024028721</v>
      </c>
      <c r="M390" s="460">
        <f t="shared" si="30"/>
        <v>0.05</v>
      </c>
      <c r="N390" s="464">
        <f t="shared" si="31"/>
        <v>62915</v>
      </c>
    </row>
    <row r="391" spans="7:14" ht="11.25" customHeight="1" x14ac:dyDescent="0.3">
      <c r="G391" s="459">
        <f t="shared" si="41"/>
        <v>32</v>
      </c>
      <c r="H391" s="459">
        <v>384</v>
      </c>
      <c r="I391" s="444">
        <f t="shared" ca="1" si="29"/>
        <v>1910008.0024028721</v>
      </c>
      <c r="J391" s="444">
        <f t="array" ref="J391">IFERROR(INDEX('Retirement Calculator'!J:J,MATCH('Isaac 401k'!N391,'Retirement Calculator'!A:A,0),0),0)</f>
        <v>7896.2379798201846</v>
      </c>
      <c r="K391" s="444">
        <f t="shared" ca="1" si="27"/>
        <v>7925.4656850960491</v>
      </c>
      <c r="L391" s="444">
        <f t="shared" ca="1" si="28"/>
        <v>1910037.230108148</v>
      </c>
      <c r="M391" s="460">
        <f t="shared" si="30"/>
        <v>0.05</v>
      </c>
      <c r="N391" s="464">
        <f t="shared" si="31"/>
        <v>62945</v>
      </c>
    </row>
    <row r="392" spans="7:14" ht="11.25" customHeight="1" x14ac:dyDescent="0.3">
      <c r="G392" s="459">
        <f>G391+1</f>
        <v>33</v>
      </c>
      <c r="H392" s="459">
        <v>385</v>
      </c>
      <c r="I392" s="444">
        <f t="shared" ca="1" si="29"/>
        <v>1910037.230108148</v>
      </c>
      <c r="J392" s="444">
        <f t="array" ref="J392">IFERROR(INDEX('Retirement Calculator'!J:J,MATCH('Isaac 401k'!N392,'Retirement Calculator'!A:A,0),0),0)</f>
        <v>7896.2379798201846</v>
      </c>
      <c r="K392" s="444">
        <f t="shared" ca="1" si="27"/>
        <v>7925.5874672013651</v>
      </c>
      <c r="L392" s="444">
        <f t="shared" ca="1" si="28"/>
        <v>1910066.579595529</v>
      </c>
      <c r="M392" s="460">
        <f t="shared" si="30"/>
        <v>0.05</v>
      </c>
      <c r="N392" s="464">
        <f t="shared" si="31"/>
        <v>62976</v>
      </c>
    </row>
    <row r="393" spans="7:14" ht="11.25" customHeight="1" x14ac:dyDescent="0.3">
      <c r="G393" s="459">
        <f t="shared" ref="G393:G403" si="42">G392</f>
        <v>33</v>
      </c>
      <c r="H393" s="459">
        <v>386</v>
      </c>
      <c r="I393" s="444">
        <f t="shared" ca="1" si="29"/>
        <v>1910066.579595529</v>
      </c>
      <c r="J393" s="444">
        <f t="array" ref="J393">IFERROR(INDEX('Retirement Calculator'!J:J,MATCH('Isaac 401k'!N393,'Retirement Calculator'!A:A,0),0),0)</f>
        <v>7896.2379798201846</v>
      </c>
      <c r="K393" s="444">
        <f t="shared" ca="1" si="27"/>
        <v>7925.7097567321198</v>
      </c>
      <c r="L393" s="444">
        <f t="shared" ca="1" si="28"/>
        <v>1910096.051372441</v>
      </c>
      <c r="M393" s="460">
        <f t="shared" si="30"/>
        <v>0.05</v>
      </c>
      <c r="N393" s="464">
        <f t="shared" si="31"/>
        <v>63006</v>
      </c>
    </row>
    <row r="394" spans="7:14" ht="11.25" customHeight="1" x14ac:dyDescent="0.3">
      <c r="G394" s="459">
        <f t="shared" si="42"/>
        <v>33</v>
      </c>
      <c r="H394" s="459">
        <v>387</v>
      </c>
      <c r="I394" s="444">
        <f t="shared" ca="1" si="29"/>
        <v>1910096.051372441</v>
      </c>
      <c r="J394" s="444">
        <f t="array" ref="J394">IFERROR(INDEX('Retirement Calculator'!J:J,MATCH('Isaac 401k'!N394,'Retirement Calculator'!A:A,0),0),0)</f>
        <v>7896.2379798201846</v>
      </c>
      <c r="K394" s="444">
        <f t="shared" ca="1" si="27"/>
        <v>7925.8325558025863</v>
      </c>
      <c r="L394" s="444">
        <f t="shared" ca="1" si="28"/>
        <v>1910125.6459484233</v>
      </c>
      <c r="M394" s="460">
        <f t="shared" si="30"/>
        <v>0.05</v>
      </c>
      <c r="N394" s="464">
        <f t="shared" si="31"/>
        <v>63037</v>
      </c>
    </row>
    <row r="395" spans="7:14" ht="11.25" customHeight="1" x14ac:dyDescent="0.3">
      <c r="G395" s="459">
        <f t="shared" si="42"/>
        <v>33</v>
      </c>
      <c r="H395" s="459">
        <v>388</v>
      </c>
      <c r="I395" s="444">
        <f t="shared" ca="1" si="29"/>
        <v>1910125.6459484233</v>
      </c>
      <c r="J395" s="444">
        <f t="array" ref="J395">IFERROR(INDEX('Retirement Calculator'!J:J,MATCH('Isaac 401k'!N395,'Retirement Calculator'!A:A,0),0),0)</f>
        <v>7896.2379798201846</v>
      </c>
      <c r="K395" s="444">
        <f t="shared" ca="1" si="27"/>
        <v>7925.9558665358463</v>
      </c>
      <c r="L395" s="444">
        <f t="shared" ca="1" si="28"/>
        <v>1910155.363835139</v>
      </c>
      <c r="M395" s="460">
        <f t="shared" si="30"/>
        <v>0.05</v>
      </c>
      <c r="N395" s="464">
        <f t="shared" si="31"/>
        <v>63068</v>
      </c>
    </row>
    <row r="396" spans="7:14" ht="11.25" customHeight="1" x14ac:dyDescent="0.3">
      <c r="G396" s="459">
        <f t="shared" si="42"/>
        <v>33</v>
      </c>
      <c r="H396" s="459">
        <v>389</v>
      </c>
      <c r="I396" s="444">
        <f t="shared" ca="1" si="29"/>
        <v>1910155.363835139</v>
      </c>
      <c r="J396" s="444">
        <f t="array" ref="J396">IFERROR(INDEX('Retirement Calculator'!J:J,MATCH('Isaac 401k'!N396,'Retirement Calculator'!A:A,0),0),0)</f>
        <v>7896.2379798201846</v>
      </c>
      <c r="K396" s="444">
        <f t="shared" ca="1" si="27"/>
        <v>7926.0796910638273</v>
      </c>
      <c r="L396" s="444">
        <f t="shared" ca="1" si="28"/>
        <v>1910185.2055463826</v>
      </c>
      <c r="M396" s="460">
        <f t="shared" si="30"/>
        <v>0.05</v>
      </c>
      <c r="N396" s="464">
        <f t="shared" si="31"/>
        <v>63098</v>
      </c>
    </row>
    <row r="397" spans="7:14" ht="11.25" customHeight="1" x14ac:dyDescent="0.3">
      <c r="G397" s="459">
        <f t="shared" si="42"/>
        <v>33</v>
      </c>
      <c r="H397" s="459">
        <v>390</v>
      </c>
      <c r="I397" s="444">
        <f t="shared" ca="1" si="29"/>
        <v>1910185.2055463826</v>
      </c>
      <c r="J397" s="444">
        <f t="array" ref="J397">IFERROR(INDEX('Retirement Calculator'!J:J,MATCH('Isaac 401k'!N397,'Retirement Calculator'!A:A,0),0),0)</f>
        <v>7896.2379798201846</v>
      </c>
      <c r="K397" s="444">
        <f t="shared" ca="1" si="27"/>
        <v>7926.2040315273443</v>
      </c>
      <c r="L397" s="444">
        <f t="shared" ca="1" si="28"/>
        <v>1910215.1715980896</v>
      </c>
      <c r="M397" s="460">
        <f t="shared" si="30"/>
        <v>0.05</v>
      </c>
      <c r="N397" s="464">
        <f t="shared" si="31"/>
        <v>63129</v>
      </c>
    </row>
    <row r="398" spans="7:14" ht="11.25" customHeight="1" x14ac:dyDescent="0.3">
      <c r="G398" s="459">
        <f t="shared" si="42"/>
        <v>33</v>
      </c>
      <c r="H398" s="459">
        <v>391</v>
      </c>
      <c r="I398" s="444">
        <f t="shared" ca="1" si="29"/>
        <v>1910215.1715980896</v>
      </c>
      <c r="J398" s="444">
        <f t="array" ref="J398">IFERROR(INDEX('Retirement Calculator'!J:J,MATCH('Isaac 401k'!N398,'Retirement Calculator'!A:A,0),0),0)</f>
        <v>7896.2379798201846</v>
      </c>
      <c r="K398" s="444">
        <f t="shared" ca="1" si="27"/>
        <v>7926.3288900761218</v>
      </c>
      <c r="L398" s="444">
        <f t="shared" ca="1" si="28"/>
        <v>1910245.2625083455</v>
      </c>
      <c r="M398" s="460">
        <f t="shared" si="30"/>
        <v>0.05</v>
      </c>
      <c r="N398" s="464">
        <f t="shared" si="31"/>
        <v>63159</v>
      </c>
    </row>
    <row r="399" spans="7:14" ht="11.25" customHeight="1" x14ac:dyDescent="0.3">
      <c r="G399" s="459">
        <f t="shared" si="42"/>
        <v>33</v>
      </c>
      <c r="H399" s="459">
        <v>392</v>
      </c>
      <c r="I399" s="444">
        <f t="shared" ca="1" si="29"/>
        <v>1910245.2625083455</v>
      </c>
      <c r="J399" s="444">
        <f t="array" ref="J399">IFERROR(INDEX('Retirement Calculator'!J:J,MATCH('Isaac 401k'!N399,'Retirement Calculator'!A:A,0),0),0)</f>
        <v>7896.2379798201846</v>
      </c>
      <c r="K399" s="444">
        <f t="shared" ca="1" si="27"/>
        <v>7926.4542688688553</v>
      </c>
      <c r="L399" s="444">
        <f t="shared" ca="1" si="28"/>
        <v>1910275.4787973941</v>
      </c>
      <c r="M399" s="460">
        <f t="shared" si="30"/>
        <v>0.05</v>
      </c>
      <c r="N399" s="464">
        <f t="shared" si="31"/>
        <v>63190</v>
      </c>
    </row>
    <row r="400" spans="7:14" ht="11.25" customHeight="1" x14ac:dyDescent="0.3">
      <c r="G400" s="459">
        <f t="shared" si="42"/>
        <v>33</v>
      </c>
      <c r="H400" s="459">
        <v>393</v>
      </c>
      <c r="I400" s="444">
        <f t="shared" ca="1" si="29"/>
        <v>1910275.4787973941</v>
      </c>
      <c r="J400" s="444">
        <f t="array" ref="J400">IFERROR(INDEX('Retirement Calculator'!J:J,MATCH('Isaac 401k'!N400,'Retirement Calculator'!A:A,0),0),0)</f>
        <v>7896.2379798201846</v>
      </c>
      <c r="K400" s="444">
        <f t="shared" ca="1" si="27"/>
        <v>7926.5801700732245</v>
      </c>
      <c r="L400" s="444">
        <f t="shared" ca="1" si="28"/>
        <v>1910305.8209876472</v>
      </c>
      <c r="M400" s="460">
        <f t="shared" si="30"/>
        <v>0.05</v>
      </c>
      <c r="N400" s="464">
        <f t="shared" si="31"/>
        <v>63221</v>
      </c>
    </row>
    <row r="401" spans="7:14" ht="11.25" customHeight="1" x14ac:dyDescent="0.3">
      <c r="G401" s="459">
        <f t="shared" si="42"/>
        <v>33</v>
      </c>
      <c r="H401" s="459">
        <v>394</v>
      </c>
      <c r="I401" s="444">
        <f t="shared" ca="1" si="29"/>
        <v>1910305.8209876472</v>
      </c>
      <c r="J401" s="444">
        <f t="array" ref="J401">IFERROR(INDEX('Retirement Calculator'!J:J,MATCH('Isaac 401k'!N401,'Retirement Calculator'!A:A,0),0),0)</f>
        <v>7896.2379798201846</v>
      </c>
      <c r="K401" s="444">
        <f t="shared" ca="1" si="27"/>
        <v>7926.706595865945</v>
      </c>
      <c r="L401" s="444">
        <f t="shared" ca="1" si="28"/>
        <v>1910336.2896036929</v>
      </c>
      <c r="M401" s="460">
        <f t="shared" si="30"/>
        <v>0.05</v>
      </c>
      <c r="N401" s="464">
        <f t="shared" si="31"/>
        <v>63249</v>
      </c>
    </row>
    <row r="402" spans="7:14" ht="11.25" customHeight="1" x14ac:dyDescent="0.3">
      <c r="G402" s="459">
        <f t="shared" si="42"/>
        <v>33</v>
      </c>
      <c r="H402" s="459">
        <v>395</v>
      </c>
      <c r="I402" s="444">
        <f t="shared" ca="1" si="29"/>
        <v>1910336.2896036929</v>
      </c>
      <c r="J402" s="444">
        <f t="array" ref="J402">IFERROR(INDEX('Retirement Calculator'!J:J,MATCH('Isaac 401k'!N402,'Retirement Calculator'!A:A,0),0),0)</f>
        <v>7896.2379798201846</v>
      </c>
      <c r="K402" s="444">
        <f t="shared" ca="1" si="27"/>
        <v>7926.8335484328036</v>
      </c>
      <c r="L402" s="444">
        <f t="shared" ca="1" si="28"/>
        <v>1910366.8851723056</v>
      </c>
      <c r="M402" s="460">
        <f t="shared" si="30"/>
        <v>0.05</v>
      </c>
      <c r="N402" s="464">
        <f t="shared" si="31"/>
        <v>63280</v>
      </c>
    </row>
    <row r="403" spans="7:14" ht="11.25" customHeight="1" x14ac:dyDescent="0.3">
      <c r="G403" s="459">
        <f t="shared" si="42"/>
        <v>33</v>
      </c>
      <c r="H403" s="459">
        <v>396</v>
      </c>
      <c r="I403" s="444">
        <f t="shared" ca="1" si="29"/>
        <v>1910366.8851723056</v>
      </c>
      <c r="J403" s="444">
        <f t="array" ref="J403">IFERROR(INDEX('Retirement Calculator'!J:J,MATCH('Isaac 401k'!N403,'Retirement Calculator'!A:A,0),0),0)</f>
        <v>7896.2379798201846</v>
      </c>
      <c r="K403" s="444">
        <f t="shared" ca="1" si="27"/>
        <v>7926.9610299686883</v>
      </c>
      <c r="L403" s="444">
        <f t="shared" ca="1" si="28"/>
        <v>1910397.6082224541</v>
      </c>
      <c r="M403" s="460">
        <f t="shared" si="30"/>
        <v>0.05</v>
      </c>
      <c r="N403" s="464">
        <f t="shared" si="31"/>
        <v>63310</v>
      </c>
    </row>
    <row r="404" spans="7:14" ht="11.25" customHeight="1" x14ac:dyDescent="0.3">
      <c r="G404" s="459">
        <f>G403+1</f>
        <v>34</v>
      </c>
      <c r="H404" s="459">
        <v>397</v>
      </c>
      <c r="I404" s="444">
        <f t="shared" ca="1" si="29"/>
        <v>1910397.6082224541</v>
      </c>
      <c r="J404" s="444">
        <f t="array" ref="J404">IFERROR(INDEX('Retirement Calculator'!J:J,MATCH('Isaac 401k'!N404,'Retirement Calculator'!A:A,0),0),0)</f>
        <v>7896.2379798201846</v>
      </c>
      <c r="K404" s="444">
        <f t="shared" ca="1" si="27"/>
        <v>7927.0890426776414</v>
      </c>
      <c r="L404" s="444">
        <f t="shared" ca="1" si="28"/>
        <v>1910428.4592853114</v>
      </c>
      <c r="M404" s="460">
        <f t="shared" si="30"/>
        <v>0.05</v>
      </c>
      <c r="N404" s="464">
        <f t="shared" si="31"/>
        <v>63341</v>
      </c>
    </row>
    <row r="405" spans="7:14" ht="11.25" customHeight="1" x14ac:dyDescent="0.3">
      <c r="G405" s="459">
        <f t="shared" ref="G405:G415" si="43">G404</f>
        <v>34</v>
      </c>
      <c r="H405" s="459">
        <v>398</v>
      </c>
      <c r="I405" s="444">
        <f t="shared" ca="1" si="29"/>
        <v>1910428.4592853114</v>
      </c>
      <c r="J405" s="444">
        <f t="array" ref="J405">IFERROR(INDEX('Retirement Calculator'!J:J,MATCH('Isaac 401k'!N405,'Retirement Calculator'!A:A,0),0),0)</f>
        <v>7896.2379798201846</v>
      </c>
      <c r="K405" s="444">
        <f t="shared" ca="1" si="27"/>
        <v>7927.2175887728799</v>
      </c>
      <c r="L405" s="444">
        <f t="shared" ca="1" si="28"/>
        <v>1910459.4388942639</v>
      </c>
      <c r="M405" s="460">
        <f t="shared" si="30"/>
        <v>0.05</v>
      </c>
      <c r="N405" s="464">
        <f t="shared" si="31"/>
        <v>63371</v>
      </c>
    </row>
    <row r="406" spans="7:14" ht="11.25" customHeight="1" x14ac:dyDescent="0.3">
      <c r="G406" s="459">
        <f t="shared" si="43"/>
        <v>34</v>
      </c>
      <c r="H406" s="459">
        <v>399</v>
      </c>
      <c r="I406" s="444">
        <f t="shared" ca="1" si="29"/>
        <v>1910459.4388942639</v>
      </c>
      <c r="J406" s="444">
        <f t="array" ref="J406">IFERROR(INDEX('Retirement Calculator'!J:J,MATCH('Isaac 401k'!N406,'Retirement Calculator'!A:A,0),0),0)</f>
        <v>7896.2379798201846</v>
      </c>
      <c r="K406" s="444">
        <f t="shared" ca="1" si="27"/>
        <v>7927.3466704768489</v>
      </c>
      <c r="L406" s="444">
        <f t="shared" ca="1" si="28"/>
        <v>1910490.5475849207</v>
      </c>
      <c r="M406" s="460">
        <f t="shared" si="30"/>
        <v>0.05</v>
      </c>
      <c r="N406" s="464">
        <f t="shared" si="31"/>
        <v>63402</v>
      </c>
    </row>
    <row r="407" spans="7:14" ht="11.25" customHeight="1" x14ac:dyDescent="0.3">
      <c r="G407" s="459">
        <f t="shared" si="43"/>
        <v>34</v>
      </c>
      <c r="H407" s="459">
        <v>400</v>
      </c>
      <c r="I407" s="444">
        <f t="shared" ca="1" si="29"/>
        <v>1910490.5475849207</v>
      </c>
      <c r="J407" s="444">
        <f t="array" ref="J407">IFERROR(INDEX('Retirement Calculator'!J:J,MATCH('Isaac 401k'!N407,'Retirement Calculator'!A:A,0),0),0)</f>
        <v>7896.2379798201846</v>
      </c>
      <c r="K407" s="444">
        <f t="shared" ca="1" si="27"/>
        <v>7927.4762900212518</v>
      </c>
      <c r="L407" s="444">
        <f t="shared" ca="1" si="28"/>
        <v>1910521.7858951217</v>
      </c>
      <c r="M407" s="460">
        <f t="shared" si="30"/>
        <v>0.05</v>
      </c>
      <c r="N407" s="464">
        <f t="shared" si="31"/>
        <v>63433</v>
      </c>
    </row>
    <row r="408" spans="7:14" ht="11.25" customHeight="1" x14ac:dyDescent="0.3">
      <c r="G408" s="459">
        <f t="shared" si="43"/>
        <v>34</v>
      </c>
      <c r="H408" s="459">
        <v>401</v>
      </c>
      <c r="I408" s="444">
        <f t="shared" ca="1" si="29"/>
        <v>1910521.7858951217</v>
      </c>
      <c r="J408" s="444">
        <f t="array" ref="J408">IFERROR(INDEX('Retirement Calculator'!J:J,MATCH('Isaac 401k'!N408,'Retirement Calculator'!A:A,0),0),0)</f>
        <v>7896.2379798201846</v>
      </c>
      <c r="K408" s="444">
        <f t="shared" ca="1" si="27"/>
        <v>7927.6064496470899</v>
      </c>
      <c r="L408" s="444">
        <f t="shared" ca="1" si="28"/>
        <v>1910553.1543649486</v>
      </c>
      <c r="M408" s="460">
        <f t="shared" si="30"/>
        <v>0.05</v>
      </c>
      <c r="N408" s="464">
        <f t="shared" si="31"/>
        <v>63463</v>
      </c>
    </row>
    <row r="409" spans="7:14" ht="11.25" customHeight="1" x14ac:dyDescent="0.3">
      <c r="G409" s="459">
        <f t="shared" si="43"/>
        <v>34</v>
      </c>
      <c r="H409" s="459">
        <v>402</v>
      </c>
      <c r="I409" s="444">
        <f t="shared" ca="1" si="29"/>
        <v>1910553.1543649486</v>
      </c>
      <c r="J409" s="444">
        <f t="array" ref="J409">IFERROR(INDEX('Retirement Calculator'!J:J,MATCH('Isaac 401k'!N409,'Retirement Calculator'!A:A,0),0),0)</f>
        <v>7896.2379798201846</v>
      </c>
      <c r="K409" s="444">
        <f t="shared" ca="1" si="27"/>
        <v>7927.7371516047006</v>
      </c>
      <c r="L409" s="444">
        <f t="shared" ca="1" si="28"/>
        <v>1910584.653536733</v>
      </c>
      <c r="M409" s="460">
        <f t="shared" si="30"/>
        <v>0.05</v>
      </c>
      <c r="N409" s="464">
        <f t="shared" si="31"/>
        <v>63494</v>
      </c>
    </row>
    <row r="410" spans="7:14" ht="11.25" customHeight="1" x14ac:dyDescent="0.3">
      <c r="G410" s="459">
        <f t="shared" si="43"/>
        <v>34</v>
      </c>
      <c r="H410" s="459">
        <v>403</v>
      </c>
      <c r="I410" s="444">
        <f t="shared" ca="1" si="29"/>
        <v>1910584.653536733</v>
      </c>
      <c r="J410" s="444">
        <f t="array" ref="J410">IFERROR(INDEX('Retirement Calculator'!J:J,MATCH('Isaac 401k'!N410,'Retirement Calculator'!A:A,0),0),0)</f>
        <v>7896.2379798201846</v>
      </c>
      <c r="K410" s="444">
        <f t="shared" ca="1" si="27"/>
        <v>7927.8683981538034</v>
      </c>
      <c r="L410" s="444">
        <f t="shared" ca="1" si="28"/>
        <v>1910616.2839550665</v>
      </c>
      <c r="M410" s="460">
        <f t="shared" si="30"/>
        <v>0.05</v>
      </c>
      <c r="N410" s="464">
        <f t="shared" si="31"/>
        <v>63524</v>
      </c>
    </row>
    <row r="411" spans="7:14" ht="11.25" customHeight="1" x14ac:dyDescent="0.3">
      <c r="G411" s="459">
        <f t="shared" si="43"/>
        <v>34</v>
      </c>
      <c r="H411" s="459">
        <v>404</v>
      </c>
      <c r="I411" s="444">
        <f t="shared" ca="1" si="29"/>
        <v>1910616.2839550665</v>
      </c>
      <c r="J411" s="444">
        <f t="array" ref="J411">IFERROR(INDEX('Retirement Calculator'!J:J,MATCH('Isaac 401k'!N411,'Retirement Calculator'!A:A,0),0),0)</f>
        <v>7896.2379798201846</v>
      </c>
      <c r="K411" s="444">
        <f t="shared" ca="1" si="27"/>
        <v>7928.0001915635257</v>
      </c>
      <c r="L411" s="444">
        <f t="shared" ca="1" si="28"/>
        <v>1910648.0461668097</v>
      </c>
      <c r="M411" s="460">
        <f t="shared" si="30"/>
        <v>0.05</v>
      </c>
      <c r="N411" s="464">
        <f t="shared" si="31"/>
        <v>63555</v>
      </c>
    </row>
    <row r="412" spans="7:14" ht="11.25" customHeight="1" x14ac:dyDescent="0.3">
      <c r="G412" s="459">
        <f t="shared" si="43"/>
        <v>34</v>
      </c>
      <c r="H412" s="459">
        <v>405</v>
      </c>
      <c r="I412" s="444">
        <f t="shared" ca="1" si="29"/>
        <v>1910648.0461668097</v>
      </c>
      <c r="J412" s="444">
        <f t="array" ref="J412">IFERROR(INDEX('Retirement Calculator'!J:J,MATCH('Isaac 401k'!N412,'Retirement Calculator'!A:A,0),0),0)</f>
        <v>7896.2379798201846</v>
      </c>
      <c r="K412" s="444">
        <f t="shared" ca="1" si="27"/>
        <v>7928.1325341124566</v>
      </c>
      <c r="L412" s="444">
        <f t="shared" ca="1" si="28"/>
        <v>1910679.9407211021</v>
      </c>
      <c r="M412" s="460">
        <f t="shared" si="30"/>
        <v>0.05</v>
      </c>
      <c r="N412" s="464">
        <f t="shared" si="31"/>
        <v>63586</v>
      </c>
    </row>
    <row r="413" spans="7:14" ht="11.25" customHeight="1" x14ac:dyDescent="0.3">
      <c r="G413" s="459">
        <f t="shared" si="43"/>
        <v>34</v>
      </c>
      <c r="H413" s="459">
        <v>406</v>
      </c>
      <c r="I413" s="444">
        <f t="shared" ca="1" si="29"/>
        <v>1910679.9407211021</v>
      </c>
      <c r="J413" s="444">
        <f t="array" ref="J413">IFERROR(INDEX('Retirement Calculator'!J:J,MATCH('Isaac 401k'!N413,'Retirement Calculator'!A:A,0),0),0)</f>
        <v>7896.2379798201846</v>
      </c>
      <c r="K413" s="444">
        <f t="shared" ca="1" si="27"/>
        <v>7928.2654280886745</v>
      </c>
      <c r="L413" s="444">
        <f t="shared" ca="1" si="28"/>
        <v>1910711.9681693704</v>
      </c>
      <c r="M413" s="460">
        <f t="shared" si="30"/>
        <v>0.05</v>
      </c>
      <c r="N413" s="464">
        <f t="shared" si="31"/>
        <v>63614</v>
      </c>
    </row>
    <row r="414" spans="7:14" ht="11.25" customHeight="1" x14ac:dyDescent="0.3">
      <c r="G414" s="459">
        <f t="shared" si="43"/>
        <v>34</v>
      </c>
      <c r="H414" s="459">
        <v>407</v>
      </c>
      <c r="I414" s="444">
        <f t="shared" ca="1" si="29"/>
        <v>1910711.9681693704</v>
      </c>
      <c r="J414" s="444">
        <f t="array" ref="J414">IFERROR(INDEX('Retirement Calculator'!J:J,MATCH('Isaac 401k'!N414,'Retirement Calculator'!A:A,0),0),0)</f>
        <v>7896.2379798201846</v>
      </c>
      <c r="K414" s="444">
        <f t="shared" ca="1" si="27"/>
        <v>7928.3988757897923</v>
      </c>
      <c r="L414" s="444">
        <f t="shared" ca="1" si="28"/>
        <v>1910744.1290653399</v>
      </c>
      <c r="M414" s="460">
        <f t="shared" si="30"/>
        <v>0.05</v>
      </c>
      <c r="N414" s="464">
        <f t="shared" si="31"/>
        <v>63645</v>
      </c>
    </row>
    <row r="415" spans="7:14" ht="11.25" customHeight="1" x14ac:dyDescent="0.3">
      <c r="G415" s="459">
        <f t="shared" si="43"/>
        <v>34</v>
      </c>
      <c r="H415" s="459">
        <v>408</v>
      </c>
      <c r="I415" s="444">
        <f t="shared" ca="1" si="29"/>
        <v>1910744.1290653399</v>
      </c>
      <c r="J415" s="444">
        <f t="array" ref="J415">IFERROR(INDEX('Retirement Calculator'!J:J,MATCH('Isaac 401k'!N415,'Retirement Calculator'!A:A,0),0),0)</f>
        <v>7896.2379798201846</v>
      </c>
      <c r="K415" s="444">
        <f t="shared" ca="1" si="27"/>
        <v>7928.5328795229989</v>
      </c>
      <c r="L415" s="444">
        <f t="shared" ca="1" si="28"/>
        <v>1910776.4239650427</v>
      </c>
      <c r="M415" s="460">
        <f t="shared" si="30"/>
        <v>0.05</v>
      </c>
      <c r="N415" s="464">
        <f t="shared" si="31"/>
        <v>63675</v>
      </c>
    </row>
    <row r="416" spans="7:14" ht="11.25" customHeight="1" x14ac:dyDescent="0.3">
      <c r="G416" s="459">
        <f>G415+1</f>
        <v>35</v>
      </c>
      <c r="H416" s="459">
        <v>409</v>
      </c>
      <c r="I416" s="444">
        <f t="shared" ca="1" si="29"/>
        <v>1910776.4239650427</v>
      </c>
      <c r="J416" s="444">
        <f t="array" ref="J416">IFERROR(INDEX('Retirement Calculator'!J:J,MATCH('Isaac 401k'!N416,'Retirement Calculator'!A:A,0),0),0)</f>
        <v>7896.2379798201846</v>
      </c>
      <c r="K416" s="444">
        <f t="shared" ca="1" si="27"/>
        <v>7928.6674416050937</v>
      </c>
      <c r="L416" s="444">
        <f t="shared" ca="1" si="28"/>
        <v>1910808.8534268276</v>
      </c>
      <c r="M416" s="460">
        <f t="shared" si="30"/>
        <v>0.05</v>
      </c>
      <c r="N416" s="464">
        <f t="shared" si="31"/>
        <v>63706</v>
      </c>
    </row>
    <row r="417" spans="7:14" ht="11.25" customHeight="1" x14ac:dyDescent="0.3">
      <c r="G417" s="459">
        <f t="shared" ref="G417:G427" si="44">G416</f>
        <v>35</v>
      </c>
      <c r="H417" s="459">
        <v>410</v>
      </c>
      <c r="I417" s="444">
        <f t="shared" ca="1" si="29"/>
        <v>1910808.8534268276</v>
      </c>
      <c r="J417" s="444">
        <f t="array" ref="J417">IFERROR(INDEX('Retirement Calculator'!J:J,MATCH('Isaac 401k'!N417,'Retirement Calculator'!A:A,0),0),0)</f>
        <v>7896.2379798201846</v>
      </c>
      <c r="K417" s="444">
        <f t="shared" ca="1" si="27"/>
        <v>7928.8025643625297</v>
      </c>
      <c r="L417" s="444">
        <f t="shared" ca="1" si="28"/>
        <v>1910841.4180113699</v>
      </c>
      <c r="M417" s="460">
        <f t="shared" si="30"/>
        <v>0.05</v>
      </c>
      <c r="N417" s="464">
        <f t="shared" si="31"/>
        <v>63736</v>
      </c>
    </row>
    <row r="418" spans="7:14" ht="11.25" customHeight="1" x14ac:dyDescent="0.3">
      <c r="G418" s="459">
        <f t="shared" si="44"/>
        <v>35</v>
      </c>
      <c r="H418" s="459">
        <v>411</v>
      </c>
      <c r="I418" s="444">
        <f t="shared" ca="1" si="29"/>
        <v>1910841.4180113699</v>
      </c>
      <c r="J418" s="444">
        <f t="array" ref="J418">IFERROR(INDEX('Retirement Calculator'!J:J,MATCH('Isaac 401k'!N418,'Retirement Calculator'!A:A,0),0),0)</f>
        <v>7896.2379798201846</v>
      </c>
      <c r="K418" s="444">
        <f t="shared" ca="1" si="27"/>
        <v>7928.9382501314567</v>
      </c>
      <c r="L418" s="444">
        <f t="shared" ca="1" si="28"/>
        <v>1910874.1182816811</v>
      </c>
      <c r="M418" s="460">
        <f t="shared" si="30"/>
        <v>0.05</v>
      </c>
      <c r="N418" s="464">
        <f t="shared" si="31"/>
        <v>63767</v>
      </c>
    </row>
    <row r="419" spans="7:14" ht="11.25" customHeight="1" x14ac:dyDescent="0.3">
      <c r="G419" s="459">
        <f t="shared" si="44"/>
        <v>35</v>
      </c>
      <c r="H419" s="459">
        <v>412</v>
      </c>
      <c r="I419" s="444">
        <f t="shared" ca="1" si="29"/>
        <v>1910874.1182816811</v>
      </c>
      <c r="J419" s="444">
        <f t="array" ref="J419">IFERROR(INDEX('Retirement Calculator'!J:J,MATCH('Isaac 401k'!N419,'Retirement Calculator'!A:A,0),0),0)</f>
        <v>7896.2379798201846</v>
      </c>
      <c r="K419" s="444">
        <f t="shared" ca="1" si="27"/>
        <v>7929.0745012577527</v>
      </c>
      <c r="L419" s="444">
        <f t="shared" ca="1" si="28"/>
        <v>1910906.9548031187</v>
      </c>
      <c r="M419" s="460">
        <f t="shared" si="30"/>
        <v>0.05</v>
      </c>
      <c r="N419" s="464">
        <f t="shared" si="31"/>
        <v>63798</v>
      </c>
    </row>
    <row r="420" spans="7:14" ht="11.25" customHeight="1" x14ac:dyDescent="0.3">
      <c r="G420" s="459">
        <f t="shared" si="44"/>
        <v>35</v>
      </c>
      <c r="H420" s="459">
        <v>413</v>
      </c>
      <c r="I420" s="444">
        <f t="shared" ca="1" si="29"/>
        <v>1910906.9548031187</v>
      </c>
      <c r="J420" s="444">
        <f t="array" ref="J420">IFERROR(INDEX('Retirement Calculator'!J:J,MATCH('Isaac 401k'!N420,'Retirement Calculator'!A:A,0),0),0)</f>
        <v>7896.2379798201846</v>
      </c>
      <c r="K420" s="444">
        <f t="shared" ca="1" si="27"/>
        <v>7929.2113200970771</v>
      </c>
      <c r="L420" s="444">
        <f t="shared" ca="1" si="28"/>
        <v>1910939.9281433956</v>
      </c>
      <c r="M420" s="460">
        <f t="shared" si="30"/>
        <v>0.05</v>
      </c>
      <c r="N420" s="464">
        <f t="shared" si="31"/>
        <v>63828</v>
      </c>
    </row>
    <row r="421" spans="7:14" ht="11.25" customHeight="1" x14ac:dyDescent="0.3">
      <c r="G421" s="459">
        <f t="shared" si="44"/>
        <v>35</v>
      </c>
      <c r="H421" s="459">
        <v>414</v>
      </c>
      <c r="I421" s="444">
        <f t="shared" ca="1" si="29"/>
        <v>1910939.9281433956</v>
      </c>
      <c r="J421" s="444">
        <f t="array" ref="J421">IFERROR(INDEX('Retirement Calculator'!J:J,MATCH('Isaac 401k'!N421,'Retirement Calculator'!A:A,0),0),0)</f>
        <v>7896.2379798201846</v>
      </c>
      <c r="K421" s="444">
        <f t="shared" ca="1" si="27"/>
        <v>7929.3487090148965</v>
      </c>
      <c r="L421" s="444">
        <f t="shared" ca="1" si="28"/>
        <v>1910973.0388725903</v>
      </c>
      <c r="M421" s="460">
        <f t="shared" si="30"/>
        <v>0.05</v>
      </c>
      <c r="N421" s="464">
        <f t="shared" si="31"/>
        <v>63859</v>
      </c>
    </row>
    <row r="422" spans="7:14" ht="11.25" customHeight="1" x14ac:dyDescent="0.3">
      <c r="G422" s="459">
        <f t="shared" si="44"/>
        <v>35</v>
      </c>
      <c r="H422" s="459">
        <v>415</v>
      </c>
      <c r="I422" s="444">
        <f t="shared" ca="1" si="29"/>
        <v>1910973.0388725903</v>
      </c>
      <c r="J422" s="444">
        <f t="array" ref="J422">IFERROR(INDEX('Retirement Calculator'!J:J,MATCH('Isaac 401k'!N422,'Retirement Calculator'!A:A,0),0),0)</f>
        <v>7896.2379798201846</v>
      </c>
      <c r="K422" s="444">
        <f t="shared" ca="1" si="27"/>
        <v>7929.4866703865418</v>
      </c>
      <c r="L422" s="444">
        <f t="shared" ca="1" si="28"/>
        <v>1911006.2875631566</v>
      </c>
      <c r="M422" s="460">
        <f t="shared" si="30"/>
        <v>0.05</v>
      </c>
      <c r="N422" s="464">
        <f t="shared" si="31"/>
        <v>63889</v>
      </c>
    </row>
    <row r="423" spans="7:14" ht="11.25" customHeight="1" x14ac:dyDescent="0.3">
      <c r="G423" s="459">
        <f t="shared" si="44"/>
        <v>35</v>
      </c>
      <c r="H423" s="459">
        <v>416</v>
      </c>
      <c r="I423" s="444">
        <f t="shared" ca="1" si="29"/>
        <v>1911006.2875631566</v>
      </c>
      <c r="J423" s="444">
        <f t="array" ref="J423">IFERROR(INDEX('Retirement Calculator'!J:J,MATCH('Isaac 401k'!N423,'Retirement Calculator'!A:A,0),0),0)</f>
        <v>7896.2379798201846</v>
      </c>
      <c r="K423" s="444">
        <f t="shared" ca="1" si="27"/>
        <v>7929.6252065972349</v>
      </c>
      <c r="L423" s="444">
        <f t="shared" ca="1" si="28"/>
        <v>1911039.6747899335</v>
      </c>
      <c r="M423" s="460">
        <f t="shared" si="30"/>
        <v>0.05</v>
      </c>
      <c r="N423" s="464">
        <f t="shared" si="31"/>
        <v>63920</v>
      </c>
    </row>
    <row r="424" spans="7:14" ht="11.25" customHeight="1" x14ac:dyDescent="0.3">
      <c r="G424" s="459">
        <f t="shared" si="44"/>
        <v>35</v>
      </c>
      <c r="H424" s="459">
        <v>417</v>
      </c>
      <c r="I424" s="444">
        <f t="shared" ca="1" si="29"/>
        <v>1911039.6747899335</v>
      </c>
      <c r="J424" s="444">
        <f t="array" ref="J424">IFERROR(INDEX('Retirement Calculator'!J:J,MATCH('Isaac 401k'!N424,'Retirement Calculator'!A:A,0),0),0)</f>
        <v>7896.2379798201846</v>
      </c>
      <c r="K424" s="444">
        <f t="shared" ca="1" si="27"/>
        <v>7929.7643200421371</v>
      </c>
      <c r="L424" s="444">
        <f t="shared" ca="1" si="28"/>
        <v>1911073.2011301555</v>
      </c>
      <c r="M424" s="460">
        <f t="shared" si="30"/>
        <v>0.05</v>
      </c>
      <c r="N424" s="464">
        <f t="shared" si="31"/>
        <v>63951</v>
      </c>
    </row>
    <row r="425" spans="7:14" ht="11.25" customHeight="1" x14ac:dyDescent="0.3">
      <c r="G425" s="459">
        <f t="shared" si="44"/>
        <v>35</v>
      </c>
      <c r="H425" s="459">
        <v>418</v>
      </c>
      <c r="I425" s="444">
        <f t="shared" ca="1" si="29"/>
        <v>1911073.2011301555</v>
      </c>
      <c r="J425" s="444">
        <f t="array" ref="J425">IFERROR(INDEX('Retirement Calculator'!J:J,MATCH('Isaac 401k'!N425,'Retirement Calculator'!A:A,0),0),0)</f>
        <v>7896.2379798201846</v>
      </c>
      <c r="K425" s="444">
        <f t="shared" ca="1" si="27"/>
        <v>7929.9040131263964</v>
      </c>
      <c r="L425" s="444">
        <f t="shared" ca="1" si="28"/>
        <v>1911106.8671634616</v>
      </c>
      <c r="M425" s="460">
        <f t="shared" si="30"/>
        <v>0.05</v>
      </c>
      <c r="N425" s="464">
        <f t="shared" si="31"/>
        <v>63979</v>
      </c>
    </row>
    <row r="426" spans="7:14" ht="11.25" customHeight="1" x14ac:dyDescent="0.3">
      <c r="G426" s="459">
        <f t="shared" si="44"/>
        <v>35</v>
      </c>
      <c r="H426" s="459">
        <v>419</v>
      </c>
      <c r="I426" s="444">
        <f t="shared" ca="1" si="29"/>
        <v>1911106.8671634616</v>
      </c>
      <c r="J426" s="444">
        <f t="array" ref="J426">IFERROR(INDEX('Retirement Calculator'!J:J,MATCH('Isaac 401k'!N426,'Retirement Calculator'!A:A,0),0),0)</f>
        <v>7896.2379798201846</v>
      </c>
      <c r="K426" s="444">
        <f t="shared" ca="1" si="27"/>
        <v>7930.0442882651723</v>
      </c>
      <c r="L426" s="444">
        <f t="shared" ca="1" si="28"/>
        <v>1911140.6734719067</v>
      </c>
      <c r="M426" s="460">
        <f t="shared" si="30"/>
        <v>0.05</v>
      </c>
      <c r="N426" s="464">
        <f t="shared" si="31"/>
        <v>64010</v>
      </c>
    </row>
    <row r="427" spans="7:14" ht="11.25" customHeight="1" x14ac:dyDescent="0.3">
      <c r="G427" s="459">
        <f t="shared" si="44"/>
        <v>35</v>
      </c>
      <c r="H427" s="459">
        <v>420</v>
      </c>
      <c r="I427" s="444">
        <f t="shared" ca="1" si="29"/>
        <v>1911140.6734719067</v>
      </c>
      <c r="J427" s="444">
        <f t="array" ref="J427">IFERROR(INDEX('Retirement Calculator'!J:J,MATCH('Isaac 401k'!N427,'Retirement Calculator'!A:A,0),0),0)</f>
        <v>7896.2379798201846</v>
      </c>
      <c r="K427" s="444">
        <f t="shared" ca="1" si="27"/>
        <v>7930.1851478836943</v>
      </c>
      <c r="L427" s="444">
        <f t="shared" ca="1" si="28"/>
        <v>1911174.6206399701</v>
      </c>
      <c r="M427" s="460">
        <f t="shared" si="30"/>
        <v>0.05</v>
      </c>
      <c r="N427" s="464">
        <f t="shared" si="31"/>
        <v>64040</v>
      </c>
    </row>
    <row r="428" spans="7:14" ht="11.25" customHeight="1" x14ac:dyDescent="0.3">
      <c r="G428" s="459">
        <f>G427+1</f>
        <v>36</v>
      </c>
      <c r="H428" s="459">
        <v>421</v>
      </c>
      <c r="I428" s="444">
        <f t="shared" ca="1" si="29"/>
        <v>1911174.6206399701</v>
      </c>
      <c r="J428" s="444">
        <f t="array" ref="J428">IFERROR(INDEX('Retirement Calculator'!J:J,MATCH('Isaac 401k'!N428,'Retirement Calculator'!A:A,0),0),0)</f>
        <v>7896.2379798201846</v>
      </c>
      <c r="K428" s="444">
        <f t="shared" ca="1" si="27"/>
        <v>7930.3265944172908</v>
      </c>
      <c r="L428" s="444">
        <f t="shared" ca="1" si="28"/>
        <v>1911208.709254567</v>
      </c>
      <c r="M428" s="460">
        <f t="shared" si="30"/>
        <v>0.05</v>
      </c>
      <c r="N428" s="464">
        <f t="shared" si="31"/>
        <v>64071</v>
      </c>
    </row>
    <row r="429" spans="7:14" ht="11.25" customHeight="1" x14ac:dyDescent="0.3">
      <c r="G429" s="459">
        <f t="shared" ref="G429:G439" si="45">G428</f>
        <v>36</v>
      </c>
      <c r="H429" s="459">
        <v>422</v>
      </c>
      <c r="I429" s="444">
        <f t="shared" ca="1" si="29"/>
        <v>1911208.709254567</v>
      </c>
      <c r="J429" s="444">
        <f t="array" ref="J429">IFERROR(INDEX('Retirement Calculator'!J:J,MATCH('Isaac 401k'!N429,'Retirement Calculator'!A:A,0),0),0)</f>
        <v>7896.2379798201846</v>
      </c>
      <c r="K429" s="444">
        <f t="shared" ca="1" si="27"/>
        <v>7930.4686303114449</v>
      </c>
      <c r="L429" s="444">
        <f t="shared" ca="1" si="28"/>
        <v>1911242.9399050584</v>
      </c>
      <c r="M429" s="460">
        <f t="shared" si="30"/>
        <v>0.05</v>
      </c>
      <c r="N429" s="464">
        <f t="shared" si="31"/>
        <v>64101</v>
      </c>
    </row>
    <row r="430" spans="7:14" ht="11.25" customHeight="1" x14ac:dyDescent="0.3">
      <c r="G430" s="459">
        <f t="shared" si="45"/>
        <v>36</v>
      </c>
      <c r="H430" s="459">
        <v>423</v>
      </c>
      <c r="I430" s="444">
        <f t="shared" ca="1" si="29"/>
        <v>1911242.9399050584</v>
      </c>
      <c r="J430" s="444">
        <f t="array" ref="J430">IFERROR(INDEX('Retirement Calculator'!J:J,MATCH('Isaac 401k'!N430,'Retirement Calculator'!A:A,0),0),0)</f>
        <v>7896.2379798201846</v>
      </c>
      <c r="K430" s="444">
        <f t="shared" ca="1" si="27"/>
        <v>7930.6112580218251</v>
      </c>
      <c r="L430" s="444">
        <f t="shared" ca="1" si="28"/>
        <v>1911277.3131832599</v>
      </c>
      <c r="M430" s="460">
        <f t="shared" si="30"/>
        <v>0.05</v>
      </c>
      <c r="N430" s="464">
        <f t="shared" si="31"/>
        <v>64132</v>
      </c>
    </row>
    <row r="431" spans="7:14" ht="11.25" customHeight="1" x14ac:dyDescent="0.3">
      <c r="G431" s="459">
        <f t="shared" si="45"/>
        <v>36</v>
      </c>
      <c r="H431" s="459">
        <v>424</v>
      </c>
      <c r="I431" s="444">
        <f t="shared" ca="1" si="29"/>
        <v>1911277.3131832599</v>
      </c>
      <c r="J431" s="444">
        <f t="array" ref="J431">IFERROR(INDEX('Retirement Calculator'!J:J,MATCH('Isaac 401k'!N431,'Retirement Calculator'!A:A,0),0),0)</f>
        <v>7896.2379798201846</v>
      </c>
      <c r="K431" s="444">
        <f t="shared" ca="1" si="27"/>
        <v>7930.7544800143323</v>
      </c>
      <c r="L431" s="444">
        <f t="shared" ca="1" si="28"/>
        <v>1911311.829683454</v>
      </c>
      <c r="M431" s="460">
        <f t="shared" si="30"/>
        <v>0.05</v>
      </c>
      <c r="N431" s="464">
        <f t="shared" si="31"/>
        <v>64163</v>
      </c>
    </row>
    <row r="432" spans="7:14" ht="11.25" customHeight="1" x14ac:dyDescent="0.3">
      <c r="G432" s="459">
        <f t="shared" si="45"/>
        <v>36</v>
      </c>
      <c r="H432" s="459">
        <v>425</v>
      </c>
      <c r="I432" s="444">
        <f t="shared" ca="1" si="29"/>
        <v>1911311.829683454</v>
      </c>
      <c r="J432" s="444">
        <f t="array" ref="J432">IFERROR(INDEX('Retirement Calculator'!J:J,MATCH('Isaac 401k'!N432,'Retirement Calculator'!A:A,0),0),0)</f>
        <v>7896.2379798201846</v>
      </c>
      <c r="K432" s="444">
        <f t="shared" ca="1" si="27"/>
        <v>7930.8982987651416</v>
      </c>
      <c r="L432" s="444">
        <f t="shared" ca="1" si="28"/>
        <v>1911346.4900023988</v>
      </c>
      <c r="M432" s="460">
        <f t="shared" si="30"/>
        <v>0.05</v>
      </c>
      <c r="N432" s="464">
        <f t="shared" si="31"/>
        <v>64193</v>
      </c>
    </row>
    <row r="433" spans="7:14" ht="11.25" customHeight="1" x14ac:dyDescent="0.3">
      <c r="G433" s="459">
        <f t="shared" si="45"/>
        <v>36</v>
      </c>
      <c r="H433" s="459">
        <v>426</v>
      </c>
      <c r="I433" s="444">
        <f t="shared" ca="1" si="29"/>
        <v>1911346.4900023988</v>
      </c>
      <c r="J433" s="444">
        <f t="array" ref="J433">IFERROR(INDEX('Retirement Calculator'!J:J,MATCH('Isaac 401k'!N433,'Retirement Calculator'!A:A,0),0),0)</f>
        <v>7896.2379798201846</v>
      </c>
      <c r="K433" s="444">
        <f t="shared" ca="1" si="27"/>
        <v>7931.042716760744</v>
      </c>
      <c r="L433" s="444">
        <f t="shared" ca="1" si="28"/>
        <v>1911381.2947393393</v>
      </c>
      <c r="M433" s="460">
        <f t="shared" si="30"/>
        <v>0.05</v>
      </c>
      <c r="N433" s="464">
        <f t="shared" si="31"/>
        <v>64224</v>
      </c>
    </row>
    <row r="434" spans="7:14" ht="11.25" customHeight="1" x14ac:dyDescent="0.3">
      <c r="G434" s="459">
        <f t="shared" si="45"/>
        <v>36</v>
      </c>
      <c r="H434" s="459">
        <v>427</v>
      </c>
      <c r="I434" s="444">
        <f t="shared" ca="1" si="29"/>
        <v>1911381.2947393393</v>
      </c>
      <c r="J434" s="444">
        <f t="array" ref="J434">IFERROR(INDEX('Retirement Calculator'!J:J,MATCH('Isaac 401k'!N434,'Retirement Calculator'!A:A,0),0),0)</f>
        <v>7896.2379798201846</v>
      </c>
      <c r="K434" s="444">
        <f t="shared" ca="1" si="27"/>
        <v>7931.1877364979955</v>
      </c>
      <c r="L434" s="444">
        <f t="shared" ca="1" si="28"/>
        <v>1911416.244496017</v>
      </c>
      <c r="M434" s="460">
        <f t="shared" si="30"/>
        <v>0.05</v>
      </c>
      <c r="N434" s="464">
        <f t="shared" si="31"/>
        <v>64254</v>
      </c>
    </row>
    <row r="435" spans="7:14" ht="11.25" customHeight="1" x14ac:dyDescent="0.3">
      <c r="G435" s="459">
        <f t="shared" si="45"/>
        <v>36</v>
      </c>
      <c r="H435" s="459">
        <v>428</v>
      </c>
      <c r="I435" s="444">
        <f t="shared" ca="1" si="29"/>
        <v>1911416.244496017</v>
      </c>
      <c r="J435" s="444">
        <f t="array" ref="J435">IFERROR(INDEX('Retirement Calculator'!J:J,MATCH('Isaac 401k'!N435,'Retirement Calculator'!A:A,0),0),0)</f>
        <v>7896.2379798201846</v>
      </c>
      <c r="K435" s="444">
        <f t="shared" ca="1" si="27"/>
        <v>7931.3333604841519</v>
      </c>
      <c r="L435" s="444">
        <f t="shared" ca="1" si="28"/>
        <v>1911451.3398766809</v>
      </c>
      <c r="M435" s="460">
        <f t="shared" si="30"/>
        <v>0.05</v>
      </c>
      <c r="N435" s="464">
        <f t="shared" si="31"/>
        <v>64285</v>
      </c>
    </row>
    <row r="436" spans="7:14" ht="11.25" customHeight="1" x14ac:dyDescent="0.3">
      <c r="G436" s="459">
        <f t="shared" si="45"/>
        <v>36</v>
      </c>
      <c r="H436" s="459">
        <v>429</v>
      </c>
      <c r="I436" s="444">
        <f t="shared" ca="1" si="29"/>
        <v>1911451.3398766809</v>
      </c>
      <c r="J436" s="444">
        <f t="array" ref="J436">IFERROR(INDEX('Retirement Calculator'!J:J,MATCH('Isaac 401k'!N436,'Retirement Calculator'!A:A,0),0),0)</f>
        <v>7896.2379798201846</v>
      </c>
      <c r="K436" s="444">
        <f t="shared" ca="1" si="27"/>
        <v>7931.4795912369182</v>
      </c>
      <c r="L436" s="444">
        <f t="shared" ca="1" si="28"/>
        <v>1911486.5814880976</v>
      </c>
      <c r="M436" s="460">
        <f t="shared" si="30"/>
        <v>0.05</v>
      </c>
      <c r="N436" s="464">
        <f t="shared" si="31"/>
        <v>64316</v>
      </c>
    </row>
    <row r="437" spans="7:14" ht="11.25" customHeight="1" x14ac:dyDescent="0.3">
      <c r="G437" s="459">
        <f t="shared" si="45"/>
        <v>36</v>
      </c>
      <c r="H437" s="459">
        <v>430</v>
      </c>
      <c r="I437" s="444">
        <f t="shared" ca="1" si="29"/>
        <v>1911486.5814880976</v>
      </c>
      <c r="J437" s="444">
        <f t="array" ref="J437">IFERROR(INDEX('Retirement Calculator'!J:J,MATCH('Isaac 401k'!N437,'Retirement Calculator'!A:A,0),0),0)</f>
        <v>7896.2379798201846</v>
      </c>
      <c r="K437" s="444">
        <f t="shared" ca="1" si="27"/>
        <v>7931.6264312844887</v>
      </c>
      <c r="L437" s="444">
        <f t="shared" ca="1" si="28"/>
        <v>1911521.9699395618</v>
      </c>
      <c r="M437" s="460">
        <f t="shared" si="30"/>
        <v>0.05</v>
      </c>
      <c r="N437" s="464">
        <f t="shared" si="31"/>
        <v>64345</v>
      </c>
    </row>
    <row r="438" spans="7:14" ht="11.25" customHeight="1" x14ac:dyDescent="0.3">
      <c r="G438" s="459">
        <f t="shared" si="45"/>
        <v>36</v>
      </c>
      <c r="H438" s="459">
        <v>431</v>
      </c>
      <c r="I438" s="444">
        <f t="shared" ca="1" si="29"/>
        <v>1911521.9699395618</v>
      </c>
      <c r="J438" s="444">
        <f t="array" ref="J438">IFERROR(INDEX('Retirement Calculator'!J:J,MATCH('Isaac 401k'!N438,'Retirement Calculator'!A:A,0),0),0)</f>
        <v>7896.2379798201846</v>
      </c>
      <c r="K438" s="444">
        <f t="shared" ca="1" si="27"/>
        <v>7931.7738831655897</v>
      </c>
      <c r="L438" s="444">
        <f t="shared" ca="1" si="28"/>
        <v>1911557.5058429071</v>
      </c>
      <c r="M438" s="460">
        <f t="shared" si="30"/>
        <v>0.05</v>
      </c>
      <c r="N438" s="464">
        <f t="shared" si="31"/>
        <v>64376</v>
      </c>
    </row>
    <row r="439" spans="7:14" ht="11.25" customHeight="1" x14ac:dyDescent="0.3">
      <c r="G439" s="459">
        <f t="shared" si="45"/>
        <v>36</v>
      </c>
      <c r="H439" s="459">
        <v>432</v>
      </c>
      <c r="I439" s="444">
        <f t="shared" ca="1" si="29"/>
        <v>1911557.5058429071</v>
      </c>
      <c r="J439" s="444">
        <f t="array" ref="J439">IFERROR(INDEX('Retirement Calculator'!J:J,MATCH('Isaac 401k'!N439,'Retirement Calculator'!A:A,0),0),0)</f>
        <v>7896.2379798201846</v>
      </c>
      <c r="K439" s="444">
        <f t="shared" ca="1" si="27"/>
        <v>7931.9219494295285</v>
      </c>
      <c r="L439" s="444">
        <f t="shared" ca="1" si="28"/>
        <v>1911593.1898125163</v>
      </c>
      <c r="M439" s="460">
        <f t="shared" si="30"/>
        <v>0.05</v>
      </c>
      <c r="N439" s="464">
        <f t="shared" si="31"/>
        <v>64406</v>
      </c>
    </row>
    <row r="440" spans="7:14" ht="11.25" customHeight="1" x14ac:dyDescent="0.3">
      <c r="G440" s="459">
        <f>G439+1</f>
        <v>37</v>
      </c>
      <c r="H440" s="459">
        <v>433</v>
      </c>
      <c r="I440" s="444">
        <f t="shared" ca="1" si="29"/>
        <v>1911593.1898125163</v>
      </c>
      <c r="J440" s="444">
        <f t="array" ref="J440">IFERROR(INDEX('Retirement Calculator'!J:J,MATCH('Isaac 401k'!N440,'Retirement Calculator'!A:A,0),0),0)</f>
        <v>7896.2379798201846</v>
      </c>
      <c r="K440" s="444">
        <f t="shared" ca="1" si="27"/>
        <v>7932.0706326362333</v>
      </c>
      <c r="L440" s="444">
        <f t="shared" ca="1" si="28"/>
        <v>1911629.0224653324</v>
      </c>
      <c r="M440" s="460">
        <f t="shared" si="30"/>
        <v>0.05</v>
      </c>
      <c r="N440" s="464">
        <f t="shared" si="31"/>
        <v>64437</v>
      </c>
    </row>
    <row r="441" spans="7:14" ht="11.25" customHeight="1" x14ac:dyDescent="0.3">
      <c r="G441" s="459">
        <f t="shared" ref="G441:G451" si="46">G440</f>
        <v>37</v>
      </c>
      <c r="H441" s="459">
        <v>434</v>
      </c>
      <c r="I441" s="444">
        <f t="shared" ca="1" si="29"/>
        <v>1911629.0224653324</v>
      </c>
      <c r="J441" s="444">
        <f t="array" ref="J441">IFERROR(INDEX('Retirement Calculator'!J:J,MATCH('Isaac 401k'!N441,'Retirement Calculator'!A:A,0),0),0)</f>
        <v>7896.2379798201846</v>
      </c>
      <c r="K441" s="444">
        <f t="shared" ca="1" si="27"/>
        <v>7932.219935356301</v>
      </c>
      <c r="L441" s="444">
        <f t="shared" ca="1" si="28"/>
        <v>1911665.0044208686</v>
      </c>
      <c r="M441" s="460">
        <f t="shared" si="30"/>
        <v>0.05</v>
      </c>
      <c r="N441" s="464">
        <f t="shared" si="31"/>
        <v>64467</v>
      </c>
    </row>
    <row r="442" spans="7:14" ht="11.25" customHeight="1" x14ac:dyDescent="0.3">
      <c r="G442" s="459">
        <f t="shared" si="46"/>
        <v>37</v>
      </c>
      <c r="H442" s="459">
        <v>435</v>
      </c>
      <c r="I442" s="444">
        <f t="shared" ca="1" si="29"/>
        <v>1911665.0044208686</v>
      </c>
      <c r="J442" s="444">
        <f t="array" ref="J442">IFERROR(INDEX('Retirement Calculator'!J:J,MATCH('Isaac 401k'!N442,'Retirement Calculator'!A:A,0),0),0)</f>
        <v>7896.2379798201846</v>
      </c>
      <c r="K442" s="444">
        <f t="shared" ca="1" si="27"/>
        <v>7932.3698601710348</v>
      </c>
      <c r="L442" s="444">
        <f t="shared" ca="1" si="28"/>
        <v>1911701.1363012195</v>
      </c>
      <c r="M442" s="460">
        <f t="shared" si="30"/>
        <v>0.05</v>
      </c>
      <c r="N442" s="464">
        <f t="shared" si="31"/>
        <v>64498</v>
      </c>
    </row>
    <row r="443" spans="7:14" ht="11.25" customHeight="1" x14ac:dyDescent="0.3">
      <c r="G443" s="459">
        <f t="shared" si="46"/>
        <v>37</v>
      </c>
      <c r="H443" s="459">
        <v>436</v>
      </c>
      <c r="I443" s="444">
        <f t="shared" ca="1" si="29"/>
        <v>1911701.1363012195</v>
      </c>
      <c r="J443" s="444">
        <f t="array" ref="J443">IFERROR(INDEX('Retirement Calculator'!J:J,MATCH('Isaac 401k'!N443,'Retirement Calculator'!A:A,0),0),0)</f>
        <v>7896.2379798201846</v>
      </c>
      <c r="K443" s="444">
        <f t="shared" ca="1" si="27"/>
        <v>7932.5204096724956</v>
      </c>
      <c r="L443" s="444">
        <f t="shared" ca="1" si="28"/>
        <v>1911737.4187310718</v>
      </c>
      <c r="M443" s="460">
        <f t="shared" si="30"/>
        <v>0.05</v>
      </c>
      <c r="N443" s="464">
        <f t="shared" si="31"/>
        <v>64529</v>
      </c>
    </row>
    <row r="444" spans="7:14" ht="11.25" customHeight="1" x14ac:dyDescent="0.3">
      <c r="G444" s="459">
        <f t="shared" si="46"/>
        <v>37</v>
      </c>
      <c r="H444" s="459">
        <v>437</v>
      </c>
      <c r="I444" s="444">
        <f t="shared" ca="1" si="29"/>
        <v>1911737.4187310718</v>
      </c>
      <c r="J444" s="444">
        <f t="array" ref="J444">IFERROR(INDEX('Retirement Calculator'!J:J,MATCH('Isaac 401k'!N444,'Retirement Calculator'!A:A,0),0),0)</f>
        <v>7896.2379798201846</v>
      </c>
      <c r="K444" s="444">
        <f t="shared" ca="1" si="27"/>
        <v>7932.671586463548</v>
      </c>
      <c r="L444" s="444">
        <f t="shared" ca="1" si="28"/>
        <v>1911773.852337715</v>
      </c>
      <c r="M444" s="460">
        <f t="shared" si="30"/>
        <v>0.05</v>
      </c>
      <c r="N444" s="464">
        <f t="shared" si="31"/>
        <v>64559</v>
      </c>
    </row>
    <row r="445" spans="7:14" ht="11.25" customHeight="1" x14ac:dyDescent="0.3">
      <c r="G445" s="459">
        <f t="shared" si="46"/>
        <v>37</v>
      </c>
      <c r="H445" s="459">
        <v>438</v>
      </c>
      <c r="I445" s="444">
        <f t="shared" ca="1" si="29"/>
        <v>1911773.852337715</v>
      </c>
      <c r="J445" s="444">
        <f t="array" ref="J445">IFERROR(INDEX('Retirement Calculator'!J:J,MATCH('Isaac 401k'!N445,'Retirement Calculator'!A:A,0),0),0)</f>
        <v>7896.2379798201846</v>
      </c>
      <c r="K445" s="444">
        <f t="shared" ca="1" si="27"/>
        <v>7932.8233931578943</v>
      </c>
      <c r="L445" s="444">
        <f t="shared" ca="1" si="28"/>
        <v>1911810.4377510527</v>
      </c>
      <c r="M445" s="460">
        <f t="shared" si="30"/>
        <v>0.05</v>
      </c>
      <c r="N445" s="464">
        <f t="shared" si="31"/>
        <v>64590</v>
      </c>
    </row>
    <row r="446" spans="7:14" ht="11.25" customHeight="1" x14ac:dyDescent="0.3">
      <c r="G446" s="459">
        <f t="shared" si="46"/>
        <v>37</v>
      </c>
      <c r="H446" s="459">
        <v>439</v>
      </c>
      <c r="I446" s="444">
        <f t="shared" ca="1" si="29"/>
        <v>1911810.4377510527</v>
      </c>
      <c r="J446" s="444">
        <f t="array" ref="J446">IFERROR(INDEX('Retirement Calculator'!J:J,MATCH('Isaac 401k'!N446,'Retirement Calculator'!A:A,0),0),0)</f>
        <v>7896.2379798201846</v>
      </c>
      <c r="K446" s="444">
        <f t="shared" ca="1" si="27"/>
        <v>7932.9758323801343</v>
      </c>
      <c r="L446" s="444">
        <f t="shared" ca="1" si="28"/>
        <v>1911847.1756036126</v>
      </c>
      <c r="M446" s="460">
        <f t="shared" si="30"/>
        <v>0.05</v>
      </c>
      <c r="N446" s="464">
        <f t="shared" si="31"/>
        <v>64620</v>
      </c>
    </row>
    <row r="447" spans="7:14" ht="11.25" customHeight="1" x14ac:dyDescent="0.3">
      <c r="G447" s="459">
        <f t="shared" si="46"/>
        <v>37</v>
      </c>
      <c r="H447" s="459">
        <v>440</v>
      </c>
      <c r="I447" s="444">
        <f t="shared" ca="1" si="29"/>
        <v>1911847.1756036126</v>
      </c>
      <c r="J447" s="444">
        <f t="array" ref="J447">IFERROR(INDEX('Retirement Calculator'!J:J,MATCH('Isaac 401k'!N447,'Retirement Calculator'!A:A,0),0),0)</f>
        <v>7896.2379798201846</v>
      </c>
      <c r="K447" s="444">
        <f t="shared" ca="1" si="27"/>
        <v>7933.1289067658008</v>
      </c>
      <c r="L447" s="444">
        <f t="shared" ca="1" si="28"/>
        <v>1911884.066530558</v>
      </c>
      <c r="M447" s="460">
        <f t="shared" si="30"/>
        <v>0.05</v>
      </c>
      <c r="N447" s="464">
        <f t="shared" si="31"/>
        <v>64651</v>
      </c>
    </row>
    <row r="448" spans="7:14" ht="11.25" customHeight="1" x14ac:dyDescent="0.3">
      <c r="G448" s="459">
        <f t="shared" si="46"/>
        <v>37</v>
      </c>
      <c r="H448" s="459">
        <v>441</v>
      </c>
      <c r="I448" s="444">
        <f t="shared" ca="1" si="29"/>
        <v>1911884.066530558</v>
      </c>
      <c r="J448" s="444">
        <f t="array" ref="J448">IFERROR(INDEX('Retirement Calculator'!J:J,MATCH('Isaac 401k'!N448,'Retirement Calculator'!A:A,0),0),0)</f>
        <v>7896.2379798201846</v>
      </c>
      <c r="K448" s="444">
        <f t="shared" ca="1" si="27"/>
        <v>7933.2826189614088</v>
      </c>
      <c r="L448" s="444">
        <f t="shared" ca="1" si="28"/>
        <v>1911921.1111696991</v>
      </c>
      <c r="M448" s="460">
        <f t="shared" si="30"/>
        <v>0.05</v>
      </c>
      <c r="N448" s="464">
        <f t="shared" si="31"/>
        <v>64682</v>
      </c>
    </row>
    <row r="449" spans="7:14" ht="11.25" customHeight="1" x14ac:dyDescent="0.3">
      <c r="G449" s="459">
        <f t="shared" si="46"/>
        <v>37</v>
      </c>
      <c r="H449" s="459">
        <v>442</v>
      </c>
      <c r="I449" s="444">
        <f t="shared" ca="1" si="29"/>
        <v>1911921.1111696991</v>
      </c>
      <c r="J449" s="444">
        <f t="array" ref="J449">IFERROR(INDEX('Retirement Calculator'!J:J,MATCH('Isaac 401k'!N449,'Retirement Calculator'!A:A,0),0),0)</f>
        <v>7896.2379798201846</v>
      </c>
      <c r="K449" s="444">
        <f t="shared" ca="1" si="27"/>
        <v>7933.4369716244955</v>
      </c>
      <c r="L449" s="444">
        <f t="shared" ca="1" si="28"/>
        <v>1911958.3101615033</v>
      </c>
      <c r="M449" s="460">
        <f t="shared" si="30"/>
        <v>0.05</v>
      </c>
      <c r="N449" s="464">
        <f t="shared" si="31"/>
        <v>64710</v>
      </c>
    </row>
    <row r="450" spans="7:14" ht="11.25" customHeight="1" x14ac:dyDescent="0.3">
      <c r="G450" s="459">
        <f t="shared" si="46"/>
        <v>37</v>
      </c>
      <c r="H450" s="459">
        <v>443</v>
      </c>
      <c r="I450" s="444">
        <f t="shared" ca="1" si="29"/>
        <v>1911958.3101615033</v>
      </c>
      <c r="J450" s="444">
        <f t="array" ref="J450">IFERROR(INDEX('Retirement Calculator'!J:J,MATCH('Isaac 401k'!N450,'Retirement Calculator'!A:A,0),0),0)</f>
        <v>7896.2379798201846</v>
      </c>
      <c r="K450" s="444">
        <f t="shared" ca="1" si="27"/>
        <v>7933.5919674236784</v>
      </c>
      <c r="L450" s="444">
        <f t="shared" ca="1" si="28"/>
        <v>1911995.6641491067</v>
      </c>
      <c r="M450" s="460">
        <f t="shared" si="30"/>
        <v>0.05</v>
      </c>
      <c r="N450" s="464">
        <f t="shared" si="31"/>
        <v>64741</v>
      </c>
    </row>
    <row r="451" spans="7:14" ht="11.25" customHeight="1" x14ac:dyDescent="0.3">
      <c r="G451" s="459">
        <f t="shared" si="46"/>
        <v>37</v>
      </c>
      <c r="H451" s="459">
        <v>444</v>
      </c>
      <c r="I451" s="444">
        <f t="shared" ca="1" si="29"/>
        <v>1911995.6641491067</v>
      </c>
      <c r="J451" s="444">
        <f t="array" ref="J451">IFERROR(INDEX('Retirement Calculator'!J:J,MATCH('Isaac 401k'!N451,'Retirement Calculator'!A:A,0),0),0)</f>
        <v>7896.2379798201846</v>
      </c>
      <c r="K451" s="444">
        <f t="shared" ca="1" si="27"/>
        <v>7933.7476090386936</v>
      </c>
      <c r="L451" s="444">
        <f t="shared" ca="1" si="28"/>
        <v>1912033.1737783251</v>
      </c>
      <c r="M451" s="460">
        <f t="shared" si="30"/>
        <v>0.05</v>
      </c>
      <c r="N451" s="464">
        <f t="shared" si="31"/>
        <v>64771</v>
      </c>
    </row>
    <row r="452" spans="7:14" ht="11.25" customHeight="1" x14ac:dyDescent="0.3">
      <c r="G452" s="459">
        <f>G451+1</f>
        <v>38</v>
      </c>
      <c r="H452" s="459">
        <v>445</v>
      </c>
      <c r="I452" s="444">
        <f t="shared" ca="1" si="29"/>
        <v>1912033.1737783251</v>
      </c>
      <c r="J452" s="444">
        <f t="array" ref="J452">IFERROR(INDEX('Retirement Calculator'!J:J,MATCH('Isaac 401k'!N452,'Retirement Calculator'!A:A,0),0),0)</f>
        <v>7896.2379798201846</v>
      </c>
      <c r="K452" s="444">
        <f t="shared" ca="1" si="27"/>
        <v>7933.9038991604366</v>
      </c>
      <c r="L452" s="444">
        <f t="shared" ca="1" si="28"/>
        <v>1912070.8396976653</v>
      </c>
      <c r="M452" s="460">
        <f t="shared" si="30"/>
        <v>0.05</v>
      </c>
      <c r="N452" s="464">
        <f t="shared" si="31"/>
        <v>64802</v>
      </c>
    </row>
    <row r="453" spans="7:14" ht="11.25" customHeight="1" x14ac:dyDescent="0.3">
      <c r="G453" s="459">
        <f t="shared" ref="G453:G463" si="47">G452</f>
        <v>38</v>
      </c>
      <c r="H453" s="459">
        <v>446</v>
      </c>
      <c r="I453" s="444">
        <f t="shared" ca="1" si="29"/>
        <v>1912070.8396976653</v>
      </c>
      <c r="J453" s="444">
        <f t="array" ref="J453">IFERROR(INDEX('Retirement Calculator'!J:J,MATCH('Isaac 401k'!N453,'Retirement Calculator'!A:A,0),0),0)</f>
        <v>7896.2379798201846</v>
      </c>
      <c r="K453" s="444">
        <f t="shared" ca="1" si="27"/>
        <v>7934.0608404910217</v>
      </c>
      <c r="L453" s="444">
        <f t="shared" ca="1" si="28"/>
        <v>1912108.662558336</v>
      </c>
      <c r="M453" s="460">
        <f t="shared" si="30"/>
        <v>0.05</v>
      </c>
      <c r="N453" s="464">
        <f t="shared" si="31"/>
        <v>64832</v>
      </c>
    </row>
    <row r="454" spans="7:14" ht="11.25" customHeight="1" x14ac:dyDescent="0.3">
      <c r="G454" s="459">
        <f t="shared" si="47"/>
        <v>38</v>
      </c>
      <c r="H454" s="459">
        <v>447</v>
      </c>
      <c r="I454" s="444">
        <f t="shared" ca="1" si="29"/>
        <v>1912108.662558336</v>
      </c>
      <c r="J454" s="444">
        <f t="array" ref="J454">IFERROR(INDEX('Retirement Calculator'!J:J,MATCH('Isaac 401k'!N454,'Retirement Calculator'!A:A,0),0),0)</f>
        <v>7896.2379798201846</v>
      </c>
      <c r="K454" s="444">
        <f t="shared" ca="1" si="27"/>
        <v>7934.2184357438155</v>
      </c>
      <c r="L454" s="444">
        <f t="shared" ca="1" si="28"/>
        <v>1912146.6430142596</v>
      </c>
      <c r="M454" s="460">
        <f t="shared" si="30"/>
        <v>0.05</v>
      </c>
      <c r="N454" s="464">
        <f t="shared" si="31"/>
        <v>64863</v>
      </c>
    </row>
    <row r="455" spans="7:14" ht="11.25" customHeight="1" x14ac:dyDescent="0.3">
      <c r="G455" s="459">
        <f t="shared" si="47"/>
        <v>38</v>
      </c>
      <c r="H455" s="459">
        <v>448</v>
      </c>
      <c r="I455" s="444">
        <f t="shared" ca="1" si="29"/>
        <v>1912146.6430142596</v>
      </c>
      <c r="J455" s="444">
        <f t="array" ref="J455">IFERROR(INDEX('Retirement Calculator'!J:J,MATCH('Isaac 401k'!N455,'Retirement Calculator'!A:A,0),0),0)</f>
        <v>7896.2379798201846</v>
      </c>
      <c r="K455" s="444">
        <f t="shared" ca="1" si="27"/>
        <v>7934.3766876434975</v>
      </c>
      <c r="L455" s="444">
        <f t="shared" ca="1" si="28"/>
        <v>1912184.781722083</v>
      </c>
      <c r="M455" s="460">
        <f t="shared" si="30"/>
        <v>0.05</v>
      </c>
      <c r="N455" s="464">
        <f t="shared" si="31"/>
        <v>64894</v>
      </c>
    </row>
    <row r="456" spans="7:14" ht="11.25" customHeight="1" x14ac:dyDescent="0.3">
      <c r="G456" s="459">
        <f t="shared" si="47"/>
        <v>38</v>
      </c>
      <c r="H456" s="459">
        <v>449</v>
      </c>
      <c r="I456" s="444">
        <f t="shared" ca="1" si="29"/>
        <v>1912184.781722083</v>
      </c>
      <c r="J456" s="444">
        <f t="array" ref="J456">IFERROR(INDEX('Retirement Calculator'!J:J,MATCH('Isaac 401k'!N456,'Retirement Calculator'!A:A,0),0),0)</f>
        <v>7896.2379798201846</v>
      </c>
      <c r="K456" s="444">
        <f t="shared" ca="1" si="27"/>
        <v>7934.5355989260961</v>
      </c>
      <c r="L456" s="444">
        <f t="shared" ca="1" si="28"/>
        <v>1912223.0793411888</v>
      </c>
      <c r="M456" s="460">
        <f t="shared" si="30"/>
        <v>0.05</v>
      </c>
      <c r="N456" s="464">
        <f t="shared" si="31"/>
        <v>64924</v>
      </c>
    </row>
    <row r="457" spans="7:14" ht="11.25" customHeight="1" x14ac:dyDescent="0.3">
      <c r="G457" s="459">
        <f t="shared" si="47"/>
        <v>38</v>
      </c>
      <c r="H457" s="459">
        <v>450</v>
      </c>
      <c r="I457" s="444">
        <f t="shared" ca="1" si="29"/>
        <v>1912223.0793411888</v>
      </c>
      <c r="J457" s="444">
        <f t="array" ref="J457">IFERROR(INDEX('Retirement Calculator'!J:J,MATCH('Isaac 401k'!N457,'Retirement Calculator'!A:A,0),0),0)</f>
        <v>7896.2379798201846</v>
      </c>
      <c r="K457" s="444">
        <f t="shared" ca="1" si="27"/>
        <v>7934.6951723390348</v>
      </c>
      <c r="L457" s="444">
        <f t="shared" ca="1" si="28"/>
        <v>1912261.5365337075</v>
      </c>
      <c r="M457" s="460">
        <f t="shared" si="30"/>
        <v>0.05</v>
      </c>
      <c r="N457" s="464">
        <f t="shared" si="31"/>
        <v>64955</v>
      </c>
    </row>
    <row r="458" spans="7:14" ht="11.25" customHeight="1" x14ac:dyDescent="0.3">
      <c r="G458" s="459">
        <f t="shared" si="47"/>
        <v>38</v>
      </c>
      <c r="H458" s="459">
        <v>451</v>
      </c>
      <c r="I458" s="444">
        <f t="shared" ca="1" si="29"/>
        <v>1912261.5365337075</v>
      </c>
      <c r="J458" s="444">
        <f t="array" ref="J458">IFERROR(INDEX('Retirement Calculator'!J:J,MATCH('Isaac 401k'!N458,'Retirement Calculator'!A:A,0),0),0)</f>
        <v>7896.2379798201846</v>
      </c>
      <c r="K458" s="444">
        <f t="shared" ca="1" si="27"/>
        <v>7934.8554106411966</v>
      </c>
      <c r="L458" s="444">
        <f t="shared" ca="1" si="28"/>
        <v>1912300.1539645286</v>
      </c>
      <c r="M458" s="460">
        <f t="shared" si="30"/>
        <v>0.05</v>
      </c>
      <c r="N458" s="464">
        <f t="shared" si="31"/>
        <v>64985</v>
      </c>
    </row>
    <row r="459" spans="7:14" ht="11.25" customHeight="1" x14ac:dyDescent="0.3">
      <c r="G459" s="459">
        <f t="shared" si="47"/>
        <v>38</v>
      </c>
      <c r="H459" s="459">
        <v>452</v>
      </c>
      <c r="I459" s="444">
        <f t="shared" ca="1" si="29"/>
        <v>1912300.1539645286</v>
      </c>
      <c r="J459" s="444">
        <f t="array" ref="J459">IFERROR(INDEX('Retirement Calculator'!J:J,MATCH('Isaac 401k'!N459,'Retirement Calculator'!A:A,0),0),0)</f>
        <v>7896.2379798201846</v>
      </c>
      <c r="K459" s="444">
        <f t="shared" ca="1" si="27"/>
        <v>7935.0163166029515</v>
      </c>
      <c r="L459" s="444">
        <f t="shared" ca="1" si="28"/>
        <v>1912338.9323013113</v>
      </c>
      <c r="M459" s="460">
        <f t="shared" si="30"/>
        <v>0.05</v>
      </c>
      <c r="N459" s="464">
        <f t="shared" si="31"/>
        <v>65016</v>
      </c>
    </row>
    <row r="460" spans="7:14" ht="11.25" customHeight="1" x14ac:dyDescent="0.3">
      <c r="G460" s="459">
        <f t="shared" si="47"/>
        <v>38</v>
      </c>
      <c r="H460" s="459">
        <v>453</v>
      </c>
      <c r="I460" s="444">
        <f t="shared" ca="1" si="29"/>
        <v>1912338.9323013113</v>
      </c>
      <c r="J460" s="444">
        <f t="array" ref="J460">IFERROR(INDEX('Retirement Calculator'!J:J,MATCH('Isaac 401k'!N460,'Retirement Calculator'!A:A,0),0),0)</f>
        <v>7896.2379798201846</v>
      </c>
      <c r="K460" s="444">
        <f t="shared" ca="1" si="27"/>
        <v>7935.1778930062128</v>
      </c>
      <c r="L460" s="444">
        <f t="shared" ca="1" si="28"/>
        <v>1912377.8722144973</v>
      </c>
      <c r="M460" s="460">
        <f t="shared" si="30"/>
        <v>0.05</v>
      </c>
      <c r="N460" s="464">
        <f t="shared" si="31"/>
        <v>65047</v>
      </c>
    </row>
    <row r="461" spans="7:14" ht="11.25" customHeight="1" x14ac:dyDescent="0.3">
      <c r="G461" s="459">
        <f t="shared" si="47"/>
        <v>38</v>
      </c>
      <c r="H461" s="459">
        <v>454</v>
      </c>
      <c r="I461" s="444">
        <f t="shared" ca="1" si="29"/>
        <v>1912377.8722144973</v>
      </c>
      <c r="J461" s="444">
        <f t="array" ref="J461">IFERROR(INDEX('Retirement Calculator'!J:J,MATCH('Isaac 401k'!N461,'Retirement Calculator'!A:A,0),0),0)</f>
        <v>7896.2379798201846</v>
      </c>
      <c r="K461" s="444">
        <f t="shared" ca="1" si="27"/>
        <v>7935.3401426444889</v>
      </c>
      <c r="L461" s="444">
        <f t="shared" ca="1" si="28"/>
        <v>1912416.9743773215</v>
      </c>
      <c r="M461" s="460">
        <f t="shared" si="30"/>
        <v>0.05</v>
      </c>
      <c r="N461" s="464">
        <f t="shared" si="31"/>
        <v>65075</v>
      </c>
    </row>
    <row r="462" spans="7:14" ht="11.25" customHeight="1" x14ac:dyDescent="0.3">
      <c r="G462" s="459">
        <f t="shared" si="47"/>
        <v>38</v>
      </c>
      <c r="H462" s="459">
        <v>455</v>
      </c>
      <c r="I462" s="444">
        <f t="shared" ca="1" si="29"/>
        <v>1912416.9743773215</v>
      </c>
      <c r="J462" s="444">
        <f t="array" ref="J462">IFERROR(INDEX('Retirement Calculator'!J:J,MATCH('Isaac 401k'!N462,'Retirement Calculator'!A:A,0),0),0)</f>
        <v>7896.2379798201846</v>
      </c>
      <c r="K462" s="444">
        <f t="shared" ca="1" si="27"/>
        <v>7935.5030683229224</v>
      </c>
      <c r="L462" s="444">
        <f t="shared" ca="1" si="28"/>
        <v>1912456.2394658243</v>
      </c>
      <c r="M462" s="460">
        <f t="shared" si="30"/>
        <v>0.05</v>
      </c>
      <c r="N462" s="464">
        <f t="shared" si="31"/>
        <v>65106</v>
      </c>
    </row>
    <row r="463" spans="7:14" ht="11.25" customHeight="1" x14ac:dyDescent="0.3">
      <c r="G463" s="459">
        <f t="shared" si="47"/>
        <v>38</v>
      </c>
      <c r="H463" s="459">
        <v>456</v>
      </c>
      <c r="I463" s="444">
        <f t="shared" ca="1" si="29"/>
        <v>1912456.2394658243</v>
      </c>
      <c r="J463" s="444">
        <f t="array" ref="J463">IFERROR(INDEX('Retirement Calculator'!J:J,MATCH('Isaac 401k'!N463,'Retirement Calculator'!A:A,0),0),0)</f>
        <v>7896.2379798201846</v>
      </c>
      <c r="K463" s="444">
        <f t="shared" ca="1" si="27"/>
        <v>7935.6666728583505</v>
      </c>
      <c r="L463" s="444">
        <f t="shared" ca="1" si="28"/>
        <v>1912495.6681588625</v>
      </c>
      <c r="M463" s="460">
        <f t="shared" si="30"/>
        <v>0.05</v>
      </c>
      <c r="N463" s="464">
        <f t="shared" si="31"/>
        <v>65136</v>
      </c>
    </row>
    <row r="464" spans="7:14" ht="11.25" customHeight="1" x14ac:dyDescent="0.3">
      <c r="G464" s="459">
        <f>G463+1</f>
        <v>39</v>
      </c>
      <c r="H464" s="459">
        <v>457</v>
      </c>
      <c r="I464" s="444">
        <f t="shared" ca="1" si="29"/>
        <v>1912495.6681588625</v>
      </c>
      <c r="J464" s="444">
        <f t="array" ref="J464">IFERROR(INDEX('Retirement Calculator'!J:J,MATCH('Isaac 401k'!N464,'Retirement Calculator'!A:A,0),0),0)</f>
        <v>7896.2379798201846</v>
      </c>
      <c r="K464" s="444">
        <f t="shared" ca="1" si="27"/>
        <v>7935.8309590793424</v>
      </c>
      <c r="L464" s="444">
        <f t="shared" ca="1" si="28"/>
        <v>1912535.2611381216</v>
      </c>
      <c r="M464" s="460">
        <f t="shared" si="30"/>
        <v>0.05</v>
      </c>
      <c r="N464" s="464">
        <f t="shared" si="31"/>
        <v>65167</v>
      </c>
    </row>
    <row r="465" spans="7:14" ht="11.25" customHeight="1" x14ac:dyDescent="0.3">
      <c r="G465" s="459">
        <f t="shared" ref="G465:G475" si="48">G464</f>
        <v>39</v>
      </c>
      <c r="H465" s="459">
        <v>458</v>
      </c>
      <c r="I465" s="444">
        <f t="shared" ca="1" si="29"/>
        <v>1912535.2611381216</v>
      </c>
      <c r="J465" s="444">
        <f t="array" ref="J465">IFERROR(INDEX('Retirement Calculator'!J:J,MATCH('Isaac 401k'!N465,'Retirement Calculator'!A:A,0),0),0)</f>
        <v>7896.2379798201846</v>
      </c>
      <c r="K465" s="444">
        <f t="shared" ca="1" si="27"/>
        <v>7935.9959298262556</v>
      </c>
      <c r="L465" s="444">
        <f t="shared" ca="1" si="28"/>
        <v>1912575.0190881277</v>
      </c>
      <c r="M465" s="460">
        <f t="shared" si="30"/>
        <v>0.05</v>
      </c>
      <c r="N465" s="464">
        <f t="shared" si="31"/>
        <v>65197</v>
      </c>
    </row>
    <row r="466" spans="7:14" ht="11.25" customHeight="1" x14ac:dyDescent="0.3">
      <c r="G466" s="459">
        <f t="shared" si="48"/>
        <v>39</v>
      </c>
      <c r="H466" s="459">
        <v>459</v>
      </c>
      <c r="I466" s="444">
        <f t="shared" ca="1" si="29"/>
        <v>1912575.0190881277</v>
      </c>
      <c r="J466" s="444">
        <f t="array" ref="J466">IFERROR(INDEX('Retirement Calculator'!J:J,MATCH('Isaac 401k'!N466,'Retirement Calculator'!A:A,0),0),0)</f>
        <v>7896.2379798201846</v>
      </c>
      <c r="K466" s="444">
        <f t="shared" ca="1" si="27"/>
        <v>7936.161587951281</v>
      </c>
      <c r="L466" s="444">
        <f t="shared" ca="1" si="28"/>
        <v>1912614.9426962587</v>
      </c>
      <c r="M466" s="460">
        <f t="shared" si="30"/>
        <v>0.05</v>
      </c>
      <c r="N466" s="464">
        <f t="shared" si="31"/>
        <v>65228</v>
      </c>
    </row>
    <row r="467" spans="7:14" ht="11.25" customHeight="1" x14ac:dyDescent="0.3">
      <c r="G467" s="459">
        <f t="shared" si="48"/>
        <v>39</v>
      </c>
      <c r="H467" s="459">
        <v>460</v>
      </c>
      <c r="I467" s="444">
        <f t="shared" ca="1" si="29"/>
        <v>1912614.9426962587</v>
      </c>
      <c r="J467" s="444">
        <f t="array" ref="J467">IFERROR(INDEX('Retirement Calculator'!J:J,MATCH('Isaac 401k'!N467,'Retirement Calculator'!A:A,0),0),0)</f>
        <v>7896.2379798201846</v>
      </c>
      <c r="K467" s="444">
        <f t="shared" ca="1" si="27"/>
        <v>7936.3279363184929</v>
      </c>
      <c r="L467" s="444">
        <f t="shared" ca="1" si="28"/>
        <v>1912655.0326527569</v>
      </c>
      <c r="M467" s="460">
        <f t="shared" si="30"/>
        <v>0.05</v>
      </c>
      <c r="N467" s="464">
        <f t="shared" si="31"/>
        <v>65259</v>
      </c>
    </row>
    <row r="468" spans="7:14" ht="11.25" customHeight="1" x14ac:dyDescent="0.3">
      <c r="G468" s="459">
        <f t="shared" si="48"/>
        <v>39</v>
      </c>
      <c r="H468" s="459">
        <v>461</v>
      </c>
      <c r="I468" s="444">
        <f t="shared" ca="1" si="29"/>
        <v>1912655.0326527569</v>
      </c>
      <c r="J468" s="444">
        <f t="array" ref="J468">IFERROR(INDEX('Retirement Calculator'!J:J,MATCH('Isaac 401k'!N468,'Retirement Calculator'!A:A,0),0),0)</f>
        <v>7896.2379798201846</v>
      </c>
      <c r="K468" s="444">
        <f t="shared" ca="1" si="27"/>
        <v>7936.4949778039017</v>
      </c>
      <c r="L468" s="444">
        <f t="shared" ca="1" si="28"/>
        <v>1912695.2896507406</v>
      </c>
      <c r="M468" s="460">
        <f t="shared" si="30"/>
        <v>0.05</v>
      </c>
      <c r="N468" s="464">
        <f t="shared" si="31"/>
        <v>65289</v>
      </c>
    </row>
    <row r="469" spans="7:14" ht="11.25" customHeight="1" x14ac:dyDescent="0.3">
      <c r="G469" s="459">
        <f t="shared" si="48"/>
        <v>39</v>
      </c>
      <c r="H469" s="459">
        <v>462</v>
      </c>
      <c r="I469" s="444">
        <f t="shared" ca="1" si="29"/>
        <v>1912695.2896507406</v>
      </c>
      <c r="J469" s="444">
        <f t="array" ref="J469">IFERROR(INDEX('Retirement Calculator'!J:J,MATCH('Isaac 401k'!N469,'Retirement Calculator'!A:A,0),0),0)</f>
        <v>7896.2379798201846</v>
      </c>
      <c r="K469" s="444">
        <f t="shared" ca="1" si="27"/>
        <v>7936.6627152955016</v>
      </c>
      <c r="L469" s="444">
        <f t="shared" ca="1" si="28"/>
        <v>1912735.7143862159</v>
      </c>
      <c r="M469" s="460">
        <f t="shared" si="30"/>
        <v>0.05</v>
      </c>
      <c r="N469" s="464">
        <f t="shared" si="31"/>
        <v>65320</v>
      </c>
    </row>
    <row r="470" spans="7:14" ht="11.25" customHeight="1" x14ac:dyDescent="0.3">
      <c r="G470" s="459">
        <f t="shared" si="48"/>
        <v>39</v>
      </c>
      <c r="H470" s="459">
        <v>463</v>
      </c>
      <c r="I470" s="444">
        <f t="shared" ca="1" si="29"/>
        <v>1912735.7143862159</v>
      </c>
      <c r="J470" s="444">
        <f t="array" ref="J470">IFERROR(INDEX('Retirement Calculator'!J:J,MATCH('Isaac 401k'!N470,'Retirement Calculator'!A:A,0),0),0)</f>
        <v>7896.2379798201846</v>
      </c>
      <c r="K470" s="444">
        <f t="shared" ca="1" si="27"/>
        <v>7936.8311516933154</v>
      </c>
      <c r="L470" s="444">
        <f t="shared" ca="1" si="28"/>
        <v>1912776.307558089</v>
      </c>
      <c r="M470" s="460">
        <f t="shared" si="30"/>
        <v>0.05</v>
      </c>
      <c r="N470" s="464">
        <f t="shared" si="31"/>
        <v>65350</v>
      </c>
    </row>
    <row r="471" spans="7:14" ht="11.25" customHeight="1" x14ac:dyDescent="0.3">
      <c r="G471" s="459">
        <f t="shared" si="48"/>
        <v>39</v>
      </c>
      <c r="H471" s="459">
        <v>464</v>
      </c>
      <c r="I471" s="444">
        <f t="shared" ca="1" si="29"/>
        <v>1912776.307558089</v>
      </c>
      <c r="J471" s="444">
        <f t="array" ref="J471">IFERROR(INDEX('Retirement Calculator'!J:J,MATCH('Isaac 401k'!N471,'Retirement Calculator'!A:A,0),0),0)</f>
        <v>7896.2379798201846</v>
      </c>
      <c r="K471" s="444">
        <f t="shared" ca="1" si="27"/>
        <v>7937.0002899094534</v>
      </c>
      <c r="L471" s="444">
        <f t="shared" ca="1" si="28"/>
        <v>1912817.0698681783</v>
      </c>
      <c r="M471" s="460">
        <f t="shared" si="30"/>
        <v>0.05</v>
      </c>
      <c r="N471" s="464">
        <f t="shared" si="31"/>
        <v>65381</v>
      </c>
    </row>
    <row r="472" spans="7:14" ht="11.25" customHeight="1" x14ac:dyDescent="0.3">
      <c r="G472" s="459">
        <f t="shared" si="48"/>
        <v>39</v>
      </c>
      <c r="H472" s="459">
        <v>465</v>
      </c>
      <c r="I472" s="444">
        <f t="shared" ca="1" si="29"/>
        <v>1912817.0698681783</v>
      </c>
      <c r="J472" s="444">
        <f t="array" ref="J472">IFERROR(INDEX('Retirement Calculator'!J:J,MATCH('Isaac 401k'!N472,'Retirement Calculator'!A:A,0),0),0)</f>
        <v>7896.2379798201846</v>
      </c>
      <c r="K472" s="444">
        <f t="shared" ca="1" si="27"/>
        <v>7937.1701328681584</v>
      </c>
      <c r="L472" s="444">
        <f t="shared" ca="1" si="28"/>
        <v>1912858.0020212263</v>
      </c>
      <c r="M472" s="460">
        <f t="shared" si="30"/>
        <v>0.05</v>
      </c>
      <c r="N472" s="464">
        <f t="shared" si="31"/>
        <v>65412</v>
      </c>
    </row>
    <row r="473" spans="7:14" ht="11.25" customHeight="1" x14ac:dyDescent="0.3">
      <c r="G473" s="459">
        <f t="shared" si="48"/>
        <v>39</v>
      </c>
      <c r="H473" s="459">
        <v>466</v>
      </c>
      <c r="I473" s="444">
        <f t="shared" ca="1" si="29"/>
        <v>1912858.0020212263</v>
      </c>
      <c r="J473" s="444">
        <f t="array" ref="J473">IFERROR(INDEX('Retirement Calculator'!J:J,MATCH('Isaac 401k'!N473,'Retirement Calculator'!A:A,0),0),0)</f>
        <v>7896.2379798201846</v>
      </c>
      <c r="K473" s="444">
        <f t="shared" ca="1" si="27"/>
        <v>7937.3406835058595</v>
      </c>
      <c r="L473" s="444">
        <f t="shared" ca="1" si="28"/>
        <v>1912899.104724912</v>
      </c>
      <c r="M473" s="460">
        <f t="shared" si="30"/>
        <v>0.05</v>
      </c>
      <c r="N473" s="464">
        <f t="shared" si="31"/>
        <v>65440</v>
      </c>
    </row>
    <row r="474" spans="7:14" ht="11.25" customHeight="1" x14ac:dyDescent="0.3">
      <c r="G474" s="459">
        <f t="shared" si="48"/>
        <v>39</v>
      </c>
      <c r="H474" s="459">
        <v>467</v>
      </c>
      <c r="I474" s="444">
        <f t="shared" ca="1" si="29"/>
        <v>1912899.104724912</v>
      </c>
      <c r="J474" s="444">
        <f t="array" ref="J474">IFERROR(INDEX('Retirement Calculator'!J:J,MATCH('Isaac 401k'!N474,'Retirement Calculator'!A:A,0),0),0)</f>
        <v>7896.2379798201846</v>
      </c>
      <c r="K474" s="444">
        <f t="shared" ca="1" si="27"/>
        <v>7937.5119447712168</v>
      </c>
      <c r="L474" s="444">
        <f t="shared" ca="1" si="28"/>
        <v>1912940.378689863</v>
      </c>
      <c r="M474" s="460">
        <f t="shared" si="30"/>
        <v>0.05</v>
      </c>
      <c r="N474" s="464">
        <f t="shared" si="31"/>
        <v>65471</v>
      </c>
    </row>
    <row r="475" spans="7:14" ht="11.25" customHeight="1" x14ac:dyDescent="0.3">
      <c r="G475" s="459">
        <f t="shared" si="48"/>
        <v>39</v>
      </c>
      <c r="H475" s="459">
        <v>468</v>
      </c>
      <c r="I475" s="444">
        <f t="shared" ca="1" si="29"/>
        <v>1912940.378689863</v>
      </c>
      <c r="J475" s="444">
        <f t="array" ref="J475">IFERROR(INDEX('Retirement Calculator'!J:J,MATCH('Isaac 401k'!N475,'Retirement Calculator'!A:A,0),0),0)</f>
        <v>7896.2379798201846</v>
      </c>
      <c r="K475" s="444">
        <f t="shared" ca="1" si="27"/>
        <v>7937.6839196251794</v>
      </c>
      <c r="L475" s="444">
        <f t="shared" ca="1" si="28"/>
        <v>1912981.8246296679</v>
      </c>
      <c r="M475" s="460">
        <f t="shared" si="30"/>
        <v>0.05</v>
      </c>
      <c r="N475" s="464">
        <f t="shared" si="31"/>
        <v>65501</v>
      </c>
    </row>
    <row r="476" spans="7:14" ht="11.25" customHeight="1" x14ac:dyDescent="0.3">
      <c r="G476" s="459">
        <f>G475+1</f>
        <v>40</v>
      </c>
      <c r="H476" s="459">
        <v>469</v>
      </c>
      <c r="I476" s="444">
        <f t="shared" ca="1" si="29"/>
        <v>1912981.8246296679</v>
      </c>
      <c r="J476" s="444">
        <f t="array" ref="J476">IFERROR(INDEX('Retirement Calculator'!J:J,MATCH('Isaac 401k'!N476,'Retirement Calculator'!A:A,0),0),0)</f>
        <v>7896.2379798201846</v>
      </c>
      <c r="K476" s="444">
        <f t="shared" ca="1" si="27"/>
        <v>7937.8566110410329</v>
      </c>
      <c r="L476" s="444">
        <f t="shared" ca="1" si="28"/>
        <v>1913023.4432608888</v>
      </c>
      <c r="M476" s="460">
        <f t="shared" si="30"/>
        <v>0.05</v>
      </c>
      <c r="N476" s="464">
        <f t="shared" si="31"/>
        <v>65532</v>
      </c>
    </row>
    <row r="477" spans="7:14" ht="11.25" customHeight="1" x14ac:dyDescent="0.3">
      <c r="G477" s="459">
        <f t="shared" ref="G477:G487" si="49">G476</f>
        <v>40</v>
      </c>
      <c r="H477" s="459">
        <v>470</v>
      </c>
      <c r="I477" s="444">
        <f t="shared" ca="1" si="29"/>
        <v>1913023.4432608888</v>
      </c>
      <c r="J477" s="444">
        <f t="array" ref="J477">IFERROR(INDEX('Retirement Calculator'!J:J,MATCH('Isaac 401k'!N477,'Retirement Calculator'!A:A,0),0),0)</f>
        <v>7896.2379798201846</v>
      </c>
      <c r="K477" s="444">
        <f t="shared" ca="1" si="27"/>
        <v>7938.0300220044519</v>
      </c>
      <c r="L477" s="444">
        <f t="shared" ca="1" si="28"/>
        <v>1913065.235303073</v>
      </c>
      <c r="M477" s="460">
        <f t="shared" si="30"/>
        <v>0.05</v>
      </c>
      <c r="N477" s="464">
        <f t="shared" si="31"/>
        <v>65562</v>
      </c>
    </row>
    <row r="478" spans="7:14" ht="11.25" customHeight="1" x14ac:dyDescent="0.3">
      <c r="G478" s="459">
        <f t="shared" si="49"/>
        <v>40</v>
      </c>
      <c r="H478" s="459">
        <v>471</v>
      </c>
      <c r="I478" s="444">
        <f t="shared" ca="1" si="29"/>
        <v>1913065.235303073</v>
      </c>
      <c r="J478" s="444">
        <f t="array" ref="J478">IFERROR(INDEX('Retirement Calculator'!J:J,MATCH('Isaac 401k'!N478,'Retirement Calculator'!A:A,0),0),0)</f>
        <v>7896.2379798201846</v>
      </c>
      <c r="K478" s="444">
        <f t="shared" ca="1" si="27"/>
        <v>7938.2041555135538</v>
      </c>
      <c r="L478" s="444">
        <f t="shared" ca="1" si="28"/>
        <v>1913107.2014787663</v>
      </c>
      <c r="M478" s="460">
        <f t="shared" si="30"/>
        <v>0.05</v>
      </c>
      <c r="N478" s="464">
        <f t="shared" si="31"/>
        <v>65593</v>
      </c>
    </row>
    <row r="479" spans="7:14" ht="11.25" customHeight="1" x14ac:dyDescent="0.3">
      <c r="G479" s="459">
        <f t="shared" si="49"/>
        <v>40</v>
      </c>
      <c r="H479" s="459">
        <v>472</v>
      </c>
      <c r="I479" s="444">
        <f t="shared" ca="1" si="29"/>
        <v>1913107.2014787663</v>
      </c>
      <c r="J479" s="444">
        <f t="array" ref="J479">IFERROR(INDEX('Retirement Calculator'!J:J,MATCH('Isaac 401k'!N479,'Retirement Calculator'!A:A,0),0),0)</f>
        <v>7896.2379798201846</v>
      </c>
      <c r="K479" s="444">
        <f t="shared" ca="1" si="27"/>
        <v>7938.3790145789417</v>
      </c>
      <c r="L479" s="444">
        <f t="shared" ca="1" si="28"/>
        <v>1913149.3425135249</v>
      </c>
      <c r="M479" s="460">
        <f t="shared" si="30"/>
        <v>0.05</v>
      </c>
      <c r="N479" s="464">
        <f t="shared" si="31"/>
        <v>65624</v>
      </c>
    </row>
    <row r="480" spans="7:14" ht="11.25" customHeight="1" x14ac:dyDescent="0.3">
      <c r="G480" s="459">
        <f t="shared" si="49"/>
        <v>40</v>
      </c>
      <c r="H480" s="459">
        <v>473</v>
      </c>
      <c r="I480" s="444">
        <f t="shared" ca="1" si="29"/>
        <v>1913149.3425135249</v>
      </c>
      <c r="J480" s="444">
        <f t="array" ref="J480">IFERROR(INDEX('Retirement Calculator'!J:J,MATCH('Isaac 401k'!N480,'Retirement Calculator'!A:A,0),0),0)</f>
        <v>7896.2379798201846</v>
      </c>
      <c r="K480" s="444">
        <f t="shared" ca="1" si="27"/>
        <v>7938.5546022237695</v>
      </c>
      <c r="L480" s="444">
        <f t="shared" ca="1" si="28"/>
        <v>1913191.6591359284</v>
      </c>
      <c r="M480" s="460">
        <f t="shared" si="30"/>
        <v>0.05</v>
      </c>
      <c r="N480" s="464">
        <f t="shared" si="31"/>
        <v>65654</v>
      </c>
    </row>
    <row r="481" spans="7:14" ht="11.25" customHeight="1" x14ac:dyDescent="0.3">
      <c r="G481" s="459">
        <f t="shared" si="49"/>
        <v>40</v>
      </c>
      <c r="H481" s="459">
        <v>474</v>
      </c>
      <c r="I481" s="444">
        <f t="shared" ca="1" si="29"/>
        <v>1913191.6591359284</v>
      </c>
      <c r="J481" s="444">
        <f t="array" ref="J481">IFERROR(INDEX('Retirement Calculator'!J:J,MATCH('Isaac 401k'!N481,'Retirement Calculator'!A:A,0),0),0)</f>
        <v>7896.2379798201846</v>
      </c>
      <c r="K481" s="444">
        <f t="shared" ca="1" si="27"/>
        <v>7938.7309214837851</v>
      </c>
      <c r="L481" s="444">
        <f t="shared" ca="1" si="28"/>
        <v>1913234.152077592</v>
      </c>
      <c r="M481" s="460">
        <f t="shared" si="30"/>
        <v>0.05</v>
      </c>
      <c r="N481" s="464">
        <f t="shared" si="31"/>
        <v>65685</v>
      </c>
    </row>
    <row r="482" spans="7:14" ht="11.25" customHeight="1" x14ac:dyDescent="0.3">
      <c r="G482" s="459">
        <f t="shared" si="49"/>
        <v>40</v>
      </c>
      <c r="H482" s="459">
        <v>475</v>
      </c>
      <c r="I482" s="444">
        <f t="shared" ca="1" si="29"/>
        <v>1913234.152077592</v>
      </c>
      <c r="J482" s="444">
        <f t="array" ref="J482">IFERROR(INDEX('Retirement Calculator'!J:J,MATCH('Isaac 401k'!N482,'Retirement Calculator'!A:A,0),0),0)</f>
        <v>7896.2379798201846</v>
      </c>
      <c r="K482" s="444">
        <f t="shared" ca="1" si="27"/>
        <v>7938.9079754073819</v>
      </c>
      <c r="L482" s="444">
        <f t="shared" ca="1" si="28"/>
        <v>1913276.8220731791</v>
      </c>
      <c r="M482" s="460">
        <f t="shared" si="30"/>
        <v>0.05</v>
      </c>
      <c r="N482" s="464">
        <f t="shared" si="31"/>
        <v>65715</v>
      </c>
    </row>
    <row r="483" spans="7:14" ht="11.25" customHeight="1" x14ac:dyDescent="0.3">
      <c r="G483" s="459">
        <f t="shared" si="49"/>
        <v>40</v>
      </c>
      <c r="H483" s="459">
        <v>476</v>
      </c>
      <c r="I483" s="444">
        <f t="shared" ca="1" si="29"/>
        <v>1913276.8220731791</v>
      </c>
      <c r="J483" s="444">
        <f t="array" ref="J483">IFERROR(INDEX('Retirement Calculator'!J:J,MATCH('Isaac 401k'!N483,'Retirement Calculator'!A:A,0),0),0)</f>
        <v>7896.2379798201846</v>
      </c>
      <c r="K483" s="444">
        <f t="shared" ca="1" si="27"/>
        <v>7939.0857670556616</v>
      </c>
      <c r="L483" s="444">
        <f t="shared" ca="1" si="28"/>
        <v>1913319.6698604145</v>
      </c>
      <c r="M483" s="460">
        <f t="shared" si="30"/>
        <v>0.05</v>
      </c>
      <c r="N483" s="464">
        <f t="shared" si="31"/>
        <v>65746</v>
      </c>
    </row>
    <row r="484" spans="7:14" ht="11.25" customHeight="1" x14ac:dyDescent="0.3">
      <c r="G484" s="459">
        <f t="shared" si="49"/>
        <v>40</v>
      </c>
      <c r="H484" s="459">
        <v>477</v>
      </c>
      <c r="I484" s="444">
        <f t="shared" ca="1" si="29"/>
        <v>1913319.6698604145</v>
      </c>
      <c r="J484" s="444">
        <f t="array" ref="J484">IFERROR(INDEX('Retirement Calculator'!J:J,MATCH('Isaac 401k'!N484,'Retirement Calculator'!A:A,0),0),0)</f>
        <v>7896.2379798201846</v>
      </c>
      <c r="K484" s="444">
        <f t="shared" ca="1" si="27"/>
        <v>7939.2642995024762</v>
      </c>
      <c r="L484" s="444">
        <f t="shared" ca="1" si="28"/>
        <v>1913362.6961800966</v>
      </c>
      <c r="M484" s="460">
        <f t="shared" si="30"/>
        <v>0.05</v>
      </c>
      <c r="N484" s="464">
        <f t="shared" si="31"/>
        <v>65777</v>
      </c>
    </row>
    <row r="485" spans="7:14" ht="11.25" customHeight="1" x14ac:dyDescent="0.3">
      <c r="G485" s="459">
        <f t="shared" si="49"/>
        <v>40</v>
      </c>
      <c r="H485" s="459">
        <v>478</v>
      </c>
      <c r="I485" s="444">
        <f t="shared" ca="1" si="29"/>
        <v>1913362.6961800966</v>
      </c>
      <c r="J485" s="444">
        <f t="array" ref="J485">IFERROR(INDEX('Retirement Calculator'!J:J,MATCH('Isaac 401k'!N485,'Retirement Calculator'!A:A,0),0),0)</f>
        <v>7896.2379798201846</v>
      </c>
      <c r="K485" s="444">
        <f t="shared" ca="1" si="27"/>
        <v>7939.4435758344835</v>
      </c>
      <c r="L485" s="444">
        <f t="shared" ca="1" si="28"/>
        <v>1913405.9017761108</v>
      </c>
      <c r="M485" s="460">
        <f t="shared" si="30"/>
        <v>0.05</v>
      </c>
      <c r="N485" s="464">
        <f t="shared" si="31"/>
        <v>65806</v>
      </c>
    </row>
    <row r="486" spans="7:14" ht="11.25" customHeight="1" x14ac:dyDescent="0.3">
      <c r="G486" s="459">
        <f t="shared" si="49"/>
        <v>40</v>
      </c>
      <c r="H486" s="459">
        <v>479</v>
      </c>
      <c r="I486" s="444">
        <f t="shared" ca="1" si="29"/>
        <v>1913405.9017761108</v>
      </c>
      <c r="J486" s="444">
        <f t="array" ref="J486">IFERROR(INDEX('Retirement Calculator'!J:J,MATCH('Isaac 401k'!N486,'Retirement Calculator'!A:A,0),0),0)</f>
        <v>7896.2379798201846</v>
      </c>
      <c r="K486" s="444">
        <f t="shared" ca="1" si="27"/>
        <v>7939.6235991512103</v>
      </c>
      <c r="L486" s="444">
        <f t="shared" ca="1" si="28"/>
        <v>1913449.2873954417</v>
      </c>
      <c r="M486" s="460">
        <f t="shared" si="30"/>
        <v>0.05</v>
      </c>
      <c r="N486" s="464">
        <f t="shared" si="31"/>
        <v>65837</v>
      </c>
    </row>
    <row r="487" spans="7:14" ht="11.25" customHeight="1" x14ac:dyDescent="0.3">
      <c r="G487" s="459">
        <f t="shared" si="49"/>
        <v>40</v>
      </c>
      <c r="H487" s="459">
        <v>480</v>
      </c>
      <c r="I487" s="444">
        <f t="shared" ca="1" si="29"/>
        <v>1913449.2873954417</v>
      </c>
      <c r="J487" s="444">
        <f t="array" ref="J487">IFERROR(INDEX('Retirement Calculator'!J:J,MATCH('Isaac 401k'!N487,'Retirement Calculator'!A:A,0),0),0)</f>
        <v>7896.2379798201846</v>
      </c>
      <c r="K487" s="444">
        <f t="shared" ca="1" si="27"/>
        <v>7939.8043725650896</v>
      </c>
      <c r="L487" s="444">
        <f t="shared" ca="1" si="28"/>
        <v>1913492.8537881866</v>
      </c>
      <c r="M487" s="460">
        <f t="shared" si="30"/>
        <v>0.05</v>
      </c>
      <c r="N487" s="464">
        <f t="shared" si="31"/>
        <v>65867</v>
      </c>
    </row>
    <row r="488" spans="7:14" ht="11.25" customHeight="1" x14ac:dyDescent="0.3">
      <c r="G488" s="459">
        <f>G487+1</f>
        <v>41</v>
      </c>
      <c r="H488" s="459">
        <v>481</v>
      </c>
      <c r="I488" s="444">
        <f t="shared" ca="1" si="29"/>
        <v>1913492.8537881866</v>
      </c>
      <c r="J488" s="444">
        <f t="array" ref="J488">IFERROR(INDEX('Retirement Calculator'!J:J,MATCH('Isaac 401k'!N488,'Retirement Calculator'!A:A,0),0),0)</f>
        <v>7896.2379798201846</v>
      </c>
      <c r="K488" s="444">
        <f t="shared" ca="1" si="27"/>
        <v>7939.9858992015261</v>
      </c>
      <c r="L488" s="444">
        <f t="shared" ca="1" si="28"/>
        <v>1913536.6017075679</v>
      </c>
      <c r="M488" s="460">
        <f t="shared" si="30"/>
        <v>0.05</v>
      </c>
      <c r="N488" s="464">
        <f t="shared" si="31"/>
        <v>65898</v>
      </c>
    </row>
    <row r="489" spans="7:14" ht="11.25" customHeight="1" x14ac:dyDescent="0.3">
      <c r="G489" s="459">
        <f t="shared" ref="G489:G499" si="50">G488</f>
        <v>41</v>
      </c>
      <c r="H489" s="459">
        <v>482</v>
      </c>
      <c r="I489" s="444">
        <f t="shared" ca="1" si="29"/>
        <v>1913536.6017075679</v>
      </c>
      <c r="J489" s="444">
        <f t="array" ref="J489">IFERROR(INDEX('Retirement Calculator'!J:J,MATCH('Isaac 401k'!N489,'Retirement Calculator'!A:A,0),0),0)</f>
        <v>7896.2379798201846</v>
      </c>
      <c r="K489" s="444">
        <f t="shared" ca="1" si="27"/>
        <v>7940.1681821989487</v>
      </c>
      <c r="L489" s="444">
        <f t="shared" ca="1" si="28"/>
        <v>1913580.5319099466</v>
      </c>
      <c r="M489" s="460">
        <f t="shared" si="30"/>
        <v>0.05</v>
      </c>
      <c r="N489" s="464">
        <f t="shared" si="31"/>
        <v>65928</v>
      </c>
    </row>
    <row r="490" spans="7:14" ht="11.25" customHeight="1" x14ac:dyDescent="0.3">
      <c r="G490" s="459">
        <f t="shared" si="50"/>
        <v>41</v>
      </c>
      <c r="H490" s="459">
        <v>483</v>
      </c>
      <c r="I490" s="444">
        <f t="shared" ca="1" si="29"/>
        <v>1913580.5319099466</v>
      </c>
      <c r="J490" s="444">
        <f t="array" ref="J490">IFERROR(INDEX('Retirement Calculator'!J:J,MATCH('Isaac 401k'!N490,'Retirement Calculator'!A:A,0),0),0)</f>
        <v>7896.2379798201846</v>
      </c>
      <c r="K490" s="444">
        <f t="shared" ca="1" si="27"/>
        <v>7940.3512247088611</v>
      </c>
      <c r="L490" s="444">
        <f t="shared" ca="1" si="28"/>
        <v>1913624.6451548352</v>
      </c>
      <c r="M490" s="460">
        <f t="shared" si="30"/>
        <v>0.05</v>
      </c>
      <c r="N490" s="464">
        <f t="shared" si="31"/>
        <v>65959</v>
      </c>
    </row>
    <row r="491" spans="7:14" ht="11.25" customHeight="1" x14ac:dyDescent="0.3">
      <c r="G491" s="459">
        <f t="shared" si="50"/>
        <v>41</v>
      </c>
      <c r="H491" s="459">
        <v>484</v>
      </c>
      <c r="I491" s="444">
        <f t="shared" ca="1" si="29"/>
        <v>1913624.6451548352</v>
      </c>
      <c r="J491" s="444">
        <f t="array" ref="J491">IFERROR(INDEX('Retirement Calculator'!J:J,MATCH('Isaac 401k'!N491,'Retirement Calculator'!A:A,0),0),0)</f>
        <v>7896.2379798201846</v>
      </c>
      <c r="K491" s="444">
        <f t="shared" ca="1" si="27"/>
        <v>7940.5350298958947</v>
      </c>
      <c r="L491" s="444">
        <f t="shared" ca="1" si="28"/>
        <v>1913668.9422049108</v>
      </c>
      <c r="M491" s="460">
        <f t="shared" si="30"/>
        <v>0.05</v>
      </c>
      <c r="N491" s="464">
        <f t="shared" si="31"/>
        <v>65990</v>
      </c>
    </row>
    <row r="492" spans="7:14" ht="11.25" customHeight="1" x14ac:dyDescent="0.3">
      <c r="G492" s="459">
        <f t="shared" si="50"/>
        <v>41</v>
      </c>
      <c r="H492" s="459">
        <v>485</v>
      </c>
      <c r="I492" s="444">
        <f t="shared" ca="1" si="29"/>
        <v>1913668.9422049108</v>
      </c>
      <c r="J492" s="444">
        <f t="array" ref="J492">IFERROR(INDEX('Retirement Calculator'!J:J,MATCH('Isaac 401k'!N492,'Retirement Calculator'!A:A,0),0),0)</f>
        <v>7896.2379798201846</v>
      </c>
      <c r="K492" s="444">
        <f t="shared" ca="1" si="27"/>
        <v>7940.7196009378777</v>
      </c>
      <c r="L492" s="444">
        <f t="shared" ca="1" si="28"/>
        <v>1913713.4238260284</v>
      </c>
      <c r="M492" s="460">
        <f t="shared" si="30"/>
        <v>0.05</v>
      </c>
      <c r="N492" s="464">
        <f t="shared" si="31"/>
        <v>66020</v>
      </c>
    </row>
    <row r="493" spans="7:14" ht="11.25" customHeight="1" x14ac:dyDescent="0.3">
      <c r="G493" s="459">
        <f t="shared" si="50"/>
        <v>41</v>
      </c>
      <c r="H493" s="459">
        <v>486</v>
      </c>
      <c r="I493" s="444">
        <f t="shared" ca="1" si="29"/>
        <v>1913713.4238260284</v>
      </c>
      <c r="J493" s="444">
        <f t="array" ref="J493">IFERROR(INDEX('Retirement Calculator'!J:J,MATCH('Isaac 401k'!N493,'Retirement Calculator'!A:A,0),0),0)</f>
        <v>7896.2379798201846</v>
      </c>
      <c r="K493" s="444">
        <f t="shared" ca="1" si="27"/>
        <v>7940.9049410258667</v>
      </c>
      <c r="L493" s="444">
        <f t="shared" ca="1" si="28"/>
        <v>1913758.090787234</v>
      </c>
      <c r="M493" s="460">
        <f t="shared" si="30"/>
        <v>0.05</v>
      </c>
      <c r="N493" s="464">
        <f t="shared" si="31"/>
        <v>66051</v>
      </c>
    </row>
    <row r="494" spans="7:14" ht="11.25" customHeight="1" x14ac:dyDescent="0.3">
      <c r="G494" s="459">
        <f t="shared" si="50"/>
        <v>41</v>
      </c>
      <c r="H494" s="459">
        <v>487</v>
      </c>
      <c r="I494" s="444">
        <f t="shared" ca="1" si="29"/>
        <v>1913758.090787234</v>
      </c>
      <c r="J494" s="444">
        <f t="array" ref="J494">IFERROR(INDEX('Retirement Calculator'!J:J,MATCH('Isaac 401k'!N494,'Retirement Calculator'!A:A,0),0),0)</f>
        <v>7896.2379798201846</v>
      </c>
      <c r="K494" s="444">
        <f t="shared" ca="1" si="27"/>
        <v>7941.0910533642236</v>
      </c>
      <c r="L494" s="444">
        <f t="shared" ca="1" si="28"/>
        <v>1913802.9438607781</v>
      </c>
      <c r="M494" s="460">
        <f t="shared" si="30"/>
        <v>0.05</v>
      </c>
      <c r="N494" s="464">
        <f t="shared" si="31"/>
        <v>66081</v>
      </c>
    </row>
    <row r="495" spans="7:14" ht="11.25" customHeight="1" x14ac:dyDescent="0.3">
      <c r="G495" s="459">
        <f t="shared" si="50"/>
        <v>41</v>
      </c>
      <c r="H495" s="459">
        <v>488</v>
      </c>
      <c r="I495" s="444">
        <f t="shared" ca="1" si="29"/>
        <v>1913802.9438607781</v>
      </c>
      <c r="J495" s="444">
        <f t="array" ref="J495">IFERROR(INDEX('Retirement Calculator'!J:J,MATCH('Isaac 401k'!N495,'Retirement Calculator'!A:A,0),0),0)</f>
        <v>7896.2379798201846</v>
      </c>
      <c r="K495" s="444">
        <f t="shared" ca="1" si="27"/>
        <v>7941.277941170657</v>
      </c>
      <c r="L495" s="444">
        <f t="shared" ca="1" si="28"/>
        <v>1913847.9838221285</v>
      </c>
      <c r="M495" s="460">
        <f t="shared" si="30"/>
        <v>0.05</v>
      </c>
      <c r="N495" s="464">
        <f t="shared" si="31"/>
        <v>66112</v>
      </c>
    </row>
    <row r="496" spans="7:14" ht="11.25" customHeight="1" x14ac:dyDescent="0.3">
      <c r="G496" s="459">
        <f t="shared" si="50"/>
        <v>41</v>
      </c>
      <c r="H496" s="459">
        <v>489</v>
      </c>
      <c r="I496" s="444">
        <f t="shared" ca="1" si="29"/>
        <v>1913847.9838221285</v>
      </c>
      <c r="J496" s="444">
        <f t="array" ref="J496">IFERROR(INDEX('Retirement Calculator'!J:J,MATCH('Isaac 401k'!N496,'Retirement Calculator'!A:A,0),0),0)</f>
        <v>7896.2379798201846</v>
      </c>
      <c r="K496" s="444">
        <f t="shared" ca="1" si="27"/>
        <v>7941.465607676284</v>
      </c>
      <c r="L496" s="444">
        <f t="shared" ca="1" si="28"/>
        <v>1913893.2114499845</v>
      </c>
      <c r="M496" s="460">
        <f t="shared" si="30"/>
        <v>0.05</v>
      </c>
      <c r="N496" s="464">
        <f t="shared" si="31"/>
        <v>66143</v>
      </c>
    </row>
    <row r="497" spans="7:14" ht="11.25" customHeight="1" x14ac:dyDescent="0.3">
      <c r="G497" s="459">
        <f t="shared" si="50"/>
        <v>41</v>
      </c>
      <c r="H497" s="459">
        <v>490</v>
      </c>
      <c r="I497" s="444">
        <f t="shared" ca="1" si="29"/>
        <v>1913893.2114499845</v>
      </c>
      <c r="J497" s="444">
        <f t="array" ref="J497">IFERROR(INDEX('Retirement Calculator'!J:J,MATCH('Isaac 401k'!N497,'Retirement Calculator'!A:A,0),0),0)</f>
        <v>7896.2379798201846</v>
      </c>
      <c r="K497" s="444">
        <f t="shared" ca="1" si="27"/>
        <v>7941.6540561256843</v>
      </c>
      <c r="L497" s="444">
        <f t="shared" ca="1" si="28"/>
        <v>1913938.62752629</v>
      </c>
      <c r="M497" s="460">
        <f t="shared" si="30"/>
        <v>0.05</v>
      </c>
      <c r="N497" s="464">
        <f t="shared" si="31"/>
        <v>66171</v>
      </c>
    </row>
    <row r="498" spans="7:14" ht="11.25" customHeight="1" x14ac:dyDescent="0.3">
      <c r="G498" s="459">
        <f t="shared" si="50"/>
        <v>41</v>
      </c>
      <c r="H498" s="459">
        <v>491</v>
      </c>
      <c r="I498" s="444">
        <f t="shared" ca="1" si="29"/>
        <v>1913938.62752629</v>
      </c>
      <c r="J498" s="444">
        <f t="array" ref="J498">IFERROR(INDEX('Retirement Calculator'!J:J,MATCH('Isaac 401k'!N498,'Retirement Calculator'!A:A,0),0),0)</f>
        <v>7896.2379798201846</v>
      </c>
      <c r="K498" s="444">
        <f t="shared" ca="1" si="27"/>
        <v>7941.843289776958</v>
      </c>
      <c r="L498" s="444">
        <f t="shared" ca="1" si="28"/>
        <v>1913984.2328362467</v>
      </c>
      <c r="M498" s="460">
        <f t="shared" si="30"/>
        <v>0.05</v>
      </c>
      <c r="N498" s="464">
        <f t="shared" si="31"/>
        <v>66202</v>
      </c>
    </row>
    <row r="499" spans="7:14" ht="11.25" customHeight="1" x14ac:dyDescent="0.3">
      <c r="G499" s="459">
        <f t="shared" si="50"/>
        <v>41</v>
      </c>
      <c r="H499" s="459">
        <v>492</v>
      </c>
      <c r="I499" s="444">
        <f t="shared" ca="1" si="29"/>
        <v>1913984.2328362467</v>
      </c>
      <c r="J499" s="444">
        <f t="array" ref="J499">IFERROR(INDEX('Retirement Calculator'!J:J,MATCH('Isaac 401k'!N499,'Retirement Calculator'!A:A,0),0),0)</f>
        <v>7896.2379798201846</v>
      </c>
      <c r="K499" s="444">
        <f t="shared" ca="1" si="27"/>
        <v>7942.0333119017769</v>
      </c>
      <c r="L499" s="444">
        <f t="shared" ca="1" si="28"/>
        <v>1914030.0281683283</v>
      </c>
      <c r="M499" s="460">
        <f t="shared" si="30"/>
        <v>0.05</v>
      </c>
      <c r="N499" s="464">
        <f t="shared" si="31"/>
        <v>66232</v>
      </c>
    </row>
    <row r="500" spans="7:14" ht="11.25" customHeight="1" x14ac:dyDescent="0.3">
      <c r="G500" s="459">
        <f>G499+1</f>
        <v>42</v>
      </c>
      <c r="H500" s="459">
        <v>493</v>
      </c>
      <c r="I500" s="444">
        <f t="shared" ca="1" si="29"/>
        <v>1914030.0281683283</v>
      </c>
      <c r="J500" s="444">
        <f t="array" ref="J500">IFERROR(INDEX('Retirement Calculator'!J:J,MATCH('Isaac 401k'!N500,'Retirement Calculator'!A:A,0),0),0)</f>
        <v>7896.2379798201846</v>
      </c>
      <c r="K500" s="444">
        <f t="shared" ca="1" si="27"/>
        <v>7942.2241257854512</v>
      </c>
      <c r="L500" s="444">
        <f t="shared" ca="1" si="28"/>
        <v>1914076.0143142936</v>
      </c>
      <c r="M500" s="460">
        <f t="shared" si="30"/>
        <v>0.05</v>
      </c>
      <c r="N500" s="464">
        <f t="shared" si="31"/>
        <v>66263</v>
      </c>
    </row>
    <row r="501" spans="7:14" ht="11.25" customHeight="1" x14ac:dyDescent="0.3">
      <c r="G501" s="459">
        <f t="shared" ref="G501:G511" si="51">G500</f>
        <v>42</v>
      </c>
      <c r="H501" s="459">
        <v>494</v>
      </c>
      <c r="I501" s="444">
        <f t="shared" ca="1" si="29"/>
        <v>1914076.0143142936</v>
      </c>
      <c r="J501" s="444">
        <f t="array" ref="J501">IFERROR(INDEX('Retirement Calculator'!J:J,MATCH('Isaac 401k'!N501,'Retirement Calculator'!A:A,0),0),0)</f>
        <v>7896.2379798201846</v>
      </c>
      <c r="K501" s="444">
        <f t="shared" ca="1" si="27"/>
        <v>7942.415734726972</v>
      </c>
      <c r="L501" s="444">
        <f t="shared" ca="1" si="28"/>
        <v>1914122.1920692003</v>
      </c>
      <c r="M501" s="460">
        <f t="shared" si="30"/>
        <v>0.05</v>
      </c>
      <c r="N501" s="464">
        <f t="shared" si="31"/>
        <v>66293</v>
      </c>
    </row>
    <row r="502" spans="7:14" ht="11.25" customHeight="1" x14ac:dyDescent="0.3">
      <c r="G502" s="459">
        <f t="shared" si="51"/>
        <v>42</v>
      </c>
      <c r="H502" s="459">
        <v>495</v>
      </c>
      <c r="I502" s="444">
        <f t="shared" ca="1" si="29"/>
        <v>1914122.1920692003</v>
      </c>
      <c r="J502" s="444">
        <f t="array" ref="J502">IFERROR(INDEX('Retirement Calculator'!J:J,MATCH('Isaac 401k'!N502,'Retirement Calculator'!A:A,0),0),0)</f>
        <v>7896.2379798201846</v>
      </c>
      <c r="K502" s="444">
        <f t="shared" ca="1" si="27"/>
        <v>7942.6081420390838</v>
      </c>
      <c r="L502" s="444">
        <f t="shared" ca="1" si="28"/>
        <v>1914168.5622314191</v>
      </c>
      <c r="M502" s="460">
        <f t="shared" si="30"/>
        <v>0.05</v>
      </c>
      <c r="N502" s="464">
        <f t="shared" si="31"/>
        <v>66324</v>
      </c>
    </row>
    <row r="503" spans="7:14" ht="11.25" customHeight="1" x14ac:dyDescent="0.3">
      <c r="G503" s="459">
        <f t="shared" si="51"/>
        <v>42</v>
      </c>
      <c r="H503" s="459">
        <v>496</v>
      </c>
      <c r="I503" s="444">
        <f t="shared" ca="1" si="29"/>
        <v>1914168.5622314191</v>
      </c>
      <c r="J503" s="444">
        <f t="array" ref="J503">IFERROR(INDEX('Retirement Calculator'!J:J,MATCH('Isaac 401k'!N503,'Retirement Calculator'!A:A,0),0),0)</f>
        <v>7896.2379798201846</v>
      </c>
      <c r="K503" s="444">
        <f t="shared" ca="1" si="27"/>
        <v>7942.8013510483288</v>
      </c>
      <c r="L503" s="444">
        <f t="shared" ca="1" si="28"/>
        <v>1914215.1256026472</v>
      </c>
      <c r="M503" s="460">
        <f t="shared" si="30"/>
        <v>0.05</v>
      </c>
      <c r="N503" s="464">
        <f t="shared" si="31"/>
        <v>66355</v>
      </c>
    </row>
    <row r="504" spans="7:14" ht="11.25" customHeight="1" x14ac:dyDescent="0.3">
      <c r="G504" s="459">
        <f t="shared" si="51"/>
        <v>42</v>
      </c>
      <c r="H504" s="459">
        <v>497</v>
      </c>
      <c r="I504" s="444">
        <f t="shared" ca="1" si="29"/>
        <v>1914215.1256026472</v>
      </c>
      <c r="J504" s="444">
        <f t="array" ref="J504">IFERROR(INDEX('Retirement Calculator'!J:J,MATCH('Isaac 401k'!N504,'Retirement Calculator'!A:A,0),0),0)</f>
        <v>7896.2379798201846</v>
      </c>
      <c r="K504" s="444">
        <f t="shared" ca="1" si="27"/>
        <v>7942.9953650951111</v>
      </c>
      <c r="L504" s="444">
        <f t="shared" ca="1" si="28"/>
        <v>1914261.8829879221</v>
      </c>
      <c r="M504" s="460">
        <f t="shared" si="30"/>
        <v>0.05</v>
      </c>
      <c r="N504" s="464">
        <f t="shared" si="31"/>
        <v>66385</v>
      </c>
    </row>
    <row r="505" spans="7:14" ht="11.25" customHeight="1" x14ac:dyDescent="0.3">
      <c r="G505" s="459">
        <f t="shared" si="51"/>
        <v>42</v>
      </c>
      <c r="H505" s="459">
        <v>498</v>
      </c>
      <c r="I505" s="444">
        <f t="shared" ca="1" si="29"/>
        <v>1914261.8829879221</v>
      </c>
      <c r="J505" s="444">
        <f t="array" ref="J505">IFERROR(INDEX('Retirement Calculator'!J:J,MATCH('Isaac 401k'!N505,'Retirement Calculator'!A:A,0),0),0)</f>
        <v>7896.2379798201846</v>
      </c>
      <c r="K505" s="444">
        <f t="shared" ca="1" si="27"/>
        <v>7943.1901875337562</v>
      </c>
      <c r="L505" s="444">
        <f t="shared" ca="1" si="28"/>
        <v>1914308.8351956357</v>
      </c>
      <c r="M505" s="460">
        <f t="shared" si="30"/>
        <v>0.05</v>
      </c>
      <c r="N505" s="464">
        <f t="shared" si="31"/>
        <v>66416</v>
      </c>
    </row>
    <row r="506" spans="7:14" ht="11.25" customHeight="1" x14ac:dyDescent="0.3">
      <c r="G506" s="459">
        <f t="shared" si="51"/>
        <v>42</v>
      </c>
      <c r="H506" s="459">
        <v>499</v>
      </c>
      <c r="I506" s="444">
        <f t="shared" ca="1" si="29"/>
        <v>1914308.8351956357</v>
      </c>
      <c r="J506" s="444">
        <f t="array" ref="J506">IFERROR(INDEX('Retirement Calculator'!J:J,MATCH('Isaac 401k'!N506,'Retirement Calculator'!A:A,0),0),0)</f>
        <v>7896.2379798201846</v>
      </c>
      <c r="K506" s="444">
        <f t="shared" ca="1" si="27"/>
        <v>7943.3858217325651</v>
      </c>
      <c r="L506" s="444">
        <f t="shared" ca="1" si="28"/>
        <v>1914355.9830375479</v>
      </c>
      <c r="M506" s="460">
        <f t="shared" si="30"/>
        <v>0.05</v>
      </c>
      <c r="N506" s="464">
        <f t="shared" si="31"/>
        <v>66446</v>
      </c>
    </row>
    <row r="507" spans="7:14" ht="11.25" customHeight="1" x14ac:dyDescent="0.3">
      <c r="G507" s="459">
        <f t="shared" si="51"/>
        <v>42</v>
      </c>
      <c r="H507" s="459">
        <v>500</v>
      </c>
      <c r="I507" s="444">
        <f t="shared" ca="1" si="29"/>
        <v>1914355.9830375479</v>
      </c>
      <c r="J507" s="444">
        <f t="array" ref="J507">IFERROR(INDEX('Retirement Calculator'!J:J,MATCH('Isaac 401k'!N507,'Retirement Calculator'!A:A,0),0),0)</f>
        <v>7896.2379798201846</v>
      </c>
      <c r="K507" s="444">
        <f t="shared" ca="1" si="27"/>
        <v>7943.5822710738648</v>
      </c>
      <c r="L507" s="444">
        <f t="shared" ca="1" si="28"/>
        <v>1914403.3273288016</v>
      </c>
      <c r="M507" s="460">
        <f t="shared" si="30"/>
        <v>0.05</v>
      </c>
      <c r="N507" s="464">
        <f t="shared" si="31"/>
        <v>66477</v>
      </c>
    </row>
    <row r="508" spans="7:14" ht="11.25" customHeight="1" x14ac:dyDescent="0.3">
      <c r="G508" s="459">
        <f t="shared" si="51"/>
        <v>42</v>
      </c>
      <c r="H508" s="459">
        <v>501</v>
      </c>
      <c r="I508" s="444">
        <f t="shared" ca="1" si="29"/>
        <v>1914403.3273288016</v>
      </c>
      <c r="J508" s="444">
        <f t="array" ref="J508">IFERROR(INDEX('Retirement Calculator'!J:J,MATCH('Isaac 401k'!N508,'Retirement Calculator'!A:A,0),0),0)</f>
        <v>7896.2379798201846</v>
      </c>
      <c r="K508" s="444">
        <f t="shared" ca="1" si="27"/>
        <v>7943.7795389540888</v>
      </c>
      <c r="L508" s="444">
        <f t="shared" ca="1" si="28"/>
        <v>1914450.8688879355</v>
      </c>
      <c r="M508" s="460">
        <f t="shared" si="30"/>
        <v>0.05</v>
      </c>
      <c r="N508" s="464">
        <f t="shared" si="31"/>
        <v>66508</v>
      </c>
    </row>
    <row r="509" spans="7:14" ht="11.25" customHeight="1" x14ac:dyDescent="0.3">
      <c r="G509" s="459">
        <f t="shared" si="51"/>
        <v>42</v>
      </c>
      <c r="H509" s="459">
        <v>502</v>
      </c>
      <c r="I509" s="444">
        <f t="shared" ca="1" si="29"/>
        <v>1914450.8688879355</v>
      </c>
      <c r="J509" s="444">
        <f t="array" ref="J509">IFERROR(INDEX('Retirement Calculator'!J:J,MATCH('Isaac 401k'!N509,'Retirement Calculator'!A:A,0),0),0)</f>
        <v>7896.2379798201846</v>
      </c>
      <c r="K509" s="444">
        <f t="shared" ca="1" si="27"/>
        <v>7943.977628783814</v>
      </c>
      <c r="L509" s="444">
        <f t="shared" ca="1" si="28"/>
        <v>1914498.6085368991</v>
      </c>
      <c r="M509" s="460">
        <f t="shared" si="30"/>
        <v>0.05</v>
      </c>
      <c r="N509" s="464">
        <f t="shared" si="31"/>
        <v>66536</v>
      </c>
    </row>
    <row r="510" spans="7:14" ht="11.25" customHeight="1" x14ac:dyDescent="0.3">
      <c r="G510" s="459">
        <f t="shared" si="51"/>
        <v>42</v>
      </c>
      <c r="H510" s="459">
        <v>503</v>
      </c>
      <c r="I510" s="444">
        <f t="shared" ca="1" si="29"/>
        <v>1914498.6085368991</v>
      </c>
      <c r="J510" s="444">
        <f t="array" ref="J510">IFERROR(INDEX('Retirement Calculator'!J:J,MATCH('Isaac 401k'!N510,'Retirement Calculator'!A:A,0),0),0)</f>
        <v>7896.2379798201846</v>
      </c>
      <c r="K510" s="444">
        <f t="shared" ca="1" si="27"/>
        <v>7944.1765439878272</v>
      </c>
      <c r="L510" s="444">
        <f t="shared" ca="1" si="28"/>
        <v>1914546.5471010667</v>
      </c>
      <c r="M510" s="460">
        <f t="shared" si="30"/>
        <v>0.05</v>
      </c>
      <c r="N510" s="464">
        <f t="shared" si="31"/>
        <v>66567</v>
      </c>
    </row>
    <row r="511" spans="7:14" ht="11.25" customHeight="1" x14ac:dyDescent="0.3">
      <c r="G511" s="459">
        <f t="shared" si="51"/>
        <v>42</v>
      </c>
      <c r="H511" s="459">
        <v>504</v>
      </c>
      <c r="I511" s="444">
        <f t="shared" ca="1" si="29"/>
        <v>1914546.5471010667</v>
      </c>
      <c r="J511" s="444">
        <f t="array" ref="J511">IFERROR(INDEX('Retirement Calculator'!J:J,MATCH('Isaac 401k'!N511,'Retirement Calculator'!A:A,0),0),0)</f>
        <v>7896.2379798201846</v>
      </c>
      <c r="K511" s="444">
        <f t="shared" ca="1" si="27"/>
        <v>7944.3762880051936</v>
      </c>
      <c r="L511" s="444">
        <f t="shared" ca="1" si="28"/>
        <v>1914594.6854092516</v>
      </c>
      <c r="M511" s="460">
        <f t="shared" si="30"/>
        <v>0.05</v>
      </c>
      <c r="N511" s="464">
        <f t="shared" si="31"/>
        <v>66597</v>
      </c>
    </row>
    <row r="512" spans="7:14" ht="11.25" customHeight="1" x14ac:dyDescent="0.3">
      <c r="G512" s="459">
        <f>G511+1</f>
        <v>43</v>
      </c>
      <c r="H512" s="459">
        <v>505</v>
      </c>
      <c r="I512" s="444">
        <f t="shared" ca="1" si="29"/>
        <v>1914594.6854092516</v>
      </c>
      <c r="J512" s="444">
        <f t="array" ref="J512">IFERROR(INDEX('Retirement Calculator'!J:J,MATCH('Isaac 401k'!N512,'Retirement Calculator'!A:A,0),0),0)</f>
        <v>7896.2379798201846</v>
      </c>
      <c r="K512" s="444">
        <f t="shared" ca="1" si="27"/>
        <v>7944.5768642892972</v>
      </c>
      <c r="L512" s="444">
        <f t="shared" ca="1" si="28"/>
        <v>1914643.0242937207</v>
      </c>
      <c r="M512" s="460">
        <f t="shared" si="30"/>
        <v>0.05</v>
      </c>
      <c r="N512" s="464">
        <f t="shared" si="31"/>
        <v>66628</v>
      </c>
    </row>
    <row r="513" spans="7:14" ht="11.25" customHeight="1" x14ac:dyDescent="0.3">
      <c r="G513" s="459">
        <f t="shared" ref="G513:G523" si="52">G512</f>
        <v>43</v>
      </c>
      <c r="H513" s="459">
        <v>506</v>
      </c>
      <c r="I513" s="444">
        <f t="shared" ca="1" si="29"/>
        <v>1914643.0242937207</v>
      </c>
      <c r="J513" s="444">
        <f t="array" ref="J513">IFERROR(INDEX('Retirement Calculator'!J:J,MATCH('Isaac 401k'!N513,'Retirement Calculator'!A:A,0),0),0)</f>
        <v>7896.2379798201846</v>
      </c>
      <c r="K513" s="444">
        <f t="shared" ca="1" si="27"/>
        <v>7944.7782763079194</v>
      </c>
      <c r="L513" s="444">
        <f t="shared" ca="1" si="28"/>
        <v>1914691.5645902085</v>
      </c>
      <c r="M513" s="460">
        <f t="shared" si="30"/>
        <v>0.05</v>
      </c>
      <c r="N513" s="464">
        <f t="shared" si="31"/>
        <v>66658</v>
      </c>
    </row>
    <row r="514" spans="7:14" ht="11.25" customHeight="1" x14ac:dyDescent="0.3">
      <c r="G514" s="459">
        <f t="shared" si="52"/>
        <v>43</v>
      </c>
      <c r="H514" s="459">
        <v>507</v>
      </c>
      <c r="I514" s="444">
        <f t="shared" ca="1" si="29"/>
        <v>1914691.5645902085</v>
      </c>
      <c r="J514" s="444">
        <f t="array" ref="J514">IFERROR(INDEX('Retirement Calculator'!J:J,MATCH('Isaac 401k'!N514,'Retirement Calculator'!A:A,0),0),0)</f>
        <v>7896.2379798201846</v>
      </c>
      <c r="K514" s="444">
        <f t="shared" ca="1" si="27"/>
        <v>7944.9805275432846</v>
      </c>
      <c r="L514" s="444">
        <f t="shared" ca="1" si="28"/>
        <v>1914740.3071379315</v>
      </c>
      <c r="M514" s="460">
        <f t="shared" si="30"/>
        <v>0.05</v>
      </c>
      <c r="N514" s="464">
        <f t="shared" si="31"/>
        <v>66689</v>
      </c>
    </row>
    <row r="515" spans="7:14" ht="11.25" customHeight="1" x14ac:dyDescent="0.3">
      <c r="G515" s="459">
        <f t="shared" si="52"/>
        <v>43</v>
      </c>
      <c r="H515" s="459">
        <v>508</v>
      </c>
      <c r="I515" s="444">
        <f t="shared" ca="1" si="29"/>
        <v>1914740.3071379315</v>
      </c>
      <c r="J515" s="444">
        <f t="array" ref="J515">IFERROR(INDEX('Retirement Calculator'!J:J,MATCH('Isaac 401k'!N515,'Retirement Calculator'!A:A,0),0),0)</f>
        <v>7896.2379798201846</v>
      </c>
      <c r="K515" s="444">
        <f t="shared" ca="1" si="27"/>
        <v>7945.1836214921304</v>
      </c>
      <c r="L515" s="444">
        <f t="shared" ca="1" si="28"/>
        <v>1914789.2527796035</v>
      </c>
      <c r="M515" s="460">
        <f t="shared" si="30"/>
        <v>0.05</v>
      </c>
      <c r="N515" s="464">
        <f t="shared" si="31"/>
        <v>66720</v>
      </c>
    </row>
    <row r="516" spans="7:14" ht="11.25" customHeight="1" x14ac:dyDescent="0.3">
      <c r="G516" s="459">
        <f t="shared" si="52"/>
        <v>43</v>
      </c>
      <c r="H516" s="459">
        <v>509</v>
      </c>
      <c r="I516" s="444">
        <f t="shared" ca="1" si="29"/>
        <v>1914789.2527796035</v>
      </c>
      <c r="J516" s="444">
        <f t="array" ref="J516">IFERROR(INDEX('Retirement Calculator'!J:J,MATCH('Isaac 401k'!N516,'Retirement Calculator'!A:A,0),0),0)</f>
        <v>7896.2379798201846</v>
      </c>
      <c r="K516" s="444">
        <f t="shared" ca="1" si="27"/>
        <v>7945.3875616657633</v>
      </c>
      <c r="L516" s="444">
        <f t="shared" ca="1" si="28"/>
        <v>1914838.4023614491</v>
      </c>
      <c r="M516" s="460">
        <f t="shared" si="30"/>
        <v>0.05</v>
      </c>
      <c r="N516" s="464">
        <f t="shared" si="31"/>
        <v>66750</v>
      </c>
    </row>
    <row r="517" spans="7:14" ht="11.25" customHeight="1" x14ac:dyDescent="0.3">
      <c r="G517" s="459">
        <f t="shared" si="52"/>
        <v>43</v>
      </c>
      <c r="H517" s="459">
        <v>510</v>
      </c>
      <c r="I517" s="444">
        <f t="shared" ca="1" si="29"/>
        <v>1914838.4023614491</v>
      </c>
      <c r="J517" s="444">
        <f t="array" ref="J517">IFERROR(INDEX('Retirement Calculator'!J:J,MATCH('Isaac 401k'!N517,'Retirement Calculator'!A:A,0),0),0)</f>
        <v>7896.2379798201846</v>
      </c>
      <c r="K517" s="444">
        <f t="shared" ca="1" si="27"/>
        <v>7945.5923515901213</v>
      </c>
      <c r="L517" s="444">
        <f t="shared" ca="1" si="28"/>
        <v>1914887.7567332189</v>
      </c>
      <c r="M517" s="460">
        <f t="shared" si="30"/>
        <v>0.05</v>
      </c>
      <c r="N517" s="464">
        <f t="shared" si="31"/>
        <v>66781</v>
      </c>
    </row>
    <row r="518" spans="7:14" ht="11.25" customHeight="1" x14ac:dyDescent="0.3">
      <c r="G518" s="459">
        <f t="shared" si="52"/>
        <v>43</v>
      </c>
      <c r="H518" s="459">
        <v>511</v>
      </c>
      <c r="I518" s="444">
        <f t="shared" ca="1" si="29"/>
        <v>1914887.7567332189</v>
      </c>
      <c r="J518" s="444">
        <f t="array" ref="J518">IFERROR(INDEX('Retirement Calculator'!J:J,MATCH('Isaac 401k'!N518,'Retirement Calculator'!A:A,0),0),0)</f>
        <v>7896.2379798201846</v>
      </c>
      <c r="K518" s="444">
        <f t="shared" ref="K518:K772" ca="1" si="53">IPMT(M518/12,1,12,-I518+J518,,0)</f>
        <v>7945.7979948058273</v>
      </c>
      <c r="L518" s="444">
        <f t="shared" ref="L518:L772" ca="1" si="54">I518-J518+K518</f>
        <v>1914937.3167482044</v>
      </c>
      <c r="M518" s="460">
        <f t="shared" si="30"/>
        <v>0.05</v>
      </c>
      <c r="N518" s="464">
        <f t="shared" si="31"/>
        <v>66811</v>
      </c>
    </row>
    <row r="519" spans="7:14" ht="11.25" customHeight="1" x14ac:dyDescent="0.3">
      <c r="G519" s="459">
        <f t="shared" si="52"/>
        <v>43</v>
      </c>
      <c r="H519" s="459">
        <v>512</v>
      </c>
      <c r="I519" s="444">
        <f t="shared" ref="I519:I773" ca="1" si="55">L518</f>
        <v>1914937.3167482044</v>
      </c>
      <c r="J519" s="444">
        <f t="array" ref="J519">IFERROR(INDEX('Retirement Calculator'!J:J,MATCH('Isaac 401k'!N519,'Retirement Calculator'!A:A,0),0),0)</f>
        <v>7896.2379798201846</v>
      </c>
      <c r="K519" s="444">
        <f t="shared" ca="1" si="53"/>
        <v>7946.004494868268</v>
      </c>
      <c r="L519" s="444">
        <f t="shared" ca="1" si="54"/>
        <v>1914987.0832632524</v>
      </c>
      <c r="M519" s="460">
        <f t="shared" ref="M519:M773" si="56">M518</f>
        <v>0.05</v>
      </c>
      <c r="N519" s="464">
        <f t="shared" ref="N519:N773" si="57">EDATE(N518,1)</f>
        <v>66842</v>
      </c>
    </row>
    <row r="520" spans="7:14" ht="11.25" customHeight="1" x14ac:dyDescent="0.3">
      <c r="G520" s="459">
        <f t="shared" si="52"/>
        <v>43</v>
      </c>
      <c r="H520" s="459">
        <v>513</v>
      </c>
      <c r="I520" s="444">
        <f t="shared" ca="1" si="55"/>
        <v>1914987.0832632524</v>
      </c>
      <c r="J520" s="444">
        <f t="array" ref="J520">IFERROR(INDEX('Retirement Calculator'!J:J,MATCH('Isaac 401k'!N520,'Retirement Calculator'!A:A,0),0),0)</f>
        <v>7896.2379798201846</v>
      </c>
      <c r="K520" s="444">
        <f t="shared" ca="1" si="53"/>
        <v>7946.2118553476339</v>
      </c>
      <c r="L520" s="444">
        <f t="shared" ca="1" si="54"/>
        <v>1915037.0571387799</v>
      </c>
      <c r="M520" s="460">
        <f t="shared" si="56"/>
        <v>0.05</v>
      </c>
      <c r="N520" s="464">
        <f t="shared" si="57"/>
        <v>66873</v>
      </c>
    </row>
    <row r="521" spans="7:14" ht="11.25" customHeight="1" x14ac:dyDescent="0.3">
      <c r="G521" s="459">
        <f t="shared" si="52"/>
        <v>43</v>
      </c>
      <c r="H521" s="459">
        <v>514</v>
      </c>
      <c r="I521" s="444">
        <f t="shared" ca="1" si="55"/>
        <v>1915037.0571387799</v>
      </c>
      <c r="J521" s="444">
        <f t="array" ref="J521">IFERROR(INDEX('Retirement Calculator'!J:J,MATCH('Isaac 401k'!N521,'Retirement Calculator'!A:A,0),0),0)</f>
        <v>7896.2379798201846</v>
      </c>
      <c r="K521" s="444">
        <f t="shared" ca="1" si="53"/>
        <v>7946.4200798289985</v>
      </c>
      <c r="L521" s="444">
        <f t="shared" ca="1" si="54"/>
        <v>1915087.2392387886</v>
      </c>
      <c r="M521" s="460">
        <f t="shared" si="56"/>
        <v>0.05</v>
      </c>
      <c r="N521" s="464">
        <f t="shared" si="57"/>
        <v>66901</v>
      </c>
    </row>
    <row r="522" spans="7:14" ht="11.25" customHeight="1" x14ac:dyDescent="0.3">
      <c r="G522" s="459">
        <f t="shared" si="52"/>
        <v>43</v>
      </c>
      <c r="H522" s="459">
        <v>515</v>
      </c>
      <c r="I522" s="444">
        <f t="shared" ca="1" si="55"/>
        <v>1915087.2392387886</v>
      </c>
      <c r="J522" s="444">
        <f t="array" ref="J522">IFERROR(INDEX('Retirement Calculator'!J:J,MATCH('Isaac 401k'!N522,'Retirement Calculator'!A:A,0),0),0)</f>
        <v>7896.2379798201846</v>
      </c>
      <c r="K522" s="444">
        <f t="shared" ca="1" si="53"/>
        <v>7946.6291719123683</v>
      </c>
      <c r="L522" s="444">
        <f t="shared" ca="1" si="54"/>
        <v>1915137.6304308807</v>
      </c>
      <c r="M522" s="460">
        <f t="shared" si="56"/>
        <v>0.05</v>
      </c>
      <c r="N522" s="464">
        <f t="shared" si="57"/>
        <v>66932</v>
      </c>
    </row>
    <row r="523" spans="7:14" ht="11.25" customHeight="1" x14ac:dyDescent="0.3">
      <c r="G523" s="459">
        <f t="shared" si="52"/>
        <v>43</v>
      </c>
      <c r="H523" s="459">
        <v>516</v>
      </c>
      <c r="I523" s="444">
        <f t="shared" ca="1" si="55"/>
        <v>1915137.6304308807</v>
      </c>
      <c r="J523" s="444">
        <f t="array" ref="J523">IFERROR(INDEX('Retirement Calculator'!J:J,MATCH('Isaac 401k'!N523,'Retirement Calculator'!A:A,0),0),0)</f>
        <v>7896.2379798201846</v>
      </c>
      <c r="K523" s="444">
        <f t="shared" ca="1" si="53"/>
        <v>7946.8391352127519</v>
      </c>
      <c r="L523" s="444">
        <f t="shared" ca="1" si="54"/>
        <v>1915188.2315862733</v>
      </c>
      <c r="M523" s="460">
        <f t="shared" si="56"/>
        <v>0.05</v>
      </c>
      <c r="N523" s="464">
        <f t="shared" si="57"/>
        <v>66962</v>
      </c>
    </row>
    <row r="524" spans="7:14" ht="11.25" customHeight="1" x14ac:dyDescent="0.3">
      <c r="G524" s="459">
        <f>G523+1</f>
        <v>44</v>
      </c>
      <c r="H524" s="459">
        <v>517</v>
      </c>
      <c r="I524" s="444">
        <f t="shared" ca="1" si="55"/>
        <v>1915188.2315862733</v>
      </c>
      <c r="J524" s="444">
        <f t="array" ref="J524">IFERROR(INDEX('Retirement Calculator'!J:J,MATCH('Isaac 401k'!N524,'Retirement Calculator'!A:A,0),0),0)</f>
        <v>7896.2379798201846</v>
      </c>
      <c r="K524" s="444">
        <f t="shared" ca="1" si="53"/>
        <v>7947.049973360221</v>
      </c>
      <c r="L524" s="444">
        <f t="shared" ca="1" si="54"/>
        <v>1915239.0435798133</v>
      </c>
      <c r="M524" s="460">
        <f t="shared" si="56"/>
        <v>0.05</v>
      </c>
      <c r="N524" s="464">
        <f t="shared" si="57"/>
        <v>66993</v>
      </c>
    </row>
    <row r="525" spans="7:14" ht="11.25" customHeight="1" x14ac:dyDescent="0.3">
      <c r="G525" s="459">
        <f t="shared" ref="G525:G535" si="58">G524</f>
        <v>44</v>
      </c>
      <c r="H525" s="459">
        <v>518</v>
      </c>
      <c r="I525" s="444">
        <f t="shared" ca="1" si="55"/>
        <v>1915239.0435798133</v>
      </c>
      <c r="J525" s="444">
        <f t="array" ref="J525">IFERROR(INDEX('Retirement Calculator'!J:J,MATCH('Isaac 401k'!N525,'Retirement Calculator'!A:A,0),0),0)</f>
        <v>7896.2379798201846</v>
      </c>
      <c r="K525" s="444">
        <f t="shared" ca="1" si="53"/>
        <v>7947.2616899999712</v>
      </c>
      <c r="L525" s="444">
        <f t="shared" ca="1" si="54"/>
        <v>1915290.0672899932</v>
      </c>
      <c r="M525" s="460">
        <f t="shared" si="56"/>
        <v>0.05</v>
      </c>
      <c r="N525" s="464">
        <f t="shared" si="57"/>
        <v>67023</v>
      </c>
    </row>
    <row r="526" spans="7:14" ht="11.25" customHeight="1" x14ac:dyDescent="0.3">
      <c r="G526" s="459">
        <f t="shared" si="58"/>
        <v>44</v>
      </c>
      <c r="H526" s="459">
        <v>519</v>
      </c>
      <c r="I526" s="444">
        <f t="shared" ca="1" si="55"/>
        <v>1915290.0672899932</v>
      </c>
      <c r="J526" s="444">
        <f t="array" ref="J526">IFERROR(INDEX('Retirement Calculator'!J:J,MATCH('Isaac 401k'!N526,'Retirement Calculator'!A:A,0),0),0)</f>
        <v>7896.2379798201846</v>
      </c>
      <c r="K526" s="444">
        <f t="shared" ca="1" si="53"/>
        <v>7947.4742887923867</v>
      </c>
      <c r="L526" s="444">
        <f t="shared" ca="1" si="54"/>
        <v>1915341.3035989653</v>
      </c>
      <c r="M526" s="460">
        <f t="shared" si="56"/>
        <v>0.05</v>
      </c>
      <c r="N526" s="464">
        <f t="shared" si="57"/>
        <v>67054</v>
      </c>
    </row>
    <row r="527" spans="7:14" ht="11.25" customHeight="1" x14ac:dyDescent="0.3">
      <c r="G527" s="459">
        <f t="shared" si="58"/>
        <v>44</v>
      </c>
      <c r="H527" s="459">
        <v>520</v>
      </c>
      <c r="I527" s="444">
        <f t="shared" ca="1" si="55"/>
        <v>1915341.3035989653</v>
      </c>
      <c r="J527" s="444">
        <f t="array" ref="J527">IFERROR(INDEX('Retirement Calculator'!J:J,MATCH('Isaac 401k'!N527,'Retirement Calculator'!A:A,0),0),0)</f>
        <v>7896.2379798201846</v>
      </c>
      <c r="K527" s="444">
        <f t="shared" ca="1" si="53"/>
        <v>7947.6877734131031</v>
      </c>
      <c r="L527" s="444">
        <f t="shared" ca="1" si="54"/>
        <v>1915392.7533925581</v>
      </c>
      <c r="M527" s="460">
        <f t="shared" si="56"/>
        <v>0.05</v>
      </c>
      <c r="N527" s="464">
        <f t="shared" si="57"/>
        <v>67085</v>
      </c>
    </row>
    <row r="528" spans="7:14" ht="11.25" customHeight="1" x14ac:dyDescent="0.3">
      <c r="G528" s="459">
        <f t="shared" si="58"/>
        <v>44</v>
      </c>
      <c r="H528" s="459">
        <v>521</v>
      </c>
      <c r="I528" s="444">
        <f t="shared" ca="1" si="55"/>
        <v>1915392.7533925581</v>
      </c>
      <c r="J528" s="444">
        <f t="array" ref="J528">IFERROR(INDEX('Retirement Calculator'!J:J,MATCH('Isaac 401k'!N528,'Retirement Calculator'!A:A,0),0),0)</f>
        <v>7896.2379798201846</v>
      </c>
      <c r="K528" s="444">
        <f t="shared" ca="1" si="53"/>
        <v>7947.9021475530744</v>
      </c>
      <c r="L528" s="444">
        <f t="shared" ca="1" si="54"/>
        <v>1915444.417560291</v>
      </c>
      <c r="M528" s="460">
        <f t="shared" si="56"/>
        <v>0.05</v>
      </c>
      <c r="N528" s="464">
        <f t="shared" si="57"/>
        <v>67115</v>
      </c>
    </row>
    <row r="529" spans="7:14" ht="11.25" customHeight="1" x14ac:dyDescent="0.3">
      <c r="G529" s="459">
        <f t="shared" si="58"/>
        <v>44</v>
      </c>
      <c r="H529" s="459">
        <v>522</v>
      </c>
      <c r="I529" s="444">
        <f t="shared" ca="1" si="55"/>
        <v>1915444.417560291</v>
      </c>
      <c r="J529" s="444">
        <f t="array" ref="J529">IFERROR(INDEX('Retirement Calculator'!J:J,MATCH('Isaac 401k'!N529,'Retirement Calculator'!A:A,0),0),0)</f>
        <v>7896.2379798201846</v>
      </c>
      <c r="K529" s="444">
        <f t="shared" ca="1" si="53"/>
        <v>7948.1174149186281</v>
      </c>
      <c r="L529" s="444">
        <f t="shared" ca="1" si="54"/>
        <v>1915496.2969953895</v>
      </c>
      <c r="M529" s="460">
        <f t="shared" si="56"/>
        <v>0.05</v>
      </c>
      <c r="N529" s="464">
        <f t="shared" si="57"/>
        <v>67146</v>
      </c>
    </row>
    <row r="530" spans="7:14" ht="11.25" customHeight="1" x14ac:dyDescent="0.3">
      <c r="G530" s="459">
        <f t="shared" si="58"/>
        <v>44</v>
      </c>
      <c r="H530" s="459">
        <v>523</v>
      </c>
      <c r="I530" s="444">
        <f t="shared" ca="1" si="55"/>
        <v>1915496.2969953895</v>
      </c>
      <c r="J530" s="444">
        <f t="array" ref="J530">IFERROR(INDEX('Retirement Calculator'!J:J,MATCH('Isaac 401k'!N530,'Retirement Calculator'!A:A,0),0),0)</f>
        <v>7896.2379798201846</v>
      </c>
      <c r="K530" s="444">
        <f t="shared" ca="1" si="53"/>
        <v>7948.3335792315393</v>
      </c>
      <c r="L530" s="444">
        <f t="shared" ca="1" si="54"/>
        <v>1915548.3925948008</v>
      </c>
      <c r="M530" s="460">
        <f t="shared" si="56"/>
        <v>0.05</v>
      </c>
      <c r="N530" s="464">
        <f t="shared" si="57"/>
        <v>67176</v>
      </c>
    </row>
    <row r="531" spans="7:14" ht="11.25" customHeight="1" x14ac:dyDescent="0.3">
      <c r="G531" s="459">
        <f t="shared" si="58"/>
        <v>44</v>
      </c>
      <c r="H531" s="459">
        <v>524</v>
      </c>
      <c r="I531" s="444">
        <f t="shared" ca="1" si="55"/>
        <v>1915548.3925948008</v>
      </c>
      <c r="J531" s="444">
        <f t="array" ref="J531">IFERROR(INDEX('Retirement Calculator'!J:J,MATCH('Isaac 401k'!N531,'Retirement Calculator'!A:A,0),0),0)</f>
        <v>7896.2379798201846</v>
      </c>
      <c r="K531" s="444">
        <f t="shared" ca="1" si="53"/>
        <v>7948.5506442290853</v>
      </c>
      <c r="L531" s="444">
        <f t="shared" ca="1" si="54"/>
        <v>1915600.7052592097</v>
      </c>
      <c r="M531" s="460">
        <f t="shared" si="56"/>
        <v>0.05</v>
      </c>
      <c r="N531" s="464">
        <f t="shared" si="57"/>
        <v>67207</v>
      </c>
    </row>
    <row r="532" spans="7:14" ht="11.25" customHeight="1" x14ac:dyDescent="0.3">
      <c r="G532" s="459">
        <f t="shared" si="58"/>
        <v>44</v>
      </c>
      <c r="H532" s="459">
        <v>525</v>
      </c>
      <c r="I532" s="444">
        <f t="shared" ca="1" si="55"/>
        <v>1915600.7052592097</v>
      </c>
      <c r="J532" s="444">
        <f t="array" ref="J532">IFERROR(INDEX('Retirement Calculator'!J:J,MATCH('Isaac 401k'!N532,'Retirement Calculator'!A:A,0),0),0)</f>
        <v>7896.2379798201846</v>
      </c>
      <c r="K532" s="444">
        <f t="shared" ca="1" si="53"/>
        <v>7948.7686136641241</v>
      </c>
      <c r="L532" s="444">
        <f t="shared" ca="1" si="54"/>
        <v>1915653.2358930537</v>
      </c>
      <c r="M532" s="460">
        <f t="shared" si="56"/>
        <v>0.05</v>
      </c>
      <c r="N532" s="464">
        <f t="shared" si="57"/>
        <v>67238</v>
      </c>
    </row>
    <row r="533" spans="7:14" ht="11.25" customHeight="1" x14ac:dyDescent="0.3">
      <c r="G533" s="459">
        <f t="shared" si="58"/>
        <v>44</v>
      </c>
      <c r="H533" s="459">
        <v>526</v>
      </c>
      <c r="I533" s="444">
        <f t="shared" ca="1" si="55"/>
        <v>1915653.2358930537</v>
      </c>
      <c r="J533" s="444">
        <f t="array" ref="J533">IFERROR(INDEX('Retirement Calculator'!J:J,MATCH('Isaac 401k'!N533,'Retirement Calculator'!A:A,0),0),0)</f>
        <v>7896.2379798201846</v>
      </c>
      <c r="K533" s="444">
        <f t="shared" ca="1" si="53"/>
        <v>7948.987491305139</v>
      </c>
      <c r="L533" s="444">
        <f t="shared" ca="1" si="54"/>
        <v>1915705.9854045387</v>
      </c>
      <c r="M533" s="460">
        <f t="shared" si="56"/>
        <v>0.05</v>
      </c>
      <c r="N533" s="464">
        <f t="shared" si="57"/>
        <v>67267</v>
      </c>
    </row>
    <row r="534" spans="7:14" ht="11.25" customHeight="1" x14ac:dyDescent="0.3">
      <c r="G534" s="459">
        <f t="shared" si="58"/>
        <v>44</v>
      </c>
      <c r="H534" s="459">
        <v>527</v>
      </c>
      <c r="I534" s="444">
        <f t="shared" ca="1" si="55"/>
        <v>1915705.9854045387</v>
      </c>
      <c r="J534" s="444">
        <f t="array" ref="J534">IFERROR(INDEX('Retirement Calculator'!J:J,MATCH('Isaac 401k'!N534,'Retirement Calculator'!A:A,0),0),0)</f>
        <v>7896.2379798201846</v>
      </c>
      <c r="K534" s="444">
        <f t="shared" ca="1" si="53"/>
        <v>7949.2072809363272</v>
      </c>
      <c r="L534" s="444">
        <f t="shared" ca="1" si="54"/>
        <v>1915758.9547056549</v>
      </c>
      <c r="M534" s="460">
        <f t="shared" si="56"/>
        <v>0.05</v>
      </c>
      <c r="N534" s="464">
        <f t="shared" si="57"/>
        <v>67298</v>
      </c>
    </row>
    <row r="535" spans="7:14" ht="11.25" customHeight="1" x14ac:dyDescent="0.3">
      <c r="G535" s="459">
        <f t="shared" si="58"/>
        <v>44</v>
      </c>
      <c r="H535" s="459">
        <v>528</v>
      </c>
      <c r="I535" s="444">
        <f t="shared" ca="1" si="55"/>
        <v>1915758.9547056549</v>
      </c>
      <c r="J535" s="444">
        <f t="array" ref="J535">IFERROR(INDEX('Retirement Calculator'!J:J,MATCH('Isaac 401k'!N535,'Retirement Calculator'!A:A,0),0),0)</f>
        <v>7896.2379798201846</v>
      </c>
      <c r="K535" s="444">
        <f t="shared" ca="1" si="53"/>
        <v>7949.4279863576439</v>
      </c>
      <c r="L535" s="444">
        <f t="shared" ca="1" si="54"/>
        <v>1915812.1447121922</v>
      </c>
      <c r="M535" s="460">
        <f t="shared" si="56"/>
        <v>0.05</v>
      </c>
      <c r="N535" s="464">
        <f t="shared" si="57"/>
        <v>67328</v>
      </c>
    </row>
    <row r="536" spans="7:14" ht="11.25" customHeight="1" x14ac:dyDescent="0.3">
      <c r="G536" s="459">
        <f>G535+1</f>
        <v>45</v>
      </c>
      <c r="H536" s="459">
        <v>529</v>
      </c>
      <c r="I536" s="444">
        <f t="shared" ca="1" si="55"/>
        <v>1915812.1447121922</v>
      </c>
      <c r="J536" s="444">
        <f t="array" ref="J536">IFERROR(INDEX('Retirement Calculator'!J:J,MATCH('Isaac 401k'!N536,'Retirement Calculator'!A:A,0),0),0)</f>
        <v>7896.2379798201846</v>
      </c>
      <c r="K536" s="444">
        <f t="shared" ca="1" si="53"/>
        <v>7949.6496113848834</v>
      </c>
      <c r="L536" s="444">
        <f t="shared" ca="1" si="54"/>
        <v>1915865.5563437568</v>
      </c>
      <c r="M536" s="460">
        <f t="shared" si="56"/>
        <v>0.05</v>
      </c>
      <c r="N536" s="464">
        <f t="shared" si="57"/>
        <v>67359</v>
      </c>
    </row>
    <row r="537" spans="7:14" ht="11.25" customHeight="1" x14ac:dyDescent="0.3">
      <c r="G537" s="459">
        <f t="shared" ref="G537:G547" si="59">G536</f>
        <v>45</v>
      </c>
      <c r="H537" s="459">
        <v>530</v>
      </c>
      <c r="I537" s="444">
        <f t="shared" ca="1" si="55"/>
        <v>1915865.5563437568</v>
      </c>
      <c r="J537" s="444">
        <f t="array" ref="J537">IFERROR(INDEX('Retirement Calculator'!J:J,MATCH('Isaac 401k'!N537,'Retirement Calculator'!A:A,0),0),0)</f>
        <v>7896.2379798201846</v>
      </c>
      <c r="K537" s="444">
        <f t="shared" ca="1" si="53"/>
        <v>7949.8721598497359</v>
      </c>
      <c r="L537" s="444">
        <f t="shared" ca="1" si="54"/>
        <v>1915919.1905237865</v>
      </c>
      <c r="M537" s="460">
        <f t="shared" si="56"/>
        <v>0.05</v>
      </c>
      <c r="N537" s="464">
        <f t="shared" si="57"/>
        <v>67389</v>
      </c>
    </row>
    <row r="538" spans="7:14" ht="11.25" customHeight="1" x14ac:dyDescent="0.3">
      <c r="G538" s="459">
        <f t="shared" si="59"/>
        <v>45</v>
      </c>
      <c r="H538" s="459">
        <v>531</v>
      </c>
      <c r="I538" s="444">
        <f t="shared" ca="1" si="55"/>
        <v>1915919.1905237865</v>
      </c>
      <c r="J538" s="444">
        <f t="array" ref="J538">IFERROR(INDEX('Retirement Calculator'!J:J,MATCH('Isaac 401k'!N538,'Retirement Calculator'!A:A,0),0),0)</f>
        <v>7896.2379798201846</v>
      </c>
      <c r="K538" s="444">
        <f t="shared" ca="1" si="53"/>
        <v>7950.0956355998605</v>
      </c>
      <c r="L538" s="444">
        <f t="shared" ca="1" si="54"/>
        <v>1915973.0481795662</v>
      </c>
      <c r="M538" s="460">
        <f t="shared" si="56"/>
        <v>0.05</v>
      </c>
      <c r="N538" s="464">
        <f t="shared" si="57"/>
        <v>67420</v>
      </c>
    </row>
    <row r="539" spans="7:14" ht="11.25" customHeight="1" x14ac:dyDescent="0.3">
      <c r="G539" s="459">
        <f t="shared" si="59"/>
        <v>45</v>
      </c>
      <c r="H539" s="459">
        <v>532</v>
      </c>
      <c r="I539" s="444">
        <f t="shared" ca="1" si="55"/>
        <v>1915973.0481795662</v>
      </c>
      <c r="J539" s="444">
        <f t="array" ref="J539">IFERROR(INDEX('Retirement Calculator'!J:J,MATCH('Isaac 401k'!N539,'Retirement Calculator'!A:A,0),0),0)</f>
        <v>7896.2379798201846</v>
      </c>
      <c r="K539" s="444">
        <f t="shared" ca="1" si="53"/>
        <v>7950.32004249894</v>
      </c>
      <c r="L539" s="444">
        <f t="shared" ca="1" si="54"/>
        <v>1916027.1302422448</v>
      </c>
      <c r="M539" s="460">
        <f t="shared" si="56"/>
        <v>0.05</v>
      </c>
      <c r="N539" s="464">
        <f t="shared" si="57"/>
        <v>67451</v>
      </c>
    </row>
    <row r="540" spans="7:14" ht="11.25" customHeight="1" x14ac:dyDescent="0.3">
      <c r="G540" s="459">
        <f t="shared" si="59"/>
        <v>45</v>
      </c>
      <c r="H540" s="459">
        <v>533</v>
      </c>
      <c r="I540" s="444">
        <f t="shared" ca="1" si="55"/>
        <v>1916027.1302422448</v>
      </c>
      <c r="J540" s="444">
        <f t="array" ref="J540">IFERROR(INDEX('Retirement Calculator'!J:J,MATCH('Isaac 401k'!N540,'Retirement Calculator'!A:A,0),0),0)</f>
        <v>7896.2379798201846</v>
      </c>
      <c r="K540" s="444">
        <f t="shared" ca="1" si="53"/>
        <v>7950.5453844267686</v>
      </c>
      <c r="L540" s="444">
        <f t="shared" ca="1" si="54"/>
        <v>1916081.4376468514</v>
      </c>
      <c r="M540" s="460">
        <f t="shared" si="56"/>
        <v>0.05</v>
      </c>
      <c r="N540" s="464">
        <f t="shared" si="57"/>
        <v>67481</v>
      </c>
    </row>
    <row r="541" spans="7:14" ht="11.25" customHeight="1" x14ac:dyDescent="0.3">
      <c r="G541" s="459">
        <f t="shared" si="59"/>
        <v>45</v>
      </c>
      <c r="H541" s="459">
        <v>534</v>
      </c>
      <c r="I541" s="444">
        <f t="shared" ca="1" si="55"/>
        <v>1916081.4376468514</v>
      </c>
      <c r="J541" s="444">
        <f t="array" ref="J541">IFERROR(INDEX('Retirement Calculator'!J:J,MATCH('Isaac 401k'!N541,'Retirement Calculator'!A:A,0),0),0)</f>
        <v>7896.2379798201846</v>
      </c>
      <c r="K541" s="444">
        <f t="shared" ca="1" si="53"/>
        <v>7950.771665279296</v>
      </c>
      <c r="L541" s="444">
        <f t="shared" ca="1" si="54"/>
        <v>1916135.9713323105</v>
      </c>
      <c r="M541" s="460">
        <f t="shared" si="56"/>
        <v>0.05</v>
      </c>
      <c r="N541" s="464">
        <f t="shared" si="57"/>
        <v>67512</v>
      </c>
    </row>
    <row r="542" spans="7:14" ht="11.25" customHeight="1" x14ac:dyDescent="0.3">
      <c r="G542" s="459">
        <f t="shared" si="59"/>
        <v>45</v>
      </c>
      <c r="H542" s="459">
        <v>535</v>
      </c>
      <c r="I542" s="444">
        <f t="shared" ca="1" si="55"/>
        <v>1916135.9713323105</v>
      </c>
      <c r="J542" s="444">
        <f t="array" ref="J542">IFERROR(INDEX('Retirement Calculator'!J:J,MATCH('Isaac 401k'!N542,'Retirement Calculator'!A:A,0),0),0)</f>
        <v>7896.2379798201846</v>
      </c>
      <c r="K542" s="444">
        <f t="shared" ca="1" si="53"/>
        <v>7950.9988889687093</v>
      </c>
      <c r="L542" s="444">
        <f t="shared" ca="1" si="54"/>
        <v>1916190.732241459</v>
      </c>
      <c r="M542" s="460">
        <f t="shared" si="56"/>
        <v>0.05</v>
      </c>
      <c r="N542" s="464">
        <f t="shared" si="57"/>
        <v>67542</v>
      </c>
    </row>
    <row r="543" spans="7:14" ht="11.25" customHeight="1" x14ac:dyDescent="0.3">
      <c r="G543" s="459">
        <f t="shared" si="59"/>
        <v>45</v>
      </c>
      <c r="H543" s="459">
        <v>536</v>
      </c>
      <c r="I543" s="444">
        <f t="shared" ca="1" si="55"/>
        <v>1916190.732241459</v>
      </c>
      <c r="J543" s="444">
        <f t="array" ref="J543">IFERROR(INDEX('Retirement Calculator'!J:J,MATCH('Isaac 401k'!N543,'Retirement Calculator'!A:A,0),0),0)</f>
        <v>7896.2379798201846</v>
      </c>
      <c r="K543" s="444">
        <f t="shared" ca="1" si="53"/>
        <v>7951.2270594234942</v>
      </c>
      <c r="L543" s="444">
        <f t="shared" ca="1" si="54"/>
        <v>1916245.7213210622</v>
      </c>
      <c r="M543" s="460">
        <f t="shared" si="56"/>
        <v>0.05</v>
      </c>
      <c r="N543" s="464">
        <f t="shared" si="57"/>
        <v>67573</v>
      </c>
    </row>
    <row r="544" spans="7:14" ht="11.25" customHeight="1" x14ac:dyDescent="0.3">
      <c r="G544" s="459">
        <f t="shared" si="59"/>
        <v>45</v>
      </c>
      <c r="H544" s="459">
        <v>537</v>
      </c>
      <c r="I544" s="444">
        <f t="shared" ca="1" si="55"/>
        <v>1916245.7213210622</v>
      </c>
      <c r="J544" s="444">
        <f t="array" ref="J544">IFERROR(INDEX('Retirement Calculator'!J:J,MATCH('Isaac 401k'!N544,'Retirement Calculator'!A:A,0),0),0)</f>
        <v>7896.2379798201846</v>
      </c>
      <c r="K544" s="444">
        <f t="shared" ca="1" si="53"/>
        <v>7951.4561805885078</v>
      </c>
      <c r="L544" s="444">
        <f t="shared" ca="1" si="54"/>
        <v>1916300.9395218305</v>
      </c>
      <c r="M544" s="460">
        <f t="shared" si="56"/>
        <v>0.05</v>
      </c>
      <c r="N544" s="464">
        <f t="shared" si="57"/>
        <v>67604</v>
      </c>
    </row>
    <row r="545" spans="7:14" ht="11.25" customHeight="1" x14ac:dyDescent="0.3">
      <c r="G545" s="459">
        <f t="shared" si="59"/>
        <v>45</v>
      </c>
      <c r="H545" s="459">
        <v>538</v>
      </c>
      <c r="I545" s="444">
        <f t="shared" ca="1" si="55"/>
        <v>1916300.9395218305</v>
      </c>
      <c r="J545" s="444">
        <f t="array" ref="J545">IFERROR(INDEX('Retirement Calculator'!J:J,MATCH('Isaac 401k'!N545,'Retirement Calculator'!A:A,0),0),0)</f>
        <v>7896.2379798201846</v>
      </c>
      <c r="K545" s="444">
        <f t="shared" ca="1" si="53"/>
        <v>7951.6862564250432</v>
      </c>
      <c r="L545" s="444">
        <f t="shared" ca="1" si="54"/>
        <v>1916356.3877984353</v>
      </c>
      <c r="M545" s="460">
        <f t="shared" si="56"/>
        <v>0.05</v>
      </c>
      <c r="N545" s="464">
        <f t="shared" si="57"/>
        <v>67632</v>
      </c>
    </row>
    <row r="546" spans="7:14" ht="11.25" customHeight="1" x14ac:dyDescent="0.3">
      <c r="G546" s="459">
        <f t="shared" si="59"/>
        <v>45</v>
      </c>
      <c r="H546" s="459">
        <v>539</v>
      </c>
      <c r="I546" s="444">
        <f t="shared" ca="1" si="55"/>
        <v>1916356.3877984353</v>
      </c>
      <c r="J546" s="444">
        <f t="array" ref="J546">IFERROR(INDEX('Retirement Calculator'!J:J,MATCH('Isaac 401k'!N546,'Retirement Calculator'!A:A,0),0),0)</f>
        <v>7896.2379798201846</v>
      </c>
      <c r="K546" s="444">
        <f t="shared" ca="1" si="53"/>
        <v>7951.9172909108956</v>
      </c>
      <c r="L546" s="444">
        <f t="shared" ca="1" si="54"/>
        <v>1916412.0671095259</v>
      </c>
      <c r="M546" s="460">
        <f t="shared" si="56"/>
        <v>0.05</v>
      </c>
      <c r="N546" s="464">
        <f t="shared" si="57"/>
        <v>67663</v>
      </c>
    </row>
    <row r="547" spans="7:14" ht="11.25" customHeight="1" x14ac:dyDescent="0.3">
      <c r="G547" s="459">
        <f t="shared" si="59"/>
        <v>45</v>
      </c>
      <c r="H547" s="459">
        <v>540</v>
      </c>
      <c r="I547" s="444">
        <f t="shared" ca="1" si="55"/>
        <v>1916412.0671095259</v>
      </c>
      <c r="J547" s="444">
        <f t="array" ref="J547">IFERROR(INDEX('Retirement Calculator'!J:J,MATCH('Isaac 401k'!N547,'Retirement Calculator'!A:A,0),0),0)</f>
        <v>7896.2379798201846</v>
      </c>
      <c r="K547" s="444">
        <f t="shared" ca="1" si="53"/>
        <v>7952.1492880404403</v>
      </c>
      <c r="L547" s="444">
        <f t="shared" ca="1" si="54"/>
        <v>1916467.978417746</v>
      </c>
      <c r="M547" s="460">
        <f t="shared" si="56"/>
        <v>0.05</v>
      </c>
      <c r="N547" s="464">
        <f t="shared" si="57"/>
        <v>67693</v>
      </c>
    </row>
    <row r="548" spans="7:14" ht="11.25" customHeight="1" x14ac:dyDescent="0.3">
      <c r="G548" s="459">
        <f>G547+1</f>
        <v>46</v>
      </c>
      <c r="H548" s="459">
        <v>541</v>
      </c>
      <c r="I548" s="444">
        <f t="shared" ca="1" si="55"/>
        <v>1916467.978417746</v>
      </c>
      <c r="J548" s="444">
        <f t="array" ref="J548">IFERROR(INDEX('Retirement Calculator'!J:J,MATCH('Isaac 401k'!N548,'Retirement Calculator'!A:A,0),0),0)</f>
        <v>7896.2379798201846</v>
      </c>
      <c r="K548" s="444">
        <f t="shared" ca="1" si="53"/>
        <v>7952.3822518246898</v>
      </c>
      <c r="L548" s="444">
        <f t="shared" ca="1" si="54"/>
        <v>1916524.1226897505</v>
      </c>
      <c r="M548" s="460">
        <f t="shared" si="56"/>
        <v>0.05</v>
      </c>
      <c r="N548" s="464">
        <f t="shared" si="57"/>
        <v>67724</v>
      </c>
    </row>
    <row r="549" spans="7:14" ht="11.25" customHeight="1" x14ac:dyDescent="0.3">
      <c r="G549" s="459">
        <f t="shared" ref="G549:G559" si="60">G548</f>
        <v>46</v>
      </c>
      <c r="H549" s="459">
        <v>542</v>
      </c>
      <c r="I549" s="444">
        <f t="shared" ca="1" si="55"/>
        <v>1916524.1226897505</v>
      </c>
      <c r="J549" s="444">
        <f t="array" ref="J549">IFERROR(INDEX('Retirement Calculator'!J:J,MATCH('Isaac 401k'!N549,'Retirement Calculator'!A:A,0),0),0)</f>
        <v>7896.2379798201846</v>
      </c>
      <c r="K549" s="444">
        <f t="shared" ca="1" si="53"/>
        <v>7952.6161862913759</v>
      </c>
      <c r="L549" s="444">
        <f t="shared" ca="1" si="54"/>
        <v>1916580.5008962217</v>
      </c>
      <c r="M549" s="460">
        <f t="shared" si="56"/>
        <v>0.05</v>
      </c>
      <c r="N549" s="464">
        <f t="shared" si="57"/>
        <v>67754</v>
      </c>
    </row>
    <row r="550" spans="7:14" ht="11.25" customHeight="1" x14ac:dyDescent="0.3">
      <c r="G550" s="459">
        <f t="shared" si="60"/>
        <v>46</v>
      </c>
      <c r="H550" s="459">
        <v>543</v>
      </c>
      <c r="I550" s="444">
        <f t="shared" ca="1" si="55"/>
        <v>1916580.5008962217</v>
      </c>
      <c r="J550" s="444">
        <f t="array" ref="J550">IFERROR(INDEX('Retirement Calculator'!J:J,MATCH('Isaac 401k'!N550,'Retirement Calculator'!A:A,0),0),0)</f>
        <v>7896.2379798201846</v>
      </c>
      <c r="K550" s="444">
        <f t="shared" ca="1" si="53"/>
        <v>7952.8510954850062</v>
      </c>
      <c r="L550" s="444">
        <f t="shared" ca="1" si="54"/>
        <v>1916637.1140118865</v>
      </c>
      <c r="M550" s="460">
        <f t="shared" si="56"/>
        <v>0.05</v>
      </c>
      <c r="N550" s="464">
        <f t="shared" si="57"/>
        <v>67785</v>
      </c>
    </row>
    <row r="551" spans="7:14" ht="11.25" customHeight="1" x14ac:dyDescent="0.3">
      <c r="G551" s="459">
        <f t="shared" si="60"/>
        <v>46</v>
      </c>
      <c r="H551" s="459">
        <v>544</v>
      </c>
      <c r="I551" s="444">
        <f t="shared" ca="1" si="55"/>
        <v>1916637.1140118865</v>
      </c>
      <c r="J551" s="444">
        <f t="array" ref="J551">IFERROR(INDEX('Retirement Calculator'!J:J,MATCH('Isaac 401k'!N551,'Retirement Calculator'!A:A,0),0),0)</f>
        <v>7896.2379798201846</v>
      </c>
      <c r="K551" s="444">
        <f t="shared" ca="1" si="53"/>
        <v>7953.086983466942</v>
      </c>
      <c r="L551" s="444">
        <f t="shared" ca="1" si="54"/>
        <v>1916693.9630155333</v>
      </c>
      <c r="M551" s="460">
        <f t="shared" si="56"/>
        <v>0.05</v>
      </c>
      <c r="N551" s="464">
        <f t="shared" si="57"/>
        <v>67816</v>
      </c>
    </row>
    <row r="552" spans="7:14" ht="11.25" customHeight="1" x14ac:dyDescent="0.3">
      <c r="G552" s="459">
        <f t="shared" si="60"/>
        <v>46</v>
      </c>
      <c r="H552" s="459">
        <v>545</v>
      </c>
      <c r="I552" s="444">
        <f t="shared" ca="1" si="55"/>
        <v>1916693.9630155333</v>
      </c>
      <c r="J552" s="444">
        <f t="array" ref="J552">IFERROR(INDEX('Retirement Calculator'!J:J,MATCH('Isaac 401k'!N552,'Retirement Calculator'!A:A,0),0),0)</f>
        <v>7896.2379798201846</v>
      </c>
      <c r="K552" s="444">
        <f t="shared" ca="1" si="53"/>
        <v>7953.3238543154712</v>
      </c>
      <c r="L552" s="444">
        <f t="shared" ca="1" si="54"/>
        <v>1916751.0488900286</v>
      </c>
      <c r="M552" s="460">
        <f t="shared" si="56"/>
        <v>0.05</v>
      </c>
      <c r="N552" s="464">
        <f t="shared" si="57"/>
        <v>67846</v>
      </c>
    </row>
    <row r="553" spans="7:14" ht="11.25" customHeight="1" x14ac:dyDescent="0.3">
      <c r="G553" s="459">
        <f t="shared" si="60"/>
        <v>46</v>
      </c>
      <c r="H553" s="459">
        <v>546</v>
      </c>
      <c r="I553" s="444">
        <f t="shared" ca="1" si="55"/>
        <v>1916751.0488900286</v>
      </c>
      <c r="J553" s="444">
        <f t="array" ref="J553">IFERROR(INDEX('Retirement Calculator'!J:J,MATCH('Isaac 401k'!N553,'Retirement Calculator'!A:A,0),0),0)</f>
        <v>7896.2379798201846</v>
      </c>
      <c r="K553" s="444">
        <f t="shared" ca="1" si="53"/>
        <v>7953.5617121258674</v>
      </c>
      <c r="L553" s="444">
        <f t="shared" ca="1" si="54"/>
        <v>1916808.3726223342</v>
      </c>
      <c r="M553" s="460">
        <f t="shared" si="56"/>
        <v>0.05</v>
      </c>
      <c r="N553" s="464">
        <f t="shared" si="57"/>
        <v>67877</v>
      </c>
    </row>
    <row r="554" spans="7:14" ht="11.25" customHeight="1" x14ac:dyDescent="0.3">
      <c r="G554" s="459">
        <f t="shared" si="60"/>
        <v>46</v>
      </c>
      <c r="H554" s="459">
        <v>547</v>
      </c>
      <c r="I554" s="444">
        <f t="shared" ca="1" si="55"/>
        <v>1916808.3726223342</v>
      </c>
      <c r="J554" s="444">
        <f t="array" ref="J554">IFERROR(INDEX('Retirement Calculator'!J:J,MATCH('Isaac 401k'!N554,'Retirement Calculator'!A:A,0),0),0)</f>
        <v>7896.2379798201846</v>
      </c>
      <c r="K554" s="444">
        <f t="shared" ca="1" si="53"/>
        <v>7953.8005610104747</v>
      </c>
      <c r="L554" s="444">
        <f t="shared" ca="1" si="54"/>
        <v>1916865.9352035243</v>
      </c>
      <c r="M554" s="460">
        <f t="shared" si="56"/>
        <v>0.05</v>
      </c>
      <c r="N554" s="464">
        <f t="shared" si="57"/>
        <v>67907</v>
      </c>
    </row>
    <row r="555" spans="7:14" ht="11.25" customHeight="1" x14ac:dyDescent="0.3">
      <c r="G555" s="459">
        <f t="shared" si="60"/>
        <v>46</v>
      </c>
      <c r="H555" s="459">
        <v>548</v>
      </c>
      <c r="I555" s="444">
        <f t="shared" ca="1" si="55"/>
        <v>1916865.9352035243</v>
      </c>
      <c r="J555" s="444">
        <f t="array" ref="J555">IFERROR(INDEX('Retirement Calculator'!J:J,MATCH('Isaac 401k'!N555,'Retirement Calculator'!A:A,0),0),0)</f>
        <v>7896.2379798201846</v>
      </c>
      <c r="K555" s="444">
        <f t="shared" ca="1" si="53"/>
        <v>7954.0404050987681</v>
      </c>
      <c r="L555" s="444">
        <f t="shared" ca="1" si="54"/>
        <v>1916923.7376288029</v>
      </c>
      <c r="M555" s="460">
        <f t="shared" si="56"/>
        <v>0.05</v>
      </c>
      <c r="N555" s="464">
        <f t="shared" si="57"/>
        <v>67938</v>
      </c>
    </row>
    <row r="556" spans="7:14" ht="11.25" customHeight="1" x14ac:dyDescent="0.3">
      <c r="G556" s="459">
        <f t="shared" si="60"/>
        <v>46</v>
      </c>
      <c r="H556" s="459">
        <v>549</v>
      </c>
      <c r="I556" s="444">
        <f t="shared" ca="1" si="55"/>
        <v>1916923.7376288029</v>
      </c>
      <c r="J556" s="444">
        <f t="array" ref="J556">IFERROR(INDEX('Retirement Calculator'!J:J,MATCH('Isaac 401k'!N556,'Retirement Calculator'!A:A,0),0),0)</f>
        <v>7896.2379798201846</v>
      </c>
      <c r="K556" s="444">
        <f t="shared" ca="1" si="53"/>
        <v>7954.2812485374279</v>
      </c>
      <c r="L556" s="444">
        <f t="shared" ca="1" si="54"/>
        <v>1916981.78089752</v>
      </c>
      <c r="M556" s="460">
        <f t="shared" si="56"/>
        <v>0.05</v>
      </c>
      <c r="N556" s="464">
        <f t="shared" si="57"/>
        <v>67969</v>
      </c>
    </row>
    <row r="557" spans="7:14" ht="11.25" customHeight="1" x14ac:dyDescent="0.3">
      <c r="G557" s="459">
        <f t="shared" si="60"/>
        <v>46</v>
      </c>
      <c r="H557" s="459">
        <v>550</v>
      </c>
      <c r="I557" s="444">
        <f t="shared" ca="1" si="55"/>
        <v>1916981.78089752</v>
      </c>
      <c r="J557" s="444">
        <f t="array" ref="J557">IFERROR(INDEX('Retirement Calculator'!J:J,MATCH('Isaac 401k'!N557,'Retirement Calculator'!A:A,0),0),0)</f>
        <v>7896.2379798201846</v>
      </c>
      <c r="K557" s="444">
        <f t="shared" ca="1" si="53"/>
        <v>7954.5230954904146</v>
      </c>
      <c r="L557" s="444">
        <f t="shared" ca="1" si="54"/>
        <v>1917040.0660131902</v>
      </c>
      <c r="M557" s="460">
        <f t="shared" si="56"/>
        <v>0.05</v>
      </c>
      <c r="N557" s="464">
        <f t="shared" si="57"/>
        <v>67997</v>
      </c>
    </row>
    <row r="558" spans="7:14" ht="11.25" customHeight="1" x14ac:dyDescent="0.3">
      <c r="G558" s="459">
        <f t="shared" si="60"/>
        <v>46</v>
      </c>
      <c r="H558" s="459">
        <v>551</v>
      </c>
      <c r="I558" s="444">
        <f t="shared" ca="1" si="55"/>
        <v>1917040.0660131902</v>
      </c>
      <c r="J558" s="444">
        <f t="array" ref="J558">IFERROR(INDEX('Retirement Calculator'!J:J,MATCH('Isaac 401k'!N558,'Retirement Calculator'!A:A,0),0),0)</f>
        <v>7896.2379798201846</v>
      </c>
      <c r="K558" s="444">
        <f t="shared" ca="1" si="53"/>
        <v>7954.7659501390417</v>
      </c>
      <c r="L558" s="444">
        <f t="shared" ca="1" si="54"/>
        <v>1917098.5939835091</v>
      </c>
      <c r="M558" s="460">
        <f t="shared" si="56"/>
        <v>0.05</v>
      </c>
      <c r="N558" s="464">
        <f t="shared" si="57"/>
        <v>68028</v>
      </c>
    </row>
    <row r="559" spans="7:14" ht="11.25" customHeight="1" x14ac:dyDescent="0.3">
      <c r="G559" s="459">
        <f t="shared" si="60"/>
        <v>46</v>
      </c>
      <c r="H559" s="459">
        <v>552</v>
      </c>
      <c r="I559" s="444">
        <f t="shared" ca="1" si="55"/>
        <v>1917098.5939835091</v>
      </c>
      <c r="J559" s="444">
        <f t="array" ref="J559">IFERROR(INDEX('Retirement Calculator'!J:J,MATCH('Isaac 401k'!N559,'Retirement Calculator'!A:A,0),0),0)</f>
        <v>7896.2379798201846</v>
      </c>
      <c r="K559" s="444">
        <f t="shared" ca="1" si="53"/>
        <v>7955.0098166820371</v>
      </c>
      <c r="L559" s="444">
        <f t="shared" ca="1" si="54"/>
        <v>1917157.3658203708</v>
      </c>
      <c r="M559" s="460">
        <f t="shared" si="56"/>
        <v>0.05</v>
      </c>
      <c r="N559" s="464">
        <f t="shared" si="57"/>
        <v>68058</v>
      </c>
    </row>
    <row r="560" spans="7:14" ht="11.25" customHeight="1" x14ac:dyDescent="0.3">
      <c r="G560" s="459">
        <f>G559+1</f>
        <v>47</v>
      </c>
      <c r="H560" s="459">
        <v>553</v>
      </c>
      <c r="I560" s="444">
        <f t="shared" ca="1" si="55"/>
        <v>1917157.3658203708</v>
      </c>
      <c r="J560" s="444">
        <f t="array" ref="J560">IFERROR(INDEX('Retirement Calculator'!J:J,MATCH('Isaac 401k'!N560,'Retirement Calculator'!A:A,0),0),0)</f>
        <v>7896.2379798201846</v>
      </c>
      <c r="K560" s="444">
        <f t="shared" ca="1" si="53"/>
        <v>7955.2546993356264</v>
      </c>
      <c r="L560" s="444">
        <f t="shared" ca="1" si="54"/>
        <v>1917216.3825398863</v>
      </c>
      <c r="M560" s="460">
        <f t="shared" si="56"/>
        <v>0.05</v>
      </c>
      <c r="N560" s="464">
        <f t="shared" si="57"/>
        <v>68089</v>
      </c>
    </row>
    <row r="561" spans="7:14" ht="11.25" customHeight="1" x14ac:dyDescent="0.3">
      <c r="G561" s="459">
        <f t="shared" ref="G561:G571" si="61">G560</f>
        <v>47</v>
      </c>
      <c r="H561" s="459">
        <v>554</v>
      </c>
      <c r="I561" s="444">
        <f t="shared" ca="1" si="55"/>
        <v>1917216.3825398863</v>
      </c>
      <c r="J561" s="444">
        <f t="array" ref="J561">IFERROR(INDEX('Retirement Calculator'!J:J,MATCH('Isaac 401k'!N561,'Retirement Calculator'!A:A,0),0),0)</f>
        <v>7896.2379798201846</v>
      </c>
      <c r="K561" s="444">
        <f t="shared" ca="1" si="53"/>
        <v>7955.5006023336091</v>
      </c>
      <c r="L561" s="444">
        <f t="shared" ca="1" si="54"/>
        <v>1917275.6451623996</v>
      </c>
      <c r="M561" s="460">
        <f t="shared" si="56"/>
        <v>0.05</v>
      </c>
      <c r="N561" s="464">
        <f t="shared" si="57"/>
        <v>68119</v>
      </c>
    </row>
    <row r="562" spans="7:14" ht="11.25" customHeight="1" x14ac:dyDescent="0.3">
      <c r="G562" s="459">
        <f t="shared" si="61"/>
        <v>47</v>
      </c>
      <c r="H562" s="459">
        <v>555</v>
      </c>
      <c r="I562" s="444">
        <f t="shared" ca="1" si="55"/>
        <v>1917275.6451623996</v>
      </c>
      <c r="J562" s="444">
        <f t="array" ref="J562">IFERROR(INDEX('Retirement Calculator'!J:J,MATCH('Isaac 401k'!N562,'Retirement Calculator'!A:A,0),0),0)</f>
        <v>7896.2379798201846</v>
      </c>
      <c r="K562" s="444">
        <f t="shared" ca="1" si="53"/>
        <v>7955.7475299274138</v>
      </c>
      <c r="L562" s="444">
        <f t="shared" ca="1" si="54"/>
        <v>1917335.1547125068</v>
      </c>
      <c r="M562" s="460">
        <f t="shared" si="56"/>
        <v>0.05</v>
      </c>
      <c r="N562" s="464">
        <f t="shared" si="57"/>
        <v>68150</v>
      </c>
    </row>
    <row r="563" spans="7:14" ht="11.25" customHeight="1" x14ac:dyDescent="0.3">
      <c r="G563" s="459">
        <f t="shared" si="61"/>
        <v>47</v>
      </c>
      <c r="H563" s="459">
        <v>556</v>
      </c>
      <c r="I563" s="444">
        <f t="shared" ca="1" si="55"/>
        <v>1917335.1547125068</v>
      </c>
      <c r="J563" s="444">
        <f t="array" ref="J563">IFERROR(INDEX('Retirement Calculator'!J:J,MATCH('Isaac 401k'!N563,'Retirement Calculator'!A:A,0),0),0)</f>
        <v>7896.2379798201846</v>
      </c>
      <c r="K563" s="444">
        <f t="shared" ca="1" si="53"/>
        <v>7955.995486386194</v>
      </c>
      <c r="L563" s="444">
        <f t="shared" ca="1" si="54"/>
        <v>1917394.9122190727</v>
      </c>
      <c r="M563" s="460">
        <f t="shared" si="56"/>
        <v>0.05</v>
      </c>
      <c r="N563" s="464">
        <f t="shared" si="57"/>
        <v>68181</v>
      </c>
    </row>
    <row r="564" spans="7:14" ht="11.25" customHeight="1" x14ac:dyDescent="0.3">
      <c r="G564" s="459">
        <f t="shared" si="61"/>
        <v>47</v>
      </c>
      <c r="H564" s="459">
        <v>557</v>
      </c>
      <c r="I564" s="444">
        <f t="shared" ca="1" si="55"/>
        <v>1917394.9122190727</v>
      </c>
      <c r="J564" s="444">
        <f t="array" ref="J564">IFERROR(INDEX('Retirement Calculator'!J:J,MATCH('Isaac 401k'!N564,'Retirement Calculator'!A:A,0),0),0)</f>
        <v>7896.2379798201846</v>
      </c>
      <c r="K564" s="444">
        <f t="shared" ca="1" si="53"/>
        <v>7956.2444759968857</v>
      </c>
      <c r="L564" s="444">
        <f t="shared" ca="1" si="54"/>
        <v>1917454.9187152493</v>
      </c>
      <c r="M564" s="460">
        <f t="shared" si="56"/>
        <v>0.05</v>
      </c>
      <c r="N564" s="464">
        <f t="shared" si="57"/>
        <v>68211</v>
      </c>
    </row>
    <row r="565" spans="7:14" ht="11.25" customHeight="1" x14ac:dyDescent="0.3">
      <c r="G565" s="459">
        <f t="shared" si="61"/>
        <v>47</v>
      </c>
      <c r="H565" s="459">
        <v>558</v>
      </c>
      <c r="I565" s="444">
        <f t="shared" ca="1" si="55"/>
        <v>1917454.9187152493</v>
      </c>
      <c r="J565" s="444">
        <f t="array" ref="J565">IFERROR(INDEX('Retirement Calculator'!J:J,MATCH('Isaac 401k'!N565,'Retirement Calculator'!A:A,0),0),0)</f>
        <v>7896.2379798201846</v>
      </c>
      <c r="K565" s="444">
        <f t="shared" ca="1" si="53"/>
        <v>7956.4945030642884</v>
      </c>
      <c r="L565" s="444">
        <f t="shared" ca="1" si="54"/>
        <v>1917515.1752384934</v>
      </c>
      <c r="M565" s="460">
        <f t="shared" si="56"/>
        <v>0.05</v>
      </c>
      <c r="N565" s="464">
        <f t="shared" si="57"/>
        <v>68242</v>
      </c>
    </row>
    <row r="566" spans="7:14" ht="11.25" customHeight="1" x14ac:dyDescent="0.3">
      <c r="G566" s="459">
        <f t="shared" si="61"/>
        <v>47</v>
      </c>
      <c r="H566" s="459">
        <v>559</v>
      </c>
      <c r="I566" s="444">
        <f t="shared" ca="1" si="55"/>
        <v>1917515.1752384934</v>
      </c>
      <c r="J566" s="444">
        <f t="array" ref="J566">IFERROR(INDEX('Retirement Calculator'!J:J,MATCH('Isaac 401k'!N566,'Retirement Calculator'!A:A,0),0),0)</f>
        <v>7896.2379798201846</v>
      </c>
      <c r="K566" s="444">
        <f t="shared" ca="1" si="53"/>
        <v>7956.7455719111385</v>
      </c>
      <c r="L566" s="444">
        <f t="shared" ca="1" si="54"/>
        <v>1917575.6828305842</v>
      </c>
      <c r="M566" s="460">
        <f t="shared" si="56"/>
        <v>0.05</v>
      </c>
      <c r="N566" s="464">
        <f t="shared" si="57"/>
        <v>68272</v>
      </c>
    </row>
    <row r="567" spans="7:14" ht="11.25" customHeight="1" x14ac:dyDescent="0.3">
      <c r="G567" s="459">
        <f t="shared" si="61"/>
        <v>47</v>
      </c>
      <c r="H567" s="459">
        <v>560</v>
      </c>
      <c r="I567" s="444">
        <f t="shared" ca="1" si="55"/>
        <v>1917575.6828305842</v>
      </c>
      <c r="J567" s="444">
        <f t="array" ref="J567">IFERROR(INDEX('Retirement Calculator'!J:J,MATCH('Isaac 401k'!N567,'Retirement Calculator'!A:A,0),0),0)</f>
        <v>7896.2379798201846</v>
      </c>
      <c r="K567" s="444">
        <f t="shared" ca="1" si="53"/>
        <v>7956.9976868781841</v>
      </c>
      <c r="L567" s="444">
        <f t="shared" ca="1" si="54"/>
        <v>1917636.4425376421</v>
      </c>
      <c r="M567" s="460">
        <f t="shared" si="56"/>
        <v>0.05</v>
      </c>
      <c r="N567" s="464">
        <f t="shared" si="57"/>
        <v>68303</v>
      </c>
    </row>
    <row r="568" spans="7:14" ht="11.25" customHeight="1" x14ac:dyDescent="0.3">
      <c r="G568" s="459">
        <f t="shared" si="61"/>
        <v>47</v>
      </c>
      <c r="H568" s="459">
        <v>561</v>
      </c>
      <c r="I568" s="444">
        <f t="shared" ca="1" si="55"/>
        <v>1917636.4425376421</v>
      </c>
      <c r="J568" s="444">
        <f t="array" ref="J568">IFERROR(INDEX('Retirement Calculator'!J:J,MATCH('Isaac 401k'!N568,'Retirement Calculator'!A:A,0),0),0)</f>
        <v>7896.2379798201846</v>
      </c>
      <c r="K568" s="444">
        <f t="shared" ca="1" si="53"/>
        <v>7957.2508523242577</v>
      </c>
      <c r="L568" s="444">
        <f t="shared" ca="1" si="54"/>
        <v>1917697.4554101462</v>
      </c>
      <c r="M568" s="460">
        <f t="shared" si="56"/>
        <v>0.05</v>
      </c>
      <c r="N568" s="464">
        <f t="shared" si="57"/>
        <v>68334</v>
      </c>
    </row>
    <row r="569" spans="7:14" ht="11.25" customHeight="1" x14ac:dyDescent="0.3">
      <c r="G569" s="459">
        <f t="shared" si="61"/>
        <v>47</v>
      </c>
      <c r="H569" s="459">
        <v>562</v>
      </c>
      <c r="I569" s="444">
        <f t="shared" ca="1" si="55"/>
        <v>1917697.4554101462</v>
      </c>
      <c r="J569" s="444">
        <f t="array" ref="J569">IFERROR(INDEX('Retirement Calculator'!J:J,MATCH('Isaac 401k'!N569,'Retirement Calculator'!A:A,0),0),0)</f>
        <v>7896.2379798201846</v>
      </c>
      <c r="K569" s="444">
        <f t="shared" ca="1" si="53"/>
        <v>7957.505072626358</v>
      </c>
      <c r="L569" s="444">
        <f t="shared" ca="1" si="54"/>
        <v>1917758.7225029522</v>
      </c>
      <c r="M569" s="460">
        <f t="shared" si="56"/>
        <v>0.05</v>
      </c>
      <c r="N569" s="464">
        <f t="shared" si="57"/>
        <v>68362</v>
      </c>
    </row>
    <row r="570" spans="7:14" ht="11.25" customHeight="1" x14ac:dyDescent="0.3">
      <c r="G570" s="459">
        <f t="shared" si="61"/>
        <v>47</v>
      </c>
      <c r="H570" s="459">
        <v>563</v>
      </c>
      <c r="I570" s="444">
        <f t="shared" ca="1" si="55"/>
        <v>1917758.7225029522</v>
      </c>
      <c r="J570" s="444">
        <f t="array" ref="J570">IFERROR(INDEX('Retirement Calculator'!J:J,MATCH('Isaac 401k'!N570,'Retirement Calculator'!A:A,0),0),0)</f>
        <v>7896.2379798201846</v>
      </c>
      <c r="K570" s="444">
        <f t="shared" ca="1" si="53"/>
        <v>7957.7603521797164</v>
      </c>
      <c r="L570" s="444">
        <f t="shared" ca="1" si="54"/>
        <v>1917820.2448753116</v>
      </c>
      <c r="M570" s="460">
        <f t="shared" si="56"/>
        <v>0.05</v>
      </c>
      <c r="N570" s="464">
        <f t="shared" si="57"/>
        <v>68393</v>
      </c>
    </row>
    <row r="571" spans="7:14" ht="11.25" customHeight="1" x14ac:dyDescent="0.3">
      <c r="G571" s="459">
        <f t="shared" si="61"/>
        <v>47</v>
      </c>
      <c r="H571" s="459">
        <v>564</v>
      </c>
      <c r="I571" s="444">
        <f t="shared" ca="1" si="55"/>
        <v>1917820.2448753116</v>
      </c>
      <c r="J571" s="444">
        <f t="array" ref="J571">IFERROR(INDEX('Retirement Calculator'!J:J,MATCH('Isaac 401k'!N571,'Retirement Calculator'!A:A,0),0),0)</f>
        <v>7896.2379798201846</v>
      </c>
      <c r="K571" s="444">
        <f t="shared" ca="1" si="53"/>
        <v>7958.0166953978814</v>
      </c>
      <c r="L571" s="444">
        <f t="shared" ca="1" si="54"/>
        <v>1917882.0235908893</v>
      </c>
      <c r="M571" s="460">
        <f t="shared" si="56"/>
        <v>0.05</v>
      </c>
      <c r="N571" s="464">
        <f t="shared" si="57"/>
        <v>68423</v>
      </c>
    </row>
    <row r="572" spans="7:14" ht="11.25" customHeight="1" x14ac:dyDescent="0.3">
      <c r="G572" s="459">
        <f>G571+1</f>
        <v>48</v>
      </c>
      <c r="H572" s="459">
        <v>565</v>
      </c>
      <c r="I572" s="444">
        <f t="shared" ca="1" si="55"/>
        <v>1917882.0235908893</v>
      </c>
      <c r="J572" s="444">
        <f t="array" ref="J572">IFERROR(INDEX('Retirement Calculator'!J:J,MATCH('Isaac 401k'!N572,'Retirement Calculator'!A:A,0),0),0)</f>
        <v>7896.2379798201846</v>
      </c>
      <c r="K572" s="444">
        <f t="shared" ca="1" si="53"/>
        <v>7958.2741067127872</v>
      </c>
      <c r="L572" s="444">
        <f t="shared" ca="1" si="54"/>
        <v>1917944.0597177818</v>
      </c>
      <c r="M572" s="460">
        <f t="shared" si="56"/>
        <v>0.05</v>
      </c>
      <c r="N572" s="464">
        <f t="shared" si="57"/>
        <v>68454</v>
      </c>
    </row>
    <row r="573" spans="7:14" ht="11.25" customHeight="1" x14ac:dyDescent="0.3">
      <c r="G573" s="459">
        <f t="shared" ref="G573:G583" si="62">G572</f>
        <v>48</v>
      </c>
      <c r="H573" s="459">
        <v>566</v>
      </c>
      <c r="I573" s="444">
        <f t="shared" ca="1" si="55"/>
        <v>1917944.0597177818</v>
      </c>
      <c r="J573" s="444">
        <f t="array" ref="J573">IFERROR(INDEX('Retirement Calculator'!J:J,MATCH('Isaac 401k'!N573,'Retirement Calculator'!A:A,0),0),0)</f>
        <v>7896.2379798201846</v>
      </c>
      <c r="K573" s="444">
        <f t="shared" ca="1" si="53"/>
        <v>7958.5325905748396</v>
      </c>
      <c r="L573" s="444">
        <f t="shared" ca="1" si="54"/>
        <v>1918006.3543285364</v>
      </c>
      <c r="M573" s="460">
        <f t="shared" si="56"/>
        <v>0.05</v>
      </c>
      <c r="N573" s="464">
        <f t="shared" si="57"/>
        <v>68484</v>
      </c>
    </row>
    <row r="574" spans="7:14" ht="11.25" customHeight="1" x14ac:dyDescent="0.3">
      <c r="G574" s="459">
        <f t="shared" si="62"/>
        <v>48</v>
      </c>
      <c r="H574" s="459">
        <v>567</v>
      </c>
      <c r="I574" s="444">
        <f t="shared" ca="1" si="55"/>
        <v>1918006.3543285364</v>
      </c>
      <c r="J574" s="444">
        <f t="array" ref="J574">IFERROR(INDEX('Retirement Calculator'!J:J,MATCH('Isaac 401k'!N574,'Retirement Calculator'!A:A,0),0),0)</f>
        <v>7896.2379798201846</v>
      </c>
      <c r="K574" s="444">
        <f t="shared" ca="1" si="53"/>
        <v>7958.7921514529844</v>
      </c>
      <c r="L574" s="444">
        <f t="shared" ca="1" si="54"/>
        <v>1918068.9085001692</v>
      </c>
      <c r="M574" s="460">
        <f t="shared" si="56"/>
        <v>0.05</v>
      </c>
      <c r="N574" s="464">
        <f t="shared" si="57"/>
        <v>68515</v>
      </c>
    </row>
    <row r="575" spans="7:14" ht="11.25" customHeight="1" x14ac:dyDescent="0.3">
      <c r="G575" s="459">
        <f t="shared" si="62"/>
        <v>48</v>
      </c>
      <c r="H575" s="459">
        <v>568</v>
      </c>
      <c r="I575" s="444">
        <f t="shared" ca="1" si="55"/>
        <v>1918068.9085001692</v>
      </c>
      <c r="J575" s="444">
        <f t="array" ref="J575">IFERROR(INDEX('Retirement Calculator'!J:J,MATCH('Isaac 401k'!N575,'Retirement Calculator'!A:A,0),0),0)</f>
        <v>7896.2379798201846</v>
      </c>
      <c r="K575" s="444">
        <f t="shared" ca="1" si="53"/>
        <v>7959.0527938347877</v>
      </c>
      <c r="L575" s="444">
        <f t="shared" ca="1" si="54"/>
        <v>1918131.7233141838</v>
      </c>
      <c r="M575" s="460">
        <f t="shared" si="56"/>
        <v>0.05</v>
      </c>
      <c r="N575" s="464">
        <f t="shared" si="57"/>
        <v>68546</v>
      </c>
    </row>
    <row r="576" spans="7:14" ht="11.25" customHeight="1" x14ac:dyDescent="0.3">
      <c r="G576" s="459">
        <f t="shared" si="62"/>
        <v>48</v>
      </c>
      <c r="H576" s="459">
        <v>569</v>
      </c>
      <c r="I576" s="444">
        <f t="shared" ca="1" si="55"/>
        <v>1918131.7233141838</v>
      </c>
      <c r="J576" s="444">
        <f t="array" ref="J576">IFERROR(INDEX('Retirement Calculator'!J:J,MATCH('Isaac 401k'!N576,'Retirement Calculator'!A:A,0),0),0)</f>
        <v>7896.2379798201846</v>
      </c>
      <c r="K576" s="444">
        <f t="shared" ca="1" si="53"/>
        <v>7959.3145222265148</v>
      </c>
      <c r="L576" s="444">
        <f t="shared" ca="1" si="54"/>
        <v>1918194.7998565901</v>
      </c>
      <c r="M576" s="460">
        <f t="shared" si="56"/>
        <v>0.05</v>
      </c>
      <c r="N576" s="464">
        <f t="shared" si="57"/>
        <v>68576</v>
      </c>
    </row>
    <row r="577" spans="7:14" ht="11.25" customHeight="1" x14ac:dyDescent="0.3">
      <c r="G577" s="459">
        <f t="shared" si="62"/>
        <v>48</v>
      </c>
      <c r="H577" s="459">
        <v>570</v>
      </c>
      <c r="I577" s="444">
        <f t="shared" ca="1" si="55"/>
        <v>1918194.7998565901</v>
      </c>
      <c r="J577" s="444">
        <f t="array" ref="J577">IFERROR(INDEX('Retirement Calculator'!J:J,MATCH('Isaac 401k'!N577,'Retirement Calculator'!A:A,0),0),0)</f>
        <v>7896.2379798201846</v>
      </c>
      <c r="K577" s="444">
        <f t="shared" ca="1" si="53"/>
        <v>7959.5773411532073</v>
      </c>
      <c r="L577" s="444">
        <f t="shared" ca="1" si="54"/>
        <v>1918258.1392179232</v>
      </c>
      <c r="M577" s="460">
        <f t="shared" si="56"/>
        <v>0.05</v>
      </c>
      <c r="N577" s="464">
        <f t="shared" si="57"/>
        <v>68607</v>
      </c>
    </row>
    <row r="578" spans="7:14" ht="11.25" customHeight="1" x14ac:dyDescent="0.3">
      <c r="G578" s="459">
        <f t="shared" si="62"/>
        <v>48</v>
      </c>
      <c r="H578" s="459">
        <v>571</v>
      </c>
      <c r="I578" s="444">
        <f t="shared" ca="1" si="55"/>
        <v>1918258.1392179232</v>
      </c>
      <c r="J578" s="444">
        <f t="array" ref="J578">IFERROR(INDEX('Retirement Calculator'!J:J,MATCH('Isaac 401k'!N578,'Retirement Calculator'!A:A,0),0),0)</f>
        <v>7896.2379798201846</v>
      </c>
      <c r="K578" s="444">
        <f t="shared" ca="1" si="53"/>
        <v>7959.8412551587608</v>
      </c>
      <c r="L578" s="444">
        <f t="shared" ca="1" si="54"/>
        <v>1918321.7424932616</v>
      </c>
      <c r="M578" s="460">
        <f t="shared" si="56"/>
        <v>0.05</v>
      </c>
      <c r="N578" s="464">
        <f t="shared" si="57"/>
        <v>68637</v>
      </c>
    </row>
    <row r="579" spans="7:14" ht="11.25" customHeight="1" x14ac:dyDescent="0.3">
      <c r="G579" s="459">
        <f t="shared" si="62"/>
        <v>48</v>
      </c>
      <c r="H579" s="459">
        <v>572</v>
      </c>
      <c r="I579" s="444">
        <f t="shared" ca="1" si="55"/>
        <v>1918321.7424932616</v>
      </c>
      <c r="J579" s="444">
        <f t="array" ref="J579">IFERROR(INDEX('Retirement Calculator'!J:J,MATCH('Isaac 401k'!N579,'Retirement Calculator'!A:A,0),0),0)</f>
        <v>7896.2379798201846</v>
      </c>
      <c r="K579" s="444">
        <f t="shared" ca="1" si="53"/>
        <v>7960.1062688060047</v>
      </c>
      <c r="L579" s="444">
        <f t="shared" ca="1" si="54"/>
        <v>1918385.6107822473</v>
      </c>
      <c r="M579" s="460">
        <f t="shared" si="56"/>
        <v>0.05</v>
      </c>
      <c r="N579" s="464">
        <f t="shared" si="57"/>
        <v>68668</v>
      </c>
    </row>
    <row r="580" spans="7:14" ht="11.25" customHeight="1" x14ac:dyDescent="0.3">
      <c r="G580" s="459">
        <f t="shared" si="62"/>
        <v>48</v>
      </c>
      <c r="H580" s="459">
        <v>573</v>
      </c>
      <c r="I580" s="444">
        <f t="shared" ca="1" si="55"/>
        <v>1918385.6107822473</v>
      </c>
      <c r="J580" s="444">
        <f t="array" ref="J580">IFERROR(INDEX('Retirement Calculator'!J:J,MATCH('Isaac 401k'!N580,'Retirement Calculator'!A:A,0),0),0)</f>
        <v>7896.2379798201846</v>
      </c>
      <c r="K580" s="444">
        <f t="shared" ca="1" si="53"/>
        <v>7960.3723866767796</v>
      </c>
      <c r="L580" s="444">
        <f t="shared" ca="1" si="54"/>
        <v>1918449.7451891038</v>
      </c>
      <c r="M580" s="460">
        <f t="shared" si="56"/>
        <v>0.05</v>
      </c>
      <c r="N580" s="464">
        <f t="shared" si="57"/>
        <v>68699</v>
      </c>
    </row>
    <row r="581" spans="7:14" ht="11.25" customHeight="1" x14ac:dyDescent="0.3">
      <c r="G581" s="459">
        <f t="shared" si="62"/>
        <v>48</v>
      </c>
      <c r="H581" s="459">
        <v>574</v>
      </c>
      <c r="I581" s="444">
        <f t="shared" ca="1" si="55"/>
        <v>1918449.7451891038</v>
      </c>
      <c r="J581" s="444">
        <f t="array" ref="J581">IFERROR(INDEX('Retirement Calculator'!J:J,MATCH('Isaac 401k'!N581,'Retirement Calculator'!A:A,0),0),0)</f>
        <v>7896.2379798201846</v>
      </c>
      <c r="K581" s="444">
        <f t="shared" ca="1" si="53"/>
        <v>7960.6396133720145</v>
      </c>
      <c r="L581" s="444">
        <f t="shared" ca="1" si="54"/>
        <v>1918514.1468226556</v>
      </c>
      <c r="M581" s="460">
        <f t="shared" si="56"/>
        <v>0.05</v>
      </c>
      <c r="N581" s="464">
        <f t="shared" si="57"/>
        <v>68728</v>
      </c>
    </row>
    <row r="582" spans="7:14" ht="11.25" customHeight="1" x14ac:dyDescent="0.3">
      <c r="G582" s="459">
        <f t="shared" si="62"/>
        <v>48</v>
      </c>
      <c r="H582" s="459">
        <v>575</v>
      </c>
      <c r="I582" s="444">
        <f t="shared" ca="1" si="55"/>
        <v>1918514.1468226556</v>
      </c>
      <c r="J582" s="444">
        <f t="array" ref="J582">IFERROR(INDEX('Retirement Calculator'!J:J,MATCH('Isaac 401k'!N582,'Retirement Calculator'!A:A,0),0),0)</f>
        <v>7896.2379798201846</v>
      </c>
      <c r="K582" s="444">
        <f t="shared" ca="1" si="53"/>
        <v>7960.9079535118126</v>
      </c>
      <c r="L582" s="444">
        <f t="shared" ca="1" si="54"/>
        <v>1918578.8167963473</v>
      </c>
      <c r="M582" s="460">
        <f t="shared" si="56"/>
        <v>0.05</v>
      </c>
      <c r="N582" s="464">
        <f t="shared" si="57"/>
        <v>68759</v>
      </c>
    </row>
    <row r="583" spans="7:14" ht="11.25" customHeight="1" x14ac:dyDescent="0.3">
      <c r="G583" s="459">
        <f t="shared" si="62"/>
        <v>48</v>
      </c>
      <c r="H583" s="459">
        <v>576</v>
      </c>
      <c r="I583" s="444">
        <f t="shared" ca="1" si="55"/>
        <v>1918578.8167963473</v>
      </c>
      <c r="J583" s="444">
        <f t="array" ref="J583">IFERROR(INDEX('Retirement Calculator'!J:J,MATCH('Isaac 401k'!N583,'Retirement Calculator'!A:A,0),0),0)</f>
        <v>7896.2379798201846</v>
      </c>
      <c r="K583" s="444">
        <f t="shared" ca="1" si="53"/>
        <v>7961.177411735528</v>
      </c>
      <c r="L583" s="444">
        <f t="shared" ca="1" si="54"/>
        <v>1918643.7562282626</v>
      </c>
      <c r="M583" s="460">
        <f t="shared" si="56"/>
        <v>0.05</v>
      </c>
      <c r="N583" s="464">
        <f t="shared" si="57"/>
        <v>68789</v>
      </c>
    </row>
    <row r="584" spans="7:14" ht="11.25" customHeight="1" x14ac:dyDescent="0.3">
      <c r="G584" s="459">
        <f>G583+1</f>
        <v>49</v>
      </c>
      <c r="H584" s="459">
        <v>577</v>
      </c>
      <c r="I584" s="444">
        <f t="shared" ca="1" si="55"/>
        <v>1918643.7562282626</v>
      </c>
      <c r="J584" s="444">
        <f t="array" ref="J584">IFERROR(INDEX('Retirement Calculator'!J:J,MATCH('Isaac 401k'!N584,'Retirement Calculator'!A:A,0),0),0)</f>
        <v>7896.2379798201846</v>
      </c>
      <c r="K584" s="444">
        <f t="shared" ca="1" si="53"/>
        <v>7961.4479927018428</v>
      </c>
      <c r="L584" s="444">
        <f t="shared" ca="1" si="54"/>
        <v>1918708.9662411441</v>
      </c>
      <c r="M584" s="460">
        <f t="shared" si="56"/>
        <v>0.05</v>
      </c>
      <c r="N584" s="464">
        <f t="shared" si="57"/>
        <v>68820</v>
      </c>
    </row>
    <row r="585" spans="7:14" ht="11.25" customHeight="1" x14ac:dyDescent="0.3">
      <c r="G585" s="459">
        <f t="shared" ref="G585:G595" si="63">G584</f>
        <v>49</v>
      </c>
      <c r="H585" s="459">
        <v>578</v>
      </c>
      <c r="I585" s="444">
        <f t="shared" ca="1" si="55"/>
        <v>1918708.9662411441</v>
      </c>
      <c r="J585" s="444">
        <f t="array" ref="J585">IFERROR(INDEX('Retirement Calculator'!J:J,MATCH('Isaac 401k'!N585,'Retirement Calculator'!A:A,0),0),0)</f>
        <v>7896.2379798201846</v>
      </c>
      <c r="K585" s="444">
        <f t="shared" ca="1" si="53"/>
        <v>7961.7197010888494</v>
      </c>
      <c r="L585" s="444">
        <f t="shared" ca="1" si="54"/>
        <v>1918774.4479624128</v>
      </c>
      <c r="M585" s="460">
        <f t="shared" si="56"/>
        <v>0.05</v>
      </c>
      <c r="N585" s="464">
        <f t="shared" si="57"/>
        <v>68850</v>
      </c>
    </row>
    <row r="586" spans="7:14" ht="11.25" customHeight="1" x14ac:dyDescent="0.3">
      <c r="G586" s="459">
        <f t="shared" si="63"/>
        <v>49</v>
      </c>
      <c r="H586" s="459">
        <v>579</v>
      </c>
      <c r="I586" s="444">
        <f t="shared" ca="1" si="55"/>
        <v>1918774.4479624128</v>
      </c>
      <c r="J586" s="444">
        <f t="array" ref="J586">IFERROR(INDEX('Retirement Calculator'!J:J,MATCH('Isaac 401k'!N586,'Retirement Calculator'!A:A,0),0),0)</f>
        <v>7896.2379798201846</v>
      </c>
      <c r="K586" s="444">
        <f t="shared" ca="1" si="53"/>
        <v>7961.9925415941352</v>
      </c>
      <c r="L586" s="444">
        <f t="shared" ca="1" si="54"/>
        <v>1918840.2025241868</v>
      </c>
      <c r="M586" s="460">
        <f t="shared" si="56"/>
        <v>0.05</v>
      </c>
      <c r="N586" s="464">
        <f t="shared" si="57"/>
        <v>68881</v>
      </c>
    </row>
    <row r="587" spans="7:14" ht="11.25" customHeight="1" x14ac:dyDescent="0.3">
      <c r="G587" s="459">
        <f t="shared" si="63"/>
        <v>49</v>
      </c>
      <c r="H587" s="459">
        <v>580</v>
      </c>
      <c r="I587" s="444">
        <f t="shared" ca="1" si="55"/>
        <v>1918840.2025241868</v>
      </c>
      <c r="J587" s="444">
        <f t="array" ref="J587">IFERROR(INDEX('Retirement Calculator'!J:J,MATCH('Isaac 401k'!N587,'Retirement Calculator'!A:A,0),0),0)</f>
        <v>7896.2379798201846</v>
      </c>
      <c r="K587" s="444">
        <f t="shared" ca="1" si="53"/>
        <v>7962.2665189348609</v>
      </c>
      <c r="L587" s="444">
        <f t="shared" ca="1" si="54"/>
        <v>1918906.2310633014</v>
      </c>
      <c r="M587" s="460">
        <f t="shared" si="56"/>
        <v>0.05</v>
      </c>
      <c r="N587" s="464">
        <f t="shared" si="57"/>
        <v>68912</v>
      </c>
    </row>
    <row r="588" spans="7:14" ht="11.25" customHeight="1" x14ac:dyDescent="0.3">
      <c r="G588" s="459">
        <f t="shared" si="63"/>
        <v>49</v>
      </c>
      <c r="H588" s="459">
        <v>581</v>
      </c>
      <c r="I588" s="444">
        <f t="shared" ca="1" si="55"/>
        <v>1918906.2310633014</v>
      </c>
      <c r="J588" s="444">
        <f t="array" ref="J588">IFERROR(INDEX('Retirement Calculator'!J:J,MATCH('Isaac 401k'!N588,'Retirement Calculator'!A:A,0),0),0)</f>
        <v>7896.2379798201846</v>
      </c>
      <c r="K588" s="444">
        <f t="shared" ca="1" si="53"/>
        <v>7962.5416378478376</v>
      </c>
      <c r="L588" s="444">
        <f t="shared" ca="1" si="54"/>
        <v>1918972.5347213291</v>
      </c>
      <c r="M588" s="460">
        <f t="shared" si="56"/>
        <v>0.05</v>
      </c>
      <c r="N588" s="464">
        <f t="shared" si="57"/>
        <v>68942</v>
      </c>
    </row>
    <row r="589" spans="7:14" ht="11.25" customHeight="1" x14ac:dyDescent="0.3">
      <c r="G589" s="459">
        <f t="shared" si="63"/>
        <v>49</v>
      </c>
      <c r="H589" s="459">
        <v>582</v>
      </c>
      <c r="I589" s="444">
        <f t="shared" ca="1" si="55"/>
        <v>1918972.5347213291</v>
      </c>
      <c r="J589" s="444">
        <f t="array" ref="J589">IFERROR(INDEX('Retirement Calculator'!J:J,MATCH('Isaac 401k'!N589,'Retirement Calculator'!A:A,0),0),0)</f>
        <v>7896.2379798201846</v>
      </c>
      <c r="K589" s="444">
        <f t="shared" ca="1" si="53"/>
        <v>7962.8179030896199</v>
      </c>
      <c r="L589" s="444">
        <f t="shared" ca="1" si="54"/>
        <v>1919039.1146445984</v>
      </c>
      <c r="M589" s="460">
        <f t="shared" si="56"/>
        <v>0.05</v>
      </c>
      <c r="N589" s="464">
        <f t="shared" si="57"/>
        <v>68973</v>
      </c>
    </row>
    <row r="590" spans="7:14" ht="11.25" customHeight="1" x14ac:dyDescent="0.3">
      <c r="G590" s="459">
        <f t="shared" si="63"/>
        <v>49</v>
      </c>
      <c r="H590" s="459">
        <v>583</v>
      </c>
      <c r="I590" s="444">
        <f t="shared" ca="1" si="55"/>
        <v>1919039.1146445984</v>
      </c>
      <c r="J590" s="444">
        <f t="array" ref="J590">IFERROR(INDEX('Retirement Calculator'!J:J,MATCH('Isaac 401k'!N590,'Retirement Calculator'!A:A,0),0),0)</f>
        <v>7896.2379798201846</v>
      </c>
      <c r="K590" s="444">
        <f t="shared" ca="1" si="53"/>
        <v>7963.0953194365766</v>
      </c>
      <c r="L590" s="444">
        <f t="shared" ca="1" si="54"/>
        <v>1919105.9719842148</v>
      </c>
      <c r="M590" s="460">
        <f t="shared" si="56"/>
        <v>0.05</v>
      </c>
      <c r="N590" s="464">
        <f t="shared" si="57"/>
        <v>69003</v>
      </c>
    </row>
    <row r="591" spans="7:14" ht="11.25" customHeight="1" x14ac:dyDescent="0.3">
      <c r="G591" s="459">
        <f t="shared" si="63"/>
        <v>49</v>
      </c>
      <c r="H591" s="459">
        <v>584</v>
      </c>
      <c r="I591" s="444">
        <f t="shared" ca="1" si="55"/>
        <v>1919105.9719842148</v>
      </c>
      <c r="J591" s="444">
        <f t="array" ref="J591">IFERROR(INDEX('Retirement Calculator'!J:J,MATCH('Isaac 401k'!N591,'Retirement Calculator'!A:A,0),0),0)</f>
        <v>7896.2379798201846</v>
      </c>
      <c r="K591" s="444">
        <f t="shared" ca="1" si="53"/>
        <v>7963.3738916849788</v>
      </c>
      <c r="L591" s="444">
        <f t="shared" ca="1" si="54"/>
        <v>1919173.1078960795</v>
      </c>
      <c r="M591" s="460">
        <f t="shared" si="56"/>
        <v>0.05</v>
      </c>
      <c r="N591" s="464">
        <f t="shared" si="57"/>
        <v>69034</v>
      </c>
    </row>
    <row r="592" spans="7:14" ht="11.25" customHeight="1" x14ac:dyDescent="0.3">
      <c r="G592" s="459">
        <f t="shared" si="63"/>
        <v>49</v>
      </c>
      <c r="H592" s="459">
        <v>585</v>
      </c>
      <c r="I592" s="444">
        <f t="shared" ca="1" si="55"/>
        <v>1919173.1078960795</v>
      </c>
      <c r="J592" s="444">
        <f t="array" ref="J592">IFERROR(INDEX('Retirement Calculator'!J:J,MATCH('Isaac 401k'!N592,'Retirement Calculator'!A:A,0),0),0)</f>
        <v>7896.2379798201846</v>
      </c>
      <c r="K592" s="444">
        <f t="shared" ca="1" si="53"/>
        <v>7963.6536246510814</v>
      </c>
      <c r="L592" s="444">
        <f t="shared" ca="1" si="54"/>
        <v>1919240.5235409103</v>
      </c>
      <c r="M592" s="460">
        <f t="shared" si="56"/>
        <v>0.05</v>
      </c>
      <c r="N592" s="464">
        <f t="shared" si="57"/>
        <v>69065</v>
      </c>
    </row>
    <row r="593" spans="7:14" ht="11.25" customHeight="1" x14ac:dyDescent="0.3">
      <c r="G593" s="459">
        <f t="shared" si="63"/>
        <v>49</v>
      </c>
      <c r="H593" s="459">
        <v>586</v>
      </c>
      <c r="I593" s="444">
        <f t="shared" ca="1" si="55"/>
        <v>1919240.5235409103</v>
      </c>
      <c r="J593" s="444">
        <f t="array" ref="J593">IFERROR(INDEX('Retirement Calculator'!J:J,MATCH('Isaac 401k'!N593,'Retirement Calculator'!A:A,0),0),0)</f>
        <v>7896.2379798201846</v>
      </c>
      <c r="K593" s="444">
        <f t="shared" ca="1" si="53"/>
        <v>7963.9345231712086</v>
      </c>
      <c r="L593" s="444">
        <f t="shared" ca="1" si="54"/>
        <v>1919308.2200842614</v>
      </c>
      <c r="M593" s="460">
        <f t="shared" si="56"/>
        <v>0.05</v>
      </c>
      <c r="N593" s="464">
        <f t="shared" si="57"/>
        <v>69093</v>
      </c>
    </row>
    <row r="594" spans="7:14" ht="11.25" customHeight="1" x14ac:dyDescent="0.3">
      <c r="G594" s="459">
        <f t="shared" si="63"/>
        <v>49</v>
      </c>
      <c r="H594" s="459">
        <v>587</v>
      </c>
      <c r="I594" s="444">
        <f t="shared" ca="1" si="55"/>
        <v>1919308.2200842614</v>
      </c>
      <c r="J594" s="444">
        <f t="array" ref="J594">IFERROR(INDEX('Retirement Calculator'!J:J,MATCH('Isaac 401k'!N594,'Retirement Calculator'!A:A,0),0),0)</f>
        <v>7896.2379798201846</v>
      </c>
      <c r="K594" s="444">
        <f t="shared" ca="1" si="53"/>
        <v>7964.2165921018368</v>
      </c>
      <c r="L594" s="444">
        <f t="shared" ca="1" si="54"/>
        <v>1919376.198696543</v>
      </c>
      <c r="M594" s="460">
        <f t="shared" si="56"/>
        <v>0.05</v>
      </c>
      <c r="N594" s="464">
        <f t="shared" si="57"/>
        <v>69124</v>
      </c>
    </row>
    <row r="595" spans="7:14" ht="11.25" customHeight="1" x14ac:dyDescent="0.3">
      <c r="G595" s="459">
        <f t="shared" si="63"/>
        <v>49</v>
      </c>
      <c r="H595" s="459">
        <v>588</v>
      </c>
      <c r="I595" s="444">
        <f t="shared" ca="1" si="55"/>
        <v>1919376.198696543</v>
      </c>
      <c r="J595" s="444">
        <f t="array" ref="J595">IFERROR(INDEX('Retirement Calculator'!J:J,MATCH('Isaac 401k'!N595,'Retirement Calculator'!A:A,0),0),0)</f>
        <v>7896.2379798201846</v>
      </c>
      <c r="K595" s="444">
        <f t="shared" ca="1" si="53"/>
        <v>7964.4998363196783</v>
      </c>
      <c r="L595" s="444">
        <f t="shared" ca="1" si="54"/>
        <v>1919444.4605530424</v>
      </c>
      <c r="M595" s="460">
        <f t="shared" si="56"/>
        <v>0.05</v>
      </c>
      <c r="N595" s="464">
        <f t="shared" si="57"/>
        <v>69154</v>
      </c>
    </row>
    <row r="596" spans="7:14" ht="11.25" customHeight="1" x14ac:dyDescent="0.3">
      <c r="G596" s="459">
        <f>G595+1</f>
        <v>50</v>
      </c>
      <c r="H596" s="459">
        <v>589</v>
      </c>
      <c r="I596" s="444">
        <f t="shared" ca="1" si="55"/>
        <v>1919444.4605530424</v>
      </c>
      <c r="J596" s="444">
        <f t="array" ref="J596">IFERROR(INDEX('Retirement Calculator'!J:J,MATCH('Isaac 401k'!N596,'Retirement Calculator'!A:A,0),0),0)</f>
        <v>7896.2379798201846</v>
      </c>
      <c r="K596" s="444">
        <f t="shared" ca="1" si="53"/>
        <v>7964.7842607217599</v>
      </c>
      <c r="L596" s="444">
        <f t="shared" ca="1" si="54"/>
        <v>1919513.0068339438</v>
      </c>
      <c r="M596" s="460">
        <f t="shared" si="56"/>
        <v>0.05</v>
      </c>
      <c r="N596" s="464">
        <f t="shared" si="57"/>
        <v>69185</v>
      </c>
    </row>
    <row r="597" spans="7:14" ht="11.25" customHeight="1" x14ac:dyDescent="0.3">
      <c r="G597" s="459">
        <f t="shared" ref="G597:G607" si="64">G596</f>
        <v>50</v>
      </c>
      <c r="H597" s="459">
        <v>590</v>
      </c>
      <c r="I597" s="444">
        <f t="shared" ca="1" si="55"/>
        <v>1919513.0068339438</v>
      </c>
      <c r="J597" s="444">
        <f t="array" ref="J597">IFERROR(INDEX('Retirement Calculator'!J:J,MATCH('Isaac 401k'!N597,'Retirement Calculator'!A:A,0),0),0)</f>
        <v>7896.2379798201846</v>
      </c>
      <c r="K597" s="444">
        <f t="shared" ca="1" si="53"/>
        <v>7965.0698702255149</v>
      </c>
      <c r="L597" s="444">
        <f t="shared" ca="1" si="54"/>
        <v>1919581.8387243492</v>
      </c>
      <c r="M597" s="460">
        <f t="shared" si="56"/>
        <v>0.05</v>
      </c>
      <c r="N597" s="464">
        <f t="shared" si="57"/>
        <v>69215</v>
      </c>
    </row>
    <row r="598" spans="7:14" ht="11.25" customHeight="1" x14ac:dyDescent="0.3">
      <c r="G598" s="459">
        <f t="shared" si="64"/>
        <v>50</v>
      </c>
      <c r="H598" s="459">
        <v>591</v>
      </c>
      <c r="I598" s="444">
        <f t="shared" ca="1" si="55"/>
        <v>1919581.8387243492</v>
      </c>
      <c r="J598" s="444">
        <f t="array" ref="J598">IFERROR(INDEX('Retirement Calculator'!J:J,MATCH('Isaac 401k'!N598,'Retirement Calculator'!A:A,0),0),0)</f>
        <v>7896.2379798201846</v>
      </c>
      <c r="K598" s="444">
        <f t="shared" ca="1" si="53"/>
        <v>7965.3566697688711</v>
      </c>
      <c r="L598" s="444">
        <f t="shared" ca="1" si="54"/>
        <v>1919650.9574142979</v>
      </c>
      <c r="M598" s="460">
        <f t="shared" si="56"/>
        <v>0.05</v>
      </c>
      <c r="N598" s="464">
        <f t="shared" si="57"/>
        <v>69246</v>
      </c>
    </row>
    <row r="599" spans="7:14" ht="11.25" customHeight="1" x14ac:dyDescent="0.3">
      <c r="G599" s="459">
        <f t="shared" si="64"/>
        <v>50</v>
      </c>
      <c r="H599" s="459">
        <v>592</v>
      </c>
      <c r="I599" s="444">
        <f t="shared" ca="1" si="55"/>
        <v>1919650.9574142979</v>
      </c>
      <c r="J599" s="444">
        <f t="array" ref="J599">IFERROR(INDEX('Retirement Calculator'!J:J,MATCH('Isaac 401k'!N599,'Retirement Calculator'!A:A,0),0),0)</f>
        <v>7896.2379798201846</v>
      </c>
      <c r="K599" s="444">
        <f t="shared" ca="1" si="53"/>
        <v>7965.6446643103227</v>
      </c>
      <c r="L599" s="444">
        <f t="shared" ca="1" si="54"/>
        <v>1919720.364098788</v>
      </c>
      <c r="M599" s="460">
        <f t="shared" si="56"/>
        <v>0.05</v>
      </c>
      <c r="N599" s="464">
        <f t="shared" si="57"/>
        <v>69277</v>
      </c>
    </row>
    <row r="600" spans="7:14" ht="11.25" customHeight="1" x14ac:dyDescent="0.3">
      <c r="G600" s="459">
        <f t="shared" si="64"/>
        <v>50</v>
      </c>
      <c r="H600" s="459">
        <v>593</v>
      </c>
      <c r="I600" s="444">
        <f t="shared" ca="1" si="55"/>
        <v>1919720.364098788</v>
      </c>
      <c r="J600" s="444">
        <f t="array" ref="J600">IFERROR(INDEX('Retirement Calculator'!J:J,MATCH('Isaac 401k'!N600,'Retirement Calculator'!A:A,0),0),0)</f>
        <v>7896.2379798201846</v>
      </c>
      <c r="K600" s="444">
        <f t="shared" ca="1" si="53"/>
        <v>7965.933858829032</v>
      </c>
      <c r="L600" s="444">
        <f t="shared" ca="1" si="54"/>
        <v>1919790.0599777969</v>
      </c>
      <c r="M600" s="460">
        <f t="shared" si="56"/>
        <v>0.05</v>
      </c>
      <c r="N600" s="464">
        <f t="shared" si="57"/>
        <v>69307</v>
      </c>
    </row>
    <row r="601" spans="7:14" ht="11.25" customHeight="1" x14ac:dyDescent="0.3">
      <c r="G601" s="459">
        <f t="shared" si="64"/>
        <v>50</v>
      </c>
      <c r="H601" s="459">
        <v>594</v>
      </c>
      <c r="I601" s="444">
        <f t="shared" ca="1" si="55"/>
        <v>1919790.0599777969</v>
      </c>
      <c r="J601" s="444">
        <f t="array" ref="J601">IFERROR(INDEX('Retirement Calculator'!J:J,MATCH('Isaac 401k'!N601,'Retirement Calculator'!A:A,0),0),0)</f>
        <v>7896.2379798201846</v>
      </c>
      <c r="K601" s="444">
        <f t="shared" ca="1" si="53"/>
        <v>7966.2242583249035</v>
      </c>
      <c r="L601" s="444">
        <f t="shared" ca="1" si="54"/>
        <v>1919860.0462563015</v>
      </c>
      <c r="M601" s="460">
        <f t="shared" si="56"/>
        <v>0.05</v>
      </c>
      <c r="N601" s="464">
        <f t="shared" si="57"/>
        <v>69338</v>
      </c>
    </row>
    <row r="602" spans="7:14" ht="11.25" customHeight="1" x14ac:dyDescent="0.3">
      <c r="G602" s="459">
        <f t="shared" si="64"/>
        <v>50</v>
      </c>
      <c r="H602" s="459">
        <v>595</v>
      </c>
      <c r="I602" s="444">
        <f t="shared" ca="1" si="55"/>
        <v>1919860.0462563015</v>
      </c>
      <c r="J602" s="444">
        <f t="array" ref="J602">IFERROR(INDEX('Retirement Calculator'!J:J,MATCH('Isaac 401k'!N602,'Retirement Calculator'!A:A,0),0),0)</f>
        <v>7896.2379798201846</v>
      </c>
      <c r="K602" s="444">
        <f t="shared" ca="1" si="53"/>
        <v>7966.5158678186717</v>
      </c>
      <c r="L602" s="444">
        <f t="shared" ca="1" si="54"/>
        <v>1919930.3241442998</v>
      </c>
      <c r="M602" s="460">
        <f t="shared" si="56"/>
        <v>0.05</v>
      </c>
      <c r="N602" s="464">
        <f t="shared" si="57"/>
        <v>69368</v>
      </c>
    </row>
    <row r="603" spans="7:14" ht="11.25" customHeight="1" x14ac:dyDescent="0.3">
      <c r="G603" s="459">
        <f t="shared" si="64"/>
        <v>50</v>
      </c>
      <c r="H603" s="459">
        <v>596</v>
      </c>
      <c r="I603" s="444">
        <f t="shared" ca="1" si="55"/>
        <v>1919930.3241442998</v>
      </c>
      <c r="J603" s="444">
        <f t="array" ref="J603">IFERROR(INDEX('Retirement Calculator'!J:J,MATCH('Isaac 401k'!N603,'Retirement Calculator'!A:A,0),0),0)</f>
        <v>7896.2379798201846</v>
      </c>
      <c r="K603" s="444">
        <f t="shared" ca="1" si="53"/>
        <v>7966.8086923519977</v>
      </c>
      <c r="L603" s="444">
        <f t="shared" ca="1" si="54"/>
        <v>1920000.8948568315</v>
      </c>
      <c r="M603" s="460">
        <f t="shared" si="56"/>
        <v>0.05</v>
      </c>
      <c r="N603" s="464">
        <f t="shared" si="57"/>
        <v>69399</v>
      </c>
    </row>
    <row r="604" spans="7:14" ht="11.25" customHeight="1" x14ac:dyDescent="0.3">
      <c r="G604" s="459">
        <f t="shared" si="64"/>
        <v>50</v>
      </c>
      <c r="H604" s="459">
        <v>597</v>
      </c>
      <c r="I604" s="444">
        <f t="shared" ca="1" si="55"/>
        <v>1920000.8948568315</v>
      </c>
      <c r="J604" s="444">
        <f t="array" ref="J604">IFERROR(INDEX('Retirement Calculator'!J:J,MATCH('Isaac 401k'!N604,'Retirement Calculator'!A:A,0),0),0)</f>
        <v>7896.2379798201846</v>
      </c>
      <c r="K604" s="444">
        <f t="shared" ca="1" si="53"/>
        <v>7967.1027369875474</v>
      </c>
      <c r="L604" s="444">
        <f t="shared" ca="1" si="54"/>
        <v>1920071.7596139989</v>
      </c>
      <c r="M604" s="460">
        <f t="shared" si="56"/>
        <v>0.05</v>
      </c>
      <c r="N604" s="464">
        <f t="shared" si="57"/>
        <v>69430</v>
      </c>
    </row>
    <row r="605" spans="7:14" ht="11.25" customHeight="1" x14ac:dyDescent="0.3">
      <c r="G605" s="459">
        <f t="shared" si="64"/>
        <v>50</v>
      </c>
      <c r="H605" s="459">
        <v>598</v>
      </c>
      <c r="I605" s="444">
        <f t="shared" ca="1" si="55"/>
        <v>1920071.7596139989</v>
      </c>
      <c r="J605" s="444">
        <f t="array" ref="J605">IFERROR(INDEX('Retirement Calculator'!J:J,MATCH('Isaac 401k'!N605,'Retirement Calculator'!A:A,0),0),0)</f>
        <v>7896.2379798201846</v>
      </c>
      <c r="K605" s="444">
        <f t="shared" ca="1" si="53"/>
        <v>7967.3980068090777</v>
      </c>
      <c r="L605" s="444">
        <f t="shared" ca="1" si="54"/>
        <v>1920142.9196409879</v>
      </c>
      <c r="M605" s="460">
        <f t="shared" si="56"/>
        <v>0.05</v>
      </c>
      <c r="N605" s="464">
        <f t="shared" si="57"/>
        <v>69458</v>
      </c>
    </row>
    <row r="606" spans="7:14" ht="11.25" customHeight="1" x14ac:dyDescent="0.3">
      <c r="G606" s="459">
        <f t="shared" si="64"/>
        <v>50</v>
      </c>
      <c r="H606" s="459">
        <v>599</v>
      </c>
      <c r="I606" s="444">
        <f t="shared" ca="1" si="55"/>
        <v>1920142.9196409879</v>
      </c>
      <c r="J606" s="444">
        <f t="array" ref="J606">IFERROR(INDEX('Retirement Calculator'!J:J,MATCH('Isaac 401k'!N606,'Retirement Calculator'!A:A,0),0),0)</f>
        <v>7896.2379798201846</v>
      </c>
      <c r="K606" s="444">
        <f t="shared" ca="1" si="53"/>
        <v>7967.6945069215317</v>
      </c>
      <c r="L606" s="444">
        <f t="shared" ca="1" si="54"/>
        <v>1920214.3761680892</v>
      </c>
      <c r="M606" s="460">
        <f t="shared" si="56"/>
        <v>0.05</v>
      </c>
      <c r="N606" s="464">
        <f t="shared" si="57"/>
        <v>69489</v>
      </c>
    </row>
    <row r="607" spans="7:14" ht="11.25" customHeight="1" x14ac:dyDescent="0.3">
      <c r="G607" s="459">
        <f t="shared" si="64"/>
        <v>50</v>
      </c>
      <c r="H607" s="459">
        <v>600</v>
      </c>
      <c r="I607" s="444">
        <f t="shared" ca="1" si="55"/>
        <v>1920214.3761680892</v>
      </c>
      <c r="J607" s="444">
        <f t="array" ref="J607">IFERROR(INDEX('Retirement Calculator'!J:J,MATCH('Isaac 401k'!N607,'Retirement Calculator'!A:A,0),0),0)</f>
        <v>7896.2379798201846</v>
      </c>
      <c r="K607" s="444">
        <f t="shared" ca="1" si="53"/>
        <v>7967.9922424511205</v>
      </c>
      <c r="L607" s="444">
        <f t="shared" ca="1" si="54"/>
        <v>1920286.13043072</v>
      </c>
      <c r="M607" s="460">
        <f t="shared" si="56"/>
        <v>0.05</v>
      </c>
      <c r="N607" s="464">
        <f t="shared" si="57"/>
        <v>69519</v>
      </c>
    </row>
    <row r="608" spans="7:14" ht="11.25" customHeight="1" x14ac:dyDescent="0.3">
      <c r="G608" s="459">
        <f>G607+1</f>
        <v>51</v>
      </c>
      <c r="H608" s="459">
        <v>601</v>
      </c>
      <c r="I608" s="444">
        <f t="shared" ca="1" si="55"/>
        <v>1920286.13043072</v>
      </c>
      <c r="J608" s="444">
        <f t="array" ref="J608">IFERROR(INDEX('Retirement Calculator'!J:J,MATCH('Isaac 401k'!N608,'Retirement Calculator'!A:A,0),0),0)</f>
        <v>7896.2379798201846</v>
      </c>
      <c r="K608" s="444">
        <f t="shared" ca="1" si="53"/>
        <v>7968.291218545417</v>
      </c>
      <c r="L608" s="444">
        <f t="shared" ca="1" si="54"/>
        <v>1920358.1836694453</v>
      </c>
      <c r="M608" s="460">
        <f t="shared" si="56"/>
        <v>0.05</v>
      </c>
      <c r="N608" s="464">
        <f t="shared" si="57"/>
        <v>69550</v>
      </c>
    </row>
    <row r="609" spans="7:14" ht="11.25" customHeight="1" x14ac:dyDescent="0.3">
      <c r="G609" s="459">
        <f t="shared" ref="G609:G619" si="65">G608</f>
        <v>51</v>
      </c>
      <c r="H609" s="459">
        <v>602</v>
      </c>
      <c r="I609" s="444">
        <f t="shared" ca="1" si="55"/>
        <v>1920358.1836694453</v>
      </c>
      <c r="J609" s="444">
        <f t="array" ref="J609">IFERROR(INDEX('Retirement Calculator'!J:J,MATCH('Isaac 401k'!N609,'Retirement Calculator'!A:A,0),0),0)</f>
        <v>7896.2379798201846</v>
      </c>
      <c r="K609" s="444">
        <f t="shared" ca="1" si="53"/>
        <v>7968.5914403734369</v>
      </c>
      <c r="L609" s="444">
        <f t="shared" ca="1" si="54"/>
        <v>1920430.5371299984</v>
      </c>
      <c r="M609" s="460">
        <f t="shared" si="56"/>
        <v>0.05</v>
      </c>
      <c r="N609" s="464">
        <f t="shared" si="57"/>
        <v>69580</v>
      </c>
    </row>
    <row r="610" spans="7:14" ht="11.25" customHeight="1" x14ac:dyDescent="0.3">
      <c r="G610" s="459">
        <f t="shared" si="65"/>
        <v>51</v>
      </c>
      <c r="H610" s="459">
        <v>603</v>
      </c>
      <c r="I610" s="444">
        <f t="shared" ca="1" si="55"/>
        <v>1920430.5371299984</v>
      </c>
      <c r="J610" s="444">
        <f t="array" ref="J610">IFERROR(INDEX('Retirement Calculator'!J:J,MATCH('Isaac 401k'!N610,'Retirement Calculator'!A:A,0),0),0)</f>
        <v>7896.2379798201846</v>
      </c>
      <c r="K610" s="444">
        <f t="shared" ca="1" si="53"/>
        <v>7968.8929131257428</v>
      </c>
      <c r="L610" s="444">
        <f t="shared" ca="1" si="54"/>
        <v>1920503.1920633039</v>
      </c>
      <c r="M610" s="460">
        <f t="shared" si="56"/>
        <v>0.05</v>
      </c>
      <c r="N610" s="464">
        <f t="shared" si="57"/>
        <v>69611</v>
      </c>
    </row>
    <row r="611" spans="7:14" ht="11.25" customHeight="1" x14ac:dyDescent="0.3">
      <c r="G611" s="459">
        <f t="shared" si="65"/>
        <v>51</v>
      </c>
      <c r="H611" s="459">
        <v>604</v>
      </c>
      <c r="I611" s="444">
        <f t="shared" ca="1" si="55"/>
        <v>1920503.1920633039</v>
      </c>
      <c r="J611" s="444">
        <f t="array" ref="J611">IFERROR(INDEX('Retirement Calculator'!J:J,MATCH('Isaac 401k'!N611,'Retirement Calculator'!A:A,0),0),0)</f>
        <v>7896.2379798201846</v>
      </c>
      <c r="K611" s="444">
        <f t="shared" ca="1" si="53"/>
        <v>7969.1956420145143</v>
      </c>
      <c r="L611" s="444">
        <f t="shared" ca="1" si="54"/>
        <v>1920576.1497254982</v>
      </c>
      <c r="M611" s="460">
        <f t="shared" si="56"/>
        <v>0.05</v>
      </c>
      <c r="N611" s="464">
        <f t="shared" si="57"/>
        <v>69642</v>
      </c>
    </row>
    <row r="612" spans="7:14" ht="11.25" customHeight="1" x14ac:dyDescent="0.3">
      <c r="G612" s="459">
        <f t="shared" si="65"/>
        <v>51</v>
      </c>
      <c r="H612" s="459">
        <v>605</v>
      </c>
      <c r="I612" s="444">
        <f t="shared" ca="1" si="55"/>
        <v>1920576.1497254982</v>
      </c>
      <c r="J612" s="444">
        <f t="array" ref="J612">IFERROR(INDEX('Retirement Calculator'!J:J,MATCH('Isaac 401k'!N612,'Retirement Calculator'!A:A,0),0),0)</f>
        <v>7896.2379798201846</v>
      </c>
      <c r="K612" s="444">
        <f t="shared" ca="1" si="53"/>
        <v>7969.4996322736579</v>
      </c>
      <c r="L612" s="444">
        <f t="shared" ca="1" si="54"/>
        <v>1920649.4113779515</v>
      </c>
      <c r="M612" s="460">
        <f t="shared" si="56"/>
        <v>0.05</v>
      </c>
      <c r="N612" s="464">
        <f t="shared" si="57"/>
        <v>69672</v>
      </c>
    </row>
    <row r="613" spans="7:14" ht="11.25" customHeight="1" x14ac:dyDescent="0.3">
      <c r="G613" s="459">
        <f t="shared" si="65"/>
        <v>51</v>
      </c>
      <c r="H613" s="459">
        <v>606</v>
      </c>
      <c r="I613" s="444">
        <f t="shared" ca="1" si="55"/>
        <v>1920649.4113779515</v>
      </c>
      <c r="J613" s="444">
        <f t="array" ref="J613">IFERROR(INDEX('Retirement Calculator'!J:J,MATCH('Isaac 401k'!N613,'Retirement Calculator'!A:A,0),0),0)</f>
        <v>7896.2379798201846</v>
      </c>
      <c r="K613" s="444">
        <f t="shared" ca="1" si="53"/>
        <v>7969.8048891588805</v>
      </c>
      <c r="L613" s="444">
        <f t="shared" ca="1" si="54"/>
        <v>1920722.9782872901</v>
      </c>
      <c r="M613" s="460">
        <f t="shared" si="56"/>
        <v>0.05</v>
      </c>
      <c r="N613" s="464">
        <f t="shared" si="57"/>
        <v>69703</v>
      </c>
    </row>
    <row r="614" spans="7:14" ht="11.25" customHeight="1" x14ac:dyDescent="0.3">
      <c r="G614" s="459">
        <f t="shared" si="65"/>
        <v>51</v>
      </c>
      <c r="H614" s="459">
        <v>607</v>
      </c>
      <c r="I614" s="444">
        <f t="shared" ca="1" si="55"/>
        <v>1920722.9782872901</v>
      </c>
      <c r="J614" s="444">
        <f t="array" ref="J614">IFERROR(INDEX('Retirement Calculator'!J:J,MATCH('Isaac 401k'!N614,'Retirement Calculator'!A:A,0),0),0)</f>
        <v>7896.2379798201846</v>
      </c>
      <c r="K614" s="444">
        <f t="shared" ca="1" si="53"/>
        <v>7970.1114179477909</v>
      </c>
      <c r="L614" s="444">
        <f t="shared" ca="1" si="54"/>
        <v>1920796.8517254177</v>
      </c>
      <c r="M614" s="460">
        <f t="shared" si="56"/>
        <v>0.05</v>
      </c>
      <c r="N614" s="464">
        <f t="shared" si="57"/>
        <v>69733</v>
      </c>
    </row>
    <row r="615" spans="7:14" ht="11.25" customHeight="1" x14ac:dyDescent="0.3">
      <c r="G615" s="459">
        <f t="shared" si="65"/>
        <v>51</v>
      </c>
      <c r="H615" s="459">
        <v>608</v>
      </c>
      <c r="I615" s="444">
        <f t="shared" ca="1" si="55"/>
        <v>1920796.8517254177</v>
      </c>
      <c r="J615" s="444">
        <f t="array" ref="J615">IFERROR(INDEX('Retirement Calculator'!J:J,MATCH('Isaac 401k'!N615,'Retirement Calculator'!A:A,0),0),0)</f>
        <v>7896.2379798201846</v>
      </c>
      <c r="K615" s="444">
        <f t="shared" ca="1" si="53"/>
        <v>7970.419223939989</v>
      </c>
      <c r="L615" s="444">
        <f t="shared" ca="1" si="54"/>
        <v>1920871.0329695374</v>
      </c>
      <c r="M615" s="460">
        <f t="shared" si="56"/>
        <v>0.05</v>
      </c>
      <c r="N615" s="464">
        <f t="shared" si="57"/>
        <v>69764</v>
      </c>
    </row>
    <row r="616" spans="7:14" ht="11.25" customHeight="1" x14ac:dyDescent="0.3">
      <c r="G616" s="459">
        <f t="shared" si="65"/>
        <v>51</v>
      </c>
      <c r="H616" s="459">
        <v>609</v>
      </c>
      <c r="I616" s="444">
        <f t="shared" ca="1" si="55"/>
        <v>1920871.0329695374</v>
      </c>
      <c r="J616" s="444">
        <f t="array" ref="J616">IFERROR(INDEX('Retirement Calculator'!J:J,MATCH('Isaac 401k'!N616,'Retirement Calculator'!A:A,0),0),0)</f>
        <v>7896.2379798201846</v>
      </c>
      <c r="K616" s="444">
        <f t="shared" ca="1" si="53"/>
        <v>7970.728312457155</v>
      </c>
      <c r="L616" s="444">
        <f t="shared" ca="1" si="54"/>
        <v>1920945.5233021744</v>
      </c>
      <c r="M616" s="460">
        <f t="shared" si="56"/>
        <v>0.05</v>
      </c>
      <c r="N616" s="464">
        <f t="shared" si="57"/>
        <v>69795</v>
      </c>
    </row>
    <row r="617" spans="7:14" ht="11.25" customHeight="1" x14ac:dyDescent="0.3">
      <c r="G617" s="459">
        <f t="shared" si="65"/>
        <v>51</v>
      </c>
      <c r="H617" s="459">
        <v>610</v>
      </c>
      <c r="I617" s="444">
        <f t="shared" ca="1" si="55"/>
        <v>1920945.5233021744</v>
      </c>
      <c r="J617" s="444">
        <f t="array" ref="J617">IFERROR(INDEX('Retirement Calculator'!J:J,MATCH('Isaac 401k'!N617,'Retirement Calculator'!A:A,0),0),0)</f>
        <v>7896.2379798201846</v>
      </c>
      <c r="K617" s="444">
        <f t="shared" ca="1" si="53"/>
        <v>7971.0386888431422</v>
      </c>
      <c r="L617" s="444">
        <f t="shared" ca="1" si="54"/>
        <v>1921020.3240111973</v>
      </c>
      <c r="M617" s="460">
        <f t="shared" si="56"/>
        <v>0.05</v>
      </c>
      <c r="N617" s="464">
        <f t="shared" si="57"/>
        <v>69823</v>
      </c>
    </row>
    <row r="618" spans="7:14" ht="11.25" customHeight="1" x14ac:dyDescent="0.3">
      <c r="G618" s="459">
        <f t="shared" si="65"/>
        <v>51</v>
      </c>
      <c r="H618" s="459">
        <v>611</v>
      </c>
      <c r="I618" s="444">
        <f t="shared" ca="1" si="55"/>
        <v>1921020.3240111973</v>
      </c>
      <c r="J618" s="444">
        <f t="array" ref="J618">IFERROR(INDEX('Retirement Calculator'!J:J,MATCH('Isaac 401k'!N618,'Retirement Calculator'!A:A,0),0),0)</f>
        <v>7896.2379798201846</v>
      </c>
      <c r="K618" s="444">
        <f t="shared" ca="1" si="53"/>
        <v>7971.3503584640712</v>
      </c>
      <c r="L618" s="444">
        <f t="shared" ca="1" si="54"/>
        <v>1921095.4363898411</v>
      </c>
      <c r="M618" s="460">
        <f t="shared" si="56"/>
        <v>0.05</v>
      </c>
      <c r="N618" s="464">
        <f t="shared" si="57"/>
        <v>69854</v>
      </c>
    </row>
    <row r="619" spans="7:14" ht="11.25" customHeight="1" x14ac:dyDescent="0.3">
      <c r="G619" s="459">
        <f t="shared" si="65"/>
        <v>51</v>
      </c>
      <c r="H619" s="459">
        <v>612</v>
      </c>
      <c r="I619" s="444">
        <f t="shared" ca="1" si="55"/>
        <v>1921095.4363898411</v>
      </c>
      <c r="J619" s="444">
        <f t="array" ref="J619">IFERROR(INDEX('Retirement Calculator'!J:J,MATCH('Isaac 401k'!N619,'Retirement Calculator'!A:A,0),0),0)</f>
        <v>7896.2379798201846</v>
      </c>
      <c r="K619" s="444">
        <f t="shared" ca="1" si="53"/>
        <v>7971.6633267084189</v>
      </c>
      <c r="L619" s="444">
        <f t="shared" ca="1" si="54"/>
        <v>1921170.8617367293</v>
      </c>
      <c r="M619" s="460">
        <f t="shared" si="56"/>
        <v>0.05</v>
      </c>
      <c r="N619" s="464">
        <f t="shared" si="57"/>
        <v>69884</v>
      </c>
    </row>
    <row r="620" spans="7:14" ht="11.25" customHeight="1" x14ac:dyDescent="0.3">
      <c r="G620" s="459">
        <f>G619+1</f>
        <v>52</v>
      </c>
      <c r="H620" s="459">
        <v>613</v>
      </c>
      <c r="I620" s="444">
        <f t="shared" ca="1" si="55"/>
        <v>1921170.8617367293</v>
      </c>
      <c r="J620" s="444">
        <f t="array" ref="J620">IFERROR(INDEX('Retirement Calculator'!J:J,MATCH('Isaac 401k'!N620,'Retirement Calculator'!A:A,0),0),0)</f>
        <v>7896.2379798201846</v>
      </c>
      <c r="K620" s="444">
        <f t="shared" ca="1" si="53"/>
        <v>7971.9775989871223</v>
      </c>
      <c r="L620" s="444">
        <f t="shared" ca="1" si="54"/>
        <v>1921246.6013558961</v>
      </c>
      <c r="M620" s="460">
        <f t="shared" si="56"/>
        <v>0.05</v>
      </c>
      <c r="N620" s="464">
        <f t="shared" si="57"/>
        <v>69915</v>
      </c>
    </row>
    <row r="621" spans="7:14" ht="11.25" customHeight="1" x14ac:dyDescent="0.3">
      <c r="G621" s="459">
        <f t="shared" ref="G621:G631" si="66">G620</f>
        <v>52</v>
      </c>
      <c r="H621" s="459">
        <v>614</v>
      </c>
      <c r="I621" s="444">
        <f t="shared" ca="1" si="55"/>
        <v>1921246.6013558961</v>
      </c>
      <c r="J621" s="444">
        <f t="array" ref="J621">IFERROR(INDEX('Retirement Calculator'!J:J,MATCH('Isaac 401k'!N621,'Retirement Calculator'!A:A,0),0),0)</f>
        <v>7896.2379798201846</v>
      </c>
      <c r="K621" s="444">
        <f t="shared" ca="1" si="53"/>
        <v>7972.293180733649</v>
      </c>
      <c r="L621" s="444">
        <f t="shared" ca="1" si="54"/>
        <v>1921322.6565568096</v>
      </c>
      <c r="M621" s="460">
        <f t="shared" si="56"/>
        <v>0.05</v>
      </c>
      <c r="N621" s="464">
        <f t="shared" si="57"/>
        <v>69945</v>
      </c>
    </row>
    <row r="622" spans="7:14" ht="11.25" customHeight="1" x14ac:dyDescent="0.3">
      <c r="G622" s="459">
        <f t="shared" si="66"/>
        <v>52</v>
      </c>
      <c r="H622" s="459">
        <v>615</v>
      </c>
      <c r="I622" s="444">
        <f t="shared" ca="1" si="55"/>
        <v>1921322.6565568096</v>
      </c>
      <c r="J622" s="444">
        <f t="array" ref="J622">IFERROR(INDEX('Retirement Calculator'!J:J,MATCH('Isaac 401k'!N622,'Retirement Calculator'!A:A,0),0),0)</f>
        <v>7896.2379798201846</v>
      </c>
      <c r="K622" s="444">
        <f t="shared" ca="1" si="53"/>
        <v>7972.6100774041224</v>
      </c>
      <c r="L622" s="444">
        <f t="shared" ca="1" si="54"/>
        <v>1921399.0286543935</v>
      </c>
      <c r="M622" s="460">
        <f t="shared" si="56"/>
        <v>0.05</v>
      </c>
      <c r="N622" s="464">
        <f t="shared" si="57"/>
        <v>69976</v>
      </c>
    </row>
    <row r="623" spans="7:14" ht="11.25" customHeight="1" x14ac:dyDescent="0.3">
      <c r="G623" s="459">
        <f t="shared" si="66"/>
        <v>52</v>
      </c>
      <c r="H623" s="459">
        <v>616</v>
      </c>
      <c r="I623" s="444">
        <f t="shared" ca="1" si="55"/>
        <v>1921399.0286543935</v>
      </c>
      <c r="J623" s="444">
        <f t="array" ref="J623">IFERROR(INDEX('Retirement Calculator'!J:J,MATCH('Isaac 401k'!N623,'Retirement Calculator'!A:A,0),0),0)</f>
        <v>7896.2379798201846</v>
      </c>
      <c r="K623" s="444">
        <f t="shared" ca="1" si="53"/>
        <v>7972.9282944773877</v>
      </c>
      <c r="L623" s="444">
        <f t="shared" ca="1" si="54"/>
        <v>1921475.7189690506</v>
      </c>
      <c r="M623" s="460">
        <f t="shared" si="56"/>
        <v>0.05</v>
      </c>
      <c r="N623" s="464">
        <f t="shared" si="57"/>
        <v>70007</v>
      </c>
    </row>
    <row r="624" spans="7:14" ht="11.25" customHeight="1" x14ac:dyDescent="0.3">
      <c r="G624" s="459">
        <f t="shared" si="66"/>
        <v>52</v>
      </c>
      <c r="H624" s="459">
        <v>617</v>
      </c>
      <c r="I624" s="444">
        <f t="shared" ca="1" si="55"/>
        <v>1921475.7189690506</v>
      </c>
      <c r="J624" s="444">
        <f t="array" ref="J624">IFERROR(INDEX('Retirement Calculator'!J:J,MATCH('Isaac 401k'!N624,'Retirement Calculator'!A:A,0),0),0)</f>
        <v>7896.2379798201846</v>
      </c>
      <c r="K624" s="444">
        <f t="shared" ca="1" si="53"/>
        <v>7973.2478374551274</v>
      </c>
      <c r="L624" s="444">
        <f t="shared" ca="1" si="54"/>
        <v>1921552.7288266853</v>
      </c>
      <c r="M624" s="460">
        <f t="shared" si="56"/>
        <v>0.05</v>
      </c>
      <c r="N624" s="464">
        <f t="shared" si="57"/>
        <v>70037</v>
      </c>
    </row>
    <row r="625" spans="7:14" ht="11.25" customHeight="1" x14ac:dyDescent="0.3">
      <c r="G625" s="459">
        <f t="shared" si="66"/>
        <v>52</v>
      </c>
      <c r="H625" s="459">
        <v>618</v>
      </c>
      <c r="I625" s="444">
        <f t="shared" ca="1" si="55"/>
        <v>1921552.7288266853</v>
      </c>
      <c r="J625" s="444">
        <f t="array" ref="J625">IFERROR(INDEX('Retirement Calculator'!J:J,MATCH('Isaac 401k'!N625,'Retirement Calculator'!A:A,0),0),0)</f>
        <v>7896.2379798201846</v>
      </c>
      <c r="K625" s="444">
        <f t="shared" ca="1" si="53"/>
        <v>7973.568711861938</v>
      </c>
      <c r="L625" s="444">
        <f t="shared" ca="1" si="54"/>
        <v>1921630.0595587271</v>
      </c>
      <c r="M625" s="460">
        <f t="shared" si="56"/>
        <v>0.05</v>
      </c>
      <c r="N625" s="464">
        <f t="shared" si="57"/>
        <v>70068</v>
      </c>
    </row>
    <row r="626" spans="7:14" ht="11.25" customHeight="1" x14ac:dyDescent="0.3">
      <c r="G626" s="459">
        <f t="shared" si="66"/>
        <v>52</v>
      </c>
      <c r="H626" s="459">
        <v>619</v>
      </c>
      <c r="I626" s="444">
        <f t="shared" ca="1" si="55"/>
        <v>1921630.0595587271</v>
      </c>
      <c r="J626" s="444">
        <f t="array" ref="J626">IFERROR(INDEX('Retirement Calculator'!J:J,MATCH('Isaac 401k'!N626,'Retirement Calculator'!A:A,0),0),0)</f>
        <v>7896.2379798201846</v>
      </c>
      <c r="K626" s="444">
        <f t="shared" ca="1" si="53"/>
        <v>7973.8909232454453</v>
      </c>
      <c r="L626" s="444">
        <f t="shared" ca="1" si="54"/>
        <v>1921707.7125021522</v>
      </c>
      <c r="M626" s="460">
        <f t="shared" si="56"/>
        <v>0.05</v>
      </c>
      <c r="N626" s="464">
        <f t="shared" si="57"/>
        <v>70098</v>
      </c>
    </row>
    <row r="627" spans="7:14" ht="11.25" customHeight="1" x14ac:dyDescent="0.3">
      <c r="G627" s="459">
        <f t="shared" si="66"/>
        <v>52</v>
      </c>
      <c r="H627" s="459">
        <v>620</v>
      </c>
      <c r="I627" s="444">
        <f t="shared" ca="1" si="55"/>
        <v>1921707.7125021522</v>
      </c>
      <c r="J627" s="444">
        <f t="array" ref="J627">IFERROR(INDEX('Retirement Calculator'!J:J,MATCH('Isaac 401k'!N627,'Retirement Calculator'!A:A,0),0),0)</f>
        <v>7896.2379798201846</v>
      </c>
      <c r="K627" s="444">
        <f t="shared" ca="1" si="53"/>
        <v>7974.2144771763824</v>
      </c>
      <c r="L627" s="444">
        <f t="shared" ca="1" si="54"/>
        <v>1921785.6889995083</v>
      </c>
      <c r="M627" s="460">
        <f t="shared" si="56"/>
        <v>0.05</v>
      </c>
      <c r="N627" s="464">
        <f t="shared" si="57"/>
        <v>70129</v>
      </c>
    </row>
    <row r="628" spans="7:14" ht="11.25" customHeight="1" x14ac:dyDescent="0.3">
      <c r="G628" s="459">
        <f t="shared" si="66"/>
        <v>52</v>
      </c>
      <c r="H628" s="459">
        <v>621</v>
      </c>
      <c r="I628" s="444">
        <f t="shared" ca="1" si="55"/>
        <v>1921785.6889995083</v>
      </c>
      <c r="J628" s="444">
        <f t="array" ref="J628">IFERROR(INDEX('Retirement Calculator'!J:J,MATCH('Isaac 401k'!N628,'Retirement Calculator'!A:A,0),0),0)</f>
        <v>7896.2379798201846</v>
      </c>
      <c r="K628" s="444">
        <f t="shared" ca="1" si="53"/>
        <v>7974.5393792487002</v>
      </c>
      <c r="L628" s="444">
        <f t="shared" ca="1" si="54"/>
        <v>1921863.9903989367</v>
      </c>
      <c r="M628" s="460">
        <f t="shared" si="56"/>
        <v>0.05</v>
      </c>
      <c r="N628" s="464">
        <f t="shared" si="57"/>
        <v>70160</v>
      </c>
    </row>
    <row r="629" spans="7:14" ht="11.25" customHeight="1" x14ac:dyDescent="0.3">
      <c r="G629" s="459">
        <f t="shared" si="66"/>
        <v>52</v>
      </c>
      <c r="H629" s="459">
        <v>622</v>
      </c>
      <c r="I629" s="444">
        <f t="shared" ca="1" si="55"/>
        <v>1921863.9903989367</v>
      </c>
      <c r="J629" s="444">
        <f t="array" ref="J629">IFERROR(INDEX('Retirement Calculator'!J:J,MATCH('Isaac 401k'!N629,'Retirement Calculator'!A:A,0),0),0)</f>
        <v>7896.2379798201846</v>
      </c>
      <c r="K629" s="444">
        <f t="shared" ca="1" si="53"/>
        <v>7974.8656350796518</v>
      </c>
      <c r="L629" s="444">
        <f t="shared" ca="1" si="54"/>
        <v>1921942.618054196</v>
      </c>
      <c r="M629" s="460">
        <f t="shared" si="56"/>
        <v>0.05</v>
      </c>
      <c r="N629" s="464">
        <f t="shared" si="57"/>
        <v>70189</v>
      </c>
    </row>
    <row r="630" spans="7:14" ht="11.25" customHeight="1" x14ac:dyDescent="0.3">
      <c r="G630" s="459">
        <f t="shared" si="66"/>
        <v>52</v>
      </c>
      <c r="H630" s="459">
        <v>623</v>
      </c>
      <c r="I630" s="444">
        <f t="shared" ca="1" si="55"/>
        <v>1921942.618054196</v>
      </c>
      <c r="J630" s="444">
        <f t="array" ref="J630">IFERROR(INDEX('Retirement Calculator'!J:J,MATCH('Isaac 401k'!N630,'Retirement Calculator'!A:A,0),0),0)</f>
        <v>7896.2379798201846</v>
      </c>
      <c r="K630" s="444">
        <f t="shared" ca="1" si="53"/>
        <v>7975.1932503098978</v>
      </c>
      <c r="L630" s="444">
        <f t="shared" ca="1" si="54"/>
        <v>1922021.5733246857</v>
      </c>
      <c r="M630" s="460">
        <f t="shared" si="56"/>
        <v>0.05</v>
      </c>
      <c r="N630" s="464">
        <f t="shared" si="57"/>
        <v>70220</v>
      </c>
    </row>
    <row r="631" spans="7:14" ht="11.25" customHeight="1" x14ac:dyDescent="0.3">
      <c r="G631" s="459">
        <f t="shared" si="66"/>
        <v>52</v>
      </c>
      <c r="H631" s="459">
        <v>624</v>
      </c>
      <c r="I631" s="444">
        <f t="shared" ca="1" si="55"/>
        <v>1922021.5733246857</v>
      </c>
      <c r="J631" s="444">
        <f t="array" ref="J631">IFERROR(INDEX('Retirement Calculator'!J:J,MATCH('Isaac 401k'!N631,'Retirement Calculator'!A:A,0),0),0)</f>
        <v>7896.2379798201846</v>
      </c>
      <c r="K631" s="444">
        <f t="shared" ca="1" si="53"/>
        <v>7975.5222306036048</v>
      </c>
      <c r="L631" s="444">
        <f t="shared" ca="1" si="54"/>
        <v>1922100.857575469</v>
      </c>
      <c r="M631" s="460">
        <f t="shared" si="56"/>
        <v>0.05</v>
      </c>
      <c r="N631" s="464">
        <f t="shared" si="57"/>
        <v>70250</v>
      </c>
    </row>
    <row r="632" spans="7:14" ht="11.25" customHeight="1" x14ac:dyDescent="0.3">
      <c r="G632" s="459">
        <f>G631+1</f>
        <v>53</v>
      </c>
      <c r="H632" s="459">
        <v>625</v>
      </c>
      <c r="I632" s="444">
        <f t="shared" ca="1" si="55"/>
        <v>1922100.857575469</v>
      </c>
      <c r="J632" s="444">
        <f t="array" ref="J632">IFERROR(INDEX('Retirement Calculator'!J:J,MATCH('Isaac 401k'!N632,'Retirement Calculator'!A:A,0),0),0)</f>
        <v>7896.2379798201846</v>
      </c>
      <c r="K632" s="444">
        <f t="shared" ca="1" si="53"/>
        <v>7975.8525816485362</v>
      </c>
      <c r="L632" s="444">
        <f t="shared" ca="1" si="54"/>
        <v>1922180.4721772973</v>
      </c>
      <c r="M632" s="460">
        <f t="shared" si="56"/>
        <v>0.05</v>
      </c>
      <c r="N632" s="464">
        <f t="shared" si="57"/>
        <v>70281</v>
      </c>
    </row>
    <row r="633" spans="7:14" ht="11.25" customHeight="1" x14ac:dyDescent="0.3">
      <c r="G633" s="459">
        <f t="shared" ref="G633:G643" si="67">G632</f>
        <v>53</v>
      </c>
      <c r="H633" s="459">
        <v>626</v>
      </c>
      <c r="I633" s="444">
        <f t="shared" ca="1" si="55"/>
        <v>1922180.4721772973</v>
      </c>
      <c r="J633" s="444">
        <f t="array" ref="J633">IFERROR(INDEX('Retirement Calculator'!J:J,MATCH('Isaac 401k'!N633,'Retirement Calculator'!A:A,0),0),0)</f>
        <v>7896.2379798201846</v>
      </c>
      <c r="K633" s="444">
        <f t="shared" ca="1" si="53"/>
        <v>7976.1843091561541</v>
      </c>
      <c r="L633" s="444">
        <f t="shared" ca="1" si="54"/>
        <v>1922260.4185066333</v>
      </c>
      <c r="M633" s="460">
        <f t="shared" si="56"/>
        <v>0.05</v>
      </c>
      <c r="N633" s="464">
        <f t="shared" si="57"/>
        <v>70311</v>
      </c>
    </row>
    <row r="634" spans="7:14" ht="11.25" customHeight="1" x14ac:dyDescent="0.3">
      <c r="G634" s="459">
        <f t="shared" si="67"/>
        <v>53</v>
      </c>
      <c r="H634" s="459">
        <v>627</v>
      </c>
      <c r="I634" s="444">
        <f t="shared" ca="1" si="55"/>
        <v>1922260.4185066333</v>
      </c>
      <c r="J634" s="444">
        <f t="array" ref="J634">IFERROR(INDEX('Retirement Calculator'!J:J,MATCH('Isaac 401k'!N634,'Retirement Calculator'!A:A,0),0),0)</f>
        <v>7896.2379798201846</v>
      </c>
      <c r="K634" s="444">
        <f t="shared" ca="1" si="53"/>
        <v>7976.5174188617211</v>
      </c>
      <c r="L634" s="444">
        <f t="shared" ca="1" si="54"/>
        <v>1922340.6979456746</v>
      </c>
      <c r="M634" s="460">
        <f t="shared" si="56"/>
        <v>0.05</v>
      </c>
      <c r="N634" s="464">
        <f t="shared" si="57"/>
        <v>70342</v>
      </c>
    </row>
    <row r="635" spans="7:14" ht="11.25" customHeight="1" x14ac:dyDescent="0.3">
      <c r="G635" s="459">
        <f t="shared" si="67"/>
        <v>53</v>
      </c>
      <c r="H635" s="459">
        <v>628</v>
      </c>
      <c r="I635" s="444">
        <f t="shared" ca="1" si="55"/>
        <v>1922340.6979456746</v>
      </c>
      <c r="J635" s="444">
        <f t="array" ref="J635">IFERROR(INDEX('Retirement Calculator'!J:J,MATCH('Isaac 401k'!N635,'Retirement Calculator'!A:A,0),0),0)</f>
        <v>7896.2379798201846</v>
      </c>
      <c r="K635" s="444">
        <f t="shared" ca="1" si="53"/>
        <v>7976.8519165243933</v>
      </c>
      <c r="L635" s="444">
        <f t="shared" ca="1" si="54"/>
        <v>1922421.3118823788</v>
      </c>
      <c r="M635" s="460">
        <f t="shared" si="56"/>
        <v>0.05</v>
      </c>
      <c r="N635" s="464">
        <f t="shared" si="57"/>
        <v>70373</v>
      </c>
    </row>
    <row r="636" spans="7:14" ht="11.25" customHeight="1" x14ac:dyDescent="0.3">
      <c r="G636" s="459">
        <f t="shared" si="67"/>
        <v>53</v>
      </c>
      <c r="H636" s="459">
        <v>629</v>
      </c>
      <c r="I636" s="444">
        <f t="shared" ca="1" si="55"/>
        <v>1922421.3118823788</v>
      </c>
      <c r="J636" s="444">
        <f t="array" ref="J636">IFERROR(INDEX('Retirement Calculator'!J:J,MATCH('Isaac 401k'!N636,'Retirement Calculator'!A:A,0),0),0)</f>
        <v>7896.2379798201846</v>
      </c>
      <c r="K636" s="444">
        <f t="shared" ca="1" si="53"/>
        <v>7977.1878079273274</v>
      </c>
      <c r="L636" s="444">
        <f t="shared" ca="1" si="54"/>
        <v>1922502.2617104859</v>
      </c>
      <c r="M636" s="460">
        <f t="shared" si="56"/>
        <v>0.05</v>
      </c>
      <c r="N636" s="464">
        <f t="shared" si="57"/>
        <v>70403</v>
      </c>
    </row>
    <row r="637" spans="7:14" ht="11.25" customHeight="1" x14ac:dyDescent="0.3">
      <c r="G637" s="459">
        <f t="shared" si="67"/>
        <v>53</v>
      </c>
      <c r="H637" s="459">
        <v>630</v>
      </c>
      <c r="I637" s="444">
        <f t="shared" ca="1" si="55"/>
        <v>1922502.2617104859</v>
      </c>
      <c r="J637" s="444">
        <f t="array" ref="J637">IFERROR(INDEX('Retirement Calculator'!J:J,MATCH('Isaac 401k'!N637,'Retirement Calculator'!A:A,0),0),0)</f>
        <v>7896.2379798201846</v>
      </c>
      <c r="K637" s="444">
        <f t="shared" ca="1" si="53"/>
        <v>7977.5250988777734</v>
      </c>
      <c r="L637" s="444">
        <f t="shared" ca="1" si="54"/>
        <v>1922583.5488295434</v>
      </c>
      <c r="M637" s="460">
        <f t="shared" si="56"/>
        <v>0.05</v>
      </c>
      <c r="N637" s="464">
        <f t="shared" si="57"/>
        <v>70434</v>
      </c>
    </row>
    <row r="638" spans="7:14" ht="11.25" customHeight="1" x14ac:dyDescent="0.3">
      <c r="G638" s="459">
        <f t="shared" si="67"/>
        <v>53</v>
      </c>
      <c r="H638" s="459">
        <v>631</v>
      </c>
      <c r="I638" s="444">
        <f t="shared" ca="1" si="55"/>
        <v>1922583.5488295434</v>
      </c>
      <c r="J638" s="444">
        <f t="array" ref="J638">IFERROR(INDEX('Retirement Calculator'!J:J,MATCH('Isaac 401k'!N638,'Retirement Calculator'!A:A,0),0),0)</f>
        <v>7896.2379798201846</v>
      </c>
      <c r="K638" s="444">
        <f t="shared" ca="1" si="53"/>
        <v>7977.8637952071795</v>
      </c>
      <c r="L638" s="444">
        <f t="shared" ca="1" si="54"/>
        <v>1922665.1746449303</v>
      </c>
      <c r="M638" s="460">
        <f t="shared" si="56"/>
        <v>0.05</v>
      </c>
      <c r="N638" s="464">
        <f t="shared" si="57"/>
        <v>70464</v>
      </c>
    </row>
    <row r="639" spans="7:14" ht="11.25" customHeight="1" x14ac:dyDescent="0.3">
      <c r="G639" s="459">
        <f t="shared" si="67"/>
        <v>53</v>
      </c>
      <c r="H639" s="459">
        <v>632</v>
      </c>
      <c r="I639" s="444">
        <f t="shared" ca="1" si="55"/>
        <v>1922665.1746449303</v>
      </c>
      <c r="J639" s="444">
        <f t="array" ref="J639">IFERROR(INDEX('Retirement Calculator'!J:J,MATCH('Isaac 401k'!N639,'Retirement Calculator'!A:A,0),0),0)</f>
        <v>7896.2379798201846</v>
      </c>
      <c r="K639" s="444">
        <f t="shared" ca="1" si="53"/>
        <v>7978.2039027712926</v>
      </c>
      <c r="L639" s="444">
        <f t="shared" ca="1" si="54"/>
        <v>1922747.1405678813</v>
      </c>
      <c r="M639" s="460">
        <f t="shared" si="56"/>
        <v>0.05</v>
      </c>
      <c r="N639" s="464">
        <f t="shared" si="57"/>
        <v>70495</v>
      </c>
    </row>
    <row r="640" spans="7:14" ht="11.25" customHeight="1" x14ac:dyDescent="0.3">
      <c r="G640" s="459">
        <f t="shared" si="67"/>
        <v>53</v>
      </c>
      <c r="H640" s="459">
        <v>633</v>
      </c>
      <c r="I640" s="444">
        <f t="shared" ca="1" si="55"/>
        <v>1922747.1405678813</v>
      </c>
      <c r="J640" s="444">
        <f t="array" ref="J640">IFERROR(INDEX('Retirement Calculator'!J:J,MATCH('Isaac 401k'!N640,'Retirement Calculator'!A:A,0),0),0)</f>
        <v>7896.2379798201846</v>
      </c>
      <c r="K640" s="444">
        <f t="shared" ca="1" si="53"/>
        <v>7978.5454274502536</v>
      </c>
      <c r="L640" s="444">
        <f t="shared" ca="1" si="54"/>
        <v>1922829.4480155113</v>
      </c>
      <c r="M640" s="460">
        <f t="shared" si="56"/>
        <v>0.05</v>
      </c>
      <c r="N640" s="464">
        <f t="shared" si="57"/>
        <v>70526</v>
      </c>
    </row>
    <row r="641" spans="7:14" ht="11.25" customHeight="1" x14ac:dyDescent="0.3">
      <c r="G641" s="459">
        <f t="shared" si="67"/>
        <v>53</v>
      </c>
      <c r="H641" s="459">
        <v>634</v>
      </c>
      <c r="I641" s="444">
        <f t="shared" ca="1" si="55"/>
        <v>1922829.4480155113</v>
      </c>
      <c r="J641" s="444">
        <f t="array" ref="J641">IFERROR(INDEX('Retirement Calculator'!J:J,MATCH('Isaac 401k'!N641,'Retirement Calculator'!A:A,0),0),0)</f>
        <v>7896.2379798201846</v>
      </c>
      <c r="K641" s="444">
        <f t="shared" ca="1" si="53"/>
        <v>7978.8883751487119</v>
      </c>
      <c r="L641" s="444">
        <f t="shared" ca="1" si="54"/>
        <v>1922912.0984108397</v>
      </c>
      <c r="M641" s="460">
        <f t="shared" si="56"/>
        <v>0.05</v>
      </c>
      <c r="N641" s="464">
        <f t="shared" si="57"/>
        <v>70554</v>
      </c>
    </row>
    <row r="642" spans="7:14" ht="11.25" customHeight="1" x14ac:dyDescent="0.3">
      <c r="G642" s="459">
        <f t="shared" si="67"/>
        <v>53</v>
      </c>
      <c r="H642" s="459">
        <v>635</v>
      </c>
      <c r="I642" s="444">
        <f t="shared" ca="1" si="55"/>
        <v>1922912.0984108397</v>
      </c>
      <c r="J642" s="444">
        <f t="array" ref="J642">IFERROR(INDEX('Retirement Calculator'!J:J,MATCH('Isaac 401k'!N642,'Retirement Calculator'!A:A,0),0),0)</f>
        <v>7896.2379798201846</v>
      </c>
      <c r="K642" s="444">
        <f t="shared" ca="1" si="53"/>
        <v>7979.2327517959129</v>
      </c>
      <c r="L642" s="444">
        <f t="shared" ca="1" si="54"/>
        <v>1922995.0931828155</v>
      </c>
      <c r="M642" s="460">
        <f t="shared" si="56"/>
        <v>0.05</v>
      </c>
      <c r="N642" s="464">
        <f t="shared" si="57"/>
        <v>70585</v>
      </c>
    </row>
    <row r="643" spans="7:14" ht="11.25" customHeight="1" x14ac:dyDescent="0.3">
      <c r="G643" s="459">
        <f t="shared" si="67"/>
        <v>53</v>
      </c>
      <c r="H643" s="459">
        <v>636</v>
      </c>
      <c r="I643" s="444">
        <f t="shared" ca="1" si="55"/>
        <v>1922995.0931828155</v>
      </c>
      <c r="J643" s="444">
        <f t="array" ref="J643">IFERROR(INDEX('Retirement Calculator'!J:J,MATCH('Isaac 401k'!N643,'Retirement Calculator'!A:A,0),0),0)</f>
        <v>7896.2379798201846</v>
      </c>
      <c r="K643" s="444">
        <f t="shared" ca="1" si="53"/>
        <v>7979.5785633458136</v>
      </c>
      <c r="L643" s="444">
        <f t="shared" ca="1" si="54"/>
        <v>1923078.4337663411</v>
      </c>
      <c r="M643" s="460">
        <f t="shared" si="56"/>
        <v>0.05</v>
      </c>
      <c r="N643" s="464">
        <f t="shared" si="57"/>
        <v>70615</v>
      </c>
    </row>
    <row r="644" spans="7:14" ht="11.25" customHeight="1" x14ac:dyDescent="0.3">
      <c r="G644" s="459">
        <f>G643+1</f>
        <v>54</v>
      </c>
      <c r="H644" s="459">
        <v>637</v>
      </c>
      <c r="I644" s="444">
        <f t="shared" ca="1" si="55"/>
        <v>1923078.4337663411</v>
      </c>
      <c r="J644" s="444">
        <f t="array" ref="J644">IFERROR(INDEX('Retirement Calculator'!J:J,MATCH('Isaac 401k'!N644,'Retirement Calculator'!A:A,0),0),0)</f>
        <v>7896.2379798201846</v>
      </c>
      <c r="K644" s="444">
        <f t="shared" ca="1" si="53"/>
        <v>7979.9258157771701</v>
      </c>
      <c r="L644" s="444">
        <f t="shared" ca="1" si="54"/>
        <v>1923162.121602298</v>
      </c>
      <c r="M644" s="460">
        <f t="shared" si="56"/>
        <v>0.05</v>
      </c>
      <c r="N644" s="464">
        <f t="shared" si="57"/>
        <v>70646</v>
      </c>
    </row>
    <row r="645" spans="7:14" ht="11.25" customHeight="1" x14ac:dyDescent="0.3">
      <c r="G645" s="459">
        <f t="shared" ref="G645:G655" si="68">G644</f>
        <v>54</v>
      </c>
      <c r="H645" s="459">
        <v>638</v>
      </c>
      <c r="I645" s="444">
        <f t="shared" ca="1" si="55"/>
        <v>1923162.121602298</v>
      </c>
      <c r="J645" s="444">
        <f t="array" ref="J645">IFERROR(INDEX('Retirement Calculator'!J:J,MATCH('Isaac 401k'!N645,'Retirement Calculator'!A:A,0),0),0)</f>
        <v>7896.2379798201846</v>
      </c>
      <c r="K645" s="444">
        <f t="shared" ca="1" si="53"/>
        <v>7980.2745150936571</v>
      </c>
      <c r="L645" s="444">
        <f t="shared" ca="1" si="54"/>
        <v>1923246.1581375715</v>
      </c>
      <c r="M645" s="460">
        <f t="shared" si="56"/>
        <v>0.05</v>
      </c>
      <c r="N645" s="464">
        <f t="shared" si="57"/>
        <v>70676</v>
      </c>
    </row>
    <row r="646" spans="7:14" ht="11.25" customHeight="1" x14ac:dyDescent="0.3">
      <c r="G646" s="459">
        <f t="shared" si="68"/>
        <v>54</v>
      </c>
      <c r="H646" s="459">
        <v>639</v>
      </c>
      <c r="I646" s="444">
        <f t="shared" ca="1" si="55"/>
        <v>1923246.1581375715</v>
      </c>
      <c r="J646" s="444">
        <f t="array" ref="J646">IFERROR(INDEX('Retirement Calculator'!J:J,MATCH('Isaac 401k'!N646,'Retirement Calculator'!A:A,0),0),0)</f>
        <v>7896.2379798201846</v>
      </c>
      <c r="K646" s="444">
        <f t="shared" ca="1" si="53"/>
        <v>7980.6246673239639</v>
      </c>
      <c r="L646" s="444">
        <f t="shared" ca="1" si="54"/>
        <v>1923330.5448250752</v>
      </c>
      <c r="M646" s="460">
        <f t="shared" si="56"/>
        <v>0.05</v>
      </c>
      <c r="N646" s="464">
        <f t="shared" si="57"/>
        <v>70707</v>
      </c>
    </row>
    <row r="647" spans="7:14" ht="11.25" customHeight="1" x14ac:dyDescent="0.3">
      <c r="G647" s="459">
        <f t="shared" si="68"/>
        <v>54</v>
      </c>
      <c r="H647" s="459">
        <v>640</v>
      </c>
      <c r="I647" s="444">
        <f t="shared" ca="1" si="55"/>
        <v>1923330.5448250752</v>
      </c>
      <c r="J647" s="444">
        <f t="array" ref="J647">IFERROR(INDEX('Retirement Calculator'!J:J,MATCH('Isaac 401k'!N647,'Retirement Calculator'!A:A,0),0),0)</f>
        <v>7896.2379798201846</v>
      </c>
      <c r="K647" s="444">
        <f t="shared" ca="1" si="53"/>
        <v>7980.9762785218954</v>
      </c>
      <c r="L647" s="444">
        <f t="shared" ca="1" si="54"/>
        <v>1923415.2831237768</v>
      </c>
      <c r="M647" s="460">
        <f t="shared" si="56"/>
        <v>0.05</v>
      </c>
      <c r="N647" s="464">
        <f t="shared" si="57"/>
        <v>70738</v>
      </c>
    </row>
    <row r="648" spans="7:14" ht="11.25" customHeight="1" x14ac:dyDescent="0.3">
      <c r="G648" s="459">
        <f t="shared" si="68"/>
        <v>54</v>
      </c>
      <c r="H648" s="459">
        <v>641</v>
      </c>
      <c r="I648" s="444">
        <f t="shared" ca="1" si="55"/>
        <v>1923415.2831237768</v>
      </c>
      <c r="J648" s="444">
        <f t="array" ref="J648">IFERROR(INDEX('Retirement Calculator'!J:J,MATCH('Isaac 401k'!N648,'Retirement Calculator'!A:A,0),0),0)</f>
        <v>7896.2379798201846</v>
      </c>
      <c r="K648" s="444">
        <f t="shared" ca="1" si="53"/>
        <v>7981.3293547664844</v>
      </c>
      <c r="L648" s="444">
        <f t="shared" ca="1" si="54"/>
        <v>1923500.3744987231</v>
      </c>
      <c r="M648" s="460">
        <f t="shared" si="56"/>
        <v>0.05</v>
      </c>
      <c r="N648" s="464">
        <f t="shared" si="57"/>
        <v>70768</v>
      </c>
    </row>
    <row r="649" spans="7:14" ht="11.25" customHeight="1" x14ac:dyDescent="0.3">
      <c r="G649" s="459">
        <f t="shared" si="68"/>
        <v>54</v>
      </c>
      <c r="H649" s="459">
        <v>642</v>
      </c>
      <c r="I649" s="444">
        <f t="shared" ca="1" si="55"/>
        <v>1923500.3744987231</v>
      </c>
      <c r="J649" s="444">
        <f t="array" ref="J649">IFERROR(INDEX('Retirement Calculator'!J:J,MATCH('Isaac 401k'!N649,'Retirement Calculator'!A:A,0),0),0)</f>
        <v>7896.2379798201846</v>
      </c>
      <c r="K649" s="444">
        <f t="shared" ca="1" si="53"/>
        <v>7981.6839021620954</v>
      </c>
      <c r="L649" s="444">
        <f t="shared" ca="1" si="54"/>
        <v>1923585.820421065</v>
      </c>
      <c r="M649" s="460">
        <f t="shared" si="56"/>
        <v>0.05</v>
      </c>
      <c r="N649" s="464">
        <f t="shared" si="57"/>
        <v>70799</v>
      </c>
    </row>
    <row r="650" spans="7:14" ht="11.25" customHeight="1" x14ac:dyDescent="0.3">
      <c r="G650" s="459">
        <f t="shared" si="68"/>
        <v>54</v>
      </c>
      <c r="H650" s="459">
        <v>643</v>
      </c>
      <c r="I650" s="444">
        <f t="shared" ca="1" si="55"/>
        <v>1923585.820421065</v>
      </c>
      <c r="J650" s="444">
        <f t="array" ref="J650">IFERROR(INDEX('Retirement Calculator'!J:J,MATCH('Isaac 401k'!N650,'Retirement Calculator'!A:A,0),0),0)</f>
        <v>7896.2379798201846</v>
      </c>
      <c r="K650" s="444">
        <f t="shared" ca="1" si="53"/>
        <v>7982.0399268385208</v>
      </c>
      <c r="L650" s="444">
        <f t="shared" ca="1" si="54"/>
        <v>1923671.6223680833</v>
      </c>
      <c r="M650" s="460">
        <f t="shared" si="56"/>
        <v>0.05</v>
      </c>
      <c r="N650" s="464">
        <f t="shared" si="57"/>
        <v>70829</v>
      </c>
    </row>
    <row r="651" spans="7:14" ht="11.25" customHeight="1" x14ac:dyDescent="0.3">
      <c r="G651" s="459">
        <f t="shared" si="68"/>
        <v>54</v>
      </c>
      <c r="H651" s="459">
        <v>644</v>
      </c>
      <c r="I651" s="444">
        <f t="shared" ca="1" si="55"/>
        <v>1923671.6223680833</v>
      </c>
      <c r="J651" s="444">
        <f t="array" ref="J651">IFERROR(INDEX('Retirement Calculator'!J:J,MATCH('Isaac 401k'!N651,'Retirement Calculator'!A:A,0),0),0)</f>
        <v>7896.2379798201846</v>
      </c>
      <c r="K651" s="444">
        <f t="shared" ca="1" si="53"/>
        <v>7982.3974349510972</v>
      </c>
      <c r="L651" s="444">
        <f t="shared" ca="1" si="54"/>
        <v>1923757.7818232141</v>
      </c>
      <c r="M651" s="460">
        <f t="shared" si="56"/>
        <v>0.05</v>
      </c>
      <c r="N651" s="464">
        <f t="shared" si="57"/>
        <v>70860</v>
      </c>
    </row>
    <row r="652" spans="7:14" ht="11.25" customHeight="1" x14ac:dyDescent="0.3">
      <c r="G652" s="459">
        <f t="shared" si="68"/>
        <v>54</v>
      </c>
      <c r="H652" s="459">
        <v>645</v>
      </c>
      <c r="I652" s="444">
        <f t="shared" ca="1" si="55"/>
        <v>1923757.7818232141</v>
      </c>
      <c r="J652" s="444">
        <f t="array" ref="J652">IFERROR(INDEX('Retirement Calculator'!J:J,MATCH('Isaac 401k'!N652,'Retirement Calculator'!A:A,0),0),0)</f>
        <v>7896.2379798201846</v>
      </c>
      <c r="K652" s="444">
        <f t="shared" ca="1" si="53"/>
        <v>7982.7564326808078</v>
      </c>
      <c r="L652" s="444">
        <f t="shared" ca="1" si="54"/>
        <v>1923844.3002760748</v>
      </c>
      <c r="M652" s="460">
        <f t="shared" si="56"/>
        <v>0.05</v>
      </c>
      <c r="N652" s="464">
        <f t="shared" si="57"/>
        <v>70891</v>
      </c>
    </row>
    <row r="653" spans="7:14" ht="11.25" customHeight="1" x14ac:dyDescent="0.3">
      <c r="G653" s="459">
        <f t="shared" si="68"/>
        <v>54</v>
      </c>
      <c r="H653" s="459">
        <v>646</v>
      </c>
      <c r="I653" s="444">
        <f t="shared" ca="1" si="55"/>
        <v>1923844.3002760748</v>
      </c>
      <c r="J653" s="444">
        <f t="array" ref="J653">IFERROR(INDEX('Retirement Calculator'!J:J,MATCH('Isaac 401k'!N653,'Retirement Calculator'!A:A,0),0),0)</f>
        <v>7896.2379798201846</v>
      </c>
      <c r="K653" s="444">
        <f t="shared" ca="1" si="53"/>
        <v>7983.1169262343938</v>
      </c>
      <c r="L653" s="444">
        <f t="shared" ca="1" si="54"/>
        <v>1923931.179222489</v>
      </c>
      <c r="M653" s="460">
        <f t="shared" si="56"/>
        <v>0.05</v>
      </c>
      <c r="N653" s="464">
        <f t="shared" si="57"/>
        <v>70919</v>
      </c>
    </row>
    <row r="654" spans="7:14" ht="11.25" customHeight="1" x14ac:dyDescent="0.3">
      <c r="G654" s="459">
        <f t="shared" si="68"/>
        <v>54</v>
      </c>
      <c r="H654" s="459">
        <v>647</v>
      </c>
      <c r="I654" s="444">
        <f t="shared" ca="1" si="55"/>
        <v>1923931.179222489</v>
      </c>
      <c r="J654" s="444">
        <f t="array" ref="J654">IFERROR(INDEX('Retirement Calculator'!J:J,MATCH('Isaac 401k'!N654,'Retirement Calculator'!A:A,0),0),0)</f>
        <v>7896.2379798201846</v>
      </c>
      <c r="K654" s="444">
        <f t="shared" ca="1" si="53"/>
        <v>7983.478921844453</v>
      </c>
      <c r="L654" s="444">
        <f t="shared" ca="1" si="54"/>
        <v>1924018.4201645132</v>
      </c>
      <c r="M654" s="460">
        <f t="shared" si="56"/>
        <v>0.05</v>
      </c>
      <c r="N654" s="464">
        <f t="shared" si="57"/>
        <v>70950</v>
      </c>
    </row>
    <row r="655" spans="7:14" ht="11.25" customHeight="1" x14ac:dyDescent="0.3">
      <c r="G655" s="459">
        <f t="shared" si="68"/>
        <v>54</v>
      </c>
      <c r="H655" s="459">
        <v>648</v>
      </c>
      <c r="I655" s="444">
        <f t="shared" ca="1" si="55"/>
        <v>1924018.4201645132</v>
      </c>
      <c r="J655" s="444">
        <f t="array" ref="J655">IFERROR(INDEX('Retirement Calculator'!J:J,MATCH('Isaac 401k'!N655,'Retirement Calculator'!A:A,0),0),0)</f>
        <v>7896.2379798201846</v>
      </c>
      <c r="K655" s="444">
        <f t="shared" ca="1" si="53"/>
        <v>7983.8424257695524</v>
      </c>
      <c r="L655" s="444">
        <f t="shared" ca="1" si="54"/>
        <v>1924106.0246104626</v>
      </c>
      <c r="M655" s="460">
        <f t="shared" si="56"/>
        <v>0.05</v>
      </c>
      <c r="N655" s="464">
        <f t="shared" si="57"/>
        <v>70980</v>
      </c>
    </row>
    <row r="656" spans="7:14" ht="11.25" customHeight="1" x14ac:dyDescent="0.3">
      <c r="G656" s="459">
        <f>G655+1</f>
        <v>55</v>
      </c>
      <c r="H656" s="459">
        <v>649</v>
      </c>
      <c r="I656" s="444">
        <f t="shared" ca="1" si="55"/>
        <v>1924106.0246104626</v>
      </c>
      <c r="J656" s="444">
        <f t="array" ref="J656">IFERROR(INDEX('Retirement Calculator'!J:J,MATCH('Isaac 401k'!N656,'Retirement Calculator'!A:A,0),0),0)</f>
        <v>7896.2379798201846</v>
      </c>
      <c r="K656" s="444">
        <f t="shared" ca="1" si="53"/>
        <v>7984.2074442943422</v>
      </c>
      <c r="L656" s="444">
        <f t="shared" ca="1" si="54"/>
        <v>1924193.9940749367</v>
      </c>
      <c r="M656" s="460">
        <f t="shared" si="56"/>
        <v>0.05</v>
      </c>
      <c r="N656" s="464">
        <f t="shared" si="57"/>
        <v>71011</v>
      </c>
    </row>
    <row r="657" spans="7:14" ht="11.25" customHeight="1" x14ac:dyDescent="0.3">
      <c r="G657" s="459">
        <f t="shared" ref="G657:G667" si="69">G656</f>
        <v>55</v>
      </c>
      <c r="H657" s="459">
        <v>650</v>
      </c>
      <c r="I657" s="444">
        <f t="shared" ca="1" si="55"/>
        <v>1924193.9940749367</v>
      </c>
      <c r="J657" s="444">
        <f t="array" ref="J657">IFERROR(INDEX('Retirement Calculator'!J:J,MATCH('Isaac 401k'!N657,'Retirement Calculator'!A:A,0),0),0)</f>
        <v>7896.2379798201846</v>
      </c>
      <c r="K657" s="444">
        <f t="shared" ca="1" si="53"/>
        <v>7984.5739837296524</v>
      </c>
      <c r="L657" s="444">
        <f t="shared" ca="1" si="54"/>
        <v>1924282.3300788461</v>
      </c>
      <c r="M657" s="460">
        <f t="shared" si="56"/>
        <v>0.05</v>
      </c>
      <c r="N657" s="464">
        <f t="shared" si="57"/>
        <v>71041</v>
      </c>
    </row>
    <row r="658" spans="7:14" ht="11.25" customHeight="1" x14ac:dyDescent="0.3">
      <c r="G658" s="459">
        <f t="shared" si="69"/>
        <v>55</v>
      </c>
      <c r="H658" s="459">
        <v>651</v>
      </c>
      <c r="I658" s="444">
        <f t="shared" ca="1" si="55"/>
        <v>1924282.3300788461</v>
      </c>
      <c r="J658" s="444">
        <f t="array" ref="J658">IFERROR(INDEX('Retirement Calculator'!J:J,MATCH('Isaac 401k'!N658,'Retirement Calculator'!A:A,0),0),0)</f>
        <v>7896.2379798201846</v>
      </c>
      <c r="K658" s="444">
        <f t="shared" ca="1" si="53"/>
        <v>7984.9420504126065</v>
      </c>
      <c r="L658" s="444">
        <f t="shared" ca="1" si="54"/>
        <v>1924371.0341494384</v>
      </c>
      <c r="M658" s="460">
        <f t="shared" si="56"/>
        <v>0.05</v>
      </c>
      <c r="N658" s="464">
        <f t="shared" si="57"/>
        <v>71072</v>
      </c>
    </row>
    <row r="659" spans="7:14" ht="11.25" customHeight="1" x14ac:dyDescent="0.3">
      <c r="G659" s="459">
        <f t="shared" si="69"/>
        <v>55</v>
      </c>
      <c r="H659" s="459">
        <v>652</v>
      </c>
      <c r="I659" s="444">
        <f t="shared" ca="1" si="55"/>
        <v>1924371.0341494384</v>
      </c>
      <c r="J659" s="444">
        <f t="array" ref="J659">IFERROR(INDEX('Retirement Calculator'!J:J,MATCH('Isaac 401k'!N659,'Retirement Calculator'!A:A,0),0),0)</f>
        <v>7896.2379798201846</v>
      </c>
      <c r="K659" s="444">
        <f t="shared" ca="1" si="53"/>
        <v>7985.3116507067425</v>
      </c>
      <c r="L659" s="444">
        <f t="shared" ca="1" si="54"/>
        <v>1924460.1078203248</v>
      </c>
      <c r="M659" s="460">
        <f t="shared" si="56"/>
        <v>0.05</v>
      </c>
      <c r="N659" s="464">
        <f t="shared" si="57"/>
        <v>71103</v>
      </c>
    </row>
    <row r="660" spans="7:14" ht="11.25" customHeight="1" x14ac:dyDescent="0.3">
      <c r="G660" s="459">
        <f t="shared" si="69"/>
        <v>55</v>
      </c>
      <c r="H660" s="459">
        <v>653</v>
      </c>
      <c r="I660" s="444">
        <f t="shared" ca="1" si="55"/>
        <v>1924460.1078203248</v>
      </c>
      <c r="J660" s="444">
        <f t="array" ref="J660">IFERROR(INDEX('Retirement Calculator'!J:J,MATCH('Isaac 401k'!N660,'Retirement Calculator'!A:A,0),0),0)</f>
        <v>7896.2379798201846</v>
      </c>
      <c r="K660" s="444">
        <f t="shared" ca="1" si="53"/>
        <v>7985.6827910021011</v>
      </c>
      <c r="L660" s="444">
        <f t="shared" ca="1" si="54"/>
        <v>1924549.5526315067</v>
      </c>
      <c r="M660" s="460">
        <f t="shared" si="56"/>
        <v>0.05</v>
      </c>
      <c r="N660" s="464">
        <f t="shared" si="57"/>
        <v>71133</v>
      </c>
    </row>
    <row r="661" spans="7:14" ht="11.25" customHeight="1" x14ac:dyDescent="0.3">
      <c r="G661" s="459">
        <f t="shared" si="69"/>
        <v>55</v>
      </c>
      <c r="H661" s="459">
        <v>654</v>
      </c>
      <c r="I661" s="444">
        <f t="shared" ca="1" si="55"/>
        <v>1924549.5526315067</v>
      </c>
      <c r="J661" s="444">
        <f t="array" ref="J661">IFERROR(INDEX('Retirement Calculator'!J:J,MATCH('Isaac 401k'!N661,'Retirement Calculator'!A:A,0),0),0)</f>
        <v>7896.2379798201846</v>
      </c>
      <c r="K661" s="444">
        <f t="shared" ca="1" si="53"/>
        <v>7986.0554777153602</v>
      </c>
      <c r="L661" s="444">
        <f t="shared" ca="1" si="54"/>
        <v>1924639.3701294018</v>
      </c>
      <c r="M661" s="460">
        <f t="shared" si="56"/>
        <v>0.05</v>
      </c>
      <c r="N661" s="464">
        <f t="shared" si="57"/>
        <v>71164</v>
      </c>
    </row>
    <row r="662" spans="7:14" ht="11.25" customHeight="1" x14ac:dyDescent="0.3">
      <c r="G662" s="459">
        <f t="shared" si="69"/>
        <v>55</v>
      </c>
      <c r="H662" s="459">
        <v>655</v>
      </c>
      <c r="I662" s="444">
        <f t="shared" ca="1" si="55"/>
        <v>1924639.3701294018</v>
      </c>
      <c r="J662" s="444">
        <f t="array" ref="J662">IFERROR(INDEX('Retirement Calculator'!J:J,MATCH('Isaac 401k'!N662,'Retirement Calculator'!A:A,0),0),0)</f>
        <v>7896.2379798201846</v>
      </c>
      <c r="K662" s="444">
        <f t="shared" ca="1" si="53"/>
        <v>7986.4297172899242</v>
      </c>
      <c r="L662" s="444">
        <f t="shared" ca="1" si="54"/>
        <v>1924729.5618668715</v>
      </c>
      <c r="M662" s="460">
        <f t="shared" si="56"/>
        <v>0.05</v>
      </c>
      <c r="N662" s="464">
        <f t="shared" si="57"/>
        <v>71194</v>
      </c>
    </row>
    <row r="663" spans="7:14" ht="11.25" customHeight="1" x14ac:dyDescent="0.3">
      <c r="G663" s="459">
        <f t="shared" si="69"/>
        <v>55</v>
      </c>
      <c r="H663" s="459">
        <v>656</v>
      </c>
      <c r="I663" s="444">
        <f t="shared" ca="1" si="55"/>
        <v>1924729.5618668715</v>
      </c>
      <c r="J663" s="444">
        <f t="array" ref="J663">IFERROR(INDEX('Retirement Calculator'!J:J,MATCH('Isaac 401k'!N663,'Retirement Calculator'!A:A,0),0),0)</f>
        <v>7896.2379798201846</v>
      </c>
      <c r="K663" s="444">
        <f t="shared" ca="1" si="53"/>
        <v>7986.8055161960474</v>
      </c>
      <c r="L663" s="444">
        <f t="shared" ca="1" si="54"/>
        <v>1924820.1294032473</v>
      </c>
      <c r="M663" s="460">
        <f t="shared" si="56"/>
        <v>0.05</v>
      </c>
      <c r="N663" s="464">
        <f t="shared" si="57"/>
        <v>71225</v>
      </c>
    </row>
    <row r="664" spans="7:14" ht="11.25" customHeight="1" x14ac:dyDescent="0.3">
      <c r="G664" s="459">
        <f t="shared" si="69"/>
        <v>55</v>
      </c>
      <c r="H664" s="459">
        <v>657</v>
      </c>
      <c r="I664" s="444">
        <f t="shared" ca="1" si="55"/>
        <v>1924820.1294032473</v>
      </c>
      <c r="J664" s="444">
        <f t="array" ref="J664">IFERROR(INDEX('Retirement Calculator'!J:J,MATCH('Isaac 401k'!N664,'Retirement Calculator'!A:A,0),0),0)</f>
        <v>7896.2379798201846</v>
      </c>
      <c r="K664" s="444">
        <f t="shared" ca="1" si="53"/>
        <v>7987.1828809309454</v>
      </c>
      <c r="L664" s="444">
        <f t="shared" ca="1" si="54"/>
        <v>1924911.0743043579</v>
      </c>
      <c r="M664" s="460">
        <f t="shared" si="56"/>
        <v>0.05</v>
      </c>
      <c r="N664" s="464">
        <f t="shared" si="57"/>
        <v>71256</v>
      </c>
    </row>
    <row r="665" spans="7:14" ht="11.25" customHeight="1" x14ac:dyDescent="0.3">
      <c r="G665" s="459">
        <f t="shared" si="69"/>
        <v>55</v>
      </c>
      <c r="H665" s="459">
        <v>658</v>
      </c>
      <c r="I665" s="444">
        <f t="shared" ca="1" si="55"/>
        <v>1924911.0743043579</v>
      </c>
      <c r="J665" s="444">
        <f t="array" ref="J665">IFERROR(INDEX('Retirement Calculator'!J:J,MATCH('Isaac 401k'!N665,'Retirement Calculator'!A:A,0),0),0)</f>
        <v>7896.2379798201846</v>
      </c>
      <c r="K665" s="444">
        <f t="shared" ca="1" si="53"/>
        <v>7987.5618180189067</v>
      </c>
      <c r="L665" s="444">
        <f t="shared" ca="1" si="54"/>
        <v>1925002.3981425567</v>
      </c>
      <c r="M665" s="460">
        <f t="shared" si="56"/>
        <v>0.05</v>
      </c>
      <c r="N665" s="464">
        <f t="shared" si="57"/>
        <v>71284</v>
      </c>
    </row>
    <row r="666" spans="7:14" ht="11.25" customHeight="1" x14ac:dyDescent="0.3">
      <c r="G666" s="459">
        <f t="shared" si="69"/>
        <v>55</v>
      </c>
      <c r="H666" s="459">
        <v>659</v>
      </c>
      <c r="I666" s="444">
        <f t="shared" ca="1" si="55"/>
        <v>1925002.3981425567</v>
      </c>
      <c r="J666" s="444">
        <f t="array" ref="J666">IFERROR(INDEX('Retirement Calculator'!J:J,MATCH('Isaac 401k'!N666,'Retirement Calculator'!A:A,0),0),0)</f>
        <v>7896.2379798201846</v>
      </c>
      <c r="K666" s="444">
        <f t="shared" ca="1" si="53"/>
        <v>7987.9423340114026</v>
      </c>
      <c r="L666" s="444">
        <f t="shared" ca="1" si="54"/>
        <v>1925094.1024967479</v>
      </c>
      <c r="M666" s="460">
        <f t="shared" si="56"/>
        <v>0.05</v>
      </c>
      <c r="N666" s="464">
        <f t="shared" si="57"/>
        <v>71315</v>
      </c>
    </row>
    <row r="667" spans="7:14" ht="11.25" customHeight="1" x14ac:dyDescent="0.3">
      <c r="G667" s="459">
        <f t="shared" si="69"/>
        <v>55</v>
      </c>
      <c r="H667" s="459">
        <v>660</v>
      </c>
      <c r="I667" s="444">
        <f t="shared" ca="1" si="55"/>
        <v>1925094.1024967479</v>
      </c>
      <c r="J667" s="444">
        <f t="array" ref="J667">IFERROR(INDEX('Retirement Calculator'!J:J,MATCH('Isaac 401k'!N667,'Retirement Calculator'!A:A,0),0),0)</f>
        <v>7896.2379798201846</v>
      </c>
      <c r="K667" s="444">
        <f t="shared" ca="1" si="53"/>
        <v>7988.3244354871977</v>
      </c>
      <c r="L667" s="444">
        <f t="shared" ca="1" si="54"/>
        <v>1925186.1889524148</v>
      </c>
      <c r="M667" s="460">
        <f t="shared" si="56"/>
        <v>0.05</v>
      </c>
      <c r="N667" s="464">
        <f t="shared" si="57"/>
        <v>71345</v>
      </c>
    </row>
    <row r="668" spans="7:14" ht="11.25" customHeight="1" x14ac:dyDescent="0.3">
      <c r="G668" s="459">
        <f>G667+1</f>
        <v>56</v>
      </c>
      <c r="H668" s="459">
        <v>661</v>
      </c>
      <c r="I668" s="444">
        <f t="shared" ca="1" si="55"/>
        <v>1925186.1889524148</v>
      </c>
      <c r="J668" s="444">
        <f t="array" ref="J668">IFERROR(INDEX('Retirement Calculator'!J:J,MATCH('Isaac 401k'!N668,'Retirement Calculator'!A:A,0),0),0)</f>
        <v>7896.2379798201846</v>
      </c>
      <c r="K668" s="444">
        <f t="shared" ca="1" si="53"/>
        <v>7988.7081290524775</v>
      </c>
      <c r="L668" s="444">
        <f t="shared" ca="1" si="54"/>
        <v>1925278.6591016471</v>
      </c>
      <c r="M668" s="460">
        <f t="shared" si="56"/>
        <v>0.05</v>
      </c>
      <c r="N668" s="464">
        <f t="shared" si="57"/>
        <v>71376</v>
      </c>
    </row>
    <row r="669" spans="7:14" ht="11.25" customHeight="1" x14ac:dyDescent="0.3">
      <c r="G669" s="459">
        <f t="shared" ref="G669:G679" si="70">G668</f>
        <v>56</v>
      </c>
      <c r="H669" s="459">
        <v>662</v>
      </c>
      <c r="I669" s="444">
        <f t="shared" ca="1" si="55"/>
        <v>1925278.6591016471</v>
      </c>
      <c r="J669" s="444">
        <f t="array" ref="J669">IFERROR(INDEX('Retirement Calculator'!J:J,MATCH('Isaac 401k'!N669,'Retirement Calculator'!A:A,0),0),0)</f>
        <v>7896.2379798201846</v>
      </c>
      <c r="K669" s="444">
        <f t="shared" ca="1" si="53"/>
        <v>7989.0934213409446</v>
      </c>
      <c r="L669" s="444">
        <f t="shared" ca="1" si="54"/>
        <v>1925371.5145431678</v>
      </c>
      <c r="M669" s="460">
        <f t="shared" si="56"/>
        <v>0.05</v>
      </c>
      <c r="N669" s="464">
        <f t="shared" si="57"/>
        <v>71406</v>
      </c>
    </row>
    <row r="670" spans="7:14" ht="11.25" customHeight="1" x14ac:dyDescent="0.3">
      <c r="G670" s="459">
        <f t="shared" si="70"/>
        <v>56</v>
      </c>
      <c r="H670" s="459">
        <v>663</v>
      </c>
      <c r="I670" s="444">
        <f t="shared" ca="1" si="55"/>
        <v>1925371.5145431678</v>
      </c>
      <c r="J670" s="444">
        <f t="array" ref="J670">IFERROR(INDEX('Retirement Calculator'!J:J,MATCH('Isaac 401k'!N670,'Retirement Calculator'!A:A,0),0),0)</f>
        <v>7896.2379798201846</v>
      </c>
      <c r="K670" s="444">
        <f t="shared" ca="1" si="53"/>
        <v>7989.4803190139492</v>
      </c>
      <c r="L670" s="444">
        <f t="shared" ca="1" si="54"/>
        <v>1925464.7568823616</v>
      </c>
      <c r="M670" s="460">
        <f t="shared" si="56"/>
        <v>0.05</v>
      </c>
      <c r="N670" s="464">
        <f t="shared" si="57"/>
        <v>71437</v>
      </c>
    </row>
    <row r="671" spans="7:14" ht="11.25" customHeight="1" x14ac:dyDescent="0.3">
      <c r="G671" s="459">
        <f t="shared" si="70"/>
        <v>56</v>
      </c>
      <c r="H671" s="459">
        <v>664</v>
      </c>
      <c r="I671" s="444">
        <f t="shared" ca="1" si="55"/>
        <v>1925464.7568823616</v>
      </c>
      <c r="J671" s="444">
        <f t="array" ref="J671">IFERROR(INDEX('Retirement Calculator'!J:J,MATCH('Isaac 401k'!N671,'Retirement Calculator'!A:A,0),0),0)</f>
        <v>7896.2379798201846</v>
      </c>
      <c r="K671" s="444">
        <f t="shared" ca="1" si="53"/>
        <v>7989.8688287605892</v>
      </c>
      <c r="L671" s="444">
        <f t="shared" ca="1" si="54"/>
        <v>1925558.3877313021</v>
      </c>
      <c r="M671" s="460">
        <f t="shared" si="56"/>
        <v>0.05</v>
      </c>
      <c r="N671" s="464">
        <f t="shared" si="57"/>
        <v>71468</v>
      </c>
    </row>
    <row r="672" spans="7:14" ht="11.25" customHeight="1" x14ac:dyDescent="0.3">
      <c r="G672" s="459">
        <f t="shared" si="70"/>
        <v>56</v>
      </c>
      <c r="H672" s="459">
        <v>665</v>
      </c>
      <c r="I672" s="444">
        <f t="shared" ca="1" si="55"/>
        <v>1925558.3877313021</v>
      </c>
      <c r="J672" s="444">
        <f t="array" ref="J672">IFERROR(INDEX('Retirement Calculator'!J:J,MATCH('Isaac 401k'!N672,'Retirement Calculator'!A:A,0),0),0)</f>
        <v>7896.2379798201846</v>
      </c>
      <c r="K672" s="444">
        <f t="shared" ca="1" si="53"/>
        <v>7990.2589572978404</v>
      </c>
      <c r="L672" s="444">
        <f t="shared" ca="1" si="54"/>
        <v>1925652.4087087796</v>
      </c>
      <c r="M672" s="460">
        <f t="shared" si="56"/>
        <v>0.05</v>
      </c>
      <c r="N672" s="464">
        <f t="shared" si="57"/>
        <v>71498</v>
      </c>
    </row>
    <row r="673" spans="7:14" ht="11.25" customHeight="1" x14ac:dyDescent="0.3">
      <c r="G673" s="459">
        <f t="shared" si="70"/>
        <v>56</v>
      </c>
      <c r="H673" s="459">
        <v>666</v>
      </c>
      <c r="I673" s="444">
        <f t="shared" ca="1" si="55"/>
        <v>1925652.4087087796</v>
      </c>
      <c r="J673" s="444">
        <f t="array" ref="J673">IFERROR(INDEX('Retirement Calculator'!J:J,MATCH('Isaac 401k'!N673,'Retirement Calculator'!A:A,0),0),0)</f>
        <v>7896.2379798201846</v>
      </c>
      <c r="K673" s="444">
        <f t="shared" ca="1" si="53"/>
        <v>7990.6507113706639</v>
      </c>
      <c r="L673" s="444">
        <f t="shared" ca="1" si="54"/>
        <v>1925746.82144033</v>
      </c>
      <c r="M673" s="460">
        <f t="shared" si="56"/>
        <v>0.05</v>
      </c>
      <c r="N673" s="464">
        <f t="shared" si="57"/>
        <v>71529</v>
      </c>
    </row>
    <row r="674" spans="7:14" ht="11.25" customHeight="1" x14ac:dyDescent="0.3">
      <c r="G674" s="459">
        <f t="shared" si="70"/>
        <v>56</v>
      </c>
      <c r="H674" s="459">
        <v>667</v>
      </c>
      <c r="I674" s="444">
        <f t="shared" ca="1" si="55"/>
        <v>1925746.82144033</v>
      </c>
      <c r="J674" s="444">
        <f t="array" ref="J674">IFERROR(INDEX('Retirement Calculator'!J:J,MATCH('Isaac 401k'!N674,'Retirement Calculator'!A:A,0),0),0)</f>
        <v>7896.2379798201846</v>
      </c>
      <c r="K674" s="444">
        <f t="shared" ca="1" si="53"/>
        <v>7991.044097752123</v>
      </c>
      <c r="L674" s="444">
        <f t="shared" ca="1" si="54"/>
        <v>1925841.6275582619</v>
      </c>
      <c r="M674" s="460">
        <f t="shared" si="56"/>
        <v>0.05</v>
      </c>
      <c r="N674" s="464">
        <f t="shared" si="57"/>
        <v>71559</v>
      </c>
    </row>
    <row r="675" spans="7:14" ht="11.25" customHeight="1" x14ac:dyDescent="0.3">
      <c r="G675" s="459">
        <f t="shared" si="70"/>
        <v>56</v>
      </c>
      <c r="H675" s="459">
        <v>668</v>
      </c>
      <c r="I675" s="444">
        <f t="shared" ca="1" si="55"/>
        <v>1925841.6275582619</v>
      </c>
      <c r="J675" s="444">
        <f t="array" ref="J675">IFERROR(INDEX('Retirement Calculator'!J:J,MATCH('Isaac 401k'!N675,'Retirement Calculator'!A:A,0),0),0)</f>
        <v>7896.2379798201846</v>
      </c>
      <c r="K675" s="444">
        <f t="shared" ca="1" si="53"/>
        <v>7991.4391232435064</v>
      </c>
      <c r="L675" s="444">
        <f t="shared" ca="1" si="54"/>
        <v>1925936.8287016852</v>
      </c>
      <c r="M675" s="460">
        <f t="shared" si="56"/>
        <v>0.05</v>
      </c>
      <c r="N675" s="464">
        <f t="shared" si="57"/>
        <v>71590</v>
      </c>
    </row>
    <row r="676" spans="7:14" ht="11.25" customHeight="1" x14ac:dyDescent="0.3">
      <c r="G676" s="459">
        <f t="shared" si="70"/>
        <v>56</v>
      </c>
      <c r="H676" s="459">
        <v>669</v>
      </c>
      <c r="I676" s="444">
        <f t="shared" ca="1" si="55"/>
        <v>1925936.8287016852</v>
      </c>
      <c r="J676" s="444">
        <f t="array" ref="J676">IFERROR(INDEX('Retirement Calculator'!J:J,MATCH('Isaac 401k'!N676,'Retirement Calculator'!A:A,0),0),0)</f>
        <v>7896.2379798201846</v>
      </c>
      <c r="K676" s="444">
        <f t="shared" ca="1" si="53"/>
        <v>7991.8357946744381</v>
      </c>
      <c r="L676" s="444">
        <f t="shared" ca="1" si="54"/>
        <v>1926032.4265165394</v>
      </c>
      <c r="M676" s="460">
        <f t="shared" si="56"/>
        <v>0.05</v>
      </c>
      <c r="N676" s="464">
        <f t="shared" si="57"/>
        <v>71621</v>
      </c>
    </row>
    <row r="677" spans="7:14" ht="11.25" customHeight="1" x14ac:dyDescent="0.3">
      <c r="G677" s="459">
        <f t="shared" si="70"/>
        <v>56</v>
      </c>
      <c r="H677" s="459">
        <v>670</v>
      </c>
      <c r="I677" s="444">
        <f t="shared" ca="1" si="55"/>
        <v>1926032.4265165394</v>
      </c>
      <c r="J677" s="444">
        <f t="array" ref="J677">IFERROR(INDEX('Retirement Calculator'!J:J,MATCH('Isaac 401k'!N677,'Retirement Calculator'!A:A,0),0),0)</f>
        <v>7896.2379798201846</v>
      </c>
      <c r="K677" s="444">
        <f t="shared" ca="1" si="53"/>
        <v>7992.2341189029976</v>
      </c>
      <c r="L677" s="444">
        <f t="shared" ca="1" si="54"/>
        <v>1926128.4226556222</v>
      </c>
      <c r="M677" s="460">
        <f t="shared" si="56"/>
        <v>0.05</v>
      </c>
      <c r="N677" s="464">
        <f t="shared" si="57"/>
        <v>71650</v>
      </c>
    </row>
    <row r="678" spans="7:14" ht="11.25" customHeight="1" x14ac:dyDescent="0.3">
      <c r="G678" s="459">
        <f t="shared" si="70"/>
        <v>56</v>
      </c>
      <c r="H678" s="459">
        <v>671</v>
      </c>
      <c r="I678" s="444">
        <f t="shared" ca="1" si="55"/>
        <v>1926128.4226556222</v>
      </c>
      <c r="J678" s="444">
        <f t="array" ref="J678">IFERROR(INDEX('Retirement Calculator'!J:J,MATCH('Isaac 401k'!N678,'Retirement Calculator'!A:A,0),0),0)</f>
        <v>7896.2379798201846</v>
      </c>
      <c r="K678" s="444">
        <f t="shared" ca="1" si="53"/>
        <v>7992.6341028158413</v>
      </c>
      <c r="L678" s="444">
        <f t="shared" ca="1" si="54"/>
        <v>1926224.8187786178</v>
      </c>
      <c r="M678" s="460">
        <f t="shared" si="56"/>
        <v>0.05</v>
      </c>
      <c r="N678" s="464">
        <f t="shared" si="57"/>
        <v>71681</v>
      </c>
    </row>
    <row r="679" spans="7:14" ht="11.25" customHeight="1" x14ac:dyDescent="0.3">
      <c r="G679" s="459">
        <f t="shared" si="70"/>
        <v>56</v>
      </c>
      <c r="H679" s="459">
        <v>672</v>
      </c>
      <c r="I679" s="444">
        <f t="shared" ca="1" si="55"/>
        <v>1926224.8187786178</v>
      </c>
      <c r="J679" s="444">
        <f t="array" ref="J679">IFERROR(INDEX('Retirement Calculator'!J:J,MATCH('Isaac 401k'!N679,'Retirement Calculator'!A:A,0),0),0)</f>
        <v>7896.2379798201846</v>
      </c>
      <c r="K679" s="444">
        <f t="shared" ca="1" si="53"/>
        <v>7993.0357533283232</v>
      </c>
      <c r="L679" s="444">
        <f t="shared" ca="1" si="54"/>
        <v>1926321.6165521259</v>
      </c>
      <c r="M679" s="460">
        <f t="shared" si="56"/>
        <v>0.05</v>
      </c>
      <c r="N679" s="464">
        <f t="shared" si="57"/>
        <v>71711</v>
      </c>
    </row>
    <row r="680" spans="7:14" ht="11.25" customHeight="1" x14ac:dyDescent="0.3">
      <c r="G680" s="459">
        <f>G679+1</f>
        <v>57</v>
      </c>
      <c r="H680" s="459">
        <v>673</v>
      </c>
      <c r="I680" s="444">
        <f t="shared" ca="1" si="55"/>
        <v>1926321.6165521259</v>
      </c>
      <c r="J680" s="444">
        <f t="array" ref="J680">IFERROR(INDEX('Retirement Calculator'!J:J,MATCH('Isaac 401k'!N680,'Retirement Calculator'!A:A,0),0),0)</f>
        <v>7896.2379798201846</v>
      </c>
      <c r="K680" s="444">
        <f t="shared" ca="1" si="53"/>
        <v>7993.4390773846071</v>
      </c>
      <c r="L680" s="444">
        <f t="shared" ca="1" si="54"/>
        <v>1926418.8176496902</v>
      </c>
      <c r="M680" s="460">
        <f t="shared" si="56"/>
        <v>0.05</v>
      </c>
      <c r="N680" s="464">
        <f t="shared" si="57"/>
        <v>71742</v>
      </c>
    </row>
    <row r="681" spans="7:14" ht="11.25" customHeight="1" x14ac:dyDescent="0.3">
      <c r="G681" s="459">
        <f t="shared" ref="G681:G691" si="71">G680</f>
        <v>57</v>
      </c>
      <c r="H681" s="459">
        <v>674</v>
      </c>
      <c r="I681" s="444">
        <f t="shared" ca="1" si="55"/>
        <v>1926418.8176496902</v>
      </c>
      <c r="J681" s="444">
        <f t="array" ref="J681">IFERROR(INDEX('Retirement Calculator'!J:J,MATCH('Isaac 401k'!N681,'Retirement Calculator'!A:A,0),0),0)</f>
        <v>7896.2379798201846</v>
      </c>
      <c r="K681" s="444">
        <f t="shared" ca="1" si="53"/>
        <v>7993.8440819577918</v>
      </c>
      <c r="L681" s="444">
        <f t="shared" ca="1" si="54"/>
        <v>1926516.4237518278</v>
      </c>
      <c r="M681" s="460">
        <f t="shared" si="56"/>
        <v>0.05</v>
      </c>
      <c r="N681" s="464">
        <f t="shared" si="57"/>
        <v>71772</v>
      </c>
    </row>
    <row r="682" spans="7:14" ht="11.25" customHeight="1" x14ac:dyDescent="0.3">
      <c r="G682" s="459">
        <f t="shared" si="71"/>
        <v>57</v>
      </c>
      <c r="H682" s="459">
        <v>675</v>
      </c>
      <c r="I682" s="444">
        <f t="shared" ca="1" si="55"/>
        <v>1926516.4237518278</v>
      </c>
      <c r="J682" s="444">
        <f t="array" ref="J682">IFERROR(INDEX('Retirement Calculator'!J:J,MATCH('Isaac 401k'!N682,'Retirement Calculator'!A:A,0),0),0)</f>
        <v>7896.2379798201846</v>
      </c>
      <c r="K682" s="444">
        <f t="shared" ca="1" si="53"/>
        <v>7994.2507740500314</v>
      </c>
      <c r="L682" s="444">
        <f t="shared" ca="1" si="54"/>
        <v>1926614.4365460577</v>
      </c>
      <c r="M682" s="460">
        <f t="shared" si="56"/>
        <v>0.05</v>
      </c>
      <c r="N682" s="464">
        <f t="shared" si="57"/>
        <v>71803</v>
      </c>
    </row>
    <row r="683" spans="7:14" ht="11.25" customHeight="1" x14ac:dyDescent="0.3">
      <c r="G683" s="459">
        <f t="shared" si="71"/>
        <v>57</v>
      </c>
      <c r="H683" s="459">
        <v>676</v>
      </c>
      <c r="I683" s="444">
        <f t="shared" ca="1" si="55"/>
        <v>1926614.4365460577</v>
      </c>
      <c r="J683" s="444">
        <f t="array" ref="J683">IFERROR(INDEX('Retirement Calculator'!J:J,MATCH('Isaac 401k'!N683,'Retirement Calculator'!A:A,0),0),0)</f>
        <v>7896.2379798201846</v>
      </c>
      <c r="K683" s="444">
        <f t="shared" ca="1" si="53"/>
        <v>7994.6591606926559</v>
      </c>
      <c r="L683" s="444">
        <f t="shared" ca="1" si="54"/>
        <v>1926712.8577269302</v>
      </c>
      <c r="M683" s="460">
        <f t="shared" si="56"/>
        <v>0.05</v>
      </c>
      <c r="N683" s="464">
        <f t="shared" si="57"/>
        <v>71834</v>
      </c>
    </row>
    <row r="684" spans="7:14" ht="11.25" customHeight="1" x14ac:dyDescent="0.3">
      <c r="G684" s="459">
        <f t="shared" si="71"/>
        <v>57</v>
      </c>
      <c r="H684" s="459">
        <v>677</v>
      </c>
      <c r="I684" s="444">
        <f t="shared" ca="1" si="55"/>
        <v>1926712.8577269302</v>
      </c>
      <c r="J684" s="444">
        <f t="array" ref="J684">IFERROR(INDEX('Retirement Calculator'!J:J,MATCH('Isaac 401k'!N684,'Retirement Calculator'!A:A,0),0),0)</f>
        <v>7896.2379798201846</v>
      </c>
      <c r="K684" s="444">
        <f t="shared" ca="1" si="53"/>
        <v>7995.0692489462926</v>
      </c>
      <c r="L684" s="444">
        <f t="shared" ca="1" si="54"/>
        <v>1926811.6889960563</v>
      </c>
      <c r="M684" s="460">
        <f t="shared" si="56"/>
        <v>0.05</v>
      </c>
      <c r="N684" s="464">
        <f t="shared" si="57"/>
        <v>71864</v>
      </c>
    </row>
    <row r="685" spans="7:14" ht="11.25" customHeight="1" x14ac:dyDescent="0.3">
      <c r="G685" s="459">
        <f t="shared" si="71"/>
        <v>57</v>
      </c>
      <c r="H685" s="459">
        <v>678</v>
      </c>
      <c r="I685" s="444">
        <f t="shared" ca="1" si="55"/>
        <v>1926811.6889960563</v>
      </c>
      <c r="J685" s="444">
        <f t="array" ref="J685">IFERROR(INDEX('Retirement Calculator'!J:J,MATCH('Isaac 401k'!N685,'Retirement Calculator'!A:A,0),0),0)</f>
        <v>7896.2379798201846</v>
      </c>
      <c r="K685" s="444">
        <f t="shared" ca="1" si="53"/>
        <v>7995.481045900985</v>
      </c>
      <c r="L685" s="444">
        <f t="shared" ca="1" si="54"/>
        <v>1926910.9320621372</v>
      </c>
      <c r="M685" s="460">
        <f t="shared" si="56"/>
        <v>0.05</v>
      </c>
      <c r="N685" s="464">
        <f t="shared" si="57"/>
        <v>71895</v>
      </c>
    </row>
    <row r="686" spans="7:14" ht="11.25" customHeight="1" x14ac:dyDescent="0.3">
      <c r="G686" s="459">
        <f t="shared" si="71"/>
        <v>57</v>
      </c>
      <c r="H686" s="459">
        <v>679</v>
      </c>
      <c r="I686" s="444">
        <f t="shared" ca="1" si="55"/>
        <v>1926910.9320621372</v>
      </c>
      <c r="J686" s="444">
        <f t="array" ref="J686">IFERROR(INDEX('Retirement Calculator'!J:J,MATCH('Isaac 401k'!N686,'Retirement Calculator'!A:A,0),0),0)</f>
        <v>7896.2379798201846</v>
      </c>
      <c r="K686" s="444">
        <f t="shared" ca="1" si="53"/>
        <v>7995.8945586763193</v>
      </c>
      <c r="L686" s="444">
        <f t="shared" ca="1" si="54"/>
        <v>1927010.5886409932</v>
      </c>
      <c r="M686" s="460">
        <f t="shared" si="56"/>
        <v>0.05</v>
      </c>
      <c r="N686" s="464">
        <f t="shared" si="57"/>
        <v>71925</v>
      </c>
    </row>
    <row r="687" spans="7:14" ht="11.25" customHeight="1" x14ac:dyDescent="0.3">
      <c r="G687" s="459">
        <f t="shared" si="71"/>
        <v>57</v>
      </c>
      <c r="H687" s="459">
        <v>680</v>
      </c>
      <c r="I687" s="444">
        <f t="shared" ca="1" si="55"/>
        <v>1927010.5886409932</v>
      </c>
      <c r="J687" s="444">
        <f t="array" ref="J687">IFERROR(INDEX('Retirement Calculator'!J:J,MATCH('Isaac 401k'!N687,'Retirement Calculator'!A:A,0),0),0)</f>
        <v>7896.2379798201846</v>
      </c>
      <c r="K687" s="444">
        <f t="shared" ca="1" si="53"/>
        <v>7996.3097944215542</v>
      </c>
      <c r="L687" s="444">
        <f t="shared" ca="1" si="54"/>
        <v>1927110.6604555945</v>
      </c>
      <c r="M687" s="460">
        <f t="shared" si="56"/>
        <v>0.05</v>
      </c>
      <c r="N687" s="464">
        <f t="shared" si="57"/>
        <v>71956</v>
      </c>
    </row>
    <row r="688" spans="7:14" ht="11.25" customHeight="1" x14ac:dyDescent="0.3">
      <c r="G688" s="459">
        <f t="shared" si="71"/>
        <v>57</v>
      </c>
      <c r="H688" s="459">
        <v>681</v>
      </c>
      <c r="I688" s="444">
        <f t="shared" ca="1" si="55"/>
        <v>1927110.6604555945</v>
      </c>
      <c r="J688" s="444">
        <f t="array" ref="J688">IFERROR(INDEX('Retirement Calculator'!J:J,MATCH('Isaac 401k'!N688,'Retirement Calculator'!A:A,0),0),0)</f>
        <v>7896.2379798201846</v>
      </c>
      <c r="K688" s="444">
        <f t="shared" ca="1" si="53"/>
        <v>7996.7267603157252</v>
      </c>
      <c r="L688" s="444">
        <f t="shared" ca="1" si="54"/>
        <v>1927211.14923609</v>
      </c>
      <c r="M688" s="460">
        <f t="shared" si="56"/>
        <v>0.05</v>
      </c>
      <c r="N688" s="464">
        <f t="shared" si="57"/>
        <v>71987</v>
      </c>
    </row>
    <row r="689" spans="7:14" ht="11.25" customHeight="1" x14ac:dyDescent="0.3">
      <c r="G689" s="459">
        <f t="shared" si="71"/>
        <v>57</v>
      </c>
      <c r="H689" s="459">
        <v>682</v>
      </c>
      <c r="I689" s="444">
        <f t="shared" ca="1" si="55"/>
        <v>1927211.14923609</v>
      </c>
      <c r="J689" s="444">
        <f t="array" ref="J689">IFERROR(INDEX('Retirement Calculator'!J:J,MATCH('Isaac 401k'!N689,'Retirement Calculator'!A:A,0),0),0)</f>
        <v>7896.2379798201846</v>
      </c>
      <c r="K689" s="444">
        <f t="shared" ca="1" si="53"/>
        <v>7997.145463567791</v>
      </c>
      <c r="L689" s="444">
        <f t="shared" ca="1" si="54"/>
        <v>1927312.0567198375</v>
      </c>
      <c r="M689" s="460">
        <f t="shared" si="56"/>
        <v>0.05</v>
      </c>
      <c r="N689" s="464">
        <f t="shared" si="57"/>
        <v>72015</v>
      </c>
    </row>
    <row r="690" spans="7:14" ht="11.25" customHeight="1" x14ac:dyDescent="0.3">
      <c r="G690" s="459">
        <f t="shared" si="71"/>
        <v>57</v>
      </c>
      <c r="H690" s="459">
        <v>683</v>
      </c>
      <c r="I690" s="444">
        <f t="shared" ca="1" si="55"/>
        <v>1927312.0567198375</v>
      </c>
      <c r="J690" s="444">
        <f t="array" ref="J690">IFERROR(INDEX('Retirement Calculator'!J:J,MATCH('Isaac 401k'!N690,'Retirement Calculator'!A:A,0),0),0)</f>
        <v>7896.2379798201846</v>
      </c>
      <c r="K690" s="444">
        <f t="shared" ca="1" si="53"/>
        <v>7997.5659114167383</v>
      </c>
      <c r="L690" s="444">
        <f t="shared" ca="1" si="54"/>
        <v>1927413.3846514339</v>
      </c>
      <c r="M690" s="460">
        <f t="shared" si="56"/>
        <v>0.05</v>
      </c>
      <c r="N690" s="464">
        <f t="shared" si="57"/>
        <v>72046</v>
      </c>
    </row>
    <row r="691" spans="7:14" ht="11.25" customHeight="1" x14ac:dyDescent="0.3">
      <c r="G691" s="459">
        <f t="shared" si="71"/>
        <v>57</v>
      </c>
      <c r="H691" s="459">
        <v>684</v>
      </c>
      <c r="I691" s="444">
        <f t="shared" ca="1" si="55"/>
        <v>1927413.3846514339</v>
      </c>
      <c r="J691" s="444">
        <f t="array" ref="J691">IFERROR(INDEX('Retirement Calculator'!J:J,MATCH('Isaac 401k'!N691,'Retirement Calculator'!A:A,0),0),0)</f>
        <v>7896.2379798201846</v>
      </c>
      <c r="K691" s="444">
        <f t="shared" ca="1" si="53"/>
        <v>7997.9881111317236</v>
      </c>
      <c r="L691" s="444">
        <f t="shared" ca="1" si="54"/>
        <v>1927515.1347827455</v>
      </c>
      <c r="M691" s="460">
        <f t="shared" si="56"/>
        <v>0.05</v>
      </c>
      <c r="N691" s="464">
        <f t="shared" si="57"/>
        <v>72076</v>
      </c>
    </row>
    <row r="692" spans="7:14" ht="11.25" customHeight="1" x14ac:dyDescent="0.3">
      <c r="G692" s="459">
        <f>G691+1</f>
        <v>58</v>
      </c>
      <c r="H692" s="459">
        <v>685</v>
      </c>
      <c r="I692" s="444">
        <f t="shared" ca="1" si="55"/>
        <v>1927515.1347827455</v>
      </c>
      <c r="J692" s="444">
        <f t="array" ref="J692">IFERROR(INDEX('Retirement Calculator'!J:J,MATCH('Isaac 401k'!N692,'Retirement Calculator'!A:A,0),0),0)</f>
        <v>7896.2379798201846</v>
      </c>
      <c r="K692" s="444">
        <f t="shared" ca="1" si="53"/>
        <v>7998.4120700121885</v>
      </c>
      <c r="L692" s="444">
        <f t="shared" ca="1" si="54"/>
        <v>1927617.3088729375</v>
      </c>
      <c r="M692" s="460">
        <f t="shared" si="56"/>
        <v>0.05</v>
      </c>
      <c r="N692" s="464">
        <f t="shared" si="57"/>
        <v>72107</v>
      </c>
    </row>
    <row r="693" spans="7:14" ht="11.25" customHeight="1" x14ac:dyDescent="0.3">
      <c r="G693" s="459">
        <f t="shared" ref="G693:G703" si="72">G692</f>
        <v>58</v>
      </c>
      <c r="H693" s="459">
        <v>686</v>
      </c>
      <c r="I693" s="444">
        <f t="shared" ca="1" si="55"/>
        <v>1927617.3088729375</v>
      </c>
      <c r="J693" s="444">
        <f t="array" ref="J693">IFERROR(INDEX('Retirement Calculator'!J:J,MATCH('Isaac 401k'!N693,'Retirement Calculator'!A:A,0),0),0)</f>
        <v>7896.2379798201846</v>
      </c>
      <c r="K693" s="444">
        <f t="shared" ca="1" si="53"/>
        <v>7998.8377953879881</v>
      </c>
      <c r="L693" s="444">
        <f t="shared" ca="1" si="54"/>
        <v>1927719.9086885052</v>
      </c>
      <c r="M693" s="460">
        <f t="shared" si="56"/>
        <v>0.05</v>
      </c>
      <c r="N693" s="464">
        <f t="shared" si="57"/>
        <v>72137</v>
      </c>
    </row>
    <row r="694" spans="7:14" ht="11.25" customHeight="1" x14ac:dyDescent="0.3">
      <c r="G694" s="459">
        <f t="shared" si="72"/>
        <v>58</v>
      </c>
      <c r="H694" s="459">
        <v>687</v>
      </c>
      <c r="I694" s="444">
        <f t="shared" ca="1" si="55"/>
        <v>1927719.9086885052</v>
      </c>
      <c r="J694" s="444">
        <f t="array" ref="J694">IFERROR(INDEX('Retirement Calculator'!J:J,MATCH('Isaac 401k'!N694,'Retirement Calculator'!A:A,0),0),0)</f>
        <v>7896.2379798201846</v>
      </c>
      <c r="K694" s="444">
        <f t="shared" ca="1" si="53"/>
        <v>7999.2652946195203</v>
      </c>
      <c r="L694" s="444">
        <f t="shared" ca="1" si="54"/>
        <v>1927822.9360033046</v>
      </c>
      <c r="M694" s="460">
        <f t="shared" si="56"/>
        <v>0.05</v>
      </c>
      <c r="N694" s="464">
        <f t="shared" si="57"/>
        <v>72168</v>
      </c>
    </row>
    <row r="695" spans="7:14" ht="11.25" customHeight="1" x14ac:dyDescent="0.3">
      <c r="G695" s="459">
        <f t="shared" si="72"/>
        <v>58</v>
      </c>
      <c r="H695" s="459">
        <v>688</v>
      </c>
      <c r="I695" s="444">
        <f t="shared" ca="1" si="55"/>
        <v>1927822.9360033046</v>
      </c>
      <c r="J695" s="444">
        <f t="array" ref="J695">IFERROR(INDEX('Retirement Calculator'!J:J,MATCH('Isaac 401k'!N695,'Retirement Calculator'!A:A,0),0),0)</f>
        <v>7896.2379798201846</v>
      </c>
      <c r="K695" s="444">
        <f t="shared" ca="1" si="53"/>
        <v>7999.6945750978512</v>
      </c>
      <c r="L695" s="444">
        <f t="shared" ca="1" si="54"/>
        <v>1927926.3925985822</v>
      </c>
      <c r="M695" s="460">
        <f t="shared" si="56"/>
        <v>0.05</v>
      </c>
      <c r="N695" s="464">
        <f t="shared" si="57"/>
        <v>72199</v>
      </c>
    </row>
    <row r="696" spans="7:14" ht="11.25" customHeight="1" x14ac:dyDescent="0.3">
      <c r="G696" s="459">
        <f t="shared" si="72"/>
        <v>58</v>
      </c>
      <c r="H696" s="459">
        <v>689</v>
      </c>
      <c r="I696" s="444">
        <f t="shared" ca="1" si="55"/>
        <v>1927926.3925985822</v>
      </c>
      <c r="J696" s="444">
        <f t="array" ref="J696">IFERROR(INDEX('Retirement Calculator'!J:J,MATCH('Isaac 401k'!N696,'Retirement Calculator'!A:A,0),0),0)</f>
        <v>7896.2379798201846</v>
      </c>
      <c r="K696" s="444">
        <f t="shared" ca="1" si="53"/>
        <v>8000.1256442448403</v>
      </c>
      <c r="L696" s="444">
        <f t="shared" ca="1" si="54"/>
        <v>1928030.2802630069</v>
      </c>
      <c r="M696" s="460">
        <f t="shared" si="56"/>
        <v>0.05</v>
      </c>
      <c r="N696" s="464">
        <f t="shared" si="57"/>
        <v>72229</v>
      </c>
    </row>
    <row r="697" spans="7:14" ht="11.25" customHeight="1" x14ac:dyDescent="0.3">
      <c r="G697" s="459">
        <f t="shared" si="72"/>
        <v>58</v>
      </c>
      <c r="H697" s="459">
        <v>690</v>
      </c>
      <c r="I697" s="444">
        <f t="shared" ca="1" si="55"/>
        <v>1928030.2802630069</v>
      </c>
      <c r="J697" s="444">
        <f t="array" ref="J697">IFERROR(INDEX('Retirement Calculator'!J:J,MATCH('Isaac 401k'!N697,'Retirement Calculator'!A:A,0),0),0)</f>
        <v>7896.2379798201846</v>
      </c>
      <c r="K697" s="444">
        <f t="shared" ca="1" si="53"/>
        <v>8000.5585095132783</v>
      </c>
      <c r="L697" s="444">
        <f t="shared" ca="1" si="54"/>
        <v>1928134.6007927</v>
      </c>
      <c r="M697" s="460">
        <f t="shared" si="56"/>
        <v>0.05</v>
      </c>
      <c r="N697" s="464">
        <f t="shared" si="57"/>
        <v>72260</v>
      </c>
    </row>
    <row r="698" spans="7:14" ht="11.25" customHeight="1" x14ac:dyDescent="0.3">
      <c r="G698" s="459">
        <f t="shared" si="72"/>
        <v>58</v>
      </c>
      <c r="H698" s="459">
        <v>691</v>
      </c>
      <c r="I698" s="444">
        <f t="shared" ca="1" si="55"/>
        <v>1928134.6007927</v>
      </c>
      <c r="J698" s="444">
        <f t="array" ref="J698">IFERROR(INDEX('Retirement Calculator'!J:J,MATCH('Isaac 401k'!N698,'Retirement Calculator'!A:A,0),0),0)</f>
        <v>7896.2379798201846</v>
      </c>
      <c r="K698" s="444">
        <f t="shared" ca="1" si="53"/>
        <v>8000.9931783869979</v>
      </c>
      <c r="L698" s="444">
        <f t="shared" ca="1" si="54"/>
        <v>1928239.3559912667</v>
      </c>
      <c r="M698" s="460">
        <f t="shared" si="56"/>
        <v>0.05</v>
      </c>
      <c r="N698" s="464">
        <f t="shared" si="57"/>
        <v>72290</v>
      </c>
    </row>
    <row r="699" spans="7:14" ht="11.25" customHeight="1" x14ac:dyDescent="0.3">
      <c r="G699" s="459">
        <f t="shared" si="72"/>
        <v>58</v>
      </c>
      <c r="H699" s="459">
        <v>692</v>
      </c>
      <c r="I699" s="444">
        <f t="shared" ca="1" si="55"/>
        <v>1928239.3559912667</v>
      </c>
      <c r="J699" s="444">
        <f t="array" ref="J699">IFERROR(INDEX('Retirement Calculator'!J:J,MATCH('Isaac 401k'!N699,'Retirement Calculator'!A:A,0),0),0)</f>
        <v>7896.2379798201846</v>
      </c>
      <c r="K699" s="444">
        <f t="shared" ca="1" si="53"/>
        <v>8001.4296583810265</v>
      </c>
      <c r="L699" s="444">
        <f t="shared" ca="1" si="54"/>
        <v>1928344.5476698275</v>
      </c>
      <c r="M699" s="460">
        <f t="shared" si="56"/>
        <v>0.05</v>
      </c>
      <c r="N699" s="464">
        <f t="shared" si="57"/>
        <v>72321</v>
      </c>
    </row>
    <row r="700" spans="7:14" ht="11.25" customHeight="1" x14ac:dyDescent="0.3">
      <c r="G700" s="459">
        <f t="shared" si="72"/>
        <v>58</v>
      </c>
      <c r="H700" s="459">
        <v>693</v>
      </c>
      <c r="I700" s="444">
        <f t="shared" ca="1" si="55"/>
        <v>1928344.5476698275</v>
      </c>
      <c r="J700" s="444">
        <f t="array" ref="J700">IFERROR(INDEX('Retirement Calculator'!J:J,MATCH('Isaac 401k'!N700,'Retirement Calculator'!A:A,0),0),0)</f>
        <v>7896.2379798201846</v>
      </c>
      <c r="K700" s="444">
        <f t="shared" ca="1" si="53"/>
        <v>8001.8679570416971</v>
      </c>
      <c r="L700" s="444">
        <f t="shared" ca="1" si="54"/>
        <v>1928450.1776470488</v>
      </c>
      <c r="M700" s="460">
        <f t="shared" si="56"/>
        <v>0.05</v>
      </c>
      <c r="N700" s="464">
        <f t="shared" si="57"/>
        <v>72352</v>
      </c>
    </row>
    <row r="701" spans="7:14" ht="11.25" customHeight="1" x14ac:dyDescent="0.3">
      <c r="G701" s="459">
        <f t="shared" si="72"/>
        <v>58</v>
      </c>
      <c r="H701" s="459">
        <v>694</v>
      </c>
      <c r="I701" s="444">
        <f t="shared" ca="1" si="55"/>
        <v>1928450.1776470488</v>
      </c>
      <c r="J701" s="444">
        <f t="array" ref="J701">IFERROR(INDEX('Retirement Calculator'!J:J,MATCH('Isaac 401k'!N701,'Retirement Calculator'!A:A,0),0),0)</f>
        <v>7896.2379798201846</v>
      </c>
      <c r="K701" s="444">
        <f t="shared" ca="1" si="53"/>
        <v>8002.3080819467859</v>
      </c>
      <c r="L701" s="444">
        <f t="shared" ca="1" si="54"/>
        <v>1928556.2477491754</v>
      </c>
      <c r="M701" s="460">
        <f t="shared" si="56"/>
        <v>0.05</v>
      </c>
      <c r="N701" s="464">
        <f t="shared" si="57"/>
        <v>72380</v>
      </c>
    </row>
    <row r="702" spans="7:14" ht="11.25" customHeight="1" x14ac:dyDescent="0.3">
      <c r="G702" s="459">
        <f t="shared" si="72"/>
        <v>58</v>
      </c>
      <c r="H702" s="459">
        <v>695</v>
      </c>
      <c r="I702" s="444">
        <f t="shared" ca="1" si="55"/>
        <v>1928556.2477491754</v>
      </c>
      <c r="J702" s="444">
        <f t="array" ref="J702">IFERROR(INDEX('Retirement Calculator'!J:J,MATCH('Isaac 401k'!N702,'Retirement Calculator'!A:A,0),0),0)</f>
        <v>7896.2379798201846</v>
      </c>
      <c r="K702" s="444">
        <f t="shared" ca="1" si="53"/>
        <v>8002.7500407056459</v>
      </c>
      <c r="L702" s="444">
        <f t="shared" ca="1" si="54"/>
        <v>1928662.7598100607</v>
      </c>
      <c r="M702" s="460">
        <f t="shared" si="56"/>
        <v>0.05</v>
      </c>
      <c r="N702" s="464">
        <f t="shared" si="57"/>
        <v>72411</v>
      </c>
    </row>
    <row r="703" spans="7:14" ht="11.25" customHeight="1" x14ac:dyDescent="0.3">
      <c r="G703" s="459">
        <f t="shared" si="72"/>
        <v>58</v>
      </c>
      <c r="H703" s="459">
        <v>696</v>
      </c>
      <c r="I703" s="444">
        <f t="shared" ca="1" si="55"/>
        <v>1928662.7598100607</v>
      </c>
      <c r="J703" s="444">
        <f t="array" ref="J703">IFERROR(INDEX('Retirement Calculator'!J:J,MATCH('Isaac 401k'!N703,'Retirement Calculator'!A:A,0),0),0)</f>
        <v>7896.2379798201846</v>
      </c>
      <c r="K703" s="444">
        <f t="shared" ca="1" si="53"/>
        <v>8003.1938409593349</v>
      </c>
      <c r="L703" s="444">
        <f t="shared" ca="1" si="54"/>
        <v>1928769.7156711998</v>
      </c>
      <c r="M703" s="460">
        <f t="shared" si="56"/>
        <v>0.05</v>
      </c>
      <c r="N703" s="464">
        <f t="shared" si="57"/>
        <v>72441</v>
      </c>
    </row>
    <row r="704" spans="7:14" ht="11.25" customHeight="1" x14ac:dyDescent="0.3">
      <c r="G704" s="459">
        <f>G703+1</f>
        <v>59</v>
      </c>
      <c r="H704" s="459">
        <v>697</v>
      </c>
      <c r="I704" s="444">
        <f t="shared" ca="1" si="55"/>
        <v>1928769.7156711998</v>
      </c>
      <c r="J704" s="444">
        <f t="array" ref="J704">IFERROR(INDEX('Retirement Calculator'!J:J,MATCH('Isaac 401k'!N704,'Retirement Calculator'!A:A,0),0),0)</f>
        <v>7896.2379798201846</v>
      </c>
      <c r="K704" s="444">
        <f t="shared" ca="1" si="53"/>
        <v>8003.6394903807486</v>
      </c>
      <c r="L704" s="444">
        <f t="shared" ca="1" si="54"/>
        <v>1928877.1171817603</v>
      </c>
      <c r="M704" s="460">
        <f t="shared" si="56"/>
        <v>0.05</v>
      </c>
      <c r="N704" s="464">
        <f t="shared" si="57"/>
        <v>72472</v>
      </c>
    </row>
    <row r="705" spans="7:14" ht="11.25" customHeight="1" x14ac:dyDescent="0.3">
      <c r="G705" s="459">
        <f t="shared" ref="G705:G715" si="73">G704</f>
        <v>59</v>
      </c>
      <c r="H705" s="459">
        <v>698</v>
      </c>
      <c r="I705" s="444">
        <f t="shared" ca="1" si="55"/>
        <v>1928877.1171817603</v>
      </c>
      <c r="J705" s="444">
        <f t="array" ref="J705">IFERROR(INDEX('Retirement Calculator'!J:J,MATCH('Isaac 401k'!N705,'Retirement Calculator'!A:A,0),0),0)</f>
        <v>7896.2379798201846</v>
      </c>
      <c r="K705" s="444">
        <f t="shared" ca="1" si="53"/>
        <v>8004.0869966747496</v>
      </c>
      <c r="L705" s="444">
        <f t="shared" ca="1" si="54"/>
        <v>1928984.9661986148</v>
      </c>
      <c r="M705" s="460">
        <f t="shared" si="56"/>
        <v>0.05</v>
      </c>
      <c r="N705" s="464">
        <f t="shared" si="57"/>
        <v>72502</v>
      </c>
    </row>
    <row r="706" spans="7:14" ht="11.25" customHeight="1" x14ac:dyDescent="0.3">
      <c r="G706" s="459">
        <f t="shared" si="73"/>
        <v>59</v>
      </c>
      <c r="H706" s="459">
        <v>699</v>
      </c>
      <c r="I706" s="444">
        <f t="shared" ca="1" si="55"/>
        <v>1928984.9661986148</v>
      </c>
      <c r="J706" s="444">
        <f t="array" ref="J706">IFERROR(INDEX('Retirement Calculator'!J:J,MATCH('Isaac 401k'!N706,'Retirement Calculator'!A:A,0),0),0)</f>
        <v>7896.2379798201846</v>
      </c>
      <c r="K706" s="444">
        <f t="shared" ca="1" si="53"/>
        <v>8004.5363675783092</v>
      </c>
      <c r="L706" s="444">
        <f t="shared" ca="1" si="54"/>
        <v>1929093.2645863728</v>
      </c>
      <c r="M706" s="460">
        <f t="shared" si="56"/>
        <v>0.05</v>
      </c>
      <c r="N706" s="464">
        <f t="shared" si="57"/>
        <v>72533</v>
      </c>
    </row>
    <row r="707" spans="7:14" ht="11.25" customHeight="1" x14ac:dyDescent="0.3">
      <c r="G707" s="459">
        <f t="shared" si="73"/>
        <v>59</v>
      </c>
      <c r="H707" s="459">
        <v>700</v>
      </c>
      <c r="I707" s="444">
        <f t="shared" ca="1" si="55"/>
        <v>1929093.2645863728</v>
      </c>
      <c r="J707" s="444">
        <f t="array" ref="J707">IFERROR(INDEX('Retirement Calculator'!J:J,MATCH('Isaac 401k'!N707,'Retirement Calculator'!A:A,0),0),0)</f>
        <v>7896.2379798201846</v>
      </c>
      <c r="K707" s="444">
        <f t="shared" ca="1" si="53"/>
        <v>8004.9876108606368</v>
      </c>
      <c r="L707" s="444">
        <f t="shared" ca="1" si="54"/>
        <v>1929202.0142174133</v>
      </c>
      <c r="M707" s="460">
        <f t="shared" si="56"/>
        <v>0.05</v>
      </c>
      <c r="N707" s="464">
        <f t="shared" si="57"/>
        <v>72564</v>
      </c>
    </row>
    <row r="708" spans="7:14" ht="11.25" customHeight="1" x14ac:dyDescent="0.3">
      <c r="G708" s="459">
        <f t="shared" si="73"/>
        <v>59</v>
      </c>
      <c r="H708" s="459">
        <v>701</v>
      </c>
      <c r="I708" s="444">
        <f t="shared" ca="1" si="55"/>
        <v>1929202.0142174133</v>
      </c>
      <c r="J708" s="444">
        <f t="array" ref="J708">IFERROR(INDEX('Retirement Calculator'!J:J,MATCH('Isaac 401k'!N708,'Retirement Calculator'!A:A,0),0),0)</f>
        <v>7896.2379798201846</v>
      </c>
      <c r="K708" s="444">
        <f t="shared" ca="1" si="53"/>
        <v>8005.4407343233033</v>
      </c>
      <c r="L708" s="444">
        <f t="shared" ca="1" si="54"/>
        <v>1929311.2169719164</v>
      </c>
      <c r="M708" s="460">
        <f t="shared" si="56"/>
        <v>0.05</v>
      </c>
      <c r="N708" s="464">
        <f t="shared" si="57"/>
        <v>72594</v>
      </c>
    </row>
    <row r="709" spans="7:14" ht="11.25" customHeight="1" x14ac:dyDescent="0.3">
      <c r="G709" s="459">
        <f t="shared" si="73"/>
        <v>59</v>
      </c>
      <c r="H709" s="459">
        <v>702</v>
      </c>
      <c r="I709" s="444">
        <f t="shared" ca="1" si="55"/>
        <v>1929311.2169719164</v>
      </c>
      <c r="J709" s="444">
        <f t="array" ref="J709">IFERROR(INDEX('Retirement Calculator'!J:J,MATCH('Isaac 401k'!N709,'Retirement Calculator'!A:A,0),0),0)</f>
        <v>7896.2379798201846</v>
      </c>
      <c r="K709" s="444">
        <f t="shared" ca="1" si="53"/>
        <v>8005.8957458004006</v>
      </c>
      <c r="L709" s="444">
        <f t="shared" ca="1" si="54"/>
        <v>1929420.8747378965</v>
      </c>
      <c r="M709" s="460">
        <f t="shared" si="56"/>
        <v>0.05</v>
      </c>
      <c r="N709" s="464">
        <f t="shared" si="57"/>
        <v>72625</v>
      </c>
    </row>
    <row r="710" spans="7:14" ht="11.25" customHeight="1" x14ac:dyDescent="0.3">
      <c r="G710" s="459">
        <f t="shared" si="73"/>
        <v>59</v>
      </c>
      <c r="H710" s="459">
        <v>703</v>
      </c>
      <c r="I710" s="444">
        <f t="shared" ca="1" si="55"/>
        <v>1929420.8747378965</v>
      </c>
      <c r="J710" s="444">
        <f t="array" ref="J710">IFERROR(INDEX('Retirement Calculator'!J:J,MATCH('Isaac 401k'!N710,'Retirement Calculator'!A:A,0),0),0)</f>
        <v>7896.2379798201846</v>
      </c>
      <c r="K710" s="444">
        <f t="shared" ca="1" si="53"/>
        <v>8006.3526531586513</v>
      </c>
      <c r="L710" s="444">
        <f t="shared" ca="1" si="54"/>
        <v>1929530.9894112349</v>
      </c>
      <c r="M710" s="460">
        <f t="shared" si="56"/>
        <v>0.05</v>
      </c>
      <c r="N710" s="464">
        <f t="shared" si="57"/>
        <v>72655</v>
      </c>
    </row>
    <row r="711" spans="7:14" ht="11.25" customHeight="1" x14ac:dyDescent="0.3">
      <c r="G711" s="459">
        <f t="shared" si="73"/>
        <v>59</v>
      </c>
      <c r="H711" s="459">
        <v>704</v>
      </c>
      <c r="I711" s="444">
        <f t="shared" ca="1" si="55"/>
        <v>1929530.9894112349</v>
      </c>
      <c r="J711" s="444">
        <f t="array" ref="J711">IFERROR(INDEX('Retirement Calculator'!J:J,MATCH('Isaac 401k'!N711,'Retirement Calculator'!A:A,0),0),0)</f>
        <v>7896.2379798201846</v>
      </c>
      <c r="K711" s="444">
        <f t="shared" ca="1" si="53"/>
        <v>8006.8114642975606</v>
      </c>
      <c r="L711" s="444">
        <f t="shared" ca="1" si="54"/>
        <v>1929641.5628957122</v>
      </c>
      <c r="M711" s="460">
        <f t="shared" si="56"/>
        <v>0.05</v>
      </c>
      <c r="N711" s="464">
        <f t="shared" si="57"/>
        <v>72686</v>
      </c>
    </row>
    <row r="712" spans="7:14" ht="11.25" customHeight="1" x14ac:dyDescent="0.3">
      <c r="G712" s="459">
        <f t="shared" si="73"/>
        <v>59</v>
      </c>
      <c r="H712" s="459">
        <v>705</v>
      </c>
      <c r="I712" s="444">
        <f t="shared" ca="1" si="55"/>
        <v>1929641.5628957122</v>
      </c>
      <c r="J712" s="444">
        <f t="array" ref="J712">IFERROR(INDEX('Retirement Calculator'!J:J,MATCH('Isaac 401k'!N712,'Retirement Calculator'!A:A,0),0),0)</f>
        <v>7896.2379798201846</v>
      </c>
      <c r="K712" s="444">
        <f t="shared" ca="1" si="53"/>
        <v>8007.2721871495505</v>
      </c>
      <c r="L712" s="444">
        <f t="shared" ca="1" si="54"/>
        <v>1929752.5971030416</v>
      </c>
      <c r="M712" s="460">
        <f t="shared" si="56"/>
        <v>0.05</v>
      </c>
      <c r="N712" s="464">
        <f t="shared" si="57"/>
        <v>72717</v>
      </c>
    </row>
    <row r="713" spans="7:14" ht="11.25" customHeight="1" x14ac:dyDescent="0.3">
      <c r="G713" s="459">
        <f t="shared" si="73"/>
        <v>59</v>
      </c>
      <c r="H713" s="459">
        <v>706</v>
      </c>
      <c r="I713" s="444">
        <f t="shared" ca="1" si="55"/>
        <v>1929752.5971030416</v>
      </c>
      <c r="J713" s="444">
        <f t="array" ref="J713">IFERROR(INDEX('Retirement Calculator'!J:J,MATCH('Isaac 401k'!N713,'Retirement Calculator'!A:A,0),0),0)</f>
        <v>7896.2379798201846</v>
      </c>
      <c r="K713" s="444">
        <f t="shared" ca="1" si="53"/>
        <v>8007.7348296800892</v>
      </c>
      <c r="L713" s="444">
        <f t="shared" ca="1" si="54"/>
        <v>1929864.0939529014</v>
      </c>
      <c r="M713" s="460">
        <f t="shared" si="56"/>
        <v>0.05</v>
      </c>
      <c r="N713" s="464">
        <f t="shared" si="57"/>
        <v>72745</v>
      </c>
    </row>
    <row r="714" spans="7:14" ht="11.25" customHeight="1" x14ac:dyDescent="0.3">
      <c r="G714" s="459">
        <f t="shared" si="73"/>
        <v>59</v>
      </c>
      <c r="H714" s="459">
        <v>707</v>
      </c>
      <c r="I714" s="444">
        <f t="shared" ca="1" si="55"/>
        <v>1929864.0939529014</v>
      </c>
      <c r="J714" s="444">
        <f t="array" ref="J714">IFERROR(INDEX('Retirement Calculator'!J:J,MATCH('Isaac 401k'!N714,'Retirement Calculator'!A:A,0),0),0)</f>
        <v>7896.2379798201846</v>
      </c>
      <c r="K714" s="444">
        <f t="shared" ca="1" si="53"/>
        <v>8008.199399887837</v>
      </c>
      <c r="L714" s="444">
        <f t="shared" ca="1" si="54"/>
        <v>1929976.055372969</v>
      </c>
      <c r="M714" s="460">
        <f t="shared" si="56"/>
        <v>0.05</v>
      </c>
      <c r="N714" s="464">
        <f t="shared" si="57"/>
        <v>72776</v>
      </c>
    </row>
    <row r="715" spans="7:14" ht="11.25" customHeight="1" x14ac:dyDescent="0.3">
      <c r="G715" s="459">
        <f t="shared" si="73"/>
        <v>59</v>
      </c>
      <c r="H715" s="459">
        <v>708</v>
      </c>
      <c r="I715" s="444">
        <f t="shared" ca="1" si="55"/>
        <v>1929976.055372969</v>
      </c>
      <c r="J715" s="444">
        <f t="array" ref="J715">IFERROR(INDEX('Retirement Calculator'!J:J,MATCH('Isaac 401k'!N715,'Retirement Calculator'!A:A,0),0),0)</f>
        <v>7896.2379798201846</v>
      </c>
      <c r="K715" s="444">
        <f t="shared" ca="1" si="53"/>
        <v>8008.6659058047862</v>
      </c>
      <c r="L715" s="444">
        <f t="shared" ca="1" si="54"/>
        <v>1930088.4832989536</v>
      </c>
      <c r="M715" s="460">
        <f t="shared" si="56"/>
        <v>0.05</v>
      </c>
      <c r="N715" s="464">
        <f t="shared" si="57"/>
        <v>72806</v>
      </c>
    </row>
    <row r="716" spans="7:14" ht="11.25" customHeight="1" x14ac:dyDescent="0.3">
      <c r="G716" s="459">
        <f>G715+1</f>
        <v>60</v>
      </c>
      <c r="H716" s="459">
        <v>709</v>
      </c>
      <c r="I716" s="444">
        <f t="shared" ca="1" si="55"/>
        <v>1930088.4832989536</v>
      </c>
      <c r="J716" s="444">
        <f t="array" ref="J716">IFERROR(INDEX('Retirement Calculator'!J:J,MATCH('Isaac 401k'!N716,'Retirement Calculator'!A:A,0),0),0)</f>
        <v>7896.2379798201846</v>
      </c>
      <c r="K716" s="444">
        <f t="shared" ca="1" si="53"/>
        <v>8009.1343554963887</v>
      </c>
      <c r="L716" s="444">
        <f t="shared" ca="1" si="54"/>
        <v>1930201.3796746298</v>
      </c>
      <c r="M716" s="460">
        <f t="shared" si="56"/>
        <v>0.05</v>
      </c>
      <c r="N716" s="464">
        <f t="shared" si="57"/>
        <v>72837</v>
      </c>
    </row>
    <row r="717" spans="7:14" ht="11.25" customHeight="1" x14ac:dyDescent="0.3">
      <c r="G717" s="459">
        <f t="shared" ref="G717:G727" si="74">G716</f>
        <v>60</v>
      </c>
      <c r="H717" s="459">
        <v>710</v>
      </c>
      <c r="I717" s="444">
        <f t="shared" ca="1" si="55"/>
        <v>1930201.3796746298</v>
      </c>
      <c r="J717" s="444">
        <f t="array" ref="J717">IFERROR(INDEX('Retirement Calculator'!J:J,MATCH('Isaac 401k'!N717,'Retirement Calculator'!A:A,0),0),0)</f>
        <v>7896.2379798201846</v>
      </c>
      <c r="K717" s="444">
        <f t="shared" ca="1" si="53"/>
        <v>8009.6047570617066</v>
      </c>
      <c r="L717" s="444">
        <f t="shared" ca="1" si="54"/>
        <v>1930314.7464518712</v>
      </c>
      <c r="M717" s="460">
        <f t="shared" si="56"/>
        <v>0.05</v>
      </c>
      <c r="N717" s="464">
        <f t="shared" si="57"/>
        <v>72867</v>
      </c>
    </row>
    <row r="718" spans="7:14" ht="11.25" customHeight="1" x14ac:dyDescent="0.3">
      <c r="G718" s="459">
        <f t="shared" si="74"/>
        <v>60</v>
      </c>
      <c r="H718" s="459">
        <v>711</v>
      </c>
      <c r="I718" s="444">
        <f t="shared" ca="1" si="55"/>
        <v>1930314.7464518712</v>
      </c>
      <c r="J718" s="444">
        <f t="array" ref="J718">IFERROR(INDEX('Retirement Calculator'!J:J,MATCH('Isaac 401k'!N718,'Retirement Calculator'!A:A,0),0),0)</f>
        <v>7896.2379798201846</v>
      </c>
      <c r="K718" s="444">
        <f t="shared" ca="1" si="53"/>
        <v>8010.077118633546</v>
      </c>
      <c r="L718" s="444">
        <f t="shared" ca="1" si="54"/>
        <v>1930428.5855906846</v>
      </c>
      <c r="M718" s="460">
        <f t="shared" si="56"/>
        <v>0.05</v>
      </c>
      <c r="N718" s="464">
        <f t="shared" si="57"/>
        <v>72898</v>
      </c>
    </row>
    <row r="719" spans="7:14" ht="11.25" customHeight="1" x14ac:dyDescent="0.3">
      <c r="G719" s="459">
        <f t="shared" si="74"/>
        <v>60</v>
      </c>
      <c r="H719" s="459">
        <v>712</v>
      </c>
      <c r="I719" s="444">
        <f t="shared" ca="1" si="55"/>
        <v>1930428.5855906846</v>
      </c>
      <c r="J719" s="444">
        <f t="array" ref="J719">IFERROR(INDEX('Retirement Calculator'!J:J,MATCH('Isaac 401k'!N719,'Retirement Calculator'!A:A,0),0),0)</f>
        <v>7896.2379798201846</v>
      </c>
      <c r="K719" s="444">
        <f t="shared" ca="1" si="53"/>
        <v>8010.551448378601</v>
      </c>
      <c r="L719" s="444">
        <f t="shared" ca="1" si="54"/>
        <v>1930542.899059243</v>
      </c>
      <c r="M719" s="460">
        <f t="shared" si="56"/>
        <v>0.05</v>
      </c>
      <c r="N719" s="464">
        <f t="shared" si="57"/>
        <v>72929</v>
      </c>
    </row>
    <row r="720" spans="7:14" ht="11.25" customHeight="1" x14ac:dyDescent="0.3">
      <c r="G720" s="459">
        <f t="shared" si="74"/>
        <v>60</v>
      </c>
      <c r="H720" s="459">
        <v>713</v>
      </c>
      <c r="I720" s="444">
        <f t="shared" ca="1" si="55"/>
        <v>1930542.899059243</v>
      </c>
      <c r="J720" s="444">
        <f t="array" ref="J720">IFERROR(INDEX('Retirement Calculator'!J:J,MATCH('Isaac 401k'!N720,'Retirement Calculator'!A:A,0),0),0)</f>
        <v>7896.2379798201846</v>
      </c>
      <c r="K720" s="444">
        <f t="shared" ca="1" si="53"/>
        <v>8011.0277544975943</v>
      </c>
      <c r="L720" s="444">
        <f t="shared" ca="1" si="54"/>
        <v>1930657.6888339203</v>
      </c>
      <c r="M720" s="460">
        <f t="shared" si="56"/>
        <v>0.05</v>
      </c>
      <c r="N720" s="464">
        <f t="shared" si="57"/>
        <v>72959</v>
      </c>
    </row>
    <row r="721" spans="7:14" ht="11.25" customHeight="1" x14ac:dyDescent="0.3">
      <c r="G721" s="459">
        <f t="shared" si="74"/>
        <v>60</v>
      </c>
      <c r="H721" s="459">
        <v>714</v>
      </c>
      <c r="I721" s="444">
        <f t="shared" ca="1" si="55"/>
        <v>1930657.6888339203</v>
      </c>
      <c r="J721" s="444">
        <f t="array" ref="J721">IFERROR(INDEX('Retirement Calculator'!J:J,MATCH('Isaac 401k'!N721,'Retirement Calculator'!A:A,0),0),0)</f>
        <v>7896.2379798201846</v>
      </c>
      <c r="K721" s="444">
        <f t="shared" ca="1" si="53"/>
        <v>8011.5060452254174</v>
      </c>
      <c r="L721" s="444">
        <f t="shared" ca="1" si="54"/>
        <v>1930772.9568993254</v>
      </c>
      <c r="M721" s="460">
        <f t="shared" si="56"/>
        <v>0.05</v>
      </c>
      <c r="N721" s="464">
        <f t="shared" si="57"/>
        <v>72990</v>
      </c>
    </row>
    <row r="722" spans="7:14" ht="11.25" customHeight="1" x14ac:dyDescent="0.3">
      <c r="G722" s="459">
        <f t="shared" si="74"/>
        <v>60</v>
      </c>
      <c r="H722" s="459">
        <v>715</v>
      </c>
      <c r="I722" s="444">
        <f t="shared" ca="1" si="55"/>
        <v>1930772.9568993254</v>
      </c>
      <c r="J722" s="444">
        <f t="array" ref="J722">IFERROR(INDEX('Retirement Calculator'!J:J,MATCH('Isaac 401k'!N722,'Retirement Calculator'!A:A,0),0),0)</f>
        <v>7896.2379798201846</v>
      </c>
      <c r="K722" s="444">
        <f t="shared" ca="1" si="53"/>
        <v>8011.9863288312708</v>
      </c>
      <c r="L722" s="444">
        <f t="shared" ca="1" si="54"/>
        <v>1930888.7052483363</v>
      </c>
      <c r="M722" s="460">
        <f t="shared" si="56"/>
        <v>0.05</v>
      </c>
      <c r="N722" s="464">
        <f t="shared" si="57"/>
        <v>73020</v>
      </c>
    </row>
    <row r="723" spans="7:14" ht="11.25" customHeight="1" x14ac:dyDescent="0.3">
      <c r="G723" s="459">
        <f t="shared" si="74"/>
        <v>60</v>
      </c>
      <c r="H723" s="459">
        <v>716</v>
      </c>
      <c r="I723" s="444">
        <f t="shared" ca="1" si="55"/>
        <v>1930888.7052483363</v>
      </c>
      <c r="J723" s="444">
        <f t="array" ref="J723">IFERROR(INDEX('Retirement Calculator'!J:J,MATCH('Isaac 401k'!N723,'Retirement Calculator'!A:A,0),0),0)</f>
        <v>7896.2379798201846</v>
      </c>
      <c r="K723" s="444">
        <f t="shared" ca="1" si="53"/>
        <v>8012.4686136188175</v>
      </c>
      <c r="L723" s="444">
        <f t="shared" ca="1" si="54"/>
        <v>1931004.9358821348</v>
      </c>
      <c r="M723" s="460">
        <f t="shared" si="56"/>
        <v>0.05</v>
      </c>
      <c r="N723" s="464">
        <f t="shared" si="57"/>
        <v>73051</v>
      </c>
    </row>
    <row r="724" spans="7:14" ht="11.25" customHeight="1" x14ac:dyDescent="0.3">
      <c r="G724" s="459">
        <f t="shared" si="74"/>
        <v>60</v>
      </c>
      <c r="H724" s="459">
        <v>717</v>
      </c>
      <c r="I724" s="444">
        <f t="shared" ca="1" si="55"/>
        <v>1931004.9358821348</v>
      </c>
      <c r="J724" s="444">
        <f t="array" ref="J724">IFERROR(INDEX('Retirement Calculator'!J:J,MATCH('Isaac 401k'!N724,'Retirement Calculator'!A:A,0),0),0)</f>
        <v>7896.2379798201846</v>
      </c>
      <c r="K724" s="444">
        <f t="shared" ca="1" si="53"/>
        <v>8012.952907926312</v>
      </c>
      <c r="L724" s="444">
        <f t="shared" ca="1" si="54"/>
        <v>1931121.650810241</v>
      </c>
      <c r="M724" s="460">
        <f t="shared" si="56"/>
        <v>0.05</v>
      </c>
      <c r="N724" s="464">
        <f t="shared" si="57"/>
        <v>73082</v>
      </c>
    </row>
    <row r="725" spans="7:14" ht="11.25" customHeight="1" x14ac:dyDescent="0.3">
      <c r="G725" s="459">
        <f t="shared" si="74"/>
        <v>60</v>
      </c>
      <c r="H725" s="459">
        <v>718</v>
      </c>
      <c r="I725" s="444">
        <f t="shared" ca="1" si="55"/>
        <v>1931121.650810241</v>
      </c>
      <c r="J725" s="444">
        <f t="array" ref="J725">IFERROR(INDEX('Retirement Calculator'!J:J,MATCH('Isaac 401k'!N725,'Retirement Calculator'!A:A,0),0),0)</f>
        <v>7896.2379798201846</v>
      </c>
      <c r="K725" s="444">
        <f t="shared" ca="1" si="53"/>
        <v>8013.4392201267528</v>
      </c>
      <c r="L725" s="444">
        <f t="shared" ca="1" si="54"/>
        <v>1931238.8520505475</v>
      </c>
      <c r="M725" s="460">
        <f t="shared" si="56"/>
        <v>0.05</v>
      </c>
      <c r="N725" s="464">
        <f t="shared" si="57"/>
        <v>73110</v>
      </c>
    </row>
    <row r="726" spans="7:14" ht="11.25" customHeight="1" x14ac:dyDescent="0.3">
      <c r="G726" s="459">
        <f t="shared" si="74"/>
        <v>60</v>
      </c>
      <c r="H726" s="459">
        <v>719</v>
      </c>
      <c r="I726" s="444">
        <f t="shared" ca="1" si="55"/>
        <v>1931238.8520505475</v>
      </c>
      <c r="J726" s="444">
        <f t="array" ref="J726">IFERROR(INDEX('Retirement Calculator'!J:J,MATCH('Isaac 401k'!N726,'Retirement Calculator'!A:A,0),0),0)</f>
        <v>7896.2379798201846</v>
      </c>
      <c r="K726" s="444">
        <f t="shared" ca="1" si="53"/>
        <v>8013.9275586280301</v>
      </c>
      <c r="L726" s="444">
        <f t="shared" ca="1" si="54"/>
        <v>1931356.5416293554</v>
      </c>
      <c r="M726" s="460">
        <f t="shared" si="56"/>
        <v>0.05</v>
      </c>
      <c r="N726" s="464">
        <f t="shared" si="57"/>
        <v>73141</v>
      </c>
    </row>
    <row r="727" spans="7:14" ht="11.25" customHeight="1" x14ac:dyDescent="0.3">
      <c r="G727" s="459">
        <f t="shared" si="74"/>
        <v>60</v>
      </c>
      <c r="H727" s="459">
        <v>720</v>
      </c>
      <c r="I727" s="444">
        <f t="shared" ca="1" si="55"/>
        <v>1931356.5416293554</v>
      </c>
      <c r="J727" s="444">
        <f t="array" ref="J727">IFERROR(INDEX('Retirement Calculator'!J:J,MATCH('Isaac 401k'!N727,'Retirement Calculator'!A:A,0),0),0)</f>
        <v>7896.2379798201846</v>
      </c>
      <c r="K727" s="444">
        <f t="shared" ca="1" si="53"/>
        <v>8014.417931873063</v>
      </c>
      <c r="L727" s="444">
        <f t="shared" ca="1" si="54"/>
        <v>1931474.7215814083</v>
      </c>
      <c r="M727" s="460">
        <f t="shared" si="56"/>
        <v>0.05</v>
      </c>
      <c r="N727" s="464">
        <f t="shared" si="57"/>
        <v>73171</v>
      </c>
    </row>
    <row r="728" spans="7:14" ht="11.25" customHeight="1" x14ac:dyDescent="0.3">
      <c r="G728" s="459">
        <f>G727+1</f>
        <v>61</v>
      </c>
      <c r="H728" s="459">
        <v>721</v>
      </c>
      <c r="I728" s="444">
        <f t="shared" ca="1" si="55"/>
        <v>1931474.7215814083</v>
      </c>
      <c r="J728" s="444">
        <f t="array" ref="J728">IFERROR(INDEX('Retirement Calculator'!J:J,MATCH('Isaac 401k'!N728,'Retirement Calculator'!A:A,0),0),0)</f>
        <v>7896.2379798201846</v>
      </c>
      <c r="K728" s="444">
        <f t="shared" ca="1" si="53"/>
        <v>8014.9103483399504</v>
      </c>
      <c r="L728" s="444">
        <f t="shared" ca="1" si="54"/>
        <v>1931593.393949928</v>
      </c>
      <c r="M728" s="460">
        <f t="shared" si="56"/>
        <v>0.05</v>
      </c>
      <c r="N728" s="464">
        <f t="shared" si="57"/>
        <v>73202</v>
      </c>
    </row>
    <row r="729" spans="7:14" ht="11.25" customHeight="1" x14ac:dyDescent="0.3">
      <c r="G729" s="459">
        <f t="shared" ref="G729:G739" si="75">G728</f>
        <v>61</v>
      </c>
      <c r="H729" s="459">
        <v>722</v>
      </c>
      <c r="I729" s="444">
        <f t="shared" ca="1" si="55"/>
        <v>1931593.393949928</v>
      </c>
      <c r="J729" s="444">
        <f t="array" ref="J729">IFERROR(INDEX('Retirement Calculator'!J:J,MATCH('Isaac 401k'!N729,'Retirement Calculator'!A:A,0),0),0)</f>
        <v>7896.2379798201846</v>
      </c>
      <c r="K729" s="444">
        <f t="shared" ca="1" si="53"/>
        <v>8015.4048165421154</v>
      </c>
      <c r="L729" s="444">
        <f t="shared" ca="1" si="54"/>
        <v>1931712.5607866498</v>
      </c>
      <c r="M729" s="460">
        <f t="shared" si="56"/>
        <v>0.05</v>
      </c>
      <c r="N729" s="464">
        <f t="shared" si="57"/>
        <v>73232</v>
      </c>
    </row>
    <row r="730" spans="7:14" ht="11.25" customHeight="1" x14ac:dyDescent="0.3">
      <c r="G730" s="459">
        <f t="shared" si="75"/>
        <v>61</v>
      </c>
      <c r="H730" s="459">
        <v>723</v>
      </c>
      <c r="I730" s="444">
        <f t="shared" ca="1" si="55"/>
        <v>1931712.5607866498</v>
      </c>
      <c r="J730" s="444">
        <f t="array" ref="J730">IFERROR(INDEX('Retirement Calculator'!J:J,MATCH('Isaac 401k'!N730,'Retirement Calculator'!A:A,0),0),0)</f>
        <v>7896.2379798201846</v>
      </c>
      <c r="K730" s="444">
        <f t="shared" ca="1" si="53"/>
        <v>8015.9013450284574</v>
      </c>
      <c r="L730" s="444">
        <f t="shared" ca="1" si="54"/>
        <v>1931832.2241518581</v>
      </c>
      <c r="M730" s="460">
        <f t="shared" si="56"/>
        <v>0.05</v>
      </c>
      <c r="N730" s="464">
        <f t="shared" si="57"/>
        <v>73263</v>
      </c>
    </row>
    <row r="731" spans="7:14" ht="11.25" customHeight="1" x14ac:dyDescent="0.3">
      <c r="G731" s="459">
        <f t="shared" si="75"/>
        <v>61</v>
      </c>
      <c r="H731" s="459">
        <v>724</v>
      </c>
      <c r="I731" s="444">
        <f t="shared" ca="1" si="55"/>
        <v>1931832.2241518581</v>
      </c>
      <c r="J731" s="444">
        <f t="array" ref="J731">IFERROR(INDEX('Retirement Calculator'!J:J,MATCH('Isaac 401k'!N731,'Retirement Calculator'!A:A,0),0),0)</f>
        <v>7896.2379798201846</v>
      </c>
      <c r="K731" s="444">
        <f t="shared" ca="1" si="53"/>
        <v>8016.3999423834921</v>
      </c>
      <c r="L731" s="444">
        <f t="shared" ca="1" si="54"/>
        <v>1931952.3861144213</v>
      </c>
      <c r="M731" s="460">
        <f t="shared" si="56"/>
        <v>0.05</v>
      </c>
      <c r="N731" s="464">
        <f t="shared" si="57"/>
        <v>73294</v>
      </c>
    </row>
    <row r="732" spans="7:14" ht="11.25" customHeight="1" x14ac:dyDescent="0.3">
      <c r="G732" s="459">
        <f t="shared" si="75"/>
        <v>61</v>
      </c>
      <c r="H732" s="459">
        <v>725</v>
      </c>
      <c r="I732" s="444">
        <f t="shared" ca="1" si="55"/>
        <v>1931952.3861144213</v>
      </c>
      <c r="J732" s="444">
        <f t="array" ref="J732">IFERROR(INDEX('Retirement Calculator'!J:J,MATCH('Isaac 401k'!N732,'Retirement Calculator'!A:A,0),0),0)</f>
        <v>7896.2379798201846</v>
      </c>
      <c r="K732" s="444">
        <f t="shared" ca="1" si="53"/>
        <v>8016.900617227504</v>
      </c>
      <c r="L732" s="444">
        <f t="shared" ca="1" si="54"/>
        <v>1932073.0487518285</v>
      </c>
      <c r="M732" s="460">
        <f t="shared" si="56"/>
        <v>0.05</v>
      </c>
      <c r="N732" s="464">
        <f t="shared" si="57"/>
        <v>73324</v>
      </c>
    </row>
    <row r="733" spans="7:14" ht="11.25" customHeight="1" x14ac:dyDescent="0.3">
      <c r="G733" s="459">
        <f t="shared" si="75"/>
        <v>61</v>
      </c>
      <c r="H733" s="459">
        <v>726</v>
      </c>
      <c r="I733" s="444">
        <f t="shared" ca="1" si="55"/>
        <v>1932073.0487518285</v>
      </c>
      <c r="J733" s="444">
        <f t="array" ref="J733">IFERROR(INDEX('Retirement Calculator'!J:J,MATCH('Isaac 401k'!N733,'Retirement Calculator'!A:A,0),0),0)</f>
        <v>7896.2379798201846</v>
      </c>
      <c r="K733" s="444">
        <f t="shared" ca="1" si="53"/>
        <v>8017.4033782166998</v>
      </c>
      <c r="L733" s="444">
        <f t="shared" ca="1" si="54"/>
        <v>1932194.214150225</v>
      </c>
      <c r="M733" s="460">
        <f t="shared" si="56"/>
        <v>0.05</v>
      </c>
      <c r="N733" s="464">
        <f t="shared" si="57"/>
        <v>73355</v>
      </c>
    </row>
    <row r="734" spans="7:14" ht="11.25" customHeight="1" x14ac:dyDescent="0.3">
      <c r="G734" s="459">
        <f t="shared" si="75"/>
        <v>61</v>
      </c>
      <c r="H734" s="459">
        <v>727</v>
      </c>
      <c r="I734" s="444">
        <f t="shared" ca="1" si="55"/>
        <v>1932194.214150225</v>
      </c>
      <c r="J734" s="444">
        <f t="array" ref="J734">IFERROR(INDEX('Retirement Calculator'!J:J,MATCH('Isaac 401k'!N734,'Retirement Calculator'!A:A,0),0),0)</f>
        <v>7896.2379798201846</v>
      </c>
      <c r="K734" s="444">
        <f t="shared" ca="1" si="53"/>
        <v>8017.9082340433542</v>
      </c>
      <c r="L734" s="444">
        <f t="shared" ca="1" si="54"/>
        <v>1932315.8844044481</v>
      </c>
      <c r="M734" s="460">
        <f t="shared" si="56"/>
        <v>0.05</v>
      </c>
      <c r="N734" s="464">
        <f t="shared" si="57"/>
        <v>73385</v>
      </c>
    </row>
    <row r="735" spans="7:14" ht="11.25" customHeight="1" x14ac:dyDescent="0.3">
      <c r="G735" s="459">
        <f t="shared" si="75"/>
        <v>61</v>
      </c>
      <c r="H735" s="459">
        <v>728</v>
      </c>
      <c r="I735" s="444">
        <f t="shared" ca="1" si="55"/>
        <v>1932315.8844044481</v>
      </c>
      <c r="J735" s="444">
        <f t="array" ref="J735">IFERROR(INDEX('Retirement Calculator'!J:J,MATCH('Isaac 401k'!N735,'Retirement Calculator'!A:A,0),0),0)</f>
        <v>7896.2379798201846</v>
      </c>
      <c r="K735" s="444">
        <f t="shared" ca="1" si="53"/>
        <v>8018.4151934359497</v>
      </c>
      <c r="L735" s="444">
        <f t="shared" ca="1" si="54"/>
        <v>1932438.0616180638</v>
      </c>
      <c r="M735" s="460">
        <f t="shared" si="56"/>
        <v>0.05</v>
      </c>
      <c r="N735" s="464">
        <f t="shared" si="57"/>
        <v>73416</v>
      </c>
    </row>
    <row r="736" spans="7:14" ht="11.25" customHeight="1" x14ac:dyDescent="0.3">
      <c r="G736" s="459">
        <f t="shared" si="75"/>
        <v>61</v>
      </c>
      <c r="H736" s="459">
        <v>729</v>
      </c>
      <c r="I736" s="444">
        <f t="shared" ca="1" si="55"/>
        <v>1932438.0616180638</v>
      </c>
      <c r="J736" s="444">
        <f t="array" ref="J736">IFERROR(INDEX('Retirement Calculator'!J:J,MATCH('Isaac 401k'!N736,'Retirement Calculator'!A:A,0),0),0)</f>
        <v>7896.2379798201846</v>
      </c>
      <c r="K736" s="444">
        <f t="shared" ca="1" si="53"/>
        <v>8018.9242651593486</v>
      </c>
      <c r="L736" s="444">
        <f t="shared" ca="1" si="54"/>
        <v>1932560.7479034029</v>
      </c>
      <c r="M736" s="460">
        <f t="shared" si="56"/>
        <v>0.05</v>
      </c>
      <c r="N736" s="464">
        <f t="shared" si="57"/>
        <v>73447</v>
      </c>
    </row>
    <row r="737" spans="7:14" ht="11.25" customHeight="1" x14ac:dyDescent="0.3">
      <c r="G737" s="459">
        <f t="shared" si="75"/>
        <v>61</v>
      </c>
      <c r="H737" s="459">
        <v>730</v>
      </c>
      <c r="I737" s="444">
        <f t="shared" ca="1" si="55"/>
        <v>1932560.7479034029</v>
      </c>
      <c r="J737" s="444">
        <f t="array" ref="J737">IFERROR(INDEX('Retirement Calculator'!J:J,MATCH('Isaac 401k'!N737,'Retirement Calculator'!A:A,0),0),0)</f>
        <v>7896.2379798201846</v>
      </c>
      <c r="K737" s="444">
        <f t="shared" ca="1" si="53"/>
        <v>8019.4354580149275</v>
      </c>
      <c r="L737" s="444">
        <f t="shared" ca="1" si="54"/>
        <v>1932683.9453815976</v>
      </c>
      <c r="M737" s="460">
        <f t="shared" si="56"/>
        <v>0.05</v>
      </c>
      <c r="N737" s="464">
        <f t="shared" si="57"/>
        <v>73475</v>
      </c>
    </row>
    <row r="738" spans="7:14" ht="11.25" customHeight="1" x14ac:dyDescent="0.3">
      <c r="G738" s="459">
        <f t="shared" si="75"/>
        <v>61</v>
      </c>
      <c r="H738" s="459">
        <v>731</v>
      </c>
      <c r="I738" s="444">
        <f t="shared" ca="1" si="55"/>
        <v>1932683.9453815976</v>
      </c>
      <c r="J738" s="444">
        <f t="array" ref="J738">IFERROR(INDEX('Retirement Calculator'!J:J,MATCH('Isaac 401k'!N738,'Retirement Calculator'!A:A,0),0),0)</f>
        <v>7896.2379798201846</v>
      </c>
      <c r="K738" s="444">
        <f t="shared" ca="1" si="53"/>
        <v>8019.9487808407393</v>
      </c>
      <c r="L738" s="444">
        <f t="shared" ca="1" si="54"/>
        <v>1932807.6561826181</v>
      </c>
      <c r="M738" s="460">
        <f t="shared" si="56"/>
        <v>0.05</v>
      </c>
      <c r="N738" s="464">
        <f t="shared" si="57"/>
        <v>73506</v>
      </c>
    </row>
    <row r="739" spans="7:14" ht="11.25" customHeight="1" x14ac:dyDescent="0.3">
      <c r="G739" s="459">
        <f t="shared" si="75"/>
        <v>61</v>
      </c>
      <c r="H739" s="459">
        <v>732</v>
      </c>
      <c r="I739" s="444">
        <f t="shared" ca="1" si="55"/>
        <v>1932807.6561826181</v>
      </c>
      <c r="J739" s="444">
        <f t="array" ref="J739">IFERROR(INDEX('Retirement Calculator'!J:J,MATCH('Isaac 401k'!N739,'Retirement Calculator'!A:A,0),0),0)</f>
        <v>7896.2379798201846</v>
      </c>
      <c r="K739" s="444">
        <f t="shared" ca="1" si="53"/>
        <v>8020.4642425116581</v>
      </c>
      <c r="L739" s="444">
        <f t="shared" ca="1" si="54"/>
        <v>1932931.8824453095</v>
      </c>
      <c r="M739" s="460">
        <f t="shared" si="56"/>
        <v>0.05</v>
      </c>
      <c r="N739" s="464">
        <f t="shared" si="57"/>
        <v>73536</v>
      </c>
    </row>
    <row r="740" spans="7:14" ht="11.25" customHeight="1" x14ac:dyDescent="0.3">
      <c r="G740" s="459">
        <f>G739+1</f>
        <v>62</v>
      </c>
      <c r="H740" s="459">
        <v>733</v>
      </c>
      <c r="I740" s="444">
        <f t="shared" ca="1" si="55"/>
        <v>1932931.8824453095</v>
      </c>
      <c r="J740" s="444">
        <f t="array" ref="J740">IFERROR(INDEX('Retirement Calculator'!J:J,MATCH('Isaac 401k'!N740,'Retirement Calculator'!A:A,0),0),0)</f>
        <v>7896.2379798201846</v>
      </c>
      <c r="K740" s="444">
        <f t="shared" ca="1" si="53"/>
        <v>8020.9818519395394</v>
      </c>
      <c r="L740" s="444">
        <f t="shared" ca="1" si="54"/>
        <v>1933056.6263174289</v>
      </c>
      <c r="M740" s="460">
        <f t="shared" si="56"/>
        <v>0.05</v>
      </c>
      <c r="N740" s="464">
        <f t="shared" si="57"/>
        <v>73567</v>
      </c>
    </row>
    <row r="741" spans="7:14" ht="11.25" customHeight="1" x14ac:dyDescent="0.3">
      <c r="G741" s="459">
        <f t="shared" ref="G741:G751" si="76">G740</f>
        <v>62</v>
      </c>
      <c r="H741" s="459">
        <v>734</v>
      </c>
      <c r="I741" s="444">
        <f t="shared" ca="1" si="55"/>
        <v>1933056.6263174289</v>
      </c>
      <c r="J741" s="444">
        <f t="array" ref="J741">IFERROR(INDEX('Retirement Calculator'!J:J,MATCH('Isaac 401k'!N741,'Retirement Calculator'!A:A,0),0),0)</f>
        <v>7896.2379798201846</v>
      </c>
      <c r="K741" s="444">
        <f t="shared" ca="1" si="53"/>
        <v>8021.5016180733692</v>
      </c>
      <c r="L741" s="444">
        <f t="shared" ca="1" si="54"/>
        <v>1933181.889955682</v>
      </c>
      <c r="M741" s="460">
        <f t="shared" si="56"/>
        <v>0.05</v>
      </c>
      <c r="N741" s="464">
        <f t="shared" si="57"/>
        <v>73597</v>
      </c>
    </row>
    <row r="742" spans="7:14" ht="11.25" customHeight="1" x14ac:dyDescent="0.3">
      <c r="G742" s="459">
        <f t="shared" si="76"/>
        <v>62</v>
      </c>
      <c r="H742" s="459">
        <v>735</v>
      </c>
      <c r="I742" s="444">
        <f t="shared" ca="1" si="55"/>
        <v>1933181.889955682</v>
      </c>
      <c r="J742" s="444">
        <f t="array" ref="J742">IFERROR(INDEX('Retirement Calculator'!J:J,MATCH('Isaac 401k'!N742,'Retirement Calculator'!A:A,0),0),0)</f>
        <v>7896.2379798201846</v>
      </c>
      <c r="K742" s="444">
        <f t="shared" ca="1" si="53"/>
        <v>8022.0235498994234</v>
      </c>
      <c r="L742" s="444">
        <f t="shared" ca="1" si="54"/>
        <v>1933307.6755257612</v>
      </c>
      <c r="M742" s="460">
        <f t="shared" si="56"/>
        <v>0.05</v>
      </c>
      <c r="N742" s="464">
        <f t="shared" si="57"/>
        <v>73628</v>
      </c>
    </row>
    <row r="743" spans="7:14" ht="11.25" customHeight="1" x14ac:dyDescent="0.3">
      <c r="G743" s="459">
        <f t="shared" si="76"/>
        <v>62</v>
      </c>
      <c r="H743" s="459">
        <v>736</v>
      </c>
      <c r="I743" s="444">
        <f t="shared" ca="1" si="55"/>
        <v>1933307.6755257612</v>
      </c>
      <c r="J743" s="444">
        <f t="array" ref="J743">IFERROR(INDEX('Retirement Calculator'!J:J,MATCH('Isaac 401k'!N743,'Retirement Calculator'!A:A,0),0),0)</f>
        <v>7896.2379798201846</v>
      </c>
      <c r="K743" s="444">
        <f t="shared" ca="1" si="53"/>
        <v>8022.5476564414203</v>
      </c>
      <c r="L743" s="444">
        <f t="shared" ca="1" si="54"/>
        <v>1933433.9852023823</v>
      </c>
      <c r="M743" s="460">
        <f t="shared" si="56"/>
        <v>0.05</v>
      </c>
      <c r="N743" s="464">
        <f t="shared" si="57"/>
        <v>73659</v>
      </c>
    </row>
    <row r="744" spans="7:14" ht="11.25" customHeight="1" x14ac:dyDescent="0.3">
      <c r="G744" s="459">
        <f t="shared" si="76"/>
        <v>62</v>
      </c>
      <c r="H744" s="459">
        <v>737</v>
      </c>
      <c r="I744" s="444">
        <f t="shared" ca="1" si="55"/>
        <v>1933433.9852023823</v>
      </c>
      <c r="J744" s="444">
        <f t="array" ref="J744">IFERROR(INDEX('Retirement Calculator'!J:J,MATCH('Isaac 401k'!N744,'Retirement Calculator'!A:A,0),0),0)</f>
        <v>7896.2379798201846</v>
      </c>
      <c r="K744" s="444">
        <f t="shared" ca="1" si="53"/>
        <v>8023.0739467606763</v>
      </c>
      <c r="L744" s="444">
        <f t="shared" ca="1" si="54"/>
        <v>1933560.8211693228</v>
      </c>
      <c r="M744" s="460">
        <f t="shared" si="56"/>
        <v>0.05</v>
      </c>
      <c r="N744" s="464">
        <f t="shared" si="57"/>
        <v>73689</v>
      </c>
    </row>
    <row r="745" spans="7:14" ht="11.25" customHeight="1" x14ac:dyDescent="0.3">
      <c r="G745" s="459">
        <f t="shared" si="76"/>
        <v>62</v>
      </c>
      <c r="H745" s="459">
        <v>738</v>
      </c>
      <c r="I745" s="444">
        <f t="shared" ca="1" si="55"/>
        <v>1933560.8211693228</v>
      </c>
      <c r="J745" s="444">
        <f t="array" ref="J745">IFERROR(INDEX('Retirement Calculator'!J:J,MATCH('Isaac 401k'!N745,'Retirement Calculator'!A:A,0),0),0)</f>
        <v>7896.2379798201846</v>
      </c>
      <c r="K745" s="444">
        <f t="shared" ca="1" si="53"/>
        <v>8023.6024299562605</v>
      </c>
      <c r="L745" s="444">
        <f t="shared" ca="1" si="54"/>
        <v>1933688.1856194588</v>
      </c>
      <c r="M745" s="460">
        <f t="shared" si="56"/>
        <v>0.05</v>
      </c>
      <c r="N745" s="464">
        <f t="shared" si="57"/>
        <v>73720</v>
      </c>
    </row>
    <row r="746" spans="7:14" ht="11.25" customHeight="1" x14ac:dyDescent="0.3">
      <c r="G746" s="459">
        <f t="shared" si="76"/>
        <v>62</v>
      </c>
      <c r="H746" s="459">
        <v>739</v>
      </c>
      <c r="I746" s="444">
        <f t="shared" ca="1" si="55"/>
        <v>1933688.1856194588</v>
      </c>
      <c r="J746" s="444">
        <f t="array" ref="J746">IFERROR(INDEX('Retirement Calculator'!J:J,MATCH('Isaac 401k'!N746,'Retirement Calculator'!A:A,0),0),0)</f>
        <v>7896.2379798201846</v>
      </c>
      <c r="K746" s="444">
        <f t="shared" ca="1" si="53"/>
        <v>8024.1331151651602</v>
      </c>
      <c r="L746" s="444">
        <f t="shared" ca="1" si="54"/>
        <v>1933816.0807548037</v>
      </c>
      <c r="M746" s="460">
        <f t="shared" si="56"/>
        <v>0.05</v>
      </c>
      <c r="N746" s="464">
        <f t="shared" si="57"/>
        <v>73750</v>
      </c>
    </row>
    <row r="747" spans="7:14" ht="11.25" customHeight="1" x14ac:dyDescent="0.3">
      <c r="G747" s="459">
        <f t="shared" si="76"/>
        <v>62</v>
      </c>
      <c r="H747" s="459">
        <v>740</v>
      </c>
      <c r="I747" s="444">
        <f t="shared" ca="1" si="55"/>
        <v>1933816.0807548037</v>
      </c>
      <c r="J747" s="444">
        <f t="array" ref="J747">IFERROR(INDEX('Retirement Calculator'!J:J,MATCH('Isaac 401k'!N747,'Retirement Calculator'!A:A,0),0),0)</f>
        <v>7896.2379798201846</v>
      </c>
      <c r="K747" s="444">
        <f t="shared" ca="1" si="53"/>
        <v>8024.6660115624309</v>
      </c>
      <c r="L747" s="444">
        <f t="shared" ca="1" si="54"/>
        <v>1933944.5087865458</v>
      </c>
      <c r="M747" s="460">
        <f t="shared" si="56"/>
        <v>0.05</v>
      </c>
      <c r="N747" s="464">
        <f t="shared" si="57"/>
        <v>73781</v>
      </c>
    </row>
    <row r="748" spans="7:14" ht="11.25" customHeight="1" x14ac:dyDescent="0.3">
      <c r="G748" s="459">
        <f t="shared" si="76"/>
        <v>62</v>
      </c>
      <c r="H748" s="459">
        <v>741</v>
      </c>
      <c r="I748" s="444">
        <f t="shared" ca="1" si="55"/>
        <v>1933944.5087865458</v>
      </c>
      <c r="J748" s="444">
        <f t="array" ref="J748">IFERROR(INDEX('Retirement Calculator'!J:J,MATCH('Isaac 401k'!N748,'Retirement Calculator'!A:A,0),0),0)</f>
        <v>7896.2379798201846</v>
      </c>
      <c r="K748" s="444">
        <f t="shared" ca="1" si="53"/>
        <v>8025.2011283613574</v>
      </c>
      <c r="L748" s="444">
        <f t="shared" ca="1" si="54"/>
        <v>1934073.4719350869</v>
      </c>
      <c r="M748" s="460">
        <f t="shared" si="56"/>
        <v>0.05</v>
      </c>
      <c r="N748" s="464">
        <f t="shared" si="57"/>
        <v>73812</v>
      </c>
    </row>
    <row r="749" spans="7:14" ht="11.25" customHeight="1" x14ac:dyDescent="0.3">
      <c r="G749" s="459">
        <f t="shared" si="76"/>
        <v>62</v>
      </c>
      <c r="H749" s="459">
        <v>742</v>
      </c>
      <c r="I749" s="444">
        <f t="shared" ca="1" si="55"/>
        <v>1934073.4719350869</v>
      </c>
      <c r="J749" s="444">
        <f t="array" ref="J749">IFERROR(INDEX('Retirement Calculator'!J:J,MATCH('Isaac 401k'!N749,'Retirement Calculator'!A:A,0),0),0)</f>
        <v>7896.2379798201846</v>
      </c>
      <c r="K749" s="444">
        <f t="shared" ca="1" si="53"/>
        <v>8025.738474813611</v>
      </c>
      <c r="L749" s="444">
        <f t="shared" ca="1" si="54"/>
        <v>1934202.9724300802</v>
      </c>
      <c r="M749" s="460">
        <f t="shared" si="56"/>
        <v>0.05</v>
      </c>
      <c r="N749" s="464">
        <f t="shared" si="57"/>
        <v>73840</v>
      </c>
    </row>
    <row r="750" spans="7:14" ht="11.25" customHeight="1" x14ac:dyDescent="0.3">
      <c r="G750" s="459">
        <f t="shared" si="76"/>
        <v>62</v>
      </c>
      <c r="H750" s="459">
        <v>743</v>
      </c>
      <c r="I750" s="444">
        <f t="shared" ca="1" si="55"/>
        <v>1934202.9724300802</v>
      </c>
      <c r="J750" s="444">
        <f t="array" ref="J750">IFERROR(INDEX('Retirement Calculator'!J:J,MATCH('Isaac 401k'!N750,'Retirement Calculator'!A:A,0),0),0)</f>
        <v>7896.2379798201846</v>
      </c>
      <c r="K750" s="444">
        <f t="shared" ca="1" si="53"/>
        <v>8026.2780602094163</v>
      </c>
      <c r="L750" s="444">
        <f t="shared" ca="1" si="54"/>
        <v>1934333.0125104694</v>
      </c>
      <c r="M750" s="460">
        <f t="shared" si="56"/>
        <v>0.05</v>
      </c>
      <c r="N750" s="464">
        <f t="shared" si="57"/>
        <v>73871</v>
      </c>
    </row>
    <row r="751" spans="7:14" ht="11.25" customHeight="1" x14ac:dyDescent="0.3">
      <c r="G751" s="459">
        <f t="shared" si="76"/>
        <v>62</v>
      </c>
      <c r="H751" s="459">
        <v>744</v>
      </c>
      <c r="I751" s="444">
        <f t="shared" ca="1" si="55"/>
        <v>1934333.0125104694</v>
      </c>
      <c r="J751" s="444">
        <f t="array" ref="J751">IFERROR(INDEX('Retirement Calculator'!J:J,MATCH('Isaac 401k'!N751,'Retirement Calculator'!A:A,0),0),0)</f>
        <v>7896.2379798201846</v>
      </c>
      <c r="K751" s="444">
        <f t="shared" ca="1" si="53"/>
        <v>8026.8198938777059</v>
      </c>
      <c r="L751" s="444">
        <f t="shared" ca="1" si="54"/>
        <v>1934463.5944245269</v>
      </c>
      <c r="M751" s="460">
        <f t="shared" si="56"/>
        <v>0.05</v>
      </c>
      <c r="N751" s="464">
        <f t="shared" si="57"/>
        <v>73901</v>
      </c>
    </row>
    <row r="752" spans="7:14" ht="11.25" customHeight="1" x14ac:dyDescent="0.3">
      <c r="G752" s="459">
        <f>G751+1</f>
        <v>63</v>
      </c>
      <c r="H752" s="459">
        <v>745</v>
      </c>
      <c r="I752" s="444">
        <f t="shared" ca="1" si="55"/>
        <v>1934463.5944245269</v>
      </c>
      <c r="J752" s="444">
        <f t="array" ref="J752">IFERROR(INDEX('Retirement Calculator'!J:J,MATCH('Isaac 401k'!N752,'Retirement Calculator'!A:A,0),0),0)</f>
        <v>7896.2379798201846</v>
      </c>
      <c r="K752" s="444">
        <f t="shared" ca="1" si="53"/>
        <v>8027.3639851862781</v>
      </c>
      <c r="L752" s="444">
        <f t="shared" ca="1" si="54"/>
        <v>1934594.7204298929</v>
      </c>
      <c r="M752" s="460">
        <f t="shared" si="56"/>
        <v>0.05</v>
      </c>
      <c r="N752" s="464">
        <f t="shared" si="57"/>
        <v>73932</v>
      </c>
    </row>
    <row r="753" spans="7:14" ht="11.25" customHeight="1" x14ac:dyDescent="0.3">
      <c r="G753" s="459">
        <f t="shared" ref="G753:G763" si="77">G752</f>
        <v>63</v>
      </c>
      <c r="H753" s="459">
        <v>746</v>
      </c>
      <c r="I753" s="444">
        <f t="shared" ca="1" si="55"/>
        <v>1934594.7204298929</v>
      </c>
      <c r="J753" s="444">
        <f t="array" ref="J753">IFERROR(INDEX('Retirement Calculator'!J:J,MATCH('Isaac 401k'!N753,'Retirement Calculator'!A:A,0),0),0)</f>
        <v>7896.2379798201846</v>
      </c>
      <c r="K753" s="444">
        <f t="shared" ca="1" si="53"/>
        <v>8027.9103435419693</v>
      </c>
      <c r="L753" s="444">
        <f t="shared" ca="1" si="54"/>
        <v>1934726.3927936147</v>
      </c>
      <c r="M753" s="460">
        <f t="shared" si="56"/>
        <v>0.05</v>
      </c>
      <c r="N753" s="464">
        <f t="shared" si="57"/>
        <v>73962</v>
      </c>
    </row>
    <row r="754" spans="7:14" ht="11.25" customHeight="1" x14ac:dyDescent="0.3">
      <c r="G754" s="459">
        <f t="shared" si="77"/>
        <v>63</v>
      </c>
      <c r="H754" s="459">
        <v>747</v>
      </c>
      <c r="I754" s="444">
        <f t="shared" ca="1" si="55"/>
        <v>1934726.3927936147</v>
      </c>
      <c r="J754" s="444">
        <f t="array" ref="J754">IFERROR(INDEX('Retirement Calculator'!J:J,MATCH('Isaac 401k'!N754,'Retirement Calculator'!A:A,0),0),0)</f>
        <v>7896.2379798201846</v>
      </c>
      <c r="K754" s="444">
        <f t="shared" ca="1" si="53"/>
        <v>8028.4589783908095</v>
      </c>
      <c r="L754" s="444">
        <f t="shared" ca="1" si="54"/>
        <v>1934858.6137921852</v>
      </c>
      <c r="M754" s="460">
        <f t="shared" si="56"/>
        <v>0.05</v>
      </c>
      <c r="N754" s="464">
        <f t="shared" si="57"/>
        <v>73993</v>
      </c>
    </row>
    <row r="755" spans="7:14" ht="11.25" customHeight="1" x14ac:dyDescent="0.3">
      <c r="G755" s="459">
        <f t="shared" si="77"/>
        <v>63</v>
      </c>
      <c r="H755" s="459">
        <v>748</v>
      </c>
      <c r="I755" s="444">
        <f t="shared" ca="1" si="55"/>
        <v>1934858.6137921852</v>
      </c>
      <c r="J755" s="444">
        <f t="array" ref="J755">IFERROR(INDEX('Retirement Calculator'!J:J,MATCH('Isaac 401k'!N755,'Retirement Calculator'!A:A,0),0),0)</f>
        <v>7896.2379798201846</v>
      </c>
      <c r="K755" s="444">
        <f t="shared" ca="1" si="53"/>
        <v>8029.0098992181875</v>
      </c>
      <c r="L755" s="444">
        <f t="shared" ca="1" si="54"/>
        <v>1934991.3857115831</v>
      </c>
      <c r="M755" s="460">
        <f t="shared" si="56"/>
        <v>0.05</v>
      </c>
      <c r="N755" s="464">
        <f t="shared" si="57"/>
        <v>74024</v>
      </c>
    </row>
    <row r="756" spans="7:14" ht="11.25" customHeight="1" x14ac:dyDescent="0.3">
      <c r="G756" s="459">
        <f t="shared" si="77"/>
        <v>63</v>
      </c>
      <c r="H756" s="459">
        <v>749</v>
      </c>
      <c r="I756" s="444">
        <f t="shared" ca="1" si="55"/>
        <v>1934991.3857115831</v>
      </c>
      <c r="J756" s="444">
        <f t="array" ref="J756">IFERROR(INDEX('Retirement Calculator'!J:J,MATCH('Isaac 401k'!N756,'Retirement Calculator'!A:A,0),0),0)</f>
        <v>7896.2379798201846</v>
      </c>
      <c r="K756" s="444">
        <f t="shared" ca="1" si="53"/>
        <v>8029.5631155490119</v>
      </c>
      <c r="L756" s="444">
        <f t="shared" ca="1" si="54"/>
        <v>1935124.7108473119</v>
      </c>
      <c r="M756" s="460">
        <f t="shared" si="56"/>
        <v>0.05</v>
      </c>
      <c r="N756" s="464">
        <f t="shared" si="57"/>
        <v>74054</v>
      </c>
    </row>
    <row r="757" spans="7:14" ht="11.25" customHeight="1" x14ac:dyDescent="0.3">
      <c r="G757" s="459">
        <f t="shared" si="77"/>
        <v>63</v>
      </c>
      <c r="H757" s="459">
        <v>750</v>
      </c>
      <c r="I757" s="444">
        <f t="shared" ca="1" si="55"/>
        <v>1935124.7108473119</v>
      </c>
      <c r="J757" s="444">
        <f t="array" ref="J757">IFERROR(INDEX('Retirement Calculator'!J:J,MATCH('Isaac 401k'!N757,'Retirement Calculator'!A:A,0),0),0)</f>
        <v>7896.2379798201846</v>
      </c>
      <c r="K757" s="444">
        <f t="shared" ca="1" si="53"/>
        <v>8030.1186369478819</v>
      </c>
      <c r="L757" s="444">
        <f t="shared" ca="1" si="54"/>
        <v>1935258.5915044395</v>
      </c>
      <c r="M757" s="460">
        <f t="shared" si="56"/>
        <v>0.05</v>
      </c>
      <c r="N757" s="464">
        <f t="shared" si="57"/>
        <v>74085</v>
      </c>
    </row>
    <row r="758" spans="7:14" ht="11.25" customHeight="1" x14ac:dyDescent="0.3">
      <c r="G758" s="459">
        <f t="shared" si="77"/>
        <v>63</v>
      </c>
      <c r="H758" s="459">
        <v>751</v>
      </c>
      <c r="I758" s="444">
        <f t="shared" ca="1" si="55"/>
        <v>1935258.5915044395</v>
      </c>
      <c r="J758" s="444">
        <f t="array" ref="J758">IFERROR(INDEX('Retirement Calculator'!J:J,MATCH('Isaac 401k'!N758,'Retirement Calculator'!A:A,0),0),0)</f>
        <v>7896.2379798201846</v>
      </c>
      <c r="K758" s="444">
        <f t="shared" ca="1" si="53"/>
        <v>8030.6764730192481</v>
      </c>
      <c r="L758" s="444">
        <f t="shared" ca="1" si="54"/>
        <v>1935393.0299976384</v>
      </c>
      <c r="M758" s="460">
        <f t="shared" si="56"/>
        <v>0.05</v>
      </c>
      <c r="N758" s="464">
        <f t="shared" si="57"/>
        <v>74115</v>
      </c>
    </row>
    <row r="759" spans="7:14" ht="11.25" customHeight="1" x14ac:dyDescent="0.3">
      <c r="G759" s="459">
        <f t="shared" si="77"/>
        <v>63</v>
      </c>
      <c r="H759" s="459">
        <v>752</v>
      </c>
      <c r="I759" s="444">
        <f t="shared" ca="1" si="55"/>
        <v>1935393.0299976384</v>
      </c>
      <c r="J759" s="444">
        <f t="array" ref="J759">IFERROR(INDEX('Retirement Calculator'!J:J,MATCH('Isaac 401k'!N759,'Retirement Calculator'!A:A,0),0),0)</f>
        <v>7896.2379798201846</v>
      </c>
      <c r="K759" s="444">
        <f t="shared" ca="1" si="53"/>
        <v>8031.2366334075759</v>
      </c>
      <c r="L759" s="444">
        <f t="shared" ca="1" si="54"/>
        <v>1935528.0286512258</v>
      </c>
      <c r="M759" s="460">
        <f t="shared" si="56"/>
        <v>0.05</v>
      </c>
      <c r="N759" s="464">
        <f t="shared" si="57"/>
        <v>74146</v>
      </c>
    </row>
    <row r="760" spans="7:14" ht="11.25" customHeight="1" x14ac:dyDescent="0.3">
      <c r="G760" s="459">
        <f t="shared" si="77"/>
        <v>63</v>
      </c>
      <c r="H760" s="459">
        <v>753</v>
      </c>
      <c r="I760" s="444">
        <f t="shared" ca="1" si="55"/>
        <v>1935528.0286512258</v>
      </c>
      <c r="J760" s="444">
        <f t="array" ref="J760">IFERROR(INDEX('Retirement Calculator'!J:J,MATCH('Isaac 401k'!N760,'Retirement Calculator'!A:A,0),0),0)</f>
        <v>7896.2379798201846</v>
      </c>
      <c r="K760" s="444">
        <f t="shared" ca="1" si="53"/>
        <v>8031.7991277975234</v>
      </c>
      <c r="L760" s="444">
        <f t="shared" ca="1" si="54"/>
        <v>1935663.5897992032</v>
      </c>
      <c r="M760" s="460">
        <f t="shared" si="56"/>
        <v>0.05</v>
      </c>
      <c r="N760" s="464">
        <f t="shared" si="57"/>
        <v>74177</v>
      </c>
    </row>
    <row r="761" spans="7:14" ht="11.25" customHeight="1" x14ac:dyDescent="0.3">
      <c r="G761" s="459">
        <f t="shared" si="77"/>
        <v>63</v>
      </c>
      <c r="H761" s="459">
        <v>754</v>
      </c>
      <c r="I761" s="444">
        <f t="shared" ca="1" si="55"/>
        <v>1935663.5897992032</v>
      </c>
      <c r="J761" s="444">
        <f t="array" ref="J761">IFERROR(INDEX('Retirement Calculator'!J:J,MATCH('Isaac 401k'!N761,'Retirement Calculator'!A:A,0),0),0)</f>
        <v>7896.2379798201846</v>
      </c>
      <c r="K761" s="444">
        <f t="shared" ca="1" si="53"/>
        <v>8032.3639659140963</v>
      </c>
      <c r="L761" s="444">
        <f t="shared" ca="1" si="54"/>
        <v>1935799.7157852971</v>
      </c>
      <c r="M761" s="460">
        <f t="shared" si="56"/>
        <v>0.05</v>
      </c>
      <c r="N761" s="464">
        <f t="shared" si="57"/>
        <v>74205</v>
      </c>
    </row>
    <row r="762" spans="7:14" ht="11.25" customHeight="1" x14ac:dyDescent="0.3">
      <c r="G762" s="459">
        <f t="shared" si="77"/>
        <v>63</v>
      </c>
      <c r="H762" s="459">
        <v>755</v>
      </c>
      <c r="I762" s="444">
        <f t="shared" ca="1" si="55"/>
        <v>1935799.7157852971</v>
      </c>
      <c r="J762" s="444">
        <f t="array" ref="J762">IFERROR(INDEX('Retirement Calculator'!J:J,MATCH('Isaac 401k'!N762,'Retirement Calculator'!A:A,0),0),0)</f>
        <v>7896.2379798201846</v>
      </c>
      <c r="K762" s="444">
        <f t="shared" ca="1" si="53"/>
        <v>8032.9311575228203</v>
      </c>
      <c r="L762" s="444">
        <f t="shared" ca="1" si="54"/>
        <v>1935936.4089629997</v>
      </c>
      <c r="M762" s="460">
        <f t="shared" si="56"/>
        <v>0.05</v>
      </c>
      <c r="N762" s="464">
        <f t="shared" si="57"/>
        <v>74236</v>
      </c>
    </row>
    <row r="763" spans="7:14" ht="11.25" customHeight="1" x14ac:dyDescent="0.3">
      <c r="G763" s="459">
        <f t="shared" si="77"/>
        <v>63</v>
      </c>
      <c r="H763" s="459">
        <v>756</v>
      </c>
      <c r="I763" s="444">
        <f t="shared" ca="1" si="55"/>
        <v>1935936.4089629997</v>
      </c>
      <c r="J763" s="444">
        <f t="array" ref="J763">IFERROR(INDEX('Retirement Calculator'!J:J,MATCH('Isaac 401k'!N763,'Retirement Calculator'!A:A,0),0),0)</f>
        <v>7896.2379798201846</v>
      </c>
      <c r="K763" s="444">
        <f t="shared" ca="1" si="53"/>
        <v>8033.5007124299145</v>
      </c>
      <c r="L763" s="444">
        <f t="shared" ca="1" si="54"/>
        <v>1936073.6716956093</v>
      </c>
      <c r="M763" s="460">
        <f t="shared" si="56"/>
        <v>0.05</v>
      </c>
      <c r="N763" s="464">
        <f t="shared" si="57"/>
        <v>74266</v>
      </c>
    </row>
    <row r="764" spans="7:14" ht="11.25" customHeight="1" x14ac:dyDescent="0.3">
      <c r="G764" s="459">
        <f>G763+1</f>
        <v>64</v>
      </c>
      <c r="H764" s="459">
        <v>757</v>
      </c>
      <c r="I764" s="444">
        <f t="shared" ca="1" si="55"/>
        <v>1936073.6716956093</v>
      </c>
      <c r="J764" s="444">
        <f t="array" ref="J764">IFERROR(INDEX('Retirement Calculator'!J:J,MATCH('Isaac 401k'!N764,'Retirement Calculator'!A:A,0),0),0)</f>
        <v>7896.2379798201846</v>
      </c>
      <c r="K764" s="444">
        <f t="shared" ca="1" si="53"/>
        <v>8034.0726404824545</v>
      </c>
      <c r="L764" s="444">
        <f t="shared" ca="1" si="54"/>
        <v>1936211.5063562717</v>
      </c>
      <c r="M764" s="460">
        <f t="shared" si="56"/>
        <v>0.05</v>
      </c>
      <c r="N764" s="464">
        <f t="shared" si="57"/>
        <v>74297</v>
      </c>
    </row>
    <row r="765" spans="7:14" ht="11.25" customHeight="1" x14ac:dyDescent="0.3">
      <c r="G765" s="459">
        <f t="shared" ref="G765:G775" si="78">G764</f>
        <v>64</v>
      </c>
      <c r="H765" s="459">
        <v>758</v>
      </c>
      <c r="I765" s="444">
        <f t="shared" ca="1" si="55"/>
        <v>1936211.5063562717</v>
      </c>
      <c r="J765" s="444">
        <f t="array" ref="J765">IFERROR(INDEX('Retirement Calculator'!J:J,MATCH('Isaac 401k'!N765,'Retirement Calculator'!A:A,0),0),0)</f>
        <v>7896.2379798201846</v>
      </c>
      <c r="K765" s="444">
        <f t="shared" ca="1" si="53"/>
        <v>8034.6469515685476</v>
      </c>
      <c r="L765" s="444">
        <f t="shared" ca="1" si="54"/>
        <v>1936349.91532802</v>
      </c>
      <c r="M765" s="460">
        <f t="shared" si="56"/>
        <v>0.05</v>
      </c>
      <c r="N765" s="464">
        <f t="shared" si="57"/>
        <v>74327</v>
      </c>
    </row>
    <row r="766" spans="7:14" ht="11.25" customHeight="1" x14ac:dyDescent="0.3">
      <c r="G766" s="459">
        <f t="shared" si="78"/>
        <v>64</v>
      </c>
      <c r="H766" s="459">
        <v>759</v>
      </c>
      <c r="I766" s="444">
        <f t="shared" ca="1" si="55"/>
        <v>1936349.91532802</v>
      </c>
      <c r="J766" s="444">
        <f t="array" ref="J766">IFERROR(INDEX('Retirement Calculator'!J:J,MATCH('Isaac 401k'!N766,'Retirement Calculator'!A:A,0),0),0)</f>
        <v>7896.2379798201846</v>
      </c>
      <c r="K766" s="444">
        <f t="shared" ca="1" si="53"/>
        <v>8035.2236556174976</v>
      </c>
      <c r="L766" s="444">
        <f t="shared" ca="1" si="54"/>
        <v>1936488.9010038173</v>
      </c>
      <c r="M766" s="460">
        <f t="shared" si="56"/>
        <v>0.05</v>
      </c>
      <c r="N766" s="464">
        <f t="shared" si="57"/>
        <v>74358</v>
      </c>
    </row>
    <row r="767" spans="7:14" ht="11.25" customHeight="1" x14ac:dyDescent="0.3">
      <c r="G767" s="459">
        <f t="shared" si="78"/>
        <v>64</v>
      </c>
      <c r="H767" s="459">
        <v>760</v>
      </c>
      <c r="I767" s="444">
        <f t="shared" ca="1" si="55"/>
        <v>1936488.9010038173</v>
      </c>
      <c r="J767" s="444">
        <f t="array" ref="J767">IFERROR(INDEX('Retirement Calculator'!J:J,MATCH('Isaac 401k'!N767,'Retirement Calculator'!A:A,0),0),0)</f>
        <v>7896.2379798201846</v>
      </c>
      <c r="K767" s="444">
        <f t="shared" ca="1" si="53"/>
        <v>8035.8027625999866</v>
      </c>
      <c r="L767" s="444">
        <f t="shared" ca="1" si="54"/>
        <v>1936628.465786597</v>
      </c>
      <c r="M767" s="460">
        <f t="shared" si="56"/>
        <v>0.05</v>
      </c>
      <c r="N767" s="464">
        <f t="shared" si="57"/>
        <v>74389</v>
      </c>
    </row>
    <row r="768" spans="7:14" ht="11.25" customHeight="1" x14ac:dyDescent="0.3">
      <c r="G768" s="459">
        <f t="shared" si="78"/>
        <v>64</v>
      </c>
      <c r="H768" s="459">
        <v>761</v>
      </c>
      <c r="I768" s="444">
        <f t="shared" ca="1" si="55"/>
        <v>1936628.465786597</v>
      </c>
      <c r="J768" s="444">
        <f t="array" ref="J768">IFERROR(INDEX('Retirement Calculator'!J:J,MATCH('Isaac 401k'!N768,'Retirement Calculator'!A:A,0),0),0)</f>
        <v>7896.2379798201846</v>
      </c>
      <c r="K768" s="444">
        <f t="shared" ca="1" si="53"/>
        <v>8036.3842825282372</v>
      </c>
      <c r="L768" s="444">
        <f t="shared" ca="1" si="54"/>
        <v>1936768.612089305</v>
      </c>
      <c r="M768" s="460">
        <f t="shared" si="56"/>
        <v>0.05</v>
      </c>
      <c r="N768" s="464">
        <f t="shared" si="57"/>
        <v>74419</v>
      </c>
    </row>
    <row r="769" spans="7:14" ht="11.25" customHeight="1" x14ac:dyDescent="0.3">
      <c r="G769" s="459">
        <f t="shared" si="78"/>
        <v>64</v>
      </c>
      <c r="H769" s="459">
        <v>762</v>
      </c>
      <c r="I769" s="444">
        <f t="shared" ca="1" si="55"/>
        <v>1936768.612089305</v>
      </c>
      <c r="J769" s="444">
        <f t="array" ref="J769">IFERROR(INDEX('Retirement Calculator'!J:J,MATCH('Isaac 401k'!N769,'Retirement Calculator'!A:A,0),0),0)</f>
        <v>7896.2379798201846</v>
      </c>
      <c r="K769" s="444">
        <f t="shared" ca="1" si="53"/>
        <v>8036.9682254561876</v>
      </c>
      <c r="L769" s="444">
        <f t="shared" ca="1" si="54"/>
        <v>1936909.3423349408</v>
      </c>
      <c r="M769" s="460">
        <f t="shared" si="56"/>
        <v>0.05</v>
      </c>
      <c r="N769" s="464">
        <f t="shared" si="57"/>
        <v>74450</v>
      </c>
    </row>
    <row r="770" spans="7:14" ht="11.25" customHeight="1" x14ac:dyDescent="0.3">
      <c r="G770" s="459">
        <f t="shared" si="78"/>
        <v>64</v>
      </c>
      <c r="H770" s="459">
        <v>763</v>
      </c>
      <c r="I770" s="444">
        <f t="shared" ca="1" si="55"/>
        <v>1936909.3423349408</v>
      </c>
      <c r="J770" s="444">
        <f t="array" ref="J770">IFERROR(INDEX('Retirement Calculator'!J:J,MATCH('Isaac 401k'!N770,'Retirement Calculator'!A:A,0),0),0)</f>
        <v>7896.2379798201846</v>
      </c>
      <c r="K770" s="444">
        <f t="shared" ca="1" si="53"/>
        <v>8037.5546014796691</v>
      </c>
      <c r="L770" s="444">
        <f t="shared" ca="1" si="54"/>
        <v>1937050.6589566001</v>
      </c>
      <c r="M770" s="460">
        <f t="shared" si="56"/>
        <v>0.05</v>
      </c>
      <c r="N770" s="464">
        <f t="shared" si="57"/>
        <v>74480</v>
      </c>
    </row>
    <row r="771" spans="7:14" ht="11.25" customHeight="1" x14ac:dyDescent="0.3">
      <c r="G771" s="459">
        <f t="shared" si="78"/>
        <v>64</v>
      </c>
      <c r="H771" s="459">
        <v>764</v>
      </c>
      <c r="I771" s="444">
        <f t="shared" ca="1" si="55"/>
        <v>1937050.6589566001</v>
      </c>
      <c r="J771" s="444">
        <f t="array" ref="J771">IFERROR(INDEX('Retirement Calculator'!J:J,MATCH('Isaac 401k'!N771,'Retirement Calculator'!A:A,0),0),0)</f>
        <v>7896.2379798201846</v>
      </c>
      <c r="K771" s="444">
        <f t="shared" ca="1" si="53"/>
        <v>8038.1434207365837</v>
      </c>
      <c r="L771" s="444">
        <f t="shared" ca="1" si="54"/>
        <v>1937192.5643975164</v>
      </c>
      <c r="M771" s="460">
        <f t="shared" si="56"/>
        <v>0.05</v>
      </c>
      <c r="N771" s="464">
        <f t="shared" si="57"/>
        <v>74511</v>
      </c>
    </row>
    <row r="772" spans="7:14" ht="11.25" customHeight="1" x14ac:dyDescent="0.3">
      <c r="G772" s="459">
        <f t="shared" si="78"/>
        <v>64</v>
      </c>
      <c r="H772" s="459">
        <v>765</v>
      </c>
      <c r="I772" s="444">
        <f t="shared" ca="1" si="55"/>
        <v>1937192.5643975164</v>
      </c>
      <c r="J772" s="444">
        <f t="array" ref="J772">IFERROR(INDEX('Retirement Calculator'!J:J,MATCH('Isaac 401k'!N772,'Retirement Calculator'!A:A,0),0),0)</f>
        <v>7896.2379798201846</v>
      </c>
      <c r="K772" s="444">
        <f t="shared" ca="1" si="53"/>
        <v>8038.7346934070683</v>
      </c>
      <c r="L772" s="444">
        <f t="shared" ca="1" si="54"/>
        <v>1937335.0611111033</v>
      </c>
      <c r="M772" s="460">
        <f t="shared" si="56"/>
        <v>0.05</v>
      </c>
      <c r="N772" s="464">
        <f t="shared" si="57"/>
        <v>74542</v>
      </c>
    </row>
    <row r="773" spans="7:14" ht="11.25" customHeight="1" x14ac:dyDescent="0.3">
      <c r="G773" s="459">
        <f t="shared" si="78"/>
        <v>64</v>
      </c>
      <c r="H773" s="459">
        <v>766</v>
      </c>
      <c r="I773" s="444">
        <f t="shared" ca="1" si="55"/>
        <v>1937335.0611111033</v>
      </c>
      <c r="J773" s="444">
        <f t="array" ref="J773">IFERROR(INDEX('Retirement Calculator'!J:J,MATCH('Isaac 401k'!N773,'Retirement Calculator'!A:A,0),0),0)</f>
        <v>7896.2379798201846</v>
      </c>
      <c r="K773" s="444">
        <f t="shared" ref="K773:K1027" ca="1" si="79">IPMT(M773/12,1,12,-I773+J773,,0)</f>
        <v>8039.3284297136788</v>
      </c>
      <c r="L773" s="444">
        <f t="shared" ref="L773:L1027" ca="1" si="80">I773-J773+K773</f>
        <v>1937478.1515609967</v>
      </c>
      <c r="M773" s="460">
        <f t="shared" si="56"/>
        <v>0.05</v>
      </c>
      <c r="N773" s="464">
        <f t="shared" si="57"/>
        <v>74571</v>
      </c>
    </row>
    <row r="774" spans="7:14" ht="11.25" customHeight="1" x14ac:dyDescent="0.3">
      <c r="G774" s="459">
        <f t="shared" si="78"/>
        <v>64</v>
      </c>
      <c r="H774" s="459">
        <v>767</v>
      </c>
      <c r="I774" s="444">
        <f t="shared" ref="I774:I1028" ca="1" si="81">L773</f>
        <v>1937478.1515609967</v>
      </c>
      <c r="J774" s="444">
        <f t="array" ref="J774">IFERROR(INDEX('Retirement Calculator'!J:J,MATCH('Isaac 401k'!N774,'Retirement Calculator'!A:A,0),0),0)</f>
        <v>7896.2379798201846</v>
      </c>
      <c r="K774" s="444">
        <f t="shared" ca="1" si="79"/>
        <v>8039.924639921569</v>
      </c>
      <c r="L774" s="444">
        <f t="shared" ca="1" si="80"/>
        <v>1937621.8382210981</v>
      </c>
      <c r="M774" s="460">
        <f t="shared" ref="M774:M1028" si="82">M773</f>
        <v>0.05</v>
      </c>
      <c r="N774" s="464">
        <f t="shared" ref="N774:N1028" si="83">EDATE(N773,1)</f>
        <v>74602</v>
      </c>
    </row>
    <row r="775" spans="7:14" ht="11.25" customHeight="1" x14ac:dyDescent="0.3">
      <c r="G775" s="459">
        <f t="shared" si="78"/>
        <v>64</v>
      </c>
      <c r="H775" s="459">
        <v>768</v>
      </c>
      <c r="I775" s="444">
        <f t="shared" ca="1" si="81"/>
        <v>1937621.8382210981</v>
      </c>
      <c r="J775" s="444">
        <f t="array" ref="J775">IFERROR(INDEX('Retirement Calculator'!J:J,MATCH('Isaac 401k'!N775,'Retirement Calculator'!A:A,0),0),0)</f>
        <v>7896.2379798201846</v>
      </c>
      <c r="K775" s="444">
        <f t="shared" ca="1" si="79"/>
        <v>8040.5233343386572</v>
      </c>
      <c r="L775" s="444">
        <f t="shared" ca="1" si="80"/>
        <v>1937766.1235756164</v>
      </c>
      <c r="M775" s="460">
        <f t="shared" si="82"/>
        <v>0.05</v>
      </c>
      <c r="N775" s="464">
        <f t="shared" si="83"/>
        <v>74632</v>
      </c>
    </row>
    <row r="776" spans="7:14" ht="11.25" customHeight="1" x14ac:dyDescent="0.3">
      <c r="G776" s="459">
        <f>G775+1</f>
        <v>65</v>
      </c>
      <c r="H776" s="459">
        <v>769</v>
      </c>
      <c r="I776" s="444">
        <f t="shared" ca="1" si="81"/>
        <v>1937766.1235756164</v>
      </c>
      <c r="J776" s="444">
        <f t="array" ref="J776">IFERROR(INDEX('Retirement Calculator'!J:J,MATCH('Isaac 401k'!N776,'Retirement Calculator'!A:A,0),0),0)</f>
        <v>7896.2379798201846</v>
      </c>
      <c r="K776" s="444">
        <f t="shared" ca="1" si="79"/>
        <v>8041.1245233158179</v>
      </c>
      <c r="L776" s="444">
        <f t="shared" ca="1" si="80"/>
        <v>1937911.010119112</v>
      </c>
      <c r="M776" s="460">
        <f t="shared" si="82"/>
        <v>0.05</v>
      </c>
      <c r="N776" s="464">
        <f t="shared" si="83"/>
        <v>74663</v>
      </c>
    </row>
    <row r="777" spans="7:14" ht="11.25" customHeight="1" x14ac:dyDescent="0.3">
      <c r="G777" s="459">
        <f t="shared" ref="G777:G787" si="84">G776</f>
        <v>65</v>
      </c>
      <c r="H777" s="459">
        <v>770</v>
      </c>
      <c r="I777" s="444">
        <f t="shared" ca="1" si="81"/>
        <v>1937911.010119112</v>
      </c>
      <c r="J777" s="444">
        <f t="array" ref="J777">IFERROR(INDEX('Retirement Calculator'!J:J,MATCH('Isaac 401k'!N777,'Retirement Calculator'!A:A,0),0),0)</f>
        <v>7896.2379798201846</v>
      </c>
      <c r="K777" s="444">
        <f t="shared" ca="1" si="79"/>
        <v>8041.7282172470486</v>
      </c>
      <c r="L777" s="444">
        <f t="shared" ca="1" si="80"/>
        <v>1938056.5003565387</v>
      </c>
      <c r="M777" s="460">
        <f t="shared" si="82"/>
        <v>0.05</v>
      </c>
      <c r="N777" s="464">
        <f t="shared" si="83"/>
        <v>74693</v>
      </c>
    </row>
    <row r="778" spans="7:14" ht="11.25" customHeight="1" x14ac:dyDescent="0.3">
      <c r="G778" s="459">
        <f t="shared" si="84"/>
        <v>65</v>
      </c>
      <c r="H778" s="459">
        <v>771</v>
      </c>
      <c r="I778" s="444">
        <f t="shared" ca="1" si="81"/>
        <v>1938056.5003565387</v>
      </c>
      <c r="J778" s="444">
        <f t="array" ref="J778">IFERROR(INDEX('Retirement Calculator'!J:J,MATCH('Isaac 401k'!N778,'Retirement Calculator'!A:A,0),0),0)</f>
        <v>7896.2379798201846</v>
      </c>
      <c r="K778" s="444">
        <f t="shared" ca="1" si="79"/>
        <v>8042.3344265696587</v>
      </c>
      <c r="L778" s="444">
        <f t="shared" ca="1" si="80"/>
        <v>1938202.5968032882</v>
      </c>
      <c r="M778" s="460">
        <f t="shared" si="82"/>
        <v>0.05</v>
      </c>
      <c r="N778" s="464">
        <f t="shared" si="83"/>
        <v>74724</v>
      </c>
    </row>
    <row r="779" spans="7:14" ht="11.25" customHeight="1" x14ac:dyDescent="0.3">
      <c r="G779" s="459">
        <f t="shared" si="84"/>
        <v>65</v>
      </c>
      <c r="H779" s="459">
        <v>772</v>
      </c>
      <c r="I779" s="444">
        <f t="shared" ca="1" si="81"/>
        <v>1938202.5968032882</v>
      </c>
      <c r="J779" s="444">
        <f t="array" ref="J779">IFERROR(INDEX('Retirement Calculator'!J:J,MATCH('Isaac 401k'!N779,'Retirement Calculator'!A:A,0),0),0)</f>
        <v>7896.2379798201846</v>
      </c>
      <c r="K779" s="444">
        <f t="shared" ca="1" si="79"/>
        <v>8042.9431617644495</v>
      </c>
      <c r="L779" s="444">
        <f t="shared" ca="1" si="80"/>
        <v>1938349.3019852324</v>
      </c>
      <c r="M779" s="460">
        <f t="shared" si="82"/>
        <v>0.05</v>
      </c>
      <c r="N779" s="464">
        <f t="shared" si="83"/>
        <v>74755</v>
      </c>
    </row>
    <row r="780" spans="7:14" ht="11.25" customHeight="1" x14ac:dyDescent="0.3">
      <c r="G780" s="459">
        <f t="shared" si="84"/>
        <v>65</v>
      </c>
      <c r="H780" s="459">
        <v>773</v>
      </c>
      <c r="I780" s="444">
        <f t="shared" ca="1" si="81"/>
        <v>1938349.3019852324</v>
      </c>
      <c r="J780" s="444">
        <f t="array" ref="J780">IFERROR(INDEX('Retirement Calculator'!J:J,MATCH('Isaac 401k'!N780,'Retirement Calculator'!A:A,0),0),0)</f>
        <v>7896.2379798201846</v>
      </c>
      <c r="K780" s="444">
        <f t="shared" ca="1" si="79"/>
        <v>8043.5544333558837</v>
      </c>
      <c r="L780" s="444">
        <f t="shared" ca="1" si="80"/>
        <v>1938496.618438768</v>
      </c>
      <c r="M780" s="460">
        <f t="shared" si="82"/>
        <v>0.05</v>
      </c>
      <c r="N780" s="464">
        <f t="shared" si="83"/>
        <v>74785</v>
      </c>
    </row>
    <row r="781" spans="7:14" ht="11.25" customHeight="1" x14ac:dyDescent="0.3">
      <c r="G781" s="459">
        <f t="shared" si="84"/>
        <v>65</v>
      </c>
      <c r="H781" s="459">
        <v>774</v>
      </c>
      <c r="I781" s="444">
        <f t="shared" ca="1" si="81"/>
        <v>1938496.618438768</v>
      </c>
      <c r="J781" s="444">
        <f t="array" ref="J781">IFERROR(INDEX('Retirement Calculator'!J:J,MATCH('Isaac 401k'!N781,'Retirement Calculator'!A:A,0),0),0)</f>
        <v>7896.2379798201846</v>
      </c>
      <c r="K781" s="444">
        <f t="shared" ca="1" si="79"/>
        <v>8044.1682519122824</v>
      </c>
      <c r="L781" s="444">
        <f t="shared" ca="1" si="80"/>
        <v>1938644.5487108601</v>
      </c>
      <c r="M781" s="460">
        <f t="shared" si="82"/>
        <v>0.05</v>
      </c>
      <c r="N781" s="464">
        <f t="shared" si="83"/>
        <v>74816</v>
      </c>
    </row>
    <row r="782" spans="7:14" ht="11.25" customHeight="1" x14ac:dyDescent="0.3">
      <c r="G782" s="459">
        <f t="shared" si="84"/>
        <v>65</v>
      </c>
      <c r="H782" s="459">
        <v>775</v>
      </c>
      <c r="I782" s="444">
        <f t="shared" ca="1" si="81"/>
        <v>1938644.5487108601</v>
      </c>
      <c r="J782" s="444">
        <f t="array" ref="J782">IFERROR(INDEX('Retirement Calculator'!J:J,MATCH('Isaac 401k'!N782,'Retirement Calculator'!A:A,0),0),0)</f>
        <v>7896.2379798201846</v>
      </c>
      <c r="K782" s="444">
        <f t="shared" ca="1" si="79"/>
        <v>8044.7846280459989</v>
      </c>
      <c r="L782" s="444">
        <f t="shared" ca="1" si="80"/>
        <v>1938793.0953590858</v>
      </c>
      <c r="M782" s="460">
        <f t="shared" si="82"/>
        <v>0.05</v>
      </c>
      <c r="N782" s="464">
        <f t="shared" si="83"/>
        <v>74846</v>
      </c>
    </row>
    <row r="783" spans="7:14" ht="11.25" customHeight="1" x14ac:dyDescent="0.3">
      <c r="G783" s="459">
        <f t="shared" si="84"/>
        <v>65</v>
      </c>
      <c r="H783" s="459">
        <v>776</v>
      </c>
      <c r="I783" s="444">
        <f t="shared" ca="1" si="81"/>
        <v>1938793.0953590858</v>
      </c>
      <c r="J783" s="444">
        <f t="array" ref="J783">IFERROR(INDEX('Retirement Calculator'!J:J,MATCH('Isaac 401k'!N783,'Retirement Calculator'!A:A,0),0),0)</f>
        <v>7896.2379798201846</v>
      </c>
      <c r="K783" s="444">
        <f t="shared" ca="1" si="79"/>
        <v>8045.4035724136074</v>
      </c>
      <c r="L783" s="444">
        <f t="shared" ca="1" si="80"/>
        <v>1938942.2609516792</v>
      </c>
      <c r="M783" s="460">
        <f t="shared" si="82"/>
        <v>0.05</v>
      </c>
      <c r="N783" s="464">
        <f t="shared" si="83"/>
        <v>74877</v>
      </c>
    </row>
    <row r="784" spans="7:14" ht="11.25" customHeight="1" x14ac:dyDescent="0.3">
      <c r="G784" s="459">
        <f t="shared" si="84"/>
        <v>65</v>
      </c>
      <c r="H784" s="459">
        <v>777</v>
      </c>
      <c r="I784" s="444">
        <f t="shared" ca="1" si="81"/>
        <v>1938942.2609516792</v>
      </c>
      <c r="J784" s="444">
        <f t="array" ref="J784">IFERROR(INDEX('Retirement Calculator'!J:J,MATCH('Isaac 401k'!N784,'Retirement Calculator'!A:A,0),0),0)</f>
        <v>7896.2379798201846</v>
      </c>
      <c r="K784" s="444">
        <f t="shared" ca="1" si="79"/>
        <v>8046.0250957160779</v>
      </c>
      <c r="L784" s="444">
        <f t="shared" ca="1" si="80"/>
        <v>1939092.0480675751</v>
      </c>
      <c r="M784" s="460">
        <f t="shared" si="82"/>
        <v>0.05</v>
      </c>
      <c r="N784" s="464">
        <f t="shared" si="83"/>
        <v>74908</v>
      </c>
    </row>
    <row r="785" spans="7:14" ht="11.25" customHeight="1" x14ac:dyDescent="0.3">
      <c r="G785" s="459">
        <f t="shared" si="84"/>
        <v>65</v>
      </c>
      <c r="H785" s="459">
        <v>778</v>
      </c>
      <c r="I785" s="444">
        <f t="shared" ca="1" si="81"/>
        <v>1939092.0480675751</v>
      </c>
      <c r="J785" s="444">
        <f t="array" ref="J785">IFERROR(INDEX('Retirement Calculator'!J:J,MATCH('Isaac 401k'!N785,'Retirement Calculator'!A:A,0),0),0)</f>
        <v>7896.2379798201846</v>
      </c>
      <c r="K785" s="444">
        <f t="shared" ca="1" si="79"/>
        <v>8046.6492086989783</v>
      </c>
      <c r="L785" s="444">
        <f t="shared" ca="1" si="80"/>
        <v>1939242.4592964537</v>
      </c>
      <c r="M785" s="460">
        <f t="shared" si="82"/>
        <v>0.05</v>
      </c>
      <c r="N785" s="464">
        <f t="shared" si="83"/>
        <v>74936</v>
      </c>
    </row>
    <row r="786" spans="7:14" ht="11.25" customHeight="1" x14ac:dyDescent="0.3">
      <c r="G786" s="459">
        <f t="shared" si="84"/>
        <v>65</v>
      </c>
      <c r="H786" s="459">
        <v>779</v>
      </c>
      <c r="I786" s="444">
        <f t="shared" ca="1" si="81"/>
        <v>1939242.4592964537</v>
      </c>
      <c r="J786" s="444">
        <f t="array" ref="J786">IFERROR(INDEX('Retirement Calculator'!J:J,MATCH('Isaac 401k'!N786,'Retirement Calculator'!A:A,0),0),0)</f>
        <v>7896.2379798201846</v>
      </c>
      <c r="K786" s="444">
        <f t="shared" ca="1" si="79"/>
        <v>8047.2759221526385</v>
      </c>
      <c r="L786" s="444">
        <f t="shared" ca="1" si="80"/>
        <v>1939393.4972387862</v>
      </c>
      <c r="M786" s="460">
        <f t="shared" si="82"/>
        <v>0.05</v>
      </c>
      <c r="N786" s="464">
        <f t="shared" si="83"/>
        <v>74967</v>
      </c>
    </row>
    <row r="787" spans="7:14" ht="11.25" customHeight="1" x14ac:dyDescent="0.3">
      <c r="G787" s="459">
        <f t="shared" si="84"/>
        <v>65</v>
      </c>
      <c r="H787" s="459">
        <v>780</v>
      </c>
      <c r="I787" s="444">
        <f t="shared" ca="1" si="81"/>
        <v>1939393.4972387862</v>
      </c>
      <c r="J787" s="444">
        <f t="array" ref="J787">IFERROR(INDEX('Retirement Calculator'!J:J,MATCH('Isaac 401k'!N787,'Retirement Calculator'!A:A,0),0),0)</f>
        <v>7896.2379798201846</v>
      </c>
      <c r="K787" s="444">
        <f t="shared" ca="1" si="79"/>
        <v>8047.905246912359</v>
      </c>
      <c r="L787" s="444">
        <f t="shared" ca="1" si="80"/>
        <v>1939545.1645058782</v>
      </c>
      <c r="M787" s="460">
        <f t="shared" si="82"/>
        <v>0.05</v>
      </c>
      <c r="N787" s="464">
        <f t="shared" si="83"/>
        <v>74997</v>
      </c>
    </row>
    <row r="788" spans="7:14" ht="11.25" customHeight="1" x14ac:dyDescent="0.3">
      <c r="G788" s="459">
        <f>G787+1</f>
        <v>66</v>
      </c>
      <c r="H788" s="459">
        <v>781</v>
      </c>
      <c r="I788" s="444">
        <f t="shared" ca="1" si="81"/>
        <v>1939545.1645058782</v>
      </c>
      <c r="J788" s="444">
        <f t="array" ref="J788">IFERROR(INDEX('Retirement Calculator'!J:J,MATCH('Isaac 401k'!N788,'Retirement Calculator'!A:A,0),0),0)</f>
        <v>7896.2379798201846</v>
      </c>
      <c r="K788" s="444">
        <f t="shared" ca="1" si="79"/>
        <v>8048.5371938585749</v>
      </c>
      <c r="L788" s="444">
        <f t="shared" ca="1" si="80"/>
        <v>1939697.4637199165</v>
      </c>
      <c r="M788" s="460">
        <f t="shared" si="82"/>
        <v>0.05</v>
      </c>
      <c r="N788" s="464">
        <f t="shared" si="83"/>
        <v>75028</v>
      </c>
    </row>
    <row r="789" spans="7:14" ht="11.25" customHeight="1" x14ac:dyDescent="0.3">
      <c r="G789" s="459">
        <f t="shared" ref="G789:G799" si="85">G788</f>
        <v>66</v>
      </c>
      <c r="H789" s="459">
        <v>782</v>
      </c>
      <c r="I789" s="444">
        <f t="shared" ca="1" si="81"/>
        <v>1939697.4637199165</v>
      </c>
      <c r="J789" s="444">
        <f t="array" ref="J789">IFERROR(INDEX('Retirement Calculator'!J:J,MATCH('Isaac 401k'!N789,'Retirement Calculator'!A:A,0),0),0)</f>
        <v>7896.2379798201846</v>
      </c>
      <c r="K789" s="444">
        <f t="shared" ca="1" si="79"/>
        <v>8049.1717739170681</v>
      </c>
      <c r="L789" s="444">
        <f t="shared" ca="1" si="80"/>
        <v>1939850.3975140133</v>
      </c>
      <c r="M789" s="460">
        <f t="shared" si="82"/>
        <v>0.05</v>
      </c>
      <c r="N789" s="464">
        <f t="shared" si="83"/>
        <v>75058</v>
      </c>
    </row>
    <row r="790" spans="7:14" ht="11.25" customHeight="1" x14ac:dyDescent="0.3">
      <c r="G790" s="459">
        <f t="shared" si="85"/>
        <v>66</v>
      </c>
      <c r="H790" s="459">
        <v>783</v>
      </c>
      <c r="I790" s="444">
        <f t="shared" ca="1" si="81"/>
        <v>1939850.3975140133</v>
      </c>
      <c r="J790" s="444">
        <f t="array" ref="J790">IFERROR(INDEX('Retirement Calculator'!J:J,MATCH('Isaac 401k'!N790,'Retirement Calculator'!A:A,0),0),0)</f>
        <v>7896.2379798201846</v>
      </c>
      <c r="K790" s="444">
        <f t="shared" ca="1" si="79"/>
        <v>8049.8089980591367</v>
      </c>
      <c r="L790" s="444">
        <f t="shared" ca="1" si="80"/>
        <v>1940003.9685322524</v>
      </c>
      <c r="M790" s="460">
        <f t="shared" si="82"/>
        <v>0.05</v>
      </c>
      <c r="N790" s="464">
        <f t="shared" si="83"/>
        <v>75089</v>
      </c>
    </row>
    <row r="791" spans="7:14" ht="11.25" customHeight="1" x14ac:dyDescent="0.3">
      <c r="G791" s="459">
        <f t="shared" si="85"/>
        <v>66</v>
      </c>
      <c r="H791" s="459">
        <v>784</v>
      </c>
      <c r="I791" s="444">
        <f t="shared" ca="1" si="81"/>
        <v>1940003.9685322524</v>
      </c>
      <c r="J791" s="444">
        <f t="array" ref="J791">IFERROR(INDEX('Retirement Calculator'!J:J,MATCH('Isaac 401k'!N791,'Retirement Calculator'!A:A,0),0),0)</f>
        <v>7896.2379798201846</v>
      </c>
      <c r="K791" s="444">
        <f t="shared" ca="1" si="79"/>
        <v>8050.4488773018002</v>
      </c>
      <c r="L791" s="444">
        <f t="shared" ca="1" si="80"/>
        <v>1940158.1794297339</v>
      </c>
      <c r="M791" s="460">
        <f t="shared" si="82"/>
        <v>0.05</v>
      </c>
      <c r="N791" s="464">
        <f t="shared" si="83"/>
        <v>75120</v>
      </c>
    </row>
    <row r="792" spans="7:14" ht="11.25" customHeight="1" x14ac:dyDescent="0.3">
      <c r="G792" s="459">
        <f t="shared" si="85"/>
        <v>66</v>
      </c>
      <c r="H792" s="459">
        <v>785</v>
      </c>
      <c r="I792" s="444">
        <f t="shared" ca="1" si="81"/>
        <v>1940158.1794297339</v>
      </c>
      <c r="J792" s="444">
        <f t="array" ref="J792">IFERROR(INDEX('Retirement Calculator'!J:J,MATCH('Isaac 401k'!N792,'Retirement Calculator'!A:A,0),0),0)</f>
        <v>7896.2379798201846</v>
      </c>
      <c r="K792" s="444">
        <f t="shared" ca="1" si="79"/>
        <v>8051.0914227079729</v>
      </c>
      <c r="L792" s="444">
        <f t="shared" ca="1" si="80"/>
        <v>1940313.0328726217</v>
      </c>
      <c r="M792" s="460">
        <f t="shared" si="82"/>
        <v>0.05</v>
      </c>
      <c r="N792" s="464">
        <f t="shared" si="83"/>
        <v>75150</v>
      </c>
    </row>
    <row r="793" spans="7:14" ht="11.25" customHeight="1" x14ac:dyDescent="0.3">
      <c r="G793" s="459">
        <f t="shared" si="85"/>
        <v>66</v>
      </c>
      <c r="H793" s="459">
        <v>786</v>
      </c>
      <c r="I793" s="444">
        <f t="shared" ca="1" si="81"/>
        <v>1940313.0328726217</v>
      </c>
      <c r="J793" s="444">
        <f t="array" ref="J793">IFERROR(INDEX('Retirement Calculator'!J:J,MATCH('Isaac 401k'!N793,'Retirement Calculator'!A:A,0),0),0)</f>
        <v>7896.2379798201846</v>
      </c>
      <c r="K793" s="444">
        <f t="shared" ca="1" si="79"/>
        <v>8051.7366453866734</v>
      </c>
      <c r="L793" s="444">
        <f t="shared" ca="1" si="80"/>
        <v>1940468.5315381882</v>
      </c>
      <c r="M793" s="460">
        <f t="shared" si="82"/>
        <v>0.05</v>
      </c>
      <c r="N793" s="464">
        <f t="shared" si="83"/>
        <v>75181</v>
      </c>
    </row>
    <row r="794" spans="7:14" ht="11.25" customHeight="1" x14ac:dyDescent="0.3">
      <c r="G794" s="459">
        <f t="shared" si="85"/>
        <v>66</v>
      </c>
      <c r="H794" s="459">
        <v>787</v>
      </c>
      <c r="I794" s="444">
        <f t="shared" ca="1" si="81"/>
        <v>1940468.5315381882</v>
      </c>
      <c r="J794" s="444">
        <f t="array" ref="J794">IFERROR(INDEX('Retirement Calculator'!J:J,MATCH('Isaac 401k'!N794,'Retirement Calculator'!A:A,0),0),0)</f>
        <v>7896.2379798201846</v>
      </c>
      <c r="K794" s="444">
        <f t="shared" ca="1" si="79"/>
        <v>8052.3845564931999</v>
      </c>
      <c r="L794" s="444">
        <f t="shared" ca="1" si="80"/>
        <v>1940624.6781148612</v>
      </c>
      <c r="M794" s="460">
        <f t="shared" si="82"/>
        <v>0.05</v>
      </c>
      <c r="N794" s="464">
        <f t="shared" si="83"/>
        <v>75211</v>
      </c>
    </row>
    <row r="795" spans="7:14" ht="11.25" customHeight="1" x14ac:dyDescent="0.3">
      <c r="G795" s="459">
        <f t="shared" si="85"/>
        <v>66</v>
      </c>
      <c r="H795" s="459">
        <v>788</v>
      </c>
      <c r="I795" s="444">
        <f t="shared" ca="1" si="81"/>
        <v>1940624.6781148612</v>
      </c>
      <c r="J795" s="444">
        <f t="array" ref="J795">IFERROR(INDEX('Retirement Calculator'!J:J,MATCH('Isaac 401k'!N795,'Retirement Calculator'!A:A,0),0),0)</f>
        <v>7896.2379798201846</v>
      </c>
      <c r="K795" s="444">
        <f t="shared" ca="1" si="79"/>
        <v>8053.0351672293382</v>
      </c>
      <c r="L795" s="444">
        <f t="shared" ca="1" si="80"/>
        <v>1940781.4753022704</v>
      </c>
      <c r="M795" s="460">
        <f t="shared" si="82"/>
        <v>0.05</v>
      </c>
      <c r="N795" s="464">
        <f t="shared" si="83"/>
        <v>75242</v>
      </c>
    </row>
    <row r="796" spans="7:14" ht="11.25" customHeight="1" x14ac:dyDescent="0.3">
      <c r="G796" s="459">
        <f t="shared" si="85"/>
        <v>66</v>
      </c>
      <c r="H796" s="459">
        <v>789</v>
      </c>
      <c r="I796" s="444">
        <f t="shared" ca="1" si="81"/>
        <v>1940781.4753022704</v>
      </c>
      <c r="J796" s="444">
        <f t="array" ref="J796">IFERROR(INDEX('Retirement Calculator'!J:J,MATCH('Isaac 401k'!N796,'Retirement Calculator'!A:A,0),0),0)</f>
        <v>7896.2379798201846</v>
      </c>
      <c r="K796" s="444">
        <f t="shared" ca="1" si="79"/>
        <v>8053.6884888435425</v>
      </c>
      <c r="L796" s="444">
        <f t="shared" ca="1" si="80"/>
        <v>1940938.9258112938</v>
      </c>
      <c r="M796" s="460">
        <f t="shared" si="82"/>
        <v>0.05</v>
      </c>
      <c r="N796" s="464">
        <f t="shared" si="83"/>
        <v>75273</v>
      </c>
    </row>
    <row r="797" spans="7:14" ht="11.25" customHeight="1" x14ac:dyDescent="0.3">
      <c r="G797" s="459">
        <f t="shared" si="85"/>
        <v>66</v>
      </c>
      <c r="H797" s="459">
        <v>790</v>
      </c>
      <c r="I797" s="444">
        <f t="shared" ca="1" si="81"/>
        <v>1940938.9258112938</v>
      </c>
      <c r="J797" s="444">
        <f t="array" ref="J797">IFERROR(INDEX('Retirement Calculator'!J:J,MATCH('Isaac 401k'!N797,'Retirement Calculator'!A:A,0),0),0)</f>
        <v>7896.2379798201846</v>
      </c>
      <c r="K797" s="444">
        <f t="shared" ca="1" si="79"/>
        <v>8054.3445326311394</v>
      </c>
      <c r="L797" s="444">
        <f t="shared" ca="1" si="80"/>
        <v>1941097.0323641046</v>
      </c>
      <c r="M797" s="460">
        <f t="shared" si="82"/>
        <v>0.05</v>
      </c>
      <c r="N797" s="464">
        <f t="shared" si="83"/>
        <v>75301</v>
      </c>
    </row>
    <row r="798" spans="7:14" ht="11.25" customHeight="1" x14ac:dyDescent="0.3">
      <c r="G798" s="459">
        <f t="shared" si="85"/>
        <v>66</v>
      </c>
      <c r="H798" s="459">
        <v>791</v>
      </c>
      <c r="I798" s="444">
        <f t="shared" ca="1" si="81"/>
        <v>1941097.0323641046</v>
      </c>
      <c r="J798" s="444">
        <f t="array" ref="J798">IFERROR(INDEX('Retirement Calculator'!J:J,MATCH('Isaac 401k'!N798,'Retirement Calculator'!A:A,0),0),0)</f>
        <v>7896.2379798201846</v>
      </c>
      <c r="K798" s="444">
        <f t="shared" ca="1" si="79"/>
        <v>8055.0033099345183</v>
      </c>
      <c r="L798" s="444">
        <f t="shared" ca="1" si="80"/>
        <v>1941255.797694219</v>
      </c>
      <c r="M798" s="460">
        <f t="shared" si="82"/>
        <v>0.05</v>
      </c>
      <c r="N798" s="464">
        <f t="shared" si="83"/>
        <v>75332</v>
      </c>
    </row>
    <row r="799" spans="7:14" ht="11.25" customHeight="1" x14ac:dyDescent="0.3">
      <c r="G799" s="459">
        <f t="shared" si="85"/>
        <v>66</v>
      </c>
      <c r="H799" s="459">
        <v>792</v>
      </c>
      <c r="I799" s="444">
        <f t="shared" ca="1" si="81"/>
        <v>1941255.797694219</v>
      </c>
      <c r="J799" s="444">
        <f t="array" ref="J799">IFERROR(INDEX('Retirement Calculator'!J:J,MATCH('Isaac 401k'!N799,'Retirement Calculator'!A:A,0),0),0)</f>
        <v>7896.2379798201846</v>
      </c>
      <c r="K799" s="444">
        <f t="shared" ca="1" si="79"/>
        <v>8055.6648321433286</v>
      </c>
      <c r="L799" s="444">
        <f t="shared" ca="1" si="80"/>
        <v>1941415.2245465422</v>
      </c>
      <c r="M799" s="460">
        <f t="shared" si="82"/>
        <v>0.05</v>
      </c>
      <c r="N799" s="464">
        <f t="shared" si="83"/>
        <v>75362</v>
      </c>
    </row>
    <row r="800" spans="7:14" ht="11.25" customHeight="1" x14ac:dyDescent="0.3">
      <c r="G800" s="459">
        <f>G799+1</f>
        <v>67</v>
      </c>
      <c r="H800" s="459">
        <v>793</v>
      </c>
      <c r="I800" s="444">
        <f t="shared" ca="1" si="81"/>
        <v>1941415.2245465422</v>
      </c>
      <c r="J800" s="444">
        <f t="array" ref="J800">IFERROR(INDEX('Retirement Calculator'!J:J,MATCH('Isaac 401k'!N800,'Retirement Calculator'!A:A,0),0),0)</f>
        <v>7896.2379798201846</v>
      </c>
      <c r="K800" s="444">
        <f t="shared" ca="1" si="79"/>
        <v>8056.3291106946735</v>
      </c>
      <c r="L800" s="444">
        <f t="shared" ca="1" si="80"/>
        <v>1941575.3156774165</v>
      </c>
      <c r="M800" s="460">
        <f t="shared" si="82"/>
        <v>0.05</v>
      </c>
      <c r="N800" s="464">
        <f t="shared" si="83"/>
        <v>75393</v>
      </c>
    </row>
    <row r="801" spans="7:14" ht="11.25" customHeight="1" x14ac:dyDescent="0.3">
      <c r="G801" s="459">
        <f t="shared" ref="G801:G811" si="86">G800</f>
        <v>67</v>
      </c>
      <c r="H801" s="459">
        <v>794</v>
      </c>
      <c r="I801" s="444">
        <f t="shared" ca="1" si="81"/>
        <v>1941575.3156774165</v>
      </c>
      <c r="J801" s="444">
        <f t="array" ref="J801">IFERROR(INDEX('Retirement Calculator'!J:J,MATCH('Isaac 401k'!N801,'Retirement Calculator'!A:A,0),0),0)</f>
        <v>7896.2379798201846</v>
      </c>
      <c r="K801" s="444">
        <f t="shared" ca="1" si="79"/>
        <v>8056.9961570733176</v>
      </c>
      <c r="L801" s="444">
        <f t="shared" ca="1" si="80"/>
        <v>1941736.0738546697</v>
      </c>
      <c r="M801" s="460">
        <f t="shared" si="82"/>
        <v>0.05</v>
      </c>
      <c r="N801" s="464">
        <f t="shared" si="83"/>
        <v>75423</v>
      </c>
    </row>
    <row r="802" spans="7:14" ht="11.25" customHeight="1" x14ac:dyDescent="0.3">
      <c r="G802" s="459">
        <f t="shared" si="86"/>
        <v>67</v>
      </c>
      <c r="H802" s="459">
        <v>795</v>
      </c>
      <c r="I802" s="444">
        <f t="shared" ca="1" si="81"/>
        <v>1941736.0738546697</v>
      </c>
      <c r="J802" s="444">
        <f t="array" ref="J802">IFERROR(INDEX('Retirement Calculator'!J:J,MATCH('Isaac 401k'!N802,'Retirement Calculator'!A:A,0),0),0)</f>
        <v>7896.2379798201846</v>
      </c>
      <c r="K802" s="444">
        <f t="shared" ca="1" si="79"/>
        <v>8057.6659828118718</v>
      </c>
      <c r="L802" s="444">
        <f t="shared" ca="1" si="80"/>
        <v>1941897.5018576614</v>
      </c>
      <c r="M802" s="460">
        <f t="shared" si="82"/>
        <v>0.05</v>
      </c>
      <c r="N802" s="464">
        <f t="shared" si="83"/>
        <v>75454</v>
      </c>
    </row>
    <row r="803" spans="7:14" ht="11.25" customHeight="1" x14ac:dyDescent="0.3">
      <c r="G803" s="459">
        <f t="shared" si="86"/>
        <v>67</v>
      </c>
      <c r="H803" s="459">
        <v>796</v>
      </c>
      <c r="I803" s="444">
        <f t="shared" ca="1" si="81"/>
        <v>1941897.5018576614</v>
      </c>
      <c r="J803" s="444">
        <f t="array" ref="J803">IFERROR(INDEX('Retirement Calculator'!J:J,MATCH('Isaac 401k'!N803,'Retirement Calculator'!A:A,0),0),0)</f>
        <v>7896.2379798201846</v>
      </c>
      <c r="K803" s="444">
        <f t="shared" ca="1" si="79"/>
        <v>8058.338599491005</v>
      </c>
      <c r="L803" s="444">
        <f t="shared" ca="1" si="80"/>
        <v>1942059.6024773321</v>
      </c>
      <c r="M803" s="460">
        <f t="shared" si="82"/>
        <v>0.05</v>
      </c>
      <c r="N803" s="464">
        <f t="shared" si="83"/>
        <v>75485</v>
      </c>
    </row>
    <row r="804" spans="7:14" ht="11.25" customHeight="1" x14ac:dyDescent="0.3">
      <c r="G804" s="459">
        <f t="shared" si="86"/>
        <v>67</v>
      </c>
      <c r="H804" s="459">
        <v>797</v>
      </c>
      <c r="I804" s="444">
        <f t="shared" ca="1" si="81"/>
        <v>1942059.6024773321</v>
      </c>
      <c r="J804" s="444">
        <f t="array" ref="J804">IFERROR(INDEX('Retirement Calculator'!J:J,MATCH('Isaac 401k'!N804,'Retirement Calculator'!A:A,0),0),0)</f>
        <v>7896.2379798201846</v>
      </c>
      <c r="K804" s="444">
        <f t="shared" ca="1" si="79"/>
        <v>8059.0140187396328</v>
      </c>
      <c r="L804" s="444">
        <f t="shared" ca="1" si="80"/>
        <v>1942222.3785162515</v>
      </c>
      <c r="M804" s="460">
        <f t="shared" si="82"/>
        <v>0.05</v>
      </c>
      <c r="N804" s="464">
        <f t="shared" si="83"/>
        <v>75515</v>
      </c>
    </row>
    <row r="805" spans="7:14" ht="11.25" customHeight="1" x14ac:dyDescent="0.3">
      <c r="G805" s="459">
        <f t="shared" si="86"/>
        <v>67</v>
      </c>
      <c r="H805" s="459">
        <v>798</v>
      </c>
      <c r="I805" s="444">
        <f t="shared" ca="1" si="81"/>
        <v>1942222.3785162515</v>
      </c>
      <c r="J805" s="444">
        <f t="array" ref="J805">IFERROR(INDEX('Retirement Calculator'!J:J,MATCH('Isaac 401k'!N805,'Retirement Calculator'!A:A,0),0),0)</f>
        <v>7896.2379798201846</v>
      </c>
      <c r="K805" s="444">
        <f t="shared" ca="1" si="79"/>
        <v>8059.6922522351288</v>
      </c>
      <c r="L805" s="444">
        <f t="shared" ca="1" si="80"/>
        <v>1942385.8327886662</v>
      </c>
      <c r="M805" s="460">
        <f t="shared" si="82"/>
        <v>0.05</v>
      </c>
      <c r="N805" s="464">
        <f t="shared" si="83"/>
        <v>75546</v>
      </c>
    </row>
    <row r="806" spans="7:14" ht="11.25" customHeight="1" x14ac:dyDescent="0.3">
      <c r="G806" s="459">
        <f t="shared" si="86"/>
        <v>67</v>
      </c>
      <c r="H806" s="459">
        <v>799</v>
      </c>
      <c r="I806" s="444">
        <f t="shared" ca="1" si="81"/>
        <v>1942385.8327886662</v>
      </c>
      <c r="J806" s="444">
        <f t="array" ref="J806">IFERROR(INDEX('Retirement Calculator'!J:J,MATCH('Isaac 401k'!N806,'Retirement Calculator'!A:A,0),0),0)</f>
        <v>7896.2379798201846</v>
      </c>
      <c r="K806" s="444">
        <f t="shared" ca="1" si="79"/>
        <v>8060.3733117035263</v>
      </c>
      <c r="L806" s="444">
        <f t="shared" ca="1" si="80"/>
        <v>1942549.9681205496</v>
      </c>
      <c r="M806" s="460">
        <f t="shared" si="82"/>
        <v>0.05</v>
      </c>
      <c r="N806" s="464">
        <f t="shared" si="83"/>
        <v>75576</v>
      </c>
    </row>
    <row r="807" spans="7:14" ht="11.25" customHeight="1" x14ac:dyDescent="0.3">
      <c r="G807" s="459">
        <f t="shared" si="86"/>
        <v>67</v>
      </c>
      <c r="H807" s="459">
        <v>800</v>
      </c>
      <c r="I807" s="444">
        <f t="shared" ca="1" si="81"/>
        <v>1942549.9681205496</v>
      </c>
      <c r="J807" s="444">
        <f t="array" ref="J807">IFERROR(INDEX('Retirement Calculator'!J:J,MATCH('Isaac 401k'!N807,'Retirement Calculator'!A:A,0),0),0)</f>
        <v>7896.2379798201846</v>
      </c>
      <c r="K807" s="444">
        <f t="shared" ca="1" si="79"/>
        <v>8061.0572089197058</v>
      </c>
      <c r="L807" s="444">
        <f t="shared" ca="1" si="80"/>
        <v>1942714.787349649</v>
      </c>
      <c r="M807" s="460">
        <f t="shared" si="82"/>
        <v>0.05</v>
      </c>
      <c r="N807" s="464">
        <f t="shared" si="83"/>
        <v>75607</v>
      </c>
    </row>
    <row r="808" spans="7:14" ht="11.25" customHeight="1" x14ac:dyDescent="0.3">
      <c r="G808" s="459">
        <f t="shared" si="86"/>
        <v>67</v>
      </c>
      <c r="H808" s="459">
        <v>801</v>
      </c>
      <c r="I808" s="444">
        <f t="shared" ca="1" si="81"/>
        <v>1942714.787349649</v>
      </c>
      <c r="J808" s="444">
        <f t="array" ref="J808">IFERROR(INDEX('Retirement Calculator'!J:J,MATCH('Isaac 401k'!N808,'Retirement Calculator'!A:A,0),0),0)</f>
        <v>7896.2379798201846</v>
      </c>
      <c r="K808" s="444">
        <f t="shared" ca="1" si="79"/>
        <v>8061.7439557076195</v>
      </c>
      <c r="L808" s="444">
        <f t="shared" ca="1" si="80"/>
        <v>1942880.2933255364</v>
      </c>
      <c r="M808" s="460">
        <f t="shared" si="82"/>
        <v>0.05</v>
      </c>
      <c r="N808" s="464">
        <f t="shared" si="83"/>
        <v>75638</v>
      </c>
    </row>
    <row r="809" spans="7:14" ht="11.25" customHeight="1" x14ac:dyDescent="0.3">
      <c r="G809" s="459">
        <f t="shared" si="86"/>
        <v>67</v>
      </c>
      <c r="H809" s="459">
        <v>802</v>
      </c>
      <c r="I809" s="444">
        <f t="shared" ca="1" si="81"/>
        <v>1942880.2933255364</v>
      </c>
      <c r="J809" s="444">
        <f t="array" ref="J809">IFERROR(INDEX('Retirement Calculator'!J:J,MATCH('Isaac 401k'!N809,'Retirement Calculator'!A:A,0),0),0)</f>
        <v>7896.2379798201846</v>
      </c>
      <c r="K809" s="444">
        <f t="shared" ca="1" si="79"/>
        <v>8062.4335639404826</v>
      </c>
      <c r="L809" s="444">
        <f t="shared" ca="1" si="80"/>
        <v>1943046.4889096566</v>
      </c>
      <c r="M809" s="460">
        <f t="shared" si="82"/>
        <v>0.05</v>
      </c>
      <c r="N809" s="464">
        <f t="shared" si="83"/>
        <v>75666</v>
      </c>
    </row>
    <row r="810" spans="7:14" ht="11.25" customHeight="1" x14ac:dyDescent="0.3">
      <c r="G810" s="459">
        <f t="shared" si="86"/>
        <v>67</v>
      </c>
      <c r="H810" s="459">
        <v>803</v>
      </c>
      <c r="I810" s="444">
        <f t="shared" ca="1" si="81"/>
        <v>1943046.4889096566</v>
      </c>
      <c r="J810" s="444">
        <f t="array" ref="J810">IFERROR(INDEX('Retirement Calculator'!J:J,MATCH('Isaac 401k'!N810,'Retirement Calculator'!A:A,0),0),0)</f>
        <v>7896.2379798201846</v>
      </c>
      <c r="K810" s="444">
        <f t="shared" ca="1" si="79"/>
        <v>8063.1260455409847</v>
      </c>
      <c r="L810" s="444">
        <f t="shared" ca="1" si="80"/>
        <v>1943213.3769753773</v>
      </c>
      <c r="M810" s="460">
        <f t="shared" si="82"/>
        <v>0.05</v>
      </c>
      <c r="N810" s="464">
        <f t="shared" si="83"/>
        <v>75697</v>
      </c>
    </row>
    <row r="811" spans="7:14" ht="11.25" customHeight="1" x14ac:dyDescent="0.3">
      <c r="G811" s="459">
        <f t="shared" si="86"/>
        <v>67</v>
      </c>
      <c r="H811" s="459">
        <v>804</v>
      </c>
      <c r="I811" s="444">
        <f t="shared" ca="1" si="81"/>
        <v>1943213.3769753773</v>
      </c>
      <c r="J811" s="444">
        <f t="array" ref="J811">IFERROR(INDEX('Retirement Calculator'!J:J,MATCH('Isaac 401k'!N811,'Retirement Calculator'!A:A,0),0),0)</f>
        <v>7896.2379798201846</v>
      </c>
      <c r="K811" s="444">
        <f t="shared" ca="1" si="79"/>
        <v>8063.8214124814886</v>
      </c>
      <c r="L811" s="444">
        <f t="shared" ca="1" si="80"/>
        <v>1943380.9604080387</v>
      </c>
      <c r="M811" s="460">
        <f t="shared" si="82"/>
        <v>0.05</v>
      </c>
      <c r="N811" s="464">
        <f t="shared" si="83"/>
        <v>75727</v>
      </c>
    </row>
    <row r="812" spans="7:14" ht="11.25" customHeight="1" x14ac:dyDescent="0.3">
      <c r="G812" s="459">
        <f>G811+1</f>
        <v>68</v>
      </c>
      <c r="H812" s="459">
        <v>805</v>
      </c>
      <c r="I812" s="444">
        <f t="shared" ca="1" si="81"/>
        <v>1943380.9604080387</v>
      </c>
      <c r="J812" s="444">
        <f t="array" ref="J812">IFERROR(INDEX('Retirement Calculator'!J:J,MATCH('Isaac 401k'!N812,'Retirement Calculator'!A:A,0),0),0)</f>
        <v>7896.2379798201846</v>
      </c>
      <c r="K812" s="444">
        <f t="shared" ca="1" si="79"/>
        <v>8064.5196767842435</v>
      </c>
      <c r="L812" s="444">
        <f t="shared" ca="1" si="80"/>
        <v>1943549.2421050027</v>
      </c>
      <c r="M812" s="460">
        <f t="shared" si="82"/>
        <v>0.05</v>
      </c>
      <c r="N812" s="464">
        <f t="shared" si="83"/>
        <v>75758</v>
      </c>
    </row>
    <row r="813" spans="7:14" ht="11.25" customHeight="1" x14ac:dyDescent="0.3">
      <c r="G813" s="459">
        <f t="shared" ref="G813:G823" si="87">G812</f>
        <v>68</v>
      </c>
      <c r="H813" s="459">
        <v>806</v>
      </c>
      <c r="I813" s="444">
        <f t="shared" ca="1" si="81"/>
        <v>1943549.2421050027</v>
      </c>
      <c r="J813" s="444">
        <f t="array" ref="J813">IFERROR(INDEX('Retirement Calculator'!J:J,MATCH('Isaac 401k'!N813,'Retirement Calculator'!A:A,0),0),0)</f>
        <v>7896.2379798201846</v>
      </c>
      <c r="K813" s="444">
        <f t="shared" ca="1" si="79"/>
        <v>8065.220850521594</v>
      </c>
      <c r="L813" s="444">
        <f t="shared" ca="1" si="80"/>
        <v>1943718.2249757042</v>
      </c>
      <c r="M813" s="460">
        <f t="shared" si="82"/>
        <v>0.05</v>
      </c>
      <c r="N813" s="464">
        <f t="shared" si="83"/>
        <v>75788</v>
      </c>
    </row>
    <row r="814" spans="7:14" ht="11.25" customHeight="1" x14ac:dyDescent="0.3">
      <c r="G814" s="459">
        <f t="shared" si="87"/>
        <v>68</v>
      </c>
      <c r="H814" s="459">
        <v>807</v>
      </c>
      <c r="I814" s="444">
        <f t="shared" ca="1" si="81"/>
        <v>1943718.2249757042</v>
      </c>
      <c r="J814" s="444">
        <f t="array" ref="J814">IFERROR(INDEX('Retirement Calculator'!J:J,MATCH('Isaac 401k'!N814,'Retirement Calculator'!A:A,0),0),0)</f>
        <v>7896.2379798201846</v>
      </c>
      <c r="K814" s="444">
        <f t="shared" ca="1" si="79"/>
        <v>8065.924945816183</v>
      </c>
      <c r="L814" s="444">
        <f t="shared" ca="1" si="80"/>
        <v>1943887.9119417001</v>
      </c>
      <c r="M814" s="460">
        <f t="shared" si="82"/>
        <v>0.05</v>
      </c>
      <c r="N814" s="464">
        <f t="shared" si="83"/>
        <v>75819</v>
      </c>
    </row>
    <row r="815" spans="7:14" ht="11.25" customHeight="1" x14ac:dyDescent="0.3">
      <c r="G815" s="459">
        <f t="shared" si="87"/>
        <v>68</v>
      </c>
      <c r="H815" s="459">
        <v>808</v>
      </c>
      <c r="I815" s="444">
        <f t="shared" ca="1" si="81"/>
        <v>1943887.9119417001</v>
      </c>
      <c r="J815" s="444">
        <f t="array" ref="J815">IFERROR(INDEX('Retirement Calculator'!J:J,MATCH('Isaac 401k'!N815,'Retirement Calculator'!A:A,0),0),0)</f>
        <v>7896.2379798201846</v>
      </c>
      <c r="K815" s="444">
        <f t="shared" ca="1" si="79"/>
        <v>8066.631974841167</v>
      </c>
      <c r="L815" s="444">
        <f t="shared" ca="1" si="80"/>
        <v>1944058.3059367212</v>
      </c>
      <c r="M815" s="460">
        <f t="shared" si="82"/>
        <v>0.05</v>
      </c>
      <c r="N815" s="464">
        <f t="shared" si="83"/>
        <v>75850</v>
      </c>
    </row>
    <row r="816" spans="7:14" ht="11.25" customHeight="1" x14ac:dyDescent="0.3">
      <c r="G816" s="459">
        <f t="shared" si="87"/>
        <v>68</v>
      </c>
      <c r="H816" s="459">
        <v>809</v>
      </c>
      <c r="I816" s="444">
        <f t="shared" ca="1" si="81"/>
        <v>1944058.3059367212</v>
      </c>
      <c r="J816" s="444">
        <f t="array" ref="J816">IFERROR(INDEX('Retirement Calculator'!J:J,MATCH('Isaac 401k'!N816,'Retirement Calculator'!A:A,0),0),0)</f>
        <v>7896.2379798201846</v>
      </c>
      <c r="K816" s="444">
        <f t="shared" ca="1" si="79"/>
        <v>8067.3419498204194</v>
      </c>
      <c r="L816" s="444">
        <f t="shared" ca="1" si="80"/>
        <v>1944229.4099067214</v>
      </c>
      <c r="M816" s="460">
        <f t="shared" si="82"/>
        <v>0.05</v>
      </c>
      <c r="N816" s="464">
        <f t="shared" si="83"/>
        <v>75880</v>
      </c>
    </row>
    <row r="817" spans="7:14" ht="11.25" customHeight="1" x14ac:dyDescent="0.3">
      <c r="G817" s="459">
        <f t="shared" si="87"/>
        <v>68</v>
      </c>
      <c r="H817" s="459">
        <v>810</v>
      </c>
      <c r="I817" s="444">
        <f t="shared" ca="1" si="81"/>
        <v>1944229.4099067214</v>
      </c>
      <c r="J817" s="444">
        <f t="array" ref="J817">IFERROR(INDEX('Retirement Calculator'!J:J,MATCH('Isaac 401k'!N817,'Retirement Calculator'!A:A,0),0),0)</f>
        <v>7896.2379798201846</v>
      </c>
      <c r="K817" s="444">
        <f t="shared" ca="1" si="79"/>
        <v>8068.0548830287562</v>
      </c>
      <c r="L817" s="444">
        <f t="shared" ca="1" si="80"/>
        <v>1944401.2268099301</v>
      </c>
      <c r="M817" s="460">
        <f t="shared" si="82"/>
        <v>0.05</v>
      </c>
      <c r="N817" s="464">
        <f t="shared" si="83"/>
        <v>75911</v>
      </c>
    </row>
    <row r="818" spans="7:14" ht="11.25" customHeight="1" x14ac:dyDescent="0.3">
      <c r="G818" s="459">
        <f t="shared" si="87"/>
        <v>68</v>
      </c>
      <c r="H818" s="459">
        <v>811</v>
      </c>
      <c r="I818" s="444">
        <f t="shared" ca="1" si="81"/>
        <v>1944401.2268099301</v>
      </c>
      <c r="J818" s="444">
        <f t="array" ref="J818">IFERROR(INDEX('Retirement Calculator'!J:J,MATCH('Isaac 401k'!N818,'Retirement Calculator'!A:A,0),0),0)</f>
        <v>7896.2379798201846</v>
      </c>
      <c r="K818" s="444">
        <f t="shared" ca="1" si="79"/>
        <v>8068.7707867921245</v>
      </c>
      <c r="L818" s="444">
        <f t="shared" ca="1" si="80"/>
        <v>1944573.7596169019</v>
      </c>
      <c r="M818" s="460">
        <f t="shared" si="82"/>
        <v>0.05</v>
      </c>
      <c r="N818" s="464">
        <f t="shared" si="83"/>
        <v>75941</v>
      </c>
    </row>
    <row r="819" spans="7:14" ht="11.25" customHeight="1" x14ac:dyDescent="0.3">
      <c r="G819" s="459">
        <f t="shared" si="87"/>
        <v>68</v>
      </c>
      <c r="H819" s="459">
        <v>812</v>
      </c>
      <c r="I819" s="444">
        <f t="shared" ca="1" si="81"/>
        <v>1944573.7596169019</v>
      </c>
      <c r="J819" s="444">
        <f t="array" ref="J819">IFERROR(INDEX('Retirement Calculator'!J:J,MATCH('Isaac 401k'!N819,'Retirement Calculator'!A:A,0),0),0)</f>
        <v>7896.2379798201846</v>
      </c>
      <c r="K819" s="444">
        <f t="shared" ca="1" si="79"/>
        <v>8069.4896734878403</v>
      </c>
      <c r="L819" s="444">
        <f t="shared" ca="1" si="80"/>
        <v>1944747.0113105695</v>
      </c>
      <c r="M819" s="460">
        <f t="shared" si="82"/>
        <v>0.05</v>
      </c>
      <c r="N819" s="464">
        <f t="shared" si="83"/>
        <v>75972</v>
      </c>
    </row>
    <row r="820" spans="7:14" ht="11.25" customHeight="1" x14ac:dyDescent="0.3">
      <c r="G820" s="459">
        <f t="shared" si="87"/>
        <v>68</v>
      </c>
      <c r="H820" s="459">
        <v>813</v>
      </c>
      <c r="I820" s="444">
        <f t="shared" ca="1" si="81"/>
        <v>1944747.0113105695</v>
      </c>
      <c r="J820" s="444">
        <f t="array" ref="J820">IFERROR(INDEX('Retirement Calculator'!J:J,MATCH('Isaac 401k'!N820,'Retirement Calculator'!A:A,0),0),0)</f>
        <v>7896.2379798201846</v>
      </c>
      <c r="K820" s="444">
        <f t="shared" ca="1" si="79"/>
        <v>8070.211555544789</v>
      </c>
      <c r="L820" s="444">
        <f t="shared" ca="1" si="80"/>
        <v>1944920.984886294</v>
      </c>
      <c r="M820" s="460">
        <f t="shared" si="82"/>
        <v>0.05</v>
      </c>
      <c r="N820" s="464">
        <f t="shared" si="83"/>
        <v>76003</v>
      </c>
    </row>
    <row r="821" spans="7:14" ht="11.25" customHeight="1" x14ac:dyDescent="0.3">
      <c r="G821" s="459">
        <f t="shared" si="87"/>
        <v>68</v>
      </c>
      <c r="H821" s="459">
        <v>814</v>
      </c>
      <c r="I821" s="444">
        <f t="shared" ca="1" si="81"/>
        <v>1944920.984886294</v>
      </c>
      <c r="J821" s="444">
        <f t="array" ref="J821">IFERROR(INDEX('Retirement Calculator'!J:J,MATCH('Isaac 401k'!N821,'Retirement Calculator'!A:A,0),0),0)</f>
        <v>7896.2379798201846</v>
      </c>
      <c r="K821" s="444">
        <f t="shared" ca="1" si="79"/>
        <v>8070.9364454436418</v>
      </c>
      <c r="L821" s="444">
        <f t="shared" ca="1" si="80"/>
        <v>1945095.6833519174</v>
      </c>
      <c r="M821" s="460">
        <f t="shared" si="82"/>
        <v>0.05</v>
      </c>
      <c r="N821" s="464">
        <f t="shared" si="83"/>
        <v>76032</v>
      </c>
    </row>
    <row r="822" spans="7:14" ht="11.25" customHeight="1" x14ac:dyDescent="0.3">
      <c r="G822" s="459">
        <f t="shared" si="87"/>
        <v>68</v>
      </c>
      <c r="H822" s="459">
        <v>815</v>
      </c>
      <c r="I822" s="444">
        <f t="shared" ca="1" si="81"/>
        <v>1945095.6833519174</v>
      </c>
      <c r="J822" s="444">
        <f t="array" ref="J822">IFERROR(INDEX('Retirement Calculator'!J:J,MATCH('Isaac 401k'!N822,'Retirement Calculator'!A:A,0),0),0)</f>
        <v>7896.2379798201846</v>
      </c>
      <c r="K822" s="444">
        <f t="shared" ca="1" si="79"/>
        <v>8071.6643557170728</v>
      </c>
      <c r="L822" s="444">
        <f t="shared" ca="1" si="80"/>
        <v>1945271.1097278143</v>
      </c>
      <c r="M822" s="460">
        <f t="shared" si="82"/>
        <v>0.05</v>
      </c>
      <c r="N822" s="464">
        <f t="shared" si="83"/>
        <v>76063</v>
      </c>
    </row>
    <row r="823" spans="7:14" ht="11.25" customHeight="1" x14ac:dyDescent="0.3">
      <c r="G823" s="459">
        <f t="shared" si="87"/>
        <v>68</v>
      </c>
      <c r="H823" s="459">
        <v>816</v>
      </c>
      <c r="I823" s="444">
        <f t="shared" ca="1" si="81"/>
        <v>1945271.1097278143</v>
      </c>
      <c r="J823" s="444">
        <f t="array" ref="J823">IFERROR(INDEX('Retirement Calculator'!J:J,MATCH('Isaac 401k'!N823,'Retirement Calculator'!A:A,0),0),0)</f>
        <v>7896.2379798201846</v>
      </c>
      <c r="K823" s="444">
        <f t="shared" ca="1" si="79"/>
        <v>8072.3952989499739</v>
      </c>
      <c r="L823" s="444">
        <f t="shared" ca="1" si="80"/>
        <v>1945447.267046944</v>
      </c>
      <c r="M823" s="460">
        <f t="shared" si="82"/>
        <v>0.05</v>
      </c>
      <c r="N823" s="464">
        <f t="shared" si="83"/>
        <v>76093</v>
      </c>
    </row>
    <row r="824" spans="7:14" ht="11.25" customHeight="1" x14ac:dyDescent="0.3">
      <c r="G824" s="459">
        <f>G823+1</f>
        <v>69</v>
      </c>
      <c r="H824" s="459">
        <v>817</v>
      </c>
      <c r="I824" s="444">
        <f t="shared" ca="1" si="81"/>
        <v>1945447.267046944</v>
      </c>
      <c r="J824" s="444">
        <f t="array" ref="J824">IFERROR(INDEX('Retirement Calculator'!J:J,MATCH('Isaac 401k'!N824,'Retirement Calculator'!A:A,0),0),0)</f>
        <v>7896.2379798201846</v>
      </c>
      <c r="K824" s="444">
        <f t="shared" ca="1" si="79"/>
        <v>8073.1292877796823</v>
      </c>
      <c r="L824" s="444">
        <f t="shared" ca="1" si="80"/>
        <v>1945624.1583549036</v>
      </c>
      <c r="M824" s="460">
        <f t="shared" si="82"/>
        <v>0.05</v>
      </c>
      <c r="N824" s="464">
        <f t="shared" si="83"/>
        <v>76124</v>
      </c>
    </row>
    <row r="825" spans="7:14" ht="11.25" customHeight="1" x14ac:dyDescent="0.3">
      <c r="G825" s="459">
        <f t="shared" ref="G825:G835" si="88">G824</f>
        <v>69</v>
      </c>
      <c r="H825" s="459">
        <v>818</v>
      </c>
      <c r="I825" s="444">
        <f t="shared" ca="1" si="81"/>
        <v>1945624.1583549036</v>
      </c>
      <c r="J825" s="444">
        <f t="array" ref="J825">IFERROR(INDEX('Retirement Calculator'!J:J,MATCH('Isaac 401k'!N825,'Retirement Calculator'!A:A,0),0),0)</f>
        <v>7896.2379798201846</v>
      </c>
      <c r="K825" s="444">
        <f t="shared" ca="1" si="79"/>
        <v>8073.8663348961809</v>
      </c>
      <c r="L825" s="444">
        <f t="shared" ca="1" si="80"/>
        <v>1945801.7867099794</v>
      </c>
      <c r="M825" s="460">
        <f t="shared" si="82"/>
        <v>0.05</v>
      </c>
      <c r="N825" s="464">
        <f t="shared" si="83"/>
        <v>76154</v>
      </c>
    </row>
    <row r="826" spans="7:14" ht="11.25" customHeight="1" x14ac:dyDescent="0.3">
      <c r="G826" s="459">
        <f t="shared" si="88"/>
        <v>69</v>
      </c>
      <c r="H826" s="459">
        <v>819</v>
      </c>
      <c r="I826" s="444">
        <f t="shared" ca="1" si="81"/>
        <v>1945801.7867099794</v>
      </c>
      <c r="J826" s="444">
        <f t="array" ref="J826">IFERROR(INDEX('Retirement Calculator'!J:J,MATCH('Isaac 401k'!N826,'Retirement Calculator'!A:A,0),0),0)</f>
        <v>7896.2379798201846</v>
      </c>
      <c r="K826" s="444">
        <f t="shared" ca="1" si="79"/>
        <v>8074.60645304233</v>
      </c>
      <c r="L826" s="444">
        <f t="shared" ca="1" si="80"/>
        <v>1945980.1551832014</v>
      </c>
      <c r="M826" s="460">
        <f t="shared" si="82"/>
        <v>0.05</v>
      </c>
      <c r="N826" s="464">
        <f t="shared" si="83"/>
        <v>76185</v>
      </c>
    </row>
    <row r="827" spans="7:14" ht="11.25" customHeight="1" x14ac:dyDescent="0.3">
      <c r="G827" s="459">
        <f t="shared" si="88"/>
        <v>69</v>
      </c>
      <c r="H827" s="459">
        <v>820</v>
      </c>
      <c r="I827" s="444">
        <f t="shared" ca="1" si="81"/>
        <v>1945980.1551832014</v>
      </c>
      <c r="J827" s="444">
        <f t="array" ref="J827">IFERROR(INDEX('Retirement Calculator'!J:J,MATCH('Isaac 401k'!N827,'Retirement Calculator'!A:A,0),0),0)</f>
        <v>7896.2379798201846</v>
      </c>
      <c r="K827" s="444">
        <f t="shared" ca="1" si="79"/>
        <v>8075.3496550140881</v>
      </c>
      <c r="L827" s="444">
        <f t="shared" ca="1" si="80"/>
        <v>1946159.2668583952</v>
      </c>
      <c r="M827" s="460">
        <f t="shared" si="82"/>
        <v>0.05</v>
      </c>
      <c r="N827" s="464">
        <f t="shared" si="83"/>
        <v>76216</v>
      </c>
    </row>
    <row r="828" spans="7:14" ht="11.25" customHeight="1" x14ac:dyDescent="0.3">
      <c r="G828" s="459">
        <f t="shared" si="88"/>
        <v>69</v>
      </c>
      <c r="H828" s="459">
        <v>821</v>
      </c>
      <c r="I828" s="444">
        <f t="shared" ca="1" si="81"/>
        <v>1946159.2668583952</v>
      </c>
      <c r="J828" s="444">
        <f t="array" ref="J828">IFERROR(INDEX('Retirement Calculator'!J:J,MATCH('Isaac 401k'!N828,'Retirement Calculator'!A:A,0),0),0)</f>
        <v>7896.2379798201846</v>
      </c>
      <c r="K828" s="444">
        <f t="shared" ca="1" si="79"/>
        <v>8076.0959536607279</v>
      </c>
      <c r="L828" s="444">
        <f t="shared" ca="1" si="80"/>
        <v>1946339.1248322357</v>
      </c>
      <c r="M828" s="460">
        <f t="shared" si="82"/>
        <v>0.05</v>
      </c>
      <c r="N828" s="464">
        <f t="shared" si="83"/>
        <v>76246</v>
      </c>
    </row>
    <row r="829" spans="7:14" ht="11.25" customHeight="1" x14ac:dyDescent="0.3">
      <c r="G829" s="459">
        <f t="shared" si="88"/>
        <v>69</v>
      </c>
      <c r="H829" s="459">
        <v>822</v>
      </c>
      <c r="I829" s="444">
        <f t="shared" ca="1" si="81"/>
        <v>1946339.1248322357</v>
      </c>
      <c r="J829" s="444">
        <f t="array" ref="J829">IFERROR(INDEX('Retirement Calculator'!J:J,MATCH('Isaac 401k'!N829,'Retirement Calculator'!A:A,0),0),0)</f>
        <v>7896.2379798201846</v>
      </c>
      <c r="K829" s="444">
        <f t="shared" ca="1" si="79"/>
        <v>8076.8453618850644</v>
      </c>
      <c r="L829" s="444">
        <f t="shared" ca="1" si="80"/>
        <v>1946519.7322143007</v>
      </c>
      <c r="M829" s="460">
        <f t="shared" si="82"/>
        <v>0.05</v>
      </c>
      <c r="N829" s="464">
        <f t="shared" si="83"/>
        <v>76277</v>
      </c>
    </row>
    <row r="830" spans="7:14" ht="11.25" customHeight="1" x14ac:dyDescent="0.3">
      <c r="G830" s="459">
        <f t="shared" si="88"/>
        <v>69</v>
      </c>
      <c r="H830" s="459">
        <v>823</v>
      </c>
      <c r="I830" s="444">
        <f t="shared" ca="1" si="81"/>
        <v>1946519.7322143007</v>
      </c>
      <c r="J830" s="444">
        <f t="array" ref="J830">IFERROR(INDEX('Retirement Calculator'!J:J,MATCH('Isaac 401k'!N830,'Retirement Calculator'!A:A,0),0),0)</f>
        <v>7896.2379798201846</v>
      </c>
      <c r="K830" s="444">
        <f t="shared" ca="1" si="79"/>
        <v>8077.5978926436683</v>
      </c>
      <c r="L830" s="444">
        <f t="shared" ca="1" si="80"/>
        <v>1946701.0921271241</v>
      </c>
      <c r="M830" s="460">
        <f t="shared" si="82"/>
        <v>0.05</v>
      </c>
      <c r="N830" s="464">
        <f t="shared" si="83"/>
        <v>76307</v>
      </c>
    </row>
    <row r="831" spans="7:14" ht="11.25" customHeight="1" x14ac:dyDescent="0.3">
      <c r="G831" s="459">
        <f t="shared" si="88"/>
        <v>69</v>
      </c>
      <c r="H831" s="459">
        <v>824</v>
      </c>
      <c r="I831" s="444">
        <f t="shared" ca="1" si="81"/>
        <v>1946701.0921271241</v>
      </c>
      <c r="J831" s="444">
        <f t="array" ref="J831">IFERROR(INDEX('Retirement Calculator'!J:J,MATCH('Isaac 401k'!N831,'Retirement Calculator'!A:A,0),0),0)</f>
        <v>7896.2379798201846</v>
      </c>
      <c r="K831" s="444">
        <f t="shared" ca="1" si="79"/>
        <v>8078.3535589470994</v>
      </c>
      <c r="L831" s="444">
        <f t="shared" ca="1" si="80"/>
        <v>1946883.2077062509</v>
      </c>
      <c r="M831" s="460">
        <f t="shared" si="82"/>
        <v>0.05</v>
      </c>
      <c r="N831" s="464">
        <f t="shared" si="83"/>
        <v>76338</v>
      </c>
    </row>
    <row r="832" spans="7:14" ht="11.25" customHeight="1" x14ac:dyDescent="0.3">
      <c r="G832" s="459">
        <f t="shared" si="88"/>
        <v>69</v>
      </c>
      <c r="H832" s="459">
        <v>825</v>
      </c>
      <c r="I832" s="444">
        <f t="shared" ca="1" si="81"/>
        <v>1946883.2077062509</v>
      </c>
      <c r="J832" s="444">
        <f t="array" ref="J832">IFERROR(INDEX('Retirement Calculator'!J:J,MATCH('Isaac 401k'!N832,'Retirement Calculator'!A:A,0),0),0)</f>
        <v>7896.2379798201846</v>
      </c>
      <c r="K832" s="444">
        <f t="shared" ca="1" si="79"/>
        <v>8079.1123738601282</v>
      </c>
      <c r="L832" s="444">
        <f t="shared" ca="1" si="80"/>
        <v>1947066.0821002908</v>
      </c>
      <c r="M832" s="460">
        <f t="shared" si="82"/>
        <v>0.05</v>
      </c>
      <c r="N832" s="464">
        <f t="shared" si="83"/>
        <v>76369</v>
      </c>
    </row>
    <row r="833" spans="7:14" ht="11.25" customHeight="1" x14ac:dyDescent="0.3">
      <c r="G833" s="459">
        <f t="shared" si="88"/>
        <v>69</v>
      </c>
      <c r="H833" s="459">
        <v>826</v>
      </c>
      <c r="I833" s="444">
        <f t="shared" ca="1" si="81"/>
        <v>1947066.0821002908</v>
      </c>
      <c r="J833" s="444">
        <f t="array" ref="J833">IFERROR(INDEX('Retirement Calculator'!J:J,MATCH('Isaac 401k'!N833,'Retirement Calculator'!A:A,0),0),0)</f>
        <v>7896.2379798201846</v>
      </c>
      <c r="K833" s="444">
        <f t="shared" ca="1" si="79"/>
        <v>8079.8743505019602</v>
      </c>
      <c r="L833" s="444">
        <f t="shared" ca="1" si="80"/>
        <v>1947249.7184709725</v>
      </c>
      <c r="M833" s="460">
        <f t="shared" si="82"/>
        <v>0.05</v>
      </c>
      <c r="N833" s="464">
        <f t="shared" si="83"/>
        <v>76397</v>
      </c>
    </row>
    <row r="834" spans="7:14" ht="11.25" customHeight="1" x14ac:dyDescent="0.3">
      <c r="G834" s="459">
        <f t="shared" si="88"/>
        <v>69</v>
      </c>
      <c r="H834" s="459">
        <v>827</v>
      </c>
      <c r="I834" s="444">
        <f t="shared" ca="1" si="81"/>
        <v>1947249.7184709725</v>
      </c>
      <c r="J834" s="444">
        <f t="array" ref="J834">IFERROR(INDEX('Retirement Calculator'!J:J,MATCH('Isaac 401k'!N834,'Retirement Calculator'!A:A,0),0),0)</f>
        <v>7896.2379798201846</v>
      </c>
      <c r="K834" s="444">
        <f t="shared" ca="1" si="79"/>
        <v>8080.639502046467</v>
      </c>
      <c r="L834" s="444">
        <f t="shared" ca="1" si="80"/>
        <v>1947434.1199931987</v>
      </c>
      <c r="M834" s="460">
        <f t="shared" si="82"/>
        <v>0.05</v>
      </c>
      <c r="N834" s="464">
        <f t="shared" si="83"/>
        <v>76428</v>
      </c>
    </row>
    <row r="835" spans="7:14" ht="11.25" customHeight="1" x14ac:dyDescent="0.3">
      <c r="G835" s="459">
        <f t="shared" si="88"/>
        <v>69</v>
      </c>
      <c r="H835" s="459">
        <v>828</v>
      </c>
      <c r="I835" s="444">
        <f t="shared" ca="1" si="81"/>
        <v>1947434.1199931987</v>
      </c>
      <c r="J835" s="444">
        <f t="array" ref="J835">IFERROR(INDEX('Retirement Calculator'!J:J,MATCH('Isaac 401k'!N835,'Retirement Calculator'!A:A,0),0),0)</f>
        <v>7896.2379798201846</v>
      </c>
      <c r="K835" s="444">
        <f t="shared" ca="1" si="79"/>
        <v>8081.40784172241</v>
      </c>
      <c r="L835" s="444">
        <f t="shared" ca="1" si="80"/>
        <v>1947619.2898551009</v>
      </c>
      <c r="M835" s="460">
        <f t="shared" si="82"/>
        <v>0.05</v>
      </c>
      <c r="N835" s="464">
        <f t="shared" si="83"/>
        <v>76458</v>
      </c>
    </row>
    <row r="836" spans="7:14" ht="11.25" customHeight="1" x14ac:dyDescent="0.3">
      <c r="G836" s="459">
        <f>G835+1</f>
        <v>70</v>
      </c>
      <c r="H836" s="459">
        <v>829</v>
      </c>
      <c r="I836" s="444">
        <f t="shared" ca="1" si="81"/>
        <v>1947619.2898551009</v>
      </c>
      <c r="J836" s="444">
        <f t="array" ref="J836">IFERROR(INDEX('Retirement Calculator'!J:J,MATCH('Isaac 401k'!N836,'Retirement Calculator'!A:A,0),0),0)</f>
        <v>7896.2379798201846</v>
      </c>
      <c r="K836" s="444">
        <f t="shared" ca="1" si="79"/>
        <v>8082.1793828136697</v>
      </c>
      <c r="L836" s="444">
        <f t="shared" ca="1" si="80"/>
        <v>1947805.2312580943</v>
      </c>
      <c r="M836" s="460">
        <f t="shared" si="82"/>
        <v>0.05</v>
      </c>
      <c r="N836" s="464">
        <f t="shared" si="83"/>
        <v>76489</v>
      </c>
    </row>
    <row r="837" spans="7:14" ht="11.25" customHeight="1" x14ac:dyDescent="0.3">
      <c r="G837" s="459">
        <f t="shared" ref="G837:G847" si="89">G836</f>
        <v>70</v>
      </c>
      <c r="H837" s="459">
        <v>830</v>
      </c>
      <c r="I837" s="444">
        <f t="shared" ca="1" si="81"/>
        <v>1947805.2312580943</v>
      </c>
      <c r="J837" s="444">
        <f t="array" ref="J837">IFERROR(INDEX('Retirement Calculator'!J:J,MATCH('Isaac 401k'!N837,'Retirement Calculator'!A:A,0),0),0)</f>
        <v>7896.2379798201846</v>
      </c>
      <c r="K837" s="444">
        <f t="shared" ca="1" si="79"/>
        <v>8082.9541386594756</v>
      </c>
      <c r="L837" s="444">
        <f t="shared" ca="1" si="80"/>
        <v>1947991.9474169335</v>
      </c>
      <c r="M837" s="460">
        <f t="shared" si="82"/>
        <v>0.05</v>
      </c>
      <c r="N837" s="464">
        <f t="shared" si="83"/>
        <v>76519</v>
      </c>
    </row>
    <row r="838" spans="7:14" ht="11.25" customHeight="1" x14ac:dyDescent="0.3">
      <c r="G838" s="459">
        <f t="shared" si="89"/>
        <v>70</v>
      </c>
      <c r="H838" s="459">
        <v>831</v>
      </c>
      <c r="I838" s="444">
        <f t="shared" ca="1" si="81"/>
        <v>1947991.9474169335</v>
      </c>
      <c r="J838" s="444">
        <f t="array" ref="J838">IFERROR(INDEX('Retirement Calculator'!J:J,MATCH('Isaac 401k'!N838,'Retirement Calculator'!A:A,0),0),0)</f>
        <v>7896.2379798201846</v>
      </c>
      <c r="K838" s="444">
        <f t="shared" ca="1" si="79"/>
        <v>8083.7321226546392</v>
      </c>
      <c r="L838" s="444">
        <f t="shared" ca="1" si="80"/>
        <v>1948179.4415597678</v>
      </c>
      <c r="M838" s="460">
        <f t="shared" si="82"/>
        <v>0.05</v>
      </c>
      <c r="N838" s="464">
        <f t="shared" si="83"/>
        <v>76550</v>
      </c>
    </row>
    <row r="839" spans="7:14" ht="11.25" customHeight="1" x14ac:dyDescent="0.3">
      <c r="G839" s="459">
        <f t="shared" si="89"/>
        <v>70</v>
      </c>
      <c r="H839" s="459">
        <v>832</v>
      </c>
      <c r="I839" s="444">
        <f t="shared" ca="1" si="81"/>
        <v>1948179.4415597678</v>
      </c>
      <c r="J839" s="444">
        <f t="array" ref="J839">IFERROR(INDEX('Retirement Calculator'!J:J,MATCH('Isaac 401k'!N839,'Retirement Calculator'!A:A,0),0),0)</f>
        <v>7896.2379798201846</v>
      </c>
      <c r="K839" s="444">
        <f t="shared" ca="1" si="79"/>
        <v>8084.5133482497813</v>
      </c>
      <c r="L839" s="444">
        <f t="shared" ca="1" si="80"/>
        <v>1948367.7169281973</v>
      </c>
      <c r="M839" s="460">
        <f t="shared" si="82"/>
        <v>0.05</v>
      </c>
      <c r="N839" s="464">
        <f t="shared" si="83"/>
        <v>76581</v>
      </c>
    </row>
    <row r="840" spans="7:14" ht="11.25" customHeight="1" x14ac:dyDescent="0.3">
      <c r="G840" s="459">
        <f t="shared" si="89"/>
        <v>70</v>
      </c>
      <c r="H840" s="459">
        <v>833</v>
      </c>
      <c r="I840" s="444">
        <f t="shared" ca="1" si="81"/>
        <v>1948367.7169281973</v>
      </c>
      <c r="J840" s="444">
        <f t="array" ref="J840">IFERROR(INDEX('Retirement Calculator'!J:J,MATCH('Isaac 401k'!N840,'Retirement Calculator'!A:A,0),0),0)</f>
        <v>7896.2379798201846</v>
      </c>
      <c r="K840" s="444">
        <f t="shared" ca="1" si="79"/>
        <v>8085.2978289515704</v>
      </c>
      <c r="L840" s="444">
        <f t="shared" ca="1" si="80"/>
        <v>1948556.7767773287</v>
      </c>
      <c r="M840" s="460">
        <f t="shared" si="82"/>
        <v>0.05</v>
      </c>
      <c r="N840" s="464">
        <f t="shared" si="83"/>
        <v>76611</v>
      </c>
    </row>
    <row r="841" spans="7:14" ht="11.25" customHeight="1" x14ac:dyDescent="0.3">
      <c r="G841" s="459">
        <f t="shared" si="89"/>
        <v>70</v>
      </c>
      <c r="H841" s="459">
        <v>834</v>
      </c>
      <c r="I841" s="444">
        <f t="shared" ca="1" si="81"/>
        <v>1948556.7767773287</v>
      </c>
      <c r="J841" s="444">
        <f t="array" ref="J841">IFERROR(INDEX('Retirement Calculator'!J:J,MATCH('Isaac 401k'!N841,'Retirement Calculator'!A:A,0),0),0)</f>
        <v>7896.2379798201846</v>
      </c>
      <c r="K841" s="444">
        <f t="shared" ca="1" si="79"/>
        <v>8086.0855783229517</v>
      </c>
      <c r="L841" s="444">
        <f t="shared" ca="1" si="80"/>
        <v>1948746.6243758313</v>
      </c>
      <c r="M841" s="460">
        <f t="shared" si="82"/>
        <v>0.05</v>
      </c>
      <c r="N841" s="464">
        <f t="shared" si="83"/>
        <v>76642</v>
      </c>
    </row>
    <row r="842" spans="7:14" ht="11.25" customHeight="1" x14ac:dyDescent="0.3">
      <c r="G842" s="459">
        <f t="shared" si="89"/>
        <v>70</v>
      </c>
      <c r="H842" s="459">
        <v>835</v>
      </c>
      <c r="I842" s="444">
        <f t="shared" ca="1" si="81"/>
        <v>1948746.6243758313</v>
      </c>
      <c r="J842" s="444">
        <f t="array" ref="J842">IFERROR(INDEX('Retirement Calculator'!J:J,MATCH('Isaac 401k'!N842,'Retirement Calculator'!A:A,0),0),0)</f>
        <v>7896.2379798201846</v>
      </c>
      <c r="K842" s="444">
        <f t="shared" ca="1" si="79"/>
        <v>8086.8766099833792</v>
      </c>
      <c r="L842" s="444">
        <f t="shared" ca="1" si="80"/>
        <v>1948937.2630059945</v>
      </c>
      <c r="M842" s="460">
        <f t="shared" si="82"/>
        <v>0.05</v>
      </c>
      <c r="N842" s="464">
        <f t="shared" si="83"/>
        <v>76672</v>
      </c>
    </row>
    <row r="843" spans="7:14" ht="11.25" customHeight="1" x14ac:dyDescent="0.3">
      <c r="G843" s="459">
        <f t="shared" si="89"/>
        <v>70</v>
      </c>
      <c r="H843" s="459">
        <v>836</v>
      </c>
      <c r="I843" s="444">
        <f t="shared" ca="1" si="81"/>
        <v>1948937.2630059945</v>
      </c>
      <c r="J843" s="444">
        <f t="array" ref="J843">IFERROR(INDEX('Retirement Calculator'!J:J,MATCH('Isaac 401k'!N843,'Retirement Calculator'!A:A,0),0),0)</f>
        <v>7896.2379798201846</v>
      </c>
      <c r="K843" s="444">
        <f t="shared" ca="1" si="79"/>
        <v>8087.6709376090594</v>
      </c>
      <c r="L843" s="444">
        <f t="shared" ca="1" si="80"/>
        <v>1949128.6959637834</v>
      </c>
      <c r="M843" s="460">
        <f t="shared" si="82"/>
        <v>0.05</v>
      </c>
      <c r="N843" s="464">
        <f t="shared" si="83"/>
        <v>76703</v>
      </c>
    </row>
    <row r="844" spans="7:14" ht="11.25" customHeight="1" x14ac:dyDescent="0.3">
      <c r="G844" s="459">
        <f t="shared" si="89"/>
        <v>70</v>
      </c>
      <c r="H844" s="459">
        <v>837</v>
      </c>
      <c r="I844" s="444">
        <f t="shared" ca="1" si="81"/>
        <v>1949128.6959637834</v>
      </c>
      <c r="J844" s="444">
        <f t="array" ref="J844">IFERROR(INDEX('Retirement Calculator'!J:J,MATCH('Isaac 401k'!N844,'Retirement Calculator'!A:A,0),0),0)</f>
        <v>7896.2379798201846</v>
      </c>
      <c r="K844" s="444">
        <f t="shared" ca="1" si="79"/>
        <v>8088.4685749331802</v>
      </c>
      <c r="L844" s="444">
        <f t="shared" ca="1" si="80"/>
        <v>1949320.9265588964</v>
      </c>
      <c r="M844" s="460">
        <f t="shared" si="82"/>
        <v>0.05</v>
      </c>
      <c r="N844" s="464">
        <f t="shared" si="83"/>
        <v>76734</v>
      </c>
    </row>
    <row r="845" spans="7:14" ht="11.25" customHeight="1" x14ac:dyDescent="0.3">
      <c r="G845" s="459">
        <f t="shared" si="89"/>
        <v>70</v>
      </c>
      <c r="H845" s="459">
        <v>838</v>
      </c>
      <c r="I845" s="444">
        <f t="shared" ca="1" si="81"/>
        <v>1949320.9265588964</v>
      </c>
      <c r="J845" s="444">
        <f t="array" ref="J845">IFERROR(INDEX('Retirement Calculator'!J:J,MATCH('Isaac 401k'!N845,'Retirement Calculator'!A:A,0),0),0)</f>
        <v>7896.2379798201846</v>
      </c>
      <c r="K845" s="444">
        <f t="shared" ca="1" si="79"/>
        <v>8089.2695357461507</v>
      </c>
      <c r="L845" s="444">
        <f t="shared" ca="1" si="80"/>
        <v>1949513.9581148224</v>
      </c>
      <c r="M845" s="460">
        <f t="shared" si="82"/>
        <v>0.05</v>
      </c>
      <c r="N845" s="464">
        <f t="shared" si="83"/>
        <v>76762</v>
      </c>
    </row>
    <row r="846" spans="7:14" ht="11.25" customHeight="1" x14ac:dyDescent="0.3">
      <c r="G846" s="459">
        <f t="shared" si="89"/>
        <v>70</v>
      </c>
      <c r="H846" s="459">
        <v>839</v>
      </c>
      <c r="I846" s="444">
        <f t="shared" ca="1" si="81"/>
        <v>1949513.9581148224</v>
      </c>
      <c r="J846" s="444">
        <f t="array" ref="J846">IFERROR(INDEX('Retirement Calculator'!J:J,MATCH('Isaac 401k'!N846,'Retirement Calculator'!A:A,0),0),0)</f>
        <v>7896.2379798201846</v>
      </c>
      <c r="K846" s="444">
        <f t="shared" ca="1" si="79"/>
        <v>8090.0738338958436</v>
      </c>
      <c r="L846" s="444">
        <f t="shared" ca="1" si="80"/>
        <v>1949707.793968898</v>
      </c>
      <c r="M846" s="460">
        <f t="shared" si="82"/>
        <v>0.05</v>
      </c>
      <c r="N846" s="464">
        <f t="shared" si="83"/>
        <v>76793</v>
      </c>
    </row>
    <row r="847" spans="7:14" ht="11.25" customHeight="1" x14ac:dyDescent="0.3">
      <c r="G847" s="459">
        <f t="shared" si="89"/>
        <v>70</v>
      </c>
      <c r="H847" s="459">
        <v>840</v>
      </c>
      <c r="I847" s="444">
        <f t="shared" ca="1" si="81"/>
        <v>1949707.793968898</v>
      </c>
      <c r="J847" s="444">
        <f t="array" ref="J847">IFERROR(INDEX('Retirement Calculator'!J:J,MATCH('Isaac 401k'!N847,'Retirement Calculator'!A:A,0),0),0)</f>
        <v>7896.2379798201846</v>
      </c>
      <c r="K847" s="444">
        <f t="shared" ca="1" si="79"/>
        <v>8090.8814832878243</v>
      </c>
      <c r="L847" s="444">
        <f t="shared" ca="1" si="80"/>
        <v>1949902.4374723656</v>
      </c>
      <c r="M847" s="460">
        <f t="shared" si="82"/>
        <v>0.05</v>
      </c>
      <c r="N847" s="464">
        <f t="shared" si="83"/>
        <v>76823</v>
      </c>
    </row>
    <row r="848" spans="7:14" ht="11.25" customHeight="1" x14ac:dyDescent="0.3">
      <c r="G848" s="459">
        <f>G847+1</f>
        <v>71</v>
      </c>
      <c r="H848" s="459">
        <v>841</v>
      </c>
      <c r="I848" s="444">
        <f t="shared" ca="1" si="81"/>
        <v>1949902.4374723656</v>
      </c>
      <c r="J848" s="444">
        <f t="array" ref="J848">IFERROR(INDEX('Retirement Calculator'!J:J,MATCH('Isaac 401k'!N848,'Retirement Calculator'!A:A,0),0),0)</f>
        <v>7896.2379798201846</v>
      </c>
      <c r="K848" s="444">
        <f t="shared" ca="1" si="79"/>
        <v>8091.692497885605</v>
      </c>
      <c r="L848" s="444">
        <f t="shared" ca="1" si="80"/>
        <v>1950097.8919904309</v>
      </c>
      <c r="M848" s="460">
        <f t="shared" si="82"/>
        <v>0.05</v>
      </c>
      <c r="N848" s="464">
        <f t="shared" si="83"/>
        <v>76854</v>
      </c>
    </row>
    <row r="849" spans="7:14" ht="11.25" customHeight="1" x14ac:dyDescent="0.3">
      <c r="G849" s="459">
        <f t="shared" ref="G849:G859" si="90">G848</f>
        <v>71</v>
      </c>
      <c r="H849" s="459">
        <v>842</v>
      </c>
      <c r="I849" s="444">
        <f t="shared" ca="1" si="81"/>
        <v>1950097.8919904309</v>
      </c>
      <c r="J849" s="444">
        <f t="array" ref="J849">IFERROR(INDEX('Retirement Calculator'!J:J,MATCH('Isaac 401k'!N849,'Retirement Calculator'!A:A,0),0),0)</f>
        <v>7896.2379798201846</v>
      </c>
      <c r="K849" s="444">
        <f t="shared" ca="1" si="79"/>
        <v>8092.5068917108783</v>
      </c>
      <c r="L849" s="444">
        <f t="shared" ca="1" si="80"/>
        <v>1950294.1609023216</v>
      </c>
      <c r="M849" s="460">
        <f t="shared" si="82"/>
        <v>0.05</v>
      </c>
      <c r="N849" s="464">
        <f t="shared" si="83"/>
        <v>76884</v>
      </c>
    </row>
    <row r="850" spans="7:14" ht="11.25" customHeight="1" x14ac:dyDescent="0.3">
      <c r="G850" s="459">
        <f t="shared" si="90"/>
        <v>71</v>
      </c>
      <c r="H850" s="459">
        <v>843</v>
      </c>
      <c r="I850" s="444">
        <f t="shared" ca="1" si="81"/>
        <v>1950294.1609023216</v>
      </c>
      <c r="J850" s="444">
        <f t="array" ref="J850">IFERROR(INDEX('Retirement Calculator'!J:J,MATCH('Isaac 401k'!N850,'Retirement Calculator'!A:A,0),0),0)</f>
        <v>7896.2379798201846</v>
      </c>
      <c r="K850" s="444">
        <f t="shared" ca="1" si="79"/>
        <v>8093.3246788437555</v>
      </c>
      <c r="L850" s="444">
        <f t="shared" ca="1" si="80"/>
        <v>1950491.2476013452</v>
      </c>
      <c r="M850" s="460">
        <f t="shared" si="82"/>
        <v>0.05</v>
      </c>
      <c r="N850" s="464">
        <f t="shared" si="83"/>
        <v>76915</v>
      </c>
    </row>
    <row r="851" spans="7:14" ht="11.25" customHeight="1" x14ac:dyDescent="0.3">
      <c r="G851" s="459">
        <f t="shared" si="90"/>
        <v>71</v>
      </c>
      <c r="H851" s="459">
        <v>844</v>
      </c>
      <c r="I851" s="444">
        <f t="shared" ca="1" si="81"/>
        <v>1950491.2476013452</v>
      </c>
      <c r="J851" s="444">
        <f t="array" ref="J851">IFERROR(INDEX('Retirement Calculator'!J:J,MATCH('Isaac 401k'!N851,'Retirement Calculator'!A:A,0),0),0)</f>
        <v>7896.2379798201846</v>
      </c>
      <c r="K851" s="444">
        <f t="shared" ca="1" si="79"/>
        <v>8094.1458734230209</v>
      </c>
      <c r="L851" s="444">
        <f t="shared" ca="1" si="80"/>
        <v>1950689.1554949479</v>
      </c>
      <c r="M851" s="460">
        <f t="shared" si="82"/>
        <v>0.05</v>
      </c>
      <c r="N851" s="464">
        <f t="shared" si="83"/>
        <v>76946</v>
      </c>
    </row>
    <row r="852" spans="7:14" ht="11.25" customHeight="1" x14ac:dyDescent="0.3">
      <c r="G852" s="459">
        <f t="shared" si="90"/>
        <v>71</v>
      </c>
      <c r="H852" s="459">
        <v>845</v>
      </c>
      <c r="I852" s="444">
        <f t="shared" ca="1" si="81"/>
        <v>1950689.1554949479</v>
      </c>
      <c r="J852" s="444">
        <f t="array" ref="J852">IFERROR(INDEX('Retirement Calculator'!J:J,MATCH('Isaac 401k'!N852,'Retirement Calculator'!A:A,0),0),0)</f>
        <v>7896.2379798201846</v>
      </c>
      <c r="K852" s="444">
        <f t="shared" ca="1" si="79"/>
        <v>8094.9704896463654</v>
      </c>
      <c r="L852" s="444">
        <f t="shared" ca="1" si="80"/>
        <v>1950887.888004774</v>
      </c>
      <c r="M852" s="460">
        <f t="shared" si="82"/>
        <v>0.05</v>
      </c>
      <c r="N852" s="464">
        <f t="shared" si="83"/>
        <v>76976</v>
      </c>
    </row>
    <row r="853" spans="7:14" ht="11.25" customHeight="1" x14ac:dyDescent="0.3">
      <c r="G853" s="459">
        <f t="shared" si="90"/>
        <v>71</v>
      </c>
      <c r="H853" s="459">
        <v>846</v>
      </c>
      <c r="I853" s="444">
        <f t="shared" ca="1" si="81"/>
        <v>1950887.888004774</v>
      </c>
      <c r="J853" s="444">
        <f t="array" ref="J853">IFERROR(INDEX('Retirement Calculator'!J:J,MATCH('Isaac 401k'!N853,'Retirement Calculator'!A:A,0),0),0)</f>
        <v>7896.2379798201846</v>
      </c>
      <c r="K853" s="444">
        <f t="shared" ca="1" si="79"/>
        <v>8095.7985417706395</v>
      </c>
      <c r="L853" s="444">
        <f t="shared" ca="1" si="80"/>
        <v>1951087.4485667243</v>
      </c>
      <c r="M853" s="460">
        <f t="shared" si="82"/>
        <v>0.05</v>
      </c>
      <c r="N853" s="464">
        <f t="shared" si="83"/>
        <v>77007</v>
      </c>
    </row>
    <row r="854" spans="7:14" ht="11.25" customHeight="1" x14ac:dyDescent="0.3">
      <c r="G854" s="459">
        <f t="shared" si="90"/>
        <v>71</v>
      </c>
      <c r="H854" s="459">
        <v>847</v>
      </c>
      <c r="I854" s="444">
        <f t="shared" ca="1" si="81"/>
        <v>1951087.4485667243</v>
      </c>
      <c r="J854" s="444">
        <f t="array" ref="J854">IFERROR(INDEX('Retirement Calculator'!J:J,MATCH('Isaac 401k'!N854,'Retirement Calculator'!A:A,0),0),0)</f>
        <v>7896.2379798201846</v>
      </c>
      <c r="K854" s="444">
        <f t="shared" ca="1" si="79"/>
        <v>8096.6300441121002</v>
      </c>
      <c r="L854" s="444">
        <f t="shared" ca="1" si="80"/>
        <v>1951287.8406310163</v>
      </c>
      <c r="M854" s="460">
        <f t="shared" si="82"/>
        <v>0.05</v>
      </c>
      <c r="N854" s="464">
        <f t="shared" si="83"/>
        <v>77037</v>
      </c>
    </row>
    <row r="855" spans="7:14" ht="11.25" customHeight="1" x14ac:dyDescent="0.3">
      <c r="G855" s="459">
        <f t="shared" si="90"/>
        <v>71</v>
      </c>
      <c r="H855" s="459">
        <v>848</v>
      </c>
      <c r="I855" s="444">
        <f t="shared" ca="1" si="81"/>
        <v>1951287.8406310163</v>
      </c>
      <c r="J855" s="444">
        <f t="array" ref="J855">IFERROR(INDEX('Retirement Calculator'!J:J,MATCH('Isaac 401k'!N855,'Retirement Calculator'!A:A,0),0),0)</f>
        <v>7896.2379798201846</v>
      </c>
      <c r="K855" s="444">
        <f t="shared" ca="1" si="79"/>
        <v>8097.46501104665</v>
      </c>
      <c r="L855" s="444">
        <f t="shared" ca="1" si="80"/>
        <v>1951489.0676622428</v>
      </c>
      <c r="M855" s="460">
        <f t="shared" si="82"/>
        <v>0.05</v>
      </c>
      <c r="N855" s="464">
        <f t="shared" si="83"/>
        <v>77068</v>
      </c>
    </row>
    <row r="856" spans="7:14" ht="11.25" customHeight="1" x14ac:dyDescent="0.3">
      <c r="G856" s="459">
        <f t="shared" si="90"/>
        <v>71</v>
      </c>
      <c r="H856" s="459">
        <v>849</v>
      </c>
      <c r="I856" s="444">
        <f t="shared" ca="1" si="81"/>
        <v>1951489.0676622428</v>
      </c>
      <c r="J856" s="444">
        <f t="array" ref="J856">IFERROR(INDEX('Retirement Calculator'!J:J,MATCH('Isaac 401k'!N856,'Retirement Calculator'!A:A,0),0),0)</f>
        <v>7896.2379798201846</v>
      </c>
      <c r="K856" s="444">
        <f t="shared" ca="1" si="79"/>
        <v>8098.3034570100945</v>
      </c>
      <c r="L856" s="444">
        <f t="shared" ca="1" si="80"/>
        <v>1951691.1331394326</v>
      </c>
      <c r="M856" s="460">
        <f t="shared" si="82"/>
        <v>0.05</v>
      </c>
      <c r="N856" s="464">
        <f t="shared" si="83"/>
        <v>77099</v>
      </c>
    </row>
    <row r="857" spans="7:14" ht="11.25" customHeight="1" x14ac:dyDescent="0.3">
      <c r="G857" s="459">
        <f t="shared" si="90"/>
        <v>71</v>
      </c>
      <c r="H857" s="459">
        <v>850</v>
      </c>
      <c r="I857" s="444">
        <f t="shared" ca="1" si="81"/>
        <v>1951691.1331394326</v>
      </c>
      <c r="J857" s="444">
        <f t="array" ref="J857">IFERROR(INDEX('Retirement Calculator'!J:J,MATCH('Isaac 401k'!N857,'Retirement Calculator'!A:A,0),0),0)</f>
        <v>7896.2379798201846</v>
      </c>
      <c r="K857" s="444">
        <f t="shared" ca="1" si="79"/>
        <v>8099.1453964983848</v>
      </c>
      <c r="L857" s="444">
        <f t="shared" ca="1" si="80"/>
        <v>1951894.0405561109</v>
      </c>
      <c r="M857" s="460">
        <f t="shared" si="82"/>
        <v>0.05</v>
      </c>
      <c r="N857" s="464">
        <f t="shared" si="83"/>
        <v>77127</v>
      </c>
    </row>
    <row r="858" spans="7:14" ht="11.25" customHeight="1" x14ac:dyDescent="0.3">
      <c r="G858" s="459">
        <f t="shared" si="90"/>
        <v>71</v>
      </c>
      <c r="H858" s="459">
        <v>851</v>
      </c>
      <c r="I858" s="444">
        <f t="shared" ca="1" si="81"/>
        <v>1951894.0405561109</v>
      </c>
      <c r="J858" s="444">
        <f t="array" ref="J858">IFERROR(INDEX('Retirement Calculator'!J:J,MATCH('Isaac 401k'!N858,'Retirement Calculator'!A:A,0),0),0)</f>
        <v>7896.2379798201846</v>
      </c>
      <c r="K858" s="444">
        <f t="shared" ca="1" si="79"/>
        <v>8099.9908440678773</v>
      </c>
      <c r="L858" s="444">
        <f t="shared" ca="1" si="80"/>
        <v>1952097.7934203586</v>
      </c>
      <c r="M858" s="460">
        <f t="shared" si="82"/>
        <v>0.05</v>
      </c>
      <c r="N858" s="464">
        <f t="shared" si="83"/>
        <v>77158</v>
      </c>
    </row>
    <row r="859" spans="7:14" ht="11.25" customHeight="1" x14ac:dyDescent="0.3">
      <c r="G859" s="459">
        <f t="shared" si="90"/>
        <v>71</v>
      </c>
      <c r="H859" s="459">
        <v>852</v>
      </c>
      <c r="I859" s="444">
        <f t="shared" ca="1" si="81"/>
        <v>1952097.7934203586</v>
      </c>
      <c r="J859" s="444">
        <f t="array" ref="J859">IFERROR(INDEX('Retirement Calculator'!J:J,MATCH('Isaac 401k'!N859,'Retirement Calculator'!A:A,0),0),0)</f>
        <v>7896.2379798201846</v>
      </c>
      <c r="K859" s="444">
        <f t="shared" ca="1" si="79"/>
        <v>8100.8398143355762</v>
      </c>
      <c r="L859" s="444">
        <f t="shared" ca="1" si="80"/>
        <v>1952302.3952548739</v>
      </c>
      <c r="M859" s="460">
        <f t="shared" si="82"/>
        <v>0.05</v>
      </c>
      <c r="N859" s="464">
        <f t="shared" si="83"/>
        <v>77188</v>
      </c>
    </row>
    <row r="860" spans="7:14" ht="11.25" customHeight="1" x14ac:dyDescent="0.3">
      <c r="G860" s="459">
        <f>G859+1</f>
        <v>72</v>
      </c>
      <c r="H860" s="459">
        <v>853</v>
      </c>
      <c r="I860" s="444">
        <f t="shared" ca="1" si="81"/>
        <v>1952302.3952548739</v>
      </c>
      <c r="J860" s="444">
        <f t="array" ref="J860">IFERROR(INDEX('Retirement Calculator'!J:J,MATCH('Isaac 401k'!N860,'Retirement Calculator'!A:A,0),0),0)</f>
        <v>7896.2379798201846</v>
      </c>
      <c r="K860" s="444">
        <f t="shared" ca="1" si="79"/>
        <v>8101.6923219793889</v>
      </c>
      <c r="L860" s="444">
        <f t="shared" ca="1" si="80"/>
        <v>1952507.8495970331</v>
      </c>
      <c r="M860" s="460">
        <f t="shared" si="82"/>
        <v>0.05</v>
      </c>
      <c r="N860" s="464">
        <f t="shared" si="83"/>
        <v>77219</v>
      </c>
    </row>
    <row r="861" spans="7:14" ht="11.25" customHeight="1" x14ac:dyDescent="0.3">
      <c r="G861" s="459">
        <f t="shared" ref="G861:G871" si="91">G860</f>
        <v>72</v>
      </c>
      <c r="H861" s="459">
        <v>854</v>
      </c>
      <c r="I861" s="444">
        <f t="shared" ca="1" si="81"/>
        <v>1952507.8495970331</v>
      </c>
      <c r="J861" s="444">
        <f t="array" ref="J861">IFERROR(INDEX('Retirement Calculator'!J:J,MATCH('Isaac 401k'!N861,'Retirement Calculator'!A:A,0),0),0)</f>
        <v>7896.2379798201846</v>
      </c>
      <c r="K861" s="444">
        <f t="shared" ca="1" si="79"/>
        <v>8102.5483817383856</v>
      </c>
      <c r="L861" s="444">
        <f t="shared" ca="1" si="80"/>
        <v>1952714.1599989512</v>
      </c>
      <c r="M861" s="460">
        <f t="shared" si="82"/>
        <v>0.05</v>
      </c>
      <c r="N861" s="464">
        <f t="shared" si="83"/>
        <v>77249</v>
      </c>
    </row>
    <row r="862" spans="7:14" ht="11.25" customHeight="1" x14ac:dyDescent="0.3">
      <c r="G862" s="459">
        <f t="shared" si="91"/>
        <v>72</v>
      </c>
      <c r="H862" s="459">
        <v>855</v>
      </c>
      <c r="I862" s="444">
        <f t="shared" ca="1" si="81"/>
        <v>1952714.1599989512</v>
      </c>
      <c r="J862" s="444">
        <f t="array" ref="J862">IFERROR(INDEX('Retirement Calculator'!J:J,MATCH('Isaac 401k'!N862,'Retirement Calculator'!A:A,0),0),0)</f>
        <v>7896.2379798201846</v>
      </c>
      <c r="K862" s="444">
        <f t="shared" ca="1" si="79"/>
        <v>8103.4080084130455</v>
      </c>
      <c r="L862" s="444">
        <f t="shared" ca="1" si="80"/>
        <v>1952921.3300275442</v>
      </c>
      <c r="M862" s="460">
        <f t="shared" si="82"/>
        <v>0.05</v>
      </c>
      <c r="N862" s="464">
        <f t="shared" si="83"/>
        <v>77280</v>
      </c>
    </row>
    <row r="863" spans="7:14" ht="11.25" customHeight="1" x14ac:dyDescent="0.3">
      <c r="G863" s="459">
        <f t="shared" si="91"/>
        <v>72</v>
      </c>
      <c r="H863" s="459">
        <v>856</v>
      </c>
      <c r="I863" s="444">
        <f t="shared" ca="1" si="81"/>
        <v>1952921.3300275442</v>
      </c>
      <c r="J863" s="444">
        <f t="array" ref="J863">IFERROR(INDEX('Retirement Calculator'!J:J,MATCH('Isaac 401k'!N863,'Retirement Calculator'!A:A,0),0),0)</f>
        <v>7896.2379798201846</v>
      </c>
      <c r="K863" s="444">
        <f t="shared" ca="1" si="79"/>
        <v>8104.2712168655162</v>
      </c>
      <c r="L863" s="444">
        <f t="shared" ca="1" si="80"/>
        <v>1953129.3632645896</v>
      </c>
      <c r="M863" s="460">
        <f t="shared" si="82"/>
        <v>0.05</v>
      </c>
      <c r="N863" s="464">
        <f t="shared" si="83"/>
        <v>77311</v>
      </c>
    </row>
    <row r="864" spans="7:14" ht="11.25" customHeight="1" x14ac:dyDescent="0.3">
      <c r="G864" s="459">
        <f t="shared" si="91"/>
        <v>72</v>
      </c>
      <c r="H864" s="459">
        <v>857</v>
      </c>
      <c r="I864" s="444">
        <f t="shared" ca="1" si="81"/>
        <v>1953129.3632645896</v>
      </c>
      <c r="J864" s="444">
        <f t="array" ref="J864">IFERROR(INDEX('Retirement Calculator'!J:J,MATCH('Isaac 401k'!N864,'Retirement Calculator'!A:A,0),0),0)</f>
        <v>7896.2379798201846</v>
      </c>
      <c r="K864" s="444">
        <f t="shared" ca="1" si="79"/>
        <v>8105.1380220198726</v>
      </c>
      <c r="L864" s="444">
        <f t="shared" ca="1" si="80"/>
        <v>1953338.2633067891</v>
      </c>
      <c r="M864" s="460">
        <f t="shared" si="82"/>
        <v>0.05</v>
      </c>
      <c r="N864" s="464">
        <f t="shared" si="83"/>
        <v>77341</v>
      </c>
    </row>
    <row r="865" spans="7:14" ht="11.25" customHeight="1" x14ac:dyDescent="0.3">
      <c r="G865" s="459">
        <f t="shared" si="91"/>
        <v>72</v>
      </c>
      <c r="H865" s="459">
        <v>858</v>
      </c>
      <c r="I865" s="444">
        <f t="shared" ca="1" si="81"/>
        <v>1953338.2633067891</v>
      </c>
      <c r="J865" s="444">
        <f t="array" ref="J865">IFERROR(INDEX('Retirement Calculator'!J:J,MATCH('Isaac 401k'!N865,'Retirement Calculator'!A:A,0),0),0)</f>
        <v>7896.2379798201846</v>
      </c>
      <c r="K865" s="444">
        <f t="shared" ca="1" si="79"/>
        <v>8106.00843886237</v>
      </c>
      <c r="L865" s="444">
        <f t="shared" ca="1" si="80"/>
        <v>1953548.0337658313</v>
      </c>
      <c r="M865" s="460">
        <f t="shared" si="82"/>
        <v>0.05</v>
      </c>
      <c r="N865" s="464">
        <f t="shared" si="83"/>
        <v>77372</v>
      </c>
    </row>
    <row r="866" spans="7:14" ht="11.25" customHeight="1" x14ac:dyDescent="0.3">
      <c r="G866" s="459">
        <f t="shared" si="91"/>
        <v>72</v>
      </c>
      <c r="H866" s="459">
        <v>859</v>
      </c>
      <c r="I866" s="444">
        <f t="shared" ca="1" si="81"/>
        <v>1953548.0337658313</v>
      </c>
      <c r="J866" s="444">
        <f t="array" ref="J866">IFERROR(INDEX('Retirement Calculator'!J:J,MATCH('Isaac 401k'!N866,'Retirement Calculator'!A:A,0),0),0)</f>
        <v>7896.2379798201846</v>
      </c>
      <c r="K866" s="444">
        <f t="shared" ca="1" si="79"/>
        <v>8106.8824824417125</v>
      </c>
      <c r="L866" s="444">
        <f t="shared" ca="1" si="80"/>
        <v>1953758.6782684526</v>
      </c>
      <c r="M866" s="460">
        <f t="shared" si="82"/>
        <v>0.05</v>
      </c>
      <c r="N866" s="464">
        <f t="shared" si="83"/>
        <v>77402</v>
      </c>
    </row>
    <row r="867" spans="7:14" ht="11.25" customHeight="1" x14ac:dyDescent="0.3">
      <c r="G867" s="459">
        <f t="shared" si="91"/>
        <v>72</v>
      </c>
      <c r="H867" s="459">
        <v>860</v>
      </c>
      <c r="I867" s="444">
        <f t="shared" ca="1" si="81"/>
        <v>1953758.6782684526</v>
      </c>
      <c r="J867" s="444">
        <f t="array" ref="J867">IFERROR(INDEX('Retirement Calculator'!J:J,MATCH('Isaac 401k'!N867,'Retirement Calculator'!A:A,0),0),0)</f>
        <v>7896.2379798201846</v>
      </c>
      <c r="K867" s="444">
        <f t="shared" ca="1" si="79"/>
        <v>8107.7601678693018</v>
      </c>
      <c r="L867" s="444">
        <f t="shared" ca="1" si="80"/>
        <v>1953970.2004565017</v>
      </c>
      <c r="M867" s="460">
        <f t="shared" si="82"/>
        <v>0.05</v>
      </c>
      <c r="N867" s="464">
        <f t="shared" si="83"/>
        <v>77433</v>
      </c>
    </row>
    <row r="868" spans="7:14" ht="11.25" customHeight="1" x14ac:dyDescent="0.3">
      <c r="G868" s="459">
        <f t="shared" si="91"/>
        <v>72</v>
      </c>
      <c r="H868" s="459">
        <v>861</v>
      </c>
      <c r="I868" s="444">
        <f t="shared" ca="1" si="81"/>
        <v>1953970.2004565017</v>
      </c>
      <c r="J868" s="444">
        <f t="array" ref="J868">IFERROR(INDEX('Retirement Calculator'!J:J,MATCH('Isaac 401k'!N868,'Retirement Calculator'!A:A,0),0),0)</f>
        <v>7896.2379798201846</v>
      </c>
      <c r="K868" s="444">
        <f t="shared" ca="1" si="79"/>
        <v>8108.6415103195059</v>
      </c>
      <c r="L868" s="444">
        <f t="shared" ca="1" si="80"/>
        <v>1954182.6039870009</v>
      </c>
      <c r="M868" s="460">
        <f t="shared" si="82"/>
        <v>0.05</v>
      </c>
      <c r="N868" s="464">
        <f t="shared" si="83"/>
        <v>77464</v>
      </c>
    </row>
    <row r="869" spans="7:14" ht="11.25" customHeight="1" x14ac:dyDescent="0.3">
      <c r="G869" s="459">
        <f t="shared" si="91"/>
        <v>72</v>
      </c>
      <c r="H869" s="459">
        <v>862</v>
      </c>
      <c r="I869" s="444">
        <f t="shared" ca="1" si="81"/>
        <v>1954182.6039870009</v>
      </c>
      <c r="J869" s="444">
        <f t="array" ref="J869">IFERROR(INDEX('Retirement Calculator'!J:J,MATCH('Isaac 401k'!N869,'Retirement Calculator'!A:A,0),0),0)</f>
        <v>7896.2379798201846</v>
      </c>
      <c r="K869" s="444">
        <f t="shared" ca="1" si="79"/>
        <v>8109.526525029919</v>
      </c>
      <c r="L869" s="444">
        <f t="shared" ca="1" si="80"/>
        <v>1954395.8925322106</v>
      </c>
      <c r="M869" s="460">
        <f t="shared" si="82"/>
        <v>0.05</v>
      </c>
      <c r="N869" s="464">
        <f t="shared" si="83"/>
        <v>77493</v>
      </c>
    </row>
    <row r="870" spans="7:14" ht="11.25" customHeight="1" x14ac:dyDescent="0.3">
      <c r="G870" s="459">
        <f t="shared" si="91"/>
        <v>72</v>
      </c>
      <c r="H870" s="459">
        <v>863</v>
      </c>
      <c r="I870" s="444">
        <f t="shared" ca="1" si="81"/>
        <v>1954395.8925322106</v>
      </c>
      <c r="J870" s="444">
        <f t="array" ref="J870">IFERROR(INDEX('Retirement Calculator'!J:J,MATCH('Isaac 401k'!N870,'Retirement Calculator'!A:A,0),0),0)</f>
        <v>7896.2379798201846</v>
      </c>
      <c r="K870" s="444">
        <f t="shared" ca="1" si="79"/>
        <v>8110.4152273016261</v>
      </c>
      <c r="L870" s="444">
        <f t="shared" ca="1" si="80"/>
        <v>1954610.069779692</v>
      </c>
      <c r="M870" s="460">
        <f t="shared" si="82"/>
        <v>0.05</v>
      </c>
      <c r="N870" s="464">
        <f t="shared" si="83"/>
        <v>77524</v>
      </c>
    </row>
    <row r="871" spans="7:14" ht="11.25" customHeight="1" x14ac:dyDescent="0.3">
      <c r="G871" s="459">
        <f t="shared" si="91"/>
        <v>72</v>
      </c>
      <c r="H871" s="459">
        <v>864</v>
      </c>
      <c r="I871" s="444">
        <f t="shared" ca="1" si="81"/>
        <v>1954610.069779692</v>
      </c>
      <c r="J871" s="444">
        <f t="array" ref="J871">IFERROR(INDEX('Retirement Calculator'!J:J,MATCH('Isaac 401k'!N871,'Retirement Calculator'!A:A,0),0),0)</f>
        <v>7896.2379798201846</v>
      </c>
      <c r="K871" s="444">
        <f t="shared" ca="1" si="79"/>
        <v>8111.3076324994663</v>
      </c>
      <c r="L871" s="444">
        <f t="shared" ca="1" si="80"/>
        <v>1954825.1394323711</v>
      </c>
      <c r="M871" s="460">
        <f t="shared" si="82"/>
        <v>0.05</v>
      </c>
      <c r="N871" s="464">
        <f t="shared" si="83"/>
        <v>77554</v>
      </c>
    </row>
    <row r="872" spans="7:14" ht="11.25" customHeight="1" x14ac:dyDescent="0.3">
      <c r="G872" s="459">
        <f>G871+1</f>
        <v>73</v>
      </c>
      <c r="H872" s="459">
        <v>865</v>
      </c>
      <c r="I872" s="444">
        <f t="shared" ca="1" si="81"/>
        <v>1954825.1394323711</v>
      </c>
      <c r="J872" s="444">
        <f t="array" ref="J872">IFERROR(INDEX('Retirement Calculator'!J:J,MATCH('Isaac 401k'!N872,'Retirement Calculator'!A:A,0),0),0)</f>
        <v>7896.2379798201846</v>
      </c>
      <c r="K872" s="444">
        <f t="shared" ca="1" si="79"/>
        <v>8112.2037560522949</v>
      </c>
      <c r="L872" s="444">
        <f t="shared" ca="1" si="80"/>
        <v>1955041.1052086032</v>
      </c>
      <c r="M872" s="460">
        <f t="shared" si="82"/>
        <v>0.05</v>
      </c>
      <c r="N872" s="464">
        <f t="shared" si="83"/>
        <v>77585</v>
      </c>
    </row>
    <row r="873" spans="7:14" ht="11.25" customHeight="1" x14ac:dyDescent="0.3">
      <c r="G873" s="459">
        <f t="shared" ref="G873:G883" si="92">G872</f>
        <v>73</v>
      </c>
      <c r="H873" s="459">
        <v>866</v>
      </c>
      <c r="I873" s="444">
        <f t="shared" ca="1" si="81"/>
        <v>1955041.1052086032</v>
      </c>
      <c r="J873" s="444">
        <f t="array" ref="J873">IFERROR(INDEX('Retirement Calculator'!J:J,MATCH('Isaac 401k'!N873,'Retirement Calculator'!A:A,0),0),0)</f>
        <v>7896.2379798201846</v>
      </c>
      <c r="K873" s="444">
        <f t="shared" ca="1" si="79"/>
        <v>8113.1036134532615</v>
      </c>
      <c r="L873" s="444">
        <f t="shared" ca="1" si="80"/>
        <v>1955257.9708422362</v>
      </c>
      <c r="M873" s="460">
        <f t="shared" si="82"/>
        <v>0.05</v>
      </c>
      <c r="N873" s="464">
        <f t="shared" si="83"/>
        <v>77615</v>
      </c>
    </row>
    <row r="874" spans="7:14" ht="11.25" customHeight="1" x14ac:dyDescent="0.3">
      <c r="G874" s="459">
        <f t="shared" si="92"/>
        <v>73</v>
      </c>
      <c r="H874" s="459">
        <v>867</v>
      </c>
      <c r="I874" s="444">
        <f t="shared" ca="1" si="81"/>
        <v>1955257.9708422362</v>
      </c>
      <c r="J874" s="444">
        <f t="array" ref="J874">IFERROR(INDEX('Retirement Calculator'!J:J,MATCH('Isaac 401k'!N874,'Retirement Calculator'!A:A,0),0),0)</f>
        <v>7896.2379798201846</v>
      </c>
      <c r="K874" s="444">
        <f t="shared" ca="1" si="79"/>
        <v>8114.0072202600668</v>
      </c>
      <c r="L874" s="444">
        <f t="shared" ca="1" si="80"/>
        <v>1955475.7400826761</v>
      </c>
      <c r="M874" s="460">
        <f t="shared" si="82"/>
        <v>0.05</v>
      </c>
      <c r="N874" s="464">
        <f t="shared" si="83"/>
        <v>77646</v>
      </c>
    </row>
    <row r="875" spans="7:14" ht="11.25" customHeight="1" x14ac:dyDescent="0.3">
      <c r="G875" s="459">
        <f t="shared" si="92"/>
        <v>73</v>
      </c>
      <c r="H875" s="459">
        <v>868</v>
      </c>
      <c r="I875" s="444">
        <f t="shared" ca="1" si="81"/>
        <v>1955475.7400826761</v>
      </c>
      <c r="J875" s="444">
        <f t="array" ref="J875">IFERROR(INDEX('Retirement Calculator'!J:J,MATCH('Isaac 401k'!N875,'Retirement Calculator'!A:A,0),0),0)</f>
        <v>7896.2379798201846</v>
      </c>
      <c r="K875" s="444">
        <f t="shared" ca="1" si="79"/>
        <v>8114.9145920952324</v>
      </c>
      <c r="L875" s="444">
        <f t="shared" ca="1" si="80"/>
        <v>1955694.416694951</v>
      </c>
      <c r="M875" s="460">
        <f t="shared" si="82"/>
        <v>0.05</v>
      </c>
      <c r="N875" s="464">
        <f t="shared" si="83"/>
        <v>77677</v>
      </c>
    </row>
    <row r="876" spans="7:14" ht="11.25" customHeight="1" x14ac:dyDescent="0.3">
      <c r="G876" s="459">
        <f t="shared" si="92"/>
        <v>73</v>
      </c>
      <c r="H876" s="459">
        <v>869</v>
      </c>
      <c r="I876" s="444">
        <f t="shared" ca="1" si="81"/>
        <v>1955694.416694951</v>
      </c>
      <c r="J876" s="444">
        <f t="array" ref="J876">IFERROR(INDEX('Retirement Calculator'!J:J,MATCH('Isaac 401k'!N876,'Retirement Calculator'!A:A,0),0),0)</f>
        <v>7896.2379798201846</v>
      </c>
      <c r="K876" s="444">
        <f t="shared" ca="1" si="79"/>
        <v>8115.8257446463786</v>
      </c>
      <c r="L876" s="444">
        <f t="shared" ca="1" si="80"/>
        <v>1955914.0044597771</v>
      </c>
      <c r="M876" s="460">
        <f t="shared" si="82"/>
        <v>0.05</v>
      </c>
      <c r="N876" s="464">
        <f t="shared" si="83"/>
        <v>77707</v>
      </c>
    </row>
    <row r="877" spans="7:14" ht="11.25" customHeight="1" x14ac:dyDescent="0.3">
      <c r="G877" s="459">
        <f t="shared" si="92"/>
        <v>73</v>
      </c>
      <c r="H877" s="459">
        <v>870</v>
      </c>
      <c r="I877" s="444">
        <f t="shared" ca="1" si="81"/>
        <v>1955914.0044597771</v>
      </c>
      <c r="J877" s="444">
        <f t="array" ref="J877">IFERROR(INDEX('Retirement Calculator'!J:J,MATCH('Isaac 401k'!N877,'Retirement Calculator'!A:A,0),0),0)</f>
        <v>7896.2379798201846</v>
      </c>
      <c r="K877" s="444">
        <f t="shared" ca="1" si="79"/>
        <v>8116.7406936664875</v>
      </c>
      <c r="L877" s="444">
        <f t="shared" ca="1" si="80"/>
        <v>1956134.5071736234</v>
      </c>
      <c r="M877" s="460">
        <f t="shared" si="82"/>
        <v>0.05</v>
      </c>
      <c r="N877" s="464">
        <f t="shared" si="83"/>
        <v>77738</v>
      </c>
    </row>
    <row r="878" spans="7:14" ht="11.25" customHeight="1" x14ac:dyDescent="0.3">
      <c r="G878" s="459">
        <f t="shared" si="92"/>
        <v>73</v>
      </c>
      <c r="H878" s="459">
        <v>871</v>
      </c>
      <c r="I878" s="444">
        <f t="shared" ca="1" si="81"/>
        <v>1956134.5071736234</v>
      </c>
      <c r="J878" s="444">
        <f t="array" ref="J878">IFERROR(INDEX('Retirement Calculator'!J:J,MATCH('Isaac 401k'!N878,'Retirement Calculator'!A:A,0),0),0)</f>
        <v>7896.2379798201846</v>
      </c>
      <c r="K878" s="444">
        <f t="shared" ca="1" si="79"/>
        <v>8117.6594549741794</v>
      </c>
      <c r="L878" s="444">
        <f t="shared" ca="1" si="80"/>
        <v>1956355.9286487773</v>
      </c>
      <c r="M878" s="460">
        <f t="shared" si="82"/>
        <v>0.05</v>
      </c>
      <c r="N878" s="464">
        <f t="shared" si="83"/>
        <v>77768</v>
      </c>
    </row>
    <row r="879" spans="7:14" ht="11.25" customHeight="1" x14ac:dyDescent="0.3">
      <c r="G879" s="459">
        <f t="shared" si="92"/>
        <v>73</v>
      </c>
      <c r="H879" s="459">
        <v>872</v>
      </c>
      <c r="I879" s="444">
        <f t="shared" ca="1" si="81"/>
        <v>1956355.9286487773</v>
      </c>
      <c r="J879" s="444">
        <f t="array" ref="J879">IFERROR(INDEX('Retirement Calculator'!J:J,MATCH('Isaac 401k'!N879,'Retirement Calculator'!A:A,0),0),0)</f>
        <v>7896.2379798201846</v>
      </c>
      <c r="K879" s="444">
        <f t="shared" ca="1" si="79"/>
        <v>8118.5820444539877</v>
      </c>
      <c r="L879" s="444">
        <f t="shared" ca="1" si="80"/>
        <v>1956578.2727134111</v>
      </c>
      <c r="M879" s="460">
        <f t="shared" si="82"/>
        <v>0.05</v>
      </c>
      <c r="N879" s="464">
        <f t="shared" si="83"/>
        <v>77799</v>
      </c>
    </row>
    <row r="880" spans="7:14" ht="11.25" customHeight="1" x14ac:dyDescent="0.3">
      <c r="G880" s="459">
        <f t="shared" si="92"/>
        <v>73</v>
      </c>
      <c r="H880" s="459">
        <v>873</v>
      </c>
      <c r="I880" s="444">
        <f t="shared" ca="1" si="81"/>
        <v>1956578.2727134111</v>
      </c>
      <c r="J880" s="444">
        <f t="array" ref="J880">IFERROR(INDEX('Retirement Calculator'!J:J,MATCH('Isaac 401k'!N880,'Retirement Calculator'!A:A,0),0),0)</f>
        <v>7896.2379798201846</v>
      </c>
      <c r="K880" s="444">
        <f t="shared" ca="1" si="79"/>
        <v>8119.5084780566294</v>
      </c>
      <c r="L880" s="444">
        <f t="shared" ca="1" si="80"/>
        <v>1956801.5432116475</v>
      </c>
      <c r="M880" s="460">
        <f t="shared" si="82"/>
        <v>0.05</v>
      </c>
      <c r="N880" s="464">
        <f t="shared" si="83"/>
        <v>77830</v>
      </c>
    </row>
    <row r="881" spans="7:14" ht="11.25" customHeight="1" x14ac:dyDescent="0.3">
      <c r="G881" s="459">
        <f t="shared" si="92"/>
        <v>73</v>
      </c>
      <c r="H881" s="459">
        <v>874</v>
      </c>
      <c r="I881" s="444">
        <f t="shared" ca="1" si="81"/>
        <v>1956801.5432116475</v>
      </c>
      <c r="J881" s="444">
        <f t="array" ref="J881">IFERROR(INDEX('Retirement Calculator'!J:J,MATCH('Isaac 401k'!N881,'Retirement Calculator'!A:A,0),0),0)</f>
        <v>7896.2379798201846</v>
      </c>
      <c r="K881" s="444">
        <f t="shared" ca="1" si="79"/>
        <v>8120.4387717992795</v>
      </c>
      <c r="L881" s="444">
        <f t="shared" ca="1" si="80"/>
        <v>1957025.7440036265</v>
      </c>
      <c r="M881" s="460">
        <f t="shared" si="82"/>
        <v>0.05</v>
      </c>
      <c r="N881" s="464">
        <f t="shared" si="83"/>
        <v>77858</v>
      </c>
    </row>
    <row r="882" spans="7:14" ht="11.25" customHeight="1" x14ac:dyDescent="0.3">
      <c r="G882" s="459">
        <f t="shared" si="92"/>
        <v>73</v>
      </c>
      <c r="H882" s="459">
        <v>875</v>
      </c>
      <c r="I882" s="444">
        <f t="shared" ca="1" si="81"/>
        <v>1957025.7440036265</v>
      </c>
      <c r="J882" s="444">
        <f t="array" ref="J882">IFERROR(INDEX('Retirement Calculator'!J:J,MATCH('Isaac 401k'!N882,'Retirement Calculator'!A:A,0),0),0)</f>
        <v>7896.2379798201846</v>
      </c>
      <c r="K882" s="444">
        <f t="shared" ca="1" si="79"/>
        <v>8121.3729417658587</v>
      </c>
      <c r="L882" s="444">
        <f t="shared" ca="1" si="80"/>
        <v>1957250.8789655722</v>
      </c>
      <c r="M882" s="460">
        <f t="shared" si="82"/>
        <v>0.05</v>
      </c>
      <c r="N882" s="464">
        <f t="shared" si="83"/>
        <v>77889</v>
      </c>
    </row>
    <row r="883" spans="7:14" ht="11.25" customHeight="1" x14ac:dyDescent="0.3">
      <c r="G883" s="459">
        <f t="shared" si="92"/>
        <v>73</v>
      </c>
      <c r="H883" s="459">
        <v>876</v>
      </c>
      <c r="I883" s="444">
        <f t="shared" ca="1" si="81"/>
        <v>1957250.8789655722</v>
      </c>
      <c r="J883" s="444">
        <f t="array" ref="J883">IFERROR(INDEX('Retirement Calculator'!J:J,MATCH('Isaac 401k'!N883,'Retirement Calculator'!A:A,0),0),0)</f>
        <v>7896.2379798201846</v>
      </c>
      <c r="K883" s="444">
        <f t="shared" ca="1" si="79"/>
        <v>8122.3110041072996</v>
      </c>
      <c r="L883" s="444">
        <f t="shared" ca="1" si="80"/>
        <v>1957476.9519898593</v>
      </c>
      <c r="M883" s="460">
        <f t="shared" si="82"/>
        <v>0.05</v>
      </c>
      <c r="N883" s="464">
        <f t="shared" si="83"/>
        <v>77919</v>
      </c>
    </row>
    <row r="884" spans="7:14" ht="11.25" customHeight="1" x14ac:dyDescent="0.3">
      <c r="G884" s="459">
        <f>G883+1</f>
        <v>74</v>
      </c>
      <c r="H884" s="459">
        <v>877</v>
      </c>
      <c r="I884" s="444">
        <f t="shared" ca="1" si="81"/>
        <v>1957476.9519898593</v>
      </c>
      <c r="J884" s="444">
        <f t="array" ref="J884">IFERROR(INDEX('Retirement Calculator'!J:J,MATCH('Isaac 401k'!N884,'Retirement Calculator'!A:A,0),0),0)</f>
        <v>7896.2379798201846</v>
      </c>
      <c r="K884" s="444">
        <f t="shared" ca="1" si="79"/>
        <v>8123.2529750418298</v>
      </c>
      <c r="L884" s="444">
        <f t="shared" ca="1" si="80"/>
        <v>1957703.9669850809</v>
      </c>
      <c r="M884" s="460">
        <f t="shared" si="82"/>
        <v>0.05</v>
      </c>
      <c r="N884" s="464">
        <f t="shared" si="83"/>
        <v>77950</v>
      </c>
    </row>
    <row r="885" spans="7:14" ht="11.25" customHeight="1" x14ac:dyDescent="0.3">
      <c r="G885" s="459">
        <f t="shared" ref="G885:G895" si="93">G884</f>
        <v>74</v>
      </c>
      <c r="H885" s="459">
        <v>878</v>
      </c>
      <c r="I885" s="444">
        <f t="shared" ca="1" si="81"/>
        <v>1957703.9669850809</v>
      </c>
      <c r="J885" s="444">
        <f t="array" ref="J885">IFERROR(INDEX('Retirement Calculator'!J:J,MATCH('Isaac 401k'!N885,'Retirement Calculator'!A:A,0),0),0)</f>
        <v>7896.2379798201846</v>
      </c>
      <c r="K885" s="444">
        <f t="shared" ca="1" si="79"/>
        <v>8124.1988708552535</v>
      </c>
      <c r="L885" s="444">
        <f t="shared" ca="1" si="80"/>
        <v>1957931.9278761158</v>
      </c>
      <c r="M885" s="460">
        <f t="shared" si="82"/>
        <v>0.05</v>
      </c>
      <c r="N885" s="464">
        <f t="shared" si="83"/>
        <v>77980</v>
      </c>
    </row>
    <row r="886" spans="7:14" ht="11.25" customHeight="1" x14ac:dyDescent="0.3">
      <c r="G886" s="459">
        <f t="shared" si="93"/>
        <v>74</v>
      </c>
      <c r="H886" s="459">
        <v>879</v>
      </c>
      <c r="I886" s="444">
        <f t="shared" ca="1" si="81"/>
        <v>1957931.9278761158</v>
      </c>
      <c r="J886" s="444">
        <f t="array" ref="J886">IFERROR(INDEX('Retirement Calculator'!J:J,MATCH('Isaac 401k'!N886,'Retirement Calculator'!A:A,0),0),0)</f>
        <v>7896.2379798201846</v>
      </c>
      <c r="K886" s="444">
        <f t="shared" ca="1" si="79"/>
        <v>8125.1487079012313</v>
      </c>
      <c r="L886" s="444">
        <f t="shared" ca="1" si="80"/>
        <v>1958160.8386041967</v>
      </c>
      <c r="M886" s="460">
        <f t="shared" si="82"/>
        <v>0.05</v>
      </c>
      <c r="N886" s="464">
        <f t="shared" si="83"/>
        <v>78011</v>
      </c>
    </row>
    <row r="887" spans="7:14" ht="11.25" customHeight="1" x14ac:dyDescent="0.3">
      <c r="G887" s="459">
        <f t="shared" si="93"/>
        <v>74</v>
      </c>
      <c r="H887" s="459">
        <v>880</v>
      </c>
      <c r="I887" s="444">
        <f t="shared" ca="1" si="81"/>
        <v>1958160.8386041967</v>
      </c>
      <c r="J887" s="444">
        <f t="array" ref="J887">IFERROR(INDEX('Retirement Calculator'!J:J,MATCH('Isaac 401k'!N887,'Retirement Calculator'!A:A,0),0),0)</f>
        <v>7896.2379798201846</v>
      </c>
      <c r="K887" s="444">
        <f t="shared" ca="1" si="79"/>
        <v>8126.1025026015686</v>
      </c>
      <c r="L887" s="444">
        <f t="shared" ca="1" si="80"/>
        <v>1958390.7031269779</v>
      </c>
      <c r="M887" s="460">
        <f t="shared" si="82"/>
        <v>0.05</v>
      </c>
      <c r="N887" s="464">
        <f t="shared" si="83"/>
        <v>78042</v>
      </c>
    </row>
    <row r="888" spans="7:14" ht="11.25" customHeight="1" x14ac:dyDescent="0.3">
      <c r="G888" s="459">
        <f t="shared" si="93"/>
        <v>74</v>
      </c>
      <c r="H888" s="459">
        <v>881</v>
      </c>
      <c r="I888" s="444">
        <f t="shared" ca="1" si="81"/>
        <v>1958390.7031269779</v>
      </c>
      <c r="J888" s="444">
        <f t="array" ref="J888">IFERROR(INDEX('Retirement Calculator'!J:J,MATCH('Isaac 401k'!N888,'Retirement Calculator'!A:A,0),0),0)</f>
        <v>7896.2379798201846</v>
      </c>
      <c r="K888" s="444">
        <f t="shared" ca="1" si="79"/>
        <v>8127.0602714464903</v>
      </c>
      <c r="L888" s="444">
        <f t="shared" ca="1" si="80"/>
        <v>1958621.5254186043</v>
      </c>
      <c r="M888" s="460">
        <f t="shared" si="82"/>
        <v>0.05</v>
      </c>
      <c r="N888" s="464">
        <f t="shared" si="83"/>
        <v>78072</v>
      </c>
    </row>
    <row r="889" spans="7:14" ht="11.25" customHeight="1" x14ac:dyDescent="0.3">
      <c r="G889" s="459">
        <f t="shared" si="93"/>
        <v>74</v>
      </c>
      <c r="H889" s="459">
        <v>882</v>
      </c>
      <c r="I889" s="444">
        <f t="shared" ca="1" si="81"/>
        <v>1958621.5254186043</v>
      </c>
      <c r="J889" s="444">
        <f t="array" ref="J889">IFERROR(INDEX('Retirement Calculator'!J:J,MATCH('Isaac 401k'!N889,'Retirement Calculator'!A:A,0),0),0)</f>
        <v>7896.2379798201846</v>
      </c>
      <c r="K889" s="444">
        <f t="shared" ca="1" si="79"/>
        <v>8128.0220309949345</v>
      </c>
      <c r="L889" s="444">
        <f t="shared" ca="1" si="80"/>
        <v>1958853.309469779</v>
      </c>
      <c r="M889" s="460">
        <f t="shared" si="82"/>
        <v>0.05</v>
      </c>
      <c r="N889" s="464">
        <f t="shared" si="83"/>
        <v>78103</v>
      </c>
    </row>
    <row r="890" spans="7:14" ht="11.25" customHeight="1" x14ac:dyDescent="0.3">
      <c r="G890" s="459">
        <f t="shared" si="93"/>
        <v>74</v>
      </c>
      <c r="H890" s="459">
        <v>883</v>
      </c>
      <c r="I890" s="444">
        <f t="shared" ca="1" si="81"/>
        <v>1958853.309469779</v>
      </c>
      <c r="J890" s="444">
        <f t="array" ref="J890">IFERROR(INDEX('Retirement Calculator'!J:J,MATCH('Isaac 401k'!N890,'Retirement Calculator'!A:A,0),0),0)</f>
        <v>7896.2379798201846</v>
      </c>
      <c r="K890" s="444">
        <f t="shared" ca="1" si="79"/>
        <v>8128.9877978748282</v>
      </c>
      <c r="L890" s="444">
        <f t="shared" ca="1" si="80"/>
        <v>1959086.0592878335</v>
      </c>
      <c r="M890" s="460">
        <f t="shared" si="82"/>
        <v>0.05</v>
      </c>
      <c r="N890" s="464">
        <f t="shared" si="83"/>
        <v>78133</v>
      </c>
    </row>
    <row r="891" spans="7:14" ht="11.25" customHeight="1" x14ac:dyDescent="0.3">
      <c r="G891" s="459">
        <f t="shared" si="93"/>
        <v>74</v>
      </c>
      <c r="H891" s="459">
        <v>884</v>
      </c>
      <c r="I891" s="444">
        <f t="shared" ca="1" si="81"/>
        <v>1959086.0592878335</v>
      </c>
      <c r="J891" s="444">
        <f t="array" ref="J891">IFERROR(INDEX('Retirement Calculator'!J:J,MATCH('Isaac 401k'!N891,'Retirement Calculator'!A:A,0),0),0)</f>
        <v>7896.2379798201846</v>
      </c>
      <c r="K891" s="444">
        <f t="shared" ca="1" si="79"/>
        <v>8129.9575887833898</v>
      </c>
      <c r="L891" s="444">
        <f t="shared" ca="1" si="80"/>
        <v>1959319.7788967967</v>
      </c>
      <c r="M891" s="460">
        <f t="shared" si="82"/>
        <v>0.05</v>
      </c>
      <c r="N891" s="464">
        <f t="shared" si="83"/>
        <v>78164</v>
      </c>
    </row>
    <row r="892" spans="7:14" ht="11.25" customHeight="1" x14ac:dyDescent="0.3">
      <c r="G892" s="459">
        <f t="shared" si="93"/>
        <v>74</v>
      </c>
      <c r="H892" s="459">
        <v>885</v>
      </c>
      <c r="I892" s="444">
        <f t="shared" ca="1" si="81"/>
        <v>1959319.7788967967</v>
      </c>
      <c r="J892" s="444">
        <f t="array" ref="J892">IFERROR(INDEX('Retirement Calculator'!J:J,MATCH('Isaac 401k'!N892,'Retirement Calculator'!A:A,0),0),0)</f>
        <v>7896.2379798201846</v>
      </c>
      <c r="K892" s="444">
        <f t="shared" ca="1" si="79"/>
        <v>8130.9314204874017</v>
      </c>
      <c r="L892" s="444">
        <f t="shared" ca="1" si="80"/>
        <v>1959554.4723374639</v>
      </c>
      <c r="M892" s="460">
        <f t="shared" si="82"/>
        <v>0.05</v>
      </c>
      <c r="N892" s="464">
        <f t="shared" si="83"/>
        <v>78195</v>
      </c>
    </row>
    <row r="893" spans="7:14" ht="11.25" customHeight="1" x14ac:dyDescent="0.3">
      <c r="G893" s="459">
        <f t="shared" si="93"/>
        <v>74</v>
      </c>
      <c r="H893" s="459">
        <v>886</v>
      </c>
      <c r="I893" s="444">
        <f t="shared" ca="1" si="81"/>
        <v>1959554.4723374639</v>
      </c>
      <c r="J893" s="444">
        <f t="array" ref="J893">IFERROR(INDEX('Retirement Calculator'!J:J,MATCH('Isaac 401k'!N893,'Retirement Calculator'!A:A,0),0),0)</f>
        <v>7896.2379798201846</v>
      </c>
      <c r="K893" s="444">
        <f t="shared" ca="1" si="79"/>
        <v>8131.9093098235153</v>
      </c>
      <c r="L893" s="444">
        <f t="shared" ca="1" si="80"/>
        <v>1959790.1436674672</v>
      </c>
      <c r="M893" s="460">
        <f t="shared" si="82"/>
        <v>0.05</v>
      </c>
      <c r="N893" s="464">
        <f t="shared" si="83"/>
        <v>78223</v>
      </c>
    </row>
    <row r="894" spans="7:14" ht="11.25" customHeight="1" x14ac:dyDescent="0.3">
      <c r="G894" s="459">
        <f t="shared" si="93"/>
        <v>74</v>
      </c>
      <c r="H894" s="459">
        <v>887</v>
      </c>
      <c r="I894" s="444">
        <f t="shared" ca="1" si="81"/>
        <v>1959790.1436674672</v>
      </c>
      <c r="J894" s="444">
        <f t="array" ref="J894">IFERROR(INDEX('Retirement Calculator'!J:J,MATCH('Isaac 401k'!N894,'Retirement Calculator'!A:A,0),0),0)</f>
        <v>7896.2379798201846</v>
      </c>
      <c r="K894" s="444">
        <f t="shared" ca="1" si="79"/>
        <v>8132.8912736985285</v>
      </c>
      <c r="L894" s="444">
        <f t="shared" ca="1" si="80"/>
        <v>1960026.7969613455</v>
      </c>
      <c r="M894" s="460">
        <f t="shared" si="82"/>
        <v>0.05</v>
      </c>
      <c r="N894" s="464">
        <f t="shared" si="83"/>
        <v>78254</v>
      </c>
    </row>
    <row r="895" spans="7:14" ht="11.25" customHeight="1" x14ac:dyDescent="0.3">
      <c r="G895" s="459">
        <f t="shared" si="93"/>
        <v>74</v>
      </c>
      <c r="H895" s="459">
        <v>888</v>
      </c>
      <c r="I895" s="444">
        <f t="shared" ca="1" si="81"/>
        <v>1960026.7969613455</v>
      </c>
      <c r="J895" s="444">
        <f t="array" ref="J895">IFERROR(INDEX('Retirement Calculator'!J:J,MATCH('Isaac 401k'!N895,'Retirement Calculator'!A:A,0),0),0)</f>
        <v>7896.2379798201846</v>
      </c>
      <c r="K895" s="444">
        <f t="shared" ca="1" si="79"/>
        <v>8133.8773290896888</v>
      </c>
      <c r="L895" s="444">
        <f t="shared" ca="1" si="80"/>
        <v>1960264.4363106149</v>
      </c>
      <c r="M895" s="460">
        <f t="shared" si="82"/>
        <v>0.05</v>
      </c>
      <c r="N895" s="464">
        <f t="shared" si="83"/>
        <v>78284</v>
      </c>
    </row>
    <row r="896" spans="7:14" ht="11.25" customHeight="1" x14ac:dyDescent="0.3">
      <c r="G896" s="459">
        <f>G895+1</f>
        <v>75</v>
      </c>
      <c r="H896" s="459">
        <v>889</v>
      </c>
      <c r="I896" s="444">
        <f t="shared" ca="1" si="81"/>
        <v>1960264.4363106149</v>
      </c>
      <c r="J896" s="444">
        <f t="array" ref="J896">IFERROR(INDEX('Retirement Calculator'!J:J,MATCH('Isaac 401k'!N896,'Retirement Calculator'!A:A,0),0),0)</f>
        <v>7896.2379798201846</v>
      </c>
      <c r="K896" s="444">
        <f t="shared" ca="1" si="79"/>
        <v>8134.8674930449779</v>
      </c>
      <c r="L896" s="444">
        <f t="shared" ca="1" si="80"/>
        <v>1960503.0658238397</v>
      </c>
      <c r="M896" s="460">
        <f t="shared" si="82"/>
        <v>0.05</v>
      </c>
      <c r="N896" s="464">
        <f t="shared" si="83"/>
        <v>78315</v>
      </c>
    </row>
    <row r="897" spans="7:14" ht="11.25" customHeight="1" x14ac:dyDescent="0.3">
      <c r="G897" s="459">
        <f t="shared" ref="G897:G907" si="94">G896</f>
        <v>75</v>
      </c>
      <c r="H897" s="459">
        <v>890</v>
      </c>
      <c r="I897" s="444">
        <f t="shared" ca="1" si="81"/>
        <v>1960503.0658238397</v>
      </c>
      <c r="J897" s="444">
        <f t="array" ref="J897">IFERROR(INDEX('Retirement Calculator'!J:J,MATCH('Isaac 401k'!N897,'Retirement Calculator'!A:A,0),0),0)</f>
        <v>7896.2379798201846</v>
      </c>
      <c r="K897" s="444">
        <f t="shared" ca="1" si="79"/>
        <v>8135.8617826834143</v>
      </c>
      <c r="L897" s="444">
        <f t="shared" ca="1" si="80"/>
        <v>1960742.689626703</v>
      </c>
      <c r="M897" s="460">
        <f t="shared" si="82"/>
        <v>0.05</v>
      </c>
      <c r="N897" s="464">
        <f t="shared" si="83"/>
        <v>78345</v>
      </c>
    </row>
    <row r="898" spans="7:14" ht="11.25" customHeight="1" x14ac:dyDescent="0.3">
      <c r="G898" s="459">
        <f t="shared" si="94"/>
        <v>75</v>
      </c>
      <c r="H898" s="459">
        <v>891</v>
      </c>
      <c r="I898" s="444">
        <f t="shared" ca="1" si="81"/>
        <v>1960742.689626703</v>
      </c>
      <c r="J898" s="444">
        <f t="array" ref="J898">IFERROR(INDEX('Retirement Calculator'!J:J,MATCH('Isaac 401k'!N898,'Retirement Calculator'!A:A,0),0),0)</f>
        <v>7896.2379798201846</v>
      </c>
      <c r="K898" s="444">
        <f t="shared" ca="1" si="79"/>
        <v>8136.8602151953437</v>
      </c>
      <c r="L898" s="444">
        <f t="shared" ca="1" si="80"/>
        <v>1960983.3118620783</v>
      </c>
      <c r="M898" s="460">
        <f t="shared" si="82"/>
        <v>0.05</v>
      </c>
      <c r="N898" s="464">
        <f t="shared" si="83"/>
        <v>78376</v>
      </c>
    </row>
    <row r="899" spans="7:14" ht="11.25" customHeight="1" x14ac:dyDescent="0.3">
      <c r="G899" s="459">
        <f t="shared" si="94"/>
        <v>75</v>
      </c>
      <c r="H899" s="459">
        <v>892</v>
      </c>
      <c r="I899" s="444">
        <f t="shared" ca="1" si="81"/>
        <v>1960983.3118620783</v>
      </c>
      <c r="J899" s="444">
        <f t="array" ref="J899">IFERROR(INDEX('Retirement Calculator'!J:J,MATCH('Isaac 401k'!N899,'Retirement Calculator'!A:A,0),0),0)</f>
        <v>7896.2379798201846</v>
      </c>
      <c r="K899" s="444">
        <f t="shared" ca="1" si="79"/>
        <v>8137.8628078427419</v>
      </c>
      <c r="L899" s="444">
        <f t="shared" ca="1" si="80"/>
        <v>1961224.9366901007</v>
      </c>
      <c r="M899" s="460">
        <f t="shared" si="82"/>
        <v>0.05</v>
      </c>
      <c r="N899" s="464">
        <f t="shared" si="83"/>
        <v>78407</v>
      </c>
    </row>
    <row r="900" spans="7:14" ht="11.25" customHeight="1" x14ac:dyDescent="0.3">
      <c r="G900" s="459">
        <f t="shared" si="94"/>
        <v>75</v>
      </c>
      <c r="H900" s="459">
        <v>893</v>
      </c>
      <c r="I900" s="444">
        <f t="shared" ca="1" si="81"/>
        <v>1961224.9366901007</v>
      </c>
      <c r="J900" s="444">
        <f t="array" ref="J900">IFERROR(INDEX('Retirement Calculator'!J:J,MATCH('Isaac 401k'!N900,'Retirement Calculator'!A:A,0),0),0)</f>
        <v>7896.2379798201846</v>
      </c>
      <c r="K900" s="444">
        <f t="shared" ca="1" si="79"/>
        <v>8138.8695779595018</v>
      </c>
      <c r="L900" s="444">
        <f t="shared" ca="1" si="80"/>
        <v>1961467.5682882399</v>
      </c>
      <c r="M900" s="460">
        <f t="shared" si="82"/>
        <v>0.05</v>
      </c>
      <c r="N900" s="464">
        <f t="shared" si="83"/>
        <v>78437</v>
      </c>
    </row>
    <row r="901" spans="7:14" ht="11.25" customHeight="1" x14ac:dyDescent="0.3">
      <c r="G901" s="459">
        <f t="shared" si="94"/>
        <v>75</v>
      </c>
      <c r="H901" s="459">
        <v>894</v>
      </c>
      <c r="I901" s="444">
        <f t="shared" ca="1" si="81"/>
        <v>1961467.5682882399</v>
      </c>
      <c r="J901" s="444">
        <f t="array" ref="J901">IFERROR(INDEX('Retirement Calculator'!J:J,MATCH('Isaac 401k'!N901,'Retirement Calculator'!A:A,0),0),0)</f>
        <v>7896.2379798201846</v>
      </c>
      <c r="K901" s="444">
        <f t="shared" ca="1" si="79"/>
        <v>8139.8805429517488</v>
      </c>
      <c r="L901" s="444">
        <f t="shared" ca="1" si="80"/>
        <v>1961711.2108513713</v>
      </c>
      <c r="M901" s="460">
        <f t="shared" si="82"/>
        <v>0.05</v>
      </c>
      <c r="N901" s="464">
        <f t="shared" si="83"/>
        <v>78468</v>
      </c>
    </row>
    <row r="902" spans="7:14" ht="11.25" customHeight="1" x14ac:dyDescent="0.3">
      <c r="G902" s="459">
        <f t="shared" si="94"/>
        <v>75</v>
      </c>
      <c r="H902" s="459">
        <v>895</v>
      </c>
      <c r="I902" s="444">
        <f t="shared" ca="1" si="81"/>
        <v>1961711.2108513713</v>
      </c>
      <c r="J902" s="444">
        <f t="array" ref="J902">IFERROR(INDEX('Retirement Calculator'!J:J,MATCH('Isaac 401k'!N902,'Retirement Calculator'!A:A,0),0),0)</f>
        <v>7896.2379798201846</v>
      </c>
      <c r="K902" s="444">
        <f t="shared" ca="1" si="79"/>
        <v>8140.8957202981301</v>
      </c>
      <c r="L902" s="444">
        <f t="shared" ca="1" si="80"/>
        <v>1961955.8685918492</v>
      </c>
      <c r="M902" s="460">
        <f t="shared" si="82"/>
        <v>0.05</v>
      </c>
      <c r="N902" s="464">
        <f t="shared" si="83"/>
        <v>78498</v>
      </c>
    </row>
    <row r="903" spans="7:14" ht="11.25" customHeight="1" x14ac:dyDescent="0.3">
      <c r="G903" s="459">
        <f t="shared" si="94"/>
        <v>75</v>
      </c>
      <c r="H903" s="459">
        <v>896</v>
      </c>
      <c r="I903" s="444">
        <f t="shared" ca="1" si="81"/>
        <v>1961955.8685918492</v>
      </c>
      <c r="J903" s="444">
        <f t="array" ref="J903">IFERROR(INDEX('Retirement Calculator'!J:J,MATCH('Isaac 401k'!N903,'Retirement Calculator'!A:A,0),0),0)</f>
        <v>7896.2379798201846</v>
      </c>
      <c r="K903" s="444">
        <f t="shared" ca="1" si="79"/>
        <v>8141.9151275501208</v>
      </c>
      <c r="L903" s="444">
        <f t="shared" ca="1" si="80"/>
        <v>1962201.545739579</v>
      </c>
      <c r="M903" s="460">
        <f t="shared" si="82"/>
        <v>0.05</v>
      </c>
      <c r="N903" s="464">
        <f t="shared" si="83"/>
        <v>78529</v>
      </c>
    </row>
    <row r="904" spans="7:14" ht="11.25" customHeight="1" x14ac:dyDescent="0.3">
      <c r="G904" s="459">
        <f t="shared" si="94"/>
        <v>75</v>
      </c>
      <c r="H904" s="459">
        <v>897</v>
      </c>
      <c r="I904" s="444">
        <f t="shared" ca="1" si="81"/>
        <v>1962201.545739579</v>
      </c>
      <c r="J904" s="444">
        <f t="array" ref="J904">IFERROR(INDEX('Retirement Calculator'!J:J,MATCH('Isaac 401k'!N904,'Retirement Calculator'!A:A,0),0),0)</f>
        <v>7896.2379798201846</v>
      </c>
      <c r="K904" s="444">
        <f t="shared" ca="1" si="79"/>
        <v>8142.9387823323277</v>
      </c>
      <c r="L904" s="444">
        <f t="shared" ca="1" si="80"/>
        <v>1962448.246542091</v>
      </c>
      <c r="M904" s="460">
        <f t="shared" si="82"/>
        <v>0.05</v>
      </c>
      <c r="N904" s="464">
        <f t="shared" si="83"/>
        <v>78560</v>
      </c>
    </row>
    <row r="905" spans="7:14" ht="11.25" customHeight="1" x14ac:dyDescent="0.3">
      <c r="G905" s="459">
        <f t="shared" si="94"/>
        <v>75</v>
      </c>
      <c r="H905" s="459">
        <v>898</v>
      </c>
      <c r="I905" s="444">
        <f t="shared" ca="1" si="81"/>
        <v>1962448.246542091</v>
      </c>
      <c r="J905" s="444">
        <f t="array" ref="J905">IFERROR(INDEX('Retirement Calculator'!J:J,MATCH('Isaac 401k'!N905,'Retirement Calculator'!A:A,0),0),0)</f>
        <v>7896.2379798201846</v>
      </c>
      <c r="K905" s="444">
        <f t="shared" ca="1" si="79"/>
        <v>8143.9667023427937</v>
      </c>
      <c r="L905" s="444">
        <f t="shared" ca="1" si="80"/>
        <v>1962695.9752646135</v>
      </c>
      <c r="M905" s="460">
        <f t="shared" si="82"/>
        <v>0.05</v>
      </c>
      <c r="N905" s="464">
        <f t="shared" si="83"/>
        <v>78588</v>
      </c>
    </row>
    <row r="906" spans="7:14" ht="11.25" customHeight="1" x14ac:dyDescent="0.3">
      <c r="G906" s="459">
        <f t="shared" si="94"/>
        <v>75</v>
      </c>
      <c r="H906" s="459">
        <v>899</v>
      </c>
      <c r="I906" s="444">
        <f t="shared" ca="1" si="81"/>
        <v>1962695.9752646135</v>
      </c>
      <c r="J906" s="444">
        <f t="array" ref="J906">IFERROR(INDEX('Retirement Calculator'!J:J,MATCH('Isaac 401k'!N906,'Retirement Calculator'!A:A,0),0),0)</f>
        <v>7896.2379798201846</v>
      </c>
      <c r="K906" s="444">
        <f t="shared" ca="1" si="79"/>
        <v>8144.9989053533063</v>
      </c>
      <c r="L906" s="444">
        <f t="shared" ca="1" si="80"/>
        <v>1962944.7361901465</v>
      </c>
      <c r="M906" s="460">
        <f t="shared" si="82"/>
        <v>0.05</v>
      </c>
      <c r="N906" s="464">
        <f t="shared" si="83"/>
        <v>78619</v>
      </c>
    </row>
    <row r="907" spans="7:14" ht="11.25" customHeight="1" x14ac:dyDescent="0.3">
      <c r="G907" s="459">
        <f t="shared" si="94"/>
        <v>75</v>
      </c>
      <c r="H907" s="459">
        <v>900</v>
      </c>
      <c r="I907" s="444">
        <f t="shared" ca="1" si="81"/>
        <v>1962944.7361901465</v>
      </c>
      <c r="J907" s="444">
        <f t="array" ref="J907">IFERROR(INDEX('Retirement Calculator'!J:J,MATCH('Isaac 401k'!N907,'Retirement Calculator'!A:A,0),0),0)</f>
        <v>7896.2379798201846</v>
      </c>
      <c r="K907" s="444">
        <f t="shared" ca="1" si="79"/>
        <v>8146.0354092096932</v>
      </c>
      <c r="L907" s="444">
        <f t="shared" ca="1" si="80"/>
        <v>1963194.5336195361</v>
      </c>
      <c r="M907" s="460">
        <f t="shared" si="82"/>
        <v>0.05</v>
      </c>
      <c r="N907" s="464">
        <f t="shared" si="83"/>
        <v>78649</v>
      </c>
    </row>
    <row r="908" spans="7:14" ht="11.25" customHeight="1" x14ac:dyDescent="0.3">
      <c r="G908" s="459">
        <f>G907+1</f>
        <v>76</v>
      </c>
      <c r="H908" s="459">
        <v>901</v>
      </c>
      <c r="I908" s="444">
        <f t="shared" ca="1" si="81"/>
        <v>1963194.5336195361</v>
      </c>
      <c r="J908" s="444">
        <f t="array" ref="J908">IFERROR(INDEX('Retirement Calculator'!J:J,MATCH('Isaac 401k'!N908,'Retirement Calculator'!A:A,0),0),0)</f>
        <v>7896.2379798201846</v>
      </c>
      <c r="K908" s="444">
        <f t="shared" ca="1" si="79"/>
        <v>8147.0762318321495</v>
      </c>
      <c r="L908" s="444">
        <f t="shared" ca="1" si="80"/>
        <v>1963445.371871548</v>
      </c>
      <c r="M908" s="460">
        <f t="shared" si="82"/>
        <v>0.05</v>
      </c>
      <c r="N908" s="464">
        <f t="shared" si="83"/>
        <v>78680</v>
      </c>
    </row>
    <row r="909" spans="7:14" ht="11.25" customHeight="1" x14ac:dyDescent="0.3">
      <c r="G909" s="459">
        <f t="shared" ref="G909:G919" si="95">G908</f>
        <v>76</v>
      </c>
      <c r="H909" s="459">
        <v>902</v>
      </c>
      <c r="I909" s="444">
        <f t="shared" ca="1" si="81"/>
        <v>1963445.371871548</v>
      </c>
      <c r="J909" s="444">
        <f t="array" ref="J909">IFERROR(INDEX('Retirement Calculator'!J:J,MATCH('Isaac 401k'!N909,'Retirement Calculator'!A:A,0),0),0)</f>
        <v>7896.2379798201846</v>
      </c>
      <c r="K909" s="444">
        <f t="shared" ca="1" si="79"/>
        <v>8148.1213912155317</v>
      </c>
      <c r="L909" s="444">
        <f t="shared" ca="1" si="80"/>
        <v>1963697.2552829434</v>
      </c>
      <c r="M909" s="460">
        <f t="shared" si="82"/>
        <v>0.05</v>
      </c>
      <c r="N909" s="464">
        <f t="shared" si="83"/>
        <v>78710</v>
      </c>
    </row>
    <row r="910" spans="7:14" ht="11.25" customHeight="1" x14ac:dyDescent="0.3">
      <c r="G910" s="459">
        <f t="shared" si="95"/>
        <v>76</v>
      </c>
      <c r="H910" s="459">
        <v>903</v>
      </c>
      <c r="I910" s="444">
        <f t="shared" ca="1" si="81"/>
        <v>1963697.2552829434</v>
      </c>
      <c r="J910" s="444">
        <f t="array" ref="J910">IFERROR(INDEX('Retirement Calculator'!J:J,MATCH('Isaac 401k'!N910,'Retirement Calculator'!A:A,0),0),0)</f>
        <v>7896.2379798201846</v>
      </c>
      <c r="K910" s="444">
        <f t="shared" ca="1" si="79"/>
        <v>8149.1709054296798</v>
      </c>
      <c r="L910" s="444">
        <f t="shared" ca="1" si="80"/>
        <v>1963950.1882085528</v>
      </c>
      <c r="M910" s="460">
        <f t="shared" si="82"/>
        <v>0.05</v>
      </c>
      <c r="N910" s="464">
        <f t="shared" si="83"/>
        <v>78741</v>
      </c>
    </row>
    <row r="911" spans="7:14" ht="11.25" customHeight="1" x14ac:dyDescent="0.3">
      <c r="G911" s="459">
        <f t="shared" si="95"/>
        <v>76</v>
      </c>
      <c r="H911" s="459">
        <v>904</v>
      </c>
      <c r="I911" s="444">
        <f t="shared" ca="1" si="81"/>
        <v>1963950.1882085528</v>
      </c>
      <c r="J911" s="444">
        <f t="array" ref="J911">IFERROR(INDEX('Retirement Calculator'!J:J,MATCH('Isaac 401k'!N911,'Retirement Calculator'!A:A,0),0),0)</f>
        <v>7896.2379798201846</v>
      </c>
      <c r="K911" s="444">
        <f t="shared" ca="1" si="79"/>
        <v>8150.2247926197188</v>
      </c>
      <c r="L911" s="444">
        <f t="shared" ca="1" si="80"/>
        <v>1964204.1750213522</v>
      </c>
      <c r="M911" s="460">
        <f t="shared" si="82"/>
        <v>0.05</v>
      </c>
      <c r="N911" s="464">
        <f t="shared" si="83"/>
        <v>78772</v>
      </c>
    </row>
    <row r="912" spans="7:14" ht="11.25" customHeight="1" x14ac:dyDescent="0.3">
      <c r="G912" s="459">
        <f t="shared" si="95"/>
        <v>76</v>
      </c>
      <c r="H912" s="459">
        <v>905</v>
      </c>
      <c r="I912" s="444">
        <f t="shared" ca="1" si="81"/>
        <v>1964204.1750213522</v>
      </c>
      <c r="J912" s="444">
        <f t="array" ref="J912">IFERROR(INDEX('Retirement Calculator'!J:J,MATCH('Isaac 401k'!N912,'Retirement Calculator'!A:A,0),0),0)</f>
        <v>7896.2379798201846</v>
      </c>
      <c r="K912" s="444">
        <f t="shared" ca="1" si="79"/>
        <v>8151.2830710063836</v>
      </c>
      <c r="L912" s="444">
        <f t="shared" ca="1" si="80"/>
        <v>1964459.2201125384</v>
      </c>
      <c r="M912" s="460">
        <f t="shared" si="82"/>
        <v>0.05</v>
      </c>
      <c r="N912" s="464">
        <f t="shared" si="83"/>
        <v>78802</v>
      </c>
    </row>
    <row r="913" spans="7:14" ht="11.25" customHeight="1" x14ac:dyDescent="0.3">
      <c r="G913" s="459">
        <f t="shared" si="95"/>
        <v>76</v>
      </c>
      <c r="H913" s="459">
        <v>906</v>
      </c>
      <c r="I913" s="444">
        <f t="shared" ca="1" si="81"/>
        <v>1964459.2201125384</v>
      </c>
      <c r="J913" s="444">
        <f t="array" ref="J913">IFERROR(INDEX('Retirement Calculator'!J:J,MATCH('Isaac 401k'!N913,'Retirement Calculator'!A:A,0),0),0)</f>
        <v>7896.2379798201846</v>
      </c>
      <c r="K913" s="444">
        <f t="shared" ca="1" si="79"/>
        <v>8152.3457588863257</v>
      </c>
      <c r="L913" s="444">
        <f t="shared" ca="1" si="80"/>
        <v>1964715.3278916045</v>
      </c>
      <c r="M913" s="460">
        <f t="shared" si="82"/>
        <v>0.05</v>
      </c>
      <c r="N913" s="464">
        <f t="shared" si="83"/>
        <v>78833</v>
      </c>
    </row>
    <row r="914" spans="7:14" ht="11.25" customHeight="1" x14ac:dyDescent="0.3">
      <c r="G914" s="459">
        <f t="shared" si="95"/>
        <v>76</v>
      </c>
      <c r="H914" s="459">
        <v>907</v>
      </c>
      <c r="I914" s="444">
        <f t="shared" ca="1" si="81"/>
        <v>1964715.3278916045</v>
      </c>
      <c r="J914" s="444">
        <f t="array" ref="J914">IFERROR(INDEX('Retirement Calculator'!J:J,MATCH('Isaac 401k'!N914,'Retirement Calculator'!A:A,0),0),0)</f>
        <v>7896.2379798201846</v>
      </c>
      <c r="K914" s="444">
        <f t="shared" ca="1" si="79"/>
        <v>8153.4128746324341</v>
      </c>
      <c r="L914" s="444">
        <f t="shared" ca="1" si="80"/>
        <v>1964972.5027864168</v>
      </c>
      <c r="M914" s="460">
        <f t="shared" si="82"/>
        <v>0.05</v>
      </c>
      <c r="N914" s="464">
        <f t="shared" si="83"/>
        <v>78863</v>
      </c>
    </row>
    <row r="915" spans="7:14" ht="11.25" customHeight="1" x14ac:dyDescent="0.3">
      <c r="G915" s="459">
        <f t="shared" si="95"/>
        <v>76</v>
      </c>
      <c r="H915" s="459">
        <v>908</v>
      </c>
      <c r="I915" s="444">
        <f t="shared" ca="1" si="81"/>
        <v>1964972.5027864168</v>
      </c>
      <c r="J915" s="444">
        <f t="array" ref="J915">IFERROR(INDEX('Retirement Calculator'!J:J,MATCH('Isaac 401k'!N915,'Retirement Calculator'!A:A,0),0),0)</f>
        <v>7896.2379798201846</v>
      </c>
      <c r="K915" s="444">
        <f t="shared" ca="1" si="79"/>
        <v>8154.4844366941525</v>
      </c>
      <c r="L915" s="444">
        <f t="shared" ca="1" si="80"/>
        <v>1965230.7492432906</v>
      </c>
      <c r="M915" s="460">
        <f t="shared" si="82"/>
        <v>0.05</v>
      </c>
      <c r="N915" s="464">
        <f t="shared" si="83"/>
        <v>78894</v>
      </c>
    </row>
    <row r="916" spans="7:14" ht="11.25" customHeight="1" x14ac:dyDescent="0.3">
      <c r="G916" s="459">
        <f t="shared" si="95"/>
        <v>76</v>
      </c>
      <c r="H916" s="459">
        <v>909</v>
      </c>
      <c r="I916" s="444">
        <f t="shared" ca="1" si="81"/>
        <v>1965230.7492432906</v>
      </c>
      <c r="J916" s="444">
        <f t="array" ref="J916">IFERROR(INDEX('Retirement Calculator'!J:J,MATCH('Isaac 401k'!N916,'Retirement Calculator'!A:A,0),0),0)</f>
        <v>7896.2379798201846</v>
      </c>
      <c r="K916" s="444">
        <f t="shared" ca="1" si="79"/>
        <v>8155.5604635977934</v>
      </c>
      <c r="L916" s="444">
        <f t="shared" ca="1" si="80"/>
        <v>1965490.0717270682</v>
      </c>
      <c r="M916" s="460">
        <f t="shared" si="82"/>
        <v>0.05</v>
      </c>
      <c r="N916" s="464">
        <f t="shared" si="83"/>
        <v>78925</v>
      </c>
    </row>
    <row r="917" spans="7:14" ht="11.25" customHeight="1" x14ac:dyDescent="0.3">
      <c r="G917" s="459">
        <f t="shared" si="95"/>
        <v>76</v>
      </c>
      <c r="H917" s="459">
        <v>910</v>
      </c>
      <c r="I917" s="444">
        <f t="shared" ca="1" si="81"/>
        <v>1965490.0717270682</v>
      </c>
      <c r="J917" s="444">
        <f t="array" ref="J917">IFERROR(INDEX('Retirement Calculator'!J:J,MATCH('Isaac 401k'!N917,'Retirement Calculator'!A:A,0),0),0)</f>
        <v>7896.2379798201846</v>
      </c>
      <c r="K917" s="444">
        <f t="shared" ca="1" si="79"/>
        <v>8156.6409739468663</v>
      </c>
      <c r="L917" s="444">
        <f t="shared" ca="1" si="80"/>
        <v>1965750.4747211947</v>
      </c>
      <c r="M917" s="460">
        <f t="shared" si="82"/>
        <v>0.05</v>
      </c>
      <c r="N917" s="464">
        <f t="shared" si="83"/>
        <v>78954</v>
      </c>
    </row>
    <row r="918" spans="7:14" ht="11.25" customHeight="1" x14ac:dyDescent="0.3">
      <c r="G918" s="459">
        <f t="shared" si="95"/>
        <v>76</v>
      </c>
      <c r="H918" s="459">
        <v>911</v>
      </c>
      <c r="I918" s="444">
        <f t="shared" ca="1" si="81"/>
        <v>1965750.4747211947</v>
      </c>
      <c r="J918" s="444">
        <f t="array" ref="J918">IFERROR(INDEX('Retirement Calculator'!J:J,MATCH('Isaac 401k'!N918,'Retirement Calculator'!A:A,0),0),0)</f>
        <v>7896.2379798201846</v>
      </c>
      <c r="K918" s="444">
        <f t="shared" ca="1" si="79"/>
        <v>8157.7259864223934</v>
      </c>
      <c r="L918" s="444">
        <f t="shared" ca="1" si="80"/>
        <v>1966011.962727797</v>
      </c>
      <c r="M918" s="460">
        <f t="shared" si="82"/>
        <v>0.05</v>
      </c>
      <c r="N918" s="464">
        <f t="shared" si="83"/>
        <v>78985</v>
      </c>
    </row>
    <row r="919" spans="7:14" ht="11.25" customHeight="1" x14ac:dyDescent="0.3">
      <c r="G919" s="459">
        <f t="shared" si="95"/>
        <v>76</v>
      </c>
      <c r="H919" s="459">
        <v>912</v>
      </c>
      <c r="I919" s="444">
        <f t="shared" ca="1" si="81"/>
        <v>1966011.962727797</v>
      </c>
      <c r="J919" s="444">
        <f t="array" ref="J919">IFERROR(INDEX('Retirement Calculator'!J:J,MATCH('Isaac 401k'!N919,'Retirement Calculator'!A:A,0),0),0)</f>
        <v>7896.2379798201846</v>
      </c>
      <c r="K919" s="444">
        <f t="shared" ca="1" si="79"/>
        <v>8158.8155197832366</v>
      </c>
      <c r="L919" s="444">
        <f t="shared" ca="1" si="80"/>
        <v>1966274.5402677599</v>
      </c>
      <c r="M919" s="460">
        <f t="shared" si="82"/>
        <v>0.05</v>
      </c>
      <c r="N919" s="464">
        <f t="shared" si="83"/>
        <v>79015</v>
      </c>
    </row>
    <row r="920" spans="7:14" ht="11.25" customHeight="1" x14ac:dyDescent="0.3">
      <c r="G920" s="459">
        <f>G919+1</f>
        <v>77</v>
      </c>
      <c r="H920" s="459">
        <v>913</v>
      </c>
      <c r="I920" s="444">
        <f t="shared" ca="1" si="81"/>
        <v>1966274.5402677599</v>
      </c>
      <c r="J920" s="444">
        <f t="array" ref="J920">IFERROR(INDEX('Retirement Calculator'!J:J,MATCH('Isaac 401k'!N920,'Retirement Calculator'!A:A,0),0),0)</f>
        <v>7896.2379798201846</v>
      </c>
      <c r="K920" s="444">
        <f t="shared" ca="1" si="79"/>
        <v>8159.9095928664156</v>
      </c>
      <c r="L920" s="444">
        <f t="shared" ca="1" si="80"/>
        <v>1966538.2118808061</v>
      </c>
      <c r="M920" s="460">
        <f t="shared" si="82"/>
        <v>0.05</v>
      </c>
      <c r="N920" s="464">
        <f t="shared" si="83"/>
        <v>79046</v>
      </c>
    </row>
    <row r="921" spans="7:14" ht="11.25" customHeight="1" x14ac:dyDescent="0.3">
      <c r="G921" s="459">
        <f t="shared" ref="G921:G931" si="96">G920</f>
        <v>77</v>
      </c>
      <c r="H921" s="459">
        <v>914</v>
      </c>
      <c r="I921" s="444">
        <f t="shared" ca="1" si="81"/>
        <v>1966538.2118808061</v>
      </c>
      <c r="J921" s="444">
        <f t="array" ref="J921">IFERROR(INDEX('Retirement Calculator'!J:J,MATCH('Isaac 401k'!N921,'Retirement Calculator'!A:A,0),0),0)</f>
        <v>7896.2379798201846</v>
      </c>
      <c r="K921" s="444">
        <f t="shared" ca="1" si="79"/>
        <v>8161.0082245874419</v>
      </c>
      <c r="L921" s="444">
        <f t="shared" ca="1" si="80"/>
        <v>1966802.9821255733</v>
      </c>
      <c r="M921" s="460">
        <f t="shared" si="82"/>
        <v>0.05</v>
      </c>
      <c r="N921" s="464">
        <f t="shared" si="83"/>
        <v>79076</v>
      </c>
    </row>
    <row r="922" spans="7:14" ht="11.25" customHeight="1" x14ac:dyDescent="0.3">
      <c r="G922" s="459">
        <f t="shared" si="96"/>
        <v>77</v>
      </c>
      <c r="H922" s="459">
        <v>915</v>
      </c>
      <c r="I922" s="444">
        <f t="shared" ca="1" si="81"/>
        <v>1966802.9821255733</v>
      </c>
      <c r="J922" s="444">
        <f t="array" ref="J922">IFERROR(INDEX('Retirement Calculator'!J:J,MATCH('Isaac 401k'!N922,'Retirement Calculator'!A:A,0),0),0)</f>
        <v>7896.2379798201846</v>
      </c>
      <c r="K922" s="444">
        <f t="shared" ca="1" si="79"/>
        <v>8162.1114339406367</v>
      </c>
      <c r="L922" s="444">
        <f t="shared" ca="1" si="80"/>
        <v>1967068.8555796938</v>
      </c>
      <c r="M922" s="460">
        <f t="shared" si="82"/>
        <v>0.05</v>
      </c>
      <c r="N922" s="464">
        <f t="shared" si="83"/>
        <v>79107</v>
      </c>
    </row>
    <row r="923" spans="7:14" ht="11.25" customHeight="1" x14ac:dyDescent="0.3">
      <c r="G923" s="459">
        <f t="shared" si="96"/>
        <v>77</v>
      </c>
      <c r="H923" s="459">
        <v>916</v>
      </c>
      <c r="I923" s="444">
        <f t="shared" ca="1" si="81"/>
        <v>1967068.8555796938</v>
      </c>
      <c r="J923" s="444">
        <f t="array" ref="J923">IFERROR(INDEX('Retirement Calculator'!J:J,MATCH('Isaac 401k'!N923,'Retirement Calculator'!A:A,0),0),0)</f>
        <v>7896.2379798201846</v>
      </c>
      <c r="K923" s="444">
        <f t="shared" ca="1" si="79"/>
        <v>8163.2192399994728</v>
      </c>
      <c r="L923" s="444">
        <f t="shared" ca="1" si="80"/>
        <v>1967335.8368398731</v>
      </c>
      <c r="M923" s="460">
        <f t="shared" si="82"/>
        <v>0.05</v>
      </c>
      <c r="N923" s="464">
        <f t="shared" si="83"/>
        <v>79138</v>
      </c>
    </row>
    <row r="924" spans="7:14" ht="11.25" customHeight="1" x14ac:dyDescent="0.3">
      <c r="G924" s="459">
        <f t="shared" si="96"/>
        <v>77</v>
      </c>
      <c r="H924" s="459">
        <v>917</v>
      </c>
      <c r="I924" s="444">
        <f t="shared" ca="1" si="81"/>
        <v>1967335.8368398731</v>
      </c>
      <c r="J924" s="444">
        <f t="array" ref="J924">IFERROR(INDEX('Retirement Calculator'!J:J,MATCH('Isaac 401k'!N924,'Retirement Calculator'!A:A,0),0),0)</f>
        <v>7896.2379798201846</v>
      </c>
      <c r="K924" s="444">
        <f t="shared" ca="1" si="79"/>
        <v>8164.3316619168863</v>
      </c>
      <c r="L924" s="444">
        <f t="shared" ca="1" si="80"/>
        <v>1967603.9305219697</v>
      </c>
      <c r="M924" s="460">
        <f t="shared" si="82"/>
        <v>0.05</v>
      </c>
      <c r="N924" s="464">
        <f t="shared" si="83"/>
        <v>79168</v>
      </c>
    </row>
    <row r="925" spans="7:14" ht="11.25" customHeight="1" x14ac:dyDescent="0.3">
      <c r="G925" s="459">
        <f t="shared" si="96"/>
        <v>77</v>
      </c>
      <c r="H925" s="459">
        <v>918</v>
      </c>
      <c r="I925" s="444">
        <f t="shared" ca="1" si="81"/>
        <v>1967603.9305219697</v>
      </c>
      <c r="J925" s="444">
        <f t="array" ref="J925">IFERROR(INDEX('Retirement Calculator'!J:J,MATCH('Isaac 401k'!N925,'Retirement Calculator'!A:A,0),0),0)</f>
        <v>7896.2379798201846</v>
      </c>
      <c r="K925" s="444">
        <f t="shared" ca="1" si="79"/>
        <v>8165.4487189256224</v>
      </c>
      <c r="L925" s="444">
        <f t="shared" ca="1" si="80"/>
        <v>1967873.1412610752</v>
      </c>
      <c r="M925" s="460">
        <f t="shared" si="82"/>
        <v>0.05</v>
      </c>
      <c r="N925" s="464">
        <f t="shared" si="83"/>
        <v>79199</v>
      </c>
    </row>
    <row r="926" spans="7:14" ht="11.25" customHeight="1" x14ac:dyDescent="0.3">
      <c r="G926" s="459">
        <f t="shared" si="96"/>
        <v>77</v>
      </c>
      <c r="H926" s="459">
        <v>919</v>
      </c>
      <c r="I926" s="444">
        <f t="shared" ca="1" si="81"/>
        <v>1967873.1412610752</v>
      </c>
      <c r="J926" s="444">
        <f t="array" ref="J926">IFERROR(INDEX('Retirement Calculator'!J:J,MATCH('Isaac 401k'!N926,'Retirement Calculator'!A:A,0),0),0)</f>
        <v>7896.2379798201846</v>
      </c>
      <c r="K926" s="444">
        <f t="shared" ca="1" si="79"/>
        <v>8166.5704303385628</v>
      </c>
      <c r="L926" s="444">
        <f t="shared" ca="1" si="80"/>
        <v>1968143.4737115935</v>
      </c>
      <c r="M926" s="460">
        <f t="shared" si="82"/>
        <v>0.05</v>
      </c>
      <c r="N926" s="464">
        <f t="shared" si="83"/>
        <v>79229</v>
      </c>
    </row>
    <row r="927" spans="7:14" ht="11.25" customHeight="1" x14ac:dyDescent="0.3">
      <c r="G927" s="459">
        <f t="shared" si="96"/>
        <v>77</v>
      </c>
      <c r="H927" s="459">
        <v>920</v>
      </c>
      <c r="I927" s="444">
        <f t="shared" ca="1" si="81"/>
        <v>1968143.4737115935</v>
      </c>
      <c r="J927" s="444">
        <f t="array" ref="J927">IFERROR(INDEX('Retirement Calculator'!J:J,MATCH('Isaac 401k'!N927,'Retirement Calculator'!A:A,0),0),0)</f>
        <v>7896.2379798201846</v>
      </c>
      <c r="K927" s="444">
        <f t="shared" ca="1" si="79"/>
        <v>8167.6968155490549</v>
      </c>
      <c r="L927" s="444">
        <f t="shared" ca="1" si="80"/>
        <v>1968414.9325473225</v>
      </c>
      <c r="M927" s="460">
        <f t="shared" si="82"/>
        <v>0.05</v>
      </c>
      <c r="N927" s="464">
        <f t="shared" si="83"/>
        <v>79260</v>
      </c>
    </row>
    <row r="928" spans="7:14" ht="11.25" customHeight="1" x14ac:dyDescent="0.3">
      <c r="G928" s="459">
        <f t="shared" si="96"/>
        <v>77</v>
      </c>
      <c r="H928" s="459">
        <v>921</v>
      </c>
      <c r="I928" s="444">
        <f t="shared" ca="1" si="81"/>
        <v>1968414.9325473225</v>
      </c>
      <c r="J928" s="444">
        <f t="array" ref="J928">IFERROR(INDEX('Retirement Calculator'!J:J,MATCH('Isaac 401k'!N928,'Retirement Calculator'!A:A,0),0),0)</f>
        <v>7896.2379798201846</v>
      </c>
      <c r="K928" s="444">
        <f t="shared" ca="1" si="79"/>
        <v>8168.8278940312593</v>
      </c>
      <c r="L928" s="444">
        <f t="shared" ca="1" si="80"/>
        <v>1968687.5224615335</v>
      </c>
      <c r="M928" s="460">
        <f t="shared" si="82"/>
        <v>0.05</v>
      </c>
      <c r="N928" s="464">
        <f t="shared" si="83"/>
        <v>79291</v>
      </c>
    </row>
    <row r="929" spans="7:14" ht="11.25" customHeight="1" x14ac:dyDescent="0.3">
      <c r="G929" s="459">
        <f t="shared" si="96"/>
        <v>77</v>
      </c>
      <c r="H929" s="459">
        <v>922</v>
      </c>
      <c r="I929" s="444">
        <f t="shared" ca="1" si="81"/>
        <v>1968687.5224615335</v>
      </c>
      <c r="J929" s="444">
        <f t="array" ref="J929">IFERROR(INDEX('Retirement Calculator'!J:J,MATCH('Isaac 401k'!N929,'Retirement Calculator'!A:A,0),0),0)</f>
        <v>7896.2379798201846</v>
      </c>
      <c r="K929" s="444">
        <f t="shared" ca="1" si="79"/>
        <v>8169.9636853404718</v>
      </c>
      <c r="L929" s="444">
        <f t="shared" ca="1" si="80"/>
        <v>1968961.2481670538</v>
      </c>
      <c r="M929" s="460">
        <f t="shared" si="82"/>
        <v>0.05</v>
      </c>
      <c r="N929" s="464">
        <f t="shared" si="83"/>
        <v>79319</v>
      </c>
    </row>
    <row r="930" spans="7:14" ht="11.25" customHeight="1" x14ac:dyDescent="0.3">
      <c r="G930" s="459">
        <f t="shared" si="96"/>
        <v>77</v>
      </c>
      <c r="H930" s="459">
        <v>923</v>
      </c>
      <c r="I930" s="444">
        <f t="shared" ca="1" si="81"/>
        <v>1968961.2481670538</v>
      </c>
      <c r="J930" s="444">
        <f t="array" ref="J930">IFERROR(INDEX('Retirement Calculator'!J:J,MATCH('Isaac 401k'!N930,'Retirement Calculator'!A:A,0),0),0)</f>
        <v>7896.2379798201846</v>
      </c>
      <c r="K930" s="444">
        <f t="shared" ca="1" si="79"/>
        <v>8171.1042091134732</v>
      </c>
      <c r="L930" s="444">
        <f t="shared" ca="1" si="80"/>
        <v>1969236.114396347</v>
      </c>
      <c r="M930" s="460">
        <f t="shared" si="82"/>
        <v>0.05</v>
      </c>
      <c r="N930" s="464">
        <f t="shared" si="83"/>
        <v>79350</v>
      </c>
    </row>
    <row r="931" spans="7:14" ht="11.25" customHeight="1" x14ac:dyDescent="0.3">
      <c r="G931" s="459">
        <f t="shared" si="96"/>
        <v>77</v>
      </c>
      <c r="H931" s="459">
        <v>924</v>
      </c>
      <c r="I931" s="444">
        <f t="shared" ca="1" si="81"/>
        <v>1969236.114396347</v>
      </c>
      <c r="J931" s="444">
        <f t="array" ref="J931">IFERROR(INDEX('Retirement Calculator'!J:J,MATCH('Isaac 401k'!N931,'Retirement Calculator'!A:A,0),0),0)</f>
        <v>7896.2379798201846</v>
      </c>
      <c r="K931" s="444">
        <f t="shared" ca="1" si="79"/>
        <v>8172.2494850688608</v>
      </c>
      <c r="L931" s="444">
        <f t="shared" ca="1" si="80"/>
        <v>1969512.1259015957</v>
      </c>
      <c r="M931" s="460">
        <f t="shared" si="82"/>
        <v>0.05</v>
      </c>
      <c r="N931" s="464">
        <f t="shared" si="83"/>
        <v>79380</v>
      </c>
    </row>
    <row r="932" spans="7:14" ht="11.25" customHeight="1" x14ac:dyDescent="0.3">
      <c r="G932" s="459">
        <f>G931+1</f>
        <v>78</v>
      </c>
      <c r="H932" s="459">
        <v>925</v>
      </c>
      <c r="I932" s="444">
        <f t="shared" ca="1" si="81"/>
        <v>1969512.1259015957</v>
      </c>
      <c r="J932" s="444">
        <f t="array" ref="J932">IFERROR(INDEX('Retirement Calculator'!J:J,MATCH('Isaac 401k'!N932,'Retirement Calculator'!A:A,0),0),0)</f>
        <v>7896.2379798201846</v>
      </c>
      <c r="K932" s="444">
        <f t="shared" ca="1" si="79"/>
        <v>8173.3995330073976</v>
      </c>
      <c r="L932" s="444">
        <f t="shared" ca="1" si="80"/>
        <v>1969789.2874547828</v>
      </c>
      <c r="M932" s="460">
        <f t="shared" si="82"/>
        <v>0.05</v>
      </c>
      <c r="N932" s="464">
        <f t="shared" si="83"/>
        <v>79411</v>
      </c>
    </row>
    <row r="933" spans="7:14" ht="11.25" customHeight="1" x14ac:dyDescent="0.3">
      <c r="G933" s="459">
        <f t="shared" ref="G933:G943" si="97">G932</f>
        <v>78</v>
      </c>
      <c r="H933" s="459">
        <v>926</v>
      </c>
      <c r="I933" s="444">
        <f t="shared" ca="1" si="81"/>
        <v>1969789.2874547828</v>
      </c>
      <c r="J933" s="444">
        <f t="array" ref="J933">IFERROR(INDEX('Retirement Calculator'!J:J,MATCH('Isaac 401k'!N933,'Retirement Calculator'!A:A,0),0),0)</f>
        <v>7896.2379798201846</v>
      </c>
      <c r="K933" s="444">
        <f t="shared" ca="1" si="79"/>
        <v>8174.5543728123439</v>
      </c>
      <c r="L933" s="444">
        <f t="shared" ca="1" si="80"/>
        <v>1970067.6038477749</v>
      </c>
      <c r="M933" s="460">
        <f t="shared" si="82"/>
        <v>0.05</v>
      </c>
      <c r="N933" s="464">
        <f t="shared" si="83"/>
        <v>79441</v>
      </c>
    </row>
    <row r="934" spans="7:14" ht="11.25" customHeight="1" x14ac:dyDescent="0.3">
      <c r="G934" s="459">
        <f t="shared" si="97"/>
        <v>78</v>
      </c>
      <c r="H934" s="459">
        <v>927</v>
      </c>
      <c r="I934" s="444">
        <f t="shared" ca="1" si="81"/>
        <v>1970067.6038477749</v>
      </c>
      <c r="J934" s="444">
        <f t="array" ref="J934">IFERROR(INDEX('Retirement Calculator'!J:J,MATCH('Isaac 401k'!N934,'Retirement Calculator'!A:A,0),0),0)</f>
        <v>7896.2379798201846</v>
      </c>
      <c r="K934" s="444">
        <f t="shared" ca="1" si="79"/>
        <v>8175.7140244498105</v>
      </c>
      <c r="L934" s="444">
        <f t="shared" ca="1" si="80"/>
        <v>1970347.0798924044</v>
      </c>
      <c r="M934" s="460">
        <f t="shared" si="82"/>
        <v>0.05</v>
      </c>
      <c r="N934" s="464">
        <f t="shared" si="83"/>
        <v>79472</v>
      </c>
    </row>
    <row r="935" spans="7:14" ht="11.25" customHeight="1" x14ac:dyDescent="0.3">
      <c r="G935" s="459">
        <f t="shared" si="97"/>
        <v>78</v>
      </c>
      <c r="H935" s="459">
        <v>928</v>
      </c>
      <c r="I935" s="444">
        <f t="shared" ca="1" si="81"/>
        <v>1970347.0798924044</v>
      </c>
      <c r="J935" s="444">
        <f t="array" ref="J935">IFERROR(INDEX('Retirement Calculator'!J:J,MATCH('Isaac 401k'!N935,'Retirement Calculator'!A:A,0),0),0)</f>
        <v>7896.2379798201846</v>
      </c>
      <c r="K935" s="444">
        <f t="shared" ca="1" si="79"/>
        <v>8176.8785079690997</v>
      </c>
      <c r="L935" s="444">
        <f t="shared" ca="1" si="80"/>
        <v>1970627.7204205533</v>
      </c>
      <c r="M935" s="460">
        <f t="shared" si="82"/>
        <v>0.05</v>
      </c>
      <c r="N935" s="464">
        <f t="shared" si="83"/>
        <v>79503</v>
      </c>
    </row>
    <row r="936" spans="7:14" ht="11.25" customHeight="1" x14ac:dyDescent="0.3">
      <c r="G936" s="459">
        <f t="shared" si="97"/>
        <v>78</v>
      </c>
      <c r="H936" s="459">
        <v>929</v>
      </c>
      <c r="I936" s="444">
        <f t="shared" ca="1" si="81"/>
        <v>1970627.7204205533</v>
      </c>
      <c r="J936" s="444">
        <f t="array" ref="J936">IFERROR(INDEX('Retirement Calculator'!J:J,MATCH('Isaac 401k'!N936,'Retirement Calculator'!A:A,0),0),0)</f>
        <v>7896.2379798201846</v>
      </c>
      <c r="K936" s="444">
        <f t="shared" ca="1" si="79"/>
        <v>8178.0478435030536</v>
      </c>
      <c r="L936" s="444">
        <f t="shared" ca="1" si="80"/>
        <v>1970909.5302842362</v>
      </c>
      <c r="M936" s="460">
        <f t="shared" si="82"/>
        <v>0.05</v>
      </c>
      <c r="N936" s="464">
        <f t="shared" si="83"/>
        <v>79533</v>
      </c>
    </row>
    <row r="937" spans="7:14" ht="11.25" customHeight="1" x14ac:dyDescent="0.3">
      <c r="G937" s="459">
        <f t="shared" si="97"/>
        <v>78</v>
      </c>
      <c r="H937" s="459">
        <v>930</v>
      </c>
      <c r="I937" s="444">
        <f t="shared" ca="1" si="81"/>
        <v>1970909.5302842362</v>
      </c>
      <c r="J937" s="444">
        <f t="array" ref="J937">IFERROR(INDEX('Retirement Calculator'!J:J,MATCH('Isaac 401k'!N937,'Retirement Calculator'!A:A,0),0),0)</f>
        <v>7896.2379798201846</v>
      </c>
      <c r="K937" s="444">
        <f t="shared" ca="1" si="79"/>
        <v>8179.2220512683998</v>
      </c>
      <c r="L937" s="444">
        <f t="shared" ca="1" si="80"/>
        <v>1971192.5143556844</v>
      </c>
      <c r="M937" s="460">
        <f t="shared" si="82"/>
        <v>0.05</v>
      </c>
      <c r="N937" s="464">
        <f t="shared" si="83"/>
        <v>79564</v>
      </c>
    </row>
    <row r="938" spans="7:14" ht="11.25" customHeight="1" x14ac:dyDescent="0.3">
      <c r="G938" s="459">
        <f t="shared" si="97"/>
        <v>78</v>
      </c>
      <c r="H938" s="459">
        <v>931</v>
      </c>
      <c r="I938" s="444">
        <f t="shared" ca="1" si="81"/>
        <v>1971192.5143556844</v>
      </c>
      <c r="J938" s="444">
        <f t="array" ref="J938">IFERROR(INDEX('Retirement Calculator'!J:J,MATCH('Isaac 401k'!N938,'Retirement Calculator'!A:A,0),0),0)</f>
        <v>7896.2379798201846</v>
      </c>
      <c r="K938" s="444">
        <f t="shared" ca="1" si="79"/>
        <v>8180.4011515661005</v>
      </c>
      <c r="L938" s="444">
        <f t="shared" ca="1" si="80"/>
        <v>1971476.6775274302</v>
      </c>
      <c r="M938" s="460">
        <f t="shared" si="82"/>
        <v>0.05</v>
      </c>
      <c r="N938" s="464">
        <f t="shared" si="83"/>
        <v>79594</v>
      </c>
    </row>
    <row r="939" spans="7:14" ht="11.25" customHeight="1" x14ac:dyDescent="0.3">
      <c r="G939" s="459">
        <f t="shared" si="97"/>
        <v>78</v>
      </c>
      <c r="H939" s="459">
        <v>932</v>
      </c>
      <c r="I939" s="444">
        <f t="shared" ca="1" si="81"/>
        <v>1971476.6775274302</v>
      </c>
      <c r="J939" s="444">
        <f t="array" ref="J939">IFERROR(INDEX('Retirement Calculator'!J:J,MATCH('Isaac 401k'!N939,'Retirement Calculator'!A:A,0),0),0)</f>
        <v>7896.2379798201846</v>
      </c>
      <c r="K939" s="444">
        <f t="shared" ca="1" si="79"/>
        <v>8181.585164781708</v>
      </c>
      <c r="L939" s="444">
        <f t="shared" ca="1" si="80"/>
        <v>1971762.0247123917</v>
      </c>
      <c r="M939" s="460">
        <f t="shared" si="82"/>
        <v>0.05</v>
      </c>
      <c r="N939" s="464">
        <f t="shared" si="83"/>
        <v>79625</v>
      </c>
    </row>
    <row r="940" spans="7:14" ht="11.25" customHeight="1" x14ac:dyDescent="0.3">
      <c r="G940" s="459">
        <f t="shared" si="97"/>
        <v>78</v>
      </c>
      <c r="H940" s="459">
        <v>933</v>
      </c>
      <c r="I940" s="444">
        <f t="shared" ca="1" si="81"/>
        <v>1971762.0247123917</v>
      </c>
      <c r="J940" s="444">
        <f t="array" ref="J940">IFERROR(INDEX('Retirement Calculator'!J:J,MATCH('Isaac 401k'!N940,'Retirement Calculator'!A:A,0),0),0)</f>
        <v>7896.2379798201846</v>
      </c>
      <c r="K940" s="444">
        <f t="shared" ca="1" si="79"/>
        <v>8182.7741113857155</v>
      </c>
      <c r="L940" s="444">
        <f t="shared" ca="1" si="80"/>
        <v>1972048.5608439571</v>
      </c>
      <c r="M940" s="460">
        <f t="shared" si="82"/>
        <v>0.05</v>
      </c>
      <c r="N940" s="464">
        <f t="shared" si="83"/>
        <v>79656</v>
      </c>
    </row>
    <row r="941" spans="7:14" ht="11.25" customHeight="1" x14ac:dyDescent="0.3">
      <c r="G941" s="459">
        <f t="shared" si="97"/>
        <v>78</v>
      </c>
      <c r="H941" s="459">
        <v>934</v>
      </c>
      <c r="I941" s="444">
        <f t="shared" ca="1" si="81"/>
        <v>1972048.5608439571</v>
      </c>
      <c r="J941" s="444">
        <f t="array" ref="J941">IFERROR(INDEX('Retirement Calculator'!J:J,MATCH('Isaac 401k'!N941,'Retirement Calculator'!A:A,0),0),0)</f>
        <v>7896.2379798201846</v>
      </c>
      <c r="K941" s="444">
        <f t="shared" ca="1" si="79"/>
        <v>8183.9680119339037</v>
      </c>
      <c r="L941" s="444">
        <f t="shared" ca="1" si="80"/>
        <v>1972336.2908760707</v>
      </c>
      <c r="M941" s="460">
        <f t="shared" si="82"/>
        <v>0.05</v>
      </c>
      <c r="N941" s="464">
        <f t="shared" si="83"/>
        <v>79684</v>
      </c>
    </row>
    <row r="942" spans="7:14" ht="11.25" customHeight="1" x14ac:dyDescent="0.3">
      <c r="G942" s="459">
        <f t="shared" si="97"/>
        <v>78</v>
      </c>
      <c r="H942" s="459">
        <v>935</v>
      </c>
      <c r="I942" s="444">
        <f t="shared" ca="1" si="81"/>
        <v>1972336.2908760707</v>
      </c>
      <c r="J942" s="444">
        <f t="array" ref="J942">IFERROR(INDEX('Retirement Calculator'!J:J,MATCH('Isaac 401k'!N942,'Retirement Calculator'!A:A,0),0),0)</f>
        <v>7896.2379798201846</v>
      </c>
      <c r="K942" s="444">
        <f t="shared" ca="1" si="79"/>
        <v>8185.1668870677104</v>
      </c>
      <c r="L942" s="444">
        <f t="shared" ca="1" si="80"/>
        <v>1972625.2197833182</v>
      </c>
      <c r="M942" s="460">
        <f t="shared" si="82"/>
        <v>0.05</v>
      </c>
      <c r="N942" s="464">
        <f t="shared" si="83"/>
        <v>79715</v>
      </c>
    </row>
    <row r="943" spans="7:14" ht="11.25" customHeight="1" x14ac:dyDescent="0.3">
      <c r="G943" s="459">
        <f t="shared" si="97"/>
        <v>78</v>
      </c>
      <c r="H943" s="459">
        <v>936</v>
      </c>
      <c r="I943" s="444">
        <f t="shared" ca="1" si="81"/>
        <v>1972625.2197833182</v>
      </c>
      <c r="J943" s="444">
        <f t="array" ref="J943">IFERROR(INDEX('Retirement Calculator'!J:J,MATCH('Isaac 401k'!N943,'Retirement Calculator'!A:A,0),0),0)</f>
        <v>7896.2379798201846</v>
      </c>
      <c r="K943" s="444">
        <f t="shared" ca="1" si="79"/>
        <v>8186.3707575145745</v>
      </c>
      <c r="L943" s="444">
        <f t="shared" ca="1" si="80"/>
        <v>1972915.3525610126</v>
      </c>
      <c r="M943" s="460">
        <f t="shared" si="82"/>
        <v>0.05</v>
      </c>
      <c r="N943" s="464">
        <f t="shared" si="83"/>
        <v>79745</v>
      </c>
    </row>
    <row r="944" spans="7:14" ht="11.25" customHeight="1" x14ac:dyDescent="0.3">
      <c r="G944" s="459">
        <f>G943+1</f>
        <v>79</v>
      </c>
      <c r="H944" s="459">
        <v>937</v>
      </c>
      <c r="I944" s="444">
        <f t="shared" ca="1" si="81"/>
        <v>1972915.3525610126</v>
      </c>
      <c r="J944" s="444">
        <f t="array" ref="J944">IFERROR(INDEX('Retirement Calculator'!J:J,MATCH('Isaac 401k'!N944,'Retirement Calculator'!A:A,0),0),0)</f>
        <v>7896.2379798201846</v>
      </c>
      <c r="K944" s="444">
        <f t="shared" ca="1" si="79"/>
        <v>8187.5796440883014</v>
      </c>
      <c r="L944" s="444">
        <f t="shared" ca="1" si="80"/>
        <v>1973206.6942252808</v>
      </c>
      <c r="M944" s="460">
        <f t="shared" si="82"/>
        <v>0.05</v>
      </c>
      <c r="N944" s="464">
        <f t="shared" si="83"/>
        <v>79776</v>
      </c>
    </row>
    <row r="945" spans="7:14" ht="11.25" customHeight="1" x14ac:dyDescent="0.3">
      <c r="G945" s="459">
        <f t="shared" ref="G945:G955" si="98">G944</f>
        <v>79</v>
      </c>
      <c r="H945" s="459">
        <v>938</v>
      </c>
      <c r="I945" s="444">
        <f t="shared" ca="1" si="81"/>
        <v>1973206.6942252808</v>
      </c>
      <c r="J945" s="444">
        <f t="array" ref="J945">IFERROR(INDEX('Retirement Calculator'!J:J,MATCH('Isaac 401k'!N945,'Retirement Calculator'!A:A,0),0),0)</f>
        <v>7896.2379798201846</v>
      </c>
      <c r="K945" s="444">
        <f t="shared" ca="1" si="79"/>
        <v>8188.7935676894194</v>
      </c>
      <c r="L945" s="444">
        <f t="shared" ca="1" si="80"/>
        <v>1973499.2498131499</v>
      </c>
      <c r="M945" s="460">
        <f t="shared" si="82"/>
        <v>0.05</v>
      </c>
      <c r="N945" s="464">
        <f t="shared" si="83"/>
        <v>79806</v>
      </c>
    </row>
    <row r="946" spans="7:14" ht="11.25" customHeight="1" x14ac:dyDescent="0.3">
      <c r="G946" s="459">
        <f t="shared" si="98"/>
        <v>79</v>
      </c>
      <c r="H946" s="459">
        <v>939</v>
      </c>
      <c r="I946" s="444">
        <f t="shared" ca="1" si="81"/>
        <v>1973499.2498131499</v>
      </c>
      <c r="J946" s="444">
        <f t="array" ref="J946">IFERROR(INDEX('Retirement Calculator'!J:J,MATCH('Isaac 401k'!N946,'Retirement Calculator'!A:A,0),0),0)</f>
        <v>7896.2379798201846</v>
      </c>
      <c r="K946" s="444">
        <f t="shared" ca="1" si="79"/>
        <v>8190.0125493055393</v>
      </c>
      <c r="L946" s="444">
        <f t="shared" ca="1" si="80"/>
        <v>1973793.0243826353</v>
      </c>
      <c r="M946" s="460">
        <f t="shared" si="82"/>
        <v>0.05</v>
      </c>
      <c r="N946" s="464">
        <f t="shared" si="83"/>
        <v>79837</v>
      </c>
    </row>
    <row r="947" spans="7:14" ht="11.25" customHeight="1" x14ac:dyDescent="0.3">
      <c r="G947" s="459">
        <f t="shared" si="98"/>
        <v>79</v>
      </c>
      <c r="H947" s="459">
        <v>940</v>
      </c>
      <c r="I947" s="444">
        <f t="shared" ca="1" si="81"/>
        <v>1973793.0243826353</v>
      </c>
      <c r="J947" s="444">
        <f t="array" ref="J947">IFERROR(INDEX('Retirement Calculator'!J:J,MATCH('Isaac 401k'!N947,'Retirement Calculator'!A:A,0),0),0)</f>
        <v>7896.2379798201846</v>
      </c>
      <c r="K947" s="444">
        <f t="shared" ca="1" si="79"/>
        <v>8191.2366100117288</v>
      </c>
      <c r="L947" s="444">
        <f t="shared" ca="1" si="80"/>
        <v>1974088.0230128267</v>
      </c>
      <c r="M947" s="460">
        <f t="shared" si="82"/>
        <v>0.05</v>
      </c>
      <c r="N947" s="464">
        <f t="shared" si="83"/>
        <v>79868</v>
      </c>
    </row>
    <row r="948" spans="7:14" ht="11.25" customHeight="1" x14ac:dyDescent="0.3">
      <c r="G948" s="459">
        <f t="shared" si="98"/>
        <v>79</v>
      </c>
      <c r="H948" s="459">
        <v>941</v>
      </c>
      <c r="I948" s="444">
        <f t="shared" ca="1" si="81"/>
        <v>1974088.0230128267</v>
      </c>
      <c r="J948" s="444">
        <f t="array" ref="J948">IFERROR(INDEX('Retirement Calculator'!J:J,MATCH('Isaac 401k'!N948,'Retirement Calculator'!A:A,0),0),0)</f>
        <v>7896.2379798201846</v>
      </c>
      <c r="K948" s="444">
        <f t="shared" ca="1" si="79"/>
        <v>8192.4657709708608</v>
      </c>
      <c r="L948" s="444">
        <f t="shared" ca="1" si="80"/>
        <v>1974384.2508039773</v>
      </c>
      <c r="M948" s="460">
        <f t="shared" si="82"/>
        <v>0.05</v>
      </c>
      <c r="N948" s="464">
        <f t="shared" si="83"/>
        <v>79898</v>
      </c>
    </row>
    <row r="949" spans="7:14" ht="11.25" customHeight="1" x14ac:dyDescent="0.3">
      <c r="G949" s="459">
        <f t="shared" si="98"/>
        <v>79</v>
      </c>
      <c r="H949" s="459">
        <v>942</v>
      </c>
      <c r="I949" s="444">
        <f t="shared" ca="1" si="81"/>
        <v>1974384.2508039773</v>
      </c>
      <c r="J949" s="444">
        <f t="array" ref="J949">IFERROR(INDEX('Retirement Calculator'!J:J,MATCH('Isaac 401k'!N949,'Retirement Calculator'!A:A,0),0),0)</f>
        <v>7896.2379798201846</v>
      </c>
      <c r="K949" s="444">
        <f t="shared" ca="1" si="79"/>
        <v>8193.7000534339877</v>
      </c>
      <c r="L949" s="444">
        <f t="shared" ca="1" si="80"/>
        <v>1974681.7128775909</v>
      </c>
      <c r="M949" s="460">
        <f t="shared" si="82"/>
        <v>0.05</v>
      </c>
      <c r="N949" s="464">
        <f t="shared" si="83"/>
        <v>79929</v>
      </c>
    </row>
    <row r="950" spans="7:14" ht="11.25" customHeight="1" x14ac:dyDescent="0.3">
      <c r="G950" s="459">
        <f t="shared" si="98"/>
        <v>79</v>
      </c>
      <c r="H950" s="459">
        <v>943</v>
      </c>
      <c r="I950" s="444">
        <f t="shared" ca="1" si="81"/>
        <v>1974681.7128775909</v>
      </c>
      <c r="J950" s="444">
        <f t="array" ref="J950">IFERROR(INDEX('Retirement Calculator'!J:J,MATCH('Isaac 401k'!N950,'Retirement Calculator'!A:A,0),0),0)</f>
        <v>7896.2379798201846</v>
      </c>
      <c r="K950" s="444">
        <f t="shared" ca="1" si="79"/>
        <v>8194.9394787407109</v>
      </c>
      <c r="L950" s="444">
        <f t="shared" ca="1" si="80"/>
        <v>1974980.4143765115</v>
      </c>
      <c r="M950" s="460">
        <f t="shared" si="82"/>
        <v>0.05</v>
      </c>
      <c r="N950" s="464">
        <f t="shared" si="83"/>
        <v>79959</v>
      </c>
    </row>
    <row r="951" spans="7:14" ht="11.25" customHeight="1" x14ac:dyDescent="0.3">
      <c r="G951" s="459">
        <f t="shared" si="98"/>
        <v>79</v>
      </c>
      <c r="H951" s="459">
        <v>944</v>
      </c>
      <c r="I951" s="444">
        <f t="shared" ca="1" si="81"/>
        <v>1974980.4143765115</v>
      </c>
      <c r="J951" s="444">
        <f t="array" ref="J951">IFERROR(INDEX('Retirement Calculator'!J:J,MATCH('Isaac 401k'!N951,'Retirement Calculator'!A:A,0),0),0)</f>
        <v>7896.2379798201846</v>
      </c>
      <c r="K951" s="444">
        <f t="shared" ca="1" si="79"/>
        <v>8196.184068319546</v>
      </c>
      <c r="L951" s="444">
        <f t="shared" ca="1" si="80"/>
        <v>1975280.3604650109</v>
      </c>
      <c r="M951" s="460">
        <f t="shared" si="82"/>
        <v>0.05</v>
      </c>
      <c r="N951" s="464">
        <f t="shared" si="83"/>
        <v>79990</v>
      </c>
    </row>
    <row r="952" spans="7:14" ht="11.25" customHeight="1" x14ac:dyDescent="0.3">
      <c r="G952" s="459">
        <f t="shared" si="98"/>
        <v>79</v>
      </c>
      <c r="H952" s="459">
        <v>945</v>
      </c>
      <c r="I952" s="444">
        <f t="shared" ca="1" si="81"/>
        <v>1975280.3604650109</v>
      </c>
      <c r="J952" s="444">
        <f t="array" ref="J952">IFERROR(INDEX('Retirement Calculator'!J:J,MATCH('Isaac 401k'!N952,'Retirement Calculator'!A:A,0),0),0)</f>
        <v>7896.2379798201846</v>
      </c>
      <c r="K952" s="444">
        <f t="shared" ca="1" si="79"/>
        <v>8197.4338436882936</v>
      </c>
      <c r="L952" s="444">
        <f t="shared" ca="1" si="80"/>
        <v>1975581.556328879</v>
      </c>
      <c r="M952" s="460">
        <f t="shared" si="82"/>
        <v>0.05</v>
      </c>
      <c r="N952" s="464">
        <f t="shared" si="83"/>
        <v>80021</v>
      </c>
    </row>
    <row r="953" spans="7:14" ht="11.25" customHeight="1" x14ac:dyDescent="0.3">
      <c r="G953" s="459">
        <f t="shared" si="98"/>
        <v>79</v>
      </c>
      <c r="H953" s="459">
        <v>946</v>
      </c>
      <c r="I953" s="444">
        <f t="shared" ca="1" si="81"/>
        <v>1975581.556328879</v>
      </c>
      <c r="J953" s="444">
        <f t="array" ref="J953">IFERROR(INDEX('Retirement Calculator'!J:J,MATCH('Isaac 401k'!N953,'Retirement Calculator'!A:A,0),0),0)</f>
        <v>7896.2379798201846</v>
      </c>
      <c r="K953" s="444">
        <f t="shared" ca="1" si="79"/>
        <v>8198.6888264544104</v>
      </c>
      <c r="L953" s="444">
        <f t="shared" ca="1" si="80"/>
        <v>1975884.0071755131</v>
      </c>
      <c r="M953" s="460">
        <f t="shared" si="82"/>
        <v>0.05</v>
      </c>
      <c r="N953" s="464">
        <f t="shared" si="83"/>
        <v>80049</v>
      </c>
    </row>
    <row r="954" spans="7:14" ht="11.25" customHeight="1" x14ac:dyDescent="0.3">
      <c r="G954" s="459">
        <f t="shared" si="98"/>
        <v>79</v>
      </c>
      <c r="H954" s="459">
        <v>947</v>
      </c>
      <c r="I954" s="444">
        <f t="shared" ca="1" si="81"/>
        <v>1975884.0071755131</v>
      </c>
      <c r="J954" s="444">
        <f t="array" ref="J954">IFERROR(INDEX('Retirement Calculator'!J:J,MATCH('Isaac 401k'!N954,'Retirement Calculator'!A:A,0),0),0)</f>
        <v>7896.2379798201846</v>
      </c>
      <c r="K954" s="444">
        <f t="shared" ca="1" si="79"/>
        <v>8199.9490383153861</v>
      </c>
      <c r="L954" s="444">
        <f t="shared" ca="1" si="80"/>
        <v>1976187.7182340082</v>
      </c>
      <c r="M954" s="460">
        <f t="shared" si="82"/>
        <v>0.05</v>
      </c>
      <c r="N954" s="464">
        <f t="shared" si="83"/>
        <v>80080</v>
      </c>
    </row>
    <row r="955" spans="7:14" ht="11.25" customHeight="1" x14ac:dyDescent="0.3">
      <c r="G955" s="459">
        <f t="shared" si="98"/>
        <v>79</v>
      </c>
      <c r="H955" s="459">
        <v>948</v>
      </c>
      <c r="I955" s="444">
        <f t="shared" ca="1" si="81"/>
        <v>1976187.7182340082</v>
      </c>
      <c r="J955" s="444">
        <f t="array" ref="J955">IFERROR(INDEX('Retirement Calculator'!J:J,MATCH('Isaac 401k'!N955,'Retirement Calculator'!A:A,0),0),0)</f>
        <v>7896.2379798201846</v>
      </c>
      <c r="K955" s="444">
        <f t="shared" ca="1" si="79"/>
        <v>8201.2145010591157</v>
      </c>
      <c r="L955" s="444">
        <f t="shared" ca="1" si="80"/>
        <v>1976492.6947552471</v>
      </c>
      <c r="M955" s="460">
        <f t="shared" si="82"/>
        <v>0.05</v>
      </c>
      <c r="N955" s="464">
        <f t="shared" si="83"/>
        <v>80110</v>
      </c>
    </row>
    <row r="956" spans="7:14" ht="11.25" customHeight="1" x14ac:dyDescent="0.3">
      <c r="G956" s="459">
        <f>G955+1</f>
        <v>80</v>
      </c>
      <c r="H956" s="459">
        <v>949</v>
      </c>
      <c r="I956" s="444">
        <f t="shared" ca="1" si="81"/>
        <v>1976492.6947552471</v>
      </c>
      <c r="J956" s="444">
        <f t="array" ref="J956">IFERROR(INDEX('Retirement Calculator'!J:J,MATCH('Isaac 401k'!N956,'Retirement Calculator'!A:A,0),0),0)</f>
        <v>7896.2379798201846</v>
      </c>
      <c r="K956" s="444">
        <f t="shared" ca="1" si="79"/>
        <v>8202.4852365642801</v>
      </c>
      <c r="L956" s="444">
        <f t="shared" ca="1" si="80"/>
        <v>1976798.9420119911</v>
      </c>
      <c r="M956" s="460">
        <f t="shared" si="82"/>
        <v>0.05</v>
      </c>
      <c r="N956" s="464">
        <f t="shared" si="83"/>
        <v>80141</v>
      </c>
    </row>
    <row r="957" spans="7:14" ht="11.25" customHeight="1" x14ac:dyDescent="0.3">
      <c r="G957" s="459">
        <f t="shared" ref="G957:G967" si="99">G956</f>
        <v>80</v>
      </c>
      <c r="H957" s="459">
        <v>950</v>
      </c>
      <c r="I957" s="444">
        <f t="shared" ca="1" si="81"/>
        <v>1976798.9420119911</v>
      </c>
      <c r="J957" s="444">
        <f t="array" ref="J957">IFERROR(INDEX('Retirement Calculator'!J:J,MATCH('Isaac 401k'!N957,'Retirement Calculator'!A:A,0),0),0)</f>
        <v>7896.2379798201846</v>
      </c>
      <c r="K957" s="444">
        <f t="shared" ca="1" si="79"/>
        <v>8203.7612668007114</v>
      </c>
      <c r="L957" s="444">
        <f t="shared" ca="1" si="80"/>
        <v>1977106.4652989716</v>
      </c>
      <c r="M957" s="460">
        <f t="shared" si="82"/>
        <v>0.05</v>
      </c>
      <c r="N957" s="464">
        <f t="shared" si="83"/>
        <v>80171</v>
      </c>
    </row>
    <row r="958" spans="7:14" ht="11.25" customHeight="1" x14ac:dyDescent="0.3">
      <c r="G958" s="459">
        <f t="shared" si="99"/>
        <v>80</v>
      </c>
      <c r="H958" s="459">
        <v>951</v>
      </c>
      <c r="I958" s="444">
        <f t="shared" ca="1" si="81"/>
        <v>1977106.4652989716</v>
      </c>
      <c r="J958" s="444">
        <f t="array" ref="J958">IFERROR(INDEX('Retirement Calculator'!J:J,MATCH('Isaac 401k'!N958,'Retirement Calculator'!A:A,0),0),0)</f>
        <v>7896.2379798201846</v>
      </c>
      <c r="K958" s="444">
        <f t="shared" ca="1" si="79"/>
        <v>8205.0426138297971</v>
      </c>
      <c r="L958" s="444">
        <f t="shared" ca="1" si="80"/>
        <v>1977415.2699329811</v>
      </c>
      <c r="M958" s="460">
        <f t="shared" si="82"/>
        <v>0.05</v>
      </c>
      <c r="N958" s="464">
        <f t="shared" si="83"/>
        <v>80202</v>
      </c>
    </row>
    <row r="959" spans="7:14" ht="11.25" customHeight="1" x14ac:dyDescent="0.3">
      <c r="G959" s="459">
        <f t="shared" si="99"/>
        <v>80</v>
      </c>
      <c r="H959" s="459">
        <v>952</v>
      </c>
      <c r="I959" s="444">
        <f t="shared" ca="1" si="81"/>
        <v>1977415.2699329811</v>
      </c>
      <c r="J959" s="444">
        <f t="array" ref="J959">IFERROR(INDEX('Retirement Calculator'!J:J,MATCH('Isaac 401k'!N959,'Retirement Calculator'!A:A,0),0),0)</f>
        <v>7896.2379798201846</v>
      </c>
      <c r="K959" s="444">
        <f t="shared" ca="1" si="79"/>
        <v>8206.3292998048364</v>
      </c>
      <c r="L959" s="444">
        <f t="shared" ca="1" si="80"/>
        <v>1977725.3612529656</v>
      </c>
      <c r="M959" s="460">
        <f t="shared" si="82"/>
        <v>0.05</v>
      </c>
      <c r="N959" s="464">
        <f t="shared" si="83"/>
        <v>80233</v>
      </c>
    </row>
    <row r="960" spans="7:14" ht="11.25" customHeight="1" x14ac:dyDescent="0.3">
      <c r="G960" s="459">
        <f t="shared" si="99"/>
        <v>80</v>
      </c>
      <c r="H960" s="459">
        <v>953</v>
      </c>
      <c r="I960" s="444">
        <f t="shared" ca="1" si="81"/>
        <v>1977725.3612529656</v>
      </c>
      <c r="J960" s="444">
        <f t="array" ref="J960">IFERROR(INDEX('Retirement Calculator'!J:J,MATCH('Isaac 401k'!N960,'Retirement Calculator'!A:A,0),0),0)</f>
        <v>7896.2379798201846</v>
      </c>
      <c r="K960" s="444">
        <f t="shared" ca="1" si="79"/>
        <v>8207.6213469714385</v>
      </c>
      <c r="L960" s="444">
        <f t="shared" ca="1" si="80"/>
        <v>1978036.7446201169</v>
      </c>
      <c r="M960" s="460">
        <f t="shared" si="82"/>
        <v>0.05</v>
      </c>
      <c r="N960" s="464">
        <f t="shared" si="83"/>
        <v>80263</v>
      </c>
    </row>
    <row r="961" spans="7:14" ht="11.25" customHeight="1" x14ac:dyDescent="0.3">
      <c r="G961" s="459">
        <f t="shared" si="99"/>
        <v>80</v>
      </c>
      <c r="H961" s="459">
        <v>954</v>
      </c>
      <c r="I961" s="444">
        <f t="shared" ca="1" si="81"/>
        <v>1978036.7446201169</v>
      </c>
      <c r="J961" s="444">
        <f t="array" ref="J961">IFERROR(INDEX('Retirement Calculator'!J:J,MATCH('Isaac 401k'!N961,'Retirement Calculator'!A:A,0),0),0)</f>
        <v>7896.2379798201846</v>
      </c>
      <c r="K961" s="444">
        <f t="shared" ca="1" si="79"/>
        <v>8208.9187776679028</v>
      </c>
      <c r="L961" s="444">
        <f t="shared" ca="1" si="80"/>
        <v>1978349.4254179646</v>
      </c>
      <c r="M961" s="460">
        <f t="shared" si="82"/>
        <v>0.05</v>
      </c>
      <c r="N961" s="464">
        <f t="shared" si="83"/>
        <v>80294</v>
      </c>
    </row>
    <row r="962" spans="7:14" ht="11.25" customHeight="1" x14ac:dyDescent="0.3">
      <c r="G962" s="459">
        <f t="shared" si="99"/>
        <v>80</v>
      </c>
      <c r="H962" s="459">
        <v>955</v>
      </c>
      <c r="I962" s="444">
        <f t="shared" ca="1" si="81"/>
        <v>1978349.4254179646</v>
      </c>
      <c r="J962" s="444">
        <f t="array" ref="J962">IFERROR(INDEX('Retirement Calculator'!J:J,MATCH('Isaac 401k'!N962,'Retirement Calculator'!A:A,0),0),0)</f>
        <v>7896.2379798201846</v>
      </c>
      <c r="K962" s="444">
        <f t="shared" ca="1" si="79"/>
        <v>8210.221614325601</v>
      </c>
      <c r="L962" s="444">
        <f t="shared" ca="1" si="80"/>
        <v>1978663.40905247</v>
      </c>
      <c r="M962" s="460">
        <f t="shared" si="82"/>
        <v>0.05</v>
      </c>
      <c r="N962" s="464">
        <f t="shared" si="83"/>
        <v>80324</v>
      </c>
    </row>
    <row r="963" spans="7:14" ht="11.25" customHeight="1" x14ac:dyDescent="0.3">
      <c r="G963" s="459">
        <f t="shared" si="99"/>
        <v>80</v>
      </c>
      <c r="H963" s="459">
        <v>956</v>
      </c>
      <c r="I963" s="444">
        <f t="shared" ca="1" si="81"/>
        <v>1978663.40905247</v>
      </c>
      <c r="J963" s="444">
        <f t="array" ref="J963">IFERROR(INDEX('Retirement Calculator'!J:J,MATCH('Isaac 401k'!N963,'Retirement Calculator'!A:A,0),0),0)</f>
        <v>7896.2379798201846</v>
      </c>
      <c r="K963" s="444">
        <f t="shared" ca="1" si="79"/>
        <v>8211.5298794693736</v>
      </c>
      <c r="L963" s="444">
        <f t="shared" ca="1" si="80"/>
        <v>1978978.7009521192</v>
      </c>
      <c r="M963" s="460">
        <f t="shared" si="82"/>
        <v>0.05</v>
      </c>
      <c r="N963" s="464">
        <f t="shared" si="83"/>
        <v>80355</v>
      </c>
    </row>
    <row r="964" spans="7:14" ht="11.25" customHeight="1" x14ac:dyDescent="0.3">
      <c r="G964" s="459">
        <f t="shared" si="99"/>
        <v>80</v>
      </c>
      <c r="H964" s="459">
        <v>957</v>
      </c>
      <c r="I964" s="444">
        <f t="shared" ca="1" si="81"/>
        <v>1978978.7009521192</v>
      </c>
      <c r="J964" s="444">
        <f t="array" ref="J964">IFERROR(INDEX('Retirement Calculator'!J:J,MATCH('Isaac 401k'!N964,'Retirement Calculator'!A:A,0),0),0)</f>
        <v>7896.2379798201846</v>
      </c>
      <c r="K964" s="444">
        <f t="shared" ca="1" si="79"/>
        <v>8212.8435957179117</v>
      </c>
      <c r="L964" s="444">
        <f t="shared" ca="1" si="80"/>
        <v>1979295.3065680168</v>
      </c>
      <c r="M964" s="460">
        <f t="shared" si="82"/>
        <v>0.05</v>
      </c>
      <c r="N964" s="464">
        <f t="shared" si="83"/>
        <v>80386</v>
      </c>
    </row>
    <row r="965" spans="7:14" ht="11.25" customHeight="1" x14ac:dyDescent="0.3">
      <c r="G965" s="459">
        <f t="shared" si="99"/>
        <v>80</v>
      </c>
      <c r="H965" s="459">
        <v>958</v>
      </c>
      <c r="I965" s="444">
        <f t="shared" ca="1" si="81"/>
        <v>1979295.3065680168</v>
      </c>
      <c r="J965" s="444">
        <f t="array" ref="J965">IFERROR(INDEX('Retirement Calculator'!J:J,MATCH('Isaac 401k'!N965,'Retirement Calculator'!A:A,0),0),0)</f>
        <v>7896.2379798201846</v>
      </c>
      <c r="K965" s="444">
        <f t="shared" ca="1" si="79"/>
        <v>8214.1627857841522</v>
      </c>
      <c r="L965" s="444">
        <f t="shared" ca="1" si="80"/>
        <v>1979613.2313739806</v>
      </c>
      <c r="M965" s="460">
        <f t="shared" si="82"/>
        <v>0.05</v>
      </c>
      <c r="N965" s="464">
        <f t="shared" si="83"/>
        <v>80415</v>
      </c>
    </row>
    <row r="966" spans="7:14" ht="11.25" customHeight="1" x14ac:dyDescent="0.3">
      <c r="G966" s="459">
        <f t="shared" si="99"/>
        <v>80</v>
      </c>
      <c r="H966" s="459">
        <v>959</v>
      </c>
      <c r="I966" s="444">
        <f t="shared" ca="1" si="81"/>
        <v>1979613.2313739806</v>
      </c>
      <c r="J966" s="444">
        <f t="array" ref="J966">IFERROR(INDEX('Retirement Calculator'!J:J,MATCH('Isaac 401k'!N966,'Retirement Calculator'!A:A,0),0),0)</f>
        <v>7896.2379798201846</v>
      </c>
      <c r="K966" s="444">
        <f t="shared" ca="1" si="79"/>
        <v>8215.4874724756683</v>
      </c>
      <c r="L966" s="444">
        <f t="shared" ca="1" si="80"/>
        <v>1979932.4808666361</v>
      </c>
      <c r="M966" s="460">
        <f t="shared" si="82"/>
        <v>0.05</v>
      </c>
      <c r="N966" s="464">
        <f t="shared" si="83"/>
        <v>80446</v>
      </c>
    </row>
    <row r="967" spans="7:14" ht="11.25" customHeight="1" x14ac:dyDescent="0.3">
      <c r="G967" s="459">
        <f t="shared" si="99"/>
        <v>80</v>
      </c>
      <c r="H967" s="459">
        <v>960</v>
      </c>
      <c r="I967" s="444">
        <f t="shared" ca="1" si="81"/>
        <v>1979932.4808666361</v>
      </c>
      <c r="J967" s="444">
        <f t="array" ref="J967">IFERROR(INDEX('Retirement Calculator'!J:J,MATCH('Isaac 401k'!N967,'Retirement Calculator'!A:A,0),0),0)</f>
        <v>7896.2379798201846</v>
      </c>
      <c r="K967" s="444">
        <f t="shared" ca="1" si="79"/>
        <v>8216.8176786950662</v>
      </c>
      <c r="L967" s="444">
        <f t="shared" ca="1" si="80"/>
        <v>1980253.060565511</v>
      </c>
      <c r="M967" s="460">
        <f t="shared" si="82"/>
        <v>0.05</v>
      </c>
      <c r="N967" s="464">
        <f t="shared" si="83"/>
        <v>80476</v>
      </c>
    </row>
    <row r="968" spans="7:14" ht="11.25" customHeight="1" x14ac:dyDescent="0.3">
      <c r="G968" s="459">
        <f>G967+1</f>
        <v>81</v>
      </c>
      <c r="H968" s="459">
        <v>961</v>
      </c>
      <c r="I968" s="444">
        <f t="shared" ca="1" si="81"/>
        <v>1980253.060565511</v>
      </c>
      <c r="J968" s="444">
        <f t="array" ref="J968">IFERROR(INDEX('Retirement Calculator'!J:J,MATCH('Isaac 401k'!N968,'Retirement Calculator'!A:A,0),0),0)</f>
        <v>7896.2379798201846</v>
      </c>
      <c r="K968" s="444">
        <f t="shared" ca="1" si="79"/>
        <v>8218.1534274403766</v>
      </c>
      <c r="L968" s="444">
        <f t="shared" ca="1" si="80"/>
        <v>1980574.9760131312</v>
      </c>
      <c r="M968" s="460">
        <f t="shared" si="82"/>
        <v>0.05</v>
      </c>
      <c r="N968" s="464">
        <f t="shared" si="83"/>
        <v>80507</v>
      </c>
    </row>
    <row r="969" spans="7:14" ht="11.25" customHeight="1" x14ac:dyDescent="0.3">
      <c r="G969" s="459">
        <f t="shared" ref="G969:G979" si="100">G968</f>
        <v>81</v>
      </c>
      <c r="H969" s="459">
        <v>962</v>
      </c>
      <c r="I969" s="444">
        <f t="shared" ca="1" si="81"/>
        <v>1980574.9760131312</v>
      </c>
      <c r="J969" s="444">
        <f t="array" ref="J969">IFERROR(INDEX('Retirement Calculator'!J:J,MATCH('Isaac 401k'!N969,'Retirement Calculator'!A:A,0),0),0)</f>
        <v>7896.2379798201846</v>
      </c>
      <c r="K969" s="444">
        <f t="shared" ca="1" si="79"/>
        <v>8219.4947418054617</v>
      </c>
      <c r="L969" s="444">
        <f t="shared" ca="1" si="80"/>
        <v>1980898.2327751163</v>
      </c>
      <c r="M969" s="460">
        <f t="shared" si="82"/>
        <v>0.05</v>
      </c>
      <c r="N969" s="464">
        <f t="shared" si="83"/>
        <v>80537</v>
      </c>
    </row>
    <row r="970" spans="7:14" ht="11.25" customHeight="1" x14ac:dyDescent="0.3">
      <c r="G970" s="459">
        <f t="shared" si="100"/>
        <v>81</v>
      </c>
      <c r="H970" s="459">
        <v>963</v>
      </c>
      <c r="I970" s="444">
        <f t="shared" ca="1" si="81"/>
        <v>1980898.2327751163</v>
      </c>
      <c r="J970" s="444">
        <f t="array" ref="J970">IFERROR(INDEX('Retirement Calculator'!J:J,MATCH('Isaac 401k'!N970,'Retirement Calculator'!A:A,0),0),0)</f>
        <v>7896.2379798201846</v>
      </c>
      <c r="K970" s="444">
        <f t="shared" ca="1" si="79"/>
        <v>8220.841644980399</v>
      </c>
      <c r="L970" s="444">
        <f t="shared" ca="1" si="80"/>
        <v>1981222.8364402766</v>
      </c>
      <c r="M970" s="460">
        <f t="shared" si="82"/>
        <v>0.05</v>
      </c>
      <c r="N970" s="464">
        <f t="shared" si="83"/>
        <v>80568</v>
      </c>
    </row>
    <row r="971" spans="7:14" ht="11.25" customHeight="1" x14ac:dyDescent="0.3">
      <c r="G971" s="459">
        <f t="shared" si="100"/>
        <v>81</v>
      </c>
      <c r="H971" s="459">
        <v>964</v>
      </c>
      <c r="I971" s="444">
        <f t="shared" ca="1" si="81"/>
        <v>1981222.8364402766</v>
      </c>
      <c r="J971" s="444">
        <f t="array" ref="J971">IFERROR(INDEX('Retirement Calculator'!J:J,MATCH('Isaac 401k'!N971,'Retirement Calculator'!A:A,0),0),0)</f>
        <v>7896.2379798201846</v>
      </c>
      <c r="K971" s="444">
        <f t="shared" ca="1" si="79"/>
        <v>8222.1941602519018</v>
      </c>
      <c r="L971" s="444">
        <f t="shared" ca="1" si="80"/>
        <v>1981548.7926207082</v>
      </c>
      <c r="M971" s="460">
        <f t="shared" si="82"/>
        <v>0.05</v>
      </c>
      <c r="N971" s="464">
        <f t="shared" si="83"/>
        <v>80599</v>
      </c>
    </row>
    <row r="972" spans="7:14" ht="11.25" customHeight="1" x14ac:dyDescent="0.3">
      <c r="G972" s="459">
        <f t="shared" si="100"/>
        <v>81</v>
      </c>
      <c r="H972" s="459">
        <v>965</v>
      </c>
      <c r="I972" s="444">
        <f t="shared" ca="1" si="81"/>
        <v>1981548.7926207082</v>
      </c>
      <c r="J972" s="444">
        <f t="array" ref="J972">IFERROR(INDEX('Retirement Calculator'!J:J,MATCH('Isaac 401k'!N972,'Retirement Calculator'!A:A,0),0),0)</f>
        <v>7896.2379798201846</v>
      </c>
      <c r="K972" s="444">
        <f t="shared" ca="1" si="79"/>
        <v>8223.5523110036993</v>
      </c>
      <c r="L972" s="444">
        <f t="shared" ca="1" si="80"/>
        <v>1981876.1069518917</v>
      </c>
      <c r="M972" s="460">
        <f t="shared" si="82"/>
        <v>0.05</v>
      </c>
      <c r="N972" s="464">
        <f t="shared" si="83"/>
        <v>80629</v>
      </c>
    </row>
    <row r="973" spans="7:14" ht="11.25" customHeight="1" x14ac:dyDescent="0.3">
      <c r="G973" s="459">
        <f t="shared" si="100"/>
        <v>81</v>
      </c>
      <c r="H973" s="459">
        <v>966</v>
      </c>
      <c r="I973" s="444">
        <f t="shared" ca="1" si="81"/>
        <v>1981876.1069518917</v>
      </c>
      <c r="J973" s="444">
        <f t="array" ref="J973">IFERROR(INDEX('Retirement Calculator'!J:J,MATCH('Isaac 401k'!N973,'Retirement Calculator'!A:A,0),0),0)</f>
        <v>7896.2379798201846</v>
      </c>
      <c r="K973" s="444">
        <f t="shared" ca="1" si="79"/>
        <v>8224.9161207169636</v>
      </c>
      <c r="L973" s="444">
        <f t="shared" ca="1" si="80"/>
        <v>1982204.7850927885</v>
      </c>
      <c r="M973" s="460">
        <f t="shared" si="82"/>
        <v>0.05</v>
      </c>
      <c r="N973" s="464">
        <f t="shared" si="83"/>
        <v>80660</v>
      </c>
    </row>
    <row r="974" spans="7:14" ht="11.25" customHeight="1" x14ac:dyDescent="0.3">
      <c r="G974" s="459">
        <f t="shared" si="100"/>
        <v>81</v>
      </c>
      <c r="H974" s="459">
        <v>967</v>
      </c>
      <c r="I974" s="444">
        <f t="shared" ca="1" si="81"/>
        <v>1982204.7850927885</v>
      </c>
      <c r="J974" s="444">
        <f t="array" ref="J974">IFERROR(INDEX('Retirement Calculator'!J:J,MATCH('Isaac 401k'!N974,'Retirement Calculator'!A:A,0),0),0)</f>
        <v>7896.2379798201846</v>
      </c>
      <c r="K974" s="444">
        <f t="shared" ca="1" si="79"/>
        <v>8226.2856129707015</v>
      </c>
      <c r="L974" s="444">
        <f t="shared" ca="1" si="80"/>
        <v>1982534.8327259389</v>
      </c>
      <c r="M974" s="460">
        <f t="shared" si="82"/>
        <v>0.05</v>
      </c>
      <c r="N974" s="464">
        <f t="shared" si="83"/>
        <v>80690</v>
      </c>
    </row>
    <row r="975" spans="7:14" ht="11.25" customHeight="1" x14ac:dyDescent="0.3">
      <c r="G975" s="459">
        <f t="shared" si="100"/>
        <v>81</v>
      </c>
      <c r="H975" s="459">
        <v>968</v>
      </c>
      <c r="I975" s="444">
        <f t="shared" ca="1" si="81"/>
        <v>1982534.8327259389</v>
      </c>
      <c r="J975" s="444">
        <f t="array" ref="J975">IFERROR(INDEX('Retirement Calculator'!J:J,MATCH('Isaac 401k'!N975,'Retirement Calculator'!A:A,0),0),0)</f>
        <v>7896.2379798201846</v>
      </c>
      <c r="K975" s="444">
        <f t="shared" ca="1" si="79"/>
        <v>8227.6608114421597</v>
      </c>
      <c r="L975" s="444">
        <f t="shared" ca="1" si="80"/>
        <v>1982866.2555575608</v>
      </c>
      <c r="M975" s="460">
        <f t="shared" si="82"/>
        <v>0.05</v>
      </c>
      <c r="N975" s="464">
        <f t="shared" si="83"/>
        <v>80721</v>
      </c>
    </row>
    <row r="976" spans="7:14" ht="11.25" customHeight="1" x14ac:dyDescent="0.3">
      <c r="G976" s="459">
        <f t="shared" si="100"/>
        <v>81</v>
      </c>
      <c r="H976" s="459">
        <v>969</v>
      </c>
      <c r="I976" s="444">
        <f t="shared" ca="1" si="81"/>
        <v>1982866.2555575608</v>
      </c>
      <c r="J976" s="444">
        <f t="array" ref="J976">IFERROR(INDEX('Retirement Calculator'!J:J,MATCH('Isaac 401k'!N976,'Retirement Calculator'!A:A,0),0),0)</f>
        <v>7896.2379798201846</v>
      </c>
      <c r="K976" s="444">
        <f t="shared" ca="1" si="79"/>
        <v>8229.0417399072521</v>
      </c>
      <c r="L976" s="444">
        <f t="shared" ca="1" si="80"/>
        <v>1983199.0593176479</v>
      </c>
      <c r="M976" s="460">
        <f t="shared" si="82"/>
        <v>0.05</v>
      </c>
      <c r="N976" s="464">
        <f t="shared" si="83"/>
        <v>80752</v>
      </c>
    </row>
    <row r="977" spans="7:14" ht="11.25" customHeight="1" x14ac:dyDescent="0.3">
      <c r="G977" s="459">
        <f t="shared" si="100"/>
        <v>81</v>
      </c>
      <c r="H977" s="459">
        <v>970</v>
      </c>
      <c r="I977" s="444">
        <f t="shared" ca="1" si="81"/>
        <v>1983199.0593176479</v>
      </c>
      <c r="J977" s="444">
        <f t="array" ref="J977">IFERROR(INDEX('Retirement Calculator'!J:J,MATCH('Isaac 401k'!N977,'Retirement Calculator'!A:A,0),0),0)</f>
        <v>7896.2379798201846</v>
      </c>
      <c r="K977" s="444">
        <f t="shared" ca="1" si="79"/>
        <v>8230.4284222409478</v>
      </c>
      <c r="L977" s="444">
        <f t="shared" ca="1" si="80"/>
        <v>1983533.2497600687</v>
      </c>
      <c r="M977" s="460">
        <f t="shared" si="82"/>
        <v>0.05</v>
      </c>
      <c r="N977" s="464">
        <f t="shared" si="83"/>
        <v>80780</v>
      </c>
    </row>
    <row r="978" spans="7:14" ht="11.25" customHeight="1" x14ac:dyDescent="0.3">
      <c r="G978" s="459">
        <f t="shared" si="100"/>
        <v>81</v>
      </c>
      <c r="H978" s="459">
        <v>971</v>
      </c>
      <c r="I978" s="444">
        <f t="shared" ca="1" si="81"/>
        <v>1983533.2497600687</v>
      </c>
      <c r="J978" s="444">
        <f t="array" ref="J978">IFERROR(INDEX('Retirement Calculator'!J:J,MATCH('Isaac 401k'!N978,'Retirement Calculator'!A:A,0),0),0)</f>
        <v>7896.2379798201846</v>
      </c>
      <c r="K978" s="444">
        <f t="shared" ca="1" si="79"/>
        <v>8231.8208824177018</v>
      </c>
      <c r="L978" s="444">
        <f t="shared" ca="1" si="80"/>
        <v>1983868.8326626662</v>
      </c>
      <c r="M978" s="460">
        <f t="shared" si="82"/>
        <v>0.05</v>
      </c>
      <c r="N978" s="464">
        <f t="shared" si="83"/>
        <v>80811</v>
      </c>
    </row>
    <row r="979" spans="7:14" ht="11.25" customHeight="1" x14ac:dyDescent="0.3">
      <c r="G979" s="459">
        <f t="shared" si="100"/>
        <v>81</v>
      </c>
      <c r="H979" s="459">
        <v>972</v>
      </c>
      <c r="I979" s="444">
        <f t="shared" ca="1" si="81"/>
        <v>1983868.8326626662</v>
      </c>
      <c r="J979" s="444">
        <f t="array" ref="J979">IFERROR(INDEX('Retirement Calculator'!J:J,MATCH('Isaac 401k'!N979,'Retirement Calculator'!A:A,0),0),0)</f>
        <v>7896.2379798201846</v>
      </c>
      <c r="K979" s="444">
        <f t="shared" ca="1" si="79"/>
        <v>8233.2191445118588</v>
      </c>
      <c r="L979" s="444">
        <f t="shared" ca="1" si="80"/>
        <v>1984205.813827358</v>
      </c>
      <c r="M979" s="460">
        <f t="shared" si="82"/>
        <v>0.05</v>
      </c>
      <c r="N979" s="464">
        <f t="shared" si="83"/>
        <v>80841</v>
      </c>
    </row>
    <row r="980" spans="7:14" ht="11.25" customHeight="1" x14ac:dyDescent="0.3">
      <c r="G980" s="459">
        <f>G979+1</f>
        <v>82</v>
      </c>
      <c r="H980" s="459">
        <v>973</v>
      </c>
      <c r="I980" s="444">
        <f t="shared" ca="1" si="81"/>
        <v>1984205.813827358</v>
      </c>
      <c r="J980" s="444">
        <f t="array" ref="J980">IFERROR(INDEX('Retirement Calculator'!J:J,MATCH('Isaac 401k'!N980,'Retirement Calculator'!A:A,0),0),0)</f>
        <v>7896.2379798201846</v>
      </c>
      <c r="K980" s="444">
        <f t="shared" ca="1" si="79"/>
        <v>8234.6232326980735</v>
      </c>
      <c r="L980" s="444">
        <f t="shared" ca="1" si="80"/>
        <v>1984544.1990802358</v>
      </c>
      <c r="M980" s="460">
        <f t="shared" si="82"/>
        <v>0.05</v>
      </c>
      <c r="N980" s="464">
        <f t="shared" si="83"/>
        <v>80872</v>
      </c>
    </row>
    <row r="981" spans="7:14" ht="11.25" customHeight="1" x14ac:dyDescent="0.3">
      <c r="G981" s="459">
        <f t="shared" ref="G981:G991" si="101">G980</f>
        <v>82</v>
      </c>
      <c r="H981" s="459">
        <v>974</v>
      </c>
      <c r="I981" s="444">
        <f t="shared" ca="1" si="81"/>
        <v>1984544.1990802358</v>
      </c>
      <c r="J981" s="444">
        <f t="array" ref="J981">IFERROR(INDEX('Retirement Calculator'!J:J,MATCH('Isaac 401k'!N981,'Retirement Calculator'!A:A,0),0),0)</f>
        <v>7896.2379798201846</v>
      </c>
      <c r="K981" s="444">
        <f t="shared" ca="1" si="79"/>
        <v>8236.0331712517309</v>
      </c>
      <c r="L981" s="444">
        <f t="shared" ca="1" si="80"/>
        <v>1984883.9942716672</v>
      </c>
      <c r="M981" s="460">
        <f t="shared" si="82"/>
        <v>0.05</v>
      </c>
      <c r="N981" s="464">
        <f t="shared" si="83"/>
        <v>80902</v>
      </c>
    </row>
    <row r="982" spans="7:14" ht="11.25" customHeight="1" x14ac:dyDescent="0.3">
      <c r="G982" s="459">
        <f t="shared" si="101"/>
        <v>82</v>
      </c>
      <c r="H982" s="459">
        <v>975</v>
      </c>
      <c r="I982" s="444">
        <f t="shared" ca="1" si="81"/>
        <v>1984883.9942716672</v>
      </c>
      <c r="J982" s="444">
        <f t="array" ref="J982">IFERROR(INDEX('Retirement Calculator'!J:J,MATCH('Isaac 401k'!N982,'Retirement Calculator'!A:A,0),0),0)</f>
        <v>7896.2379798201846</v>
      </c>
      <c r="K982" s="444">
        <f t="shared" ca="1" si="79"/>
        <v>8237.4489845493626</v>
      </c>
      <c r="L982" s="444">
        <f t="shared" ca="1" si="80"/>
        <v>1985225.2052763964</v>
      </c>
      <c r="M982" s="460">
        <f t="shared" si="82"/>
        <v>0.05</v>
      </c>
      <c r="N982" s="464">
        <f t="shared" si="83"/>
        <v>80933</v>
      </c>
    </row>
    <row r="983" spans="7:14" ht="11.25" customHeight="1" x14ac:dyDescent="0.3">
      <c r="G983" s="459">
        <f t="shared" si="101"/>
        <v>82</v>
      </c>
      <c r="H983" s="459">
        <v>976</v>
      </c>
      <c r="I983" s="444">
        <f t="shared" ca="1" si="81"/>
        <v>1985225.2052763964</v>
      </c>
      <c r="J983" s="444">
        <f t="array" ref="J983">IFERROR(INDEX('Retirement Calculator'!J:J,MATCH('Isaac 401k'!N983,'Retirement Calculator'!A:A,0),0),0)</f>
        <v>7896.2379798201846</v>
      </c>
      <c r="K983" s="444">
        <f t="shared" ca="1" si="79"/>
        <v>8238.8706970690673</v>
      </c>
      <c r="L983" s="444">
        <f t="shared" ca="1" si="80"/>
        <v>1985567.8379936451</v>
      </c>
      <c r="M983" s="460">
        <f t="shared" si="82"/>
        <v>0.05</v>
      </c>
      <c r="N983" s="464">
        <f t="shared" si="83"/>
        <v>80964</v>
      </c>
    </row>
    <row r="984" spans="7:14" ht="11.25" customHeight="1" x14ac:dyDescent="0.3">
      <c r="G984" s="459">
        <f t="shared" si="101"/>
        <v>82</v>
      </c>
      <c r="H984" s="459">
        <v>977</v>
      </c>
      <c r="I984" s="444">
        <f t="shared" ca="1" si="81"/>
        <v>1985567.8379936451</v>
      </c>
      <c r="J984" s="444">
        <f t="array" ref="J984">IFERROR(INDEX('Retirement Calculator'!J:J,MATCH('Isaac 401k'!N984,'Retirement Calculator'!A:A,0),0),0)</f>
        <v>7896.2379798201846</v>
      </c>
      <c r="K984" s="444">
        <f t="shared" ca="1" si="79"/>
        <v>8240.2983333909378</v>
      </c>
      <c r="L984" s="444">
        <f t="shared" ca="1" si="80"/>
        <v>1985911.8983472157</v>
      </c>
      <c r="M984" s="460">
        <f t="shared" si="82"/>
        <v>0.05</v>
      </c>
      <c r="N984" s="464">
        <f t="shared" si="83"/>
        <v>80994</v>
      </c>
    </row>
    <row r="985" spans="7:14" ht="11.25" customHeight="1" x14ac:dyDescent="0.3">
      <c r="G985" s="459">
        <f t="shared" si="101"/>
        <v>82</v>
      </c>
      <c r="H985" s="459">
        <v>978</v>
      </c>
      <c r="I985" s="444">
        <f t="shared" ca="1" si="81"/>
        <v>1985911.8983472157</v>
      </c>
      <c r="J985" s="444">
        <f t="array" ref="J985">IFERROR(INDEX('Retirement Calculator'!J:J,MATCH('Isaac 401k'!N985,'Retirement Calculator'!A:A,0),0),0)</f>
        <v>7896.2379798201846</v>
      </c>
      <c r="K985" s="444">
        <f t="shared" ca="1" si="79"/>
        <v>8241.7319181974817</v>
      </c>
      <c r="L985" s="444">
        <f t="shared" ca="1" si="80"/>
        <v>1986257.3922855931</v>
      </c>
      <c r="M985" s="460">
        <f t="shared" si="82"/>
        <v>0.05</v>
      </c>
      <c r="N985" s="464">
        <f t="shared" si="83"/>
        <v>81025</v>
      </c>
    </row>
    <row r="986" spans="7:14" ht="11.25" customHeight="1" x14ac:dyDescent="0.3">
      <c r="G986" s="459">
        <f t="shared" si="101"/>
        <v>82</v>
      </c>
      <c r="H986" s="459">
        <v>979</v>
      </c>
      <c r="I986" s="444">
        <f t="shared" ca="1" si="81"/>
        <v>1986257.3922855931</v>
      </c>
      <c r="J986" s="444">
        <f t="array" ref="J986">IFERROR(INDEX('Retirement Calculator'!J:J,MATCH('Isaac 401k'!N986,'Retirement Calculator'!A:A,0),0),0)</f>
        <v>7896.2379798201846</v>
      </c>
      <c r="K986" s="444">
        <f t="shared" ca="1" si="79"/>
        <v>8243.1714762740539</v>
      </c>
      <c r="L986" s="444">
        <f t="shared" ca="1" si="80"/>
        <v>1986604.3257820469</v>
      </c>
      <c r="M986" s="460">
        <f t="shared" si="82"/>
        <v>0.05</v>
      </c>
      <c r="N986" s="464">
        <f t="shared" si="83"/>
        <v>81055</v>
      </c>
    </row>
    <row r="987" spans="7:14" ht="11.25" customHeight="1" x14ac:dyDescent="0.3">
      <c r="G987" s="459">
        <f t="shared" si="101"/>
        <v>82</v>
      </c>
      <c r="H987" s="459">
        <v>980</v>
      </c>
      <c r="I987" s="444">
        <f t="shared" ca="1" si="81"/>
        <v>1986604.3257820469</v>
      </c>
      <c r="J987" s="444">
        <f t="array" ref="J987">IFERROR(INDEX('Retirement Calculator'!J:J,MATCH('Isaac 401k'!N987,'Retirement Calculator'!A:A,0),0),0)</f>
        <v>7896.2379798201846</v>
      </c>
      <c r="K987" s="444">
        <f t="shared" ca="1" si="79"/>
        <v>8244.6170325092771</v>
      </c>
      <c r="L987" s="444">
        <f t="shared" ca="1" si="80"/>
        <v>1986952.704834736</v>
      </c>
      <c r="M987" s="460">
        <f t="shared" si="82"/>
        <v>0.05</v>
      </c>
      <c r="N987" s="464">
        <f t="shared" si="83"/>
        <v>81086</v>
      </c>
    </row>
    <row r="988" spans="7:14" ht="11.25" customHeight="1" x14ac:dyDescent="0.3">
      <c r="G988" s="459">
        <f t="shared" si="101"/>
        <v>82</v>
      </c>
      <c r="H988" s="459">
        <v>981</v>
      </c>
      <c r="I988" s="444">
        <f t="shared" ca="1" si="81"/>
        <v>1986952.704834736</v>
      </c>
      <c r="J988" s="444">
        <f t="array" ref="J988">IFERROR(INDEX('Retirement Calculator'!J:J,MATCH('Isaac 401k'!N988,'Retirement Calculator'!A:A,0),0),0)</f>
        <v>7896.2379798201846</v>
      </c>
      <c r="K988" s="444">
        <f t="shared" ca="1" si="79"/>
        <v>8246.0686118954818</v>
      </c>
      <c r="L988" s="444">
        <f t="shared" ca="1" si="80"/>
        <v>1987302.5354668112</v>
      </c>
      <c r="M988" s="460">
        <f t="shared" si="82"/>
        <v>0.05</v>
      </c>
      <c r="N988" s="464">
        <f t="shared" si="83"/>
        <v>81117</v>
      </c>
    </row>
    <row r="989" spans="7:14" ht="11.25" customHeight="1" x14ac:dyDescent="0.3">
      <c r="G989" s="459">
        <f t="shared" si="101"/>
        <v>82</v>
      </c>
      <c r="H989" s="459">
        <v>982</v>
      </c>
      <c r="I989" s="444">
        <f t="shared" ca="1" si="81"/>
        <v>1987302.5354668112</v>
      </c>
      <c r="J989" s="444">
        <f t="array" ref="J989">IFERROR(INDEX('Retirement Calculator'!J:J,MATCH('Isaac 401k'!N989,'Retirement Calculator'!A:A,0),0),0)</f>
        <v>7896.2379798201846</v>
      </c>
      <c r="K989" s="444">
        <f t="shared" ca="1" si="79"/>
        <v>8247.5262395291284</v>
      </c>
      <c r="L989" s="444">
        <f t="shared" ca="1" si="80"/>
        <v>1987653.8237265199</v>
      </c>
      <c r="M989" s="460">
        <f t="shared" si="82"/>
        <v>0.05</v>
      </c>
      <c r="N989" s="464">
        <f t="shared" si="83"/>
        <v>81145</v>
      </c>
    </row>
    <row r="990" spans="7:14" ht="11.25" customHeight="1" x14ac:dyDescent="0.3">
      <c r="G990" s="459">
        <f t="shared" si="101"/>
        <v>82</v>
      </c>
      <c r="H990" s="459">
        <v>983</v>
      </c>
      <c r="I990" s="444">
        <f t="shared" ca="1" si="81"/>
        <v>1987653.8237265199</v>
      </c>
      <c r="J990" s="444">
        <f t="array" ref="J990">IFERROR(INDEX('Retirement Calculator'!J:J,MATCH('Isaac 401k'!N990,'Retirement Calculator'!A:A,0),0),0)</f>
        <v>7896.2379798201846</v>
      </c>
      <c r="K990" s="444">
        <f t="shared" ca="1" si="79"/>
        <v>8248.989940611249</v>
      </c>
      <c r="L990" s="444">
        <f t="shared" ca="1" si="80"/>
        <v>1988006.5756873109</v>
      </c>
      <c r="M990" s="460">
        <f t="shared" si="82"/>
        <v>0.05</v>
      </c>
      <c r="N990" s="464">
        <f t="shared" si="83"/>
        <v>81176</v>
      </c>
    </row>
    <row r="991" spans="7:14" ht="11.25" customHeight="1" x14ac:dyDescent="0.3">
      <c r="G991" s="459">
        <f t="shared" si="101"/>
        <v>82</v>
      </c>
      <c r="H991" s="459">
        <v>984</v>
      </c>
      <c r="I991" s="444">
        <f t="shared" ca="1" si="81"/>
        <v>1988006.5756873109</v>
      </c>
      <c r="J991" s="444">
        <f t="array" ref="J991">IFERROR(INDEX('Retirement Calculator'!J:J,MATCH('Isaac 401k'!N991,'Retirement Calculator'!A:A,0),0),0)</f>
        <v>7896.2379798201846</v>
      </c>
      <c r="K991" s="444">
        <f t="shared" ca="1" si="79"/>
        <v>8250.4597404478773</v>
      </c>
      <c r="L991" s="444">
        <f t="shared" ca="1" si="80"/>
        <v>1988360.7974479385</v>
      </c>
      <c r="M991" s="460">
        <f t="shared" si="82"/>
        <v>0.05</v>
      </c>
      <c r="N991" s="464">
        <f t="shared" si="83"/>
        <v>81206</v>
      </c>
    </row>
    <row r="992" spans="7:14" ht="11.25" customHeight="1" x14ac:dyDescent="0.3">
      <c r="G992" s="459">
        <f>G991+1</f>
        <v>83</v>
      </c>
      <c r="H992" s="459">
        <v>985</v>
      </c>
      <c r="I992" s="444">
        <f t="shared" ca="1" si="81"/>
        <v>1988360.7974479385</v>
      </c>
      <c r="J992" s="444">
        <f t="array" ref="J992">IFERROR(INDEX('Retirement Calculator'!J:J,MATCH('Isaac 401k'!N992,'Retirement Calculator'!A:A,0),0),0)</f>
        <v>7896.2379798201846</v>
      </c>
      <c r="K992" s="444">
        <f t="shared" ca="1" si="79"/>
        <v>8251.9356644504933</v>
      </c>
      <c r="L992" s="444">
        <f t="shared" ca="1" si="80"/>
        <v>1988716.4951325688</v>
      </c>
      <c r="M992" s="460">
        <f t="shared" si="82"/>
        <v>0.05</v>
      </c>
      <c r="N992" s="464">
        <f t="shared" si="83"/>
        <v>81237</v>
      </c>
    </row>
    <row r="993" spans="7:14" ht="11.25" customHeight="1" x14ac:dyDescent="0.3">
      <c r="G993" s="459">
        <f t="shared" ref="G993:G1003" si="102">G992</f>
        <v>83</v>
      </c>
      <c r="H993" s="459">
        <v>986</v>
      </c>
      <c r="I993" s="444">
        <f t="shared" ca="1" si="81"/>
        <v>1988716.4951325688</v>
      </c>
      <c r="J993" s="444">
        <f t="array" ref="J993">IFERROR(INDEX('Retirement Calculator'!J:J,MATCH('Isaac 401k'!N993,'Retirement Calculator'!A:A,0),0),0)</f>
        <v>7896.2379798201846</v>
      </c>
      <c r="K993" s="444">
        <f t="shared" ca="1" si="79"/>
        <v>8253.4177381364516</v>
      </c>
      <c r="L993" s="444">
        <f t="shared" ca="1" si="80"/>
        <v>1989073.6748908849</v>
      </c>
      <c r="M993" s="460">
        <f t="shared" si="82"/>
        <v>0.05</v>
      </c>
      <c r="N993" s="464">
        <f t="shared" si="83"/>
        <v>81267</v>
      </c>
    </row>
    <row r="994" spans="7:14" ht="11.25" customHeight="1" x14ac:dyDescent="0.3">
      <c r="G994" s="459">
        <f t="shared" si="102"/>
        <v>83</v>
      </c>
      <c r="H994" s="459">
        <v>987</v>
      </c>
      <c r="I994" s="444">
        <f t="shared" ca="1" si="81"/>
        <v>1989073.6748908849</v>
      </c>
      <c r="J994" s="444">
        <f t="array" ref="J994">IFERROR(INDEX('Retirement Calculator'!J:J,MATCH('Isaac 401k'!N994,'Retirement Calculator'!A:A,0),0),0)</f>
        <v>7896.2379798201846</v>
      </c>
      <c r="K994" s="444">
        <f t="shared" ca="1" si="79"/>
        <v>8254.9059871294357</v>
      </c>
      <c r="L994" s="444">
        <f t="shared" ca="1" si="80"/>
        <v>1989432.3428981942</v>
      </c>
      <c r="M994" s="460">
        <f t="shared" si="82"/>
        <v>0.05</v>
      </c>
      <c r="N994" s="464">
        <f t="shared" si="83"/>
        <v>81298</v>
      </c>
    </row>
    <row r="995" spans="7:14" ht="11.25" customHeight="1" x14ac:dyDescent="0.3">
      <c r="G995" s="459">
        <f t="shared" si="102"/>
        <v>83</v>
      </c>
      <c r="H995" s="459">
        <v>988</v>
      </c>
      <c r="I995" s="444">
        <f t="shared" ca="1" si="81"/>
        <v>1989432.3428981942</v>
      </c>
      <c r="J995" s="444">
        <f t="array" ref="J995">IFERROR(INDEX('Retirement Calculator'!J:J,MATCH('Isaac 401k'!N995,'Retirement Calculator'!A:A,0),0),0)</f>
        <v>7896.2379798201846</v>
      </c>
      <c r="K995" s="444">
        <f t="shared" ca="1" si="79"/>
        <v>8256.400437159893</v>
      </c>
      <c r="L995" s="444">
        <f t="shared" ca="1" si="80"/>
        <v>1989792.5053555339</v>
      </c>
      <c r="M995" s="460">
        <f t="shared" si="82"/>
        <v>0.05</v>
      </c>
      <c r="N995" s="464">
        <f t="shared" si="83"/>
        <v>81329</v>
      </c>
    </row>
    <row r="996" spans="7:14" ht="11.25" customHeight="1" x14ac:dyDescent="0.3">
      <c r="G996" s="459">
        <f t="shared" si="102"/>
        <v>83</v>
      </c>
      <c r="H996" s="459">
        <v>989</v>
      </c>
      <c r="I996" s="444">
        <f t="shared" ca="1" si="81"/>
        <v>1989792.5053555339</v>
      </c>
      <c r="J996" s="444">
        <f t="array" ref="J996">IFERROR(INDEX('Retirement Calculator'!J:J,MATCH('Isaac 401k'!N996,'Retirement Calculator'!A:A,0),0),0)</f>
        <v>7896.2379798201846</v>
      </c>
      <c r="K996" s="444">
        <f t="shared" ca="1" si="79"/>
        <v>8257.9011140654729</v>
      </c>
      <c r="L996" s="444">
        <f t="shared" ca="1" si="80"/>
        <v>1990154.1684897791</v>
      </c>
      <c r="M996" s="460">
        <f t="shared" si="82"/>
        <v>0.05</v>
      </c>
      <c r="N996" s="464">
        <f t="shared" si="83"/>
        <v>81359</v>
      </c>
    </row>
    <row r="997" spans="7:14" ht="11.25" customHeight="1" x14ac:dyDescent="0.3">
      <c r="G997" s="459">
        <f t="shared" si="102"/>
        <v>83</v>
      </c>
      <c r="H997" s="459">
        <v>990</v>
      </c>
      <c r="I997" s="444">
        <f t="shared" ca="1" si="81"/>
        <v>1990154.1684897791</v>
      </c>
      <c r="J997" s="444">
        <f t="array" ref="J997">IFERROR(INDEX('Retirement Calculator'!J:J,MATCH('Isaac 401k'!N997,'Retirement Calculator'!A:A,0),0),0)</f>
        <v>7896.2379798201846</v>
      </c>
      <c r="K997" s="444">
        <f t="shared" ca="1" si="79"/>
        <v>8259.4080437914963</v>
      </c>
      <c r="L997" s="444">
        <f t="shared" ca="1" si="80"/>
        <v>1990517.3385537504</v>
      </c>
      <c r="M997" s="460">
        <f t="shared" si="82"/>
        <v>0.05</v>
      </c>
      <c r="N997" s="464">
        <f t="shared" si="83"/>
        <v>81390</v>
      </c>
    </row>
    <row r="998" spans="7:14" ht="11.25" customHeight="1" x14ac:dyDescent="0.3">
      <c r="G998" s="459">
        <f t="shared" si="102"/>
        <v>83</v>
      </c>
      <c r="H998" s="459">
        <v>991</v>
      </c>
      <c r="I998" s="444">
        <f t="shared" ca="1" si="81"/>
        <v>1990517.3385537504</v>
      </c>
      <c r="J998" s="444">
        <f t="array" ref="J998">IFERROR(INDEX('Retirement Calculator'!J:J,MATCH('Isaac 401k'!N998,'Retirement Calculator'!A:A,0),0),0)</f>
        <v>7896.2379798201846</v>
      </c>
      <c r="K998" s="444">
        <f t="shared" ca="1" si="79"/>
        <v>8260.9212523913757</v>
      </c>
      <c r="L998" s="444">
        <f t="shared" ca="1" si="80"/>
        <v>1990882.0218263215</v>
      </c>
      <c r="M998" s="460">
        <f t="shared" si="82"/>
        <v>0.05</v>
      </c>
      <c r="N998" s="464">
        <f t="shared" si="83"/>
        <v>81420</v>
      </c>
    </row>
    <row r="999" spans="7:14" ht="11.25" customHeight="1" x14ac:dyDescent="0.3">
      <c r="G999" s="459">
        <f t="shared" si="102"/>
        <v>83</v>
      </c>
      <c r="H999" s="459">
        <v>992</v>
      </c>
      <c r="I999" s="444">
        <f t="shared" ca="1" si="81"/>
        <v>1990882.0218263215</v>
      </c>
      <c r="J999" s="444">
        <f t="array" ref="J999">IFERROR(INDEX('Retirement Calculator'!J:J,MATCH('Isaac 401k'!N999,'Retirement Calculator'!A:A,0),0),0)</f>
        <v>7896.2379798201846</v>
      </c>
      <c r="K999" s="444">
        <f t="shared" ca="1" si="79"/>
        <v>8262.4407660270881</v>
      </c>
      <c r="L999" s="444">
        <f t="shared" ca="1" si="80"/>
        <v>1991248.2246125285</v>
      </c>
      <c r="M999" s="460">
        <f t="shared" si="82"/>
        <v>0.05</v>
      </c>
      <c r="N999" s="464">
        <f t="shared" si="83"/>
        <v>81451</v>
      </c>
    </row>
    <row r="1000" spans="7:14" ht="11.25" customHeight="1" x14ac:dyDescent="0.3">
      <c r="G1000" s="459">
        <f t="shared" si="102"/>
        <v>83</v>
      </c>
      <c r="H1000" s="459">
        <v>993</v>
      </c>
      <c r="I1000" s="444">
        <f t="shared" ca="1" si="81"/>
        <v>1991248.2246125285</v>
      </c>
      <c r="J1000" s="444">
        <f t="array" ref="J1000">IFERROR(INDEX('Retirement Calculator'!J:J,MATCH('Isaac 401k'!N1000,'Retirement Calculator'!A:A,0),0),0)</f>
        <v>7896.2379798201846</v>
      </c>
      <c r="K1000" s="444">
        <f t="shared" ca="1" si="79"/>
        <v>8263.9666109696172</v>
      </c>
      <c r="L1000" s="444">
        <f t="shared" ca="1" si="80"/>
        <v>1991615.9532436777</v>
      </c>
      <c r="M1000" s="460">
        <f t="shared" si="82"/>
        <v>0.05</v>
      </c>
      <c r="N1000" s="464">
        <f t="shared" si="83"/>
        <v>81482</v>
      </c>
    </row>
    <row r="1001" spans="7:14" ht="11.25" customHeight="1" x14ac:dyDescent="0.3">
      <c r="G1001" s="459">
        <f t="shared" si="102"/>
        <v>83</v>
      </c>
      <c r="H1001" s="459">
        <v>994</v>
      </c>
      <c r="I1001" s="444">
        <f t="shared" ca="1" si="81"/>
        <v>1991615.9532436777</v>
      </c>
      <c r="J1001" s="444">
        <f t="array" ref="J1001">IFERROR(INDEX('Retirement Calculator'!J:J,MATCH('Isaac 401k'!N1001,'Retirement Calculator'!A:A,0),0),0)</f>
        <v>7896.2379798201846</v>
      </c>
      <c r="K1001" s="444">
        <f t="shared" ca="1" si="79"/>
        <v>8265.4988135994063</v>
      </c>
      <c r="L1001" s="444">
        <f t="shared" ca="1" si="80"/>
        <v>1991985.2140774569</v>
      </c>
      <c r="M1001" s="460">
        <f t="shared" si="82"/>
        <v>0.05</v>
      </c>
      <c r="N1001" s="464">
        <f t="shared" si="83"/>
        <v>81510</v>
      </c>
    </row>
    <row r="1002" spans="7:14" ht="11.25" customHeight="1" x14ac:dyDescent="0.3">
      <c r="G1002" s="459">
        <f t="shared" si="102"/>
        <v>83</v>
      </c>
      <c r="H1002" s="459">
        <v>995</v>
      </c>
      <c r="I1002" s="444">
        <f t="shared" ca="1" si="81"/>
        <v>1991985.2140774569</v>
      </c>
      <c r="J1002" s="444">
        <f t="array" ref="J1002">IFERROR(INDEX('Retirement Calculator'!J:J,MATCH('Isaac 401k'!N1002,'Retirement Calculator'!A:A,0),0),0)</f>
        <v>7896.2379798201846</v>
      </c>
      <c r="K1002" s="444">
        <f t="shared" ca="1" si="79"/>
        <v>8267.0374004068199</v>
      </c>
      <c r="L1002" s="444">
        <f t="shared" ca="1" si="80"/>
        <v>1992356.0134980434</v>
      </c>
      <c r="M1002" s="460">
        <f t="shared" si="82"/>
        <v>0.05</v>
      </c>
      <c r="N1002" s="464">
        <f t="shared" si="83"/>
        <v>81541</v>
      </c>
    </row>
    <row r="1003" spans="7:14" ht="11.25" customHeight="1" x14ac:dyDescent="0.3">
      <c r="G1003" s="459">
        <f t="shared" si="102"/>
        <v>83</v>
      </c>
      <c r="H1003" s="459">
        <v>996</v>
      </c>
      <c r="I1003" s="444">
        <f t="shared" ca="1" si="81"/>
        <v>1992356.0134980434</v>
      </c>
      <c r="J1003" s="444">
        <f t="array" ref="J1003">IFERROR(INDEX('Retirement Calculator'!J:J,MATCH('Isaac 401k'!N1003,'Retirement Calculator'!A:A,0),0),0)</f>
        <v>7896.2379798201846</v>
      </c>
      <c r="K1003" s="444">
        <f t="shared" ca="1" si="79"/>
        <v>8268.5823979925972</v>
      </c>
      <c r="L1003" s="444">
        <f t="shared" ca="1" si="80"/>
        <v>1992728.3579162157</v>
      </c>
      <c r="M1003" s="460">
        <f t="shared" si="82"/>
        <v>0.05</v>
      </c>
      <c r="N1003" s="464">
        <f t="shared" si="83"/>
        <v>81571</v>
      </c>
    </row>
    <row r="1004" spans="7:14" ht="11.25" customHeight="1" x14ac:dyDescent="0.3">
      <c r="G1004" s="459">
        <f>G1003+1</f>
        <v>84</v>
      </c>
      <c r="H1004" s="459">
        <v>997</v>
      </c>
      <c r="I1004" s="444">
        <f t="shared" ca="1" si="81"/>
        <v>1992728.3579162157</v>
      </c>
      <c r="J1004" s="444">
        <f t="array" ref="J1004">IFERROR(INDEX('Retirement Calculator'!J:J,MATCH('Isaac 401k'!N1004,'Retirement Calculator'!A:A,0),0),0)</f>
        <v>7896.2379798201846</v>
      </c>
      <c r="K1004" s="444">
        <f t="shared" ca="1" si="79"/>
        <v>8270.1338330683157</v>
      </c>
      <c r="L1004" s="444">
        <f t="shared" ca="1" si="80"/>
        <v>1993102.2537694639</v>
      </c>
      <c r="M1004" s="460">
        <f t="shared" si="82"/>
        <v>0.05</v>
      </c>
      <c r="N1004" s="464">
        <f t="shared" si="83"/>
        <v>81602</v>
      </c>
    </row>
    <row r="1005" spans="7:14" ht="11.25" customHeight="1" x14ac:dyDescent="0.3">
      <c r="G1005" s="459">
        <f t="shared" ref="G1005:G1015" si="103">G1004</f>
        <v>84</v>
      </c>
      <c r="H1005" s="459">
        <v>998</v>
      </c>
      <c r="I1005" s="444">
        <f t="shared" ca="1" si="81"/>
        <v>1993102.2537694639</v>
      </c>
      <c r="J1005" s="444">
        <f t="array" ref="J1005">IFERROR(INDEX('Retirement Calculator'!J:J,MATCH('Isaac 401k'!N1005,'Retirement Calculator'!A:A,0),0),0)</f>
        <v>7896.2379798201846</v>
      </c>
      <c r="K1005" s="444">
        <f t="shared" ca="1" si="79"/>
        <v>8271.6917324568476</v>
      </c>
      <c r="L1005" s="444">
        <f t="shared" ca="1" si="80"/>
        <v>1993477.7075221005</v>
      </c>
      <c r="M1005" s="460">
        <f t="shared" si="82"/>
        <v>0.05</v>
      </c>
      <c r="N1005" s="464">
        <f t="shared" si="83"/>
        <v>81632</v>
      </c>
    </row>
    <row r="1006" spans="7:14" ht="11.25" customHeight="1" x14ac:dyDescent="0.3">
      <c r="G1006" s="459">
        <f t="shared" si="103"/>
        <v>84</v>
      </c>
      <c r="H1006" s="459">
        <v>999</v>
      </c>
      <c r="I1006" s="444">
        <f t="shared" ca="1" si="81"/>
        <v>1993477.7075221005</v>
      </c>
      <c r="J1006" s="444">
        <f t="array" ref="J1006">IFERROR(INDEX('Retirement Calculator'!J:J,MATCH('Isaac 401k'!N1006,'Retirement Calculator'!A:A,0),0),0)</f>
        <v>7896.2379798201846</v>
      </c>
      <c r="K1006" s="444">
        <f t="shared" ca="1" si="79"/>
        <v>8273.256123092835</v>
      </c>
      <c r="L1006" s="444">
        <f t="shared" ca="1" si="80"/>
        <v>1993854.725665373</v>
      </c>
      <c r="M1006" s="460">
        <f t="shared" si="82"/>
        <v>0.05</v>
      </c>
      <c r="N1006" s="464">
        <f t="shared" si="83"/>
        <v>81663</v>
      </c>
    </row>
    <row r="1007" spans="7:14" ht="11.25" customHeight="1" x14ac:dyDescent="0.3">
      <c r="G1007" s="459">
        <f t="shared" si="103"/>
        <v>84</v>
      </c>
      <c r="H1007" s="459">
        <v>1000</v>
      </c>
      <c r="I1007" s="444">
        <f t="shared" ca="1" si="81"/>
        <v>1993854.725665373</v>
      </c>
      <c r="J1007" s="444">
        <f t="array" ref="J1007">IFERROR(INDEX('Retirement Calculator'!J:J,MATCH('Isaac 401k'!N1007,'Retirement Calculator'!A:A,0),0),0)</f>
        <v>7896.2379798201846</v>
      </c>
      <c r="K1007" s="444">
        <f t="shared" ca="1" si="79"/>
        <v>8274.827032023135</v>
      </c>
      <c r="L1007" s="444">
        <f t="shared" ca="1" si="80"/>
        <v>1994233.3147175759</v>
      </c>
      <c r="M1007" s="460">
        <f t="shared" si="82"/>
        <v>0.05</v>
      </c>
      <c r="N1007" s="464">
        <f t="shared" si="83"/>
        <v>81694</v>
      </c>
    </row>
    <row r="1008" spans="7:14" ht="11.25" customHeight="1" x14ac:dyDescent="0.3">
      <c r="G1008" s="459">
        <f t="shared" si="103"/>
        <v>84</v>
      </c>
      <c r="H1008" s="459">
        <v>1001</v>
      </c>
      <c r="I1008" s="444">
        <f t="shared" ca="1" si="81"/>
        <v>1994233.3147175759</v>
      </c>
      <c r="J1008" s="444">
        <f t="array" ref="J1008">IFERROR(INDEX('Retirement Calculator'!J:J,MATCH('Isaac 401k'!N1008,'Retirement Calculator'!A:A,0),0),0)</f>
        <v>7896.2379798201846</v>
      </c>
      <c r="K1008" s="444">
        <f t="shared" ca="1" si="79"/>
        <v>8276.4044864073148</v>
      </c>
      <c r="L1008" s="444">
        <f t="shared" ca="1" si="80"/>
        <v>1994613.481224163</v>
      </c>
      <c r="M1008" s="460">
        <f t="shared" si="82"/>
        <v>0.05</v>
      </c>
      <c r="N1008" s="464">
        <f t="shared" si="83"/>
        <v>81724</v>
      </c>
    </row>
    <row r="1009" spans="7:14" ht="11.25" customHeight="1" x14ac:dyDescent="0.3">
      <c r="G1009" s="459">
        <f t="shared" si="103"/>
        <v>84</v>
      </c>
      <c r="H1009" s="459">
        <v>1002</v>
      </c>
      <c r="I1009" s="444">
        <f t="shared" ca="1" si="81"/>
        <v>1994613.481224163</v>
      </c>
      <c r="J1009" s="444">
        <f t="array" ref="J1009">IFERROR(INDEX('Retirement Calculator'!J:J,MATCH('Isaac 401k'!N1009,'Retirement Calculator'!A:A,0),0),0)</f>
        <v>7896.2379798201846</v>
      </c>
      <c r="K1009" s="444">
        <f t="shared" ca="1" si="79"/>
        <v>8277.9885135180957</v>
      </c>
      <c r="L1009" s="444">
        <f t="shared" ca="1" si="80"/>
        <v>1994995.2317578609</v>
      </c>
      <c r="M1009" s="460">
        <f t="shared" si="82"/>
        <v>0.05</v>
      </c>
      <c r="N1009" s="464">
        <f t="shared" si="83"/>
        <v>81755</v>
      </c>
    </row>
    <row r="1010" spans="7:14" ht="11.25" customHeight="1" x14ac:dyDescent="0.3">
      <c r="G1010" s="459">
        <f t="shared" si="103"/>
        <v>84</v>
      </c>
      <c r="H1010" s="459">
        <v>1003</v>
      </c>
      <c r="I1010" s="444">
        <f t="shared" ca="1" si="81"/>
        <v>1994995.2317578609</v>
      </c>
      <c r="J1010" s="444">
        <f t="array" ref="J1010">IFERROR(INDEX('Retirement Calculator'!J:J,MATCH('Isaac 401k'!N1010,'Retirement Calculator'!A:A,0),0),0)</f>
        <v>7896.2379798201846</v>
      </c>
      <c r="K1010" s="444">
        <f t="shared" ca="1" si="79"/>
        <v>8279.5791407418346</v>
      </c>
      <c r="L1010" s="444">
        <f t="shared" ca="1" si="80"/>
        <v>1995378.5729187825</v>
      </c>
      <c r="M1010" s="460">
        <f t="shared" si="82"/>
        <v>0.05</v>
      </c>
      <c r="N1010" s="464">
        <f t="shared" si="83"/>
        <v>81785</v>
      </c>
    </row>
    <row r="1011" spans="7:14" ht="11.25" customHeight="1" x14ac:dyDescent="0.3">
      <c r="G1011" s="459">
        <f t="shared" si="103"/>
        <v>84</v>
      </c>
      <c r="H1011" s="459">
        <v>1004</v>
      </c>
      <c r="I1011" s="444">
        <f t="shared" ca="1" si="81"/>
        <v>1995378.5729187825</v>
      </c>
      <c r="J1011" s="444">
        <f t="array" ref="J1011">IFERROR(INDEX('Retirement Calculator'!J:J,MATCH('Isaac 401k'!N1011,'Retirement Calculator'!A:A,0),0),0)</f>
        <v>7896.2379798201846</v>
      </c>
      <c r="K1011" s="444">
        <f t="shared" ca="1" si="79"/>
        <v>8281.1763955790102</v>
      </c>
      <c r="L1011" s="444">
        <f t="shared" ca="1" si="80"/>
        <v>1995763.5113345413</v>
      </c>
      <c r="M1011" s="460">
        <f t="shared" si="82"/>
        <v>0.05</v>
      </c>
      <c r="N1011" s="464">
        <f t="shared" si="83"/>
        <v>81816</v>
      </c>
    </row>
    <row r="1012" spans="7:14" ht="11.25" customHeight="1" x14ac:dyDescent="0.3">
      <c r="G1012" s="459">
        <f t="shared" si="103"/>
        <v>84</v>
      </c>
      <c r="H1012" s="459">
        <v>1005</v>
      </c>
      <c r="I1012" s="444">
        <f t="shared" ca="1" si="81"/>
        <v>1995763.5113345413</v>
      </c>
      <c r="J1012" s="444">
        <f t="array" ref="J1012">IFERROR(INDEX('Retirement Calculator'!J:J,MATCH('Isaac 401k'!N1012,'Retirement Calculator'!A:A,0),0),0)</f>
        <v>7896.2379798201846</v>
      </c>
      <c r="K1012" s="444">
        <f t="shared" ca="1" si="79"/>
        <v>8282.7803056446701</v>
      </c>
      <c r="L1012" s="444">
        <f t="shared" ca="1" si="80"/>
        <v>1996150.0536603658</v>
      </c>
      <c r="M1012" s="460">
        <f t="shared" si="82"/>
        <v>0.05</v>
      </c>
      <c r="N1012" s="464">
        <f t="shared" si="83"/>
        <v>81847</v>
      </c>
    </row>
    <row r="1013" spans="7:14" ht="11.25" customHeight="1" x14ac:dyDescent="0.3">
      <c r="G1013" s="459">
        <f t="shared" si="103"/>
        <v>84</v>
      </c>
      <c r="H1013" s="459">
        <v>1006</v>
      </c>
      <c r="I1013" s="444">
        <f t="shared" ca="1" si="81"/>
        <v>1996150.0536603658</v>
      </c>
      <c r="J1013" s="444">
        <f t="array" ref="J1013">IFERROR(INDEX('Retirement Calculator'!J:J,MATCH('Isaac 401k'!N1013,'Retirement Calculator'!A:A,0),0),0)</f>
        <v>7896.2379798201846</v>
      </c>
      <c r="K1013" s="444">
        <f t="shared" ca="1" si="79"/>
        <v>8284.3908986689403</v>
      </c>
      <c r="L1013" s="444">
        <f t="shared" ca="1" si="80"/>
        <v>1996538.2065792144</v>
      </c>
      <c r="M1013" s="460">
        <f t="shared" si="82"/>
        <v>0.05</v>
      </c>
      <c r="N1013" s="464">
        <f t="shared" si="83"/>
        <v>81876</v>
      </c>
    </row>
    <row r="1014" spans="7:14" ht="11.25" customHeight="1" x14ac:dyDescent="0.3">
      <c r="G1014" s="459">
        <f t="shared" si="103"/>
        <v>84</v>
      </c>
      <c r="H1014" s="459">
        <v>1007</v>
      </c>
      <c r="I1014" s="444">
        <f t="shared" ca="1" si="81"/>
        <v>1996538.2065792144</v>
      </c>
      <c r="J1014" s="444">
        <f t="array" ref="J1014">IFERROR(INDEX('Retirement Calculator'!J:J,MATCH('Isaac 401k'!N1014,'Retirement Calculator'!A:A,0),0),0)</f>
        <v>7896.2379798201846</v>
      </c>
      <c r="K1014" s="444">
        <f t="shared" ca="1" si="79"/>
        <v>8286.0082024974763</v>
      </c>
      <c r="L1014" s="444">
        <f t="shared" ca="1" si="80"/>
        <v>1996927.9768018916</v>
      </c>
      <c r="M1014" s="460">
        <f t="shared" si="82"/>
        <v>0.05</v>
      </c>
      <c r="N1014" s="464">
        <f t="shared" si="83"/>
        <v>81907</v>
      </c>
    </row>
    <row r="1015" spans="7:14" ht="11.25" customHeight="1" x14ac:dyDescent="0.3">
      <c r="G1015" s="459">
        <f t="shared" si="103"/>
        <v>84</v>
      </c>
      <c r="H1015" s="459">
        <v>1008</v>
      </c>
      <c r="I1015" s="444">
        <f t="shared" ca="1" si="81"/>
        <v>1996927.9768018916</v>
      </c>
      <c r="J1015" s="444">
        <f t="array" ref="J1015">IFERROR(INDEX('Retirement Calculator'!J:J,MATCH('Isaac 401k'!N1015,'Retirement Calculator'!A:A,0),0),0)</f>
        <v>7896.2379798201846</v>
      </c>
      <c r="K1015" s="444">
        <f t="shared" ca="1" si="79"/>
        <v>8287.6322450919633</v>
      </c>
      <c r="L1015" s="444">
        <f t="shared" ca="1" si="80"/>
        <v>1997319.3710671633</v>
      </c>
      <c r="M1015" s="460">
        <f t="shared" si="82"/>
        <v>0.05</v>
      </c>
      <c r="N1015" s="464">
        <f t="shared" si="83"/>
        <v>81937</v>
      </c>
    </row>
    <row r="1016" spans="7:14" ht="11.25" customHeight="1" x14ac:dyDescent="0.3">
      <c r="G1016" s="459">
        <f>G1015+1</f>
        <v>85</v>
      </c>
      <c r="H1016" s="459">
        <v>1009</v>
      </c>
      <c r="I1016" s="444">
        <f t="shared" ca="1" si="81"/>
        <v>1997319.3710671633</v>
      </c>
      <c r="J1016" s="444">
        <f t="array" ref="J1016">IFERROR(INDEX('Retirement Calculator'!J:J,MATCH('Isaac 401k'!N1016,'Retirement Calculator'!A:A,0),0),0)</f>
        <v>7896.2379798201846</v>
      </c>
      <c r="K1016" s="444">
        <f t="shared" ca="1" si="79"/>
        <v>8289.2630545305965</v>
      </c>
      <c r="L1016" s="444">
        <f t="shared" ca="1" si="80"/>
        <v>1997712.3961418737</v>
      </c>
      <c r="M1016" s="460">
        <f t="shared" si="82"/>
        <v>0.05</v>
      </c>
      <c r="N1016" s="464">
        <f t="shared" si="83"/>
        <v>81968</v>
      </c>
    </row>
    <row r="1017" spans="7:14" ht="11.25" customHeight="1" x14ac:dyDescent="0.3">
      <c r="G1017" s="459">
        <f t="shared" ref="G1017:G1027" si="104">G1016</f>
        <v>85</v>
      </c>
      <c r="H1017" s="459">
        <v>1010</v>
      </c>
      <c r="I1017" s="444">
        <f t="shared" ca="1" si="81"/>
        <v>1997712.3961418737</v>
      </c>
      <c r="J1017" s="444">
        <f t="array" ref="J1017">IFERROR(INDEX('Retirement Calculator'!J:J,MATCH('Isaac 401k'!N1017,'Retirement Calculator'!A:A,0),0),0)</f>
        <v>7896.2379798201846</v>
      </c>
      <c r="K1017" s="444">
        <f t="shared" ca="1" si="79"/>
        <v>8290.9006590085555</v>
      </c>
      <c r="L1017" s="444">
        <f t="shared" ca="1" si="80"/>
        <v>1998107.0588210621</v>
      </c>
      <c r="M1017" s="460">
        <f t="shared" si="82"/>
        <v>0.05</v>
      </c>
      <c r="N1017" s="464">
        <f t="shared" si="83"/>
        <v>81998</v>
      </c>
    </row>
    <row r="1018" spans="7:14" ht="11.25" customHeight="1" x14ac:dyDescent="0.3">
      <c r="G1018" s="459">
        <f t="shared" si="104"/>
        <v>85</v>
      </c>
      <c r="H1018" s="459">
        <v>1011</v>
      </c>
      <c r="I1018" s="444">
        <f t="shared" ca="1" si="81"/>
        <v>1998107.0588210621</v>
      </c>
      <c r="J1018" s="444">
        <f t="array" ref="J1018">IFERROR(INDEX('Retirement Calculator'!J:J,MATCH('Isaac 401k'!N1018,'Retirement Calculator'!A:A,0),0),0)</f>
        <v>7896.2379798201846</v>
      </c>
      <c r="K1018" s="444">
        <f t="shared" ca="1" si="79"/>
        <v>8292.5450868385069</v>
      </c>
      <c r="L1018" s="444">
        <f t="shared" ca="1" si="80"/>
        <v>1998503.3659280804</v>
      </c>
      <c r="M1018" s="460">
        <f t="shared" si="82"/>
        <v>0.05</v>
      </c>
      <c r="N1018" s="464">
        <f t="shared" si="83"/>
        <v>82029</v>
      </c>
    </row>
    <row r="1019" spans="7:14" ht="11.25" customHeight="1" x14ac:dyDescent="0.3">
      <c r="G1019" s="459">
        <f t="shared" si="104"/>
        <v>85</v>
      </c>
      <c r="H1019" s="459">
        <v>1012</v>
      </c>
      <c r="I1019" s="444">
        <f t="shared" ca="1" si="81"/>
        <v>1998503.3659280804</v>
      </c>
      <c r="J1019" s="444">
        <f t="array" ref="J1019">IFERROR(INDEX('Retirement Calculator'!J:J,MATCH('Isaac 401k'!N1019,'Retirement Calculator'!A:A,0),0),0)</f>
        <v>7896.2379798201846</v>
      </c>
      <c r="K1019" s="444">
        <f t="shared" ca="1" si="79"/>
        <v>8294.196366451084</v>
      </c>
      <c r="L1019" s="444">
        <f t="shared" ca="1" si="80"/>
        <v>1998901.3243147111</v>
      </c>
      <c r="M1019" s="460">
        <f t="shared" si="82"/>
        <v>0.05</v>
      </c>
      <c r="N1019" s="464">
        <f t="shared" si="83"/>
        <v>82060</v>
      </c>
    </row>
    <row r="1020" spans="7:14" ht="11.25" customHeight="1" x14ac:dyDescent="0.3">
      <c r="G1020" s="459">
        <f t="shared" si="104"/>
        <v>85</v>
      </c>
      <c r="H1020" s="459">
        <v>1013</v>
      </c>
      <c r="I1020" s="444">
        <f t="shared" ca="1" si="81"/>
        <v>1998901.3243147111</v>
      </c>
      <c r="J1020" s="444">
        <f t="array" ref="J1020">IFERROR(INDEX('Retirement Calculator'!J:J,MATCH('Isaac 401k'!N1020,'Retirement Calculator'!A:A,0),0),0)</f>
        <v>7896.2379798201846</v>
      </c>
      <c r="K1020" s="444">
        <f t="shared" ca="1" si="79"/>
        <v>8295.8545263953783</v>
      </c>
      <c r="L1020" s="444">
        <f t="shared" ca="1" si="80"/>
        <v>1999300.9408612864</v>
      </c>
      <c r="M1020" s="460">
        <f t="shared" si="82"/>
        <v>0.05</v>
      </c>
      <c r="N1020" s="464">
        <f t="shared" si="83"/>
        <v>82090</v>
      </c>
    </row>
    <row r="1021" spans="7:14" ht="11.25" customHeight="1" x14ac:dyDescent="0.3">
      <c r="G1021" s="459">
        <f t="shared" si="104"/>
        <v>85</v>
      </c>
      <c r="H1021" s="459">
        <v>1014</v>
      </c>
      <c r="I1021" s="444">
        <f t="shared" ca="1" si="81"/>
        <v>1999300.9408612864</v>
      </c>
      <c r="J1021" s="444">
        <f t="array" ref="J1021">IFERROR(INDEX('Retirement Calculator'!J:J,MATCH('Isaac 401k'!N1021,'Retirement Calculator'!A:A,0),0),0)</f>
        <v>7896.2379798201846</v>
      </c>
      <c r="K1021" s="444">
        <f t="shared" ca="1" si="79"/>
        <v>8297.5195953394432</v>
      </c>
      <c r="L1021" s="444">
        <f t="shared" ca="1" si="80"/>
        <v>1999702.2224768056</v>
      </c>
      <c r="M1021" s="460">
        <f t="shared" si="82"/>
        <v>0.05</v>
      </c>
      <c r="N1021" s="464">
        <f t="shared" si="83"/>
        <v>82121</v>
      </c>
    </row>
    <row r="1022" spans="7:14" ht="11.25" customHeight="1" x14ac:dyDescent="0.3">
      <c r="G1022" s="459">
        <f t="shared" si="104"/>
        <v>85</v>
      </c>
      <c r="H1022" s="459">
        <v>1015</v>
      </c>
      <c r="I1022" s="444">
        <f t="shared" ca="1" si="81"/>
        <v>1999702.2224768056</v>
      </c>
      <c r="J1022" s="444">
        <f t="array" ref="J1022">IFERROR(INDEX('Retirement Calculator'!J:J,MATCH('Isaac 401k'!N1022,'Retirement Calculator'!A:A,0),0),0)</f>
        <v>7896.2379798201846</v>
      </c>
      <c r="K1022" s="444">
        <f t="shared" ca="1" si="79"/>
        <v>8299.1916020707722</v>
      </c>
      <c r="L1022" s="444">
        <f t="shared" ca="1" si="80"/>
        <v>2000105.1760990561</v>
      </c>
      <c r="M1022" s="460">
        <f t="shared" si="82"/>
        <v>0.05</v>
      </c>
      <c r="N1022" s="464">
        <f t="shared" si="83"/>
        <v>82151</v>
      </c>
    </row>
    <row r="1023" spans="7:14" ht="11.25" customHeight="1" x14ac:dyDescent="0.3">
      <c r="G1023" s="459">
        <f t="shared" si="104"/>
        <v>85</v>
      </c>
      <c r="H1023" s="459">
        <v>1016</v>
      </c>
      <c r="I1023" s="444">
        <f t="shared" ca="1" si="81"/>
        <v>2000105.1760990561</v>
      </c>
      <c r="J1023" s="444">
        <f t="array" ref="J1023">IFERROR(INDEX('Retirement Calculator'!J:J,MATCH('Isaac 401k'!N1023,'Retirement Calculator'!A:A,0),0),0)</f>
        <v>7896.2379798201846</v>
      </c>
      <c r="K1023" s="444">
        <f t="shared" ca="1" si="79"/>
        <v>8300.8705754968178</v>
      </c>
      <c r="L1023" s="444">
        <f t="shared" ca="1" si="80"/>
        <v>2000509.8086947328</v>
      </c>
      <c r="M1023" s="460">
        <f t="shared" si="82"/>
        <v>0.05</v>
      </c>
      <c r="N1023" s="464">
        <f t="shared" si="83"/>
        <v>82182</v>
      </c>
    </row>
    <row r="1024" spans="7:14" ht="11.25" customHeight="1" x14ac:dyDescent="0.3">
      <c r="G1024" s="459">
        <f t="shared" si="104"/>
        <v>85</v>
      </c>
      <c r="H1024" s="459">
        <v>1017</v>
      </c>
      <c r="I1024" s="444">
        <f t="shared" ca="1" si="81"/>
        <v>2000509.8086947328</v>
      </c>
      <c r="J1024" s="444">
        <f t="array" ref="J1024">IFERROR(INDEX('Retirement Calculator'!J:J,MATCH('Isaac 401k'!N1024,'Retirement Calculator'!A:A,0),0),0)</f>
        <v>7896.2379798201846</v>
      </c>
      <c r="K1024" s="444">
        <f t="shared" ca="1" si="79"/>
        <v>8302.5565446454693</v>
      </c>
      <c r="L1024" s="444">
        <f t="shared" ca="1" si="80"/>
        <v>2000916.1272595581</v>
      </c>
      <c r="M1024" s="460">
        <f t="shared" si="82"/>
        <v>0.05</v>
      </c>
      <c r="N1024" s="464">
        <f t="shared" si="83"/>
        <v>82213</v>
      </c>
    </row>
    <row r="1025" spans="7:14" ht="11.25" customHeight="1" x14ac:dyDescent="0.3">
      <c r="G1025" s="459">
        <f t="shared" si="104"/>
        <v>85</v>
      </c>
      <c r="H1025" s="459">
        <v>1018</v>
      </c>
      <c r="I1025" s="444">
        <f t="shared" ca="1" si="81"/>
        <v>2000916.1272595581</v>
      </c>
      <c r="J1025" s="444">
        <f t="array" ref="J1025">IFERROR(INDEX('Retirement Calculator'!J:J,MATCH('Isaac 401k'!N1025,'Retirement Calculator'!A:A,0),0),0)</f>
        <v>7896.2379798201846</v>
      </c>
      <c r="K1025" s="444">
        <f t="shared" ca="1" si="79"/>
        <v>8304.2495386655755</v>
      </c>
      <c r="L1025" s="444">
        <f t="shared" ca="1" si="80"/>
        <v>2001324.1388184035</v>
      </c>
      <c r="M1025" s="460">
        <f t="shared" si="82"/>
        <v>0.05</v>
      </c>
      <c r="N1025" s="464">
        <f t="shared" si="83"/>
        <v>82241</v>
      </c>
    </row>
    <row r="1026" spans="7:14" ht="11.25" customHeight="1" x14ac:dyDescent="0.3">
      <c r="G1026" s="459">
        <f t="shared" si="104"/>
        <v>85</v>
      </c>
      <c r="H1026" s="459">
        <v>1019</v>
      </c>
      <c r="I1026" s="444">
        <f t="shared" ca="1" si="81"/>
        <v>2001324.1388184035</v>
      </c>
      <c r="J1026" s="444">
        <f t="array" ref="J1026">IFERROR(INDEX('Retirement Calculator'!J:J,MATCH('Isaac 401k'!N1026,'Retirement Calculator'!A:A,0),0),0)</f>
        <v>7896.2379798201846</v>
      </c>
      <c r="K1026" s="444">
        <f t="shared" ca="1" si="79"/>
        <v>8305.9495868274298</v>
      </c>
      <c r="L1026" s="444">
        <f t="shared" ca="1" si="80"/>
        <v>2001733.8504254108</v>
      </c>
      <c r="M1026" s="460">
        <f t="shared" si="82"/>
        <v>0.05</v>
      </c>
      <c r="N1026" s="464">
        <f t="shared" si="83"/>
        <v>82272</v>
      </c>
    </row>
    <row r="1027" spans="7:14" ht="11.25" customHeight="1" x14ac:dyDescent="0.3">
      <c r="G1027" s="459">
        <f t="shared" si="104"/>
        <v>85</v>
      </c>
      <c r="H1027" s="459">
        <v>1020</v>
      </c>
      <c r="I1027" s="444">
        <f t="shared" ca="1" si="81"/>
        <v>2001733.8504254108</v>
      </c>
      <c r="J1027" s="444">
        <f t="array" ref="J1027">IFERROR(INDEX('Retirement Calculator'!J:J,MATCH('Isaac 401k'!N1027,'Retirement Calculator'!A:A,0),0),0)</f>
        <v>7896.2379798201846</v>
      </c>
      <c r="K1027" s="444">
        <f t="shared" ca="1" si="79"/>
        <v>8307.6567185232943</v>
      </c>
      <c r="L1027" s="444">
        <f t="shared" ca="1" si="80"/>
        <v>2002145.2691641138</v>
      </c>
      <c r="M1027" s="460">
        <f t="shared" si="82"/>
        <v>0.05</v>
      </c>
      <c r="N1027" s="464">
        <f t="shared" si="83"/>
        <v>82302</v>
      </c>
    </row>
    <row r="1028" spans="7:14" ht="11.25" customHeight="1" x14ac:dyDescent="0.3">
      <c r="G1028" s="459">
        <f>G1027+1</f>
        <v>86</v>
      </c>
      <c r="H1028" s="459">
        <v>1021</v>
      </c>
      <c r="I1028" s="444">
        <f t="shared" ca="1" si="81"/>
        <v>2002145.2691641138</v>
      </c>
      <c r="J1028" s="444">
        <f t="array" ref="J1028">IFERROR(INDEX('Retirement Calculator'!J:J,MATCH('Isaac 401k'!N1028,'Retirement Calculator'!A:A,0),0),0)</f>
        <v>7896.2379798201846</v>
      </c>
      <c r="K1028" s="444">
        <f t="shared" ref="K1028:K1282" ca="1" si="105">IPMT(M1028/12,1,12,-I1028+J1028,,0)</f>
        <v>8309.3709632678892</v>
      </c>
      <c r="L1028" s="444">
        <f t="shared" ref="L1028:L1282" ca="1" si="106">I1028-J1028+K1028</f>
        <v>2002558.4021475615</v>
      </c>
      <c r="M1028" s="460">
        <f t="shared" si="82"/>
        <v>0.05</v>
      </c>
      <c r="N1028" s="464">
        <f t="shared" si="83"/>
        <v>82333</v>
      </c>
    </row>
    <row r="1029" spans="7:14" ht="11.25" customHeight="1" x14ac:dyDescent="0.3">
      <c r="G1029" s="459">
        <f t="shared" ref="G1029:G1039" si="107">G1028</f>
        <v>86</v>
      </c>
      <c r="H1029" s="459">
        <v>1022</v>
      </c>
      <c r="I1029" s="444">
        <f t="shared" ref="I1029:I1283" ca="1" si="108">L1028</f>
        <v>2002558.4021475615</v>
      </c>
      <c r="J1029" s="444">
        <f t="array" ref="J1029">IFERROR(INDEX('Retirement Calculator'!J:J,MATCH('Isaac 401k'!N1029,'Retirement Calculator'!A:A,0),0),0)</f>
        <v>7896.2379798201846</v>
      </c>
      <c r="K1029" s="444">
        <f t="shared" ca="1" si="105"/>
        <v>8311.092350698922</v>
      </c>
      <c r="L1029" s="444">
        <f t="shared" ca="1" si="106"/>
        <v>2002973.2565184403</v>
      </c>
      <c r="M1029" s="460">
        <f t="shared" ref="M1029:M1283" si="109">M1028</f>
        <v>0.05</v>
      </c>
      <c r="N1029" s="464">
        <f t="shared" ref="N1029:N1283" si="110">EDATE(N1028,1)</f>
        <v>82363</v>
      </c>
    </row>
    <row r="1030" spans="7:14" ht="11.25" customHeight="1" x14ac:dyDescent="0.3">
      <c r="G1030" s="459">
        <f t="shared" si="107"/>
        <v>86</v>
      </c>
      <c r="H1030" s="459">
        <v>1023</v>
      </c>
      <c r="I1030" s="444">
        <f t="shared" ca="1" si="108"/>
        <v>2002973.2565184403</v>
      </c>
      <c r="J1030" s="444">
        <f t="array" ref="J1030">IFERROR(INDEX('Retirement Calculator'!J:J,MATCH('Isaac 401k'!N1030,'Retirement Calculator'!A:A,0),0),0)</f>
        <v>7896.2379798201846</v>
      </c>
      <c r="K1030" s="444">
        <f t="shared" ca="1" si="105"/>
        <v>8312.8209105775823</v>
      </c>
      <c r="L1030" s="444">
        <f t="shared" ca="1" si="106"/>
        <v>2003389.8394491978</v>
      </c>
      <c r="M1030" s="460">
        <f t="shared" si="109"/>
        <v>0.05</v>
      </c>
      <c r="N1030" s="464">
        <f t="shared" si="110"/>
        <v>82394</v>
      </c>
    </row>
    <row r="1031" spans="7:14" ht="11.25" customHeight="1" x14ac:dyDescent="0.3">
      <c r="G1031" s="459">
        <f t="shared" si="107"/>
        <v>86</v>
      </c>
      <c r="H1031" s="459">
        <v>1024</v>
      </c>
      <c r="I1031" s="444">
        <f t="shared" ca="1" si="108"/>
        <v>2003389.8394491978</v>
      </c>
      <c r="J1031" s="444">
        <f t="array" ref="J1031">IFERROR(INDEX('Retirement Calculator'!J:J,MATCH('Isaac 401k'!N1031,'Retirement Calculator'!A:A,0),0),0)</f>
        <v>7896.2379798201846</v>
      </c>
      <c r="K1031" s="444">
        <f t="shared" ca="1" si="105"/>
        <v>8314.5566727890728</v>
      </c>
      <c r="L1031" s="444">
        <f t="shared" ca="1" si="106"/>
        <v>2003808.1581421667</v>
      </c>
      <c r="M1031" s="460">
        <f t="shared" si="109"/>
        <v>0.05</v>
      </c>
      <c r="N1031" s="464">
        <f t="shared" si="110"/>
        <v>82425</v>
      </c>
    </row>
    <row r="1032" spans="7:14" ht="11.25" customHeight="1" x14ac:dyDescent="0.3">
      <c r="G1032" s="459">
        <f t="shared" si="107"/>
        <v>86</v>
      </c>
      <c r="H1032" s="459">
        <v>1025</v>
      </c>
      <c r="I1032" s="444">
        <f t="shared" ca="1" si="108"/>
        <v>2003808.1581421667</v>
      </c>
      <c r="J1032" s="444">
        <f t="array" ref="J1032">IFERROR(INDEX('Retirement Calculator'!J:J,MATCH('Isaac 401k'!N1032,'Retirement Calculator'!A:A,0),0),0)</f>
        <v>7896.2379798201846</v>
      </c>
      <c r="K1032" s="444">
        <f t="shared" ca="1" si="105"/>
        <v>8316.2996673431117</v>
      </c>
      <c r="L1032" s="444">
        <f t="shared" ca="1" si="106"/>
        <v>2004228.2198296895</v>
      </c>
      <c r="M1032" s="460">
        <f t="shared" si="109"/>
        <v>0.05</v>
      </c>
      <c r="N1032" s="464">
        <f t="shared" si="110"/>
        <v>82455</v>
      </c>
    </row>
    <row r="1033" spans="7:14" ht="11.25" customHeight="1" x14ac:dyDescent="0.3">
      <c r="G1033" s="459">
        <f t="shared" si="107"/>
        <v>86</v>
      </c>
      <c r="H1033" s="459">
        <v>1026</v>
      </c>
      <c r="I1033" s="444">
        <f t="shared" ca="1" si="108"/>
        <v>2004228.2198296895</v>
      </c>
      <c r="J1033" s="444">
        <f t="array" ref="J1033">IFERROR(INDEX('Retirement Calculator'!J:J,MATCH('Isaac 401k'!N1033,'Retirement Calculator'!A:A,0),0),0)</f>
        <v>7896.2379798201846</v>
      </c>
      <c r="K1033" s="444">
        <f t="shared" ca="1" si="105"/>
        <v>8318.0499243744543</v>
      </c>
      <c r="L1033" s="444">
        <f t="shared" ca="1" si="106"/>
        <v>2004650.0317742438</v>
      </c>
      <c r="M1033" s="460">
        <f t="shared" si="109"/>
        <v>0.05</v>
      </c>
      <c r="N1033" s="464">
        <f t="shared" si="110"/>
        <v>82486</v>
      </c>
    </row>
    <row r="1034" spans="7:14" ht="11.25" customHeight="1" x14ac:dyDescent="0.3">
      <c r="G1034" s="459">
        <f t="shared" si="107"/>
        <v>86</v>
      </c>
      <c r="H1034" s="459">
        <v>1027</v>
      </c>
      <c r="I1034" s="444">
        <f t="shared" ca="1" si="108"/>
        <v>2004650.0317742438</v>
      </c>
      <c r="J1034" s="444">
        <f t="array" ref="J1034">IFERROR(INDEX('Retirement Calculator'!J:J,MATCH('Isaac 401k'!N1034,'Retirement Calculator'!A:A,0),0),0)</f>
        <v>7896.2379798201846</v>
      </c>
      <c r="K1034" s="444">
        <f t="shared" ca="1" si="105"/>
        <v>8319.807474143432</v>
      </c>
      <c r="L1034" s="444">
        <f t="shared" ca="1" si="106"/>
        <v>2005073.6012685669</v>
      </c>
      <c r="M1034" s="460">
        <f t="shared" si="109"/>
        <v>0.05</v>
      </c>
      <c r="N1034" s="464">
        <f t="shared" si="110"/>
        <v>82516</v>
      </c>
    </row>
    <row r="1035" spans="7:14" ht="11.25" customHeight="1" x14ac:dyDescent="0.3">
      <c r="G1035" s="459">
        <f t="shared" si="107"/>
        <v>86</v>
      </c>
      <c r="H1035" s="459">
        <v>1028</v>
      </c>
      <c r="I1035" s="444">
        <f t="shared" ca="1" si="108"/>
        <v>2005073.6012685669</v>
      </c>
      <c r="J1035" s="444">
        <f t="array" ref="J1035">IFERROR(INDEX('Retirement Calculator'!J:J,MATCH('Isaac 401k'!N1035,'Retirement Calculator'!A:A,0),0),0)</f>
        <v>7896.2379798201846</v>
      </c>
      <c r="K1035" s="444">
        <f t="shared" ca="1" si="105"/>
        <v>8321.5723470364446</v>
      </c>
      <c r="L1035" s="444">
        <f t="shared" ca="1" si="106"/>
        <v>2005498.935635783</v>
      </c>
      <c r="M1035" s="460">
        <f t="shared" si="109"/>
        <v>0.05</v>
      </c>
      <c r="N1035" s="464">
        <f t="shared" si="110"/>
        <v>82547</v>
      </c>
    </row>
    <row r="1036" spans="7:14" ht="11.25" customHeight="1" x14ac:dyDescent="0.3">
      <c r="G1036" s="459">
        <f t="shared" si="107"/>
        <v>86</v>
      </c>
      <c r="H1036" s="459">
        <v>1029</v>
      </c>
      <c r="I1036" s="444">
        <f t="shared" ca="1" si="108"/>
        <v>2005498.935635783</v>
      </c>
      <c r="J1036" s="444">
        <f t="array" ref="J1036">IFERROR(INDEX('Retirement Calculator'!J:J,MATCH('Isaac 401k'!N1036,'Retirement Calculator'!A:A,0),0),0)</f>
        <v>7896.2379798201846</v>
      </c>
      <c r="K1036" s="444">
        <f t="shared" ca="1" si="105"/>
        <v>8323.34457356651</v>
      </c>
      <c r="L1036" s="444">
        <f t="shared" ca="1" si="106"/>
        <v>2005926.0422295292</v>
      </c>
      <c r="M1036" s="460">
        <f t="shared" si="109"/>
        <v>0.05</v>
      </c>
      <c r="N1036" s="464">
        <f t="shared" si="110"/>
        <v>82578</v>
      </c>
    </row>
    <row r="1037" spans="7:14" ht="11.25" customHeight="1" x14ac:dyDescent="0.3">
      <c r="G1037" s="459">
        <f t="shared" si="107"/>
        <v>86</v>
      </c>
      <c r="H1037" s="459">
        <v>1030</v>
      </c>
      <c r="I1037" s="444">
        <f t="shared" ca="1" si="108"/>
        <v>2005926.0422295292</v>
      </c>
      <c r="J1037" s="444">
        <f t="array" ref="J1037">IFERROR(INDEX('Retirement Calculator'!J:J,MATCH('Isaac 401k'!N1037,'Retirement Calculator'!A:A,0),0),0)</f>
        <v>7896.2379798201846</v>
      </c>
      <c r="K1037" s="444">
        <f t="shared" ca="1" si="105"/>
        <v>8325.1241843737862</v>
      </c>
      <c r="L1037" s="444">
        <f t="shared" ca="1" si="106"/>
        <v>2006354.9284340828</v>
      </c>
      <c r="M1037" s="460">
        <f t="shared" si="109"/>
        <v>0.05</v>
      </c>
      <c r="N1037" s="464">
        <f t="shared" si="110"/>
        <v>82606</v>
      </c>
    </row>
    <row r="1038" spans="7:14" ht="11.25" customHeight="1" x14ac:dyDescent="0.3">
      <c r="G1038" s="459">
        <f t="shared" si="107"/>
        <v>86</v>
      </c>
      <c r="H1038" s="459">
        <v>1031</v>
      </c>
      <c r="I1038" s="444">
        <f t="shared" ca="1" si="108"/>
        <v>2006354.9284340828</v>
      </c>
      <c r="J1038" s="444">
        <f t="array" ref="J1038">IFERROR(INDEX('Retirement Calculator'!J:J,MATCH('Isaac 401k'!N1038,'Retirement Calculator'!A:A,0),0),0)</f>
        <v>7896.2379798201846</v>
      </c>
      <c r="K1038" s="444">
        <f t="shared" ca="1" si="105"/>
        <v>8326.9112102260933</v>
      </c>
      <c r="L1038" s="444">
        <f t="shared" ca="1" si="106"/>
        <v>2006785.6016644887</v>
      </c>
      <c r="M1038" s="460">
        <f t="shared" si="109"/>
        <v>0.05</v>
      </c>
      <c r="N1038" s="464">
        <f t="shared" si="110"/>
        <v>82637</v>
      </c>
    </row>
    <row r="1039" spans="7:14" ht="11.25" customHeight="1" x14ac:dyDescent="0.3">
      <c r="G1039" s="459">
        <f t="shared" si="107"/>
        <v>86</v>
      </c>
      <c r="H1039" s="459">
        <v>1032</v>
      </c>
      <c r="I1039" s="444">
        <f t="shared" ca="1" si="108"/>
        <v>2006785.6016644887</v>
      </c>
      <c r="J1039" s="444">
        <f t="array" ref="J1039">IFERROR(INDEX('Retirement Calculator'!J:J,MATCH('Isaac 401k'!N1039,'Retirement Calculator'!A:A,0),0),0)</f>
        <v>7896.2379798201846</v>
      </c>
      <c r="K1039" s="444">
        <f t="shared" ca="1" si="105"/>
        <v>8328.7056820194521</v>
      </c>
      <c r="L1039" s="444">
        <f t="shared" ca="1" si="106"/>
        <v>2007218.0693666879</v>
      </c>
      <c r="M1039" s="460">
        <f t="shared" si="109"/>
        <v>0.05</v>
      </c>
      <c r="N1039" s="464">
        <f t="shared" si="110"/>
        <v>82667</v>
      </c>
    </row>
    <row r="1040" spans="7:14" ht="11.25" customHeight="1" x14ac:dyDescent="0.3">
      <c r="G1040" s="459">
        <f>G1039+1</f>
        <v>87</v>
      </c>
      <c r="H1040" s="459">
        <v>1033</v>
      </c>
      <c r="I1040" s="444">
        <f t="shared" ca="1" si="108"/>
        <v>2007218.0693666879</v>
      </c>
      <c r="J1040" s="444">
        <f t="array" ref="J1040">IFERROR(INDEX('Retirement Calculator'!J:J,MATCH('Isaac 401k'!N1040,'Retirement Calculator'!A:A,0),0),0)</f>
        <v>7896.2379798201846</v>
      </c>
      <c r="K1040" s="444">
        <f t="shared" ca="1" si="105"/>
        <v>8330.5076307786167</v>
      </c>
      <c r="L1040" s="444">
        <f t="shared" ca="1" si="106"/>
        <v>2007652.3390176464</v>
      </c>
      <c r="M1040" s="460">
        <f t="shared" si="109"/>
        <v>0.05</v>
      </c>
      <c r="N1040" s="464">
        <f t="shared" si="110"/>
        <v>82698</v>
      </c>
    </row>
    <row r="1041" spans="7:14" ht="11.25" customHeight="1" x14ac:dyDescent="0.3">
      <c r="G1041" s="459">
        <f t="shared" ref="G1041:G1051" si="111">G1040</f>
        <v>87</v>
      </c>
      <c r="H1041" s="459">
        <v>1034</v>
      </c>
      <c r="I1041" s="444">
        <f t="shared" ca="1" si="108"/>
        <v>2007652.3390176464</v>
      </c>
      <c r="J1041" s="444">
        <f t="array" ref="J1041">IFERROR(INDEX('Retirement Calculator'!J:J,MATCH('Isaac 401k'!N1041,'Retirement Calculator'!A:A,0),0),0)</f>
        <v>7896.2379798201846</v>
      </c>
      <c r="K1041" s="444">
        <f t="shared" ca="1" si="105"/>
        <v>8332.3170876576096</v>
      </c>
      <c r="L1041" s="444">
        <f t="shared" ca="1" si="106"/>
        <v>2008088.4181254837</v>
      </c>
      <c r="M1041" s="460">
        <f t="shared" si="109"/>
        <v>0.05</v>
      </c>
      <c r="N1041" s="464">
        <f t="shared" si="110"/>
        <v>82728</v>
      </c>
    </row>
    <row r="1042" spans="7:14" ht="11.25" customHeight="1" x14ac:dyDescent="0.3">
      <c r="G1042" s="459">
        <f t="shared" si="111"/>
        <v>87</v>
      </c>
      <c r="H1042" s="459">
        <v>1035</v>
      </c>
      <c r="I1042" s="444">
        <f t="shared" ca="1" si="108"/>
        <v>2008088.4181254837</v>
      </c>
      <c r="J1042" s="444">
        <f t="array" ref="J1042">IFERROR(INDEX('Retirement Calculator'!J:J,MATCH('Isaac 401k'!N1042,'Retirement Calculator'!A:A,0),0),0)</f>
        <v>7896.2379798201846</v>
      </c>
      <c r="K1042" s="444">
        <f t="shared" ca="1" si="105"/>
        <v>8334.1340839402637</v>
      </c>
      <c r="L1042" s="444">
        <f t="shared" ca="1" si="106"/>
        <v>2008526.3142296036</v>
      </c>
      <c r="M1042" s="460">
        <f t="shared" si="109"/>
        <v>0.05</v>
      </c>
      <c r="N1042" s="464">
        <f t="shared" si="110"/>
        <v>82759</v>
      </c>
    </row>
    <row r="1043" spans="7:14" ht="11.25" customHeight="1" x14ac:dyDescent="0.3">
      <c r="G1043" s="459">
        <f t="shared" si="111"/>
        <v>87</v>
      </c>
      <c r="H1043" s="459">
        <v>1036</v>
      </c>
      <c r="I1043" s="444">
        <f t="shared" ca="1" si="108"/>
        <v>2008526.3142296036</v>
      </c>
      <c r="J1043" s="444">
        <f t="array" ref="J1043">IFERROR(INDEX('Retirement Calculator'!J:J,MATCH('Isaac 401k'!N1043,'Retirement Calculator'!A:A,0),0),0)</f>
        <v>7896.2379798201846</v>
      </c>
      <c r="K1043" s="444">
        <f t="shared" ca="1" si="105"/>
        <v>8335.9586510407644</v>
      </c>
      <c r="L1043" s="444">
        <f t="shared" ca="1" si="106"/>
        <v>2008966.0349008241</v>
      </c>
      <c r="M1043" s="460">
        <f t="shared" si="109"/>
        <v>0.05</v>
      </c>
      <c r="N1043" s="464">
        <f t="shared" si="110"/>
        <v>82790</v>
      </c>
    </row>
    <row r="1044" spans="7:14" ht="11.25" customHeight="1" x14ac:dyDescent="0.3">
      <c r="G1044" s="459">
        <f t="shared" si="111"/>
        <v>87</v>
      </c>
      <c r="H1044" s="459">
        <v>1037</v>
      </c>
      <c r="I1044" s="444">
        <f t="shared" ca="1" si="108"/>
        <v>2008966.0349008241</v>
      </c>
      <c r="J1044" s="444">
        <f t="array" ref="J1044">IFERROR(INDEX('Retirement Calculator'!J:J,MATCH('Isaac 401k'!N1044,'Retirement Calculator'!A:A,0),0),0)</f>
        <v>7896.2379798201846</v>
      </c>
      <c r="K1044" s="444">
        <f t="shared" ca="1" si="105"/>
        <v>8337.790820504184</v>
      </c>
      <c r="L1044" s="444">
        <f t="shared" ca="1" si="106"/>
        <v>2009407.5877415079</v>
      </c>
      <c r="M1044" s="460">
        <f t="shared" si="109"/>
        <v>0.05</v>
      </c>
      <c r="N1044" s="464">
        <f t="shared" si="110"/>
        <v>82820</v>
      </c>
    </row>
    <row r="1045" spans="7:14" ht="11.25" customHeight="1" x14ac:dyDescent="0.3">
      <c r="G1045" s="459">
        <f t="shared" si="111"/>
        <v>87</v>
      </c>
      <c r="H1045" s="459">
        <v>1038</v>
      </c>
      <c r="I1045" s="444">
        <f t="shared" ca="1" si="108"/>
        <v>2009407.5877415079</v>
      </c>
      <c r="J1045" s="444">
        <f t="array" ref="J1045">IFERROR(INDEX('Retirement Calculator'!J:J,MATCH('Isaac 401k'!N1045,'Retirement Calculator'!A:A,0),0),0)</f>
        <v>7896.2379798201846</v>
      </c>
      <c r="K1045" s="444">
        <f t="shared" ca="1" si="105"/>
        <v>8339.6306240070335</v>
      </c>
      <c r="L1045" s="444">
        <f t="shared" ca="1" si="106"/>
        <v>2009850.9803856947</v>
      </c>
      <c r="M1045" s="460">
        <f t="shared" si="109"/>
        <v>0.05</v>
      </c>
      <c r="N1045" s="464">
        <f t="shared" si="110"/>
        <v>82851</v>
      </c>
    </row>
    <row r="1046" spans="7:14" ht="11.25" customHeight="1" x14ac:dyDescent="0.3">
      <c r="G1046" s="459">
        <f t="shared" si="111"/>
        <v>87</v>
      </c>
      <c r="H1046" s="459">
        <v>1039</v>
      </c>
      <c r="I1046" s="444">
        <f t="shared" ca="1" si="108"/>
        <v>2009850.9803856947</v>
      </c>
      <c r="J1046" s="444">
        <f t="array" ref="J1046">IFERROR(INDEX('Retirement Calculator'!J:J,MATCH('Isaac 401k'!N1046,'Retirement Calculator'!A:A,0),0),0)</f>
        <v>7896.2379798201846</v>
      </c>
      <c r="K1046" s="444">
        <f t="shared" ca="1" si="105"/>
        <v>8341.4780933578113</v>
      </c>
      <c r="L1046" s="444">
        <f t="shared" ca="1" si="106"/>
        <v>2010296.2204992322</v>
      </c>
      <c r="M1046" s="460">
        <f t="shared" si="109"/>
        <v>0.05</v>
      </c>
      <c r="N1046" s="464">
        <f t="shared" si="110"/>
        <v>82881</v>
      </c>
    </row>
    <row r="1047" spans="7:14" ht="11.25" customHeight="1" x14ac:dyDescent="0.3">
      <c r="G1047" s="459">
        <f t="shared" si="111"/>
        <v>87</v>
      </c>
      <c r="H1047" s="459">
        <v>1040</v>
      </c>
      <c r="I1047" s="444">
        <f t="shared" ca="1" si="108"/>
        <v>2010296.2204992322</v>
      </c>
      <c r="J1047" s="444">
        <f t="array" ref="J1047">IFERROR(INDEX('Retirement Calculator'!J:J,MATCH('Isaac 401k'!N1047,'Retirement Calculator'!A:A,0),0),0)</f>
        <v>7896.2379798201846</v>
      </c>
      <c r="K1047" s="444">
        <f t="shared" ca="1" si="105"/>
        <v>8343.3332604975494</v>
      </c>
      <c r="L1047" s="444">
        <f t="shared" ca="1" si="106"/>
        <v>2010743.3157799095</v>
      </c>
      <c r="M1047" s="460">
        <f t="shared" si="109"/>
        <v>0.05</v>
      </c>
      <c r="N1047" s="464">
        <f t="shared" si="110"/>
        <v>82912</v>
      </c>
    </row>
    <row r="1048" spans="7:14" ht="11.25" customHeight="1" x14ac:dyDescent="0.3">
      <c r="G1048" s="459">
        <f t="shared" si="111"/>
        <v>87</v>
      </c>
      <c r="H1048" s="459">
        <v>1041</v>
      </c>
      <c r="I1048" s="444">
        <f t="shared" ca="1" si="108"/>
        <v>2010743.3157799095</v>
      </c>
      <c r="J1048" s="444">
        <f t="array" ref="J1048">IFERROR(INDEX('Retirement Calculator'!J:J,MATCH('Isaac 401k'!N1048,'Retirement Calculator'!A:A,0),0),0)</f>
        <v>7896.2379798201846</v>
      </c>
      <c r="K1048" s="444">
        <f t="shared" ca="1" si="105"/>
        <v>8345.1961575003716</v>
      </c>
      <c r="L1048" s="444">
        <f t="shared" ca="1" si="106"/>
        <v>2011192.2739575896</v>
      </c>
      <c r="M1048" s="460">
        <f t="shared" si="109"/>
        <v>0.05</v>
      </c>
      <c r="N1048" s="464">
        <f t="shared" si="110"/>
        <v>82943</v>
      </c>
    </row>
    <row r="1049" spans="7:14" ht="11.25" customHeight="1" x14ac:dyDescent="0.3">
      <c r="G1049" s="459">
        <f t="shared" si="111"/>
        <v>87</v>
      </c>
      <c r="H1049" s="459">
        <v>1042</v>
      </c>
      <c r="I1049" s="444">
        <f t="shared" ca="1" si="108"/>
        <v>2011192.2739575896</v>
      </c>
      <c r="J1049" s="444">
        <f t="array" ref="J1049">IFERROR(INDEX('Retirement Calculator'!J:J,MATCH('Isaac 401k'!N1049,'Retirement Calculator'!A:A,0),0),0)</f>
        <v>7896.2379798201846</v>
      </c>
      <c r="K1049" s="444">
        <f t="shared" ca="1" si="105"/>
        <v>8347.066816574039</v>
      </c>
      <c r="L1049" s="444">
        <f t="shared" ca="1" si="106"/>
        <v>2011643.1027943434</v>
      </c>
      <c r="M1049" s="460">
        <f t="shared" si="109"/>
        <v>0.05</v>
      </c>
      <c r="N1049" s="464">
        <f t="shared" si="110"/>
        <v>82971</v>
      </c>
    </row>
    <row r="1050" spans="7:14" ht="11.25" customHeight="1" x14ac:dyDescent="0.3">
      <c r="G1050" s="459">
        <f t="shared" si="111"/>
        <v>87</v>
      </c>
      <c r="H1050" s="459">
        <v>1043</v>
      </c>
      <c r="I1050" s="444">
        <f t="shared" ca="1" si="108"/>
        <v>2011643.1027943434</v>
      </c>
      <c r="J1050" s="444">
        <f t="array" ref="J1050">IFERROR(INDEX('Retirement Calculator'!J:J,MATCH('Isaac 401k'!N1050,'Retirement Calculator'!A:A,0),0),0)</f>
        <v>7896.2379798201846</v>
      </c>
      <c r="K1050" s="444">
        <f t="shared" ca="1" si="105"/>
        <v>8348.9452700605125</v>
      </c>
      <c r="L1050" s="444">
        <f t="shared" ca="1" si="106"/>
        <v>2012095.8100845837</v>
      </c>
      <c r="M1050" s="460">
        <f t="shared" si="109"/>
        <v>0.05</v>
      </c>
      <c r="N1050" s="464">
        <f t="shared" si="110"/>
        <v>83002</v>
      </c>
    </row>
    <row r="1051" spans="7:14" ht="11.25" customHeight="1" x14ac:dyDescent="0.3">
      <c r="G1051" s="459">
        <f t="shared" si="111"/>
        <v>87</v>
      </c>
      <c r="H1051" s="459">
        <v>1044</v>
      </c>
      <c r="I1051" s="444">
        <f t="shared" ca="1" si="108"/>
        <v>2012095.8100845837</v>
      </c>
      <c r="J1051" s="444">
        <f t="array" ref="J1051">IFERROR(INDEX('Retirement Calculator'!J:J,MATCH('Isaac 401k'!N1051,'Retirement Calculator'!A:A,0),0),0)</f>
        <v>7896.2379798201846</v>
      </c>
      <c r="K1051" s="444">
        <f t="shared" ca="1" si="105"/>
        <v>8350.8315504365146</v>
      </c>
      <c r="L1051" s="444">
        <f t="shared" ca="1" si="106"/>
        <v>2012550.4036552</v>
      </c>
      <c r="M1051" s="460">
        <f t="shared" si="109"/>
        <v>0.05</v>
      </c>
      <c r="N1051" s="464">
        <f t="shared" si="110"/>
        <v>83032</v>
      </c>
    </row>
    <row r="1052" spans="7:14" ht="11.25" customHeight="1" x14ac:dyDescent="0.3">
      <c r="G1052" s="459">
        <f>G1051+1</f>
        <v>88</v>
      </c>
      <c r="H1052" s="459">
        <v>1045</v>
      </c>
      <c r="I1052" s="444">
        <f t="shared" ca="1" si="108"/>
        <v>2012550.4036552</v>
      </c>
      <c r="J1052" s="444">
        <f t="array" ref="J1052">IFERROR(INDEX('Retirement Calculator'!J:J,MATCH('Isaac 401k'!N1052,'Retirement Calculator'!A:A,0),0),0)</f>
        <v>7896.2379798201846</v>
      </c>
      <c r="K1052" s="444">
        <f t="shared" ca="1" si="105"/>
        <v>8352.7256903140824</v>
      </c>
      <c r="L1052" s="444">
        <f t="shared" ca="1" si="106"/>
        <v>2013006.8913656939</v>
      </c>
      <c r="M1052" s="460">
        <f t="shared" si="109"/>
        <v>0.05</v>
      </c>
      <c r="N1052" s="464">
        <f t="shared" si="110"/>
        <v>83063</v>
      </c>
    </row>
    <row r="1053" spans="7:14" ht="11.25" customHeight="1" x14ac:dyDescent="0.3">
      <c r="G1053" s="459">
        <f t="shared" ref="G1053:G1063" si="112">G1052</f>
        <v>88</v>
      </c>
      <c r="H1053" s="459">
        <v>1046</v>
      </c>
      <c r="I1053" s="444">
        <f t="shared" ca="1" si="108"/>
        <v>2013006.8913656939</v>
      </c>
      <c r="J1053" s="444">
        <f t="array" ref="J1053">IFERROR(INDEX('Retirement Calculator'!J:J,MATCH('Isaac 401k'!N1053,'Retirement Calculator'!A:A,0),0),0)</f>
        <v>7896.2379798201846</v>
      </c>
      <c r="K1053" s="444">
        <f t="shared" ca="1" si="105"/>
        <v>8354.6277224411406</v>
      </c>
      <c r="L1053" s="444">
        <f t="shared" ca="1" si="106"/>
        <v>2013465.2811083149</v>
      </c>
      <c r="M1053" s="460">
        <f t="shared" si="109"/>
        <v>0.05</v>
      </c>
      <c r="N1053" s="464">
        <f t="shared" si="110"/>
        <v>83093</v>
      </c>
    </row>
    <row r="1054" spans="7:14" ht="11.25" customHeight="1" x14ac:dyDescent="0.3">
      <c r="G1054" s="459">
        <f t="shared" si="112"/>
        <v>88</v>
      </c>
      <c r="H1054" s="459">
        <v>1047</v>
      </c>
      <c r="I1054" s="444">
        <f t="shared" ca="1" si="108"/>
        <v>2013465.2811083149</v>
      </c>
      <c r="J1054" s="444">
        <f t="array" ref="J1054">IFERROR(INDEX('Retirement Calculator'!J:J,MATCH('Isaac 401k'!N1054,'Retirement Calculator'!A:A,0),0),0)</f>
        <v>7896.2379798201846</v>
      </c>
      <c r="K1054" s="444">
        <f t="shared" ca="1" si="105"/>
        <v>8356.5376797020617</v>
      </c>
      <c r="L1054" s="444">
        <f t="shared" ca="1" si="106"/>
        <v>2013925.5808081967</v>
      </c>
      <c r="M1054" s="460">
        <f t="shared" si="109"/>
        <v>0.05</v>
      </c>
      <c r="N1054" s="464">
        <f t="shared" si="110"/>
        <v>83124</v>
      </c>
    </row>
    <row r="1055" spans="7:14" ht="11.25" customHeight="1" x14ac:dyDescent="0.3">
      <c r="G1055" s="459">
        <f t="shared" si="112"/>
        <v>88</v>
      </c>
      <c r="H1055" s="459">
        <v>1048</v>
      </c>
      <c r="I1055" s="444">
        <f t="shared" ca="1" si="108"/>
        <v>2013925.5808081967</v>
      </c>
      <c r="J1055" s="444">
        <f t="array" ref="J1055">IFERROR(INDEX('Retirement Calculator'!J:J,MATCH('Isaac 401k'!N1055,'Retirement Calculator'!A:A,0),0),0)</f>
        <v>7896.2379798201846</v>
      </c>
      <c r="K1055" s="444">
        <f t="shared" ca="1" si="105"/>
        <v>8358.4555951182356</v>
      </c>
      <c r="L1055" s="444">
        <f t="shared" ca="1" si="106"/>
        <v>2014387.7984234947</v>
      </c>
      <c r="M1055" s="460">
        <f t="shared" si="109"/>
        <v>0.05</v>
      </c>
      <c r="N1055" s="464">
        <f t="shared" si="110"/>
        <v>83155</v>
      </c>
    </row>
    <row r="1056" spans="7:14" ht="11.25" customHeight="1" x14ac:dyDescent="0.3">
      <c r="G1056" s="459">
        <f t="shared" si="112"/>
        <v>88</v>
      </c>
      <c r="H1056" s="459">
        <v>1049</v>
      </c>
      <c r="I1056" s="444">
        <f t="shared" ca="1" si="108"/>
        <v>2014387.7984234947</v>
      </c>
      <c r="J1056" s="444">
        <f t="array" ref="J1056">IFERROR(INDEX('Retirement Calculator'!J:J,MATCH('Isaac 401k'!N1056,'Retirement Calculator'!A:A,0),0),0)</f>
        <v>7896.2379798201846</v>
      </c>
      <c r="K1056" s="444">
        <f t="shared" ca="1" si="105"/>
        <v>8360.3815018486439</v>
      </c>
      <c r="L1056" s="444">
        <f t="shared" ca="1" si="106"/>
        <v>2014851.941945523</v>
      </c>
      <c r="M1056" s="460">
        <f t="shared" si="109"/>
        <v>0.05</v>
      </c>
      <c r="N1056" s="464">
        <f t="shared" si="110"/>
        <v>83185</v>
      </c>
    </row>
    <row r="1057" spans="7:14" ht="11.25" customHeight="1" x14ac:dyDescent="0.3">
      <c r="G1057" s="459">
        <f t="shared" si="112"/>
        <v>88</v>
      </c>
      <c r="H1057" s="459">
        <v>1050</v>
      </c>
      <c r="I1057" s="444">
        <f t="shared" ca="1" si="108"/>
        <v>2014851.941945523</v>
      </c>
      <c r="J1057" s="444">
        <f t="array" ref="J1057">IFERROR(INDEX('Retirement Calculator'!J:J,MATCH('Isaac 401k'!N1057,'Retirement Calculator'!A:A,0),0),0)</f>
        <v>7896.2379798201846</v>
      </c>
      <c r="K1057" s="444">
        <f t="shared" ca="1" si="105"/>
        <v>8362.3154331904279</v>
      </c>
      <c r="L1057" s="444">
        <f t="shared" ca="1" si="106"/>
        <v>2015318.0193988932</v>
      </c>
      <c r="M1057" s="460">
        <f t="shared" si="109"/>
        <v>0.05</v>
      </c>
      <c r="N1057" s="464">
        <f t="shared" si="110"/>
        <v>83216</v>
      </c>
    </row>
    <row r="1058" spans="7:14" ht="11.25" customHeight="1" x14ac:dyDescent="0.3">
      <c r="G1058" s="459">
        <f t="shared" si="112"/>
        <v>88</v>
      </c>
      <c r="H1058" s="459">
        <v>1051</v>
      </c>
      <c r="I1058" s="444">
        <f t="shared" ca="1" si="108"/>
        <v>2015318.0193988932</v>
      </c>
      <c r="J1058" s="444">
        <f t="array" ref="J1058">IFERROR(INDEX('Retirement Calculator'!J:J,MATCH('Isaac 401k'!N1058,'Retirement Calculator'!A:A,0),0),0)</f>
        <v>7896.2379798201846</v>
      </c>
      <c r="K1058" s="444">
        <f t="shared" ca="1" si="105"/>
        <v>8364.2574225794706</v>
      </c>
      <c r="L1058" s="444">
        <f t="shared" ca="1" si="106"/>
        <v>2015786.0388416525</v>
      </c>
      <c r="M1058" s="460">
        <f t="shared" si="109"/>
        <v>0.05</v>
      </c>
      <c r="N1058" s="464">
        <f t="shared" si="110"/>
        <v>83246</v>
      </c>
    </row>
    <row r="1059" spans="7:14" ht="11.25" customHeight="1" x14ac:dyDescent="0.3">
      <c r="G1059" s="459">
        <f t="shared" si="112"/>
        <v>88</v>
      </c>
      <c r="H1059" s="459">
        <v>1052</v>
      </c>
      <c r="I1059" s="444">
        <f t="shared" ca="1" si="108"/>
        <v>2015786.0388416525</v>
      </c>
      <c r="J1059" s="444">
        <f t="array" ref="J1059">IFERROR(INDEX('Retirement Calculator'!J:J,MATCH('Isaac 401k'!N1059,'Retirement Calculator'!A:A,0),0),0)</f>
        <v>7896.2379798201846</v>
      </c>
      <c r="K1059" s="444">
        <f t="shared" ca="1" si="105"/>
        <v>8366.2075035909675</v>
      </c>
      <c r="L1059" s="444">
        <f t="shared" ca="1" si="106"/>
        <v>2016256.0083654232</v>
      </c>
      <c r="M1059" s="460">
        <f t="shared" si="109"/>
        <v>0.05</v>
      </c>
      <c r="N1059" s="464">
        <f t="shared" si="110"/>
        <v>83277</v>
      </c>
    </row>
    <row r="1060" spans="7:14" ht="11.25" customHeight="1" x14ac:dyDescent="0.3">
      <c r="G1060" s="459">
        <f t="shared" si="112"/>
        <v>88</v>
      </c>
      <c r="H1060" s="459">
        <v>1053</v>
      </c>
      <c r="I1060" s="444">
        <f t="shared" ca="1" si="108"/>
        <v>2016256.0083654232</v>
      </c>
      <c r="J1060" s="444">
        <f t="array" ref="J1060">IFERROR(INDEX('Retirement Calculator'!J:J,MATCH('Isaac 401k'!N1060,'Retirement Calculator'!A:A,0),0),0)</f>
        <v>7896.2379798201846</v>
      </c>
      <c r="K1060" s="444">
        <f t="shared" ca="1" si="105"/>
        <v>8368.1657099400127</v>
      </c>
      <c r="L1060" s="444">
        <f t="shared" ca="1" si="106"/>
        <v>2016727.936095543</v>
      </c>
      <c r="M1060" s="460">
        <f t="shared" si="109"/>
        <v>0.05</v>
      </c>
      <c r="N1060" s="464">
        <f t="shared" si="110"/>
        <v>83308</v>
      </c>
    </row>
    <row r="1061" spans="7:14" ht="11.25" customHeight="1" x14ac:dyDescent="0.3">
      <c r="G1061" s="459">
        <f t="shared" si="112"/>
        <v>88</v>
      </c>
      <c r="H1061" s="459">
        <v>1054</v>
      </c>
      <c r="I1061" s="444">
        <f t="shared" ca="1" si="108"/>
        <v>2016727.936095543</v>
      </c>
      <c r="J1061" s="444">
        <f t="array" ref="J1061">IFERROR(INDEX('Retirement Calculator'!J:J,MATCH('Isaac 401k'!N1061,'Retirement Calculator'!A:A,0),0),0)</f>
        <v>7896.2379798201846</v>
      </c>
      <c r="K1061" s="444">
        <f t="shared" ca="1" si="105"/>
        <v>8370.1320754821772</v>
      </c>
      <c r="L1061" s="444">
        <f t="shared" ca="1" si="106"/>
        <v>2017201.830191205</v>
      </c>
      <c r="M1061" s="460">
        <f t="shared" si="109"/>
        <v>0.05</v>
      </c>
      <c r="N1061" s="464">
        <f t="shared" si="110"/>
        <v>83337</v>
      </c>
    </row>
    <row r="1062" spans="7:14" ht="11.25" customHeight="1" x14ac:dyDescent="0.3">
      <c r="G1062" s="459">
        <f t="shared" si="112"/>
        <v>88</v>
      </c>
      <c r="H1062" s="459">
        <v>1055</v>
      </c>
      <c r="I1062" s="444">
        <f t="shared" ca="1" si="108"/>
        <v>2017201.830191205</v>
      </c>
      <c r="J1062" s="444">
        <f t="array" ref="J1062">IFERROR(INDEX('Retirement Calculator'!J:J,MATCH('Isaac 401k'!N1062,'Retirement Calculator'!A:A,0),0),0)</f>
        <v>7896.2379798201846</v>
      </c>
      <c r="K1062" s="444">
        <f t="shared" ca="1" si="105"/>
        <v>8372.1066342141039</v>
      </c>
      <c r="L1062" s="444">
        <f t="shared" ca="1" si="106"/>
        <v>2017677.6988455988</v>
      </c>
      <c r="M1062" s="460">
        <f t="shared" si="109"/>
        <v>0.05</v>
      </c>
      <c r="N1062" s="464">
        <f t="shared" si="110"/>
        <v>83368</v>
      </c>
    </row>
    <row r="1063" spans="7:14" ht="11.25" customHeight="1" x14ac:dyDescent="0.3">
      <c r="G1063" s="459">
        <f t="shared" si="112"/>
        <v>88</v>
      </c>
      <c r="H1063" s="459">
        <v>1056</v>
      </c>
      <c r="I1063" s="444">
        <f t="shared" ca="1" si="108"/>
        <v>2017677.6988455988</v>
      </c>
      <c r="J1063" s="444">
        <f t="array" ref="J1063">IFERROR(INDEX('Retirement Calculator'!J:J,MATCH('Isaac 401k'!N1063,'Retirement Calculator'!A:A,0),0),0)</f>
        <v>7896.2379798201846</v>
      </c>
      <c r="K1063" s="444">
        <f t="shared" ca="1" si="105"/>
        <v>8374.0894202740783</v>
      </c>
      <c r="L1063" s="444">
        <f t="shared" ca="1" si="106"/>
        <v>2018155.5502860527</v>
      </c>
      <c r="M1063" s="460">
        <f t="shared" si="109"/>
        <v>0.05</v>
      </c>
      <c r="N1063" s="464">
        <f t="shared" si="110"/>
        <v>83398</v>
      </c>
    </row>
    <row r="1064" spans="7:14" ht="11.25" customHeight="1" x14ac:dyDescent="0.3">
      <c r="G1064" s="459">
        <f>G1063+1</f>
        <v>89</v>
      </c>
      <c r="H1064" s="459">
        <v>1057</v>
      </c>
      <c r="I1064" s="444">
        <f t="shared" ca="1" si="108"/>
        <v>2018155.5502860527</v>
      </c>
      <c r="J1064" s="444">
        <f t="array" ref="J1064">IFERROR(INDEX('Retirement Calculator'!J:J,MATCH('Isaac 401k'!N1064,'Retirement Calculator'!A:A,0),0),0)</f>
        <v>7896.2379798201846</v>
      </c>
      <c r="K1064" s="444">
        <f t="shared" ca="1" si="105"/>
        <v>8376.0804679426346</v>
      </c>
      <c r="L1064" s="444">
        <f t="shared" ca="1" si="106"/>
        <v>2018635.3927741752</v>
      </c>
      <c r="M1064" s="460">
        <f t="shared" si="109"/>
        <v>0.05</v>
      </c>
      <c r="N1064" s="464">
        <f t="shared" si="110"/>
        <v>83429</v>
      </c>
    </row>
    <row r="1065" spans="7:14" ht="11.25" customHeight="1" x14ac:dyDescent="0.3">
      <c r="G1065" s="459">
        <f t="shared" ref="G1065:G1075" si="113">G1064</f>
        <v>89</v>
      </c>
      <c r="H1065" s="459">
        <v>1058</v>
      </c>
      <c r="I1065" s="444">
        <f t="shared" ca="1" si="108"/>
        <v>2018635.3927741752</v>
      </c>
      <c r="J1065" s="444">
        <f t="array" ref="J1065">IFERROR(INDEX('Retirement Calculator'!J:J,MATCH('Isaac 401k'!N1065,'Retirement Calculator'!A:A,0),0),0)</f>
        <v>7896.2379798201846</v>
      </c>
      <c r="K1065" s="444">
        <f t="shared" ca="1" si="105"/>
        <v>8378.0798116431451</v>
      </c>
      <c r="L1065" s="444">
        <f t="shared" ca="1" si="106"/>
        <v>2019117.234605998</v>
      </c>
      <c r="M1065" s="460">
        <f t="shared" si="109"/>
        <v>0.05</v>
      </c>
      <c r="N1065" s="464">
        <f t="shared" si="110"/>
        <v>83459</v>
      </c>
    </row>
    <row r="1066" spans="7:14" ht="11.25" customHeight="1" x14ac:dyDescent="0.3">
      <c r="G1066" s="459">
        <f t="shared" si="113"/>
        <v>89</v>
      </c>
      <c r="H1066" s="459">
        <v>1059</v>
      </c>
      <c r="I1066" s="444">
        <f t="shared" ca="1" si="108"/>
        <v>2019117.234605998</v>
      </c>
      <c r="J1066" s="444">
        <f t="array" ref="J1066">IFERROR(INDEX('Retirement Calculator'!J:J,MATCH('Isaac 401k'!N1066,'Retirement Calculator'!A:A,0),0),0)</f>
        <v>7896.2379798201846</v>
      </c>
      <c r="K1066" s="444">
        <f t="shared" ca="1" si="105"/>
        <v>8380.0874859424057</v>
      </c>
      <c r="L1066" s="444">
        <f t="shared" ca="1" si="106"/>
        <v>2019601.0841121201</v>
      </c>
      <c r="M1066" s="460">
        <f t="shared" si="109"/>
        <v>0.05</v>
      </c>
      <c r="N1066" s="464">
        <f t="shared" si="110"/>
        <v>83490</v>
      </c>
    </row>
    <row r="1067" spans="7:14" ht="11.25" customHeight="1" x14ac:dyDescent="0.3">
      <c r="G1067" s="459">
        <f t="shared" si="113"/>
        <v>89</v>
      </c>
      <c r="H1067" s="459">
        <v>1060</v>
      </c>
      <c r="I1067" s="444">
        <f t="shared" ca="1" si="108"/>
        <v>2019601.0841121201</v>
      </c>
      <c r="J1067" s="444">
        <f t="array" ref="J1067">IFERROR(INDEX('Retirement Calculator'!J:J,MATCH('Isaac 401k'!N1067,'Retirement Calculator'!A:A,0),0),0)</f>
        <v>7896.2379798201846</v>
      </c>
      <c r="K1067" s="444">
        <f t="shared" ca="1" si="105"/>
        <v>8382.1035255512488</v>
      </c>
      <c r="L1067" s="444">
        <f t="shared" ca="1" si="106"/>
        <v>2020086.9496578511</v>
      </c>
      <c r="M1067" s="460">
        <f t="shared" si="109"/>
        <v>0.05</v>
      </c>
      <c r="N1067" s="464">
        <f t="shared" si="110"/>
        <v>83521</v>
      </c>
    </row>
    <row r="1068" spans="7:14" ht="11.25" customHeight="1" x14ac:dyDescent="0.3">
      <c r="G1068" s="459">
        <f t="shared" si="113"/>
        <v>89</v>
      </c>
      <c r="H1068" s="459">
        <v>1061</v>
      </c>
      <c r="I1068" s="444">
        <f t="shared" ca="1" si="108"/>
        <v>2020086.9496578511</v>
      </c>
      <c r="J1068" s="444">
        <f t="array" ref="J1068">IFERROR(INDEX('Retirement Calculator'!J:J,MATCH('Isaac 401k'!N1068,'Retirement Calculator'!A:A,0),0),0)</f>
        <v>7896.2379798201846</v>
      </c>
      <c r="K1068" s="444">
        <f t="shared" ca="1" si="105"/>
        <v>8384.1279653251295</v>
      </c>
      <c r="L1068" s="444">
        <f t="shared" ca="1" si="106"/>
        <v>2020574.8396433559</v>
      </c>
      <c r="M1068" s="460">
        <f t="shared" si="109"/>
        <v>0.05</v>
      </c>
      <c r="N1068" s="464">
        <f t="shared" si="110"/>
        <v>83551</v>
      </c>
    </row>
    <row r="1069" spans="7:14" ht="11.25" customHeight="1" x14ac:dyDescent="0.3">
      <c r="G1069" s="459">
        <f t="shared" si="113"/>
        <v>89</v>
      </c>
      <c r="H1069" s="459">
        <v>1062</v>
      </c>
      <c r="I1069" s="444">
        <f t="shared" ca="1" si="108"/>
        <v>2020574.8396433559</v>
      </c>
      <c r="J1069" s="444">
        <f t="array" ref="J1069">IFERROR(INDEX('Retirement Calculator'!J:J,MATCH('Isaac 401k'!N1069,'Retirement Calculator'!A:A,0),0),0)</f>
        <v>7896.2379798201846</v>
      </c>
      <c r="K1069" s="444">
        <f t="shared" ca="1" si="105"/>
        <v>8386.1608402647325</v>
      </c>
      <c r="L1069" s="444">
        <f t="shared" ca="1" si="106"/>
        <v>2021064.7625038004</v>
      </c>
      <c r="M1069" s="460">
        <f t="shared" si="109"/>
        <v>0.05</v>
      </c>
      <c r="N1069" s="464">
        <f t="shared" si="110"/>
        <v>83582</v>
      </c>
    </row>
    <row r="1070" spans="7:14" ht="11.25" customHeight="1" x14ac:dyDescent="0.3">
      <c r="G1070" s="459">
        <f t="shared" si="113"/>
        <v>89</v>
      </c>
      <c r="H1070" s="459">
        <v>1063</v>
      </c>
      <c r="I1070" s="444">
        <f t="shared" ca="1" si="108"/>
        <v>2021064.7625038004</v>
      </c>
      <c r="J1070" s="444">
        <f t="array" ref="J1070">IFERROR(INDEX('Retirement Calculator'!J:J,MATCH('Isaac 401k'!N1070,'Retirement Calculator'!A:A,0),0),0)</f>
        <v>7896.2379798201846</v>
      </c>
      <c r="K1070" s="444">
        <f t="shared" ca="1" si="105"/>
        <v>8388.2021855165858</v>
      </c>
      <c r="L1070" s="444">
        <f t="shared" ca="1" si="106"/>
        <v>2021556.7267094967</v>
      </c>
      <c r="M1070" s="460">
        <f t="shared" si="109"/>
        <v>0.05</v>
      </c>
      <c r="N1070" s="464">
        <f t="shared" si="110"/>
        <v>83612</v>
      </c>
    </row>
    <row r="1071" spans="7:14" ht="11.25" customHeight="1" x14ac:dyDescent="0.3">
      <c r="G1071" s="459">
        <f t="shared" si="113"/>
        <v>89</v>
      </c>
      <c r="H1071" s="459">
        <v>1064</v>
      </c>
      <c r="I1071" s="444">
        <f t="shared" ca="1" si="108"/>
        <v>2021556.7267094967</v>
      </c>
      <c r="J1071" s="444">
        <f t="array" ref="J1071">IFERROR(INDEX('Retirement Calculator'!J:J,MATCH('Isaac 401k'!N1071,'Retirement Calculator'!A:A,0),0),0)</f>
        <v>7896.2379798201846</v>
      </c>
      <c r="K1071" s="444">
        <f t="shared" ca="1" si="105"/>
        <v>8390.2520363736512</v>
      </c>
      <c r="L1071" s="444">
        <f t="shared" ca="1" si="106"/>
        <v>2022050.7407660501</v>
      </c>
      <c r="M1071" s="460">
        <f t="shared" si="109"/>
        <v>0.05</v>
      </c>
      <c r="N1071" s="464">
        <f t="shared" si="110"/>
        <v>83643</v>
      </c>
    </row>
    <row r="1072" spans="7:14" ht="11.25" customHeight="1" x14ac:dyDescent="0.3">
      <c r="G1072" s="459">
        <f t="shared" si="113"/>
        <v>89</v>
      </c>
      <c r="H1072" s="459">
        <v>1065</v>
      </c>
      <c r="I1072" s="444">
        <f t="shared" ca="1" si="108"/>
        <v>2022050.7407660501</v>
      </c>
      <c r="J1072" s="444">
        <f t="array" ref="J1072">IFERROR(INDEX('Retirement Calculator'!J:J,MATCH('Isaac 401k'!N1072,'Retirement Calculator'!A:A,0),0),0)</f>
        <v>7896.2379798201846</v>
      </c>
      <c r="K1072" s="444">
        <f t="shared" ca="1" si="105"/>
        <v>8392.3104282759577</v>
      </c>
      <c r="L1072" s="444">
        <f t="shared" ca="1" si="106"/>
        <v>2022546.8132145058</v>
      </c>
      <c r="M1072" s="460">
        <f t="shared" si="109"/>
        <v>0.05</v>
      </c>
      <c r="N1072" s="464">
        <f t="shared" si="110"/>
        <v>83674</v>
      </c>
    </row>
    <row r="1073" spans="7:14" ht="11.25" customHeight="1" x14ac:dyDescent="0.3">
      <c r="G1073" s="459">
        <f t="shared" si="113"/>
        <v>89</v>
      </c>
      <c r="H1073" s="459">
        <v>1066</v>
      </c>
      <c r="I1073" s="444">
        <f t="shared" ca="1" si="108"/>
        <v>2022546.8132145058</v>
      </c>
      <c r="J1073" s="444">
        <f t="array" ref="J1073">IFERROR(INDEX('Retirement Calculator'!J:J,MATCH('Isaac 401k'!N1073,'Retirement Calculator'!A:A,0),0),0)</f>
        <v>7896.2379798201846</v>
      </c>
      <c r="K1073" s="444">
        <f t="shared" ca="1" si="105"/>
        <v>8394.3773968111891</v>
      </c>
      <c r="L1073" s="444">
        <f t="shared" ca="1" si="106"/>
        <v>2023044.9526314968</v>
      </c>
      <c r="M1073" s="460">
        <f t="shared" si="109"/>
        <v>0.05</v>
      </c>
      <c r="N1073" s="464">
        <f t="shared" si="110"/>
        <v>83702</v>
      </c>
    </row>
    <row r="1074" spans="7:14" ht="11.25" customHeight="1" x14ac:dyDescent="0.3">
      <c r="G1074" s="459">
        <f t="shared" si="113"/>
        <v>89</v>
      </c>
      <c r="H1074" s="459">
        <v>1067</v>
      </c>
      <c r="I1074" s="444">
        <f t="shared" ca="1" si="108"/>
        <v>2023044.9526314968</v>
      </c>
      <c r="J1074" s="444">
        <f t="array" ref="J1074">IFERROR(INDEX('Retirement Calculator'!J:J,MATCH('Isaac 401k'!N1074,'Retirement Calculator'!A:A,0),0),0)</f>
        <v>7896.2379798201846</v>
      </c>
      <c r="K1074" s="444">
        <f t="shared" ca="1" si="105"/>
        <v>8396.4529777153184</v>
      </c>
      <c r="L1074" s="444">
        <f t="shared" ca="1" si="106"/>
        <v>2023545.1676293919</v>
      </c>
      <c r="M1074" s="460">
        <f t="shared" si="109"/>
        <v>0.05</v>
      </c>
      <c r="N1074" s="464">
        <f t="shared" si="110"/>
        <v>83733</v>
      </c>
    </row>
    <row r="1075" spans="7:14" ht="11.25" customHeight="1" x14ac:dyDescent="0.3">
      <c r="G1075" s="459">
        <f t="shared" si="113"/>
        <v>89</v>
      </c>
      <c r="H1075" s="459">
        <v>1068</v>
      </c>
      <c r="I1075" s="444">
        <f t="shared" ca="1" si="108"/>
        <v>2023545.1676293919</v>
      </c>
      <c r="J1075" s="444">
        <f t="array" ref="J1075">IFERROR(INDEX('Retirement Calculator'!J:J,MATCH('Isaac 401k'!N1075,'Retirement Calculator'!A:A,0),0),0)</f>
        <v>7896.2379798201846</v>
      </c>
      <c r="K1075" s="444">
        <f t="shared" ca="1" si="105"/>
        <v>8398.5372068732158</v>
      </c>
      <c r="L1075" s="444">
        <f t="shared" ca="1" si="106"/>
        <v>2024047.466856445</v>
      </c>
      <c r="M1075" s="460">
        <f t="shared" si="109"/>
        <v>0.05</v>
      </c>
      <c r="N1075" s="464">
        <f t="shared" si="110"/>
        <v>83763</v>
      </c>
    </row>
    <row r="1076" spans="7:14" ht="11.25" customHeight="1" x14ac:dyDescent="0.3">
      <c r="G1076" s="459">
        <f>G1075+1</f>
        <v>90</v>
      </c>
      <c r="H1076" s="459">
        <v>1069</v>
      </c>
      <c r="I1076" s="444">
        <f t="shared" ca="1" si="108"/>
        <v>2024047.466856445</v>
      </c>
      <c r="J1076" s="444">
        <f t="array" ref="J1076">IFERROR(INDEX('Retirement Calculator'!J:J,MATCH('Isaac 401k'!N1076,'Retirement Calculator'!A:A,0),0),0)</f>
        <v>7896.2379798201846</v>
      </c>
      <c r="K1076" s="444">
        <f t="shared" ca="1" si="105"/>
        <v>8400.6301203192688</v>
      </c>
      <c r="L1076" s="444">
        <f t="shared" ca="1" si="106"/>
        <v>2024551.858996944</v>
      </c>
      <c r="M1076" s="460">
        <f t="shared" si="109"/>
        <v>0.05</v>
      </c>
      <c r="N1076" s="464">
        <f t="shared" si="110"/>
        <v>83794</v>
      </c>
    </row>
    <row r="1077" spans="7:14" ht="11.25" customHeight="1" x14ac:dyDescent="0.3">
      <c r="G1077" s="459">
        <f t="shared" ref="G1077:G1087" si="114">G1076</f>
        <v>90</v>
      </c>
      <c r="H1077" s="459">
        <v>1070</v>
      </c>
      <c r="I1077" s="444">
        <f t="shared" ca="1" si="108"/>
        <v>2024551.858996944</v>
      </c>
      <c r="J1077" s="444">
        <f t="array" ref="J1077">IFERROR(INDEX('Retirement Calculator'!J:J,MATCH('Isaac 401k'!N1077,'Retirement Calculator'!A:A,0),0),0)</f>
        <v>7896.2379798201846</v>
      </c>
      <c r="K1077" s="444">
        <f t="shared" ca="1" si="105"/>
        <v>8402.7317542380151</v>
      </c>
      <c r="L1077" s="444">
        <f t="shared" ca="1" si="106"/>
        <v>2025058.3527713618</v>
      </c>
      <c r="M1077" s="460">
        <f t="shared" si="109"/>
        <v>0.05</v>
      </c>
      <c r="N1077" s="464">
        <f t="shared" si="110"/>
        <v>83824</v>
      </c>
    </row>
    <row r="1078" spans="7:14" ht="11.25" customHeight="1" x14ac:dyDescent="0.3">
      <c r="G1078" s="459">
        <f t="shared" si="114"/>
        <v>90</v>
      </c>
      <c r="H1078" s="459">
        <v>1071</v>
      </c>
      <c r="I1078" s="444">
        <f t="shared" ca="1" si="108"/>
        <v>2025058.3527713618</v>
      </c>
      <c r="J1078" s="444">
        <f t="array" ref="J1078">IFERROR(INDEX('Retirement Calculator'!J:J,MATCH('Isaac 401k'!N1078,'Retirement Calculator'!A:A,0),0),0)</f>
        <v>7896.2379798201846</v>
      </c>
      <c r="K1078" s="444">
        <f t="shared" ca="1" si="105"/>
        <v>8404.8421449647558</v>
      </c>
      <c r="L1078" s="444">
        <f t="shared" ca="1" si="106"/>
        <v>2025566.9569365063</v>
      </c>
      <c r="M1078" s="460">
        <f t="shared" si="109"/>
        <v>0.05</v>
      </c>
      <c r="N1078" s="464">
        <f t="shared" si="110"/>
        <v>83855</v>
      </c>
    </row>
    <row r="1079" spans="7:14" ht="11.25" customHeight="1" x14ac:dyDescent="0.3">
      <c r="G1079" s="459">
        <f t="shared" si="114"/>
        <v>90</v>
      </c>
      <c r="H1079" s="459">
        <v>1072</v>
      </c>
      <c r="I1079" s="444">
        <f t="shared" ca="1" si="108"/>
        <v>2025566.9569365063</v>
      </c>
      <c r="J1079" s="444">
        <f t="array" ref="J1079">IFERROR(INDEX('Retirement Calculator'!J:J,MATCH('Isaac 401k'!N1079,'Retirement Calculator'!A:A,0),0),0)</f>
        <v>7896.2379798201846</v>
      </c>
      <c r="K1079" s="444">
        <f t="shared" ca="1" si="105"/>
        <v>8406.9613289861918</v>
      </c>
      <c r="L1079" s="444">
        <f t="shared" ca="1" si="106"/>
        <v>2026077.6802856722</v>
      </c>
      <c r="M1079" s="460">
        <f t="shared" si="109"/>
        <v>0.05</v>
      </c>
      <c r="N1079" s="464">
        <f t="shared" si="110"/>
        <v>83886</v>
      </c>
    </row>
    <row r="1080" spans="7:14" ht="11.25" customHeight="1" x14ac:dyDescent="0.3">
      <c r="G1080" s="459">
        <f t="shared" si="114"/>
        <v>90</v>
      </c>
      <c r="H1080" s="459">
        <v>1073</v>
      </c>
      <c r="I1080" s="444">
        <f t="shared" ca="1" si="108"/>
        <v>2026077.6802856722</v>
      </c>
      <c r="J1080" s="444">
        <f t="array" ref="J1080">IFERROR(INDEX('Retirement Calculator'!J:J,MATCH('Isaac 401k'!N1080,'Retirement Calculator'!A:A,0),0),0)</f>
        <v>7896.2379798201846</v>
      </c>
      <c r="K1080" s="444">
        <f t="shared" ca="1" si="105"/>
        <v>8409.089342941048</v>
      </c>
      <c r="L1080" s="444">
        <f t="shared" ca="1" si="106"/>
        <v>2026590.531648793</v>
      </c>
      <c r="M1080" s="460">
        <f t="shared" si="109"/>
        <v>0.05</v>
      </c>
      <c r="N1080" s="464">
        <f t="shared" si="110"/>
        <v>83916</v>
      </c>
    </row>
    <row r="1081" spans="7:14" ht="11.25" customHeight="1" x14ac:dyDescent="0.3">
      <c r="G1081" s="459">
        <f t="shared" si="114"/>
        <v>90</v>
      </c>
      <c r="H1081" s="459">
        <v>1074</v>
      </c>
      <c r="I1081" s="444">
        <f t="shared" ca="1" si="108"/>
        <v>2026590.531648793</v>
      </c>
      <c r="J1081" s="444">
        <f t="array" ref="J1081">IFERROR(INDEX('Retirement Calculator'!J:J,MATCH('Isaac 401k'!N1081,'Retirement Calculator'!A:A,0),0),0)</f>
        <v>7896.2379798201846</v>
      </c>
      <c r="K1081" s="444">
        <f t="shared" ca="1" si="105"/>
        <v>8411.2262236207207</v>
      </c>
      <c r="L1081" s="444">
        <f t="shared" ca="1" si="106"/>
        <v>2027105.5198925936</v>
      </c>
      <c r="M1081" s="460">
        <f t="shared" si="109"/>
        <v>0.05</v>
      </c>
      <c r="N1081" s="464">
        <f t="shared" si="110"/>
        <v>83947</v>
      </c>
    </row>
    <row r="1082" spans="7:14" ht="11.25" customHeight="1" x14ac:dyDescent="0.3">
      <c r="G1082" s="459">
        <f t="shared" si="114"/>
        <v>90</v>
      </c>
      <c r="H1082" s="459">
        <v>1075</v>
      </c>
      <c r="I1082" s="444">
        <f t="shared" ca="1" si="108"/>
        <v>2027105.5198925936</v>
      </c>
      <c r="J1082" s="444">
        <f t="array" ref="J1082">IFERROR(INDEX('Retirement Calculator'!J:J,MATCH('Isaac 401k'!N1082,'Retirement Calculator'!A:A,0),0),0)</f>
        <v>7896.2379798201846</v>
      </c>
      <c r="K1082" s="444">
        <f t="shared" ca="1" si="105"/>
        <v>8413.3720079698887</v>
      </c>
      <c r="L1082" s="444">
        <f t="shared" ca="1" si="106"/>
        <v>2027622.6539207434</v>
      </c>
      <c r="M1082" s="460">
        <f t="shared" si="109"/>
        <v>0.05</v>
      </c>
      <c r="N1082" s="464">
        <f t="shared" si="110"/>
        <v>83977</v>
      </c>
    </row>
    <row r="1083" spans="7:14" ht="11.25" customHeight="1" x14ac:dyDescent="0.3">
      <c r="G1083" s="459">
        <f t="shared" si="114"/>
        <v>90</v>
      </c>
      <c r="H1083" s="459">
        <v>1076</v>
      </c>
      <c r="I1083" s="444">
        <f t="shared" ca="1" si="108"/>
        <v>2027622.6539207434</v>
      </c>
      <c r="J1083" s="444">
        <f t="array" ref="J1083">IFERROR(INDEX('Retirement Calculator'!J:J,MATCH('Isaac 401k'!N1083,'Retirement Calculator'!A:A,0),0),0)</f>
        <v>7896.2379798201846</v>
      </c>
      <c r="K1083" s="444">
        <f t="shared" ca="1" si="105"/>
        <v>8415.5267330871811</v>
      </c>
      <c r="L1083" s="444">
        <f t="shared" ca="1" si="106"/>
        <v>2028141.9426740103</v>
      </c>
      <c r="M1083" s="460">
        <f t="shared" si="109"/>
        <v>0.05</v>
      </c>
      <c r="N1083" s="464">
        <f t="shared" si="110"/>
        <v>84008</v>
      </c>
    </row>
    <row r="1084" spans="7:14" ht="11.25" customHeight="1" x14ac:dyDescent="0.3">
      <c r="G1084" s="459">
        <f t="shared" si="114"/>
        <v>90</v>
      </c>
      <c r="H1084" s="459">
        <v>1077</v>
      </c>
      <c r="I1084" s="444">
        <f t="shared" ca="1" si="108"/>
        <v>2028141.9426740103</v>
      </c>
      <c r="J1084" s="444">
        <f t="array" ref="J1084">IFERROR(INDEX('Retirement Calculator'!J:J,MATCH('Isaac 401k'!N1084,'Retirement Calculator'!A:A,0),0),0)</f>
        <v>7896.2379798201846</v>
      </c>
      <c r="K1084" s="444">
        <f t="shared" ca="1" si="105"/>
        <v>8417.6904362257901</v>
      </c>
      <c r="L1084" s="444">
        <f t="shared" ca="1" si="106"/>
        <v>2028663.3951304159</v>
      </c>
      <c r="M1084" s="460">
        <f t="shared" si="109"/>
        <v>0.05</v>
      </c>
      <c r="N1084" s="464">
        <f t="shared" si="110"/>
        <v>84039</v>
      </c>
    </row>
    <row r="1085" spans="7:14" ht="11.25" customHeight="1" x14ac:dyDescent="0.3">
      <c r="G1085" s="459">
        <f t="shared" si="114"/>
        <v>90</v>
      </c>
      <c r="H1085" s="459">
        <v>1078</v>
      </c>
      <c r="I1085" s="444">
        <f t="shared" ca="1" si="108"/>
        <v>2028663.3951304159</v>
      </c>
      <c r="J1085" s="444">
        <f t="array" ref="J1085">IFERROR(INDEX('Retirement Calculator'!J:J,MATCH('Isaac 401k'!N1085,'Retirement Calculator'!A:A,0),0),0)</f>
        <v>7896.2379798201846</v>
      </c>
      <c r="K1085" s="444">
        <f t="shared" ca="1" si="105"/>
        <v>8419.8631547941477</v>
      </c>
      <c r="L1085" s="444">
        <f t="shared" ca="1" si="106"/>
        <v>2029187.0203053898</v>
      </c>
      <c r="M1085" s="460">
        <f t="shared" si="109"/>
        <v>0.05</v>
      </c>
      <c r="N1085" s="464">
        <f t="shared" si="110"/>
        <v>84067</v>
      </c>
    </row>
    <row r="1086" spans="7:14" ht="11.25" customHeight="1" x14ac:dyDescent="0.3">
      <c r="G1086" s="459">
        <f t="shared" si="114"/>
        <v>90</v>
      </c>
      <c r="H1086" s="459">
        <v>1079</v>
      </c>
      <c r="I1086" s="444">
        <f t="shared" ca="1" si="108"/>
        <v>2029187.0203053898</v>
      </c>
      <c r="J1086" s="444">
        <f t="array" ref="J1086">IFERROR(INDEX('Retirement Calculator'!J:J,MATCH('Isaac 401k'!N1086,'Retirement Calculator'!A:A,0),0),0)</f>
        <v>7896.2379798201846</v>
      </c>
      <c r="K1086" s="444">
        <f t="shared" ca="1" si="105"/>
        <v>8422.0449263565388</v>
      </c>
      <c r="L1086" s="444">
        <f t="shared" ca="1" si="106"/>
        <v>2029712.8272519261</v>
      </c>
      <c r="M1086" s="460">
        <f t="shared" si="109"/>
        <v>0.05</v>
      </c>
      <c r="N1086" s="464">
        <f t="shared" si="110"/>
        <v>84098</v>
      </c>
    </row>
    <row r="1087" spans="7:14" ht="11.25" customHeight="1" x14ac:dyDescent="0.3">
      <c r="G1087" s="459">
        <f t="shared" si="114"/>
        <v>90</v>
      </c>
      <c r="H1087" s="459">
        <v>1080</v>
      </c>
      <c r="I1087" s="444">
        <f t="shared" ca="1" si="108"/>
        <v>2029712.8272519261</v>
      </c>
      <c r="J1087" s="444">
        <f t="array" ref="J1087">IFERROR(INDEX('Retirement Calculator'!J:J,MATCH('Isaac 401k'!N1087,'Retirement Calculator'!A:A,0),0),0)</f>
        <v>7896.2379798201846</v>
      </c>
      <c r="K1087" s="444">
        <f t="shared" ca="1" si="105"/>
        <v>8424.2357886337741</v>
      </c>
      <c r="L1087" s="444">
        <f t="shared" ca="1" si="106"/>
        <v>2030240.8250607396</v>
      </c>
      <c r="M1087" s="460">
        <f t="shared" si="109"/>
        <v>0.05</v>
      </c>
      <c r="N1087" s="464">
        <f t="shared" si="110"/>
        <v>84128</v>
      </c>
    </row>
    <row r="1088" spans="7:14" ht="11.25" customHeight="1" x14ac:dyDescent="0.3">
      <c r="G1088" s="459">
        <f>G1087+1</f>
        <v>91</v>
      </c>
      <c r="H1088" s="459">
        <v>1081</v>
      </c>
      <c r="I1088" s="444">
        <f t="shared" ca="1" si="108"/>
        <v>2030240.8250607396</v>
      </c>
      <c r="J1088" s="444">
        <f t="array" ref="J1088">IFERROR(INDEX('Retirement Calculator'!J:J,MATCH('Isaac 401k'!N1088,'Retirement Calculator'!A:A,0),0),0)</f>
        <v>7896.2379798201846</v>
      </c>
      <c r="K1088" s="444">
        <f t="shared" ca="1" si="105"/>
        <v>8426.4357795038304</v>
      </c>
      <c r="L1088" s="444">
        <f t="shared" ca="1" si="106"/>
        <v>2030771.0228604232</v>
      </c>
      <c r="M1088" s="460">
        <f t="shared" si="109"/>
        <v>0.05</v>
      </c>
      <c r="N1088" s="464">
        <f t="shared" si="110"/>
        <v>84159</v>
      </c>
    </row>
    <row r="1089" spans="7:14" ht="11.25" customHeight="1" x14ac:dyDescent="0.3">
      <c r="G1089" s="459">
        <f t="shared" ref="G1089:G1099" si="115">G1088</f>
        <v>91</v>
      </c>
      <c r="H1089" s="459">
        <v>1082</v>
      </c>
      <c r="I1089" s="444">
        <f t="shared" ca="1" si="108"/>
        <v>2030771.0228604232</v>
      </c>
      <c r="J1089" s="444">
        <f t="array" ref="J1089">IFERROR(INDEX('Retirement Calculator'!J:J,MATCH('Isaac 401k'!N1089,'Retirement Calculator'!A:A,0),0),0)</f>
        <v>7896.2379798201846</v>
      </c>
      <c r="K1089" s="444">
        <f t="shared" ca="1" si="105"/>
        <v>8428.644937002513</v>
      </c>
      <c r="L1089" s="444">
        <f t="shared" ca="1" si="106"/>
        <v>2031303.4298176055</v>
      </c>
      <c r="M1089" s="460">
        <f t="shared" si="109"/>
        <v>0.05</v>
      </c>
      <c r="N1089" s="464">
        <f t="shared" si="110"/>
        <v>84189</v>
      </c>
    </row>
    <row r="1090" spans="7:14" ht="11.25" customHeight="1" x14ac:dyDescent="0.3">
      <c r="G1090" s="459">
        <f t="shared" si="115"/>
        <v>91</v>
      </c>
      <c r="H1090" s="459">
        <v>1083</v>
      </c>
      <c r="I1090" s="444">
        <f t="shared" ca="1" si="108"/>
        <v>2031303.4298176055</v>
      </c>
      <c r="J1090" s="444">
        <f t="array" ref="J1090">IFERROR(INDEX('Retirement Calculator'!J:J,MATCH('Isaac 401k'!N1090,'Retirement Calculator'!A:A,0),0),0)</f>
        <v>7896.2379798201846</v>
      </c>
      <c r="K1090" s="444">
        <f t="shared" ca="1" si="105"/>
        <v>8430.8632993241044</v>
      </c>
      <c r="L1090" s="444">
        <f t="shared" ca="1" si="106"/>
        <v>2031838.0551371095</v>
      </c>
      <c r="M1090" s="460">
        <f t="shared" si="109"/>
        <v>0.05</v>
      </c>
      <c r="N1090" s="464">
        <f t="shared" si="110"/>
        <v>84220</v>
      </c>
    </row>
    <row r="1091" spans="7:14" ht="11.25" customHeight="1" x14ac:dyDescent="0.3">
      <c r="G1091" s="459">
        <f t="shared" si="115"/>
        <v>91</v>
      </c>
      <c r="H1091" s="459">
        <v>1084</v>
      </c>
      <c r="I1091" s="444">
        <f t="shared" ca="1" si="108"/>
        <v>2031838.0551371095</v>
      </c>
      <c r="J1091" s="444">
        <f t="array" ref="J1091">IFERROR(INDEX('Retirement Calculator'!J:J,MATCH('Isaac 401k'!N1091,'Retirement Calculator'!A:A,0),0),0)</f>
        <v>7896.2379798201846</v>
      </c>
      <c r="K1091" s="444">
        <f t="shared" ca="1" si="105"/>
        <v>8433.0909048220383</v>
      </c>
      <c r="L1091" s="444">
        <f t="shared" ca="1" si="106"/>
        <v>2032374.9080621114</v>
      </c>
      <c r="M1091" s="460">
        <f t="shared" si="109"/>
        <v>0.05</v>
      </c>
      <c r="N1091" s="464">
        <f t="shared" si="110"/>
        <v>84251</v>
      </c>
    </row>
    <row r="1092" spans="7:14" ht="11.25" customHeight="1" x14ac:dyDescent="0.3">
      <c r="G1092" s="459">
        <f t="shared" si="115"/>
        <v>91</v>
      </c>
      <c r="H1092" s="459">
        <v>1085</v>
      </c>
      <c r="I1092" s="444">
        <f t="shared" ca="1" si="108"/>
        <v>2032374.9080621114</v>
      </c>
      <c r="J1092" s="444">
        <f t="array" ref="J1092">IFERROR(INDEX('Retirement Calculator'!J:J,MATCH('Isaac 401k'!N1092,'Retirement Calculator'!A:A,0),0),0)</f>
        <v>7896.2379798201846</v>
      </c>
      <c r="K1092" s="444">
        <f t="shared" ca="1" si="105"/>
        <v>8435.3277920095479</v>
      </c>
      <c r="L1092" s="444">
        <f t="shared" ca="1" si="106"/>
        <v>2032913.9978743007</v>
      </c>
      <c r="M1092" s="460">
        <f t="shared" si="109"/>
        <v>0.05</v>
      </c>
      <c r="N1092" s="464">
        <f t="shared" si="110"/>
        <v>84281</v>
      </c>
    </row>
    <row r="1093" spans="7:14" ht="11.25" customHeight="1" x14ac:dyDescent="0.3">
      <c r="G1093" s="459">
        <f t="shared" si="115"/>
        <v>91</v>
      </c>
      <c r="H1093" s="459">
        <v>1086</v>
      </c>
      <c r="I1093" s="444">
        <f t="shared" ca="1" si="108"/>
        <v>2032913.9978743007</v>
      </c>
      <c r="J1093" s="444">
        <f t="array" ref="J1093">IFERROR(INDEX('Retirement Calculator'!J:J,MATCH('Isaac 401k'!N1093,'Retirement Calculator'!A:A,0),0),0)</f>
        <v>7896.2379798201846</v>
      </c>
      <c r="K1093" s="444">
        <f t="shared" ca="1" si="105"/>
        <v>8437.5739995603344</v>
      </c>
      <c r="L1093" s="444">
        <f t="shared" ca="1" si="106"/>
        <v>2033455.3338940409</v>
      </c>
      <c r="M1093" s="460">
        <f t="shared" si="109"/>
        <v>0.05</v>
      </c>
      <c r="N1093" s="464">
        <f t="shared" si="110"/>
        <v>84312</v>
      </c>
    </row>
    <row r="1094" spans="7:14" ht="11.25" customHeight="1" x14ac:dyDescent="0.3">
      <c r="G1094" s="459">
        <f t="shared" si="115"/>
        <v>91</v>
      </c>
      <c r="H1094" s="459">
        <v>1087</v>
      </c>
      <c r="I1094" s="444">
        <f t="shared" ca="1" si="108"/>
        <v>2033455.3338940409</v>
      </c>
      <c r="J1094" s="444">
        <f t="array" ref="J1094">IFERROR(INDEX('Retirement Calculator'!J:J,MATCH('Isaac 401k'!N1094,'Retirement Calculator'!A:A,0),0),0)</f>
        <v>7896.2379798201846</v>
      </c>
      <c r="K1094" s="444">
        <f t="shared" ca="1" si="105"/>
        <v>8439.8295663092522</v>
      </c>
      <c r="L1094" s="444">
        <f t="shared" ca="1" si="106"/>
        <v>2033998.9254805299</v>
      </c>
      <c r="M1094" s="460">
        <f t="shared" si="109"/>
        <v>0.05</v>
      </c>
      <c r="N1094" s="464">
        <f t="shared" si="110"/>
        <v>84342</v>
      </c>
    </row>
    <row r="1095" spans="7:14" ht="11.25" customHeight="1" x14ac:dyDescent="0.3">
      <c r="G1095" s="459">
        <f t="shared" si="115"/>
        <v>91</v>
      </c>
      <c r="H1095" s="459">
        <v>1088</v>
      </c>
      <c r="I1095" s="444">
        <f t="shared" ca="1" si="108"/>
        <v>2033998.9254805299</v>
      </c>
      <c r="J1095" s="444">
        <f t="array" ref="J1095">IFERROR(INDEX('Retirement Calculator'!J:J,MATCH('Isaac 401k'!N1095,'Retirement Calculator'!A:A,0),0),0)</f>
        <v>7896.2379798201846</v>
      </c>
      <c r="K1095" s="444">
        <f t="shared" ca="1" si="105"/>
        <v>8442.0945312529566</v>
      </c>
      <c r="L1095" s="444">
        <f t="shared" ca="1" si="106"/>
        <v>2034544.7820319626</v>
      </c>
      <c r="M1095" s="460">
        <f t="shared" si="109"/>
        <v>0.05</v>
      </c>
      <c r="N1095" s="464">
        <f t="shared" si="110"/>
        <v>84373</v>
      </c>
    </row>
    <row r="1096" spans="7:14" ht="11.25" customHeight="1" x14ac:dyDescent="0.3">
      <c r="G1096" s="459">
        <f t="shared" si="115"/>
        <v>91</v>
      </c>
      <c r="H1096" s="459">
        <v>1089</v>
      </c>
      <c r="I1096" s="444">
        <f t="shared" ca="1" si="108"/>
        <v>2034544.7820319626</v>
      </c>
      <c r="J1096" s="444">
        <f t="array" ref="J1096">IFERROR(INDEX('Retirement Calculator'!J:J,MATCH('Isaac 401k'!N1096,'Retirement Calculator'!A:A,0),0),0)</f>
        <v>7896.2379798201846</v>
      </c>
      <c r="K1096" s="444">
        <f t="shared" ca="1" si="105"/>
        <v>8444.3689335505933</v>
      </c>
      <c r="L1096" s="444">
        <f t="shared" ca="1" si="106"/>
        <v>2035092.912985693</v>
      </c>
      <c r="M1096" s="460">
        <f t="shared" si="109"/>
        <v>0.05</v>
      </c>
      <c r="N1096" s="464">
        <f t="shared" si="110"/>
        <v>84404</v>
      </c>
    </row>
    <row r="1097" spans="7:14" ht="11.25" customHeight="1" x14ac:dyDescent="0.3">
      <c r="G1097" s="459">
        <f t="shared" si="115"/>
        <v>91</v>
      </c>
      <c r="H1097" s="459">
        <v>1090</v>
      </c>
      <c r="I1097" s="444">
        <f t="shared" ca="1" si="108"/>
        <v>2035092.912985693</v>
      </c>
      <c r="J1097" s="444">
        <f t="array" ref="J1097">IFERROR(INDEX('Retirement Calculator'!J:J,MATCH('Isaac 401k'!N1097,'Retirement Calculator'!A:A,0),0),0)</f>
        <v>7896.2379798201846</v>
      </c>
      <c r="K1097" s="444">
        <f t="shared" ca="1" si="105"/>
        <v>8446.6528125244695</v>
      </c>
      <c r="L1097" s="444">
        <f t="shared" ca="1" si="106"/>
        <v>2035643.3278183972</v>
      </c>
      <c r="M1097" s="460">
        <f t="shared" si="109"/>
        <v>0.05</v>
      </c>
      <c r="N1097" s="464">
        <f t="shared" si="110"/>
        <v>84432</v>
      </c>
    </row>
    <row r="1098" spans="7:14" ht="11.25" customHeight="1" x14ac:dyDescent="0.3">
      <c r="G1098" s="459">
        <f t="shared" si="115"/>
        <v>91</v>
      </c>
      <c r="H1098" s="459">
        <v>1091</v>
      </c>
      <c r="I1098" s="444">
        <f t="shared" ca="1" si="108"/>
        <v>2035643.3278183972</v>
      </c>
      <c r="J1098" s="444">
        <f t="array" ref="J1098">IFERROR(INDEX('Retirement Calculator'!J:J,MATCH('Isaac 401k'!N1098,'Retirement Calculator'!A:A,0),0),0)</f>
        <v>7896.2379798201846</v>
      </c>
      <c r="K1098" s="444">
        <f t="shared" ca="1" si="105"/>
        <v>8448.9462076607379</v>
      </c>
      <c r="L1098" s="444">
        <f t="shared" ca="1" si="106"/>
        <v>2036196.0360462377</v>
      </c>
      <c r="M1098" s="460">
        <f t="shared" si="109"/>
        <v>0.05</v>
      </c>
      <c r="N1098" s="464">
        <f t="shared" si="110"/>
        <v>84463</v>
      </c>
    </row>
    <row r="1099" spans="7:14" ht="11.25" customHeight="1" x14ac:dyDescent="0.3">
      <c r="G1099" s="459">
        <f t="shared" si="115"/>
        <v>91</v>
      </c>
      <c r="H1099" s="459">
        <v>1092</v>
      </c>
      <c r="I1099" s="444">
        <f t="shared" ca="1" si="108"/>
        <v>2036196.0360462377</v>
      </c>
      <c r="J1099" s="444">
        <f t="array" ref="J1099">IFERROR(INDEX('Retirement Calculator'!J:J,MATCH('Isaac 401k'!N1099,'Retirement Calculator'!A:A,0),0),0)</f>
        <v>7896.2379798201846</v>
      </c>
      <c r="K1099" s="444">
        <f t="shared" ca="1" si="105"/>
        <v>8451.2491586100732</v>
      </c>
      <c r="L1099" s="444">
        <f t="shared" ca="1" si="106"/>
        <v>2036751.0472250276</v>
      </c>
      <c r="M1099" s="460">
        <f t="shared" si="109"/>
        <v>0.05</v>
      </c>
      <c r="N1099" s="464">
        <f t="shared" si="110"/>
        <v>84493</v>
      </c>
    </row>
    <row r="1100" spans="7:14" ht="11.25" customHeight="1" x14ac:dyDescent="0.3">
      <c r="G1100" s="459">
        <f>G1099+1</f>
        <v>92</v>
      </c>
      <c r="H1100" s="459">
        <v>1093</v>
      </c>
      <c r="I1100" s="444">
        <f t="shared" ca="1" si="108"/>
        <v>2036751.0472250276</v>
      </c>
      <c r="J1100" s="444">
        <f t="array" ref="J1100">IFERROR(INDEX('Retirement Calculator'!J:J,MATCH('Isaac 401k'!N1100,'Retirement Calculator'!A:A,0),0),0)</f>
        <v>7896.2379798201846</v>
      </c>
      <c r="K1100" s="444">
        <f t="shared" ca="1" si="105"/>
        <v>8453.5617051883655</v>
      </c>
      <c r="L1100" s="444">
        <f t="shared" ca="1" si="106"/>
        <v>2037308.3709503957</v>
      </c>
      <c r="M1100" s="460">
        <f t="shared" si="109"/>
        <v>0.05</v>
      </c>
      <c r="N1100" s="464">
        <f t="shared" si="110"/>
        <v>84524</v>
      </c>
    </row>
    <row r="1101" spans="7:14" ht="11.25" customHeight="1" x14ac:dyDescent="0.3">
      <c r="G1101" s="459">
        <f t="shared" ref="G1101:G1111" si="116">G1100</f>
        <v>92</v>
      </c>
      <c r="H1101" s="459">
        <v>1094</v>
      </c>
      <c r="I1101" s="444">
        <f t="shared" ca="1" si="108"/>
        <v>2037308.3709503957</v>
      </c>
      <c r="J1101" s="444">
        <f t="array" ref="J1101">IFERROR(INDEX('Retirement Calculator'!J:J,MATCH('Isaac 401k'!N1101,'Retirement Calculator'!A:A,0),0),0)</f>
        <v>7896.2379798201846</v>
      </c>
      <c r="K1101" s="444">
        <f t="shared" ca="1" si="105"/>
        <v>8455.8838873773966</v>
      </c>
      <c r="L1101" s="444">
        <f t="shared" ca="1" si="106"/>
        <v>2037868.0168579528</v>
      </c>
      <c r="M1101" s="460">
        <f t="shared" si="109"/>
        <v>0.05</v>
      </c>
      <c r="N1101" s="464">
        <f t="shared" si="110"/>
        <v>84554</v>
      </c>
    </row>
    <row r="1102" spans="7:14" ht="11.25" customHeight="1" x14ac:dyDescent="0.3">
      <c r="G1102" s="459">
        <f t="shared" si="116"/>
        <v>92</v>
      </c>
      <c r="H1102" s="459">
        <v>1095</v>
      </c>
      <c r="I1102" s="444">
        <f t="shared" ca="1" si="108"/>
        <v>2037868.0168579528</v>
      </c>
      <c r="J1102" s="444">
        <f t="array" ref="J1102">IFERROR(INDEX('Retirement Calculator'!J:J,MATCH('Isaac 401k'!N1102,'Retirement Calculator'!A:A,0),0),0)</f>
        <v>7896.2379798201846</v>
      </c>
      <c r="K1102" s="444">
        <f t="shared" ca="1" si="105"/>
        <v>8458.2157453255531</v>
      </c>
      <c r="L1102" s="444">
        <f t="shared" ca="1" si="106"/>
        <v>2038429.9946234582</v>
      </c>
      <c r="M1102" s="460">
        <f t="shared" si="109"/>
        <v>0.05</v>
      </c>
      <c r="N1102" s="464">
        <f t="shared" si="110"/>
        <v>84585</v>
      </c>
    </row>
    <row r="1103" spans="7:14" ht="11.25" customHeight="1" x14ac:dyDescent="0.3">
      <c r="G1103" s="459">
        <f t="shared" si="116"/>
        <v>92</v>
      </c>
      <c r="H1103" s="459">
        <v>1096</v>
      </c>
      <c r="I1103" s="444">
        <f t="shared" ca="1" si="108"/>
        <v>2038429.9946234582</v>
      </c>
      <c r="J1103" s="444">
        <f t="array" ref="J1103">IFERROR(INDEX('Retirement Calculator'!J:J,MATCH('Isaac 401k'!N1103,'Retirement Calculator'!A:A,0),0),0)</f>
        <v>7896.2379798201846</v>
      </c>
      <c r="K1103" s="444">
        <f t="shared" ca="1" si="105"/>
        <v>8460.5573193484906</v>
      </c>
      <c r="L1103" s="444">
        <f t="shared" ca="1" si="106"/>
        <v>2038994.3139629865</v>
      </c>
      <c r="M1103" s="460">
        <f t="shared" si="109"/>
        <v>0.05</v>
      </c>
      <c r="N1103" s="464">
        <f t="shared" si="110"/>
        <v>84616</v>
      </c>
    </row>
    <row r="1104" spans="7:14" ht="11.25" customHeight="1" x14ac:dyDescent="0.3">
      <c r="G1104" s="459">
        <f t="shared" si="116"/>
        <v>92</v>
      </c>
      <c r="H1104" s="459">
        <v>1097</v>
      </c>
      <c r="I1104" s="444">
        <f t="shared" ca="1" si="108"/>
        <v>2038994.3139629865</v>
      </c>
      <c r="J1104" s="444">
        <f t="array" ref="J1104">IFERROR(INDEX('Retirement Calculator'!J:J,MATCH('Isaac 401k'!N1104,'Retirement Calculator'!A:A,0),0),0)</f>
        <v>7896.2379798201846</v>
      </c>
      <c r="K1104" s="444">
        <f t="shared" ca="1" si="105"/>
        <v>8462.9086499298573</v>
      </c>
      <c r="L1104" s="444">
        <f t="shared" ca="1" si="106"/>
        <v>2039560.984633096</v>
      </c>
      <c r="M1104" s="460">
        <f t="shared" si="109"/>
        <v>0.05</v>
      </c>
      <c r="N1104" s="464">
        <f t="shared" si="110"/>
        <v>84646</v>
      </c>
    </row>
    <row r="1105" spans="7:14" ht="11.25" customHeight="1" x14ac:dyDescent="0.3">
      <c r="G1105" s="459">
        <f t="shared" si="116"/>
        <v>92</v>
      </c>
      <c r="H1105" s="459">
        <v>1098</v>
      </c>
      <c r="I1105" s="444">
        <f t="shared" ca="1" si="108"/>
        <v>2039560.984633096</v>
      </c>
      <c r="J1105" s="444">
        <f t="array" ref="J1105">IFERROR(INDEX('Retirement Calculator'!J:J,MATCH('Isaac 401k'!N1105,'Retirement Calculator'!A:A,0),0),0)</f>
        <v>7896.2379798201846</v>
      </c>
      <c r="K1105" s="444">
        <f t="shared" ca="1" si="105"/>
        <v>8465.2697777219819</v>
      </c>
      <c r="L1105" s="444">
        <f t="shared" ca="1" si="106"/>
        <v>2040130.0164309978</v>
      </c>
      <c r="M1105" s="460">
        <f t="shared" si="109"/>
        <v>0.05</v>
      </c>
      <c r="N1105" s="464">
        <f t="shared" si="110"/>
        <v>84677</v>
      </c>
    </row>
    <row r="1106" spans="7:14" ht="11.25" customHeight="1" x14ac:dyDescent="0.3">
      <c r="G1106" s="459">
        <f t="shared" si="116"/>
        <v>92</v>
      </c>
      <c r="H1106" s="459">
        <v>1099</v>
      </c>
      <c r="I1106" s="444">
        <f t="shared" ca="1" si="108"/>
        <v>2040130.0164309978</v>
      </c>
      <c r="J1106" s="444">
        <f t="array" ref="J1106">IFERROR(INDEX('Retirement Calculator'!J:J,MATCH('Isaac 401k'!N1106,'Retirement Calculator'!A:A,0),0),0)</f>
        <v>7896.2379798201846</v>
      </c>
      <c r="K1106" s="444">
        <f t="shared" ca="1" si="105"/>
        <v>8467.6407435465735</v>
      </c>
      <c r="L1106" s="444">
        <f t="shared" ca="1" si="106"/>
        <v>2040701.4191947242</v>
      </c>
      <c r="M1106" s="460">
        <f t="shared" si="109"/>
        <v>0.05</v>
      </c>
      <c r="N1106" s="464">
        <f t="shared" si="110"/>
        <v>84707</v>
      </c>
    </row>
    <row r="1107" spans="7:14" ht="11.25" customHeight="1" x14ac:dyDescent="0.3">
      <c r="G1107" s="459">
        <f t="shared" si="116"/>
        <v>92</v>
      </c>
      <c r="H1107" s="459">
        <v>1100</v>
      </c>
      <c r="I1107" s="444">
        <f t="shared" ca="1" si="108"/>
        <v>2040701.4191947242</v>
      </c>
      <c r="J1107" s="444">
        <f t="array" ref="J1107">IFERROR(INDEX('Retirement Calculator'!J:J,MATCH('Isaac 401k'!N1107,'Retirement Calculator'!A:A,0),0),0)</f>
        <v>7896.2379798201846</v>
      </c>
      <c r="K1107" s="444">
        <f t="shared" ca="1" si="105"/>
        <v>8470.0215883954334</v>
      </c>
      <c r="L1107" s="444">
        <f t="shared" ca="1" si="106"/>
        <v>2041275.2028032993</v>
      </c>
      <c r="M1107" s="460">
        <f t="shared" si="109"/>
        <v>0.05</v>
      </c>
      <c r="N1107" s="464">
        <f t="shared" si="110"/>
        <v>84738</v>
      </c>
    </row>
    <row r="1108" spans="7:14" ht="11.25" customHeight="1" x14ac:dyDescent="0.3">
      <c r="G1108" s="459">
        <f t="shared" si="116"/>
        <v>92</v>
      </c>
      <c r="H1108" s="459">
        <v>1101</v>
      </c>
      <c r="I1108" s="444">
        <f t="shared" ca="1" si="108"/>
        <v>2041275.2028032993</v>
      </c>
      <c r="J1108" s="444">
        <f t="array" ref="J1108">IFERROR(INDEX('Retirement Calculator'!J:J,MATCH('Isaac 401k'!N1108,'Retirement Calculator'!A:A,0),0),0)</f>
        <v>7896.2379798201846</v>
      </c>
      <c r="K1108" s="444">
        <f t="shared" ca="1" si="105"/>
        <v>8472.4123534311639</v>
      </c>
      <c r="L1108" s="444">
        <f t="shared" ca="1" si="106"/>
        <v>2041851.3771769102</v>
      </c>
      <c r="M1108" s="460">
        <f t="shared" si="109"/>
        <v>0.05</v>
      </c>
      <c r="N1108" s="464">
        <f t="shared" si="110"/>
        <v>84769</v>
      </c>
    </row>
    <row r="1109" spans="7:14" ht="11.25" customHeight="1" x14ac:dyDescent="0.3">
      <c r="G1109" s="459">
        <f t="shared" si="116"/>
        <v>92</v>
      </c>
      <c r="H1109" s="459">
        <v>1102</v>
      </c>
      <c r="I1109" s="444">
        <f t="shared" ca="1" si="108"/>
        <v>2041851.3771769102</v>
      </c>
      <c r="J1109" s="444">
        <f t="array" ref="J1109">IFERROR(INDEX('Retirement Calculator'!J:J,MATCH('Isaac 401k'!N1109,'Retirement Calculator'!A:A,0),0),0)</f>
        <v>7896.2379798201846</v>
      </c>
      <c r="K1109" s="444">
        <f t="shared" ca="1" si="105"/>
        <v>8474.8130799878745</v>
      </c>
      <c r="L1109" s="444">
        <f t="shared" ca="1" si="106"/>
        <v>2042429.9522770778</v>
      </c>
      <c r="M1109" s="460">
        <f t="shared" si="109"/>
        <v>0.05</v>
      </c>
      <c r="N1109" s="464">
        <f t="shared" si="110"/>
        <v>84798</v>
      </c>
    </row>
    <row r="1110" spans="7:14" ht="11.25" customHeight="1" x14ac:dyDescent="0.3">
      <c r="G1110" s="459">
        <f t="shared" si="116"/>
        <v>92</v>
      </c>
      <c r="H1110" s="459">
        <v>1103</v>
      </c>
      <c r="I1110" s="444">
        <f t="shared" ca="1" si="108"/>
        <v>2042429.9522770778</v>
      </c>
      <c r="J1110" s="444">
        <f t="array" ref="J1110">IFERROR(INDEX('Retirement Calculator'!J:J,MATCH('Isaac 401k'!N1110,'Retirement Calculator'!A:A,0),0),0)</f>
        <v>7896.2379798201846</v>
      </c>
      <c r="K1110" s="444">
        <f t="shared" ca="1" si="105"/>
        <v>8477.2238095719058</v>
      </c>
      <c r="L1110" s="444">
        <f t="shared" ca="1" si="106"/>
        <v>2043010.9381068295</v>
      </c>
      <c r="M1110" s="460">
        <f t="shared" si="109"/>
        <v>0.05</v>
      </c>
      <c r="N1110" s="464">
        <f t="shared" si="110"/>
        <v>84829</v>
      </c>
    </row>
    <row r="1111" spans="7:14" ht="11.25" customHeight="1" x14ac:dyDescent="0.3">
      <c r="G1111" s="459">
        <f t="shared" si="116"/>
        <v>92</v>
      </c>
      <c r="H1111" s="459">
        <v>1104</v>
      </c>
      <c r="I1111" s="444">
        <f t="shared" ca="1" si="108"/>
        <v>2043010.9381068295</v>
      </c>
      <c r="J1111" s="444">
        <f t="array" ref="J1111">IFERROR(INDEX('Retirement Calculator'!J:J,MATCH('Isaac 401k'!N1111,'Retirement Calculator'!A:A,0),0),0)</f>
        <v>7896.2379798201846</v>
      </c>
      <c r="K1111" s="444">
        <f t="shared" ca="1" si="105"/>
        <v>8479.6445838625405</v>
      </c>
      <c r="L1111" s="444">
        <f t="shared" ca="1" si="106"/>
        <v>2043594.3447108718</v>
      </c>
      <c r="M1111" s="460">
        <f t="shared" si="109"/>
        <v>0.05</v>
      </c>
      <c r="N1111" s="464">
        <f t="shared" si="110"/>
        <v>84859</v>
      </c>
    </row>
    <row r="1112" spans="7:14" ht="11.25" customHeight="1" x14ac:dyDescent="0.3">
      <c r="G1112" s="459">
        <f>G1111+1</f>
        <v>93</v>
      </c>
      <c r="H1112" s="459">
        <v>1105</v>
      </c>
      <c r="I1112" s="444">
        <f t="shared" ca="1" si="108"/>
        <v>2043594.3447108718</v>
      </c>
      <c r="J1112" s="444">
        <f t="array" ref="J1112">IFERROR(INDEX('Retirement Calculator'!J:J,MATCH('Isaac 401k'!N1112,'Retirement Calculator'!A:A,0),0),0)</f>
        <v>7896.2379798201846</v>
      </c>
      <c r="K1112" s="444">
        <f t="shared" ca="1" si="105"/>
        <v>8482.0754447127147</v>
      </c>
      <c r="L1112" s="444">
        <f t="shared" ca="1" si="106"/>
        <v>2044180.1821757643</v>
      </c>
      <c r="M1112" s="460">
        <f t="shared" si="109"/>
        <v>0.05</v>
      </c>
      <c r="N1112" s="464">
        <f t="shared" si="110"/>
        <v>84890</v>
      </c>
    </row>
    <row r="1113" spans="7:14" ht="11.25" customHeight="1" x14ac:dyDescent="0.3">
      <c r="G1113" s="459">
        <f t="shared" ref="G1113:G1123" si="117">G1112</f>
        <v>93</v>
      </c>
      <c r="H1113" s="459">
        <v>1106</v>
      </c>
      <c r="I1113" s="444">
        <f t="shared" ca="1" si="108"/>
        <v>2044180.1821757643</v>
      </c>
      <c r="J1113" s="444">
        <f t="array" ref="J1113">IFERROR(INDEX('Retirement Calculator'!J:J,MATCH('Isaac 401k'!N1113,'Retirement Calculator'!A:A,0),0),0)</f>
        <v>7896.2379798201846</v>
      </c>
      <c r="K1113" s="444">
        <f t="shared" ca="1" si="105"/>
        <v>8484.5164341497675</v>
      </c>
      <c r="L1113" s="444">
        <f t="shared" ca="1" si="106"/>
        <v>2044768.4606300939</v>
      </c>
      <c r="M1113" s="460">
        <f t="shared" si="109"/>
        <v>0.05</v>
      </c>
      <c r="N1113" s="464">
        <f t="shared" si="110"/>
        <v>84920</v>
      </c>
    </row>
    <row r="1114" spans="7:14" ht="11.25" customHeight="1" x14ac:dyDescent="0.3">
      <c r="G1114" s="459">
        <f t="shared" si="117"/>
        <v>93</v>
      </c>
      <c r="H1114" s="459">
        <v>1107</v>
      </c>
      <c r="I1114" s="444">
        <f t="shared" ca="1" si="108"/>
        <v>2044768.4606300939</v>
      </c>
      <c r="J1114" s="444">
        <f t="array" ref="J1114">IFERROR(INDEX('Retirement Calculator'!J:J,MATCH('Isaac 401k'!N1114,'Retirement Calculator'!A:A,0),0),0)</f>
        <v>7896.2379798201846</v>
      </c>
      <c r="K1114" s="444">
        <f t="shared" ca="1" si="105"/>
        <v>8486.9675943761413</v>
      </c>
      <c r="L1114" s="444">
        <f t="shared" ca="1" si="106"/>
        <v>2045359.1902446498</v>
      </c>
      <c r="M1114" s="460">
        <f t="shared" si="109"/>
        <v>0.05</v>
      </c>
      <c r="N1114" s="464">
        <f t="shared" si="110"/>
        <v>84951</v>
      </c>
    </row>
    <row r="1115" spans="7:14" ht="11.25" customHeight="1" x14ac:dyDescent="0.3">
      <c r="G1115" s="459">
        <f t="shared" si="117"/>
        <v>93</v>
      </c>
      <c r="H1115" s="459">
        <v>1108</v>
      </c>
      <c r="I1115" s="444">
        <f t="shared" ca="1" si="108"/>
        <v>2045359.1902446498</v>
      </c>
      <c r="J1115" s="444">
        <f t="array" ref="J1115">IFERROR(INDEX('Retirement Calculator'!J:J,MATCH('Isaac 401k'!N1115,'Retirement Calculator'!A:A,0),0),0)</f>
        <v>7896.2379798201846</v>
      </c>
      <c r="K1115" s="444">
        <f t="shared" ca="1" si="105"/>
        <v>8489.4289677701217</v>
      </c>
      <c r="L1115" s="444">
        <f t="shared" ca="1" si="106"/>
        <v>2045952.3812325997</v>
      </c>
      <c r="M1115" s="460">
        <f t="shared" si="109"/>
        <v>0.05</v>
      </c>
      <c r="N1115" s="464">
        <f t="shared" si="110"/>
        <v>84982</v>
      </c>
    </row>
    <row r="1116" spans="7:14" ht="11.25" customHeight="1" x14ac:dyDescent="0.3">
      <c r="G1116" s="459">
        <f t="shared" si="117"/>
        <v>93</v>
      </c>
      <c r="H1116" s="459">
        <v>1109</v>
      </c>
      <c r="I1116" s="444">
        <f t="shared" ca="1" si="108"/>
        <v>2045952.3812325997</v>
      </c>
      <c r="J1116" s="444">
        <f t="array" ref="J1116">IFERROR(INDEX('Retirement Calculator'!J:J,MATCH('Isaac 401k'!N1116,'Retirement Calculator'!A:A,0),0),0)</f>
        <v>7896.2379798201846</v>
      </c>
      <c r="K1116" s="444">
        <f t="shared" ca="1" si="105"/>
        <v>8491.9005968865804</v>
      </c>
      <c r="L1116" s="444">
        <f t="shared" ca="1" si="106"/>
        <v>2046548.0438496661</v>
      </c>
      <c r="M1116" s="460">
        <f t="shared" si="109"/>
        <v>0.05</v>
      </c>
      <c r="N1116" s="464">
        <f t="shared" si="110"/>
        <v>85012</v>
      </c>
    </row>
    <row r="1117" spans="7:14" ht="11.25" customHeight="1" x14ac:dyDescent="0.3">
      <c r="G1117" s="459">
        <f t="shared" si="117"/>
        <v>93</v>
      </c>
      <c r="H1117" s="459">
        <v>1110</v>
      </c>
      <c r="I1117" s="444">
        <f t="shared" ca="1" si="108"/>
        <v>2046548.0438496661</v>
      </c>
      <c r="J1117" s="444">
        <f t="array" ref="J1117">IFERROR(INDEX('Retirement Calculator'!J:J,MATCH('Isaac 401k'!N1117,'Retirement Calculator'!A:A,0),0),0)</f>
        <v>7896.2379798201846</v>
      </c>
      <c r="K1117" s="444">
        <f t="shared" ca="1" si="105"/>
        <v>8494.382524457691</v>
      </c>
      <c r="L1117" s="444">
        <f t="shared" ca="1" si="106"/>
        <v>2047146.1883943037</v>
      </c>
      <c r="M1117" s="460">
        <f t="shared" si="109"/>
        <v>0.05</v>
      </c>
      <c r="N1117" s="464">
        <f t="shared" si="110"/>
        <v>85043</v>
      </c>
    </row>
    <row r="1118" spans="7:14" ht="11.25" customHeight="1" x14ac:dyDescent="0.3">
      <c r="G1118" s="459">
        <f t="shared" si="117"/>
        <v>93</v>
      </c>
      <c r="H1118" s="459">
        <v>1111</v>
      </c>
      <c r="I1118" s="444">
        <f t="shared" ca="1" si="108"/>
        <v>2047146.1883943037</v>
      </c>
      <c r="J1118" s="444">
        <f t="array" ref="J1118">IFERROR(INDEX('Retirement Calculator'!J:J,MATCH('Isaac 401k'!N1118,'Retirement Calculator'!A:A,0),0),0)</f>
        <v>7896.2379798201846</v>
      </c>
      <c r="K1118" s="444">
        <f t="shared" ca="1" si="105"/>
        <v>8496.8747933936811</v>
      </c>
      <c r="L1118" s="444">
        <f t="shared" ca="1" si="106"/>
        <v>2047746.8252078772</v>
      </c>
      <c r="M1118" s="460">
        <f t="shared" si="109"/>
        <v>0.05</v>
      </c>
      <c r="N1118" s="464">
        <f t="shared" si="110"/>
        <v>85073</v>
      </c>
    </row>
    <row r="1119" spans="7:14" ht="11.25" customHeight="1" x14ac:dyDescent="0.3">
      <c r="G1119" s="459">
        <f t="shared" si="117"/>
        <v>93</v>
      </c>
      <c r="H1119" s="459">
        <v>1112</v>
      </c>
      <c r="I1119" s="444">
        <f t="shared" ca="1" si="108"/>
        <v>2047746.8252078772</v>
      </c>
      <c r="J1119" s="444">
        <f t="array" ref="J1119">IFERROR(INDEX('Retirement Calculator'!J:J,MATCH('Isaac 401k'!N1119,'Retirement Calculator'!A:A,0),0),0)</f>
        <v>7896.2379798201846</v>
      </c>
      <c r="K1119" s="444">
        <f t="shared" ca="1" si="105"/>
        <v>8499.3774467835701</v>
      </c>
      <c r="L1119" s="444">
        <f t="shared" ca="1" si="106"/>
        <v>2048349.9646748404</v>
      </c>
      <c r="M1119" s="460">
        <f t="shared" si="109"/>
        <v>0.05</v>
      </c>
      <c r="N1119" s="464">
        <f t="shared" si="110"/>
        <v>85104</v>
      </c>
    </row>
    <row r="1120" spans="7:14" ht="11.25" customHeight="1" x14ac:dyDescent="0.3">
      <c r="G1120" s="459">
        <f t="shared" si="117"/>
        <v>93</v>
      </c>
      <c r="H1120" s="459">
        <v>1113</v>
      </c>
      <c r="I1120" s="444">
        <f t="shared" ca="1" si="108"/>
        <v>2048349.9646748404</v>
      </c>
      <c r="J1120" s="444">
        <f t="array" ref="J1120">IFERROR(INDEX('Retirement Calculator'!J:J,MATCH('Isaac 401k'!N1120,'Retirement Calculator'!A:A,0),0),0)</f>
        <v>7896.2379798201846</v>
      </c>
      <c r="K1120" s="444">
        <f t="shared" ca="1" si="105"/>
        <v>8501.8905278959173</v>
      </c>
      <c r="L1120" s="444">
        <f t="shared" ca="1" si="106"/>
        <v>2048955.6172229161</v>
      </c>
      <c r="M1120" s="460">
        <f t="shared" si="109"/>
        <v>0.05</v>
      </c>
      <c r="N1120" s="464">
        <f t="shared" si="110"/>
        <v>85135</v>
      </c>
    </row>
    <row r="1121" spans="7:14" ht="11.25" customHeight="1" x14ac:dyDescent="0.3">
      <c r="G1121" s="459">
        <f t="shared" si="117"/>
        <v>93</v>
      </c>
      <c r="H1121" s="459">
        <v>1114</v>
      </c>
      <c r="I1121" s="444">
        <f t="shared" ca="1" si="108"/>
        <v>2048955.6172229161</v>
      </c>
      <c r="J1121" s="444">
        <f t="array" ref="J1121">IFERROR(INDEX('Retirement Calculator'!J:J,MATCH('Isaac 401k'!N1121,'Retirement Calculator'!A:A,0),0),0)</f>
        <v>7896.2379798201846</v>
      </c>
      <c r="K1121" s="444">
        <f t="shared" ca="1" si="105"/>
        <v>8504.4140801795656</v>
      </c>
      <c r="L1121" s="444">
        <f t="shared" ca="1" si="106"/>
        <v>2049563.7933232754</v>
      </c>
      <c r="M1121" s="460">
        <f t="shared" si="109"/>
        <v>0.05</v>
      </c>
      <c r="N1121" s="464">
        <f t="shared" si="110"/>
        <v>85163</v>
      </c>
    </row>
    <row r="1122" spans="7:14" ht="11.25" customHeight="1" x14ac:dyDescent="0.3">
      <c r="G1122" s="459">
        <f t="shared" si="117"/>
        <v>93</v>
      </c>
      <c r="H1122" s="459">
        <v>1115</v>
      </c>
      <c r="I1122" s="444">
        <f t="shared" ca="1" si="108"/>
        <v>2049563.7933232754</v>
      </c>
      <c r="J1122" s="444">
        <f t="array" ref="J1122">IFERROR(INDEX('Retirement Calculator'!J:J,MATCH('Isaac 401k'!N1122,'Retirement Calculator'!A:A,0),0),0)</f>
        <v>7896.2379798201846</v>
      </c>
      <c r="K1122" s="444">
        <f t="shared" ca="1" si="105"/>
        <v>8506.9481472643965</v>
      </c>
      <c r="L1122" s="444">
        <f t="shared" ca="1" si="106"/>
        <v>2050174.5034907195</v>
      </c>
      <c r="M1122" s="460">
        <f t="shared" si="109"/>
        <v>0.05</v>
      </c>
      <c r="N1122" s="464">
        <f t="shared" si="110"/>
        <v>85194</v>
      </c>
    </row>
    <row r="1123" spans="7:14" ht="11.25" customHeight="1" x14ac:dyDescent="0.3">
      <c r="G1123" s="459">
        <f t="shared" si="117"/>
        <v>93</v>
      </c>
      <c r="H1123" s="459">
        <v>1116</v>
      </c>
      <c r="I1123" s="444">
        <f t="shared" ca="1" si="108"/>
        <v>2050174.5034907195</v>
      </c>
      <c r="J1123" s="444">
        <f t="array" ref="J1123">IFERROR(INDEX('Retirement Calculator'!J:J,MATCH('Isaac 401k'!N1123,'Retirement Calculator'!A:A,0),0),0)</f>
        <v>7896.2379798201846</v>
      </c>
      <c r="K1123" s="444">
        <f t="shared" ca="1" si="105"/>
        <v>8509.4927729620795</v>
      </c>
      <c r="L1123" s="444">
        <f t="shared" ca="1" si="106"/>
        <v>2050787.7582838612</v>
      </c>
      <c r="M1123" s="460">
        <f t="shared" si="109"/>
        <v>0.05</v>
      </c>
      <c r="N1123" s="464">
        <f t="shared" si="110"/>
        <v>85224</v>
      </c>
    </row>
    <row r="1124" spans="7:14" ht="11.25" customHeight="1" x14ac:dyDescent="0.3">
      <c r="G1124" s="459">
        <f>G1123+1</f>
        <v>94</v>
      </c>
      <c r="H1124" s="459">
        <v>1117</v>
      </c>
      <c r="I1124" s="444">
        <f t="shared" ca="1" si="108"/>
        <v>2050787.7582838612</v>
      </c>
      <c r="J1124" s="444">
        <f t="array" ref="J1124">IFERROR(INDEX('Retirement Calculator'!J:J,MATCH('Isaac 401k'!N1124,'Retirement Calculator'!A:A,0),0),0)</f>
        <v>7896.2379798201846</v>
      </c>
      <c r="K1124" s="444">
        <f t="shared" ca="1" si="105"/>
        <v>8512.0480012668377</v>
      </c>
      <c r="L1124" s="444">
        <f t="shared" ca="1" si="106"/>
        <v>2051403.5683053078</v>
      </c>
      <c r="M1124" s="460">
        <f t="shared" si="109"/>
        <v>0.05</v>
      </c>
      <c r="N1124" s="464">
        <f t="shared" si="110"/>
        <v>85255</v>
      </c>
    </row>
    <row r="1125" spans="7:14" ht="11.25" customHeight="1" x14ac:dyDescent="0.3">
      <c r="G1125" s="459">
        <f t="shared" ref="G1125:G1135" si="118">G1124</f>
        <v>94</v>
      </c>
      <c r="H1125" s="459">
        <v>1118</v>
      </c>
      <c r="I1125" s="444">
        <f t="shared" ca="1" si="108"/>
        <v>2051403.5683053078</v>
      </c>
      <c r="J1125" s="444">
        <f t="array" ref="J1125">IFERROR(INDEX('Retirement Calculator'!J:J,MATCH('Isaac 401k'!N1125,'Retirement Calculator'!A:A,0),0),0)</f>
        <v>7896.2379798201846</v>
      </c>
      <c r="K1125" s="444">
        <f t="shared" ca="1" si="105"/>
        <v>8514.6138763561994</v>
      </c>
      <c r="L1125" s="444">
        <f t="shared" ca="1" si="106"/>
        <v>2052021.9442018438</v>
      </c>
      <c r="M1125" s="460">
        <f t="shared" si="109"/>
        <v>0.05</v>
      </c>
      <c r="N1125" s="464">
        <f t="shared" si="110"/>
        <v>85285</v>
      </c>
    </row>
    <row r="1126" spans="7:14" ht="11.25" customHeight="1" x14ac:dyDescent="0.3">
      <c r="G1126" s="459">
        <f t="shared" si="118"/>
        <v>94</v>
      </c>
      <c r="H1126" s="459">
        <v>1119</v>
      </c>
      <c r="I1126" s="444">
        <f t="shared" ca="1" si="108"/>
        <v>2052021.9442018438</v>
      </c>
      <c r="J1126" s="444">
        <f t="array" ref="J1126">IFERROR(INDEX('Retirement Calculator'!J:J,MATCH('Isaac 401k'!N1126,'Retirement Calculator'!A:A,0),0),0)</f>
        <v>7896.2379798201846</v>
      </c>
      <c r="K1126" s="444">
        <f t="shared" ca="1" si="105"/>
        <v>8517.1904425917655</v>
      </c>
      <c r="L1126" s="444">
        <f t="shared" ca="1" si="106"/>
        <v>2052642.8966646153</v>
      </c>
      <c r="M1126" s="460">
        <f t="shared" si="109"/>
        <v>0.05</v>
      </c>
      <c r="N1126" s="464">
        <f t="shared" si="110"/>
        <v>85316</v>
      </c>
    </row>
    <row r="1127" spans="7:14" ht="11.25" customHeight="1" x14ac:dyDescent="0.3">
      <c r="G1127" s="459">
        <f t="shared" si="118"/>
        <v>94</v>
      </c>
      <c r="H1127" s="459">
        <v>1120</v>
      </c>
      <c r="I1127" s="444">
        <f t="shared" ca="1" si="108"/>
        <v>2052642.8966646153</v>
      </c>
      <c r="J1127" s="444">
        <f t="array" ref="J1127">IFERROR(INDEX('Retirement Calculator'!J:J,MATCH('Isaac 401k'!N1127,'Retirement Calculator'!A:A,0),0),0)</f>
        <v>7896.2379798201846</v>
      </c>
      <c r="K1127" s="444">
        <f t="shared" ca="1" si="105"/>
        <v>8519.777744519979</v>
      </c>
      <c r="L1127" s="444">
        <f t="shared" ca="1" si="106"/>
        <v>2053266.436429315</v>
      </c>
      <c r="M1127" s="460">
        <f t="shared" si="109"/>
        <v>0.05</v>
      </c>
      <c r="N1127" s="464">
        <f t="shared" si="110"/>
        <v>85347</v>
      </c>
    </row>
    <row r="1128" spans="7:14" ht="11.25" customHeight="1" x14ac:dyDescent="0.3">
      <c r="G1128" s="459">
        <f t="shared" si="118"/>
        <v>94</v>
      </c>
      <c r="H1128" s="459">
        <v>1121</v>
      </c>
      <c r="I1128" s="444">
        <f t="shared" ca="1" si="108"/>
        <v>2053266.436429315</v>
      </c>
      <c r="J1128" s="444">
        <f t="array" ref="J1128">IFERROR(INDEX('Retirement Calculator'!J:J,MATCH('Isaac 401k'!N1128,'Retirement Calculator'!A:A,0),0),0)</f>
        <v>7896.2379798201846</v>
      </c>
      <c r="K1128" s="444">
        <f t="shared" ca="1" si="105"/>
        <v>8522.3758268728961</v>
      </c>
      <c r="L1128" s="444">
        <f t="shared" ca="1" si="106"/>
        <v>2053892.5742763677</v>
      </c>
      <c r="M1128" s="460">
        <f t="shared" si="109"/>
        <v>0.05</v>
      </c>
      <c r="N1128" s="464">
        <f t="shared" si="110"/>
        <v>85377</v>
      </c>
    </row>
    <row r="1129" spans="7:14" ht="11.25" customHeight="1" x14ac:dyDescent="0.3">
      <c r="G1129" s="459">
        <f t="shared" si="118"/>
        <v>94</v>
      </c>
      <c r="H1129" s="459">
        <v>1122</v>
      </c>
      <c r="I1129" s="444">
        <f t="shared" ca="1" si="108"/>
        <v>2053892.5742763677</v>
      </c>
      <c r="J1129" s="444">
        <f t="array" ref="J1129">IFERROR(INDEX('Retirement Calculator'!J:J,MATCH('Isaac 401k'!N1129,'Retirement Calculator'!A:A,0),0),0)</f>
        <v>7896.2379798201846</v>
      </c>
      <c r="K1129" s="444">
        <f t="shared" ca="1" si="105"/>
        <v>8524.9847345689468</v>
      </c>
      <c r="L1129" s="444">
        <f t="shared" ca="1" si="106"/>
        <v>2054521.3210311164</v>
      </c>
      <c r="M1129" s="460">
        <f t="shared" si="109"/>
        <v>0.05</v>
      </c>
      <c r="N1129" s="464">
        <f t="shared" si="110"/>
        <v>85408</v>
      </c>
    </row>
    <row r="1130" spans="7:14" ht="11.25" customHeight="1" x14ac:dyDescent="0.3">
      <c r="G1130" s="459">
        <f t="shared" si="118"/>
        <v>94</v>
      </c>
      <c r="H1130" s="459">
        <v>1123</v>
      </c>
      <c r="I1130" s="444">
        <f t="shared" ca="1" si="108"/>
        <v>2054521.3210311164</v>
      </c>
      <c r="J1130" s="444">
        <f t="array" ref="J1130">IFERROR(INDEX('Retirement Calculator'!J:J,MATCH('Isaac 401k'!N1130,'Retirement Calculator'!A:A,0),0),0)</f>
        <v>7896.2379798201846</v>
      </c>
      <c r="K1130" s="444">
        <f t="shared" ca="1" si="105"/>
        <v>8527.6045127137331</v>
      </c>
      <c r="L1130" s="444">
        <f t="shared" ca="1" si="106"/>
        <v>2055152.6875640098</v>
      </c>
      <c r="M1130" s="460">
        <f t="shared" si="109"/>
        <v>0.05</v>
      </c>
      <c r="N1130" s="464">
        <f t="shared" si="110"/>
        <v>85438</v>
      </c>
    </row>
    <row r="1131" spans="7:14" ht="11.25" customHeight="1" x14ac:dyDescent="0.3">
      <c r="G1131" s="459">
        <f t="shared" si="118"/>
        <v>94</v>
      </c>
      <c r="H1131" s="459">
        <v>1124</v>
      </c>
      <c r="I1131" s="444">
        <f t="shared" ca="1" si="108"/>
        <v>2055152.6875640098</v>
      </c>
      <c r="J1131" s="444">
        <f t="array" ref="J1131">IFERROR(INDEX('Retirement Calculator'!J:J,MATCH('Isaac 401k'!N1131,'Retirement Calculator'!A:A,0),0),0)</f>
        <v>7896.2379798201846</v>
      </c>
      <c r="K1131" s="444">
        <f t="shared" ca="1" si="105"/>
        <v>8530.2352066007898</v>
      </c>
      <c r="L1131" s="444">
        <f t="shared" ca="1" si="106"/>
        <v>2055786.6847907903</v>
      </c>
      <c r="M1131" s="460">
        <f t="shared" si="109"/>
        <v>0.05</v>
      </c>
      <c r="N1131" s="464">
        <f t="shared" si="110"/>
        <v>85469</v>
      </c>
    </row>
    <row r="1132" spans="7:14" ht="11.25" customHeight="1" x14ac:dyDescent="0.3">
      <c r="G1132" s="459">
        <f t="shared" si="118"/>
        <v>94</v>
      </c>
      <c r="H1132" s="459">
        <v>1125</v>
      </c>
      <c r="I1132" s="444">
        <f t="shared" ca="1" si="108"/>
        <v>2055786.6847907903</v>
      </c>
      <c r="J1132" s="444">
        <f t="array" ref="J1132">IFERROR(INDEX('Retirement Calculator'!J:J,MATCH('Isaac 401k'!N1132,'Retirement Calculator'!A:A,0),0),0)</f>
        <v>7896.2379798201846</v>
      </c>
      <c r="K1132" s="444">
        <f t="shared" ca="1" si="105"/>
        <v>8532.8768617123769</v>
      </c>
      <c r="L1132" s="444">
        <f t="shared" ca="1" si="106"/>
        <v>2056423.3236726825</v>
      </c>
      <c r="M1132" s="460">
        <f t="shared" si="109"/>
        <v>0.05</v>
      </c>
      <c r="N1132" s="464">
        <f t="shared" si="110"/>
        <v>85500</v>
      </c>
    </row>
    <row r="1133" spans="7:14" ht="11.25" customHeight="1" x14ac:dyDescent="0.3">
      <c r="G1133" s="459">
        <f t="shared" si="118"/>
        <v>94</v>
      </c>
      <c r="H1133" s="459">
        <v>1126</v>
      </c>
      <c r="I1133" s="444">
        <f t="shared" ca="1" si="108"/>
        <v>2056423.3236726825</v>
      </c>
      <c r="J1133" s="444">
        <f t="array" ref="J1133">IFERROR(INDEX('Retirement Calculator'!J:J,MATCH('Isaac 401k'!N1133,'Retirement Calculator'!A:A,0),0),0)</f>
        <v>7896.2379798201846</v>
      </c>
      <c r="K1133" s="444">
        <f t="shared" ca="1" si="105"/>
        <v>8535.529523720259</v>
      </c>
      <c r="L1133" s="444">
        <f t="shared" ca="1" si="106"/>
        <v>2057062.6152165825</v>
      </c>
      <c r="M1133" s="460">
        <f t="shared" si="109"/>
        <v>0.05</v>
      </c>
      <c r="N1133" s="464">
        <f t="shared" si="110"/>
        <v>85528</v>
      </c>
    </row>
    <row r="1134" spans="7:14" ht="11.25" customHeight="1" x14ac:dyDescent="0.3">
      <c r="G1134" s="459">
        <f t="shared" si="118"/>
        <v>94</v>
      </c>
      <c r="H1134" s="459">
        <v>1127</v>
      </c>
      <c r="I1134" s="444">
        <f t="shared" ca="1" si="108"/>
        <v>2057062.6152165825</v>
      </c>
      <c r="J1134" s="444">
        <f t="array" ref="J1134">IFERROR(INDEX('Retirement Calculator'!J:J,MATCH('Isaac 401k'!N1134,'Retirement Calculator'!A:A,0),0),0)</f>
        <v>7896.2379798201846</v>
      </c>
      <c r="K1134" s="444">
        <f t="shared" ca="1" si="105"/>
        <v>8538.1932384865104</v>
      </c>
      <c r="L1134" s="444">
        <f t="shared" ca="1" si="106"/>
        <v>2057704.5704752489</v>
      </c>
      <c r="M1134" s="460">
        <f t="shared" si="109"/>
        <v>0.05</v>
      </c>
      <c r="N1134" s="464">
        <f t="shared" si="110"/>
        <v>85559</v>
      </c>
    </row>
    <row r="1135" spans="7:14" ht="11.25" customHeight="1" x14ac:dyDescent="0.3">
      <c r="G1135" s="459">
        <f t="shared" si="118"/>
        <v>94</v>
      </c>
      <c r="H1135" s="459">
        <v>1128</v>
      </c>
      <c r="I1135" s="444">
        <f t="shared" ca="1" si="108"/>
        <v>2057704.5704752489</v>
      </c>
      <c r="J1135" s="444">
        <f t="array" ref="J1135">IFERROR(INDEX('Retirement Calculator'!J:J,MATCH('Isaac 401k'!N1135,'Retirement Calculator'!A:A,0),0),0)</f>
        <v>7896.2379798201846</v>
      </c>
      <c r="K1135" s="444">
        <f t="shared" ca="1" si="105"/>
        <v>8540.8680520642865</v>
      </c>
      <c r="L1135" s="444">
        <f t="shared" ca="1" si="106"/>
        <v>2058349.2005474928</v>
      </c>
      <c r="M1135" s="460">
        <f t="shared" si="109"/>
        <v>0.05</v>
      </c>
      <c r="N1135" s="464">
        <f t="shared" si="110"/>
        <v>85589</v>
      </c>
    </row>
    <row r="1136" spans="7:14" ht="11.25" customHeight="1" x14ac:dyDescent="0.3">
      <c r="G1136" s="459">
        <f>G1135+1</f>
        <v>95</v>
      </c>
      <c r="H1136" s="459">
        <v>1129</v>
      </c>
      <c r="I1136" s="444">
        <f t="shared" ca="1" si="108"/>
        <v>2058349.2005474928</v>
      </c>
      <c r="J1136" s="444">
        <f t="array" ref="J1136">IFERROR(INDEX('Retirement Calculator'!J:J,MATCH('Isaac 401k'!N1136,'Retirement Calculator'!A:A,0),0),0)</f>
        <v>7896.2379798201846</v>
      </c>
      <c r="K1136" s="444">
        <f t="shared" ca="1" si="105"/>
        <v>8543.5540106986373</v>
      </c>
      <c r="L1136" s="444">
        <f t="shared" ca="1" si="106"/>
        <v>2058996.5165783712</v>
      </c>
      <c r="M1136" s="460">
        <f t="shared" si="109"/>
        <v>0.05</v>
      </c>
      <c r="N1136" s="464">
        <f t="shared" si="110"/>
        <v>85620</v>
      </c>
    </row>
    <row r="1137" spans="7:14" ht="11.25" customHeight="1" x14ac:dyDescent="0.3">
      <c r="G1137" s="459">
        <f t="shared" ref="G1137:G1147" si="119">G1136</f>
        <v>95</v>
      </c>
      <c r="H1137" s="459">
        <v>1130</v>
      </c>
      <c r="I1137" s="444">
        <f t="shared" ca="1" si="108"/>
        <v>2058996.5165783712</v>
      </c>
      <c r="J1137" s="444">
        <f t="array" ref="J1137">IFERROR(INDEX('Retirement Calculator'!J:J,MATCH('Isaac 401k'!N1137,'Retirement Calculator'!A:A,0),0),0)</f>
        <v>7896.2379798201846</v>
      </c>
      <c r="K1137" s="444">
        <f t="shared" ca="1" si="105"/>
        <v>8546.2511608272962</v>
      </c>
      <c r="L1137" s="444">
        <f t="shared" ca="1" si="106"/>
        <v>2059646.5297593782</v>
      </c>
      <c r="M1137" s="460">
        <f t="shared" si="109"/>
        <v>0.05</v>
      </c>
      <c r="N1137" s="464">
        <f t="shared" si="110"/>
        <v>85650</v>
      </c>
    </row>
    <row r="1138" spans="7:14" ht="11.25" customHeight="1" x14ac:dyDescent="0.3">
      <c r="G1138" s="459">
        <f t="shared" si="119"/>
        <v>95</v>
      </c>
      <c r="H1138" s="459">
        <v>1131</v>
      </c>
      <c r="I1138" s="444">
        <f t="shared" ca="1" si="108"/>
        <v>2059646.5297593782</v>
      </c>
      <c r="J1138" s="444">
        <f t="array" ref="J1138">IFERROR(INDEX('Retirement Calculator'!J:J,MATCH('Isaac 401k'!N1138,'Retirement Calculator'!A:A,0),0),0)</f>
        <v>7896.2379798201846</v>
      </c>
      <c r="K1138" s="444">
        <f t="shared" ca="1" si="105"/>
        <v>8548.9595490814918</v>
      </c>
      <c r="L1138" s="444">
        <f t="shared" ca="1" si="106"/>
        <v>2060299.2513286395</v>
      </c>
      <c r="M1138" s="460">
        <f t="shared" si="109"/>
        <v>0.05</v>
      </c>
      <c r="N1138" s="464">
        <f t="shared" si="110"/>
        <v>85681</v>
      </c>
    </row>
    <row r="1139" spans="7:14" ht="11.25" customHeight="1" x14ac:dyDescent="0.3">
      <c r="G1139" s="459">
        <f t="shared" si="119"/>
        <v>95</v>
      </c>
      <c r="H1139" s="459">
        <v>1132</v>
      </c>
      <c r="I1139" s="444">
        <f t="shared" ca="1" si="108"/>
        <v>2060299.2513286395</v>
      </c>
      <c r="J1139" s="444">
        <f t="array" ref="J1139">IFERROR(INDEX('Retirement Calculator'!J:J,MATCH('Isaac 401k'!N1139,'Retirement Calculator'!A:A,0),0),0)</f>
        <v>7896.2379798201846</v>
      </c>
      <c r="K1139" s="444">
        <f t="shared" ca="1" si="105"/>
        <v>8551.6792222867462</v>
      </c>
      <c r="L1139" s="444">
        <f t="shared" ca="1" si="106"/>
        <v>2060954.6925711059</v>
      </c>
      <c r="M1139" s="460">
        <f t="shared" si="109"/>
        <v>0.05</v>
      </c>
      <c r="N1139" s="464">
        <f t="shared" si="110"/>
        <v>85712</v>
      </c>
    </row>
    <row r="1140" spans="7:14" ht="11.25" customHeight="1" x14ac:dyDescent="0.3">
      <c r="G1140" s="459">
        <f t="shared" si="119"/>
        <v>95</v>
      </c>
      <c r="H1140" s="459">
        <v>1133</v>
      </c>
      <c r="I1140" s="444">
        <f t="shared" ca="1" si="108"/>
        <v>2060954.6925711059</v>
      </c>
      <c r="J1140" s="444">
        <f t="array" ref="J1140">IFERROR(INDEX('Retirement Calculator'!J:J,MATCH('Isaac 401k'!N1140,'Retirement Calculator'!A:A,0),0),0)</f>
        <v>7896.2379798201846</v>
      </c>
      <c r="K1140" s="444">
        <f t="shared" ca="1" si="105"/>
        <v>8554.4102274636898</v>
      </c>
      <c r="L1140" s="444">
        <f t="shared" ca="1" si="106"/>
        <v>2061612.8648187493</v>
      </c>
      <c r="M1140" s="460">
        <f t="shared" si="109"/>
        <v>0.05</v>
      </c>
      <c r="N1140" s="464">
        <f t="shared" si="110"/>
        <v>85742</v>
      </c>
    </row>
    <row r="1141" spans="7:14" ht="11.25" customHeight="1" x14ac:dyDescent="0.3">
      <c r="G1141" s="459">
        <f t="shared" si="119"/>
        <v>95</v>
      </c>
      <c r="H1141" s="459">
        <v>1134</v>
      </c>
      <c r="I1141" s="444">
        <f t="shared" ca="1" si="108"/>
        <v>2061612.8648187493</v>
      </c>
      <c r="J1141" s="444">
        <f t="array" ref="J1141">IFERROR(INDEX('Retirement Calculator'!J:J,MATCH('Isaac 401k'!N1141,'Retirement Calculator'!A:A,0),0),0)</f>
        <v>7896.2379798201846</v>
      </c>
      <c r="K1141" s="444">
        <f t="shared" ca="1" si="105"/>
        <v>8557.1526118288712</v>
      </c>
      <c r="L1141" s="444">
        <f t="shared" ca="1" si="106"/>
        <v>2062273.7794507579</v>
      </c>
      <c r="M1141" s="460">
        <f t="shared" si="109"/>
        <v>0.05</v>
      </c>
      <c r="N1141" s="464">
        <f t="shared" si="110"/>
        <v>85773</v>
      </c>
    </row>
    <row r="1142" spans="7:14" ht="11.25" customHeight="1" x14ac:dyDescent="0.3">
      <c r="G1142" s="459">
        <f t="shared" si="119"/>
        <v>95</v>
      </c>
      <c r="H1142" s="459">
        <v>1135</v>
      </c>
      <c r="I1142" s="444">
        <f t="shared" ca="1" si="108"/>
        <v>2062273.7794507579</v>
      </c>
      <c r="J1142" s="444">
        <f t="array" ref="J1142">IFERROR(INDEX('Retirement Calculator'!J:J,MATCH('Isaac 401k'!N1142,'Retirement Calculator'!A:A,0),0),0)</f>
        <v>7896.2379798201846</v>
      </c>
      <c r="K1142" s="444">
        <f t="shared" ca="1" si="105"/>
        <v>8559.9064227955732</v>
      </c>
      <c r="L1142" s="444">
        <f t="shared" ca="1" si="106"/>
        <v>2062937.4478937332</v>
      </c>
      <c r="M1142" s="460">
        <f t="shared" si="109"/>
        <v>0.05</v>
      </c>
      <c r="N1142" s="464">
        <f t="shared" si="110"/>
        <v>85803</v>
      </c>
    </row>
    <row r="1143" spans="7:14" ht="11.25" customHeight="1" x14ac:dyDescent="0.3">
      <c r="G1143" s="459">
        <f t="shared" si="119"/>
        <v>95</v>
      </c>
      <c r="H1143" s="459">
        <v>1136</v>
      </c>
      <c r="I1143" s="444">
        <f t="shared" ca="1" si="108"/>
        <v>2062937.4478937332</v>
      </c>
      <c r="J1143" s="444">
        <f t="array" ref="J1143">IFERROR(INDEX('Retirement Calculator'!J:J,MATCH('Isaac 401k'!N1143,'Retirement Calculator'!A:A,0),0),0)</f>
        <v>7896.2379798201846</v>
      </c>
      <c r="K1143" s="444">
        <f t="shared" ca="1" si="105"/>
        <v>8562.6717079746377</v>
      </c>
      <c r="L1143" s="444">
        <f t="shared" ca="1" si="106"/>
        <v>2063603.8816218877</v>
      </c>
      <c r="M1143" s="460">
        <f t="shared" si="109"/>
        <v>0.05</v>
      </c>
      <c r="N1143" s="464">
        <f t="shared" si="110"/>
        <v>85834</v>
      </c>
    </row>
    <row r="1144" spans="7:14" ht="11.25" customHeight="1" x14ac:dyDescent="0.3">
      <c r="G1144" s="459">
        <f t="shared" si="119"/>
        <v>95</v>
      </c>
      <c r="H1144" s="459">
        <v>1137</v>
      </c>
      <c r="I1144" s="444">
        <f t="shared" ca="1" si="108"/>
        <v>2063603.8816218877</v>
      </c>
      <c r="J1144" s="444">
        <f t="array" ref="J1144">IFERROR(INDEX('Retirement Calculator'!J:J,MATCH('Isaac 401k'!N1144,'Retirement Calculator'!A:A,0),0),0)</f>
        <v>7896.2379798201846</v>
      </c>
      <c r="K1144" s="444">
        <f t="shared" ca="1" si="105"/>
        <v>8565.4485151752797</v>
      </c>
      <c r="L1144" s="444">
        <f t="shared" ca="1" si="106"/>
        <v>2064273.0921572428</v>
      </c>
      <c r="M1144" s="460">
        <f t="shared" si="109"/>
        <v>0.05</v>
      </c>
      <c r="N1144" s="464">
        <f t="shared" si="110"/>
        <v>85865</v>
      </c>
    </row>
    <row r="1145" spans="7:14" ht="11.25" customHeight="1" x14ac:dyDescent="0.3">
      <c r="G1145" s="459">
        <f t="shared" si="119"/>
        <v>95</v>
      </c>
      <c r="H1145" s="459">
        <v>1138</v>
      </c>
      <c r="I1145" s="444">
        <f t="shared" ca="1" si="108"/>
        <v>2064273.0921572428</v>
      </c>
      <c r="J1145" s="444">
        <f t="array" ref="J1145">IFERROR(INDEX('Retirement Calculator'!J:J,MATCH('Isaac 401k'!N1145,'Retirement Calculator'!A:A,0),0),0)</f>
        <v>7896.2379798201846</v>
      </c>
      <c r="K1145" s="444">
        <f t="shared" ca="1" si="105"/>
        <v>8568.2368924059265</v>
      </c>
      <c r="L1145" s="444">
        <f t="shared" ca="1" si="106"/>
        <v>2064945.0910698285</v>
      </c>
      <c r="M1145" s="460">
        <f t="shared" si="109"/>
        <v>0.05</v>
      </c>
      <c r="N1145" s="464">
        <f t="shared" si="110"/>
        <v>85893</v>
      </c>
    </row>
    <row r="1146" spans="7:14" ht="11.25" customHeight="1" x14ac:dyDescent="0.3">
      <c r="G1146" s="459">
        <f t="shared" si="119"/>
        <v>95</v>
      </c>
      <c r="H1146" s="459">
        <v>1139</v>
      </c>
      <c r="I1146" s="444">
        <f t="shared" ca="1" si="108"/>
        <v>2064945.0910698285</v>
      </c>
      <c r="J1146" s="444">
        <f t="array" ref="J1146">IFERROR(INDEX('Retirement Calculator'!J:J,MATCH('Isaac 401k'!N1146,'Retirement Calculator'!A:A,0),0),0)</f>
        <v>7896.2379798201846</v>
      </c>
      <c r="K1146" s="444">
        <f t="shared" ca="1" si="105"/>
        <v>8571.0368878750342</v>
      </c>
      <c r="L1146" s="444">
        <f t="shared" ca="1" si="106"/>
        <v>2065619.8899778833</v>
      </c>
      <c r="M1146" s="460">
        <f t="shared" si="109"/>
        <v>0.05</v>
      </c>
      <c r="N1146" s="464">
        <f t="shared" si="110"/>
        <v>85924</v>
      </c>
    </row>
    <row r="1147" spans="7:14" ht="11.25" customHeight="1" x14ac:dyDescent="0.3">
      <c r="G1147" s="459">
        <f t="shared" si="119"/>
        <v>95</v>
      </c>
      <c r="H1147" s="459">
        <v>1140</v>
      </c>
      <c r="I1147" s="444">
        <f t="shared" ca="1" si="108"/>
        <v>2065619.8899778833</v>
      </c>
      <c r="J1147" s="444">
        <f t="array" ref="J1147">IFERROR(INDEX('Retirement Calculator'!J:J,MATCH('Isaac 401k'!N1147,'Retirement Calculator'!A:A,0),0),0)</f>
        <v>7896.2379798201846</v>
      </c>
      <c r="K1147" s="444">
        <f t="shared" ca="1" si="105"/>
        <v>8573.8485499919279</v>
      </c>
      <c r="L1147" s="444">
        <f t="shared" ca="1" si="106"/>
        <v>2066297.5005480549</v>
      </c>
      <c r="M1147" s="460">
        <f t="shared" si="109"/>
        <v>0.05</v>
      </c>
      <c r="N1147" s="464">
        <f t="shared" si="110"/>
        <v>85954</v>
      </c>
    </row>
    <row r="1148" spans="7:14" ht="11.25" customHeight="1" x14ac:dyDescent="0.3">
      <c r="G1148" s="459">
        <f>G1147+1</f>
        <v>96</v>
      </c>
      <c r="H1148" s="459">
        <v>1141</v>
      </c>
      <c r="I1148" s="444">
        <f t="shared" ca="1" si="108"/>
        <v>2066297.5005480549</v>
      </c>
      <c r="J1148" s="444">
        <f t="array" ref="J1148">IFERROR(INDEX('Retirement Calculator'!J:J,MATCH('Isaac 401k'!N1148,'Retirement Calculator'!A:A,0),0),0)</f>
        <v>7896.2379798201846</v>
      </c>
      <c r="K1148" s="444">
        <f t="shared" ca="1" si="105"/>
        <v>8576.6719273676426</v>
      </c>
      <c r="L1148" s="444">
        <f t="shared" ca="1" si="106"/>
        <v>2066977.9344956023</v>
      </c>
      <c r="M1148" s="460">
        <f t="shared" si="109"/>
        <v>0.05</v>
      </c>
      <c r="N1148" s="464">
        <f t="shared" si="110"/>
        <v>85985</v>
      </c>
    </row>
    <row r="1149" spans="7:14" ht="11.25" customHeight="1" x14ac:dyDescent="0.3">
      <c r="G1149" s="459">
        <f t="shared" ref="G1149:G1159" si="120">G1148</f>
        <v>96</v>
      </c>
      <c r="H1149" s="459">
        <v>1142</v>
      </c>
      <c r="I1149" s="444">
        <f t="shared" ca="1" si="108"/>
        <v>2066977.9344956023</v>
      </c>
      <c r="J1149" s="444">
        <f t="array" ref="J1149">IFERROR(INDEX('Retirement Calculator'!J:J,MATCH('Isaac 401k'!N1149,'Retirement Calculator'!A:A,0),0),0)</f>
        <v>7896.2379798201846</v>
      </c>
      <c r="K1149" s="444">
        <f t="shared" ca="1" si="105"/>
        <v>8579.5070688157575</v>
      </c>
      <c r="L1149" s="444">
        <f t="shared" ca="1" si="106"/>
        <v>2067661.2035845979</v>
      </c>
      <c r="M1149" s="460">
        <f t="shared" si="109"/>
        <v>0.05</v>
      </c>
      <c r="N1149" s="464">
        <f t="shared" si="110"/>
        <v>86015</v>
      </c>
    </row>
    <row r="1150" spans="7:14" ht="11.25" customHeight="1" x14ac:dyDescent="0.3">
      <c r="G1150" s="459">
        <f t="shared" si="120"/>
        <v>96</v>
      </c>
      <c r="H1150" s="459">
        <v>1143</v>
      </c>
      <c r="I1150" s="444">
        <f t="shared" ca="1" si="108"/>
        <v>2067661.2035845979</v>
      </c>
      <c r="J1150" s="444">
        <f t="array" ref="J1150">IFERROR(INDEX('Retirement Calculator'!J:J,MATCH('Isaac 401k'!N1150,'Retirement Calculator'!A:A,0),0),0)</f>
        <v>7896.2379798201846</v>
      </c>
      <c r="K1150" s="444">
        <f t="shared" ca="1" si="105"/>
        <v>8582.3540233532403</v>
      </c>
      <c r="L1150" s="444">
        <f t="shared" ca="1" si="106"/>
        <v>2068347.3196281309</v>
      </c>
      <c r="M1150" s="460">
        <f t="shared" si="109"/>
        <v>0.05</v>
      </c>
      <c r="N1150" s="464">
        <f t="shared" si="110"/>
        <v>86046</v>
      </c>
    </row>
    <row r="1151" spans="7:14" ht="11.25" customHeight="1" x14ac:dyDescent="0.3">
      <c r="G1151" s="459">
        <f t="shared" si="120"/>
        <v>96</v>
      </c>
      <c r="H1151" s="459">
        <v>1144</v>
      </c>
      <c r="I1151" s="444">
        <f t="shared" ca="1" si="108"/>
        <v>2068347.3196281309</v>
      </c>
      <c r="J1151" s="444">
        <f t="array" ref="J1151">IFERROR(INDEX('Retirement Calculator'!J:J,MATCH('Isaac 401k'!N1151,'Retirement Calculator'!A:A,0),0),0)</f>
        <v>7896.2379798201846</v>
      </c>
      <c r="K1151" s="444">
        <f t="shared" ca="1" si="105"/>
        <v>8585.212840201295</v>
      </c>
      <c r="L1151" s="444">
        <f t="shared" ca="1" si="106"/>
        <v>2069036.294488512</v>
      </c>
      <c r="M1151" s="460">
        <f t="shared" si="109"/>
        <v>0.05</v>
      </c>
      <c r="N1151" s="464">
        <f t="shared" si="110"/>
        <v>86077</v>
      </c>
    </row>
    <row r="1152" spans="7:14" ht="11.25" customHeight="1" x14ac:dyDescent="0.3">
      <c r="G1152" s="459">
        <f t="shared" si="120"/>
        <v>96</v>
      </c>
      <c r="H1152" s="459">
        <v>1145</v>
      </c>
      <c r="I1152" s="444">
        <f t="shared" ca="1" si="108"/>
        <v>2069036.294488512</v>
      </c>
      <c r="J1152" s="444">
        <f t="array" ref="J1152">IFERROR(INDEX('Retirement Calculator'!J:J,MATCH('Isaac 401k'!N1152,'Retirement Calculator'!A:A,0),0),0)</f>
        <v>7896.2379798201846</v>
      </c>
      <c r="K1152" s="444">
        <f t="shared" ca="1" si="105"/>
        <v>8588.0835687862145</v>
      </c>
      <c r="L1152" s="444">
        <f t="shared" ca="1" si="106"/>
        <v>2069728.140077478</v>
      </c>
      <c r="M1152" s="460">
        <f t="shared" si="109"/>
        <v>0.05</v>
      </c>
      <c r="N1152" s="464">
        <f t="shared" si="110"/>
        <v>86107</v>
      </c>
    </row>
    <row r="1153" spans="7:14" ht="11.25" customHeight="1" x14ac:dyDescent="0.3">
      <c r="G1153" s="459">
        <f t="shared" si="120"/>
        <v>96</v>
      </c>
      <c r="H1153" s="459">
        <v>1146</v>
      </c>
      <c r="I1153" s="444">
        <f t="shared" ca="1" si="108"/>
        <v>2069728.140077478</v>
      </c>
      <c r="J1153" s="444">
        <f t="array" ref="J1153">IFERROR(INDEX('Retirement Calculator'!J:J,MATCH('Isaac 401k'!N1153,'Retirement Calculator'!A:A,0),0),0)</f>
        <v>7896.2379798201846</v>
      </c>
      <c r="K1153" s="444">
        <f t="shared" ca="1" si="105"/>
        <v>8590.9662587402399</v>
      </c>
      <c r="L1153" s="444">
        <f t="shared" ca="1" si="106"/>
        <v>2070422.8683563981</v>
      </c>
      <c r="M1153" s="460">
        <f t="shared" si="109"/>
        <v>0.05</v>
      </c>
      <c r="N1153" s="464">
        <f t="shared" si="110"/>
        <v>86138</v>
      </c>
    </row>
    <row r="1154" spans="7:14" ht="11.25" customHeight="1" x14ac:dyDescent="0.3">
      <c r="G1154" s="459">
        <f t="shared" si="120"/>
        <v>96</v>
      </c>
      <c r="H1154" s="459">
        <v>1147</v>
      </c>
      <c r="I1154" s="444">
        <f t="shared" ca="1" si="108"/>
        <v>2070422.8683563981</v>
      </c>
      <c r="J1154" s="444">
        <f t="array" ref="J1154">IFERROR(INDEX('Retirement Calculator'!J:J,MATCH('Isaac 401k'!N1154,'Retirement Calculator'!A:A,0),0),0)</f>
        <v>7896.2379798201846</v>
      </c>
      <c r="K1154" s="444">
        <f t="shared" ca="1" si="105"/>
        <v>8593.8609599024076</v>
      </c>
      <c r="L1154" s="444">
        <f t="shared" ca="1" si="106"/>
        <v>2071120.4913364802</v>
      </c>
      <c r="M1154" s="460">
        <f t="shared" si="109"/>
        <v>0.05</v>
      </c>
      <c r="N1154" s="464">
        <f t="shared" si="110"/>
        <v>86168</v>
      </c>
    </row>
    <row r="1155" spans="7:14" ht="11.25" customHeight="1" x14ac:dyDescent="0.3">
      <c r="G1155" s="459">
        <f t="shared" si="120"/>
        <v>96</v>
      </c>
      <c r="H1155" s="459">
        <v>1148</v>
      </c>
      <c r="I1155" s="444">
        <f t="shared" ca="1" si="108"/>
        <v>2071120.4913364802</v>
      </c>
      <c r="J1155" s="444">
        <f t="array" ref="J1155">IFERROR(INDEX('Retirement Calculator'!J:J,MATCH('Isaac 401k'!N1155,'Retirement Calculator'!A:A,0),0),0)</f>
        <v>7896.2379798201846</v>
      </c>
      <c r="K1155" s="444">
        <f t="shared" ca="1" si="105"/>
        <v>8596.7677223194169</v>
      </c>
      <c r="L1155" s="444">
        <f t="shared" ca="1" si="106"/>
        <v>2071821.0210789794</v>
      </c>
      <c r="M1155" s="460">
        <f t="shared" si="109"/>
        <v>0.05</v>
      </c>
      <c r="N1155" s="464">
        <f t="shared" si="110"/>
        <v>86199</v>
      </c>
    </row>
    <row r="1156" spans="7:14" ht="11.25" customHeight="1" x14ac:dyDescent="0.3">
      <c r="G1156" s="459">
        <f t="shared" si="120"/>
        <v>96</v>
      </c>
      <c r="H1156" s="459">
        <v>1149</v>
      </c>
      <c r="I1156" s="444">
        <f t="shared" ca="1" si="108"/>
        <v>2071821.0210789794</v>
      </c>
      <c r="J1156" s="444">
        <f t="array" ref="J1156">IFERROR(INDEX('Retirement Calculator'!J:J,MATCH('Isaac 401k'!N1156,'Retirement Calculator'!A:A,0),0),0)</f>
        <v>7896.2379798201846</v>
      </c>
      <c r="K1156" s="444">
        <f t="shared" ca="1" si="105"/>
        <v>8599.6865962464963</v>
      </c>
      <c r="L1156" s="444">
        <f t="shared" ca="1" si="106"/>
        <v>2072524.4696954056</v>
      </c>
      <c r="M1156" s="460">
        <f t="shared" si="109"/>
        <v>0.05</v>
      </c>
      <c r="N1156" s="464">
        <f t="shared" si="110"/>
        <v>86230</v>
      </c>
    </row>
    <row r="1157" spans="7:14" ht="11.25" customHeight="1" x14ac:dyDescent="0.3">
      <c r="G1157" s="459">
        <f t="shared" si="120"/>
        <v>96</v>
      </c>
      <c r="H1157" s="459">
        <v>1150</v>
      </c>
      <c r="I1157" s="444">
        <f t="shared" ca="1" si="108"/>
        <v>2072524.4696954056</v>
      </c>
      <c r="J1157" s="444">
        <f t="array" ref="J1157">IFERROR(INDEX('Retirement Calculator'!J:J,MATCH('Isaac 401k'!N1157,'Retirement Calculator'!A:A,0),0),0)</f>
        <v>7896.2379798201846</v>
      </c>
      <c r="K1157" s="444">
        <f t="shared" ca="1" si="105"/>
        <v>8602.6176321482726</v>
      </c>
      <c r="L1157" s="444">
        <f t="shared" ca="1" si="106"/>
        <v>2073230.8493477337</v>
      </c>
      <c r="M1157" s="460">
        <f t="shared" si="109"/>
        <v>0.05</v>
      </c>
      <c r="N1157" s="464">
        <f t="shared" si="110"/>
        <v>86259</v>
      </c>
    </row>
    <row r="1158" spans="7:14" ht="11.25" customHeight="1" x14ac:dyDescent="0.3">
      <c r="G1158" s="459">
        <f t="shared" si="120"/>
        <v>96</v>
      </c>
      <c r="H1158" s="459">
        <v>1151</v>
      </c>
      <c r="I1158" s="444">
        <f t="shared" ca="1" si="108"/>
        <v>2073230.8493477337</v>
      </c>
      <c r="J1158" s="444">
        <f t="array" ref="J1158">IFERROR(INDEX('Retirement Calculator'!J:J,MATCH('Isaac 401k'!N1158,'Retirement Calculator'!A:A,0),0),0)</f>
        <v>7896.2379798201846</v>
      </c>
      <c r="K1158" s="444">
        <f t="shared" ca="1" si="105"/>
        <v>8605.5608806996388</v>
      </c>
      <c r="L1158" s="444">
        <f t="shared" ca="1" si="106"/>
        <v>2073940.1722486131</v>
      </c>
      <c r="M1158" s="460">
        <f t="shared" si="109"/>
        <v>0.05</v>
      </c>
      <c r="N1158" s="464">
        <f t="shared" si="110"/>
        <v>86290</v>
      </c>
    </row>
    <row r="1159" spans="7:14" ht="11.25" customHeight="1" x14ac:dyDescent="0.3">
      <c r="G1159" s="459">
        <f t="shared" si="120"/>
        <v>96</v>
      </c>
      <c r="H1159" s="459">
        <v>1152</v>
      </c>
      <c r="I1159" s="444">
        <f t="shared" ca="1" si="108"/>
        <v>2073940.1722486131</v>
      </c>
      <c r="J1159" s="444">
        <f t="array" ref="J1159">IFERROR(INDEX('Retirement Calculator'!J:J,MATCH('Isaac 401k'!N1159,'Retirement Calculator'!A:A,0),0),0)</f>
        <v>7896.2379798201846</v>
      </c>
      <c r="K1159" s="444">
        <f t="shared" ca="1" si="105"/>
        <v>8608.5163927866379</v>
      </c>
      <c r="L1159" s="444">
        <f t="shared" ca="1" si="106"/>
        <v>2074652.4506615796</v>
      </c>
      <c r="M1159" s="460">
        <f t="shared" si="109"/>
        <v>0.05</v>
      </c>
      <c r="N1159" s="464">
        <f t="shared" si="110"/>
        <v>86320</v>
      </c>
    </row>
    <row r="1160" spans="7:14" ht="11.25" customHeight="1" x14ac:dyDescent="0.3">
      <c r="G1160" s="459">
        <f>G1159+1</f>
        <v>97</v>
      </c>
      <c r="H1160" s="459">
        <v>1153</v>
      </c>
      <c r="I1160" s="444">
        <f t="shared" ca="1" si="108"/>
        <v>2074652.4506615796</v>
      </c>
      <c r="J1160" s="444">
        <f t="array" ref="J1160">IFERROR(INDEX('Retirement Calculator'!J:J,MATCH('Isaac 401k'!N1160,'Retirement Calculator'!A:A,0),0),0)</f>
        <v>7896.2379798201846</v>
      </c>
      <c r="K1160" s="444">
        <f t="shared" ca="1" si="105"/>
        <v>8611.4842195073306</v>
      </c>
      <c r="L1160" s="444">
        <f t="shared" ca="1" si="106"/>
        <v>2075367.6969012667</v>
      </c>
      <c r="M1160" s="460">
        <f t="shared" si="109"/>
        <v>0.05</v>
      </c>
      <c r="N1160" s="464">
        <f t="shared" si="110"/>
        <v>86351</v>
      </c>
    </row>
    <row r="1161" spans="7:14" ht="11.25" customHeight="1" x14ac:dyDescent="0.3">
      <c r="G1161" s="459">
        <f t="shared" ref="G1161:G1171" si="121">G1160</f>
        <v>97</v>
      </c>
      <c r="H1161" s="459">
        <v>1154</v>
      </c>
      <c r="I1161" s="444">
        <f t="shared" ca="1" si="108"/>
        <v>2075367.6969012667</v>
      </c>
      <c r="J1161" s="444">
        <f t="array" ref="J1161">IFERROR(INDEX('Retirement Calculator'!J:J,MATCH('Isaac 401k'!N1161,'Retirement Calculator'!A:A,0),0),0)</f>
        <v>7896.2379798201846</v>
      </c>
      <c r="K1161" s="444">
        <f t="shared" ca="1" si="105"/>
        <v>8614.4644121726942</v>
      </c>
      <c r="L1161" s="444">
        <f t="shared" ca="1" si="106"/>
        <v>2076085.9233336193</v>
      </c>
      <c r="M1161" s="460">
        <f t="shared" si="109"/>
        <v>0.05</v>
      </c>
      <c r="N1161" s="464">
        <f t="shared" si="110"/>
        <v>86381</v>
      </c>
    </row>
    <row r="1162" spans="7:14" ht="11.25" customHeight="1" x14ac:dyDescent="0.3">
      <c r="G1162" s="459">
        <f t="shared" si="121"/>
        <v>97</v>
      </c>
      <c r="H1162" s="459">
        <v>1155</v>
      </c>
      <c r="I1162" s="444">
        <f t="shared" ca="1" si="108"/>
        <v>2076085.9233336193</v>
      </c>
      <c r="J1162" s="444">
        <f t="array" ref="J1162">IFERROR(INDEX('Retirement Calculator'!J:J,MATCH('Isaac 401k'!N1162,'Retirement Calculator'!A:A,0),0),0)</f>
        <v>7896.2379798201846</v>
      </c>
      <c r="K1162" s="444">
        <f t="shared" ca="1" si="105"/>
        <v>8617.4570223074952</v>
      </c>
      <c r="L1162" s="444">
        <f t="shared" ca="1" si="106"/>
        <v>2076807.1423761065</v>
      </c>
      <c r="M1162" s="460">
        <f t="shared" si="109"/>
        <v>0.05</v>
      </c>
      <c r="N1162" s="464">
        <f t="shared" si="110"/>
        <v>86412</v>
      </c>
    </row>
    <row r="1163" spans="7:14" ht="11.25" customHeight="1" x14ac:dyDescent="0.3">
      <c r="G1163" s="459">
        <f t="shared" si="121"/>
        <v>97</v>
      </c>
      <c r="H1163" s="459">
        <v>1156</v>
      </c>
      <c r="I1163" s="444">
        <f t="shared" ca="1" si="108"/>
        <v>2076807.1423761065</v>
      </c>
      <c r="J1163" s="444">
        <f t="array" ref="J1163">IFERROR(INDEX('Retirement Calculator'!J:J,MATCH('Isaac 401k'!N1163,'Retirement Calculator'!A:A,0),0),0)</f>
        <v>7896.2379798201846</v>
      </c>
      <c r="K1163" s="444">
        <f t="shared" ca="1" si="105"/>
        <v>8620.4621016511919</v>
      </c>
      <c r="L1163" s="444">
        <f t="shared" ca="1" si="106"/>
        <v>2077531.3664979374</v>
      </c>
      <c r="M1163" s="460">
        <f t="shared" si="109"/>
        <v>0.05</v>
      </c>
      <c r="N1163" s="464">
        <f t="shared" si="110"/>
        <v>86443</v>
      </c>
    </row>
    <row r="1164" spans="7:14" ht="11.25" customHeight="1" x14ac:dyDescent="0.3">
      <c r="G1164" s="459">
        <f t="shared" si="121"/>
        <v>97</v>
      </c>
      <c r="H1164" s="459">
        <v>1157</v>
      </c>
      <c r="I1164" s="444">
        <f t="shared" ca="1" si="108"/>
        <v>2077531.3664979374</v>
      </c>
      <c r="J1164" s="444">
        <f t="array" ref="J1164">IFERROR(INDEX('Retirement Calculator'!J:J,MATCH('Isaac 401k'!N1164,'Retirement Calculator'!A:A,0),0),0)</f>
        <v>7896.2379798201846</v>
      </c>
      <c r="K1164" s="444">
        <f t="shared" ca="1" si="105"/>
        <v>8623.479702158822</v>
      </c>
      <c r="L1164" s="444">
        <f t="shared" ca="1" si="106"/>
        <v>2078258.608220276</v>
      </c>
      <c r="M1164" s="460">
        <f t="shared" si="109"/>
        <v>0.05</v>
      </c>
      <c r="N1164" s="464">
        <f t="shared" si="110"/>
        <v>86473</v>
      </c>
    </row>
    <row r="1165" spans="7:14" ht="11.25" customHeight="1" x14ac:dyDescent="0.3">
      <c r="G1165" s="459">
        <f t="shared" si="121"/>
        <v>97</v>
      </c>
      <c r="H1165" s="459">
        <v>1158</v>
      </c>
      <c r="I1165" s="444">
        <f t="shared" ca="1" si="108"/>
        <v>2078258.608220276</v>
      </c>
      <c r="J1165" s="444">
        <f t="array" ref="J1165">IFERROR(INDEX('Retirement Calculator'!J:J,MATCH('Isaac 401k'!N1165,'Retirement Calculator'!A:A,0),0),0)</f>
        <v>7896.2379798201846</v>
      </c>
      <c r="K1165" s="444">
        <f t="shared" ca="1" si="105"/>
        <v>8626.5098760018991</v>
      </c>
      <c r="L1165" s="444">
        <f t="shared" ca="1" si="106"/>
        <v>2078988.8801164576</v>
      </c>
      <c r="M1165" s="460">
        <f t="shared" si="109"/>
        <v>0.05</v>
      </c>
      <c r="N1165" s="464">
        <f t="shared" si="110"/>
        <v>86504</v>
      </c>
    </row>
    <row r="1166" spans="7:14" ht="11.25" customHeight="1" x14ac:dyDescent="0.3">
      <c r="G1166" s="459">
        <f t="shared" si="121"/>
        <v>97</v>
      </c>
      <c r="H1166" s="459">
        <v>1159</v>
      </c>
      <c r="I1166" s="444">
        <f t="shared" ca="1" si="108"/>
        <v>2078988.8801164576</v>
      </c>
      <c r="J1166" s="444">
        <f t="array" ref="J1166">IFERROR(INDEX('Retirement Calculator'!J:J,MATCH('Isaac 401k'!N1166,'Retirement Calculator'!A:A,0),0),0)</f>
        <v>7896.2379798201846</v>
      </c>
      <c r="K1166" s="444">
        <f t="shared" ca="1" si="105"/>
        <v>8629.5526755693227</v>
      </c>
      <c r="L1166" s="444">
        <f t="shared" ca="1" si="106"/>
        <v>2079722.1948122068</v>
      </c>
      <c r="M1166" s="460">
        <f t="shared" si="109"/>
        <v>0.05</v>
      </c>
      <c r="N1166" s="464">
        <f t="shared" si="110"/>
        <v>86534</v>
      </c>
    </row>
    <row r="1167" spans="7:14" ht="11.25" customHeight="1" x14ac:dyDescent="0.3">
      <c r="G1167" s="459">
        <f t="shared" si="121"/>
        <v>97</v>
      </c>
      <c r="H1167" s="459">
        <v>1160</v>
      </c>
      <c r="I1167" s="444">
        <f t="shared" ca="1" si="108"/>
        <v>2079722.1948122068</v>
      </c>
      <c r="J1167" s="444">
        <f t="array" ref="J1167">IFERROR(INDEX('Retirement Calculator'!J:J,MATCH('Isaac 401k'!N1167,'Retirement Calculator'!A:A,0),0),0)</f>
        <v>7896.2379798201846</v>
      </c>
      <c r="K1167" s="444">
        <f t="shared" ca="1" si="105"/>
        <v>8632.6081534682762</v>
      </c>
      <c r="L1167" s="444">
        <f t="shared" ca="1" si="106"/>
        <v>2080458.5649858548</v>
      </c>
      <c r="M1167" s="460">
        <f t="shared" si="109"/>
        <v>0.05</v>
      </c>
      <c r="N1167" s="464">
        <f t="shared" si="110"/>
        <v>86565</v>
      </c>
    </row>
    <row r="1168" spans="7:14" ht="11.25" customHeight="1" x14ac:dyDescent="0.3">
      <c r="G1168" s="459">
        <f t="shared" si="121"/>
        <v>97</v>
      </c>
      <c r="H1168" s="459">
        <v>1161</v>
      </c>
      <c r="I1168" s="444">
        <f t="shared" ca="1" si="108"/>
        <v>2080458.5649858548</v>
      </c>
      <c r="J1168" s="444">
        <f t="array" ref="J1168">IFERROR(INDEX('Retirement Calculator'!J:J,MATCH('Isaac 401k'!N1168,'Retirement Calculator'!A:A,0),0),0)</f>
        <v>7896.2379798201846</v>
      </c>
      <c r="K1168" s="444">
        <f t="shared" ca="1" si="105"/>
        <v>8635.6763625251442</v>
      </c>
      <c r="L1168" s="444">
        <f t="shared" ca="1" si="106"/>
        <v>2081198.0033685598</v>
      </c>
      <c r="M1168" s="460">
        <f t="shared" si="109"/>
        <v>0.05</v>
      </c>
      <c r="N1168" s="464">
        <f t="shared" si="110"/>
        <v>86596</v>
      </c>
    </row>
    <row r="1169" spans="7:14" ht="11.25" customHeight="1" x14ac:dyDescent="0.3">
      <c r="G1169" s="459">
        <f t="shared" si="121"/>
        <v>97</v>
      </c>
      <c r="H1169" s="459">
        <v>1162</v>
      </c>
      <c r="I1169" s="444">
        <f t="shared" ca="1" si="108"/>
        <v>2081198.0033685598</v>
      </c>
      <c r="J1169" s="444">
        <f t="array" ref="J1169">IFERROR(INDEX('Retirement Calculator'!J:J,MATCH('Isaac 401k'!N1169,'Retirement Calculator'!A:A,0),0),0)</f>
        <v>0</v>
      </c>
      <c r="K1169" s="444">
        <f t="shared" ca="1" si="105"/>
        <v>8671.6583473689989</v>
      </c>
      <c r="L1169" s="444">
        <f t="shared" ca="1" si="106"/>
        <v>2089869.6617159287</v>
      </c>
      <c r="M1169" s="460">
        <f t="shared" si="109"/>
        <v>0.05</v>
      </c>
      <c r="N1169" s="464">
        <f t="shared" si="110"/>
        <v>86624</v>
      </c>
    </row>
    <row r="1170" spans="7:14" ht="11.25" customHeight="1" x14ac:dyDescent="0.3">
      <c r="G1170" s="459">
        <f t="shared" si="121"/>
        <v>97</v>
      </c>
      <c r="H1170" s="459">
        <v>1163</v>
      </c>
      <c r="I1170" s="444">
        <f t="shared" ca="1" si="108"/>
        <v>2089869.6617159287</v>
      </c>
      <c r="J1170" s="444">
        <f t="array" ref="J1170">IFERROR(INDEX('Retirement Calculator'!J:J,MATCH('Isaac 401k'!N1170,'Retirement Calculator'!A:A,0),0),0)</f>
        <v>0</v>
      </c>
      <c r="K1170" s="444">
        <f t="shared" ca="1" si="105"/>
        <v>8707.7902571497016</v>
      </c>
      <c r="L1170" s="444">
        <f t="shared" ca="1" si="106"/>
        <v>2098577.4519730783</v>
      </c>
      <c r="M1170" s="460">
        <f t="shared" si="109"/>
        <v>0.05</v>
      </c>
      <c r="N1170" s="464">
        <f t="shared" si="110"/>
        <v>86655</v>
      </c>
    </row>
    <row r="1171" spans="7:14" ht="11.25" customHeight="1" x14ac:dyDescent="0.3">
      <c r="G1171" s="459">
        <f t="shared" si="121"/>
        <v>97</v>
      </c>
      <c r="H1171" s="459">
        <v>1164</v>
      </c>
      <c r="I1171" s="444">
        <f t="shared" ca="1" si="108"/>
        <v>2098577.4519730783</v>
      </c>
      <c r="J1171" s="444">
        <f t="array" ref="J1171">IFERROR(INDEX('Retirement Calculator'!J:J,MATCH('Isaac 401k'!N1171,'Retirement Calculator'!A:A,0),0),0)</f>
        <v>0</v>
      </c>
      <c r="K1171" s="444">
        <f t="shared" ca="1" si="105"/>
        <v>8744.0727165544922</v>
      </c>
      <c r="L1171" s="444">
        <f t="shared" ca="1" si="106"/>
        <v>2107321.5246896329</v>
      </c>
      <c r="M1171" s="460">
        <f t="shared" si="109"/>
        <v>0.05</v>
      </c>
      <c r="N1171" s="464">
        <f t="shared" si="110"/>
        <v>86685</v>
      </c>
    </row>
    <row r="1172" spans="7:14" ht="11.25" customHeight="1" x14ac:dyDescent="0.3">
      <c r="G1172" s="459">
        <f>G1171+1</f>
        <v>98</v>
      </c>
      <c r="H1172" s="459">
        <v>1165</v>
      </c>
      <c r="I1172" s="444">
        <f t="shared" ca="1" si="108"/>
        <v>2107321.5246896329</v>
      </c>
      <c r="J1172" s="444">
        <f t="array" ref="J1172">IFERROR(INDEX('Retirement Calculator'!J:J,MATCH('Isaac 401k'!N1172,'Retirement Calculator'!A:A,0),0),0)</f>
        <v>0</v>
      </c>
      <c r="K1172" s="444">
        <f t="shared" ca="1" si="105"/>
        <v>8780.50635287347</v>
      </c>
      <c r="L1172" s="444">
        <f t="shared" ca="1" si="106"/>
        <v>2116102.0310425065</v>
      </c>
      <c r="M1172" s="460">
        <f t="shared" si="109"/>
        <v>0.05</v>
      </c>
      <c r="N1172" s="464">
        <f t="shared" si="110"/>
        <v>86716</v>
      </c>
    </row>
    <row r="1173" spans="7:14" ht="11.25" customHeight="1" x14ac:dyDescent="0.3">
      <c r="G1173" s="459">
        <f t="shared" ref="G1173:G1183" si="122">G1172</f>
        <v>98</v>
      </c>
      <c r="H1173" s="459">
        <v>1166</v>
      </c>
      <c r="I1173" s="444">
        <f t="shared" ca="1" si="108"/>
        <v>2116102.0310425065</v>
      </c>
      <c r="J1173" s="444">
        <f t="array" ref="J1173">IFERROR(INDEX('Retirement Calculator'!J:J,MATCH('Isaac 401k'!N1173,'Retirement Calculator'!A:A,0),0),0)</f>
        <v>0</v>
      </c>
      <c r="K1173" s="444">
        <f t="shared" ca="1" si="105"/>
        <v>8817.0917960104434</v>
      </c>
      <c r="L1173" s="444">
        <f t="shared" ca="1" si="106"/>
        <v>2124919.1228385167</v>
      </c>
      <c r="M1173" s="460">
        <f t="shared" si="109"/>
        <v>0.05</v>
      </c>
      <c r="N1173" s="464">
        <f t="shared" si="110"/>
        <v>86746</v>
      </c>
    </row>
    <row r="1174" spans="7:14" ht="11.25" customHeight="1" x14ac:dyDescent="0.3">
      <c r="G1174" s="459">
        <f t="shared" si="122"/>
        <v>98</v>
      </c>
      <c r="H1174" s="459">
        <v>1167</v>
      </c>
      <c r="I1174" s="444">
        <f t="shared" ca="1" si="108"/>
        <v>2124919.1228385167</v>
      </c>
      <c r="J1174" s="444">
        <f t="array" ref="J1174">IFERROR(INDEX('Retirement Calculator'!J:J,MATCH('Isaac 401k'!N1174,'Retirement Calculator'!A:A,0),0),0)</f>
        <v>0</v>
      </c>
      <c r="K1174" s="444">
        <f t="shared" ca="1" si="105"/>
        <v>8853.8296784938193</v>
      </c>
      <c r="L1174" s="444">
        <f t="shared" ca="1" si="106"/>
        <v>2133772.9525170107</v>
      </c>
      <c r="M1174" s="460">
        <f t="shared" si="109"/>
        <v>0.05</v>
      </c>
      <c r="N1174" s="464">
        <f t="shared" si="110"/>
        <v>86777</v>
      </c>
    </row>
    <row r="1175" spans="7:14" ht="11.25" customHeight="1" x14ac:dyDescent="0.3">
      <c r="G1175" s="459">
        <f t="shared" si="122"/>
        <v>98</v>
      </c>
      <c r="H1175" s="459">
        <v>1168</v>
      </c>
      <c r="I1175" s="444">
        <f t="shared" ca="1" si="108"/>
        <v>2133772.9525170107</v>
      </c>
      <c r="J1175" s="444">
        <f t="array" ref="J1175">IFERROR(INDEX('Retirement Calculator'!J:J,MATCH('Isaac 401k'!N1175,'Retirement Calculator'!A:A,0),0),0)</f>
        <v>0</v>
      </c>
      <c r="K1175" s="444">
        <f t="shared" ca="1" si="105"/>
        <v>8890.7206354875452</v>
      </c>
      <c r="L1175" s="444">
        <f t="shared" ca="1" si="106"/>
        <v>2142663.6731524984</v>
      </c>
      <c r="M1175" s="460">
        <f t="shared" si="109"/>
        <v>0.05</v>
      </c>
      <c r="N1175" s="464">
        <f t="shared" si="110"/>
        <v>86808</v>
      </c>
    </row>
    <row r="1176" spans="7:14" ht="11.25" customHeight="1" x14ac:dyDescent="0.3">
      <c r="G1176" s="459">
        <f t="shared" si="122"/>
        <v>98</v>
      </c>
      <c r="H1176" s="459">
        <v>1169</v>
      </c>
      <c r="I1176" s="444">
        <f t="shared" ca="1" si="108"/>
        <v>2142663.6731524984</v>
      </c>
      <c r="J1176" s="444">
        <f t="array" ref="J1176">IFERROR(INDEX('Retirement Calculator'!J:J,MATCH('Isaac 401k'!N1176,'Retirement Calculator'!A:A,0),0),0)</f>
        <v>0</v>
      </c>
      <c r="K1176" s="444">
        <f t="shared" ca="1" si="105"/>
        <v>8927.7653048020766</v>
      </c>
      <c r="L1176" s="444">
        <f t="shared" ca="1" si="106"/>
        <v>2151591.4384573004</v>
      </c>
      <c r="M1176" s="460">
        <f t="shared" si="109"/>
        <v>0.05</v>
      </c>
      <c r="N1176" s="464">
        <f t="shared" si="110"/>
        <v>86838</v>
      </c>
    </row>
    <row r="1177" spans="7:14" ht="11.25" customHeight="1" x14ac:dyDescent="0.3">
      <c r="G1177" s="459">
        <f t="shared" si="122"/>
        <v>98</v>
      </c>
      <c r="H1177" s="459">
        <v>1170</v>
      </c>
      <c r="I1177" s="444">
        <f t="shared" ca="1" si="108"/>
        <v>2151591.4384573004</v>
      </c>
      <c r="J1177" s="444">
        <f t="array" ref="J1177">IFERROR(INDEX('Retirement Calculator'!J:J,MATCH('Isaac 401k'!N1177,'Retirement Calculator'!A:A,0),0),0)</f>
        <v>0</v>
      </c>
      <c r="K1177" s="444">
        <f t="shared" ca="1" si="105"/>
        <v>8964.9643269054177</v>
      </c>
      <c r="L1177" s="444">
        <f t="shared" ca="1" si="106"/>
        <v>2160556.402784206</v>
      </c>
      <c r="M1177" s="460">
        <f t="shared" si="109"/>
        <v>0.05</v>
      </c>
      <c r="N1177" s="464">
        <f t="shared" si="110"/>
        <v>86869</v>
      </c>
    </row>
    <row r="1178" spans="7:14" ht="11.25" customHeight="1" x14ac:dyDescent="0.3">
      <c r="G1178" s="459">
        <f t="shared" si="122"/>
        <v>98</v>
      </c>
      <c r="H1178" s="459">
        <v>1171</v>
      </c>
      <c r="I1178" s="444">
        <f t="shared" ca="1" si="108"/>
        <v>2160556.402784206</v>
      </c>
      <c r="J1178" s="444">
        <f t="array" ref="J1178">IFERROR(INDEX('Retirement Calculator'!J:J,MATCH('Isaac 401k'!N1178,'Retirement Calculator'!A:A,0),0),0)</f>
        <v>0</v>
      </c>
      <c r="K1178" s="444">
        <f t="shared" ca="1" si="105"/>
        <v>9002.3183449341923</v>
      </c>
      <c r="L1178" s="444">
        <f t="shared" ca="1" si="106"/>
        <v>2169558.7211291404</v>
      </c>
      <c r="M1178" s="460">
        <f t="shared" si="109"/>
        <v>0.05</v>
      </c>
      <c r="N1178" s="464">
        <f t="shared" si="110"/>
        <v>86899</v>
      </c>
    </row>
    <row r="1179" spans="7:14" ht="11.25" customHeight="1" x14ac:dyDescent="0.3">
      <c r="G1179" s="459">
        <f t="shared" si="122"/>
        <v>98</v>
      </c>
      <c r="H1179" s="459">
        <v>1172</v>
      </c>
      <c r="I1179" s="444">
        <f t="shared" ca="1" si="108"/>
        <v>2169558.7211291404</v>
      </c>
      <c r="J1179" s="444">
        <f t="array" ref="J1179">IFERROR(INDEX('Retirement Calculator'!J:J,MATCH('Isaac 401k'!N1179,'Retirement Calculator'!A:A,0),0),0)</f>
        <v>0</v>
      </c>
      <c r="K1179" s="444">
        <f t="shared" ca="1" si="105"/>
        <v>9039.8280047047519</v>
      </c>
      <c r="L1179" s="444">
        <f t="shared" ca="1" si="106"/>
        <v>2178598.5491338451</v>
      </c>
      <c r="M1179" s="460">
        <f t="shared" si="109"/>
        <v>0.05</v>
      </c>
      <c r="N1179" s="464">
        <f t="shared" si="110"/>
        <v>86930</v>
      </c>
    </row>
    <row r="1180" spans="7:14" ht="11.25" customHeight="1" x14ac:dyDescent="0.3">
      <c r="G1180" s="459">
        <f t="shared" si="122"/>
        <v>98</v>
      </c>
      <c r="H1180" s="459">
        <v>1173</v>
      </c>
      <c r="I1180" s="444">
        <f t="shared" ca="1" si="108"/>
        <v>2178598.5491338451</v>
      </c>
      <c r="J1180" s="444">
        <f t="array" ref="J1180">IFERROR(INDEX('Retirement Calculator'!J:J,MATCH('Isaac 401k'!N1180,'Retirement Calculator'!A:A,0),0),0)</f>
        <v>0</v>
      </c>
      <c r="K1180" s="444">
        <f t="shared" ca="1" si="105"/>
        <v>9077.4939547243539</v>
      </c>
      <c r="L1180" s="444">
        <f t="shared" ca="1" si="106"/>
        <v>2187676.0430885693</v>
      </c>
      <c r="M1180" s="460">
        <f t="shared" si="109"/>
        <v>0.05</v>
      </c>
      <c r="N1180" s="464">
        <f t="shared" si="110"/>
        <v>86961</v>
      </c>
    </row>
    <row r="1181" spans="7:14" ht="11.25" customHeight="1" x14ac:dyDescent="0.3">
      <c r="G1181" s="459">
        <f t="shared" si="122"/>
        <v>98</v>
      </c>
      <c r="H1181" s="459">
        <v>1174</v>
      </c>
      <c r="I1181" s="444">
        <f t="shared" ca="1" si="108"/>
        <v>2187676.0430885693</v>
      </c>
      <c r="J1181" s="444">
        <f t="array" ref="J1181">IFERROR(INDEX('Retirement Calculator'!J:J,MATCH('Isaac 401k'!N1181,'Retirement Calculator'!A:A,0),0),0)</f>
        <v>0</v>
      </c>
      <c r="K1181" s="444">
        <f t="shared" ca="1" si="105"/>
        <v>9115.3168462023714</v>
      </c>
      <c r="L1181" s="444">
        <f t="shared" ca="1" si="106"/>
        <v>2196791.3599347719</v>
      </c>
      <c r="M1181" s="460">
        <f t="shared" si="109"/>
        <v>0.05</v>
      </c>
      <c r="N1181" s="464">
        <f t="shared" si="110"/>
        <v>86989</v>
      </c>
    </row>
    <row r="1182" spans="7:14" ht="11.25" customHeight="1" x14ac:dyDescent="0.3">
      <c r="G1182" s="459">
        <f t="shared" si="122"/>
        <v>98</v>
      </c>
      <c r="H1182" s="459">
        <v>1175</v>
      </c>
      <c r="I1182" s="444">
        <f t="shared" ca="1" si="108"/>
        <v>2196791.3599347719</v>
      </c>
      <c r="J1182" s="444">
        <f t="array" ref="J1182">IFERROR(INDEX('Retirement Calculator'!J:J,MATCH('Isaac 401k'!N1182,'Retirement Calculator'!A:A,0),0),0)</f>
        <v>0</v>
      </c>
      <c r="K1182" s="444">
        <f t="shared" ca="1" si="105"/>
        <v>9153.2973330615496</v>
      </c>
      <c r="L1182" s="444">
        <f t="shared" ca="1" si="106"/>
        <v>2205944.6572678336</v>
      </c>
      <c r="M1182" s="460">
        <f t="shared" si="109"/>
        <v>0.05</v>
      </c>
      <c r="N1182" s="464">
        <f t="shared" si="110"/>
        <v>87020</v>
      </c>
    </row>
    <row r="1183" spans="7:14" ht="11.25" customHeight="1" x14ac:dyDescent="0.3">
      <c r="G1183" s="459">
        <f t="shared" si="122"/>
        <v>98</v>
      </c>
      <c r="H1183" s="459">
        <v>1176</v>
      </c>
      <c r="I1183" s="444">
        <f t="shared" ca="1" si="108"/>
        <v>2205944.6572678336</v>
      </c>
      <c r="J1183" s="444">
        <f t="array" ref="J1183">IFERROR(INDEX('Retirement Calculator'!J:J,MATCH('Isaac 401k'!N1183,'Retirement Calculator'!A:A,0),0),0)</f>
        <v>0</v>
      </c>
      <c r="K1183" s="444">
        <f t="shared" ca="1" si="105"/>
        <v>9191.436071949307</v>
      </c>
      <c r="L1183" s="444">
        <f t="shared" ca="1" si="106"/>
        <v>2215136.0933397827</v>
      </c>
      <c r="M1183" s="460">
        <f t="shared" si="109"/>
        <v>0.05</v>
      </c>
      <c r="N1183" s="464">
        <f t="shared" si="110"/>
        <v>87050</v>
      </c>
    </row>
    <row r="1184" spans="7:14" ht="11.25" customHeight="1" x14ac:dyDescent="0.3">
      <c r="G1184" s="459">
        <f>G1183+1</f>
        <v>99</v>
      </c>
      <c r="H1184" s="459">
        <v>1177</v>
      </c>
      <c r="I1184" s="444">
        <f t="shared" ca="1" si="108"/>
        <v>2215136.0933397827</v>
      </c>
      <c r="J1184" s="444">
        <f t="array" ref="J1184">IFERROR(INDEX('Retirement Calculator'!J:J,MATCH('Isaac 401k'!N1184,'Retirement Calculator'!A:A,0),0),0)</f>
        <v>0</v>
      </c>
      <c r="K1184" s="444">
        <f t="shared" ca="1" si="105"/>
        <v>9229.7337222490951</v>
      </c>
      <c r="L1184" s="444">
        <f t="shared" ca="1" si="106"/>
        <v>2224365.8270620317</v>
      </c>
      <c r="M1184" s="460">
        <f t="shared" si="109"/>
        <v>0.05</v>
      </c>
      <c r="N1184" s="464">
        <f t="shared" si="110"/>
        <v>87081</v>
      </c>
    </row>
    <row r="1185" spans="7:14" ht="11.25" customHeight="1" x14ac:dyDescent="0.3">
      <c r="G1185" s="459">
        <f t="shared" ref="G1185:G1195" si="123">G1184</f>
        <v>99</v>
      </c>
      <c r="H1185" s="459">
        <v>1178</v>
      </c>
      <c r="I1185" s="444">
        <f t="shared" ca="1" si="108"/>
        <v>2224365.8270620317</v>
      </c>
      <c r="J1185" s="444">
        <f t="array" ref="J1185">IFERROR(INDEX('Retirement Calculator'!J:J,MATCH('Isaac 401k'!N1185,'Retirement Calculator'!A:A,0),0),0)</f>
        <v>0</v>
      </c>
      <c r="K1185" s="444">
        <f t="shared" ca="1" si="105"/>
        <v>9268.1909460917996</v>
      </c>
      <c r="L1185" s="444">
        <f t="shared" ca="1" si="106"/>
        <v>2233634.0180081236</v>
      </c>
      <c r="M1185" s="460">
        <f t="shared" si="109"/>
        <v>0.05</v>
      </c>
      <c r="N1185" s="464">
        <f t="shared" si="110"/>
        <v>87111</v>
      </c>
    </row>
    <row r="1186" spans="7:14" ht="11.25" customHeight="1" x14ac:dyDescent="0.3">
      <c r="G1186" s="459">
        <f t="shared" si="123"/>
        <v>99</v>
      </c>
      <c r="H1186" s="459">
        <v>1179</v>
      </c>
      <c r="I1186" s="444">
        <f t="shared" ca="1" si="108"/>
        <v>2233634.0180081236</v>
      </c>
      <c r="J1186" s="444">
        <f t="array" ref="J1186">IFERROR(INDEX('Retirement Calculator'!J:J,MATCH('Isaac 401k'!N1186,'Retirement Calculator'!A:A,0),0),0)</f>
        <v>0</v>
      </c>
      <c r="K1186" s="444">
        <f t="shared" ca="1" si="105"/>
        <v>9306.808408367182</v>
      </c>
      <c r="L1186" s="444">
        <f t="shared" ca="1" si="106"/>
        <v>2242940.8264164906</v>
      </c>
      <c r="M1186" s="460">
        <f t="shared" si="109"/>
        <v>0.05</v>
      </c>
      <c r="N1186" s="464">
        <f t="shared" si="110"/>
        <v>87142</v>
      </c>
    </row>
    <row r="1187" spans="7:14" ht="11.25" customHeight="1" x14ac:dyDescent="0.3">
      <c r="G1187" s="459">
        <f t="shared" si="123"/>
        <v>99</v>
      </c>
      <c r="H1187" s="459">
        <v>1180</v>
      </c>
      <c r="I1187" s="444">
        <f t="shared" ca="1" si="108"/>
        <v>2242940.8264164906</v>
      </c>
      <c r="J1187" s="444">
        <f t="array" ref="J1187">IFERROR(INDEX('Retirement Calculator'!J:J,MATCH('Isaac 401k'!N1187,'Retirement Calculator'!A:A,0),0),0)</f>
        <v>0</v>
      </c>
      <c r="K1187" s="444">
        <f t="shared" ca="1" si="105"/>
        <v>9345.5867767353775</v>
      </c>
      <c r="L1187" s="444">
        <f t="shared" ca="1" si="106"/>
        <v>2252286.4131932259</v>
      </c>
      <c r="M1187" s="460">
        <f t="shared" si="109"/>
        <v>0.05</v>
      </c>
      <c r="N1187" s="464">
        <f t="shared" si="110"/>
        <v>87173</v>
      </c>
    </row>
    <row r="1188" spans="7:14" ht="11.25" customHeight="1" x14ac:dyDescent="0.3">
      <c r="G1188" s="459">
        <f t="shared" si="123"/>
        <v>99</v>
      </c>
      <c r="H1188" s="459">
        <v>1181</v>
      </c>
      <c r="I1188" s="444">
        <f t="shared" ca="1" si="108"/>
        <v>2252286.4131932259</v>
      </c>
      <c r="J1188" s="444">
        <f t="array" ref="J1188">IFERROR(INDEX('Retirement Calculator'!J:J,MATCH('Isaac 401k'!N1188,'Retirement Calculator'!A:A,0),0),0)</f>
        <v>0</v>
      </c>
      <c r="K1188" s="444">
        <f t="shared" ca="1" si="105"/>
        <v>9384.5267216384418</v>
      </c>
      <c r="L1188" s="444">
        <f t="shared" ca="1" si="106"/>
        <v>2261670.9399148645</v>
      </c>
      <c r="M1188" s="460">
        <f t="shared" si="109"/>
        <v>0.05</v>
      </c>
      <c r="N1188" s="464">
        <f t="shared" si="110"/>
        <v>87203</v>
      </c>
    </row>
    <row r="1189" spans="7:14" ht="11.25" customHeight="1" x14ac:dyDescent="0.3">
      <c r="G1189" s="459">
        <f t="shared" si="123"/>
        <v>99</v>
      </c>
      <c r="H1189" s="459">
        <v>1182</v>
      </c>
      <c r="I1189" s="444">
        <f t="shared" ca="1" si="108"/>
        <v>2261670.9399148645</v>
      </c>
      <c r="J1189" s="444">
        <f t="array" ref="J1189">IFERROR(INDEX('Retirement Calculator'!J:J,MATCH('Isaac 401k'!N1189,'Retirement Calculator'!A:A,0),0),0)</f>
        <v>0</v>
      </c>
      <c r="K1189" s="444">
        <f t="shared" ca="1" si="105"/>
        <v>9423.6289163119345</v>
      </c>
      <c r="L1189" s="444">
        <f t="shared" ca="1" si="106"/>
        <v>2271094.5688311765</v>
      </c>
      <c r="M1189" s="460">
        <f t="shared" si="109"/>
        <v>0.05</v>
      </c>
      <c r="N1189" s="464">
        <f t="shared" si="110"/>
        <v>87234</v>
      </c>
    </row>
    <row r="1190" spans="7:14" ht="11.25" customHeight="1" x14ac:dyDescent="0.3">
      <c r="G1190" s="459">
        <f t="shared" si="123"/>
        <v>99</v>
      </c>
      <c r="H1190" s="459">
        <v>1183</v>
      </c>
      <c r="I1190" s="444">
        <f t="shared" ca="1" si="108"/>
        <v>2271094.5688311765</v>
      </c>
      <c r="J1190" s="444">
        <f t="array" ref="J1190">IFERROR(INDEX('Retirement Calculator'!J:J,MATCH('Isaac 401k'!N1190,'Retirement Calculator'!A:A,0),0),0)</f>
        <v>0</v>
      </c>
      <c r="K1190" s="444">
        <f t="shared" ca="1" si="105"/>
        <v>9462.8940367965679</v>
      </c>
      <c r="L1190" s="444">
        <f t="shared" ca="1" si="106"/>
        <v>2280557.4628679729</v>
      </c>
      <c r="M1190" s="460">
        <f t="shared" si="109"/>
        <v>0.05</v>
      </c>
      <c r="N1190" s="464">
        <f t="shared" si="110"/>
        <v>87264</v>
      </c>
    </row>
    <row r="1191" spans="7:14" ht="11.25" customHeight="1" x14ac:dyDescent="0.3">
      <c r="G1191" s="459">
        <f t="shared" si="123"/>
        <v>99</v>
      </c>
      <c r="H1191" s="459">
        <v>1184</v>
      </c>
      <c r="I1191" s="444">
        <f t="shared" ca="1" si="108"/>
        <v>2280557.4628679729</v>
      </c>
      <c r="J1191" s="444">
        <f t="array" ref="J1191">IFERROR(INDEX('Retirement Calculator'!J:J,MATCH('Isaac 401k'!N1191,'Retirement Calculator'!A:A,0),0),0)</f>
        <v>0</v>
      </c>
      <c r="K1191" s="444">
        <f t="shared" ca="1" si="105"/>
        <v>9502.3227619498866</v>
      </c>
      <c r="L1191" s="444">
        <f t="shared" ca="1" si="106"/>
        <v>2290059.785629923</v>
      </c>
      <c r="M1191" s="460">
        <f t="shared" si="109"/>
        <v>0.05</v>
      </c>
      <c r="N1191" s="464">
        <f t="shared" si="110"/>
        <v>87295</v>
      </c>
    </row>
    <row r="1192" spans="7:14" ht="11.25" customHeight="1" x14ac:dyDescent="0.3">
      <c r="G1192" s="459">
        <f t="shared" si="123"/>
        <v>99</v>
      </c>
      <c r="H1192" s="459">
        <v>1185</v>
      </c>
      <c r="I1192" s="444">
        <f t="shared" ca="1" si="108"/>
        <v>2290059.785629923</v>
      </c>
      <c r="J1192" s="444">
        <f t="array" ref="J1192">IFERROR(INDEX('Retirement Calculator'!J:J,MATCH('Isaac 401k'!N1192,'Retirement Calculator'!A:A,0),0),0)</f>
        <v>0</v>
      </c>
      <c r="K1192" s="444">
        <f t="shared" ca="1" si="105"/>
        <v>9541.9157734580131</v>
      </c>
      <c r="L1192" s="444">
        <f t="shared" ca="1" si="106"/>
        <v>2299601.7014033808</v>
      </c>
      <c r="M1192" s="460">
        <f t="shared" si="109"/>
        <v>0.05</v>
      </c>
      <c r="N1192" s="464">
        <f t="shared" si="110"/>
        <v>87326</v>
      </c>
    </row>
    <row r="1193" spans="7:14" ht="11.25" customHeight="1" x14ac:dyDescent="0.3">
      <c r="G1193" s="459">
        <f t="shared" si="123"/>
        <v>99</v>
      </c>
      <c r="H1193" s="459">
        <v>1186</v>
      </c>
      <c r="I1193" s="444">
        <f t="shared" ca="1" si="108"/>
        <v>2299601.7014033808</v>
      </c>
      <c r="J1193" s="444">
        <f t="array" ref="J1193">IFERROR(INDEX('Retirement Calculator'!J:J,MATCH('Isaac 401k'!N1193,'Retirement Calculator'!A:A,0),0),0)</f>
        <v>0</v>
      </c>
      <c r="K1193" s="444">
        <f t="shared" ca="1" si="105"/>
        <v>9581.6737558474197</v>
      </c>
      <c r="L1193" s="444">
        <f t="shared" ca="1" si="106"/>
        <v>2309183.3751592282</v>
      </c>
      <c r="M1193" s="460">
        <f t="shared" si="109"/>
        <v>0.05</v>
      </c>
      <c r="N1193" s="464">
        <f t="shared" si="110"/>
        <v>87354</v>
      </c>
    </row>
    <row r="1194" spans="7:14" ht="11.25" customHeight="1" x14ac:dyDescent="0.3">
      <c r="G1194" s="459">
        <f t="shared" si="123"/>
        <v>99</v>
      </c>
      <c r="H1194" s="459">
        <v>1187</v>
      </c>
      <c r="I1194" s="444">
        <f t="shared" ca="1" si="108"/>
        <v>2309183.3751592282</v>
      </c>
      <c r="J1194" s="444">
        <f t="array" ref="J1194">IFERROR(INDEX('Retirement Calculator'!J:J,MATCH('Isaac 401k'!N1194,'Retirement Calculator'!A:A,0),0),0)</f>
        <v>0</v>
      </c>
      <c r="K1194" s="444">
        <f t="shared" ca="1" si="105"/>
        <v>9621.5973964967834</v>
      </c>
      <c r="L1194" s="444">
        <f t="shared" ca="1" si="106"/>
        <v>2318804.9725557249</v>
      </c>
      <c r="M1194" s="460">
        <f t="shared" si="109"/>
        <v>0.05</v>
      </c>
      <c r="N1194" s="464">
        <f t="shared" si="110"/>
        <v>87385</v>
      </c>
    </row>
    <row r="1195" spans="7:14" ht="11.25" customHeight="1" x14ac:dyDescent="0.3">
      <c r="G1195" s="459">
        <f t="shared" si="123"/>
        <v>99</v>
      </c>
      <c r="H1195" s="459">
        <v>1188</v>
      </c>
      <c r="I1195" s="444">
        <f t="shared" ca="1" si="108"/>
        <v>2318804.9725557249</v>
      </c>
      <c r="J1195" s="444">
        <f t="array" ref="J1195">IFERROR(INDEX('Retirement Calculator'!J:J,MATCH('Isaac 401k'!N1195,'Retirement Calculator'!A:A,0),0),0)</f>
        <v>0</v>
      </c>
      <c r="K1195" s="444">
        <f t="shared" ca="1" si="105"/>
        <v>9661.6873856488528</v>
      </c>
      <c r="L1195" s="444">
        <f t="shared" ca="1" si="106"/>
        <v>2328466.6599413739</v>
      </c>
      <c r="M1195" s="460">
        <f t="shared" si="109"/>
        <v>0.05</v>
      </c>
      <c r="N1195" s="464">
        <f t="shared" si="110"/>
        <v>87415</v>
      </c>
    </row>
    <row r="1196" spans="7:14" ht="11.25" customHeight="1" x14ac:dyDescent="0.3">
      <c r="G1196" s="459">
        <f>G1195+1</f>
        <v>100</v>
      </c>
      <c r="H1196" s="459">
        <v>1189</v>
      </c>
      <c r="I1196" s="444">
        <f t="shared" ca="1" si="108"/>
        <v>2328466.6599413739</v>
      </c>
      <c r="J1196" s="444">
        <f t="array" ref="J1196">IFERROR(INDEX('Retirement Calculator'!J:J,MATCH('Isaac 401k'!N1196,'Retirement Calculator'!A:A,0),0),0)</f>
        <v>0</v>
      </c>
      <c r="K1196" s="444">
        <f t="shared" ca="1" si="105"/>
        <v>9701.9444164223914</v>
      </c>
      <c r="L1196" s="444">
        <f t="shared" ca="1" si="106"/>
        <v>2338168.6043577963</v>
      </c>
      <c r="M1196" s="460">
        <f t="shared" si="109"/>
        <v>0.05</v>
      </c>
      <c r="N1196" s="464">
        <f t="shared" si="110"/>
        <v>87446</v>
      </c>
    </row>
    <row r="1197" spans="7:14" ht="11.25" customHeight="1" x14ac:dyDescent="0.3">
      <c r="G1197" s="459">
        <f t="shared" ref="G1197:G1207" si="124">G1196</f>
        <v>100</v>
      </c>
      <c r="H1197" s="459">
        <v>1190</v>
      </c>
      <c r="I1197" s="444">
        <f t="shared" ca="1" si="108"/>
        <v>2338168.6043577963</v>
      </c>
      <c r="J1197" s="444">
        <f t="array" ref="J1197">IFERROR(INDEX('Retirement Calculator'!J:J,MATCH('Isaac 401k'!N1197,'Retirement Calculator'!A:A,0),0),0)</f>
        <v>0</v>
      </c>
      <c r="K1197" s="444">
        <f t="shared" ca="1" si="105"/>
        <v>9742.3691848241506</v>
      </c>
      <c r="L1197" s="444">
        <f t="shared" ca="1" si="106"/>
        <v>2347910.9735426204</v>
      </c>
      <c r="M1197" s="460">
        <f t="shared" si="109"/>
        <v>0.05</v>
      </c>
      <c r="N1197" s="464">
        <f t="shared" si="110"/>
        <v>87476</v>
      </c>
    </row>
    <row r="1198" spans="7:14" ht="11.25" customHeight="1" x14ac:dyDescent="0.3">
      <c r="G1198" s="459">
        <f t="shared" si="124"/>
        <v>100</v>
      </c>
      <c r="H1198" s="459">
        <v>1191</v>
      </c>
      <c r="I1198" s="444">
        <f t="shared" ca="1" si="108"/>
        <v>2347910.9735426204</v>
      </c>
      <c r="J1198" s="444">
        <f t="array" ref="J1198">IFERROR(INDEX('Retirement Calculator'!J:J,MATCH('Isaac 401k'!N1198,'Retirement Calculator'!A:A,0),0),0)</f>
        <v>0</v>
      </c>
      <c r="K1198" s="444">
        <f t="shared" ca="1" si="105"/>
        <v>9782.9623897609181</v>
      </c>
      <c r="L1198" s="444">
        <f t="shared" ca="1" si="106"/>
        <v>2357693.9359323815</v>
      </c>
      <c r="M1198" s="460">
        <f t="shared" si="109"/>
        <v>0.05</v>
      </c>
      <c r="N1198" s="464">
        <f t="shared" si="110"/>
        <v>87507</v>
      </c>
    </row>
    <row r="1199" spans="7:14" ht="11.25" customHeight="1" x14ac:dyDescent="0.3">
      <c r="G1199" s="459">
        <f t="shared" si="124"/>
        <v>100</v>
      </c>
      <c r="H1199" s="459">
        <v>1192</v>
      </c>
      <c r="I1199" s="444">
        <f t="shared" ca="1" si="108"/>
        <v>2357693.9359323815</v>
      </c>
      <c r="J1199" s="444">
        <f t="array" ref="J1199">IFERROR(INDEX('Retirement Calculator'!J:J,MATCH('Isaac 401k'!N1199,'Retirement Calculator'!A:A,0),0),0)</f>
        <v>0</v>
      </c>
      <c r="K1199" s="444">
        <f t="shared" ca="1" si="105"/>
        <v>9823.7247330515893</v>
      </c>
      <c r="L1199" s="444">
        <f t="shared" ca="1" si="106"/>
        <v>2367517.6606654329</v>
      </c>
      <c r="M1199" s="460">
        <f t="shared" si="109"/>
        <v>0.05</v>
      </c>
      <c r="N1199" s="464">
        <f t="shared" si="110"/>
        <v>87538</v>
      </c>
    </row>
    <row r="1200" spans="7:14" ht="11.25" customHeight="1" x14ac:dyDescent="0.3">
      <c r="G1200" s="459">
        <f t="shared" si="124"/>
        <v>100</v>
      </c>
      <c r="H1200" s="459">
        <v>1193</v>
      </c>
      <c r="I1200" s="444">
        <f t="shared" ca="1" si="108"/>
        <v>2367517.6606654329</v>
      </c>
      <c r="J1200" s="444">
        <f t="array" ref="J1200">IFERROR(INDEX('Retirement Calculator'!J:J,MATCH('Isaac 401k'!N1200,'Retirement Calculator'!A:A,0),0),0)</f>
        <v>0</v>
      </c>
      <c r="K1200" s="444">
        <f t="shared" ca="1" si="105"/>
        <v>9864.6569194393032</v>
      </c>
      <c r="L1200" s="444">
        <f t="shared" ca="1" si="106"/>
        <v>2377382.3175848722</v>
      </c>
      <c r="M1200" s="460">
        <f t="shared" si="109"/>
        <v>0.05</v>
      </c>
      <c r="N1200" s="464">
        <f t="shared" si="110"/>
        <v>87568</v>
      </c>
    </row>
    <row r="1201" spans="7:14" ht="11.25" customHeight="1" x14ac:dyDescent="0.3">
      <c r="G1201" s="459">
        <f t="shared" si="124"/>
        <v>100</v>
      </c>
      <c r="H1201" s="459">
        <v>1194</v>
      </c>
      <c r="I1201" s="444">
        <f t="shared" ca="1" si="108"/>
        <v>2377382.3175848722</v>
      </c>
      <c r="J1201" s="444">
        <f t="array" ref="J1201">IFERROR(INDEX('Retirement Calculator'!J:J,MATCH('Isaac 401k'!N1201,'Retirement Calculator'!A:A,0),0),0)</f>
        <v>0</v>
      </c>
      <c r="K1201" s="444">
        <f t="shared" ca="1" si="105"/>
        <v>9905.7596566036336</v>
      </c>
      <c r="L1201" s="444">
        <f t="shared" ca="1" si="106"/>
        <v>2387288.0772414757</v>
      </c>
      <c r="M1201" s="460">
        <f t="shared" si="109"/>
        <v>0.05</v>
      </c>
      <c r="N1201" s="464">
        <f t="shared" si="110"/>
        <v>87599</v>
      </c>
    </row>
    <row r="1202" spans="7:14" ht="11.25" customHeight="1" x14ac:dyDescent="0.3">
      <c r="G1202" s="459">
        <f t="shared" si="124"/>
        <v>100</v>
      </c>
      <c r="H1202" s="459">
        <v>1195</v>
      </c>
      <c r="I1202" s="444">
        <f t="shared" ca="1" si="108"/>
        <v>2387288.0772414757</v>
      </c>
      <c r="J1202" s="444">
        <f t="array" ref="J1202">IFERROR(INDEX('Retirement Calculator'!J:J,MATCH('Isaac 401k'!N1202,'Retirement Calculator'!A:A,0),0),0)</f>
        <v>0</v>
      </c>
      <c r="K1202" s="444">
        <f t="shared" ca="1" si="105"/>
        <v>9947.033655172816</v>
      </c>
      <c r="L1202" s="444">
        <f t="shared" ca="1" si="106"/>
        <v>2397235.1108966484</v>
      </c>
      <c r="M1202" s="460">
        <f t="shared" si="109"/>
        <v>0.05</v>
      </c>
      <c r="N1202" s="464">
        <f t="shared" si="110"/>
        <v>87629</v>
      </c>
    </row>
    <row r="1203" spans="7:14" ht="11.25" customHeight="1" x14ac:dyDescent="0.3">
      <c r="G1203" s="459">
        <f t="shared" si="124"/>
        <v>100</v>
      </c>
      <c r="H1203" s="459">
        <v>1196</v>
      </c>
      <c r="I1203" s="444">
        <f t="shared" ca="1" si="108"/>
        <v>2397235.1108966484</v>
      </c>
      <c r="J1203" s="444">
        <f t="array" ref="J1203">IFERROR(INDEX('Retirement Calculator'!J:J,MATCH('Isaac 401k'!N1203,'Retirement Calculator'!A:A,0),0),0)</f>
        <v>0</v>
      </c>
      <c r="K1203" s="444">
        <f t="shared" ca="1" si="105"/>
        <v>9988.479628736035</v>
      </c>
      <c r="L1203" s="444">
        <f t="shared" ca="1" si="106"/>
        <v>2407223.5905253845</v>
      </c>
      <c r="M1203" s="460">
        <f t="shared" si="109"/>
        <v>0.05</v>
      </c>
      <c r="N1203" s="464">
        <f t="shared" si="110"/>
        <v>87660</v>
      </c>
    </row>
    <row r="1204" spans="7:14" ht="11.25" customHeight="1" x14ac:dyDescent="0.3">
      <c r="G1204" s="459">
        <f t="shared" si="124"/>
        <v>100</v>
      </c>
      <c r="H1204" s="459">
        <v>1197</v>
      </c>
      <c r="I1204" s="444">
        <f t="shared" ca="1" si="108"/>
        <v>2407223.5905253845</v>
      </c>
      <c r="J1204" s="444">
        <f t="array" ref="J1204">IFERROR(INDEX('Retirement Calculator'!J:J,MATCH('Isaac 401k'!N1204,'Retirement Calculator'!A:A,0),0),0)</f>
        <v>0</v>
      </c>
      <c r="K1204" s="444">
        <f t="shared" ca="1" si="105"/>
        <v>10030.098293855768</v>
      </c>
      <c r="L1204" s="444">
        <f t="shared" ca="1" si="106"/>
        <v>2417253.6888192403</v>
      </c>
      <c r="M1204" s="460">
        <f t="shared" si="109"/>
        <v>0.05</v>
      </c>
      <c r="N1204" s="464">
        <f t="shared" si="110"/>
        <v>87691</v>
      </c>
    </row>
    <row r="1205" spans="7:14" ht="11.25" customHeight="1" x14ac:dyDescent="0.3">
      <c r="G1205" s="459">
        <f t="shared" si="124"/>
        <v>100</v>
      </c>
      <c r="H1205" s="459">
        <v>1198</v>
      </c>
      <c r="I1205" s="444">
        <f t="shared" ca="1" si="108"/>
        <v>2417253.6888192403</v>
      </c>
      <c r="J1205" s="444">
        <f t="array" ref="J1205">IFERROR(INDEX('Retirement Calculator'!J:J,MATCH('Isaac 401k'!N1205,'Retirement Calculator'!A:A,0),0),0)</f>
        <v>0</v>
      </c>
      <c r="K1205" s="444">
        <f t="shared" ca="1" si="105"/>
        <v>10071.890370080167</v>
      </c>
      <c r="L1205" s="444">
        <f t="shared" ca="1" si="106"/>
        <v>2427325.5791893206</v>
      </c>
      <c r="M1205" s="460">
        <f t="shared" si="109"/>
        <v>0.05</v>
      </c>
      <c r="N1205" s="464">
        <f t="shared" si="110"/>
        <v>87720</v>
      </c>
    </row>
    <row r="1206" spans="7:14" ht="11.25" customHeight="1" x14ac:dyDescent="0.3">
      <c r="G1206" s="459">
        <f t="shared" si="124"/>
        <v>100</v>
      </c>
      <c r="H1206" s="459">
        <v>1199</v>
      </c>
      <c r="I1206" s="444">
        <f t="shared" ca="1" si="108"/>
        <v>2427325.5791893206</v>
      </c>
      <c r="J1206" s="444">
        <f t="array" ref="J1206">IFERROR(INDEX('Retirement Calculator'!J:J,MATCH('Isaac 401k'!N1206,'Retirement Calculator'!A:A,0),0),0)</f>
        <v>0</v>
      </c>
      <c r="K1206" s="444">
        <f t="shared" ca="1" si="105"/>
        <v>10113.856579955502</v>
      </c>
      <c r="L1206" s="444">
        <f t="shared" ca="1" si="106"/>
        <v>2437439.4357692762</v>
      </c>
      <c r="M1206" s="460">
        <f t="shared" si="109"/>
        <v>0.05</v>
      </c>
      <c r="N1206" s="464">
        <f t="shared" si="110"/>
        <v>87751</v>
      </c>
    </row>
    <row r="1207" spans="7:14" ht="11.25" customHeight="1" x14ac:dyDescent="0.3">
      <c r="G1207" s="459">
        <f t="shared" si="124"/>
        <v>100</v>
      </c>
      <c r="H1207" s="459">
        <v>1200</v>
      </c>
      <c r="I1207" s="444">
        <f t="shared" ca="1" si="108"/>
        <v>2437439.4357692762</v>
      </c>
      <c r="J1207" s="444">
        <f t="array" ref="J1207">IFERROR(INDEX('Retirement Calculator'!J:J,MATCH('Isaac 401k'!N1207,'Retirement Calculator'!A:A,0),0),0)</f>
        <v>0</v>
      </c>
      <c r="K1207" s="444">
        <f t="shared" ca="1" si="105"/>
        <v>10155.997649038651</v>
      </c>
      <c r="L1207" s="444">
        <f t="shared" ca="1" si="106"/>
        <v>2447595.4334183149</v>
      </c>
      <c r="M1207" s="460">
        <f t="shared" si="109"/>
        <v>0.05</v>
      </c>
      <c r="N1207" s="464">
        <f t="shared" si="110"/>
        <v>87781</v>
      </c>
    </row>
    <row r="1208" spans="7:14" ht="11.25" customHeight="1" x14ac:dyDescent="0.3">
      <c r="G1208" s="459">
        <f>G1207+1</f>
        <v>101</v>
      </c>
      <c r="H1208" s="459">
        <v>1201</v>
      </c>
      <c r="I1208" s="444">
        <f t="shared" ca="1" si="108"/>
        <v>2447595.4334183149</v>
      </c>
      <c r="J1208" s="444">
        <f t="array" ref="J1208">IFERROR(INDEX('Retirement Calculator'!J:J,MATCH('Isaac 401k'!N1208,'Retirement Calculator'!A:A,0),0),0)</f>
        <v>0</v>
      </c>
      <c r="K1208" s="444">
        <f t="shared" ca="1" si="105"/>
        <v>10198.314305909646</v>
      </c>
      <c r="L1208" s="444">
        <f t="shared" ca="1" si="106"/>
        <v>2457793.7477242243</v>
      </c>
      <c r="M1208" s="460">
        <f t="shared" si="109"/>
        <v>0.05</v>
      </c>
      <c r="N1208" s="464">
        <f t="shared" si="110"/>
        <v>87812</v>
      </c>
    </row>
    <row r="1209" spans="7:14" ht="11.25" customHeight="1" x14ac:dyDescent="0.3">
      <c r="G1209" s="459">
        <f t="shared" ref="G1209:G1219" si="125">G1208</f>
        <v>101</v>
      </c>
      <c r="H1209" s="459">
        <v>1202</v>
      </c>
      <c r="I1209" s="444">
        <f t="shared" ca="1" si="108"/>
        <v>2457793.7477242243</v>
      </c>
      <c r="J1209" s="444">
        <f t="array" ref="J1209">IFERROR(INDEX('Retirement Calculator'!J:J,MATCH('Isaac 401k'!N1209,'Retirement Calculator'!A:A,0),0),0)</f>
        <v>0</v>
      </c>
      <c r="K1209" s="444">
        <f t="shared" ca="1" si="105"/>
        <v>10240.807282184269</v>
      </c>
      <c r="L1209" s="444">
        <f t="shared" ca="1" si="106"/>
        <v>2468034.5550064086</v>
      </c>
      <c r="M1209" s="460">
        <f t="shared" si="109"/>
        <v>0.05</v>
      </c>
      <c r="N1209" s="464">
        <f t="shared" si="110"/>
        <v>87842</v>
      </c>
    </row>
    <row r="1210" spans="7:14" ht="11.25" customHeight="1" x14ac:dyDescent="0.3">
      <c r="G1210" s="459">
        <f t="shared" si="125"/>
        <v>101</v>
      </c>
      <c r="H1210" s="459">
        <v>1203</v>
      </c>
      <c r="I1210" s="444">
        <f t="shared" ca="1" si="108"/>
        <v>2468034.5550064086</v>
      </c>
      <c r="J1210" s="444">
        <f t="array" ref="J1210">IFERROR(INDEX('Retirement Calculator'!J:J,MATCH('Isaac 401k'!N1210,'Retirement Calculator'!A:A,0),0),0)</f>
        <v>0</v>
      </c>
      <c r="K1210" s="444">
        <f t="shared" ca="1" si="105"/>
        <v>10283.477312526702</v>
      </c>
      <c r="L1210" s="444">
        <f t="shared" ca="1" si="106"/>
        <v>2478318.0323189353</v>
      </c>
      <c r="M1210" s="460">
        <f t="shared" si="109"/>
        <v>0.05</v>
      </c>
      <c r="N1210" s="464">
        <f t="shared" si="110"/>
        <v>87873</v>
      </c>
    </row>
    <row r="1211" spans="7:14" ht="11.25" customHeight="1" x14ac:dyDescent="0.3">
      <c r="G1211" s="459">
        <f t="shared" si="125"/>
        <v>101</v>
      </c>
      <c r="H1211" s="459">
        <v>1204</v>
      </c>
      <c r="I1211" s="444">
        <f t="shared" ca="1" si="108"/>
        <v>2478318.0323189353</v>
      </c>
      <c r="J1211" s="444">
        <f t="array" ref="J1211">IFERROR(INDEX('Retirement Calculator'!J:J,MATCH('Isaac 401k'!N1211,'Retirement Calculator'!A:A,0),0),0)</f>
        <v>0</v>
      </c>
      <c r="K1211" s="444">
        <f t="shared" ca="1" si="105"/>
        <v>10326.325134662231</v>
      </c>
      <c r="L1211" s="444">
        <f t="shared" ca="1" si="106"/>
        <v>2488644.3574535977</v>
      </c>
      <c r="M1211" s="460">
        <f t="shared" si="109"/>
        <v>0.05</v>
      </c>
      <c r="N1211" s="464">
        <f t="shared" si="110"/>
        <v>87904</v>
      </c>
    </row>
    <row r="1212" spans="7:14" ht="11.25" customHeight="1" x14ac:dyDescent="0.3">
      <c r="G1212" s="459">
        <f t="shared" si="125"/>
        <v>101</v>
      </c>
      <c r="H1212" s="459">
        <v>1205</v>
      </c>
      <c r="I1212" s="444">
        <f t="shared" ca="1" si="108"/>
        <v>2488644.3574535977</v>
      </c>
      <c r="J1212" s="444">
        <f t="array" ref="J1212">IFERROR(INDEX('Retirement Calculator'!J:J,MATCH('Isaac 401k'!N1212,'Retirement Calculator'!A:A,0),0),0)</f>
        <v>0</v>
      </c>
      <c r="K1212" s="444">
        <f t="shared" ca="1" si="105"/>
        <v>10369.35148938999</v>
      </c>
      <c r="L1212" s="444">
        <f t="shared" ca="1" si="106"/>
        <v>2499013.7089429875</v>
      </c>
      <c r="M1212" s="460">
        <f t="shared" si="109"/>
        <v>0.05</v>
      </c>
      <c r="N1212" s="464">
        <f t="shared" si="110"/>
        <v>87934</v>
      </c>
    </row>
    <row r="1213" spans="7:14" ht="11.25" customHeight="1" x14ac:dyDescent="0.3">
      <c r="G1213" s="459">
        <f t="shared" si="125"/>
        <v>101</v>
      </c>
      <c r="H1213" s="459">
        <v>1206</v>
      </c>
      <c r="I1213" s="444">
        <f t="shared" ca="1" si="108"/>
        <v>2499013.7089429875</v>
      </c>
      <c r="J1213" s="444">
        <f t="array" ref="J1213">IFERROR(INDEX('Retirement Calculator'!J:J,MATCH('Isaac 401k'!N1213,'Retirement Calculator'!A:A,0),0),0)</f>
        <v>0</v>
      </c>
      <c r="K1213" s="444">
        <f t="shared" ca="1" si="105"/>
        <v>10412.55712059578</v>
      </c>
      <c r="L1213" s="444">
        <f t="shared" ca="1" si="106"/>
        <v>2509426.2660635831</v>
      </c>
      <c r="M1213" s="460">
        <f t="shared" si="109"/>
        <v>0.05</v>
      </c>
      <c r="N1213" s="464">
        <f t="shared" si="110"/>
        <v>87965</v>
      </c>
    </row>
    <row r="1214" spans="7:14" ht="11.25" customHeight="1" x14ac:dyDescent="0.3">
      <c r="G1214" s="459">
        <f t="shared" si="125"/>
        <v>101</v>
      </c>
      <c r="H1214" s="459">
        <v>1207</v>
      </c>
      <c r="I1214" s="444">
        <f t="shared" ca="1" si="108"/>
        <v>2509426.2660635831</v>
      </c>
      <c r="J1214" s="444">
        <f t="array" ref="J1214">IFERROR(INDEX('Retirement Calculator'!J:J,MATCH('Isaac 401k'!N1214,'Retirement Calculator'!A:A,0),0),0)</f>
        <v>0</v>
      </c>
      <c r="K1214" s="444">
        <f t="shared" ca="1" si="105"/>
        <v>10455.94277526493</v>
      </c>
      <c r="L1214" s="444">
        <f t="shared" ca="1" si="106"/>
        <v>2519882.2088388479</v>
      </c>
      <c r="M1214" s="460">
        <f t="shared" si="109"/>
        <v>0.05</v>
      </c>
      <c r="N1214" s="464">
        <f t="shared" si="110"/>
        <v>87995</v>
      </c>
    </row>
    <row r="1215" spans="7:14" ht="11.25" customHeight="1" x14ac:dyDescent="0.3">
      <c r="G1215" s="459">
        <f t="shared" si="125"/>
        <v>101</v>
      </c>
      <c r="H1215" s="459">
        <v>1208</v>
      </c>
      <c r="I1215" s="444">
        <f t="shared" ca="1" si="108"/>
        <v>2519882.2088388479</v>
      </c>
      <c r="J1215" s="444">
        <f t="array" ref="J1215">IFERROR(INDEX('Retirement Calculator'!J:J,MATCH('Isaac 401k'!N1215,'Retirement Calculator'!A:A,0),0),0)</f>
        <v>0</v>
      </c>
      <c r="K1215" s="444">
        <f t="shared" ca="1" si="105"/>
        <v>10499.509203495199</v>
      </c>
      <c r="L1215" s="444">
        <f t="shared" ca="1" si="106"/>
        <v>2530381.7180423429</v>
      </c>
      <c r="M1215" s="460">
        <f t="shared" si="109"/>
        <v>0.05</v>
      </c>
      <c r="N1215" s="464">
        <f t="shared" si="110"/>
        <v>88026</v>
      </c>
    </row>
    <row r="1216" spans="7:14" ht="11.25" customHeight="1" x14ac:dyDescent="0.3">
      <c r="G1216" s="459">
        <f t="shared" si="125"/>
        <v>101</v>
      </c>
      <c r="H1216" s="459">
        <v>1209</v>
      </c>
      <c r="I1216" s="444">
        <f t="shared" ca="1" si="108"/>
        <v>2530381.7180423429</v>
      </c>
      <c r="J1216" s="444">
        <f t="array" ref="J1216">IFERROR(INDEX('Retirement Calculator'!J:J,MATCH('Isaac 401k'!N1216,'Retirement Calculator'!A:A,0),0),0)</f>
        <v>0</v>
      </c>
      <c r="K1216" s="444">
        <f t="shared" ca="1" si="105"/>
        <v>10543.257158509761</v>
      </c>
      <c r="L1216" s="444">
        <f t="shared" ca="1" si="106"/>
        <v>2540924.9752008528</v>
      </c>
      <c r="M1216" s="460">
        <f t="shared" si="109"/>
        <v>0.05</v>
      </c>
      <c r="N1216" s="464">
        <f t="shared" si="110"/>
        <v>88057</v>
      </c>
    </row>
    <row r="1217" spans="7:14" ht="11.25" customHeight="1" x14ac:dyDescent="0.3">
      <c r="G1217" s="459">
        <f t="shared" si="125"/>
        <v>101</v>
      </c>
      <c r="H1217" s="459">
        <v>1210</v>
      </c>
      <c r="I1217" s="444">
        <f t="shared" ca="1" si="108"/>
        <v>2540924.9752008528</v>
      </c>
      <c r="J1217" s="444">
        <f t="array" ref="J1217">IFERROR(INDEX('Retirement Calculator'!J:J,MATCH('Isaac 401k'!N1217,'Retirement Calculator'!A:A,0),0),0)</f>
        <v>0</v>
      </c>
      <c r="K1217" s="444">
        <f t="shared" ca="1" si="105"/>
        <v>10587.187396670221</v>
      </c>
      <c r="L1217" s="444">
        <f t="shared" ca="1" si="106"/>
        <v>2551512.1625975231</v>
      </c>
      <c r="M1217" s="460">
        <f t="shared" si="109"/>
        <v>0.05</v>
      </c>
      <c r="N1217" s="464">
        <f t="shared" si="110"/>
        <v>88085</v>
      </c>
    </row>
    <row r="1218" spans="7:14" ht="11.25" customHeight="1" x14ac:dyDescent="0.3">
      <c r="G1218" s="459">
        <f t="shared" si="125"/>
        <v>101</v>
      </c>
      <c r="H1218" s="459">
        <v>1211</v>
      </c>
      <c r="I1218" s="444">
        <f t="shared" ca="1" si="108"/>
        <v>2551512.1625975231</v>
      </c>
      <c r="J1218" s="444">
        <f t="array" ref="J1218">IFERROR(INDEX('Retirement Calculator'!J:J,MATCH('Isaac 401k'!N1218,'Retirement Calculator'!A:A,0),0),0)</f>
        <v>0</v>
      </c>
      <c r="K1218" s="444">
        <f t="shared" ca="1" si="105"/>
        <v>10631.300677489678</v>
      </c>
      <c r="L1218" s="444">
        <f t="shared" ca="1" si="106"/>
        <v>2562143.4632750126</v>
      </c>
      <c r="M1218" s="460">
        <f t="shared" si="109"/>
        <v>0.05</v>
      </c>
      <c r="N1218" s="464">
        <f t="shared" si="110"/>
        <v>88116</v>
      </c>
    </row>
    <row r="1219" spans="7:14" ht="11.25" customHeight="1" x14ac:dyDescent="0.3">
      <c r="G1219" s="459">
        <f t="shared" si="125"/>
        <v>101</v>
      </c>
      <c r="H1219" s="459">
        <v>1212</v>
      </c>
      <c r="I1219" s="444">
        <f t="shared" ca="1" si="108"/>
        <v>2562143.4632750126</v>
      </c>
      <c r="J1219" s="444">
        <f t="array" ref="J1219">IFERROR(INDEX('Retirement Calculator'!J:J,MATCH('Isaac 401k'!N1219,'Retirement Calculator'!A:A,0),0),0)</f>
        <v>0</v>
      </c>
      <c r="K1219" s="444">
        <f t="shared" ca="1" si="105"/>
        <v>10675.597763645885</v>
      </c>
      <c r="L1219" s="444">
        <f t="shared" ca="1" si="106"/>
        <v>2572819.0610386585</v>
      </c>
      <c r="M1219" s="460">
        <f t="shared" si="109"/>
        <v>0.05</v>
      </c>
      <c r="N1219" s="464">
        <f t="shared" si="110"/>
        <v>88146</v>
      </c>
    </row>
    <row r="1220" spans="7:14" ht="11.25" customHeight="1" x14ac:dyDescent="0.3">
      <c r="G1220" s="459"/>
      <c r="H1220" s="459">
        <v>1213</v>
      </c>
      <c r="I1220" s="444">
        <f t="shared" ca="1" si="108"/>
        <v>2572819.0610386585</v>
      </c>
      <c r="J1220" s="444">
        <f t="array" ref="J1220">IFERROR(INDEX('Retirement Calculator'!J:J,MATCH('Isaac 401k'!N1220,'Retirement Calculator'!A:A,0),0),0)</f>
        <v>0</v>
      </c>
      <c r="K1220" s="444">
        <f t="shared" ca="1" si="105"/>
        <v>10720.079420994411</v>
      </c>
      <c r="L1220" s="444">
        <f t="shared" ca="1" si="106"/>
        <v>2583539.140459653</v>
      </c>
      <c r="M1220" s="460">
        <f t="shared" si="109"/>
        <v>0.05</v>
      </c>
      <c r="N1220" s="464">
        <f t="shared" si="110"/>
        <v>88177</v>
      </c>
    </row>
    <row r="1221" spans="7:14" ht="11.25" customHeight="1" x14ac:dyDescent="0.3">
      <c r="G1221" s="459"/>
      <c r="H1221" s="459">
        <v>1214</v>
      </c>
      <c r="I1221" s="444">
        <f t="shared" ca="1" si="108"/>
        <v>2583539.140459653</v>
      </c>
      <c r="J1221" s="444">
        <f t="array" ref="J1221">IFERROR(INDEX('Retirement Calculator'!J:J,MATCH('Isaac 401k'!N1221,'Retirement Calculator'!A:A,0),0),0)</f>
        <v>0</v>
      </c>
      <c r="K1221" s="444">
        <f t="shared" ca="1" si="105"/>
        <v>10764.746418581888</v>
      </c>
      <c r="L1221" s="444">
        <f t="shared" ca="1" si="106"/>
        <v>2594303.8868782348</v>
      </c>
      <c r="M1221" s="460">
        <f t="shared" si="109"/>
        <v>0.05</v>
      </c>
      <c r="N1221" s="464">
        <f t="shared" si="110"/>
        <v>88207</v>
      </c>
    </row>
    <row r="1222" spans="7:14" ht="11.25" customHeight="1" x14ac:dyDescent="0.3">
      <c r="G1222" s="459"/>
      <c r="H1222" s="459">
        <v>1215</v>
      </c>
      <c r="I1222" s="444">
        <f t="shared" ca="1" si="108"/>
        <v>2594303.8868782348</v>
      </c>
      <c r="J1222" s="444">
        <f t="array" ref="J1222">IFERROR(INDEX('Retirement Calculator'!J:J,MATCH('Isaac 401k'!N1222,'Retirement Calculator'!A:A,0),0),0)</f>
        <v>0</v>
      </c>
      <c r="K1222" s="444">
        <f t="shared" ca="1" si="105"/>
        <v>10809.599528659312</v>
      </c>
      <c r="L1222" s="444">
        <f t="shared" ca="1" si="106"/>
        <v>2605113.4864068939</v>
      </c>
      <c r="M1222" s="460">
        <f t="shared" si="109"/>
        <v>0.05</v>
      </c>
      <c r="N1222" s="464">
        <f t="shared" si="110"/>
        <v>88238</v>
      </c>
    </row>
    <row r="1223" spans="7:14" ht="11.25" customHeight="1" x14ac:dyDescent="0.3">
      <c r="G1223" s="459"/>
      <c r="H1223" s="459">
        <v>1216</v>
      </c>
      <c r="I1223" s="444">
        <f t="shared" ca="1" si="108"/>
        <v>2605113.4864068939</v>
      </c>
      <c r="J1223" s="444">
        <f t="array" ref="J1223">IFERROR(INDEX('Retirement Calculator'!J:J,MATCH('Isaac 401k'!N1223,'Retirement Calculator'!A:A,0),0),0)</f>
        <v>0</v>
      </c>
      <c r="K1223" s="444">
        <f t="shared" ca="1" si="105"/>
        <v>10854.639526695391</v>
      </c>
      <c r="L1223" s="444">
        <f t="shared" ca="1" si="106"/>
        <v>2615968.1259335894</v>
      </c>
      <c r="M1223" s="460">
        <f t="shared" si="109"/>
        <v>0.05</v>
      </c>
      <c r="N1223" s="464">
        <f t="shared" si="110"/>
        <v>88269</v>
      </c>
    </row>
    <row r="1224" spans="7:14" ht="11.25" customHeight="1" x14ac:dyDescent="0.3">
      <c r="G1224" s="459"/>
      <c r="H1224" s="459">
        <v>1217</v>
      </c>
      <c r="I1224" s="444">
        <f t="shared" ca="1" si="108"/>
        <v>2615968.1259335894</v>
      </c>
      <c r="J1224" s="444">
        <f t="array" ref="J1224">IFERROR(INDEX('Retirement Calculator'!J:J,MATCH('Isaac 401k'!N1224,'Retirement Calculator'!A:A,0),0),0)</f>
        <v>0</v>
      </c>
      <c r="K1224" s="444">
        <f t="shared" ca="1" si="105"/>
        <v>10899.867191389956</v>
      </c>
      <c r="L1224" s="444">
        <f t="shared" ca="1" si="106"/>
        <v>2626867.9931249795</v>
      </c>
      <c r="M1224" s="460">
        <f t="shared" si="109"/>
        <v>0.05</v>
      </c>
      <c r="N1224" s="464">
        <f t="shared" si="110"/>
        <v>88299</v>
      </c>
    </row>
    <row r="1225" spans="7:14" ht="11.25" customHeight="1" x14ac:dyDescent="0.3">
      <c r="G1225" s="459"/>
      <c r="H1225" s="459">
        <v>1218</v>
      </c>
      <c r="I1225" s="444">
        <f t="shared" ca="1" si="108"/>
        <v>2626867.9931249795</v>
      </c>
      <c r="J1225" s="444">
        <f t="array" ref="J1225">IFERROR(INDEX('Retirement Calculator'!J:J,MATCH('Isaac 401k'!N1225,'Retirement Calculator'!A:A,0),0),0)</f>
        <v>0</v>
      </c>
      <c r="K1225" s="444">
        <f t="shared" ca="1" si="105"/>
        <v>10945.283304687415</v>
      </c>
      <c r="L1225" s="444">
        <f t="shared" ca="1" si="106"/>
        <v>2637813.2764296671</v>
      </c>
      <c r="M1225" s="460">
        <f t="shared" si="109"/>
        <v>0.05</v>
      </c>
      <c r="N1225" s="464">
        <f t="shared" si="110"/>
        <v>88330</v>
      </c>
    </row>
    <row r="1226" spans="7:14" ht="11.25" customHeight="1" x14ac:dyDescent="0.3">
      <c r="G1226" s="459"/>
      <c r="H1226" s="459">
        <v>1219</v>
      </c>
      <c r="I1226" s="444">
        <f t="shared" ca="1" si="108"/>
        <v>2637813.2764296671</v>
      </c>
      <c r="J1226" s="444">
        <f t="array" ref="J1226">IFERROR(INDEX('Retirement Calculator'!J:J,MATCH('Isaac 401k'!N1226,'Retirement Calculator'!A:A,0),0),0)</f>
        <v>0</v>
      </c>
      <c r="K1226" s="444">
        <f t="shared" ca="1" si="105"/>
        <v>10990.888651790279</v>
      </c>
      <c r="L1226" s="444">
        <f t="shared" ca="1" si="106"/>
        <v>2648804.1650814572</v>
      </c>
      <c r="M1226" s="460">
        <f t="shared" si="109"/>
        <v>0.05</v>
      </c>
      <c r="N1226" s="464">
        <f t="shared" si="110"/>
        <v>88360</v>
      </c>
    </row>
    <row r="1227" spans="7:14" ht="11.25" customHeight="1" x14ac:dyDescent="0.3">
      <c r="G1227" s="459"/>
      <c r="H1227" s="459">
        <v>1220</v>
      </c>
      <c r="I1227" s="444">
        <f t="shared" ca="1" si="108"/>
        <v>2648804.1650814572</v>
      </c>
      <c r="J1227" s="444">
        <f t="array" ref="J1227">IFERROR(INDEX('Retirement Calculator'!J:J,MATCH('Isaac 401k'!N1227,'Retirement Calculator'!A:A,0),0),0)</f>
        <v>0</v>
      </c>
      <c r="K1227" s="444">
        <f t="shared" ca="1" si="105"/>
        <v>11036.684021172738</v>
      </c>
      <c r="L1227" s="444">
        <f t="shared" ca="1" si="106"/>
        <v>2659840.8491026298</v>
      </c>
      <c r="M1227" s="460">
        <f t="shared" si="109"/>
        <v>0.05</v>
      </c>
      <c r="N1227" s="464">
        <f t="shared" si="110"/>
        <v>88391</v>
      </c>
    </row>
    <row r="1228" spans="7:14" ht="11.25" customHeight="1" x14ac:dyDescent="0.3">
      <c r="G1228" s="459"/>
      <c r="H1228" s="459">
        <v>1221</v>
      </c>
      <c r="I1228" s="444">
        <f t="shared" ca="1" si="108"/>
        <v>2659840.8491026298</v>
      </c>
      <c r="J1228" s="444">
        <f t="array" ref="J1228">IFERROR(INDEX('Retirement Calculator'!J:J,MATCH('Isaac 401k'!N1228,'Retirement Calculator'!A:A,0),0),0)</f>
        <v>0</v>
      </c>
      <c r="K1228" s="444">
        <f t="shared" ca="1" si="105"/>
        <v>11082.670204594291</v>
      </c>
      <c r="L1228" s="444">
        <f t="shared" ca="1" si="106"/>
        <v>2670923.5193072241</v>
      </c>
      <c r="M1228" s="460">
        <f t="shared" si="109"/>
        <v>0.05</v>
      </c>
      <c r="N1228" s="464">
        <f t="shared" si="110"/>
        <v>88422</v>
      </c>
    </row>
    <row r="1229" spans="7:14" ht="11.25" customHeight="1" x14ac:dyDescent="0.3">
      <c r="G1229" s="459"/>
      <c r="H1229" s="459">
        <v>1222</v>
      </c>
      <c r="I1229" s="444">
        <f t="shared" ca="1" si="108"/>
        <v>2670923.5193072241</v>
      </c>
      <c r="J1229" s="444">
        <f t="array" ref="J1229">IFERROR(INDEX('Retirement Calculator'!J:J,MATCH('Isaac 401k'!N1229,'Retirement Calculator'!A:A,0),0),0)</f>
        <v>0</v>
      </c>
      <c r="K1229" s="444">
        <f t="shared" ca="1" si="105"/>
        <v>11128.847997113433</v>
      </c>
      <c r="L1229" s="444">
        <f t="shared" ca="1" si="106"/>
        <v>2682052.3673043377</v>
      </c>
      <c r="M1229" s="460">
        <f t="shared" si="109"/>
        <v>0.05</v>
      </c>
      <c r="N1229" s="464">
        <f t="shared" si="110"/>
        <v>88450</v>
      </c>
    </row>
    <row r="1230" spans="7:14" ht="11.25" customHeight="1" x14ac:dyDescent="0.3">
      <c r="G1230" s="459"/>
      <c r="H1230" s="459">
        <v>1223</v>
      </c>
      <c r="I1230" s="444">
        <f t="shared" ca="1" si="108"/>
        <v>2682052.3673043377</v>
      </c>
      <c r="J1230" s="444">
        <f t="array" ref="J1230">IFERROR(INDEX('Retirement Calculator'!J:J,MATCH('Isaac 401k'!N1230,'Retirement Calculator'!A:A,0),0),0)</f>
        <v>0</v>
      </c>
      <c r="K1230" s="444">
        <f t="shared" ca="1" si="105"/>
        <v>11175.218197101407</v>
      </c>
      <c r="L1230" s="444">
        <f t="shared" ca="1" si="106"/>
        <v>2693227.5855014389</v>
      </c>
      <c r="M1230" s="460">
        <f t="shared" si="109"/>
        <v>0.05</v>
      </c>
      <c r="N1230" s="464">
        <f t="shared" si="110"/>
        <v>88481</v>
      </c>
    </row>
    <row r="1231" spans="7:14" ht="11.25" customHeight="1" x14ac:dyDescent="0.3">
      <c r="G1231" s="459"/>
      <c r="H1231" s="459">
        <v>1224</v>
      </c>
      <c r="I1231" s="444">
        <f t="shared" ca="1" si="108"/>
        <v>2693227.5855014389</v>
      </c>
      <c r="J1231" s="444">
        <f t="array" ref="J1231">IFERROR(INDEX('Retirement Calculator'!J:J,MATCH('Isaac 401k'!N1231,'Retirement Calculator'!A:A,0),0),0)</f>
        <v>0</v>
      </c>
      <c r="K1231" s="444">
        <f t="shared" ca="1" si="105"/>
        <v>11221.781606255996</v>
      </c>
      <c r="L1231" s="444">
        <f t="shared" ca="1" si="106"/>
        <v>2704449.367107695</v>
      </c>
      <c r="M1231" s="460">
        <f t="shared" si="109"/>
        <v>0.05</v>
      </c>
      <c r="N1231" s="464">
        <f t="shared" si="110"/>
        <v>88511</v>
      </c>
    </row>
    <row r="1232" spans="7:14" ht="11.25" customHeight="1" x14ac:dyDescent="0.3">
      <c r="G1232" s="459"/>
      <c r="H1232" s="459">
        <v>1225</v>
      </c>
      <c r="I1232" s="444">
        <f t="shared" ca="1" si="108"/>
        <v>2704449.367107695</v>
      </c>
      <c r="J1232" s="444">
        <f t="array" ref="J1232">IFERROR(INDEX('Retirement Calculator'!J:J,MATCH('Isaac 401k'!N1232,'Retirement Calculator'!A:A,0),0),0)</f>
        <v>0</v>
      </c>
      <c r="K1232" s="444">
        <f t="shared" ca="1" si="105"/>
        <v>11268.539029615396</v>
      </c>
      <c r="L1232" s="444">
        <f t="shared" ca="1" si="106"/>
        <v>2715717.9061373104</v>
      </c>
      <c r="M1232" s="460">
        <f t="shared" si="109"/>
        <v>0.05</v>
      </c>
      <c r="N1232" s="464">
        <f t="shared" si="110"/>
        <v>88542</v>
      </c>
    </row>
    <row r="1233" spans="7:14" ht="11.25" customHeight="1" x14ac:dyDescent="0.3">
      <c r="G1233" s="459"/>
      <c r="H1233" s="459">
        <v>1226</v>
      </c>
      <c r="I1233" s="444">
        <f t="shared" ca="1" si="108"/>
        <v>2715717.9061373104</v>
      </c>
      <c r="J1233" s="444">
        <f t="array" ref="J1233">IFERROR(INDEX('Retirement Calculator'!J:J,MATCH('Isaac 401k'!N1233,'Retirement Calculator'!A:A,0),0),0)</f>
        <v>0</v>
      </c>
      <c r="K1233" s="444">
        <f t="shared" ca="1" si="105"/>
        <v>11315.491275572127</v>
      </c>
      <c r="L1233" s="444">
        <f t="shared" ca="1" si="106"/>
        <v>2727033.3974128827</v>
      </c>
      <c r="M1233" s="460">
        <f t="shared" si="109"/>
        <v>0.05</v>
      </c>
      <c r="N1233" s="464">
        <f t="shared" si="110"/>
        <v>88572</v>
      </c>
    </row>
    <row r="1234" spans="7:14" ht="11.25" customHeight="1" x14ac:dyDescent="0.3">
      <c r="G1234" s="459"/>
      <c r="H1234" s="459">
        <v>1227</v>
      </c>
      <c r="I1234" s="444">
        <f t="shared" ca="1" si="108"/>
        <v>2727033.3974128827</v>
      </c>
      <c r="J1234" s="444">
        <f t="array" ref="J1234">IFERROR(INDEX('Retirement Calculator'!J:J,MATCH('Isaac 401k'!N1234,'Retirement Calculator'!A:A,0),0),0)</f>
        <v>0</v>
      </c>
      <c r="K1234" s="444">
        <f t="shared" ca="1" si="105"/>
        <v>11362.639155887011</v>
      </c>
      <c r="L1234" s="444">
        <f t="shared" ca="1" si="106"/>
        <v>2738396.0365687697</v>
      </c>
      <c r="M1234" s="460">
        <f t="shared" si="109"/>
        <v>0.05</v>
      </c>
      <c r="N1234" s="464">
        <f t="shared" si="110"/>
        <v>88603</v>
      </c>
    </row>
    <row r="1235" spans="7:14" ht="11.25" customHeight="1" x14ac:dyDescent="0.3">
      <c r="G1235" s="459"/>
      <c r="H1235" s="459">
        <v>1228</v>
      </c>
      <c r="I1235" s="444">
        <f t="shared" ca="1" si="108"/>
        <v>2738396.0365687697</v>
      </c>
      <c r="J1235" s="444">
        <f t="array" ref="J1235">IFERROR(INDEX('Retirement Calculator'!J:J,MATCH('Isaac 401k'!N1235,'Retirement Calculator'!A:A,0),0),0)</f>
        <v>0</v>
      </c>
      <c r="K1235" s="444">
        <f t="shared" ca="1" si="105"/>
        <v>11409.983485703207</v>
      </c>
      <c r="L1235" s="444">
        <f t="shared" ca="1" si="106"/>
        <v>2749806.0200544731</v>
      </c>
      <c r="M1235" s="460">
        <f t="shared" si="109"/>
        <v>0.05</v>
      </c>
      <c r="N1235" s="464">
        <f t="shared" si="110"/>
        <v>88634</v>
      </c>
    </row>
    <row r="1236" spans="7:14" ht="11.25" customHeight="1" x14ac:dyDescent="0.3">
      <c r="G1236" s="459"/>
      <c r="H1236" s="459">
        <v>1229</v>
      </c>
      <c r="I1236" s="444">
        <f t="shared" ca="1" si="108"/>
        <v>2749806.0200544731</v>
      </c>
      <c r="J1236" s="444">
        <f t="array" ref="J1236">IFERROR(INDEX('Retirement Calculator'!J:J,MATCH('Isaac 401k'!N1236,'Retirement Calculator'!A:A,0),0),0)</f>
        <v>0</v>
      </c>
      <c r="K1236" s="444">
        <f t="shared" ca="1" si="105"/>
        <v>11457.525083560304</v>
      </c>
      <c r="L1236" s="444">
        <f t="shared" ca="1" si="106"/>
        <v>2761263.5451380336</v>
      </c>
      <c r="M1236" s="460">
        <f t="shared" si="109"/>
        <v>0.05</v>
      </c>
      <c r="N1236" s="464">
        <f t="shared" si="110"/>
        <v>88664</v>
      </c>
    </row>
    <row r="1237" spans="7:14" ht="11.25" customHeight="1" x14ac:dyDescent="0.3">
      <c r="G1237" s="459"/>
      <c r="H1237" s="459">
        <v>1230</v>
      </c>
      <c r="I1237" s="444">
        <f t="shared" ca="1" si="108"/>
        <v>2761263.5451380336</v>
      </c>
      <c r="J1237" s="444">
        <f t="array" ref="J1237">IFERROR(INDEX('Retirement Calculator'!J:J,MATCH('Isaac 401k'!N1237,'Retirement Calculator'!A:A,0),0),0)</f>
        <v>0</v>
      </c>
      <c r="K1237" s="444">
        <f t="shared" ca="1" si="105"/>
        <v>11505.264771408472</v>
      </c>
      <c r="L1237" s="444">
        <f t="shared" ca="1" si="106"/>
        <v>2772768.809909442</v>
      </c>
      <c r="M1237" s="460">
        <f t="shared" si="109"/>
        <v>0.05</v>
      </c>
      <c r="N1237" s="464">
        <f t="shared" si="110"/>
        <v>88695</v>
      </c>
    </row>
    <row r="1238" spans="7:14" ht="11.25" customHeight="1" x14ac:dyDescent="0.3">
      <c r="G1238" s="459"/>
      <c r="H1238" s="459">
        <v>1231</v>
      </c>
      <c r="I1238" s="444">
        <f t="shared" ca="1" si="108"/>
        <v>2772768.809909442</v>
      </c>
      <c r="J1238" s="444">
        <f t="array" ref="J1238">IFERROR(INDEX('Retirement Calculator'!J:J,MATCH('Isaac 401k'!N1238,'Retirement Calculator'!A:A,0),0),0)</f>
        <v>0</v>
      </c>
      <c r="K1238" s="444">
        <f t="shared" ca="1" si="105"/>
        <v>11553.203374622675</v>
      </c>
      <c r="L1238" s="444">
        <f t="shared" ca="1" si="106"/>
        <v>2784322.0132840648</v>
      </c>
      <c r="M1238" s="460">
        <f t="shared" si="109"/>
        <v>0.05</v>
      </c>
      <c r="N1238" s="464">
        <f t="shared" si="110"/>
        <v>88725</v>
      </c>
    </row>
    <row r="1239" spans="7:14" ht="11.25" customHeight="1" x14ac:dyDescent="0.3">
      <c r="G1239" s="459"/>
      <c r="H1239" s="459">
        <v>1232</v>
      </c>
      <c r="I1239" s="444">
        <f t="shared" ca="1" si="108"/>
        <v>2784322.0132840648</v>
      </c>
      <c r="J1239" s="444">
        <f t="array" ref="J1239">IFERROR(INDEX('Retirement Calculator'!J:J,MATCH('Isaac 401k'!N1239,'Retirement Calculator'!A:A,0),0),0)</f>
        <v>0</v>
      </c>
      <c r="K1239" s="444">
        <f t="shared" ca="1" si="105"/>
        <v>11601.341722016936</v>
      </c>
      <c r="L1239" s="444">
        <f t="shared" ca="1" si="106"/>
        <v>2795923.355006082</v>
      </c>
      <c r="M1239" s="460">
        <f t="shared" si="109"/>
        <v>0.05</v>
      </c>
      <c r="N1239" s="464">
        <f t="shared" si="110"/>
        <v>88756</v>
      </c>
    </row>
    <row r="1240" spans="7:14" ht="11.25" customHeight="1" x14ac:dyDescent="0.3">
      <c r="G1240" s="459"/>
      <c r="H1240" s="459">
        <v>1233</v>
      </c>
      <c r="I1240" s="444">
        <f t="shared" ca="1" si="108"/>
        <v>2795923.355006082</v>
      </c>
      <c r="J1240" s="444">
        <f t="array" ref="J1240">IFERROR(INDEX('Retirement Calculator'!J:J,MATCH('Isaac 401k'!N1240,'Retirement Calculator'!A:A,0),0),0)</f>
        <v>0</v>
      </c>
      <c r="K1240" s="444">
        <f t="shared" ca="1" si="105"/>
        <v>11649.680645858674</v>
      </c>
      <c r="L1240" s="444">
        <f t="shared" ca="1" si="106"/>
        <v>2807573.0356519409</v>
      </c>
      <c r="M1240" s="460">
        <f t="shared" si="109"/>
        <v>0.05</v>
      </c>
      <c r="N1240" s="464">
        <f t="shared" si="110"/>
        <v>88787</v>
      </c>
    </row>
    <row r="1241" spans="7:14" ht="11.25" customHeight="1" x14ac:dyDescent="0.3">
      <c r="G1241" s="459"/>
      <c r="H1241" s="459">
        <v>1234</v>
      </c>
      <c r="I1241" s="444">
        <f t="shared" ca="1" si="108"/>
        <v>2807573.0356519409</v>
      </c>
      <c r="J1241" s="444">
        <f t="array" ref="J1241">IFERROR(INDEX('Retirement Calculator'!J:J,MATCH('Isaac 401k'!N1241,'Retirement Calculator'!A:A,0),0),0)</f>
        <v>0</v>
      </c>
      <c r="K1241" s="444">
        <f t="shared" ca="1" si="105"/>
        <v>11698.220981883087</v>
      </c>
      <c r="L1241" s="444">
        <f t="shared" ca="1" si="106"/>
        <v>2819271.2566338237</v>
      </c>
      <c r="M1241" s="460">
        <f t="shared" si="109"/>
        <v>0.05</v>
      </c>
      <c r="N1241" s="464">
        <f t="shared" si="110"/>
        <v>88815</v>
      </c>
    </row>
    <row r="1242" spans="7:14" ht="11.25" customHeight="1" x14ac:dyDescent="0.3">
      <c r="G1242" s="459"/>
      <c r="H1242" s="459">
        <v>1235</v>
      </c>
      <c r="I1242" s="444">
        <f t="shared" ca="1" si="108"/>
        <v>2819271.2566338237</v>
      </c>
      <c r="J1242" s="444">
        <f t="array" ref="J1242">IFERROR(INDEX('Retirement Calculator'!J:J,MATCH('Isaac 401k'!N1242,'Retirement Calculator'!A:A,0),0),0)</f>
        <v>0</v>
      </c>
      <c r="K1242" s="444">
        <f t="shared" ca="1" si="105"/>
        <v>11746.963569307598</v>
      </c>
      <c r="L1242" s="444">
        <f t="shared" ca="1" si="106"/>
        <v>2831018.2202031314</v>
      </c>
      <c r="M1242" s="460">
        <f t="shared" si="109"/>
        <v>0.05</v>
      </c>
      <c r="N1242" s="464">
        <f t="shared" si="110"/>
        <v>88846</v>
      </c>
    </row>
    <row r="1243" spans="7:14" ht="11.25" customHeight="1" x14ac:dyDescent="0.3">
      <c r="G1243" s="459"/>
      <c r="H1243" s="459">
        <v>1236</v>
      </c>
      <c r="I1243" s="444">
        <f t="shared" ca="1" si="108"/>
        <v>2831018.2202031314</v>
      </c>
      <c r="J1243" s="444">
        <f t="array" ref="J1243">IFERROR(INDEX('Retirement Calculator'!J:J,MATCH('Isaac 401k'!N1243,'Retirement Calculator'!A:A,0),0),0)</f>
        <v>0</v>
      </c>
      <c r="K1243" s="444">
        <f t="shared" ca="1" si="105"/>
        <v>11795.90925084638</v>
      </c>
      <c r="L1243" s="444">
        <f t="shared" ca="1" si="106"/>
        <v>2842814.129453978</v>
      </c>
      <c r="M1243" s="460">
        <f t="shared" si="109"/>
        <v>0.05</v>
      </c>
      <c r="N1243" s="464">
        <f t="shared" si="110"/>
        <v>88876</v>
      </c>
    </row>
    <row r="1244" spans="7:14" ht="11.25" customHeight="1" x14ac:dyDescent="0.3">
      <c r="G1244" s="459"/>
      <c r="H1244" s="459">
        <v>1237</v>
      </c>
      <c r="I1244" s="444">
        <f t="shared" ca="1" si="108"/>
        <v>2842814.129453978</v>
      </c>
      <c r="J1244" s="444">
        <f t="array" ref="J1244">IFERROR(INDEX('Retirement Calculator'!J:J,MATCH('Isaac 401k'!N1244,'Retirement Calculator'!A:A,0),0),0)</f>
        <v>0</v>
      </c>
      <c r="K1244" s="444">
        <f t="shared" ca="1" si="105"/>
        <v>11845.058872724909</v>
      </c>
      <c r="L1244" s="444">
        <f t="shared" ca="1" si="106"/>
        <v>2854659.1883267029</v>
      </c>
      <c r="M1244" s="460">
        <f t="shared" si="109"/>
        <v>0.05</v>
      </c>
      <c r="N1244" s="464">
        <f t="shared" si="110"/>
        <v>88907</v>
      </c>
    </row>
    <row r="1245" spans="7:14" ht="11.25" customHeight="1" x14ac:dyDescent="0.3">
      <c r="G1245" s="459"/>
      <c r="H1245" s="459">
        <v>1238</v>
      </c>
      <c r="I1245" s="444">
        <f t="shared" ca="1" si="108"/>
        <v>2854659.1883267029</v>
      </c>
      <c r="J1245" s="444">
        <f t="array" ref="J1245">IFERROR(INDEX('Retirement Calculator'!J:J,MATCH('Isaac 401k'!N1245,'Retirement Calculator'!A:A,0),0),0)</f>
        <v>0</v>
      </c>
      <c r="K1245" s="444">
        <f t="shared" ca="1" si="105"/>
        <v>11894.413284694596</v>
      </c>
      <c r="L1245" s="444">
        <f t="shared" ca="1" si="106"/>
        <v>2866553.6016113977</v>
      </c>
      <c r="M1245" s="460">
        <f t="shared" si="109"/>
        <v>0.05</v>
      </c>
      <c r="N1245" s="464">
        <f t="shared" si="110"/>
        <v>88937</v>
      </c>
    </row>
    <row r="1246" spans="7:14" ht="11.25" customHeight="1" x14ac:dyDescent="0.3">
      <c r="G1246" s="459"/>
      <c r="H1246" s="459">
        <v>1239</v>
      </c>
      <c r="I1246" s="444">
        <f t="shared" ca="1" si="108"/>
        <v>2866553.6016113977</v>
      </c>
      <c r="J1246" s="444">
        <f t="array" ref="J1246">IFERROR(INDEX('Retirement Calculator'!J:J,MATCH('Isaac 401k'!N1246,'Retirement Calculator'!A:A,0),0),0)</f>
        <v>0</v>
      </c>
      <c r="K1246" s="444">
        <f t="shared" ca="1" si="105"/>
        <v>11943.973340047491</v>
      </c>
      <c r="L1246" s="444">
        <f t="shared" ca="1" si="106"/>
        <v>2878497.5749514452</v>
      </c>
      <c r="M1246" s="460">
        <f t="shared" si="109"/>
        <v>0.05</v>
      </c>
      <c r="N1246" s="464">
        <f t="shared" si="110"/>
        <v>88968</v>
      </c>
    </row>
    <row r="1247" spans="7:14" ht="11.25" customHeight="1" x14ac:dyDescent="0.3">
      <c r="G1247" s="459"/>
      <c r="H1247" s="459">
        <v>1240</v>
      </c>
      <c r="I1247" s="444">
        <f t="shared" ca="1" si="108"/>
        <v>2878497.5749514452</v>
      </c>
      <c r="J1247" s="444">
        <f t="array" ref="J1247">IFERROR(INDEX('Retirement Calculator'!J:J,MATCH('Isaac 401k'!N1247,'Retirement Calculator'!A:A,0),0),0)</f>
        <v>0</v>
      </c>
      <c r="K1247" s="444">
        <f t="shared" ca="1" si="105"/>
        <v>11993.739895631021</v>
      </c>
      <c r="L1247" s="444">
        <f t="shared" ca="1" si="106"/>
        <v>2890491.3148470763</v>
      </c>
      <c r="M1247" s="460">
        <f t="shared" si="109"/>
        <v>0.05</v>
      </c>
      <c r="N1247" s="464">
        <f t="shared" si="110"/>
        <v>88999</v>
      </c>
    </row>
    <row r="1248" spans="7:14" ht="11.25" customHeight="1" x14ac:dyDescent="0.3">
      <c r="G1248" s="459"/>
      <c r="H1248" s="459">
        <v>1241</v>
      </c>
      <c r="I1248" s="444">
        <f t="shared" ca="1" si="108"/>
        <v>2890491.3148470763</v>
      </c>
      <c r="J1248" s="444">
        <f t="array" ref="J1248">IFERROR(INDEX('Retirement Calculator'!J:J,MATCH('Isaac 401k'!N1248,'Retirement Calculator'!A:A,0),0),0)</f>
        <v>0</v>
      </c>
      <c r="K1248" s="444">
        <f t="shared" ca="1" si="105"/>
        <v>12043.713811862817</v>
      </c>
      <c r="L1248" s="444">
        <f t="shared" ca="1" si="106"/>
        <v>2902535.0286589391</v>
      </c>
      <c r="M1248" s="460">
        <f t="shared" si="109"/>
        <v>0.05</v>
      </c>
      <c r="N1248" s="464">
        <f t="shared" si="110"/>
        <v>89029</v>
      </c>
    </row>
    <row r="1249" spans="7:14" ht="11.25" customHeight="1" x14ac:dyDescent="0.3">
      <c r="G1249" s="459"/>
      <c r="H1249" s="459">
        <v>1242</v>
      </c>
      <c r="I1249" s="444">
        <f t="shared" ca="1" si="108"/>
        <v>2902535.0286589391</v>
      </c>
      <c r="J1249" s="444">
        <f t="array" ref="J1249">IFERROR(INDEX('Retirement Calculator'!J:J,MATCH('Isaac 401k'!N1249,'Retirement Calculator'!A:A,0),0),0)</f>
        <v>0</v>
      </c>
      <c r="K1249" s="444">
        <f t="shared" ca="1" si="105"/>
        <v>12093.895952745579</v>
      </c>
      <c r="L1249" s="444">
        <f t="shared" ca="1" si="106"/>
        <v>2914628.9246116849</v>
      </c>
      <c r="M1249" s="460">
        <f t="shared" si="109"/>
        <v>0.05</v>
      </c>
      <c r="N1249" s="464">
        <f t="shared" si="110"/>
        <v>89060</v>
      </c>
    </row>
    <row r="1250" spans="7:14" ht="11.25" customHeight="1" x14ac:dyDescent="0.3">
      <c r="G1250" s="459"/>
      <c r="H1250" s="459">
        <v>1243</v>
      </c>
      <c r="I1250" s="444">
        <f t="shared" ca="1" si="108"/>
        <v>2914628.9246116849</v>
      </c>
      <c r="J1250" s="444">
        <f t="array" ref="J1250">IFERROR(INDEX('Retirement Calculator'!J:J,MATCH('Isaac 401k'!N1250,'Retirement Calculator'!A:A,0),0),0)</f>
        <v>0</v>
      </c>
      <c r="K1250" s="444">
        <f t="shared" ca="1" si="105"/>
        <v>12144.28718588202</v>
      </c>
      <c r="L1250" s="444">
        <f t="shared" ca="1" si="106"/>
        <v>2926773.2117975671</v>
      </c>
      <c r="M1250" s="460">
        <f t="shared" si="109"/>
        <v>0.05</v>
      </c>
      <c r="N1250" s="464">
        <f t="shared" si="110"/>
        <v>89090</v>
      </c>
    </row>
    <row r="1251" spans="7:14" ht="11.25" customHeight="1" x14ac:dyDescent="0.3">
      <c r="G1251" s="459"/>
      <c r="H1251" s="459">
        <v>1244</v>
      </c>
      <c r="I1251" s="444">
        <f t="shared" ca="1" si="108"/>
        <v>2926773.2117975671</v>
      </c>
      <c r="J1251" s="444">
        <f t="array" ref="J1251">IFERROR(INDEX('Retirement Calculator'!J:J,MATCH('Isaac 401k'!N1251,'Retirement Calculator'!A:A,0),0),0)</f>
        <v>0</v>
      </c>
      <c r="K1251" s="444">
        <f t="shared" ca="1" si="105"/>
        <v>12194.888382489862</v>
      </c>
      <c r="L1251" s="444">
        <f t="shared" ca="1" si="106"/>
        <v>2938968.1001800569</v>
      </c>
      <c r="M1251" s="460">
        <f t="shared" si="109"/>
        <v>0.05</v>
      </c>
      <c r="N1251" s="464">
        <f t="shared" si="110"/>
        <v>89121</v>
      </c>
    </row>
    <row r="1252" spans="7:14" ht="11.25" customHeight="1" x14ac:dyDescent="0.3">
      <c r="G1252" s="459"/>
      <c r="H1252" s="459">
        <v>1245</v>
      </c>
      <c r="I1252" s="444">
        <f t="shared" ca="1" si="108"/>
        <v>2938968.1001800569</v>
      </c>
      <c r="J1252" s="444">
        <f t="array" ref="J1252">IFERROR(INDEX('Retirement Calculator'!J:J,MATCH('Isaac 401k'!N1252,'Retirement Calculator'!A:A,0),0),0)</f>
        <v>0</v>
      </c>
      <c r="K1252" s="444">
        <f t="shared" ca="1" si="105"/>
        <v>12245.700417416903</v>
      </c>
      <c r="L1252" s="444">
        <f t="shared" ca="1" si="106"/>
        <v>2951213.800597474</v>
      </c>
      <c r="M1252" s="460">
        <f t="shared" si="109"/>
        <v>0.05</v>
      </c>
      <c r="N1252" s="464">
        <f t="shared" si="110"/>
        <v>89152</v>
      </c>
    </row>
    <row r="1253" spans="7:14" ht="11.25" customHeight="1" x14ac:dyDescent="0.3">
      <c r="G1253" s="459"/>
      <c r="H1253" s="459">
        <v>1246</v>
      </c>
      <c r="I1253" s="444">
        <f t="shared" ca="1" si="108"/>
        <v>2951213.800597474</v>
      </c>
      <c r="J1253" s="444">
        <f t="array" ref="J1253">IFERROR(INDEX('Retirement Calculator'!J:J,MATCH('Isaac 401k'!N1253,'Retirement Calculator'!A:A,0),0),0)</f>
        <v>0</v>
      </c>
      <c r="K1253" s="444">
        <f t="shared" ca="1" si="105"/>
        <v>12296.724169156141</v>
      </c>
      <c r="L1253" s="444">
        <f t="shared" ca="1" si="106"/>
        <v>2963510.52476663</v>
      </c>
      <c r="M1253" s="460">
        <f t="shared" si="109"/>
        <v>0.05</v>
      </c>
      <c r="N1253" s="464">
        <f t="shared" si="110"/>
        <v>89181</v>
      </c>
    </row>
    <row r="1254" spans="7:14" ht="11.25" customHeight="1" x14ac:dyDescent="0.3">
      <c r="G1254" s="459"/>
      <c r="H1254" s="459">
        <v>1247</v>
      </c>
      <c r="I1254" s="444">
        <f t="shared" ca="1" si="108"/>
        <v>2963510.52476663</v>
      </c>
      <c r="J1254" s="444">
        <f t="array" ref="J1254">IFERROR(INDEX('Retirement Calculator'!J:J,MATCH('Isaac 401k'!N1254,'Retirement Calculator'!A:A,0),0),0)</f>
        <v>0</v>
      </c>
      <c r="K1254" s="444">
        <f t="shared" ca="1" si="105"/>
        <v>12347.960519860959</v>
      </c>
      <c r="L1254" s="444">
        <f t="shared" ca="1" si="106"/>
        <v>2975858.485286491</v>
      </c>
      <c r="M1254" s="460">
        <f t="shared" si="109"/>
        <v>0.05</v>
      </c>
      <c r="N1254" s="464">
        <f t="shared" si="110"/>
        <v>89212</v>
      </c>
    </row>
    <row r="1255" spans="7:14" ht="11.25" customHeight="1" x14ac:dyDescent="0.3">
      <c r="G1255" s="459"/>
      <c r="H1255" s="459">
        <v>1248</v>
      </c>
      <c r="I1255" s="444">
        <f t="shared" ca="1" si="108"/>
        <v>2975858.485286491</v>
      </c>
      <c r="J1255" s="444">
        <f t="array" ref="J1255">IFERROR(INDEX('Retirement Calculator'!J:J,MATCH('Isaac 401k'!N1255,'Retirement Calculator'!A:A,0),0),0)</f>
        <v>0</v>
      </c>
      <c r="K1255" s="444">
        <f t="shared" ca="1" si="105"/>
        <v>12399.410355360378</v>
      </c>
      <c r="L1255" s="444">
        <f t="shared" ca="1" si="106"/>
        <v>2988257.8956418512</v>
      </c>
      <c r="M1255" s="460">
        <f t="shared" si="109"/>
        <v>0.05</v>
      </c>
      <c r="N1255" s="464">
        <f t="shared" si="110"/>
        <v>89242</v>
      </c>
    </row>
    <row r="1256" spans="7:14" ht="11.25" customHeight="1" x14ac:dyDescent="0.3">
      <c r="G1256" s="459"/>
      <c r="H1256" s="459">
        <v>1249</v>
      </c>
      <c r="I1256" s="444">
        <f t="shared" ca="1" si="108"/>
        <v>2988257.8956418512</v>
      </c>
      <c r="J1256" s="444">
        <f t="array" ref="J1256">IFERROR(INDEX('Retirement Calculator'!J:J,MATCH('Isaac 401k'!N1256,'Retirement Calculator'!A:A,0),0),0)</f>
        <v>0</v>
      </c>
      <c r="K1256" s="444">
        <f t="shared" ca="1" si="105"/>
        <v>12451.07456517438</v>
      </c>
      <c r="L1256" s="444">
        <f t="shared" ca="1" si="106"/>
        <v>3000708.9702070258</v>
      </c>
      <c r="M1256" s="460">
        <f t="shared" si="109"/>
        <v>0.05</v>
      </c>
      <c r="N1256" s="464">
        <f t="shared" si="110"/>
        <v>89273</v>
      </c>
    </row>
    <row r="1257" spans="7:14" ht="11.25" customHeight="1" x14ac:dyDescent="0.3">
      <c r="G1257" s="459"/>
      <c r="H1257" s="459">
        <v>1250</v>
      </c>
      <c r="I1257" s="444">
        <f t="shared" ca="1" si="108"/>
        <v>3000708.9702070258</v>
      </c>
      <c r="J1257" s="444">
        <f t="array" ref="J1257">IFERROR(INDEX('Retirement Calculator'!J:J,MATCH('Isaac 401k'!N1257,'Retirement Calculator'!A:A,0),0),0)</f>
        <v>0</v>
      </c>
      <c r="K1257" s="444">
        <f t="shared" ca="1" si="105"/>
        <v>12502.954042529274</v>
      </c>
      <c r="L1257" s="444">
        <f t="shared" ca="1" si="106"/>
        <v>3013211.924249555</v>
      </c>
      <c r="M1257" s="460">
        <f t="shared" si="109"/>
        <v>0.05</v>
      </c>
      <c r="N1257" s="464">
        <f t="shared" si="110"/>
        <v>89303</v>
      </c>
    </row>
    <row r="1258" spans="7:14" ht="11.25" customHeight="1" x14ac:dyDescent="0.3">
      <c r="G1258" s="459"/>
      <c r="H1258" s="459">
        <v>1251</v>
      </c>
      <c r="I1258" s="444">
        <f t="shared" ca="1" si="108"/>
        <v>3013211.924249555</v>
      </c>
      <c r="J1258" s="444">
        <f t="array" ref="J1258">IFERROR(INDEX('Retirement Calculator'!J:J,MATCH('Isaac 401k'!N1258,'Retirement Calculator'!A:A,0),0),0)</f>
        <v>0</v>
      </c>
      <c r="K1258" s="444">
        <f t="shared" ca="1" si="105"/>
        <v>12555.049684373145</v>
      </c>
      <c r="L1258" s="444">
        <f t="shared" ca="1" si="106"/>
        <v>3025766.9739339282</v>
      </c>
      <c r="M1258" s="460">
        <f t="shared" si="109"/>
        <v>0.05</v>
      </c>
      <c r="N1258" s="464">
        <f t="shared" si="110"/>
        <v>89334</v>
      </c>
    </row>
    <row r="1259" spans="7:14" ht="11.25" customHeight="1" x14ac:dyDescent="0.3">
      <c r="G1259" s="459"/>
      <c r="H1259" s="459">
        <v>1252</v>
      </c>
      <c r="I1259" s="444">
        <f t="shared" ca="1" si="108"/>
        <v>3025766.9739339282</v>
      </c>
      <c r="J1259" s="444">
        <f t="array" ref="J1259">IFERROR(INDEX('Retirement Calculator'!J:J,MATCH('Isaac 401k'!N1259,'Retirement Calculator'!A:A,0),0),0)</f>
        <v>0</v>
      </c>
      <c r="K1259" s="444">
        <f t="shared" ca="1" si="105"/>
        <v>12607.362391391367</v>
      </c>
      <c r="L1259" s="444">
        <f t="shared" ca="1" si="106"/>
        <v>3038374.3363253195</v>
      </c>
      <c r="M1259" s="460">
        <f t="shared" si="109"/>
        <v>0.05</v>
      </c>
      <c r="N1259" s="464">
        <f t="shared" si="110"/>
        <v>89365</v>
      </c>
    </row>
    <row r="1260" spans="7:14" ht="11.25" customHeight="1" x14ac:dyDescent="0.3">
      <c r="G1260" s="459"/>
      <c r="H1260" s="459">
        <v>1253</v>
      </c>
      <c r="I1260" s="444">
        <f t="shared" ca="1" si="108"/>
        <v>3038374.3363253195</v>
      </c>
      <c r="J1260" s="444">
        <f t="array" ref="J1260">IFERROR(INDEX('Retirement Calculator'!J:J,MATCH('Isaac 401k'!N1260,'Retirement Calculator'!A:A,0),0),0)</f>
        <v>0</v>
      </c>
      <c r="K1260" s="444">
        <f t="shared" ca="1" si="105"/>
        <v>12659.893068022164</v>
      </c>
      <c r="L1260" s="444">
        <f t="shared" ca="1" si="106"/>
        <v>3051034.2293933416</v>
      </c>
      <c r="M1260" s="460">
        <f t="shared" si="109"/>
        <v>0.05</v>
      </c>
      <c r="N1260" s="464">
        <f t="shared" si="110"/>
        <v>89395</v>
      </c>
    </row>
    <row r="1261" spans="7:14" ht="11.25" customHeight="1" x14ac:dyDescent="0.3">
      <c r="G1261" s="459"/>
      <c r="H1261" s="459">
        <v>1254</v>
      </c>
      <c r="I1261" s="444">
        <f t="shared" ca="1" si="108"/>
        <v>3051034.2293933416</v>
      </c>
      <c r="J1261" s="444">
        <f t="array" ref="J1261">IFERROR(INDEX('Retirement Calculator'!J:J,MATCH('Isaac 401k'!N1261,'Retirement Calculator'!A:A,0),0),0)</f>
        <v>0</v>
      </c>
      <c r="K1261" s="444">
        <f t="shared" ca="1" si="105"/>
        <v>12712.642622472256</v>
      </c>
      <c r="L1261" s="444">
        <f t="shared" ca="1" si="106"/>
        <v>3063746.8720158138</v>
      </c>
      <c r="M1261" s="460">
        <f t="shared" si="109"/>
        <v>0.05</v>
      </c>
      <c r="N1261" s="464">
        <f t="shared" si="110"/>
        <v>89426</v>
      </c>
    </row>
    <row r="1262" spans="7:14" ht="11.25" customHeight="1" x14ac:dyDescent="0.3">
      <c r="G1262" s="459"/>
      <c r="H1262" s="459">
        <v>1255</v>
      </c>
      <c r="I1262" s="444">
        <f t="shared" ca="1" si="108"/>
        <v>3063746.8720158138</v>
      </c>
      <c r="J1262" s="444">
        <f t="array" ref="J1262">IFERROR(INDEX('Retirement Calculator'!J:J,MATCH('Isaac 401k'!N1262,'Retirement Calculator'!A:A,0),0),0)</f>
        <v>0</v>
      </c>
      <c r="K1262" s="444">
        <f t="shared" ca="1" si="105"/>
        <v>12765.611966732558</v>
      </c>
      <c r="L1262" s="444">
        <f t="shared" ca="1" si="106"/>
        <v>3076512.4839825463</v>
      </c>
      <c r="M1262" s="460">
        <f t="shared" si="109"/>
        <v>0.05</v>
      </c>
      <c r="N1262" s="464">
        <f t="shared" si="110"/>
        <v>89456</v>
      </c>
    </row>
    <row r="1263" spans="7:14" ht="11.25" customHeight="1" x14ac:dyDescent="0.3">
      <c r="G1263" s="459"/>
      <c r="H1263" s="459">
        <v>1256</v>
      </c>
      <c r="I1263" s="444">
        <f t="shared" ca="1" si="108"/>
        <v>3076512.4839825463</v>
      </c>
      <c r="J1263" s="444">
        <f t="array" ref="J1263">IFERROR(INDEX('Retirement Calculator'!J:J,MATCH('Isaac 401k'!N1263,'Retirement Calculator'!A:A,0),0),0)</f>
        <v>0</v>
      </c>
      <c r="K1263" s="444">
        <f t="shared" ca="1" si="105"/>
        <v>12818.802016593943</v>
      </c>
      <c r="L1263" s="444">
        <f t="shared" ca="1" si="106"/>
        <v>3089331.2859991402</v>
      </c>
      <c r="M1263" s="460">
        <f t="shared" si="109"/>
        <v>0.05</v>
      </c>
      <c r="N1263" s="464">
        <f t="shared" si="110"/>
        <v>89487</v>
      </c>
    </row>
    <row r="1264" spans="7:14" ht="11.25" customHeight="1" x14ac:dyDescent="0.3">
      <c r="G1264" s="459"/>
      <c r="H1264" s="459">
        <v>1257</v>
      </c>
      <c r="I1264" s="444">
        <f t="shared" ca="1" si="108"/>
        <v>3089331.2859991402</v>
      </c>
      <c r="J1264" s="444">
        <f t="array" ref="J1264">IFERROR(INDEX('Retirement Calculator'!J:J,MATCH('Isaac 401k'!N1264,'Retirement Calculator'!A:A,0),0),0)</f>
        <v>0</v>
      </c>
      <c r="K1264" s="444">
        <f t="shared" ca="1" si="105"/>
        <v>12872.213691663084</v>
      </c>
      <c r="L1264" s="444">
        <f t="shared" ca="1" si="106"/>
        <v>3102203.4996908032</v>
      </c>
      <c r="M1264" s="460">
        <f t="shared" si="109"/>
        <v>0.05</v>
      </c>
      <c r="N1264" s="464">
        <f t="shared" si="110"/>
        <v>89518</v>
      </c>
    </row>
    <row r="1265" spans="7:14" ht="11.25" customHeight="1" x14ac:dyDescent="0.3">
      <c r="G1265" s="459"/>
      <c r="H1265" s="459">
        <v>1258</v>
      </c>
      <c r="I1265" s="444">
        <f t="shared" ca="1" si="108"/>
        <v>3102203.4996908032</v>
      </c>
      <c r="J1265" s="444">
        <f t="array" ref="J1265">IFERROR(INDEX('Retirement Calculator'!J:J,MATCH('Isaac 401k'!N1265,'Retirement Calculator'!A:A,0),0),0)</f>
        <v>0</v>
      </c>
      <c r="K1265" s="444">
        <f t="shared" ca="1" si="105"/>
        <v>12925.847915378346</v>
      </c>
      <c r="L1265" s="444">
        <f t="shared" ca="1" si="106"/>
        <v>3115129.3476061816</v>
      </c>
      <c r="M1265" s="460">
        <f t="shared" si="109"/>
        <v>0.05</v>
      </c>
      <c r="N1265" s="464">
        <f t="shared" si="110"/>
        <v>89546</v>
      </c>
    </row>
    <row r="1266" spans="7:14" ht="11.25" customHeight="1" x14ac:dyDescent="0.3">
      <c r="G1266" s="459"/>
      <c r="H1266" s="459">
        <v>1259</v>
      </c>
      <c r="I1266" s="444">
        <f t="shared" ca="1" si="108"/>
        <v>3115129.3476061816</v>
      </c>
      <c r="J1266" s="444">
        <f t="array" ref="J1266">IFERROR(INDEX('Retirement Calculator'!J:J,MATCH('Isaac 401k'!N1266,'Retirement Calculator'!A:A,0),0),0)</f>
        <v>0</v>
      </c>
      <c r="K1266" s="444">
        <f t="shared" ca="1" si="105"/>
        <v>12979.705615025756</v>
      </c>
      <c r="L1266" s="444">
        <f t="shared" ca="1" si="106"/>
        <v>3128109.0532212076</v>
      </c>
      <c r="M1266" s="460">
        <f t="shared" si="109"/>
        <v>0.05</v>
      </c>
      <c r="N1266" s="464">
        <f t="shared" si="110"/>
        <v>89577</v>
      </c>
    </row>
    <row r="1267" spans="7:14" ht="11.25" customHeight="1" x14ac:dyDescent="0.3">
      <c r="G1267" s="459"/>
      <c r="H1267" s="459">
        <v>1260</v>
      </c>
      <c r="I1267" s="444">
        <f t="shared" ca="1" si="108"/>
        <v>3128109.0532212076</v>
      </c>
      <c r="J1267" s="444">
        <f t="array" ref="J1267">IFERROR(INDEX('Retirement Calculator'!J:J,MATCH('Isaac 401k'!N1267,'Retirement Calculator'!A:A,0),0),0)</f>
        <v>0</v>
      </c>
      <c r="K1267" s="444">
        <f t="shared" ca="1" si="105"/>
        <v>13033.787721755032</v>
      </c>
      <c r="L1267" s="444">
        <f t="shared" ca="1" si="106"/>
        <v>3141142.8409429626</v>
      </c>
      <c r="M1267" s="460">
        <f t="shared" si="109"/>
        <v>0.05</v>
      </c>
      <c r="N1267" s="464">
        <f t="shared" si="110"/>
        <v>89607</v>
      </c>
    </row>
    <row r="1268" spans="7:14" ht="11.25" customHeight="1" x14ac:dyDescent="0.3">
      <c r="G1268" s="459"/>
      <c r="H1268" s="459">
        <v>1261</v>
      </c>
      <c r="I1268" s="444">
        <f t="shared" ca="1" si="108"/>
        <v>3141142.8409429626</v>
      </c>
      <c r="J1268" s="444">
        <f t="array" ref="J1268">IFERROR(INDEX('Retirement Calculator'!J:J,MATCH('Isaac 401k'!N1268,'Retirement Calculator'!A:A,0),0),0)</f>
        <v>0</v>
      </c>
      <c r="K1268" s="444">
        <f t="shared" ca="1" si="105"/>
        <v>13088.095170595678</v>
      </c>
      <c r="L1268" s="444">
        <f t="shared" ca="1" si="106"/>
        <v>3154230.9361135582</v>
      </c>
      <c r="M1268" s="460">
        <f t="shared" si="109"/>
        <v>0.05</v>
      </c>
      <c r="N1268" s="464">
        <f t="shared" si="110"/>
        <v>89638</v>
      </c>
    </row>
    <row r="1269" spans="7:14" ht="11.25" customHeight="1" x14ac:dyDescent="0.3">
      <c r="G1269" s="459"/>
      <c r="H1269" s="459">
        <v>1262</v>
      </c>
      <c r="I1269" s="444">
        <f t="shared" ca="1" si="108"/>
        <v>3154230.9361135582</v>
      </c>
      <c r="J1269" s="444">
        <f t="array" ref="J1269">IFERROR(INDEX('Retirement Calculator'!J:J,MATCH('Isaac 401k'!N1269,'Retirement Calculator'!A:A,0),0),0)</f>
        <v>0</v>
      </c>
      <c r="K1269" s="444">
        <f t="shared" ca="1" si="105"/>
        <v>13142.628900473159</v>
      </c>
      <c r="L1269" s="444">
        <f t="shared" ca="1" si="106"/>
        <v>3167373.5650140313</v>
      </c>
      <c r="M1269" s="460">
        <f t="shared" si="109"/>
        <v>0.05</v>
      </c>
      <c r="N1269" s="464">
        <f t="shared" si="110"/>
        <v>89668</v>
      </c>
    </row>
    <row r="1270" spans="7:14" ht="11.25" customHeight="1" x14ac:dyDescent="0.3">
      <c r="G1270" s="459"/>
      <c r="H1270" s="459">
        <v>1263</v>
      </c>
      <c r="I1270" s="444">
        <f t="shared" ca="1" si="108"/>
        <v>3167373.5650140313</v>
      </c>
      <c r="J1270" s="444">
        <f t="array" ref="J1270">IFERROR(INDEX('Retirement Calculator'!J:J,MATCH('Isaac 401k'!N1270,'Retirement Calculator'!A:A,0),0),0)</f>
        <v>0</v>
      </c>
      <c r="K1270" s="444">
        <f t="shared" ca="1" si="105"/>
        <v>13197.38985422513</v>
      </c>
      <c r="L1270" s="444">
        <f t="shared" ca="1" si="106"/>
        <v>3180570.9548682566</v>
      </c>
      <c r="M1270" s="460">
        <f t="shared" si="109"/>
        <v>0.05</v>
      </c>
      <c r="N1270" s="464">
        <f t="shared" si="110"/>
        <v>89699</v>
      </c>
    </row>
    <row r="1271" spans="7:14" ht="11.25" customHeight="1" x14ac:dyDescent="0.3">
      <c r="G1271" s="459"/>
      <c r="H1271" s="459">
        <v>1264</v>
      </c>
      <c r="I1271" s="444">
        <f t="shared" ca="1" si="108"/>
        <v>3180570.9548682566</v>
      </c>
      <c r="J1271" s="444">
        <f t="array" ref="J1271">IFERROR(INDEX('Retirement Calculator'!J:J,MATCH('Isaac 401k'!N1271,'Retirement Calculator'!A:A,0),0),0)</f>
        <v>0</v>
      </c>
      <c r="K1271" s="444">
        <f t="shared" ca="1" si="105"/>
        <v>13252.378978617735</v>
      </c>
      <c r="L1271" s="444">
        <f t="shared" ca="1" si="106"/>
        <v>3193823.3338468745</v>
      </c>
      <c r="M1271" s="460">
        <f t="shared" si="109"/>
        <v>0.05</v>
      </c>
      <c r="N1271" s="464">
        <f t="shared" si="110"/>
        <v>89730</v>
      </c>
    </row>
    <row r="1272" spans="7:14" ht="11.25" customHeight="1" x14ac:dyDescent="0.3">
      <c r="G1272" s="459"/>
      <c r="H1272" s="459">
        <v>1265</v>
      </c>
      <c r="I1272" s="444">
        <f t="shared" ca="1" si="108"/>
        <v>3193823.3338468745</v>
      </c>
      <c r="J1272" s="444">
        <f t="array" ref="J1272">IFERROR(INDEX('Retirement Calculator'!J:J,MATCH('Isaac 401k'!N1272,'Retirement Calculator'!A:A,0),0),0)</f>
        <v>0</v>
      </c>
      <c r="K1272" s="444">
        <f t="shared" ca="1" si="105"/>
        <v>13307.597224361976</v>
      </c>
      <c r="L1272" s="444">
        <f t="shared" ca="1" si="106"/>
        <v>3207130.9310712367</v>
      </c>
      <c r="M1272" s="460">
        <f t="shared" si="109"/>
        <v>0.05</v>
      </c>
      <c r="N1272" s="464">
        <f t="shared" si="110"/>
        <v>89760</v>
      </c>
    </row>
    <row r="1273" spans="7:14" ht="11.25" customHeight="1" x14ac:dyDescent="0.3">
      <c r="G1273" s="459"/>
      <c r="H1273" s="459">
        <v>1266</v>
      </c>
      <c r="I1273" s="444">
        <f t="shared" ca="1" si="108"/>
        <v>3207130.9310712367</v>
      </c>
      <c r="J1273" s="444">
        <f t="array" ref="J1273">IFERROR(INDEX('Retirement Calculator'!J:J,MATCH('Isaac 401k'!N1273,'Retirement Calculator'!A:A,0),0),0)</f>
        <v>0</v>
      </c>
      <c r="K1273" s="444">
        <f t="shared" ca="1" si="105"/>
        <v>13363.045546130154</v>
      </c>
      <c r="L1273" s="444">
        <f t="shared" ca="1" si="106"/>
        <v>3220493.976617367</v>
      </c>
      <c r="M1273" s="460">
        <f t="shared" si="109"/>
        <v>0.05</v>
      </c>
      <c r="N1273" s="464">
        <f t="shared" si="110"/>
        <v>89791</v>
      </c>
    </row>
    <row r="1274" spans="7:14" ht="11.25" customHeight="1" x14ac:dyDescent="0.3">
      <c r="G1274" s="459"/>
      <c r="H1274" s="459">
        <v>1267</v>
      </c>
      <c r="I1274" s="444">
        <f t="shared" ca="1" si="108"/>
        <v>3220493.976617367</v>
      </c>
      <c r="J1274" s="444">
        <f t="array" ref="J1274">IFERROR(INDEX('Retirement Calculator'!J:J,MATCH('Isaac 401k'!N1274,'Retirement Calculator'!A:A,0),0),0)</f>
        <v>0</v>
      </c>
      <c r="K1274" s="444">
        <f t="shared" ca="1" si="105"/>
        <v>13418.724902572363</v>
      </c>
      <c r="L1274" s="444">
        <f t="shared" ca="1" si="106"/>
        <v>3233912.7015199396</v>
      </c>
      <c r="M1274" s="460">
        <f t="shared" si="109"/>
        <v>0.05</v>
      </c>
      <c r="N1274" s="464">
        <f t="shared" si="110"/>
        <v>89821</v>
      </c>
    </row>
    <row r="1275" spans="7:14" ht="11.25" customHeight="1" x14ac:dyDescent="0.3">
      <c r="G1275" s="459"/>
      <c r="H1275" s="459">
        <v>1268</v>
      </c>
      <c r="I1275" s="444">
        <f t="shared" ca="1" si="108"/>
        <v>3233912.7015199396</v>
      </c>
      <c r="J1275" s="444">
        <f t="array" ref="J1275">IFERROR(INDEX('Retirement Calculator'!J:J,MATCH('Isaac 401k'!N1275,'Retirement Calculator'!A:A,0),0),0)</f>
        <v>0</v>
      </c>
      <c r="K1275" s="444">
        <f t="shared" ca="1" si="105"/>
        <v>13474.636256333082</v>
      </c>
      <c r="L1275" s="444">
        <f t="shared" ca="1" si="106"/>
        <v>3247387.3377762726</v>
      </c>
      <c r="M1275" s="460">
        <f t="shared" si="109"/>
        <v>0.05</v>
      </c>
      <c r="N1275" s="464">
        <f t="shared" si="110"/>
        <v>89852</v>
      </c>
    </row>
    <row r="1276" spans="7:14" ht="11.25" customHeight="1" x14ac:dyDescent="0.3">
      <c r="G1276" s="459"/>
      <c r="H1276" s="459">
        <v>1269</v>
      </c>
      <c r="I1276" s="444">
        <f t="shared" ca="1" si="108"/>
        <v>3247387.3377762726</v>
      </c>
      <c r="J1276" s="444">
        <f t="array" ref="J1276">IFERROR(INDEX('Retirement Calculator'!J:J,MATCH('Isaac 401k'!N1276,'Retirement Calculator'!A:A,0),0),0)</f>
        <v>0</v>
      </c>
      <c r="K1276" s="444">
        <f t="shared" ca="1" si="105"/>
        <v>13530.780574067801</v>
      </c>
      <c r="L1276" s="444">
        <f t="shared" ca="1" si="106"/>
        <v>3260918.1183503405</v>
      </c>
      <c r="M1276" s="460">
        <f t="shared" si="109"/>
        <v>0.05</v>
      </c>
      <c r="N1276" s="464">
        <f t="shared" si="110"/>
        <v>89883</v>
      </c>
    </row>
    <row r="1277" spans="7:14" ht="11.25" customHeight="1" x14ac:dyDescent="0.3">
      <c r="G1277" s="459"/>
      <c r="H1277" s="459">
        <v>1270</v>
      </c>
      <c r="I1277" s="444">
        <f t="shared" ca="1" si="108"/>
        <v>3260918.1183503405</v>
      </c>
      <c r="J1277" s="444">
        <f t="array" ref="J1277">IFERROR(INDEX('Retirement Calculator'!J:J,MATCH('Isaac 401k'!N1277,'Retirement Calculator'!A:A,0),0),0)</f>
        <v>0</v>
      </c>
      <c r="K1277" s="444">
        <f t="shared" ca="1" si="105"/>
        <v>13587.158826459752</v>
      </c>
      <c r="L1277" s="444">
        <f t="shared" ca="1" si="106"/>
        <v>3274505.2771768002</v>
      </c>
      <c r="M1277" s="460">
        <f t="shared" si="109"/>
        <v>0.05</v>
      </c>
      <c r="N1277" s="464">
        <f t="shared" si="110"/>
        <v>89911</v>
      </c>
    </row>
    <row r="1278" spans="7:14" ht="11.25" customHeight="1" x14ac:dyDescent="0.3">
      <c r="G1278" s="459"/>
      <c r="H1278" s="459">
        <v>1271</v>
      </c>
      <c r="I1278" s="444">
        <f t="shared" ca="1" si="108"/>
        <v>3274505.2771768002</v>
      </c>
      <c r="J1278" s="444">
        <f t="array" ref="J1278">IFERROR(INDEX('Retirement Calculator'!J:J,MATCH('Isaac 401k'!N1278,'Retirement Calculator'!A:A,0),0),0)</f>
        <v>0</v>
      </c>
      <c r="K1278" s="444">
        <f t="shared" ca="1" si="105"/>
        <v>13643.771988236665</v>
      </c>
      <c r="L1278" s="444">
        <f t="shared" ca="1" si="106"/>
        <v>3288149.049165037</v>
      </c>
      <c r="M1278" s="460">
        <f t="shared" si="109"/>
        <v>0.05</v>
      </c>
      <c r="N1278" s="464">
        <f t="shared" si="110"/>
        <v>89942</v>
      </c>
    </row>
    <row r="1279" spans="7:14" ht="11.25" customHeight="1" x14ac:dyDescent="0.3">
      <c r="G1279" s="459"/>
      <c r="H1279" s="459">
        <v>1272</v>
      </c>
      <c r="I1279" s="444">
        <f t="shared" ca="1" si="108"/>
        <v>3288149.049165037</v>
      </c>
      <c r="J1279" s="444">
        <f t="array" ref="J1279">IFERROR(INDEX('Retirement Calculator'!J:J,MATCH('Isaac 401k'!N1279,'Retirement Calculator'!A:A,0),0),0)</f>
        <v>0</v>
      </c>
      <c r="K1279" s="444">
        <f t="shared" ca="1" si="105"/>
        <v>13700.621038187652</v>
      </c>
      <c r="L1279" s="444">
        <f t="shared" ca="1" si="106"/>
        <v>3301849.6702032248</v>
      </c>
      <c r="M1279" s="460">
        <f t="shared" si="109"/>
        <v>0.05</v>
      </c>
      <c r="N1279" s="464">
        <f t="shared" si="110"/>
        <v>89972</v>
      </c>
    </row>
    <row r="1280" spans="7:14" ht="11.25" customHeight="1" x14ac:dyDescent="0.3">
      <c r="G1280" s="459"/>
      <c r="H1280" s="459">
        <v>1273</v>
      </c>
      <c r="I1280" s="444">
        <f t="shared" ca="1" si="108"/>
        <v>3301849.6702032248</v>
      </c>
      <c r="J1280" s="444">
        <f t="array" ref="J1280">IFERROR(INDEX('Retirement Calculator'!J:J,MATCH('Isaac 401k'!N1280,'Retirement Calculator'!A:A,0),0),0)</f>
        <v>0</v>
      </c>
      <c r="K1280" s="444">
        <f t="shared" ca="1" si="105"/>
        <v>13757.706959180103</v>
      </c>
      <c r="L1280" s="444">
        <f t="shared" ca="1" si="106"/>
        <v>3315607.3771624048</v>
      </c>
      <c r="M1280" s="460">
        <f t="shared" si="109"/>
        <v>0.05</v>
      </c>
      <c r="N1280" s="464">
        <f t="shared" si="110"/>
        <v>90003</v>
      </c>
    </row>
    <row r="1281" spans="7:14" ht="11.25" customHeight="1" x14ac:dyDescent="0.3">
      <c r="G1281" s="459"/>
      <c r="H1281" s="459">
        <v>1274</v>
      </c>
      <c r="I1281" s="444">
        <f t="shared" ca="1" si="108"/>
        <v>3315607.3771624048</v>
      </c>
      <c r="J1281" s="444">
        <f t="array" ref="J1281">IFERROR(INDEX('Retirement Calculator'!J:J,MATCH('Isaac 401k'!N1281,'Retirement Calculator'!A:A,0),0),0)</f>
        <v>0</v>
      </c>
      <c r="K1281" s="444">
        <f t="shared" ca="1" si="105"/>
        <v>13815.030738176685</v>
      </c>
      <c r="L1281" s="444">
        <f t="shared" ca="1" si="106"/>
        <v>3329422.4079005816</v>
      </c>
      <c r="M1281" s="460">
        <f t="shared" si="109"/>
        <v>0.05</v>
      </c>
      <c r="N1281" s="464">
        <f t="shared" si="110"/>
        <v>90033</v>
      </c>
    </row>
    <row r="1282" spans="7:14" ht="11.25" customHeight="1" x14ac:dyDescent="0.3">
      <c r="G1282" s="459"/>
      <c r="H1282" s="459">
        <v>1275</v>
      </c>
      <c r="I1282" s="444">
        <f t="shared" ca="1" si="108"/>
        <v>3329422.4079005816</v>
      </c>
      <c r="J1282" s="444">
        <f t="array" ref="J1282">IFERROR(INDEX('Retirement Calculator'!J:J,MATCH('Isaac 401k'!N1282,'Retirement Calculator'!A:A,0),0),0)</f>
        <v>0</v>
      </c>
      <c r="K1282" s="444">
        <f t="shared" ca="1" si="105"/>
        <v>13872.59336625242</v>
      </c>
      <c r="L1282" s="444">
        <f t="shared" ca="1" si="106"/>
        <v>3343295.0012668339</v>
      </c>
      <c r="M1282" s="460">
        <f t="shared" si="109"/>
        <v>0.05</v>
      </c>
      <c r="N1282" s="464">
        <f t="shared" si="110"/>
        <v>90064</v>
      </c>
    </row>
    <row r="1283" spans="7:14" ht="11.25" customHeight="1" x14ac:dyDescent="0.3">
      <c r="G1283" s="459"/>
      <c r="H1283" s="459">
        <v>1276</v>
      </c>
      <c r="I1283" s="444">
        <f t="shared" ca="1" si="108"/>
        <v>3343295.0012668339</v>
      </c>
      <c r="J1283" s="444">
        <f t="array" ref="J1283">IFERROR(INDEX('Retirement Calculator'!J:J,MATCH('Isaac 401k'!N1283,'Retirement Calculator'!A:A,0),0),0)</f>
        <v>0</v>
      </c>
      <c r="K1283" s="444">
        <f t="shared" ref="K1283:K1537" ca="1" si="126">IPMT(M1283/12,1,12,-I1283+J1283,,0)</f>
        <v>13930.395838611808</v>
      </c>
      <c r="L1283" s="444">
        <f t="shared" ref="L1283:L1537" ca="1" si="127">I1283-J1283+K1283</f>
        <v>3357225.3971054456</v>
      </c>
      <c r="M1283" s="460">
        <f t="shared" si="109"/>
        <v>0.05</v>
      </c>
      <c r="N1283" s="464">
        <f t="shared" si="110"/>
        <v>90095</v>
      </c>
    </row>
    <row r="1284" spans="7:14" ht="11.25" customHeight="1" x14ac:dyDescent="0.3">
      <c r="G1284" s="459"/>
      <c r="H1284" s="459">
        <v>1277</v>
      </c>
      <c r="I1284" s="444">
        <f t="shared" ref="I1284:I1538" ca="1" si="128">L1283</f>
        <v>3357225.3971054456</v>
      </c>
      <c r="J1284" s="444">
        <f t="array" ref="J1284">IFERROR(INDEX('Retirement Calculator'!J:J,MATCH('Isaac 401k'!N1284,'Retirement Calculator'!A:A,0),0),0)</f>
        <v>0</v>
      </c>
      <c r="K1284" s="444">
        <f t="shared" ca="1" si="126"/>
        <v>13988.439154606023</v>
      </c>
      <c r="L1284" s="444">
        <f t="shared" ca="1" si="127"/>
        <v>3371213.8362600515</v>
      </c>
      <c r="M1284" s="460">
        <f t="shared" ref="M1284:M1538" si="129">M1283</f>
        <v>0.05</v>
      </c>
      <c r="N1284" s="464">
        <f t="shared" ref="N1284:N1538" si="130">EDATE(N1283,1)</f>
        <v>90125</v>
      </c>
    </row>
    <row r="1285" spans="7:14" ht="11.25" customHeight="1" x14ac:dyDescent="0.3">
      <c r="G1285" s="459"/>
      <c r="H1285" s="459">
        <v>1278</v>
      </c>
      <c r="I1285" s="444">
        <f t="shared" ca="1" si="128"/>
        <v>3371213.8362600515</v>
      </c>
      <c r="J1285" s="444">
        <f t="array" ref="J1285">IFERROR(INDEX('Retirement Calculator'!J:J,MATCH('Isaac 401k'!N1285,'Retirement Calculator'!A:A,0),0),0)</f>
        <v>0</v>
      </c>
      <c r="K1285" s="444">
        <f t="shared" ca="1" si="126"/>
        <v>14046.724317750215</v>
      </c>
      <c r="L1285" s="444">
        <f t="shared" ca="1" si="127"/>
        <v>3385260.5605778019</v>
      </c>
      <c r="M1285" s="460">
        <f t="shared" si="129"/>
        <v>0.05</v>
      </c>
      <c r="N1285" s="464">
        <f t="shared" si="130"/>
        <v>90156</v>
      </c>
    </row>
    <row r="1286" spans="7:14" ht="11.25" customHeight="1" x14ac:dyDescent="0.3">
      <c r="G1286" s="459"/>
      <c r="H1286" s="459">
        <v>1279</v>
      </c>
      <c r="I1286" s="444">
        <f t="shared" ca="1" si="128"/>
        <v>3385260.5605778019</v>
      </c>
      <c r="J1286" s="444">
        <f t="array" ref="J1286">IFERROR(INDEX('Retirement Calculator'!J:J,MATCH('Isaac 401k'!N1286,'Retirement Calculator'!A:A,0),0),0)</f>
        <v>0</v>
      </c>
      <c r="K1286" s="444">
        <f t="shared" ca="1" si="126"/>
        <v>14105.252335740841</v>
      </c>
      <c r="L1286" s="444">
        <f t="shared" ca="1" si="127"/>
        <v>3399365.8129135426</v>
      </c>
      <c r="M1286" s="460">
        <f t="shared" si="129"/>
        <v>0.05</v>
      </c>
      <c r="N1286" s="464">
        <f t="shared" si="130"/>
        <v>90186</v>
      </c>
    </row>
    <row r="1287" spans="7:14" ht="11.25" customHeight="1" x14ac:dyDescent="0.3">
      <c r="G1287" s="459"/>
      <c r="H1287" s="459">
        <v>1280</v>
      </c>
      <c r="I1287" s="444">
        <f t="shared" ca="1" si="128"/>
        <v>3399365.8129135426</v>
      </c>
      <c r="J1287" s="444">
        <f t="array" ref="J1287">IFERROR(INDEX('Retirement Calculator'!J:J,MATCH('Isaac 401k'!N1287,'Retirement Calculator'!A:A,0),0),0)</f>
        <v>0</v>
      </c>
      <c r="K1287" s="444">
        <f t="shared" ca="1" si="126"/>
        <v>14164.024220473095</v>
      </c>
      <c r="L1287" s="444">
        <f t="shared" ca="1" si="127"/>
        <v>3413529.8371340157</v>
      </c>
      <c r="M1287" s="460">
        <f t="shared" si="129"/>
        <v>0.05</v>
      </c>
      <c r="N1287" s="464">
        <f t="shared" si="130"/>
        <v>90217</v>
      </c>
    </row>
    <row r="1288" spans="7:14" ht="11.25" customHeight="1" x14ac:dyDescent="0.3">
      <c r="G1288" s="459"/>
      <c r="H1288" s="459">
        <v>1281</v>
      </c>
      <c r="I1288" s="444">
        <f t="shared" ca="1" si="128"/>
        <v>3413529.8371340157</v>
      </c>
      <c r="J1288" s="444">
        <f t="array" ref="J1288">IFERROR(INDEX('Retirement Calculator'!J:J,MATCH('Isaac 401k'!N1288,'Retirement Calculator'!A:A,0),0),0)</f>
        <v>0</v>
      </c>
      <c r="K1288" s="444">
        <f t="shared" ca="1" si="126"/>
        <v>14223.040988058399</v>
      </c>
      <c r="L1288" s="444">
        <f t="shared" ca="1" si="127"/>
        <v>3427752.8781220741</v>
      </c>
      <c r="M1288" s="460">
        <f t="shared" si="129"/>
        <v>0.05</v>
      </c>
      <c r="N1288" s="464">
        <f t="shared" si="130"/>
        <v>90248</v>
      </c>
    </row>
    <row r="1289" spans="7:14" ht="11.25" customHeight="1" x14ac:dyDescent="0.3">
      <c r="G1289" s="459"/>
      <c r="H1289" s="459">
        <v>1282</v>
      </c>
      <c r="I1289" s="444">
        <f t="shared" ca="1" si="128"/>
        <v>3427752.8781220741</v>
      </c>
      <c r="J1289" s="444">
        <f t="array" ref="J1289">IFERROR(INDEX('Retirement Calculator'!J:J,MATCH('Isaac 401k'!N1289,'Retirement Calculator'!A:A,0),0),0)</f>
        <v>0</v>
      </c>
      <c r="K1289" s="444">
        <f t="shared" ca="1" si="126"/>
        <v>14282.303658841975</v>
      </c>
      <c r="L1289" s="444">
        <f t="shared" ca="1" si="127"/>
        <v>3442035.1817809162</v>
      </c>
      <c r="M1289" s="460">
        <f t="shared" si="129"/>
        <v>0.05</v>
      </c>
      <c r="N1289" s="464">
        <f t="shared" si="130"/>
        <v>90276</v>
      </c>
    </row>
    <row r="1290" spans="7:14" ht="11.25" customHeight="1" x14ac:dyDescent="0.3">
      <c r="G1290" s="459"/>
      <c r="H1290" s="459">
        <v>1283</v>
      </c>
      <c r="I1290" s="444">
        <f t="shared" ca="1" si="128"/>
        <v>3442035.1817809162</v>
      </c>
      <c r="J1290" s="444">
        <f t="array" ref="J1290">IFERROR(INDEX('Retirement Calculator'!J:J,MATCH('Isaac 401k'!N1290,'Retirement Calculator'!A:A,0),0),0)</f>
        <v>0</v>
      </c>
      <c r="K1290" s="444">
        <f t="shared" ca="1" si="126"/>
        <v>14341.813257420481</v>
      </c>
      <c r="L1290" s="444">
        <f t="shared" ca="1" si="127"/>
        <v>3456376.9950383366</v>
      </c>
      <c r="M1290" s="460">
        <f t="shared" si="129"/>
        <v>0.05</v>
      </c>
      <c r="N1290" s="464">
        <f t="shared" si="130"/>
        <v>90307</v>
      </c>
    </row>
    <row r="1291" spans="7:14" ht="11.25" customHeight="1" x14ac:dyDescent="0.3">
      <c r="G1291" s="459"/>
      <c r="H1291" s="459">
        <v>1284</v>
      </c>
      <c r="I1291" s="444">
        <f t="shared" ca="1" si="128"/>
        <v>3456376.9950383366</v>
      </c>
      <c r="J1291" s="444">
        <f t="array" ref="J1291">IFERROR(INDEX('Retirement Calculator'!J:J,MATCH('Isaac 401k'!N1291,'Retirement Calculator'!A:A,0),0),0)</f>
        <v>0</v>
      </c>
      <c r="K1291" s="444">
        <f t="shared" ca="1" si="126"/>
        <v>14401.570812659736</v>
      </c>
      <c r="L1291" s="444">
        <f t="shared" ca="1" si="127"/>
        <v>3470778.5658509964</v>
      </c>
      <c r="M1291" s="460">
        <f t="shared" si="129"/>
        <v>0.05</v>
      </c>
      <c r="N1291" s="464">
        <f t="shared" si="130"/>
        <v>90337</v>
      </c>
    </row>
    <row r="1292" spans="7:14" ht="11.25" customHeight="1" x14ac:dyDescent="0.3">
      <c r="G1292" s="459"/>
      <c r="H1292" s="459">
        <v>1285</v>
      </c>
      <c r="I1292" s="444">
        <f t="shared" ca="1" si="128"/>
        <v>3470778.5658509964</v>
      </c>
      <c r="J1292" s="444">
        <f t="array" ref="J1292">IFERROR(INDEX('Retirement Calculator'!J:J,MATCH('Isaac 401k'!N1292,'Retirement Calculator'!A:A,0),0),0)</f>
        <v>0</v>
      </c>
      <c r="K1292" s="444">
        <f t="shared" ca="1" si="126"/>
        <v>14461.577357712486</v>
      </c>
      <c r="L1292" s="444">
        <f t="shared" ca="1" si="127"/>
        <v>3485240.1432087091</v>
      </c>
      <c r="M1292" s="460">
        <f t="shared" si="129"/>
        <v>0.05</v>
      </c>
      <c r="N1292" s="464">
        <f t="shared" si="130"/>
        <v>90368</v>
      </c>
    </row>
    <row r="1293" spans="7:14" ht="11.25" customHeight="1" x14ac:dyDescent="0.3">
      <c r="G1293" s="459"/>
      <c r="H1293" s="459">
        <v>1286</v>
      </c>
      <c r="I1293" s="444">
        <f t="shared" ca="1" si="128"/>
        <v>3485240.1432087091</v>
      </c>
      <c r="J1293" s="444">
        <f t="array" ref="J1293">IFERROR(INDEX('Retirement Calculator'!J:J,MATCH('Isaac 401k'!N1293,'Retirement Calculator'!A:A,0),0),0)</f>
        <v>0</v>
      </c>
      <c r="K1293" s="444">
        <f t="shared" ca="1" si="126"/>
        <v>14521.833930036286</v>
      </c>
      <c r="L1293" s="444">
        <f t="shared" ca="1" si="127"/>
        <v>3499761.9771387456</v>
      </c>
      <c r="M1293" s="460">
        <f t="shared" si="129"/>
        <v>0.05</v>
      </c>
      <c r="N1293" s="464">
        <f t="shared" si="130"/>
        <v>90398</v>
      </c>
    </row>
    <row r="1294" spans="7:14" ht="11.25" customHeight="1" x14ac:dyDescent="0.3">
      <c r="G1294" s="459"/>
      <c r="H1294" s="459">
        <v>1287</v>
      </c>
      <c r="I1294" s="444">
        <f t="shared" ca="1" si="128"/>
        <v>3499761.9771387456</v>
      </c>
      <c r="J1294" s="444">
        <f t="array" ref="J1294">IFERROR(INDEX('Retirement Calculator'!J:J,MATCH('Isaac 401k'!N1294,'Retirement Calculator'!A:A,0),0),0)</f>
        <v>0</v>
      </c>
      <c r="K1294" s="444">
        <f t="shared" ca="1" si="126"/>
        <v>14582.34157141144</v>
      </c>
      <c r="L1294" s="444">
        <f t="shared" ca="1" si="127"/>
        <v>3514344.3187101572</v>
      </c>
      <c r="M1294" s="460">
        <f t="shared" si="129"/>
        <v>0.05</v>
      </c>
      <c r="N1294" s="464">
        <f t="shared" si="130"/>
        <v>90429</v>
      </c>
    </row>
    <row r="1295" spans="7:14" ht="11.25" customHeight="1" x14ac:dyDescent="0.3">
      <c r="G1295" s="459"/>
      <c r="H1295" s="459">
        <v>1288</v>
      </c>
      <c r="I1295" s="444">
        <f t="shared" ca="1" si="128"/>
        <v>3514344.3187101572</v>
      </c>
      <c r="J1295" s="444">
        <f t="array" ref="J1295">IFERROR(INDEX('Retirement Calculator'!J:J,MATCH('Isaac 401k'!N1295,'Retirement Calculator'!A:A,0),0),0)</f>
        <v>0</v>
      </c>
      <c r="K1295" s="444">
        <f t="shared" ca="1" si="126"/>
        <v>14643.101327958986</v>
      </c>
      <c r="L1295" s="444">
        <f t="shared" ca="1" si="127"/>
        <v>3528987.4200381162</v>
      </c>
      <c r="M1295" s="460">
        <f t="shared" si="129"/>
        <v>0.05</v>
      </c>
      <c r="N1295" s="464">
        <f t="shared" si="130"/>
        <v>90460</v>
      </c>
    </row>
    <row r="1296" spans="7:14" ht="11.25" customHeight="1" x14ac:dyDescent="0.3">
      <c r="G1296" s="459"/>
      <c r="H1296" s="459">
        <v>1289</v>
      </c>
      <c r="I1296" s="444">
        <f t="shared" ca="1" si="128"/>
        <v>3528987.4200381162</v>
      </c>
      <c r="J1296" s="444">
        <f t="array" ref="J1296">IFERROR(INDEX('Retirement Calculator'!J:J,MATCH('Isaac 401k'!N1296,'Retirement Calculator'!A:A,0),0),0)</f>
        <v>0</v>
      </c>
      <c r="K1296" s="444">
        <f t="shared" ca="1" si="126"/>
        <v>14704.114250158817</v>
      </c>
      <c r="L1296" s="444">
        <f t="shared" ca="1" si="127"/>
        <v>3543691.5342882751</v>
      </c>
      <c r="M1296" s="460">
        <f t="shared" si="129"/>
        <v>0.05</v>
      </c>
      <c r="N1296" s="464">
        <f t="shared" si="130"/>
        <v>90490</v>
      </c>
    </row>
    <row r="1297" spans="7:14" ht="11.25" customHeight="1" x14ac:dyDescent="0.3">
      <c r="G1297" s="459"/>
      <c r="H1297" s="459">
        <v>1290</v>
      </c>
      <c r="I1297" s="444">
        <f t="shared" ca="1" si="128"/>
        <v>3543691.5342882751</v>
      </c>
      <c r="J1297" s="444">
        <f t="array" ref="J1297">IFERROR(INDEX('Retirement Calculator'!J:J,MATCH('Isaac 401k'!N1297,'Retirement Calculator'!A:A,0),0),0)</f>
        <v>0</v>
      </c>
      <c r="K1297" s="444">
        <f t="shared" ca="1" si="126"/>
        <v>14765.381392867812</v>
      </c>
      <c r="L1297" s="444">
        <f t="shared" ca="1" si="127"/>
        <v>3558456.9156811428</v>
      </c>
      <c r="M1297" s="460">
        <f t="shared" si="129"/>
        <v>0.05</v>
      </c>
      <c r="N1297" s="464">
        <f t="shared" si="130"/>
        <v>90521</v>
      </c>
    </row>
    <row r="1298" spans="7:14" ht="11.25" customHeight="1" x14ac:dyDescent="0.3">
      <c r="G1298" s="459"/>
      <c r="H1298" s="459">
        <v>1291</v>
      </c>
      <c r="I1298" s="444">
        <f t="shared" ca="1" si="128"/>
        <v>3558456.9156811428</v>
      </c>
      <c r="J1298" s="444">
        <f t="array" ref="J1298">IFERROR(INDEX('Retirement Calculator'!J:J,MATCH('Isaac 401k'!N1298,'Retirement Calculator'!A:A,0),0),0)</f>
        <v>0</v>
      </c>
      <c r="K1298" s="444">
        <f t="shared" ca="1" si="126"/>
        <v>14826.903815338095</v>
      </c>
      <c r="L1298" s="444">
        <f t="shared" ca="1" si="127"/>
        <v>3573283.8194964807</v>
      </c>
      <c r="M1298" s="460">
        <f t="shared" si="129"/>
        <v>0.05</v>
      </c>
      <c r="N1298" s="464">
        <f t="shared" si="130"/>
        <v>90551</v>
      </c>
    </row>
    <row r="1299" spans="7:14" ht="11.25" customHeight="1" x14ac:dyDescent="0.3">
      <c r="G1299" s="459"/>
      <c r="H1299" s="459">
        <v>1292</v>
      </c>
      <c r="I1299" s="444">
        <f t="shared" ca="1" si="128"/>
        <v>3573283.8194964807</v>
      </c>
      <c r="J1299" s="444">
        <f t="array" ref="J1299">IFERROR(INDEX('Retirement Calculator'!J:J,MATCH('Isaac 401k'!N1299,'Retirement Calculator'!A:A,0),0),0)</f>
        <v>0</v>
      </c>
      <c r="K1299" s="444">
        <f t="shared" ca="1" si="126"/>
        <v>14888.682581235338</v>
      </c>
      <c r="L1299" s="444">
        <f t="shared" ca="1" si="127"/>
        <v>3588172.5020777159</v>
      </c>
      <c r="M1299" s="460">
        <f t="shared" si="129"/>
        <v>0.05</v>
      </c>
      <c r="N1299" s="464">
        <f t="shared" si="130"/>
        <v>90582</v>
      </c>
    </row>
    <row r="1300" spans="7:14" ht="11.25" customHeight="1" x14ac:dyDescent="0.3">
      <c r="G1300" s="459"/>
      <c r="H1300" s="459">
        <v>1293</v>
      </c>
      <c r="I1300" s="444">
        <f t="shared" ca="1" si="128"/>
        <v>3588172.5020777159</v>
      </c>
      <c r="J1300" s="444">
        <f t="array" ref="J1300">IFERROR(INDEX('Retirement Calculator'!J:J,MATCH('Isaac 401k'!N1300,'Retirement Calculator'!A:A,0),0),0)</f>
        <v>0</v>
      </c>
      <c r="K1300" s="444">
        <f t="shared" ca="1" si="126"/>
        <v>14950.718758657151</v>
      </c>
      <c r="L1300" s="444">
        <f t="shared" ca="1" si="127"/>
        <v>3603123.220836373</v>
      </c>
      <c r="M1300" s="460">
        <f t="shared" si="129"/>
        <v>0.05</v>
      </c>
      <c r="N1300" s="464">
        <f t="shared" si="130"/>
        <v>90613</v>
      </c>
    </row>
    <row r="1301" spans="7:14" ht="11.25" customHeight="1" x14ac:dyDescent="0.3">
      <c r="G1301" s="459"/>
      <c r="H1301" s="459">
        <v>1294</v>
      </c>
      <c r="I1301" s="444">
        <f t="shared" ca="1" si="128"/>
        <v>3603123.220836373</v>
      </c>
      <c r="J1301" s="444">
        <f t="array" ref="J1301">IFERROR(INDEX('Retirement Calculator'!J:J,MATCH('Isaac 401k'!N1301,'Retirement Calculator'!A:A,0),0),0)</f>
        <v>0</v>
      </c>
      <c r="K1301" s="444">
        <f t="shared" ca="1" si="126"/>
        <v>15013.013420151552</v>
      </c>
      <c r="L1301" s="444">
        <f t="shared" ca="1" si="127"/>
        <v>3618136.2342565246</v>
      </c>
      <c r="M1301" s="460">
        <f t="shared" si="129"/>
        <v>0.05</v>
      </c>
      <c r="N1301" s="464">
        <f t="shared" si="130"/>
        <v>90642</v>
      </c>
    </row>
    <row r="1302" spans="7:14" ht="11.25" customHeight="1" x14ac:dyDescent="0.3">
      <c r="G1302" s="459"/>
      <c r="H1302" s="459">
        <v>1295</v>
      </c>
      <c r="I1302" s="444">
        <f t="shared" ca="1" si="128"/>
        <v>3618136.2342565246</v>
      </c>
      <c r="J1302" s="444">
        <f t="array" ref="J1302">IFERROR(INDEX('Retirement Calculator'!J:J,MATCH('Isaac 401k'!N1302,'Retirement Calculator'!A:A,0),0),0)</f>
        <v>0</v>
      </c>
      <c r="K1302" s="444">
        <f t="shared" ca="1" si="126"/>
        <v>15075.567642735519</v>
      </c>
      <c r="L1302" s="444">
        <f t="shared" ca="1" si="127"/>
        <v>3633211.8018992599</v>
      </c>
      <c r="M1302" s="460">
        <f t="shared" si="129"/>
        <v>0.05</v>
      </c>
      <c r="N1302" s="464">
        <f t="shared" si="130"/>
        <v>90673</v>
      </c>
    </row>
    <row r="1303" spans="7:14" ht="11.25" customHeight="1" x14ac:dyDescent="0.3">
      <c r="G1303" s="459"/>
      <c r="H1303" s="459">
        <v>1296</v>
      </c>
      <c r="I1303" s="444">
        <f t="shared" ca="1" si="128"/>
        <v>3633211.8018992599</v>
      </c>
      <c r="J1303" s="444">
        <f t="array" ref="J1303">IFERROR(INDEX('Retirement Calculator'!J:J,MATCH('Isaac 401k'!N1303,'Retirement Calculator'!A:A,0),0),0)</f>
        <v>0</v>
      </c>
      <c r="K1303" s="444">
        <f t="shared" ca="1" si="126"/>
        <v>15138.38250791358</v>
      </c>
      <c r="L1303" s="444">
        <f t="shared" ca="1" si="127"/>
        <v>3648350.1844071737</v>
      </c>
      <c r="M1303" s="460">
        <f t="shared" si="129"/>
        <v>0.05</v>
      </c>
      <c r="N1303" s="464">
        <f t="shared" si="130"/>
        <v>90703</v>
      </c>
    </row>
    <row r="1304" spans="7:14" ht="11.25" customHeight="1" x14ac:dyDescent="0.3">
      <c r="G1304" s="459"/>
      <c r="H1304" s="459">
        <v>1297</v>
      </c>
      <c r="I1304" s="444">
        <f t="shared" ca="1" si="128"/>
        <v>3648350.1844071737</v>
      </c>
      <c r="J1304" s="444">
        <f t="array" ref="J1304">IFERROR(INDEX('Retirement Calculator'!J:J,MATCH('Isaac 401k'!N1304,'Retirement Calculator'!A:A,0),0),0)</f>
        <v>0</v>
      </c>
      <c r="K1304" s="444">
        <f t="shared" ca="1" si="126"/>
        <v>15201.459101696555</v>
      </c>
      <c r="L1304" s="444">
        <f t="shared" ca="1" si="127"/>
        <v>3663551.6435088702</v>
      </c>
      <c r="M1304" s="460">
        <f t="shared" si="129"/>
        <v>0.05</v>
      </c>
      <c r="N1304" s="464">
        <f t="shared" si="130"/>
        <v>90734</v>
      </c>
    </row>
    <row r="1305" spans="7:14" ht="11.25" customHeight="1" x14ac:dyDescent="0.3">
      <c r="G1305" s="459"/>
      <c r="H1305" s="459">
        <v>1298</v>
      </c>
      <c r="I1305" s="444">
        <f t="shared" ca="1" si="128"/>
        <v>3663551.6435088702</v>
      </c>
      <c r="J1305" s="444">
        <f t="array" ref="J1305">IFERROR(INDEX('Retirement Calculator'!J:J,MATCH('Isaac 401k'!N1305,'Retirement Calculator'!A:A,0),0),0)</f>
        <v>0</v>
      </c>
      <c r="K1305" s="444">
        <f t="shared" ca="1" si="126"/>
        <v>15264.798514620294</v>
      </c>
      <c r="L1305" s="444">
        <f t="shared" ca="1" si="127"/>
        <v>3678816.4420234906</v>
      </c>
      <c r="M1305" s="460">
        <f t="shared" si="129"/>
        <v>0.05</v>
      </c>
      <c r="N1305" s="464">
        <f t="shared" si="130"/>
        <v>90764</v>
      </c>
    </row>
    <row r="1306" spans="7:14" ht="11.25" customHeight="1" x14ac:dyDescent="0.3">
      <c r="G1306" s="459"/>
      <c r="H1306" s="459">
        <v>1299</v>
      </c>
      <c r="I1306" s="444">
        <f t="shared" ca="1" si="128"/>
        <v>3678816.4420234906</v>
      </c>
      <c r="J1306" s="444">
        <f t="array" ref="J1306">IFERROR(INDEX('Retirement Calculator'!J:J,MATCH('Isaac 401k'!N1306,'Retirement Calculator'!A:A,0),0),0)</f>
        <v>0</v>
      </c>
      <c r="K1306" s="444">
        <f t="shared" ca="1" si="126"/>
        <v>15328.401841764544</v>
      </c>
      <c r="L1306" s="444">
        <f t="shared" ca="1" si="127"/>
        <v>3694144.8438652549</v>
      </c>
      <c r="M1306" s="460">
        <f t="shared" si="129"/>
        <v>0.05</v>
      </c>
      <c r="N1306" s="464">
        <f t="shared" si="130"/>
        <v>90795</v>
      </c>
    </row>
    <row r="1307" spans="7:14" ht="11.25" customHeight="1" x14ac:dyDescent="0.3">
      <c r="G1307" s="459"/>
      <c r="H1307" s="459">
        <v>1300</v>
      </c>
      <c r="I1307" s="444">
        <f t="shared" ca="1" si="128"/>
        <v>3694144.8438652549</v>
      </c>
      <c r="J1307" s="444">
        <f t="array" ref="J1307">IFERROR(INDEX('Retirement Calculator'!J:J,MATCH('Isaac 401k'!N1307,'Retirement Calculator'!A:A,0),0),0)</f>
        <v>0</v>
      </c>
      <c r="K1307" s="444">
        <f t="shared" ca="1" si="126"/>
        <v>15392.270182771896</v>
      </c>
      <c r="L1307" s="444">
        <f t="shared" ca="1" si="127"/>
        <v>3709537.114048027</v>
      </c>
      <c r="M1307" s="460">
        <f t="shared" si="129"/>
        <v>0.05</v>
      </c>
      <c r="N1307" s="464">
        <f t="shared" si="130"/>
        <v>90826</v>
      </c>
    </row>
    <row r="1308" spans="7:14" ht="11.25" customHeight="1" x14ac:dyDescent="0.3">
      <c r="G1308" s="459"/>
      <c r="H1308" s="459">
        <v>1301</v>
      </c>
      <c r="I1308" s="444">
        <f t="shared" ca="1" si="128"/>
        <v>3709537.114048027</v>
      </c>
      <c r="J1308" s="444">
        <f t="array" ref="J1308">IFERROR(INDEX('Retirement Calculator'!J:J,MATCH('Isaac 401k'!N1308,'Retirement Calculator'!A:A,0),0),0)</f>
        <v>0</v>
      </c>
      <c r="K1308" s="444">
        <f t="shared" ca="1" si="126"/>
        <v>15456.404641866779</v>
      </c>
      <c r="L1308" s="444">
        <f t="shared" ca="1" si="127"/>
        <v>3724993.5186898937</v>
      </c>
      <c r="M1308" s="460">
        <f t="shared" si="129"/>
        <v>0.05</v>
      </c>
      <c r="N1308" s="464">
        <f t="shared" si="130"/>
        <v>90856</v>
      </c>
    </row>
    <row r="1309" spans="7:14" ht="11.25" customHeight="1" x14ac:dyDescent="0.3">
      <c r="G1309" s="459"/>
      <c r="H1309" s="459">
        <v>1302</v>
      </c>
      <c r="I1309" s="444">
        <f t="shared" ca="1" si="128"/>
        <v>3724993.5186898937</v>
      </c>
      <c r="J1309" s="444">
        <f t="array" ref="J1309">IFERROR(INDEX('Retirement Calculator'!J:J,MATCH('Isaac 401k'!N1309,'Retirement Calculator'!A:A,0),0),0)</f>
        <v>0</v>
      </c>
      <c r="K1309" s="444">
        <f t="shared" ca="1" si="126"/>
        <v>15520.806327874556</v>
      </c>
      <c r="L1309" s="444">
        <f t="shared" ca="1" si="127"/>
        <v>3740514.3250177684</v>
      </c>
      <c r="M1309" s="460">
        <f t="shared" si="129"/>
        <v>0.05</v>
      </c>
      <c r="N1309" s="464">
        <f t="shared" si="130"/>
        <v>90887</v>
      </c>
    </row>
    <row r="1310" spans="7:14" ht="11.25" customHeight="1" x14ac:dyDescent="0.3">
      <c r="G1310" s="459"/>
      <c r="H1310" s="459">
        <v>1303</v>
      </c>
      <c r="I1310" s="444">
        <f t="shared" ca="1" si="128"/>
        <v>3740514.3250177684</v>
      </c>
      <c r="J1310" s="444">
        <f t="array" ref="J1310">IFERROR(INDEX('Retirement Calculator'!J:J,MATCH('Isaac 401k'!N1310,'Retirement Calculator'!A:A,0),0),0)</f>
        <v>0</v>
      </c>
      <c r="K1310" s="444">
        <f t="shared" ca="1" si="126"/>
        <v>15585.476354240702</v>
      </c>
      <c r="L1310" s="444">
        <f t="shared" ca="1" si="127"/>
        <v>3756099.8013720093</v>
      </c>
      <c r="M1310" s="460">
        <f t="shared" si="129"/>
        <v>0.05</v>
      </c>
      <c r="N1310" s="464">
        <f t="shared" si="130"/>
        <v>90917</v>
      </c>
    </row>
    <row r="1311" spans="7:14" ht="11.25" customHeight="1" x14ac:dyDescent="0.3">
      <c r="G1311" s="459"/>
      <c r="H1311" s="459">
        <v>1304</v>
      </c>
      <c r="I1311" s="444">
        <f t="shared" ca="1" si="128"/>
        <v>3756099.8013720093</v>
      </c>
      <c r="J1311" s="444">
        <f t="array" ref="J1311">IFERROR(INDEX('Retirement Calculator'!J:J,MATCH('Isaac 401k'!N1311,'Retirement Calculator'!A:A,0),0),0)</f>
        <v>0</v>
      </c>
      <c r="K1311" s="444">
        <f t="shared" ca="1" si="126"/>
        <v>15650.415839050038</v>
      </c>
      <c r="L1311" s="444">
        <f t="shared" ca="1" si="127"/>
        <v>3771750.2172110593</v>
      </c>
      <c r="M1311" s="460">
        <f t="shared" si="129"/>
        <v>0.05</v>
      </c>
      <c r="N1311" s="464">
        <f t="shared" si="130"/>
        <v>90948</v>
      </c>
    </row>
    <row r="1312" spans="7:14" ht="11.25" customHeight="1" x14ac:dyDescent="0.3">
      <c r="G1312" s="459"/>
      <c r="H1312" s="459">
        <v>1305</v>
      </c>
      <c r="I1312" s="444">
        <f t="shared" ca="1" si="128"/>
        <v>3771750.2172110593</v>
      </c>
      <c r="J1312" s="444">
        <f t="array" ref="J1312">IFERROR(INDEX('Retirement Calculator'!J:J,MATCH('Isaac 401k'!N1312,'Retirement Calculator'!A:A,0),0),0)</f>
        <v>0</v>
      </c>
      <c r="K1312" s="444">
        <f t="shared" ca="1" si="126"/>
        <v>15715.625905046079</v>
      </c>
      <c r="L1312" s="444">
        <f t="shared" ca="1" si="127"/>
        <v>3787465.8431161055</v>
      </c>
      <c r="M1312" s="460">
        <f t="shared" si="129"/>
        <v>0.05</v>
      </c>
      <c r="N1312" s="464">
        <f t="shared" si="130"/>
        <v>90979</v>
      </c>
    </row>
    <row r="1313" spans="7:14" ht="11.25" customHeight="1" x14ac:dyDescent="0.3">
      <c r="G1313" s="459"/>
      <c r="H1313" s="459">
        <v>1306</v>
      </c>
      <c r="I1313" s="444">
        <f t="shared" ca="1" si="128"/>
        <v>3787465.8431161055</v>
      </c>
      <c r="J1313" s="444">
        <f t="array" ref="J1313">IFERROR(INDEX('Retirement Calculator'!J:J,MATCH('Isaac 401k'!N1313,'Retirement Calculator'!A:A,0),0),0)</f>
        <v>0</v>
      </c>
      <c r="K1313" s="444">
        <f t="shared" ca="1" si="126"/>
        <v>15781.10767965044</v>
      </c>
      <c r="L1313" s="444">
        <f t="shared" ca="1" si="127"/>
        <v>3803246.9507957562</v>
      </c>
      <c r="M1313" s="460">
        <f t="shared" si="129"/>
        <v>0.05</v>
      </c>
      <c r="N1313" s="464">
        <f t="shared" si="130"/>
        <v>91007</v>
      </c>
    </row>
    <row r="1314" spans="7:14" ht="11.25" customHeight="1" x14ac:dyDescent="0.3">
      <c r="G1314" s="459"/>
      <c r="H1314" s="459">
        <v>1307</v>
      </c>
      <c r="I1314" s="444">
        <f t="shared" ca="1" si="128"/>
        <v>3803246.9507957562</v>
      </c>
      <c r="J1314" s="444">
        <f t="array" ref="J1314">IFERROR(INDEX('Retirement Calculator'!J:J,MATCH('Isaac 401k'!N1314,'Retirement Calculator'!A:A,0),0),0)</f>
        <v>0</v>
      </c>
      <c r="K1314" s="444">
        <f t="shared" ca="1" si="126"/>
        <v>15846.862294982317</v>
      </c>
      <c r="L1314" s="444">
        <f t="shared" ca="1" si="127"/>
        <v>3819093.8130907384</v>
      </c>
      <c r="M1314" s="460">
        <f t="shared" si="129"/>
        <v>0.05</v>
      </c>
      <c r="N1314" s="464">
        <f t="shared" si="130"/>
        <v>91038</v>
      </c>
    </row>
    <row r="1315" spans="7:14" ht="11.25" customHeight="1" x14ac:dyDescent="0.3">
      <c r="G1315" s="459"/>
      <c r="H1315" s="459">
        <v>1308</v>
      </c>
      <c r="I1315" s="444">
        <f t="shared" ca="1" si="128"/>
        <v>3819093.8130907384</v>
      </c>
      <c r="J1315" s="444">
        <f t="array" ref="J1315">IFERROR(INDEX('Retirement Calculator'!J:J,MATCH('Isaac 401k'!N1315,'Retirement Calculator'!A:A,0),0),0)</f>
        <v>0</v>
      </c>
      <c r="K1315" s="444">
        <f t="shared" ca="1" si="126"/>
        <v>15912.890887878077</v>
      </c>
      <c r="L1315" s="444">
        <f t="shared" ca="1" si="127"/>
        <v>3835006.7039786163</v>
      </c>
      <c r="M1315" s="460">
        <f t="shared" si="129"/>
        <v>0.05</v>
      </c>
      <c r="N1315" s="464">
        <f t="shared" si="130"/>
        <v>91068</v>
      </c>
    </row>
    <row r="1316" spans="7:14" ht="11.25" customHeight="1" x14ac:dyDescent="0.3">
      <c r="G1316" s="459"/>
      <c r="H1316" s="459">
        <v>1309</v>
      </c>
      <c r="I1316" s="444">
        <f t="shared" ca="1" si="128"/>
        <v>3835006.7039786163</v>
      </c>
      <c r="J1316" s="444">
        <f t="array" ref="J1316">IFERROR(INDEX('Retirement Calculator'!J:J,MATCH('Isaac 401k'!N1316,'Retirement Calculator'!A:A,0),0),0)</f>
        <v>0</v>
      </c>
      <c r="K1316" s="444">
        <f t="shared" ca="1" si="126"/>
        <v>15979.194599910901</v>
      </c>
      <c r="L1316" s="444">
        <f t="shared" ca="1" si="127"/>
        <v>3850985.8985785274</v>
      </c>
      <c r="M1316" s="460">
        <f t="shared" si="129"/>
        <v>0.05</v>
      </c>
      <c r="N1316" s="464">
        <f t="shared" si="130"/>
        <v>91099</v>
      </c>
    </row>
    <row r="1317" spans="7:14" ht="11.25" customHeight="1" x14ac:dyDescent="0.3">
      <c r="G1317" s="459"/>
      <c r="H1317" s="459">
        <v>1310</v>
      </c>
      <c r="I1317" s="444">
        <f t="shared" ca="1" si="128"/>
        <v>3850985.8985785274</v>
      </c>
      <c r="J1317" s="444">
        <f t="array" ref="J1317">IFERROR(INDEX('Retirement Calculator'!J:J,MATCH('Isaac 401k'!N1317,'Retirement Calculator'!A:A,0),0),0)</f>
        <v>0</v>
      </c>
      <c r="K1317" s="444">
        <f t="shared" ca="1" si="126"/>
        <v>16045.774577410533</v>
      </c>
      <c r="L1317" s="444">
        <f t="shared" ca="1" si="127"/>
        <v>3867031.6731559378</v>
      </c>
      <c r="M1317" s="460">
        <f t="shared" si="129"/>
        <v>0.05</v>
      </c>
      <c r="N1317" s="464">
        <f t="shared" si="130"/>
        <v>91129</v>
      </c>
    </row>
    <row r="1318" spans="7:14" ht="11.25" customHeight="1" x14ac:dyDescent="0.3">
      <c r="G1318" s="459"/>
      <c r="H1318" s="459">
        <v>1311</v>
      </c>
      <c r="I1318" s="444">
        <f t="shared" ca="1" si="128"/>
        <v>3867031.6731559378</v>
      </c>
      <c r="J1318" s="444">
        <f t="array" ref="J1318">IFERROR(INDEX('Retirement Calculator'!J:J,MATCH('Isaac 401k'!N1318,'Retirement Calculator'!A:A,0),0),0)</f>
        <v>0</v>
      </c>
      <c r="K1318" s="444">
        <f t="shared" ca="1" si="126"/>
        <v>16112.631971483073</v>
      </c>
      <c r="L1318" s="444">
        <f t="shared" ca="1" si="127"/>
        <v>3883144.3051274209</v>
      </c>
      <c r="M1318" s="460">
        <f t="shared" si="129"/>
        <v>0.05</v>
      </c>
      <c r="N1318" s="464">
        <f t="shared" si="130"/>
        <v>91160</v>
      </c>
    </row>
    <row r="1319" spans="7:14" ht="11.25" customHeight="1" x14ac:dyDescent="0.3">
      <c r="G1319" s="459"/>
      <c r="H1319" s="459">
        <v>1312</v>
      </c>
      <c r="I1319" s="444">
        <f t="shared" ca="1" si="128"/>
        <v>3883144.3051274209</v>
      </c>
      <c r="J1319" s="444">
        <f t="array" ref="J1319">IFERROR(INDEX('Retirement Calculator'!J:J,MATCH('Isaac 401k'!N1319,'Retirement Calculator'!A:A,0),0),0)</f>
        <v>0</v>
      </c>
      <c r="K1319" s="444">
        <f t="shared" ca="1" si="126"/>
        <v>16179.76793803092</v>
      </c>
      <c r="L1319" s="444">
        <f t="shared" ca="1" si="127"/>
        <v>3899324.0730654518</v>
      </c>
      <c r="M1319" s="460">
        <f t="shared" si="129"/>
        <v>0.05</v>
      </c>
      <c r="N1319" s="464">
        <f t="shared" si="130"/>
        <v>91191</v>
      </c>
    </row>
    <row r="1320" spans="7:14" ht="11.25" customHeight="1" x14ac:dyDescent="0.3">
      <c r="G1320" s="459"/>
      <c r="H1320" s="459">
        <v>1313</v>
      </c>
      <c r="I1320" s="444">
        <f t="shared" ca="1" si="128"/>
        <v>3899324.0730654518</v>
      </c>
      <c r="J1320" s="444">
        <f t="array" ref="J1320">IFERROR(INDEX('Retirement Calculator'!J:J,MATCH('Isaac 401k'!N1320,'Retirement Calculator'!A:A,0),0),0)</f>
        <v>0</v>
      </c>
      <c r="K1320" s="444">
        <f t="shared" ca="1" si="126"/>
        <v>16247.183637772716</v>
      </c>
      <c r="L1320" s="444">
        <f t="shared" ca="1" si="127"/>
        <v>3915571.2567032245</v>
      </c>
      <c r="M1320" s="460">
        <f t="shared" si="129"/>
        <v>0.05</v>
      </c>
      <c r="N1320" s="464">
        <f t="shared" si="130"/>
        <v>91221</v>
      </c>
    </row>
    <row r="1321" spans="7:14" ht="11.25" customHeight="1" x14ac:dyDescent="0.3">
      <c r="G1321" s="459"/>
      <c r="H1321" s="459">
        <v>1314</v>
      </c>
      <c r="I1321" s="444">
        <f t="shared" ca="1" si="128"/>
        <v>3915571.2567032245</v>
      </c>
      <c r="J1321" s="444">
        <f t="array" ref="J1321">IFERROR(INDEX('Retirement Calculator'!J:J,MATCH('Isaac 401k'!N1321,'Retirement Calculator'!A:A,0),0),0)</f>
        <v>0</v>
      </c>
      <c r="K1321" s="444">
        <f t="shared" ca="1" si="126"/>
        <v>16314.880236263432</v>
      </c>
      <c r="L1321" s="444">
        <f t="shared" ca="1" si="127"/>
        <v>3931886.1369394879</v>
      </c>
      <c r="M1321" s="460">
        <f t="shared" si="129"/>
        <v>0.05</v>
      </c>
      <c r="N1321" s="464">
        <f t="shared" si="130"/>
        <v>91252</v>
      </c>
    </row>
    <row r="1322" spans="7:14" ht="11.25" customHeight="1" x14ac:dyDescent="0.3">
      <c r="G1322" s="459"/>
      <c r="H1322" s="459">
        <v>1315</v>
      </c>
      <c r="I1322" s="444">
        <f t="shared" ca="1" si="128"/>
        <v>3931886.1369394879</v>
      </c>
      <c r="J1322" s="444">
        <f t="array" ref="J1322">IFERROR(INDEX('Retirement Calculator'!J:J,MATCH('Isaac 401k'!N1322,'Retirement Calculator'!A:A,0),0),0)</f>
        <v>0</v>
      </c>
      <c r="K1322" s="444">
        <f t="shared" ca="1" si="126"/>
        <v>16382.858903914532</v>
      </c>
      <c r="L1322" s="444">
        <f t="shared" ca="1" si="127"/>
        <v>3948268.9958434026</v>
      </c>
      <c r="M1322" s="460">
        <f t="shared" si="129"/>
        <v>0.05</v>
      </c>
      <c r="N1322" s="464">
        <f t="shared" si="130"/>
        <v>91282</v>
      </c>
    </row>
    <row r="1323" spans="7:14" ht="11.25" customHeight="1" x14ac:dyDescent="0.3">
      <c r="G1323" s="459"/>
      <c r="H1323" s="459">
        <v>1316</v>
      </c>
      <c r="I1323" s="444">
        <f t="shared" ca="1" si="128"/>
        <v>3948268.9958434026</v>
      </c>
      <c r="J1323" s="444">
        <f t="array" ref="J1323">IFERROR(INDEX('Retirement Calculator'!J:J,MATCH('Isaac 401k'!N1323,'Retirement Calculator'!A:A,0),0),0)</f>
        <v>0</v>
      </c>
      <c r="K1323" s="444">
        <f t="shared" ca="1" si="126"/>
        <v>16451.120816014176</v>
      </c>
      <c r="L1323" s="444">
        <f t="shared" ca="1" si="127"/>
        <v>3964720.1166594168</v>
      </c>
      <c r="M1323" s="460">
        <f t="shared" si="129"/>
        <v>0.05</v>
      </c>
      <c r="N1323" s="464">
        <f t="shared" si="130"/>
        <v>91313</v>
      </c>
    </row>
    <row r="1324" spans="7:14" ht="11.25" customHeight="1" x14ac:dyDescent="0.3">
      <c r="G1324" s="459"/>
      <c r="H1324" s="459">
        <v>1317</v>
      </c>
      <c r="I1324" s="444">
        <f t="shared" ca="1" si="128"/>
        <v>3964720.1166594168</v>
      </c>
      <c r="J1324" s="444">
        <f t="array" ref="J1324">IFERROR(INDEX('Retirement Calculator'!J:J,MATCH('Isaac 401k'!N1324,'Retirement Calculator'!A:A,0),0),0)</f>
        <v>0</v>
      </c>
      <c r="K1324" s="444">
        <f t="shared" ca="1" si="126"/>
        <v>16519.66715274757</v>
      </c>
      <c r="L1324" s="444">
        <f t="shared" ca="1" si="127"/>
        <v>3981239.7838121643</v>
      </c>
      <c r="M1324" s="460">
        <f t="shared" si="129"/>
        <v>0.05</v>
      </c>
      <c r="N1324" s="464">
        <f t="shared" si="130"/>
        <v>91344</v>
      </c>
    </row>
    <row r="1325" spans="7:14" ht="11.25" customHeight="1" x14ac:dyDescent="0.3">
      <c r="G1325" s="459"/>
      <c r="H1325" s="459">
        <v>1318</v>
      </c>
      <c r="I1325" s="444">
        <f t="shared" ca="1" si="128"/>
        <v>3981239.7838121643</v>
      </c>
      <c r="J1325" s="444">
        <f t="array" ref="J1325">IFERROR(INDEX('Retirement Calculator'!J:J,MATCH('Isaac 401k'!N1325,'Retirement Calculator'!A:A,0),0),0)</f>
        <v>0</v>
      </c>
      <c r="K1325" s="444">
        <f t="shared" ca="1" si="126"/>
        <v>16588.499099217352</v>
      </c>
      <c r="L1325" s="444">
        <f t="shared" ca="1" si="127"/>
        <v>3997828.2829113817</v>
      </c>
      <c r="M1325" s="460">
        <f t="shared" si="129"/>
        <v>0.05</v>
      </c>
      <c r="N1325" s="464">
        <f t="shared" si="130"/>
        <v>91372</v>
      </c>
    </row>
    <row r="1326" spans="7:14" ht="11.25" customHeight="1" x14ac:dyDescent="0.3">
      <c r="G1326" s="459"/>
      <c r="H1326" s="459">
        <v>1319</v>
      </c>
      <c r="I1326" s="444">
        <f t="shared" ca="1" si="128"/>
        <v>3997828.2829113817</v>
      </c>
      <c r="J1326" s="444">
        <f t="array" ref="J1326">IFERROR(INDEX('Retirement Calculator'!J:J,MATCH('Isaac 401k'!N1326,'Retirement Calculator'!A:A,0),0),0)</f>
        <v>0</v>
      </c>
      <c r="K1326" s="444">
        <f t="shared" ca="1" si="126"/>
        <v>16657.61784546409</v>
      </c>
      <c r="L1326" s="444">
        <f t="shared" ca="1" si="127"/>
        <v>4014485.9007568457</v>
      </c>
      <c r="M1326" s="460">
        <f t="shared" si="129"/>
        <v>0.05</v>
      </c>
      <c r="N1326" s="464">
        <f t="shared" si="130"/>
        <v>91403</v>
      </c>
    </row>
    <row r="1327" spans="7:14" ht="11.25" customHeight="1" x14ac:dyDescent="0.3">
      <c r="G1327" s="459"/>
      <c r="H1327" s="459">
        <v>1320</v>
      </c>
      <c r="I1327" s="444">
        <f t="shared" ca="1" si="128"/>
        <v>4014485.9007568457</v>
      </c>
      <c r="J1327" s="444">
        <f t="array" ref="J1327">IFERROR(INDEX('Retirement Calculator'!J:J,MATCH('Isaac 401k'!N1327,'Retirement Calculator'!A:A,0),0),0)</f>
        <v>0</v>
      </c>
      <c r="K1327" s="444">
        <f t="shared" ca="1" si="126"/>
        <v>16727.024586486856</v>
      </c>
      <c r="L1327" s="444">
        <f t="shared" ca="1" si="127"/>
        <v>4031212.9253433323</v>
      </c>
      <c r="M1327" s="460">
        <f t="shared" si="129"/>
        <v>0.05</v>
      </c>
      <c r="N1327" s="464">
        <f t="shared" si="130"/>
        <v>91433</v>
      </c>
    </row>
    <row r="1328" spans="7:14" ht="11.25" customHeight="1" x14ac:dyDescent="0.3">
      <c r="G1328" s="459"/>
      <c r="H1328" s="459">
        <v>1321</v>
      </c>
      <c r="I1328" s="444">
        <f t="shared" ca="1" si="128"/>
        <v>4031212.9253433323</v>
      </c>
      <c r="J1328" s="444">
        <f t="array" ref="J1328">IFERROR(INDEX('Retirement Calculator'!J:J,MATCH('Isaac 401k'!N1328,'Retirement Calculator'!A:A,0),0),0)</f>
        <v>0</v>
      </c>
      <c r="K1328" s="444">
        <f t="shared" ca="1" si="126"/>
        <v>16796.720522263884</v>
      </c>
      <c r="L1328" s="444">
        <f t="shared" ca="1" si="127"/>
        <v>4048009.6458655964</v>
      </c>
      <c r="M1328" s="460">
        <f t="shared" si="129"/>
        <v>0.05</v>
      </c>
      <c r="N1328" s="464">
        <f t="shared" si="130"/>
        <v>91464</v>
      </c>
    </row>
    <row r="1329" spans="7:14" ht="11.25" customHeight="1" x14ac:dyDescent="0.3">
      <c r="G1329" s="459"/>
      <c r="H1329" s="459">
        <v>1322</v>
      </c>
      <c r="I1329" s="444">
        <f t="shared" ca="1" si="128"/>
        <v>4048009.6458655964</v>
      </c>
      <c r="J1329" s="444">
        <f t="array" ref="J1329">IFERROR(INDEX('Retirement Calculator'!J:J,MATCH('Isaac 401k'!N1329,'Retirement Calculator'!A:A,0),0),0)</f>
        <v>0</v>
      </c>
      <c r="K1329" s="444">
        <f t="shared" ca="1" si="126"/>
        <v>16866.706857773319</v>
      </c>
      <c r="L1329" s="444">
        <f t="shared" ca="1" si="127"/>
        <v>4064876.3527233698</v>
      </c>
      <c r="M1329" s="460">
        <f t="shared" si="129"/>
        <v>0.05</v>
      </c>
      <c r="N1329" s="464">
        <f t="shared" si="130"/>
        <v>91494</v>
      </c>
    </row>
    <row r="1330" spans="7:14" ht="11.25" customHeight="1" x14ac:dyDescent="0.3">
      <c r="G1330" s="459"/>
      <c r="H1330" s="459">
        <v>1323</v>
      </c>
      <c r="I1330" s="444">
        <f t="shared" ca="1" si="128"/>
        <v>4064876.3527233698</v>
      </c>
      <c r="J1330" s="444">
        <f t="array" ref="J1330">IFERROR(INDEX('Retirement Calculator'!J:J,MATCH('Isaac 401k'!N1330,'Retirement Calculator'!A:A,0),0),0)</f>
        <v>0</v>
      </c>
      <c r="K1330" s="444">
        <f t="shared" ca="1" si="126"/>
        <v>16936.984803014042</v>
      </c>
      <c r="L1330" s="444">
        <f t="shared" ca="1" si="127"/>
        <v>4081813.3375263838</v>
      </c>
      <c r="M1330" s="460">
        <f t="shared" si="129"/>
        <v>0.05</v>
      </c>
      <c r="N1330" s="464">
        <f t="shared" si="130"/>
        <v>91525</v>
      </c>
    </row>
    <row r="1331" spans="7:14" ht="11.25" customHeight="1" x14ac:dyDescent="0.3">
      <c r="G1331" s="459"/>
      <c r="H1331" s="459">
        <v>1324</v>
      </c>
      <c r="I1331" s="444">
        <f t="shared" ca="1" si="128"/>
        <v>4081813.3375263838</v>
      </c>
      <c r="J1331" s="444">
        <f t="array" ref="J1331">IFERROR(INDEX('Retirement Calculator'!J:J,MATCH('Isaac 401k'!N1331,'Retirement Calculator'!A:A,0),0),0)</f>
        <v>0</v>
      </c>
      <c r="K1331" s="444">
        <f t="shared" ca="1" si="126"/>
        <v>17007.555573026599</v>
      </c>
      <c r="L1331" s="444">
        <f t="shared" ca="1" si="127"/>
        <v>4098820.8930994105</v>
      </c>
      <c r="M1331" s="460">
        <f t="shared" si="129"/>
        <v>0.05</v>
      </c>
      <c r="N1331" s="464">
        <f t="shared" si="130"/>
        <v>91556</v>
      </c>
    </row>
    <row r="1332" spans="7:14" ht="11.25" customHeight="1" x14ac:dyDescent="0.3">
      <c r="G1332" s="459"/>
      <c r="H1332" s="459">
        <v>1325</v>
      </c>
      <c r="I1332" s="444">
        <f t="shared" ca="1" si="128"/>
        <v>4098820.8930994105</v>
      </c>
      <c r="J1332" s="444">
        <f t="array" ref="J1332">IFERROR(INDEX('Retirement Calculator'!J:J,MATCH('Isaac 401k'!N1332,'Retirement Calculator'!A:A,0),0),0)</f>
        <v>0</v>
      </c>
      <c r="K1332" s="444">
        <f t="shared" ca="1" si="126"/>
        <v>17078.420387914211</v>
      </c>
      <c r="L1332" s="444">
        <f t="shared" ca="1" si="127"/>
        <v>4115899.3134873249</v>
      </c>
      <c r="M1332" s="460">
        <f t="shared" si="129"/>
        <v>0.05</v>
      </c>
      <c r="N1332" s="464">
        <f t="shared" si="130"/>
        <v>91586</v>
      </c>
    </row>
    <row r="1333" spans="7:14" ht="11.25" customHeight="1" x14ac:dyDescent="0.3">
      <c r="G1333" s="459"/>
      <c r="H1333" s="459">
        <v>1326</v>
      </c>
      <c r="I1333" s="444">
        <f t="shared" ca="1" si="128"/>
        <v>4115899.3134873249</v>
      </c>
      <c r="J1333" s="444">
        <f t="array" ref="J1333">IFERROR(INDEX('Retirement Calculator'!J:J,MATCH('Isaac 401k'!N1333,'Retirement Calculator'!A:A,0),0),0)</f>
        <v>0</v>
      </c>
      <c r="K1333" s="444">
        <f t="shared" ca="1" si="126"/>
        <v>17149.580472863854</v>
      </c>
      <c r="L1333" s="444">
        <f t="shared" ca="1" si="127"/>
        <v>4133048.8939601886</v>
      </c>
      <c r="M1333" s="460">
        <f t="shared" si="129"/>
        <v>0.05</v>
      </c>
      <c r="N1333" s="464">
        <f t="shared" si="130"/>
        <v>91617</v>
      </c>
    </row>
    <row r="1334" spans="7:14" ht="11.25" customHeight="1" x14ac:dyDescent="0.3">
      <c r="G1334" s="459"/>
      <c r="H1334" s="459">
        <v>1327</v>
      </c>
      <c r="I1334" s="444">
        <f t="shared" ca="1" si="128"/>
        <v>4133048.8939601886</v>
      </c>
      <c r="J1334" s="444">
        <f t="array" ref="J1334">IFERROR(INDEX('Retirement Calculator'!J:J,MATCH('Isaac 401k'!N1334,'Retirement Calculator'!A:A,0),0),0)</f>
        <v>0</v>
      </c>
      <c r="K1334" s="444">
        <f t="shared" ca="1" si="126"/>
        <v>17221.037058167451</v>
      </c>
      <c r="L1334" s="444">
        <f t="shared" ca="1" si="127"/>
        <v>4150269.9310183562</v>
      </c>
      <c r="M1334" s="460">
        <f t="shared" si="129"/>
        <v>0.05</v>
      </c>
      <c r="N1334" s="464">
        <f t="shared" si="130"/>
        <v>91647</v>
      </c>
    </row>
    <row r="1335" spans="7:14" ht="11.25" customHeight="1" x14ac:dyDescent="0.3">
      <c r="G1335" s="459"/>
      <c r="H1335" s="459">
        <v>1328</v>
      </c>
      <c r="I1335" s="444">
        <f t="shared" ca="1" si="128"/>
        <v>4150269.9310183562</v>
      </c>
      <c r="J1335" s="444">
        <f t="array" ref="J1335">IFERROR(INDEX('Retirement Calculator'!J:J,MATCH('Isaac 401k'!N1335,'Retirement Calculator'!A:A,0),0),0)</f>
        <v>0</v>
      </c>
      <c r="K1335" s="444">
        <f t="shared" ca="1" si="126"/>
        <v>17292.79137924315</v>
      </c>
      <c r="L1335" s="444">
        <f t="shared" ca="1" si="127"/>
        <v>4167562.7223975994</v>
      </c>
      <c r="M1335" s="460">
        <f t="shared" si="129"/>
        <v>0.05</v>
      </c>
      <c r="N1335" s="464">
        <f t="shared" si="130"/>
        <v>91678</v>
      </c>
    </row>
    <row r="1336" spans="7:14" ht="11.25" customHeight="1" x14ac:dyDescent="0.3">
      <c r="G1336" s="459"/>
      <c r="H1336" s="459">
        <v>1329</v>
      </c>
      <c r="I1336" s="444">
        <f t="shared" ca="1" si="128"/>
        <v>4167562.7223975994</v>
      </c>
      <c r="J1336" s="444">
        <f t="array" ref="J1336">IFERROR(INDEX('Retirement Calculator'!J:J,MATCH('Isaac 401k'!N1336,'Retirement Calculator'!A:A,0),0),0)</f>
        <v>0</v>
      </c>
      <c r="K1336" s="444">
        <f t="shared" ca="1" si="126"/>
        <v>17364.844676656663</v>
      </c>
      <c r="L1336" s="444">
        <f t="shared" ca="1" si="127"/>
        <v>4184927.567074256</v>
      </c>
      <c r="M1336" s="460">
        <f t="shared" si="129"/>
        <v>0.05</v>
      </c>
      <c r="N1336" s="464">
        <f t="shared" si="130"/>
        <v>91709</v>
      </c>
    </row>
    <row r="1337" spans="7:14" ht="11.25" customHeight="1" x14ac:dyDescent="0.3">
      <c r="G1337" s="459"/>
      <c r="H1337" s="459">
        <v>1330</v>
      </c>
      <c r="I1337" s="444">
        <f t="shared" ca="1" si="128"/>
        <v>4184927.567074256</v>
      </c>
      <c r="J1337" s="444">
        <f t="array" ref="J1337">IFERROR(INDEX('Retirement Calculator'!J:J,MATCH('Isaac 401k'!N1337,'Retirement Calculator'!A:A,0),0),0)</f>
        <v>0</v>
      </c>
      <c r="K1337" s="444">
        <f t="shared" ca="1" si="126"/>
        <v>17437.198196142734</v>
      </c>
      <c r="L1337" s="444">
        <f t="shared" ca="1" si="127"/>
        <v>4202364.7652703989</v>
      </c>
      <c r="M1337" s="460">
        <f t="shared" si="129"/>
        <v>0.05</v>
      </c>
      <c r="N1337" s="464">
        <f t="shared" si="130"/>
        <v>91737</v>
      </c>
    </row>
    <row r="1338" spans="7:14" ht="11.25" customHeight="1" x14ac:dyDescent="0.3">
      <c r="G1338" s="459"/>
      <c r="H1338" s="459">
        <v>1331</v>
      </c>
      <c r="I1338" s="444">
        <f t="shared" ca="1" si="128"/>
        <v>4202364.7652703989</v>
      </c>
      <c r="J1338" s="444">
        <f t="array" ref="J1338">IFERROR(INDEX('Retirement Calculator'!J:J,MATCH('Isaac 401k'!N1338,'Retirement Calculator'!A:A,0),0),0)</f>
        <v>0</v>
      </c>
      <c r="K1338" s="444">
        <f t="shared" ca="1" si="126"/>
        <v>17509.853188626661</v>
      </c>
      <c r="L1338" s="444">
        <f t="shared" ca="1" si="127"/>
        <v>4219874.6184590254</v>
      </c>
      <c r="M1338" s="460">
        <f t="shared" si="129"/>
        <v>0.05</v>
      </c>
      <c r="N1338" s="464">
        <f t="shared" si="130"/>
        <v>91768</v>
      </c>
    </row>
    <row r="1339" spans="7:14" ht="11.25" customHeight="1" x14ac:dyDescent="0.3">
      <c r="G1339" s="459"/>
      <c r="H1339" s="459">
        <v>1332</v>
      </c>
      <c r="I1339" s="444">
        <f t="shared" ca="1" si="128"/>
        <v>4219874.6184590254</v>
      </c>
      <c r="J1339" s="444">
        <f t="array" ref="J1339">IFERROR(INDEX('Retirement Calculator'!J:J,MATCH('Isaac 401k'!N1339,'Retirement Calculator'!A:A,0),0),0)</f>
        <v>0</v>
      </c>
      <c r="K1339" s="444">
        <f t="shared" ca="1" si="126"/>
        <v>17582.810910245938</v>
      </c>
      <c r="L1339" s="444">
        <f t="shared" ca="1" si="127"/>
        <v>4237457.4293692717</v>
      </c>
      <c r="M1339" s="460">
        <f t="shared" si="129"/>
        <v>0.05</v>
      </c>
      <c r="N1339" s="464">
        <f t="shared" si="130"/>
        <v>91798</v>
      </c>
    </row>
    <row r="1340" spans="7:14" ht="11.25" customHeight="1" x14ac:dyDescent="0.3">
      <c r="G1340" s="459"/>
      <c r="H1340" s="459">
        <v>1333</v>
      </c>
      <c r="I1340" s="444">
        <f t="shared" ca="1" si="128"/>
        <v>4237457.4293692717</v>
      </c>
      <c r="J1340" s="444">
        <f t="array" ref="J1340">IFERROR(INDEX('Retirement Calculator'!J:J,MATCH('Isaac 401k'!N1340,'Retirement Calculator'!A:A,0),0),0)</f>
        <v>0</v>
      </c>
      <c r="K1340" s="444">
        <f t="shared" ca="1" si="126"/>
        <v>17656.072622371965</v>
      </c>
      <c r="L1340" s="444">
        <f t="shared" ca="1" si="127"/>
        <v>4255113.5019916436</v>
      </c>
      <c r="M1340" s="460">
        <f t="shared" si="129"/>
        <v>0.05</v>
      </c>
      <c r="N1340" s="464">
        <f t="shared" si="130"/>
        <v>91829</v>
      </c>
    </row>
    <row r="1341" spans="7:14" ht="11.25" customHeight="1" x14ac:dyDescent="0.3">
      <c r="G1341" s="459"/>
      <c r="H1341" s="459">
        <v>1334</v>
      </c>
      <c r="I1341" s="444">
        <f t="shared" ca="1" si="128"/>
        <v>4255113.5019916436</v>
      </c>
      <c r="J1341" s="444">
        <f t="array" ref="J1341">IFERROR(INDEX('Retirement Calculator'!J:J,MATCH('Isaac 401k'!N1341,'Retirement Calculator'!A:A,0),0),0)</f>
        <v>0</v>
      </c>
      <c r="K1341" s="444">
        <f t="shared" ca="1" si="126"/>
        <v>17729.639591631847</v>
      </c>
      <c r="L1341" s="444">
        <f t="shared" ca="1" si="127"/>
        <v>4272843.141583275</v>
      </c>
      <c r="M1341" s="460">
        <f t="shared" si="129"/>
        <v>0.05</v>
      </c>
      <c r="N1341" s="464">
        <f t="shared" si="130"/>
        <v>91859</v>
      </c>
    </row>
    <row r="1342" spans="7:14" ht="11.25" customHeight="1" x14ac:dyDescent="0.3">
      <c r="G1342" s="459"/>
      <c r="H1342" s="459">
        <v>1335</v>
      </c>
      <c r="I1342" s="444">
        <f t="shared" ca="1" si="128"/>
        <v>4272843.141583275</v>
      </c>
      <c r="J1342" s="444">
        <f t="array" ref="J1342">IFERROR(INDEX('Retirement Calculator'!J:J,MATCH('Isaac 401k'!N1342,'Retirement Calculator'!A:A,0),0),0)</f>
        <v>0</v>
      </c>
      <c r="K1342" s="444">
        <f t="shared" ca="1" si="126"/>
        <v>17803.513089930311</v>
      </c>
      <c r="L1342" s="444">
        <f t="shared" ca="1" si="127"/>
        <v>4290646.6546732057</v>
      </c>
      <c r="M1342" s="460">
        <f t="shared" si="129"/>
        <v>0.05</v>
      </c>
      <c r="N1342" s="464">
        <f t="shared" si="130"/>
        <v>91890</v>
      </c>
    </row>
    <row r="1343" spans="7:14" ht="11.25" customHeight="1" x14ac:dyDescent="0.3">
      <c r="G1343" s="459"/>
      <c r="H1343" s="459">
        <v>1336</v>
      </c>
      <c r="I1343" s="444">
        <f t="shared" ca="1" si="128"/>
        <v>4290646.6546732057</v>
      </c>
      <c r="J1343" s="444">
        <f t="array" ref="J1343">IFERROR(INDEX('Retirement Calculator'!J:J,MATCH('Isaac 401k'!N1343,'Retirement Calculator'!A:A,0),0),0)</f>
        <v>0</v>
      </c>
      <c r="K1343" s="444">
        <f t="shared" ca="1" si="126"/>
        <v>17877.694394471691</v>
      </c>
      <c r="L1343" s="444">
        <f t="shared" ca="1" si="127"/>
        <v>4308524.3490676777</v>
      </c>
      <c r="M1343" s="460">
        <f t="shared" si="129"/>
        <v>0.05</v>
      </c>
      <c r="N1343" s="464">
        <f t="shared" si="130"/>
        <v>91921</v>
      </c>
    </row>
    <row r="1344" spans="7:14" ht="11.25" customHeight="1" x14ac:dyDescent="0.3">
      <c r="G1344" s="459"/>
      <c r="H1344" s="459">
        <v>1337</v>
      </c>
      <c r="I1344" s="444">
        <f t="shared" ca="1" si="128"/>
        <v>4308524.3490676777</v>
      </c>
      <c r="J1344" s="444">
        <f t="array" ref="J1344">IFERROR(INDEX('Retirement Calculator'!J:J,MATCH('Isaac 401k'!N1344,'Retirement Calculator'!A:A,0),0),0)</f>
        <v>0</v>
      </c>
      <c r="K1344" s="444">
        <f t="shared" ca="1" si="126"/>
        <v>17952.184787781989</v>
      </c>
      <c r="L1344" s="444">
        <f t="shared" ca="1" si="127"/>
        <v>4326476.5338554597</v>
      </c>
      <c r="M1344" s="460">
        <f t="shared" si="129"/>
        <v>0.05</v>
      </c>
      <c r="N1344" s="464">
        <f t="shared" si="130"/>
        <v>91951</v>
      </c>
    </row>
    <row r="1345" spans="7:14" ht="11.25" customHeight="1" x14ac:dyDescent="0.3">
      <c r="G1345" s="459"/>
      <c r="H1345" s="459">
        <v>1338</v>
      </c>
      <c r="I1345" s="444">
        <f t="shared" ca="1" si="128"/>
        <v>4326476.5338554597</v>
      </c>
      <c r="J1345" s="444">
        <f t="array" ref="J1345">IFERROR(INDEX('Retirement Calculator'!J:J,MATCH('Isaac 401k'!N1345,'Retirement Calculator'!A:A,0),0),0)</f>
        <v>0</v>
      </c>
      <c r="K1345" s="444">
        <f t="shared" ca="1" si="126"/>
        <v>18026.985557731081</v>
      </c>
      <c r="L1345" s="444">
        <f t="shared" ca="1" si="127"/>
        <v>4344503.5194131909</v>
      </c>
      <c r="M1345" s="460">
        <f t="shared" si="129"/>
        <v>0.05</v>
      </c>
      <c r="N1345" s="464">
        <f t="shared" si="130"/>
        <v>91982</v>
      </c>
    </row>
    <row r="1346" spans="7:14" ht="11.25" customHeight="1" x14ac:dyDescent="0.3">
      <c r="G1346" s="459"/>
      <c r="H1346" s="459">
        <v>1339</v>
      </c>
      <c r="I1346" s="444">
        <f t="shared" ca="1" si="128"/>
        <v>4344503.5194131909</v>
      </c>
      <c r="J1346" s="444">
        <f t="array" ref="J1346">IFERROR(INDEX('Retirement Calculator'!J:J,MATCH('Isaac 401k'!N1346,'Retirement Calculator'!A:A,0),0),0)</f>
        <v>0</v>
      </c>
      <c r="K1346" s="444">
        <f t="shared" ca="1" si="126"/>
        <v>18102.097997554964</v>
      </c>
      <c r="L1346" s="444">
        <f t="shared" ca="1" si="127"/>
        <v>4362605.6174107455</v>
      </c>
      <c r="M1346" s="460">
        <f t="shared" si="129"/>
        <v>0.05</v>
      </c>
      <c r="N1346" s="464">
        <f t="shared" si="130"/>
        <v>92012</v>
      </c>
    </row>
    <row r="1347" spans="7:14" ht="11.25" customHeight="1" x14ac:dyDescent="0.3">
      <c r="G1347" s="459"/>
      <c r="H1347" s="459">
        <v>1340</v>
      </c>
      <c r="I1347" s="444">
        <f t="shared" ca="1" si="128"/>
        <v>4362605.6174107455</v>
      </c>
      <c r="J1347" s="444">
        <f t="array" ref="J1347">IFERROR(INDEX('Retirement Calculator'!J:J,MATCH('Isaac 401k'!N1347,'Retirement Calculator'!A:A,0),0),0)</f>
        <v>0</v>
      </c>
      <c r="K1347" s="444">
        <f t="shared" ca="1" si="126"/>
        <v>18177.523405878106</v>
      </c>
      <c r="L1347" s="444">
        <f t="shared" ca="1" si="127"/>
        <v>4380783.1408166233</v>
      </c>
      <c r="M1347" s="460">
        <f t="shared" si="129"/>
        <v>0.05</v>
      </c>
      <c r="N1347" s="464">
        <f t="shared" si="130"/>
        <v>92043</v>
      </c>
    </row>
    <row r="1348" spans="7:14" ht="11.25" customHeight="1" x14ac:dyDescent="0.3">
      <c r="G1348" s="459"/>
      <c r="H1348" s="459">
        <v>1341</v>
      </c>
      <c r="I1348" s="444">
        <f t="shared" ca="1" si="128"/>
        <v>4380783.1408166233</v>
      </c>
      <c r="J1348" s="444">
        <f t="array" ref="J1348">IFERROR(INDEX('Retirement Calculator'!J:J,MATCH('Isaac 401k'!N1348,'Retirement Calculator'!A:A,0),0),0)</f>
        <v>0</v>
      </c>
      <c r="K1348" s="444">
        <f t="shared" ca="1" si="126"/>
        <v>18253.263086735929</v>
      </c>
      <c r="L1348" s="444">
        <f t="shared" ca="1" si="127"/>
        <v>4399036.4039033595</v>
      </c>
      <c r="M1348" s="460">
        <f t="shared" si="129"/>
        <v>0.05</v>
      </c>
      <c r="N1348" s="464">
        <f t="shared" si="130"/>
        <v>92074</v>
      </c>
    </row>
    <row r="1349" spans="7:14" ht="11.25" customHeight="1" x14ac:dyDescent="0.3">
      <c r="G1349" s="459"/>
      <c r="H1349" s="459">
        <v>1342</v>
      </c>
      <c r="I1349" s="444">
        <f t="shared" ca="1" si="128"/>
        <v>4399036.4039033595</v>
      </c>
      <c r="J1349" s="444">
        <f t="array" ref="J1349">IFERROR(INDEX('Retirement Calculator'!J:J,MATCH('Isaac 401k'!N1349,'Retirement Calculator'!A:A,0),0),0)</f>
        <v>0</v>
      </c>
      <c r="K1349" s="444">
        <f t="shared" ca="1" si="126"/>
        <v>18329.318349597332</v>
      </c>
      <c r="L1349" s="444">
        <f t="shared" ca="1" si="127"/>
        <v>4417365.7222529566</v>
      </c>
      <c r="M1349" s="460">
        <f t="shared" si="129"/>
        <v>0.05</v>
      </c>
      <c r="N1349" s="464">
        <f t="shared" si="130"/>
        <v>92103</v>
      </c>
    </row>
    <row r="1350" spans="7:14" ht="11.25" customHeight="1" x14ac:dyDescent="0.3">
      <c r="G1350" s="459"/>
      <c r="H1350" s="459">
        <v>1343</v>
      </c>
      <c r="I1350" s="444">
        <f t="shared" ca="1" si="128"/>
        <v>4417365.7222529566</v>
      </c>
      <c r="J1350" s="444">
        <f t="array" ref="J1350">IFERROR(INDEX('Retirement Calculator'!J:J,MATCH('Isaac 401k'!N1350,'Retirement Calculator'!A:A,0),0),0)</f>
        <v>0</v>
      </c>
      <c r="K1350" s="444">
        <f t="shared" ca="1" si="126"/>
        <v>18405.690509387317</v>
      </c>
      <c r="L1350" s="444">
        <f t="shared" ca="1" si="127"/>
        <v>4435771.4127623439</v>
      </c>
      <c r="M1350" s="460">
        <f t="shared" si="129"/>
        <v>0.05</v>
      </c>
      <c r="N1350" s="464">
        <f t="shared" si="130"/>
        <v>92134</v>
      </c>
    </row>
    <row r="1351" spans="7:14" ht="11.25" customHeight="1" x14ac:dyDescent="0.3">
      <c r="G1351" s="459"/>
      <c r="H1351" s="459">
        <v>1344</v>
      </c>
      <c r="I1351" s="444">
        <f t="shared" ca="1" si="128"/>
        <v>4435771.4127623439</v>
      </c>
      <c r="J1351" s="444">
        <f t="array" ref="J1351">IFERROR(INDEX('Retirement Calculator'!J:J,MATCH('Isaac 401k'!N1351,'Retirement Calculator'!A:A,0),0),0)</f>
        <v>0</v>
      </c>
      <c r="K1351" s="444">
        <f t="shared" ca="1" si="126"/>
        <v>18482.380886509767</v>
      </c>
      <c r="L1351" s="444">
        <f t="shared" ca="1" si="127"/>
        <v>4454253.7936488539</v>
      </c>
      <c r="M1351" s="460">
        <f t="shared" si="129"/>
        <v>0.05</v>
      </c>
      <c r="N1351" s="464">
        <f t="shared" si="130"/>
        <v>92164</v>
      </c>
    </row>
    <row r="1352" spans="7:14" ht="11.25" customHeight="1" x14ac:dyDescent="0.3">
      <c r="G1352" s="459"/>
      <c r="H1352" s="459">
        <v>1345</v>
      </c>
      <c r="I1352" s="444">
        <f t="shared" ca="1" si="128"/>
        <v>4454253.7936488539</v>
      </c>
      <c r="J1352" s="444">
        <f t="array" ref="J1352">IFERROR(INDEX('Retirement Calculator'!J:J,MATCH('Isaac 401k'!N1352,'Retirement Calculator'!A:A,0),0),0)</f>
        <v>0</v>
      </c>
      <c r="K1352" s="444">
        <f t="shared" ca="1" si="126"/>
        <v>18559.390806870226</v>
      </c>
      <c r="L1352" s="444">
        <f t="shared" ca="1" si="127"/>
        <v>4472813.1844557244</v>
      </c>
      <c r="M1352" s="460">
        <f t="shared" si="129"/>
        <v>0.05</v>
      </c>
      <c r="N1352" s="464">
        <f t="shared" si="130"/>
        <v>92195</v>
      </c>
    </row>
    <row r="1353" spans="7:14" ht="11.25" customHeight="1" x14ac:dyDescent="0.3">
      <c r="G1353" s="459"/>
      <c r="H1353" s="459">
        <v>1346</v>
      </c>
      <c r="I1353" s="444">
        <f t="shared" ca="1" si="128"/>
        <v>4472813.1844557244</v>
      </c>
      <c r="J1353" s="444">
        <f t="array" ref="J1353">IFERROR(INDEX('Retirement Calculator'!J:J,MATCH('Isaac 401k'!N1353,'Retirement Calculator'!A:A,0),0),0)</f>
        <v>0</v>
      </c>
      <c r="K1353" s="444">
        <f t="shared" ca="1" si="126"/>
        <v>18636.721601898851</v>
      </c>
      <c r="L1353" s="444">
        <f t="shared" ca="1" si="127"/>
        <v>4491449.9060576232</v>
      </c>
      <c r="M1353" s="460">
        <f t="shared" si="129"/>
        <v>0.05</v>
      </c>
      <c r="N1353" s="464">
        <f t="shared" si="130"/>
        <v>92225</v>
      </c>
    </row>
    <row r="1354" spans="7:14" ht="11.25" customHeight="1" x14ac:dyDescent="0.3">
      <c r="G1354" s="459"/>
      <c r="H1354" s="459">
        <v>1347</v>
      </c>
      <c r="I1354" s="444">
        <f t="shared" ca="1" si="128"/>
        <v>4491449.9060576232</v>
      </c>
      <c r="J1354" s="444">
        <f t="array" ref="J1354">IFERROR(INDEX('Retirement Calculator'!J:J,MATCH('Isaac 401k'!N1354,'Retirement Calculator'!A:A,0),0),0)</f>
        <v>0</v>
      </c>
      <c r="K1354" s="444">
        <f t="shared" ca="1" si="126"/>
        <v>18714.374608573431</v>
      </c>
      <c r="L1354" s="444">
        <f t="shared" ca="1" si="127"/>
        <v>4510164.2806661967</v>
      </c>
      <c r="M1354" s="460">
        <f t="shared" si="129"/>
        <v>0.05</v>
      </c>
      <c r="N1354" s="464">
        <f t="shared" si="130"/>
        <v>92256</v>
      </c>
    </row>
    <row r="1355" spans="7:14" ht="11.25" customHeight="1" x14ac:dyDescent="0.3">
      <c r="G1355" s="459"/>
      <c r="H1355" s="459">
        <v>1348</v>
      </c>
      <c r="I1355" s="444">
        <f t="shared" ca="1" si="128"/>
        <v>4510164.2806661967</v>
      </c>
      <c r="J1355" s="444">
        <f t="array" ref="J1355">IFERROR(INDEX('Retirement Calculator'!J:J,MATCH('Isaac 401k'!N1355,'Retirement Calculator'!A:A,0),0),0)</f>
        <v>0</v>
      </c>
      <c r="K1355" s="444">
        <f t="shared" ca="1" si="126"/>
        <v>18792.351169442485</v>
      </c>
      <c r="L1355" s="444">
        <f t="shared" ca="1" si="127"/>
        <v>4528956.6318356395</v>
      </c>
      <c r="M1355" s="460">
        <f t="shared" si="129"/>
        <v>0.05</v>
      </c>
      <c r="N1355" s="464">
        <f t="shared" si="130"/>
        <v>92287</v>
      </c>
    </row>
    <row r="1356" spans="7:14" ht="11.25" customHeight="1" x14ac:dyDescent="0.3">
      <c r="G1356" s="459"/>
      <c r="H1356" s="459">
        <v>1349</v>
      </c>
      <c r="I1356" s="444">
        <f t="shared" ca="1" si="128"/>
        <v>4528956.6318356395</v>
      </c>
      <c r="J1356" s="444">
        <f t="array" ref="J1356">IFERROR(INDEX('Retirement Calculator'!J:J,MATCH('Isaac 401k'!N1356,'Retirement Calculator'!A:A,0),0),0)</f>
        <v>0</v>
      </c>
      <c r="K1356" s="444">
        <f t="shared" ca="1" si="126"/>
        <v>18870.652632648496</v>
      </c>
      <c r="L1356" s="444">
        <f t="shared" ca="1" si="127"/>
        <v>4547827.2844682876</v>
      </c>
      <c r="M1356" s="460">
        <f t="shared" si="129"/>
        <v>0.05</v>
      </c>
      <c r="N1356" s="464">
        <f t="shared" si="130"/>
        <v>92317</v>
      </c>
    </row>
    <row r="1357" spans="7:14" ht="11.25" customHeight="1" x14ac:dyDescent="0.3">
      <c r="G1357" s="459"/>
      <c r="H1357" s="459">
        <v>1350</v>
      </c>
      <c r="I1357" s="444">
        <f t="shared" ca="1" si="128"/>
        <v>4547827.2844682876</v>
      </c>
      <c r="J1357" s="444">
        <f t="array" ref="J1357">IFERROR(INDEX('Retirement Calculator'!J:J,MATCH('Isaac 401k'!N1357,'Retirement Calculator'!A:A,0),0),0)</f>
        <v>0</v>
      </c>
      <c r="K1357" s="444">
        <f t="shared" ca="1" si="126"/>
        <v>18949.280351951198</v>
      </c>
      <c r="L1357" s="444">
        <f t="shared" ca="1" si="127"/>
        <v>4566776.5648202384</v>
      </c>
      <c r="M1357" s="460">
        <f t="shared" si="129"/>
        <v>0.05</v>
      </c>
      <c r="N1357" s="464">
        <f t="shared" si="130"/>
        <v>92348</v>
      </c>
    </row>
    <row r="1358" spans="7:14" ht="11.25" customHeight="1" x14ac:dyDescent="0.3">
      <c r="G1358" s="459"/>
      <c r="H1358" s="459">
        <v>1351</v>
      </c>
      <c r="I1358" s="444">
        <f t="shared" ca="1" si="128"/>
        <v>4566776.5648202384</v>
      </c>
      <c r="J1358" s="444">
        <f t="array" ref="J1358">IFERROR(INDEX('Retirement Calculator'!J:J,MATCH('Isaac 401k'!N1358,'Retirement Calculator'!A:A,0),0),0)</f>
        <v>0</v>
      </c>
      <c r="K1358" s="444">
        <f t="shared" ca="1" si="126"/>
        <v>19028.235686750992</v>
      </c>
      <c r="L1358" s="444">
        <f t="shared" ca="1" si="127"/>
        <v>4585804.8005069895</v>
      </c>
      <c r="M1358" s="460">
        <f t="shared" si="129"/>
        <v>0.05</v>
      </c>
      <c r="N1358" s="464">
        <f t="shared" si="130"/>
        <v>92378</v>
      </c>
    </row>
    <row r="1359" spans="7:14" ht="11.25" customHeight="1" x14ac:dyDescent="0.3">
      <c r="G1359" s="459"/>
      <c r="H1359" s="459">
        <v>1352</v>
      </c>
      <c r="I1359" s="444">
        <f t="shared" ca="1" si="128"/>
        <v>4585804.8005069895</v>
      </c>
      <c r="J1359" s="444">
        <f t="array" ref="J1359">IFERROR(INDEX('Retirement Calculator'!J:J,MATCH('Isaac 401k'!N1359,'Retirement Calculator'!A:A,0),0),0)</f>
        <v>0</v>
      </c>
      <c r="K1359" s="444">
        <f t="shared" ca="1" si="126"/>
        <v>19107.520002112455</v>
      </c>
      <c r="L1359" s="444">
        <f t="shared" ca="1" si="127"/>
        <v>4604912.3205091022</v>
      </c>
      <c r="M1359" s="460">
        <f t="shared" si="129"/>
        <v>0.05</v>
      </c>
      <c r="N1359" s="464">
        <f t="shared" si="130"/>
        <v>92409</v>
      </c>
    </row>
    <row r="1360" spans="7:14" ht="11.25" customHeight="1" x14ac:dyDescent="0.3">
      <c r="G1360" s="459"/>
      <c r="H1360" s="459">
        <v>1353</v>
      </c>
      <c r="I1360" s="444">
        <f t="shared" ca="1" si="128"/>
        <v>4604912.3205091022</v>
      </c>
      <c r="J1360" s="444">
        <f t="array" ref="J1360">IFERROR(INDEX('Retirement Calculator'!J:J,MATCH('Isaac 401k'!N1360,'Retirement Calculator'!A:A,0),0),0)</f>
        <v>0</v>
      </c>
      <c r="K1360" s="444">
        <f t="shared" ca="1" si="126"/>
        <v>19187.134668787927</v>
      </c>
      <c r="L1360" s="444">
        <f t="shared" ca="1" si="127"/>
        <v>4624099.4551778901</v>
      </c>
      <c r="M1360" s="460">
        <f t="shared" si="129"/>
        <v>0.05</v>
      </c>
      <c r="N1360" s="464">
        <f t="shared" si="130"/>
        <v>92440</v>
      </c>
    </row>
    <row r="1361" spans="7:14" ht="11.25" customHeight="1" x14ac:dyDescent="0.3">
      <c r="G1361" s="459"/>
      <c r="H1361" s="459">
        <v>1354</v>
      </c>
      <c r="I1361" s="444">
        <f t="shared" ca="1" si="128"/>
        <v>4624099.4551778901</v>
      </c>
      <c r="J1361" s="444">
        <f t="array" ref="J1361">IFERROR(INDEX('Retirement Calculator'!J:J,MATCH('Isaac 401k'!N1361,'Retirement Calculator'!A:A,0),0),0)</f>
        <v>0</v>
      </c>
      <c r="K1361" s="444">
        <f t="shared" ca="1" si="126"/>
        <v>19267.08106324121</v>
      </c>
      <c r="L1361" s="444">
        <f t="shared" ca="1" si="127"/>
        <v>4643366.5362411309</v>
      </c>
      <c r="M1361" s="460">
        <f t="shared" si="129"/>
        <v>0.05</v>
      </c>
      <c r="N1361" s="464">
        <f t="shared" si="130"/>
        <v>92468</v>
      </c>
    </row>
    <row r="1362" spans="7:14" ht="11.25" customHeight="1" x14ac:dyDescent="0.3">
      <c r="G1362" s="459"/>
      <c r="H1362" s="459">
        <v>1355</v>
      </c>
      <c r="I1362" s="444">
        <f t="shared" ca="1" si="128"/>
        <v>4643366.5362411309</v>
      </c>
      <c r="J1362" s="444">
        <f t="array" ref="J1362">IFERROR(INDEX('Retirement Calculator'!J:J,MATCH('Isaac 401k'!N1362,'Retirement Calculator'!A:A,0),0),0)</f>
        <v>0</v>
      </c>
      <c r="K1362" s="444">
        <f t="shared" ca="1" si="126"/>
        <v>19347.360567671378</v>
      </c>
      <c r="L1362" s="444">
        <f t="shared" ca="1" si="127"/>
        <v>4662713.8968088022</v>
      </c>
      <c r="M1362" s="460">
        <f t="shared" si="129"/>
        <v>0.05</v>
      </c>
      <c r="N1362" s="464">
        <f t="shared" si="130"/>
        <v>92499</v>
      </c>
    </row>
    <row r="1363" spans="7:14" ht="11.25" customHeight="1" x14ac:dyDescent="0.3">
      <c r="G1363" s="459"/>
      <c r="H1363" s="459">
        <v>1356</v>
      </c>
      <c r="I1363" s="444">
        <f t="shared" ca="1" si="128"/>
        <v>4662713.8968088022</v>
      </c>
      <c r="J1363" s="444">
        <f t="array" ref="J1363">IFERROR(INDEX('Retirement Calculator'!J:J,MATCH('Isaac 401k'!N1363,'Retirement Calculator'!A:A,0),0),0)</f>
        <v>0</v>
      </c>
      <c r="K1363" s="444">
        <f t="shared" ca="1" si="126"/>
        <v>19427.974570036677</v>
      </c>
      <c r="L1363" s="444">
        <f t="shared" ca="1" si="127"/>
        <v>4682141.871378839</v>
      </c>
      <c r="M1363" s="460">
        <f t="shared" si="129"/>
        <v>0.05</v>
      </c>
      <c r="N1363" s="464">
        <f t="shared" si="130"/>
        <v>92529</v>
      </c>
    </row>
    <row r="1364" spans="7:14" ht="11.25" customHeight="1" x14ac:dyDescent="0.3">
      <c r="G1364" s="459"/>
      <c r="H1364" s="459">
        <v>1357</v>
      </c>
      <c r="I1364" s="444">
        <f t="shared" ca="1" si="128"/>
        <v>4682141.871378839</v>
      </c>
      <c r="J1364" s="444">
        <f t="array" ref="J1364">IFERROR(INDEX('Retirement Calculator'!J:J,MATCH('Isaac 401k'!N1364,'Retirement Calculator'!A:A,0),0),0)</f>
        <v>0</v>
      </c>
      <c r="K1364" s="444">
        <f t="shared" ca="1" si="126"/>
        <v>19508.924464078496</v>
      </c>
      <c r="L1364" s="444">
        <f t="shared" ca="1" si="127"/>
        <v>4701650.7958429176</v>
      </c>
      <c r="M1364" s="460">
        <f t="shared" si="129"/>
        <v>0.05</v>
      </c>
      <c r="N1364" s="464">
        <f t="shared" si="130"/>
        <v>92560</v>
      </c>
    </row>
    <row r="1365" spans="7:14" ht="11.25" customHeight="1" x14ac:dyDescent="0.3">
      <c r="G1365" s="459"/>
      <c r="H1365" s="459">
        <v>1358</v>
      </c>
      <c r="I1365" s="444">
        <f t="shared" ca="1" si="128"/>
        <v>4701650.7958429176</v>
      </c>
      <c r="J1365" s="444">
        <f t="array" ref="J1365">IFERROR(INDEX('Retirement Calculator'!J:J,MATCH('Isaac 401k'!N1365,'Retirement Calculator'!A:A,0),0),0)</f>
        <v>0</v>
      </c>
      <c r="K1365" s="444">
        <f t="shared" ca="1" si="126"/>
        <v>19590.211649345489</v>
      </c>
      <c r="L1365" s="444">
        <f t="shared" ca="1" si="127"/>
        <v>4721241.0074922629</v>
      </c>
      <c r="M1365" s="460">
        <f t="shared" si="129"/>
        <v>0.05</v>
      </c>
      <c r="N1365" s="464">
        <f t="shared" si="130"/>
        <v>92590</v>
      </c>
    </row>
    <row r="1366" spans="7:14" ht="11.25" customHeight="1" x14ac:dyDescent="0.3">
      <c r="G1366" s="459"/>
      <c r="H1366" s="459">
        <v>1359</v>
      </c>
      <c r="I1366" s="444">
        <f t="shared" ca="1" si="128"/>
        <v>4721241.0074922629</v>
      </c>
      <c r="J1366" s="444">
        <f t="array" ref="J1366">IFERROR(INDEX('Retirement Calculator'!J:J,MATCH('Isaac 401k'!N1366,'Retirement Calculator'!A:A,0),0),0)</f>
        <v>0</v>
      </c>
      <c r="K1366" s="444">
        <f t="shared" ca="1" si="126"/>
        <v>19671.837531217763</v>
      </c>
      <c r="L1366" s="444">
        <f t="shared" ca="1" si="127"/>
        <v>4740912.8450234802</v>
      </c>
      <c r="M1366" s="460">
        <f t="shared" si="129"/>
        <v>0.05</v>
      </c>
      <c r="N1366" s="464">
        <f t="shared" si="130"/>
        <v>92621</v>
      </c>
    </row>
    <row r="1367" spans="7:14" ht="11.25" customHeight="1" x14ac:dyDescent="0.3">
      <c r="G1367" s="459"/>
      <c r="H1367" s="459">
        <v>1360</v>
      </c>
      <c r="I1367" s="444">
        <f t="shared" ca="1" si="128"/>
        <v>4740912.8450234802</v>
      </c>
      <c r="J1367" s="444">
        <f t="array" ref="J1367">IFERROR(INDEX('Retirement Calculator'!J:J,MATCH('Isaac 401k'!N1367,'Retirement Calculator'!A:A,0),0),0)</f>
        <v>0</v>
      </c>
      <c r="K1367" s="444">
        <f t="shared" ca="1" si="126"/>
        <v>19753.803520931167</v>
      </c>
      <c r="L1367" s="444">
        <f t="shared" ca="1" si="127"/>
        <v>4760666.6485444112</v>
      </c>
      <c r="M1367" s="460">
        <f t="shared" si="129"/>
        <v>0.05</v>
      </c>
      <c r="N1367" s="464">
        <f t="shared" si="130"/>
        <v>92652</v>
      </c>
    </row>
    <row r="1368" spans="7:14" ht="11.25" customHeight="1" x14ac:dyDescent="0.3">
      <c r="G1368" s="459"/>
      <c r="H1368" s="459">
        <v>1361</v>
      </c>
      <c r="I1368" s="444">
        <f t="shared" ca="1" si="128"/>
        <v>4760666.6485444112</v>
      </c>
      <c r="J1368" s="444">
        <f t="array" ref="J1368">IFERROR(INDEX('Retirement Calculator'!J:J,MATCH('Isaac 401k'!N1368,'Retirement Calculator'!A:A,0),0),0)</f>
        <v>0</v>
      </c>
      <c r="K1368" s="444">
        <f t="shared" ca="1" si="126"/>
        <v>19836.111035601713</v>
      </c>
      <c r="L1368" s="444">
        <f t="shared" ca="1" si="127"/>
        <v>4780502.7595800133</v>
      </c>
      <c r="M1368" s="460">
        <f t="shared" si="129"/>
        <v>0.05</v>
      </c>
      <c r="N1368" s="464">
        <f t="shared" si="130"/>
        <v>92682</v>
      </c>
    </row>
    <row r="1369" spans="7:14" ht="11.25" customHeight="1" x14ac:dyDescent="0.3">
      <c r="G1369" s="459"/>
      <c r="H1369" s="459">
        <v>1362</v>
      </c>
      <c r="I1369" s="444">
        <f t="shared" ca="1" si="128"/>
        <v>4780502.7595800133</v>
      </c>
      <c r="J1369" s="444">
        <f t="array" ref="J1369">IFERROR(INDEX('Retirement Calculator'!J:J,MATCH('Isaac 401k'!N1369,'Retirement Calculator'!A:A,0),0),0)</f>
        <v>0</v>
      </c>
      <c r="K1369" s="444">
        <f t="shared" ca="1" si="126"/>
        <v>19918.761498250056</v>
      </c>
      <c r="L1369" s="444">
        <f t="shared" ca="1" si="127"/>
        <v>4800421.5210782634</v>
      </c>
      <c r="M1369" s="460">
        <f t="shared" si="129"/>
        <v>0.05</v>
      </c>
      <c r="N1369" s="464">
        <f t="shared" si="130"/>
        <v>92713</v>
      </c>
    </row>
    <row r="1370" spans="7:14" ht="11.25" customHeight="1" x14ac:dyDescent="0.3">
      <c r="G1370" s="459"/>
      <c r="H1370" s="459">
        <v>1363</v>
      </c>
      <c r="I1370" s="444">
        <f t="shared" ca="1" si="128"/>
        <v>4800421.5210782634</v>
      </c>
      <c r="J1370" s="444">
        <f t="array" ref="J1370">IFERROR(INDEX('Retirement Calculator'!J:J,MATCH('Isaac 401k'!N1370,'Retirement Calculator'!A:A,0),0),0)</f>
        <v>0</v>
      </c>
      <c r="K1370" s="444">
        <f t="shared" ca="1" si="126"/>
        <v>20001.756337826097</v>
      </c>
      <c r="L1370" s="444">
        <f t="shared" ca="1" si="127"/>
        <v>4820423.2774160895</v>
      </c>
      <c r="M1370" s="460">
        <f t="shared" si="129"/>
        <v>0.05</v>
      </c>
      <c r="N1370" s="464">
        <f t="shared" si="130"/>
        <v>92743</v>
      </c>
    </row>
    <row r="1371" spans="7:14" ht="11.25" customHeight="1" x14ac:dyDescent="0.3">
      <c r="G1371" s="459"/>
      <c r="H1371" s="459">
        <v>1364</v>
      </c>
      <c r="I1371" s="444">
        <f t="shared" ca="1" si="128"/>
        <v>4820423.2774160895</v>
      </c>
      <c r="J1371" s="444">
        <f t="array" ref="J1371">IFERROR(INDEX('Retirement Calculator'!J:J,MATCH('Isaac 401k'!N1371,'Retirement Calculator'!A:A,0),0),0)</f>
        <v>0</v>
      </c>
      <c r="K1371" s="444">
        <f t="shared" ca="1" si="126"/>
        <v>20085.096989233705</v>
      </c>
      <c r="L1371" s="444">
        <f t="shared" ca="1" si="127"/>
        <v>4840508.3744053235</v>
      </c>
      <c r="M1371" s="460">
        <f t="shared" si="129"/>
        <v>0.05</v>
      </c>
      <c r="N1371" s="464">
        <f t="shared" si="130"/>
        <v>92774</v>
      </c>
    </row>
    <row r="1372" spans="7:14" ht="11.25" customHeight="1" x14ac:dyDescent="0.3">
      <c r="G1372" s="459"/>
      <c r="H1372" s="459">
        <v>1365</v>
      </c>
      <c r="I1372" s="444">
        <f t="shared" ca="1" si="128"/>
        <v>4840508.3744053235</v>
      </c>
      <c r="J1372" s="444">
        <f t="array" ref="J1372">IFERROR(INDEX('Retirement Calculator'!J:J,MATCH('Isaac 401k'!N1372,'Retirement Calculator'!A:A,0),0),0)</f>
        <v>0</v>
      </c>
      <c r="K1372" s="444">
        <f t="shared" ca="1" si="126"/>
        <v>20168.784893355514</v>
      </c>
      <c r="L1372" s="444">
        <f t="shared" ca="1" si="127"/>
        <v>4860677.1592986789</v>
      </c>
      <c r="M1372" s="460">
        <f t="shared" si="129"/>
        <v>0.05</v>
      </c>
      <c r="N1372" s="464">
        <f t="shared" si="130"/>
        <v>92805</v>
      </c>
    </row>
    <row r="1373" spans="7:14" ht="11.25" customHeight="1" x14ac:dyDescent="0.3">
      <c r="G1373" s="459"/>
      <c r="H1373" s="459">
        <v>1366</v>
      </c>
      <c r="I1373" s="444">
        <f t="shared" ca="1" si="128"/>
        <v>4860677.1592986789</v>
      </c>
      <c r="J1373" s="444">
        <f t="array" ref="J1373">IFERROR(INDEX('Retirement Calculator'!J:J,MATCH('Isaac 401k'!N1373,'Retirement Calculator'!A:A,0),0),0)</f>
        <v>0</v>
      </c>
      <c r="K1373" s="444">
        <f t="shared" ca="1" si="126"/>
        <v>20252.821497077828</v>
      </c>
      <c r="L1373" s="444">
        <f t="shared" ca="1" si="127"/>
        <v>4880929.9807957569</v>
      </c>
      <c r="M1373" s="460">
        <f t="shared" si="129"/>
        <v>0.05</v>
      </c>
      <c r="N1373" s="464">
        <f t="shared" si="130"/>
        <v>92833</v>
      </c>
    </row>
    <row r="1374" spans="7:14" ht="11.25" customHeight="1" x14ac:dyDescent="0.3">
      <c r="G1374" s="459"/>
      <c r="H1374" s="459">
        <v>1367</v>
      </c>
      <c r="I1374" s="444">
        <f t="shared" ca="1" si="128"/>
        <v>4880929.9807957569</v>
      </c>
      <c r="J1374" s="444">
        <f t="array" ref="J1374">IFERROR(INDEX('Retirement Calculator'!J:J,MATCH('Isaac 401k'!N1374,'Retirement Calculator'!A:A,0),0),0)</f>
        <v>0</v>
      </c>
      <c r="K1374" s="444">
        <f t="shared" ca="1" si="126"/>
        <v>20337.208253315654</v>
      </c>
      <c r="L1374" s="444">
        <f t="shared" ca="1" si="127"/>
        <v>4901267.1890490726</v>
      </c>
      <c r="M1374" s="460">
        <f t="shared" si="129"/>
        <v>0.05</v>
      </c>
      <c r="N1374" s="464">
        <f t="shared" si="130"/>
        <v>92864</v>
      </c>
    </row>
    <row r="1375" spans="7:14" ht="11.25" customHeight="1" x14ac:dyDescent="0.3">
      <c r="G1375" s="459"/>
      <c r="H1375" s="459">
        <v>1368</v>
      </c>
      <c r="I1375" s="444">
        <f t="shared" ca="1" si="128"/>
        <v>4901267.1890490726</v>
      </c>
      <c r="J1375" s="444">
        <f t="array" ref="J1375">IFERROR(INDEX('Retirement Calculator'!J:J,MATCH('Isaac 401k'!N1375,'Retirement Calculator'!A:A,0),0),0)</f>
        <v>0</v>
      </c>
      <c r="K1375" s="444">
        <f t="shared" ca="1" si="126"/>
        <v>20421.946621037801</v>
      </c>
      <c r="L1375" s="444">
        <f t="shared" ca="1" si="127"/>
        <v>4921689.1356701106</v>
      </c>
      <c r="M1375" s="460">
        <f t="shared" si="129"/>
        <v>0.05</v>
      </c>
      <c r="N1375" s="464">
        <f t="shared" si="130"/>
        <v>92894</v>
      </c>
    </row>
    <row r="1376" spans="7:14" ht="11.25" customHeight="1" x14ac:dyDescent="0.3">
      <c r="G1376" s="459"/>
      <c r="H1376" s="459">
        <v>1369</v>
      </c>
      <c r="I1376" s="444">
        <f t="shared" ca="1" si="128"/>
        <v>4921689.1356701106</v>
      </c>
      <c r="J1376" s="444">
        <f t="array" ref="J1376">IFERROR(INDEX('Retirement Calculator'!J:J,MATCH('Isaac 401k'!N1376,'Retirement Calculator'!A:A,0),0),0)</f>
        <v>0</v>
      </c>
      <c r="K1376" s="444">
        <f t="shared" ca="1" si="126"/>
        <v>20507.038065292127</v>
      </c>
      <c r="L1376" s="444">
        <f t="shared" ca="1" si="127"/>
        <v>4942196.1737354025</v>
      </c>
      <c r="M1376" s="460">
        <f t="shared" si="129"/>
        <v>0.05</v>
      </c>
      <c r="N1376" s="464">
        <f t="shared" si="130"/>
        <v>92925</v>
      </c>
    </row>
    <row r="1377" spans="7:14" ht="11.25" customHeight="1" x14ac:dyDescent="0.3">
      <c r="G1377" s="459"/>
      <c r="H1377" s="459">
        <v>1370</v>
      </c>
      <c r="I1377" s="444">
        <f t="shared" ca="1" si="128"/>
        <v>4942196.1737354025</v>
      </c>
      <c r="J1377" s="444">
        <f t="array" ref="J1377">IFERROR(INDEX('Retirement Calculator'!J:J,MATCH('Isaac 401k'!N1377,'Retirement Calculator'!A:A,0),0),0)</f>
        <v>0</v>
      </c>
      <c r="K1377" s="444">
        <f t="shared" ca="1" si="126"/>
        <v>20592.484057230842</v>
      </c>
      <c r="L1377" s="444">
        <f t="shared" ca="1" si="127"/>
        <v>4962788.6577926334</v>
      </c>
      <c r="M1377" s="460">
        <f t="shared" si="129"/>
        <v>0.05</v>
      </c>
      <c r="N1377" s="464">
        <f t="shared" si="130"/>
        <v>92955</v>
      </c>
    </row>
    <row r="1378" spans="7:14" ht="11.25" customHeight="1" x14ac:dyDescent="0.3">
      <c r="G1378" s="459"/>
      <c r="H1378" s="459">
        <v>1371</v>
      </c>
      <c r="I1378" s="444">
        <f t="shared" ca="1" si="128"/>
        <v>4962788.6577926334</v>
      </c>
      <c r="J1378" s="444">
        <f t="array" ref="J1378">IFERROR(INDEX('Retirement Calculator'!J:J,MATCH('Isaac 401k'!N1378,'Retirement Calculator'!A:A,0),0),0)</f>
        <v>0</v>
      </c>
      <c r="K1378" s="444">
        <f t="shared" ca="1" si="126"/>
        <v>20678.286074135973</v>
      </c>
      <c r="L1378" s="444">
        <f t="shared" ca="1" si="127"/>
        <v>4983466.9438667698</v>
      </c>
      <c r="M1378" s="460">
        <f t="shared" si="129"/>
        <v>0.05</v>
      </c>
      <c r="N1378" s="464">
        <f t="shared" si="130"/>
        <v>92986</v>
      </c>
    </row>
    <row r="1379" spans="7:14" ht="11.25" customHeight="1" x14ac:dyDescent="0.3">
      <c r="G1379" s="459"/>
      <c r="H1379" s="459">
        <v>1372</v>
      </c>
      <c r="I1379" s="444">
        <f t="shared" ca="1" si="128"/>
        <v>4983466.9438667698</v>
      </c>
      <c r="J1379" s="444">
        <f t="array" ref="J1379">IFERROR(INDEX('Retirement Calculator'!J:J,MATCH('Isaac 401k'!N1379,'Retirement Calculator'!A:A,0),0),0)</f>
        <v>0</v>
      </c>
      <c r="K1379" s="444">
        <f t="shared" ca="1" si="126"/>
        <v>20764.445599444873</v>
      </c>
      <c r="L1379" s="444">
        <f t="shared" ca="1" si="127"/>
        <v>5004231.3894662149</v>
      </c>
      <c r="M1379" s="460">
        <f t="shared" si="129"/>
        <v>0.05</v>
      </c>
      <c r="N1379" s="464">
        <f t="shared" si="130"/>
        <v>93017</v>
      </c>
    </row>
    <row r="1380" spans="7:14" ht="11.25" customHeight="1" x14ac:dyDescent="0.3">
      <c r="G1380" s="459"/>
      <c r="H1380" s="459">
        <v>1373</v>
      </c>
      <c r="I1380" s="444">
        <f t="shared" ca="1" si="128"/>
        <v>5004231.3894662149</v>
      </c>
      <c r="J1380" s="444">
        <f t="array" ref="J1380">IFERROR(INDEX('Retirement Calculator'!J:J,MATCH('Isaac 401k'!N1380,'Retirement Calculator'!A:A,0),0),0)</f>
        <v>0</v>
      </c>
      <c r="K1380" s="444">
        <f t="shared" ca="1" si="126"/>
        <v>20850.964122775895</v>
      </c>
      <c r="L1380" s="444">
        <f t="shared" ca="1" si="127"/>
        <v>5025082.3535889909</v>
      </c>
      <c r="M1380" s="460">
        <f t="shared" si="129"/>
        <v>0.05</v>
      </c>
      <c r="N1380" s="464">
        <f t="shared" si="130"/>
        <v>93047</v>
      </c>
    </row>
    <row r="1381" spans="7:14" ht="11.25" customHeight="1" x14ac:dyDescent="0.3">
      <c r="G1381" s="459"/>
      <c r="H1381" s="459">
        <v>1374</v>
      </c>
      <c r="I1381" s="444">
        <f t="shared" ca="1" si="128"/>
        <v>5025082.3535889909</v>
      </c>
      <c r="J1381" s="444">
        <f t="array" ref="J1381">IFERROR(INDEX('Retirement Calculator'!J:J,MATCH('Isaac 401k'!N1381,'Retirement Calculator'!A:A,0),0),0)</f>
        <v>0</v>
      </c>
      <c r="K1381" s="444">
        <f t="shared" ca="1" si="126"/>
        <v>20937.84313995413</v>
      </c>
      <c r="L1381" s="444">
        <f t="shared" ca="1" si="127"/>
        <v>5046020.1967289448</v>
      </c>
      <c r="M1381" s="460">
        <f t="shared" si="129"/>
        <v>0.05</v>
      </c>
      <c r="N1381" s="464">
        <f t="shared" si="130"/>
        <v>93078</v>
      </c>
    </row>
    <row r="1382" spans="7:14" ht="11.25" customHeight="1" x14ac:dyDescent="0.3">
      <c r="G1382" s="459"/>
      <c r="H1382" s="459">
        <v>1375</v>
      </c>
      <c r="I1382" s="444">
        <f t="shared" ca="1" si="128"/>
        <v>5046020.1967289448</v>
      </c>
      <c r="J1382" s="444">
        <f t="array" ref="J1382">IFERROR(INDEX('Retirement Calculator'!J:J,MATCH('Isaac 401k'!N1382,'Retirement Calculator'!A:A,0),0),0)</f>
        <v>0</v>
      </c>
      <c r="K1382" s="444">
        <f t="shared" ca="1" si="126"/>
        <v>21025.084153037271</v>
      </c>
      <c r="L1382" s="444">
        <f t="shared" ca="1" si="127"/>
        <v>5067045.2808819823</v>
      </c>
      <c r="M1382" s="460">
        <f t="shared" si="129"/>
        <v>0.05</v>
      </c>
      <c r="N1382" s="464">
        <f t="shared" si="130"/>
        <v>93108</v>
      </c>
    </row>
    <row r="1383" spans="7:14" ht="11.25" customHeight="1" x14ac:dyDescent="0.3">
      <c r="G1383" s="459"/>
      <c r="H1383" s="459">
        <v>1376</v>
      </c>
      <c r="I1383" s="444">
        <f t="shared" ca="1" si="128"/>
        <v>5067045.2808819823</v>
      </c>
      <c r="J1383" s="444">
        <f t="array" ref="J1383">IFERROR(INDEX('Retirement Calculator'!J:J,MATCH('Isaac 401k'!N1383,'Retirement Calculator'!A:A,0),0),0)</f>
        <v>0</v>
      </c>
      <c r="K1383" s="444">
        <f t="shared" ca="1" si="126"/>
        <v>21112.688670341591</v>
      </c>
      <c r="L1383" s="444">
        <f t="shared" ca="1" si="127"/>
        <v>5088157.9695523242</v>
      </c>
      <c r="M1383" s="460">
        <f t="shared" si="129"/>
        <v>0.05</v>
      </c>
      <c r="N1383" s="464">
        <f t="shared" si="130"/>
        <v>93139</v>
      </c>
    </row>
    <row r="1384" spans="7:14" ht="11.25" customHeight="1" x14ac:dyDescent="0.3">
      <c r="G1384" s="459"/>
      <c r="H1384" s="459">
        <v>1377</v>
      </c>
      <c r="I1384" s="444">
        <f t="shared" ca="1" si="128"/>
        <v>5088157.9695523242</v>
      </c>
      <c r="J1384" s="444">
        <f t="array" ref="J1384">IFERROR(INDEX('Retirement Calculator'!J:J,MATCH('Isaac 401k'!N1384,'Retirement Calculator'!A:A,0),0),0)</f>
        <v>0</v>
      </c>
      <c r="K1384" s="444">
        <f t="shared" ca="1" si="126"/>
        <v>21200.658206468019</v>
      </c>
      <c r="L1384" s="444">
        <f t="shared" ca="1" si="127"/>
        <v>5109358.6277587926</v>
      </c>
      <c r="M1384" s="460">
        <f t="shared" si="129"/>
        <v>0.05</v>
      </c>
      <c r="N1384" s="464">
        <f t="shared" si="130"/>
        <v>93170</v>
      </c>
    </row>
    <row r="1385" spans="7:14" ht="11.25" customHeight="1" x14ac:dyDescent="0.3">
      <c r="G1385" s="459"/>
      <c r="H1385" s="459">
        <v>1378</v>
      </c>
      <c r="I1385" s="444">
        <f t="shared" ca="1" si="128"/>
        <v>5109358.6277587926</v>
      </c>
      <c r="J1385" s="444">
        <f t="array" ref="J1385">IFERROR(INDEX('Retirement Calculator'!J:J,MATCH('Isaac 401k'!N1385,'Retirement Calculator'!A:A,0),0),0)</f>
        <v>0</v>
      </c>
      <c r="K1385" s="444">
        <f t="shared" ca="1" si="126"/>
        <v>21288.994282328302</v>
      </c>
      <c r="L1385" s="444">
        <f t="shared" ca="1" si="127"/>
        <v>5130647.6220411211</v>
      </c>
      <c r="M1385" s="460">
        <f t="shared" si="129"/>
        <v>0.05</v>
      </c>
      <c r="N1385" s="464">
        <f t="shared" si="130"/>
        <v>93198</v>
      </c>
    </row>
    <row r="1386" spans="7:14" ht="11.25" customHeight="1" x14ac:dyDescent="0.3">
      <c r="G1386" s="459"/>
      <c r="H1386" s="459">
        <v>1379</v>
      </c>
      <c r="I1386" s="444">
        <f t="shared" ca="1" si="128"/>
        <v>5130647.6220411211</v>
      </c>
      <c r="J1386" s="444">
        <f t="array" ref="J1386">IFERROR(INDEX('Retirement Calculator'!J:J,MATCH('Isaac 401k'!N1386,'Retirement Calculator'!A:A,0),0),0)</f>
        <v>0</v>
      </c>
      <c r="K1386" s="444">
        <f t="shared" ca="1" si="126"/>
        <v>21377.698425171337</v>
      </c>
      <c r="L1386" s="444">
        <f t="shared" ca="1" si="127"/>
        <v>5152025.3204662921</v>
      </c>
      <c r="M1386" s="460">
        <f t="shared" si="129"/>
        <v>0.05</v>
      </c>
      <c r="N1386" s="464">
        <f t="shared" si="130"/>
        <v>93229</v>
      </c>
    </row>
    <row r="1387" spans="7:14" ht="11.25" customHeight="1" x14ac:dyDescent="0.3">
      <c r="G1387" s="459"/>
      <c r="H1387" s="459">
        <v>1380</v>
      </c>
      <c r="I1387" s="444">
        <f t="shared" ca="1" si="128"/>
        <v>5152025.3204662921</v>
      </c>
      <c r="J1387" s="444">
        <f t="array" ref="J1387">IFERROR(INDEX('Retirement Calculator'!J:J,MATCH('Isaac 401k'!N1387,'Retirement Calculator'!A:A,0),0),0)</f>
        <v>0</v>
      </c>
      <c r="K1387" s="444">
        <f t="shared" ca="1" si="126"/>
        <v>21466.77216860955</v>
      </c>
      <c r="L1387" s="444">
        <f t="shared" ca="1" si="127"/>
        <v>5173492.0926349014</v>
      </c>
      <c r="M1387" s="460">
        <f t="shared" si="129"/>
        <v>0.05</v>
      </c>
      <c r="N1387" s="464">
        <f t="shared" si="130"/>
        <v>93259</v>
      </c>
    </row>
    <row r="1388" spans="7:14" ht="11.25" customHeight="1" x14ac:dyDescent="0.3">
      <c r="G1388" s="459"/>
      <c r="H1388" s="459">
        <v>1381</v>
      </c>
      <c r="I1388" s="444">
        <f t="shared" ca="1" si="128"/>
        <v>5173492.0926349014</v>
      </c>
      <c r="J1388" s="444">
        <f t="array" ref="J1388">IFERROR(INDEX('Retirement Calculator'!J:J,MATCH('Isaac 401k'!N1388,'Retirement Calculator'!A:A,0),0),0)</f>
        <v>0</v>
      </c>
      <c r="K1388" s="444">
        <f t="shared" ca="1" si="126"/>
        <v>21556.217052645421</v>
      </c>
      <c r="L1388" s="444">
        <f t="shared" ca="1" si="127"/>
        <v>5195048.3096875465</v>
      </c>
      <c r="M1388" s="460">
        <f t="shared" si="129"/>
        <v>0.05</v>
      </c>
      <c r="N1388" s="464">
        <f t="shared" si="130"/>
        <v>93290</v>
      </c>
    </row>
    <row r="1389" spans="7:14" ht="11.25" customHeight="1" x14ac:dyDescent="0.3">
      <c r="G1389" s="459"/>
      <c r="H1389" s="459">
        <v>1382</v>
      </c>
      <c r="I1389" s="444">
        <f t="shared" ca="1" si="128"/>
        <v>5195048.3096875465</v>
      </c>
      <c r="J1389" s="444">
        <f t="array" ref="J1389">IFERROR(INDEX('Retirement Calculator'!J:J,MATCH('Isaac 401k'!N1389,'Retirement Calculator'!A:A,0),0),0)</f>
        <v>0</v>
      </c>
      <c r="K1389" s="444">
        <f t="shared" ca="1" si="126"/>
        <v>21646.034623698109</v>
      </c>
      <c r="L1389" s="444">
        <f t="shared" ca="1" si="127"/>
        <v>5216694.3443112448</v>
      </c>
      <c r="M1389" s="460">
        <f t="shared" si="129"/>
        <v>0.05</v>
      </c>
      <c r="N1389" s="464">
        <f t="shared" si="130"/>
        <v>93320</v>
      </c>
    </row>
    <row r="1390" spans="7:14" ht="11.25" customHeight="1" x14ac:dyDescent="0.3">
      <c r="G1390" s="459"/>
      <c r="H1390" s="459">
        <v>1383</v>
      </c>
      <c r="I1390" s="444">
        <f t="shared" ca="1" si="128"/>
        <v>5216694.3443112448</v>
      </c>
      <c r="J1390" s="444">
        <f t="array" ref="J1390">IFERROR(INDEX('Retirement Calculator'!J:J,MATCH('Isaac 401k'!N1390,'Retirement Calculator'!A:A,0),0),0)</f>
        <v>0</v>
      </c>
      <c r="K1390" s="444">
        <f t="shared" ca="1" si="126"/>
        <v>21736.226434630185</v>
      </c>
      <c r="L1390" s="444">
        <f t="shared" ca="1" si="127"/>
        <v>5238430.5707458751</v>
      </c>
      <c r="M1390" s="460">
        <f t="shared" si="129"/>
        <v>0.05</v>
      </c>
      <c r="N1390" s="464">
        <f t="shared" si="130"/>
        <v>93351</v>
      </c>
    </row>
    <row r="1391" spans="7:14" ht="11.25" customHeight="1" x14ac:dyDescent="0.3">
      <c r="G1391" s="459"/>
      <c r="H1391" s="459">
        <v>1384</v>
      </c>
      <c r="I1391" s="444">
        <f t="shared" ca="1" si="128"/>
        <v>5238430.5707458751</v>
      </c>
      <c r="J1391" s="444">
        <f t="array" ref="J1391">IFERROR(INDEX('Retirement Calculator'!J:J,MATCH('Isaac 401k'!N1391,'Retirement Calculator'!A:A,0),0),0)</f>
        <v>0</v>
      </c>
      <c r="K1391" s="444">
        <f t="shared" ca="1" si="126"/>
        <v>21826.79404477448</v>
      </c>
      <c r="L1391" s="444">
        <f t="shared" ca="1" si="127"/>
        <v>5260257.3647906492</v>
      </c>
      <c r="M1391" s="460">
        <f t="shared" si="129"/>
        <v>0.05</v>
      </c>
      <c r="N1391" s="464">
        <f t="shared" si="130"/>
        <v>93382</v>
      </c>
    </row>
    <row r="1392" spans="7:14" ht="11.25" customHeight="1" x14ac:dyDescent="0.3">
      <c r="G1392" s="459"/>
      <c r="H1392" s="459">
        <v>1385</v>
      </c>
      <c r="I1392" s="444">
        <f t="shared" ca="1" si="128"/>
        <v>5260257.3647906492</v>
      </c>
      <c r="J1392" s="444">
        <f t="array" ref="J1392">IFERROR(INDEX('Retirement Calculator'!J:J,MATCH('Isaac 401k'!N1392,'Retirement Calculator'!A:A,0),0),0)</f>
        <v>0</v>
      </c>
      <c r="K1392" s="444">
        <f t="shared" ca="1" si="126"/>
        <v>21917.739019961038</v>
      </c>
      <c r="L1392" s="444">
        <f t="shared" ca="1" si="127"/>
        <v>5282175.1038106102</v>
      </c>
      <c r="M1392" s="460">
        <f t="shared" si="129"/>
        <v>0.05</v>
      </c>
      <c r="N1392" s="464">
        <f t="shared" si="130"/>
        <v>93412</v>
      </c>
    </row>
    <row r="1393" spans="7:14" ht="11.25" customHeight="1" x14ac:dyDescent="0.3">
      <c r="G1393" s="459"/>
      <c r="H1393" s="459">
        <v>1386</v>
      </c>
      <c r="I1393" s="444">
        <f t="shared" ca="1" si="128"/>
        <v>5282175.1038106102</v>
      </c>
      <c r="J1393" s="444">
        <f t="array" ref="J1393">IFERROR(INDEX('Retirement Calculator'!J:J,MATCH('Isaac 401k'!N1393,'Retirement Calculator'!A:A,0),0),0)</f>
        <v>0</v>
      </c>
      <c r="K1393" s="444">
        <f t="shared" ca="1" si="126"/>
        <v>22009.06293254421</v>
      </c>
      <c r="L1393" s="444">
        <f t="shared" ca="1" si="127"/>
        <v>5304184.1667431546</v>
      </c>
      <c r="M1393" s="460">
        <f t="shared" si="129"/>
        <v>0.05</v>
      </c>
      <c r="N1393" s="464">
        <f t="shared" si="130"/>
        <v>93443</v>
      </c>
    </row>
    <row r="1394" spans="7:14" ht="11.25" customHeight="1" x14ac:dyDescent="0.3">
      <c r="G1394" s="459"/>
      <c r="H1394" s="459">
        <v>1387</v>
      </c>
      <c r="I1394" s="444">
        <f t="shared" ca="1" si="128"/>
        <v>5304184.1667431546</v>
      </c>
      <c r="J1394" s="444">
        <f t="array" ref="J1394">IFERROR(INDEX('Retirement Calculator'!J:J,MATCH('Isaac 401k'!N1394,'Retirement Calculator'!A:A,0),0),0)</f>
        <v>0</v>
      </c>
      <c r="K1394" s="444">
        <f t="shared" ca="1" si="126"/>
        <v>22100.767361429811</v>
      </c>
      <c r="L1394" s="444">
        <f t="shared" ca="1" si="127"/>
        <v>5326284.9341045842</v>
      </c>
      <c r="M1394" s="460">
        <f t="shared" si="129"/>
        <v>0.05</v>
      </c>
      <c r="N1394" s="464">
        <f t="shared" si="130"/>
        <v>93473</v>
      </c>
    </row>
    <row r="1395" spans="7:14" ht="11.25" customHeight="1" x14ac:dyDescent="0.3">
      <c r="G1395" s="459"/>
      <c r="H1395" s="459">
        <v>1388</v>
      </c>
      <c r="I1395" s="444">
        <f t="shared" ca="1" si="128"/>
        <v>5326284.9341045842</v>
      </c>
      <c r="J1395" s="444">
        <f t="array" ref="J1395">IFERROR(INDEX('Retirement Calculator'!J:J,MATCH('Isaac 401k'!N1395,'Retirement Calculator'!A:A,0),0),0)</f>
        <v>0</v>
      </c>
      <c r="K1395" s="444">
        <f t="shared" ca="1" si="126"/>
        <v>22192.853892102434</v>
      </c>
      <c r="L1395" s="444">
        <f t="shared" ca="1" si="127"/>
        <v>5348477.787996687</v>
      </c>
      <c r="M1395" s="460">
        <f t="shared" si="129"/>
        <v>0.05</v>
      </c>
      <c r="N1395" s="464">
        <f t="shared" si="130"/>
        <v>93504</v>
      </c>
    </row>
    <row r="1396" spans="7:14" ht="11.25" customHeight="1" x14ac:dyDescent="0.3">
      <c r="G1396" s="459"/>
      <c r="H1396" s="459">
        <v>1389</v>
      </c>
      <c r="I1396" s="444">
        <f t="shared" ca="1" si="128"/>
        <v>5348477.787996687</v>
      </c>
      <c r="J1396" s="444">
        <f t="array" ref="J1396">IFERROR(INDEX('Retirement Calculator'!J:J,MATCH('Isaac 401k'!N1396,'Retirement Calculator'!A:A,0),0),0)</f>
        <v>0</v>
      </c>
      <c r="K1396" s="444">
        <f t="shared" ca="1" si="126"/>
        <v>22285.324116652861</v>
      </c>
      <c r="L1396" s="444">
        <f t="shared" ca="1" si="127"/>
        <v>5370763.1121133398</v>
      </c>
      <c r="M1396" s="460">
        <f t="shared" si="129"/>
        <v>0.05</v>
      </c>
      <c r="N1396" s="464">
        <f t="shared" si="130"/>
        <v>93535</v>
      </c>
    </row>
    <row r="1397" spans="7:14" ht="11.25" customHeight="1" x14ac:dyDescent="0.3">
      <c r="G1397" s="459"/>
      <c r="H1397" s="459">
        <v>1390</v>
      </c>
      <c r="I1397" s="444">
        <f t="shared" ca="1" si="128"/>
        <v>5370763.1121133398</v>
      </c>
      <c r="J1397" s="444">
        <f t="array" ref="J1397">IFERROR(INDEX('Retirement Calculator'!J:J,MATCH('Isaac 401k'!N1397,'Retirement Calculator'!A:A,0),0),0)</f>
        <v>0</v>
      </c>
      <c r="K1397" s="444">
        <f t="shared" ca="1" si="126"/>
        <v>22378.179633805583</v>
      </c>
      <c r="L1397" s="444">
        <f t="shared" ca="1" si="127"/>
        <v>5393141.2917471454</v>
      </c>
      <c r="M1397" s="460">
        <f t="shared" si="129"/>
        <v>0.05</v>
      </c>
      <c r="N1397" s="464">
        <f t="shared" si="130"/>
        <v>93564</v>
      </c>
    </row>
    <row r="1398" spans="7:14" ht="11.25" customHeight="1" x14ac:dyDescent="0.3">
      <c r="G1398" s="459"/>
      <c r="H1398" s="459">
        <v>1391</v>
      </c>
      <c r="I1398" s="444">
        <f t="shared" ca="1" si="128"/>
        <v>5393141.2917471454</v>
      </c>
      <c r="J1398" s="444">
        <f t="array" ref="J1398">IFERROR(INDEX('Retirement Calculator'!J:J,MATCH('Isaac 401k'!N1398,'Retirement Calculator'!A:A,0),0),0)</f>
        <v>0</v>
      </c>
      <c r="K1398" s="444">
        <f t="shared" ca="1" si="126"/>
        <v>22471.422048946439</v>
      </c>
      <c r="L1398" s="444">
        <f t="shared" ca="1" si="127"/>
        <v>5415612.7137960922</v>
      </c>
      <c r="M1398" s="460">
        <f t="shared" si="129"/>
        <v>0.05</v>
      </c>
      <c r="N1398" s="464">
        <f t="shared" si="130"/>
        <v>93595</v>
      </c>
    </row>
    <row r="1399" spans="7:14" ht="11.25" customHeight="1" x14ac:dyDescent="0.3">
      <c r="G1399" s="459"/>
      <c r="H1399" s="459">
        <v>1392</v>
      </c>
      <c r="I1399" s="444">
        <f t="shared" ca="1" si="128"/>
        <v>5415612.7137960922</v>
      </c>
      <c r="J1399" s="444">
        <f t="array" ref="J1399">IFERROR(INDEX('Retirement Calculator'!J:J,MATCH('Isaac 401k'!N1399,'Retirement Calculator'!A:A,0),0),0)</f>
        <v>0</v>
      </c>
      <c r="K1399" s="444">
        <f t="shared" ca="1" si="126"/>
        <v>22565.052974150385</v>
      </c>
      <c r="L1399" s="444">
        <f t="shared" ca="1" si="127"/>
        <v>5438177.7667702427</v>
      </c>
      <c r="M1399" s="460">
        <f t="shared" si="129"/>
        <v>0.05</v>
      </c>
      <c r="N1399" s="464">
        <f t="shared" si="130"/>
        <v>93625</v>
      </c>
    </row>
    <row r="1400" spans="7:14" ht="11.25" customHeight="1" x14ac:dyDescent="0.3">
      <c r="G1400" s="459"/>
      <c r="H1400" s="459">
        <v>1393</v>
      </c>
      <c r="I1400" s="444">
        <f t="shared" ca="1" si="128"/>
        <v>5438177.7667702427</v>
      </c>
      <c r="J1400" s="444">
        <f t="array" ref="J1400">IFERROR(INDEX('Retirement Calculator'!J:J,MATCH('Isaac 401k'!N1400,'Retirement Calculator'!A:A,0),0),0)</f>
        <v>0</v>
      </c>
      <c r="K1400" s="444">
        <f t="shared" ca="1" si="126"/>
        <v>22659.074028209343</v>
      </c>
      <c r="L1400" s="444">
        <f t="shared" ca="1" si="127"/>
        <v>5460836.8407984525</v>
      </c>
      <c r="M1400" s="460">
        <f t="shared" si="129"/>
        <v>0.05</v>
      </c>
      <c r="N1400" s="464">
        <f t="shared" si="130"/>
        <v>93656</v>
      </c>
    </row>
    <row r="1401" spans="7:14" ht="11.25" customHeight="1" x14ac:dyDescent="0.3">
      <c r="G1401" s="459"/>
      <c r="H1401" s="459">
        <v>1394</v>
      </c>
      <c r="I1401" s="444">
        <f t="shared" ca="1" si="128"/>
        <v>5460836.8407984525</v>
      </c>
      <c r="J1401" s="444">
        <f t="array" ref="J1401">IFERROR(INDEX('Retirement Calculator'!J:J,MATCH('Isaac 401k'!N1401,'Retirement Calculator'!A:A,0),0),0)</f>
        <v>0</v>
      </c>
      <c r="K1401" s="444">
        <f t="shared" ca="1" si="126"/>
        <v>22753.486836660217</v>
      </c>
      <c r="L1401" s="444">
        <f t="shared" ca="1" si="127"/>
        <v>5483590.3276351131</v>
      </c>
      <c r="M1401" s="460">
        <f t="shared" si="129"/>
        <v>0.05</v>
      </c>
      <c r="N1401" s="464">
        <f t="shared" si="130"/>
        <v>93686</v>
      </c>
    </row>
    <row r="1402" spans="7:14" ht="11.25" customHeight="1" x14ac:dyDescent="0.3">
      <c r="G1402" s="459"/>
      <c r="H1402" s="459">
        <v>1395</v>
      </c>
      <c r="I1402" s="444">
        <f t="shared" ca="1" si="128"/>
        <v>5483590.3276351131</v>
      </c>
      <c r="J1402" s="444">
        <f t="array" ref="J1402">IFERROR(INDEX('Retirement Calculator'!J:J,MATCH('Isaac 401k'!N1402,'Retirement Calculator'!A:A,0),0),0)</f>
        <v>0</v>
      </c>
      <c r="K1402" s="444">
        <f t="shared" ca="1" si="126"/>
        <v>22848.293031812973</v>
      </c>
      <c r="L1402" s="444">
        <f t="shared" ca="1" si="127"/>
        <v>5506438.6206669258</v>
      </c>
      <c r="M1402" s="460">
        <f t="shared" si="129"/>
        <v>0.05</v>
      </c>
      <c r="N1402" s="464">
        <f t="shared" si="130"/>
        <v>93717</v>
      </c>
    </row>
    <row r="1403" spans="7:14" ht="11.25" customHeight="1" x14ac:dyDescent="0.3">
      <c r="G1403" s="459"/>
      <c r="H1403" s="459">
        <v>1396</v>
      </c>
      <c r="I1403" s="444">
        <f t="shared" ca="1" si="128"/>
        <v>5506438.6206669258</v>
      </c>
      <c r="J1403" s="444">
        <f t="array" ref="J1403">IFERROR(INDEX('Retirement Calculator'!J:J,MATCH('Isaac 401k'!N1403,'Retirement Calculator'!A:A,0),0),0)</f>
        <v>0</v>
      </c>
      <c r="K1403" s="444">
        <f t="shared" ca="1" si="126"/>
        <v>22943.494252778859</v>
      </c>
      <c r="L1403" s="444">
        <f t="shared" ca="1" si="127"/>
        <v>5529382.1149197044</v>
      </c>
      <c r="M1403" s="460">
        <f t="shared" si="129"/>
        <v>0.05</v>
      </c>
      <c r="N1403" s="464">
        <f t="shared" si="130"/>
        <v>93748</v>
      </c>
    </row>
    <row r="1404" spans="7:14" ht="11.25" customHeight="1" x14ac:dyDescent="0.3">
      <c r="G1404" s="459"/>
      <c r="H1404" s="459">
        <v>1397</v>
      </c>
      <c r="I1404" s="444">
        <f t="shared" ca="1" si="128"/>
        <v>5529382.1149197044</v>
      </c>
      <c r="J1404" s="444">
        <f t="array" ref="J1404">IFERROR(INDEX('Retirement Calculator'!J:J,MATCH('Isaac 401k'!N1404,'Retirement Calculator'!A:A,0),0),0)</f>
        <v>0</v>
      </c>
      <c r="K1404" s="444">
        <f t="shared" ca="1" si="126"/>
        <v>23039.092145498769</v>
      </c>
      <c r="L1404" s="444">
        <f t="shared" ca="1" si="127"/>
        <v>5552421.2070652032</v>
      </c>
      <c r="M1404" s="460">
        <f t="shared" si="129"/>
        <v>0.05</v>
      </c>
      <c r="N1404" s="464">
        <f t="shared" si="130"/>
        <v>93778</v>
      </c>
    </row>
    <row r="1405" spans="7:14" ht="11.25" customHeight="1" x14ac:dyDescent="0.3">
      <c r="G1405" s="459"/>
      <c r="H1405" s="459">
        <v>1398</v>
      </c>
      <c r="I1405" s="444">
        <f t="shared" ca="1" si="128"/>
        <v>5552421.2070652032</v>
      </c>
      <c r="J1405" s="444">
        <f t="array" ref="J1405">IFERROR(INDEX('Retirement Calculator'!J:J,MATCH('Isaac 401k'!N1405,'Retirement Calculator'!A:A,0),0),0)</f>
        <v>0</v>
      </c>
      <c r="K1405" s="444">
        <f t="shared" ca="1" si="126"/>
        <v>23135.088362771679</v>
      </c>
      <c r="L1405" s="444">
        <f t="shared" ca="1" si="127"/>
        <v>5575556.2954279752</v>
      </c>
      <c r="M1405" s="460">
        <f t="shared" si="129"/>
        <v>0.05</v>
      </c>
      <c r="N1405" s="464">
        <f t="shared" si="130"/>
        <v>93809</v>
      </c>
    </row>
    <row r="1406" spans="7:14" ht="11.25" customHeight="1" x14ac:dyDescent="0.3">
      <c r="G1406" s="459"/>
      <c r="H1406" s="459">
        <v>1399</v>
      </c>
      <c r="I1406" s="444">
        <f t="shared" ca="1" si="128"/>
        <v>5575556.2954279752</v>
      </c>
      <c r="J1406" s="444">
        <f t="array" ref="J1406">IFERROR(INDEX('Retirement Calculator'!J:J,MATCH('Isaac 401k'!N1406,'Retirement Calculator'!A:A,0),0),0)</f>
        <v>0</v>
      </c>
      <c r="K1406" s="444">
        <f t="shared" ca="1" si="126"/>
        <v>23231.48456428323</v>
      </c>
      <c r="L1406" s="444">
        <f t="shared" ca="1" si="127"/>
        <v>5598787.7799922582</v>
      </c>
      <c r="M1406" s="460">
        <f t="shared" si="129"/>
        <v>0.05</v>
      </c>
      <c r="N1406" s="464">
        <f t="shared" si="130"/>
        <v>93839</v>
      </c>
    </row>
    <row r="1407" spans="7:14" ht="11.25" customHeight="1" x14ac:dyDescent="0.3">
      <c r="G1407" s="459"/>
      <c r="H1407" s="459">
        <v>1400</v>
      </c>
      <c r="I1407" s="444">
        <f t="shared" ca="1" si="128"/>
        <v>5598787.7799922582</v>
      </c>
      <c r="J1407" s="444">
        <f t="array" ref="J1407">IFERROR(INDEX('Retirement Calculator'!J:J,MATCH('Isaac 401k'!N1407,'Retirement Calculator'!A:A,0),0),0)</f>
        <v>0</v>
      </c>
      <c r="K1407" s="444">
        <f t="shared" ca="1" si="126"/>
        <v>23328.282416634407</v>
      </c>
      <c r="L1407" s="444">
        <f t="shared" ca="1" si="127"/>
        <v>5622116.0624088924</v>
      </c>
      <c r="M1407" s="460">
        <f t="shared" si="129"/>
        <v>0.05</v>
      </c>
      <c r="N1407" s="464">
        <f t="shared" si="130"/>
        <v>93870</v>
      </c>
    </row>
    <row r="1408" spans="7:14" ht="11.25" customHeight="1" x14ac:dyDescent="0.3">
      <c r="G1408" s="459"/>
      <c r="H1408" s="459">
        <v>1401</v>
      </c>
      <c r="I1408" s="444">
        <f t="shared" ca="1" si="128"/>
        <v>5622116.0624088924</v>
      </c>
      <c r="J1408" s="444">
        <f t="array" ref="J1408">IFERROR(INDEX('Retirement Calculator'!J:J,MATCH('Isaac 401k'!N1408,'Retirement Calculator'!A:A,0),0),0)</f>
        <v>0</v>
      </c>
      <c r="K1408" s="444">
        <f t="shared" ca="1" si="126"/>
        <v>23425.483593370383</v>
      </c>
      <c r="L1408" s="444">
        <f t="shared" ca="1" si="127"/>
        <v>5645541.5460022632</v>
      </c>
      <c r="M1408" s="460">
        <f t="shared" si="129"/>
        <v>0.05</v>
      </c>
      <c r="N1408" s="464">
        <f t="shared" si="130"/>
        <v>93901</v>
      </c>
    </row>
    <row r="1409" spans="7:14" ht="11.25" customHeight="1" x14ac:dyDescent="0.3">
      <c r="G1409" s="459"/>
      <c r="H1409" s="459">
        <v>1402</v>
      </c>
      <c r="I1409" s="444">
        <f t="shared" ca="1" si="128"/>
        <v>5645541.5460022632</v>
      </c>
      <c r="J1409" s="444">
        <f t="array" ref="J1409">IFERROR(INDEX('Retirement Calculator'!J:J,MATCH('Isaac 401k'!N1409,'Retirement Calculator'!A:A,0),0),0)</f>
        <v>0</v>
      </c>
      <c r="K1409" s="444">
        <f t="shared" ca="1" si="126"/>
        <v>23523.08977500943</v>
      </c>
      <c r="L1409" s="444">
        <f t="shared" ca="1" si="127"/>
        <v>5669064.6357772723</v>
      </c>
      <c r="M1409" s="460">
        <f t="shared" si="129"/>
        <v>0.05</v>
      </c>
      <c r="N1409" s="464">
        <f t="shared" si="130"/>
        <v>93929</v>
      </c>
    </row>
    <row r="1410" spans="7:14" ht="11.25" customHeight="1" x14ac:dyDescent="0.3">
      <c r="G1410" s="459"/>
      <c r="H1410" s="459">
        <v>1403</v>
      </c>
      <c r="I1410" s="444">
        <f t="shared" ca="1" si="128"/>
        <v>5669064.6357772723</v>
      </c>
      <c r="J1410" s="444">
        <f t="array" ref="J1410">IFERROR(INDEX('Retirement Calculator'!J:J,MATCH('Isaac 401k'!N1410,'Retirement Calculator'!A:A,0),0),0)</f>
        <v>0</v>
      </c>
      <c r="K1410" s="444">
        <f t="shared" ca="1" si="126"/>
        <v>23621.102649071967</v>
      </c>
      <c r="L1410" s="444">
        <f t="shared" ca="1" si="127"/>
        <v>5692685.7384263445</v>
      </c>
      <c r="M1410" s="460">
        <f t="shared" si="129"/>
        <v>0.05</v>
      </c>
      <c r="N1410" s="464">
        <f t="shared" si="130"/>
        <v>93960</v>
      </c>
    </row>
    <row r="1411" spans="7:14" ht="11.25" customHeight="1" x14ac:dyDescent="0.3">
      <c r="G1411" s="459"/>
      <c r="H1411" s="459">
        <v>1404</v>
      </c>
      <c r="I1411" s="444">
        <f t="shared" ca="1" si="128"/>
        <v>5692685.7384263445</v>
      </c>
      <c r="J1411" s="444">
        <f t="array" ref="J1411">IFERROR(INDEX('Retirement Calculator'!J:J,MATCH('Isaac 401k'!N1411,'Retirement Calculator'!A:A,0),0),0)</f>
        <v>0</v>
      </c>
      <c r="K1411" s="444">
        <f t="shared" ca="1" si="126"/>
        <v>23719.523910109769</v>
      </c>
      <c r="L1411" s="444">
        <f t="shared" ca="1" si="127"/>
        <v>5716405.2623364544</v>
      </c>
      <c r="M1411" s="460">
        <f t="shared" si="129"/>
        <v>0.05</v>
      </c>
      <c r="N1411" s="464">
        <f t="shared" si="130"/>
        <v>93990</v>
      </c>
    </row>
    <row r="1412" spans="7:14" ht="11.25" customHeight="1" x14ac:dyDescent="0.3">
      <c r="G1412" s="459"/>
      <c r="H1412" s="459">
        <v>1405</v>
      </c>
      <c r="I1412" s="444">
        <f t="shared" ca="1" si="128"/>
        <v>5716405.2623364544</v>
      </c>
      <c r="J1412" s="444">
        <f t="array" ref="J1412">IFERROR(INDEX('Retirement Calculator'!J:J,MATCH('Isaac 401k'!N1412,'Retirement Calculator'!A:A,0),0),0)</f>
        <v>0</v>
      </c>
      <c r="K1412" s="444">
        <f t="shared" ca="1" si="126"/>
        <v>23818.355259735225</v>
      </c>
      <c r="L1412" s="444">
        <f t="shared" ca="1" si="127"/>
        <v>5740223.6175961895</v>
      </c>
      <c r="M1412" s="460">
        <f t="shared" si="129"/>
        <v>0.05</v>
      </c>
      <c r="N1412" s="464">
        <f t="shared" si="130"/>
        <v>94021</v>
      </c>
    </row>
    <row r="1413" spans="7:14" ht="11.25" customHeight="1" x14ac:dyDescent="0.3">
      <c r="G1413" s="459"/>
      <c r="H1413" s="459">
        <v>1406</v>
      </c>
      <c r="I1413" s="444">
        <f t="shared" ca="1" si="128"/>
        <v>5740223.6175961895</v>
      </c>
      <c r="J1413" s="444">
        <f t="array" ref="J1413">IFERROR(INDEX('Retirement Calculator'!J:J,MATCH('Isaac 401k'!N1413,'Retirement Calculator'!A:A,0),0),0)</f>
        <v>0</v>
      </c>
      <c r="K1413" s="444">
        <f t="shared" ca="1" si="126"/>
        <v>23917.598406650788</v>
      </c>
      <c r="L1413" s="444">
        <f t="shared" ca="1" si="127"/>
        <v>5764141.2160028405</v>
      </c>
      <c r="M1413" s="460">
        <f t="shared" si="129"/>
        <v>0.05</v>
      </c>
      <c r="N1413" s="464">
        <f t="shared" si="130"/>
        <v>94051</v>
      </c>
    </row>
    <row r="1414" spans="7:14" ht="11.25" customHeight="1" x14ac:dyDescent="0.3">
      <c r="G1414" s="459"/>
      <c r="H1414" s="459">
        <v>1407</v>
      </c>
      <c r="I1414" s="444">
        <f t="shared" ca="1" si="128"/>
        <v>5764141.2160028405</v>
      </c>
      <c r="J1414" s="444">
        <f t="array" ref="J1414">IFERROR(INDEX('Retirement Calculator'!J:J,MATCH('Isaac 401k'!N1414,'Retirement Calculator'!A:A,0),0),0)</f>
        <v>0</v>
      </c>
      <c r="K1414" s="444">
        <f t="shared" ca="1" si="126"/>
        <v>24017.255066678503</v>
      </c>
      <c r="L1414" s="444">
        <f t="shared" ca="1" si="127"/>
        <v>5788158.4710695194</v>
      </c>
      <c r="M1414" s="460">
        <f t="shared" si="129"/>
        <v>0.05</v>
      </c>
      <c r="N1414" s="464">
        <f t="shared" si="130"/>
        <v>94082</v>
      </c>
    </row>
    <row r="1415" spans="7:14" ht="11.25" customHeight="1" x14ac:dyDescent="0.3">
      <c r="G1415" s="459"/>
      <c r="H1415" s="459">
        <v>1408</v>
      </c>
      <c r="I1415" s="444">
        <f t="shared" ca="1" si="128"/>
        <v>5788158.4710695194</v>
      </c>
      <c r="J1415" s="444">
        <f t="array" ref="J1415">IFERROR(INDEX('Retirement Calculator'!J:J,MATCH('Isaac 401k'!N1415,'Retirement Calculator'!A:A,0),0),0)</f>
        <v>0</v>
      </c>
      <c r="K1415" s="444">
        <f t="shared" ca="1" si="126"/>
        <v>24117.326962789663</v>
      </c>
      <c r="L1415" s="444">
        <f t="shared" ca="1" si="127"/>
        <v>5812275.7980323089</v>
      </c>
      <c r="M1415" s="460">
        <f t="shared" si="129"/>
        <v>0.05</v>
      </c>
      <c r="N1415" s="464">
        <f t="shared" si="130"/>
        <v>94113</v>
      </c>
    </row>
    <row r="1416" spans="7:14" ht="11.25" customHeight="1" x14ac:dyDescent="0.3">
      <c r="G1416" s="459"/>
      <c r="H1416" s="459">
        <v>1409</v>
      </c>
      <c r="I1416" s="444">
        <f t="shared" ca="1" si="128"/>
        <v>5812275.7980323089</v>
      </c>
      <c r="J1416" s="444">
        <f t="array" ref="J1416">IFERROR(INDEX('Retirement Calculator'!J:J,MATCH('Isaac 401k'!N1416,'Retirement Calculator'!A:A,0),0),0)</f>
        <v>0</v>
      </c>
      <c r="K1416" s="444">
        <f t="shared" ca="1" si="126"/>
        <v>24217.815825134621</v>
      </c>
      <c r="L1416" s="444">
        <f t="shared" ca="1" si="127"/>
        <v>5836493.6138574434</v>
      </c>
      <c r="M1416" s="460">
        <f t="shared" si="129"/>
        <v>0.05</v>
      </c>
      <c r="N1416" s="464">
        <f t="shared" si="130"/>
        <v>94143</v>
      </c>
    </row>
    <row r="1417" spans="7:14" ht="11.25" customHeight="1" x14ac:dyDescent="0.3">
      <c r="G1417" s="459"/>
      <c r="H1417" s="459">
        <v>1410</v>
      </c>
      <c r="I1417" s="444">
        <f t="shared" ca="1" si="128"/>
        <v>5836493.6138574434</v>
      </c>
      <c r="J1417" s="444">
        <f t="array" ref="J1417">IFERROR(INDEX('Retirement Calculator'!J:J,MATCH('Isaac 401k'!N1417,'Retirement Calculator'!A:A,0),0),0)</f>
        <v>0</v>
      </c>
      <c r="K1417" s="444">
        <f t="shared" ca="1" si="126"/>
        <v>24318.723391072679</v>
      </c>
      <c r="L1417" s="444">
        <f t="shared" ca="1" si="127"/>
        <v>5860812.3372485163</v>
      </c>
      <c r="M1417" s="460">
        <f t="shared" si="129"/>
        <v>0.05</v>
      </c>
      <c r="N1417" s="464">
        <f t="shared" si="130"/>
        <v>94174</v>
      </c>
    </row>
    <row r="1418" spans="7:14" ht="11.25" customHeight="1" x14ac:dyDescent="0.3">
      <c r="G1418" s="459"/>
      <c r="H1418" s="459">
        <v>1411</v>
      </c>
      <c r="I1418" s="444">
        <f t="shared" ca="1" si="128"/>
        <v>5860812.3372485163</v>
      </c>
      <c r="J1418" s="444">
        <f t="array" ref="J1418">IFERROR(INDEX('Retirement Calculator'!J:J,MATCH('Isaac 401k'!N1418,'Retirement Calculator'!A:A,0),0),0)</f>
        <v>0</v>
      </c>
      <c r="K1418" s="444">
        <f t="shared" ca="1" si="126"/>
        <v>24420.05140520215</v>
      </c>
      <c r="L1418" s="444">
        <f t="shared" ca="1" si="127"/>
        <v>5885232.3886537189</v>
      </c>
      <c r="M1418" s="460">
        <f t="shared" si="129"/>
        <v>0.05</v>
      </c>
      <c r="N1418" s="464">
        <f t="shared" si="130"/>
        <v>94204</v>
      </c>
    </row>
    <row r="1419" spans="7:14" ht="11.25" customHeight="1" x14ac:dyDescent="0.3">
      <c r="G1419" s="459"/>
      <c r="H1419" s="459">
        <v>1412</v>
      </c>
      <c r="I1419" s="444">
        <f t="shared" ca="1" si="128"/>
        <v>5885232.3886537189</v>
      </c>
      <c r="J1419" s="444">
        <f t="array" ref="J1419">IFERROR(INDEX('Retirement Calculator'!J:J,MATCH('Isaac 401k'!N1419,'Retirement Calculator'!A:A,0),0),0)</f>
        <v>0</v>
      </c>
      <c r="K1419" s="444">
        <f t="shared" ca="1" si="126"/>
        <v>24521.801619390495</v>
      </c>
      <c r="L1419" s="444">
        <f t="shared" ca="1" si="127"/>
        <v>5909754.1902731098</v>
      </c>
      <c r="M1419" s="460">
        <f t="shared" si="129"/>
        <v>0.05</v>
      </c>
      <c r="N1419" s="464">
        <f t="shared" si="130"/>
        <v>94235</v>
      </c>
    </row>
    <row r="1420" spans="7:14" ht="11.25" customHeight="1" x14ac:dyDescent="0.3">
      <c r="G1420" s="459"/>
      <c r="H1420" s="459">
        <v>1413</v>
      </c>
      <c r="I1420" s="444">
        <f t="shared" ca="1" si="128"/>
        <v>5909754.1902731098</v>
      </c>
      <c r="J1420" s="444">
        <f t="array" ref="J1420">IFERROR(INDEX('Retirement Calculator'!J:J,MATCH('Isaac 401k'!N1420,'Retirement Calculator'!A:A,0),0),0)</f>
        <v>0</v>
      </c>
      <c r="K1420" s="444">
        <f t="shared" ca="1" si="126"/>
        <v>24623.975792804624</v>
      </c>
      <c r="L1420" s="444">
        <f t="shared" ca="1" si="127"/>
        <v>5934378.1660659146</v>
      </c>
      <c r="M1420" s="460">
        <f t="shared" si="129"/>
        <v>0.05</v>
      </c>
      <c r="N1420" s="464">
        <f t="shared" si="130"/>
        <v>94266</v>
      </c>
    </row>
    <row r="1421" spans="7:14" ht="11.25" customHeight="1" x14ac:dyDescent="0.3">
      <c r="G1421" s="459"/>
      <c r="H1421" s="459">
        <v>1414</v>
      </c>
      <c r="I1421" s="444">
        <f t="shared" ca="1" si="128"/>
        <v>5934378.1660659146</v>
      </c>
      <c r="J1421" s="444">
        <f t="array" ref="J1421">IFERROR(INDEX('Retirement Calculator'!J:J,MATCH('Isaac 401k'!N1421,'Retirement Calculator'!A:A,0),0),0)</f>
        <v>0</v>
      </c>
      <c r="K1421" s="444">
        <f t="shared" ca="1" si="126"/>
        <v>24726.575691941311</v>
      </c>
      <c r="L1421" s="444">
        <f t="shared" ca="1" si="127"/>
        <v>5959104.7417578558</v>
      </c>
      <c r="M1421" s="460">
        <f t="shared" si="129"/>
        <v>0.05</v>
      </c>
      <c r="N1421" s="464">
        <f t="shared" si="130"/>
        <v>94294</v>
      </c>
    </row>
    <row r="1422" spans="7:14" ht="11.25" customHeight="1" x14ac:dyDescent="0.3">
      <c r="G1422" s="459"/>
      <c r="H1422" s="459">
        <v>1415</v>
      </c>
      <c r="I1422" s="444">
        <f t="shared" ca="1" si="128"/>
        <v>5959104.7417578558</v>
      </c>
      <c r="J1422" s="444">
        <f t="array" ref="J1422">IFERROR(INDEX('Retirement Calculator'!J:J,MATCH('Isaac 401k'!N1422,'Retirement Calculator'!A:A,0),0),0)</f>
        <v>0</v>
      </c>
      <c r="K1422" s="444">
        <f t="shared" ca="1" si="126"/>
        <v>24829.603090657733</v>
      </c>
      <c r="L1422" s="444">
        <f t="shared" ca="1" si="127"/>
        <v>5983934.3448485136</v>
      </c>
      <c r="M1422" s="460">
        <f t="shared" si="129"/>
        <v>0.05</v>
      </c>
      <c r="N1422" s="464">
        <f t="shared" si="130"/>
        <v>94325</v>
      </c>
    </row>
    <row r="1423" spans="7:14" ht="11.25" customHeight="1" x14ac:dyDescent="0.3">
      <c r="G1423" s="459"/>
      <c r="H1423" s="459">
        <v>1416</v>
      </c>
      <c r="I1423" s="444">
        <f t="shared" ca="1" si="128"/>
        <v>5983934.3448485136</v>
      </c>
      <c r="J1423" s="444">
        <f t="array" ref="J1423">IFERROR(INDEX('Retirement Calculator'!J:J,MATCH('Isaac 401k'!N1423,'Retirement Calculator'!A:A,0),0),0)</f>
        <v>0</v>
      </c>
      <c r="K1423" s="444">
        <f t="shared" ca="1" si="126"/>
        <v>24933.05977020214</v>
      </c>
      <c r="L1423" s="444">
        <f t="shared" ca="1" si="127"/>
        <v>6008867.4046187159</v>
      </c>
      <c r="M1423" s="460">
        <f t="shared" si="129"/>
        <v>0.05</v>
      </c>
      <c r="N1423" s="464">
        <f t="shared" si="130"/>
        <v>94355</v>
      </c>
    </row>
    <row r="1424" spans="7:14" ht="11.25" customHeight="1" x14ac:dyDescent="0.3">
      <c r="G1424" s="459"/>
      <c r="H1424" s="459">
        <v>1417</v>
      </c>
      <c r="I1424" s="444">
        <f t="shared" ca="1" si="128"/>
        <v>6008867.4046187159</v>
      </c>
      <c r="J1424" s="444">
        <f t="array" ref="J1424">IFERROR(INDEX('Retirement Calculator'!J:J,MATCH('Isaac 401k'!N1424,'Retirement Calculator'!A:A,0),0),0)</f>
        <v>0</v>
      </c>
      <c r="K1424" s="444">
        <f t="shared" ca="1" si="126"/>
        <v>25036.947519244648</v>
      </c>
      <c r="L1424" s="444">
        <f t="shared" ca="1" si="127"/>
        <v>6033904.3521379605</v>
      </c>
      <c r="M1424" s="460">
        <f t="shared" si="129"/>
        <v>0.05</v>
      </c>
      <c r="N1424" s="464">
        <f t="shared" si="130"/>
        <v>94386</v>
      </c>
    </row>
    <row r="1425" spans="7:14" ht="11.25" customHeight="1" x14ac:dyDescent="0.3">
      <c r="G1425" s="459"/>
      <c r="H1425" s="459">
        <v>1418</v>
      </c>
      <c r="I1425" s="444">
        <f t="shared" ca="1" si="128"/>
        <v>6033904.3521379605</v>
      </c>
      <c r="J1425" s="444">
        <f t="array" ref="J1425">IFERROR(INDEX('Retirement Calculator'!J:J,MATCH('Isaac 401k'!N1425,'Retirement Calculator'!A:A,0),0),0)</f>
        <v>0</v>
      </c>
      <c r="K1425" s="444">
        <f t="shared" ca="1" si="126"/>
        <v>25141.268133908168</v>
      </c>
      <c r="L1425" s="444">
        <f t="shared" ca="1" si="127"/>
        <v>6059045.620271869</v>
      </c>
      <c r="M1425" s="460">
        <f t="shared" si="129"/>
        <v>0.05</v>
      </c>
      <c r="N1425" s="464">
        <f t="shared" si="130"/>
        <v>94416</v>
      </c>
    </row>
    <row r="1426" spans="7:14" ht="11.25" customHeight="1" x14ac:dyDescent="0.3">
      <c r="G1426" s="459"/>
      <c r="H1426" s="459">
        <v>1419</v>
      </c>
      <c r="I1426" s="444">
        <f t="shared" ca="1" si="128"/>
        <v>6059045.620271869</v>
      </c>
      <c r="J1426" s="444">
        <f t="array" ref="J1426">IFERROR(INDEX('Retirement Calculator'!J:J,MATCH('Isaac 401k'!N1426,'Retirement Calculator'!A:A,0),0),0)</f>
        <v>0</v>
      </c>
      <c r="K1426" s="444">
        <f t="shared" ca="1" si="126"/>
        <v>25246.023417799453</v>
      </c>
      <c r="L1426" s="444">
        <f t="shared" ca="1" si="127"/>
        <v>6084291.6436896687</v>
      </c>
      <c r="M1426" s="460">
        <f t="shared" si="129"/>
        <v>0.05</v>
      </c>
      <c r="N1426" s="464">
        <f t="shared" si="130"/>
        <v>94447</v>
      </c>
    </row>
    <row r="1427" spans="7:14" ht="11.25" customHeight="1" x14ac:dyDescent="0.3">
      <c r="G1427" s="459"/>
      <c r="H1427" s="459">
        <v>1420</v>
      </c>
      <c r="I1427" s="444">
        <f t="shared" ca="1" si="128"/>
        <v>6084291.6436896687</v>
      </c>
      <c r="J1427" s="444">
        <f t="array" ref="J1427">IFERROR(INDEX('Retirement Calculator'!J:J,MATCH('Isaac 401k'!N1427,'Retirement Calculator'!A:A,0),0),0)</f>
        <v>0</v>
      </c>
      <c r="K1427" s="444">
        <f t="shared" ca="1" si="126"/>
        <v>25351.215182040287</v>
      </c>
      <c r="L1427" s="444">
        <f t="shared" ca="1" si="127"/>
        <v>6109642.8588717086</v>
      </c>
      <c r="M1427" s="460">
        <f t="shared" si="129"/>
        <v>0.05</v>
      </c>
      <c r="N1427" s="464">
        <f t="shared" si="130"/>
        <v>94478</v>
      </c>
    </row>
    <row r="1428" spans="7:14" ht="11.25" customHeight="1" x14ac:dyDescent="0.3">
      <c r="G1428" s="459"/>
      <c r="H1428" s="459">
        <v>1421</v>
      </c>
      <c r="I1428" s="444">
        <f t="shared" ca="1" si="128"/>
        <v>6109642.8588717086</v>
      </c>
      <c r="J1428" s="444">
        <f t="array" ref="J1428">IFERROR(INDEX('Retirement Calculator'!J:J,MATCH('Isaac 401k'!N1428,'Retirement Calculator'!A:A,0),0),0)</f>
        <v>0</v>
      </c>
      <c r="K1428" s="444">
        <f t="shared" ca="1" si="126"/>
        <v>25456.845245298784</v>
      </c>
      <c r="L1428" s="444">
        <f t="shared" ca="1" si="127"/>
        <v>6135099.7041170076</v>
      </c>
      <c r="M1428" s="460">
        <f t="shared" si="129"/>
        <v>0.05</v>
      </c>
      <c r="N1428" s="464">
        <f t="shared" si="130"/>
        <v>94508</v>
      </c>
    </row>
    <row r="1429" spans="7:14" ht="11.25" customHeight="1" x14ac:dyDescent="0.3">
      <c r="G1429" s="459"/>
      <c r="H1429" s="459">
        <v>1422</v>
      </c>
      <c r="I1429" s="444">
        <f t="shared" ca="1" si="128"/>
        <v>6135099.7041170076</v>
      </c>
      <c r="J1429" s="444">
        <f t="array" ref="J1429">IFERROR(INDEX('Retirement Calculator'!J:J,MATCH('Isaac 401k'!N1429,'Retirement Calculator'!A:A,0),0),0)</f>
        <v>0</v>
      </c>
      <c r="K1429" s="444">
        <f t="shared" ca="1" si="126"/>
        <v>25562.915433820865</v>
      </c>
      <c r="L1429" s="444">
        <f t="shared" ca="1" si="127"/>
        <v>6160662.6195508288</v>
      </c>
      <c r="M1429" s="460">
        <f t="shared" si="129"/>
        <v>0.05</v>
      </c>
      <c r="N1429" s="464">
        <f t="shared" si="130"/>
        <v>94539</v>
      </c>
    </row>
    <row r="1430" spans="7:14" ht="11.25" customHeight="1" x14ac:dyDescent="0.3">
      <c r="G1430" s="459"/>
      <c r="H1430" s="459">
        <v>1423</v>
      </c>
      <c r="I1430" s="444">
        <f t="shared" ca="1" si="128"/>
        <v>6160662.6195508288</v>
      </c>
      <c r="J1430" s="444">
        <f t="array" ref="J1430">IFERROR(INDEX('Retirement Calculator'!J:J,MATCH('Isaac 401k'!N1430,'Retirement Calculator'!A:A,0),0),0)</f>
        <v>0</v>
      </c>
      <c r="K1430" s="444">
        <f t="shared" ca="1" si="126"/>
        <v>25669.427581461787</v>
      </c>
      <c r="L1430" s="444">
        <f t="shared" ca="1" si="127"/>
        <v>6186332.0471322909</v>
      </c>
      <c r="M1430" s="460">
        <f t="shared" si="129"/>
        <v>0.05</v>
      </c>
      <c r="N1430" s="464">
        <f t="shared" si="130"/>
        <v>94569</v>
      </c>
    </row>
    <row r="1431" spans="7:14" ht="11.25" customHeight="1" x14ac:dyDescent="0.3">
      <c r="G1431" s="459"/>
      <c r="H1431" s="459">
        <v>1424</v>
      </c>
      <c r="I1431" s="444">
        <f t="shared" ca="1" si="128"/>
        <v>6186332.0471322909</v>
      </c>
      <c r="J1431" s="444">
        <f t="array" ref="J1431">IFERROR(INDEX('Retirement Calculator'!J:J,MATCH('Isaac 401k'!N1431,'Retirement Calculator'!A:A,0),0),0)</f>
        <v>0</v>
      </c>
      <c r="K1431" s="444">
        <f t="shared" ca="1" si="126"/>
        <v>25776.383529717878</v>
      </c>
      <c r="L1431" s="444">
        <f t="shared" ca="1" si="127"/>
        <v>6212108.4306620089</v>
      </c>
      <c r="M1431" s="460">
        <f t="shared" si="129"/>
        <v>0.05</v>
      </c>
      <c r="N1431" s="464">
        <f t="shared" si="130"/>
        <v>94600</v>
      </c>
    </row>
    <row r="1432" spans="7:14" ht="11.25" customHeight="1" x14ac:dyDescent="0.3">
      <c r="G1432" s="459"/>
      <c r="H1432" s="459">
        <v>1425</v>
      </c>
      <c r="I1432" s="444">
        <f t="shared" ca="1" si="128"/>
        <v>6212108.4306620089</v>
      </c>
      <c r="J1432" s="444">
        <f t="array" ref="J1432">IFERROR(INDEX('Retirement Calculator'!J:J,MATCH('Isaac 401k'!N1432,'Retirement Calculator'!A:A,0),0),0)</f>
        <v>0</v>
      </c>
      <c r="K1432" s="444">
        <f t="shared" ca="1" si="126"/>
        <v>25883.785127758369</v>
      </c>
      <c r="L1432" s="444">
        <f t="shared" ca="1" si="127"/>
        <v>6237992.215789767</v>
      </c>
      <c r="M1432" s="460">
        <f t="shared" si="129"/>
        <v>0.05</v>
      </c>
      <c r="N1432" s="464">
        <f t="shared" si="130"/>
        <v>94631</v>
      </c>
    </row>
    <row r="1433" spans="7:14" ht="11.25" customHeight="1" x14ac:dyDescent="0.3">
      <c r="G1433" s="459"/>
      <c r="H1433" s="459">
        <v>1426</v>
      </c>
      <c r="I1433" s="444">
        <f t="shared" ca="1" si="128"/>
        <v>6237992.215789767</v>
      </c>
      <c r="J1433" s="444">
        <f t="array" ref="J1433">IFERROR(INDEX('Retirement Calculator'!J:J,MATCH('Isaac 401k'!N1433,'Retirement Calculator'!A:A,0),0),0)</f>
        <v>0</v>
      </c>
      <c r="K1433" s="444">
        <f t="shared" ca="1" si="126"/>
        <v>25991.634232457363</v>
      </c>
      <c r="L1433" s="444">
        <f t="shared" ca="1" si="127"/>
        <v>6263983.8500222247</v>
      </c>
      <c r="M1433" s="460">
        <f t="shared" si="129"/>
        <v>0.05</v>
      </c>
      <c r="N1433" s="464">
        <f t="shared" si="130"/>
        <v>94659</v>
      </c>
    </row>
    <row r="1434" spans="7:14" ht="11.25" customHeight="1" x14ac:dyDescent="0.3">
      <c r="G1434" s="459"/>
      <c r="H1434" s="459">
        <v>1427</v>
      </c>
      <c r="I1434" s="444">
        <f t="shared" ca="1" si="128"/>
        <v>6263983.8500222247</v>
      </c>
      <c r="J1434" s="444">
        <f t="array" ref="J1434">IFERROR(INDEX('Retirement Calculator'!J:J,MATCH('Isaac 401k'!N1434,'Retirement Calculator'!A:A,0),0),0)</f>
        <v>0</v>
      </c>
      <c r="K1434" s="444">
        <f t="shared" ca="1" si="126"/>
        <v>26099.932708425935</v>
      </c>
      <c r="L1434" s="444">
        <f t="shared" ca="1" si="127"/>
        <v>6290083.7827306511</v>
      </c>
      <c r="M1434" s="460">
        <f t="shared" si="129"/>
        <v>0.05</v>
      </c>
      <c r="N1434" s="464">
        <f t="shared" si="130"/>
        <v>94690</v>
      </c>
    </row>
    <row r="1435" spans="7:14" ht="11.25" customHeight="1" x14ac:dyDescent="0.3">
      <c r="G1435" s="459"/>
      <c r="H1435" s="459">
        <v>1428</v>
      </c>
      <c r="I1435" s="444">
        <f t="shared" ca="1" si="128"/>
        <v>6290083.7827306511</v>
      </c>
      <c r="J1435" s="444">
        <f t="array" ref="J1435">IFERROR(INDEX('Retirement Calculator'!J:J,MATCH('Isaac 401k'!N1435,'Retirement Calculator'!A:A,0),0),0)</f>
        <v>0</v>
      </c>
      <c r="K1435" s="444">
        <f t="shared" ca="1" si="126"/>
        <v>26208.68242804438</v>
      </c>
      <c r="L1435" s="444">
        <f t="shared" ca="1" si="127"/>
        <v>6316292.4651586954</v>
      </c>
      <c r="M1435" s="460">
        <f t="shared" si="129"/>
        <v>0.05</v>
      </c>
      <c r="N1435" s="464">
        <f t="shared" si="130"/>
        <v>94720</v>
      </c>
    </row>
    <row r="1436" spans="7:14" ht="11.25" customHeight="1" x14ac:dyDescent="0.3">
      <c r="G1436" s="459"/>
      <c r="H1436" s="459">
        <v>1429</v>
      </c>
      <c r="I1436" s="444">
        <f t="shared" ca="1" si="128"/>
        <v>6316292.4651586954</v>
      </c>
      <c r="J1436" s="444">
        <f t="array" ref="J1436">IFERROR(INDEX('Retirement Calculator'!J:J,MATCH('Isaac 401k'!N1436,'Retirement Calculator'!A:A,0),0),0)</f>
        <v>0</v>
      </c>
      <c r="K1436" s="444">
        <f t="shared" ca="1" si="126"/>
        <v>26317.885271494564</v>
      </c>
      <c r="L1436" s="444">
        <f t="shared" ca="1" si="127"/>
        <v>6342610.3504301896</v>
      </c>
      <c r="M1436" s="460">
        <f t="shared" si="129"/>
        <v>0.05</v>
      </c>
      <c r="N1436" s="464">
        <f t="shared" si="130"/>
        <v>94751</v>
      </c>
    </row>
    <row r="1437" spans="7:14" ht="11.25" customHeight="1" x14ac:dyDescent="0.3">
      <c r="G1437" s="459"/>
      <c r="H1437" s="459">
        <v>1430</v>
      </c>
      <c r="I1437" s="444">
        <f t="shared" ca="1" si="128"/>
        <v>6342610.3504301896</v>
      </c>
      <c r="J1437" s="444">
        <f t="array" ref="J1437">IFERROR(INDEX('Retirement Calculator'!J:J,MATCH('Isaac 401k'!N1437,'Retirement Calculator'!A:A,0),0),0)</f>
        <v>0</v>
      </c>
      <c r="K1437" s="444">
        <f t="shared" ca="1" si="126"/>
        <v>26427.543126792458</v>
      </c>
      <c r="L1437" s="444">
        <f t="shared" ca="1" si="127"/>
        <v>6369037.8935569823</v>
      </c>
      <c r="M1437" s="460">
        <f t="shared" si="129"/>
        <v>0.05</v>
      </c>
      <c r="N1437" s="464">
        <f t="shared" si="130"/>
        <v>94781</v>
      </c>
    </row>
    <row r="1438" spans="7:14" ht="11.25" customHeight="1" x14ac:dyDescent="0.3">
      <c r="G1438" s="459"/>
      <c r="H1438" s="459">
        <v>1431</v>
      </c>
      <c r="I1438" s="444">
        <f t="shared" ca="1" si="128"/>
        <v>6369037.8935569823</v>
      </c>
      <c r="J1438" s="444">
        <f t="array" ref="J1438">IFERROR(INDEX('Retirement Calculator'!J:J,MATCH('Isaac 401k'!N1438,'Retirement Calculator'!A:A,0),0),0)</f>
        <v>0</v>
      </c>
      <c r="K1438" s="444">
        <f t="shared" ca="1" si="126"/>
        <v>26537.657889820759</v>
      </c>
      <c r="L1438" s="444">
        <f t="shared" ca="1" si="127"/>
        <v>6395575.5514468029</v>
      </c>
      <c r="M1438" s="460">
        <f t="shared" si="129"/>
        <v>0.05</v>
      </c>
      <c r="N1438" s="464">
        <f t="shared" si="130"/>
        <v>94812</v>
      </c>
    </row>
    <row r="1439" spans="7:14" ht="11.25" customHeight="1" x14ac:dyDescent="0.3">
      <c r="G1439" s="459"/>
      <c r="H1439" s="459">
        <v>1432</v>
      </c>
      <c r="I1439" s="444">
        <f t="shared" ca="1" si="128"/>
        <v>6395575.5514468029</v>
      </c>
      <c r="J1439" s="444">
        <f t="array" ref="J1439">IFERROR(INDEX('Retirement Calculator'!J:J,MATCH('Isaac 401k'!N1439,'Retirement Calculator'!A:A,0),0),0)</f>
        <v>0</v>
      </c>
      <c r="K1439" s="444">
        <f t="shared" ca="1" si="126"/>
        <v>26648.231464361677</v>
      </c>
      <c r="L1439" s="444">
        <f t="shared" ca="1" si="127"/>
        <v>6422223.7829111647</v>
      </c>
      <c r="M1439" s="460">
        <f t="shared" si="129"/>
        <v>0.05</v>
      </c>
      <c r="N1439" s="464">
        <f t="shared" si="130"/>
        <v>94843</v>
      </c>
    </row>
    <row r="1440" spans="7:14" ht="11.25" customHeight="1" x14ac:dyDescent="0.3">
      <c r="G1440" s="459"/>
      <c r="H1440" s="459">
        <v>1433</v>
      </c>
      <c r="I1440" s="444">
        <f t="shared" ca="1" si="128"/>
        <v>6422223.7829111647</v>
      </c>
      <c r="J1440" s="444">
        <f t="array" ref="J1440">IFERROR(INDEX('Retirement Calculator'!J:J,MATCH('Isaac 401k'!N1440,'Retirement Calculator'!A:A,0),0),0)</f>
        <v>0</v>
      </c>
      <c r="K1440" s="444">
        <f t="shared" ca="1" si="126"/>
        <v>26759.265762129853</v>
      </c>
      <c r="L1440" s="444">
        <f t="shared" ca="1" si="127"/>
        <v>6448983.0486732945</v>
      </c>
      <c r="M1440" s="460">
        <f t="shared" si="129"/>
        <v>0.05</v>
      </c>
      <c r="N1440" s="464">
        <f t="shared" si="130"/>
        <v>94873</v>
      </c>
    </row>
    <row r="1441" spans="7:14" ht="11.25" customHeight="1" x14ac:dyDescent="0.3">
      <c r="G1441" s="459"/>
      <c r="H1441" s="459">
        <v>1434</v>
      </c>
      <c r="I1441" s="444">
        <f t="shared" ca="1" si="128"/>
        <v>6448983.0486732945</v>
      </c>
      <c r="J1441" s="444">
        <f t="array" ref="J1441">IFERROR(INDEX('Retirement Calculator'!J:J,MATCH('Isaac 401k'!N1441,'Retirement Calculator'!A:A,0),0),0)</f>
        <v>0</v>
      </c>
      <c r="K1441" s="444">
        <f t="shared" ca="1" si="126"/>
        <v>26870.762702805394</v>
      </c>
      <c r="L1441" s="444">
        <f t="shared" ca="1" si="127"/>
        <v>6475853.8113760995</v>
      </c>
      <c r="M1441" s="460">
        <f t="shared" si="129"/>
        <v>0.05</v>
      </c>
      <c r="N1441" s="464">
        <f t="shared" si="130"/>
        <v>94904</v>
      </c>
    </row>
    <row r="1442" spans="7:14" ht="11.25" customHeight="1" x14ac:dyDescent="0.3">
      <c r="G1442" s="459"/>
      <c r="H1442" s="459">
        <v>1435</v>
      </c>
      <c r="I1442" s="444">
        <f t="shared" ca="1" si="128"/>
        <v>6475853.8113760995</v>
      </c>
      <c r="J1442" s="444">
        <f t="array" ref="J1442">IFERROR(INDEX('Retirement Calculator'!J:J,MATCH('Isaac 401k'!N1442,'Retirement Calculator'!A:A,0),0),0)</f>
        <v>0</v>
      </c>
      <c r="K1442" s="444">
        <f t="shared" ca="1" si="126"/>
        <v>26982.724214067082</v>
      </c>
      <c r="L1442" s="444">
        <f t="shared" ca="1" si="127"/>
        <v>6502836.5355901662</v>
      </c>
      <c r="M1442" s="460">
        <f t="shared" si="129"/>
        <v>0.05</v>
      </c>
      <c r="N1442" s="464">
        <f t="shared" si="130"/>
        <v>94934</v>
      </c>
    </row>
    <row r="1443" spans="7:14" ht="11.25" customHeight="1" x14ac:dyDescent="0.3">
      <c r="G1443" s="459"/>
      <c r="H1443" s="459">
        <v>1436</v>
      </c>
      <c r="I1443" s="444">
        <f t="shared" ca="1" si="128"/>
        <v>6502836.5355901662</v>
      </c>
      <c r="J1443" s="444">
        <f t="array" ref="J1443">IFERROR(INDEX('Retirement Calculator'!J:J,MATCH('Isaac 401k'!N1443,'Retirement Calculator'!A:A,0),0),0)</f>
        <v>0</v>
      </c>
      <c r="K1443" s="444">
        <f t="shared" ca="1" si="126"/>
        <v>27095.152231625692</v>
      </c>
      <c r="L1443" s="444">
        <f t="shared" ca="1" si="127"/>
        <v>6529931.6878217915</v>
      </c>
      <c r="M1443" s="460">
        <f t="shared" si="129"/>
        <v>0.05</v>
      </c>
      <c r="N1443" s="464">
        <f t="shared" si="130"/>
        <v>94965</v>
      </c>
    </row>
    <row r="1444" spans="7:14" ht="11.25" customHeight="1" x14ac:dyDescent="0.3">
      <c r="G1444" s="459"/>
      <c r="H1444" s="459">
        <v>1437</v>
      </c>
      <c r="I1444" s="444">
        <f t="shared" ca="1" si="128"/>
        <v>6529931.6878217915</v>
      </c>
      <c r="J1444" s="444">
        <f t="array" ref="J1444">IFERROR(INDEX('Retirement Calculator'!J:J,MATCH('Isaac 401k'!N1444,'Retirement Calculator'!A:A,0),0),0)</f>
        <v>0</v>
      </c>
      <c r="K1444" s="444">
        <f t="shared" ca="1" si="126"/>
        <v>27208.048699257462</v>
      </c>
      <c r="L1444" s="444">
        <f t="shared" ca="1" si="127"/>
        <v>6557139.7365210494</v>
      </c>
      <c r="M1444" s="460">
        <f t="shared" si="129"/>
        <v>0.05</v>
      </c>
      <c r="N1444" s="464">
        <f t="shared" si="130"/>
        <v>94996</v>
      </c>
    </row>
    <row r="1445" spans="7:14" ht="11.25" customHeight="1" x14ac:dyDescent="0.3">
      <c r="G1445" s="459"/>
      <c r="H1445" s="459">
        <v>1438</v>
      </c>
      <c r="I1445" s="444">
        <f t="shared" ca="1" si="128"/>
        <v>6557139.7365210494</v>
      </c>
      <c r="J1445" s="444">
        <f t="array" ref="J1445">IFERROR(INDEX('Retirement Calculator'!J:J,MATCH('Isaac 401k'!N1445,'Retirement Calculator'!A:A,0),0),0)</f>
        <v>0</v>
      </c>
      <c r="K1445" s="444">
        <f t="shared" ca="1" si="126"/>
        <v>27321.41556883771</v>
      </c>
      <c r="L1445" s="444">
        <f t="shared" ca="1" si="127"/>
        <v>6584461.1520898873</v>
      </c>
      <c r="M1445" s="460">
        <f t="shared" si="129"/>
        <v>0.05</v>
      </c>
      <c r="N1445" s="464">
        <f t="shared" si="130"/>
        <v>95025</v>
      </c>
    </row>
    <row r="1446" spans="7:14" ht="11.25" customHeight="1" x14ac:dyDescent="0.3">
      <c r="G1446" s="459"/>
      <c r="H1446" s="459">
        <v>1439</v>
      </c>
      <c r="I1446" s="444">
        <f t="shared" ca="1" si="128"/>
        <v>6584461.1520898873</v>
      </c>
      <c r="J1446" s="444">
        <f t="array" ref="J1446">IFERROR(INDEX('Retirement Calculator'!J:J,MATCH('Isaac 401k'!N1446,'Retirement Calculator'!A:A,0),0),0)</f>
        <v>0</v>
      </c>
      <c r="K1446" s="444">
        <f t="shared" ca="1" si="126"/>
        <v>27435.254800374529</v>
      </c>
      <c r="L1446" s="444">
        <f t="shared" ca="1" si="127"/>
        <v>6611896.4068902619</v>
      </c>
      <c r="M1446" s="460">
        <f t="shared" si="129"/>
        <v>0.05</v>
      </c>
      <c r="N1446" s="464">
        <f t="shared" si="130"/>
        <v>95056</v>
      </c>
    </row>
    <row r="1447" spans="7:14" ht="11.25" customHeight="1" x14ac:dyDescent="0.3">
      <c r="G1447" s="459"/>
      <c r="H1447" s="459">
        <v>1440</v>
      </c>
      <c r="I1447" s="444">
        <f t="shared" ca="1" si="128"/>
        <v>6611896.4068902619</v>
      </c>
      <c r="J1447" s="444">
        <f t="array" ref="J1447">IFERROR(INDEX('Retirement Calculator'!J:J,MATCH('Isaac 401k'!N1447,'Retirement Calculator'!A:A,0),0),0)</f>
        <v>0</v>
      </c>
      <c r="K1447" s="444">
        <f t="shared" ca="1" si="126"/>
        <v>27549.568362042755</v>
      </c>
      <c r="L1447" s="444">
        <f t="shared" ca="1" si="127"/>
        <v>6639445.9752523042</v>
      </c>
      <c r="M1447" s="460">
        <f t="shared" si="129"/>
        <v>0.05</v>
      </c>
      <c r="N1447" s="464">
        <f t="shared" si="130"/>
        <v>95086</v>
      </c>
    </row>
    <row r="1448" spans="7:14" ht="11.25" customHeight="1" x14ac:dyDescent="0.3">
      <c r="G1448" s="459"/>
      <c r="H1448" s="459">
        <v>1441</v>
      </c>
      <c r="I1448" s="444">
        <f t="shared" ca="1" si="128"/>
        <v>6639445.9752523042</v>
      </c>
      <c r="J1448" s="444">
        <f t="array" ref="J1448">IFERROR(INDEX('Retirement Calculator'!J:J,MATCH('Isaac 401k'!N1448,'Retirement Calculator'!A:A,0),0),0)</f>
        <v>0</v>
      </c>
      <c r="K1448" s="444">
        <f t="shared" ca="1" si="126"/>
        <v>27664.358230217935</v>
      </c>
      <c r="L1448" s="444">
        <f t="shared" ca="1" si="127"/>
        <v>6667110.3334825225</v>
      </c>
      <c r="M1448" s="460">
        <f t="shared" si="129"/>
        <v>0.05</v>
      </c>
      <c r="N1448" s="464">
        <f t="shared" si="130"/>
        <v>95117</v>
      </c>
    </row>
    <row r="1449" spans="7:14" ht="11.25" customHeight="1" x14ac:dyDescent="0.3">
      <c r="G1449" s="459"/>
      <c r="H1449" s="459">
        <v>1442</v>
      </c>
      <c r="I1449" s="444">
        <f t="shared" ca="1" si="128"/>
        <v>6667110.3334825225</v>
      </c>
      <c r="J1449" s="444">
        <f t="array" ref="J1449">IFERROR(INDEX('Retirement Calculator'!J:J,MATCH('Isaac 401k'!N1449,'Retirement Calculator'!A:A,0),0),0)</f>
        <v>0</v>
      </c>
      <c r="K1449" s="444">
        <f t="shared" ca="1" si="126"/>
        <v>27779.626389510508</v>
      </c>
      <c r="L1449" s="444">
        <f t="shared" ca="1" si="127"/>
        <v>6694889.9598720334</v>
      </c>
      <c r="M1449" s="460">
        <f t="shared" si="129"/>
        <v>0.05</v>
      </c>
      <c r="N1449" s="464">
        <f t="shared" si="130"/>
        <v>95147</v>
      </c>
    </row>
    <row r="1450" spans="7:14" ht="11.25" customHeight="1" x14ac:dyDescent="0.3">
      <c r="G1450" s="459"/>
      <c r="H1450" s="459">
        <v>1443</v>
      </c>
      <c r="I1450" s="444">
        <f t="shared" ca="1" si="128"/>
        <v>6694889.9598720334</v>
      </c>
      <c r="J1450" s="444">
        <f t="array" ref="J1450">IFERROR(INDEX('Retirement Calculator'!J:J,MATCH('Isaac 401k'!N1450,'Retirement Calculator'!A:A,0),0),0)</f>
        <v>0</v>
      </c>
      <c r="K1450" s="444">
        <f t="shared" ca="1" si="126"/>
        <v>27895.374832800135</v>
      </c>
      <c r="L1450" s="444">
        <f t="shared" ca="1" si="127"/>
        <v>6722785.334704834</v>
      </c>
      <c r="M1450" s="460">
        <f t="shared" si="129"/>
        <v>0.05</v>
      </c>
      <c r="N1450" s="464">
        <f t="shared" si="130"/>
        <v>95178</v>
      </c>
    </row>
    <row r="1451" spans="7:14" ht="11.25" customHeight="1" x14ac:dyDescent="0.3">
      <c r="G1451" s="459"/>
      <c r="H1451" s="459">
        <v>1444</v>
      </c>
      <c r="I1451" s="444">
        <f t="shared" ca="1" si="128"/>
        <v>6722785.334704834</v>
      </c>
      <c r="J1451" s="444">
        <f t="array" ref="J1451">IFERROR(INDEX('Retirement Calculator'!J:J,MATCH('Isaac 401k'!N1451,'Retirement Calculator'!A:A,0),0),0)</f>
        <v>0</v>
      </c>
      <c r="K1451" s="444">
        <f t="shared" ca="1" si="126"/>
        <v>28011.605561270142</v>
      </c>
      <c r="L1451" s="444">
        <f t="shared" ca="1" si="127"/>
        <v>6750796.9402661044</v>
      </c>
      <c r="M1451" s="460">
        <f t="shared" si="129"/>
        <v>0.05</v>
      </c>
      <c r="N1451" s="464">
        <f t="shared" si="130"/>
        <v>95209</v>
      </c>
    </row>
    <row r="1452" spans="7:14" ht="11.25" customHeight="1" x14ac:dyDescent="0.3">
      <c r="G1452" s="459"/>
      <c r="H1452" s="459">
        <v>1445</v>
      </c>
      <c r="I1452" s="444">
        <f t="shared" ca="1" si="128"/>
        <v>6750796.9402661044</v>
      </c>
      <c r="J1452" s="444">
        <f t="array" ref="J1452">IFERROR(INDEX('Retirement Calculator'!J:J,MATCH('Isaac 401k'!N1452,'Retirement Calculator'!A:A,0),0),0)</f>
        <v>0</v>
      </c>
      <c r="K1452" s="444">
        <f t="shared" ca="1" si="126"/>
        <v>28128.320584442106</v>
      </c>
      <c r="L1452" s="444">
        <f t="shared" ca="1" si="127"/>
        <v>6778925.2608505469</v>
      </c>
      <c r="M1452" s="460">
        <f t="shared" si="129"/>
        <v>0.05</v>
      </c>
      <c r="N1452" s="464">
        <f t="shared" si="130"/>
        <v>95239</v>
      </c>
    </row>
    <row r="1453" spans="7:14" ht="11.25" customHeight="1" x14ac:dyDescent="0.3">
      <c r="G1453" s="459"/>
      <c r="H1453" s="459">
        <v>1446</v>
      </c>
      <c r="I1453" s="444">
        <f t="shared" ca="1" si="128"/>
        <v>6778925.2608505469</v>
      </c>
      <c r="J1453" s="444">
        <f t="array" ref="J1453">IFERROR(INDEX('Retirement Calculator'!J:J,MATCH('Isaac 401k'!N1453,'Retirement Calculator'!A:A,0),0),0)</f>
        <v>0</v>
      </c>
      <c r="K1453" s="444">
        <f t="shared" ca="1" si="126"/>
        <v>28245.521920210613</v>
      </c>
      <c r="L1453" s="444">
        <f t="shared" ca="1" si="127"/>
        <v>6807170.7827707576</v>
      </c>
      <c r="M1453" s="460">
        <f t="shared" si="129"/>
        <v>0.05</v>
      </c>
      <c r="N1453" s="464">
        <f t="shared" si="130"/>
        <v>95270</v>
      </c>
    </row>
    <row r="1454" spans="7:14" ht="11.25" customHeight="1" x14ac:dyDescent="0.3">
      <c r="G1454" s="459"/>
      <c r="H1454" s="459">
        <v>1447</v>
      </c>
      <c r="I1454" s="444">
        <f t="shared" ca="1" si="128"/>
        <v>6807170.7827707576</v>
      </c>
      <c r="J1454" s="444">
        <f t="array" ref="J1454">IFERROR(INDEX('Retirement Calculator'!J:J,MATCH('Isaac 401k'!N1454,'Retirement Calculator'!A:A,0),0),0)</f>
        <v>0</v>
      </c>
      <c r="K1454" s="444">
        <f t="shared" ca="1" si="126"/>
        <v>28363.211594878157</v>
      </c>
      <c r="L1454" s="444">
        <f t="shared" ca="1" si="127"/>
        <v>6835533.9943656353</v>
      </c>
      <c r="M1454" s="460">
        <f t="shared" si="129"/>
        <v>0.05</v>
      </c>
      <c r="N1454" s="464">
        <f t="shared" si="130"/>
        <v>95300</v>
      </c>
    </row>
    <row r="1455" spans="7:14" ht="11.25" customHeight="1" x14ac:dyDescent="0.3">
      <c r="G1455" s="459"/>
      <c r="H1455" s="459">
        <v>1448</v>
      </c>
      <c r="I1455" s="444">
        <f t="shared" ca="1" si="128"/>
        <v>6835533.9943656353</v>
      </c>
      <c r="J1455" s="444">
        <f t="array" ref="J1455">IFERROR(INDEX('Retirement Calculator'!J:J,MATCH('Isaac 401k'!N1455,'Retirement Calculator'!A:A,0),0),0)</f>
        <v>0</v>
      </c>
      <c r="K1455" s="444">
        <f t="shared" ca="1" si="126"/>
        <v>28481.391643190149</v>
      </c>
      <c r="L1455" s="444">
        <f t="shared" ca="1" si="127"/>
        <v>6864015.3860088252</v>
      </c>
      <c r="M1455" s="460">
        <f t="shared" si="129"/>
        <v>0.05</v>
      </c>
      <c r="N1455" s="464">
        <f t="shared" si="130"/>
        <v>95331</v>
      </c>
    </row>
    <row r="1456" spans="7:14" ht="11.25" customHeight="1" x14ac:dyDescent="0.3">
      <c r="G1456" s="459"/>
      <c r="H1456" s="459">
        <v>1449</v>
      </c>
      <c r="I1456" s="444">
        <f t="shared" ca="1" si="128"/>
        <v>6864015.3860088252</v>
      </c>
      <c r="J1456" s="444">
        <f t="array" ref="J1456">IFERROR(INDEX('Retirement Calculator'!J:J,MATCH('Isaac 401k'!N1456,'Retirement Calculator'!A:A,0),0),0)</f>
        <v>0</v>
      </c>
      <c r="K1456" s="444">
        <f t="shared" ca="1" si="126"/>
        <v>28600.064108370105</v>
      </c>
      <c r="L1456" s="444">
        <f t="shared" ca="1" si="127"/>
        <v>6892615.450117195</v>
      </c>
      <c r="M1456" s="460">
        <f t="shared" si="129"/>
        <v>0.05</v>
      </c>
      <c r="N1456" s="464">
        <f t="shared" si="130"/>
        <v>95362</v>
      </c>
    </row>
    <row r="1457" spans="7:14" ht="11.25" customHeight="1" x14ac:dyDescent="0.3">
      <c r="G1457" s="459"/>
      <c r="H1457" s="459">
        <v>1450</v>
      </c>
      <c r="I1457" s="444">
        <f t="shared" ca="1" si="128"/>
        <v>6892615.450117195</v>
      </c>
      <c r="J1457" s="444">
        <f t="array" ref="J1457">IFERROR(INDEX('Retirement Calculator'!J:J,MATCH('Isaac 401k'!N1457,'Retirement Calculator'!A:A,0),0),0)</f>
        <v>0</v>
      </c>
      <c r="K1457" s="444">
        <f t="shared" ca="1" si="126"/>
        <v>28719.231042154977</v>
      </c>
      <c r="L1457" s="444">
        <f t="shared" ca="1" si="127"/>
        <v>6921334.6811593501</v>
      </c>
      <c r="M1457" s="460">
        <f t="shared" si="129"/>
        <v>0.05</v>
      </c>
      <c r="N1457" s="464">
        <f t="shared" si="130"/>
        <v>95390</v>
      </c>
    </row>
    <row r="1458" spans="7:14" ht="11.25" customHeight="1" x14ac:dyDescent="0.3">
      <c r="G1458" s="459"/>
      <c r="H1458" s="459">
        <v>1451</v>
      </c>
      <c r="I1458" s="444">
        <f t="shared" ca="1" si="128"/>
        <v>6921334.6811593501</v>
      </c>
      <c r="J1458" s="444">
        <f t="array" ref="J1458">IFERROR(INDEX('Retirement Calculator'!J:J,MATCH('Isaac 401k'!N1458,'Retirement Calculator'!A:A,0),0),0)</f>
        <v>0</v>
      </c>
      <c r="K1458" s="444">
        <f t="shared" ca="1" si="126"/>
        <v>28838.894504830623</v>
      </c>
      <c r="L1458" s="444">
        <f t="shared" ca="1" si="127"/>
        <v>6950173.5756641803</v>
      </c>
      <c r="M1458" s="460">
        <f t="shared" si="129"/>
        <v>0.05</v>
      </c>
      <c r="N1458" s="464">
        <f t="shared" si="130"/>
        <v>95421</v>
      </c>
    </row>
    <row r="1459" spans="7:14" ht="11.25" customHeight="1" x14ac:dyDescent="0.3">
      <c r="G1459" s="459"/>
      <c r="H1459" s="459">
        <v>1452</v>
      </c>
      <c r="I1459" s="444">
        <f t="shared" ca="1" si="128"/>
        <v>6950173.5756641803</v>
      </c>
      <c r="J1459" s="444">
        <f t="array" ref="J1459">IFERROR(INDEX('Retirement Calculator'!J:J,MATCH('Isaac 401k'!N1459,'Retirement Calculator'!A:A,0),0),0)</f>
        <v>0</v>
      </c>
      <c r="K1459" s="444">
        <f t="shared" ca="1" si="126"/>
        <v>28959.056565267416</v>
      </c>
      <c r="L1459" s="444">
        <f t="shared" ca="1" si="127"/>
        <v>6979132.6322294474</v>
      </c>
      <c r="M1459" s="460">
        <f t="shared" si="129"/>
        <v>0.05</v>
      </c>
      <c r="N1459" s="464">
        <f t="shared" si="130"/>
        <v>95451</v>
      </c>
    </row>
    <row r="1460" spans="7:14" ht="11.25" customHeight="1" x14ac:dyDescent="0.3">
      <c r="G1460" s="459"/>
      <c r="H1460" s="459">
        <v>1453</v>
      </c>
      <c r="I1460" s="444">
        <f t="shared" ca="1" si="128"/>
        <v>6979132.6322294474</v>
      </c>
      <c r="J1460" s="444">
        <f t="array" ref="J1460">IFERROR(INDEX('Retirement Calculator'!J:J,MATCH('Isaac 401k'!N1460,'Retirement Calculator'!A:A,0),0),0)</f>
        <v>0</v>
      </c>
      <c r="K1460" s="444">
        <f t="shared" ca="1" si="126"/>
        <v>29079.719300956032</v>
      </c>
      <c r="L1460" s="444">
        <f t="shared" ca="1" si="127"/>
        <v>7008212.3515304038</v>
      </c>
      <c r="M1460" s="460">
        <f t="shared" si="129"/>
        <v>0.05</v>
      </c>
      <c r="N1460" s="464">
        <f t="shared" si="130"/>
        <v>95482</v>
      </c>
    </row>
    <row r="1461" spans="7:14" ht="11.25" customHeight="1" x14ac:dyDescent="0.3">
      <c r="G1461" s="459"/>
      <c r="H1461" s="459">
        <v>1454</v>
      </c>
      <c r="I1461" s="444">
        <f t="shared" ca="1" si="128"/>
        <v>7008212.3515304038</v>
      </c>
      <c r="J1461" s="444">
        <f t="array" ref="J1461">IFERROR(INDEX('Retirement Calculator'!J:J,MATCH('Isaac 401k'!N1461,'Retirement Calculator'!A:A,0),0),0)</f>
        <v>0</v>
      </c>
      <c r="K1461" s="444">
        <f t="shared" ca="1" si="126"/>
        <v>29200.884798043353</v>
      </c>
      <c r="L1461" s="444">
        <f t="shared" ca="1" si="127"/>
        <v>7037413.2363284472</v>
      </c>
      <c r="M1461" s="460">
        <f t="shared" si="129"/>
        <v>0.05</v>
      </c>
      <c r="N1461" s="464">
        <f t="shared" si="130"/>
        <v>95512</v>
      </c>
    </row>
    <row r="1462" spans="7:14" ht="11.25" customHeight="1" x14ac:dyDescent="0.3">
      <c r="G1462" s="459"/>
      <c r="H1462" s="459">
        <v>1455</v>
      </c>
      <c r="I1462" s="444">
        <f t="shared" ca="1" si="128"/>
        <v>7037413.2363284472</v>
      </c>
      <c r="J1462" s="444">
        <f t="array" ref="J1462">IFERROR(INDEX('Retirement Calculator'!J:J,MATCH('Isaac 401k'!N1462,'Retirement Calculator'!A:A,0),0),0)</f>
        <v>0</v>
      </c>
      <c r="K1462" s="444">
        <f t="shared" ca="1" si="126"/>
        <v>29322.555151368531</v>
      </c>
      <c r="L1462" s="444">
        <f t="shared" ca="1" si="127"/>
        <v>7066735.7914798157</v>
      </c>
      <c r="M1462" s="460">
        <f t="shared" si="129"/>
        <v>0.05</v>
      </c>
      <c r="N1462" s="464">
        <f t="shared" si="130"/>
        <v>95543</v>
      </c>
    </row>
    <row r="1463" spans="7:14" ht="11.25" customHeight="1" x14ac:dyDescent="0.3">
      <c r="G1463" s="459"/>
      <c r="H1463" s="459">
        <v>1456</v>
      </c>
      <c r="I1463" s="444">
        <f t="shared" ca="1" si="128"/>
        <v>7066735.7914798157</v>
      </c>
      <c r="J1463" s="444">
        <f t="array" ref="J1463">IFERROR(INDEX('Retirement Calculator'!J:J,MATCH('Isaac 401k'!N1463,'Retirement Calculator'!A:A,0),0),0)</f>
        <v>0</v>
      </c>
      <c r="K1463" s="444">
        <f t="shared" ca="1" si="126"/>
        <v>29444.732464499233</v>
      </c>
      <c r="L1463" s="444">
        <f t="shared" ca="1" si="127"/>
        <v>7096180.5239443146</v>
      </c>
      <c r="M1463" s="460">
        <f t="shared" si="129"/>
        <v>0.05</v>
      </c>
      <c r="N1463" s="464">
        <f t="shared" si="130"/>
        <v>95574</v>
      </c>
    </row>
    <row r="1464" spans="7:14" ht="11.25" customHeight="1" x14ac:dyDescent="0.3">
      <c r="G1464" s="459"/>
      <c r="H1464" s="459">
        <v>1457</v>
      </c>
      <c r="I1464" s="444">
        <f t="shared" ca="1" si="128"/>
        <v>7096180.5239443146</v>
      </c>
      <c r="J1464" s="444">
        <f t="array" ref="J1464">IFERROR(INDEX('Retirement Calculator'!J:J,MATCH('Isaac 401k'!N1464,'Retirement Calculator'!A:A,0),0),0)</f>
        <v>0</v>
      </c>
      <c r="K1464" s="444">
        <f t="shared" ca="1" si="126"/>
        <v>29567.418849767975</v>
      </c>
      <c r="L1464" s="444">
        <f t="shared" ca="1" si="127"/>
        <v>7125747.9427940827</v>
      </c>
      <c r="M1464" s="460">
        <f t="shared" si="129"/>
        <v>0.05</v>
      </c>
      <c r="N1464" s="464">
        <f t="shared" si="130"/>
        <v>95604</v>
      </c>
    </row>
    <row r="1465" spans="7:14" ht="11.25" customHeight="1" x14ac:dyDescent="0.3">
      <c r="G1465" s="459"/>
      <c r="H1465" s="459">
        <v>1458</v>
      </c>
      <c r="I1465" s="444">
        <f t="shared" ca="1" si="128"/>
        <v>7125747.9427940827</v>
      </c>
      <c r="J1465" s="444">
        <f t="array" ref="J1465">IFERROR(INDEX('Retirement Calculator'!J:J,MATCH('Isaac 401k'!N1465,'Retirement Calculator'!A:A,0),0),0)</f>
        <v>0</v>
      </c>
      <c r="K1465" s="444">
        <f t="shared" ca="1" si="126"/>
        <v>29690.616428308673</v>
      </c>
      <c r="L1465" s="444">
        <f t="shared" ca="1" si="127"/>
        <v>7155438.5592223918</v>
      </c>
      <c r="M1465" s="460">
        <f t="shared" si="129"/>
        <v>0.05</v>
      </c>
      <c r="N1465" s="464">
        <f t="shared" si="130"/>
        <v>95635</v>
      </c>
    </row>
    <row r="1466" spans="7:14" ht="11.25" customHeight="1" x14ac:dyDescent="0.3">
      <c r="G1466" s="459"/>
      <c r="H1466" s="459">
        <v>1459</v>
      </c>
      <c r="I1466" s="444">
        <f t="shared" ca="1" si="128"/>
        <v>7155438.5592223918</v>
      </c>
      <c r="J1466" s="444">
        <f t="array" ref="J1466">IFERROR(INDEX('Retirement Calculator'!J:J,MATCH('Isaac 401k'!N1466,'Retirement Calculator'!A:A,0),0),0)</f>
        <v>0</v>
      </c>
      <c r="K1466" s="444">
        <f t="shared" ca="1" si="126"/>
        <v>29814.3273300933</v>
      </c>
      <c r="L1466" s="444">
        <f t="shared" ca="1" si="127"/>
        <v>7185252.8865524847</v>
      </c>
      <c r="M1466" s="460">
        <f t="shared" si="129"/>
        <v>0.05</v>
      </c>
      <c r="N1466" s="464">
        <f t="shared" si="130"/>
        <v>95665</v>
      </c>
    </row>
    <row r="1467" spans="7:14" ht="11.25" customHeight="1" x14ac:dyDescent="0.3">
      <c r="G1467" s="459"/>
      <c r="H1467" s="459">
        <v>1460</v>
      </c>
      <c r="I1467" s="444">
        <f t="shared" ca="1" si="128"/>
        <v>7185252.8865524847</v>
      </c>
      <c r="J1467" s="444">
        <f t="array" ref="J1467">IFERROR(INDEX('Retirement Calculator'!J:J,MATCH('Isaac 401k'!N1467,'Retirement Calculator'!A:A,0),0),0)</f>
        <v>0</v>
      </c>
      <c r="K1467" s="444">
        <f t="shared" ca="1" si="126"/>
        <v>29938.553693968686</v>
      </c>
      <c r="L1467" s="444">
        <f t="shared" ca="1" si="127"/>
        <v>7215191.4402464535</v>
      </c>
      <c r="M1467" s="460">
        <f t="shared" si="129"/>
        <v>0.05</v>
      </c>
      <c r="N1467" s="464">
        <f t="shared" si="130"/>
        <v>95696</v>
      </c>
    </row>
    <row r="1468" spans="7:14" ht="11.25" customHeight="1" x14ac:dyDescent="0.3">
      <c r="G1468" s="459"/>
      <c r="H1468" s="459">
        <v>1461</v>
      </c>
      <c r="I1468" s="444">
        <f t="shared" ca="1" si="128"/>
        <v>7215191.4402464535</v>
      </c>
      <c r="J1468" s="444">
        <f t="array" ref="J1468">IFERROR(INDEX('Retirement Calculator'!J:J,MATCH('Isaac 401k'!N1468,'Retirement Calculator'!A:A,0),0),0)</f>
        <v>0</v>
      </c>
      <c r="K1468" s="444">
        <f t="shared" ca="1" si="126"/>
        <v>30063.29766769355</v>
      </c>
      <c r="L1468" s="444">
        <f t="shared" ca="1" si="127"/>
        <v>7245254.7379141469</v>
      </c>
      <c r="M1468" s="460">
        <f t="shared" si="129"/>
        <v>0.05</v>
      </c>
      <c r="N1468" s="464">
        <f t="shared" si="130"/>
        <v>95727</v>
      </c>
    </row>
    <row r="1469" spans="7:14" ht="11.25" customHeight="1" x14ac:dyDescent="0.3">
      <c r="G1469" s="459"/>
      <c r="H1469" s="459">
        <v>1462</v>
      </c>
      <c r="I1469" s="444">
        <f t="shared" ca="1" si="128"/>
        <v>7245254.7379141469</v>
      </c>
      <c r="J1469" s="444">
        <f t="array" ref="J1469">IFERROR(INDEX('Retirement Calculator'!J:J,MATCH('Isaac 401k'!N1469,'Retirement Calculator'!A:A,0),0),0)</f>
        <v>0</v>
      </c>
      <c r="K1469" s="444">
        <f t="shared" ca="1" si="126"/>
        <v>30188.561407975616</v>
      </c>
      <c r="L1469" s="444">
        <f t="shared" ca="1" si="127"/>
        <v>7275443.2993221227</v>
      </c>
      <c r="M1469" s="460">
        <f t="shared" si="129"/>
        <v>0.05</v>
      </c>
      <c r="N1469" s="464">
        <f t="shared" si="130"/>
        <v>95755</v>
      </c>
    </row>
    <row r="1470" spans="7:14" ht="11.25" customHeight="1" x14ac:dyDescent="0.3">
      <c r="G1470" s="459"/>
      <c r="H1470" s="459">
        <v>1463</v>
      </c>
      <c r="I1470" s="444">
        <f t="shared" ca="1" si="128"/>
        <v>7275443.2993221227</v>
      </c>
      <c r="J1470" s="444">
        <f t="array" ref="J1470">IFERROR(INDEX('Retirement Calculator'!J:J,MATCH('Isaac 401k'!N1470,'Retirement Calculator'!A:A,0),0),0)</f>
        <v>0</v>
      </c>
      <c r="K1470" s="444">
        <f t="shared" ca="1" si="126"/>
        <v>30314.34708050884</v>
      </c>
      <c r="L1470" s="444">
        <f t="shared" ca="1" si="127"/>
        <v>7305757.6464026319</v>
      </c>
      <c r="M1470" s="460">
        <f t="shared" si="129"/>
        <v>0.05</v>
      </c>
      <c r="N1470" s="464">
        <f t="shared" si="130"/>
        <v>95786</v>
      </c>
    </row>
    <row r="1471" spans="7:14" ht="11.25" customHeight="1" x14ac:dyDescent="0.3">
      <c r="G1471" s="459"/>
      <c r="H1471" s="459">
        <v>1464</v>
      </c>
      <c r="I1471" s="444">
        <f t="shared" ca="1" si="128"/>
        <v>7305757.6464026319</v>
      </c>
      <c r="J1471" s="444">
        <f t="array" ref="J1471">IFERROR(INDEX('Retirement Calculator'!J:J,MATCH('Isaac 401k'!N1471,'Retirement Calculator'!A:A,0),0),0)</f>
        <v>0</v>
      </c>
      <c r="K1471" s="444">
        <f t="shared" ca="1" si="126"/>
        <v>30440.656860010964</v>
      </c>
      <c r="L1471" s="444">
        <f t="shared" ca="1" si="127"/>
        <v>7336198.3032626426</v>
      </c>
      <c r="M1471" s="460">
        <f t="shared" si="129"/>
        <v>0.05</v>
      </c>
      <c r="N1471" s="464">
        <f t="shared" si="130"/>
        <v>95816</v>
      </c>
    </row>
    <row r="1472" spans="7:14" ht="11.25" customHeight="1" x14ac:dyDescent="0.3">
      <c r="G1472" s="459"/>
      <c r="H1472" s="459">
        <v>1465</v>
      </c>
      <c r="I1472" s="444">
        <f t="shared" ca="1" si="128"/>
        <v>7336198.3032626426</v>
      </c>
      <c r="J1472" s="444">
        <f t="array" ref="J1472">IFERROR(INDEX('Retirement Calculator'!J:J,MATCH('Isaac 401k'!N1472,'Retirement Calculator'!A:A,0),0),0)</f>
        <v>0</v>
      </c>
      <c r="K1472" s="444">
        <f t="shared" ca="1" si="126"/>
        <v>30567.492930261014</v>
      </c>
      <c r="L1472" s="444">
        <f t="shared" ca="1" si="127"/>
        <v>7366765.796192904</v>
      </c>
      <c r="M1472" s="460">
        <f t="shared" si="129"/>
        <v>0.05</v>
      </c>
      <c r="N1472" s="464">
        <f t="shared" si="130"/>
        <v>95847</v>
      </c>
    </row>
    <row r="1473" spans="7:14" ht="11.25" customHeight="1" x14ac:dyDescent="0.3">
      <c r="G1473" s="459"/>
      <c r="H1473" s="459">
        <v>1466</v>
      </c>
      <c r="I1473" s="444">
        <f t="shared" ca="1" si="128"/>
        <v>7366765.796192904</v>
      </c>
      <c r="J1473" s="444">
        <f t="array" ref="J1473">IFERROR(INDEX('Retirement Calculator'!J:J,MATCH('Isaac 401k'!N1473,'Retirement Calculator'!A:A,0),0),0)</f>
        <v>0</v>
      </c>
      <c r="K1473" s="444">
        <f t="shared" ca="1" si="126"/>
        <v>30694.857484137105</v>
      </c>
      <c r="L1473" s="444">
        <f t="shared" ca="1" si="127"/>
        <v>7397460.6536770407</v>
      </c>
      <c r="M1473" s="460">
        <f t="shared" si="129"/>
        <v>0.05</v>
      </c>
      <c r="N1473" s="464">
        <f t="shared" si="130"/>
        <v>95877</v>
      </c>
    </row>
    <row r="1474" spans="7:14" ht="11.25" customHeight="1" x14ac:dyDescent="0.3">
      <c r="G1474" s="459"/>
      <c r="H1474" s="459">
        <v>1467</v>
      </c>
      <c r="I1474" s="444">
        <f t="shared" ca="1" si="128"/>
        <v>7397460.6536770407</v>
      </c>
      <c r="J1474" s="444">
        <f t="array" ref="J1474">IFERROR(INDEX('Retirement Calculator'!J:J,MATCH('Isaac 401k'!N1474,'Retirement Calculator'!A:A,0),0),0)</f>
        <v>0</v>
      </c>
      <c r="K1474" s="444">
        <f t="shared" ca="1" si="126"/>
        <v>30822.752723654336</v>
      </c>
      <c r="L1474" s="444">
        <f t="shared" ca="1" si="127"/>
        <v>7428283.4064006954</v>
      </c>
      <c r="M1474" s="460">
        <f t="shared" si="129"/>
        <v>0.05</v>
      </c>
      <c r="N1474" s="464">
        <f t="shared" si="130"/>
        <v>95908</v>
      </c>
    </row>
    <row r="1475" spans="7:14" ht="11.25" customHeight="1" x14ac:dyDescent="0.3">
      <c r="G1475" s="459"/>
      <c r="H1475" s="459">
        <v>1468</v>
      </c>
      <c r="I1475" s="444">
        <f t="shared" ca="1" si="128"/>
        <v>7428283.4064006954</v>
      </c>
      <c r="J1475" s="444">
        <f t="array" ref="J1475">IFERROR(INDEX('Retirement Calculator'!J:J,MATCH('Isaac 401k'!N1475,'Retirement Calculator'!A:A,0),0),0)</f>
        <v>0</v>
      </c>
      <c r="K1475" s="444">
        <f t="shared" ca="1" si="126"/>
        <v>30951.180860002896</v>
      </c>
      <c r="L1475" s="444">
        <f t="shared" ca="1" si="127"/>
        <v>7459234.587260698</v>
      </c>
      <c r="M1475" s="460">
        <f t="shared" si="129"/>
        <v>0.05</v>
      </c>
      <c r="N1475" s="464">
        <f t="shared" si="130"/>
        <v>95939</v>
      </c>
    </row>
    <row r="1476" spans="7:14" ht="11.25" customHeight="1" x14ac:dyDescent="0.3">
      <c r="G1476" s="459"/>
      <c r="H1476" s="459">
        <v>1469</v>
      </c>
      <c r="I1476" s="444">
        <f t="shared" ca="1" si="128"/>
        <v>7459234.587260698</v>
      </c>
      <c r="J1476" s="444">
        <f t="array" ref="J1476">IFERROR(INDEX('Retirement Calculator'!J:J,MATCH('Isaac 401k'!N1476,'Retirement Calculator'!A:A,0),0),0)</f>
        <v>0</v>
      </c>
      <c r="K1476" s="444">
        <f t="shared" ca="1" si="126"/>
        <v>31080.144113586241</v>
      </c>
      <c r="L1476" s="444">
        <f t="shared" ca="1" si="127"/>
        <v>7490314.7313742843</v>
      </c>
      <c r="M1476" s="460">
        <f t="shared" si="129"/>
        <v>0.05</v>
      </c>
      <c r="N1476" s="464">
        <f t="shared" si="130"/>
        <v>95969</v>
      </c>
    </row>
    <row r="1477" spans="7:14" ht="11.25" customHeight="1" x14ac:dyDescent="0.3">
      <c r="G1477" s="459"/>
      <c r="H1477" s="459">
        <v>1470</v>
      </c>
      <c r="I1477" s="444">
        <f t="shared" ca="1" si="128"/>
        <v>7490314.7313742843</v>
      </c>
      <c r="J1477" s="444">
        <f t="array" ref="J1477">IFERROR(INDEX('Retirement Calculator'!J:J,MATCH('Isaac 401k'!N1477,'Retirement Calculator'!A:A,0),0),0)</f>
        <v>0</v>
      </c>
      <c r="K1477" s="444">
        <f t="shared" ca="1" si="126"/>
        <v>31209.644714059512</v>
      </c>
      <c r="L1477" s="444">
        <f t="shared" ca="1" si="127"/>
        <v>7521524.3760883436</v>
      </c>
      <c r="M1477" s="460">
        <f t="shared" si="129"/>
        <v>0.05</v>
      </c>
      <c r="N1477" s="464">
        <f t="shared" si="130"/>
        <v>96000</v>
      </c>
    </row>
    <row r="1478" spans="7:14" ht="11.25" customHeight="1" x14ac:dyDescent="0.3">
      <c r="G1478" s="459"/>
      <c r="H1478" s="459">
        <v>1471</v>
      </c>
      <c r="I1478" s="444">
        <f t="shared" ca="1" si="128"/>
        <v>7521524.3760883436</v>
      </c>
      <c r="J1478" s="444">
        <f t="array" ref="J1478">IFERROR(INDEX('Retirement Calculator'!J:J,MATCH('Isaac 401k'!N1478,'Retirement Calculator'!A:A,0),0),0)</f>
        <v>0</v>
      </c>
      <c r="K1478" s="444">
        <f t="shared" ca="1" si="126"/>
        <v>31339.684900368095</v>
      </c>
      <c r="L1478" s="444">
        <f t="shared" ca="1" si="127"/>
        <v>7552864.0609887112</v>
      </c>
      <c r="M1478" s="460">
        <f t="shared" si="129"/>
        <v>0.05</v>
      </c>
      <c r="N1478" s="464">
        <f t="shared" si="130"/>
        <v>96030</v>
      </c>
    </row>
    <row r="1479" spans="7:14" ht="11.25" customHeight="1" x14ac:dyDescent="0.3">
      <c r="G1479" s="459"/>
      <c r="H1479" s="459">
        <v>1472</v>
      </c>
      <c r="I1479" s="444">
        <f t="shared" ca="1" si="128"/>
        <v>7552864.0609887112</v>
      </c>
      <c r="J1479" s="444">
        <f t="array" ref="J1479">IFERROR(INDEX('Retirement Calculator'!J:J,MATCH('Isaac 401k'!N1479,'Retirement Calculator'!A:A,0),0),0)</f>
        <v>0</v>
      </c>
      <c r="K1479" s="444">
        <f t="shared" ca="1" si="126"/>
        <v>31470.266920786293</v>
      </c>
      <c r="L1479" s="444">
        <f t="shared" ca="1" si="127"/>
        <v>7584334.3279094975</v>
      </c>
      <c r="M1479" s="460">
        <f t="shared" si="129"/>
        <v>0.05</v>
      </c>
      <c r="N1479" s="464">
        <f t="shared" si="130"/>
        <v>96061</v>
      </c>
    </row>
    <row r="1480" spans="7:14" ht="11.25" customHeight="1" x14ac:dyDescent="0.3">
      <c r="G1480" s="459"/>
      <c r="H1480" s="459">
        <v>1473</v>
      </c>
      <c r="I1480" s="444">
        <f t="shared" ca="1" si="128"/>
        <v>7584334.3279094975</v>
      </c>
      <c r="J1480" s="444">
        <f t="array" ref="J1480">IFERROR(INDEX('Retirement Calculator'!J:J,MATCH('Isaac 401k'!N1480,'Retirement Calculator'!A:A,0),0),0)</f>
        <v>0</v>
      </c>
      <c r="K1480" s="444">
        <f t="shared" ca="1" si="126"/>
        <v>31601.393032956239</v>
      </c>
      <c r="L1480" s="444">
        <f t="shared" ca="1" si="127"/>
        <v>7615935.7209424535</v>
      </c>
      <c r="M1480" s="460">
        <f t="shared" si="129"/>
        <v>0.05</v>
      </c>
      <c r="N1480" s="464">
        <f t="shared" si="130"/>
        <v>96092</v>
      </c>
    </row>
    <row r="1481" spans="7:14" ht="11.25" customHeight="1" x14ac:dyDescent="0.3">
      <c r="G1481" s="459"/>
      <c r="H1481" s="459">
        <v>1474</v>
      </c>
      <c r="I1481" s="444">
        <f t="shared" ca="1" si="128"/>
        <v>7615935.7209424535</v>
      </c>
      <c r="J1481" s="444">
        <f t="array" ref="J1481">IFERROR(INDEX('Retirement Calculator'!J:J,MATCH('Isaac 401k'!N1481,'Retirement Calculator'!A:A,0),0),0)</f>
        <v>0</v>
      </c>
      <c r="K1481" s="444">
        <f t="shared" ca="1" si="126"/>
        <v>31733.06550392689</v>
      </c>
      <c r="L1481" s="444">
        <f t="shared" ca="1" si="127"/>
        <v>7647668.7864463804</v>
      </c>
      <c r="M1481" s="460">
        <f t="shared" si="129"/>
        <v>0.05</v>
      </c>
      <c r="N1481" s="464">
        <f t="shared" si="130"/>
        <v>96120</v>
      </c>
    </row>
    <row r="1482" spans="7:14" ht="11.25" customHeight="1" x14ac:dyDescent="0.3">
      <c r="G1482" s="459"/>
      <c r="H1482" s="459">
        <v>1475</v>
      </c>
      <c r="I1482" s="444">
        <f t="shared" ca="1" si="128"/>
        <v>7647668.7864463804</v>
      </c>
      <c r="J1482" s="444">
        <f t="array" ref="J1482">IFERROR(INDEX('Retirement Calculator'!J:J,MATCH('Isaac 401k'!N1482,'Retirement Calculator'!A:A,0),0),0)</f>
        <v>0</v>
      </c>
      <c r="K1482" s="444">
        <f t="shared" ca="1" si="126"/>
        <v>31865.286610193256</v>
      </c>
      <c r="L1482" s="444">
        <f t="shared" ca="1" si="127"/>
        <v>7679534.073056574</v>
      </c>
      <c r="M1482" s="460">
        <f t="shared" si="129"/>
        <v>0.05</v>
      </c>
      <c r="N1482" s="464">
        <f t="shared" si="130"/>
        <v>96151</v>
      </c>
    </row>
    <row r="1483" spans="7:14" ht="11.25" customHeight="1" x14ac:dyDescent="0.3">
      <c r="G1483" s="459"/>
      <c r="H1483" s="459">
        <v>1476</v>
      </c>
      <c r="I1483" s="444">
        <f t="shared" ca="1" si="128"/>
        <v>7679534.073056574</v>
      </c>
      <c r="J1483" s="444">
        <f t="array" ref="J1483">IFERROR(INDEX('Retirement Calculator'!J:J,MATCH('Isaac 401k'!N1483,'Retirement Calculator'!A:A,0),0),0)</f>
        <v>0</v>
      </c>
      <c r="K1483" s="444">
        <f t="shared" ca="1" si="126"/>
        <v>31998.058637735725</v>
      </c>
      <c r="L1483" s="444">
        <f t="shared" ca="1" si="127"/>
        <v>7711532.1316943094</v>
      </c>
      <c r="M1483" s="460">
        <f t="shared" si="129"/>
        <v>0.05</v>
      </c>
      <c r="N1483" s="464">
        <f t="shared" si="130"/>
        <v>96181</v>
      </c>
    </row>
    <row r="1484" spans="7:14" ht="11.25" customHeight="1" x14ac:dyDescent="0.3">
      <c r="G1484" s="459"/>
      <c r="H1484" s="459">
        <v>1477</v>
      </c>
      <c r="I1484" s="444">
        <f t="shared" ca="1" si="128"/>
        <v>7711532.1316943094</v>
      </c>
      <c r="J1484" s="444">
        <f t="array" ref="J1484">IFERROR(INDEX('Retirement Calculator'!J:J,MATCH('Isaac 401k'!N1484,'Retirement Calculator'!A:A,0),0),0)</f>
        <v>0</v>
      </c>
      <c r="K1484" s="444">
        <f t="shared" ca="1" si="126"/>
        <v>32131.383882059621</v>
      </c>
      <c r="L1484" s="444">
        <f t="shared" ca="1" si="127"/>
        <v>7743663.5155763691</v>
      </c>
      <c r="M1484" s="460">
        <f t="shared" si="129"/>
        <v>0.05</v>
      </c>
      <c r="N1484" s="464">
        <f t="shared" si="130"/>
        <v>96212</v>
      </c>
    </row>
    <row r="1485" spans="7:14" ht="11.25" customHeight="1" x14ac:dyDescent="0.3">
      <c r="G1485" s="459"/>
      <c r="H1485" s="459">
        <v>1478</v>
      </c>
      <c r="I1485" s="444">
        <f t="shared" ca="1" si="128"/>
        <v>7743663.5155763691</v>
      </c>
      <c r="J1485" s="444">
        <f t="array" ref="J1485">IFERROR(INDEX('Retirement Calculator'!J:J,MATCH('Isaac 401k'!N1485,'Retirement Calculator'!A:A,0),0),0)</f>
        <v>0</v>
      </c>
      <c r="K1485" s="444">
        <f t="shared" ca="1" si="126"/>
        <v>32265.264648234872</v>
      </c>
      <c r="L1485" s="444">
        <f t="shared" ca="1" si="127"/>
        <v>7775928.7802246036</v>
      </c>
      <c r="M1485" s="460">
        <f t="shared" si="129"/>
        <v>0.05</v>
      </c>
      <c r="N1485" s="464">
        <f t="shared" si="130"/>
        <v>96242</v>
      </c>
    </row>
    <row r="1486" spans="7:14" ht="11.25" customHeight="1" x14ac:dyDescent="0.3">
      <c r="G1486" s="459"/>
      <c r="H1486" s="459">
        <v>1479</v>
      </c>
      <c r="I1486" s="444">
        <f t="shared" ca="1" si="128"/>
        <v>7775928.7802246036</v>
      </c>
      <c r="J1486" s="444">
        <f t="array" ref="J1486">IFERROR(INDEX('Retirement Calculator'!J:J,MATCH('Isaac 401k'!N1486,'Retirement Calculator'!A:A,0),0),0)</f>
        <v>0</v>
      </c>
      <c r="K1486" s="444">
        <f t="shared" ca="1" si="126"/>
        <v>32399.703250935847</v>
      </c>
      <c r="L1486" s="444">
        <f t="shared" ca="1" si="127"/>
        <v>7808328.4834755398</v>
      </c>
      <c r="M1486" s="460">
        <f t="shared" si="129"/>
        <v>0.05</v>
      </c>
      <c r="N1486" s="464">
        <f t="shared" si="130"/>
        <v>96273</v>
      </c>
    </row>
    <row r="1487" spans="7:14" ht="11.25" customHeight="1" x14ac:dyDescent="0.3">
      <c r="G1487" s="459"/>
      <c r="H1487" s="459">
        <v>1480</v>
      </c>
      <c r="I1487" s="444">
        <f t="shared" ca="1" si="128"/>
        <v>7808328.4834755398</v>
      </c>
      <c r="J1487" s="444">
        <f t="array" ref="J1487">IFERROR(INDEX('Retirement Calculator'!J:J,MATCH('Isaac 401k'!N1487,'Retirement Calculator'!A:A,0),0),0)</f>
        <v>0</v>
      </c>
      <c r="K1487" s="444">
        <f t="shared" ca="1" si="126"/>
        <v>32534.702014481412</v>
      </c>
      <c r="L1487" s="444">
        <f t="shared" ca="1" si="127"/>
        <v>7840863.1854900215</v>
      </c>
      <c r="M1487" s="460">
        <f t="shared" si="129"/>
        <v>0.05</v>
      </c>
      <c r="N1487" s="464">
        <f t="shared" si="130"/>
        <v>96304</v>
      </c>
    </row>
    <row r="1488" spans="7:14" ht="11.25" customHeight="1" x14ac:dyDescent="0.3">
      <c r="G1488" s="459"/>
      <c r="H1488" s="459">
        <v>1481</v>
      </c>
      <c r="I1488" s="444">
        <f t="shared" ca="1" si="128"/>
        <v>7840863.1854900215</v>
      </c>
      <c r="J1488" s="444">
        <f t="array" ref="J1488">IFERROR(INDEX('Retirement Calculator'!J:J,MATCH('Isaac 401k'!N1488,'Retirement Calculator'!A:A,0),0),0)</f>
        <v>0</v>
      </c>
      <c r="K1488" s="444">
        <f t="shared" ca="1" si="126"/>
        <v>32670.26327287509</v>
      </c>
      <c r="L1488" s="444">
        <f t="shared" ca="1" si="127"/>
        <v>7873533.4487628965</v>
      </c>
      <c r="M1488" s="460">
        <f t="shared" si="129"/>
        <v>0.05</v>
      </c>
      <c r="N1488" s="464">
        <f t="shared" si="130"/>
        <v>96334</v>
      </c>
    </row>
    <row r="1489" spans="7:14" ht="11.25" customHeight="1" x14ac:dyDescent="0.3">
      <c r="G1489" s="459"/>
      <c r="H1489" s="459">
        <v>1482</v>
      </c>
      <c r="I1489" s="444">
        <f t="shared" ca="1" si="128"/>
        <v>7873533.4487628965</v>
      </c>
      <c r="J1489" s="444">
        <f t="array" ref="J1489">IFERROR(INDEX('Retirement Calculator'!J:J,MATCH('Isaac 401k'!N1489,'Retirement Calculator'!A:A,0),0),0)</f>
        <v>0</v>
      </c>
      <c r="K1489" s="444">
        <f t="shared" ca="1" si="126"/>
        <v>32806.389369845405</v>
      </c>
      <c r="L1489" s="444">
        <f t="shared" ca="1" si="127"/>
        <v>7906339.8381327419</v>
      </c>
      <c r="M1489" s="460">
        <f t="shared" si="129"/>
        <v>0.05</v>
      </c>
      <c r="N1489" s="464">
        <f t="shared" si="130"/>
        <v>96365</v>
      </c>
    </row>
    <row r="1490" spans="7:14" ht="11.25" customHeight="1" x14ac:dyDescent="0.3">
      <c r="G1490" s="459"/>
      <c r="H1490" s="459">
        <v>1483</v>
      </c>
      <c r="I1490" s="444">
        <f t="shared" ca="1" si="128"/>
        <v>7906339.8381327419</v>
      </c>
      <c r="J1490" s="444">
        <f t="array" ref="J1490">IFERROR(INDEX('Retirement Calculator'!J:J,MATCH('Isaac 401k'!N1490,'Retirement Calculator'!A:A,0),0),0)</f>
        <v>0</v>
      </c>
      <c r="K1490" s="444">
        <f t="shared" ca="1" si="126"/>
        <v>32943.082658886422</v>
      </c>
      <c r="L1490" s="444">
        <f t="shared" ca="1" si="127"/>
        <v>7939282.9207916278</v>
      </c>
      <c r="M1490" s="460">
        <f t="shared" si="129"/>
        <v>0.05</v>
      </c>
      <c r="N1490" s="464">
        <f t="shared" si="130"/>
        <v>96395</v>
      </c>
    </row>
    <row r="1491" spans="7:14" ht="11.25" customHeight="1" x14ac:dyDescent="0.3">
      <c r="G1491" s="459"/>
      <c r="H1491" s="459">
        <v>1484</v>
      </c>
      <c r="I1491" s="444">
        <f t="shared" ca="1" si="128"/>
        <v>7939282.9207916278</v>
      </c>
      <c r="J1491" s="444">
        <f t="array" ref="J1491">IFERROR(INDEX('Retirement Calculator'!J:J,MATCH('Isaac 401k'!N1491,'Retirement Calculator'!A:A,0),0),0)</f>
        <v>0</v>
      </c>
      <c r="K1491" s="444">
        <f t="shared" ca="1" si="126"/>
        <v>33080.345503298449</v>
      </c>
      <c r="L1491" s="444">
        <f t="shared" ca="1" si="127"/>
        <v>7972363.2662949264</v>
      </c>
      <c r="M1491" s="460">
        <f t="shared" si="129"/>
        <v>0.05</v>
      </c>
      <c r="N1491" s="464">
        <f t="shared" si="130"/>
        <v>96426</v>
      </c>
    </row>
    <row r="1492" spans="7:14" ht="11.25" customHeight="1" x14ac:dyDescent="0.3">
      <c r="G1492" s="459"/>
      <c r="H1492" s="459">
        <v>1485</v>
      </c>
      <c r="I1492" s="444">
        <f t="shared" ca="1" si="128"/>
        <v>7972363.2662949264</v>
      </c>
      <c r="J1492" s="444">
        <f t="array" ref="J1492">IFERROR(INDEX('Retirement Calculator'!J:J,MATCH('Isaac 401k'!N1492,'Retirement Calculator'!A:A,0),0),0)</f>
        <v>0</v>
      </c>
      <c r="K1492" s="444">
        <f t="shared" ca="1" si="126"/>
        <v>33218.180276228857</v>
      </c>
      <c r="L1492" s="444">
        <f t="shared" ca="1" si="127"/>
        <v>8005581.4465711555</v>
      </c>
      <c r="M1492" s="460">
        <f t="shared" si="129"/>
        <v>0.05</v>
      </c>
      <c r="N1492" s="464">
        <f t="shared" si="130"/>
        <v>96457</v>
      </c>
    </row>
    <row r="1493" spans="7:14" ht="11.25" customHeight="1" x14ac:dyDescent="0.3">
      <c r="G1493" s="459"/>
      <c r="H1493" s="459">
        <v>1486</v>
      </c>
      <c r="I1493" s="444">
        <f t="shared" ca="1" si="128"/>
        <v>8005581.4465711555</v>
      </c>
      <c r="J1493" s="444">
        <f t="array" ref="J1493">IFERROR(INDEX('Retirement Calculator'!J:J,MATCH('Isaac 401k'!N1493,'Retirement Calculator'!A:A,0),0),0)</f>
        <v>0</v>
      </c>
      <c r="K1493" s="444">
        <f t="shared" ca="1" si="126"/>
        <v>33356.589360713144</v>
      </c>
      <c r="L1493" s="444">
        <f t="shared" ca="1" si="127"/>
        <v>8038938.0359318685</v>
      </c>
      <c r="M1493" s="460">
        <f t="shared" si="129"/>
        <v>0.05</v>
      </c>
      <c r="N1493" s="464">
        <f t="shared" si="130"/>
        <v>96486</v>
      </c>
    </row>
    <row r="1494" spans="7:14" ht="11.25" customHeight="1" x14ac:dyDescent="0.3">
      <c r="G1494" s="459"/>
      <c r="H1494" s="459">
        <v>1487</v>
      </c>
      <c r="I1494" s="444">
        <f t="shared" ca="1" si="128"/>
        <v>8038938.0359318685</v>
      </c>
      <c r="J1494" s="444">
        <f t="array" ref="J1494">IFERROR(INDEX('Retirement Calculator'!J:J,MATCH('Isaac 401k'!N1494,'Retirement Calculator'!A:A,0),0),0)</f>
        <v>0</v>
      </c>
      <c r="K1494" s="444">
        <f t="shared" ca="1" si="126"/>
        <v>33495.575149716118</v>
      </c>
      <c r="L1494" s="444">
        <f t="shared" ca="1" si="127"/>
        <v>8072433.6110815844</v>
      </c>
      <c r="M1494" s="460">
        <f t="shared" si="129"/>
        <v>0.05</v>
      </c>
      <c r="N1494" s="464">
        <f t="shared" si="130"/>
        <v>96517</v>
      </c>
    </row>
    <row r="1495" spans="7:14" ht="11.25" customHeight="1" x14ac:dyDescent="0.3">
      <c r="G1495" s="459"/>
      <c r="H1495" s="459">
        <v>1488</v>
      </c>
      <c r="I1495" s="444">
        <f t="shared" ca="1" si="128"/>
        <v>8072433.6110815844</v>
      </c>
      <c r="J1495" s="444">
        <f t="array" ref="J1495">IFERROR(INDEX('Retirement Calculator'!J:J,MATCH('Isaac 401k'!N1495,'Retirement Calculator'!A:A,0),0),0)</f>
        <v>0</v>
      </c>
      <c r="K1495" s="444">
        <f t="shared" ca="1" si="126"/>
        <v>33635.14004617327</v>
      </c>
      <c r="L1495" s="444">
        <f t="shared" ca="1" si="127"/>
        <v>8106068.7511277581</v>
      </c>
      <c r="M1495" s="460">
        <f t="shared" si="129"/>
        <v>0.05</v>
      </c>
      <c r="N1495" s="464">
        <f t="shared" si="130"/>
        <v>96547</v>
      </c>
    </row>
    <row r="1496" spans="7:14" ht="11.25" customHeight="1" x14ac:dyDescent="0.3">
      <c r="G1496" s="459"/>
      <c r="H1496" s="459">
        <v>1489</v>
      </c>
      <c r="I1496" s="444">
        <f t="shared" ca="1" si="128"/>
        <v>8106068.7511277581</v>
      </c>
      <c r="J1496" s="444">
        <f t="array" ref="J1496">IFERROR(INDEX('Retirement Calculator'!J:J,MATCH('Isaac 401k'!N1496,'Retirement Calculator'!A:A,0),0),0)</f>
        <v>0</v>
      </c>
      <c r="K1496" s="444">
        <f t="shared" ca="1" si="126"/>
        <v>33775.286463032324</v>
      </c>
      <c r="L1496" s="444">
        <f t="shared" ca="1" si="127"/>
        <v>8139844.0375907905</v>
      </c>
      <c r="M1496" s="460">
        <f t="shared" si="129"/>
        <v>0.05</v>
      </c>
      <c r="N1496" s="464">
        <f t="shared" si="130"/>
        <v>96578</v>
      </c>
    </row>
    <row r="1497" spans="7:14" ht="11.25" customHeight="1" x14ac:dyDescent="0.3">
      <c r="G1497" s="459"/>
      <c r="H1497" s="459">
        <v>1490</v>
      </c>
      <c r="I1497" s="444">
        <f t="shared" ca="1" si="128"/>
        <v>8139844.0375907905</v>
      </c>
      <c r="J1497" s="444">
        <f t="array" ref="J1497">IFERROR(INDEX('Retirement Calculator'!J:J,MATCH('Isaac 401k'!N1497,'Retirement Calculator'!A:A,0),0),0)</f>
        <v>0</v>
      </c>
      <c r="K1497" s="444">
        <f t="shared" ca="1" si="126"/>
        <v>33916.016823294958</v>
      </c>
      <c r="L1497" s="444">
        <f t="shared" ca="1" si="127"/>
        <v>8173760.0544140851</v>
      </c>
      <c r="M1497" s="460">
        <f t="shared" si="129"/>
        <v>0.05</v>
      </c>
      <c r="N1497" s="464">
        <f t="shared" si="130"/>
        <v>96608</v>
      </c>
    </row>
    <row r="1498" spans="7:14" ht="11.25" customHeight="1" x14ac:dyDescent="0.3">
      <c r="G1498" s="459"/>
      <c r="H1498" s="459">
        <v>1491</v>
      </c>
      <c r="I1498" s="444">
        <f t="shared" ca="1" si="128"/>
        <v>8173760.0544140851</v>
      </c>
      <c r="J1498" s="444">
        <f t="array" ref="J1498">IFERROR(INDEX('Retirement Calculator'!J:J,MATCH('Isaac 401k'!N1498,'Retirement Calculator'!A:A,0),0),0)</f>
        <v>0</v>
      </c>
      <c r="K1498" s="444">
        <f t="shared" ca="1" si="126"/>
        <v>34057.333560058687</v>
      </c>
      <c r="L1498" s="444">
        <f t="shared" ca="1" si="127"/>
        <v>8207817.387974144</v>
      </c>
      <c r="M1498" s="460">
        <f t="shared" si="129"/>
        <v>0.05</v>
      </c>
      <c r="N1498" s="464">
        <f t="shared" si="130"/>
        <v>96639</v>
      </c>
    </row>
    <row r="1499" spans="7:14" ht="11.25" customHeight="1" x14ac:dyDescent="0.3">
      <c r="G1499" s="459"/>
      <c r="H1499" s="459">
        <v>1492</v>
      </c>
      <c r="I1499" s="444">
        <f t="shared" ca="1" si="128"/>
        <v>8207817.387974144</v>
      </c>
      <c r="J1499" s="444">
        <f t="array" ref="J1499">IFERROR(INDEX('Retirement Calculator'!J:J,MATCH('Isaac 401k'!N1499,'Retirement Calculator'!A:A,0),0),0)</f>
        <v>0</v>
      </c>
      <c r="K1499" s="444">
        <f t="shared" ca="1" si="126"/>
        <v>34199.239116558929</v>
      </c>
      <c r="L1499" s="444">
        <f t="shared" ca="1" si="127"/>
        <v>8242016.6270907028</v>
      </c>
      <c r="M1499" s="460">
        <f t="shared" si="129"/>
        <v>0.05</v>
      </c>
      <c r="N1499" s="464">
        <f t="shared" si="130"/>
        <v>96670</v>
      </c>
    </row>
    <row r="1500" spans="7:14" ht="11.25" customHeight="1" x14ac:dyDescent="0.3">
      <c r="G1500" s="459"/>
      <c r="H1500" s="459">
        <v>1493</v>
      </c>
      <c r="I1500" s="444">
        <f t="shared" ca="1" si="128"/>
        <v>8242016.6270907028</v>
      </c>
      <c r="J1500" s="444">
        <f t="array" ref="J1500">IFERROR(INDEX('Retirement Calculator'!J:J,MATCH('Isaac 401k'!N1500,'Retirement Calculator'!A:A,0),0),0)</f>
        <v>0</v>
      </c>
      <c r="K1500" s="444">
        <f t="shared" ca="1" si="126"/>
        <v>34341.735946211258</v>
      </c>
      <c r="L1500" s="444">
        <f t="shared" ca="1" si="127"/>
        <v>8276358.3630369138</v>
      </c>
      <c r="M1500" s="460">
        <f t="shared" si="129"/>
        <v>0.05</v>
      </c>
      <c r="N1500" s="464">
        <f t="shared" si="130"/>
        <v>96700</v>
      </c>
    </row>
    <row r="1501" spans="7:14" ht="11.25" customHeight="1" x14ac:dyDescent="0.3">
      <c r="G1501" s="459"/>
      <c r="H1501" s="459">
        <v>1494</v>
      </c>
      <c r="I1501" s="444">
        <f t="shared" ca="1" si="128"/>
        <v>8276358.3630369138</v>
      </c>
      <c r="J1501" s="444">
        <f t="array" ref="J1501">IFERROR(INDEX('Retirement Calculator'!J:J,MATCH('Isaac 401k'!N1501,'Retirement Calculator'!A:A,0),0),0)</f>
        <v>0</v>
      </c>
      <c r="K1501" s="444">
        <f t="shared" ca="1" si="126"/>
        <v>34484.82651265381</v>
      </c>
      <c r="L1501" s="444">
        <f t="shared" ca="1" si="127"/>
        <v>8310843.1895495672</v>
      </c>
      <c r="M1501" s="460">
        <f t="shared" si="129"/>
        <v>0.05</v>
      </c>
      <c r="N1501" s="464">
        <f t="shared" si="130"/>
        <v>96731</v>
      </c>
    </row>
    <row r="1502" spans="7:14" ht="11.25" customHeight="1" x14ac:dyDescent="0.3">
      <c r="G1502" s="459"/>
      <c r="H1502" s="459">
        <v>1495</v>
      </c>
      <c r="I1502" s="444">
        <f t="shared" ca="1" si="128"/>
        <v>8310843.1895495672</v>
      </c>
      <c r="J1502" s="444">
        <f t="array" ref="J1502">IFERROR(INDEX('Retirement Calculator'!J:J,MATCH('Isaac 401k'!N1502,'Retirement Calculator'!A:A,0),0),0)</f>
        <v>0</v>
      </c>
      <c r="K1502" s="444">
        <f t="shared" ca="1" si="126"/>
        <v>34628.513289789866</v>
      </c>
      <c r="L1502" s="444">
        <f t="shared" ca="1" si="127"/>
        <v>8345471.7028393568</v>
      </c>
      <c r="M1502" s="460">
        <f t="shared" si="129"/>
        <v>0.05</v>
      </c>
      <c r="N1502" s="464">
        <f t="shared" si="130"/>
        <v>96761</v>
      </c>
    </row>
    <row r="1503" spans="7:14" ht="11.25" customHeight="1" x14ac:dyDescent="0.3">
      <c r="G1503" s="459"/>
      <c r="H1503" s="459">
        <v>1496</v>
      </c>
      <c r="I1503" s="444">
        <f t="shared" ca="1" si="128"/>
        <v>8345471.7028393568</v>
      </c>
      <c r="J1503" s="444">
        <f t="array" ref="J1503">IFERROR(INDEX('Retirement Calculator'!J:J,MATCH('Isaac 401k'!N1503,'Retirement Calculator'!A:A,0),0),0)</f>
        <v>0</v>
      </c>
      <c r="K1503" s="444">
        <f t="shared" ca="1" si="126"/>
        <v>34772.798761830651</v>
      </c>
      <c r="L1503" s="444">
        <f t="shared" ca="1" si="127"/>
        <v>8380244.5016011875</v>
      </c>
      <c r="M1503" s="460">
        <f t="shared" si="129"/>
        <v>0.05</v>
      </c>
      <c r="N1503" s="464">
        <f t="shared" si="130"/>
        <v>96792</v>
      </c>
    </row>
    <row r="1504" spans="7:14" ht="11.25" customHeight="1" x14ac:dyDescent="0.3">
      <c r="G1504" s="459"/>
      <c r="H1504" s="459">
        <v>1497</v>
      </c>
      <c r="I1504" s="444">
        <f t="shared" ca="1" si="128"/>
        <v>8380244.5016011875</v>
      </c>
      <c r="J1504" s="444">
        <f t="array" ref="J1504">IFERROR(INDEX('Retirement Calculator'!J:J,MATCH('Isaac 401k'!N1504,'Retirement Calculator'!A:A,0),0),0)</f>
        <v>0</v>
      </c>
      <c r="K1504" s="444">
        <f t="shared" ca="1" si="126"/>
        <v>34917.685423338276</v>
      </c>
      <c r="L1504" s="444">
        <f t="shared" ca="1" si="127"/>
        <v>8415162.1870245263</v>
      </c>
      <c r="M1504" s="460">
        <f t="shared" si="129"/>
        <v>0.05</v>
      </c>
      <c r="N1504" s="464">
        <f t="shared" si="130"/>
        <v>96823</v>
      </c>
    </row>
    <row r="1505" spans="7:14" ht="11.25" customHeight="1" x14ac:dyDescent="0.3">
      <c r="G1505" s="459"/>
      <c r="H1505" s="459">
        <v>1498</v>
      </c>
      <c r="I1505" s="444">
        <f t="shared" ca="1" si="128"/>
        <v>8415162.1870245263</v>
      </c>
      <c r="J1505" s="444">
        <f t="array" ref="J1505">IFERROR(INDEX('Retirement Calculator'!J:J,MATCH('Isaac 401k'!N1505,'Retirement Calculator'!A:A,0),0),0)</f>
        <v>0</v>
      </c>
      <c r="K1505" s="444">
        <f t="shared" ca="1" si="126"/>
        <v>35063.175779268859</v>
      </c>
      <c r="L1505" s="444">
        <f t="shared" ca="1" si="127"/>
        <v>8450225.3628037944</v>
      </c>
      <c r="M1505" s="460">
        <f t="shared" si="129"/>
        <v>0.05</v>
      </c>
      <c r="N1505" s="464">
        <f t="shared" si="130"/>
        <v>96851</v>
      </c>
    </row>
    <row r="1506" spans="7:14" ht="11.25" customHeight="1" x14ac:dyDescent="0.3">
      <c r="G1506" s="459"/>
      <c r="H1506" s="459">
        <v>1499</v>
      </c>
      <c r="I1506" s="444">
        <f t="shared" ca="1" si="128"/>
        <v>8450225.3628037944</v>
      </c>
      <c r="J1506" s="444">
        <f t="array" ref="J1506">IFERROR(INDEX('Retirement Calculator'!J:J,MATCH('Isaac 401k'!N1506,'Retirement Calculator'!A:A,0),0),0)</f>
        <v>0</v>
      </c>
      <c r="K1506" s="444">
        <f t="shared" ca="1" si="126"/>
        <v>35209.272345015808</v>
      </c>
      <c r="L1506" s="444">
        <f t="shared" ca="1" si="127"/>
        <v>8485434.6351488102</v>
      </c>
      <c r="M1506" s="460">
        <f t="shared" si="129"/>
        <v>0.05</v>
      </c>
      <c r="N1506" s="464">
        <f t="shared" si="130"/>
        <v>96882</v>
      </c>
    </row>
    <row r="1507" spans="7:14" ht="11.25" customHeight="1" x14ac:dyDescent="0.3">
      <c r="G1507" s="459"/>
      <c r="H1507" s="459">
        <v>1500</v>
      </c>
      <c r="I1507" s="444">
        <f t="shared" ca="1" si="128"/>
        <v>8485434.6351488102</v>
      </c>
      <c r="J1507" s="444">
        <f t="array" ref="J1507">IFERROR(INDEX('Retirement Calculator'!J:J,MATCH('Isaac 401k'!N1507,'Retirement Calculator'!A:A,0),0),0)</f>
        <v>0</v>
      </c>
      <c r="K1507" s="444">
        <f t="shared" ca="1" si="126"/>
        <v>35355.977646453379</v>
      </c>
      <c r="L1507" s="444">
        <f t="shared" ca="1" si="127"/>
        <v>8520790.6127952635</v>
      </c>
      <c r="M1507" s="460">
        <f t="shared" si="129"/>
        <v>0.05</v>
      </c>
      <c r="N1507" s="464">
        <f t="shared" si="130"/>
        <v>96912</v>
      </c>
    </row>
    <row r="1508" spans="7:14" ht="11.25" customHeight="1" x14ac:dyDescent="0.3">
      <c r="G1508" s="459"/>
      <c r="H1508" s="459">
        <v>1501</v>
      </c>
      <c r="I1508" s="444">
        <f t="shared" ca="1" si="128"/>
        <v>8520790.6127952635</v>
      </c>
      <c r="J1508" s="444">
        <f t="array" ref="J1508">IFERROR(INDEX('Retirement Calculator'!J:J,MATCH('Isaac 401k'!N1508,'Retirement Calculator'!A:A,0),0),0)</f>
        <v>0</v>
      </c>
      <c r="K1508" s="444">
        <f t="shared" ca="1" si="126"/>
        <v>35503.294219980264</v>
      </c>
      <c r="L1508" s="444">
        <f t="shared" ca="1" si="127"/>
        <v>8556293.9070152435</v>
      </c>
      <c r="M1508" s="460">
        <f t="shared" si="129"/>
        <v>0.05</v>
      </c>
      <c r="N1508" s="464">
        <f t="shared" si="130"/>
        <v>96943</v>
      </c>
    </row>
    <row r="1509" spans="7:14" ht="11.25" customHeight="1" x14ac:dyDescent="0.3">
      <c r="G1509" s="459"/>
      <c r="H1509" s="459">
        <v>1502</v>
      </c>
      <c r="I1509" s="444">
        <f t="shared" ca="1" si="128"/>
        <v>8556293.9070152435</v>
      </c>
      <c r="J1509" s="444">
        <f t="array" ref="J1509">IFERROR(INDEX('Retirement Calculator'!J:J,MATCH('Isaac 401k'!N1509,'Retirement Calculator'!A:A,0),0),0)</f>
        <v>0</v>
      </c>
      <c r="K1509" s="444">
        <f t="shared" ca="1" si="126"/>
        <v>35651.224612563514</v>
      </c>
      <c r="L1509" s="444">
        <f t="shared" ca="1" si="127"/>
        <v>8591945.1316278074</v>
      </c>
      <c r="M1509" s="460">
        <f t="shared" si="129"/>
        <v>0.05</v>
      </c>
      <c r="N1509" s="464">
        <f t="shared" si="130"/>
        <v>96973</v>
      </c>
    </row>
    <row r="1510" spans="7:14" ht="11.25" customHeight="1" x14ac:dyDescent="0.3">
      <c r="G1510" s="459"/>
      <c r="H1510" s="459">
        <v>1503</v>
      </c>
      <c r="I1510" s="444">
        <f t="shared" ca="1" si="128"/>
        <v>8591945.1316278074</v>
      </c>
      <c r="J1510" s="444">
        <f t="array" ref="J1510">IFERROR(INDEX('Retirement Calculator'!J:J,MATCH('Isaac 401k'!N1510,'Retirement Calculator'!A:A,0),0),0)</f>
        <v>0</v>
      </c>
      <c r="K1510" s="444">
        <f t="shared" ca="1" si="126"/>
        <v>35799.771381782528</v>
      </c>
      <c r="L1510" s="444">
        <f t="shared" ca="1" si="127"/>
        <v>8627744.9030095898</v>
      </c>
      <c r="M1510" s="460">
        <f t="shared" si="129"/>
        <v>0.05</v>
      </c>
      <c r="N1510" s="464">
        <f t="shared" si="130"/>
        <v>97004</v>
      </c>
    </row>
    <row r="1511" spans="7:14" ht="11.25" customHeight="1" x14ac:dyDescent="0.3">
      <c r="G1511" s="459"/>
      <c r="H1511" s="459">
        <v>1504</v>
      </c>
      <c r="I1511" s="444">
        <f t="shared" ca="1" si="128"/>
        <v>8627744.9030095898</v>
      </c>
      <c r="J1511" s="444">
        <f t="array" ref="J1511">IFERROR(INDEX('Retirement Calculator'!J:J,MATCH('Isaac 401k'!N1511,'Retirement Calculator'!A:A,0),0),0)</f>
        <v>0</v>
      </c>
      <c r="K1511" s="444">
        <f t="shared" ca="1" si="126"/>
        <v>35948.937095873291</v>
      </c>
      <c r="L1511" s="444">
        <f t="shared" ca="1" si="127"/>
        <v>8663693.8401054628</v>
      </c>
      <c r="M1511" s="460">
        <f t="shared" si="129"/>
        <v>0.05</v>
      </c>
      <c r="N1511" s="464">
        <f t="shared" si="130"/>
        <v>97035</v>
      </c>
    </row>
    <row r="1512" spans="7:14" ht="11.25" customHeight="1" x14ac:dyDescent="0.3">
      <c r="G1512" s="459"/>
      <c r="H1512" s="459">
        <v>1505</v>
      </c>
      <c r="I1512" s="444">
        <f t="shared" ca="1" si="128"/>
        <v>8663693.8401054628</v>
      </c>
      <c r="J1512" s="444">
        <f t="array" ref="J1512">IFERROR(INDEX('Retirement Calculator'!J:J,MATCH('Isaac 401k'!N1512,'Retirement Calculator'!A:A,0),0),0)</f>
        <v>0</v>
      </c>
      <c r="K1512" s="444">
        <f t="shared" ca="1" si="126"/>
        <v>36098.724333772763</v>
      </c>
      <c r="L1512" s="444">
        <f t="shared" ca="1" si="127"/>
        <v>8699792.5644392353</v>
      </c>
      <c r="M1512" s="460">
        <f t="shared" si="129"/>
        <v>0.05</v>
      </c>
      <c r="N1512" s="464">
        <f t="shared" si="130"/>
        <v>97065</v>
      </c>
    </row>
    <row r="1513" spans="7:14" ht="11.25" customHeight="1" x14ac:dyDescent="0.3">
      <c r="G1513" s="459"/>
      <c r="H1513" s="459">
        <v>1506</v>
      </c>
      <c r="I1513" s="444">
        <f t="shared" ca="1" si="128"/>
        <v>8699792.5644392353</v>
      </c>
      <c r="J1513" s="444">
        <f t="array" ref="J1513">IFERROR(INDEX('Retirement Calculator'!J:J,MATCH('Isaac 401k'!N1513,'Retirement Calculator'!A:A,0),0),0)</f>
        <v>0</v>
      </c>
      <c r="K1513" s="444">
        <f t="shared" ca="1" si="126"/>
        <v>36249.135685163477</v>
      </c>
      <c r="L1513" s="444">
        <f t="shared" ca="1" si="127"/>
        <v>8736041.7001243979</v>
      </c>
      <c r="M1513" s="460">
        <f t="shared" si="129"/>
        <v>0.05</v>
      </c>
      <c r="N1513" s="464">
        <f t="shared" si="130"/>
        <v>97096</v>
      </c>
    </row>
    <row r="1514" spans="7:14" ht="11.25" customHeight="1" x14ac:dyDescent="0.3">
      <c r="G1514" s="459"/>
      <c r="H1514" s="459">
        <v>1507</v>
      </c>
      <c r="I1514" s="444">
        <f t="shared" ca="1" si="128"/>
        <v>8736041.7001243979</v>
      </c>
      <c r="J1514" s="444">
        <f t="array" ref="J1514">IFERROR(INDEX('Retirement Calculator'!J:J,MATCH('Isaac 401k'!N1514,'Retirement Calculator'!A:A,0),0),0)</f>
        <v>0</v>
      </c>
      <c r="K1514" s="444">
        <f t="shared" ca="1" si="126"/>
        <v>36400.173750518326</v>
      </c>
      <c r="L1514" s="444">
        <f t="shared" ca="1" si="127"/>
        <v>8772441.8738749158</v>
      </c>
      <c r="M1514" s="460">
        <f t="shared" si="129"/>
        <v>0.05</v>
      </c>
      <c r="N1514" s="464">
        <f t="shared" si="130"/>
        <v>97126</v>
      </c>
    </row>
    <row r="1515" spans="7:14" ht="11.25" customHeight="1" x14ac:dyDescent="0.3">
      <c r="G1515" s="459"/>
      <c r="H1515" s="459">
        <v>1508</v>
      </c>
      <c r="I1515" s="444">
        <f t="shared" ca="1" si="128"/>
        <v>8772441.8738749158</v>
      </c>
      <c r="J1515" s="444">
        <f t="array" ref="J1515">IFERROR(INDEX('Retirement Calculator'!J:J,MATCH('Isaac 401k'!N1515,'Retirement Calculator'!A:A,0),0),0)</f>
        <v>0</v>
      </c>
      <c r="K1515" s="444">
        <f t="shared" ca="1" si="126"/>
        <v>36551.84114114548</v>
      </c>
      <c r="L1515" s="444">
        <f t="shared" ca="1" si="127"/>
        <v>8808993.7150160614</v>
      </c>
      <c r="M1515" s="460">
        <f t="shared" si="129"/>
        <v>0.05</v>
      </c>
      <c r="N1515" s="464">
        <f t="shared" si="130"/>
        <v>97157</v>
      </c>
    </row>
    <row r="1516" spans="7:14" ht="11.25" customHeight="1" x14ac:dyDescent="0.3">
      <c r="G1516" s="459"/>
      <c r="H1516" s="459">
        <v>1509</v>
      </c>
      <c r="I1516" s="444">
        <f t="shared" ca="1" si="128"/>
        <v>8808993.7150160614</v>
      </c>
      <c r="J1516" s="444">
        <f t="array" ref="J1516">IFERROR(INDEX('Retirement Calculator'!J:J,MATCH('Isaac 401k'!N1516,'Retirement Calculator'!A:A,0),0),0)</f>
        <v>0</v>
      </c>
      <c r="K1516" s="444">
        <f t="shared" ca="1" si="126"/>
        <v>36704.140479233589</v>
      </c>
      <c r="L1516" s="444">
        <f t="shared" ca="1" si="127"/>
        <v>8845697.8554952946</v>
      </c>
      <c r="M1516" s="460">
        <f t="shared" si="129"/>
        <v>0.05</v>
      </c>
      <c r="N1516" s="464">
        <f t="shared" si="130"/>
        <v>97188</v>
      </c>
    </row>
    <row r="1517" spans="7:14" ht="11.25" customHeight="1" x14ac:dyDescent="0.3">
      <c r="G1517" s="459"/>
      <c r="H1517" s="459">
        <v>1510</v>
      </c>
      <c r="I1517" s="444">
        <f t="shared" ca="1" si="128"/>
        <v>8845697.8554952946</v>
      </c>
      <c r="J1517" s="444">
        <f t="array" ref="J1517">IFERROR(INDEX('Retirement Calculator'!J:J,MATCH('Isaac 401k'!N1517,'Retirement Calculator'!A:A,0),0),0)</f>
        <v>0</v>
      </c>
      <c r="K1517" s="444">
        <f t="shared" ca="1" si="126"/>
        <v>36857.074397897057</v>
      </c>
      <c r="L1517" s="444">
        <f t="shared" ca="1" si="127"/>
        <v>8882554.9298931919</v>
      </c>
      <c r="M1517" s="460">
        <f t="shared" si="129"/>
        <v>0.05</v>
      </c>
      <c r="N1517" s="464">
        <f t="shared" si="130"/>
        <v>97216</v>
      </c>
    </row>
    <row r="1518" spans="7:14" ht="11.25" customHeight="1" x14ac:dyDescent="0.3">
      <c r="G1518" s="459"/>
      <c r="H1518" s="459">
        <v>1511</v>
      </c>
      <c r="I1518" s="444">
        <f t="shared" ca="1" si="128"/>
        <v>8882554.9298931919</v>
      </c>
      <c r="J1518" s="444">
        <f t="array" ref="J1518">IFERROR(INDEX('Retirement Calculator'!J:J,MATCH('Isaac 401k'!N1518,'Retirement Calculator'!A:A,0),0),0)</f>
        <v>0</v>
      </c>
      <c r="K1518" s="444">
        <f t="shared" ca="1" si="126"/>
        <v>37010.645541221631</v>
      </c>
      <c r="L1518" s="444">
        <f t="shared" ca="1" si="127"/>
        <v>8919565.5754344128</v>
      </c>
      <c r="M1518" s="460">
        <f t="shared" si="129"/>
        <v>0.05</v>
      </c>
      <c r="N1518" s="464">
        <f t="shared" si="130"/>
        <v>97247</v>
      </c>
    </row>
    <row r="1519" spans="7:14" ht="11.25" customHeight="1" x14ac:dyDescent="0.3">
      <c r="G1519" s="459"/>
      <c r="H1519" s="459">
        <v>1512</v>
      </c>
      <c r="I1519" s="444">
        <f t="shared" ca="1" si="128"/>
        <v>8919565.5754344128</v>
      </c>
      <c r="J1519" s="444">
        <f t="array" ref="J1519">IFERROR(INDEX('Retirement Calculator'!J:J,MATCH('Isaac 401k'!N1519,'Retirement Calculator'!A:A,0),0),0)</f>
        <v>0</v>
      </c>
      <c r="K1519" s="444">
        <f t="shared" ca="1" si="126"/>
        <v>37164.856564310052</v>
      </c>
      <c r="L1519" s="444">
        <f t="shared" ca="1" si="127"/>
        <v>8956730.4319987223</v>
      </c>
      <c r="M1519" s="460">
        <f t="shared" si="129"/>
        <v>0.05</v>
      </c>
      <c r="N1519" s="464">
        <f t="shared" si="130"/>
        <v>97277</v>
      </c>
    </row>
    <row r="1520" spans="7:14" ht="11.25" customHeight="1" x14ac:dyDescent="0.3">
      <c r="G1520" s="459"/>
      <c r="H1520" s="459">
        <v>1513</v>
      </c>
      <c r="I1520" s="444">
        <f t="shared" ca="1" si="128"/>
        <v>8956730.4319987223</v>
      </c>
      <c r="J1520" s="444">
        <f t="array" ref="J1520">IFERROR(INDEX('Retirement Calculator'!J:J,MATCH('Isaac 401k'!N1520,'Retirement Calculator'!A:A,0),0),0)</f>
        <v>0</v>
      </c>
      <c r="K1520" s="444">
        <f t="shared" ca="1" si="126"/>
        <v>37319.710133328008</v>
      </c>
      <c r="L1520" s="444">
        <f t="shared" ca="1" si="127"/>
        <v>8994050.1421320494</v>
      </c>
      <c r="M1520" s="460">
        <f t="shared" si="129"/>
        <v>0.05</v>
      </c>
      <c r="N1520" s="464">
        <f t="shared" si="130"/>
        <v>97308</v>
      </c>
    </row>
    <row r="1521" spans="7:14" ht="11.25" customHeight="1" x14ac:dyDescent="0.3">
      <c r="G1521" s="459"/>
      <c r="H1521" s="459">
        <v>1514</v>
      </c>
      <c r="I1521" s="444">
        <f t="shared" ca="1" si="128"/>
        <v>8994050.1421320494</v>
      </c>
      <c r="J1521" s="444">
        <f t="array" ref="J1521">IFERROR(INDEX('Retirement Calculator'!J:J,MATCH('Isaac 401k'!N1521,'Retirement Calculator'!A:A,0),0),0)</f>
        <v>0</v>
      </c>
      <c r="K1521" s="444">
        <f t="shared" ca="1" si="126"/>
        <v>37475.208925550207</v>
      </c>
      <c r="L1521" s="444">
        <f t="shared" ca="1" si="127"/>
        <v>9031525.3510576002</v>
      </c>
      <c r="M1521" s="460">
        <f t="shared" si="129"/>
        <v>0.05</v>
      </c>
      <c r="N1521" s="464">
        <f t="shared" si="130"/>
        <v>97338</v>
      </c>
    </row>
    <row r="1522" spans="7:14" ht="11.25" customHeight="1" x14ac:dyDescent="0.3">
      <c r="G1522" s="459"/>
      <c r="H1522" s="459">
        <v>1515</v>
      </c>
      <c r="I1522" s="444">
        <f t="shared" ca="1" si="128"/>
        <v>9031525.3510576002</v>
      </c>
      <c r="J1522" s="444">
        <f t="array" ref="J1522">IFERROR(INDEX('Retirement Calculator'!J:J,MATCH('Isaac 401k'!N1522,'Retirement Calculator'!A:A,0),0),0)</f>
        <v>0</v>
      </c>
      <c r="K1522" s="444">
        <f t="shared" ca="1" si="126"/>
        <v>37631.355629406666</v>
      </c>
      <c r="L1522" s="444">
        <f t="shared" ca="1" si="127"/>
        <v>9069156.7066870071</v>
      </c>
      <c r="M1522" s="460">
        <f t="shared" si="129"/>
        <v>0.05</v>
      </c>
      <c r="N1522" s="464">
        <f t="shared" si="130"/>
        <v>97369</v>
      </c>
    </row>
    <row r="1523" spans="7:14" ht="11.25" customHeight="1" x14ac:dyDescent="0.3">
      <c r="G1523" s="459"/>
      <c r="H1523" s="459">
        <v>1516</v>
      </c>
      <c r="I1523" s="444">
        <f t="shared" ca="1" si="128"/>
        <v>9069156.7066870071</v>
      </c>
      <c r="J1523" s="444">
        <f t="array" ref="J1523">IFERROR(INDEX('Retirement Calculator'!J:J,MATCH('Isaac 401k'!N1523,'Retirement Calculator'!A:A,0),0),0)</f>
        <v>0</v>
      </c>
      <c r="K1523" s="444">
        <f t="shared" ca="1" si="126"/>
        <v>37788.152944529196</v>
      </c>
      <c r="L1523" s="444">
        <f t="shared" ca="1" si="127"/>
        <v>9106944.8596315365</v>
      </c>
      <c r="M1523" s="460">
        <f t="shared" si="129"/>
        <v>0.05</v>
      </c>
      <c r="N1523" s="464">
        <f t="shared" si="130"/>
        <v>97400</v>
      </c>
    </row>
    <row r="1524" spans="7:14" ht="11.25" customHeight="1" x14ac:dyDescent="0.3">
      <c r="G1524" s="459"/>
      <c r="H1524" s="459">
        <v>1517</v>
      </c>
      <c r="I1524" s="444">
        <f t="shared" ca="1" si="128"/>
        <v>9106944.8596315365</v>
      </c>
      <c r="J1524" s="444">
        <f t="array" ref="J1524">IFERROR(INDEX('Retirement Calculator'!J:J,MATCH('Isaac 401k'!N1524,'Retirement Calculator'!A:A,0),0),0)</f>
        <v>0</v>
      </c>
      <c r="K1524" s="444">
        <f t="shared" ca="1" si="126"/>
        <v>37945.603581798066</v>
      </c>
      <c r="L1524" s="444">
        <f t="shared" ca="1" si="127"/>
        <v>9144890.4632133339</v>
      </c>
      <c r="M1524" s="460">
        <f t="shared" si="129"/>
        <v>0.05</v>
      </c>
      <c r="N1524" s="464">
        <f t="shared" si="130"/>
        <v>97430</v>
      </c>
    </row>
    <row r="1525" spans="7:14" ht="11.25" customHeight="1" x14ac:dyDescent="0.3">
      <c r="G1525" s="459"/>
      <c r="H1525" s="459">
        <v>1518</v>
      </c>
      <c r="I1525" s="444">
        <f t="shared" ca="1" si="128"/>
        <v>9144890.4632133339</v>
      </c>
      <c r="J1525" s="444">
        <f t="array" ref="J1525">IFERROR(INDEX('Retirement Calculator'!J:J,MATCH('Isaac 401k'!N1525,'Retirement Calculator'!A:A,0),0),0)</f>
        <v>0</v>
      </c>
      <c r="K1525" s="444">
        <f t="shared" ca="1" si="126"/>
        <v>38103.710263388894</v>
      </c>
      <c r="L1525" s="444">
        <f t="shared" ca="1" si="127"/>
        <v>9182994.1734767221</v>
      </c>
      <c r="M1525" s="460">
        <f t="shared" si="129"/>
        <v>0.05</v>
      </c>
      <c r="N1525" s="464">
        <f t="shared" si="130"/>
        <v>97461</v>
      </c>
    </row>
    <row r="1526" spans="7:14" ht="11.25" customHeight="1" x14ac:dyDescent="0.3">
      <c r="G1526" s="459"/>
      <c r="H1526" s="459">
        <v>1519</v>
      </c>
      <c r="I1526" s="444">
        <f t="shared" ca="1" si="128"/>
        <v>9182994.1734767221</v>
      </c>
      <c r="J1526" s="444">
        <f t="array" ref="J1526">IFERROR(INDEX('Retirement Calculator'!J:J,MATCH('Isaac 401k'!N1526,'Retirement Calculator'!A:A,0),0),0)</f>
        <v>0</v>
      </c>
      <c r="K1526" s="444">
        <f t="shared" ca="1" si="126"/>
        <v>38262.475722819676</v>
      </c>
      <c r="L1526" s="444">
        <f t="shared" ca="1" si="127"/>
        <v>9221256.6491995417</v>
      </c>
      <c r="M1526" s="460">
        <f t="shared" si="129"/>
        <v>0.05</v>
      </c>
      <c r="N1526" s="464">
        <f t="shared" si="130"/>
        <v>97491</v>
      </c>
    </row>
    <row r="1527" spans="7:14" ht="11.25" customHeight="1" x14ac:dyDescent="0.3">
      <c r="G1527" s="459"/>
      <c r="H1527" s="459">
        <v>1520</v>
      </c>
      <c r="I1527" s="444">
        <f t="shared" ca="1" si="128"/>
        <v>9221256.6491995417</v>
      </c>
      <c r="J1527" s="444">
        <f t="array" ref="J1527">IFERROR(INDEX('Retirement Calculator'!J:J,MATCH('Isaac 401k'!N1527,'Retirement Calculator'!A:A,0),0),0)</f>
        <v>0</v>
      </c>
      <c r="K1527" s="444">
        <f t="shared" ca="1" si="126"/>
        <v>38421.902704998087</v>
      </c>
      <c r="L1527" s="444">
        <f t="shared" ca="1" si="127"/>
        <v>9259678.5519045405</v>
      </c>
      <c r="M1527" s="460">
        <f t="shared" si="129"/>
        <v>0.05</v>
      </c>
      <c r="N1527" s="464">
        <f t="shared" si="130"/>
        <v>97522</v>
      </c>
    </row>
    <row r="1528" spans="7:14" ht="11.25" customHeight="1" x14ac:dyDescent="0.3">
      <c r="G1528" s="459"/>
      <c r="H1528" s="459">
        <v>1521</v>
      </c>
      <c r="I1528" s="444">
        <f t="shared" ca="1" si="128"/>
        <v>9259678.5519045405</v>
      </c>
      <c r="J1528" s="444">
        <f t="array" ref="J1528">IFERROR(INDEX('Retirement Calculator'!J:J,MATCH('Isaac 401k'!N1528,'Retirement Calculator'!A:A,0),0),0)</f>
        <v>0</v>
      </c>
      <c r="K1528" s="444">
        <f t="shared" ca="1" si="126"/>
        <v>38581.993966268921</v>
      </c>
      <c r="L1528" s="444">
        <f t="shared" ca="1" si="127"/>
        <v>9298260.5458708089</v>
      </c>
      <c r="M1528" s="460">
        <f t="shared" si="129"/>
        <v>0.05</v>
      </c>
      <c r="N1528" s="464">
        <f t="shared" si="130"/>
        <v>97553</v>
      </c>
    </row>
    <row r="1529" spans="7:14" ht="11.25" customHeight="1" x14ac:dyDescent="0.3">
      <c r="G1529" s="459"/>
      <c r="H1529" s="459">
        <v>1522</v>
      </c>
      <c r="I1529" s="444">
        <f t="shared" ca="1" si="128"/>
        <v>9298260.5458708089</v>
      </c>
      <c r="J1529" s="444">
        <f t="array" ref="J1529">IFERROR(INDEX('Retirement Calculator'!J:J,MATCH('Isaac 401k'!N1529,'Retirement Calculator'!A:A,0),0),0)</f>
        <v>0</v>
      </c>
      <c r="K1529" s="444">
        <f t="shared" ca="1" si="126"/>
        <v>38742.752274461702</v>
      </c>
      <c r="L1529" s="444">
        <f t="shared" ca="1" si="127"/>
        <v>9337003.29814527</v>
      </c>
      <c r="M1529" s="460">
        <f t="shared" si="129"/>
        <v>0.05</v>
      </c>
      <c r="N1529" s="464">
        <f t="shared" si="130"/>
        <v>97581</v>
      </c>
    </row>
    <row r="1530" spans="7:14" ht="11.25" customHeight="1" x14ac:dyDescent="0.3">
      <c r="G1530" s="459"/>
      <c r="H1530" s="459">
        <v>1523</v>
      </c>
      <c r="I1530" s="444">
        <f t="shared" ca="1" si="128"/>
        <v>9337003.29814527</v>
      </c>
      <c r="J1530" s="444">
        <f t="array" ref="J1530">IFERROR(INDEX('Retirement Calculator'!J:J,MATCH('Isaac 401k'!N1530,'Retirement Calculator'!A:A,0),0),0)</f>
        <v>0</v>
      </c>
      <c r="K1530" s="444">
        <f t="shared" ca="1" si="126"/>
        <v>38904.180408938628</v>
      </c>
      <c r="L1530" s="444">
        <f t="shared" ca="1" si="127"/>
        <v>9375907.4785542078</v>
      </c>
      <c r="M1530" s="460">
        <f t="shared" si="129"/>
        <v>0.05</v>
      </c>
      <c r="N1530" s="464">
        <f t="shared" si="130"/>
        <v>97612</v>
      </c>
    </row>
    <row r="1531" spans="7:14" ht="11.25" customHeight="1" x14ac:dyDescent="0.3">
      <c r="G1531" s="459"/>
      <c r="H1531" s="459">
        <v>1524</v>
      </c>
      <c r="I1531" s="444">
        <f t="shared" ca="1" si="128"/>
        <v>9375907.4785542078</v>
      </c>
      <c r="J1531" s="444">
        <f t="array" ref="J1531">IFERROR(INDEX('Retirement Calculator'!J:J,MATCH('Isaac 401k'!N1531,'Retirement Calculator'!A:A,0),0),0)</f>
        <v>0</v>
      </c>
      <c r="K1531" s="444">
        <f t="shared" ca="1" si="126"/>
        <v>39066.281160642531</v>
      </c>
      <c r="L1531" s="444">
        <f t="shared" ca="1" si="127"/>
        <v>9414973.7597148512</v>
      </c>
      <c r="M1531" s="460">
        <f t="shared" si="129"/>
        <v>0.05</v>
      </c>
      <c r="N1531" s="464">
        <f t="shared" si="130"/>
        <v>97642</v>
      </c>
    </row>
    <row r="1532" spans="7:14" ht="11.25" customHeight="1" x14ac:dyDescent="0.3">
      <c r="G1532" s="459"/>
      <c r="H1532" s="459">
        <v>1525</v>
      </c>
      <c r="I1532" s="444">
        <f t="shared" ca="1" si="128"/>
        <v>9414973.7597148512</v>
      </c>
      <c r="J1532" s="444">
        <f t="array" ref="J1532">IFERROR(INDEX('Retirement Calculator'!J:J,MATCH('Isaac 401k'!N1532,'Retirement Calculator'!A:A,0),0),0)</f>
        <v>0</v>
      </c>
      <c r="K1532" s="444">
        <f t="shared" ca="1" si="126"/>
        <v>39229.05733214521</v>
      </c>
      <c r="L1532" s="444">
        <f t="shared" ca="1" si="127"/>
        <v>9454202.8170469962</v>
      </c>
      <c r="M1532" s="460">
        <f t="shared" si="129"/>
        <v>0.05</v>
      </c>
      <c r="N1532" s="464">
        <f t="shared" si="130"/>
        <v>97673</v>
      </c>
    </row>
    <row r="1533" spans="7:14" ht="11.25" customHeight="1" x14ac:dyDescent="0.3">
      <c r="G1533" s="459"/>
      <c r="H1533" s="459">
        <v>1526</v>
      </c>
      <c r="I1533" s="444">
        <f t="shared" ca="1" si="128"/>
        <v>9454202.8170469962</v>
      </c>
      <c r="J1533" s="444">
        <f t="array" ref="J1533">IFERROR(INDEX('Retirement Calculator'!J:J,MATCH('Isaac 401k'!N1533,'Retirement Calculator'!A:A,0),0),0)</f>
        <v>0</v>
      </c>
      <c r="K1533" s="444">
        <f t="shared" ca="1" si="126"/>
        <v>39392.511737695815</v>
      </c>
      <c r="L1533" s="444">
        <f t="shared" ca="1" si="127"/>
        <v>9493595.3287846912</v>
      </c>
      <c r="M1533" s="460">
        <f t="shared" si="129"/>
        <v>0.05</v>
      </c>
      <c r="N1533" s="464">
        <f t="shared" si="130"/>
        <v>97703</v>
      </c>
    </row>
    <row r="1534" spans="7:14" ht="11.25" customHeight="1" x14ac:dyDescent="0.3">
      <c r="G1534" s="459"/>
      <c r="H1534" s="459">
        <v>1527</v>
      </c>
      <c r="I1534" s="444">
        <f t="shared" ca="1" si="128"/>
        <v>9493595.3287846912</v>
      </c>
      <c r="J1534" s="444">
        <f t="array" ref="J1534">IFERROR(INDEX('Retirement Calculator'!J:J,MATCH('Isaac 401k'!N1534,'Retirement Calculator'!A:A,0),0),0)</f>
        <v>0</v>
      </c>
      <c r="K1534" s="444">
        <f t="shared" ca="1" si="126"/>
        <v>39556.647203269546</v>
      </c>
      <c r="L1534" s="444">
        <f t="shared" ca="1" si="127"/>
        <v>9533151.9759879615</v>
      </c>
      <c r="M1534" s="460">
        <f t="shared" si="129"/>
        <v>0.05</v>
      </c>
      <c r="N1534" s="464">
        <f t="shared" si="130"/>
        <v>97734</v>
      </c>
    </row>
    <row r="1535" spans="7:14" ht="11.25" customHeight="1" x14ac:dyDescent="0.3">
      <c r="G1535" s="459"/>
      <c r="H1535" s="459">
        <v>1528</v>
      </c>
      <c r="I1535" s="444">
        <f t="shared" ca="1" si="128"/>
        <v>9533151.9759879615</v>
      </c>
      <c r="J1535" s="444">
        <f t="array" ref="J1535">IFERROR(INDEX('Retirement Calculator'!J:J,MATCH('Isaac 401k'!N1535,'Retirement Calculator'!A:A,0),0),0)</f>
        <v>0</v>
      </c>
      <c r="K1535" s="444">
        <f t="shared" ca="1" si="126"/>
        <v>39721.466566616509</v>
      </c>
      <c r="L1535" s="444">
        <f t="shared" ca="1" si="127"/>
        <v>9572873.4425545782</v>
      </c>
      <c r="M1535" s="460">
        <f t="shared" si="129"/>
        <v>0.05</v>
      </c>
      <c r="N1535" s="464">
        <f t="shared" si="130"/>
        <v>97765</v>
      </c>
    </row>
    <row r="1536" spans="7:14" ht="11.25" customHeight="1" x14ac:dyDescent="0.3">
      <c r="G1536" s="459"/>
      <c r="H1536" s="459">
        <v>1529</v>
      </c>
      <c r="I1536" s="444">
        <f t="shared" ca="1" si="128"/>
        <v>9572873.4425545782</v>
      </c>
      <c r="J1536" s="444">
        <f t="array" ref="J1536">IFERROR(INDEX('Retirement Calculator'!J:J,MATCH('Isaac 401k'!N1536,'Retirement Calculator'!A:A,0),0),0)</f>
        <v>0</v>
      </c>
      <c r="K1536" s="444">
        <f t="shared" ca="1" si="126"/>
        <v>39886.97267731074</v>
      </c>
      <c r="L1536" s="444">
        <f t="shared" ca="1" si="127"/>
        <v>9612760.4152318891</v>
      </c>
      <c r="M1536" s="460">
        <f t="shared" si="129"/>
        <v>0.05</v>
      </c>
      <c r="N1536" s="464">
        <f t="shared" si="130"/>
        <v>97795</v>
      </c>
    </row>
    <row r="1537" spans="7:14" ht="11.25" customHeight="1" x14ac:dyDescent="0.3">
      <c r="G1537" s="459"/>
      <c r="H1537" s="459">
        <v>1530</v>
      </c>
      <c r="I1537" s="444">
        <f t="shared" ca="1" si="128"/>
        <v>9612760.4152318891</v>
      </c>
      <c r="J1537" s="444">
        <f t="array" ref="J1537">IFERROR(INDEX('Retirement Calculator'!J:J,MATCH('Isaac 401k'!N1537,'Retirement Calculator'!A:A,0),0),0)</f>
        <v>0</v>
      </c>
      <c r="K1537" s="444">
        <f t="shared" ca="1" si="126"/>
        <v>40053.168396799534</v>
      </c>
      <c r="L1537" s="444">
        <f t="shared" ca="1" si="127"/>
        <v>9652813.583628688</v>
      </c>
      <c r="M1537" s="460">
        <f t="shared" si="129"/>
        <v>0.05</v>
      </c>
      <c r="N1537" s="464">
        <f t="shared" si="130"/>
        <v>97826</v>
      </c>
    </row>
    <row r="1538" spans="7:14" ht="11.25" customHeight="1" x14ac:dyDescent="0.3">
      <c r="G1538" s="459"/>
      <c r="H1538" s="459">
        <v>1531</v>
      </c>
      <c r="I1538" s="444">
        <f t="shared" ca="1" si="128"/>
        <v>9652813.583628688</v>
      </c>
      <c r="J1538" s="444">
        <f t="array" ref="J1538">IFERROR(INDEX('Retirement Calculator'!J:J,MATCH('Isaac 401k'!N1538,'Retirement Calculator'!A:A,0),0),0)</f>
        <v>0</v>
      </c>
      <c r="K1538" s="444">
        <f t="shared" ref="K1538:K1792" ca="1" si="131">IPMT(M1538/12,1,12,-I1538+J1538,,0)</f>
        <v>40220.056598452866</v>
      </c>
      <c r="L1538" s="444">
        <f t="shared" ref="L1538:L1792" ca="1" si="132">I1538-J1538+K1538</f>
        <v>9693033.6402271409</v>
      </c>
      <c r="M1538" s="460">
        <f t="shared" si="129"/>
        <v>0.05</v>
      </c>
      <c r="N1538" s="464">
        <f t="shared" si="130"/>
        <v>97856</v>
      </c>
    </row>
    <row r="1539" spans="7:14" ht="11.25" customHeight="1" x14ac:dyDescent="0.3">
      <c r="G1539" s="459"/>
      <c r="H1539" s="459">
        <v>1532</v>
      </c>
      <c r="I1539" s="444">
        <f t="shared" ref="I1539:I1793" ca="1" si="133">L1538</f>
        <v>9693033.6402271409</v>
      </c>
      <c r="J1539" s="444">
        <f t="array" ref="J1539">IFERROR(INDEX('Retirement Calculator'!J:J,MATCH('Isaac 401k'!N1539,'Retirement Calculator'!A:A,0),0),0)</f>
        <v>0</v>
      </c>
      <c r="K1539" s="444">
        <f t="shared" ca="1" si="131"/>
        <v>40387.640167613084</v>
      </c>
      <c r="L1539" s="444">
        <f t="shared" ca="1" si="132"/>
        <v>9733421.2803947534</v>
      </c>
      <c r="M1539" s="460">
        <f t="shared" ref="M1539:M1793" si="134">M1538</f>
        <v>0.05</v>
      </c>
      <c r="N1539" s="464">
        <f t="shared" ref="N1539:N1793" si="135">EDATE(N1538,1)</f>
        <v>97887</v>
      </c>
    </row>
    <row r="1540" spans="7:14" ht="11.25" customHeight="1" x14ac:dyDescent="0.3">
      <c r="G1540" s="459"/>
      <c r="H1540" s="459">
        <v>1533</v>
      </c>
      <c r="I1540" s="444">
        <f t="shared" ca="1" si="133"/>
        <v>9733421.2803947534</v>
      </c>
      <c r="J1540" s="444">
        <f t="array" ref="J1540">IFERROR(INDEX('Retirement Calculator'!J:J,MATCH('Isaac 401k'!N1540,'Retirement Calculator'!A:A,0),0),0)</f>
        <v>0</v>
      </c>
      <c r="K1540" s="444">
        <f t="shared" ca="1" si="131"/>
        <v>40555.922001644809</v>
      </c>
      <c r="L1540" s="444">
        <f t="shared" ca="1" si="132"/>
        <v>9773977.2023963984</v>
      </c>
      <c r="M1540" s="460">
        <f t="shared" si="134"/>
        <v>0.05</v>
      </c>
      <c r="N1540" s="464">
        <f t="shared" si="135"/>
        <v>97918</v>
      </c>
    </row>
    <row r="1541" spans="7:14" ht="11.25" customHeight="1" x14ac:dyDescent="0.3">
      <c r="G1541" s="459"/>
      <c r="H1541" s="459">
        <v>1534</v>
      </c>
      <c r="I1541" s="444">
        <f t="shared" ca="1" si="133"/>
        <v>9773977.2023963984</v>
      </c>
      <c r="J1541" s="444">
        <f t="array" ref="J1541">IFERROR(INDEX('Retirement Calculator'!J:J,MATCH('Isaac 401k'!N1541,'Retirement Calculator'!A:A,0),0),0)</f>
        <v>0</v>
      </c>
      <c r="K1541" s="444">
        <f t="shared" ca="1" si="131"/>
        <v>40724.905009984992</v>
      </c>
      <c r="L1541" s="444">
        <f t="shared" ca="1" si="132"/>
        <v>9814702.1074063834</v>
      </c>
      <c r="M1541" s="460">
        <f t="shared" si="134"/>
        <v>0.05</v>
      </c>
      <c r="N1541" s="464">
        <f t="shared" si="135"/>
        <v>97947</v>
      </c>
    </row>
    <row r="1542" spans="7:14" ht="11.25" customHeight="1" x14ac:dyDescent="0.3">
      <c r="G1542" s="459"/>
      <c r="H1542" s="459">
        <v>1535</v>
      </c>
      <c r="I1542" s="444">
        <f t="shared" ca="1" si="133"/>
        <v>9814702.1074063834</v>
      </c>
      <c r="J1542" s="444">
        <f t="array" ref="J1542">IFERROR(INDEX('Retirement Calculator'!J:J,MATCH('Isaac 401k'!N1542,'Retirement Calculator'!A:A,0),0),0)</f>
        <v>0</v>
      </c>
      <c r="K1542" s="444">
        <f t="shared" ca="1" si="131"/>
        <v>40894.592114193263</v>
      </c>
      <c r="L1542" s="444">
        <f t="shared" ca="1" si="132"/>
        <v>9855596.6995205767</v>
      </c>
      <c r="M1542" s="460">
        <f t="shared" si="134"/>
        <v>0.05</v>
      </c>
      <c r="N1542" s="464">
        <f t="shared" si="135"/>
        <v>97978</v>
      </c>
    </row>
    <row r="1543" spans="7:14" ht="11.25" customHeight="1" x14ac:dyDescent="0.3">
      <c r="G1543" s="459"/>
      <c r="H1543" s="459">
        <v>1536</v>
      </c>
      <c r="I1543" s="444">
        <f t="shared" ca="1" si="133"/>
        <v>9855596.6995205767</v>
      </c>
      <c r="J1543" s="444">
        <f t="array" ref="J1543">IFERROR(INDEX('Retirement Calculator'!J:J,MATCH('Isaac 401k'!N1543,'Retirement Calculator'!A:A,0),0),0)</f>
        <v>0</v>
      </c>
      <c r="K1543" s="444">
        <f t="shared" ca="1" si="131"/>
        <v>41064.986248002402</v>
      </c>
      <c r="L1543" s="444">
        <f t="shared" ca="1" si="132"/>
        <v>9896661.6857685801</v>
      </c>
      <c r="M1543" s="460">
        <f t="shared" si="134"/>
        <v>0.05</v>
      </c>
      <c r="N1543" s="464">
        <f t="shared" si="135"/>
        <v>98008</v>
      </c>
    </row>
    <row r="1544" spans="7:14" ht="11.25" customHeight="1" x14ac:dyDescent="0.3">
      <c r="G1544" s="459"/>
      <c r="H1544" s="459">
        <v>1537</v>
      </c>
      <c r="I1544" s="444">
        <f t="shared" ca="1" si="133"/>
        <v>9896661.6857685801</v>
      </c>
      <c r="J1544" s="444">
        <f t="array" ref="J1544">IFERROR(INDEX('Retirement Calculator'!J:J,MATCH('Isaac 401k'!N1544,'Retirement Calculator'!A:A,0),0),0)</f>
        <v>0</v>
      </c>
      <c r="K1544" s="444">
        <f t="shared" ca="1" si="131"/>
        <v>41236.090357369081</v>
      </c>
      <c r="L1544" s="444">
        <f t="shared" ca="1" si="132"/>
        <v>9937897.7761259489</v>
      </c>
      <c r="M1544" s="460">
        <f t="shared" si="134"/>
        <v>0.05</v>
      </c>
      <c r="N1544" s="464">
        <f t="shared" si="135"/>
        <v>98039</v>
      </c>
    </row>
    <row r="1545" spans="7:14" ht="11.25" customHeight="1" x14ac:dyDescent="0.3">
      <c r="G1545" s="459"/>
      <c r="H1545" s="459">
        <v>1538</v>
      </c>
      <c r="I1545" s="444">
        <f t="shared" ca="1" si="133"/>
        <v>9937897.7761259489</v>
      </c>
      <c r="J1545" s="444">
        <f t="array" ref="J1545">IFERROR(INDEX('Retirement Calculator'!J:J,MATCH('Isaac 401k'!N1545,'Retirement Calculator'!A:A,0),0),0)</f>
        <v>0</v>
      </c>
      <c r="K1545" s="444">
        <f t="shared" ca="1" si="131"/>
        <v>41407.907400524789</v>
      </c>
      <c r="L1545" s="444">
        <f t="shared" ca="1" si="132"/>
        <v>9979305.6835264731</v>
      </c>
      <c r="M1545" s="460">
        <f t="shared" si="134"/>
        <v>0.05</v>
      </c>
      <c r="N1545" s="464">
        <f t="shared" si="135"/>
        <v>98069</v>
      </c>
    </row>
    <row r="1546" spans="7:14" ht="11.25" customHeight="1" x14ac:dyDescent="0.3">
      <c r="G1546" s="459"/>
      <c r="H1546" s="459">
        <v>1539</v>
      </c>
      <c r="I1546" s="444">
        <f t="shared" ca="1" si="133"/>
        <v>9979305.6835264731</v>
      </c>
      <c r="J1546" s="444">
        <f t="array" ref="J1546">IFERROR(INDEX('Retirement Calculator'!J:J,MATCH('Isaac 401k'!N1546,'Retirement Calculator'!A:A,0),0),0)</f>
        <v>0</v>
      </c>
      <c r="K1546" s="444">
        <f t="shared" ca="1" si="131"/>
        <v>41580.440348026968</v>
      </c>
      <c r="L1546" s="444">
        <f t="shared" ca="1" si="132"/>
        <v>10020886.1238745</v>
      </c>
      <c r="M1546" s="460">
        <f t="shared" si="134"/>
        <v>0.05</v>
      </c>
      <c r="N1546" s="464">
        <f t="shared" si="135"/>
        <v>98100</v>
      </c>
    </row>
    <row r="1547" spans="7:14" ht="11.25" customHeight="1" x14ac:dyDescent="0.3">
      <c r="G1547" s="459"/>
      <c r="H1547" s="459">
        <v>1540</v>
      </c>
      <c r="I1547" s="444">
        <f t="shared" ca="1" si="133"/>
        <v>10020886.1238745</v>
      </c>
      <c r="J1547" s="444">
        <f t="array" ref="J1547">IFERROR(INDEX('Retirement Calculator'!J:J,MATCH('Isaac 401k'!N1547,'Retirement Calculator'!A:A,0),0),0)</f>
        <v>0</v>
      </c>
      <c r="K1547" s="444">
        <f t="shared" ca="1" si="131"/>
        <v>41753.692182810417</v>
      </c>
      <c r="L1547" s="444">
        <f t="shared" ca="1" si="132"/>
        <v>10062639.816057311</v>
      </c>
      <c r="M1547" s="460">
        <f t="shared" si="134"/>
        <v>0.05</v>
      </c>
      <c r="N1547" s="464">
        <f t="shared" si="135"/>
        <v>98131</v>
      </c>
    </row>
    <row r="1548" spans="7:14" ht="11.25" customHeight="1" x14ac:dyDescent="0.3">
      <c r="G1548" s="459"/>
      <c r="H1548" s="459">
        <v>1541</v>
      </c>
      <c r="I1548" s="444">
        <f t="shared" ca="1" si="133"/>
        <v>10062639.816057311</v>
      </c>
      <c r="J1548" s="444">
        <f t="array" ref="J1548">IFERROR(INDEX('Retirement Calculator'!J:J,MATCH('Isaac 401k'!N1548,'Retirement Calculator'!A:A,0),0),0)</f>
        <v>0</v>
      </c>
      <c r="K1548" s="444">
        <f t="shared" ca="1" si="131"/>
        <v>41927.665900238797</v>
      </c>
      <c r="L1548" s="444">
        <f t="shared" ca="1" si="132"/>
        <v>10104567.481957551</v>
      </c>
      <c r="M1548" s="460">
        <f t="shared" si="134"/>
        <v>0.05</v>
      </c>
      <c r="N1548" s="464">
        <f t="shared" si="135"/>
        <v>98161</v>
      </c>
    </row>
    <row r="1549" spans="7:14" ht="11.25" customHeight="1" x14ac:dyDescent="0.3">
      <c r="G1549" s="459"/>
      <c r="H1549" s="459">
        <v>1542</v>
      </c>
      <c r="I1549" s="444">
        <f t="shared" ca="1" si="133"/>
        <v>10104567.481957551</v>
      </c>
      <c r="J1549" s="444">
        <f t="array" ref="J1549">IFERROR(INDEX('Retirement Calculator'!J:J,MATCH('Isaac 401k'!N1549,'Retirement Calculator'!A:A,0),0),0)</f>
        <v>0</v>
      </c>
      <c r="K1549" s="444">
        <f t="shared" ca="1" si="131"/>
        <v>42102.364508156461</v>
      </c>
      <c r="L1549" s="444">
        <f t="shared" ca="1" si="132"/>
        <v>10146669.846465707</v>
      </c>
      <c r="M1549" s="460">
        <f t="shared" si="134"/>
        <v>0.05</v>
      </c>
      <c r="N1549" s="464">
        <f t="shared" si="135"/>
        <v>98192</v>
      </c>
    </row>
    <row r="1550" spans="7:14" ht="11.25" customHeight="1" x14ac:dyDescent="0.3">
      <c r="G1550" s="459"/>
      <c r="H1550" s="459">
        <v>1543</v>
      </c>
      <c r="I1550" s="444">
        <f t="shared" ca="1" si="133"/>
        <v>10146669.846465707</v>
      </c>
      <c r="J1550" s="444">
        <f t="array" ref="J1550">IFERROR(INDEX('Retirement Calculator'!J:J,MATCH('Isaac 401k'!N1550,'Retirement Calculator'!A:A,0),0),0)</f>
        <v>0</v>
      </c>
      <c r="K1550" s="444">
        <f t="shared" ca="1" si="131"/>
        <v>42277.791026940446</v>
      </c>
      <c r="L1550" s="444">
        <f t="shared" ca="1" si="132"/>
        <v>10188947.637492647</v>
      </c>
      <c r="M1550" s="460">
        <f t="shared" si="134"/>
        <v>0.05</v>
      </c>
      <c r="N1550" s="464">
        <f t="shared" si="135"/>
        <v>98222</v>
      </c>
    </row>
    <row r="1551" spans="7:14" ht="11.25" customHeight="1" x14ac:dyDescent="0.3">
      <c r="G1551" s="459"/>
      <c r="H1551" s="459">
        <v>1544</v>
      </c>
      <c r="I1551" s="444">
        <f t="shared" ca="1" si="133"/>
        <v>10188947.637492647</v>
      </c>
      <c r="J1551" s="444">
        <f t="array" ref="J1551">IFERROR(INDEX('Retirement Calculator'!J:J,MATCH('Isaac 401k'!N1551,'Retirement Calculator'!A:A,0),0),0)</f>
        <v>0</v>
      </c>
      <c r="K1551" s="444">
        <f t="shared" ca="1" si="131"/>
        <v>42453.948489552698</v>
      </c>
      <c r="L1551" s="444">
        <f t="shared" ca="1" si="132"/>
        <v>10231401.5859822</v>
      </c>
      <c r="M1551" s="460">
        <f t="shared" si="134"/>
        <v>0.05</v>
      </c>
      <c r="N1551" s="464">
        <f t="shared" si="135"/>
        <v>98253</v>
      </c>
    </row>
    <row r="1552" spans="7:14" ht="11.25" customHeight="1" x14ac:dyDescent="0.3">
      <c r="G1552" s="459"/>
      <c r="H1552" s="459">
        <v>1545</v>
      </c>
      <c r="I1552" s="444">
        <f t="shared" ca="1" si="133"/>
        <v>10231401.5859822</v>
      </c>
      <c r="J1552" s="444">
        <f t="array" ref="J1552">IFERROR(INDEX('Retirement Calculator'!J:J,MATCH('Isaac 401k'!N1552,'Retirement Calculator'!A:A,0),0),0)</f>
        <v>0</v>
      </c>
      <c r="K1552" s="444">
        <f t="shared" ca="1" si="131"/>
        <v>42630.839941592501</v>
      </c>
      <c r="L1552" s="444">
        <f t="shared" ca="1" si="132"/>
        <v>10274032.425923793</v>
      </c>
      <c r="M1552" s="460">
        <f t="shared" si="134"/>
        <v>0.05</v>
      </c>
      <c r="N1552" s="464">
        <f t="shared" si="135"/>
        <v>98284</v>
      </c>
    </row>
    <row r="1553" spans="7:14" ht="11.25" customHeight="1" x14ac:dyDescent="0.3">
      <c r="G1553" s="459"/>
      <c r="H1553" s="459">
        <v>1546</v>
      </c>
      <c r="I1553" s="444">
        <f t="shared" ca="1" si="133"/>
        <v>10274032.425923793</v>
      </c>
      <c r="J1553" s="444">
        <f t="array" ref="J1553">IFERROR(INDEX('Retirement Calculator'!J:J,MATCH('Isaac 401k'!N1553,'Retirement Calculator'!A:A,0),0),0)</f>
        <v>0</v>
      </c>
      <c r="K1553" s="444">
        <f t="shared" ca="1" si="131"/>
        <v>42808.468441349134</v>
      </c>
      <c r="L1553" s="444">
        <f t="shared" ca="1" si="132"/>
        <v>10316840.894365141</v>
      </c>
      <c r="M1553" s="460">
        <f t="shared" si="134"/>
        <v>0.05</v>
      </c>
      <c r="N1553" s="464">
        <f t="shared" si="135"/>
        <v>98312</v>
      </c>
    </row>
    <row r="1554" spans="7:14" ht="11.25" customHeight="1" x14ac:dyDescent="0.3">
      <c r="G1554" s="459"/>
      <c r="H1554" s="459">
        <v>1547</v>
      </c>
      <c r="I1554" s="444">
        <f t="shared" ca="1" si="133"/>
        <v>10316840.894365141</v>
      </c>
      <c r="J1554" s="444">
        <f t="array" ref="J1554">IFERROR(INDEX('Retirement Calculator'!J:J,MATCH('Isaac 401k'!N1554,'Retirement Calculator'!A:A,0),0),0)</f>
        <v>0</v>
      </c>
      <c r="K1554" s="444">
        <f t="shared" ca="1" si="131"/>
        <v>42986.837059854755</v>
      </c>
      <c r="L1554" s="444">
        <f t="shared" ca="1" si="132"/>
        <v>10359827.731424997</v>
      </c>
      <c r="M1554" s="460">
        <f t="shared" si="134"/>
        <v>0.05</v>
      </c>
      <c r="N1554" s="464">
        <f t="shared" si="135"/>
        <v>98343</v>
      </c>
    </row>
    <row r="1555" spans="7:14" ht="11.25" customHeight="1" x14ac:dyDescent="0.3">
      <c r="G1555" s="459"/>
      <c r="H1555" s="459">
        <v>1548</v>
      </c>
      <c r="I1555" s="444">
        <f t="shared" ca="1" si="133"/>
        <v>10359827.731424997</v>
      </c>
      <c r="J1555" s="444">
        <f t="array" ref="J1555">IFERROR(INDEX('Retirement Calculator'!J:J,MATCH('Isaac 401k'!N1555,'Retirement Calculator'!A:A,0),0),0)</f>
        <v>0</v>
      </c>
      <c r="K1555" s="444">
        <f t="shared" ca="1" si="131"/>
        <v>43165.948880937489</v>
      </c>
      <c r="L1555" s="444">
        <f t="shared" ca="1" si="132"/>
        <v>10402993.680305934</v>
      </c>
      <c r="M1555" s="460">
        <f t="shared" si="134"/>
        <v>0.05</v>
      </c>
      <c r="N1555" s="464">
        <f t="shared" si="135"/>
        <v>98373</v>
      </c>
    </row>
    <row r="1556" spans="7:14" ht="11.25" customHeight="1" x14ac:dyDescent="0.3">
      <c r="G1556" s="459"/>
      <c r="H1556" s="459">
        <v>1549</v>
      </c>
      <c r="I1556" s="444">
        <f t="shared" ca="1" si="133"/>
        <v>10402993.680305934</v>
      </c>
      <c r="J1556" s="444">
        <f t="array" ref="J1556">IFERROR(INDEX('Retirement Calculator'!J:J,MATCH('Isaac 401k'!N1556,'Retirement Calculator'!A:A,0),0),0)</f>
        <v>0</v>
      </c>
      <c r="K1556" s="444">
        <f t="shared" ca="1" si="131"/>
        <v>43345.807001274719</v>
      </c>
      <c r="L1556" s="444">
        <f t="shared" ca="1" si="132"/>
        <v>10446339.487307208</v>
      </c>
      <c r="M1556" s="460">
        <f t="shared" si="134"/>
        <v>0.05</v>
      </c>
      <c r="N1556" s="464">
        <f t="shared" si="135"/>
        <v>98404</v>
      </c>
    </row>
    <row r="1557" spans="7:14" ht="11.25" customHeight="1" x14ac:dyDescent="0.3">
      <c r="G1557" s="459"/>
      <c r="H1557" s="459">
        <v>1550</v>
      </c>
      <c r="I1557" s="444">
        <f t="shared" ca="1" si="133"/>
        <v>10446339.487307208</v>
      </c>
      <c r="J1557" s="444">
        <f t="array" ref="J1557">IFERROR(INDEX('Retirement Calculator'!J:J,MATCH('Isaac 401k'!N1557,'Retirement Calculator'!A:A,0),0),0)</f>
        <v>0</v>
      </c>
      <c r="K1557" s="444">
        <f t="shared" ca="1" si="131"/>
        <v>43526.414530446695</v>
      </c>
      <c r="L1557" s="444">
        <f t="shared" ca="1" si="132"/>
        <v>10489865.901837654</v>
      </c>
      <c r="M1557" s="460">
        <f t="shared" si="134"/>
        <v>0.05</v>
      </c>
      <c r="N1557" s="464">
        <f t="shared" si="135"/>
        <v>98434</v>
      </c>
    </row>
    <row r="1558" spans="7:14" ht="11.25" customHeight="1" x14ac:dyDescent="0.3">
      <c r="G1558" s="459"/>
      <c r="H1558" s="459">
        <v>1551</v>
      </c>
      <c r="I1558" s="444">
        <f t="shared" ca="1" si="133"/>
        <v>10489865.901837654</v>
      </c>
      <c r="J1558" s="444">
        <f t="array" ref="J1558">IFERROR(INDEX('Retirement Calculator'!J:J,MATCH('Isaac 401k'!N1558,'Retirement Calculator'!A:A,0),0),0)</f>
        <v>0</v>
      </c>
      <c r="K1558" s="444">
        <f t="shared" ca="1" si="131"/>
        <v>43707.77459099023</v>
      </c>
      <c r="L1558" s="444">
        <f t="shared" ca="1" si="132"/>
        <v>10533573.676428644</v>
      </c>
      <c r="M1558" s="460">
        <f t="shared" si="134"/>
        <v>0.05</v>
      </c>
      <c r="N1558" s="464">
        <f t="shared" si="135"/>
        <v>98465</v>
      </c>
    </row>
    <row r="1559" spans="7:14" ht="11.25" customHeight="1" x14ac:dyDescent="0.3">
      <c r="G1559" s="459"/>
      <c r="H1559" s="459">
        <v>1552</v>
      </c>
      <c r="I1559" s="444">
        <f t="shared" ca="1" si="133"/>
        <v>10533573.676428644</v>
      </c>
      <c r="J1559" s="444">
        <f t="array" ref="J1559">IFERROR(INDEX('Retirement Calculator'!J:J,MATCH('Isaac 401k'!N1559,'Retirement Calculator'!A:A,0),0),0)</f>
        <v>0</v>
      </c>
      <c r="K1559" s="444">
        <f t="shared" ca="1" si="131"/>
        <v>43889.890318452686</v>
      </c>
      <c r="L1559" s="444">
        <f t="shared" ca="1" si="132"/>
        <v>10577463.566747097</v>
      </c>
      <c r="M1559" s="460">
        <f t="shared" si="134"/>
        <v>0.05</v>
      </c>
      <c r="N1559" s="464">
        <f t="shared" si="135"/>
        <v>98496</v>
      </c>
    </row>
    <row r="1560" spans="7:14" ht="11.25" customHeight="1" x14ac:dyDescent="0.3">
      <c r="G1560" s="459"/>
      <c r="H1560" s="459">
        <v>1553</v>
      </c>
      <c r="I1560" s="444">
        <f t="shared" ca="1" si="133"/>
        <v>10577463.566747097</v>
      </c>
      <c r="J1560" s="444">
        <f t="array" ref="J1560">IFERROR(INDEX('Retirement Calculator'!J:J,MATCH('Isaac 401k'!N1560,'Retirement Calculator'!A:A,0),0),0)</f>
        <v>0</v>
      </c>
      <c r="K1560" s="444">
        <f t="shared" ca="1" si="131"/>
        <v>44072.764861446238</v>
      </c>
      <c r="L1560" s="444">
        <f t="shared" ca="1" si="132"/>
        <v>10621536.331608543</v>
      </c>
      <c r="M1560" s="460">
        <f t="shared" si="134"/>
        <v>0.05</v>
      </c>
      <c r="N1560" s="464">
        <f t="shared" si="135"/>
        <v>98526</v>
      </c>
    </row>
    <row r="1561" spans="7:14" ht="11.25" customHeight="1" x14ac:dyDescent="0.3">
      <c r="G1561" s="459"/>
      <c r="H1561" s="459">
        <v>1554</v>
      </c>
      <c r="I1561" s="444">
        <f t="shared" ca="1" si="133"/>
        <v>10621536.331608543</v>
      </c>
      <c r="J1561" s="444">
        <f t="array" ref="J1561">IFERROR(INDEX('Retirement Calculator'!J:J,MATCH('Isaac 401k'!N1561,'Retirement Calculator'!A:A,0),0),0)</f>
        <v>0</v>
      </c>
      <c r="K1561" s="444">
        <f t="shared" ca="1" si="131"/>
        <v>44256.401381702264</v>
      </c>
      <c r="L1561" s="444">
        <f t="shared" ca="1" si="132"/>
        <v>10665792.732990246</v>
      </c>
      <c r="M1561" s="460">
        <f t="shared" si="134"/>
        <v>0.05</v>
      </c>
      <c r="N1561" s="464">
        <f t="shared" si="135"/>
        <v>98557</v>
      </c>
    </row>
    <row r="1562" spans="7:14" ht="11.25" customHeight="1" x14ac:dyDescent="0.3">
      <c r="G1562" s="459"/>
      <c r="H1562" s="459">
        <v>1555</v>
      </c>
      <c r="I1562" s="444">
        <f t="shared" ca="1" si="133"/>
        <v>10665792.732990246</v>
      </c>
      <c r="J1562" s="444">
        <f t="array" ref="J1562">IFERROR(INDEX('Retirement Calculator'!J:J,MATCH('Isaac 401k'!N1562,'Retirement Calculator'!A:A,0),0),0)</f>
        <v>0</v>
      </c>
      <c r="K1562" s="444">
        <f t="shared" ca="1" si="131"/>
        <v>44440.803054126023</v>
      </c>
      <c r="L1562" s="444">
        <f t="shared" ca="1" si="132"/>
        <v>10710233.536044372</v>
      </c>
      <c r="M1562" s="460">
        <f t="shared" si="134"/>
        <v>0.05</v>
      </c>
      <c r="N1562" s="464">
        <f t="shared" si="135"/>
        <v>98587</v>
      </c>
    </row>
    <row r="1563" spans="7:14" ht="11.25" customHeight="1" x14ac:dyDescent="0.3">
      <c r="G1563" s="459"/>
      <c r="H1563" s="459">
        <v>1556</v>
      </c>
      <c r="I1563" s="444">
        <f t="shared" ca="1" si="133"/>
        <v>10710233.536044372</v>
      </c>
      <c r="J1563" s="444">
        <f t="array" ref="J1563">IFERROR(INDEX('Retirement Calculator'!J:J,MATCH('Isaac 401k'!N1563,'Retirement Calculator'!A:A,0),0),0)</f>
        <v>0</v>
      </c>
      <c r="K1563" s="444">
        <f t="shared" ca="1" si="131"/>
        <v>44625.973066851548</v>
      </c>
      <c r="L1563" s="444">
        <f t="shared" ca="1" si="132"/>
        <v>10754859.509111224</v>
      </c>
      <c r="M1563" s="460">
        <f t="shared" si="134"/>
        <v>0.05</v>
      </c>
      <c r="N1563" s="464">
        <f t="shared" si="135"/>
        <v>98618</v>
      </c>
    </row>
    <row r="1564" spans="7:14" ht="11.25" customHeight="1" x14ac:dyDescent="0.3">
      <c r="G1564" s="459"/>
      <c r="H1564" s="459">
        <v>1557</v>
      </c>
      <c r="I1564" s="444">
        <f t="shared" ca="1" si="133"/>
        <v>10754859.509111224</v>
      </c>
      <c r="J1564" s="444">
        <f t="array" ref="J1564">IFERROR(INDEX('Retirement Calculator'!J:J,MATCH('Isaac 401k'!N1564,'Retirement Calculator'!A:A,0),0),0)</f>
        <v>0</v>
      </c>
      <c r="K1564" s="444">
        <f t="shared" ca="1" si="131"/>
        <v>44811.914621296768</v>
      </c>
      <c r="L1564" s="444">
        <f t="shared" ca="1" si="132"/>
        <v>10799671.423732521</v>
      </c>
      <c r="M1564" s="460">
        <f t="shared" si="134"/>
        <v>0.05</v>
      </c>
      <c r="N1564" s="464">
        <f t="shared" si="135"/>
        <v>98649</v>
      </c>
    </row>
    <row r="1565" spans="7:14" ht="11.25" customHeight="1" x14ac:dyDescent="0.3">
      <c r="G1565" s="459"/>
      <c r="H1565" s="459">
        <v>1558</v>
      </c>
      <c r="I1565" s="444">
        <f t="shared" ca="1" si="133"/>
        <v>10799671.423732521</v>
      </c>
      <c r="J1565" s="444">
        <f t="array" ref="J1565">IFERROR(INDEX('Retirement Calculator'!J:J,MATCH('Isaac 401k'!N1565,'Retirement Calculator'!A:A,0),0),0)</f>
        <v>0</v>
      </c>
      <c r="K1565" s="444">
        <f t="shared" ca="1" si="131"/>
        <v>44998.630932218839</v>
      </c>
      <c r="L1565" s="444">
        <f t="shared" ca="1" si="132"/>
        <v>10844670.05466474</v>
      </c>
      <c r="M1565" s="460">
        <f t="shared" si="134"/>
        <v>0.05</v>
      </c>
      <c r="N1565" s="464">
        <f t="shared" si="135"/>
        <v>98677</v>
      </c>
    </row>
    <row r="1566" spans="7:14" ht="11.25" customHeight="1" x14ac:dyDescent="0.3">
      <c r="G1566" s="459"/>
      <c r="H1566" s="459">
        <v>1559</v>
      </c>
      <c r="I1566" s="444">
        <f t="shared" ca="1" si="133"/>
        <v>10844670.05466474</v>
      </c>
      <c r="J1566" s="444">
        <f t="array" ref="J1566">IFERROR(INDEX('Retirement Calculator'!J:J,MATCH('Isaac 401k'!N1566,'Retirement Calculator'!A:A,0),0),0)</f>
        <v>0</v>
      </c>
      <c r="K1566" s="444">
        <f t="shared" ca="1" si="131"/>
        <v>45186.125227769749</v>
      </c>
      <c r="L1566" s="444">
        <f t="shared" ca="1" si="132"/>
        <v>10889856.17989251</v>
      </c>
      <c r="M1566" s="460">
        <f t="shared" si="134"/>
        <v>0.05</v>
      </c>
      <c r="N1566" s="464">
        <f t="shared" si="135"/>
        <v>98708</v>
      </c>
    </row>
    <row r="1567" spans="7:14" ht="11.25" customHeight="1" x14ac:dyDescent="0.3">
      <c r="G1567" s="459"/>
      <c r="H1567" s="459">
        <v>1560</v>
      </c>
      <c r="I1567" s="444">
        <f t="shared" ca="1" si="133"/>
        <v>10889856.17989251</v>
      </c>
      <c r="J1567" s="444">
        <f t="array" ref="J1567">IFERROR(INDEX('Retirement Calculator'!J:J,MATCH('Isaac 401k'!N1567,'Retirement Calculator'!A:A,0),0),0)</f>
        <v>0</v>
      </c>
      <c r="K1567" s="444">
        <f t="shared" ca="1" si="131"/>
        <v>45374.400749552122</v>
      </c>
      <c r="L1567" s="444">
        <f t="shared" ca="1" si="132"/>
        <v>10935230.580642063</v>
      </c>
      <c r="M1567" s="460">
        <f t="shared" si="134"/>
        <v>0.05</v>
      </c>
      <c r="N1567" s="464">
        <f t="shared" si="135"/>
        <v>98738</v>
      </c>
    </row>
    <row r="1568" spans="7:14" ht="11.25" customHeight="1" x14ac:dyDescent="0.3">
      <c r="G1568" s="459"/>
      <c r="H1568" s="459">
        <v>1561</v>
      </c>
      <c r="I1568" s="444">
        <f t="shared" ca="1" si="133"/>
        <v>10935230.580642063</v>
      </c>
      <c r="J1568" s="444">
        <f t="array" ref="J1568">IFERROR(INDEX('Retirement Calculator'!J:J,MATCH('Isaac 401k'!N1568,'Retirement Calculator'!A:A,0),0),0)</f>
        <v>0</v>
      </c>
      <c r="K1568" s="444">
        <f t="shared" ca="1" si="131"/>
        <v>45563.460752675266</v>
      </c>
      <c r="L1568" s="444">
        <f t="shared" ca="1" si="132"/>
        <v>10980794.041394738</v>
      </c>
      <c r="M1568" s="460">
        <f t="shared" si="134"/>
        <v>0.05</v>
      </c>
      <c r="N1568" s="464">
        <f t="shared" si="135"/>
        <v>98769</v>
      </c>
    </row>
    <row r="1569" spans="7:14" ht="11.25" customHeight="1" x14ac:dyDescent="0.3">
      <c r="G1569" s="459"/>
      <c r="H1569" s="459">
        <v>1562</v>
      </c>
      <c r="I1569" s="444">
        <f t="shared" ca="1" si="133"/>
        <v>10980794.041394738</v>
      </c>
      <c r="J1569" s="444">
        <f t="array" ref="J1569">IFERROR(INDEX('Retirement Calculator'!J:J,MATCH('Isaac 401k'!N1569,'Retirement Calculator'!A:A,0),0),0)</f>
        <v>0</v>
      </c>
      <c r="K1569" s="444">
        <f t="shared" ca="1" si="131"/>
        <v>45753.308505811408</v>
      </c>
      <c r="L1569" s="444">
        <f t="shared" ca="1" si="132"/>
        <v>11026547.349900549</v>
      </c>
      <c r="M1569" s="460">
        <f t="shared" si="134"/>
        <v>0.05</v>
      </c>
      <c r="N1569" s="464">
        <f t="shared" si="135"/>
        <v>98799</v>
      </c>
    </row>
    <row r="1570" spans="7:14" ht="11.25" customHeight="1" x14ac:dyDescent="0.3">
      <c r="G1570" s="459"/>
      <c r="H1570" s="459">
        <v>1563</v>
      </c>
      <c r="I1570" s="444">
        <f t="shared" ca="1" si="133"/>
        <v>11026547.349900549</v>
      </c>
      <c r="J1570" s="444">
        <f t="array" ref="J1570">IFERROR(INDEX('Retirement Calculator'!J:J,MATCH('Isaac 401k'!N1570,'Retirement Calculator'!A:A,0),0),0)</f>
        <v>0</v>
      </c>
      <c r="K1570" s="444">
        <f t="shared" ca="1" si="131"/>
        <v>45943.947291252291</v>
      </c>
      <c r="L1570" s="444">
        <f t="shared" ca="1" si="132"/>
        <v>11072491.297191802</v>
      </c>
      <c r="M1570" s="460">
        <f t="shared" si="134"/>
        <v>0.05</v>
      </c>
      <c r="N1570" s="464">
        <f t="shared" si="135"/>
        <v>98830</v>
      </c>
    </row>
    <row r="1571" spans="7:14" ht="11.25" customHeight="1" x14ac:dyDescent="0.3">
      <c r="G1571" s="459"/>
      <c r="H1571" s="459">
        <v>1564</v>
      </c>
      <c r="I1571" s="444">
        <f t="shared" ca="1" si="133"/>
        <v>11072491.297191802</v>
      </c>
      <c r="J1571" s="444">
        <f t="array" ref="J1571">IFERROR(INDEX('Retirement Calculator'!J:J,MATCH('Isaac 401k'!N1571,'Retirement Calculator'!A:A,0),0),0)</f>
        <v>0</v>
      </c>
      <c r="K1571" s="444">
        <f t="shared" ca="1" si="131"/>
        <v>46135.380404965843</v>
      </c>
      <c r="L1571" s="444">
        <f t="shared" ca="1" si="132"/>
        <v>11118626.677596768</v>
      </c>
      <c r="M1571" s="460">
        <f t="shared" si="134"/>
        <v>0.05</v>
      </c>
      <c r="N1571" s="464">
        <f t="shared" si="135"/>
        <v>98861</v>
      </c>
    </row>
    <row r="1572" spans="7:14" ht="11.25" customHeight="1" x14ac:dyDescent="0.3">
      <c r="G1572" s="459"/>
      <c r="H1572" s="459">
        <v>1565</v>
      </c>
      <c r="I1572" s="444">
        <f t="shared" ca="1" si="133"/>
        <v>11118626.677596768</v>
      </c>
      <c r="J1572" s="444">
        <f t="array" ref="J1572">IFERROR(INDEX('Retirement Calculator'!J:J,MATCH('Isaac 401k'!N1572,'Retirement Calculator'!A:A,0),0),0)</f>
        <v>0</v>
      </c>
      <c r="K1572" s="444">
        <f t="shared" ca="1" si="131"/>
        <v>46327.611156653198</v>
      </c>
      <c r="L1572" s="444">
        <f t="shared" ca="1" si="132"/>
        <v>11164954.288753422</v>
      </c>
      <c r="M1572" s="460">
        <f t="shared" si="134"/>
        <v>0.05</v>
      </c>
      <c r="N1572" s="464">
        <f t="shared" si="135"/>
        <v>98891</v>
      </c>
    </row>
    <row r="1573" spans="7:14" ht="11.25" customHeight="1" x14ac:dyDescent="0.3">
      <c r="G1573" s="459"/>
      <c r="H1573" s="459">
        <v>1566</v>
      </c>
      <c r="I1573" s="444">
        <f t="shared" ca="1" si="133"/>
        <v>11164954.288753422</v>
      </c>
      <c r="J1573" s="444">
        <f t="array" ref="J1573">IFERROR(INDEX('Retirement Calculator'!J:J,MATCH('Isaac 401k'!N1573,'Retirement Calculator'!A:A,0),0),0)</f>
        <v>0</v>
      </c>
      <c r="K1573" s="444">
        <f t="shared" ca="1" si="131"/>
        <v>46520.642869805924</v>
      </c>
      <c r="L1573" s="444">
        <f t="shared" ca="1" si="132"/>
        <v>11211474.931623228</v>
      </c>
      <c r="M1573" s="460">
        <f t="shared" si="134"/>
        <v>0.05</v>
      </c>
      <c r="N1573" s="464">
        <f t="shared" si="135"/>
        <v>98922</v>
      </c>
    </row>
    <row r="1574" spans="7:14" ht="11.25" customHeight="1" x14ac:dyDescent="0.3">
      <c r="G1574" s="459"/>
      <c r="H1574" s="459">
        <v>1567</v>
      </c>
      <c r="I1574" s="444">
        <f t="shared" ca="1" si="133"/>
        <v>11211474.931623228</v>
      </c>
      <c r="J1574" s="444">
        <f t="array" ref="J1574">IFERROR(INDEX('Retirement Calculator'!J:J,MATCH('Isaac 401k'!N1574,'Retirement Calculator'!A:A,0),0),0)</f>
        <v>0</v>
      </c>
      <c r="K1574" s="444">
        <f t="shared" ca="1" si="131"/>
        <v>46714.478881763447</v>
      </c>
      <c r="L1574" s="444">
        <f t="shared" ca="1" si="132"/>
        <v>11258189.410504991</v>
      </c>
      <c r="M1574" s="460">
        <f t="shared" si="134"/>
        <v>0.05</v>
      </c>
      <c r="N1574" s="464">
        <f t="shared" si="135"/>
        <v>98952</v>
      </c>
    </row>
    <row r="1575" spans="7:14" ht="11.25" customHeight="1" x14ac:dyDescent="0.3">
      <c r="G1575" s="459"/>
      <c r="H1575" s="459">
        <v>1568</v>
      </c>
      <c r="I1575" s="444">
        <f t="shared" ca="1" si="133"/>
        <v>11258189.410504991</v>
      </c>
      <c r="J1575" s="444">
        <f t="array" ref="J1575">IFERROR(INDEX('Retirement Calculator'!J:J,MATCH('Isaac 401k'!N1575,'Retirement Calculator'!A:A,0),0),0)</f>
        <v>0</v>
      </c>
      <c r="K1575" s="444">
        <f t="shared" ca="1" si="131"/>
        <v>46909.122543770798</v>
      </c>
      <c r="L1575" s="444">
        <f t="shared" ca="1" si="132"/>
        <v>11305098.533048762</v>
      </c>
      <c r="M1575" s="460">
        <f t="shared" si="134"/>
        <v>0.05</v>
      </c>
      <c r="N1575" s="464">
        <f t="shared" si="135"/>
        <v>98983</v>
      </c>
    </row>
    <row r="1576" spans="7:14" ht="11.25" customHeight="1" x14ac:dyDescent="0.3">
      <c r="G1576" s="459"/>
      <c r="H1576" s="459">
        <v>1569</v>
      </c>
      <c r="I1576" s="444">
        <f t="shared" ca="1" si="133"/>
        <v>11305098.533048762</v>
      </c>
      <c r="J1576" s="444">
        <f t="array" ref="J1576">IFERROR(INDEX('Retirement Calculator'!J:J,MATCH('Isaac 401k'!N1576,'Retirement Calculator'!A:A,0),0),0)</f>
        <v>0</v>
      </c>
      <c r="K1576" s="444">
        <f t="shared" ca="1" si="131"/>
        <v>47104.57722103651</v>
      </c>
      <c r="L1576" s="444">
        <f t="shared" ca="1" si="132"/>
        <v>11352203.110269798</v>
      </c>
      <c r="M1576" s="460">
        <f t="shared" si="134"/>
        <v>0.05</v>
      </c>
      <c r="N1576" s="464">
        <f t="shared" si="135"/>
        <v>99014</v>
      </c>
    </row>
    <row r="1577" spans="7:14" ht="11.25" customHeight="1" x14ac:dyDescent="0.3">
      <c r="G1577" s="459"/>
      <c r="H1577" s="459">
        <v>1570</v>
      </c>
      <c r="I1577" s="444">
        <f t="shared" ca="1" si="133"/>
        <v>11352203.110269798</v>
      </c>
      <c r="J1577" s="444">
        <f t="array" ref="J1577">IFERROR(INDEX('Retirement Calculator'!J:J,MATCH('Isaac 401k'!N1577,'Retirement Calculator'!A:A,0),0),0)</f>
        <v>0</v>
      </c>
      <c r="K1577" s="444">
        <f t="shared" ca="1" si="131"/>
        <v>47300.846292790826</v>
      </c>
      <c r="L1577" s="444">
        <f t="shared" ca="1" si="132"/>
        <v>11399503.956562588</v>
      </c>
      <c r="M1577" s="460">
        <f t="shared" si="134"/>
        <v>0.05</v>
      </c>
      <c r="N1577" s="464">
        <f t="shared" si="135"/>
        <v>99042</v>
      </c>
    </row>
    <row r="1578" spans="7:14" ht="11.25" customHeight="1" x14ac:dyDescent="0.3">
      <c r="G1578" s="459"/>
      <c r="H1578" s="459">
        <v>1571</v>
      </c>
      <c r="I1578" s="444">
        <f t="shared" ca="1" si="133"/>
        <v>11399503.956562588</v>
      </c>
      <c r="J1578" s="444">
        <f t="array" ref="J1578">IFERROR(INDEX('Retirement Calculator'!J:J,MATCH('Isaac 401k'!N1578,'Retirement Calculator'!A:A,0),0),0)</f>
        <v>0</v>
      </c>
      <c r="K1578" s="444">
        <f t="shared" ca="1" si="131"/>
        <v>47497.933152344114</v>
      </c>
      <c r="L1578" s="444">
        <f t="shared" ca="1" si="132"/>
        <v>11447001.889714932</v>
      </c>
      <c r="M1578" s="460">
        <f t="shared" si="134"/>
        <v>0.05</v>
      </c>
      <c r="N1578" s="464">
        <f t="shared" si="135"/>
        <v>99073</v>
      </c>
    </row>
    <row r="1579" spans="7:14" ht="11.25" customHeight="1" x14ac:dyDescent="0.3">
      <c r="G1579" s="459"/>
      <c r="H1579" s="459">
        <v>1572</v>
      </c>
      <c r="I1579" s="444">
        <f t="shared" ca="1" si="133"/>
        <v>11447001.889714932</v>
      </c>
      <c r="J1579" s="444">
        <f t="array" ref="J1579">IFERROR(INDEX('Retirement Calculator'!J:J,MATCH('Isaac 401k'!N1579,'Retirement Calculator'!A:A,0),0),0)</f>
        <v>0</v>
      </c>
      <c r="K1579" s="444">
        <f t="shared" ca="1" si="131"/>
        <v>47695.841207145553</v>
      </c>
      <c r="L1579" s="444">
        <f t="shared" ca="1" si="132"/>
        <v>11494697.730922077</v>
      </c>
      <c r="M1579" s="460">
        <f t="shared" si="134"/>
        <v>0.05</v>
      </c>
      <c r="N1579" s="464">
        <f t="shared" si="135"/>
        <v>99103</v>
      </c>
    </row>
    <row r="1580" spans="7:14" ht="11.25" customHeight="1" x14ac:dyDescent="0.3">
      <c r="G1580" s="459"/>
      <c r="H1580" s="459">
        <v>1573</v>
      </c>
      <c r="I1580" s="444">
        <f t="shared" ca="1" si="133"/>
        <v>11494697.730922077</v>
      </c>
      <c r="J1580" s="444">
        <f t="array" ref="J1580">IFERROR(INDEX('Retirement Calculator'!J:J,MATCH('Isaac 401k'!N1580,'Retirement Calculator'!A:A,0),0),0)</f>
        <v>0</v>
      </c>
      <c r="K1580" s="444">
        <f t="shared" ca="1" si="131"/>
        <v>47894.573878841984</v>
      </c>
      <c r="L1580" s="444">
        <f t="shared" ca="1" si="132"/>
        <v>11542592.304800918</v>
      </c>
      <c r="M1580" s="460">
        <f t="shared" si="134"/>
        <v>0.05</v>
      </c>
      <c r="N1580" s="464">
        <f t="shared" si="135"/>
        <v>99134</v>
      </c>
    </row>
    <row r="1581" spans="7:14" ht="11.25" customHeight="1" x14ac:dyDescent="0.3">
      <c r="G1581" s="459"/>
      <c r="H1581" s="459">
        <v>1574</v>
      </c>
      <c r="I1581" s="444">
        <f t="shared" ca="1" si="133"/>
        <v>11542592.304800918</v>
      </c>
      <c r="J1581" s="444">
        <f t="array" ref="J1581">IFERROR(INDEX('Retirement Calculator'!J:J,MATCH('Isaac 401k'!N1581,'Retirement Calculator'!A:A,0),0),0)</f>
        <v>0</v>
      </c>
      <c r="K1581" s="444">
        <f t="shared" ca="1" si="131"/>
        <v>48094.134603337159</v>
      </c>
      <c r="L1581" s="444">
        <f t="shared" ca="1" si="132"/>
        <v>11590686.439404255</v>
      </c>
      <c r="M1581" s="460">
        <f t="shared" si="134"/>
        <v>0.05</v>
      </c>
      <c r="N1581" s="464">
        <f t="shared" si="135"/>
        <v>99164</v>
      </c>
    </row>
    <row r="1582" spans="7:14" ht="11.25" customHeight="1" x14ac:dyDescent="0.3">
      <c r="G1582" s="459"/>
      <c r="H1582" s="459">
        <v>1575</v>
      </c>
      <c r="I1582" s="444">
        <f t="shared" ca="1" si="133"/>
        <v>11590686.439404255</v>
      </c>
      <c r="J1582" s="444">
        <f t="array" ref="J1582">IFERROR(INDEX('Retirement Calculator'!J:J,MATCH('Isaac 401k'!N1582,'Retirement Calculator'!A:A,0),0),0)</f>
        <v>0</v>
      </c>
      <c r="K1582" s="444">
        <f t="shared" ca="1" si="131"/>
        <v>48294.526830851064</v>
      </c>
      <c r="L1582" s="444">
        <f t="shared" ca="1" si="132"/>
        <v>11638980.966235105</v>
      </c>
      <c r="M1582" s="460">
        <f t="shared" si="134"/>
        <v>0.05</v>
      </c>
      <c r="N1582" s="464">
        <f t="shared" si="135"/>
        <v>99195</v>
      </c>
    </row>
    <row r="1583" spans="7:14" ht="11.25" customHeight="1" x14ac:dyDescent="0.3">
      <c r="G1583" s="459"/>
      <c r="H1583" s="459">
        <v>1576</v>
      </c>
      <c r="I1583" s="444">
        <f t="shared" ca="1" si="133"/>
        <v>11638980.966235105</v>
      </c>
      <c r="J1583" s="444">
        <f t="array" ref="J1583">IFERROR(INDEX('Retirement Calculator'!J:J,MATCH('Isaac 401k'!N1583,'Retirement Calculator'!A:A,0),0),0)</f>
        <v>0</v>
      </c>
      <c r="K1583" s="444">
        <f t="shared" ca="1" si="131"/>
        <v>48495.754025979601</v>
      </c>
      <c r="L1583" s="444">
        <f t="shared" ca="1" si="132"/>
        <v>11687476.720261084</v>
      </c>
      <c r="M1583" s="460">
        <f t="shared" si="134"/>
        <v>0.05</v>
      </c>
      <c r="N1583" s="464">
        <f t="shared" si="135"/>
        <v>99226</v>
      </c>
    </row>
    <row r="1584" spans="7:14" ht="11.25" customHeight="1" x14ac:dyDescent="0.3">
      <c r="G1584" s="459"/>
      <c r="H1584" s="459">
        <v>1577</v>
      </c>
      <c r="I1584" s="444">
        <f t="shared" ca="1" si="133"/>
        <v>11687476.720261084</v>
      </c>
      <c r="J1584" s="444">
        <f t="array" ref="J1584">IFERROR(INDEX('Retirement Calculator'!J:J,MATCH('Isaac 401k'!N1584,'Retirement Calculator'!A:A,0),0),0)</f>
        <v>0</v>
      </c>
      <c r="K1584" s="444">
        <f t="shared" ca="1" si="131"/>
        <v>48697.819667754513</v>
      </c>
      <c r="L1584" s="444">
        <f t="shared" ca="1" si="132"/>
        <v>11736174.539928839</v>
      </c>
      <c r="M1584" s="460">
        <f t="shared" si="134"/>
        <v>0.05</v>
      </c>
      <c r="N1584" s="464">
        <f t="shared" si="135"/>
        <v>99256</v>
      </c>
    </row>
    <row r="1585" spans="7:14" ht="11.25" customHeight="1" x14ac:dyDescent="0.3">
      <c r="G1585" s="459"/>
      <c r="H1585" s="459">
        <v>1578</v>
      </c>
      <c r="I1585" s="444">
        <f t="shared" ca="1" si="133"/>
        <v>11736174.539928839</v>
      </c>
      <c r="J1585" s="444">
        <f t="array" ref="J1585">IFERROR(INDEX('Retirement Calculator'!J:J,MATCH('Isaac 401k'!N1585,'Retirement Calculator'!A:A,0),0),0)</f>
        <v>0</v>
      </c>
      <c r="K1585" s="444">
        <f t="shared" ca="1" si="131"/>
        <v>48900.727249703494</v>
      </c>
      <c r="L1585" s="444">
        <f t="shared" ca="1" si="132"/>
        <v>11785075.267178543</v>
      </c>
      <c r="M1585" s="460">
        <f t="shared" si="134"/>
        <v>0.05</v>
      </c>
      <c r="N1585" s="464">
        <f t="shared" si="135"/>
        <v>99287</v>
      </c>
    </row>
    <row r="1586" spans="7:14" ht="11.25" customHeight="1" x14ac:dyDescent="0.3">
      <c r="G1586" s="459"/>
      <c r="H1586" s="459">
        <v>1579</v>
      </c>
      <c r="I1586" s="444">
        <f t="shared" ca="1" si="133"/>
        <v>11785075.267178543</v>
      </c>
      <c r="J1586" s="444">
        <f t="array" ref="J1586">IFERROR(INDEX('Retirement Calculator'!J:J,MATCH('Isaac 401k'!N1586,'Retirement Calculator'!A:A,0),0),0)</f>
        <v>0</v>
      </c>
      <c r="K1586" s="444">
        <f t="shared" ca="1" si="131"/>
        <v>49104.480279910596</v>
      </c>
      <c r="L1586" s="444">
        <f t="shared" ca="1" si="132"/>
        <v>11834179.747458454</v>
      </c>
      <c r="M1586" s="460">
        <f t="shared" si="134"/>
        <v>0.05</v>
      </c>
      <c r="N1586" s="464">
        <f t="shared" si="135"/>
        <v>99317</v>
      </c>
    </row>
    <row r="1587" spans="7:14" ht="11.25" customHeight="1" x14ac:dyDescent="0.3">
      <c r="G1587" s="459"/>
      <c r="H1587" s="459">
        <v>1580</v>
      </c>
      <c r="I1587" s="444">
        <f t="shared" ca="1" si="133"/>
        <v>11834179.747458454</v>
      </c>
      <c r="J1587" s="444">
        <f t="array" ref="J1587">IFERROR(INDEX('Retirement Calculator'!J:J,MATCH('Isaac 401k'!N1587,'Retirement Calculator'!A:A,0),0),0)</f>
        <v>0</v>
      </c>
      <c r="K1587" s="444">
        <f t="shared" ca="1" si="131"/>
        <v>49309.082281076895</v>
      </c>
      <c r="L1587" s="444">
        <f t="shared" ca="1" si="132"/>
        <v>11883488.829739532</v>
      </c>
      <c r="M1587" s="460">
        <f t="shared" si="134"/>
        <v>0.05</v>
      </c>
      <c r="N1587" s="464">
        <f t="shared" si="135"/>
        <v>99348</v>
      </c>
    </row>
    <row r="1588" spans="7:14" ht="11.25" customHeight="1" x14ac:dyDescent="0.3">
      <c r="G1588" s="459"/>
      <c r="H1588" s="459">
        <v>1581</v>
      </c>
      <c r="I1588" s="444">
        <f t="shared" ca="1" si="133"/>
        <v>11883488.829739532</v>
      </c>
      <c r="J1588" s="444">
        <f t="array" ref="J1588">IFERROR(INDEX('Retirement Calculator'!J:J,MATCH('Isaac 401k'!N1588,'Retirement Calculator'!A:A,0),0),0)</f>
        <v>0</v>
      </c>
      <c r="K1588" s="444">
        <f t="shared" ca="1" si="131"/>
        <v>49514.536790581384</v>
      </c>
      <c r="L1588" s="444">
        <f t="shared" ca="1" si="132"/>
        <v>11933003.366530113</v>
      </c>
      <c r="M1588" s="460">
        <f t="shared" si="134"/>
        <v>0.05</v>
      </c>
      <c r="N1588" s="464">
        <f t="shared" si="135"/>
        <v>99379</v>
      </c>
    </row>
    <row r="1589" spans="7:14" ht="11.25" customHeight="1" x14ac:dyDescent="0.3">
      <c r="G1589" s="459"/>
      <c r="H1589" s="459">
        <v>1582</v>
      </c>
      <c r="I1589" s="444">
        <f t="shared" ca="1" si="133"/>
        <v>11933003.366530113</v>
      </c>
      <c r="J1589" s="444">
        <f t="array" ref="J1589">IFERROR(INDEX('Retirement Calculator'!J:J,MATCH('Isaac 401k'!N1589,'Retirement Calculator'!A:A,0),0),0)</f>
        <v>0</v>
      </c>
      <c r="K1589" s="444">
        <f t="shared" ca="1" si="131"/>
        <v>49720.847360542139</v>
      </c>
      <c r="L1589" s="444">
        <f t="shared" ca="1" si="132"/>
        <v>11982724.213890655</v>
      </c>
      <c r="M1589" s="460">
        <f t="shared" si="134"/>
        <v>0.05</v>
      </c>
      <c r="N1589" s="464">
        <f t="shared" si="135"/>
        <v>99408</v>
      </c>
    </row>
    <row r="1590" spans="7:14" ht="11.25" customHeight="1" x14ac:dyDescent="0.3">
      <c r="G1590" s="459"/>
      <c r="H1590" s="459">
        <v>1583</v>
      </c>
      <c r="I1590" s="444">
        <f t="shared" ca="1" si="133"/>
        <v>11982724.213890655</v>
      </c>
      <c r="J1590" s="444">
        <f t="array" ref="J1590">IFERROR(INDEX('Retirement Calculator'!J:J,MATCH('Isaac 401k'!N1590,'Retirement Calculator'!A:A,0),0),0)</f>
        <v>0</v>
      </c>
      <c r="K1590" s="444">
        <f t="shared" ca="1" si="131"/>
        <v>49928.017557877727</v>
      </c>
      <c r="L1590" s="444">
        <f t="shared" ca="1" si="132"/>
        <v>12032652.231448533</v>
      </c>
      <c r="M1590" s="460">
        <f t="shared" si="134"/>
        <v>0.05</v>
      </c>
      <c r="N1590" s="464">
        <f t="shared" si="135"/>
        <v>99439</v>
      </c>
    </row>
    <row r="1591" spans="7:14" ht="11.25" customHeight="1" x14ac:dyDescent="0.3">
      <c r="G1591" s="459"/>
      <c r="H1591" s="459">
        <v>1584</v>
      </c>
      <c r="I1591" s="444">
        <f t="shared" ca="1" si="133"/>
        <v>12032652.231448533</v>
      </c>
      <c r="J1591" s="444">
        <f t="array" ref="J1591">IFERROR(INDEX('Retirement Calculator'!J:J,MATCH('Isaac 401k'!N1591,'Retirement Calculator'!A:A,0),0),0)</f>
        <v>0</v>
      </c>
      <c r="K1591" s="444">
        <f t="shared" ca="1" si="131"/>
        <v>50136.050964368886</v>
      </c>
      <c r="L1591" s="444">
        <f t="shared" ca="1" si="132"/>
        <v>12082788.282412902</v>
      </c>
      <c r="M1591" s="460">
        <f t="shared" si="134"/>
        <v>0.05</v>
      </c>
      <c r="N1591" s="464">
        <f t="shared" si="135"/>
        <v>99469</v>
      </c>
    </row>
    <row r="1592" spans="7:14" ht="11.25" customHeight="1" x14ac:dyDescent="0.3">
      <c r="G1592" s="459"/>
      <c r="H1592" s="459">
        <v>1585</v>
      </c>
      <c r="I1592" s="444">
        <f t="shared" ca="1" si="133"/>
        <v>12082788.282412902</v>
      </c>
      <c r="J1592" s="444">
        <f t="array" ref="J1592">IFERROR(INDEX('Retirement Calculator'!J:J,MATCH('Isaac 401k'!N1592,'Retirement Calculator'!A:A,0),0),0)</f>
        <v>0</v>
      </c>
      <c r="K1592" s="444">
        <f t="shared" ca="1" si="131"/>
        <v>50344.951176720424</v>
      </c>
      <c r="L1592" s="444">
        <f t="shared" ca="1" si="132"/>
        <v>12133133.233589621</v>
      </c>
      <c r="M1592" s="460">
        <f t="shared" si="134"/>
        <v>0.05</v>
      </c>
      <c r="N1592" s="464">
        <f t="shared" si="135"/>
        <v>99500</v>
      </c>
    </row>
    <row r="1593" spans="7:14" ht="11.25" customHeight="1" x14ac:dyDescent="0.3">
      <c r="G1593" s="459"/>
      <c r="H1593" s="459">
        <v>1586</v>
      </c>
      <c r="I1593" s="444">
        <f t="shared" ca="1" si="133"/>
        <v>12133133.233589621</v>
      </c>
      <c r="J1593" s="444">
        <f t="array" ref="J1593">IFERROR(INDEX('Retirement Calculator'!J:J,MATCH('Isaac 401k'!N1593,'Retirement Calculator'!A:A,0),0),0)</f>
        <v>0</v>
      </c>
      <c r="K1593" s="444">
        <f t="shared" ca="1" si="131"/>
        <v>50554.72180662342</v>
      </c>
      <c r="L1593" s="444">
        <f t="shared" ca="1" si="132"/>
        <v>12183687.955396244</v>
      </c>
      <c r="M1593" s="460">
        <f t="shared" si="134"/>
        <v>0.05</v>
      </c>
      <c r="N1593" s="464">
        <f t="shared" si="135"/>
        <v>99530</v>
      </c>
    </row>
    <row r="1594" spans="7:14" ht="11.25" customHeight="1" x14ac:dyDescent="0.3">
      <c r="G1594" s="459"/>
      <c r="H1594" s="459">
        <v>1587</v>
      </c>
      <c r="I1594" s="444">
        <f t="shared" ca="1" si="133"/>
        <v>12183687.955396244</v>
      </c>
      <c r="J1594" s="444">
        <f t="array" ref="J1594">IFERROR(INDEX('Retirement Calculator'!J:J,MATCH('Isaac 401k'!N1594,'Retirement Calculator'!A:A,0),0),0)</f>
        <v>0</v>
      </c>
      <c r="K1594" s="444">
        <f t="shared" ca="1" si="131"/>
        <v>50765.366480817684</v>
      </c>
      <c r="L1594" s="444">
        <f t="shared" ca="1" si="132"/>
        <v>12234453.321877062</v>
      </c>
      <c r="M1594" s="460">
        <f t="shared" si="134"/>
        <v>0.05</v>
      </c>
      <c r="N1594" s="464">
        <f t="shared" si="135"/>
        <v>99561</v>
      </c>
    </row>
    <row r="1595" spans="7:14" ht="11.25" customHeight="1" x14ac:dyDescent="0.3">
      <c r="G1595" s="459"/>
      <c r="H1595" s="459">
        <v>1588</v>
      </c>
      <c r="I1595" s="444">
        <f t="shared" ca="1" si="133"/>
        <v>12234453.321877062</v>
      </c>
      <c r="J1595" s="444">
        <f t="array" ref="J1595">IFERROR(INDEX('Retirement Calculator'!J:J,MATCH('Isaac 401k'!N1595,'Retirement Calculator'!A:A,0),0),0)</f>
        <v>0</v>
      </c>
      <c r="K1595" s="444">
        <f t="shared" ca="1" si="131"/>
        <v>50976.888841154425</v>
      </c>
      <c r="L1595" s="444">
        <f t="shared" ca="1" si="132"/>
        <v>12285430.210718216</v>
      </c>
      <c r="M1595" s="460">
        <f t="shared" si="134"/>
        <v>0.05</v>
      </c>
      <c r="N1595" s="464">
        <f t="shared" si="135"/>
        <v>99592</v>
      </c>
    </row>
    <row r="1596" spans="7:14" ht="11.25" customHeight="1" x14ac:dyDescent="0.3">
      <c r="G1596" s="459"/>
      <c r="H1596" s="459">
        <v>1589</v>
      </c>
      <c r="I1596" s="444">
        <f t="shared" ca="1" si="133"/>
        <v>12285430.210718216</v>
      </c>
      <c r="J1596" s="444">
        <f t="array" ref="J1596">IFERROR(INDEX('Retirement Calculator'!J:J,MATCH('Isaac 401k'!N1596,'Retirement Calculator'!A:A,0),0),0)</f>
        <v>0</v>
      </c>
      <c r="K1596" s="444">
        <f t="shared" ca="1" si="131"/>
        <v>51189.292544659234</v>
      </c>
      <c r="L1596" s="444">
        <f t="shared" ca="1" si="132"/>
        <v>12336619.503262876</v>
      </c>
      <c r="M1596" s="460">
        <f t="shared" si="134"/>
        <v>0.05</v>
      </c>
      <c r="N1596" s="464">
        <f t="shared" si="135"/>
        <v>99622</v>
      </c>
    </row>
    <row r="1597" spans="7:14" ht="11.25" customHeight="1" x14ac:dyDescent="0.3">
      <c r="G1597" s="459"/>
      <c r="H1597" s="459">
        <v>1590</v>
      </c>
      <c r="I1597" s="444">
        <f t="shared" ca="1" si="133"/>
        <v>12336619.503262876</v>
      </c>
      <c r="J1597" s="444">
        <f t="array" ref="J1597">IFERROR(INDEX('Retirement Calculator'!J:J,MATCH('Isaac 401k'!N1597,'Retirement Calculator'!A:A,0),0),0)</f>
        <v>0</v>
      </c>
      <c r="K1597" s="444">
        <f t="shared" ca="1" si="131"/>
        <v>51402.581263595312</v>
      </c>
      <c r="L1597" s="444">
        <f t="shared" ca="1" si="132"/>
        <v>12388022.084526472</v>
      </c>
      <c r="M1597" s="460">
        <f t="shared" si="134"/>
        <v>0.05</v>
      </c>
      <c r="N1597" s="464">
        <f t="shared" si="135"/>
        <v>99653</v>
      </c>
    </row>
    <row r="1598" spans="7:14" ht="11.25" customHeight="1" x14ac:dyDescent="0.3">
      <c r="G1598" s="459"/>
      <c r="H1598" s="459">
        <v>1591</v>
      </c>
      <c r="I1598" s="444">
        <f t="shared" ca="1" si="133"/>
        <v>12388022.084526472</v>
      </c>
      <c r="J1598" s="444">
        <f t="array" ref="J1598">IFERROR(INDEX('Retirement Calculator'!J:J,MATCH('Isaac 401k'!N1598,'Retirement Calculator'!A:A,0),0),0)</f>
        <v>0</v>
      </c>
      <c r="K1598" s="444">
        <f t="shared" ca="1" si="131"/>
        <v>51616.758685526962</v>
      </c>
      <c r="L1598" s="444">
        <f t="shared" ca="1" si="132"/>
        <v>12439638.843211999</v>
      </c>
      <c r="M1598" s="460">
        <f t="shared" si="134"/>
        <v>0.05</v>
      </c>
      <c r="N1598" s="464">
        <f t="shared" si="135"/>
        <v>99683</v>
      </c>
    </row>
    <row r="1599" spans="7:14" ht="11.25" customHeight="1" x14ac:dyDescent="0.3">
      <c r="G1599" s="459"/>
      <c r="H1599" s="459">
        <v>1592</v>
      </c>
      <c r="I1599" s="444">
        <f t="shared" ca="1" si="133"/>
        <v>12439638.843211999</v>
      </c>
      <c r="J1599" s="444">
        <f t="array" ref="J1599">IFERROR(INDEX('Retirement Calculator'!J:J,MATCH('Isaac 401k'!N1599,'Retirement Calculator'!A:A,0),0),0)</f>
        <v>0</v>
      </c>
      <c r="K1599" s="444">
        <f t="shared" ca="1" si="131"/>
        <v>51831.828513383327</v>
      </c>
      <c r="L1599" s="444">
        <f t="shared" ca="1" si="132"/>
        <v>12491470.671725383</v>
      </c>
      <c r="M1599" s="460">
        <f t="shared" si="134"/>
        <v>0.05</v>
      </c>
      <c r="N1599" s="464">
        <f t="shared" si="135"/>
        <v>99714</v>
      </c>
    </row>
    <row r="1600" spans="7:14" ht="11.25" customHeight="1" x14ac:dyDescent="0.3">
      <c r="G1600" s="459"/>
      <c r="H1600" s="459">
        <v>1593</v>
      </c>
      <c r="I1600" s="444">
        <f t="shared" ca="1" si="133"/>
        <v>12491470.671725383</v>
      </c>
      <c r="J1600" s="444">
        <f t="array" ref="J1600">IFERROR(INDEX('Retirement Calculator'!J:J,MATCH('Isaac 401k'!N1600,'Retirement Calculator'!A:A,0),0),0)</f>
        <v>0</v>
      </c>
      <c r="K1600" s="444">
        <f t="shared" ca="1" si="131"/>
        <v>52047.794465522427</v>
      </c>
      <c r="L1600" s="444">
        <f t="shared" ca="1" si="132"/>
        <v>12543518.466190906</v>
      </c>
      <c r="M1600" s="460">
        <f t="shared" si="134"/>
        <v>0.05</v>
      </c>
      <c r="N1600" s="464">
        <f t="shared" si="135"/>
        <v>99745</v>
      </c>
    </row>
    <row r="1601" spans="7:14" ht="11.25" customHeight="1" x14ac:dyDescent="0.3">
      <c r="G1601" s="459"/>
      <c r="H1601" s="459">
        <v>1594</v>
      </c>
      <c r="I1601" s="444">
        <f t="shared" ca="1" si="133"/>
        <v>12543518.466190906</v>
      </c>
      <c r="J1601" s="444">
        <f t="array" ref="J1601">IFERROR(INDEX('Retirement Calculator'!J:J,MATCH('Isaac 401k'!N1601,'Retirement Calculator'!A:A,0),0),0)</f>
        <v>0</v>
      </c>
      <c r="K1601" s="444">
        <f t="shared" ca="1" si="131"/>
        <v>52264.660275795439</v>
      </c>
      <c r="L1601" s="444">
        <f t="shared" ca="1" si="132"/>
        <v>12595783.126466701</v>
      </c>
      <c r="M1601" s="460">
        <f t="shared" si="134"/>
        <v>0.05</v>
      </c>
      <c r="N1601" s="464">
        <f t="shared" si="135"/>
        <v>99773</v>
      </c>
    </row>
    <row r="1602" spans="7:14" ht="11.25" customHeight="1" x14ac:dyDescent="0.3">
      <c r="G1602" s="459"/>
      <c r="H1602" s="459">
        <v>1595</v>
      </c>
      <c r="I1602" s="444">
        <f t="shared" ca="1" si="133"/>
        <v>12595783.126466701</v>
      </c>
      <c r="J1602" s="444">
        <f t="array" ref="J1602">IFERROR(INDEX('Retirement Calculator'!J:J,MATCH('Isaac 401k'!N1602,'Retirement Calculator'!A:A,0),0),0)</f>
        <v>0</v>
      </c>
      <c r="K1602" s="444">
        <f t="shared" ca="1" si="131"/>
        <v>52482.429693611251</v>
      </c>
      <c r="L1602" s="444">
        <f t="shared" ca="1" si="132"/>
        <v>12648265.556160312</v>
      </c>
      <c r="M1602" s="460">
        <f t="shared" si="134"/>
        <v>0.05</v>
      </c>
      <c r="N1602" s="464">
        <f t="shared" si="135"/>
        <v>99804</v>
      </c>
    </row>
    <row r="1603" spans="7:14" ht="11.25" customHeight="1" x14ac:dyDescent="0.3">
      <c r="G1603" s="459"/>
      <c r="H1603" s="459">
        <v>1596</v>
      </c>
      <c r="I1603" s="444">
        <f t="shared" ca="1" si="133"/>
        <v>12648265.556160312</v>
      </c>
      <c r="J1603" s="444">
        <f t="array" ref="J1603">IFERROR(INDEX('Retirement Calculator'!J:J,MATCH('Isaac 401k'!N1603,'Retirement Calculator'!A:A,0),0),0)</f>
        <v>0</v>
      </c>
      <c r="K1603" s="444">
        <f t="shared" ca="1" si="131"/>
        <v>52701.106484001299</v>
      </c>
      <c r="L1603" s="444">
        <f t="shared" ca="1" si="132"/>
        <v>12700966.662644314</v>
      </c>
      <c r="M1603" s="460">
        <f t="shared" si="134"/>
        <v>0.05</v>
      </c>
      <c r="N1603" s="464">
        <f t="shared" si="135"/>
        <v>99834</v>
      </c>
    </row>
    <row r="1604" spans="7:14" ht="11.25" customHeight="1" x14ac:dyDescent="0.3">
      <c r="G1604" s="459"/>
      <c r="H1604" s="459">
        <v>1597</v>
      </c>
      <c r="I1604" s="444">
        <f t="shared" ca="1" si="133"/>
        <v>12700966.662644314</v>
      </c>
      <c r="J1604" s="444">
        <f t="array" ref="J1604">IFERROR(INDEX('Retirement Calculator'!J:J,MATCH('Isaac 401k'!N1604,'Retirement Calculator'!A:A,0),0),0)</f>
        <v>0</v>
      </c>
      <c r="K1604" s="444">
        <f t="shared" ca="1" si="131"/>
        <v>52920.694427684641</v>
      </c>
      <c r="L1604" s="444">
        <f t="shared" ca="1" si="132"/>
        <v>12753887.357071998</v>
      </c>
      <c r="M1604" s="460">
        <f t="shared" si="134"/>
        <v>0.05</v>
      </c>
      <c r="N1604" s="464">
        <f t="shared" si="135"/>
        <v>99865</v>
      </c>
    </row>
    <row r="1605" spans="7:14" ht="11.25" customHeight="1" x14ac:dyDescent="0.3">
      <c r="G1605" s="459"/>
      <c r="H1605" s="459">
        <v>1598</v>
      </c>
      <c r="I1605" s="444">
        <f t="shared" ca="1" si="133"/>
        <v>12753887.357071998</v>
      </c>
      <c r="J1605" s="444">
        <f t="array" ref="J1605">IFERROR(INDEX('Retirement Calculator'!J:J,MATCH('Isaac 401k'!N1605,'Retirement Calculator'!A:A,0),0),0)</f>
        <v>0</v>
      </c>
      <c r="K1605" s="444">
        <f t="shared" ca="1" si="131"/>
        <v>53141.197321133324</v>
      </c>
      <c r="L1605" s="444">
        <f t="shared" ca="1" si="132"/>
        <v>12807028.554393131</v>
      </c>
      <c r="M1605" s="460">
        <f t="shared" si="134"/>
        <v>0.05</v>
      </c>
      <c r="N1605" s="464">
        <f t="shared" si="135"/>
        <v>99895</v>
      </c>
    </row>
    <row r="1606" spans="7:14" ht="11.25" customHeight="1" x14ac:dyDescent="0.3">
      <c r="G1606" s="459"/>
      <c r="H1606" s="459">
        <v>1599</v>
      </c>
      <c r="I1606" s="444">
        <f t="shared" ca="1" si="133"/>
        <v>12807028.554393131</v>
      </c>
      <c r="J1606" s="444">
        <f t="array" ref="J1606">IFERROR(INDEX('Retirement Calculator'!J:J,MATCH('Isaac 401k'!N1606,'Retirement Calculator'!A:A,0),0),0)</f>
        <v>0</v>
      </c>
      <c r="K1606" s="444">
        <f t="shared" ca="1" si="131"/>
        <v>53362.618976638048</v>
      </c>
      <c r="L1606" s="444">
        <f t="shared" ca="1" si="132"/>
        <v>12860391.173369769</v>
      </c>
      <c r="M1606" s="460">
        <f t="shared" si="134"/>
        <v>0.05</v>
      </c>
      <c r="N1606" s="464">
        <f t="shared" si="135"/>
        <v>99926</v>
      </c>
    </row>
    <row r="1607" spans="7:14" ht="11.25" customHeight="1" x14ac:dyDescent="0.3">
      <c r="G1607" s="459"/>
      <c r="H1607" s="459">
        <v>1600</v>
      </c>
      <c r="I1607" s="444">
        <f t="shared" ca="1" si="133"/>
        <v>12860391.173369769</v>
      </c>
      <c r="J1607" s="444">
        <f t="array" ref="J1607">IFERROR(INDEX('Retirement Calculator'!J:J,MATCH('Isaac 401k'!N1607,'Retirement Calculator'!A:A,0),0),0)</f>
        <v>0</v>
      </c>
      <c r="K1607" s="444">
        <f t="shared" ca="1" si="131"/>
        <v>53584.963222374034</v>
      </c>
      <c r="L1607" s="444">
        <f t="shared" ca="1" si="132"/>
        <v>12913976.136592142</v>
      </c>
      <c r="M1607" s="460">
        <f t="shared" si="134"/>
        <v>0.05</v>
      </c>
      <c r="N1607" s="464">
        <f t="shared" si="135"/>
        <v>99957</v>
      </c>
    </row>
    <row r="1608" spans="7:14" ht="11.25" customHeight="1" x14ac:dyDescent="0.3">
      <c r="G1608" s="459"/>
      <c r="H1608" s="459">
        <v>1601</v>
      </c>
      <c r="I1608" s="444">
        <f t="shared" ca="1" si="133"/>
        <v>12913976.136592142</v>
      </c>
      <c r="J1608" s="444">
        <f t="array" ref="J1608">IFERROR(INDEX('Retirement Calculator'!J:J,MATCH('Isaac 401k'!N1608,'Retirement Calculator'!A:A,0),0),0)</f>
        <v>0</v>
      </c>
      <c r="K1608" s="444">
        <f t="shared" ca="1" si="131"/>
        <v>53808.233902467262</v>
      </c>
      <c r="L1608" s="444">
        <f t="shared" ca="1" si="132"/>
        <v>12967784.37049461</v>
      </c>
      <c r="M1608" s="460">
        <f t="shared" si="134"/>
        <v>0.05</v>
      </c>
      <c r="N1608" s="464">
        <f t="shared" si="135"/>
        <v>99987</v>
      </c>
    </row>
    <row r="1609" spans="7:14" ht="11.25" customHeight="1" x14ac:dyDescent="0.3">
      <c r="G1609" s="459"/>
      <c r="H1609" s="459">
        <v>1602</v>
      </c>
      <c r="I1609" s="444">
        <f t="shared" ca="1" si="133"/>
        <v>12967784.37049461</v>
      </c>
      <c r="J1609" s="444">
        <f t="array" ref="J1609">IFERROR(INDEX('Retirement Calculator'!J:J,MATCH('Isaac 401k'!N1609,'Retirement Calculator'!A:A,0),0),0)</f>
        <v>0</v>
      </c>
      <c r="K1609" s="444">
        <f t="shared" ca="1" si="131"/>
        <v>54032.43487706087</v>
      </c>
      <c r="L1609" s="444">
        <f t="shared" ca="1" si="132"/>
        <v>13021816.80537167</v>
      </c>
      <c r="M1609" s="460">
        <f t="shared" si="134"/>
        <v>0.05</v>
      </c>
      <c r="N1609" s="464">
        <f t="shared" si="135"/>
        <v>100018</v>
      </c>
    </row>
    <row r="1610" spans="7:14" ht="11.25" customHeight="1" x14ac:dyDescent="0.3">
      <c r="G1610" s="459"/>
      <c r="H1610" s="459">
        <v>1603</v>
      </c>
      <c r="I1610" s="444">
        <f t="shared" ca="1" si="133"/>
        <v>13021816.80537167</v>
      </c>
      <c r="J1610" s="444">
        <f t="array" ref="J1610">IFERROR(INDEX('Retirement Calculator'!J:J,MATCH('Isaac 401k'!N1610,'Retirement Calculator'!A:A,0),0),0)</f>
        <v>0</v>
      </c>
      <c r="K1610" s="444">
        <f t="shared" ca="1" si="131"/>
        <v>54257.570022381959</v>
      </c>
      <c r="L1610" s="444">
        <f t="shared" ca="1" si="132"/>
        <v>13076074.375394052</v>
      </c>
      <c r="M1610" s="460">
        <f t="shared" si="134"/>
        <v>0.05</v>
      </c>
      <c r="N1610" s="464">
        <f t="shared" si="135"/>
        <v>100048</v>
      </c>
    </row>
    <row r="1611" spans="7:14" ht="11.25" customHeight="1" x14ac:dyDescent="0.3">
      <c r="G1611" s="459"/>
      <c r="H1611" s="459">
        <v>1604</v>
      </c>
      <c r="I1611" s="444">
        <f t="shared" ca="1" si="133"/>
        <v>13076074.375394052</v>
      </c>
      <c r="J1611" s="444">
        <f t="array" ref="J1611">IFERROR(INDEX('Retirement Calculator'!J:J,MATCH('Isaac 401k'!N1611,'Retirement Calculator'!A:A,0),0),0)</f>
        <v>0</v>
      </c>
      <c r="K1611" s="444">
        <f t="shared" ca="1" si="131"/>
        <v>54483.64323080855</v>
      </c>
      <c r="L1611" s="444">
        <f t="shared" ca="1" si="132"/>
        <v>13130558.018624861</v>
      </c>
      <c r="M1611" s="460">
        <f t="shared" si="134"/>
        <v>0.05</v>
      </c>
      <c r="N1611" s="464">
        <f t="shared" si="135"/>
        <v>100079</v>
      </c>
    </row>
    <row r="1612" spans="7:14" ht="11.25" customHeight="1" x14ac:dyDescent="0.3">
      <c r="G1612" s="459"/>
      <c r="H1612" s="459">
        <v>1605</v>
      </c>
      <c r="I1612" s="444">
        <f t="shared" ca="1" si="133"/>
        <v>13130558.018624861</v>
      </c>
      <c r="J1612" s="444">
        <f t="array" ref="J1612">IFERROR(INDEX('Retirement Calculator'!J:J,MATCH('Isaac 401k'!N1612,'Retirement Calculator'!A:A,0),0),0)</f>
        <v>0</v>
      </c>
      <c r="K1612" s="444">
        <f t="shared" ca="1" si="131"/>
        <v>54710.658410936914</v>
      </c>
      <c r="L1612" s="444">
        <f t="shared" ca="1" si="132"/>
        <v>13185268.677035797</v>
      </c>
      <c r="M1612" s="460">
        <f t="shared" si="134"/>
        <v>0.05</v>
      </c>
      <c r="N1612" s="464">
        <f t="shared" si="135"/>
        <v>100110</v>
      </c>
    </row>
    <row r="1613" spans="7:14" ht="11.25" customHeight="1" x14ac:dyDescent="0.3">
      <c r="G1613" s="459"/>
      <c r="H1613" s="459">
        <v>1606</v>
      </c>
      <c r="I1613" s="444">
        <f t="shared" ca="1" si="133"/>
        <v>13185268.677035797</v>
      </c>
      <c r="J1613" s="444">
        <f t="array" ref="J1613">IFERROR(INDEX('Retirement Calculator'!J:J,MATCH('Isaac 401k'!N1613,'Retirement Calculator'!A:A,0),0),0)</f>
        <v>0</v>
      </c>
      <c r="K1613" s="444">
        <f t="shared" ca="1" si="131"/>
        <v>54938.619487649157</v>
      </c>
      <c r="L1613" s="444">
        <f t="shared" ca="1" si="132"/>
        <v>13240207.296523446</v>
      </c>
      <c r="M1613" s="460">
        <f t="shared" si="134"/>
        <v>0.05</v>
      </c>
      <c r="N1613" s="464">
        <f t="shared" si="135"/>
        <v>100138</v>
      </c>
    </row>
    <row r="1614" spans="7:14" ht="11.25" customHeight="1" x14ac:dyDescent="0.3">
      <c r="G1614" s="459"/>
      <c r="H1614" s="459">
        <v>1607</v>
      </c>
      <c r="I1614" s="444">
        <f t="shared" ca="1" si="133"/>
        <v>13240207.296523446</v>
      </c>
      <c r="J1614" s="444">
        <f t="array" ref="J1614">IFERROR(INDEX('Retirement Calculator'!J:J,MATCH('Isaac 401k'!N1614,'Retirement Calculator'!A:A,0),0),0)</f>
        <v>0</v>
      </c>
      <c r="K1614" s="444">
        <f t="shared" ca="1" si="131"/>
        <v>55167.530402181023</v>
      </c>
      <c r="L1614" s="444">
        <f t="shared" ca="1" si="132"/>
        <v>13295374.826925628</v>
      </c>
      <c r="M1614" s="460">
        <f t="shared" si="134"/>
        <v>0.05</v>
      </c>
      <c r="N1614" s="464">
        <f t="shared" si="135"/>
        <v>100169</v>
      </c>
    </row>
    <row r="1615" spans="7:14" ht="11.25" customHeight="1" x14ac:dyDescent="0.3">
      <c r="G1615" s="459"/>
      <c r="H1615" s="459">
        <v>1608</v>
      </c>
      <c r="I1615" s="444">
        <f t="shared" ca="1" si="133"/>
        <v>13295374.826925628</v>
      </c>
      <c r="J1615" s="444">
        <f t="array" ref="J1615">IFERROR(INDEX('Retirement Calculator'!J:J,MATCH('Isaac 401k'!N1615,'Retirement Calculator'!A:A,0),0),0)</f>
        <v>0</v>
      </c>
      <c r="K1615" s="444">
        <f t="shared" ca="1" si="131"/>
        <v>55397.395112190112</v>
      </c>
      <c r="L1615" s="444">
        <f t="shared" ca="1" si="132"/>
        <v>13350772.222037818</v>
      </c>
      <c r="M1615" s="460">
        <f t="shared" si="134"/>
        <v>0.05</v>
      </c>
      <c r="N1615" s="464">
        <f t="shared" si="135"/>
        <v>100199</v>
      </c>
    </row>
    <row r="1616" spans="7:14" ht="11.25" customHeight="1" x14ac:dyDescent="0.3">
      <c r="G1616" s="459"/>
      <c r="H1616" s="459">
        <v>1609</v>
      </c>
      <c r="I1616" s="444">
        <f t="shared" ca="1" si="133"/>
        <v>13350772.222037818</v>
      </c>
      <c r="J1616" s="444">
        <f t="array" ref="J1616">IFERROR(INDEX('Retirement Calculator'!J:J,MATCH('Isaac 401k'!N1616,'Retirement Calculator'!A:A,0),0),0)</f>
        <v>0</v>
      </c>
      <c r="K1616" s="444">
        <f t="shared" ca="1" si="131"/>
        <v>55628.21759182425</v>
      </c>
      <c r="L1616" s="444">
        <f t="shared" ca="1" si="132"/>
        <v>13406400.439629642</v>
      </c>
      <c r="M1616" s="460">
        <f t="shared" si="134"/>
        <v>0.05</v>
      </c>
      <c r="N1616" s="464">
        <f t="shared" si="135"/>
        <v>100230</v>
      </c>
    </row>
    <row r="1617" spans="7:14" ht="11.25" customHeight="1" x14ac:dyDescent="0.3">
      <c r="G1617" s="459"/>
      <c r="H1617" s="459">
        <v>1610</v>
      </c>
      <c r="I1617" s="444">
        <f t="shared" ca="1" si="133"/>
        <v>13406400.439629642</v>
      </c>
      <c r="J1617" s="444">
        <f t="array" ref="J1617">IFERROR(INDEX('Retirement Calculator'!J:J,MATCH('Isaac 401k'!N1617,'Retirement Calculator'!A:A,0),0),0)</f>
        <v>0</v>
      </c>
      <c r="K1617" s="444">
        <f t="shared" ca="1" si="131"/>
        <v>55860.001831790178</v>
      </c>
      <c r="L1617" s="444">
        <f t="shared" ca="1" si="132"/>
        <v>13462260.441461433</v>
      </c>
      <c r="M1617" s="460">
        <f t="shared" si="134"/>
        <v>0.05</v>
      </c>
      <c r="N1617" s="464">
        <f t="shared" si="135"/>
        <v>100260</v>
      </c>
    </row>
    <row r="1618" spans="7:14" ht="11.25" customHeight="1" x14ac:dyDescent="0.3">
      <c r="G1618" s="459"/>
      <c r="H1618" s="459">
        <v>1611</v>
      </c>
      <c r="I1618" s="444">
        <f t="shared" ca="1" si="133"/>
        <v>13462260.441461433</v>
      </c>
      <c r="J1618" s="444">
        <f t="array" ref="J1618">IFERROR(INDEX('Retirement Calculator'!J:J,MATCH('Isaac 401k'!N1618,'Retirement Calculator'!A:A,0),0),0)</f>
        <v>0</v>
      </c>
      <c r="K1618" s="444">
        <f t="shared" ca="1" si="131"/>
        <v>56092.751839422628</v>
      </c>
      <c r="L1618" s="444">
        <f t="shared" ca="1" si="132"/>
        <v>13518353.193300856</v>
      </c>
      <c r="M1618" s="460">
        <f t="shared" si="134"/>
        <v>0.05</v>
      </c>
      <c r="N1618" s="464">
        <f t="shared" si="135"/>
        <v>100291</v>
      </c>
    </row>
    <row r="1619" spans="7:14" ht="11.25" customHeight="1" x14ac:dyDescent="0.3">
      <c r="G1619" s="459"/>
      <c r="H1619" s="459">
        <v>1612</v>
      </c>
      <c r="I1619" s="444">
        <f t="shared" ca="1" si="133"/>
        <v>13518353.193300856</v>
      </c>
      <c r="J1619" s="444">
        <f t="array" ref="J1619">IFERROR(INDEX('Retirement Calculator'!J:J,MATCH('Isaac 401k'!N1619,'Retirement Calculator'!A:A,0),0),0)</f>
        <v>0</v>
      </c>
      <c r="K1619" s="444">
        <f t="shared" ca="1" si="131"/>
        <v>56326.471638753559</v>
      </c>
      <c r="L1619" s="444">
        <f t="shared" ca="1" si="132"/>
        <v>13574679.66493961</v>
      </c>
      <c r="M1619" s="460">
        <f t="shared" si="134"/>
        <v>0.05</v>
      </c>
      <c r="N1619" s="464">
        <f t="shared" si="135"/>
        <v>100322</v>
      </c>
    </row>
    <row r="1620" spans="7:14" ht="11.25" customHeight="1" x14ac:dyDescent="0.3">
      <c r="G1620" s="459"/>
      <c r="H1620" s="459">
        <v>1613</v>
      </c>
      <c r="I1620" s="444">
        <f t="shared" ca="1" si="133"/>
        <v>13574679.66493961</v>
      </c>
      <c r="J1620" s="444">
        <f t="array" ref="J1620">IFERROR(INDEX('Retirement Calculator'!J:J,MATCH('Isaac 401k'!N1620,'Retirement Calculator'!A:A,0),0),0)</f>
        <v>0</v>
      </c>
      <c r="K1620" s="444">
        <f t="shared" ca="1" si="131"/>
        <v>56561.165270581703</v>
      </c>
      <c r="L1620" s="444">
        <f t="shared" ca="1" si="132"/>
        <v>13631240.830210192</v>
      </c>
      <c r="M1620" s="460">
        <f t="shared" si="134"/>
        <v>0.05</v>
      </c>
      <c r="N1620" s="464">
        <f t="shared" si="135"/>
        <v>100352</v>
      </c>
    </row>
    <row r="1621" spans="7:14" ht="11.25" customHeight="1" x14ac:dyDescent="0.3">
      <c r="G1621" s="459"/>
      <c r="H1621" s="459">
        <v>1614</v>
      </c>
      <c r="I1621" s="444">
        <f t="shared" ca="1" si="133"/>
        <v>13631240.830210192</v>
      </c>
      <c r="J1621" s="444">
        <f t="array" ref="J1621">IFERROR(INDEX('Retirement Calculator'!J:J,MATCH('Isaac 401k'!N1621,'Retirement Calculator'!A:A,0),0),0)</f>
        <v>0</v>
      </c>
      <c r="K1621" s="444">
        <f t="shared" ca="1" si="131"/>
        <v>56796.836792542475</v>
      </c>
      <c r="L1621" s="444">
        <f t="shared" ca="1" si="132"/>
        <v>13688037.667002734</v>
      </c>
      <c r="M1621" s="460">
        <f t="shared" si="134"/>
        <v>0.05</v>
      </c>
      <c r="N1621" s="464">
        <f t="shared" si="135"/>
        <v>100383</v>
      </c>
    </row>
    <row r="1622" spans="7:14" ht="11.25" customHeight="1" x14ac:dyDescent="0.3">
      <c r="G1622" s="459"/>
      <c r="H1622" s="459">
        <v>1615</v>
      </c>
      <c r="I1622" s="444">
        <f t="shared" ca="1" si="133"/>
        <v>13688037.667002734</v>
      </c>
      <c r="J1622" s="444">
        <f t="array" ref="J1622">IFERROR(INDEX('Retirement Calculator'!J:J,MATCH('Isaac 401k'!N1622,'Retirement Calculator'!A:A,0),0),0)</f>
        <v>0</v>
      </c>
      <c r="K1622" s="444">
        <f t="shared" ca="1" si="131"/>
        <v>57033.490279178055</v>
      </c>
      <c r="L1622" s="444">
        <f t="shared" ca="1" si="132"/>
        <v>13745071.157281911</v>
      </c>
      <c r="M1622" s="460">
        <f t="shared" si="134"/>
        <v>0.05</v>
      </c>
      <c r="N1622" s="464">
        <f t="shared" si="135"/>
        <v>100413</v>
      </c>
    </row>
    <row r="1623" spans="7:14" ht="11.25" customHeight="1" x14ac:dyDescent="0.3">
      <c r="G1623" s="459"/>
      <c r="H1623" s="459">
        <v>1616</v>
      </c>
      <c r="I1623" s="444">
        <f t="shared" ca="1" si="133"/>
        <v>13745071.157281911</v>
      </c>
      <c r="J1623" s="444">
        <f t="array" ref="J1623">IFERROR(INDEX('Retirement Calculator'!J:J,MATCH('Isaac 401k'!N1623,'Retirement Calculator'!A:A,0),0),0)</f>
        <v>0</v>
      </c>
      <c r="K1623" s="444">
        <f t="shared" ca="1" si="131"/>
        <v>57271.12982200797</v>
      </c>
      <c r="L1623" s="444">
        <f t="shared" ca="1" si="132"/>
        <v>13802342.287103919</v>
      </c>
      <c r="M1623" s="460">
        <f t="shared" si="134"/>
        <v>0.05</v>
      </c>
      <c r="N1623" s="464">
        <f t="shared" si="135"/>
        <v>100444</v>
      </c>
    </row>
    <row r="1624" spans="7:14" ht="11.25" customHeight="1" x14ac:dyDescent="0.3">
      <c r="G1624" s="459"/>
      <c r="H1624" s="459">
        <v>1617</v>
      </c>
      <c r="I1624" s="444">
        <f t="shared" ca="1" si="133"/>
        <v>13802342.287103919</v>
      </c>
      <c r="J1624" s="444">
        <f t="array" ref="J1624">IFERROR(INDEX('Retirement Calculator'!J:J,MATCH('Isaac 401k'!N1624,'Retirement Calculator'!A:A,0),0),0)</f>
        <v>0</v>
      </c>
      <c r="K1624" s="444">
        <f t="shared" ca="1" si="131"/>
        <v>57509.759529599665</v>
      </c>
      <c r="L1624" s="444">
        <f t="shared" ca="1" si="132"/>
        <v>13859852.046633519</v>
      </c>
      <c r="M1624" s="460">
        <f t="shared" si="134"/>
        <v>0.05</v>
      </c>
      <c r="N1624" s="464">
        <f t="shared" si="135"/>
        <v>100475</v>
      </c>
    </row>
    <row r="1625" spans="7:14" ht="11.25" customHeight="1" x14ac:dyDescent="0.3">
      <c r="G1625" s="459"/>
      <c r="H1625" s="459">
        <v>1618</v>
      </c>
      <c r="I1625" s="444">
        <f t="shared" ca="1" si="133"/>
        <v>13859852.046633519</v>
      </c>
      <c r="J1625" s="444">
        <f t="array" ref="J1625">IFERROR(INDEX('Retirement Calculator'!J:J,MATCH('Isaac 401k'!N1625,'Retirement Calculator'!A:A,0),0),0)</f>
        <v>0</v>
      </c>
      <c r="K1625" s="444">
        <f t="shared" ca="1" si="131"/>
        <v>57749.383527639664</v>
      </c>
      <c r="L1625" s="444">
        <f t="shared" ca="1" si="132"/>
        <v>13917601.430161159</v>
      </c>
      <c r="M1625" s="460">
        <f t="shared" si="134"/>
        <v>0.05</v>
      </c>
      <c r="N1625" s="464">
        <f t="shared" si="135"/>
        <v>100503</v>
      </c>
    </row>
    <row r="1626" spans="7:14" ht="11.25" customHeight="1" x14ac:dyDescent="0.3">
      <c r="G1626" s="459"/>
      <c r="H1626" s="459">
        <v>1619</v>
      </c>
      <c r="I1626" s="444">
        <f t="shared" ca="1" si="133"/>
        <v>13917601.430161159</v>
      </c>
      <c r="J1626" s="444">
        <f t="array" ref="J1626">IFERROR(INDEX('Retirement Calculator'!J:J,MATCH('Isaac 401k'!N1626,'Retirement Calculator'!A:A,0),0),0)</f>
        <v>0</v>
      </c>
      <c r="K1626" s="444">
        <f t="shared" ca="1" si="131"/>
        <v>57990.00595900484</v>
      </c>
      <c r="L1626" s="444">
        <f t="shared" ca="1" si="132"/>
        <v>13975591.436120164</v>
      </c>
      <c r="M1626" s="460">
        <f t="shared" si="134"/>
        <v>0.05</v>
      </c>
      <c r="N1626" s="464">
        <f t="shared" si="135"/>
        <v>100534</v>
      </c>
    </row>
    <row r="1627" spans="7:14" ht="11.25" customHeight="1" x14ac:dyDescent="0.3">
      <c r="G1627" s="459"/>
      <c r="H1627" s="459">
        <v>1620</v>
      </c>
      <c r="I1627" s="444">
        <f t="shared" ca="1" si="133"/>
        <v>13975591.436120164</v>
      </c>
      <c r="J1627" s="444">
        <f t="array" ref="J1627">IFERROR(INDEX('Retirement Calculator'!J:J,MATCH('Isaac 401k'!N1627,'Retirement Calculator'!A:A,0),0),0)</f>
        <v>0</v>
      </c>
      <c r="K1627" s="444">
        <f t="shared" ca="1" si="131"/>
        <v>58231.630983834017</v>
      </c>
      <c r="L1627" s="444">
        <f t="shared" ca="1" si="132"/>
        <v>14033823.067103997</v>
      </c>
      <c r="M1627" s="460">
        <f t="shared" si="134"/>
        <v>0.05</v>
      </c>
      <c r="N1627" s="464">
        <f t="shared" si="135"/>
        <v>100564</v>
      </c>
    </row>
    <row r="1628" spans="7:14" ht="11.25" customHeight="1" x14ac:dyDescent="0.3">
      <c r="G1628" s="459"/>
      <c r="H1628" s="459">
        <v>1621</v>
      </c>
      <c r="I1628" s="444">
        <f t="shared" ca="1" si="133"/>
        <v>14033823.067103997</v>
      </c>
      <c r="J1628" s="444">
        <f t="array" ref="J1628">IFERROR(INDEX('Retirement Calculator'!J:J,MATCH('Isaac 401k'!N1628,'Retirement Calculator'!A:A,0),0),0)</f>
        <v>0</v>
      </c>
      <c r="K1628" s="444">
        <f t="shared" ca="1" si="131"/>
        <v>58474.262779599987</v>
      </c>
      <c r="L1628" s="444">
        <f t="shared" ca="1" si="132"/>
        <v>14092297.329883598</v>
      </c>
      <c r="M1628" s="460">
        <f t="shared" si="134"/>
        <v>0.05</v>
      </c>
      <c r="N1628" s="464">
        <f t="shared" si="135"/>
        <v>100595</v>
      </c>
    </row>
    <row r="1629" spans="7:14" ht="11.25" customHeight="1" x14ac:dyDescent="0.3">
      <c r="G1629" s="459"/>
      <c r="H1629" s="459">
        <v>1622</v>
      </c>
      <c r="I1629" s="444">
        <f t="shared" ca="1" si="133"/>
        <v>14092297.329883598</v>
      </c>
      <c r="J1629" s="444">
        <f t="array" ref="J1629">IFERROR(INDEX('Retirement Calculator'!J:J,MATCH('Isaac 401k'!N1629,'Retirement Calculator'!A:A,0),0),0)</f>
        <v>0</v>
      </c>
      <c r="K1629" s="444">
        <f t="shared" ca="1" si="131"/>
        <v>58717.905541181652</v>
      </c>
      <c r="L1629" s="444">
        <f t="shared" ca="1" si="132"/>
        <v>14151015.235424779</v>
      </c>
      <c r="M1629" s="460">
        <f t="shared" si="134"/>
        <v>0.05</v>
      </c>
      <c r="N1629" s="464">
        <f t="shared" si="135"/>
        <v>100625</v>
      </c>
    </row>
    <row r="1630" spans="7:14" ht="11.25" customHeight="1" x14ac:dyDescent="0.3">
      <c r="G1630" s="459"/>
      <c r="H1630" s="459">
        <v>1623</v>
      </c>
      <c r="I1630" s="444">
        <f t="shared" ca="1" si="133"/>
        <v>14151015.235424779</v>
      </c>
      <c r="J1630" s="444">
        <f t="array" ref="J1630">IFERROR(INDEX('Retirement Calculator'!J:J,MATCH('Isaac 401k'!N1630,'Retirement Calculator'!A:A,0),0),0)</f>
        <v>0</v>
      </c>
      <c r="K1630" s="444">
        <f t="shared" ca="1" si="131"/>
        <v>58962.56348093658</v>
      </c>
      <c r="L1630" s="444">
        <f t="shared" ca="1" si="132"/>
        <v>14209977.798905715</v>
      </c>
      <c r="M1630" s="460">
        <f t="shared" si="134"/>
        <v>0.05</v>
      </c>
      <c r="N1630" s="464">
        <f t="shared" si="135"/>
        <v>100656</v>
      </c>
    </row>
    <row r="1631" spans="7:14" ht="11.25" customHeight="1" x14ac:dyDescent="0.3">
      <c r="G1631" s="459"/>
      <c r="H1631" s="459">
        <v>1624</v>
      </c>
      <c r="I1631" s="444">
        <f t="shared" ca="1" si="133"/>
        <v>14209977.798905715</v>
      </c>
      <c r="J1631" s="444">
        <f t="array" ref="J1631">IFERROR(INDEX('Retirement Calculator'!J:J,MATCH('Isaac 401k'!N1631,'Retirement Calculator'!A:A,0),0),0)</f>
        <v>0</v>
      </c>
      <c r="K1631" s="444">
        <f t="shared" ca="1" si="131"/>
        <v>59208.240828773814</v>
      </c>
      <c r="L1631" s="444">
        <f t="shared" ca="1" si="132"/>
        <v>14269186.039734488</v>
      </c>
      <c r="M1631" s="460">
        <f t="shared" si="134"/>
        <v>0.05</v>
      </c>
      <c r="N1631" s="464">
        <f t="shared" si="135"/>
        <v>100687</v>
      </c>
    </row>
    <row r="1632" spans="7:14" ht="11.25" customHeight="1" x14ac:dyDescent="0.3">
      <c r="G1632" s="459"/>
      <c r="H1632" s="459">
        <v>1625</v>
      </c>
      <c r="I1632" s="444">
        <f t="shared" ca="1" si="133"/>
        <v>14269186.039734488</v>
      </c>
      <c r="J1632" s="444">
        <f t="array" ref="J1632">IFERROR(INDEX('Retirement Calculator'!J:J,MATCH('Isaac 401k'!N1632,'Retirement Calculator'!A:A,0),0),0)</f>
        <v>0</v>
      </c>
      <c r="K1632" s="444">
        <f t="shared" ca="1" si="131"/>
        <v>59454.941832227036</v>
      </c>
      <c r="L1632" s="444">
        <f t="shared" ca="1" si="132"/>
        <v>14328640.981566716</v>
      </c>
      <c r="M1632" s="460">
        <f t="shared" si="134"/>
        <v>0.05</v>
      </c>
      <c r="N1632" s="464">
        <f t="shared" si="135"/>
        <v>100717</v>
      </c>
    </row>
    <row r="1633" spans="7:14" ht="11.25" customHeight="1" x14ac:dyDescent="0.3">
      <c r="G1633" s="459"/>
      <c r="H1633" s="459">
        <v>1626</v>
      </c>
      <c r="I1633" s="444">
        <f t="shared" ca="1" si="133"/>
        <v>14328640.981566716</v>
      </c>
      <c r="J1633" s="444">
        <f t="array" ref="J1633">IFERROR(INDEX('Retirement Calculator'!J:J,MATCH('Isaac 401k'!N1633,'Retirement Calculator'!A:A,0),0),0)</f>
        <v>0</v>
      </c>
      <c r="K1633" s="444">
        <f t="shared" ca="1" si="131"/>
        <v>59702.670756527979</v>
      </c>
      <c r="L1633" s="444">
        <f t="shared" ca="1" si="132"/>
        <v>14388343.652323244</v>
      </c>
      <c r="M1633" s="460">
        <f t="shared" si="134"/>
        <v>0.05</v>
      </c>
      <c r="N1633" s="464">
        <f t="shared" si="135"/>
        <v>100748</v>
      </c>
    </row>
    <row r="1634" spans="7:14" ht="11.25" customHeight="1" x14ac:dyDescent="0.3">
      <c r="G1634" s="459"/>
      <c r="H1634" s="459">
        <v>1627</v>
      </c>
      <c r="I1634" s="444">
        <f t="shared" ca="1" si="133"/>
        <v>14388343.652323244</v>
      </c>
      <c r="J1634" s="444">
        <f t="array" ref="J1634">IFERROR(INDEX('Retirement Calculator'!J:J,MATCH('Isaac 401k'!N1634,'Retirement Calculator'!A:A,0),0),0)</f>
        <v>0</v>
      </c>
      <c r="K1634" s="444">
        <f t="shared" ca="1" si="131"/>
        <v>59951.431884680176</v>
      </c>
      <c r="L1634" s="444">
        <f t="shared" ca="1" si="132"/>
        <v>14448295.084207924</v>
      </c>
      <c r="M1634" s="460">
        <f t="shared" si="134"/>
        <v>0.05</v>
      </c>
      <c r="N1634" s="464">
        <f t="shared" si="135"/>
        <v>100778</v>
      </c>
    </row>
    <row r="1635" spans="7:14" ht="11.25" customHeight="1" x14ac:dyDescent="0.3">
      <c r="G1635" s="459"/>
      <c r="H1635" s="459">
        <v>1628</v>
      </c>
      <c r="I1635" s="444">
        <f t="shared" ca="1" si="133"/>
        <v>14448295.084207924</v>
      </c>
      <c r="J1635" s="444">
        <f t="array" ref="J1635">IFERROR(INDEX('Retirement Calculator'!J:J,MATCH('Isaac 401k'!N1635,'Retirement Calculator'!A:A,0),0),0)</f>
        <v>0</v>
      </c>
      <c r="K1635" s="444">
        <f t="shared" ca="1" si="131"/>
        <v>60201.229517533015</v>
      </c>
      <c r="L1635" s="444">
        <f t="shared" ca="1" si="132"/>
        <v>14508496.313725457</v>
      </c>
      <c r="M1635" s="460">
        <f t="shared" si="134"/>
        <v>0.05</v>
      </c>
      <c r="N1635" s="464">
        <f t="shared" si="135"/>
        <v>100809</v>
      </c>
    </row>
    <row r="1636" spans="7:14" ht="11.25" customHeight="1" x14ac:dyDescent="0.3">
      <c r="G1636" s="459"/>
      <c r="H1636" s="459">
        <v>1629</v>
      </c>
      <c r="I1636" s="444">
        <f t="shared" ca="1" si="133"/>
        <v>14508496.313725457</v>
      </c>
      <c r="J1636" s="444">
        <f t="array" ref="J1636">IFERROR(INDEX('Retirement Calculator'!J:J,MATCH('Isaac 401k'!N1636,'Retirement Calculator'!A:A,0),0),0)</f>
        <v>0</v>
      </c>
      <c r="K1636" s="444">
        <f t="shared" ca="1" si="131"/>
        <v>60452.067973856058</v>
      </c>
      <c r="L1636" s="444">
        <f t="shared" ca="1" si="132"/>
        <v>14568948.381699312</v>
      </c>
      <c r="M1636" s="460">
        <f t="shared" si="134"/>
        <v>0.05</v>
      </c>
      <c r="N1636" s="464">
        <f t="shared" si="135"/>
        <v>100840</v>
      </c>
    </row>
    <row r="1637" spans="7:14" ht="11.25" customHeight="1" x14ac:dyDescent="0.3">
      <c r="G1637" s="459"/>
      <c r="H1637" s="459">
        <v>1630</v>
      </c>
      <c r="I1637" s="444">
        <f t="shared" ca="1" si="133"/>
        <v>14568948.381699312</v>
      </c>
      <c r="J1637" s="444">
        <f t="array" ref="J1637">IFERROR(INDEX('Retirement Calculator'!J:J,MATCH('Isaac 401k'!N1637,'Retirement Calculator'!A:A,0),0),0)</f>
        <v>0</v>
      </c>
      <c r="K1637" s="444">
        <f t="shared" ca="1" si="131"/>
        <v>60703.95159041381</v>
      </c>
      <c r="L1637" s="444">
        <f t="shared" ca="1" si="132"/>
        <v>14629652.333289726</v>
      </c>
      <c r="M1637" s="460">
        <f t="shared" si="134"/>
        <v>0.05</v>
      </c>
      <c r="N1637" s="464">
        <f t="shared" si="135"/>
        <v>100869</v>
      </c>
    </row>
    <row r="1638" spans="7:14" ht="11.25" customHeight="1" x14ac:dyDescent="0.3">
      <c r="G1638" s="459"/>
      <c r="H1638" s="459">
        <v>1631</v>
      </c>
      <c r="I1638" s="444">
        <f t="shared" ca="1" si="133"/>
        <v>14629652.333289726</v>
      </c>
      <c r="J1638" s="444">
        <f t="array" ref="J1638">IFERROR(INDEX('Retirement Calculator'!J:J,MATCH('Isaac 401k'!N1638,'Retirement Calculator'!A:A,0),0),0)</f>
        <v>0</v>
      </c>
      <c r="K1638" s="444">
        <f t="shared" ca="1" si="131"/>
        <v>60956.884722040515</v>
      </c>
      <c r="L1638" s="444">
        <f t="shared" ca="1" si="132"/>
        <v>14690609.218011767</v>
      </c>
      <c r="M1638" s="460">
        <f t="shared" si="134"/>
        <v>0.05</v>
      </c>
      <c r="N1638" s="464">
        <f t="shared" si="135"/>
        <v>100900</v>
      </c>
    </row>
    <row r="1639" spans="7:14" ht="11.25" customHeight="1" x14ac:dyDescent="0.3">
      <c r="G1639" s="459"/>
      <c r="H1639" s="459">
        <v>1632</v>
      </c>
      <c r="I1639" s="444">
        <f t="shared" ca="1" si="133"/>
        <v>14690609.218011767</v>
      </c>
      <c r="J1639" s="444">
        <f t="array" ref="J1639">IFERROR(INDEX('Retirement Calculator'!J:J,MATCH('Isaac 401k'!N1639,'Retirement Calculator'!A:A,0),0),0)</f>
        <v>0</v>
      </c>
      <c r="K1639" s="444">
        <f t="shared" ca="1" si="131"/>
        <v>61210.871741715695</v>
      </c>
      <c r="L1639" s="444">
        <f t="shared" ca="1" si="132"/>
        <v>14751820.089753482</v>
      </c>
      <c r="M1639" s="460">
        <f t="shared" si="134"/>
        <v>0.05</v>
      </c>
      <c r="N1639" s="464">
        <f t="shared" si="135"/>
        <v>100930</v>
      </c>
    </row>
    <row r="1640" spans="7:14" ht="11.25" customHeight="1" x14ac:dyDescent="0.3">
      <c r="G1640" s="459"/>
      <c r="H1640" s="459">
        <v>1633</v>
      </c>
      <c r="I1640" s="444">
        <f t="shared" ca="1" si="133"/>
        <v>14751820.089753482</v>
      </c>
      <c r="J1640" s="444">
        <f t="array" ref="J1640">IFERROR(INDEX('Retirement Calculator'!J:J,MATCH('Isaac 401k'!N1640,'Retirement Calculator'!A:A,0),0),0)</f>
        <v>0</v>
      </c>
      <c r="K1640" s="444">
        <f t="shared" ca="1" si="131"/>
        <v>61465.917040639506</v>
      </c>
      <c r="L1640" s="444">
        <f t="shared" ca="1" si="132"/>
        <v>14813286.006794121</v>
      </c>
      <c r="M1640" s="460">
        <f t="shared" si="134"/>
        <v>0.05</v>
      </c>
      <c r="N1640" s="464">
        <f t="shared" si="135"/>
        <v>100961</v>
      </c>
    </row>
    <row r="1641" spans="7:14" ht="11.25" customHeight="1" x14ac:dyDescent="0.3">
      <c r="G1641" s="459"/>
      <c r="H1641" s="459">
        <v>1634</v>
      </c>
      <c r="I1641" s="444">
        <f t="shared" ca="1" si="133"/>
        <v>14813286.006794121</v>
      </c>
      <c r="J1641" s="444">
        <f t="array" ref="J1641">IFERROR(INDEX('Retirement Calculator'!J:J,MATCH('Isaac 401k'!N1641,'Retirement Calculator'!A:A,0),0),0)</f>
        <v>0</v>
      </c>
      <c r="K1641" s="444">
        <f t="shared" ca="1" si="131"/>
        <v>61722.025028308839</v>
      </c>
      <c r="L1641" s="444">
        <f t="shared" ca="1" si="132"/>
        <v>14875008.03182243</v>
      </c>
      <c r="M1641" s="460">
        <f t="shared" si="134"/>
        <v>0.05</v>
      </c>
      <c r="N1641" s="464">
        <f t="shared" si="135"/>
        <v>100991</v>
      </c>
    </row>
    <row r="1642" spans="7:14" ht="11.25" customHeight="1" x14ac:dyDescent="0.3">
      <c r="G1642" s="459"/>
      <c r="H1642" s="459">
        <v>1635</v>
      </c>
      <c r="I1642" s="444">
        <f t="shared" ca="1" si="133"/>
        <v>14875008.03182243</v>
      </c>
      <c r="J1642" s="444">
        <f t="array" ref="J1642">IFERROR(INDEX('Retirement Calculator'!J:J,MATCH('Isaac 401k'!N1642,'Retirement Calculator'!A:A,0),0),0)</f>
        <v>0</v>
      </c>
      <c r="K1642" s="444">
        <f t="shared" ca="1" si="131"/>
        <v>61979.200132593454</v>
      </c>
      <c r="L1642" s="444">
        <f t="shared" ca="1" si="132"/>
        <v>14936987.231955023</v>
      </c>
      <c r="M1642" s="460">
        <f t="shared" si="134"/>
        <v>0.05</v>
      </c>
      <c r="N1642" s="464">
        <f t="shared" si="135"/>
        <v>101022</v>
      </c>
    </row>
    <row r="1643" spans="7:14" ht="11.25" customHeight="1" x14ac:dyDescent="0.3">
      <c r="G1643" s="459"/>
      <c r="H1643" s="459">
        <v>1636</v>
      </c>
      <c r="I1643" s="444">
        <f t="shared" ca="1" si="133"/>
        <v>14936987.231955023</v>
      </c>
      <c r="J1643" s="444">
        <f t="array" ref="J1643">IFERROR(INDEX('Retirement Calculator'!J:J,MATCH('Isaac 401k'!N1643,'Retirement Calculator'!A:A,0),0),0)</f>
        <v>0</v>
      </c>
      <c r="K1643" s="444">
        <f t="shared" ca="1" si="131"/>
        <v>62237.446799812598</v>
      </c>
      <c r="L1643" s="444">
        <f t="shared" ca="1" si="132"/>
        <v>14999224.678754836</v>
      </c>
      <c r="M1643" s="460">
        <f t="shared" si="134"/>
        <v>0.05</v>
      </c>
      <c r="N1643" s="464">
        <f t="shared" si="135"/>
        <v>101053</v>
      </c>
    </row>
    <row r="1644" spans="7:14" ht="11.25" customHeight="1" x14ac:dyDescent="0.3">
      <c r="G1644" s="459"/>
      <c r="H1644" s="459">
        <v>1637</v>
      </c>
      <c r="I1644" s="444">
        <f t="shared" ca="1" si="133"/>
        <v>14999224.678754836</v>
      </c>
      <c r="J1644" s="444">
        <f t="array" ref="J1644">IFERROR(INDEX('Retirement Calculator'!J:J,MATCH('Isaac 401k'!N1644,'Retirement Calculator'!A:A,0),0),0)</f>
        <v>0</v>
      </c>
      <c r="K1644" s="444">
        <f t="shared" ca="1" si="131"/>
        <v>62496.769494811815</v>
      </c>
      <c r="L1644" s="444">
        <f t="shared" ca="1" si="132"/>
        <v>15061721.448249647</v>
      </c>
      <c r="M1644" s="460">
        <f t="shared" si="134"/>
        <v>0.05</v>
      </c>
      <c r="N1644" s="464">
        <f t="shared" si="135"/>
        <v>101083</v>
      </c>
    </row>
    <row r="1645" spans="7:14" ht="11.25" customHeight="1" x14ac:dyDescent="0.3">
      <c r="G1645" s="459"/>
      <c r="H1645" s="459">
        <v>1638</v>
      </c>
      <c r="I1645" s="444">
        <f t="shared" ca="1" si="133"/>
        <v>15061721.448249647</v>
      </c>
      <c r="J1645" s="444">
        <f t="array" ref="J1645">IFERROR(INDEX('Retirement Calculator'!J:J,MATCH('Isaac 401k'!N1645,'Retirement Calculator'!A:A,0),0),0)</f>
        <v>0</v>
      </c>
      <c r="K1645" s="444">
        <f t="shared" ca="1" si="131"/>
        <v>62757.172701040196</v>
      </c>
      <c r="L1645" s="444">
        <f t="shared" ca="1" si="132"/>
        <v>15124478.620950688</v>
      </c>
      <c r="M1645" s="460">
        <f t="shared" si="134"/>
        <v>0.05</v>
      </c>
      <c r="N1645" s="464">
        <f t="shared" si="135"/>
        <v>101114</v>
      </c>
    </row>
    <row r="1646" spans="7:14" ht="11.25" customHeight="1" x14ac:dyDescent="0.3">
      <c r="G1646" s="459"/>
      <c r="H1646" s="459">
        <v>1639</v>
      </c>
      <c r="I1646" s="444">
        <f t="shared" ca="1" si="133"/>
        <v>15124478.620950688</v>
      </c>
      <c r="J1646" s="444">
        <f t="array" ref="J1646">IFERROR(INDEX('Retirement Calculator'!J:J,MATCH('Isaac 401k'!N1646,'Retirement Calculator'!A:A,0),0),0)</f>
        <v>0</v>
      </c>
      <c r="K1646" s="444">
        <f t="shared" ca="1" si="131"/>
        <v>63018.660920627874</v>
      </c>
      <c r="L1646" s="444">
        <f t="shared" ca="1" si="132"/>
        <v>15187497.281871315</v>
      </c>
      <c r="M1646" s="460">
        <f t="shared" si="134"/>
        <v>0.05</v>
      </c>
      <c r="N1646" s="464">
        <f t="shared" si="135"/>
        <v>101144</v>
      </c>
    </row>
    <row r="1647" spans="7:14" ht="11.25" customHeight="1" x14ac:dyDescent="0.3">
      <c r="G1647" s="459"/>
      <c r="H1647" s="459">
        <v>1640</v>
      </c>
      <c r="I1647" s="444">
        <f t="shared" ca="1" si="133"/>
        <v>15187497.281871315</v>
      </c>
      <c r="J1647" s="444">
        <f t="array" ref="J1647">IFERROR(INDEX('Retirement Calculator'!J:J,MATCH('Isaac 401k'!N1647,'Retirement Calculator'!A:A,0),0),0)</f>
        <v>0</v>
      </c>
      <c r="K1647" s="444">
        <f t="shared" ca="1" si="131"/>
        <v>63281.238674463813</v>
      </c>
      <c r="L1647" s="444">
        <f t="shared" ca="1" si="132"/>
        <v>15250778.520545779</v>
      </c>
      <c r="M1647" s="460">
        <f t="shared" si="134"/>
        <v>0.05</v>
      </c>
      <c r="N1647" s="464">
        <f t="shared" si="135"/>
        <v>101175</v>
      </c>
    </row>
    <row r="1648" spans="7:14" ht="11.25" customHeight="1" x14ac:dyDescent="0.3">
      <c r="G1648" s="459"/>
      <c r="H1648" s="459">
        <v>1641</v>
      </c>
      <c r="I1648" s="444">
        <f t="shared" ca="1" si="133"/>
        <v>15250778.520545779</v>
      </c>
      <c r="J1648" s="444">
        <f t="array" ref="J1648">IFERROR(INDEX('Retirement Calculator'!J:J,MATCH('Isaac 401k'!N1648,'Retirement Calculator'!A:A,0),0),0)</f>
        <v>0</v>
      </c>
      <c r="K1648" s="444">
        <f t="shared" ca="1" si="131"/>
        <v>63544.910502274077</v>
      </c>
      <c r="L1648" s="444">
        <f t="shared" ca="1" si="132"/>
        <v>15314323.431048052</v>
      </c>
      <c r="M1648" s="460">
        <f t="shared" si="134"/>
        <v>0.05</v>
      </c>
      <c r="N1648" s="464">
        <f t="shared" si="135"/>
        <v>101206</v>
      </c>
    </row>
    <row r="1649" spans="7:14" ht="11.25" customHeight="1" x14ac:dyDescent="0.3">
      <c r="G1649" s="459"/>
      <c r="H1649" s="459">
        <v>1642</v>
      </c>
      <c r="I1649" s="444">
        <f t="shared" ca="1" si="133"/>
        <v>15314323.431048052</v>
      </c>
      <c r="J1649" s="444">
        <f t="array" ref="J1649">IFERROR(INDEX('Retirement Calculator'!J:J,MATCH('Isaac 401k'!N1649,'Retirement Calculator'!A:A,0),0),0)</f>
        <v>0</v>
      </c>
      <c r="K1649" s="444">
        <f t="shared" ca="1" si="131"/>
        <v>63809.680962700215</v>
      </c>
      <c r="L1649" s="444">
        <f t="shared" ca="1" si="132"/>
        <v>15378133.112010753</v>
      </c>
      <c r="M1649" s="460">
        <f t="shared" si="134"/>
        <v>0.05</v>
      </c>
      <c r="N1649" s="464">
        <f t="shared" si="135"/>
        <v>101234</v>
      </c>
    </row>
    <row r="1650" spans="7:14" ht="11.25" customHeight="1" x14ac:dyDescent="0.3">
      <c r="G1650" s="459"/>
      <c r="H1650" s="459">
        <v>1643</v>
      </c>
      <c r="I1650" s="444">
        <f t="shared" ca="1" si="133"/>
        <v>15378133.112010753</v>
      </c>
      <c r="J1650" s="444">
        <f t="array" ref="J1650">IFERROR(INDEX('Retirement Calculator'!J:J,MATCH('Isaac 401k'!N1650,'Retirement Calculator'!A:A,0),0),0)</f>
        <v>0</v>
      </c>
      <c r="K1650" s="444">
        <f t="shared" ca="1" si="131"/>
        <v>64075.554633378146</v>
      </c>
      <c r="L1650" s="444">
        <f t="shared" ca="1" si="132"/>
        <v>15442208.666644132</v>
      </c>
      <c r="M1650" s="460">
        <f t="shared" si="134"/>
        <v>0.05</v>
      </c>
      <c r="N1650" s="464">
        <f t="shared" si="135"/>
        <v>101265</v>
      </c>
    </row>
    <row r="1651" spans="7:14" ht="11.25" customHeight="1" x14ac:dyDescent="0.3">
      <c r="G1651" s="459"/>
      <c r="H1651" s="459">
        <v>1644</v>
      </c>
      <c r="I1651" s="444">
        <f t="shared" ca="1" si="133"/>
        <v>15442208.666644132</v>
      </c>
      <c r="J1651" s="444">
        <f t="array" ref="J1651">IFERROR(INDEX('Retirement Calculator'!J:J,MATCH('Isaac 401k'!N1651,'Retirement Calculator'!A:A,0),0),0)</f>
        <v>0</v>
      </c>
      <c r="K1651" s="444">
        <f t="shared" ca="1" si="131"/>
        <v>64342.536111017209</v>
      </c>
      <c r="L1651" s="444">
        <f t="shared" ca="1" si="132"/>
        <v>15506551.202755149</v>
      </c>
      <c r="M1651" s="460">
        <f t="shared" si="134"/>
        <v>0.05</v>
      </c>
      <c r="N1651" s="464">
        <f t="shared" si="135"/>
        <v>101295</v>
      </c>
    </row>
    <row r="1652" spans="7:14" ht="11.25" customHeight="1" x14ac:dyDescent="0.3">
      <c r="G1652" s="459"/>
      <c r="H1652" s="459">
        <v>1645</v>
      </c>
      <c r="I1652" s="444">
        <f t="shared" ca="1" si="133"/>
        <v>15506551.202755149</v>
      </c>
      <c r="J1652" s="444">
        <f t="array" ref="J1652">IFERROR(INDEX('Retirement Calculator'!J:J,MATCH('Isaac 401k'!N1652,'Retirement Calculator'!A:A,0),0),0)</f>
        <v>0</v>
      </c>
      <c r="K1652" s="444">
        <f t="shared" ca="1" si="131"/>
        <v>64610.630011479785</v>
      </c>
      <c r="L1652" s="444">
        <f t="shared" ca="1" si="132"/>
        <v>15571161.83276663</v>
      </c>
      <c r="M1652" s="460">
        <f t="shared" si="134"/>
        <v>0.05</v>
      </c>
      <c r="N1652" s="464">
        <f t="shared" si="135"/>
        <v>101326</v>
      </c>
    </row>
    <row r="1653" spans="7:14" ht="11.25" customHeight="1" x14ac:dyDescent="0.3">
      <c r="G1653" s="459"/>
      <c r="H1653" s="459">
        <v>1646</v>
      </c>
      <c r="I1653" s="444">
        <f t="shared" ca="1" si="133"/>
        <v>15571161.83276663</v>
      </c>
      <c r="J1653" s="444">
        <f t="array" ref="J1653">IFERROR(INDEX('Retirement Calculator'!J:J,MATCH('Isaac 401k'!N1653,'Retirement Calculator'!A:A,0),0),0)</f>
        <v>0</v>
      </c>
      <c r="K1653" s="444">
        <f t="shared" ca="1" si="131"/>
        <v>64879.840969860954</v>
      </c>
      <c r="L1653" s="444">
        <f t="shared" ca="1" si="132"/>
        <v>15636041.67373649</v>
      </c>
      <c r="M1653" s="460">
        <f t="shared" si="134"/>
        <v>0.05</v>
      </c>
      <c r="N1653" s="464">
        <f t="shared" si="135"/>
        <v>101356</v>
      </c>
    </row>
    <row r="1654" spans="7:14" ht="11.25" customHeight="1" x14ac:dyDescent="0.3">
      <c r="G1654" s="459"/>
      <c r="H1654" s="459">
        <v>1647</v>
      </c>
      <c r="I1654" s="444">
        <f t="shared" ca="1" si="133"/>
        <v>15636041.67373649</v>
      </c>
      <c r="J1654" s="444">
        <f t="array" ref="J1654">IFERROR(INDEX('Retirement Calculator'!J:J,MATCH('Isaac 401k'!N1654,'Retirement Calculator'!A:A,0),0),0)</f>
        <v>0</v>
      </c>
      <c r="K1654" s="444">
        <f t="shared" ca="1" si="131"/>
        <v>65150.173640568712</v>
      </c>
      <c r="L1654" s="444">
        <f t="shared" ca="1" si="132"/>
        <v>15701191.847377058</v>
      </c>
      <c r="M1654" s="460">
        <f t="shared" si="134"/>
        <v>0.05</v>
      </c>
      <c r="N1654" s="464">
        <f t="shared" si="135"/>
        <v>101387</v>
      </c>
    </row>
    <row r="1655" spans="7:14" ht="11.25" customHeight="1" x14ac:dyDescent="0.3">
      <c r="G1655" s="459"/>
      <c r="H1655" s="459">
        <v>1648</v>
      </c>
      <c r="I1655" s="444">
        <f t="shared" ca="1" si="133"/>
        <v>15701191.847377058</v>
      </c>
      <c r="J1655" s="444">
        <f t="array" ref="J1655">IFERROR(INDEX('Retirement Calculator'!J:J,MATCH('Isaac 401k'!N1655,'Retirement Calculator'!A:A,0),0),0)</f>
        <v>0</v>
      </c>
      <c r="K1655" s="444">
        <f t="shared" ca="1" si="131"/>
        <v>65421.632697404413</v>
      </c>
      <c r="L1655" s="444">
        <f t="shared" ca="1" si="132"/>
        <v>15766613.480074463</v>
      </c>
      <c r="M1655" s="460">
        <f t="shared" si="134"/>
        <v>0.05</v>
      </c>
      <c r="N1655" s="464">
        <f t="shared" si="135"/>
        <v>101418</v>
      </c>
    </row>
    <row r="1656" spans="7:14" ht="11.25" customHeight="1" x14ac:dyDescent="0.3">
      <c r="G1656" s="459"/>
      <c r="H1656" s="459">
        <v>1649</v>
      </c>
      <c r="I1656" s="444">
        <f t="shared" ca="1" si="133"/>
        <v>15766613.480074463</v>
      </c>
      <c r="J1656" s="444">
        <f t="array" ref="J1656">IFERROR(INDEX('Retirement Calculator'!J:J,MATCH('Isaac 401k'!N1656,'Retirement Calculator'!A:A,0),0),0)</f>
        <v>0</v>
      </c>
      <c r="K1656" s="444">
        <f t="shared" ca="1" si="131"/>
        <v>65694.222833643595</v>
      </c>
      <c r="L1656" s="444">
        <f t="shared" ca="1" si="132"/>
        <v>15832307.702908106</v>
      </c>
      <c r="M1656" s="460">
        <f t="shared" si="134"/>
        <v>0.05</v>
      </c>
      <c r="N1656" s="464">
        <f t="shared" si="135"/>
        <v>101448</v>
      </c>
    </row>
    <row r="1657" spans="7:14" ht="11.25" customHeight="1" x14ac:dyDescent="0.3">
      <c r="G1657" s="459"/>
      <c r="H1657" s="459">
        <v>1650</v>
      </c>
      <c r="I1657" s="444">
        <f t="shared" ca="1" si="133"/>
        <v>15832307.702908106</v>
      </c>
      <c r="J1657" s="444">
        <f t="array" ref="J1657">IFERROR(INDEX('Retirement Calculator'!J:J,MATCH('Isaac 401k'!N1657,'Retirement Calculator'!A:A,0),0),0)</f>
        <v>0</v>
      </c>
      <c r="K1657" s="444">
        <f t="shared" ca="1" si="131"/>
        <v>65967.948762117099</v>
      </c>
      <c r="L1657" s="444">
        <f t="shared" ca="1" si="132"/>
        <v>15898275.651670223</v>
      </c>
      <c r="M1657" s="460">
        <f t="shared" si="134"/>
        <v>0.05</v>
      </c>
      <c r="N1657" s="464">
        <f t="shared" si="135"/>
        <v>101479</v>
      </c>
    </row>
    <row r="1658" spans="7:14" ht="11.25" customHeight="1" x14ac:dyDescent="0.3">
      <c r="G1658" s="459"/>
      <c r="H1658" s="459">
        <v>1651</v>
      </c>
      <c r="I1658" s="444">
        <f t="shared" ca="1" si="133"/>
        <v>15898275.651670223</v>
      </c>
      <c r="J1658" s="444">
        <f t="array" ref="J1658">IFERROR(INDEX('Retirement Calculator'!J:J,MATCH('Isaac 401k'!N1658,'Retirement Calculator'!A:A,0),0),0)</f>
        <v>0</v>
      </c>
      <c r="K1658" s="444">
        <f t="shared" ca="1" si="131"/>
        <v>66242.815215292605</v>
      </c>
      <c r="L1658" s="444">
        <f t="shared" ca="1" si="132"/>
        <v>15964518.466885516</v>
      </c>
      <c r="M1658" s="460">
        <f t="shared" si="134"/>
        <v>0.05</v>
      </c>
      <c r="N1658" s="464">
        <f t="shared" si="135"/>
        <v>101509</v>
      </c>
    </row>
    <row r="1659" spans="7:14" ht="11.25" customHeight="1" x14ac:dyDescent="0.3">
      <c r="G1659" s="459"/>
      <c r="H1659" s="459">
        <v>1652</v>
      </c>
      <c r="I1659" s="444">
        <f t="shared" ca="1" si="133"/>
        <v>15964518.466885516</v>
      </c>
      <c r="J1659" s="444">
        <f t="array" ref="J1659">IFERROR(INDEX('Retirement Calculator'!J:J,MATCH('Isaac 401k'!N1659,'Retirement Calculator'!A:A,0),0),0)</f>
        <v>0</v>
      </c>
      <c r="K1659" s="444">
        <f t="shared" ca="1" si="131"/>
        <v>66518.826945356326</v>
      </c>
      <c r="L1659" s="444">
        <f t="shared" ca="1" si="132"/>
        <v>16031037.293830873</v>
      </c>
      <c r="M1659" s="460">
        <f t="shared" si="134"/>
        <v>0.05</v>
      </c>
      <c r="N1659" s="464">
        <f t="shared" si="135"/>
        <v>101540</v>
      </c>
    </row>
    <row r="1660" spans="7:14" ht="11.25" customHeight="1" x14ac:dyDescent="0.3">
      <c r="G1660" s="459"/>
      <c r="H1660" s="459">
        <v>1653</v>
      </c>
      <c r="I1660" s="444">
        <f t="shared" ca="1" si="133"/>
        <v>16031037.293830873</v>
      </c>
      <c r="J1660" s="444">
        <f t="array" ref="J1660">IFERROR(INDEX('Retirement Calculator'!J:J,MATCH('Isaac 401k'!N1660,'Retirement Calculator'!A:A,0),0),0)</f>
        <v>0</v>
      </c>
      <c r="K1660" s="444">
        <f t="shared" ca="1" si="131"/>
        <v>66795.988724295297</v>
      </c>
      <c r="L1660" s="444">
        <f t="shared" ca="1" si="132"/>
        <v>16097833.282555168</v>
      </c>
      <c r="M1660" s="460">
        <f t="shared" si="134"/>
        <v>0.05</v>
      </c>
      <c r="N1660" s="464">
        <f t="shared" si="135"/>
        <v>101571</v>
      </c>
    </row>
    <row r="1661" spans="7:14" ht="11.25" customHeight="1" x14ac:dyDescent="0.3">
      <c r="G1661" s="459"/>
      <c r="H1661" s="459">
        <v>1654</v>
      </c>
      <c r="I1661" s="444">
        <f t="shared" ca="1" si="133"/>
        <v>16097833.282555168</v>
      </c>
      <c r="J1661" s="444">
        <f t="array" ref="J1661">IFERROR(INDEX('Retirement Calculator'!J:J,MATCH('Isaac 401k'!N1661,'Retirement Calculator'!A:A,0),0),0)</f>
        <v>0</v>
      </c>
      <c r="K1661" s="444">
        <f t="shared" ca="1" si="131"/>
        <v>67074.305343979868</v>
      </c>
      <c r="L1661" s="444">
        <f t="shared" ca="1" si="132"/>
        <v>16164907.587899148</v>
      </c>
      <c r="M1661" s="460">
        <f t="shared" si="134"/>
        <v>0.05</v>
      </c>
      <c r="N1661" s="464">
        <f t="shared" si="135"/>
        <v>101599</v>
      </c>
    </row>
    <row r="1662" spans="7:14" ht="11.25" customHeight="1" x14ac:dyDescent="0.3">
      <c r="G1662" s="459"/>
      <c r="H1662" s="459">
        <v>1655</v>
      </c>
      <c r="I1662" s="444">
        <f t="shared" ca="1" si="133"/>
        <v>16164907.587899148</v>
      </c>
      <c r="J1662" s="444">
        <f t="array" ref="J1662">IFERROR(INDEX('Retirement Calculator'!J:J,MATCH('Isaac 401k'!N1662,'Retirement Calculator'!A:A,0),0),0)</f>
        <v>0</v>
      </c>
      <c r="K1662" s="444">
        <f t="shared" ca="1" si="131"/>
        <v>67353.781616246444</v>
      </c>
      <c r="L1662" s="444">
        <f t="shared" ca="1" si="132"/>
        <v>16232261.369515395</v>
      </c>
      <c r="M1662" s="460">
        <f t="shared" si="134"/>
        <v>0.05</v>
      </c>
      <c r="N1662" s="464">
        <f t="shared" si="135"/>
        <v>101630</v>
      </c>
    </row>
    <row r="1663" spans="7:14" ht="11.25" customHeight="1" x14ac:dyDescent="0.3">
      <c r="G1663" s="459"/>
      <c r="H1663" s="459">
        <v>1656</v>
      </c>
      <c r="I1663" s="444">
        <f t="shared" ca="1" si="133"/>
        <v>16232261.369515395</v>
      </c>
      <c r="J1663" s="444">
        <f t="array" ref="J1663">IFERROR(INDEX('Retirement Calculator'!J:J,MATCH('Isaac 401k'!N1663,'Retirement Calculator'!A:A,0),0),0)</f>
        <v>0</v>
      </c>
      <c r="K1663" s="444">
        <f t="shared" ca="1" si="131"/>
        <v>67634.422372980815</v>
      </c>
      <c r="L1663" s="444">
        <f t="shared" ca="1" si="132"/>
        <v>16299895.791888375</v>
      </c>
      <c r="M1663" s="460">
        <f t="shared" si="134"/>
        <v>0.05</v>
      </c>
      <c r="N1663" s="464">
        <f t="shared" si="135"/>
        <v>101660</v>
      </c>
    </row>
    <row r="1664" spans="7:14" ht="11.25" customHeight="1" x14ac:dyDescent="0.3">
      <c r="G1664" s="459"/>
      <c r="H1664" s="459">
        <v>1657</v>
      </c>
      <c r="I1664" s="444">
        <f t="shared" ca="1" si="133"/>
        <v>16299895.791888375</v>
      </c>
      <c r="J1664" s="444">
        <f t="array" ref="J1664">IFERROR(INDEX('Retirement Calculator'!J:J,MATCH('Isaac 401k'!N1664,'Retirement Calculator'!A:A,0),0),0)</f>
        <v>0</v>
      </c>
      <c r="K1664" s="444">
        <f t="shared" ca="1" si="131"/>
        <v>67916.23246620156</v>
      </c>
      <c r="L1664" s="444">
        <f t="shared" ca="1" si="132"/>
        <v>16367812.024354577</v>
      </c>
      <c r="M1664" s="460">
        <f t="shared" si="134"/>
        <v>0.05</v>
      </c>
      <c r="N1664" s="464">
        <f t="shared" si="135"/>
        <v>101691</v>
      </c>
    </row>
    <row r="1665" spans="7:14" ht="11.25" customHeight="1" x14ac:dyDescent="0.3">
      <c r="G1665" s="459"/>
      <c r="H1665" s="459">
        <v>1658</v>
      </c>
      <c r="I1665" s="444">
        <f t="shared" ca="1" si="133"/>
        <v>16367812.024354577</v>
      </c>
      <c r="J1665" s="444">
        <f t="array" ref="J1665">IFERROR(INDEX('Retirement Calculator'!J:J,MATCH('Isaac 401k'!N1665,'Retirement Calculator'!A:A,0),0),0)</f>
        <v>0</v>
      </c>
      <c r="K1665" s="444">
        <f t="shared" ca="1" si="131"/>
        <v>68199.216768144077</v>
      </c>
      <c r="L1665" s="444">
        <f t="shared" ca="1" si="132"/>
        <v>16436011.241122721</v>
      </c>
      <c r="M1665" s="460">
        <f t="shared" si="134"/>
        <v>0.05</v>
      </c>
      <c r="N1665" s="464">
        <f t="shared" si="135"/>
        <v>101721</v>
      </c>
    </row>
    <row r="1666" spans="7:14" ht="11.25" customHeight="1" x14ac:dyDescent="0.3">
      <c r="G1666" s="459"/>
      <c r="H1666" s="459">
        <v>1659</v>
      </c>
      <c r="I1666" s="444">
        <f t="shared" ca="1" si="133"/>
        <v>16436011.241122721</v>
      </c>
      <c r="J1666" s="444">
        <f t="array" ref="J1666">IFERROR(INDEX('Retirement Calculator'!J:J,MATCH('Isaac 401k'!N1666,'Retirement Calculator'!A:A,0),0),0)</f>
        <v>0</v>
      </c>
      <c r="K1666" s="444">
        <f t="shared" ca="1" si="131"/>
        <v>68483.380171344674</v>
      </c>
      <c r="L1666" s="444">
        <f t="shared" ca="1" si="132"/>
        <v>16504494.621294066</v>
      </c>
      <c r="M1666" s="460">
        <f t="shared" si="134"/>
        <v>0.05</v>
      </c>
      <c r="N1666" s="464">
        <f t="shared" si="135"/>
        <v>101752</v>
      </c>
    </row>
    <row r="1667" spans="7:14" ht="11.25" customHeight="1" x14ac:dyDescent="0.3">
      <c r="G1667" s="459"/>
      <c r="H1667" s="459">
        <v>1660</v>
      </c>
      <c r="I1667" s="444">
        <f t="shared" ca="1" si="133"/>
        <v>16504494.621294066</v>
      </c>
      <c r="J1667" s="444">
        <f t="array" ref="J1667">IFERROR(INDEX('Retirement Calculator'!J:J,MATCH('Isaac 401k'!N1667,'Retirement Calculator'!A:A,0),0),0)</f>
        <v>0</v>
      </c>
      <c r="K1667" s="444">
        <f t="shared" ca="1" si="131"/>
        <v>68768.727588725276</v>
      </c>
      <c r="L1667" s="444">
        <f t="shared" ca="1" si="132"/>
        <v>16573263.348882791</v>
      </c>
      <c r="M1667" s="460">
        <f t="shared" si="134"/>
        <v>0.05</v>
      </c>
      <c r="N1667" s="464">
        <f t="shared" si="135"/>
        <v>101783</v>
      </c>
    </row>
    <row r="1668" spans="7:14" ht="11.25" customHeight="1" x14ac:dyDescent="0.3">
      <c r="G1668" s="459"/>
      <c r="H1668" s="459">
        <v>1661</v>
      </c>
      <c r="I1668" s="444">
        <f t="shared" ca="1" si="133"/>
        <v>16573263.348882791</v>
      </c>
      <c r="J1668" s="444">
        <f t="array" ref="J1668">IFERROR(INDEX('Retirement Calculator'!J:J,MATCH('Isaac 401k'!N1668,'Retirement Calculator'!A:A,0),0),0)</f>
        <v>0</v>
      </c>
      <c r="K1668" s="444">
        <f t="shared" ca="1" si="131"/>
        <v>69055.263953678295</v>
      </c>
      <c r="L1668" s="444">
        <f t="shared" ca="1" si="132"/>
        <v>16642318.612836469</v>
      </c>
      <c r="M1668" s="460">
        <f t="shared" si="134"/>
        <v>0.05</v>
      </c>
      <c r="N1668" s="464">
        <f t="shared" si="135"/>
        <v>101813</v>
      </c>
    </row>
    <row r="1669" spans="7:14" ht="11.25" customHeight="1" x14ac:dyDescent="0.3">
      <c r="G1669" s="459"/>
      <c r="H1669" s="459">
        <v>1662</v>
      </c>
      <c r="I1669" s="444">
        <f t="shared" ca="1" si="133"/>
        <v>16642318.612836469</v>
      </c>
      <c r="J1669" s="444">
        <f t="array" ref="J1669">IFERROR(INDEX('Retirement Calculator'!J:J,MATCH('Isaac 401k'!N1669,'Retirement Calculator'!A:A,0),0),0)</f>
        <v>0</v>
      </c>
      <c r="K1669" s="444">
        <f t="shared" ca="1" si="131"/>
        <v>69342.994220151944</v>
      </c>
      <c r="L1669" s="444">
        <f t="shared" ca="1" si="132"/>
        <v>16711661.607056621</v>
      </c>
      <c r="M1669" s="460">
        <f t="shared" si="134"/>
        <v>0.05</v>
      </c>
      <c r="N1669" s="464">
        <f t="shared" si="135"/>
        <v>101844</v>
      </c>
    </row>
    <row r="1670" spans="7:14" ht="11.25" customHeight="1" x14ac:dyDescent="0.3">
      <c r="G1670" s="459"/>
      <c r="H1670" s="459">
        <v>1663</v>
      </c>
      <c r="I1670" s="444">
        <f t="shared" ca="1" si="133"/>
        <v>16711661.607056621</v>
      </c>
      <c r="J1670" s="444">
        <f t="array" ref="J1670">IFERROR(INDEX('Retirement Calculator'!J:J,MATCH('Isaac 401k'!N1670,'Retirement Calculator'!A:A,0),0),0)</f>
        <v>0</v>
      </c>
      <c r="K1670" s="444">
        <f t="shared" ca="1" si="131"/>
        <v>69631.923362735921</v>
      </c>
      <c r="L1670" s="444">
        <f t="shared" ca="1" si="132"/>
        <v>16781293.530419357</v>
      </c>
      <c r="M1670" s="460">
        <f t="shared" si="134"/>
        <v>0.05</v>
      </c>
      <c r="N1670" s="464">
        <f t="shared" si="135"/>
        <v>101874</v>
      </c>
    </row>
    <row r="1671" spans="7:14" ht="11.25" customHeight="1" x14ac:dyDescent="0.3">
      <c r="G1671" s="459"/>
      <c r="H1671" s="459">
        <v>1664</v>
      </c>
      <c r="I1671" s="444">
        <f t="shared" ca="1" si="133"/>
        <v>16781293.530419357</v>
      </c>
      <c r="J1671" s="444">
        <f t="array" ref="J1671">IFERROR(INDEX('Retirement Calculator'!J:J,MATCH('Isaac 401k'!N1671,'Retirement Calculator'!A:A,0),0),0)</f>
        <v>0</v>
      </c>
      <c r="K1671" s="444">
        <f t="shared" ca="1" si="131"/>
        <v>69922.056376747321</v>
      </c>
      <c r="L1671" s="444">
        <f t="shared" ca="1" si="132"/>
        <v>16851215.586796105</v>
      </c>
      <c r="M1671" s="460">
        <f t="shared" si="134"/>
        <v>0.05</v>
      </c>
      <c r="N1671" s="464">
        <f t="shared" si="135"/>
        <v>101905</v>
      </c>
    </row>
    <row r="1672" spans="7:14" ht="11.25" customHeight="1" x14ac:dyDescent="0.3">
      <c r="G1672" s="459"/>
      <c r="H1672" s="459">
        <v>1665</v>
      </c>
      <c r="I1672" s="444">
        <f t="shared" ca="1" si="133"/>
        <v>16851215.586796105</v>
      </c>
      <c r="J1672" s="444">
        <f t="array" ref="J1672">IFERROR(INDEX('Retirement Calculator'!J:J,MATCH('Isaac 401k'!N1672,'Retirement Calculator'!A:A,0),0),0)</f>
        <v>0</v>
      </c>
      <c r="K1672" s="444">
        <f t="shared" ca="1" si="131"/>
        <v>70213.398278317109</v>
      </c>
      <c r="L1672" s="444">
        <f t="shared" ca="1" si="132"/>
        <v>16921428.985074423</v>
      </c>
      <c r="M1672" s="460">
        <f t="shared" si="134"/>
        <v>0.05</v>
      </c>
      <c r="N1672" s="464">
        <f t="shared" si="135"/>
        <v>101936</v>
      </c>
    </row>
    <row r="1673" spans="7:14" ht="11.25" customHeight="1" x14ac:dyDescent="0.3">
      <c r="G1673" s="459"/>
      <c r="H1673" s="459">
        <v>1666</v>
      </c>
      <c r="I1673" s="444">
        <f t="shared" ca="1" si="133"/>
        <v>16921428.985074423</v>
      </c>
      <c r="J1673" s="444">
        <f t="array" ref="J1673">IFERROR(INDEX('Retirement Calculator'!J:J,MATCH('Isaac 401k'!N1673,'Retirement Calculator'!A:A,0),0),0)</f>
        <v>0</v>
      </c>
      <c r="K1673" s="444">
        <f t="shared" ca="1" si="131"/>
        <v>70505.954104476768</v>
      </c>
      <c r="L1673" s="444">
        <f t="shared" ca="1" si="132"/>
        <v>16991934.939178899</v>
      </c>
      <c r="M1673" s="460">
        <f t="shared" si="134"/>
        <v>0.05</v>
      </c>
      <c r="N1673" s="464">
        <f t="shared" si="135"/>
        <v>101964</v>
      </c>
    </row>
    <row r="1674" spans="7:14" ht="11.25" customHeight="1" x14ac:dyDescent="0.3">
      <c r="G1674" s="459"/>
      <c r="H1674" s="459">
        <v>1667</v>
      </c>
      <c r="I1674" s="444">
        <f t="shared" ca="1" si="133"/>
        <v>16991934.939178899</v>
      </c>
      <c r="J1674" s="444">
        <f t="array" ref="J1674">IFERROR(INDEX('Retirement Calculator'!J:J,MATCH('Isaac 401k'!N1674,'Retirement Calculator'!A:A,0),0),0)</f>
        <v>0</v>
      </c>
      <c r="K1674" s="444">
        <f t="shared" ca="1" si="131"/>
        <v>70799.728913245417</v>
      </c>
      <c r="L1674" s="444">
        <f t="shared" ca="1" si="132"/>
        <v>17062734.668092143</v>
      </c>
      <c r="M1674" s="460">
        <f t="shared" si="134"/>
        <v>0.05</v>
      </c>
      <c r="N1674" s="464">
        <f t="shared" si="135"/>
        <v>101995</v>
      </c>
    </row>
    <row r="1675" spans="7:14" ht="11.25" customHeight="1" x14ac:dyDescent="0.3">
      <c r="G1675" s="459"/>
      <c r="H1675" s="459">
        <v>1668</v>
      </c>
      <c r="I1675" s="444">
        <f t="shared" ca="1" si="133"/>
        <v>17062734.668092143</v>
      </c>
      <c r="J1675" s="444">
        <f t="array" ref="J1675">IFERROR(INDEX('Retirement Calculator'!J:J,MATCH('Isaac 401k'!N1675,'Retirement Calculator'!A:A,0),0),0)</f>
        <v>0</v>
      </c>
      <c r="K1675" s="444">
        <f t="shared" ca="1" si="131"/>
        <v>71094.727783717259</v>
      </c>
      <c r="L1675" s="444">
        <f t="shared" ca="1" si="132"/>
        <v>17133829.39587586</v>
      </c>
      <c r="M1675" s="460">
        <f t="shared" si="134"/>
        <v>0.05</v>
      </c>
      <c r="N1675" s="464">
        <f t="shared" si="135"/>
        <v>102025</v>
      </c>
    </row>
    <row r="1676" spans="7:14" ht="11.25" customHeight="1" x14ac:dyDescent="0.3">
      <c r="G1676" s="459"/>
      <c r="H1676" s="459">
        <v>1669</v>
      </c>
      <c r="I1676" s="444">
        <f t="shared" ca="1" si="133"/>
        <v>17133829.39587586</v>
      </c>
      <c r="J1676" s="444">
        <f t="array" ref="J1676">IFERROR(INDEX('Retirement Calculator'!J:J,MATCH('Isaac 401k'!N1676,'Retirement Calculator'!A:A,0),0),0)</f>
        <v>0</v>
      </c>
      <c r="K1676" s="444">
        <f t="shared" ca="1" si="131"/>
        <v>71390.955816149421</v>
      </c>
      <c r="L1676" s="444">
        <f t="shared" ca="1" si="132"/>
        <v>17205220.35169201</v>
      </c>
      <c r="M1676" s="460">
        <f t="shared" si="134"/>
        <v>0.05</v>
      </c>
      <c r="N1676" s="464">
        <f t="shared" si="135"/>
        <v>102056</v>
      </c>
    </row>
    <row r="1677" spans="7:14" ht="11.25" customHeight="1" x14ac:dyDescent="0.3">
      <c r="G1677" s="459"/>
      <c r="H1677" s="459">
        <v>1670</v>
      </c>
      <c r="I1677" s="444">
        <f t="shared" ca="1" si="133"/>
        <v>17205220.35169201</v>
      </c>
      <c r="J1677" s="444">
        <f t="array" ref="J1677">IFERROR(INDEX('Retirement Calculator'!J:J,MATCH('Isaac 401k'!N1677,'Retirement Calculator'!A:A,0),0),0)</f>
        <v>0</v>
      </c>
      <c r="K1677" s="444">
        <f t="shared" ca="1" si="131"/>
        <v>71688.418132050036</v>
      </c>
      <c r="L1677" s="444">
        <f t="shared" ca="1" si="132"/>
        <v>17276908.769824062</v>
      </c>
      <c r="M1677" s="460">
        <f t="shared" si="134"/>
        <v>0.05</v>
      </c>
      <c r="N1677" s="464">
        <f t="shared" si="135"/>
        <v>102086</v>
      </c>
    </row>
    <row r="1678" spans="7:14" ht="11.25" customHeight="1" x14ac:dyDescent="0.3">
      <c r="G1678" s="459"/>
      <c r="H1678" s="459">
        <v>1671</v>
      </c>
      <c r="I1678" s="444">
        <f t="shared" ca="1" si="133"/>
        <v>17276908.769824062</v>
      </c>
      <c r="J1678" s="444">
        <f t="array" ref="J1678">IFERROR(INDEX('Retirement Calculator'!J:J,MATCH('Isaac 401k'!N1678,'Retirement Calculator'!A:A,0),0),0)</f>
        <v>0</v>
      </c>
      <c r="K1678" s="444">
        <f t="shared" ca="1" si="131"/>
        <v>71987.119874266922</v>
      </c>
      <c r="L1678" s="444">
        <f t="shared" ca="1" si="132"/>
        <v>17348895.88969833</v>
      </c>
      <c r="M1678" s="460">
        <f t="shared" si="134"/>
        <v>0.05</v>
      </c>
      <c r="N1678" s="464">
        <f t="shared" si="135"/>
        <v>102117</v>
      </c>
    </row>
    <row r="1679" spans="7:14" ht="11.25" customHeight="1" x14ac:dyDescent="0.3">
      <c r="G1679" s="459"/>
      <c r="H1679" s="459">
        <v>1672</v>
      </c>
      <c r="I1679" s="444">
        <f t="shared" ca="1" si="133"/>
        <v>17348895.88969833</v>
      </c>
      <c r="J1679" s="444">
        <f t="array" ref="J1679">IFERROR(INDEX('Retirement Calculator'!J:J,MATCH('Isaac 401k'!N1679,'Retirement Calculator'!A:A,0),0),0)</f>
        <v>0</v>
      </c>
      <c r="K1679" s="444">
        <f t="shared" ca="1" si="131"/>
        <v>72287.066207076379</v>
      </c>
      <c r="L1679" s="444">
        <f t="shared" ca="1" si="132"/>
        <v>17421182.955905408</v>
      </c>
      <c r="M1679" s="460">
        <f t="shared" si="134"/>
        <v>0.05</v>
      </c>
      <c r="N1679" s="464">
        <f t="shared" si="135"/>
        <v>102148</v>
      </c>
    </row>
    <row r="1680" spans="7:14" ht="11.25" customHeight="1" x14ac:dyDescent="0.3">
      <c r="G1680" s="459"/>
      <c r="H1680" s="459">
        <v>1673</v>
      </c>
      <c r="I1680" s="444">
        <f t="shared" ca="1" si="133"/>
        <v>17421182.955905408</v>
      </c>
      <c r="J1680" s="444">
        <f t="array" ref="J1680">IFERROR(INDEX('Retirement Calculator'!J:J,MATCH('Isaac 401k'!N1680,'Retirement Calculator'!A:A,0),0),0)</f>
        <v>0</v>
      </c>
      <c r="K1680" s="444">
        <f t="shared" ca="1" si="131"/>
        <v>72588.262316272536</v>
      </c>
      <c r="L1680" s="444">
        <f t="shared" ca="1" si="132"/>
        <v>17493771.218221679</v>
      </c>
      <c r="M1680" s="460">
        <f t="shared" si="134"/>
        <v>0.05</v>
      </c>
      <c r="N1680" s="464">
        <f t="shared" si="135"/>
        <v>102178</v>
      </c>
    </row>
    <row r="1681" spans="7:14" ht="11.25" customHeight="1" x14ac:dyDescent="0.3">
      <c r="G1681" s="459"/>
      <c r="H1681" s="459">
        <v>1674</v>
      </c>
      <c r="I1681" s="444">
        <f t="shared" ca="1" si="133"/>
        <v>17493771.218221679</v>
      </c>
      <c r="J1681" s="444">
        <f t="array" ref="J1681">IFERROR(INDEX('Retirement Calculator'!J:J,MATCH('Isaac 401k'!N1681,'Retirement Calculator'!A:A,0),0),0)</f>
        <v>0</v>
      </c>
      <c r="K1681" s="444">
        <f t="shared" ca="1" si="131"/>
        <v>72890.71340925699</v>
      </c>
      <c r="L1681" s="444">
        <f t="shared" ca="1" si="132"/>
        <v>17566661.931630936</v>
      </c>
      <c r="M1681" s="460">
        <f t="shared" si="134"/>
        <v>0.05</v>
      </c>
      <c r="N1681" s="464">
        <f t="shared" si="135"/>
        <v>102209</v>
      </c>
    </row>
    <row r="1682" spans="7:14" ht="11.25" customHeight="1" x14ac:dyDescent="0.3">
      <c r="G1682" s="459"/>
      <c r="H1682" s="459">
        <v>1675</v>
      </c>
      <c r="I1682" s="444">
        <f t="shared" ca="1" si="133"/>
        <v>17566661.931630936</v>
      </c>
      <c r="J1682" s="444">
        <f t="array" ref="J1682">IFERROR(INDEX('Retirement Calculator'!J:J,MATCH('Isaac 401k'!N1682,'Retirement Calculator'!A:A,0),0),0)</f>
        <v>0</v>
      </c>
      <c r="K1682" s="444">
        <f t="shared" ca="1" si="131"/>
        <v>73194.424715128902</v>
      </c>
      <c r="L1682" s="444">
        <f t="shared" ca="1" si="132"/>
        <v>17639856.356346063</v>
      </c>
      <c r="M1682" s="460">
        <f t="shared" si="134"/>
        <v>0.05</v>
      </c>
      <c r="N1682" s="464">
        <f t="shared" si="135"/>
        <v>102239</v>
      </c>
    </row>
    <row r="1683" spans="7:14" ht="11.25" customHeight="1" x14ac:dyDescent="0.3">
      <c r="G1683" s="459"/>
      <c r="H1683" s="459">
        <v>1676</v>
      </c>
      <c r="I1683" s="444">
        <f t="shared" ca="1" si="133"/>
        <v>17639856.356346063</v>
      </c>
      <c r="J1683" s="444">
        <f t="array" ref="J1683">IFERROR(INDEX('Retirement Calculator'!J:J,MATCH('Isaac 401k'!N1683,'Retirement Calculator'!A:A,0),0),0)</f>
        <v>0</v>
      </c>
      <c r="K1683" s="444">
        <f t="shared" ca="1" si="131"/>
        <v>73499.40148477527</v>
      </c>
      <c r="L1683" s="444">
        <f t="shared" ca="1" si="132"/>
        <v>17713355.75783084</v>
      </c>
      <c r="M1683" s="460">
        <f t="shared" si="134"/>
        <v>0.05</v>
      </c>
      <c r="N1683" s="464">
        <f t="shared" si="135"/>
        <v>102270</v>
      </c>
    </row>
    <row r="1684" spans="7:14" ht="11.25" customHeight="1" x14ac:dyDescent="0.3">
      <c r="G1684" s="459"/>
      <c r="H1684" s="459">
        <v>1677</v>
      </c>
      <c r="I1684" s="444">
        <f t="shared" ca="1" si="133"/>
        <v>17713355.75783084</v>
      </c>
      <c r="J1684" s="444">
        <f t="array" ref="J1684">IFERROR(INDEX('Retirement Calculator'!J:J,MATCH('Isaac 401k'!N1684,'Retirement Calculator'!A:A,0),0),0)</f>
        <v>0</v>
      </c>
      <c r="K1684" s="444">
        <f t="shared" ca="1" si="131"/>
        <v>73805.648990961825</v>
      </c>
      <c r="L1684" s="444">
        <f t="shared" ca="1" si="132"/>
        <v>17787161.406821802</v>
      </c>
      <c r="M1684" s="460">
        <f t="shared" si="134"/>
        <v>0.05</v>
      </c>
      <c r="N1684" s="464">
        <f t="shared" si="135"/>
        <v>102301</v>
      </c>
    </row>
    <row r="1685" spans="7:14" ht="11.25" customHeight="1" x14ac:dyDescent="0.3">
      <c r="G1685" s="459"/>
      <c r="H1685" s="459">
        <v>1678</v>
      </c>
      <c r="I1685" s="444">
        <f t="shared" ca="1" si="133"/>
        <v>17787161.406821802</v>
      </c>
      <c r="J1685" s="444">
        <f t="array" ref="J1685">IFERROR(INDEX('Retirement Calculator'!J:J,MATCH('Isaac 401k'!N1685,'Retirement Calculator'!A:A,0),0),0)</f>
        <v>0</v>
      </c>
      <c r="K1685" s="444">
        <f t="shared" ca="1" si="131"/>
        <v>74113.172528424169</v>
      </c>
      <c r="L1685" s="444">
        <f t="shared" ca="1" si="132"/>
        <v>17861274.579350226</v>
      </c>
      <c r="M1685" s="460">
        <f t="shared" si="134"/>
        <v>0.05</v>
      </c>
      <c r="N1685" s="464">
        <f t="shared" si="135"/>
        <v>102330</v>
      </c>
    </row>
    <row r="1686" spans="7:14" ht="11.25" customHeight="1" x14ac:dyDescent="0.3">
      <c r="G1686" s="459"/>
      <c r="H1686" s="459">
        <v>1679</v>
      </c>
      <c r="I1686" s="444">
        <f t="shared" ca="1" si="133"/>
        <v>17861274.579350226</v>
      </c>
      <c r="J1686" s="444">
        <f t="array" ref="J1686">IFERROR(INDEX('Retirement Calculator'!J:J,MATCH('Isaac 401k'!N1686,'Retirement Calculator'!A:A,0),0),0)</f>
        <v>0</v>
      </c>
      <c r="K1686" s="444">
        <f t="shared" ca="1" si="131"/>
        <v>74421.977413959277</v>
      </c>
      <c r="L1686" s="444">
        <f t="shared" ca="1" si="132"/>
        <v>17935696.556764185</v>
      </c>
      <c r="M1686" s="460">
        <f t="shared" si="134"/>
        <v>0.05</v>
      </c>
      <c r="N1686" s="464">
        <f t="shared" si="135"/>
        <v>102361</v>
      </c>
    </row>
    <row r="1687" spans="7:14" ht="11.25" customHeight="1" x14ac:dyDescent="0.3">
      <c r="G1687" s="459"/>
      <c r="H1687" s="459">
        <v>1680</v>
      </c>
      <c r="I1687" s="444">
        <f t="shared" ca="1" si="133"/>
        <v>17935696.556764185</v>
      </c>
      <c r="J1687" s="444">
        <f t="array" ref="J1687">IFERROR(INDEX('Retirement Calculator'!J:J,MATCH('Isaac 401k'!N1687,'Retirement Calculator'!A:A,0),0),0)</f>
        <v>0</v>
      </c>
      <c r="K1687" s="444">
        <f t="shared" ca="1" si="131"/>
        <v>74732.068986517435</v>
      </c>
      <c r="L1687" s="444">
        <f t="shared" ca="1" si="132"/>
        <v>18010428.625750702</v>
      </c>
      <c r="M1687" s="460">
        <f t="shared" si="134"/>
        <v>0.05</v>
      </c>
      <c r="N1687" s="464">
        <f t="shared" si="135"/>
        <v>102391</v>
      </c>
    </row>
    <row r="1688" spans="7:14" ht="11.25" customHeight="1" x14ac:dyDescent="0.3">
      <c r="G1688" s="459"/>
      <c r="H1688" s="459">
        <v>1681</v>
      </c>
      <c r="I1688" s="444">
        <f t="shared" ca="1" si="133"/>
        <v>18010428.625750702</v>
      </c>
      <c r="J1688" s="444">
        <f t="array" ref="J1688">IFERROR(INDEX('Retirement Calculator'!J:J,MATCH('Isaac 401k'!N1688,'Retirement Calculator'!A:A,0),0),0)</f>
        <v>0</v>
      </c>
      <c r="K1688" s="444">
        <f t="shared" ca="1" si="131"/>
        <v>75043.452607294588</v>
      </c>
      <c r="L1688" s="444">
        <f t="shared" ca="1" si="132"/>
        <v>18085472.078357998</v>
      </c>
      <c r="M1688" s="460">
        <f t="shared" si="134"/>
        <v>0.05</v>
      </c>
      <c r="N1688" s="464">
        <f t="shared" si="135"/>
        <v>102422</v>
      </c>
    </row>
    <row r="1689" spans="7:14" ht="11.25" customHeight="1" x14ac:dyDescent="0.3">
      <c r="G1689" s="459"/>
      <c r="H1689" s="459">
        <v>1682</v>
      </c>
      <c r="I1689" s="444">
        <f t="shared" ca="1" si="133"/>
        <v>18085472.078357998</v>
      </c>
      <c r="J1689" s="444">
        <f t="array" ref="J1689">IFERROR(INDEX('Retirement Calculator'!J:J,MATCH('Isaac 401k'!N1689,'Retirement Calculator'!A:A,0),0),0)</f>
        <v>0</v>
      </c>
      <c r="K1689" s="444">
        <f t="shared" ca="1" si="131"/>
        <v>75356.133659824991</v>
      </c>
      <c r="L1689" s="444">
        <f t="shared" ca="1" si="132"/>
        <v>18160828.212017823</v>
      </c>
      <c r="M1689" s="460">
        <f t="shared" si="134"/>
        <v>0.05</v>
      </c>
      <c r="N1689" s="464">
        <f t="shared" si="135"/>
        <v>102452</v>
      </c>
    </row>
    <row r="1690" spans="7:14" ht="11.25" customHeight="1" x14ac:dyDescent="0.3">
      <c r="G1690" s="459"/>
      <c r="H1690" s="459">
        <v>1683</v>
      </c>
      <c r="I1690" s="444">
        <f t="shared" ca="1" si="133"/>
        <v>18160828.212017823</v>
      </c>
      <c r="J1690" s="444">
        <f t="array" ref="J1690">IFERROR(INDEX('Retirement Calculator'!J:J,MATCH('Isaac 401k'!N1690,'Retirement Calculator'!A:A,0),0),0)</f>
        <v>0</v>
      </c>
      <c r="K1690" s="444">
        <f t="shared" ca="1" si="131"/>
        <v>75670.117550074268</v>
      </c>
      <c r="L1690" s="444">
        <f t="shared" ca="1" si="132"/>
        <v>18236498.329567898</v>
      </c>
      <c r="M1690" s="460">
        <f t="shared" si="134"/>
        <v>0.05</v>
      </c>
      <c r="N1690" s="464">
        <f t="shared" si="135"/>
        <v>102483</v>
      </c>
    </row>
    <row r="1691" spans="7:14" ht="11.25" customHeight="1" x14ac:dyDescent="0.3">
      <c r="G1691" s="459"/>
      <c r="H1691" s="459">
        <v>1684</v>
      </c>
      <c r="I1691" s="444">
        <f t="shared" ca="1" si="133"/>
        <v>18236498.329567898</v>
      </c>
      <c r="J1691" s="444">
        <f t="array" ref="J1691">IFERROR(INDEX('Retirement Calculator'!J:J,MATCH('Isaac 401k'!N1691,'Retirement Calculator'!A:A,0),0),0)</f>
        <v>0</v>
      </c>
      <c r="K1691" s="444">
        <f t="shared" ca="1" si="131"/>
        <v>75985.409706532912</v>
      </c>
      <c r="L1691" s="444">
        <f t="shared" ca="1" si="132"/>
        <v>18312483.739274431</v>
      </c>
      <c r="M1691" s="460">
        <f t="shared" si="134"/>
        <v>0.05</v>
      </c>
      <c r="N1691" s="464">
        <f t="shared" si="135"/>
        <v>102514</v>
      </c>
    </row>
    <row r="1692" spans="7:14" ht="11.25" customHeight="1" x14ac:dyDescent="0.3">
      <c r="G1692" s="459"/>
      <c r="H1692" s="459">
        <v>1685</v>
      </c>
      <c r="I1692" s="444">
        <f t="shared" ca="1" si="133"/>
        <v>18312483.739274431</v>
      </c>
      <c r="J1692" s="444">
        <f t="array" ref="J1692">IFERROR(INDEX('Retirement Calculator'!J:J,MATCH('Isaac 401k'!N1692,'Retirement Calculator'!A:A,0),0),0)</f>
        <v>0</v>
      </c>
      <c r="K1692" s="444">
        <f t="shared" ca="1" si="131"/>
        <v>76302.015580310122</v>
      </c>
      <c r="L1692" s="444">
        <f t="shared" ca="1" si="132"/>
        <v>18388785.754854742</v>
      </c>
      <c r="M1692" s="460">
        <f t="shared" si="134"/>
        <v>0.05</v>
      </c>
      <c r="N1692" s="464">
        <f t="shared" si="135"/>
        <v>102544</v>
      </c>
    </row>
    <row r="1693" spans="7:14" ht="11.25" customHeight="1" x14ac:dyDescent="0.3">
      <c r="G1693" s="459"/>
      <c r="H1693" s="459">
        <v>1686</v>
      </c>
      <c r="I1693" s="444">
        <f t="shared" ca="1" si="133"/>
        <v>18388785.754854742</v>
      </c>
      <c r="J1693" s="444">
        <f t="array" ref="J1693">IFERROR(INDEX('Retirement Calculator'!J:J,MATCH('Isaac 401k'!N1693,'Retirement Calculator'!A:A,0),0),0)</f>
        <v>0</v>
      </c>
      <c r="K1693" s="444">
        <f t="shared" ca="1" si="131"/>
        <v>76619.940645228096</v>
      </c>
      <c r="L1693" s="444">
        <f t="shared" ca="1" si="132"/>
        <v>18465405.695499972</v>
      </c>
      <c r="M1693" s="460">
        <f t="shared" si="134"/>
        <v>0.05</v>
      </c>
      <c r="N1693" s="464">
        <f t="shared" si="135"/>
        <v>102575</v>
      </c>
    </row>
    <row r="1694" spans="7:14" ht="11.25" customHeight="1" x14ac:dyDescent="0.3">
      <c r="G1694" s="459"/>
      <c r="H1694" s="459">
        <v>1687</v>
      </c>
      <c r="I1694" s="444">
        <f t="shared" ca="1" si="133"/>
        <v>18465405.695499972</v>
      </c>
      <c r="J1694" s="444">
        <f t="array" ref="J1694">IFERROR(INDEX('Retirement Calculator'!J:J,MATCH('Isaac 401k'!N1694,'Retirement Calculator'!A:A,0),0),0)</f>
        <v>0</v>
      </c>
      <c r="K1694" s="444">
        <f t="shared" ca="1" si="131"/>
        <v>76939.190397916551</v>
      </c>
      <c r="L1694" s="444">
        <f t="shared" ca="1" si="132"/>
        <v>18542344.88589789</v>
      </c>
      <c r="M1694" s="460">
        <f t="shared" si="134"/>
        <v>0.05</v>
      </c>
      <c r="N1694" s="464">
        <f t="shared" si="135"/>
        <v>102605</v>
      </c>
    </row>
    <row r="1695" spans="7:14" ht="11.25" customHeight="1" x14ac:dyDescent="0.3">
      <c r="G1695" s="459"/>
      <c r="H1695" s="459">
        <v>1688</v>
      </c>
      <c r="I1695" s="444">
        <f t="shared" ca="1" si="133"/>
        <v>18542344.88589789</v>
      </c>
      <c r="J1695" s="444">
        <f t="array" ref="J1695">IFERROR(INDEX('Retirement Calculator'!J:J,MATCH('Isaac 401k'!N1695,'Retirement Calculator'!A:A,0),0),0)</f>
        <v>0</v>
      </c>
      <c r="K1695" s="444">
        <f t="shared" ca="1" si="131"/>
        <v>77259.770357907866</v>
      </c>
      <c r="L1695" s="444">
        <f t="shared" ca="1" si="132"/>
        <v>18619604.656255797</v>
      </c>
      <c r="M1695" s="460">
        <f t="shared" si="134"/>
        <v>0.05</v>
      </c>
      <c r="N1695" s="464">
        <f t="shared" si="135"/>
        <v>102636</v>
      </c>
    </row>
    <row r="1696" spans="7:14" ht="11.25" customHeight="1" x14ac:dyDescent="0.3">
      <c r="G1696" s="459"/>
      <c r="H1696" s="459">
        <v>1689</v>
      </c>
      <c r="I1696" s="444">
        <f t="shared" ca="1" si="133"/>
        <v>18619604.656255797</v>
      </c>
      <c r="J1696" s="444">
        <f t="array" ref="J1696">IFERROR(INDEX('Retirement Calculator'!J:J,MATCH('Isaac 401k'!N1696,'Retirement Calculator'!A:A,0),0),0)</f>
        <v>0</v>
      </c>
      <c r="K1696" s="444">
        <f t="shared" ca="1" si="131"/>
        <v>77581.686067732488</v>
      </c>
      <c r="L1696" s="444">
        <f t="shared" ca="1" si="132"/>
        <v>18697186.34232353</v>
      </c>
      <c r="M1696" s="460">
        <f t="shared" si="134"/>
        <v>0.05</v>
      </c>
      <c r="N1696" s="464">
        <f t="shared" si="135"/>
        <v>102667</v>
      </c>
    </row>
    <row r="1697" spans="7:14" ht="11.25" customHeight="1" x14ac:dyDescent="0.3">
      <c r="G1697" s="459"/>
      <c r="H1697" s="459">
        <v>1690</v>
      </c>
      <c r="I1697" s="444">
        <f t="shared" ca="1" si="133"/>
        <v>18697186.34232353</v>
      </c>
      <c r="J1697" s="444">
        <f t="array" ref="J1697">IFERROR(INDEX('Retirement Calculator'!J:J,MATCH('Isaac 401k'!N1697,'Retirement Calculator'!A:A,0),0),0)</f>
        <v>0</v>
      </c>
      <c r="K1697" s="444">
        <f t="shared" ca="1" si="131"/>
        <v>77904.943093014706</v>
      </c>
      <c r="L1697" s="444">
        <f t="shared" ca="1" si="132"/>
        <v>18775091.285416543</v>
      </c>
      <c r="M1697" s="460">
        <f t="shared" si="134"/>
        <v>0.05</v>
      </c>
      <c r="N1697" s="464">
        <f t="shared" si="135"/>
        <v>102695</v>
      </c>
    </row>
    <row r="1698" spans="7:14" ht="11.25" customHeight="1" x14ac:dyDescent="0.3">
      <c r="G1698" s="459"/>
      <c r="H1698" s="459">
        <v>1691</v>
      </c>
      <c r="I1698" s="444">
        <f t="shared" ca="1" si="133"/>
        <v>18775091.285416543</v>
      </c>
      <c r="J1698" s="444">
        <f t="array" ref="J1698">IFERROR(INDEX('Retirement Calculator'!J:J,MATCH('Isaac 401k'!N1698,'Retirement Calculator'!A:A,0),0),0)</f>
        <v>0</v>
      </c>
      <c r="K1698" s="444">
        <f t="shared" ca="1" si="131"/>
        <v>78229.547022568935</v>
      </c>
      <c r="L1698" s="444">
        <f t="shared" ca="1" si="132"/>
        <v>18853320.832439113</v>
      </c>
      <c r="M1698" s="460">
        <f t="shared" si="134"/>
        <v>0.05</v>
      </c>
      <c r="N1698" s="464">
        <f t="shared" si="135"/>
        <v>102726</v>
      </c>
    </row>
    <row r="1699" spans="7:14" ht="11.25" customHeight="1" x14ac:dyDescent="0.3">
      <c r="G1699" s="459"/>
      <c r="H1699" s="459">
        <v>1692</v>
      </c>
      <c r="I1699" s="444">
        <f t="shared" ca="1" si="133"/>
        <v>18853320.832439113</v>
      </c>
      <c r="J1699" s="444">
        <f t="array" ref="J1699">IFERROR(INDEX('Retirement Calculator'!J:J,MATCH('Isaac 401k'!N1699,'Retirement Calculator'!A:A,0),0),0)</f>
        <v>0</v>
      </c>
      <c r="K1699" s="444">
        <f t="shared" ca="1" si="131"/>
        <v>78555.503468496303</v>
      </c>
      <c r="L1699" s="444">
        <f t="shared" ca="1" si="132"/>
        <v>18931876.335907608</v>
      </c>
      <c r="M1699" s="460">
        <f t="shared" si="134"/>
        <v>0.05</v>
      </c>
      <c r="N1699" s="464">
        <f t="shared" si="135"/>
        <v>102756</v>
      </c>
    </row>
    <row r="1700" spans="7:14" ht="11.25" customHeight="1" x14ac:dyDescent="0.3">
      <c r="G1700" s="459"/>
      <c r="H1700" s="459">
        <v>1693</v>
      </c>
      <c r="I1700" s="444">
        <f t="shared" ca="1" si="133"/>
        <v>18931876.335907608</v>
      </c>
      <c r="J1700" s="444">
        <f t="array" ref="J1700">IFERROR(INDEX('Retirement Calculator'!J:J,MATCH('Isaac 401k'!N1700,'Retirement Calculator'!A:A,0),0),0)</f>
        <v>0</v>
      </c>
      <c r="K1700" s="444">
        <f t="shared" ca="1" si="131"/>
        <v>78882.818066281703</v>
      </c>
      <c r="L1700" s="444">
        <f t="shared" ca="1" si="132"/>
        <v>19010759.153973889</v>
      </c>
      <c r="M1700" s="460">
        <f t="shared" si="134"/>
        <v>0.05</v>
      </c>
      <c r="N1700" s="464">
        <f t="shared" si="135"/>
        <v>102787</v>
      </c>
    </row>
    <row r="1701" spans="7:14" ht="11.25" customHeight="1" x14ac:dyDescent="0.3">
      <c r="G1701" s="459"/>
      <c r="H1701" s="459">
        <v>1694</v>
      </c>
      <c r="I1701" s="444">
        <f t="shared" ca="1" si="133"/>
        <v>19010759.153973889</v>
      </c>
      <c r="J1701" s="444">
        <f t="array" ref="J1701">IFERROR(INDEX('Retirement Calculator'!J:J,MATCH('Isaac 401k'!N1701,'Retirement Calculator'!A:A,0),0),0)</f>
        <v>0</v>
      </c>
      <c r="K1701" s="444">
        <f t="shared" ca="1" si="131"/>
        <v>79211.496474891203</v>
      </c>
      <c r="L1701" s="444">
        <f t="shared" ca="1" si="132"/>
        <v>19089970.650448781</v>
      </c>
      <c r="M1701" s="460">
        <f t="shared" si="134"/>
        <v>0.05</v>
      </c>
      <c r="N1701" s="464">
        <f t="shared" si="135"/>
        <v>102817</v>
      </c>
    </row>
    <row r="1702" spans="7:14" ht="11.25" customHeight="1" x14ac:dyDescent="0.3">
      <c r="G1702" s="459"/>
      <c r="H1702" s="459">
        <v>1695</v>
      </c>
      <c r="I1702" s="444">
        <f t="shared" ca="1" si="133"/>
        <v>19089970.650448781</v>
      </c>
      <c r="J1702" s="444">
        <f t="array" ref="J1702">IFERROR(INDEX('Retirement Calculator'!J:J,MATCH('Isaac 401k'!N1702,'Retirement Calculator'!A:A,0),0),0)</f>
        <v>0</v>
      </c>
      <c r="K1702" s="444">
        <f t="shared" ca="1" si="131"/>
        <v>79541.544376869919</v>
      </c>
      <c r="L1702" s="444">
        <f t="shared" ca="1" si="132"/>
        <v>19169512.194825649</v>
      </c>
      <c r="M1702" s="460">
        <f t="shared" si="134"/>
        <v>0.05</v>
      </c>
      <c r="N1702" s="464">
        <f t="shared" si="135"/>
        <v>102848</v>
      </c>
    </row>
    <row r="1703" spans="7:14" ht="11.25" customHeight="1" x14ac:dyDescent="0.3">
      <c r="G1703" s="459"/>
      <c r="H1703" s="459">
        <v>1696</v>
      </c>
      <c r="I1703" s="444">
        <f t="shared" ca="1" si="133"/>
        <v>19169512.194825649</v>
      </c>
      <c r="J1703" s="444">
        <f t="array" ref="J1703">IFERROR(INDEX('Retirement Calculator'!J:J,MATCH('Isaac 401k'!N1703,'Retirement Calculator'!A:A,0),0),0)</f>
        <v>0</v>
      </c>
      <c r="K1703" s="444">
        <f t="shared" ca="1" si="131"/>
        <v>79872.967478440201</v>
      </c>
      <c r="L1703" s="444">
        <f t="shared" ca="1" si="132"/>
        <v>19249385.162304088</v>
      </c>
      <c r="M1703" s="460">
        <f t="shared" si="134"/>
        <v>0.05</v>
      </c>
      <c r="N1703" s="464">
        <f t="shared" si="135"/>
        <v>102879</v>
      </c>
    </row>
    <row r="1704" spans="7:14" ht="11.25" customHeight="1" x14ac:dyDescent="0.3">
      <c r="G1704" s="459"/>
      <c r="H1704" s="459">
        <v>1697</v>
      </c>
      <c r="I1704" s="444">
        <f t="shared" ca="1" si="133"/>
        <v>19249385.162304088</v>
      </c>
      <c r="J1704" s="444">
        <f t="array" ref="J1704">IFERROR(INDEX('Retirement Calculator'!J:J,MATCH('Isaac 401k'!N1704,'Retirement Calculator'!A:A,0),0),0)</f>
        <v>0</v>
      </c>
      <c r="K1704" s="444">
        <f t="shared" ca="1" si="131"/>
        <v>80205.771509600367</v>
      </c>
      <c r="L1704" s="444">
        <f t="shared" ca="1" si="132"/>
        <v>19329590.933813687</v>
      </c>
      <c r="M1704" s="460">
        <f t="shared" si="134"/>
        <v>0.05</v>
      </c>
      <c r="N1704" s="464">
        <f t="shared" si="135"/>
        <v>102909</v>
      </c>
    </row>
    <row r="1705" spans="7:14" ht="11.25" customHeight="1" x14ac:dyDescent="0.3">
      <c r="G1705" s="459"/>
      <c r="H1705" s="459">
        <v>1698</v>
      </c>
      <c r="I1705" s="444">
        <f t="shared" ca="1" si="133"/>
        <v>19329590.933813687</v>
      </c>
      <c r="J1705" s="444">
        <f t="array" ref="J1705">IFERROR(INDEX('Retirement Calculator'!J:J,MATCH('Isaac 401k'!N1705,'Retirement Calculator'!A:A,0),0),0)</f>
        <v>0</v>
      </c>
      <c r="K1705" s="444">
        <f t="shared" ca="1" si="131"/>
        <v>80539.962224223695</v>
      </c>
      <c r="L1705" s="444">
        <f t="shared" ca="1" si="132"/>
        <v>19410130.89603791</v>
      </c>
      <c r="M1705" s="460">
        <f t="shared" si="134"/>
        <v>0.05</v>
      </c>
      <c r="N1705" s="464">
        <f t="shared" si="135"/>
        <v>102940</v>
      </c>
    </row>
    <row r="1706" spans="7:14" ht="11.25" customHeight="1" x14ac:dyDescent="0.3">
      <c r="G1706" s="459"/>
      <c r="H1706" s="459">
        <v>1699</v>
      </c>
      <c r="I1706" s="444">
        <f t="shared" ca="1" si="133"/>
        <v>19410130.89603791</v>
      </c>
      <c r="J1706" s="444">
        <f t="array" ref="J1706">IFERROR(INDEX('Retirement Calculator'!J:J,MATCH('Isaac 401k'!N1706,'Retirement Calculator'!A:A,0),0),0)</f>
        <v>0</v>
      </c>
      <c r="K1706" s="444">
        <f t="shared" ca="1" si="131"/>
        <v>80875.545400157964</v>
      </c>
      <c r="L1706" s="444">
        <f t="shared" ca="1" si="132"/>
        <v>19491006.441438068</v>
      </c>
      <c r="M1706" s="460">
        <f t="shared" si="134"/>
        <v>0.05</v>
      </c>
      <c r="N1706" s="464">
        <f t="shared" si="135"/>
        <v>102970</v>
      </c>
    </row>
    <row r="1707" spans="7:14" ht="11.25" customHeight="1" x14ac:dyDescent="0.3">
      <c r="G1707" s="459"/>
      <c r="H1707" s="459">
        <v>1700</v>
      </c>
      <c r="I1707" s="444">
        <f t="shared" ca="1" si="133"/>
        <v>19491006.441438068</v>
      </c>
      <c r="J1707" s="444">
        <f t="array" ref="J1707">IFERROR(INDEX('Retirement Calculator'!J:J,MATCH('Isaac 401k'!N1707,'Retirement Calculator'!A:A,0),0),0)</f>
        <v>0</v>
      </c>
      <c r="K1707" s="444">
        <f t="shared" ca="1" si="131"/>
        <v>81212.526839325277</v>
      </c>
      <c r="L1707" s="444">
        <f t="shared" ca="1" si="132"/>
        <v>19572218.968277395</v>
      </c>
      <c r="M1707" s="460">
        <f t="shared" si="134"/>
        <v>0.05</v>
      </c>
      <c r="N1707" s="464">
        <f t="shared" si="135"/>
        <v>103001</v>
      </c>
    </row>
    <row r="1708" spans="7:14" ht="11.25" customHeight="1" x14ac:dyDescent="0.3">
      <c r="G1708" s="459"/>
      <c r="H1708" s="459">
        <v>1701</v>
      </c>
      <c r="I1708" s="444">
        <f t="shared" ca="1" si="133"/>
        <v>19572218.968277395</v>
      </c>
      <c r="J1708" s="444">
        <f t="array" ref="J1708">IFERROR(INDEX('Retirement Calculator'!J:J,MATCH('Isaac 401k'!N1708,'Retirement Calculator'!A:A,0),0),0)</f>
        <v>0</v>
      </c>
      <c r="K1708" s="444">
        <f t="shared" ca="1" si="131"/>
        <v>81550.912367822471</v>
      </c>
      <c r="L1708" s="444">
        <f t="shared" ca="1" si="132"/>
        <v>19653769.880645216</v>
      </c>
      <c r="M1708" s="460">
        <f t="shared" si="134"/>
        <v>0.05</v>
      </c>
      <c r="N1708" s="464">
        <f t="shared" si="135"/>
        <v>103032</v>
      </c>
    </row>
    <row r="1709" spans="7:14" ht="11.25" customHeight="1" x14ac:dyDescent="0.3">
      <c r="G1709" s="459"/>
      <c r="H1709" s="459">
        <v>1702</v>
      </c>
      <c r="I1709" s="444">
        <f t="shared" ca="1" si="133"/>
        <v>19653769.880645216</v>
      </c>
      <c r="J1709" s="444">
        <f t="array" ref="J1709">IFERROR(INDEX('Retirement Calculator'!J:J,MATCH('Isaac 401k'!N1709,'Retirement Calculator'!A:A,0),0),0)</f>
        <v>0</v>
      </c>
      <c r="K1709" s="444">
        <f t="shared" ca="1" si="131"/>
        <v>81890.707836021727</v>
      </c>
      <c r="L1709" s="444">
        <f t="shared" ca="1" si="132"/>
        <v>19735660.588481236</v>
      </c>
      <c r="M1709" s="460">
        <f t="shared" si="134"/>
        <v>0.05</v>
      </c>
      <c r="N1709" s="464">
        <f t="shared" si="135"/>
        <v>103060</v>
      </c>
    </row>
    <row r="1710" spans="7:14" ht="11.25" customHeight="1" x14ac:dyDescent="0.3">
      <c r="G1710" s="459"/>
      <c r="H1710" s="459">
        <v>1703</v>
      </c>
      <c r="I1710" s="444">
        <f t="shared" ca="1" si="133"/>
        <v>19735660.588481236</v>
      </c>
      <c r="J1710" s="444">
        <f t="array" ref="J1710">IFERROR(INDEX('Retirement Calculator'!J:J,MATCH('Isaac 401k'!N1710,'Retirement Calculator'!A:A,0),0),0)</f>
        <v>0</v>
      </c>
      <c r="K1710" s="444">
        <f t="shared" ca="1" si="131"/>
        <v>82231.919118671824</v>
      </c>
      <c r="L1710" s="444">
        <f t="shared" ca="1" si="132"/>
        <v>19817892.507599909</v>
      </c>
      <c r="M1710" s="460">
        <f t="shared" si="134"/>
        <v>0.05</v>
      </c>
      <c r="N1710" s="464">
        <f t="shared" si="135"/>
        <v>103091</v>
      </c>
    </row>
    <row r="1711" spans="7:14" ht="11.25" customHeight="1" x14ac:dyDescent="0.3">
      <c r="G1711" s="459"/>
      <c r="H1711" s="459">
        <v>1704</v>
      </c>
      <c r="I1711" s="444">
        <f t="shared" ca="1" si="133"/>
        <v>19817892.507599909</v>
      </c>
      <c r="J1711" s="444">
        <f t="array" ref="J1711">IFERROR(INDEX('Retirement Calculator'!J:J,MATCH('Isaac 401k'!N1711,'Retirement Calculator'!A:A,0),0),0)</f>
        <v>0</v>
      </c>
      <c r="K1711" s="444">
        <f t="shared" ca="1" si="131"/>
        <v>82574.55211499962</v>
      </c>
      <c r="L1711" s="444">
        <f t="shared" ca="1" si="132"/>
        <v>19900467.05971491</v>
      </c>
      <c r="M1711" s="460">
        <f t="shared" si="134"/>
        <v>0.05</v>
      </c>
      <c r="N1711" s="464">
        <f t="shared" si="135"/>
        <v>103121</v>
      </c>
    </row>
    <row r="1712" spans="7:14" ht="11.25" customHeight="1" x14ac:dyDescent="0.3">
      <c r="G1712" s="459"/>
      <c r="H1712" s="459">
        <v>1705</v>
      </c>
      <c r="I1712" s="444">
        <f t="shared" ca="1" si="133"/>
        <v>19900467.05971491</v>
      </c>
      <c r="J1712" s="444">
        <f t="array" ref="J1712">IFERROR(INDEX('Retirement Calculator'!J:J,MATCH('Isaac 401k'!N1712,'Retirement Calculator'!A:A,0),0),0)</f>
        <v>0</v>
      </c>
      <c r="K1712" s="444">
        <f t="shared" ca="1" si="131"/>
        <v>82918.612748812127</v>
      </c>
      <c r="L1712" s="444">
        <f t="shared" ca="1" si="132"/>
        <v>19983385.672463723</v>
      </c>
      <c r="M1712" s="460">
        <f t="shared" si="134"/>
        <v>0.05</v>
      </c>
      <c r="N1712" s="464">
        <f t="shared" si="135"/>
        <v>103152</v>
      </c>
    </row>
    <row r="1713" spans="7:14" ht="11.25" customHeight="1" x14ac:dyDescent="0.3">
      <c r="G1713" s="459"/>
      <c r="H1713" s="459">
        <v>1706</v>
      </c>
      <c r="I1713" s="444">
        <f t="shared" ca="1" si="133"/>
        <v>19983385.672463723</v>
      </c>
      <c r="J1713" s="444">
        <f t="array" ref="J1713">IFERROR(INDEX('Retirement Calculator'!J:J,MATCH('Isaac 401k'!N1713,'Retirement Calculator'!A:A,0),0),0)</f>
        <v>0</v>
      </c>
      <c r="K1713" s="444">
        <f t="shared" ca="1" si="131"/>
        <v>83264.106968598848</v>
      </c>
      <c r="L1713" s="444">
        <f t="shared" ca="1" si="132"/>
        <v>20066649.779432323</v>
      </c>
      <c r="M1713" s="460">
        <f t="shared" si="134"/>
        <v>0.05</v>
      </c>
      <c r="N1713" s="464">
        <f t="shared" si="135"/>
        <v>103182</v>
      </c>
    </row>
    <row r="1714" spans="7:14" ht="11.25" customHeight="1" x14ac:dyDescent="0.3">
      <c r="G1714" s="459"/>
      <c r="H1714" s="459">
        <v>1707</v>
      </c>
      <c r="I1714" s="444">
        <f t="shared" ca="1" si="133"/>
        <v>20066649.779432323</v>
      </c>
      <c r="J1714" s="444">
        <f t="array" ref="J1714">IFERROR(INDEX('Retirement Calculator'!J:J,MATCH('Isaac 401k'!N1714,'Retirement Calculator'!A:A,0),0),0)</f>
        <v>0</v>
      </c>
      <c r="K1714" s="444">
        <f t="shared" ca="1" si="131"/>
        <v>83611.040747634674</v>
      </c>
      <c r="L1714" s="444">
        <f t="shared" ca="1" si="132"/>
        <v>20150260.820179958</v>
      </c>
      <c r="M1714" s="460">
        <f t="shared" si="134"/>
        <v>0.05</v>
      </c>
      <c r="N1714" s="464">
        <f t="shared" si="135"/>
        <v>103213</v>
      </c>
    </row>
    <row r="1715" spans="7:14" ht="11.25" customHeight="1" x14ac:dyDescent="0.3">
      <c r="G1715" s="459"/>
      <c r="H1715" s="459">
        <v>1708</v>
      </c>
      <c r="I1715" s="444">
        <f t="shared" ca="1" si="133"/>
        <v>20150260.820179958</v>
      </c>
      <c r="J1715" s="444">
        <f t="array" ref="J1715">IFERROR(INDEX('Retirement Calculator'!J:J,MATCH('Isaac 401k'!N1715,'Retirement Calculator'!A:A,0),0),0)</f>
        <v>0</v>
      </c>
      <c r="K1715" s="444">
        <f t="shared" ca="1" si="131"/>
        <v>83959.420084083162</v>
      </c>
      <c r="L1715" s="444">
        <f t="shared" ca="1" si="132"/>
        <v>20234220.240264039</v>
      </c>
      <c r="M1715" s="460">
        <f t="shared" si="134"/>
        <v>0.05</v>
      </c>
      <c r="N1715" s="464">
        <f t="shared" si="135"/>
        <v>103244</v>
      </c>
    </row>
    <row r="1716" spans="7:14" ht="11.25" customHeight="1" x14ac:dyDescent="0.3">
      <c r="G1716" s="459"/>
      <c r="H1716" s="459">
        <v>1709</v>
      </c>
      <c r="I1716" s="444">
        <f t="shared" ca="1" si="133"/>
        <v>20234220.240264039</v>
      </c>
      <c r="J1716" s="444">
        <f t="array" ref="J1716">IFERROR(INDEX('Retirement Calculator'!J:J,MATCH('Isaac 401k'!N1716,'Retirement Calculator'!A:A,0),0),0)</f>
        <v>0</v>
      </c>
      <c r="K1716" s="444">
        <f t="shared" ca="1" si="131"/>
        <v>84309.251001100158</v>
      </c>
      <c r="L1716" s="444">
        <f t="shared" ca="1" si="132"/>
        <v>20318529.49126514</v>
      </c>
      <c r="M1716" s="460">
        <f t="shared" si="134"/>
        <v>0.05</v>
      </c>
      <c r="N1716" s="464">
        <f t="shared" si="135"/>
        <v>103274</v>
      </c>
    </row>
    <row r="1717" spans="7:14" ht="11.25" customHeight="1" x14ac:dyDescent="0.3">
      <c r="G1717" s="459"/>
      <c r="H1717" s="459">
        <v>1710</v>
      </c>
      <c r="I1717" s="444">
        <f t="shared" ca="1" si="133"/>
        <v>20318529.49126514</v>
      </c>
      <c r="J1717" s="444">
        <f t="array" ref="J1717">IFERROR(INDEX('Retirement Calculator'!J:J,MATCH('Isaac 401k'!N1717,'Retirement Calculator'!A:A,0),0),0)</f>
        <v>0</v>
      </c>
      <c r="K1717" s="444">
        <f t="shared" ca="1" si="131"/>
        <v>84660.539546938089</v>
      </c>
      <c r="L1717" s="444">
        <f t="shared" ca="1" si="132"/>
        <v>20403190.030812077</v>
      </c>
      <c r="M1717" s="460">
        <f t="shared" si="134"/>
        <v>0.05</v>
      </c>
      <c r="N1717" s="464">
        <f t="shared" si="135"/>
        <v>103305</v>
      </c>
    </row>
    <row r="1718" spans="7:14" ht="11.25" customHeight="1" x14ac:dyDescent="0.3">
      <c r="G1718" s="459"/>
      <c r="H1718" s="459">
        <v>1711</v>
      </c>
      <c r="I1718" s="444">
        <f t="shared" ca="1" si="133"/>
        <v>20403190.030812077</v>
      </c>
      <c r="J1718" s="444">
        <f t="array" ref="J1718">IFERROR(INDEX('Retirement Calculator'!J:J,MATCH('Isaac 401k'!N1718,'Retirement Calculator'!A:A,0),0),0)</f>
        <v>0</v>
      </c>
      <c r="K1718" s="444">
        <f t="shared" ca="1" si="131"/>
        <v>85013.291795050318</v>
      </c>
      <c r="L1718" s="444">
        <f t="shared" ca="1" si="132"/>
        <v>20488203.322607126</v>
      </c>
      <c r="M1718" s="460">
        <f t="shared" si="134"/>
        <v>0.05</v>
      </c>
      <c r="N1718" s="464">
        <f t="shared" si="135"/>
        <v>103335</v>
      </c>
    </row>
    <row r="1719" spans="7:14" ht="11.25" customHeight="1" x14ac:dyDescent="0.3">
      <c r="G1719" s="459"/>
      <c r="H1719" s="459">
        <v>1712</v>
      </c>
      <c r="I1719" s="444">
        <f t="shared" ca="1" si="133"/>
        <v>20488203.322607126</v>
      </c>
      <c r="J1719" s="444">
        <f t="array" ref="J1719">IFERROR(INDEX('Retirement Calculator'!J:J,MATCH('Isaac 401k'!N1719,'Retirement Calculator'!A:A,0),0),0)</f>
        <v>0</v>
      </c>
      <c r="K1719" s="444">
        <f t="shared" ca="1" si="131"/>
        <v>85367.513844196365</v>
      </c>
      <c r="L1719" s="444">
        <f t="shared" ca="1" si="132"/>
        <v>20573570.836451322</v>
      </c>
      <c r="M1719" s="460">
        <f t="shared" si="134"/>
        <v>0.05</v>
      </c>
      <c r="N1719" s="464">
        <f t="shared" si="135"/>
        <v>103366</v>
      </c>
    </row>
    <row r="1720" spans="7:14" ht="11.25" customHeight="1" x14ac:dyDescent="0.3">
      <c r="G1720" s="459"/>
      <c r="H1720" s="459">
        <v>1713</v>
      </c>
      <c r="I1720" s="444">
        <f t="shared" ca="1" si="133"/>
        <v>20573570.836451322</v>
      </c>
      <c r="J1720" s="444">
        <f t="array" ref="J1720">IFERROR(INDEX('Retirement Calculator'!J:J,MATCH('Isaac 401k'!N1720,'Retirement Calculator'!A:A,0),0),0)</f>
        <v>0</v>
      </c>
      <c r="K1720" s="444">
        <f t="shared" ca="1" si="131"/>
        <v>85723.211818547177</v>
      </c>
      <c r="L1720" s="444">
        <f t="shared" ca="1" si="132"/>
        <v>20659294.048269868</v>
      </c>
      <c r="M1720" s="460">
        <f t="shared" si="134"/>
        <v>0.05</v>
      </c>
      <c r="N1720" s="464">
        <f t="shared" si="135"/>
        <v>103397</v>
      </c>
    </row>
    <row r="1721" spans="7:14" ht="11.25" customHeight="1" x14ac:dyDescent="0.3">
      <c r="G1721" s="459"/>
      <c r="H1721" s="459">
        <v>1714</v>
      </c>
      <c r="I1721" s="444">
        <f t="shared" ca="1" si="133"/>
        <v>20659294.048269868</v>
      </c>
      <c r="J1721" s="444">
        <f t="array" ref="J1721">IFERROR(INDEX('Retirement Calculator'!J:J,MATCH('Isaac 401k'!N1721,'Retirement Calculator'!A:A,0),0),0)</f>
        <v>0</v>
      </c>
      <c r="K1721" s="444">
        <f t="shared" ca="1" si="131"/>
        <v>86080.391867791113</v>
      </c>
      <c r="L1721" s="444">
        <f t="shared" ca="1" si="132"/>
        <v>20745374.440137658</v>
      </c>
      <c r="M1721" s="460">
        <f t="shared" si="134"/>
        <v>0.05</v>
      </c>
      <c r="N1721" s="464">
        <f t="shared" si="135"/>
        <v>103425</v>
      </c>
    </row>
    <row r="1722" spans="7:14" ht="11.25" customHeight="1" x14ac:dyDescent="0.3">
      <c r="G1722" s="459"/>
      <c r="H1722" s="459">
        <v>1715</v>
      </c>
      <c r="I1722" s="444">
        <f t="shared" ca="1" si="133"/>
        <v>20745374.440137658</v>
      </c>
      <c r="J1722" s="444">
        <f t="array" ref="J1722">IFERROR(INDEX('Retirement Calculator'!J:J,MATCH('Isaac 401k'!N1722,'Retirement Calculator'!A:A,0),0),0)</f>
        <v>0</v>
      </c>
      <c r="K1722" s="444">
        <f t="shared" ca="1" si="131"/>
        <v>86439.060167240241</v>
      </c>
      <c r="L1722" s="444">
        <f t="shared" ca="1" si="132"/>
        <v>20831813.5003049</v>
      </c>
      <c r="M1722" s="460">
        <f t="shared" si="134"/>
        <v>0.05</v>
      </c>
      <c r="N1722" s="464">
        <f t="shared" si="135"/>
        <v>103456</v>
      </c>
    </row>
    <row r="1723" spans="7:14" ht="11.25" customHeight="1" x14ac:dyDescent="0.3">
      <c r="G1723" s="459"/>
      <c r="H1723" s="459">
        <v>1716</v>
      </c>
      <c r="I1723" s="444">
        <f t="shared" ca="1" si="133"/>
        <v>20831813.5003049</v>
      </c>
      <c r="J1723" s="444">
        <f t="array" ref="J1723">IFERROR(INDEX('Retirement Calculator'!J:J,MATCH('Isaac 401k'!N1723,'Retirement Calculator'!A:A,0),0),0)</f>
        <v>0</v>
      </c>
      <c r="K1723" s="444">
        <f t="shared" ca="1" si="131"/>
        <v>86799.222917937077</v>
      </c>
      <c r="L1723" s="444">
        <f t="shared" ca="1" si="132"/>
        <v>20918612.723222837</v>
      </c>
      <c r="M1723" s="460">
        <f t="shared" si="134"/>
        <v>0.05</v>
      </c>
      <c r="N1723" s="464">
        <f t="shared" si="135"/>
        <v>103486</v>
      </c>
    </row>
    <row r="1724" spans="7:14" ht="11.25" customHeight="1" x14ac:dyDescent="0.3">
      <c r="G1724" s="459"/>
      <c r="H1724" s="459">
        <v>1717</v>
      </c>
      <c r="I1724" s="444">
        <f t="shared" ca="1" si="133"/>
        <v>20918612.723222837</v>
      </c>
      <c r="J1724" s="444">
        <f t="array" ref="J1724">IFERROR(INDEX('Retirement Calculator'!J:J,MATCH('Isaac 401k'!N1724,'Retirement Calculator'!A:A,0),0),0)</f>
        <v>0</v>
      </c>
      <c r="K1724" s="444">
        <f t="shared" ca="1" si="131"/>
        <v>87160.886346761821</v>
      </c>
      <c r="L1724" s="444">
        <f t="shared" ca="1" si="132"/>
        <v>21005773.609569598</v>
      </c>
      <c r="M1724" s="460">
        <f t="shared" si="134"/>
        <v>0.05</v>
      </c>
      <c r="N1724" s="464">
        <f t="shared" si="135"/>
        <v>103517</v>
      </c>
    </row>
    <row r="1725" spans="7:14" ht="11.25" customHeight="1" x14ac:dyDescent="0.3">
      <c r="G1725" s="459"/>
      <c r="H1725" s="459">
        <v>1718</v>
      </c>
      <c r="I1725" s="444">
        <f t="shared" ca="1" si="133"/>
        <v>21005773.609569598</v>
      </c>
      <c r="J1725" s="444">
        <f t="array" ref="J1725">IFERROR(INDEX('Retirement Calculator'!J:J,MATCH('Isaac 401k'!N1725,'Retirement Calculator'!A:A,0),0),0)</f>
        <v>0</v>
      </c>
      <c r="K1725" s="444">
        <f t="shared" ca="1" si="131"/>
        <v>87524.056706539996</v>
      </c>
      <c r="L1725" s="444">
        <f t="shared" ca="1" si="132"/>
        <v>21093297.666276138</v>
      </c>
      <c r="M1725" s="460">
        <f t="shared" si="134"/>
        <v>0.05</v>
      </c>
      <c r="N1725" s="464">
        <f t="shared" si="135"/>
        <v>103547</v>
      </c>
    </row>
    <row r="1726" spans="7:14" ht="11.25" customHeight="1" x14ac:dyDescent="0.3">
      <c r="G1726" s="459"/>
      <c r="H1726" s="459">
        <v>1719</v>
      </c>
      <c r="I1726" s="444">
        <f t="shared" ca="1" si="133"/>
        <v>21093297.666276138</v>
      </c>
      <c r="J1726" s="444">
        <f t="array" ref="J1726">IFERROR(INDEX('Retirement Calculator'!J:J,MATCH('Isaac 401k'!N1726,'Retirement Calculator'!A:A,0),0),0)</f>
        <v>0</v>
      </c>
      <c r="K1726" s="444">
        <f t="shared" ca="1" si="131"/>
        <v>87888.74027615058</v>
      </c>
      <c r="L1726" s="444">
        <f t="shared" ca="1" si="132"/>
        <v>21181186.406552289</v>
      </c>
      <c r="M1726" s="460">
        <f t="shared" si="134"/>
        <v>0.05</v>
      </c>
      <c r="N1726" s="464">
        <f t="shared" si="135"/>
        <v>103578</v>
      </c>
    </row>
    <row r="1727" spans="7:14" ht="11.25" customHeight="1" x14ac:dyDescent="0.3">
      <c r="G1727" s="459"/>
      <c r="H1727" s="459">
        <v>1720</v>
      </c>
      <c r="I1727" s="444">
        <f t="shared" ca="1" si="133"/>
        <v>21181186.406552289</v>
      </c>
      <c r="J1727" s="444">
        <f t="array" ref="J1727">IFERROR(INDEX('Retirement Calculator'!J:J,MATCH('Isaac 401k'!N1727,'Retirement Calculator'!A:A,0),0),0)</f>
        <v>0</v>
      </c>
      <c r="K1727" s="444">
        <f t="shared" ca="1" si="131"/>
        <v>88254.943360634541</v>
      </c>
      <c r="L1727" s="444">
        <f t="shared" ca="1" si="132"/>
        <v>21269441.349912923</v>
      </c>
      <c r="M1727" s="460">
        <f t="shared" si="134"/>
        <v>0.05</v>
      </c>
      <c r="N1727" s="464">
        <f t="shared" si="135"/>
        <v>103609</v>
      </c>
    </row>
    <row r="1728" spans="7:14" ht="11.25" customHeight="1" x14ac:dyDescent="0.3">
      <c r="G1728" s="459"/>
      <c r="H1728" s="459">
        <v>1721</v>
      </c>
      <c r="I1728" s="444">
        <f t="shared" ca="1" si="133"/>
        <v>21269441.349912923</v>
      </c>
      <c r="J1728" s="444">
        <f t="array" ref="J1728">IFERROR(INDEX('Retirement Calculator'!J:J,MATCH('Isaac 401k'!N1728,'Retirement Calculator'!A:A,0),0),0)</f>
        <v>0</v>
      </c>
      <c r="K1728" s="444">
        <f t="shared" ca="1" si="131"/>
        <v>88622.672291303839</v>
      </c>
      <c r="L1728" s="444">
        <f t="shared" ca="1" si="132"/>
        <v>21358064.022204228</v>
      </c>
      <c r="M1728" s="460">
        <f t="shared" si="134"/>
        <v>0.05</v>
      </c>
      <c r="N1728" s="464">
        <f t="shared" si="135"/>
        <v>103639</v>
      </c>
    </row>
    <row r="1729" spans="7:14" ht="11.25" customHeight="1" x14ac:dyDescent="0.3">
      <c r="G1729" s="459"/>
      <c r="H1729" s="459">
        <v>1722</v>
      </c>
      <c r="I1729" s="444">
        <f t="shared" ca="1" si="133"/>
        <v>21358064.022204228</v>
      </c>
      <c r="J1729" s="444">
        <f t="array" ref="J1729">IFERROR(INDEX('Retirement Calculator'!J:J,MATCH('Isaac 401k'!N1729,'Retirement Calculator'!A:A,0),0),0)</f>
        <v>0</v>
      </c>
      <c r="K1729" s="444">
        <f t="shared" ca="1" si="131"/>
        <v>88991.933425850948</v>
      </c>
      <c r="L1729" s="444">
        <f t="shared" ca="1" si="132"/>
        <v>21447055.955630079</v>
      </c>
      <c r="M1729" s="460">
        <f t="shared" si="134"/>
        <v>0.05</v>
      </c>
      <c r="N1729" s="464">
        <f t="shared" si="135"/>
        <v>103670</v>
      </c>
    </row>
    <row r="1730" spans="7:14" ht="11.25" customHeight="1" x14ac:dyDescent="0.3">
      <c r="G1730" s="459"/>
      <c r="H1730" s="459">
        <v>1723</v>
      </c>
      <c r="I1730" s="444">
        <f t="shared" ca="1" si="133"/>
        <v>21447055.955630079</v>
      </c>
      <c r="J1730" s="444">
        <f t="array" ref="J1730">IFERROR(INDEX('Retirement Calculator'!J:J,MATCH('Isaac 401k'!N1730,'Retirement Calculator'!A:A,0),0),0)</f>
        <v>0</v>
      </c>
      <c r="K1730" s="444">
        <f t="shared" ca="1" si="131"/>
        <v>89362.733148458661</v>
      </c>
      <c r="L1730" s="444">
        <f t="shared" ca="1" si="132"/>
        <v>21536418.688778538</v>
      </c>
      <c r="M1730" s="460">
        <f t="shared" si="134"/>
        <v>0.05</v>
      </c>
      <c r="N1730" s="464">
        <f t="shared" si="135"/>
        <v>103700</v>
      </c>
    </row>
    <row r="1731" spans="7:14" ht="11.25" customHeight="1" x14ac:dyDescent="0.3">
      <c r="G1731" s="459"/>
      <c r="H1731" s="459">
        <v>1724</v>
      </c>
      <c r="I1731" s="444">
        <f t="shared" ca="1" si="133"/>
        <v>21536418.688778538</v>
      </c>
      <c r="J1731" s="444">
        <f t="array" ref="J1731">IFERROR(INDEX('Retirement Calculator'!J:J,MATCH('Isaac 401k'!N1731,'Retirement Calculator'!A:A,0),0),0)</f>
        <v>0</v>
      </c>
      <c r="K1731" s="444">
        <f t="shared" ca="1" si="131"/>
        <v>89735.077869910572</v>
      </c>
      <c r="L1731" s="444">
        <f t="shared" ca="1" si="132"/>
        <v>21626153.766648449</v>
      </c>
      <c r="M1731" s="460">
        <f t="shared" si="134"/>
        <v>0.05</v>
      </c>
      <c r="N1731" s="464">
        <f t="shared" si="135"/>
        <v>103731</v>
      </c>
    </row>
    <row r="1732" spans="7:14" ht="11.25" customHeight="1" x14ac:dyDescent="0.3">
      <c r="G1732" s="459"/>
      <c r="H1732" s="459">
        <v>1725</v>
      </c>
      <c r="I1732" s="444">
        <f t="shared" ca="1" si="133"/>
        <v>21626153.766648449</v>
      </c>
      <c r="J1732" s="444">
        <f t="array" ref="J1732">IFERROR(INDEX('Retirement Calculator'!J:J,MATCH('Isaac 401k'!N1732,'Retirement Calculator'!A:A,0),0),0)</f>
        <v>0</v>
      </c>
      <c r="K1732" s="444">
        <f t="shared" ca="1" si="131"/>
        <v>90108.974027701872</v>
      </c>
      <c r="L1732" s="444">
        <f t="shared" ca="1" si="132"/>
        <v>21716262.74067615</v>
      </c>
      <c r="M1732" s="460">
        <f t="shared" si="134"/>
        <v>0.05</v>
      </c>
      <c r="N1732" s="464">
        <f t="shared" si="135"/>
        <v>103762</v>
      </c>
    </row>
    <row r="1733" spans="7:14" ht="11.25" customHeight="1" x14ac:dyDescent="0.3">
      <c r="G1733" s="459"/>
      <c r="H1733" s="459">
        <v>1726</v>
      </c>
      <c r="I1733" s="444">
        <f t="shared" ca="1" si="133"/>
        <v>21716262.74067615</v>
      </c>
      <c r="J1733" s="444">
        <f t="array" ref="J1733">IFERROR(INDEX('Retirement Calculator'!J:J,MATCH('Isaac 401k'!N1733,'Retirement Calculator'!A:A,0),0),0)</f>
        <v>0</v>
      </c>
      <c r="K1733" s="444">
        <f t="shared" ca="1" si="131"/>
        <v>90484.428086150627</v>
      </c>
      <c r="L1733" s="444">
        <f t="shared" ca="1" si="132"/>
        <v>21806747.1687623</v>
      </c>
      <c r="M1733" s="460">
        <f t="shared" si="134"/>
        <v>0.05</v>
      </c>
      <c r="N1733" s="464">
        <f t="shared" si="135"/>
        <v>103791</v>
      </c>
    </row>
    <row r="1734" spans="7:14" ht="11.25" customHeight="1" x14ac:dyDescent="0.3">
      <c r="G1734" s="459"/>
      <c r="H1734" s="459">
        <v>1727</v>
      </c>
      <c r="I1734" s="444">
        <f t="shared" ca="1" si="133"/>
        <v>21806747.1687623</v>
      </c>
      <c r="J1734" s="444">
        <f t="array" ref="J1734">IFERROR(INDEX('Retirement Calculator'!J:J,MATCH('Isaac 401k'!N1734,'Retirement Calculator'!A:A,0),0),0)</f>
        <v>0</v>
      </c>
      <c r="K1734" s="444">
        <f t="shared" ca="1" si="131"/>
        <v>90861.446536509582</v>
      </c>
      <c r="L1734" s="444">
        <f t="shared" ca="1" si="132"/>
        <v>21897608.615298811</v>
      </c>
      <c r="M1734" s="460">
        <f t="shared" si="134"/>
        <v>0.05</v>
      </c>
      <c r="N1734" s="464">
        <f t="shared" si="135"/>
        <v>103822</v>
      </c>
    </row>
    <row r="1735" spans="7:14" ht="11.25" customHeight="1" x14ac:dyDescent="0.3">
      <c r="G1735" s="459"/>
      <c r="H1735" s="459">
        <v>1728</v>
      </c>
      <c r="I1735" s="444">
        <f t="shared" ca="1" si="133"/>
        <v>21897608.615298811</v>
      </c>
      <c r="J1735" s="444">
        <f t="array" ref="J1735">IFERROR(INDEX('Retirement Calculator'!J:J,MATCH('Isaac 401k'!N1735,'Retirement Calculator'!A:A,0),0),0)</f>
        <v>0</v>
      </c>
      <c r="K1735" s="444">
        <f t="shared" ca="1" si="131"/>
        <v>91240.035897078385</v>
      </c>
      <c r="L1735" s="444">
        <f t="shared" ca="1" si="132"/>
        <v>21988848.651195891</v>
      </c>
      <c r="M1735" s="460">
        <f t="shared" si="134"/>
        <v>0.05</v>
      </c>
      <c r="N1735" s="464">
        <f t="shared" si="135"/>
        <v>103852</v>
      </c>
    </row>
    <row r="1736" spans="7:14" ht="11.25" customHeight="1" x14ac:dyDescent="0.3">
      <c r="G1736" s="459"/>
      <c r="H1736" s="459">
        <v>1729</v>
      </c>
      <c r="I1736" s="444">
        <f t="shared" ca="1" si="133"/>
        <v>21988848.651195891</v>
      </c>
      <c r="J1736" s="444">
        <f t="array" ref="J1736">IFERROR(INDEX('Retirement Calculator'!J:J,MATCH('Isaac 401k'!N1736,'Retirement Calculator'!A:A,0),0),0)</f>
        <v>0</v>
      </c>
      <c r="K1736" s="444">
        <f t="shared" ca="1" si="131"/>
        <v>91620.202713316219</v>
      </c>
      <c r="L1736" s="444">
        <f t="shared" ca="1" si="132"/>
        <v>22080468.853909206</v>
      </c>
      <c r="M1736" s="460">
        <f t="shared" si="134"/>
        <v>0.05</v>
      </c>
      <c r="N1736" s="464">
        <f t="shared" si="135"/>
        <v>103883</v>
      </c>
    </row>
    <row r="1737" spans="7:14" ht="11.25" customHeight="1" x14ac:dyDescent="0.3">
      <c r="G1737" s="459"/>
      <c r="H1737" s="459">
        <v>1730</v>
      </c>
      <c r="I1737" s="444">
        <f t="shared" ca="1" si="133"/>
        <v>22080468.853909206</v>
      </c>
      <c r="J1737" s="444">
        <f t="array" ref="J1737">IFERROR(INDEX('Retirement Calculator'!J:J,MATCH('Isaac 401k'!N1737,'Retirement Calculator'!A:A,0),0),0)</f>
        <v>0</v>
      </c>
      <c r="K1737" s="444">
        <f t="shared" ca="1" si="131"/>
        <v>92001.953557955028</v>
      </c>
      <c r="L1737" s="444">
        <f t="shared" ca="1" si="132"/>
        <v>22172470.807467159</v>
      </c>
      <c r="M1737" s="460">
        <f t="shared" si="134"/>
        <v>0.05</v>
      </c>
      <c r="N1737" s="464">
        <f t="shared" si="135"/>
        <v>103913</v>
      </c>
    </row>
    <row r="1738" spans="7:14" ht="11.25" customHeight="1" x14ac:dyDescent="0.3">
      <c r="G1738" s="459"/>
      <c r="H1738" s="459">
        <v>1731</v>
      </c>
      <c r="I1738" s="444">
        <f t="shared" ca="1" si="133"/>
        <v>22172470.807467159</v>
      </c>
      <c r="J1738" s="444">
        <f t="array" ref="J1738">IFERROR(INDEX('Retirement Calculator'!J:J,MATCH('Isaac 401k'!N1738,'Retirement Calculator'!A:A,0),0),0)</f>
        <v>0</v>
      </c>
      <c r="K1738" s="444">
        <f t="shared" ca="1" si="131"/>
        <v>92385.295031113157</v>
      </c>
      <c r="L1738" s="444">
        <f t="shared" ca="1" si="132"/>
        <v>22264856.102498271</v>
      </c>
      <c r="M1738" s="460">
        <f t="shared" si="134"/>
        <v>0.05</v>
      </c>
      <c r="N1738" s="464">
        <f t="shared" si="135"/>
        <v>103944</v>
      </c>
    </row>
    <row r="1739" spans="7:14" ht="11.25" customHeight="1" x14ac:dyDescent="0.3">
      <c r="G1739" s="459"/>
      <c r="H1739" s="459">
        <v>1732</v>
      </c>
      <c r="I1739" s="444">
        <f t="shared" ca="1" si="133"/>
        <v>22264856.102498271</v>
      </c>
      <c r="J1739" s="444">
        <f t="array" ref="J1739">IFERROR(INDEX('Retirement Calculator'!J:J,MATCH('Isaac 401k'!N1739,'Retirement Calculator'!A:A,0),0),0)</f>
        <v>0</v>
      </c>
      <c r="K1739" s="444">
        <f t="shared" ca="1" si="131"/>
        <v>92770.233760409465</v>
      </c>
      <c r="L1739" s="444">
        <f t="shared" ca="1" si="132"/>
        <v>22357626.33625868</v>
      </c>
      <c r="M1739" s="460">
        <f t="shared" si="134"/>
        <v>0.05</v>
      </c>
      <c r="N1739" s="464">
        <f t="shared" si="135"/>
        <v>103975</v>
      </c>
    </row>
    <row r="1740" spans="7:14" ht="11.25" customHeight="1" x14ac:dyDescent="0.3">
      <c r="G1740" s="459"/>
      <c r="H1740" s="459">
        <v>1733</v>
      </c>
      <c r="I1740" s="444">
        <f t="shared" ca="1" si="133"/>
        <v>22357626.33625868</v>
      </c>
      <c r="J1740" s="444">
        <f t="array" ref="J1740">IFERROR(INDEX('Retirement Calculator'!J:J,MATCH('Isaac 401k'!N1740,'Retirement Calculator'!A:A,0),0),0)</f>
        <v>0</v>
      </c>
      <c r="K1740" s="444">
        <f t="shared" ca="1" si="131"/>
        <v>93156.776401077834</v>
      </c>
      <c r="L1740" s="444">
        <f t="shared" ca="1" si="132"/>
        <v>22450783.112659756</v>
      </c>
      <c r="M1740" s="460">
        <f t="shared" si="134"/>
        <v>0.05</v>
      </c>
      <c r="N1740" s="464">
        <f t="shared" si="135"/>
        <v>104005</v>
      </c>
    </row>
    <row r="1741" spans="7:14" ht="11.25" customHeight="1" x14ac:dyDescent="0.3">
      <c r="G1741" s="459"/>
      <c r="H1741" s="459">
        <v>1734</v>
      </c>
      <c r="I1741" s="444">
        <f t="shared" ca="1" si="133"/>
        <v>22450783.112659756</v>
      </c>
      <c r="J1741" s="444">
        <f t="array" ref="J1741">IFERROR(INDEX('Retirement Calculator'!J:J,MATCH('Isaac 401k'!N1741,'Retirement Calculator'!A:A,0),0),0)</f>
        <v>0</v>
      </c>
      <c r="K1741" s="444">
        <f t="shared" ca="1" si="131"/>
        <v>93544.929636082321</v>
      </c>
      <c r="L1741" s="444">
        <f t="shared" ca="1" si="132"/>
        <v>22544328.04229584</v>
      </c>
      <c r="M1741" s="460">
        <f t="shared" si="134"/>
        <v>0.05</v>
      </c>
      <c r="N1741" s="464">
        <f t="shared" si="135"/>
        <v>104036</v>
      </c>
    </row>
    <row r="1742" spans="7:14" ht="11.25" customHeight="1" x14ac:dyDescent="0.3">
      <c r="G1742" s="459"/>
      <c r="H1742" s="459">
        <v>1735</v>
      </c>
      <c r="I1742" s="444">
        <f t="shared" ca="1" si="133"/>
        <v>22544328.04229584</v>
      </c>
      <c r="J1742" s="444">
        <f t="array" ref="J1742">IFERROR(INDEX('Retirement Calculator'!J:J,MATCH('Isaac 401k'!N1742,'Retirement Calculator'!A:A,0),0),0)</f>
        <v>0</v>
      </c>
      <c r="K1742" s="444">
        <f t="shared" ca="1" si="131"/>
        <v>93934.700176232669</v>
      </c>
      <c r="L1742" s="444">
        <f t="shared" ca="1" si="132"/>
        <v>22638262.742472071</v>
      </c>
      <c r="M1742" s="460">
        <f t="shared" si="134"/>
        <v>0.05</v>
      </c>
      <c r="N1742" s="464">
        <f t="shared" si="135"/>
        <v>104066</v>
      </c>
    </row>
    <row r="1743" spans="7:14" ht="11.25" customHeight="1" x14ac:dyDescent="0.3">
      <c r="G1743" s="459"/>
      <c r="H1743" s="459">
        <v>1736</v>
      </c>
      <c r="I1743" s="444">
        <f t="shared" ca="1" si="133"/>
        <v>22638262.742472071</v>
      </c>
      <c r="J1743" s="444">
        <f t="array" ref="J1743">IFERROR(INDEX('Retirement Calculator'!J:J,MATCH('Isaac 401k'!N1743,'Retirement Calculator'!A:A,0),0),0)</f>
        <v>0</v>
      </c>
      <c r="K1743" s="444">
        <f t="shared" ca="1" si="131"/>
        <v>94326.094760300301</v>
      </c>
      <c r="L1743" s="444">
        <f t="shared" ca="1" si="132"/>
        <v>22732588.83723237</v>
      </c>
      <c r="M1743" s="460">
        <f t="shared" si="134"/>
        <v>0.05</v>
      </c>
      <c r="N1743" s="464">
        <f t="shared" si="135"/>
        <v>104097</v>
      </c>
    </row>
    <row r="1744" spans="7:14" ht="11.25" customHeight="1" x14ac:dyDescent="0.3">
      <c r="G1744" s="459"/>
      <c r="H1744" s="459">
        <v>1737</v>
      </c>
      <c r="I1744" s="444">
        <f t="shared" ca="1" si="133"/>
        <v>22732588.83723237</v>
      </c>
      <c r="J1744" s="444">
        <f t="array" ref="J1744">IFERROR(INDEX('Retirement Calculator'!J:J,MATCH('Isaac 401k'!N1744,'Retirement Calculator'!A:A,0),0),0)</f>
        <v>0</v>
      </c>
      <c r="K1744" s="444">
        <f t="shared" ca="1" si="131"/>
        <v>94719.120155134879</v>
      </c>
      <c r="L1744" s="444">
        <f t="shared" ca="1" si="132"/>
        <v>22827307.957387503</v>
      </c>
      <c r="M1744" s="460">
        <f t="shared" si="134"/>
        <v>0.05</v>
      </c>
      <c r="N1744" s="464">
        <f t="shared" si="135"/>
        <v>104128</v>
      </c>
    </row>
    <row r="1745" spans="7:14" ht="11.25" customHeight="1" x14ac:dyDescent="0.3">
      <c r="G1745" s="459"/>
      <c r="H1745" s="459">
        <v>1738</v>
      </c>
      <c r="I1745" s="444">
        <f t="shared" ca="1" si="133"/>
        <v>22827307.957387503</v>
      </c>
      <c r="J1745" s="444">
        <f t="array" ref="J1745">IFERROR(INDEX('Retirement Calculator'!J:J,MATCH('Isaac 401k'!N1745,'Retirement Calculator'!A:A,0),0),0)</f>
        <v>0</v>
      </c>
      <c r="K1745" s="444">
        <f t="shared" ca="1" si="131"/>
        <v>95113.783155781261</v>
      </c>
      <c r="L1745" s="444">
        <f t="shared" ca="1" si="132"/>
        <v>22922421.740543284</v>
      </c>
      <c r="M1745" s="460">
        <f t="shared" si="134"/>
        <v>0.05</v>
      </c>
      <c r="N1745" s="464">
        <f t="shared" si="135"/>
        <v>104156</v>
      </c>
    </row>
    <row r="1746" spans="7:14" ht="11.25" customHeight="1" x14ac:dyDescent="0.3">
      <c r="G1746" s="459"/>
      <c r="H1746" s="459">
        <v>1739</v>
      </c>
      <c r="I1746" s="444">
        <f t="shared" ca="1" si="133"/>
        <v>22922421.740543284</v>
      </c>
      <c r="J1746" s="444">
        <f t="array" ref="J1746">IFERROR(INDEX('Retirement Calculator'!J:J,MATCH('Isaac 401k'!N1746,'Retirement Calculator'!A:A,0),0),0)</f>
        <v>0</v>
      </c>
      <c r="K1746" s="444">
        <f t="shared" ca="1" si="131"/>
        <v>95510.09058559702</v>
      </c>
      <c r="L1746" s="444">
        <f t="shared" ca="1" si="132"/>
        <v>23017931.83112888</v>
      </c>
      <c r="M1746" s="460">
        <f t="shared" si="134"/>
        <v>0.05</v>
      </c>
      <c r="N1746" s="464">
        <f t="shared" si="135"/>
        <v>104187</v>
      </c>
    </row>
    <row r="1747" spans="7:14" ht="11.25" customHeight="1" x14ac:dyDescent="0.3">
      <c r="G1747" s="459"/>
      <c r="H1747" s="459">
        <v>1740</v>
      </c>
      <c r="I1747" s="444">
        <f t="shared" ca="1" si="133"/>
        <v>23017931.83112888</v>
      </c>
      <c r="J1747" s="444">
        <f t="array" ref="J1747">IFERROR(INDEX('Retirement Calculator'!J:J,MATCH('Isaac 401k'!N1747,'Retirement Calculator'!A:A,0),0),0)</f>
        <v>0</v>
      </c>
      <c r="K1747" s="444">
        <f t="shared" ca="1" si="131"/>
        <v>95908.049296370329</v>
      </c>
      <c r="L1747" s="444">
        <f t="shared" ca="1" si="132"/>
        <v>23113839.880425252</v>
      </c>
      <c r="M1747" s="460">
        <f t="shared" si="134"/>
        <v>0.05</v>
      </c>
      <c r="N1747" s="464">
        <f t="shared" si="135"/>
        <v>104217</v>
      </c>
    </row>
    <row r="1748" spans="7:14" ht="11.25" customHeight="1" x14ac:dyDescent="0.3">
      <c r="G1748" s="459"/>
      <c r="H1748" s="459">
        <v>1741</v>
      </c>
      <c r="I1748" s="444">
        <f t="shared" ca="1" si="133"/>
        <v>23113839.880425252</v>
      </c>
      <c r="J1748" s="444">
        <f t="array" ref="J1748">IFERROR(INDEX('Retirement Calculator'!J:J,MATCH('Isaac 401k'!N1748,'Retirement Calculator'!A:A,0),0),0)</f>
        <v>0</v>
      </c>
      <c r="K1748" s="444">
        <f t="shared" ca="1" si="131"/>
        <v>96307.666168438547</v>
      </c>
      <c r="L1748" s="444">
        <f t="shared" ca="1" si="132"/>
        <v>23210147.546593692</v>
      </c>
      <c r="M1748" s="460">
        <f t="shared" si="134"/>
        <v>0.05</v>
      </c>
      <c r="N1748" s="464">
        <f t="shared" si="135"/>
        <v>104248</v>
      </c>
    </row>
    <row r="1749" spans="7:14" ht="11.25" customHeight="1" x14ac:dyDescent="0.3">
      <c r="G1749" s="459"/>
      <c r="H1749" s="459">
        <v>1742</v>
      </c>
      <c r="I1749" s="444">
        <f t="shared" ca="1" si="133"/>
        <v>23210147.546593692</v>
      </c>
      <c r="J1749" s="444">
        <f t="array" ref="J1749">IFERROR(INDEX('Retirement Calculator'!J:J,MATCH('Isaac 401k'!N1749,'Retirement Calculator'!A:A,0),0),0)</f>
        <v>0</v>
      </c>
      <c r="K1749" s="444">
        <f t="shared" ca="1" si="131"/>
        <v>96708.948110807047</v>
      </c>
      <c r="L1749" s="444">
        <f t="shared" ca="1" si="132"/>
        <v>23306856.4947045</v>
      </c>
      <c r="M1749" s="460">
        <f t="shared" si="134"/>
        <v>0.05</v>
      </c>
      <c r="N1749" s="464">
        <f t="shared" si="135"/>
        <v>104278</v>
      </c>
    </row>
    <row r="1750" spans="7:14" ht="11.25" customHeight="1" x14ac:dyDescent="0.3">
      <c r="G1750" s="459"/>
      <c r="H1750" s="459">
        <v>1743</v>
      </c>
      <c r="I1750" s="444">
        <f t="shared" ca="1" si="133"/>
        <v>23306856.4947045</v>
      </c>
      <c r="J1750" s="444">
        <f t="array" ref="J1750">IFERROR(INDEX('Retirement Calculator'!J:J,MATCH('Isaac 401k'!N1750,'Retirement Calculator'!A:A,0),0),0)</f>
        <v>0</v>
      </c>
      <c r="K1750" s="444">
        <f t="shared" ca="1" si="131"/>
        <v>97111.902061268745</v>
      </c>
      <c r="L1750" s="444">
        <f t="shared" ca="1" si="132"/>
        <v>23403968.396765769</v>
      </c>
      <c r="M1750" s="460">
        <f t="shared" si="134"/>
        <v>0.05</v>
      </c>
      <c r="N1750" s="464">
        <f t="shared" si="135"/>
        <v>104309</v>
      </c>
    </row>
    <row r="1751" spans="7:14" ht="11.25" customHeight="1" x14ac:dyDescent="0.3">
      <c r="G1751" s="459"/>
      <c r="H1751" s="459">
        <v>1744</v>
      </c>
      <c r="I1751" s="444">
        <f t="shared" ca="1" si="133"/>
        <v>23403968.396765769</v>
      </c>
      <c r="J1751" s="444">
        <f t="array" ref="J1751">IFERROR(INDEX('Retirement Calculator'!J:J,MATCH('Isaac 401k'!N1751,'Retirement Calculator'!A:A,0),0),0)</f>
        <v>0</v>
      </c>
      <c r="K1751" s="444">
        <f t="shared" ca="1" si="131"/>
        <v>97516.534986524028</v>
      </c>
      <c r="L1751" s="444">
        <f t="shared" ca="1" si="132"/>
        <v>23501484.931752294</v>
      </c>
      <c r="M1751" s="460">
        <f t="shared" si="134"/>
        <v>0.05</v>
      </c>
      <c r="N1751" s="464">
        <f t="shared" si="135"/>
        <v>104340</v>
      </c>
    </row>
    <row r="1752" spans="7:14" ht="11.25" customHeight="1" x14ac:dyDescent="0.3">
      <c r="G1752" s="459"/>
      <c r="H1752" s="459">
        <v>1745</v>
      </c>
      <c r="I1752" s="444">
        <f t="shared" ca="1" si="133"/>
        <v>23501484.931752294</v>
      </c>
      <c r="J1752" s="444">
        <f t="array" ref="J1752">IFERROR(INDEX('Retirement Calculator'!J:J,MATCH('Isaac 401k'!N1752,'Retirement Calculator'!A:A,0),0),0)</f>
        <v>0</v>
      </c>
      <c r="K1752" s="444">
        <f t="shared" ca="1" si="131"/>
        <v>97922.85388230122</v>
      </c>
      <c r="L1752" s="444">
        <f t="shared" ca="1" si="132"/>
        <v>23599407.785634596</v>
      </c>
      <c r="M1752" s="460">
        <f t="shared" si="134"/>
        <v>0.05</v>
      </c>
      <c r="N1752" s="464">
        <f t="shared" si="135"/>
        <v>104370</v>
      </c>
    </row>
    <row r="1753" spans="7:14" ht="11.25" customHeight="1" x14ac:dyDescent="0.3">
      <c r="G1753" s="459"/>
      <c r="H1753" s="459">
        <v>1746</v>
      </c>
      <c r="I1753" s="444">
        <f t="shared" ca="1" si="133"/>
        <v>23599407.785634596</v>
      </c>
      <c r="J1753" s="444">
        <f t="array" ref="J1753">IFERROR(INDEX('Retirement Calculator'!J:J,MATCH('Isaac 401k'!N1753,'Retirement Calculator'!A:A,0),0),0)</f>
        <v>0</v>
      </c>
      <c r="K1753" s="444">
        <f t="shared" ca="1" si="131"/>
        <v>98330.865773477475</v>
      </c>
      <c r="L1753" s="444">
        <f t="shared" ca="1" si="132"/>
        <v>23697738.651408073</v>
      </c>
      <c r="M1753" s="460">
        <f t="shared" si="134"/>
        <v>0.05</v>
      </c>
      <c r="N1753" s="464">
        <f t="shared" si="135"/>
        <v>104401</v>
      </c>
    </row>
    <row r="1754" spans="7:14" ht="11.25" customHeight="1" x14ac:dyDescent="0.3">
      <c r="G1754" s="459"/>
      <c r="H1754" s="459">
        <v>1747</v>
      </c>
      <c r="I1754" s="444">
        <f t="shared" ca="1" si="133"/>
        <v>23697738.651408073</v>
      </c>
      <c r="J1754" s="444">
        <f t="array" ref="J1754">IFERROR(INDEX('Retirement Calculator'!J:J,MATCH('Isaac 401k'!N1754,'Retirement Calculator'!A:A,0),0),0)</f>
        <v>0</v>
      </c>
      <c r="K1754" s="444">
        <f t="shared" ca="1" si="131"/>
        <v>98740.577714200306</v>
      </c>
      <c r="L1754" s="444">
        <f t="shared" ca="1" si="132"/>
        <v>23796479.229122274</v>
      </c>
      <c r="M1754" s="460">
        <f t="shared" si="134"/>
        <v>0.05</v>
      </c>
      <c r="N1754" s="464">
        <f t="shared" si="135"/>
        <v>104431</v>
      </c>
    </row>
    <row r="1755" spans="7:14" ht="11.25" customHeight="1" x14ac:dyDescent="0.3">
      <c r="G1755" s="459"/>
      <c r="H1755" s="459">
        <v>1748</v>
      </c>
      <c r="I1755" s="444">
        <f t="shared" ca="1" si="133"/>
        <v>23796479.229122274</v>
      </c>
      <c r="J1755" s="444">
        <f t="array" ref="J1755">IFERROR(INDEX('Retirement Calculator'!J:J,MATCH('Isaac 401k'!N1755,'Retirement Calculator'!A:A,0),0),0)</f>
        <v>0</v>
      </c>
      <c r="K1755" s="444">
        <f t="shared" ca="1" si="131"/>
        <v>99151.996788009477</v>
      </c>
      <c r="L1755" s="444">
        <f t="shared" ca="1" si="132"/>
        <v>23895631.225910284</v>
      </c>
      <c r="M1755" s="460">
        <f t="shared" si="134"/>
        <v>0.05</v>
      </c>
      <c r="N1755" s="464">
        <f t="shared" si="135"/>
        <v>104462</v>
      </c>
    </row>
    <row r="1756" spans="7:14" ht="11.25" customHeight="1" x14ac:dyDescent="0.3">
      <c r="G1756" s="459"/>
      <c r="H1756" s="459">
        <v>1749</v>
      </c>
      <c r="I1756" s="444">
        <f t="shared" ca="1" si="133"/>
        <v>23895631.225910284</v>
      </c>
      <c r="J1756" s="444">
        <f t="array" ref="J1756">IFERROR(INDEX('Retirement Calculator'!J:J,MATCH('Isaac 401k'!N1756,'Retirement Calculator'!A:A,0),0),0)</f>
        <v>0</v>
      </c>
      <c r="K1756" s="444">
        <f t="shared" ca="1" si="131"/>
        <v>99565.130107959514</v>
      </c>
      <c r="L1756" s="444">
        <f t="shared" ca="1" si="132"/>
        <v>23995196.356018241</v>
      </c>
      <c r="M1756" s="460">
        <f t="shared" si="134"/>
        <v>0.05</v>
      </c>
      <c r="N1756" s="464">
        <f t="shared" si="135"/>
        <v>104493</v>
      </c>
    </row>
    <row r="1757" spans="7:14" ht="11.25" customHeight="1" x14ac:dyDescent="0.3">
      <c r="G1757" s="459"/>
      <c r="H1757" s="459">
        <v>1750</v>
      </c>
      <c r="I1757" s="444">
        <f t="shared" ca="1" si="133"/>
        <v>23995196.356018241</v>
      </c>
      <c r="J1757" s="444">
        <f t="array" ref="J1757">IFERROR(INDEX('Retirement Calculator'!J:J,MATCH('Isaac 401k'!N1757,'Retirement Calculator'!A:A,0),0),0)</f>
        <v>0</v>
      </c>
      <c r="K1757" s="444">
        <f t="shared" ca="1" si="131"/>
        <v>99979.984816742668</v>
      </c>
      <c r="L1757" s="444">
        <f t="shared" ca="1" si="132"/>
        <v>24095176.340834983</v>
      </c>
      <c r="M1757" s="460">
        <f t="shared" si="134"/>
        <v>0.05</v>
      </c>
      <c r="N1757" s="464">
        <f t="shared" si="135"/>
        <v>104521</v>
      </c>
    </row>
    <row r="1758" spans="7:14" ht="11.25" customHeight="1" x14ac:dyDescent="0.3">
      <c r="G1758" s="459"/>
      <c r="H1758" s="459">
        <v>1751</v>
      </c>
      <c r="I1758" s="444">
        <f t="shared" ca="1" si="133"/>
        <v>24095176.340834983</v>
      </c>
      <c r="J1758" s="444">
        <f t="array" ref="J1758">IFERROR(INDEX('Retirement Calculator'!J:J,MATCH('Isaac 401k'!N1758,'Retirement Calculator'!A:A,0),0),0)</f>
        <v>0</v>
      </c>
      <c r="K1758" s="444">
        <f t="shared" ca="1" si="131"/>
        <v>100396.56808681243</v>
      </c>
      <c r="L1758" s="444">
        <f t="shared" ca="1" si="132"/>
        <v>24195572.908921797</v>
      </c>
      <c r="M1758" s="460">
        <f t="shared" si="134"/>
        <v>0.05</v>
      </c>
      <c r="N1758" s="464">
        <f t="shared" si="135"/>
        <v>104552</v>
      </c>
    </row>
    <row r="1759" spans="7:14" ht="11.25" customHeight="1" x14ac:dyDescent="0.3">
      <c r="G1759" s="459"/>
      <c r="H1759" s="459">
        <v>1752</v>
      </c>
      <c r="I1759" s="444">
        <f t="shared" ca="1" si="133"/>
        <v>24195572.908921797</v>
      </c>
      <c r="J1759" s="444">
        <f t="array" ref="J1759">IFERROR(INDEX('Retirement Calculator'!J:J,MATCH('Isaac 401k'!N1759,'Retirement Calculator'!A:A,0),0),0)</f>
        <v>0</v>
      </c>
      <c r="K1759" s="444">
        <f t="shared" ca="1" si="131"/>
        <v>100814.88712050748</v>
      </c>
      <c r="L1759" s="444">
        <f t="shared" ca="1" si="132"/>
        <v>24296387.796042304</v>
      </c>
      <c r="M1759" s="460">
        <f t="shared" si="134"/>
        <v>0.05</v>
      </c>
      <c r="N1759" s="464">
        <f t="shared" si="135"/>
        <v>104582</v>
      </c>
    </row>
    <row r="1760" spans="7:14" ht="11.25" customHeight="1" x14ac:dyDescent="0.3">
      <c r="G1760" s="459"/>
      <c r="H1760" s="459">
        <v>1753</v>
      </c>
      <c r="I1760" s="444">
        <f t="shared" ca="1" si="133"/>
        <v>24296387.796042304</v>
      </c>
      <c r="J1760" s="444">
        <f t="array" ref="J1760">IFERROR(INDEX('Retirement Calculator'!J:J,MATCH('Isaac 401k'!N1760,'Retirement Calculator'!A:A,0),0),0)</f>
        <v>0</v>
      </c>
      <c r="K1760" s="444">
        <f t="shared" ca="1" si="131"/>
        <v>101234.94915017627</v>
      </c>
      <c r="L1760" s="444">
        <f t="shared" ca="1" si="132"/>
        <v>24397622.745192479</v>
      </c>
      <c r="M1760" s="460">
        <f t="shared" si="134"/>
        <v>0.05</v>
      </c>
      <c r="N1760" s="464">
        <f t="shared" si="135"/>
        <v>104613</v>
      </c>
    </row>
    <row r="1761" spans="7:14" ht="11.25" customHeight="1" x14ac:dyDescent="0.3">
      <c r="G1761" s="459"/>
      <c r="H1761" s="459">
        <v>1754</v>
      </c>
      <c r="I1761" s="444">
        <f t="shared" ca="1" si="133"/>
        <v>24397622.745192479</v>
      </c>
      <c r="J1761" s="444">
        <f t="array" ref="J1761">IFERROR(INDEX('Retirement Calculator'!J:J,MATCH('Isaac 401k'!N1761,'Retirement Calculator'!A:A,0),0),0)</f>
        <v>0</v>
      </c>
      <c r="K1761" s="444">
        <f t="shared" ca="1" si="131"/>
        <v>101656.761438302</v>
      </c>
      <c r="L1761" s="444">
        <f t="shared" ca="1" si="132"/>
        <v>24499279.506630782</v>
      </c>
      <c r="M1761" s="460">
        <f t="shared" si="134"/>
        <v>0.05</v>
      </c>
      <c r="N1761" s="464">
        <f t="shared" si="135"/>
        <v>104643</v>
      </c>
    </row>
    <row r="1762" spans="7:14" ht="11.25" customHeight="1" x14ac:dyDescent="0.3">
      <c r="G1762" s="459"/>
      <c r="H1762" s="459">
        <v>1755</v>
      </c>
      <c r="I1762" s="444">
        <f t="shared" ca="1" si="133"/>
        <v>24499279.506630782</v>
      </c>
      <c r="J1762" s="444">
        <f t="array" ref="J1762">IFERROR(INDEX('Retirement Calculator'!J:J,MATCH('Isaac 401k'!N1762,'Retirement Calculator'!A:A,0),0),0)</f>
        <v>0</v>
      </c>
      <c r="K1762" s="444">
        <f t="shared" ca="1" si="131"/>
        <v>102080.33127762825</v>
      </c>
      <c r="L1762" s="444">
        <f t="shared" ca="1" si="132"/>
        <v>24601359.83790841</v>
      </c>
      <c r="M1762" s="460">
        <f t="shared" si="134"/>
        <v>0.05</v>
      </c>
      <c r="N1762" s="464">
        <f t="shared" si="135"/>
        <v>104674</v>
      </c>
    </row>
    <row r="1763" spans="7:14" ht="11.25" customHeight="1" x14ac:dyDescent="0.3">
      <c r="G1763" s="459"/>
      <c r="H1763" s="459">
        <v>1756</v>
      </c>
      <c r="I1763" s="444">
        <f t="shared" ca="1" si="133"/>
        <v>24601359.83790841</v>
      </c>
      <c r="J1763" s="444">
        <f t="array" ref="J1763">IFERROR(INDEX('Retirement Calculator'!J:J,MATCH('Isaac 401k'!N1763,'Retirement Calculator'!A:A,0),0),0)</f>
        <v>0</v>
      </c>
      <c r="K1763" s="444">
        <f t="shared" ca="1" si="131"/>
        <v>102505.66599128504</v>
      </c>
      <c r="L1763" s="444">
        <f t="shared" ca="1" si="132"/>
        <v>24703865.503899693</v>
      </c>
      <c r="M1763" s="460">
        <f t="shared" si="134"/>
        <v>0.05</v>
      </c>
      <c r="N1763" s="464">
        <f t="shared" si="135"/>
        <v>104705</v>
      </c>
    </row>
    <row r="1764" spans="7:14" ht="11.25" customHeight="1" x14ac:dyDescent="0.3">
      <c r="G1764" s="459"/>
      <c r="H1764" s="459">
        <v>1757</v>
      </c>
      <c r="I1764" s="444">
        <f t="shared" ca="1" si="133"/>
        <v>24703865.503899693</v>
      </c>
      <c r="J1764" s="444">
        <f t="array" ref="J1764">IFERROR(INDEX('Retirement Calculator'!J:J,MATCH('Isaac 401k'!N1764,'Retirement Calculator'!A:A,0),0),0)</f>
        <v>0</v>
      </c>
      <c r="K1764" s="444">
        <f t="shared" ca="1" si="131"/>
        <v>102932.7729329154</v>
      </c>
      <c r="L1764" s="444">
        <f t="shared" ca="1" si="132"/>
        <v>24806798.27683261</v>
      </c>
      <c r="M1764" s="460">
        <f t="shared" si="134"/>
        <v>0.05</v>
      </c>
      <c r="N1764" s="464">
        <f t="shared" si="135"/>
        <v>104735</v>
      </c>
    </row>
    <row r="1765" spans="7:14" ht="11.25" customHeight="1" x14ac:dyDescent="0.3">
      <c r="G1765" s="459"/>
      <c r="H1765" s="459">
        <v>1758</v>
      </c>
      <c r="I1765" s="444">
        <f t="shared" ca="1" si="133"/>
        <v>24806798.27683261</v>
      </c>
      <c r="J1765" s="444">
        <f t="array" ref="J1765">IFERROR(INDEX('Retirement Calculator'!J:J,MATCH('Isaac 401k'!N1765,'Retirement Calculator'!A:A,0),0),0)</f>
        <v>0</v>
      </c>
      <c r="K1765" s="444">
        <f t="shared" ca="1" si="131"/>
        <v>103361.65948680254</v>
      </c>
      <c r="L1765" s="444">
        <f t="shared" ca="1" si="132"/>
        <v>24910159.936319415</v>
      </c>
      <c r="M1765" s="460">
        <f t="shared" si="134"/>
        <v>0.05</v>
      </c>
      <c r="N1765" s="464">
        <f t="shared" si="135"/>
        <v>104766</v>
      </c>
    </row>
    <row r="1766" spans="7:14" ht="11.25" customHeight="1" x14ac:dyDescent="0.3">
      <c r="G1766" s="459"/>
      <c r="H1766" s="459">
        <v>1759</v>
      </c>
      <c r="I1766" s="444">
        <f t="shared" ca="1" si="133"/>
        <v>24910159.936319415</v>
      </c>
      <c r="J1766" s="444">
        <f t="array" ref="J1766">IFERROR(INDEX('Retirement Calculator'!J:J,MATCH('Isaac 401k'!N1766,'Retirement Calculator'!A:A,0),0),0)</f>
        <v>0</v>
      </c>
      <c r="K1766" s="444">
        <f t="shared" ca="1" si="131"/>
        <v>103792.33306799756</v>
      </c>
      <c r="L1766" s="444">
        <f t="shared" ca="1" si="132"/>
        <v>25013952.269387413</v>
      </c>
      <c r="M1766" s="460">
        <f t="shared" si="134"/>
        <v>0.05</v>
      </c>
      <c r="N1766" s="464">
        <f t="shared" si="135"/>
        <v>104796</v>
      </c>
    </row>
    <row r="1767" spans="7:14" ht="11.25" customHeight="1" x14ac:dyDescent="0.3">
      <c r="G1767" s="459"/>
      <c r="H1767" s="459">
        <v>1760</v>
      </c>
      <c r="I1767" s="444">
        <f t="shared" ca="1" si="133"/>
        <v>25013952.269387413</v>
      </c>
      <c r="J1767" s="444">
        <f t="array" ref="J1767">IFERROR(INDEX('Retirement Calculator'!J:J,MATCH('Isaac 401k'!N1767,'Retirement Calculator'!A:A,0),0),0)</f>
        <v>0</v>
      </c>
      <c r="K1767" s="444">
        <f t="shared" ca="1" si="131"/>
        <v>104224.80112244755</v>
      </c>
      <c r="L1767" s="444">
        <f t="shared" ca="1" si="132"/>
        <v>25118177.070509862</v>
      </c>
      <c r="M1767" s="460">
        <f t="shared" si="134"/>
        <v>0.05</v>
      </c>
      <c r="N1767" s="464">
        <f t="shared" si="135"/>
        <v>104827</v>
      </c>
    </row>
    <row r="1768" spans="7:14" ht="11.25" customHeight="1" x14ac:dyDescent="0.3">
      <c r="G1768" s="459"/>
      <c r="H1768" s="459">
        <v>1761</v>
      </c>
      <c r="I1768" s="444">
        <f t="shared" ca="1" si="133"/>
        <v>25118177.070509862</v>
      </c>
      <c r="J1768" s="444">
        <f t="array" ref="J1768">IFERROR(INDEX('Retirement Calculator'!J:J,MATCH('Isaac 401k'!N1768,'Retirement Calculator'!A:A,0),0),0)</f>
        <v>0</v>
      </c>
      <c r="K1768" s="444">
        <f t="shared" ca="1" si="131"/>
        <v>104659.07112712442</v>
      </c>
      <c r="L1768" s="444">
        <f t="shared" ca="1" si="132"/>
        <v>25222836.141636986</v>
      </c>
      <c r="M1768" s="460">
        <f t="shared" si="134"/>
        <v>0.05</v>
      </c>
      <c r="N1768" s="464">
        <f t="shared" si="135"/>
        <v>104858</v>
      </c>
    </row>
    <row r="1769" spans="7:14" ht="11.25" customHeight="1" x14ac:dyDescent="0.3">
      <c r="G1769" s="459"/>
      <c r="H1769" s="459">
        <v>1762</v>
      </c>
      <c r="I1769" s="444">
        <f t="shared" ca="1" si="133"/>
        <v>25222836.141636986</v>
      </c>
      <c r="J1769" s="444">
        <f t="array" ref="J1769">IFERROR(INDEX('Retirement Calculator'!J:J,MATCH('Isaac 401k'!N1769,'Retirement Calculator'!A:A,0),0),0)</f>
        <v>0</v>
      </c>
      <c r="K1769" s="444">
        <f t="shared" ca="1" si="131"/>
        <v>105095.15059015411</v>
      </c>
      <c r="L1769" s="444">
        <f t="shared" ca="1" si="132"/>
        <v>25327931.292227142</v>
      </c>
      <c r="M1769" s="460">
        <f t="shared" si="134"/>
        <v>0.05</v>
      </c>
      <c r="N1769" s="464">
        <f t="shared" si="135"/>
        <v>104886</v>
      </c>
    </row>
    <row r="1770" spans="7:14" ht="11.25" customHeight="1" x14ac:dyDescent="0.3">
      <c r="G1770" s="459"/>
      <c r="H1770" s="459">
        <v>1763</v>
      </c>
      <c r="I1770" s="444">
        <f t="shared" ca="1" si="133"/>
        <v>25327931.292227142</v>
      </c>
      <c r="J1770" s="444">
        <f t="array" ref="J1770">IFERROR(INDEX('Retirement Calculator'!J:J,MATCH('Isaac 401k'!N1770,'Retirement Calculator'!A:A,0),0),0)</f>
        <v>0</v>
      </c>
      <c r="K1770" s="444">
        <f t="shared" ca="1" si="131"/>
        <v>105533.04705094642</v>
      </c>
      <c r="L1770" s="444">
        <f t="shared" ca="1" si="132"/>
        <v>25433464.339278087</v>
      </c>
      <c r="M1770" s="460">
        <f t="shared" si="134"/>
        <v>0.05</v>
      </c>
      <c r="N1770" s="464">
        <f t="shared" si="135"/>
        <v>104917</v>
      </c>
    </row>
    <row r="1771" spans="7:14" ht="11.25" customHeight="1" x14ac:dyDescent="0.3">
      <c r="G1771" s="459"/>
      <c r="H1771" s="459">
        <v>1764</v>
      </c>
      <c r="I1771" s="444">
        <f t="shared" ca="1" si="133"/>
        <v>25433464.339278087</v>
      </c>
      <c r="J1771" s="444">
        <f t="array" ref="J1771">IFERROR(INDEX('Retirement Calculator'!J:J,MATCH('Isaac 401k'!N1771,'Retirement Calculator'!A:A,0),0),0)</f>
        <v>0</v>
      </c>
      <c r="K1771" s="444">
        <f t="shared" ca="1" si="131"/>
        <v>105972.76808032536</v>
      </c>
      <c r="L1771" s="444">
        <f t="shared" ca="1" si="132"/>
        <v>25539437.107358411</v>
      </c>
      <c r="M1771" s="460">
        <f t="shared" si="134"/>
        <v>0.05</v>
      </c>
      <c r="N1771" s="464">
        <f t="shared" si="135"/>
        <v>104947</v>
      </c>
    </row>
    <row r="1772" spans="7:14" ht="11.25" customHeight="1" x14ac:dyDescent="0.3">
      <c r="G1772" s="459"/>
      <c r="H1772" s="459">
        <v>1765</v>
      </c>
      <c r="I1772" s="444">
        <f t="shared" ca="1" si="133"/>
        <v>25539437.107358411</v>
      </c>
      <c r="J1772" s="444">
        <f t="array" ref="J1772">IFERROR(INDEX('Retirement Calculator'!J:J,MATCH('Isaac 401k'!N1772,'Retirement Calculator'!A:A,0),0),0)</f>
        <v>0</v>
      </c>
      <c r="K1772" s="444">
        <f t="shared" ca="1" si="131"/>
        <v>106414.32128066005</v>
      </c>
      <c r="L1772" s="444">
        <f t="shared" ca="1" si="132"/>
        <v>25645851.428639069</v>
      </c>
      <c r="M1772" s="460">
        <f t="shared" si="134"/>
        <v>0.05</v>
      </c>
      <c r="N1772" s="464">
        <f t="shared" si="135"/>
        <v>104978</v>
      </c>
    </row>
    <row r="1773" spans="7:14" ht="11.25" customHeight="1" x14ac:dyDescent="0.3">
      <c r="G1773" s="459"/>
      <c r="H1773" s="459">
        <v>1766</v>
      </c>
      <c r="I1773" s="444">
        <f t="shared" ca="1" si="133"/>
        <v>25645851.428639069</v>
      </c>
      <c r="J1773" s="444">
        <f t="array" ref="J1773">IFERROR(INDEX('Retirement Calculator'!J:J,MATCH('Isaac 401k'!N1773,'Retirement Calculator'!A:A,0),0),0)</f>
        <v>0</v>
      </c>
      <c r="K1773" s="444">
        <f t="shared" ca="1" si="131"/>
        <v>106857.71428599612</v>
      </c>
      <c r="L1773" s="444">
        <f t="shared" ca="1" si="132"/>
        <v>25752709.142925065</v>
      </c>
      <c r="M1773" s="460">
        <f t="shared" si="134"/>
        <v>0.05</v>
      </c>
      <c r="N1773" s="464">
        <f t="shared" si="135"/>
        <v>105008</v>
      </c>
    </row>
    <row r="1774" spans="7:14" ht="11.25" customHeight="1" x14ac:dyDescent="0.3">
      <c r="G1774" s="459"/>
      <c r="H1774" s="459">
        <v>1767</v>
      </c>
      <c r="I1774" s="444">
        <f t="shared" ca="1" si="133"/>
        <v>25752709.142925065</v>
      </c>
      <c r="J1774" s="444">
        <f t="array" ref="J1774">IFERROR(INDEX('Retirement Calculator'!J:J,MATCH('Isaac 401k'!N1774,'Retirement Calculator'!A:A,0),0),0)</f>
        <v>0</v>
      </c>
      <c r="K1774" s="444">
        <f t="shared" ca="1" si="131"/>
        <v>107302.95476218777</v>
      </c>
      <c r="L1774" s="444">
        <f t="shared" ca="1" si="132"/>
        <v>25860012.097687252</v>
      </c>
      <c r="M1774" s="460">
        <f t="shared" si="134"/>
        <v>0.05</v>
      </c>
      <c r="N1774" s="464">
        <f t="shared" si="135"/>
        <v>105039</v>
      </c>
    </row>
    <row r="1775" spans="7:14" ht="11.25" customHeight="1" x14ac:dyDescent="0.3">
      <c r="G1775" s="459"/>
      <c r="H1775" s="459">
        <v>1768</v>
      </c>
      <c r="I1775" s="444">
        <f t="shared" ca="1" si="133"/>
        <v>25860012.097687252</v>
      </c>
      <c r="J1775" s="444">
        <f t="array" ref="J1775">IFERROR(INDEX('Retirement Calculator'!J:J,MATCH('Isaac 401k'!N1775,'Retirement Calculator'!A:A,0),0),0)</f>
        <v>0</v>
      </c>
      <c r="K1775" s="444">
        <f t="shared" ca="1" si="131"/>
        <v>107750.05040703021</v>
      </c>
      <c r="L1775" s="444">
        <f t="shared" ca="1" si="132"/>
        <v>25967762.148094282</v>
      </c>
      <c r="M1775" s="460">
        <f t="shared" si="134"/>
        <v>0.05</v>
      </c>
      <c r="N1775" s="464">
        <f t="shared" si="135"/>
        <v>105070</v>
      </c>
    </row>
    <row r="1776" spans="7:14" ht="11.25" customHeight="1" x14ac:dyDescent="0.3">
      <c r="G1776" s="459"/>
      <c r="H1776" s="459">
        <v>1769</v>
      </c>
      <c r="I1776" s="444">
        <f t="shared" ca="1" si="133"/>
        <v>25967762.148094282</v>
      </c>
      <c r="J1776" s="444">
        <f t="array" ref="J1776">IFERROR(INDEX('Retirement Calculator'!J:J,MATCH('Isaac 401k'!N1776,'Retirement Calculator'!A:A,0),0),0)</f>
        <v>0</v>
      </c>
      <c r="K1776" s="444">
        <f t="shared" ca="1" si="131"/>
        <v>108199.00895039283</v>
      </c>
      <c r="L1776" s="444">
        <f t="shared" ca="1" si="132"/>
        <v>26075961.157044675</v>
      </c>
      <c r="M1776" s="460">
        <f t="shared" si="134"/>
        <v>0.05</v>
      </c>
      <c r="N1776" s="464">
        <f t="shared" si="135"/>
        <v>105100</v>
      </c>
    </row>
    <row r="1777" spans="7:14" ht="11.25" customHeight="1" x14ac:dyDescent="0.3">
      <c r="G1777" s="459"/>
      <c r="H1777" s="459">
        <v>1770</v>
      </c>
      <c r="I1777" s="444">
        <f t="shared" ca="1" si="133"/>
        <v>26075961.157044675</v>
      </c>
      <c r="J1777" s="444">
        <f t="array" ref="J1777">IFERROR(INDEX('Retirement Calculator'!J:J,MATCH('Isaac 401k'!N1777,'Retirement Calculator'!A:A,0),0),0)</f>
        <v>0</v>
      </c>
      <c r="K1777" s="444">
        <f t="shared" ca="1" si="131"/>
        <v>108649.83815435281</v>
      </c>
      <c r="L1777" s="444">
        <f t="shared" ca="1" si="132"/>
        <v>26184610.995199028</v>
      </c>
      <c r="M1777" s="460">
        <f t="shared" si="134"/>
        <v>0.05</v>
      </c>
      <c r="N1777" s="464">
        <f t="shared" si="135"/>
        <v>105131</v>
      </c>
    </row>
    <row r="1778" spans="7:14" ht="11.25" customHeight="1" x14ac:dyDescent="0.3">
      <c r="G1778" s="459"/>
      <c r="H1778" s="459">
        <v>1771</v>
      </c>
      <c r="I1778" s="444">
        <f t="shared" ca="1" si="133"/>
        <v>26184610.995199028</v>
      </c>
      <c r="J1778" s="444">
        <f t="array" ref="J1778">IFERROR(INDEX('Retirement Calculator'!J:J,MATCH('Isaac 401k'!N1778,'Retirement Calculator'!A:A,0),0),0)</f>
        <v>0</v>
      </c>
      <c r="K1778" s="444">
        <f t="shared" ca="1" si="131"/>
        <v>109102.54581332929</v>
      </c>
      <c r="L1778" s="444">
        <f t="shared" ca="1" si="132"/>
        <v>26293713.541012358</v>
      </c>
      <c r="M1778" s="460">
        <f t="shared" si="134"/>
        <v>0.05</v>
      </c>
      <c r="N1778" s="464">
        <f t="shared" si="135"/>
        <v>105161</v>
      </c>
    </row>
    <row r="1779" spans="7:14" ht="11.25" customHeight="1" x14ac:dyDescent="0.3">
      <c r="G1779" s="459"/>
      <c r="H1779" s="459">
        <v>1772</v>
      </c>
      <c r="I1779" s="444">
        <f t="shared" ca="1" si="133"/>
        <v>26293713.541012358</v>
      </c>
      <c r="J1779" s="444">
        <f t="array" ref="J1779">IFERROR(INDEX('Retirement Calculator'!J:J,MATCH('Isaac 401k'!N1779,'Retirement Calculator'!A:A,0),0),0)</f>
        <v>0</v>
      </c>
      <c r="K1779" s="444">
        <f t="shared" ca="1" si="131"/>
        <v>109557.13975421815</v>
      </c>
      <c r="L1779" s="444">
        <f t="shared" ca="1" si="132"/>
        <v>26403270.680766575</v>
      </c>
      <c r="M1779" s="460">
        <f t="shared" si="134"/>
        <v>0.05</v>
      </c>
      <c r="N1779" s="464">
        <f t="shared" si="135"/>
        <v>105192</v>
      </c>
    </row>
    <row r="1780" spans="7:14" ht="11.25" customHeight="1" x14ac:dyDescent="0.3">
      <c r="G1780" s="459"/>
      <c r="H1780" s="459">
        <v>1773</v>
      </c>
      <c r="I1780" s="444">
        <f t="shared" ca="1" si="133"/>
        <v>26403270.680766575</v>
      </c>
      <c r="J1780" s="444">
        <f t="array" ref="J1780">IFERROR(INDEX('Retirement Calculator'!J:J,MATCH('Isaac 401k'!N1780,'Retirement Calculator'!A:A,0),0),0)</f>
        <v>0</v>
      </c>
      <c r="K1780" s="444">
        <f t="shared" ca="1" si="131"/>
        <v>110013.6278365274</v>
      </c>
      <c r="L1780" s="444">
        <f t="shared" ca="1" si="132"/>
        <v>26513284.308603104</v>
      </c>
      <c r="M1780" s="460">
        <f t="shared" si="134"/>
        <v>0.05</v>
      </c>
      <c r="N1780" s="464">
        <f t="shared" si="135"/>
        <v>105223</v>
      </c>
    </row>
    <row r="1781" spans="7:14" ht="11.25" customHeight="1" x14ac:dyDescent="0.3">
      <c r="G1781" s="459"/>
      <c r="H1781" s="459">
        <v>1774</v>
      </c>
      <c r="I1781" s="444">
        <f t="shared" ca="1" si="133"/>
        <v>26513284.308603104</v>
      </c>
      <c r="J1781" s="444">
        <f t="array" ref="J1781">IFERROR(INDEX('Retirement Calculator'!J:J,MATCH('Isaac 401k'!N1781,'Retirement Calculator'!A:A,0),0),0)</f>
        <v>0</v>
      </c>
      <c r="K1781" s="444">
        <f t="shared" ca="1" si="131"/>
        <v>110472.01795251294</v>
      </c>
      <c r="L1781" s="444">
        <f t="shared" ca="1" si="132"/>
        <v>26623756.326555617</v>
      </c>
      <c r="M1781" s="460">
        <f t="shared" si="134"/>
        <v>0.05</v>
      </c>
      <c r="N1781" s="464">
        <f t="shared" si="135"/>
        <v>105252</v>
      </c>
    </row>
    <row r="1782" spans="7:14" ht="11.25" customHeight="1" x14ac:dyDescent="0.3">
      <c r="G1782" s="459"/>
      <c r="H1782" s="459">
        <v>1775</v>
      </c>
      <c r="I1782" s="444">
        <f t="shared" ca="1" si="133"/>
        <v>26623756.326555617</v>
      </c>
      <c r="J1782" s="444">
        <f t="array" ref="J1782">IFERROR(INDEX('Retirement Calculator'!J:J,MATCH('Isaac 401k'!N1782,'Retirement Calculator'!A:A,0),0),0)</f>
        <v>0</v>
      </c>
      <c r="K1782" s="444">
        <f t="shared" ca="1" si="131"/>
        <v>110932.31802731506</v>
      </c>
      <c r="L1782" s="444">
        <f t="shared" ca="1" si="132"/>
        <v>26734688.644582931</v>
      </c>
      <c r="M1782" s="460">
        <f t="shared" si="134"/>
        <v>0.05</v>
      </c>
      <c r="N1782" s="464">
        <f t="shared" si="135"/>
        <v>105283</v>
      </c>
    </row>
    <row r="1783" spans="7:14" ht="11.25" customHeight="1" x14ac:dyDescent="0.3">
      <c r="G1783" s="459"/>
      <c r="H1783" s="459">
        <v>1776</v>
      </c>
      <c r="I1783" s="444">
        <f t="shared" ca="1" si="133"/>
        <v>26734688.644582931</v>
      </c>
      <c r="J1783" s="444">
        <f t="array" ref="J1783">IFERROR(INDEX('Retirement Calculator'!J:J,MATCH('Isaac 401k'!N1783,'Retirement Calculator'!A:A,0),0),0)</f>
        <v>0</v>
      </c>
      <c r="K1783" s="444">
        <f t="shared" ca="1" si="131"/>
        <v>111394.53601909553</v>
      </c>
      <c r="L1783" s="444">
        <f t="shared" ca="1" si="132"/>
        <v>26846083.180602025</v>
      </c>
      <c r="M1783" s="460">
        <f t="shared" si="134"/>
        <v>0.05</v>
      </c>
      <c r="N1783" s="464">
        <f t="shared" si="135"/>
        <v>105313</v>
      </c>
    </row>
    <row r="1784" spans="7:14" ht="11.25" customHeight="1" x14ac:dyDescent="0.3">
      <c r="G1784" s="459"/>
      <c r="H1784" s="459">
        <v>1777</v>
      </c>
      <c r="I1784" s="444">
        <f t="shared" ca="1" si="133"/>
        <v>26846083.180602025</v>
      </c>
      <c r="J1784" s="444">
        <f t="array" ref="J1784">IFERROR(INDEX('Retirement Calculator'!J:J,MATCH('Isaac 401k'!N1784,'Retirement Calculator'!A:A,0),0),0)</f>
        <v>0</v>
      </c>
      <c r="K1784" s="444">
        <f t="shared" ca="1" si="131"/>
        <v>111858.67991917511</v>
      </c>
      <c r="L1784" s="444">
        <f t="shared" ca="1" si="132"/>
        <v>26957941.860521201</v>
      </c>
      <c r="M1784" s="460">
        <f t="shared" si="134"/>
        <v>0.05</v>
      </c>
      <c r="N1784" s="464">
        <f t="shared" si="135"/>
        <v>105344</v>
      </c>
    </row>
    <row r="1785" spans="7:14" ht="11.25" customHeight="1" x14ac:dyDescent="0.3">
      <c r="G1785" s="459"/>
      <c r="H1785" s="459">
        <v>1778</v>
      </c>
      <c r="I1785" s="444">
        <f t="shared" ca="1" si="133"/>
        <v>26957941.860521201</v>
      </c>
      <c r="J1785" s="444">
        <f t="array" ref="J1785">IFERROR(INDEX('Retirement Calculator'!J:J,MATCH('Isaac 401k'!N1785,'Retirement Calculator'!A:A,0),0),0)</f>
        <v>0</v>
      </c>
      <c r="K1785" s="444">
        <f t="shared" ca="1" si="131"/>
        <v>112324.75775217167</v>
      </c>
      <c r="L1785" s="444">
        <f t="shared" ca="1" si="132"/>
        <v>27070266.618273374</v>
      </c>
      <c r="M1785" s="460">
        <f t="shared" si="134"/>
        <v>0.05</v>
      </c>
      <c r="N1785" s="464">
        <f t="shared" si="135"/>
        <v>105374</v>
      </c>
    </row>
    <row r="1786" spans="7:14" ht="11.25" customHeight="1" x14ac:dyDescent="0.3">
      <c r="G1786" s="459"/>
      <c r="H1786" s="459">
        <v>1779</v>
      </c>
      <c r="I1786" s="444">
        <f t="shared" ca="1" si="133"/>
        <v>27070266.618273374</v>
      </c>
      <c r="J1786" s="444">
        <f t="array" ref="J1786">IFERROR(INDEX('Retirement Calculator'!J:J,MATCH('Isaac 401k'!N1786,'Retirement Calculator'!A:A,0),0),0)</f>
        <v>0</v>
      </c>
      <c r="K1786" s="444">
        <f t="shared" ca="1" si="131"/>
        <v>112792.77757613904</v>
      </c>
      <c r="L1786" s="444">
        <f t="shared" ca="1" si="132"/>
        <v>27183059.395849511</v>
      </c>
      <c r="M1786" s="460">
        <f t="shared" si="134"/>
        <v>0.05</v>
      </c>
      <c r="N1786" s="464">
        <f t="shared" si="135"/>
        <v>105405</v>
      </c>
    </row>
    <row r="1787" spans="7:14" ht="11.25" customHeight="1" x14ac:dyDescent="0.3">
      <c r="G1787" s="459"/>
      <c r="H1787" s="459">
        <v>1780</v>
      </c>
      <c r="I1787" s="444">
        <f t="shared" ca="1" si="133"/>
        <v>27183059.395849511</v>
      </c>
      <c r="J1787" s="444">
        <f t="array" ref="J1787">IFERROR(INDEX('Retirement Calculator'!J:J,MATCH('Isaac 401k'!N1787,'Retirement Calculator'!A:A,0),0),0)</f>
        <v>0</v>
      </c>
      <c r="K1787" s="444">
        <f t="shared" ca="1" si="131"/>
        <v>113262.7474827063</v>
      </c>
      <c r="L1787" s="444">
        <f t="shared" ca="1" si="132"/>
        <v>27296322.143332217</v>
      </c>
      <c r="M1787" s="460">
        <f t="shared" si="134"/>
        <v>0.05</v>
      </c>
      <c r="N1787" s="464">
        <f t="shared" si="135"/>
        <v>105436</v>
      </c>
    </row>
    <row r="1788" spans="7:14" ht="11.25" customHeight="1" x14ac:dyDescent="0.3">
      <c r="G1788" s="459"/>
      <c r="H1788" s="459">
        <v>1781</v>
      </c>
      <c r="I1788" s="444">
        <f t="shared" ca="1" si="133"/>
        <v>27296322.143332217</v>
      </c>
      <c r="J1788" s="444">
        <f t="array" ref="J1788">IFERROR(INDEX('Retirement Calculator'!J:J,MATCH('Isaac 401k'!N1788,'Retirement Calculator'!A:A,0),0),0)</f>
        <v>0</v>
      </c>
      <c r="K1788" s="444">
        <f t="shared" ca="1" si="131"/>
        <v>113734.67559721757</v>
      </c>
      <c r="L1788" s="444">
        <f t="shared" ca="1" si="132"/>
        <v>27410056.818929434</v>
      </c>
      <c r="M1788" s="460">
        <f t="shared" si="134"/>
        <v>0.05</v>
      </c>
      <c r="N1788" s="464">
        <f t="shared" si="135"/>
        <v>105466</v>
      </c>
    </row>
    <row r="1789" spans="7:14" ht="11.25" customHeight="1" x14ac:dyDescent="0.3">
      <c r="G1789" s="459"/>
      <c r="H1789" s="459">
        <v>1782</v>
      </c>
      <c r="I1789" s="444">
        <f t="shared" ca="1" si="133"/>
        <v>27410056.818929434</v>
      </c>
      <c r="J1789" s="444">
        <f t="array" ref="J1789">IFERROR(INDEX('Retirement Calculator'!J:J,MATCH('Isaac 401k'!N1789,'Retirement Calculator'!A:A,0),0),0)</f>
        <v>0</v>
      </c>
      <c r="K1789" s="444">
        <f t="shared" ca="1" si="131"/>
        <v>114208.57007887264</v>
      </c>
      <c r="L1789" s="444">
        <f t="shared" ca="1" si="132"/>
        <v>27524265.389008306</v>
      </c>
      <c r="M1789" s="460">
        <f t="shared" si="134"/>
        <v>0.05</v>
      </c>
      <c r="N1789" s="464">
        <f t="shared" si="135"/>
        <v>105497</v>
      </c>
    </row>
    <row r="1790" spans="7:14" ht="11.25" customHeight="1" x14ac:dyDescent="0.3">
      <c r="G1790" s="459"/>
      <c r="H1790" s="459">
        <v>1783</v>
      </c>
      <c r="I1790" s="444">
        <f t="shared" ca="1" si="133"/>
        <v>27524265.389008306</v>
      </c>
      <c r="J1790" s="444">
        <f t="array" ref="J1790">IFERROR(INDEX('Retirement Calculator'!J:J,MATCH('Isaac 401k'!N1790,'Retirement Calculator'!A:A,0),0),0)</f>
        <v>0</v>
      </c>
      <c r="K1790" s="444">
        <f t="shared" ca="1" si="131"/>
        <v>114684.43912086796</v>
      </c>
      <c r="L1790" s="444">
        <f t="shared" ca="1" si="132"/>
        <v>27638949.828129172</v>
      </c>
      <c r="M1790" s="460">
        <f t="shared" si="134"/>
        <v>0.05</v>
      </c>
      <c r="N1790" s="464">
        <f t="shared" si="135"/>
        <v>105527</v>
      </c>
    </row>
    <row r="1791" spans="7:14" ht="11.25" customHeight="1" x14ac:dyDescent="0.3">
      <c r="G1791" s="459"/>
      <c r="H1791" s="459">
        <v>1784</v>
      </c>
      <c r="I1791" s="444">
        <f t="shared" ca="1" si="133"/>
        <v>27638949.828129172</v>
      </c>
      <c r="J1791" s="444">
        <f t="array" ref="J1791">IFERROR(INDEX('Retirement Calculator'!J:J,MATCH('Isaac 401k'!N1791,'Retirement Calculator'!A:A,0),0),0)</f>
        <v>0</v>
      </c>
      <c r="K1791" s="444">
        <f t="shared" ca="1" si="131"/>
        <v>115162.29095053821</v>
      </c>
      <c r="L1791" s="444">
        <f t="shared" ca="1" si="132"/>
        <v>27754112.119079709</v>
      </c>
      <c r="M1791" s="460">
        <f t="shared" si="134"/>
        <v>0.05</v>
      </c>
      <c r="N1791" s="464">
        <f t="shared" si="135"/>
        <v>105558</v>
      </c>
    </row>
    <row r="1792" spans="7:14" ht="11.25" customHeight="1" x14ac:dyDescent="0.3">
      <c r="G1792" s="459"/>
      <c r="H1792" s="459">
        <v>1785</v>
      </c>
      <c r="I1792" s="444">
        <f t="shared" ca="1" si="133"/>
        <v>27754112.119079709</v>
      </c>
      <c r="J1792" s="444">
        <f t="array" ref="J1792">IFERROR(INDEX('Retirement Calculator'!J:J,MATCH('Isaac 401k'!N1792,'Retirement Calculator'!A:A,0),0),0)</f>
        <v>0</v>
      </c>
      <c r="K1792" s="444">
        <f t="shared" ca="1" si="131"/>
        <v>115642.13382949879</v>
      </c>
      <c r="L1792" s="444">
        <f t="shared" ca="1" si="132"/>
        <v>27869754.25290921</v>
      </c>
      <c r="M1792" s="460">
        <f t="shared" si="134"/>
        <v>0.05</v>
      </c>
      <c r="N1792" s="464">
        <f t="shared" si="135"/>
        <v>105589</v>
      </c>
    </row>
    <row r="1793" spans="7:14" ht="11.25" customHeight="1" x14ac:dyDescent="0.3">
      <c r="G1793" s="459"/>
      <c r="H1793" s="459">
        <v>1786</v>
      </c>
      <c r="I1793" s="444">
        <f t="shared" ca="1" si="133"/>
        <v>27869754.25290921</v>
      </c>
      <c r="J1793" s="444">
        <f t="array" ref="J1793">IFERROR(INDEX('Retirement Calculator'!J:J,MATCH('Isaac 401k'!N1793,'Retirement Calculator'!A:A,0),0),0)</f>
        <v>0</v>
      </c>
      <c r="K1793" s="444">
        <f t="shared" ref="K1793:K2047" ca="1" si="136">IPMT(M1793/12,1,12,-I1793+J1793,,0)</f>
        <v>116123.97605378838</v>
      </c>
      <c r="L1793" s="444">
        <f t="shared" ref="L1793:L2047" ca="1" si="137">I1793-J1793+K1793</f>
        <v>27985878.228962999</v>
      </c>
      <c r="M1793" s="460">
        <f t="shared" si="134"/>
        <v>0.05</v>
      </c>
      <c r="N1793" s="464">
        <f t="shared" si="135"/>
        <v>105617</v>
      </c>
    </row>
    <row r="1794" spans="7:14" ht="11.25" customHeight="1" x14ac:dyDescent="0.3">
      <c r="G1794" s="459"/>
      <c r="H1794" s="459">
        <v>1787</v>
      </c>
      <c r="I1794" s="444">
        <f t="shared" ref="I1794:I2048" ca="1" si="138">L1793</f>
        <v>27985878.228962999</v>
      </c>
      <c r="J1794" s="444">
        <f t="array" ref="J1794">IFERROR(INDEX('Retirement Calculator'!J:J,MATCH('Isaac 401k'!N1794,'Retirement Calculator'!A:A,0),0),0)</f>
        <v>0</v>
      </c>
      <c r="K1794" s="444">
        <f t="shared" ca="1" si="136"/>
        <v>116607.8259540125</v>
      </c>
      <c r="L1794" s="444">
        <f t="shared" ca="1" si="137"/>
        <v>28102486.054917011</v>
      </c>
      <c r="M1794" s="460">
        <f t="shared" ref="M1794:M2048" si="139">M1793</f>
        <v>0.05</v>
      </c>
      <c r="N1794" s="464">
        <f t="shared" ref="N1794:N2048" si="140">EDATE(N1793,1)</f>
        <v>105648</v>
      </c>
    </row>
    <row r="1795" spans="7:14" ht="11.25" customHeight="1" x14ac:dyDescent="0.3">
      <c r="G1795" s="459"/>
      <c r="H1795" s="459">
        <v>1788</v>
      </c>
      <c r="I1795" s="444">
        <f t="shared" ca="1" si="138"/>
        <v>28102486.054917011</v>
      </c>
      <c r="J1795" s="444">
        <f t="array" ref="J1795">IFERROR(INDEX('Retirement Calculator'!J:J,MATCH('Isaac 401k'!N1795,'Retirement Calculator'!A:A,0),0),0)</f>
        <v>0</v>
      </c>
      <c r="K1795" s="444">
        <f t="shared" ca="1" si="136"/>
        <v>117093.69189548754</v>
      </c>
      <c r="L1795" s="444">
        <f t="shared" ca="1" si="137"/>
        <v>28219579.7468125</v>
      </c>
      <c r="M1795" s="460">
        <f t="shared" si="139"/>
        <v>0.05</v>
      </c>
      <c r="N1795" s="464">
        <f t="shared" si="140"/>
        <v>105678</v>
      </c>
    </row>
    <row r="1796" spans="7:14" ht="11.25" customHeight="1" x14ac:dyDescent="0.3">
      <c r="G1796" s="459"/>
      <c r="H1796" s="459">
        <v>1789</v>
      </c>
      <c r="I1796" s="444">
        <f t="shared" ca="1" si="138"/>
        <v>28219579.7468125</v>
      </c>
      <c r="J1796" s="444">
        <f t="array" ref="J1796">IFERROR(INDEX('Retirement Calculator'!J:J,MATCH('Isaac 401k'!N1796,'Retirement Calculator'!A:A,0),0),0)</f>
        <v>0</v>
      </c>
      <c r="K1796" s="444">
        <f t="shared" ca="1" si="136"/>
        <v>117581.58227838539</v>
      </c>
      <c r="L1796" s="444">
        <f t="shared" ca="1" si="137"/>
        <v>28337161.329090886</v>
      </c>
      <c r="M1796" s="460">
        <f t="shared" si="139"/>
        <v>0.05</v>
      </c>
      <c r="N1796" s="464">
        <f t="shared" si="140"/>
        <v>105709</v>
      </c>
    </row>
    <row r="1797" spans="7:14" ht="11.25" customHeight="1" x14ac:dyDescent="0.3">
      <c r="G1797" s="459"/>
      <c r="H1797" s="459">
        <v>1790</v>
      </c>
      <c r="I1797" s="444">
        <f t="shared" ca="1" si="138"/>
        <v>28337161.329090886</v>
      </c>
      <c r="J1797" s="444">
        <f t="array" ref="J1797">IFERROR(INDEX('Retirement Calculator'!J:J,MATCH('Isaac 401k'!N1797,'Retirement Calculator'!A:A,0),0),0)</f>
        <v>0</v>
      </c>
      <c r="K1797" s="444">
        <f t="shared" ca="1" si="136"/>
        <v>118071.50553787869</v>
      </c>
      <c r="L1797" s="444">
        <f t="shared" ca="1" si="137"/>
        <v>28455232.834628765</v>
      </c>
      <c r="M1797" s="460">
        <f t="shared" si="139"/>
        <v>0.05</v>
      </c>
      <c r="N1797" s="464">
        <f t="shared" si="140"/>
        <v>105739</v>
      </c>
    </row>
    <row r="1798" spans="7:14" ht="11.25" customHeight="1" x14ac:dyDescent="0.3">
      <c r="G1798" s="459"/>
      <c r="H1798" s="459">
        <v>1791</v>
      </c>
      <c r="I1798" s="444">
        <f t="shared" ca="1" si="138"/>
        <v>28455232.834628765</v>
      </c>
      <c r="J1798" s="444">
        <f t="array" ref="J1798">IFERROR(INDEX('Retirement Calculator'!J:J,MATCH('Isaac 401k'!N1798,'Retirement Calculator'!A:A,0),0),0)</f>
        <v>0</v>
      </c>
      <c r="K1798" s="444">
        <f t="shared" ca="1" si="136"/>
        <v>118563.47014428653</v>
      </c>
      <c r="L1798" s="444">
        <f t="shared" ca="1" si="137"/>
        <v>28573796.304773051</v>
      </c>
      <c r="M1798" s="460">
        <f t="shared" si="139"/>
        <v>0.05</v>
      </c>
      <c r="N1798" s="464">
        <f t="shared" si="140"/>
        <v>105770</v>
      </c>
    </row>
    <row r="1799" spans="7:14" ht="11.25" customHeight="1" x14ac:dyDescent="0.3">
      <c r="G1799" s="459"/>
      <c r="H1799" s="459">
        <v>1792</v>
      </c>
      <c r="I1799" s="444">
        <f t="shared" ca="1" si="138"/>
        <v>28573796.304773051</v>
      </c>
      <c r="J1799" s="444">
        <f t="array" ref="J1799">IFERROR(INDEX('Retirement Calculator'!J:J,MATCH('Isaac 401k'!N1799,'Retirement Calculator'!A:A,0),0),0)</f>
        <v>0</v>
      </c>
      <c r="K1799" s="444">
        <f t="shared" ca="1" si="136"/>
        <v>119057.48460322106</v>
      </c>
      <c r="L1799" s="444">
        <f t="shared" ca="1" si="137"/>
        <v>28692853.789376274</v>
      </c>
      <c r="M1799" s="460">
        <f t="shared" si="139"/>
        <v>0.05</v>
      </c>
      <c r="N1799" s="464">
        <f t="shared" si="140"/>
        <v>105801</v>
      </c>
    </row>
    <row r="1800" spans="7:14" ht="11.25" customHeight="1" x14ac:dyDescent="0.3">
      <c r="G1800" s="459"/>
      <c r="H1800" s="459">
        <v>1793</v>
      </c>
      <c r="I1800" s="444">
        <f t="shared" ca="1" si="138"/>
        <v>28692853.789376274</v>
      </c>
      <c r="J1800" s="444">
        <f t="array" ref="J1800">IFERROR(INDEX('Retirement Calculator'!J:J,MATCH('Isaac 401k'!N1800,'Retirement Calculator'!A:A,0),0),0)</f>
        <v>0</v>
      </c>
      <c r="K1800" s="444">
        <f t="shared" ca="1" si="136"/>
        <v>119553.55745573448</v>
      </c>
      <c r="L1800" s="444">
        <f t="shared" ca="1" si="137"/>
        <v>28812407.346832007</v>
      </c>
      <c r="M1800" s="460">
        <f t="shared" si="139"/>
        <v>0.05</v>
      </c>
      <c r="N1800" s="464">
        <f t="shared" si="140"/>
        <v>105831</v>
      </c>
    </row>
    <row r="1801" spans="7:14" ht="11.25" customHeight="1" x14ac:dyDescent="0.3">
      <c r="G1801" s="459"/>
      <c r="H1801" s="459">
        <v>1794</v>
      </c>
      <c r="I1801" s="444">
        <f t="shared" ca="1" si="138"/>
        <v>28812407.346832007</v>
      </c>
      <c r="J1801" s="444">
        <f t="array" ref="J1801">IFERROR(INDEX('Retirement Calculator'!J:J,MATCH('Isaac 401k'!N1801,'Retirement Calculator'!A:A,0),0),0)</f>
        <v>0</v>
      </c>
      <c r="K1801" s="444">
        <f t="shared" ca="1" si="136"/>
        <v>120051.6972784667</v>
      </c>
      <c r="L1801" s="444">
        <f t="shared" ca="1" si="137"/>
        <v>28932459.044110473</v>
      </c>
      <c r="M1801" s="460">
        <f t="shared" si="139"/>
        <v>0.05</v>
      </c>
      <c r="N1801" s="464">
        <f t="shared" si="140"/>
        <v>105862</v>
      </c>
    </row>
    <row r="1802" spans="7:14" ht="11.25" customHeight="1" x14ac:dyDescent="0.3">
      <c r="G1802" s="459"/>
      <c r="H1802" s="459">
        <v>1795</v>
      </c>
      <c r="I1802" s="444">
        <f t="shared" ca="1" si="138"/>
        <v>28932459.044110473</v>
      </c>
      <c r="J1802" s="444">
        <f t="array" ref="J1802">IFERROR(INDEX('Retirement Calculator'!J:J,MATCH('Isaac 401k'!N1802,'Retirement Calculator'!A:A,0),0),0)</f>
        <v>0</v>
      </c>
      <c r="K1802" s="444">
        <f t="shared" ca="1" si="136"/>
        <v>120551.91268379362</v>
      </c>
      <c r="L1802" s="444">
        <f t="shared" ca="1" si="137"/>
        <v>29053010.956794266</v>
      </c>
      <c r="M1802" s="460">
        <f t="shared" si="139"/>
        <v>0.05</v>
      </c>
      <c r="N1802" s="464">
        <f t="shared" si="140"/>
        <v>105892</v>
      </c>
    </row>
    <row r="1803" spans="7:14" ht="11.25" customHeight="1" x14ac:dyDescent="0.3">
      <c r="G1803" s="459"/>
      <c r="H1803" s="459">
        <v>1796</v>
      </c>
      <c r="I1803" s="444">
        <f t="shared" ca="1" si="138"/>
        <v>29053010.956794266</v>
      </c>
      <c r="J1803" s="444">
        <f t="array" ref="J1803">IFERROR(INDEX('Retirement Calculator'!J:J,MATCH('Isaac 401k'!N1803,'Retirement Calculator'!A:A,0),0),0)</f>
        <v>0</v>
      </c>
      <c r="K1803" s="444">
        <f t="shared" ca="1" si="136"/>
        <v>121054.21231997608</v>
      </c>
      <c r="L1803" s="444">
        <f t="shared" ca="1" si="137"/>
        <v>29174065.169114243</v>
      </c>
      <c r="M1803" s="460">
        <f t="shared" si="139"/>
        <v>0.05</v>
      </c>
      <c r="N1803" s="464">
        <f t="shared" si="140"/>
        <v>105923</v>
      </c>
    </row>
    <row r="1804" spans="7:14" ht="11.25" customHeight="1" x14ac:dyDescent="0.3">
      <c r="G1804" s="459"/>
      <c r="H1804" s="459">
        <v>1797</v>
      </c>
      <c r="I1804" s="444">
        <f t="shared" ca="1" si="138"/>
        <v>29174065.169114243</v>
      </c>
      <c r="J1804" s="444">
        <f t="array" ref="J1804">IFERROR(INDEX('Retirement Calculator'!J:J,MATCH('Isaac 401k'!N1804,'Retirement Calculator'!A:A,0),0),0)</f>
        <v>0</v>
      </c>
      <c r="K1804" s="444">
        <f t="shared" ca="1" si="136"/>
        <v>121558.60487130936</v>
      </c>
      <c r="L1804" s="444">
        <f t="shared" ca="1" si="137"/>
        <v>29295623.773985554</v>
      </c>
      <c r="M1804" s="460">
        <f t="shared" si="139"/>
        <v>0.05</v>
      </c>
      <c r="N1804" s="464">
        <f t="shared" si="140"/>
        <v>105954</v>
      </c>
    </row>
    <row r="1805" spans="7:14" ht="11.25" customHeight="1" x14ac:dyDescent="0.3">
      <c r="G1805" s="459"/>
      <c r="H1805" s="459">
        <v>1798</v>
      </c>
      <c r="I1805" s="444">
        <f t="shared" ca="1" si="138"/>
        <v>29295623.773985554</v>
      </c>
      <c r="J1805" s="444">
        <f t="array" ref="J1805">IFERROR(INDEX('Retirement Calculator'!J:J,MATCH('Isaac 401k'!N1805,'Retirement Calculator'!A:A,0),0),0)</f>
        <v>0</v>
      </c>
      <c r="K1805" s="444">
        <f t="shared" ca="1" si="136"/>
        <v>122065.09905827315</v>
      </c>
      <c r="L1805" s="444">
        <f t="shared" ca="1" si="137"/>
        <v>29417688.873043828</v>
      </c>
      <c r="M1805" s="460">
        <f t="shared" si="139"/>
        <v>0.05</v>
      </c>
      <c r="N1805" s="464">
        <f t="shared" si="140"/>
        <v>105982</v>
      </c>
    </row>
    <row r="1806" spans="7:14" ht="11.25" customHeight="1" x14ac:dyDescent="0.3">
      <c r="G1806" s="459"/>
      <c r="H1806" s="459">
        <v>1799</v>
      </c>
      <c r="I1806" s="444">
        <f t="shared" ca="1" si="138"/>
        <v>29417688.873043828</v>
      </c>
      <c r="J1806" s="444">
        <f t="array" ref="J1806">IFERROR(INDEX('Retirement Calculator'!J:J,MATCH('Isaac 401k'!N1806,'Retirement Calculator'!A:A,0),0),0)</f>
        <v>0</v>
      </c>
      <c r="K1806" s="444">
        <f t="shared" ca="1" si="136"/>
        <v>122573.7036376826</v>
      </c>
      <c r="L1806" s="444">
        <f t="shared" ca="1" si="137"/>
        <v>29540262.57668151</v>
      </c>
      <c r="M1806" s="460">
        <f t="shared" si="139"/>
        <v>0.05</v>
      </c>
      <c r="N1806" s="464">
        <f t="shared" si="140"/>
        <v>106013</v>
      </c>
    </row>
    <row r="1807" spans="7:14" ht="11.25" customHeight="1" x14ac:dyDescent="0.3">
      <c r="G1807" s="459"/>
      <c r="H1807" s="459">
        <v>1800</v>
      </c>
      <c r="I1807" s="444">
        <f t="shared" ca="1" si="138"/>
        <v>29540262.57668151</v>
      </c>
      <c r="J1807" s="444">
        <f t="array" ref="J1807">IFERROR(INDEX('Retirement Calculator'!J:J,MATCH('Isaac 401k'!N1807,'Retirement Calculator'!A:A,0),0),0)</f>
        <v>0</v>
      </c>
      <c r="K1807" s="444">
        <f t="shared" ca="1" si="136"/>
        <v>123084.42740283962</v>
      </c>
      <c r="L1807" s="444">
        <f t="shared" ca="1" si="137"/>
        <v>29663347.004084349</v>
      </c>
      <c r="M1807" s="460">
        <f t="shared" si="139"/>
        <v>0.05</v>
      </c>
      <c r="N1807" s="464">
        <f t="shared" si="140"/>
        <v>106043</v>
      </c>
    </row>
    <row r="1808" spans="7:14" ht="11.25" customHeight="1" x14ac:dyDescent="0.3">
      <c r="G1808" s="459"/>
      <c r="H1808" s="459">
        <v>1801</v>
      </c>
      <c r="I1808" s="444">
        <f t="shared" ca="1" si="138"/>
        <v>29663347.004084349</v>
      </c>
      <c r="J1808" s="444">
        <f t="array" ref="J1808">IFERROR(INDEX('Retirement Calculator'!J:J,MATCH('Isaac 401k'!N1808,'Retirement Calculator'!A:A,0),0),0)</f>
        <v>0</v>
      </c>
      <c r="K1808" s="444">
        <f t="shared" ca="1" si="136"/>
        <v>123597.2791836848</v>
      </c>
      <c r="L1808" s="444">
        <f t="shared" ca="1" si="137"/>
        <v>29786944.283268034</v>
      </c>
      <c r="M1808" s="460">
        <f t="shared" si="139"/>
        <v>0.05</v>
      </c>
      <c r="N1808" s="464">
        <f t="shared" si="140"/>
        <v>106074</v>
      </c>
    </row>
    <row r="1809" spans="7:14" ht="11.25" customHeight="1" x14ac:dyDescent="0.3">
      <c r="G1809" s="459"/>
      <c r="H1809" s="459">
        <v>1802</v>
      </c>
      <c r="I1809" s="444">
        <f t="shared" ca="1" si="138"/>
        <v>29786944.283268034</v>
      </c>
      <c r="J1809" s="444">
        <f t="array" ref="J1809">IFERROR(INDEX('Retirement Calculator'!J:J,MATCH('Isaac 401k'!N1809,'Retirement Calculator'!A:A,0),0),0)</f>
        <v>0</v>
      </c>
      <c r="K1809" s="444">
        <f t="shared" ca="1" si="136"/>
        <v>124112.26784695014</v>
      </c>
      <c r="L1809" s="444">
        <f t="shared" ca="1" si="137"/>
        <v>29911056.551114984</v>
      </c>
      <c r="M1809" s="460">
        <f t="shared" si="139"/>
        <v>0.05</v>
      </c>
      <c r="N1809" s="464">
        <f t="shared" si="140"/>
        <v>106104</v>
      </c>
    </row>
    <row r="1810" spans="7:14" ht="11.25" customHeight="1" x14ac:dyDescent="0.3">
      <c r="G1810" s="459"/>
      <c r="H1810" s="459">
        <v>1803</v>
      </c>
      <c r="I1810" s="444">
        <f t="shared" ca="1" si="138"/>
        <v>29911056.551114984</v>
      </c>
      <c r="J1810" s="444">
        <f t="array" ref="J1810">IFERROR(INDEX('Retirement Calculator'!J:J,MATCH('Isaac 401k'!N1810,'Retirement Calculator'!A:A,0),0),0)</f>
        <v>0</v>
      </c>
      <c r="K1810" s="444">
        <f t="shared" ca="1" si="136"/>
        <v>124629.40229631242</v>
      </c>
      <c r="L1810" s="444">
        <f t="shared" ca="1" si="137"/>
        <v>30035685.953411296</v>
      </c>
      <c r="M1810" s="460">
        <f t="shared" si="139"/>
        <v>0.05</v>
      </c>
      <c r="N1810" s="464">
        <f t="shared" si="140"/>
        <v>106135</v>
      </c>
    </row>
    <row r="1811" spans="7:14" ht="11.25" customHeight="1" x14ac:dyDescent="0.3">
      <c r="G1811" s="459"/>
      <c r="H1811" s="459">
        <v>1804</v>
      </c>
      <c r="I1811" s="444">
        <f t="shared" ca="1" si="138"/>
        <v>30035685.953411296</v>
      </c>
      <c r="J1811" s="444">
        <f t="array" ref="J1811">IFERROR(INDEX('Retirement Calculator'!J:J,MATCH('Isaac 401k'!N1811,'Retirement Calculator'!A:A,0),0),0)</f>
        <v>0</v>
      </c>
      <c r="K1811" s="444">
        <f t="shared" ca="1" si="136"/>
        <v>125148.69147254706</v>
      </c>
      <c r="L1811" s="444">
        <f t="shared" ca="1" si="137"/>
        <v>30160834.644883841</v>
      </c>
      <c r="M1811" s="460">
        <f t="shared" si="139"/>
        <v>0.05</v>
      </c>
      <c r="N1811" s="464">
        <f t="shared" si="140"/>
        <v>106166</v>
      </c>
    </row>
    <row r="1812" spans="7:14" ht="11.25" customHeight="1" x14ac:dyDescent="0.3">
      <c r="G1812" s="459"/>
      <c r="H1812" s="459">
        <v>1805</v>
      </c>
      <c r="I1812" s="444">
        <f t="shared" ca="1" si="138"/>
        <v>30160834.644883841</v>
      </c>
      <c r="J1812" s="444">
        <f t="array" ref="J1812">IFERROR(INDEX('Retirement Calculator'!J:J,MATCH('Isaac 401k'!N1812,'Retirement Calculator'!A:A,0),0),0)</f>
        <v>0</v>
      </c>
      <c r="K1812" s="444">
        <f t="shared" ca="1" si="136"/>
        <v>125670.14435368267</v>
      </c>
      <c r="L1812" s="444">
        <f t="shared" ca="1" si="137"/>
        <v>30286504.789237525</v>
      </c>
      <c r="M1812" s="460">
        <f t="shared" si="139"/>
        <v>0.05</v>
      </c>
      <c r="N1812" s="464">
        <f t="shared" si="140"/>
        <v>106196</v>
      </c>
    </row>
    <row r="1813" spans="7:14" ht="11.25" customHeight="1" x14ac:dyDescent="0.3">
      <c r="G1813" s="459"/>
      <c r="H1813" s="459">
        <v>1806</v>
      </c>
      <c r="I1813" s="444">
        <f t="shared" ca="1" si="138"/>
        <v>30286504.789237525</v>
      </c>
      <c r="J1813" s="444">
        <f t="array" ref="J1813">IFERROR(INDEX('Retirement Calculator'!J:J,MATCH('Isaac 401k'!N1813,'Retirement Calculator'!A:A,0),0),0)</f>
        <v>0</v>
      </c>
      <c r="K1813" s="444">
        <f t="shared" ca="1" si="136"/>
        <v>126193.76995515636</v>
      </c>
      <c r="L1813" s="444">
        <f t="shared" ca="1" si="137"/>
        <v>30412698.55919268</v>
      </c>
      <c r="M1813" s="460">
        <f t="shared" si="139"/>
        <v>0.05</v>
      </c>
      <c r="N1813" s="464">
        <f t="shared" si="140"/>
        <v>106227</v>
      </c>
    </row>
    <row r="1814" spans="7:14" ht="11.25" customHeight="1" x14ac:dyDescent="0.3">
      <c r="G1814" s="459"/>
      <c r="H1814" s="459">
        <v>1807</v>
      </c>
      <c r="I1814" s="444">
        <f t="shared" ca="1" si="138"/>
        <v>30412698.55919268</v>
      </c>
      <c r="J1814" s="444">
        <f t="array" ref="J1814">IFERROR(INDEX('Retirement Calculator'!J:J,MATCH('Isaac 401k'!N1814,'Retirement Calculator'!A:A,0),0),0)</f>
        <v>0</v>
      </c>
      <c r="K1814" s="444">
        <f t="shared" ca="1" si="136"/>
        <v>126719.57732996948</v>
      </c>
      <c r="L1814" s="444">
        <f t="shared" ca="1" si="137"/>
        <v>30539418.136522651</v>
      </c>
      <c r="M1814" s="460">
        <f t="shared" si="139"/>
        <v>0.05</v>
      </c>
      <c r="N1814" s="464">
        <f t="shared" si="140"/>
        <v>106257</v>
      </c>
    </row>
    <row r="1815" spans="7:14" ht="11.25" customHeight="1" x14ac:dyDescent="0.3">
      <c r="G1815" s="459"/>
      <c r="H1815" s="459">
        <v>1808</v>
      </c>
      <c r="I1815" s="444">
        <f t="shared" ca="1" si="138"/>
        <v>30539418.136522651</v>
      </c>
      <c r="J1815" s="444">
        <f t="array" ref="J1815">IFERROR(INDEX('Retirement Calculator'!J:J,MATCH('Isaac 401k'!N1815,'Retirement Calculator'!A:A,0),0),0)</f>
        <v>0</v>
      </c>
      <c r="K1815" s="444">
        <f t="shared" ca="1" si="136"/>
        <v>127247.57556884438</v>
      </c>
      <c r="L1815" s="444">
        <f t="shared" ca="1" si="137"/>
        <v>30666665.712091494</v>
      </c>
      <c r="M1815" s="460">
        <f t="shared" si="139"/>
        <v>0.05</v>
      </c>
      <c r="N1815" s="464">
        <f t="shared" si="140"/>
        <v>106288</v>
      </c>
    </row>
    <row r="1816" spans="7:14" ht="11.25" customHeight="1" x14ac:dyDescent="0.3">
      <c r="G1816" s="459"/>
      <c r="H1816" s="459">
        <v>1809</v>
      </c>
      <c r="I1816" s="444">
        <f t="shared" ca="1" si="138"/>
        <v>30666665.712091494</v>
      </c>
      <c r="J1816" s="444">
        <f t="array" ref="J1816">IFERROR(INDEX('Retirement Calculator'!J:J,MATCH('Isaac 401k'!N1816,'Retirement Calculator'!A:A,0),0),0)</f>
        <v>0</v>
      </c>
      <c r="K1816" s="444">
        <f t="shared" ca="1" si="136"/>
        <v>127777.77380038123</v>
      </c>
      <c r="L1816" s="444">
        <f t="shared" ca="1" si="137"/>
        <v>30794443.485891875</v>
      </c>
      <c r="M1816" s="460">
        <f t="shared" si="139"/>
        <v>0.05</v>
      </c>
      <c r="N1816" s="464">
        <f t="shared" si="140"/>
        <v>106319</v>
      </c>
    </row>
    <row r="1817" spans="7:14" ht="11.25" customHeight="1" x14ac:dyDescent="0.3">
      <c r="G1817" s="459"/>
      <c r="H1817" s="459">
        <v>1810</v>
      </c>
      <c r="I1817" s="444">
        <f t="shared" ca="1" si="138"/>
        <v>30794443.485891875</v>
      </c>
      <c r="J1817" s="444">
        <f t="array" ref="J1817">IFERROR(INDEX('Retirement Calculator'!J:J,MATCH('Isaac 401k'!N1817,'Retirement Calculator'!A:A,0),0),0)</f>
        <v>0</v>
      </c>
      <c r="K1817" s="444">
        <f t="shared" ca="1" si="136"/>
        <v>128310.18119121615</v>
      </c>
      <c r="L1817" s="444">
        <f t="shared" ca="1" si="137"/>
        <v>30922753.667083092</v>
      </c>
      <c r="M1817" s="460">
        <f t="shared" si="139"/>
        <v>0.05</v>
      </c>
      <c r="N1817" s="464">
        <f t="shared" si="140"/>
        <v>106347</v>
      </c>
    </row>
    <row r="1818" spans="7:14" ht="11.25" customHeight="1" x14ac:dyDescent="0.3">
      <c r="G1818" s="459"/>
      <c r="H1818" s="459">
        <v>1811</v>
      </c>
      <c r="I1818" s="444">
        <f t="shared" ca="1" si="138"/>
        <v>30922753.667083092</v>
      </c>
      <c r="J1818" s="444">
        <f t="array" ref="J1818">IFERROR(INDEX('Retirement Calculator'!J:J,MATCH('Isaac 401k'!N1818,'Retirement Calculator'!A:A,0),0),0)</f>
        <v>0</v>
      </c>
      <c r="K1818" s="444">
        <f t="shared" ca="1" si="136"/>
        <v>128844.80694617957</v>
      </c>
      <c r="L1818" s="444">
        <f t="shared" ca="1" si="137"/>
        <v>31051598.474029273</v>
      </c>
      <c r="M1818" s="460">
        <f t="shared" si="139"/>
        <v>0.05</v>
      </c>
      <c r="N1818" s="464">
        <f t="shared" si="140"/>
        <v>106378</v>
      </c>
    </row>
    <row r="1819" spans="7:14" ht="11.25" customHeight="1" x14ac:dyDescent="0.3">
      <c r="G1819" s="459"/>
      <c r="H1819" s="459">
        <v>1812</v>
      </c>
      <c r="I1819" s="444">
        <f t="shared" ca="1" si="138"/>
        <v>31051598.474029273</v>
      </c>
      <c r="J1819" s="444">
        <f t="array" ref="J1819">IFERROR(INDEX('Retirement Calculator'!J:J,MATCH('Isaac 401k'!N1819,'Retirement Calculator'!A:A,0),0),0)</f>
        <v>0</v>
      </c>
      <c r="K1819" s="444">
        <f t="shared" ca="1" si="136"/>
        <v>129381.66030845532</v>
      </c>
      <c r="L1819" s="444">
        <f t="shared" ca="1" si="137"/>
        <v>31180980.134337727</v>
      </c>
      <c r="M1819" s="460">
        <f t="shared" si="139"/>
        <v>0.05</v>
      </c>
      <c r="N1819" s="464">
        <f t="shared" si="140"/>
        <v>106408</v>
      </c>
    </row>
    <row r="1820" spans="7:14" ht="11.25" customHeight="1" x14ac:dyDescent="0.3">
      <c r="G1820" s="459"/>
      <c r="H1820" s="459">
        <v>1813</v>
      </c>
      <c r="I1820" s="444">
        <f t="shared" ca="1" si="138"/>
        <v>31180980.134337727</v>
      </c>
      <c r="J1820" s="444">
        <f t="array" ref="J1820">IFERROR(INDEX('Retirement Calculator'!J:J,MATCH('Isaac 401k'!N1820,'Retirement Calculator'!A:A,0),0),0)</f>
        <v>0</v>
      </c>
      <c r="K1820" s="444">
        <f t="shared" ca="1" si="136"/>
        <v>129920.75055974053</v>
      </c>
      <c r="L1820" s="444">
        <f t="shared" ca="1" si="137"/>
        <v>31310900.884897467</v>
      </c>
      <c r="M1820" s="460">
        <f t="shared" si="139"/>
        <v>0.05</v>
      </c>
      <c r="N1820" s="464">
        <f t="shared" si="140"/>
        <v>106439</v>
      </c>
    </row>
    <row r="1821" spans="7:14" ht="11.25" customHeight="1" x14ac:dyDescent="0.3">
      <c r="G1821" s="459"/>
      <c r="H1821" s="459">
        <v>1814</v>
      </c>
      <c r="I1821" s="444">
        <f t="shared" ca="1" si="138"/>
        <v>31310900.884897467</v>
      </c>
      <c r="J1821" s="444">
        <f t="array" ref="J1821">IFERROR(INDEX('Retirement Calculator'!J:J,MATCH('Isaac 401k'!N1821,'Retirement Calculator'!A:A,0),0),0)</f>
        <v>0</v>
      </c>
      <c r="K1821" s="444">
        <f t="shared" ca="1" si="136"/>
        <v>130462.08702040612</v>
      </c>
      <c r="L1821" s="444">
        <f t="shared" ca="1" si="137"/>
        <v>31441362.971917871</v>
      </c>
      <c r="M1821" s="460">
        <f t="shared" si="139"/>
        <v>0.05</v>
      </c>
      <c r="N1821" s="464">
        <f t="shared" si="140"/>
        <v>106469</v>
      </c>
    </row>
    <row r="1822" spans="7:14" ht="11.25" customHeight="1" x14ac:dyDescent="0.3">
      <c r="G1822" s="459"/>
      <c r="H1822" s="459">
        <v>1815</v>
      </c>
      <c r="I1822" s="444">
        <f t="shared" ca="1" si="138"/>
        <v>31441362.971917871</v>
      </c>
      <c r="J1822" s="444">
        <f t="array" ref="J1822">IFERROR(INDEX('Retirement Calculator'!J:J,MATCH('Isaac 401k'!N1822,'Retirement Calculator'!A:A,0),0),0)</f>
        <v>0</v>
      </c>
      <c r="K1822" s="444">
        <f t="shared" ca="1" si="136"/>
        <v>131005.67904965779</v>
      </c>
      <c r="L1822" s="444">
        <f t="shared" ca="1" si="137"/>
        <v>31572368.650967531</v>
      </c>
      <c r="M1822" s="460">
        <f t="shared" si="139"/>
        <v>0.05</v>
      </c>
      <c r="N1822" s="464">
        <f t="shared" si="140"/>
        <v>106500</v>
      </c>
    </row>
    <row r="1823" spans="7:14" ht="11.25" customHeight="1" x14ac:dyDescent="0.3">
      <c r="G1823" s="459"/>
      <c r="H1823" s="459">
        <v>1816</v>
      </c>
      <c r="I1823" s="444">
        <f t="shared" ca="1" si="138"/>
        <v>31572368.650967531</v>
      </c>
      <c r="J1823" s="444">
        <f t="array" ref="J1823">IFERROR(INDEX('Retirement Calculator'!J:J,MATCH('Isaac 401k'!N1823,'Retirement Calculator'!A:A,0),0),0)</f>
        <v>0</v>
      </c>
      <c r="K1823" s="444">
        <f t="shared" ca="1" si="136"/>
        <v>131551.53604569807</v>
      </c>
      <c r="L1823" s="444">
        <f t="shared" ca="1" si="137"/>
        <v>31703920.187013227</v>
      </c>
      <c r="M1823" s="460">
        <f t="shared" si="139"/>
        <v>0.05</v>
      </c>
      <c r="N1823" s="464">
        <f t="shared" si="140"/>
        <v>106531</v>
      </c>
    </row>
    <row r="1824" spans="7:14" ht="11.25" customHeight="1" x14ac:dyDescent="0.3">
      <c r="G1824" s="459"/>
      <c r="H1824" s="459">
        <v>1817</v>
      </c>
      <c r="I1824" s="444">
        <f t="shared" ca="1" si="138"/>
        <v>31703920.187013227</v>
      </c>
      <c r="J1824" s="444">
        <f t="array" ref="J1824">IFERROR(INDEX('Retirement Calculator'!J:J,MATCH('Isaac 401k'!N1824,'Retirement Calculator'!A:A,0),0),0)</f>
        <v>0</v>
      </c>
      <c r="K1824" s="444">
        <f t="shared" ca="1" si="136"/>
        <v>132099.66744588842</v>
      </c>
      <c r="L1824" s="444">
        <f t="shared" ca="1" si="137"/>
        <v>31836019.854459114</v>
      </c>
      <c r="M1824" s="460">
        <f t="shared" si="139"/>
        <v>0.05</v>
      </c>
      <c r="N1824" s="464">
        <f t="shared" si="140"/>
        <v>106561</v>
      </c>
    </row>
    <row r="1825" spans="7:14" ht="11.25" customHeight="1" x14ac:dyDescent="0.3">
      <c r="G1825" s="459"/>
      <c r="H1825" s="459">
        <v>1818</v>
      </c>
      <c r="I1825" s="444">
        <f t="shared" ca="1" si="138"/>
        <v>31836019.854459114</v>
      </c>
      <c r="J1825" s="444">
        <f t="array" ref="J1825">IFERROR(INDEX('Retirement Calculator'!J:J,MATCH('Isaac 401k'!N1825,'Retirement Calculator'!A:A,0),0),0)</f>
        <v>0</v>
      </c>
      <c r="K1825" s="444">
        <f t="shared" ca="1" si="136"/>
        <v>132650.08272691298</v>
      </c>
      <c r="L1825" s="444">
        <f t="shared" ca="1" si="137"/>
        <v>31968669.937186029</v>
      </c>
      <c r="M1825" s="460">
        <f t="shared" si="139"/>
        <v>0.05</v>
      </c>
      <c r="N1825" s="464">
        <f t="shared" si="140"/>
        <v>106592</v>
      </c>
    </row>
    <row r="1826" spans="7:14" ht="11.25" customHeight="1" x14ac:dyDescent="0.3">
      <c r="G1826" s="459"/>
      <c r="H1826" s="459">
        <v>1819</v>
      </c>
      <c r="I1826" s="444">
        <f t="shared" ca="1" si="138"/>
        <v>31968669.937186029</v>
      </c>
      <c r="J1826" s="444">
        <f t="array" ref="J1826">IFERROR(INDEX('Retirement Calculator'!J:J,MATCH('Isaac 401k'!N1826,'Retirement Calculator'!A:A,0),0),0)</f>
        <v>0</v>
      </c>
      <c r="K1826" s="444">
        <f t="shared" ca="1" si="136"/>
        <v>133202.79140494176</v>
      </c>
      <c r="L1826" s="444">
        <f t="shared" ca="1" si="137"/>
        <v>32101872.728590969</v>
      </c>
      <c r="M1826" s="460">
        <f t="shared" si="139"/>
        <v>0.05</v>
      </c>
      <c r="N1826" s="464">
        <f t="shared" si="140"/>
        <v>106622</v>
      </c>
    </row>
    <row r="1827" spans="7:14" ht="11.25" customHeight="1" x14ac:dyDescent="0.3">
      <c r="G1827" s="459"/>
      <c r="H1827" s="459">
        <v>1820</v>
      </c>
      <c r="I1827" s="444">
        <f t="shared" ca="1" si="138"/>
        <v>32101872.728590969</v>
      </c>
      <c r="J1827" s="444">
        <f t="array" ref="J1827">IFERROR(INDEX('Retirement Calculator'!J:J,MATCH('Isaac 401k'!N1827,'Retirement Calculator'!A:A,0),0),0)</f>
        <v>0</v>
      </c>
      <c r="K1827" s="444">
        <f t="shared" ca="1" si="136"/>
        <v>133757.80303579569</v>
      </c>
      <c r="L1827" s="444">
        <f t="shared" ca="1" si="137"/>
        <v>32235630.531626765</v>
      </c>
      <c r="M1827" s="460">
        <f t="shared" si="139"/>
        <v>0.05</v>
      </c>
      <c r="N1827" s="464">
        <f t="shared" si="140"/>
        <v>106653</v>
      </c>
    </row>
    <row r="1828" spans="7:14" ht="11.25" customHeight="1" x14ac:dyDescent="0.3">
      <c r="G1828" s="459"/>
      <c r="H1828" s="459">
        <v>1821</v>
      </c>
      <c r="I1828" s="444">
        <f t="shared" ca="1" si="138"/>
        <v>32235630.531626765</v>
      </c>
      <c r="J1828" s="444">
        <f t="array" ref="J1828">IFERROR(INDEX('Retirement Calculator'!J:J,MATCH('Isaac 401k'!N1828,'Retirement Calculator'!A:A,0),0),0)</f>
        <v>0</v>
      </c>
      <c r="K1828" s="444">
        <f t="shared" ca="1" si="136"/>
        <v>134315.12721511151</v>
      </c>
      <c r="L1828" s="444">
        <f t="shared" ca="1" si="137"/>
        <v>32369945.658841874</v>
      </c>
      <c r="M1828" s="460">
        <f t="shared" si="139"/>
        <v>0.05</v>
      </c>
      <c r="N1828" s="464">
        <f t="shared" si="140"/>
        <v>106684</v>
      </c>
    </row>
    <row r="1829" spans="7:14" ht="11.25" customHeight="1" x14ac:dyDescent="0.3">
      <c r="G1829" s="459"/>
      <c r="H1829" s="459">
        <v>1822</v>
      </c>
      <c r="I1829" s="444">
        <f t="shared" ca="1" si="138"/>
        <v>32369945.658841874</v>
      </c>
      <c r="J1829" s="444">
        <f t="array" ref="J1829">IFERROR(INDEX('Retirement Calculator'!J:J,MATCH('Isaac 401k'!N1829,'Retirement Calculator'!A:A,0),0),0)</f>
        <v>0</v>
      </c>
      <c r="K1829" s="444">
        <f t="shared" ca="1" si="136"/>
        <v>134874.7735785078</v>
      </c>
      <c r="L1829" s="444">
        <f t="shared" ca="1" si="137"/>
        <v>32504820.43242038</v>
      </c>
      <c r="M1829" s="460">
        <f t="shared" si="139"/>
        <v>0.05</v>
      </c>
      <c r="N1829" s="464">
        <f t="shared" si="140"/>
        <v>106713</v>
      </c>
    </row>
    <row r="1830" spans="7:14" ht="11.25" customHeight="1" x14ac:dyDescent="0.3">
      <c r="G1830" s="459"/>
      <c r="H1830" s="459">
        <v>1823</v>
      </c>
      <c r="I1830" s="444">
        <f t="shared" ca="1" si="138"/>
        <v>32504820.43242038</v>
      </c>
      <c r="J1830" s="444">
        <f t="array" ref="J1830">IFERROR(INDEX('Retirement Calculator'!J:J,MATCH('Isaac 401k'!N1830,'Retirement Calculator'!A:A,0),0),0)</f>
        <v>0</v>
      </c>
      <c r="K1830" s="444">
        <f t="shared" ca="1" si="136"/>
        <v>135436.75180175155</v>
      </c>
      <c r="L1830" s="444">
        <f t="shared" ca="1" si="137"/>
        <v>32640257.184222132</v>
      </c>
      <c r="M1830" s="460">
        <f t="shared" si="139"/>
        <v>0.05</v>
      </c>
      <c r="N1830" s="464">
        <f t="shared" si="140"/>
        <v>106744</v>
      </c>
    </row>
    <row r="1831" spans="7:14" ht="11.25" customHeight="1" x14ac:dyDescent="0.3">
      <c r="G1831" s="459"/>
      <c r="H1831" s="459">
        <v>1824</v>
      </c>
      <c r="I1831" s="444">
        <f t="shared" ca="1" si="138"/>
        <v>32640257.184222132</v>
      </c>
      <c r="J1831" s="444">
        <f t="array" ref="J1831">IFERROR(INDEX('Retirement Calculator'!J:J,MATCH('Isaac 401k'!N1831,'Retirement Calculator'!A:A,0),0),0)</f>
        <v>0</v>
      </c>
      <c r="K1831" s="444">
        <f t="shared" ca="1" si="136"/>
        <v>136001.07160092553</v>
      </c>
      <c r="L1831" s="444">
        <f t="shared" ca="1" si="137"/>
        <v>32776258.255823057</v>
      </c>
      <c r="M1831" s="460">
        <f t="shared" si="139"/>
        <v>0.05</v>
      </c>
      <c r="N1831" s="464">
        <f t="shared" si="140"/>
        <v>106774</v>
      </c>
    </row>
    <row r="1832" spans="7:14" ht="11.25" customHeight="1" x14ac:dyDescent="0.3">
      <c r="G1832" s="459"/>
      <c r="H1832" s="459">
        <v>1825</v>
      </c>
      <c r="I1832" s="444">
        <f t="shared" ca="1" si="138"/>
        <v>32776258.255823057</v>
      </c>
      <c r="J1832" s="444">
        <f t="array" ref="J1832">IFERROR(INDEX('Retirement Calculator'!J:J,MATCH('Isaac 401k'!N1832,'Retirement Calculator'!A:A,0),0),0)</f>
        <v>0</v>
      </c>
      <c r="K1832" s="444">
        <f t="shared" ca="1" si="136"/>
        <v>136567.74273259606</v>
      </c>
      <c r="L1832" s="444">
        <f t="shared" ca="1" si="137"/>
        <v>32912825.998555653</v>
      </c>
      <c r="M1832" s="460">
        <f t="shared" si="139"/>
        <v>0.05</v>
      </c>
      <c r="N1832" s="464">
        <f t="shared" si="140"/>
        <v>106805</v>
      </c>
    </row>
    <row r="1833" spans="7:14" ht="11.25" customHeight="1" x14ac:dyDescent="0.3">
      <c r="G1833" s="459"/>
      <c r="H1833" s="459">
        <v>1826</v>
      </c>
      <c r="I1833" s="444">
        <f t="shared" ca="1" si="138"/>
        <v>32912825.998555653</v>
      </c>
      <c r="J1833" s="444">
        <f t="array" ref="J1833">IFERROR(INDEX('Retirement Calculator'!J:J,MATCH('Isaac 401k'!N1833,'Retirement Calculator'!A:A,0),0),0)</f>
        <v>0</v>
      </c>
      <c r="K1833" s="444">
        <f t="shared" ca="1" si="136"/>
        <v>137136.77499398188</v>
      </c>
      <c r="L1833" s="444">
        <f t="shared" ca="1" si="137"/>
        <v>33049962.773549635</v>
      </c>
      <c r="M1833" s="460">
        <f t="shared" si="139"/>
        <v>0.05</v>
      </c>
      <c r="N1833" s="464">
        <f t="shared" si="140"/>
        <v>106835</v>
      </c>
    </row>
    <row r="1834" spans="7:14" ht="11.25" customHeight="1" x14ac:dyDescent="0.3">
      <c r="G1834" s="459"/>
      <c r="H1834" s="459">
        <v>1827</v>
      </c>
      <c r="I1834" s="444">
        <f t="shared" ca="1" si="138"/>
        <v>33049962.773549635</v>
      </c>
      <c r="J1834" s="444">
        <f t="array" ref="J1834">IFERROR(INDEX('Retirement Calculator'!J:J,MATCH('Isaac 401k'!N1834,'Retirement Calculator'!A:A,0),0),0)</f>
        <v>0</v>
      </c>
      <c r="K1834" s="444">
        <f t="shared" ca="1" si="136"/>
        <v>137708.17822312348</v>
      </c>
      <c r="L1834" s="444">
        <f t="shared" ca="1" si="137"/>
        <v>33187670.951772757</v>
      </c>
      <c r="M1834" s="460">
        <f t="shared" si="139"/>
        <v>0.05</v>
      </c>
      <c r="N1834" s="464">
        <f t="shared" si="140"/>
        <v>106866</v>
      </c>
    </row>
    <row r="1835" spans="7:14" ht="11.25" customHeight="1" x14ac:dyDescent="0.3">
      <c r="G1835" s="459"/>
      <c r="H1835" s="459">
        <v>1828</v>
      </c>
      <c r="I1835" s="444">
        <f t="shared" ca="1" si="138"/>
        <v>33187670.951772757</v>
      </c>
      <c r="J1835" s="444">
        <f t="array" ref="J1835">IFERROR(INDEX('Retirement Calculator'!J:J,MATCH('Isaac 401k'!N1835,'Retirement Calculator'!A:A,0),0),0)</f>
        <v>0</v>
      </c>
      <c r="K1835" s="444">
        <f t="shared" ca="1" si="136"/>
        <v>138281.96229905318</v>
      </c>
      <c r="L1835" s="444">
        <f t="shared" ca="1" si="137"/>
        <v>33325952.91407181</v>
      </c>
      <c r="M1835" s="460">
        <f t="shared" si="139"/>
        <v>0.05</v>
      </c>
      <c r="N1835" s="464">
        <f t="shared" si="140"/>
        <v>106897</v>
      </c>
    </row>
    <row r="1836" spans="7:14" ht="11.25" customHeight="1" x14ac:dyDescent="0.3">
      <c r="G1836" s="459"/>
      <c r="H1836" s="459">
        <v>1829</v>
      </c>
      <c r="I1836" s="444">
        <f t="shared" ca="1" si="138"/>
        <v>33325952.91407181</v>
      </c>
      <c r="J1836" s="444">
        <f t="array" ref="J1836">IFERROR(INDEX('Retirement Calculator'!J:J,MATCH('Isaac 401k'!N1836,'Retirement Calculator'!A:A,0),0),0)</f>
        <v>0</v>
      </c>
      <c r="K1836" s="444">
        <f t="shared" ca="1" si="136"/>
        <v>138858.13714196588</v>
      </c>
      <c r="L1836" s="444">
        <f t="shared" ca="1" si="137"/>
        <v>33464811.051213775</v>
      </c>
      <c r="M1836" s="460">
        <f t="shared" si="139"/>
        <v>0.05</v>
      </c>
      <c r="N1836" s="464">
        <f t="shared" si="140"/>
        <v>106927</v>
      </c>
    </row>
    <row r="1837" spans="7:14" ht="11.25" customHeight="1" x14ac:dyDescent="0.3">
      <c r="G1837" s="459"/>
      <c r="H1837" s="459">
        <v>1830</v>
      </c>
      <c r="I1837" s="444">
        <f t="shared" ca="1" si="138"/>
        <v>33464811.051213775</v>
      </c>
      <c r="J1837" s="444">
        <f t="array" ref="J1837">IFERROR(INDEX('Retirement Calculator'!J:J,MATCH('Isaac 401k'!N1837,'Retirement Calculator'!A:A,0),0),0)</f>
        <v>0</v>
      </c>
      <c r="K1837" s="444">
        <f t="shared" ca="1" si="136"/>
        <v>139436.71271339073</v>
      </c>
      <c r="L1837" s="444">
        <f t="shared" ca="1" si="137"/>
        <v>33604247.763927169</v>
      </c>
      <c r="M1837" s="460">
        <f t="shared" si="139"/>
        <v>0.05</v>
      </c>
      <c r="N1837" s="464">
        <f t="shared" si="140"/>
        <v>106958</v>
      </c>
    </row>
    <row r="1838" spans="7:14" ht="11.25" customHeight="1" x14ac:dyDescent="0.3">
      <c r="G1838" s="459"/>
      <c r="H1838" s="459">
        <v>1831</v>
      </c>
      <c r="I1838" s="444">
        <f t="shared" ca="1" si="138"/>
        <v>33604247.763927169</v>
      </c>
      <c r="J1838" s="444">
        <f t="array" ref="J1838">IFERROR(INDEX('Retirement Calculator'!J:J,MATCH('Isaac 401k'!N1838,'Retirement Calculator'!A:A,0),0),0)</f>
        <v>0</v>
      </c>
      <c r="K1838" s="444">
        <f t="shared" ca="1" si="136"/>
        <v>140017.69901636321</v>
      </c>
      <c r="L1838" s="444">
        <f t="shared" ca="1" si="137"/>
        <v>33744265.462943532</v>
      </c>
      <c r="M1838" s="460">
        <f t="shared" si="139"/>
        <v>0.05</v>
      </c>
      <c r="N1838" s="464">
        <f t="shared" si="140"/>
        <v>106988</v>
      </c>
    </row>
    <row r="1839" spans="7:14" ht="11.25" customHeight="1" x14ac:dyDescent="0.3">
      <c r="G1839" s="459"/>
      <c r="H1839" s="459">
        <v>1832</v>
      </c>
      <c r="I1839" s="444">
        <f t="shared" ca="1" si="138"/>
        <v>33744265.462943532</v>
      </c>
      <c r="J1839" s="444">
        <f t="array" ref="J1839">IFERROR(INDEX('Retirement Calculator'!J:J,MATCH('Isaac 401k'!N1839,'Retirement Calculator'!A:A,0),0),0)</f>
        <v>0</v>
      </c>
      <c r="K1839" s="444">
        <f t="shared" ca="1" si="136"/>
        <v>140601.10609559805</v>
      </c>
      <c r="L1839" s="444">
        <f t="shared" ca="1" si="137"/>
        <v>33884866.569039129</v>
      </c>
      <c r="M1839" s="460">
        <f t="shared" si="139"/>
        <v>0.05</v>
      </c>
      <c r="N1839" s="464">
        <f t="shared" si="140"/>
        <v>107019</v>
      </c>
    </row>
    <row r="1840" spans="7:14" ht="11.25" customHeight="1" x14ac:dyDescent="0.3">
      <c r="G1840" s="459"/>
      <c r="H1840" s="459">
        <v>1833</v>
      </c>
      <c r="I1840" s="444">
        <f t="shared" ca="1" si="138"/>
        <v>33884866.569039129</v>
      </c>
      <c r="J1840" s="444">
        <f t="array" ref="J1840">IFERROR(INDEX('Retirement Calculator'!J:J,MATCH('Isaac 401k'!N1840,'Retirement Calculator'!A:A,0),0),0)</f>
        <v>0</v>
      </c>
      <c r="K1840" s="444">
        <f t="shared" ca="1" si="136"/>
        <v>141186.94403766302</v>
      </c>
      <c r="L1840" s="444">
        <f t="shared" ca="1" si="137"/>
        <v>34026053.51307679</v>
      </c>
      <c r="M1840" s="460">
        <f t="shared" si="139"/>
        <v>0.05</v>
      </c>
      <c r="N1840" s="464">
        <f t="shared" si="140"/>
        <v>107050</v>
      </c>
    </row>
    <row r="1841" spans="7:14" ht="11.25" customHeight="1" x14ac:dyDescent="0.3">
      <c r="G1841" s="459"/>
      <c r="H1841" s="459">
        <v>1834</v>
      </c>
      <c r="I1841" s="444">
        <f t="shared" ca="1" si="138"/>
        <v>34026053.51307679</v>
      </c>
      <c r="J1841" s="444">
        <f t="array" ref="J1841">IFERROR(INDEX('Retirement Calculator'!J:J,MATCH('Isaac 401k'!N1841,'Retirement Calculator'!A:A,0),0),0)</f>
        <v>0</v>
      </c>
      <c r="K1841" s="444">
        <f t="shared" ca="1" si="136"/>
        <v>141775.2229711533</v>
      </c>
      <c r="L1841" s="444">
        <f t="shared" ca="1" si="137"/>
        <v>34167828.736047946</v>
      </c>
      <c r="M1841" s="460">
        <f t="shared" si="139"/>
        <v>0.05</v>
      </c>
      <c r="N1841" s="464">
        <f t="shared" si="140"/>
        <v>107078</v>
      </c>
    </row>
    <row r="1842" spans="7:14" ht="11.25" customHeight="1" x14ac:dyDescent="0.3">
      <c r="G1842" s="459"/>
      <c r="H1842" s="459">
        <v>1835</v>
      </c>
      <c r="I1842" s="444">
        <f t="shared" ca="1" si="138"/>
        <v>34167828.736047946</v>
      </c>
      <c r="J1842" s="444">
        <f t="array" ref="J1842">IFERROR(INDEX('Retirement Calculator'!J:J,MATCH('Isaac 401k'!N1842,'Retirement Calculator'!A:A,0),0),0)</f>
        <v>0</v>
      </c>
      <c r="K1842" s="444">
        <f t="shared" ca="1" si="136"/>
        <v>142365.95306686644</v>
      </c>
      <c r="L1842" s="444">
        <f t="shared" ca="1" si="137"/>
        <v>34310194.689114809</v>
      </c>
      <c r="M1842" s="460">
        <f t="shared" si="139"/>
        <v>0.05</v>
      </c>
      <c r="N1842" s="464">
        <f t="shared" si="140"/>
        <v>107109</v>
      </c>
    </row>
    <row r="1843" spans="7:14" ht="11.25" customHeight="1" x14ac:dyDescent="0.3">
      <c r="G1843" s="459"/>
      <c r="H1843" s="459">
        <v>1836</v>
      </c>
      <c r="I1843" s="444">
        <f t="shared" ca="1" si="138"/>
        <v>34310194.689114809</v>
      </c>
      <c r="J1843" s="444">
        <f t="array" ref="J1843">IFERROR(INDEX('Retirement Calculator'!J:J,MATCH('Isaac 401k'!N1843,'Retirement Calculator'!A:A,0),0),0)</f>
        <v>0</v>
      </c>
      <c r="K1843" s="444">
        <f t="shared" ca="1" si="136"/>
        <v>142959.14453797837</v>
      </c>
      <c r="L1843" s="444">
        <f t="shared" ca="1" si="137"/>
        <v>34453153.833652787</v>
      </c>
      <c r="M1843" s="460">
        <f t="shared" si="139"/>
        <v>0.05</v>
      </c>
      <c r="N1843" s="464">
        <f t="shared" si="140"/>
        <v>107139</v>
      </c>
    </row>
    <row r="1844" spans="7:14" ht="11.25" customHeight="1" x14ac:dyDescent="0.3">
      <c r="G1844" s="459"/>
      <c r="H1844" s="459">
        <v>1837</v>
      </c>
      <c r="I1844" s="444">
        <f t="shared" ca="1" si="138"/>
        <v>34453153.833652787</v>
      </c>
      <c r="J1844" s="444">
        <f t="array" ref="J1844">IFERROR(INDEX('Retirement Calculator'!J:J,MATCH('Isaac 401k'!N1844,'Retirement Calculator'!A:A,0),0),0)</f>
        <v>0</v>
      </c>
      <c r="K1844" s="444">
        <f t="shared" ca="1" si="136"/>
        <v>143554.80764021995</v>
      </c>
      <c r="L1844" s="444">
        <f t="shared" ca="1" si="137"/>
        <v>34596708.641293004</v>
      </c>
      <c r="M1844" s="460">
        <f t="shared" si="139"/>
        <v>0.05</v>
      </c>
      <c r="N1844" s="464">
        <f t="shared" si="140"/>
        <v>107170</v>
      </c>
    </row>
    <row r="1845" spans="7:14" ht="11.25" customHeight="1" x14ac:dyDescent="0.3">
      <c r="G1845" s="459"/>
      <c r="H1845" s="459">
        <v>1838</v>
      </c>
      <c r="I1845" s="444">
        <f t="shared" ca="1" si="138"/>
        <v>34596708.641293004</v>
      </c>
      <c r="J1845" s="444">
        <f t="array" ref="J1845">IFERROR(INDEX('Retirement Calculator'!J:J,MATCH('Isaac 401k'!N1845,'Retirement Calculator'!A:A,0),0),0)</f>
        <v>0</v>
      </c>
      <c r="K1845" s="444">
        <f t="shared" ca="1" si="136"/>
        <v>144152.95267205418</v>
      </c>
      <c r="L1845" s="444">
        <f t="shared" ca="1" si="137"/>
        <v>34740861.593965061</v>
      </c>
      <c r="M1845" s="460">
        <f t="shared" si="139"/>
        <v>0.05</v>
      </c>
      <c r="N1845" s="464">
        <f t="shared" si="140"/>
        <v>107200</v>
      </c>
    </row>
    <row r="1846" spans="7:14" ht="11.25" customHeight="1" x14ac:dyDescent="0.3">
      <c r="G1846" s="459"/>
      <c r="H1846" s="459">
        <v>1839</v>
      </c>
      <c r="I1846" s="444">
        <f t="shared" ca="1" si="138"/>
        <v>34740861.593965061</v>
      </c>
      <c r="J1846" s="444">
        <f t="array" ref="J1846">IFERROR(INDEX('Retirement Calculator'!J:J,MATCH('Isaac 401k'!N1846,'Retirement Calculator'!A:A,0),0),0)</f>
        <v>0</v>
      </c>
      <c r="K1846" s="444">
        <f t="shared" ca="1" si="136"/>
        <v>144753.58997485443</v>
      </c>
      <c r="L1846" s="444">
        <f t="shared" ca="1" si="137"/>
        <v>34885615.183939919</v>
      </c>
      <c r="M1846" s="460">
        <f t="shared" si="139"/>
        <v>0.05</v>
      </c>
      <c r="N1846" s="464">
        <f t="shared" si="140"/>
        <v>107231</v>
      </c>
    </row>
    <row r="1847" spans="7:14" ht="11.25" customHeight="1" x14ac:dyDescent="0.3">
      <c r="G1847" s="459"/>
      <c r="H1847" s="459">
        <v>1840</v>
      </c>
      <c r="I1847" s="444">
        <f t="shared" ca="1" si="138"/>
        <v>34885615.183939919</v>
      </c>
      <c r="J1847" s="444">
        <f t="array" ref="J1847">IFERROR(INDEX('Retirement Calculator'!J:J,MATCH('Isaac 401k'!N1847,'Retirement Calculator'!A:A,0),0),0)</f>
        <v>0</v>
      </c>
      <c r="K1847" s="444">
        <f t="shared" ca="1" si="136"/>
        <v>145356.729933083</v>
      </c>
      <c r="L1847" s="444">
        <f t="shared" ca="1" si="137"/>
        <v>35030971.913873002</v>
      </c>
      <c r="M1847" s="460">
        <f t="shared" si="139"/>
        <v>0.05</v>
      </c>
      <c r="N1847" s="464">
        <f t="shared" si="140"/>
        <v>107262</v>
      </c>
    </row>
    <row r="1848" spans="7:14" ht="11.25" customHeight="1" x14ac:dyDescent="0.3">
      <c r="G1848" s="459"/>
      <c r="H1848" s="459">
        <v>1841</v>
      </c>
      <c r="I1848" s="444">
        <f t="shared" ca="1" si="138"/>
        <v>35030971.913873002</v>
      </c>
      <c r="J1848" s="444">
        <f t="array" ref="J1848">IFERROR(INDEX('Retirement Calculator'!J:J,MATCH('Isaac 401k'!N1848,'Retirement Calculator'!A:A,0),0),0)</f>
        <v>0</v>
      </c>
      <c r="K1848" s="444">
        <f t="shared" ca="1" si="136"/>
        <v>145962.38297447085</v>
      </c>
      <c r="L1848" s="444">
        <f t="shared" ca="1" si="137"/>
        <v>35176934.29684747</v>
      </c>
      <c r="M1848" s="460">
        <f t="shared" si="139"/>
        <v>0.05</v>
      </c>
      <c r="N1848" s="464">
        <f t="shared" si="140"/>
        <v>107292</v>
      </c>
    </row>
    <row r="1849" spans="7:14" ht="11.25" customHeight="1" x14ac:dyDescent="0.3">
      <c r="G1849" s="459"/>
      <c r="H1849" s="459">
        <v>1842</v>
      </c>
      <c r="I1849" s="444">
        <f t="shared" ca="1" si="138"/>
        <v>35176934.29684747</v>
      </c>
      <c r="J1849" s="444">
        <f t="array" ref="J1849">IFERROR(INDEX('Retirement Calculator'!J:J,MATCH('Isaac 401k'!N1849,'Retirement Calculator'!A:A,0),0),0)</f>
        <v>0</v>
      </c>
      <c r="K1849" s="444">
        <f t="shared" ca="1" si="136"/>
        <v>146570.5595701978</v>
      </c>
      <c r="L1849" s="444">
        <f t="shared" ca="1" si="137"/>
        <v>35323504.856417671</v>
      </c>
      <c r="M1849" s="460">
        <f t="shared" si="139"/>
        <v>0.05</v>
      </c>
      <c r="N1849" s="464">
        <f t="shared" si="140"/>
        <v>107323</v>
      </c>
    </row>
    <row r="1850" spans="7:14" ht="11.25" customHeight="1" x14ac:dyDescent="0.3">
      <c r="G1850" s="459"/>
      <c r="H1850" s="459">
        <v>1843</v>
      </c>
      <c r="I1850" s="444">
        <f t="shared" ca="1" si="138"/>
        <v>35323504.856417671</v>
      </c>
      <c r="J1850" s="444">
        <f t="array" ref="J1850">IFERROR(INDEX('Retirement Calculator'!J:J,MATCH('Isaac 401k'!N1850,'Retirement Calculator'!A:A,0),0),0)</f>
        <v>0</v>
      </c>
      <c r="K1850" s="444">
        <f t="shared" ca="1" si="136"/>
        <v>147181.27023507364</v>
      </c>
      <c r="L1850" s="444">
        <f t="shared" ca="1" si="137"/>
        <v>35470686.126652747</v>
      </c>
      <c r="M1850" s="460">
        <f t="shared" si="139"/>
        <v>0.05</v>
      </c>
      <c r="N1850" s="464">
        <f t="shared" si="140"/>
        <v>107353</v>
      </c>
    </row>
    <row r="1851" spans="7:14" ht="11.25" customHeight="1" x14ac:dyDescent="0.3">
      <c r="G1851" s="459"/>
      <c r="H1851" s="459">
        <v>1844</v>
      </c>
      <c r="I1851" s="444">
        <f t="shared" ca="1" si="138"/>
        <v>35470686.126652747</v>
      </c>
      <c r="J1851" s="444">
        <f t="array" ref="J1851">IFERROR(INDEX('Retirement Calculator'!J:J,MATCH('Isaac 401k'!N1851,'Retirement Calculator'!A:A,0),0),0)</f>
        <v>0</v>
      </c>
      <c r="K1851" s="444">
        <f t="shared" ca="1" si="136"/>
        <v>147794.52552771979</v>
      </c>
      <c r="L1851" s="444">
        <f t="shared" ca="1" si="137"/>
        <v>35618480.652180471</v>
      </c>
      <c r="M1851" s="460">
        <f t="shared" si="139"/>
        <v>0.05</v>
      </c>
      <c r="N1851" s="464">
        <f t="shared" si="140"/>
        <v>107384</v>
      </c>
    </row>
    <row r="1852" spans="7:14" ht="11.25" customHeight="1" x14ac:dyDescent="0.3">
      <c r="G1852" s="459"/>
      <c r="H1852" s="459">
        <v>1845</v>
      </c>
      <c r="I1852" s="444">
        <f t="shared" ca="1" si="138"/>
        <v>35618480.652180471</v>
      </c>
      <c r="J1852" s="444">
        <f t="array" ref="J1852">IFERROR(INDEX('Retirement Calculator'!J:J,MATCH('Isaac 401k'!N1852,'Retirement Calculator'!A:A,0),0),0)</f>
        <v>0</v>
      </c>
      <c r="K1852" s="444">
        <f t="shared" ca="1" si="136"/>
        <v>148410.33605075197</v>
      </c>
      <c r="L1852" s="444">
        <f t="shared" ca="1" si="137"/>
        <v>35766890.988231219</v>
      </c>
      <c r="M1852" s="460">
        <f t="shared" si="139"/>
        <v>0.05</v>
      </c>
      <c r="N1852" s="464">
        <f t="shared" si="140"/>
        <v>107415</v>
      </c>
    </row>
    <row r="1853" spans="7:14" ht="11.25" customHeight="1" x14ac:dyDescent="0.3">
      <c r="G1853" s="459"/>
      <c r="H1853" s="459">
        <v>1846</v>
      </c>
      <c r="I1853" s="444">
        <f t="shared" ca="1" si="138"/>
        <v>35766890.988231219</v>
      </c>
      <c r="J1853" s="444">
        <f t="array" ref="J1853">IFERROR(INDEX('Retirement Calculator'!J:J,MATCH('Isaac 401k'!N1853,'Retirement Calculator'!A:A,0),0),0)</f>
        <v>0</v>
      </c>
      <c r="K1853" s="444">
        <f t="shared" ca="1" si="136"/>
        <v>149028.71245096342</v>
      </c>
      <c r="L1853" s="444">
        <f t="shared" ca="1" si="137"/>
        <v>35915919.700682186</v>
      </c>
      <c r="M1853" s="460">
        <f t="shared" si="139"/>
        <v>0.05</v>
      </c>
      <c r="N1853" s="464">
        <f t="shared" si="140"/>
        <v>107443</v>
      </c>
    </row>
    <row r="1854" spans="7:14" ht="11.25" customHeight="1" x14ac:dyDescent="0.3">
      <c r="G1854" s="459"/>
      <c r="H1854" s="459">
        <v>1847</v>
      </c>
      <c r="I1854" s="444">
        <f t="shared" ca="1" si="138"/>
        <v>35915919.700682186</v>
      </c>
      <c r="J1854" s="444">
        <f t="array" ref="J1854">IFERROR(INDEX('Retirement Calculator'!J:J,MATCH('Isaac 401k'!N1854,'Retirement Calculator'!A:A,0),0),0)</f>
        <v>0</v>
      </c>
      <c r="K1854" s="444">
        <f t="shared" ca="1" si="136"/>
        <v>149649.66541950911</v>
      </c>
      <c r="L1854" s="444">
        <f t="shared" ca="1" si="137"/>
        <v>36065569.366101697</v>
      </c>
      <c r="M1854" s="460">
        <f t="shared" si="139"/>
        <v>0.05</v>
      </c>
      <c r="N1854" s="464">
        <f t="shared" si="140"/>
        <v>107474</v>
      </c>
    </row>
    <row r="1855" spans="7:14" ht="11.25" customHeight="1" x14ac:dyDescent="0.3">
      <c r="G1855" s="459"/>
      <c r="H1855" s="459">
        <v>1848</v>
      </c>
      <c r="I1855" s="444">
        <f t="shared" ca="1" si="138"/>
        <v>36065569.366101697</v>
      </c>
      <c r="J1855" s="444">
        <f t="array" ref="J1855">IFERROR(INDEX('Retirement Calculator'!J:J,MATCH('Isaac 401k'!N1855,'Retirement Calculator'!A:A,0),0),0)</f>
        <v>0</v>
      </c>
      <c r="K1855" s="444">
        <f t="shared" ca="1" si="136"/>
        <v>150273.20569209041</v>
      </c>
      <c r="L1855" s="444">
        <f t="shared" ca="1" si="137"/>
        <v>36215842.571793787</v>
      </c>
      <c r="M1855" s="460">
        <f t="shared" si="139"/>
        <v>0.05</v>
      </c>
      <c r="N1855" s="464">
        <f t="shared" si="140"/>
        <v>107504</v>
      </c>
    </row>
    <row r="1856" spans="7:14" ht="11.25" customHeight="1" x14ac:dyDescent="0.3">
      <c r="G1856" s="459"/>
      <c r="H1856" s="459">
        <v>1849</v>
      </c>
      <c r="I1856" s="444">
        <f t="shared" ca="1" si="138"/>
        <v>36215842.571793787</v>
      </c>
      <c r="J1856" s="444">
        <f t="array" ref="J1856">IFERROR(INDEX('Retirement Calculator'!J:J,MATCH('Isaac 401k'!N1856,'Retirement Calculator'!A:A,0),0),0)</f>
        <v>0</v>
      </c>
      <c r="K1856" s="444">
        <f t="shared" ca="1" si="136"/>
        <v>150899.34404914078</v>
      </c>
      <c r="L1856" s="444">
        <f t="shared" ca="1" si="137"/>
        <v>36366741.915842928</v>
      </c>
      <c r="M1856" s="460">
        <f t="shared" si="139"/>
        <v>0.05</v>
      </c>
      <c r="N1856" s="464">
        <f t="shared" si="140"/>
        <v>107535</v>
      </c>
    </row>
    <row r="1857" spans="7:14" ht="11.25" customHeight="1" x14ac:dyDescent="0.3">
      <c r="G1857" s="459"/>
      <c r="H1857" s="459">
        <v>1850</v>
      </c>
      <c r="I1857" s="444">
        <f t="shared" ca="1" si="138"/>
        <v>36366741.915842928</v>
      </c>
      <c r="J1857" s="444">
        <f t="array" ref="J1857">IFERROR(INDEX('Retirement Calculator'!J:J,MATCH('Isaac 401k'!N1857,'Retirement Calculator'!A:A,0),0),0)</f>
        <v>0</v>
      </c>
      <c r="K1857" s="444">
        <f t="shared" ca="1" si="136"/>
        <v>151528.0913160122</v>
      </c>
      <c r="L1857" s="444">
        <f t="shared" ca="1" si="137"/>
        <v>36518270.007158943</v>
      </c>
      <c r="M1857" s="460">
        <f t="shared" si="139"/>
        <v>0.05</v>
      </c>
      <c r="N1857" s="464">
        <f t="shared" si="140"/>
        <v>107565</v>
      </c>
    </row>
    <row r="1858" spans="7:14" ht="11.25" customHeight="1" x14ac:dyDescent="0.3">
      <c r="G1858" s="459"/>
      <c r="H1858" s="459">
        <v>1851</v>
      </c>
      <c r="I1858" s="444">
        <f t="shared" ca="1" si="138"/>
        <v>36518270.007158943</v>
      </c>
      <c r="J1858" s="444">
        <f t="array" ref="J1858">IFERROR(INDEX('Retirement Calculator'!J:J,MATCH('Isaac 401k'!N1858,'Retirement Calculator'!A:A,0),0),0)</f>
        <v>0</v>
      </c>
      <c r="K1858" s="444">
        <f t="shared" ca="1" si="136"/>
        <v>152159.45836316227</v>
      </c>
      <c r="L1858" s="444">
        <f t="shared" ca="1" si="137"/>
        <v>36670429.465522103</v>
      </c>
      <c r="M1858" s="460">
        <f t="shared" si="139"/>
        <v>0.05</v>
      </c>
      <c r="N1858" s="464">
        <f t="shared" si="140"/>
        <v>107596</v>
      </c>
    </row>
    <row r="1859" spans="7:14" ht="11.25" customHeight="1" x14ac:dyDescent="0.3">
      <c r="G1859" s="459"/>
      <c r="H1859" s="459">
        <v>1852</v>
      </c>
      <c r="I1859" s="444">
        <f t="shared" ca="1" si="138"/>
        <v>36670429.465522103</v>
      </c>
      <c r="J1859" s="444">
        <f t="array" ref="J1859">IFERROR(INDEX('Retirement Calculator'!J:J,MATCH('Isaac 401k'!N1859,'Retirement Calculator'!A:A,0),0),0)</f>
        <v>0</v>
      </c>
      <c r="K1859" s="444">
        <f t="shared" ca="1" si="136"/>
        <v>152793.45610634208</v>
      </c>
      <c r="L1859" s="444">
        <f t="shared" ca="1" si="137"/>
        <v>36823222.921628445</v>
      </c>
      <c r="M1859" s="460">
        <f t="shared" si="139"/>
        <v>0.05</v>
      </c>
      <c r="N1859" s="464">
        <f t="shared" si="140"/>
        <v>107627</v>
      </c>
    </row>
    <row r="1860" spans="7:14" ht="11.25" customHeight="1" x14ac:dyDescent="0.3">
      <c r="G1860" s="459"/>
      <c r="H1860" s="459">
        <v>1853</v>
      </c>
      <c r="I1860" s="444">
        <f t="shared" ca="1" si="138"/>
        <v>36823222.921628445</v>
      </c>
      <c r="J1860" s="444">
        <f t="array" ref="J1860">IFERROR(INDEX('Retirement Calculator'!J:J,MATCH('Isaac 401k'!N1860,'Retirement Calculator'!A:A,0),0),0)</f>
        <v>0</v>
      </c>
      <c r="K1860" s="444">
        <f t="shared" ca="1" si="136"/>
        <v>153430.09550678518</v>
      </c>
      <c r="L1860" s="444">
        <f t="shared" ca="1" si="137"/>
        <v>36976653.017135233</v>
      </c>
      <c r="M1860" s="460">
        <f t="shared" si="139"/>
        <v>0.05</v>
      </c>
      <c r="N1860" s="464">
        <f t="shared" si="140"/>
        <v>107657</v>
      </c>
    </row>
    <row r="1861" spans="7:14" ht="11.25" customHeight="1" x14ac:dyDescent="0.3">
      <c r="G1861" s="459"/>
      <c r="H1861" s="459">
        <v>1854</v>
      </c>
      <c r="I1861" s="444">
        <f t="shared" ca="1" si="138"/>
        <v>36976653.017135233</v>
      </c>
      <c r="J1861" s="444">
        <f t="array" ref="J1861">IFERROR(INDEX('Retirement Calculator'!J:J,MATCH('Isaac 401k'!N1861,'Retirement Calculator'!A:A,0),0),0)</f>
        <v>0</v>
      </c>
      <c r="K1861" s="444">
        <f t="shared" ca="1" si="136"/>
        <v>154069.3875713968</v>
      </c>
      <c r="L1861" s="444">
        <f t="shared" ca="1" si="137"/>
        <v>37130722.404706627</v>
      </c>
      <c r="M1861" s="460">
        <f t="shared" si="139"/>
        <v>0.05</v>
      </c>
      <c r="N1861" s="464">
        <f t="shared" si="140"/>
        <v>107688</v>
      </c>
    </row>
    <row r="1862" spans="7:14" ht="11.25" customHeight="1" x14ac:dyDescent="0.3">
      <c r="G1862" s="459"/>
      <c r="H1862" s="459">
        <v>1855</v>
      </c>
      <c r="I1862" s="444">
        <f t="shared" ca="1" si="138"/>
        <v>37130722.404706627</v>
      </c>
      <c r="J1862" s="444">
        <f t="array" ref="J1862">IFERROR(INDEX('Retirement Calculator'!J:J,MATCH('Isaac 401k'!N1862,'Retirement Calculator'!A:A,0),0),0)</f>
        <v>0</v>
      </c>
      <c r="K1862" s="444">
        <f t="shared" ca="1" si="136"/>
        <v>154711.34335294427</v>
      </c>
      <c r="L1862" s="444">
        <f t="shared" ca="1" si="137"/>
        <v>37285433.748059571</v>
      </c>
      <c r="M1862" s="460">
        <f t="shared" si="139"/>
        <v>0.05</v>
      </c>
      <c r="N1862" s="464">
        <f t="shared" si="140"/>
        <v>107718</v>
      </c>
    </row>
    <row r="1863" spans="7:14" ht="11.25" customHeight="1" x14ac:dyDescent="0.3">
      <c r="G1863" s="459"/>
      <c r="H1863" s="459">
        <v>1856</v>
      </c>
      <c r="I1863" s="444">
        <f t="shared" ca="1" si="138"/>
        <v>37285433.748059571</v>
      </c>
      <c r="J1863" s="444">
        <f t="array" ref="J1863">IFERROR(INDEX('Retirement Calculator'!J:J,MATCH('Isaac 401k'!N1863,'Retirement Calculator'!A:A,0),0),0)</f>
        <v>0</v>
      </c>
      <c r="K1863" s="444">
        <f t="shared" ca="1" si="136"/>
        <v>155355.97395024821</v>
      </c>
      <c r="L1863" s="444">
        <f t="shared" ca="1" si="137"/>
        <v>37440789.722009823</v>
      </c>
      <c r="M1863" s="460">
        <f t="shared" si="139"/>
        <v>0.05</v>
      </c>
      <c r="N1863" s="464">
        <f t="shared" si="140"/>
        <v>107749</v>
      </c>
    </row>
    <row r="1864" spans="7:14" ht="11.25" customHeight="1" x14ac:dyDescent="0.3">
      <c r="G1864" s="459"/>
      <c r="H1864" s="459">
        <v>1857</v>
      </c>
      <c r="I1864" s="444">
        <f t="shared" ca="1" si="138"/>
        <v>37440789.722009823</v>
      </c>
      <c r="J1864" s="444">
        <f t="array" ref="J1864">IFERROR(INDEX('Retirement Calculator'!J:J,MATCH('Isaac 401k'!N1864,'Retirement Calculator'!A:A,0),0),0)</f>
        <v>0</v>
      </c>
      <c r="K1864" s="444">
        <f t="shared" ca="1" si="136"/>
        <v>156003.29050837425</v>
      </c>
      <c r="L1864" s="444">
        <f t="shared" ca="1" si="137"/>
        <v>37596793.012518197</v>
      </c>
      <c r="M1864" s="460">
        <f t="shared" si="139"/>
        <v>0.05</v>
      </c>
      <c r="N1864" s="464">
        <f t="shared" si="140"/>
        <v>107780</v>
      </c>
    </row>
    <row r="1865" spans="7:14" ht="11.25" customHeight="1" x14ac:dyDescent="0.3">
      <c r="G1865" s="459"/>
      <c r="H1865" s="459">
        <v>1858</v>
      </c>
      <c r="I1865" s="444">
        <f t="shared" ca="1" si="138"/>
        <v>37596793.012518197</v>
      </c>
      <c r="J1865" s="444">
        <f t="array" ref="J1865">IFERROR(INDEX('Retirement Calculator'!J:J,MATCH('Isaac 401k'!N1865,'Retirement Calculator'!A:A,0),0),0)</f>
        <v>0</v>
      </c>
      <c r="K1865" s="444">
        <f t="shared" ca="1" si="136"/>
        <v>156653.30421882583</v>
      </c>
      <c r="L1865" s="444">
        <f t="shared" ca="1" si="137"/>
        <v>37753446.316737026</v>
      </c>
      <c r="M1865" s="460">
        <f t="shared" si="139"/>
        <v>0.05</v>
      </c>
      <c r="N1865" s="464">
        <f t="shared" si="140"/>
        <v>107808</v>
      </c>
    </row>
    <row r="1866" spans="7:14" ht="11.25" customHeight="1" x14ac:dyDescent="0.3">
      <c r="G1866" s="459"/>
      <c r="H1866" s="459">
        <v>1859</v>
      </c>
      <c r="I1866" s="444">
        <f t="shared" ca="1" si="138"/>
        <v>37753446.316737026</v>
      </c>
      <c r="J1866" s="444">
        <f t="array" ref="J1866">IFERROR(INDEX('Retirement Calculator'!J:J,MATCH('Isaac 401k'!N1866,'Retirement Calculator'!A:A,0),0),0)</f>
        <v>0</v>
      </c>
      <c r="K1866" s="444">
        <f t="shared" ca="1" si="136"/>
        <v>157306.0263197376</v>
      </c>
      <c r="L1866" s="444">
        <f t="shared" ca="1" si="137"/>
        <v>37910752.343056761</v>
      </c>
      <c r="M1866" s="460">
        <f t="shared" si="139"/>
        <v>0.05</v>
      </c>
      <c r="N1866" s="464">
        <f t="shared" si="140"/>
        <v>107839</v>
      </c>
    </row>
    <row r="1867" spans="7:14" ht="11.25" customHeight="1" x14ac:dyDescent="0.3">
      <c r="G1867" s="459"/>
      <c r="H1867" s="459">
        <v>1860</v>
      </c>
      <c r="I1867" s="444">
        <f t="shared" ca="1" si="138"/>
        <v>37910752.343056761</v>
      </c>
      <c r="J1867" s="444">
        <f t="array" ref="J1867">IFERROR(INDEX('Retirement Calculator'!J:J,MATCH('Isaac 401k'!N1867,'Retirement Calculator'!A:A,0),0),0)</f>
        <v>0</v>
      </c>
      <c r="K1867" s="444">
        <f t="shared" ca="1" si="136"/>
        <v>157961.46809606985</v>
      </c>
      <c r="L1867" s="444">
        <f t="shared" ca="1" si="137"/>
        <v>38068713.811152831</v>
      </c>
      <c r="M1867" s="460">
        <f t="shared" si="139"/>
        <v>0.05</v>
      </c>
      <c r="N1867" s="464">
        <f t="shared" si="140"/>
        <v>107869</v>
      </c>
    </row>
    <row r="1868" spans="7:14" ht="11.25" customHeight="1" x14ac:dyDescent="0.3">
      <c r="G1868" s="459"/>
      <c r="H1868" s="459">
        <v>1861</v>
      </c>
      <c r="I1868" s="444">
        <f t="shared" ca="1" si="138"/>
        <v>38068713.811152831</v>
      </c>
      <c r="J1868" s="444">
        <f t="array" ref="J1868">IFERROR(INDEX('Retirement Calculator'!J:J,MATCH('Isaac 401k'!N1868,'Retirement Calculator'!A:A,0),0),0)</f>
        <v>0</v>
      </c>
      <c r="K1868" s="444">
        <f t="shared" ca="1" si="136"/>
        <v>158619.64087980345</v>
      </c>
      <c r="L1868" s="444">
        <f t="shared" ca="1" si="137"/>
        <v>38227333.452032633</v>
      </c>
      <c r="M1868" s="460">
        <f t="shared" si="139"/>
        <v>0.05</v>
      </c>
      <c r="N1868" s="464">
        <f t="shared" si="140"/>
        <v>107900</v>
      </c>
    </row>
    <row r="1869" spans="7:14" ht="11.25" customHeight="1" x14ac:dyDescent="0.3">
      <c r="G1869" s="459"/>
      <c r="H1869" s="459">
        <v>1862</v>
      </c>
      <c r="I1869" s="444">
        <f t="shared" ca="1" si="138"/>
        <v>38227333.452032633</v>
      </c>
      <c r="J1869" s="444">
        <f t="array" ref="J1869">IFERROR(INDEX('Retirement Calculator'!J:J,MATCH('Isaac 401k'!N1869,'Retirement Calculator'!A:A,0),0),0)</f>
        <v>0</v>
      </c>
      <c r="K1869" s="444">
        <f t="shared" ca="1" si="136"/>
        <v>159280.55605013596</v>
      </c>
      <c r="L1869" s="444">
        <f t="shared" ca="1" si="137"/>
        <v>38386614.00808277</v>
      </c>
      <c r="M1869" s="460">
        <f t="shared" si="139"/>
        <v>0.05</v>
      </c>
      <c r="N1869" s="464">
        <f t="shared" si="140"/>
        <v>107930</v>
      </c>
    </row>
    <row r="1870" spans="7:14" ht="11.25" customHeight="1" x14ac:dyDescent="0.3">
      <c r="G1870" s="459"/>
      <c r="H1870" s="459">
        <v>1863</v>
      </c>
      <c r="I1870" s="444">
        <f t="shared" ca="1" si="138"/>
        <v>38386614.00808277</v>
      </c>
      <c r="J1870" s="444">
        <f t="array" ref="J1870">IFERROR(INDEX('Retirement Calculator'!J:J,MATCH('Isaac 401k'!N1870,'Retirement Calculator'!A:A,0),0),0)</f>
        <v>0</v>
      </c>
      <c r="K1870" s="444">
        <f t="shared" ca="1" si="136"/>
        <v>159944.2250336782</v>
      </c>
      <c r="L1870" s="444">
        <f t="shared" ca="1" si="137"/>
        <v>38546558.233116448</v>
      </c>
      <c r="M1870" s="460">
        <f t="shared" si="139"/>
        <v>0.05</v>
      </c>
      <c r="N1870" s="464">
        <f t="shared" si="140"/>
        <v>107961</v>
      </c>
    </row>
    <row r="1871" spans="7:14" ht="11.25" customHeight="1" x14ac:dyDescent="0.3">
      <c r="G1871" s="459"/>
      <c r="H1871" s="459">
        <v>1864</v>
      </c>
      <c r="I1871" s="444">
        <f t="shared" ca="1" si="138"/>
        <v>38546558.233116448</v>
      </c>
      <c r="J1871" s="444">
        <f t="array" ref="J1871">IFERROR(INDEX('Retirement Calculator'!J:J,MATCH('Isaac 401k'!N1871,'Retirement Calculator'!A:A,0),0),0)</f>
        <v>0</v>
      </c>
      <c r="K1871" s="444">
        <f t="shared" ca="1" si="136"/>
        <v>160610.65930465187</v>
      </c>
      <c r="L1871" s="444">
        <f t="shared" ca="1" si="137"/>
        <v>38707168.892421097</v>
      </c>
      <c r="M1871" s="460">
        <f t="shared" si="139"/>
        <v>0.05</v>
      </c>
      <c r="N1871" s="464">
        <f t="shared" si="140"/>
        <v>107992</v>
      </c>
    </row>
    <row r="1872" spans="7:14" ht="11.25" customHeight="1" x14ac:dyDescent="0.3">
      <c r="G1872" s="459"/>
      <c r="H1872" s="459">
        <v>1865</v>
      </c>
      <c r="I1872" s="444">
        <f t="shared" ca="1" si="138"/>
        <v>38707168.892421097</v>
      </c>
      <c r="J1872" s="444">
        <f t="array" ref="J1872">IFERROR(INDEX('Retirement Calculator'!J:J,MATCH('Isaac 401k'!N1872,'Retirement Calculator'!A:A,0),0),0)</f>
        <v>0</v>
      </c>
      <c r="K1872" s="444">
        <f t="shared" ca="1" si="136"/>
        <v>161279.87038508791</v>
      </c>
      <c r="L1872" s="444">
        <f t="shared" ca="1" si="137"/>
        <v>38868448.762806185</v>
      </c>
      <c r="M1872" s="460">
        <f t="shared" si="139"/>
        <v>0.05</v>
      </c>
      <c r="N1872" s="464">
        <f t="shared" si="140"/>
        <v>108022</v>
      </c>
    </row>
    <row r="1873" spans="7:14" ht="11.25" customHeight="1" x14ac:dyDescent="0.3">
      <c r="G1873" s="459"/>
      <c r="H1873" s="459">
        <v>1866</v>
      </c>
      <c r="I1873" s="444">
        <f t="shared" ca="1" si="138"/>
        <v>38868448.762806185</v>
      </c>
      <c r="J1873" s="444">
        <f t="array" ref="J1873">IFERROR(INDEX('Retirement Calculator'!J:J,MATCH('Isaac 401k'!N1873,'Retirement Calculator'!A:A,0),0),0)</f>
        <v>0</v>
      </c>
      <c r="K1873" s="444">
        <f t="shared" ca="1" si="136"/>
        <v>161951.86984502577</v>
      </c>
      <c r="L1873" s="444">
        <f t="shared" ca="1" si="137"/>
        <v>39030400.63265121</v>
      </c>
      <c r="M1873" s="460">
        <f t="shared" si="139"/>
        <v>0.05</v>
      </c>
      <c r="N1873" s="464">
        <f t="shared" si="140"/>
        <v>108053</v>
      </c>
    </row>
    <row r="1874" spans="7:14" ht="11.25" customHeight="1" x14ac:dyDescent="0.3">
      <c r="G1874" s="459"/>
      <c r="H1874" s="459">
        <v>1867</v>
      </c>
      <c r="I1874" s="444">
        <f t="shared" ca="1" si="138"/>
        <v>39030400.63265121</v>
      </c>
      <c r="J1874" s="444">
        <f t="array" ref="J1874">IFERROR(INDEX('Retirement Calculator'!J:J,MATCH('Isaac 401k'!N1874,'Retirement Calculator'!A:A,0),0),0)</f>
        <v>0</v>
      </c>
      <c r="K1874" s="444">
        <f t="shared" ca="1" si="136"/>
        <v>162626.66930271336</v>
      </c>
      <c r="L1874" s="444">
        <f t="shared" ca="1" si="137"/>
        <v>39193027.301953927</v>
      </c>
      <c r="M1874" s="460">
        <f t="shared" si="139"/>
        <v>0.05</v>
      </c>
      <c r="N1874" s="464">
        <f t="shared" si="140"/>
        <v>108083</v>
      </c>
    </row>
    <row r="1875" spans="7:14" ht="11.25" customHeight="1" x14ac:dyDescent="0.3">
      <c r="G1875" s="459"/>
      <c r="H1875" s="459">
        <v>1868</v>
      </c>
      <c r="I1875" s="444">
        <f t="shared" ca="1" si="138"/>
        <v>39193027.301953927</v>
      </c>
      <c r="J1875" s="444">
        <f t="array" ref="J1875">IFERROR(INDEX('Retirement Calculator'!J:J,MATCH('Isaac 401k'!N1875,'Retirement Calculator'!A:A,0),0),0)</f>
        <v>0</v>
      </c>
      <c r="K1875" s="444">
        <f t="shared" ca="1" si="136"/>
        <v>163304.28042480804</v>
      </c>
      <c r="L1875" s="444">
        <f t="shared" ca="1" si="137"/>
        <v>39356331.582378738</v>
      </c>
      <c r="M1875" s="460">
        <f t="shared" si="139"/>
        <v>0.05</v>
      </c>
      <c r="N1875" s="464">
        <f t="shared" si="140"/>
        <v>108114</v>
      </c>
    </row>
    <row r="1876" spans="7:14" ht="11.25" customHeight="1" x14ac:dyDescent="0.3">
      <c r="G1876" s="459"/>
      <c r="H1876" s="459">
        <v>1869</v>
      </c>
      <c r="I1876" s="444">
        <f t="shared" ca="1" si="138"/>
        <v>39356331.582378738</v>
      </c>
      <c r="J1876" s="444">
        <f t="array" ref="J1876">IFERROR(INDEX('Retirement Calculator'!J:J,MATCH('Isaac 401k'!N1876,'Retirement Calculator'!A:A,0),0),0)</f>
        <v>0</v>
      </c>
      <c r="K1876" s="444">
        <f t="shared" ca="1" si="136"/>
        <v>163984.71492657808</v>
      </c>
      <c r="L1876" s="444">
        <f t="shared" ca="1" si="137"/>
        <v>39520316.297305316</v>
      </c>
      <c r="M1876" s="460">
        <f t="shared" si="139"/>
        <v>0.05</v>
      </c>
      <c r="N1876" s="464">
        <f t="shared" si="140"/>
        <v>108145</v>
      </c>
    </row>
    <row r="1877" spans="7:14" ht="11.25" customHeight="1" x14ac:dyDescent="0.3">
      <c r="G1877" s="459"/>
      <c r="H1877" s="459">
        <v>1870</v>
      </c>
      <c r="I1877" s="444">
        <f t="shared" ca="1" si="138"/>
        <v>39520316.297305316</v>
      </c>
      <c r="J1877" s="444">
        <f t="array" ref="J1877">IFERROR(INDEX('Retirement Calculator'!J:J,MATCH('Isaac 401k'!N1877,'Retirement Calculator'!A:A,0),0),0)</f>
        <v>0</v>
      </c>
      <c r="K1877" s="444">
        <f t="shared" ca="1" si="136"/>
        <v>164667.98457210549</v>
      </c>
      <c r="L1877" s="444">
        <f t="shared" ca="1" si="137"/>
        <v>39684984.281877421</v>
      </c>
      <c r="M1877" s="460">
        <f t="shared" si="139"/>
        <v>0.05</v>
      </c>
      <c r="N1877" s="464">
        <f t="shared" si="140"/>
        <v>108174</v>
      </c>
    </row>
    <row r="1878" spans="7:14" ht="11.25" customHeight="1" x14ac:dyDescent="0.3">
      <c r="G1878" s="459"/>
      <c r="H1878" s="459">
        <v>1871</v>
      </c>
      <c r="I1878" s="444">
        <f t="shared" ca="1" si="138"/>
        <v>39684984.281877421</v>
      </c>
      <c r="J1878" s="444">
        <f t="array" ref="J1878">IFERROR(INDEX('Retirement Calculator'!J:J,MATCH('Isaac 401k'!N1878,'Retirement Calculator'!A:A,0),0),0)</f>
        <v>0</v>
      </c>
      <c r="K1878" s="444">
        <f t="shared" ca="1" si="136"/>
        <v>165354.10117448925</v>
      </c>
      <c r="L1878" s="444">
        <f t="shared" ca="1" si="137"/>
        <v>39850338.38305191</v>
      </c>
      <c r="M1878" s="460">
        <f t="shared" si="139"/>
        <v>0.05</v>
      </c>
      <c r="N1878" s="464">
        <f t="shared" si="140"/>
        <v>108205</v>
      </c>
    </row>
    <row r="1879" spans="7:14" ht="11.25" customHeight="1" x14ac:dyDescent="0.3">
      <c r="G1879" s="459"/>
      <c r="H1879" s="459">
        <v>1872</v>
      </c>
      <c r="I1879" s="444">
        <f t="shared" ca="1" si="138"/>
        <v>39850338.38305191</v>
      </c>
      <c r="J1879" s="444">
        <f t="array" ref="J1879">IFERROR(INDEX('Retirement Calculator'!J:J,MATCH('Isaac 401k'!N1879,'Retirement Calculator'!A:A,0),0),0)</f>
        <v>0</v>
      </c>
      <c r="K1879" s="444">
        <f t="shared" ca="1" si="136"/>
        <v>166043.07659604962</v>
      </c>
      <c r="L1879" s="444">
        <f t="shared" ca="1" si="137"/>
        <v>40016381.459647961</v>
      </c>
      <c r="M1879" s="460">
        <f t="shared" si="139"/>
        <v>0.05</v>
      </c>
      <c r="N1879" s="464">
        <f t="shared" si="140"/>
        <v>108235</v>
      </c>
    </row>
    <row r="1880" spans="7:14" ht="11.25" customHeight="1" x14ac:dyDescent="0.3">
      <c r="G1880" s="459"/>
      <c r="H1880" s="459">
        <v>1873</v>
      </c>
      <c r="I1880" s="444">
        <f t="shared" ca="1" si="138"/>
        <v>40016381.459647961</v>
      </c>
      <c r="J1880" s="444">
        <f t="array" ref="J1880">IFERROR(INDEX('Retirement Calculator'!J:J,MATCH('Isaac 401k'!N1880,'Retirement Calculator'!A:A,0),0),0)</f>
        <v>0</v>
      </c>
      <c r="K1880" s="444">
        <f t="shared" ca="1" si="136"/>
        <v>166734.92274853316</v>
      </c>
      <c r="L1880" s="444">
        <f t="shared" ca="1" si="137"/>
        <v>40183116.382396497</v>
      </c>
      <c r="M1880" s="460">
        <f t="shared" si="139"/>
        <v>0.05</v>
      </c>
      <c r="N1880" s="464">
        <f t="shared" si="140"/>
        <v>108266</v>
      </c>
    </row>
    <row r="1881" spans="7:14" ht="11.25" customHeight="1" x14ac:dyDescent="0.3">
      <c r="G1881" s="459"/>
      <c r="H1881" s="459">
        <v>1874</v>
      </c>
      <c r="I1881" s="444">
        <f t="shared" ca="1" si="138"/>
        <v>40183116.382396497</v>
      </c>
      <c r="J1881" s="444">
        <f t="array" ref="J1881">IFERROR(INDEX('Retirement Calculator'!J:J,MATCH('Isaac 401k'!N1881,'Retirement Calculator'!A:A,0),0),0)</f>
        <v>0</v>
      </c>
      <c r="K1881" s="444">
        <f t="shared" ca="1" si="136"/>
        <v>167429.65159331873</v>
      </c>
      <c r="L1881" s="444">
        <f t="shared" ca="1" si="137"/>
        <v>40350546.033989817</v>
      </c>
      <c r="M1881" s="460">
        <f t="shared" si="139"/>
        <v>0.05</v>
      </c>
      <c r="N1881" s="464">
        <f t="shared" si="140"/>
        <v>108296</v>
      </c>
    </row>
    <row r="1882" spans="7:14" ht="11.25" customHeight="1" x14ac:dyDescent="0.3">
      <c r="G1882" s="459"/>
      <c r="H1882" s="459">
        <v>1875</v>
      </c>
      <c r="I1882" s="444">
        <f t="shared" ca="1" si="138"/>
        <v>40350546.033989817</v>
      </c>
      <c r="J1882" s="444">
        <f t="array" ref="J1882">IFERROR(INDEX('Retirement Calculator'!J:J,MATCH('Isaac 401k'!N1882,'Retirement Calculator'!A:A,0),0),0)</f>
        <v>0</v>
      </c>
      <c r="K1882" s="444">
        <f t="shared" ca="1" si="136"/>
        <v>168127.27514162424</v>
      </c>
      <c r="L1882" s="444">
        <f t="shared" ca="1" si="137"/>
        <v>40518673.309131444</v>
      </c>
      <c r="M1882" s="460">
        <f t="shared" si="139"/>
        <v>0.05</v>
      </c>
      <c r="N1882" s="464">
        <f t="shared" si="140"/>
        <v>108327</v>
      </c>
    </row>
    <row r="1883" spans="7:14" ht="11.25" customHeight="1" x14ac:dyDescent="0.3">
      <c r="G1883" s="459"/>
      <c r="H1883" s="459">
        <v>1876</v>
      </c>
      <c r="I1883" s="444">
        <f t="shared" ca="1" si="138"/>
        <v>40518673.309131444</v>
      </c>
      <c r="J1883" s="444">
        <f t="array" ref="J1883">IFERROR(INDEX('Retirement Calculator'!J:J,MATCH('Isaac 401k'!N1883,'Retirement Calculator'!A:A,0),0),0)</f>
        <v>0</v>
      </c>
      <c r="K1883" s="444">
        <f t="shared" ca="1" si="136"/>
        <v>168827.80545471434</v>
      </c>
      <c r="L1883" s="444">
        <f t="shared" ca="1" si="137"/>
        <v>40687501.11458616</v>
      </c>
      <c r="M1883" s="460">
        <f t="shared" si="139"/>
        <v>0.05</v>
      </c>
      <c r="N1883" s="464">
        <f t="shared" si="140"/>
        <v>108358</v>
      </c>
    </row>
    <row r="1884" spans="7:14" ht="11.25" customHeight="1" x14ac:dyDescent="0.3">
      <c r="G1884" s="459"/>
      <c r="H1884" s="459">
        <v>1877</v>
      </c>
      <c r="I1884" s="444">
        <f t="shared" ca="1" si="138"/>
        <v>40687501.11458616</v>
      </c>
      <c r="J1884" s="444">
        <f t="array" ref="J1884">IFERROR(INDEX('Retirement Calculator'!J:J,MATCH('Isaac 401k'!N1884,'Retirement Calculator'!A:A,0),0),0)</f>
        <v>0</v>
      </c>
      <c r="K1884" s="444">
        <f t="shared" ca="1" si="136"/>
        <v>169531.25464410899</v>
      </c>
      <c r="L1884" s="444">
        <f t="shared" ca="1" si="137"/>
        <v>40857032.36923027</v>
      </c>
      <c r="M1884" s="460">
        <f t="shared" si="139"/>
        <v>0.05</v>
      </c>
      <c r="N1884" s="464">
        <f t="shared" si="140"/>
        <v>108388</v>
      </c>
    </row>
    <row r="1885" spans="7:14" ht="11.25" customHeight="1" x14ac:dyDescent="0.3">
      <c r="G1885" s="459"/>
      <c r="H1885" s="459">
        <v>1878</v>
      </c>
      <c r="I1885" s="444">
        <f t="shared" ca="1" si="138"/>
        <v>40857032.36923027</v>
      </c>
      <c r="J1885" s="444">
        <f t="array" ref="J1885">IFERROR(INDEX('Retirement Calculator'!J:J,MATCH('Isaac 401k'!N1885,'Retirement Calculator'!A:A,0),0),0)</f>
        <v>0</v>
      </c>
      <c r="K1885" s="444">
        <f t="shared" ca="1" si="136"/>
        <v>170237.6348717928</v>
      </c>
      <c r="L1885" s="444">
        <f t="shared" ca="1" si="137"/>
        <v>41027270.004102066</v>
      </c>
      <c r="M1885" s="460">
        <f t="shared" si="139"/>
        <v>0.05</v>
      </c>
      <c r="N1885" s="464">
        <f t="shared" si="140"/>
        <v>108419</v>
      </c>
    </row>
    <row r="1886" spans="7:14" ht="11.25" customHeight="1" x14ac:dyDescent="0.3">
      <c r="G1886" s="459"/>
      <c r="H1886" s="459">
        <v>1879</v>
      </c>
      <c r="I1886" s="444">
        <f t="shared" ca="1" si="138"/>
        <v>41027270.004102066</v>
      </c>
      <c r="J1886" s="444">
        <f t="array" ref="J1886">IFERROR(INDEX('Retirement Calculator'!J:J,MATCH('Isaac 401k'!N1886,'Retirement Calculator'!A:A,0),0),0)</f>
        <v>0</v>
      </c>
      <c r="K1886" s="444">
        <f t="shared" ca="1" si="136"/>
        <v>170946.95835042527</v>
      </c>
      <c r="L1886" s="444">
        <f t="shared" ca="1" si="137"/>
        <v>41198216.962452494</v>
      </c>
      <c r="M1886" s="460">
        <f t="shared" si="139"/>
        <v>0.05</v>
      </c>
      <c r="N1886" s="464">
        <f t="shared" si="140"/>
        <v>108449</v>
      </c>
    </row>
    <row r="1887" spans="7:14" ht="11.25" customHeight="1" x14ac:dyDescent="0.3">
      <c r="G1887" s="459"/>
      <c r="H1887" s="459">
        <v>1880</v>
      </c>
      <c r="I1887" s="444">
        <f t="shared" ca="1" si="138"/>
        <v>41198216.962452494</v>
      </c>
      <c r="J1887" s="444">
        <f t="array" ref="J1887">IFERROR(INDEX('Retirement Calculator'!J:J,MATCH('Isaac 401k'!N1887,'Retirement Calculator'!A:A,0),0),0)</f>
        <v>0</v>
      </c>
      <c r="K1887" s="444">
        <f t="shared" ca="1" si="136"/>
        <v>171659.23734355206</v>
      </c>
      <c r="L1887" s="444">
        <f t="shared" ca="1" si="137"/>
        <v>41369876.199796043</v>
      </c>
      <c r="M1887" s="460">
        <f t="shared" si="139"/>
        <v>0.05</v>
      </c>
      <c r="N1887" s="464">
        <f t="shared" si="140"/>
        <v>108480</v>
      </c>
    </row>
    <row r="1888" spans="7:14" ht="11.25" customHeight="1" x14ac:dyDescent="0.3">
      <c r="G1888" s="459"/>
      <c r="H1888" s="459">
        <v>1881</v>
      </c>
      <c r="I1888" s="444">
        <f t="shared" ca="1" si="138"/>
        <v>41369876.199796043</v>
      </c>
      <c r="J1888" s="444">
        <f t="array" ref="J1888">IFERROR(INDEX('Retirement Calculator'!J:J,MATCH('Isaac 401k'!N1888,'Retirement Calculator'!A:A,0),0),0)</f>
        <v>0</v>
      </c>
      <c r="K1888" s="444">
        <f t="shared" ca="1" si="136"/>
        <v>172374.48416581686</v>
      </c>
      <c r="L1888" s="444">
        <f t="shared" ca="1" si="137"/>
        <v>41542250.683961861</v>
      </c>
      <c r="M1888" s="460">
        <f t="shared" si="139"/>
        <v>0.05</v>
      </c>
      <c r="N1888" s="464">
        <f t="shared" si="140"/>
        <v>108511</v>
      </c>
    </row>
    <row r="1889" spans="7:14" ht="11.25" customHeight="1" x14ac:dyDescent="0.3">
      <c r="G1889" s="459"/>
      <c r="H1889" s="459">
        <v>1882</v>
      </c>
      <c r="I1889" s="444">
        <f t="shared" ca="1" si="138"/>
        <v>41542250.683961861</v>
      </c>
      <c r="J1889" s="444">
        <f t="array" ref="J1889">IFERROR(INDEX('Retirement Calculator'!J:J,MATCH('Isaac 401k'!N1889,'Retirement Calculator'!A:A,0),0),0)</f>
        <v>0</v>
      </c>
      <c r="K1889" s="444">
        <f t="shared" ca="1" si="136"/>
        <v>173092.71118317443</v>
      </c>
      <c r="L1889" s="444">
        <f t="shared" ca="1" si="137"/>
        <v>41715343.395145036</v>
      </c>
      <c r="M1889" s="460">
        <f t="shared" si="139"/>
        <v>0.05</v>
      </c>
      <c r="N1889" s="464">
        <f t="shared" si="140"/>
        <v>108539</v>
      </c>
    </row>
    <row r="1890" spans="7:14" ht="11.25" customHeight="1" x14ac:dyDescent="0.3">
      <c r="G1890" s="459"/>
      <c r="H1890" s="459">
        <v>1883</v>
      </c>
      <c r="I1890" s="444">
        <f t="shared" ca="1" si="138"/>
        <v>41715343.395145036</v>
      </c>
      <c r="J1890" s="444">
        <f t="array" ref="J1890">IFERROR(INDEX('Retirement Calculator'!J:J,MATCH('Isaac 401k'!N1890,'Retirement Calculator'!A:A,0),0),0)</f>
        <v>0</v>
      </c>
      <c r="K1890" s="444">
        <f t="shared" ca="1" si="136"/>
        <v>173813.93081310432</v>
      </c>
      <c r="L1890" s="444">
        <f t="shared" ca="1" si="137"/>
        <v>41889157.32595814</v>
      </c>
      <c r="M1890" s="460">
        <f t="shared" si="139"/>
        <v>0.05</v>
      </c>
      <c r="N1890" s="464">
        <f t="shared" si="140"/>
        <v>108570</v>
      </c>
    </row>
    <row r="1891" spans="7:14" ht="11.25" customHeight="1" x14ac:dyDescent="0.3">
      <c r="G1891" s="459"/>
      <c r="H1891" s="459">
        <v>1884</v>
      </c>
      <c r="I1891" s="444">
        <f t="shared" ca="1" si="138"/>
        <v>41889157.32595814</v>
      </c>
      <c r="J1891" s="444">
        <f t="array" ref="J1891">IFERROR(INDEX('Retirement Calculator'!J:J,MATCH('Isaac 401k'!N1891,'Retirement Calculator'!A:A,0),0),0)</f>
        <v>0</v>
      </c>
      <c r="K1891" s="444">
        <f t="shared" ca="1" si="136"/>
        <v>174538.15552482559</v>
      </c>
      <c r="L1891" s="444">
        <f t="shared" ca="1" si="137"/>
        <v>42063695.481482968</v>
      </c>
      <c r="M1891" s="460">
        <f t="shared" si="139"/>
        <v>0.05</v>
      </c>
      <c r="N1891" s="464">
        <f t="shared" si="140"/>
        <v>108600</v>
      </c>
    </row>
    <row r="1892" spans="7:14" ht="11.25" customHeight="1" x14ac:dyDescent="0.3">
      <c r="G1892" s="459"/>
      <c r="H1892" s="459">
        <v>1885</v>
      </c>
      <c r="I1892" s="444">
        <f t="shared" ca="1" si="138"/>
        <v>42063695.481482968</v>
      </c>
      <c r="J1892" s="444">
        <f t="array" ref="J1892">IFERROR(INDEX('Retirement Calculator'!J:J,MATCH('Isaac 401k'!N1892,'Retirement Calculator'!A:A,0),0),0)</f>
        <v>0</v>
      </c>
      <c r="K1892" s="444">
        <f t="shared" ca="1" si="136"/>
        <v>175265.39783951236</v>
      </c>
      <c r="L1892" s="444">
        <f t="shared" ca="1" si="137"/>
        <v>42238960.879322477</v>
      </c>
      <c r="M1892" s="460">
        <f t="shared" si="139"/>
        <v>0.05</v>
      </c>
      <c r="N1892" s="464">
        <f t="shared" si="140"/>
        <v>108631</v>
      </c>
    </row>
    <row r="1893" spans="7:14" ht="11.25" customHeight="1" x14ac:dyDescent="0.3">
      <c r="G1893" s="459"/>
      <c r="H1893" s="459">
        <v>1886</v>
      </c>
      <c r="I1893" s="444">
        <f t="shared" ca="1" si="138"/>
        <v>42238960.879322477</v>
      </c>
      <c r="J1893" s="444">
        <f t="array" ref="J1893">IFERROR(INDEX('Retirement Calculator'!J:J,MATCH('Isaac 401k'!N1893,'Retirement Calculator'!A:A,0),0),0)</f>
        <v>0</v>
      </c>
      <c r="K1893" s="444">
        <f t="shared" ca="1" si="136"/>
        <v>175995.67033051033</v>
      </c>
      <c r="L1893" s="444">
        <f t="shared" ca="1" si="137"/>
        <v>42414956.549652986</v>
      </c>
      <c r="M1893" s="460">
        <f t="shared" si="139"/>
        <v>0.05</v>
      </c>
      <c r="N1893" s="464">
        <f t="shared" si="140"/>
        <v>108661</v>
      </c>
    </row>
    <row r="1894" spans="7:14" ht="11.25" customHeight="1" x14ac:dyDescent="0.3">
      <c r="G1894" s="459"/>
      <c r="H1894" s="459">
        <v>1887</v>
      </c>
      <c r="I1894" s="444">
        <f t="shared" ca="1" si="138"/>
        <v>42414956.549652986</v>
      </c>
      <c r="J1894" s="444">
        <f t="array" ref="J1894">IFERROR(INDEX('Retirement Calculator'!J:J,MATCH('Isaac 401k'!N1894,'Retirement Calculator'!A:A,0),0),0)</f>
        <v>0</v>
      </c>
      <c r="K1894" s="444">
        <f t="shared" ca="1" si="136"/>
        <v>176728.98562355409</v>
      </c>
      <c r="L1894" s="444">
        <f t="shared" ca="1" si="137"/>
        <v>42591685.53527654</v>
      </c>
      <c r="M1894" s="460">
        <f t="shared" si="139"/>
        <v>0.05</v>
      </c>
      <c r="N1894" s="464">
        <f t="shared" si="140"/>
        <v>108692</v>
      </c>
    </row>
    <row r="1895" spans="7:14" ht="11.25" customHeight="1" x14ac:dyDescent="0.3">
      <c r="G1895" s="459"/>
      <c r="H1895" s="459">
        <v>1888</v>
      </c>
      <c r="I1895" s="444">
        <f t="shared" ca="1" si="138"/>
        <v>42591685.53527654</v>
      </c>
      <c r="J1895" s="444">
        <f t="array" ref="J1895">IFERROR(INDEX('Retirement Calculator'!J:J,MATCH('Isaac 401k'!N1895,'Retirement Calculator'!A:A,0),0),0)</f>
        <v>0</v>
      </c>
      <c r="K1895" s="444">
        <f t="shared" ca="1" si="136"/>
        <v>177465.35639698559</v>
      </c>
      <c r="L1895" s="444">
        <f t="shared" ca="1" si="137"/>
        <v>42769150.891673528</v>
      </c>
      <c r="M1895" s="460">
        <f t="shared" si="139"/>
        <v>0.05</v>
      </c>
      <c r="N1895" s="464">
        <f t="shared" si="140"/>
        <v>108723</v>
      </c>
    </row>
    <row r="1896" spans="7:14" ht="11.25" customHeight="1" x14ac:dyDescent="0.3">
      <c r="G1896" s="459"/>
      <c r="H1896" s="459">
        <v>1889</v>
      </c>
      <c r="I1896" s="444">
        <f t="shared" ca="1" si="138"/>
        <v>42769150.891673528</v>
      </c>
      <c r="J1896" s="444">
        <f t="array" ref="J1896">IFERROR(INDEX('Retirement Calculator'!J:J,MATCH('Isaac 401k'!N1896,'Retirement Calculator'!A:A,0),0),0)</f>
        <v>0</v>
      </c>
      <c r="K1896" s="444">
        <f t="shared" ca="1" si="136"/>
        <v>178204.79538197303</v>
      </c>
      <c r="L1896" s="444">
        <f t="shared" ca="1" si="137"/>
        <v>42947355.687055498</v>
      </c>
      <c r="M1896" s="460">
        <f t="shared" si="139"/>
        <v>0.05</v>
      </c>
      <c r="N1896" s="464">
        <f t="shared" si="140"/>
        <v>108753</v>
      </c>
    </row>
    <row r="1897" spans="7:14" ht="11.25" customHeight="1" x14ac:dyDescent="0.3">
      <c r="G1897" s="459"/>
      <c r="H1897" s="459">
        <v>1890</v>
      </c>
      <c r="I1897" s="444">
        <f t="shared" ca="1" si="138"/>
        <v>42947355.687055498</v>
      </c>
      <c r="J1897" s="444">
        <f t="array" ref="J1897">IFERROR(INDEX('Retirement Calculator'!J:J,MATCH('Isaac 401k'!N1897,'Retirement Calculator'!A:A,0),0),0)</f>
        <v>0</v>
      </c>
      <c r="K1897" s="444">
        <f t="shared" ca="1" si="136"/>
        <v>178947.31536273123</v>
      </c>
      <c r="L1897" s="444">
        <f t="shared" ca="1" si="137"/>
        <v>43126303.002418227</v>
      </c>
      <c r="M1897" s="460">
        <f t="shared" si="139"/>
        <v>0.05</v>
      </c>
      <c r="N1897" s="464">
        <f t="shared" si="140"/>
        <v>108784</v>
      </c>
    </row>
    <row r="1898" spans="7:14" ht="11.25" customHeight="1" x14ac:dyDescent="0.3">
      <c r="G1898" s="459"/>
      <c r="H1898" s="459">
        <v>1891</v>
      </c>
      <c r="I1898" s="444">
        <f t="shared" ca="1" si="138"/>
        <v>43126303.002418227</v>
      </c>
      <c r="J1898" s="444">
        <f t="array" ref="J1898">IFERROR(INDEX('Retirement Calculator'!J:J,MATCH('Isaac 401k'!N1898,'Retirement Calculator'!A:A,0),0),0)</f>
        <v>0</v>
      </c>
      <c r="K1898" s="444">
        <f t="shared" ca="1" si="136"/>
        <v>179692.92917674262</v>
      </c>
      <c r="L1898" s="444">
        <f t="shared" ca="1" si="137"/>
        <v>43305995.931594968</v>
      </c>
      <c r="M1898" s="460">
        <f t="shared" si="139"/>
        <v>0.05</v>
      </c>
      <c r="N1898" s="464">
        <f t="shared" si="140"/>
        <v>108814</v>
      </c>
    </row>
    <row r="1899" spans="7:14" ht="11.25" customHeight="1" x14ac:dyDescent="0.3">
      <c r="G1899" s="459"/>
      <c r="H1899" s="459">
        <v>1892</v>
      </c>
      <c r="I1899" s="444">
        <f t="shared" ca="1" si="138"/>
        <v>43305995.931594968</v>
      </c>
      <c r="J1899" s="444">
        <f t="array" ref="J1899">IFERROR(INDEX('Retirement Calculator'!J:J,MATCH('Isaac 401k'!N1899,'Retirement Calculator'!A:A,0),0),0)</f>
        <v>0</v>
      </c>
      <c r="K1899" s="444">
        <f t="shared" ca="1" si="136"/>
        <v>180441.64971497902</v>
      </c>
      <c r="L1899" s="444">
        <f t="shared" ca="1" si="137"/>
        <v>43486437.581309944</v>
      </c>
      <c r="M1899" s="460">
        <f t="shared" si="139"/>
        <v>0.05</v>
      </c>
      <c r="N1899" s="464">
        <f t="shared" si="140"/>
        <v>108845</v>
      </c>
    </row>
    <row r="1900" spans="7:14" ht="11.25" customHeight="1" x14ac:dyDescent="0.3">
      <c r="G1900" s="459"/>
      <c r="H1900" s="459">
        <v>1893</v>
      </c>
      <c r="I1900" s="444">
        <f t="shared" ca="1" si="138"/>
        <v>43486437.581309944</v>
      </c>
      <c r="J1900" s="444">
        <f t="array" ref="J1900">IFERROR(INDEX('Retirement Calculator'!J:J,MATCH('Isaac 401k'!N1900,'Retirement Calculator'!A:A,0),0),0)</f>
        <v>0</v>
      </c>
      <c r="K1900" s="444">
        <f t="shared" ca="1" si="136"/>
        <v>181193.48992212478</v>
      </c>
      <c r="L1900" s="444">
        <f t="shared" ca="1" si="137"/>
        <v>43667631.071232066</v>
      </c>
      <c r="M1900" s="460">
        <f t="shared" si="139"/>
        <v>0.05</v>
      </c>
      <c r="N1900" s="464">
        <f t="shared" si="140"/>
        <v>108876</v>
      </c>
    </row>
    <row r="1901" spans="7:14" ht="11.25" customHeight="1" x14ac:dyDescent="0.3">
      <c r="G1901" s="459"/>
      <c r="H1901" s="459">
        <v>1894</v>
      </c>
      <c r="I1901" s="444">
        <f t="shared" ca="1" si="138"/>
        <v>43667631.071232066</v>
      </c>
      <c r="J1901" s="444">
        <f t="array" ref="J1901">IFERROR(INDEX('Retirement Calculator'!J:J,MATCH('Isaac 401k'!N1901,'Retirement Calculator'!A:A,0),0),0)</f>
        <v>0</v>
      </c>
      <c r="K1901" s="444">
        <f t="shared" ca="1" si="136"/>
        <v>181948.46279680028</v>
      </c>
      <c r="L1901" s="444">
        <f t="shared" ca="1" si="137"/>
        <v>43849579.534028865</v>
      </c>
      <c r="M1901" s="460">
        <f t="shared" si="139"/>
        <v>0.05</v>
      </c>
      <c r="N1901" s="464">
        <f t="shared" si="140"/>
        <v>108904</v>
      </c>
    </row>
    <row r="1902" spans="7:14" ht="11.25" customHeight="1" x14ac:dyDescent="0.3">
      <c r="G1902" s="459"/>
      <c r="H1902" s="459">
        <v>1895</v>
      </c>
      <c r="I1902" s="444">
        <f t="shared" ca="1" si="138"/>
        <v>43849579.534028865</v>
      </c>
      <c r="J1902" s="444">
        <f t="array" ref="J1902">IFERROR(INDEX('Retirement Calculator'!J:J,MATCH('Isaac 401k'!N1902,'Retirement Calculator'!A:A,0),0),0)</f>
        <v>0</v>
      </c>
      <c r="K1902" s="444">
        <f t="shared" ca="1" si="136"/>
        <v>182706.58139178692</v>
      </c>
      <c r="L1902" s="444">
        <f t="shared" ca="1" si="137"/>
        <v>44032286.115420654</v>
      </c>
      <c r="M1902" s="460">
        <f t="shared" si="139"/>
        <v>0.05</v>
      </c>
      <c r="N1902" s="464">
        <f t="shared" si="140"/>
        <v>108935</v>
      </c>
    </row>
    <row r="1903" spans="7:14" ht="11.25" customHeight="1" x14ac:dyDescent="0.3">
      <c r="G1903" s="459"/>
      <c r="H1903" s="459">
        <v>1896</v>
      </c>
      <c r="I1903" s="444">
        <f t="shared" ca="1" si="138"/>
        <v>44032286.115420654</v>
      </c>
      <c r="J1903" s="444">
        <f t="array" ref="J1903">IFERROR(INDEX('Retirement Calculator'!J:J,MATCH('Isaac 401k'!N1903,'Retirement Calculator'!A:A,0),0),0)</f>
        <v>0</v>
      </c>
      <c r="K1903" s="444">
        <f t="shared" ca="1" si="136"/>
        <v>183467.85881425272</v>
      </c>
      <c r="L1903" s="444">
        <f t="shared" ca="1" si="137"/>
        <v>44215753.974234909</v>
      </c>
      <c r="M1903" s="460">
        <f t="shared" si="139"/>
        <v>0.05</v>
      </c>
      <c r="N1903" s="464">
        <f t="shared" si="140"/>
        <v>108965</v>
      </c>
    </row>
    <row r="1904" spans="7:14" ht="11.25" customHeight="1" x14ac:dyDescent="0.3">
      <c r="G1904" s="459"/>
      <c r="H1904" s="459">
        <v>1897</v>
      </c>
      <c r="I1904" s="444">
        <f t="shared" ca="1" si="138"/>
        <v>44215753.974234909</v>
      </c>
      <c r="J1904" s="444">
        <f t="array" ref="J1904">IFERROR(INDEX('Retirement Calculator'!J:J,MATCH('Isaac 401k'!N1904,'Retirement Calculator'!A:A,0),0),0)</f>
        <v>0</v>
      </c>
      <c r="K1904" s="444">
        <f t="shared" ca="1" si="136"/>
        <v>184232.30822597878</v>
      </c>
      <c r="L1904" s="444">
        <f t="shared" ca="1" si="137"/>
        <v>44399986.282460891</v>
      </c>
      <c r="M1904" s="460">
        <f t="shared" si="139"/>
        <v>0.05</v>
      </c>
      <c r="N1904" s="464">
        <f t="shared" si="140"/>
        <v>108996</v>
      </c>
    </row>
    <row r="1905" spans="7:14" ht="11.25" customHeight="1" x14ac:dyDescent="0.3">
      <c r="G1905" s="459"/>
      <c r="H1905" s="459">
        <v>1898</v>
      </c>
      <c r="I1905" s="444">
        <f t="shared" ca="1" si="138"/>
        <v>44399986.282460891</v>
      </c>
      <c r="J1905" s="444">
        <f t="array" ref="J1905">IFERROR(INDEX('Retirement Calculator'!J:J,MATCH('Isaac 401k'!N1905,'Retirement Calculator'!A:A,0),0),0)</f>
        <v>0</v>
      </c>
      <c r="K1905" s="444">
        <f t="shared" ca="1" si="136"/>
        <v>184999.94284358705</v>
      </c>
      <c r="L1905" s="444">
        <f t="shared" ca="1" si="137"/>
        <v>44584986.225304477</v>
      </c>
      <c r="M1905" s="460">
        <f t="shared" si="139"/>
        <v>0.05</v>
      </c>
      <c r="N1905" s="464">
        <f t="shared" si="140"/>
        <v>109026</v>
      </c>
    </row>
    <row r="1906" spans="7:14" ht="11.25" customHeight="1" x14ac:dyDescent="0.3">
      <c r="G1906" s="459"/>
      <c r="H1906" s="459">
        <v>1899</v>
      </c>
      <c r="I1906" s="444">
        <f t="shared" ca="1" si="138"/>
        <v>44584986.225304477</v>
      </c>
      <c r="J1906" s="444">
        <f t="array" ref="J1906">IFERROR(INDEX('Retirement Calculator'!J:J,MATCH('Isaac 401k'!N1906,'Retirement Calculator'!A:A,0),0),0)</f>
        <v>0</v>
      </c>
      <c r="K1906" s="444">
        <f t="shared" ca="1" si="136"/>
        <v>185770.77593876864</v>
      </c>
      <c r="L1906" s="444">
        <f t="shared" ca="1" si="137"/>
        <v>44770757.001243249</v>
      </c>
      <c r="M1906" s="460">
        <f t="shared" si="139"/>
        <v>0.05</v>
      </c>
      <c r="N1906" s="464">
        <f t="shared" si="140"/>
        <v>109057</v>
      </c>
    </row>
    <row r="1907" spans="7:14" ht="11.25" customHeight="1" x14ac:dyDescent="0.3">
      <c r="G1907" s="459"/>
      <c r="H1907" s="459">
        <v>1900</v>
      </c>
      <c r="I1907" s="444">
        <f t="shared" ca="1" si="138"/>
        <v>44770757.001243249</v>
      </c>
      <c r="J1907" s="444">
        <f t="array" ref="J1907">IFERROR(INDEX('Retirement Calculator'!J:J,MATCH('Isaac 401k'!N1907,'Retirement Calculator'!A:A,0),0),0)</f>
        <v>0</v>
      </c>
      <c r="K1907" s="444">
        <f t="shared" ca="1" si="136"/>
        <v>186544.82083851352</v>
      </c>
      <c r="L1907" s="444">
        <f t="shared" ca="1" si="137"/>
        <v>44957301.82208176</v>
      </c>
      <c r="M1907" s="460">
        <f t="shared" si="139"/>
        <v>0.05</v>
      </c>
      <c r="N1907" s="464">
        <f t="shared" si="140"/>
        <v>109088</v>
      </c>
    </row>
    <row r="1908" spans="7:14" ht="11.25" customHeight="1" x14ac:dyDescent="0.3">
      <c r="G1908" s="459"/>
      <c r="H1908" s="459">
        <v>1901</v>
      </c>
      <c r="I1908" s="444">
        <f t="shared" ca="1" si="138"/>
        <v>44957301.82208176</v>
      </c>
      <c r="J1908" s="444">
        <f t="array" ref="J1908">IFERROR(INDEX('Retirement Calculator'!J:J,MATCH('Isaac 401k'!N1908,'Retirement Calculator'!A:A,0),0),0)</f>
        <v>0</v>
      </c>
      <c r="K1908" s="444">
        <f t="shared" ca="1" si="136"/>
        <v>187322.09092534066</v>
      </c>
      <c r="L1908" s="444">
        <f t="shared" ca="1" si="137"/>
        <v>45144623.913007103</v>
      </c>
      <c r="M1908" s="460">
        <f t="shared" si="139"/>
        <v>0.05</v>
      </c>
      <c r="N1908" s="464">
        <f t="shared" si="140"/>
        <v>109118</v>
      </c>
    </row>
    <row r="1909" spans="7:14" ht="11.25" customHeight="1" x14ac:dyDescent="0.3">
      <c r="G1909" s="459"/>
      <c r="H1909" s="459">
        <v>1902</v>
      </c>
      <c r="I1909" s="444">
        <f t="shared" ca="1" si="138"/>
        <v>45144623.913007103</v>
      </c>
      <c r="J1909" s="444">
        <f t="array" ref="J1909">IFERROR(INDEX('Retirement Calculator'!J:J,MATCH('Isaac 401k'!N1909,'Retirement Calculator'!A:A,0),0),0)</f>
        <v>0</v>
      </c>
      <c r="K1909" s="444">
        <f t="shared" ca="1" si="136"/>
        <v>188102.59963752958</v>
      </c>
      <c r="L1909" s="444">
        <f t="shared" ca="1" si="137"/>
        <v>45332726.512644634</v>
      </c>
      <c r="M1909" s="460">
        <f t="shared" si="139"/>
        <v>0.05</v>
      </c>
      <c r="N1909" s="464">
        <f t="shared" si="140"/>
        <v>109149</v>
      </c>
    </row>
    <row r="1910" spans="7:14" ht="11.25" customHeight="1" x14ac:dyDescent="0.3">
      <c r="G1910" s="459"/>
      <c r="H1910" s="459">
        <v>1903</v>
      </c>
      <c r="I1910" s="444">
        <f t="shared" ca="1" si="138"/>
        <v>45332726.512644634</v>
      </c>
      <c r="J1910" s="444">
        <f t="array" ref="J1910">IFERROR(INDEX('Retirement Calculator'!J:J,MATCH('Isaac 401k'!N1910,'Retirement Calculator'!A:A,0),0),0)</f>
        <v>0</v>
      </c>
      <c r="K1910" s="444">
        <f t="shared" ca="1" si="136"/>
        <v>188886.36046935263</v>
      </c>
      <c r="L1910" s="444">
        <f t="shared" ca="1" si="137"/>
        <v>45521612.87311399</v>
      </c>
      <c r="M1910" s="460">
        <f t="shared" si="139"/>
        <v>0.05</v>
      </c>
      <c r="N1910" s="464">
        <f t="shared" si="140"/>
        <v>109179</v>
      </c>
    </row>
    <row r="1911" spans="7:14" ht="11.25" customHeight="1" x14ac:dyDescent="0.3">
      <c r="G1911" s="459"/>
      <c r="H1911" s="459">
        <v>1904</v>
      </c>
      <c r="I1911" s="444">
        <f t="shared" ca="1" si="138"/>
        <v>45521612.87311399</v>
      </c>
      <c r="J1911" s="444">
        <f t="array" ref="J1911">IFERROR(INDEX('Retirement Calculator'!J:J,MATCH('Isaac 401k'!N1911,'Retirement Calculator'!A:A,0),0),0)</f>
        <v>0</v>
      </c>
      <c r="K1911" s="444">
        <f t="shared" ca="1" si="136"/>
        <v>189673.3869713083</v>
      </c>
      <c r="L1911" s="444">
        <f t="shared" ca="1" si="137"/>
        <v>45711286.2600853</v>
      </c>
      <c r="M1911" s="460">
        <f t="shared" si="139"/>
        <v>0.05</v>
      </c>
      <c r="N1911" s="464">
        <f t="shared" si="140"/>
        <v>109210</v>
      </c>
    </row>
    <row r="1912" spans="7:14" ht="11.25" customHeight="1" x14ac:dyDescent="0.3">
      <c r="G1912" s="459"/>
      <c r="H1912" s="459">
        <v>1905</v>
      </c>
      <c r="I1912" s="444">
        <f t="shared" ca="1" si="138"/>
        <v>45711286.2600853</v>
      </c>
      <c r="J1912" s="444">
        <f t="array" ref="J1912">IFERROR(INDEX('Retirement Calculator'!J:J,MATCH('Isaac 401k'!N1912,'Retirement Calculator'!A:A,0),0),0)</f>
        <v>0</v>
      </c>
      <c r="K1912" s="444">
        <f t="shared" ca="1" si="136"/>
        <v>190463.6927503554</v>
      </c>
      <c r="L1912" s="444">
        <f t="shared" ca="1" si="137"/>
        <v>45901749.952835657</v>
      </c>
      <c r="M1912" s="460">
        <f t="shared" si="139"/>
        <v>0.05</v>
      </c>
      <c r="N1912" s="464">
        <f t="shared" si="140"/>
        <v>109241</v>
      </c>
    </row>
    <row r="1913" spans="7:14" ht="11.25" customHeight="1" x14ac:dyDescent="0.3">
      <c r="G1913" s="459"/>
      <c r="H1913" s="459">
        <v>1906</v>
      </c>
      <c r="I1913" s="444">
        <f t="shared" ca="1" si="138"/>
        <v>45901749.952835657</v>
      </c>
      <c r="J1913" s="444">
        <f t="array" ref="J1913">IFERROR(INDEX('Retirement Calculator'!J:J,MATCH('Isaac 401k'!N1913,'Retirement Calculator'!A:A,0),0),0)</f>
        <v>0</v>
      </c>
      <c r="K1913" s="444">
        <f t="shared" ca="1" si="136"/>
        <v>191257.29147014857</v>
      </c>
      <c r="L1913" s="444">
        <f t="shared" ca="1" si="137"/>
        <v>46093007.244305804</v>
      </c>
      <c r="M1913" s="460">
        <f t="shared" si="139"/>
        <v>0.05</v>
      </c>
      <c r="N1913" s="464">
        <f t="shared" si="140"/>
        <v>109269</v>
      </c>
    </row>
    <row r="1914" spans="7:14" ht="11.25" customHeight="1" x14ac:dyDescent="0.3">
      <c r="G1914" s="459"/>
      <c r="H1914" s="459">
        <v>1907</v>
      </c>
      <c r="I1914" s="444">
        <f t="shared" ca="1" si="138"/>
        <v>46093007.244305804</v>
      </c>
      <c r="J1914" s="444">
        <f t="array" ref="J1914">IFERROR(INDEX('Retirement Calculator'!J:J,MATCH('Isaac 401k'!N1914,'Retirement Calculator'!A:A,0),0),0)</f>
        <v>0</v>
      </c>
      <c r="K1914" s="444">
        <f t="shared" ca="1" si="136"/>
        <v>192054.19685127417</v>
      </c>
      <c r="L1914" s="444">
        <f t="shared" ca="1" si="137"/>
        <v>46285061.44115708</v>
      </c>
      <c r="M1914" s="460">
        <f t="shared" si="139"/>
        <v>0.05</v>
      </c>
      <c r="N1914" s="464">
        <f t="shared" si="140"/>
        <v>109300</v>
      </c>
    </row>
    <row r="1915" spans="7:14" ht="11.25" customHeight="1" x14ac:dyDescent="0.3">
      <c r="G1915" s="459"/>
      <c r="H1915" s="459">
        <v>1908</v>
      </c>
      <c r="I1915" s="444">
        <f t="shared" ca="1" si="138"/>
        <v>46285061.44115708</v>
      </c>
      <c r="J1915" s="444">
        <f t="array" ref="J1915">IFERROR(INDEX('Retirement Calculator'!J:J,MATCH('Isaac 401k'!N1915,'Retirement Calculator'!A:A,0),0),0)</f>
        <v>0</v>
      </c>
      <c r="K1915" s="444">
        <f t="shared" ca="1" si="136"/>
        <v>192854.42267148785</v>
      </c>
      <c r="L1915" s="444">
        <f t="shared" ca="1" si="137"/>
        <v>46477915.86382857</v>
      </c>
      <c r="M1915" s="460">
        <f t="shared" si="139"/>
        <v>0.05</v>
      </c>
      <c r="N1915" s="464">
        <f t="shared" si="140"/>
        <v>109330</v>
      </c>
    </row>
    <row r="1916" spans="7:14" ht="11.25" customHeight="1" x14ac:dyDescent="0.3">
      <c r="G1916" s="459"/>
      <c r="H1916" s="459">
        <v>1909</v>
      </c>
      <c r="I1916" s="444">
        <f t="shared" ca="1" si="138"/>
        <v>46477915.86382857</v>
      </c>
      <c r="J1916" s="444">
        <f t="array" ref="J1916">IFERROR(INDEX('Retirement Calculator'!J:J,MATCH('Isaac 401k'!N1916,'Retirement Calculator'!A:A,0),0),0)</f>
        <v>0</v>
      </c>
      <c r="K1916" s="444">
        <f t="shared" ca="1" si="136"/>
        <v>193657.98276595236</v>
      </c>
      <c r="L1916" s="444">
        <f t="shared" ca="1" si="137"/>
        <v>46671573.84659452</v>
      </c>
      <c r="M1916" s="460">
        <f t="shared" si="139"/>
        <v>0.05</v>
      </c>
      <c r="N1916" s="464">
        <f t="shared" si="140"/>
        <v>109361</v>
      </c>
    </row>
    <row r="1917" spans="7:14" ht="11.25" customHeight="1" x14ac:dyDescent="0.3">
      <c r="G1917" s="459"/>
      <c r="H1917" s="459">
        <v>1910</v>
      </c>
      <c r="I1917" s="444">
        <f t="shared" ca="1" si="138"/>
        <v>46671573.84659452</v>
      </c>
      <c r="J1917" s="444">
        <f t="array" ref="J1917">IFERROR(INDEX('Retirement Calculator'!J:J,MATCH('Isaac 401k'!N1917,'Retirement Calculator'!A:A,0),0),0)</f>
        <v>0</v>
      </c>
      <c r="K1917" s="444">
        <f t="shared" ca="1" si="136"/>
        <v>194464.89102747716</v>
      </c>
      <c r="L1917" s="444">
        <f t="shared" ca="1" si="137"/>
        <v>46866038.737622</v>
      </c>
      <c r="M1917" s="460">
        <f t="shared" si="139"/>
        <v>0.05</v>
      </c>
      <c r="N1917" s="464">
        <f t="shared" si="140"/>
        <v>109391</v>
      </c>
    </row>
    <row r="1918" spans="7:14" ht="11.25" customHeight="1" x14ac:dyDescent="0.3">
      <c r="G1918" s="459"/>
      <c r="H1918" s="459">
        <v>1911</v>
      </c>
      <c r="I1918" s="444">
        <f t="shared" ca="1" si="138"/>
        <v>46866038.737622</v>
      </c>
      <c r="J1918" s="444">
        <f t="array" ref="J1918">IFERROR(INDEX('Retirement Calculator'!J:J,MATCH('Isaac 401k'!N1918,'Retirement Calculator'!A:A,0),0),0)</f>
        <v>0</v>
      </c>
      <c r="K1918" s="444">
        <f t="shared" ca="1" si="136"/>
        <v>195275.16140675833</v>
      </c>
      <c r="L1918" s="444">
        <f t="shared" ca="1" si="137"/>
        <v>47061313.899028756</v>
      </c>
      <c r="M1918" s="460">
        <f t="shared" si="139"/>
        <v>0.05</v>
      </c>
      <c r="N1918" s="464">
        <f t="shared" si="140"/>
        <v>109422</v>
      </c>
    </row>
    <row r="1919" spans="7:14" ht="11.25" customHeight="1" x14ac:dyDescent="0.3">
      <c r="G1919" s="459"/>
      <c r="H1919" s="459">
        <v>1912</v>
      </c>
      <c r="I1919" s="444">
        <f t="shared" ca="1" si="138"/>
        <v>47061313.899028756</v>
      </c>
      <c r="J1919" s="444">
        <f t="array" ref="J1919">IFERROR(INDEX('Retirement Calculator'!J:J,MATCH('Isaac 401k'!N1919,'Retirement Calculator'!A:A,0),0),0)</f>
        <v>0</v>
      </c>
      <c r="K1919" s="444">
        <f t="shared" ca="1" si="136"/>
        <v>196088.80791261981</v>
      </c>
      <c r="L1919" s="444">
        <f t="shared" ca="1" si="137"/>
        <v>47257402.706941374</v>
      </c>
      <c r="M1919" s="460">
        <f t="shared" si="139"/>
        <v>0.05</v>
      </c>
      <c r="N1919" s="464">
        <f t="shared" si="140"/>
        <v>109453</v>
      </c>
    </row>
    <row r="1920" spans="7:14" ht="11.25" customHeight="1" x14ac:dyDescent="0.3">
      <c r="G1920" s="459"/>
      <c r="H1920" s="459">
        <v>1913</v>
      </c>
      <c r="I1920" s="444">
        <f t="shared" ca="1" si="138"/>
        <v>47257402.706941374</v>
      </c>
      <c r="J1920" s="444">
        <f t="array" ref="J1920">IFERROR(INDEX('Retirement Calculator'!J:J,MATCH('Isaac 401k'!N1920,'Retirement Calculator'!A:A,0),0),0)</f>
        <v>0</v>
      </c>
      <c r="K1920" s="444">
        <f t="shared" ca="1" si="136"/>
        <v>196905.84461225572</v>
      </c>
      <c r="L1920" s="444">
        <f t="shared" ca="1" si="137"/>
        <v>47454308.551553629</v>
      </c>
      <c r="M1920" s="460">
        <f t="shared" si="139"/>
        <v>0.05</v>
      </c>
      <c r="N1920" s="464">
        <f t="shared" si="140"/>
        <v>109483</v>
      </c>
    </row>
    <row r="1921" spans="7:14" ht="11.25" customHeight="1" x14ac:dyDescent="0.3">
      <c r="G1921" s="459"/>
      <c r="H1921" s="459">
        <v>1914</v>
      </c>
      <c r="I1921" s="444">
        <f t="shared" ca="1" si="138"/>
        <v>47454308.551553629</v>
      </c>
      <c r="J1921" s="444">
        <f t="array" ref="J1921">IFERROR(INDEX('Retirement Calculator'!J:J,MATCH('Isaac 401k'!N1921,'Retirement Calculator'!A:A,0),0),0)</f>
        <v>0</v>
      </c>
      <c r="K1921" s="444">
        <f t="shared" ca="1" si="136"/>
        <v>197726.28563147347</v>
      </c>
      <c r="L1921" s="444">
        <f t="shared" ca="1" si="137"/>
        <v>47652034.8371851</v>
      </c>
      <c r="M1921" s="460">
        <f t="shared" si="139"/>
        <v>0.05</v>
      </c>
      <c r="N1921" s="464">
        <f t="shared" si="140"/>
        <v>109514</v>
      </c>
    </row>
    <row r="1922" spans="7:14" ht="11.25" customHeight="1" x14ac:dyDescent="0.3">
      <c r="G1922" s="459"/>
      <c r="H1922" s="459">
        <v>1915</v>
      </c>
      <c r="I1922" s="444">
        <f t="shared" ca="1" si="138"/>
        <v>47652034.8371851</v>
      </c>
      <c r="J1922" s="444">
        <f t="array" ref="J1922">IFERROR(INDEX('Retirement Calculator'!J:J,MATCH('Isaac 401k'!N1922,'Retirement Calculator'!A:A,0),0),0)</f>
        <v>0</v>
      </c>
      <c r="K1922" s="444">
        <f t="shared" ca="1" si="136"/>
        <v>198550.14515493793</v>
      </c>
      <c r="L1922" s="444">
        <f t="shared" ca="1" si="137"/>
        <v>47850584.982340038</v>
      </c>
      <c r="M1922" s="460">
        <f t="shared" si="139"/>
        <v>0.05</v>
      </c>
      <c r="N1922" s="464">
        <f t="shared" si="140"/>
        <v>109544</v>
      </c>
    </row>
    <row r="1923" spans="7:14" ht="11.25" customHeight="1" x14ac:dyDescent="0.3">
      <c r="G1923" s="459"/>
      <c r="H1923" s="459">
        <v>1916</v>
      </c>
      <c r="I1923" s="444">
        <f t="shared" ca="1" si="138"/>
        <v>47850584.982340038</v>
      </c>
      <c r="J1923" s="444">
        <f t="array" ref="J1923">IFERROR(INDEX('Retirement Calculator'!J:J,MATCH('Isaac 401k'!N1923,'Retirement Calculator'!A:A,0),0),0)</f>
        <v>0</v>
      </c>
      <c r="K1923" s="444">
        <f t="shared" ca="1" si="136"/>
        <v>199377.43742641681</v>
      </c>
      <c r="L1923" s="444">
        <f t="shared" ca="1" si="137"/>
        <v>48049962.419766456</v>
      </c>
      <c r="M1923" s="460">
        <f t="shared" si="139"/>
        <v>0.05</v>
      </c>
      <c r="N1923" s="464">
        <f t="shared" si="140"/>
        <v>109575</v>
      </c>
    </row>
    <row r="1924" spans="7:14" ht="11.25" customHeight="1" x14ac:dyDescent="0.3">
      <c r="G1924" s="459"/>
      <c r="H1924" s="459">
        <v>1917</v>
      </c>
      <c r="I1924" s="444">
        <f t="shared" ca="1" si="138"/>
        <v>48049962.419766456</v>
      </c>
      <c r="J1924" s="444">
        <f t="array" ref="J1924">IFERROR(INDEX('Retirement Calculator'!J:J,MATCH('Isaac 401k'!N1924,'Retirement Calculator'!A:A,0),0),0)</f>
        <v>0</v>
      </c>
      <c r="K1924" s="444">
        <f t="shared" ca="1" si="136"/>
        <v>200208.1767490269</v>
      </c>
      <c r="L1924" s="444">
        <f t="shared" ca="1" si="137"/>
        <v>48250170.596515484</v>
      </c>
      <c r="M1924" s="460">
        <f t="shared" si="139"/>
        <v>0.05</v>
      </c>
      <c r="N1924" s="464">
        <f t="shared" si="140"/>
        <v>109606</v>
      </c>
    </row>
    <row r="1925" spans="7:14" ht="11.25" customHeight="1" x14ac:dyDescent="0.3">
      <c r="G1925" s="459"/>
      <c r="H1925" s="459">
        <v>1918</v>
      </c>
      <c r="I1925" s="444">
        <f t="shared" ca="1" si="138"/>
        <v>48250170.596515484</v>
      </c>
      <c r="J1925" s="444">
        <f t="array" ref="J1925">IFERROR(INDEX('Retirement Calculator'!J:J,MATCH('Isaac 401k'!N1925,'Retirement Calculator'!A:A,0),0),0)</f>
        <v>0</v>
      </c>
      <c r="K1925" s="444">
        <f t="shared" ca="1" si="136"/>
        <v>201042.37748548118</v>
      </c>
      <c r="L1925" s="444">
        <f t="shared" ca="1" si="137"/>
        <v>48451212.974000968</v>
      </c>
      <c r="M1925" s="460">
        <f t="shared" si="139"/>
        <v>0.05</v>
      </c>
      <c r="N1925" s="464">
        <f t="shared" si="140"/>
        <v>109634</v>
      </c>
    </row>
    <row r="1926" spans="7:14" ht="11.25" customHeight="1" x14ac:dyDescent="0.3">
      <c r="G1926" s="459"/>
      <c r="H1926" s="459">
        <v>1919</v>
      </c>
      <c r="I1926" s="444">
        <f t="shared" ca="1" si="138"/>
        <v>48451212.974000968</v>
      </c>
      <c r="J1926" s="444">
        <f t="array" ref="J1926">IFERROR(INDEX('Retirement Calculator'!J:J,MATCH('Isaac 401k'!N1926,'Retirement Calculator'!A:A,0),0),0)</f>
        <v>0</v>
      </c>
      <c r="K1926" s="444">
        <f t="shared" ca="1" si="136"/>
        <v>201880.05405833735</v>
      </c>
      <c r="L1926" s="444">
        <f t="shared" ca="1" si="137"/>
        <v>48653093.028059304</v>
      </c>
      <c r="M1926" s="460">
        <f t="shared" si="139"/>
        <v>0.05</v>
      </c>
      <c r="N1926" s="464">
        <f t="shared" si="140"/>
        <v>109665</v>
      </c>
    </row>
    <row r="1927" spans="7:14" ht="11.25" customHeight="1" x14ac:dyDescent="0.3">
      <c r="G1927" s="459"/>
      <c r="H1927" s="459">
        <v>1920</v>
      </c>
      <c r="I1927" s="444">
        <f t="shared" ca="1" si="138"/>
        <v>48653093.028059304</v>
      </c>
      <c r="J1927" s="444">
        <f t="array" ref="J1927">IFERROR(INDEX('Retirement Calculator'!J:J,MATCH('Isaac 401k'!N1927,'Retirement Calculator'!A:A,0),0),0)</f>
        <v>0</v>
      </c>
      <c r="K1927" s="444">
        <f t="shared" ca="1" si="136"/>
        <v>202721.22095024711</v>
      </c>
      <c r="L1927" s="444">
        <f t="shared" ca="1" si="137"/>
        <v>48855814.24900955</v>
      </c>
      <c r="M1927" s="460">
        <f t="shared" si="139"/>
        <v>0.05</v>
      </c>
      <c r="N1927" s="464">
        <f t="shared" si="140"/>
        <v>109695</v>
      </c>
    </row>
    <row r="1928" spans="7:14" ht="11.25" customHeight="1" x14ac:dyDescent="0.3">
      <c r="G1928" s="459"/>
      <c r="H1928" s="459">
        <v>1921</v>
      </c>
      <c r="I1928" s="444">
        <f t="shared" ca="1" si="138"/>
        <v>48855814.24900955</v>
      </c>
      <c r="J1928" s="444">
        <f t="array" ref="J1928">IFERROR(INDEX('Retirement Calculator'!J:J,MATCH('Isaac 401k'!N1928,'Retirement Calculator'!A:A,0),0),0)</f>
        <v>0</v>
      </c>
      <c r="K1928" s="444">
        <f t="shared" ca="1" si="136"/>
        <v>203565.89270420646</v>
      </c>
      <c r="L1928" s="444">
        <f t="shared" ca="1" si="137"/>
        <v>49059380.141713753</v>
      </c>
      <c r="M1928" s="460">
        <f t="shared" si="139"/>
        <v>0.05</v>
      </c>
      <c r="N1928" s="464">
        <f t="shared" si="140"/>
        <v>109726</v>
      </c>
    </row>
    <row r="1929" spans="7:14" ht="11.25" customHeight="1" x14ac:dyDescent="0.3">
      <c r="G1929" s="459"/>
      <c r="H1929" s="459">
        <v>1922</v>
      </c>
      <c r="I1929" s="444">
        <f t="shared" ca="1" si="138"/>
        <v>49059380.141713753</v>
      </c>
      <c r="J1929" s="444">
        <f t="array" ref="J1929">IFERROR(INDEX('Retirement Calculator'!J:J,MATCH('Isaac 401k'!N1929,'Retirement Calculator'!A:A,0),0),0)</f>
        <v>0</v>
      </c>
      <c r="K1929" s="444">
        <f t="shared" ca="1" si="136"/>
        <v>204414.08392380731</v>
      </c>
      <c r="L1929" s="444">
        <f t="shared" ca="1" si="137"/>
        <v>49263794.225637563</v>
      </c>
      <c r="M1929" s="460">
        <f t="shared" si="139"/>
        <v>0.05</v>
      </c>
      <c r="N1929" s="464">
        <f t="shared" si="140"/>
        <v>109756</v>
      </c>
    </row>
    <row r="1930" spans="7:14" ht="11.25" customHeight="1" x14ac:dyDescent="0.3">
      <c r="G1930" s="459"/>
      <c r="H1930" s="459">
        <v>1923</v>
      </c>
      <c r="I1930" s="444">
        <f t="shared" ca="1" si="138"/>
        <v>49263794.225637563</v>
      </c>
      <c r="J1930" s="444">
        <f t="array" ref="J1930">IFERROR(INDEX('Retirement Calculator'!J:J,MATCH('Isaac 401k'!N1930,'Retirement Calculator'!A:A,0),0),0)</f>
        <v>0</v>
      </c>
      <c r="K1930" s="444">
        <f t="shared" ca="1" si="136"/>
        <v>205265.80927348984</v>
      </c>
      <c r="L1930" s="444">
        <f t="shared" ca="1" si="137"/>
        <v>49469060.034911051</v>
      </c>
      <c r="M1930" s="460">
        <f t="shared" si="139"/>
        <v>0.05</v>
      </c>
      <c r="N1930" s="464">
        <f t="shared" si="140"/>
        <v>109787</v>
      </c>
    </row>
    <row r="1931" spans="7:14" ht="11.25" customHeight="1" x14ac:dyDescent="0.3">
      <c r="G1931" s="459"/>
      <c r="H1931" s="459">
        <v>1924</v>
      </c>
      <c r="I1931" s="444">
        <f t="shared" ca="1" si="138"/>
        <v>49469060.034911051</v>
      </c>
      <c r="J1931" s="444">
        <f t="array" ref="J1931">IFERROR(INDEX('Retirement Calculator'!J:J,MATCH('Isaac 401k'!N1931,'Retirement Calculator'!A:A,0),0),0)</f>
        <v>0</v>
      </c>
      <c r="K1931" s="444">
        <f t="shared" ca="1" si="136"/>
        <v>206121.08347879603</v>
      </c>
      <c r="L1931" s="444">
        <f t="shared" ca="1" si="137"/>
        <v>49675181.118389845</v>
      </c>
      <c r="M1931" s="460">
        <f t="shared" si="139"/>
        <v>0.05</v>
      </c>
      <c r="N1931" s="464">
        <f t="shared" si="140"/>
        <v>109818</v>
      </c>
    </row>
    <row r="1932" spans="7:14" ht="11.25" customHeight="1" x14ac:dyDescent="0.3">
      <c r="G1932" s="459"/>
      <c r="H1932" s="459">
        <v>1925</v>
      </c>
      <c r="I1932" s="444">
        <f t="shared" ca="1" si="138"/>
        <v>49675181.118389845</v>
      </c>
      <c r="J1932" s="444">
        <f t="array" ref="J1932">IFERROR(INDEX('Retirement Calculator'!J:J,MATCH('Isaac 401k'!N1932,'Retirement Calculator'!A:A,0),0),0)</f>
        <v>0</v>
      </c>
      <c r="K1932" s="444">
        <f t="shared" ca="1" si="136"/>
        <v>206979.92132662435</v>
      </c>
      <c r="L1932" s="444">
        <f t="shared" ca="1" si="137"/>
        <v>49882161.039716467</v>
      </c>
      <c r="M1932" s="460">
        <f t="shared" si="139"/>
        <v>0.05</v>
      </c>
      <c r="N1932" s="464">
        <f t="shared" si="140"/>
        <v>109848</v>
      </c>
    </row>
    <row r="1933" spans="7:14" ht="11.25" customHeight="1" x14ac:dyDescent="0.3">
      <c r="G1933" s="459"/>
      <c r="H1933" s="459">
        <v>1926</v>
      </c>
      <c r="I1933" s="444">
        <f t="shared" ca="1" si="138"/>
        <v>49882161.039716467</v>
      </c>
      <c r="J1933" s="444">
        <f t="array" ref="J1933">IFERROR(INDEX('Retirement Calculator'!J:J,MATCH('Isaac 401k'!N1933,'Retirement Calculator'!A:A,0),0),0)</f>
        <v>0</v>
      </c>
      <c r="K1933" s="444">
        <f t="shared" ca="1" si="136"/>
        <v>207842.33766548528</v>
      </c>
      <c r="L1933" s="444">
        <f t="shared" ca="1" si="137"/>
        <v>50090003.377381951</v>
      </c>
      <c r="M1933" s="460">
        <f t="shared" si="139"/>
        <v>0.05</v>
      </c>
      <c r="N1933" s="464">
        <f t="shared" si="140"/>
        <v>109879</v>
      </c>
    </row>
    <row r="1934" spans="7:14" ht="11.25" customHeight="1" x14ac:dyDescent="0.3">
      <c r="G1934" s="459"/>
      <c r="H1934" s="459">
        <v>1927</v>
      </c>
      <c r="I1934" s="444">
        <f t="shared" ca="1" si="138"/>
        <v>50090003.377381951</v>
      </c>
      <c r="J1934" s="444">
        <f t="array" ref="J1934">IFERROR(INDEX('Retirement Calculator'!J:J,MATCH('Isaac 401k'!N1934,'Retirement Calculator'!A:A,0),0),0)</f>
        <v>0</v>
      </c>
      <c r="K1934" s="444">
        <f t="shared" ca="1" si="136"/>
        <v>208708.34740575813</v>
      </c>
      <c r="L1934" s="444">
        <f t="shared" ca="1" si="137"/>
        <v>50298711.724787712</v>
      </c>
      <c r="M1934" s="460">
        <f t="shared" si="139"/>
        <v>0.05</v>
      </c>
      <c r="N1934" s="464">
        <f t="shared" si="140"/>
        <v>109909</v>
      </c>
    </row>
    <row r="1935" spans="7:14" ht="11.25" customHeight="1" x14ac:dyDescent="0.3">
      <c r="G1935" s="459"/>
      <c r="H1935" s="459">
        <v>1928</v>
      </c>
      <c r="I1935" s="444">
        <f t="shared" ca="1" si="138"/>
        <v>50298711.724787712</v>
      </c>
      <c r="J1935" s="444">
        <f t="array" ref="J1935">IFERROR(INDEX('Retirement Calculator'!J:J,MATCH('Isaac 401k'!N1935,'Retirement Calculator'!A:A,0),0),0)</f>
        <v>0</v>
      </c>
      <c r="K1935" s="444">
        <f t="shared" ca="1" si="136"/>
        <v>209577.9655199488</v>
      </c>
      <c r="L1935" s="444">
        <f t="shared" ca="1" si="137"/>
        <v>50508289.690307662</v>
      </c>
      <c r="M1935" s="460">
        <f t="shared" si="139"/>
        <v>0.05</v>
      </c>
      <c r="N1935" s="464">
        <f t="shared" si="140"/>
        <v>109940</v>
      </c>
    </row>
    <row r="1936" spans="7:14" ht="11.25" customHeight="1" x14ac:dyDescent="0.3">
      <c r="G1936" s="459"/>
      <c r="H1936" s="459">
        <v>1929</v>
      </c>
      <c r="I1936" s="444">
        <f t="shared" ca="1" si="138"/>
        <v>50508289.690307662</v>
      </c>
      <c r="J1936" s="444">
        <f t="array" ref="J1936">IFERROR(INDEX('Retirement Calculator'!J:J,MATCH('Isaac 401k'!N1936,'Retirement Calculator'!A:A,0),0),0)</f>
        <v>0</v>
      </c>
      <c r="K1936" s="444">
        <f t="shared" ca="1" si="136"/>
        <v>210451.20704294858</v>
      </c>
      <c r="L1936" s="444">
        <f t="shared" ca="1" si="137"/>
        <v>50718740.897350609</v>
      </c>
      <c r="M1936" s="460">
        <f t="shared" si="139"/>
        <v>0.05</v>
      </c>
      <c r="N1936" s="464">
        <f t="shared" si="140"/>
        <v>109971</v>
      </c>
    </row>
    <row r="1937" spans="7:14" ht="11.25" customHeight="1" x14ac:dyDescent="0.3">
      <c r="G1937" s="459"/>
      <c r="H1937" s="459">
        <v>1930</v>
      </c>
      <c r="I1937" s="444">
        <f t="shared" ca="1" si="138"/>
        <v>50718740.897350609</v>
      </c>
      <c r="J1937" s="444">
        <f t="array" ref="J1937">IFERROR(INDEX('Retirement Calculator'!J:J,MATCH('Isaac 401k'!N1937,'Retirement Calculator'!A:A,0),0),0)</f>
        <v>0</v>
      </c>
      <c r="K1937" s="444">
        <f t="shared" ca="1" si="136"/>
        <v>211328.08707229421</v>
      </c>
      <c r="L1937" s="444">
        <f t="shared" ca="1" si="137"/>
        <v>50930068.984422907</v>
      </c>
      <c r="M1937" s="460">
        <f t="shared" si="139"/>
        <v>0.05</v>
      </c>
      <c r="N1937" s="464">
        <f t="shared" si="140"/>
        <v>109999</v>
      </c>
    </row>
    <row r="1938" spans="7:14" ht="11.25" customHeight="1" x14ac:dyDescent="0.3">
      <c r="G1938" s="459"/>
      <c r="H1938" s="459">
        <v>1931</v>
      </c>
      <c r="I1938" s="444">
        <f t="shared" ca="1" si="138"/>
        <v>50930068.984422907</v>
      </c>
      <c r="J1938" s="444">
        <f t="array" ref="J1938">IFERROR(INDEX('Retirement Calculator'!J:J,MATCH('Isaac 401k'!N1938,'Retirement Calculator'!A:A,0),0),0)</f>
        <v>0</v>
      </c>
      <c r="K1938" s="444">
        <f t="shared" ca="1" si="136"/>
        <v>212208.62076842878</v>
      </c>
      <c r="L1938" s="444">
        <f t="shared" ca="1" si="137"/>
        <v>51142277.605191335</v>
      </c>
      <c r="M1938" s="460">
        <f t="shared" si="139"/>
        <v>0.05</v>
      </c>
      <c r="N1938" s="464">
        <f t="shared" si="140"/>
        <v>110030</v>
      </c>
    </row>
    <row r="1939" spans="7:14" ht="11.25" customHeight="1" x14ac:dyDescent="0.3">
      <c r="G1939" s="459"/>
      <c r="H1939" s="459">
        <v>1932</v>
      </c>
      <c r="I1939" s="444">
        <f t="shared" ca="1" si="138"/>
        <v>51142277.605191335</v>
      </c>
      <c r="J1939" s="444">
        <f t="array" ref="J1939">IFERROR(INDEX('Retirement Calculator'!J:J,MATCH('Isaac 401k'!N1939,'Retirement Calculator'!A:A,0),0),0)</f>
        <v>0</v>
      </c>
      <c r="K1939" s="444">
        <f t="shared" ca="1" si="136"/>
        <v>213092.82335496388</v>
      </c>
      <c r="L1939" s="444">
        <f t="shared" ca="1" si="137"/>
        <v>51355370.428546302</v>
      </c>
      <c r="M1939" s="460">
        <f t="shared" si="139"/>
        <v>0.05</v>
      </c>
      <c r="N1939" s="464">
        <f t="shared" si="140"/>
        <v>110060</v>
      </c>
    </row>
    <row r="1940" spans="7:14" ht="11.25" customHeight="1" x14ac:dyDescent="0.3">
      <c r="G1940" s="459"/>
      <c r="H1940" s="459">
        <v>1933</v>
      </c>
      <c r="I1940" s="444">
        <f t="shared" ca="1" si="138"/>
        <v>51355370.428546302</v>
      </c>
      <c r="J1940" s="444">
        <f t="array" ref="J1940">IFERROR(INDEX('Retirement Calculator'!J:J,MATCH('Isaac 401k'!N1940,'Retirement Calculator'!A:A,0),0),0)</f>
        <v>0</v>
      </c>
      <c r="K1940" s="444">
        <f t="shared" ca="1" si="136"/>
        <v>213980.71011894292</v>
      </c>
      <c r="L1940" s="444">
        <f t="shared" ca="1" si="137"/>
        <v>51569351.138665244</v>
      </c>
      <c r="M1940" s="460">
        <f t="shared" si="139"/>
        <v>0.05</v>
      </c>
      <c r="N1940" s="464">
        <f t="shared" si="140"/>
        <v>110091</v>
      </c>
    </row>
    <row r="1941" spans="7:14" ht="11.25" customHeight="1" x14ac:dyDescent="0.3">
      <c r="G1941" s="459"/>
      <c r="H1941" s="459">
        <v>1934</v>
      </c>
      <c r="I1941" s="444">
        <f t="shared" ca="1" si="138"/>
        <v>51569351.138665244</v>
      </c>
      <c r="J1941" s="444">
        <f t="array" ref="J1941">IFERROR(INDEX('Retirement Calculator'!J:J,MATCH('Isaac 401k'!N1941,'Retirement Calculator'!A:A,0),0),0)</f>
        <v>0</v>
      </c>
      <c r="K1941" s="444">
        <f t="shared" ca="1" si="136"/>
        <v>214872.29641110517</v>
      </c>
      <c r="L1941" s="444">
        <f t="shared" ca="1" si="137"/>
        <v>51784223.435076348</v>
      </c>
      <c r="M1941" s="460">
        <f t="shared" si="139"/>
        <v>0.05</v>
      </c>
      <c r="N1941" s="464">
        <f t="shared" si="140"/>
        <v>110121</v>
      </c>
    </row>
    <row r="1942" spans="7:14" ht="11.25" customHeight="1" x14ac:dyDescent="0.3">
      <c r="G1942" s="459"/>
      <c r="H1942" s="459">
        <v>1935</v>
      </c>
      <c r="I1942" s="444">
        <f t="shared" ca="1" si="138"/>
        <v>51784223.435076348</v>
      </c>
      <c r="J1942" s="444">
        <f t="array" ref="J1942">IFERROR(INDEX('Retirement Calculator'!J:J,MATCH('Isaac 401k'!N1942,'Retirement Calculator'!A:A,0),0),0)</f>
        <v>0</v>
      </c>
      <c r="K1942" s="444">
        <f t="shared" ca="1" si="136"/>
        <v>215767.59764615144</v>
      </c>
      <c r="L1942" s="444">
        <f t="shared" ca="1" si="137"/>
        <v>51999991.032722503</v>
      </c>
      <c r="M1942" s="460">
        <f t="shared" si="139"/>
        <v>0.05</v>
      </c>
      <c r="N1942" s="464">
        <f t="shared" si="140"/>
        <v>110152</v>
      </c>
    </row>
    <row r="1943" spans="7:14" ht="11.25" customHeight="1" x14ac:dyDescent="0.3">
      <c r="G1943" s="459"/>
      <c r="H1943" s="459">
        <v>1936</v>
      </c>
      <c r="I1943" s="444">
        <f t="shared" ca="1" si="138"/>
        <v>51999991.032722503</v>
      </c>
      <c r="J1943" s="444">
        <f t="array" ref="J1943">IFERROR(INDEX('Retirement Calculator'!J:J,MATCH('Isaac 401k'!N1943,'Retirement Calculator'!A:A,0),0),0)</f>
        <v>0</v>
      </c>
      <c r="K1943" s="444">
        <f t="shared" ca="1" si="136"/>
        <v>216666.62930301041</v>
      </c>
      <c r="L1943" s="444">
        <f t="shared" ca="1" si="137"/>
        <v>52216657.662025511</v>
      </c>
      <c r="M1943" s="460">
        <f t="shared" si="139"/>
        <v>0.05</v>
      </c>
      <c r="N1943" s="464">
        <f t="shared" si="140"/>
        <v>110183</v>
      </c>
    </row>
    <row r="1944" spans="7:14" ht="11.25" customHeight="1" x14ac:dyDescent="0.3">
      <c r="G1944" s="459"/>
      <c r="H1944" s="459">
        <v>1937</v>
      </c>
      <c r="I1944" s="444">
        <f t="shared" ca="1" si="138"/>
        <v>52216657.662025511</v>
      </c>
      <c r="J1944" s="444">
        <f t="array" ref="J1944">IFERROR(INDEX('Retirement Calculator'!J:J,MATCH('Isaac 401k'!N1944,'Retirement Calculator'!A:A,0),0),0)</f>
        <v>0</v>
      </c>
      <c r="K1944" s="444">
        <f t="shared" ca="1" si="136"/>
        <v>217569.4069251063</v>
      </c>
      <c r="L1944" s="444">
        <f t="shared" ca="1" si="137"/>
        <v>52434227.068950616</v>
      </c>
      <c r="M1944" s="460">
        <f t="shared" si="139"/>
        <v>0.05</v>
      </c>
      <c r="N1944" s="464">
        <f t="shared" si="140"/>
        <v>110213</v>
      </c>
    </row>
    <row r="1945" spans="7:14" ht="11.25" customHeight="1" x14ac:dyDescent="0.3">
      <c r="G1945" s="459"/>
      <c r="H1945" s="459">
        <v>1938</v>
      </c>
      <c r="I1945" s="444">
        <f t="shared" ca="1" si="138"/>
        <v>52434227.068950616</v>
      </c>
      <c r="J1945" s="444">
        <f t="array" ref="J1945">IFERROR(INDEX('Retirement Calculator'!J:J,MATCH('Isaac 401k'!N1945,'Retirement Calculator'!A:A,0),0),0)</f>
        <v>0</v>
      </c>
      <c r="K1945" s="444">
        <f t="shared" ca="1" si="136"/>
        <v>218475.94612062757</v>
      </c>
      <c r="L1945" s="444">
        <f t="shared" ca="1" si="137"/>
        <v>52652703.015071243</v>
      </c>
      <c r="M1945" s="460">
        <f t="shared" si="139"/>
        <v>0.05</v>
      </c>
      <c r="N1945" s="464">
        <f t="shared" si="140"/>
        <v>110244</v>
      </c>
    </row>
    <row r="1946" spans="7:14" ht="11.25" customHeight="1" x14ac:dyDescent="0.3">
      <c r="G1946" s="459"/>
      <c r="H1946" s="459">
        <v>1939</v>
      </c>
      <c r="I1946" s="444">
        <f t="shared" ca="1" si="138"/>
        <v>52652703.015071243</v>
      </c>
      <c r="J1946" s="444">
        <f t="array" ref="J1946">IFERROR(INDEX('Retirement Calculator'!J:J,MATCH('Isaac 401k'!N1946,'Retirement Calculator'!A:A,0),0),0)</f>
        <v>0</v>
      </c>
      <c r="K1946" s="444">
        <f t="shared" ca="1" si="136"/>
        <v>219386.26256279682</v>
      </c>
      <c r="L1946" s="444">
        <f t="shared" ca="1" si="137"/>
        <v>52872089.27763404</v>
      </c>
      <c r="M1946" s="460">
        <f t="shared" si="139"/>
        <v>0.05</v>
      </c>
      <c r="N1946" s="464">
        <f t="shared" si="140"/>
        <v>110274</v>
      </c>
    </row>
    <row r="1947" spans="7:14" ht="11.25" customHeight="1" x14ac:dyDescent="0.3">
      <c r="G1947" s="459"/>
      <c r="H1947" s="459">
        <v>1940</v>
      </c>
      <c r="I1947" s="444">
        <f t="shared" ca="1" si="138"/>
        <v>52872089.27763404</v>
      </c>
      <c r="J1947" s="444">
        <f t="array" ref="J1947">IFERROR(INDEX('Retirement Calculator'!J:J,MATCH('Isaac 401k'!N1947,'Retirement Calculator'!A:A,0),0),0)</f>
        <v>0</v>
      </c>
      <c r="K1947" s="444">
        <f t="shared" ca="1" si="136"/>
        <v>220300.37199014181</v>
      </c>
      <c r="L1947" s="444">
        <f t="shared" ca="1" si="137"/>
        <v>53092389.649624184</v>
      </c>
      <c r="M1947" s="460">
        <f t="shared" si="139"/>
        <v>0.05</v>
      </c>
      <c r="N1947" s="464">
        <f t="shared" si="140"/>
        <v>110305</v>
      </c>
    </row>
    <row r="1948" spans="7:14" ht="11.25" customHeight="1" x14ac:dyDescent="0.3">
      <c r="G1948" s="459"/>
      <c r="H1948" s="459">
        <v>1941</v>
      </c>
      <c r="I1948" s="444">
        <f t="shared" ca="1" si="138"/>
        <v>53092389.649624184</v>
      </c>
      <c r="J1948" s="444">
        <f t="array" ref="J1948">IFERROR(INDEX('Retirement Calculator'!J:J,MATCH('Isaac 401k'!N1948,'Retirement Calculator'!A:A,0),0),0)</f>
        <v>0</v>
      </c>
      <c r="K1948" s="444">
        <f t="shared" ca="1" si="136"/>
        <v>221218.29020676741</v>
      </c>
      <c r="L1948" s="444">
        <f t="shared" ca="1" si="137"/>
        <v>53313607.939830951</v>
      </c>
      <c r="M1948" s="460">
        <f t="shared" si="139"/>
        <v>0.05</v>
      </c>
      <c r="N1948" s="464">
        <f t="shared" si="140"/>
        <v>110336</v>
      </c>
    </row>
    <row r="1949" spans="7:14" ht="11.25" customHeight="1" x14ac:dyDescent="0.3">
      <c r="G1949" s="459"/>
      <c r="H1949" s="459">
        <v>1942</v>
      </c>
      <c r="I1949" s="444">
        <f t="shared" ca="1" si="138"/>
        <v>53313607.939830951</v>
      </c>
      <c r="J1949" s="444">
        <f t="array" ref="J1949">IFERROR(INDEX('Retirement Calculator'!J:J,MATCH('Isaac 401k'!N1949,'Retirement Calculator'!A:A,0),0),0)</f>
        <v>0</v>
      </c>
      <c r="K1949" s="444">
        <f t="shared" ca="1" si="136"/>
        <v>222140.03308262897</v>
      </c>
      <c r="L1949" s="444">
        <f t="shared" ca="1" si="137"/>
        <v>53535747.972913578</v>
      </c>
      <c r="M1949" s="460">
        <f t="shared" si="139"/>
        <v>0.05</v>
      </c>
      <c r="N1949" s="464">
        <f t="shared" si="140"/>
        <v>110364</v>
      </c>
    </row>
    <row r="1950" spans="7:14" ht="11.25" customHeight="1" x14ac:dyDescent="0.3">
      <c r="G1950" s="459"/>
      <c r="H1950" s="459">
        <v>1943</v>
      </c>
      <c r="I1950" s="444">
        <f t="shared" ca="1" si="138"/>
        <v>53535747.972913578</v>
      </c>
      <c r="J1950" s="444">
        <f t="array" ref="J1950">IFERROR(INDEX('Retirement Calculator'!J:J,MATCH('Isaac 401k'!N1950,'Retirement Calculator'!A:A,0),0),0)</f>
        <v>0</v>
      </c>
      <c r="K1950" s="444">
        <f t="shared" ca="1" si="136"/>
        <v>223065.61655380658</v>
      </c>
      <c r="L1950" s="444">
        <f t="shared" ca="1" si="137"/>
        <v>53758813.589467384</v>
      </c>
      <c r="M1950" s="460">
        <f t="shared" si="139"/>
        <v>0.05</v>
      </c>
      <c r="N1950" s="464">
        <f t="shared" si="140"/>
        <v>110395</v>
      </c>
    </row>
    <row r="1951" spans="7:14" ht="11.25" customHeight="1" x14ac:dyDescent="0.3">
      <c r="G1951" s="459"/>
      <c r="H1951" s="459">
        <v>1944</v>
      </c>
      <c r="I1951" s="444">
        <f t="shared" ca="1" si="138"/>
        <v>53758813.589467384</v>
      </c>
      <c r="J1951" s="444">
        <f t="array" ref="J1951">IFERROR(INDEX('Retirement Calculator'!J:J,MATCH('Isaac 401k'!N1951,'Retirement Calculator'!A:A,0),0),0)</f>
        <v>0</v>
      </c>
      <c r="K1951" s="444">
        <f t="shared" ca="1" si="136"/>
        <v>223995.0566227808</v>
      </c>
      <c r="L1951" s="444">
        <f t="shared" ca="1" si="137"/>
        <v>53982808.646090165</v>
      </c>
      <c r="M1951" s="460">
        <f t="shared" si="139"/>
        <v>0.05</v>
      </c>
      <c r="N1951" s="464">
        <f t="shared" si="140"/>
        <v>110425</v>
      </c>
    </row>
    <row r="1952" spans="7:14" ht="11.25" customHeight="1" x14ac:dyDescent="0.3">
      <c r="G1952" s="459"/>
      <c r="H1952" s="459">
        <v>1945</v>
      </c>
      <c r="I1952" s="444">
        <f t="shared" ca="1" si="138"/>
        <v>53982808.646090165</v>
      </c>
      <c r="J1952" s="444">
        <f t="array" ref="J1952">IFERROR(INDEX('Retirement Calculator'!J:J,MATCH('Isaac 401k'!N1952,'Retirement Calculator'!A:A,0),0),0)</f>
        <v>0</v>
      </c>
      <c r="K1952" s="444">
        <f t="shared" ca="1" si="136"/>
        <v>224928.36935870899</v>
      </c>
      <c r="L1952" s="444">
        <f t="shared" ca="1" si="137"/>
        <v>54207737.015448876</v>
      </c>
      <c r="M1952" s="460">
        <f t="shared" si="139"/>
        <v>0.05</v>
      </c>
      <c r="N1952" s="464">
        <f t="shared" si="140"/>
        <v>110456</v>
      </c>
    </row>
    <row r="1953" spans="7:14" ht="11.25" customHeight="1" x14ac:dyDescent="0.3">
      <c r="G1953" s="459"/>
      <c r="H1953" s="459">
        <v>1946</v>
      </c>
      <c r="I1953" s="444">
        <f t="shared" ca="1" si="138"/>
        <v>54207737.015448876</v>
      </c>
      <c r="J1953" s="444">
        <f t="array" ref="J1953">IFERROR(INDEX('Retirement Calculator'!J:J,MATCH('Isaac 401k'!N1953,'Retirement Calculator'!A:A,0),0),0)</f>
        <v>0</v>
      </c>
      <c r="K1953" s="444">
        <f t="shared" ca="1" si="136"/>
        <v>225865.57089770364</v>
      </c>
      <c r="L1953" s="444">
        <f t="shared" ca="1" si="137"/>
        <v>54433602.586346582</v>
      </c>
      <c r="M1953" s="460">
        <f t="shared" si="139"/>
        <v>0.05</v>
      </c>
      <c r="N1953" s="464">
        <f t="shared" si="140"/>
        <v>110486</v>
      </c>
    </row>
    <row r="1954" spans="7:14" ht="11.25" customHeight="1" x14ac:dyDescent="0.3">
      <c r="G1954" s="459"/>
      <c r="H1954" s="459">
        <v>1947</v>
      </c>
      <c r="I1954" s="444">
        <f t="shared" ca="1" si="138"/>
        <v>54433602.586346582</v>
      </c>
      <c r="J1954" s="444">
        <f t="array" ref="J1954">IFERROR(INDEX('Retirement Calculator'!J:J,MATCH('Isaac 401k'!N1954,'Retirement Calculator'!A:A,0),0),0)</f>
        <v>0</v>
      </c>
      <c r="K1954" s="444">
        <f t="shared" ca="1" si="136"/>
        <v>226806.67744311076</v>
      </c>
      <c r="L1954" s="444">
        <f t="shared" ca="1" si="137"/>
        <v>54660409.263789691</v>
      </c>
      <c r="M1954" s="460">
        <f t="shared" si="139"/>
        <v>0.05</v>
      </c>
      <c r="N1954" s="464">
        <f t="shared" si="140"/>
        <v>110517</v>
      </c>
    </row>
    <row r="1955" spans="7:14" ht="11.25" customHeight="1" x14ac:dyDescent="0.3">
      <c r="G1955" s="459"/>
      <c r="H1955" s="459">
        <v>1948</v>
      </c>
      <c r="I1955" s="444">
        <f t="shared" ca="1" si="138"/>
        <v>54660409.263789691</v>
      </c>
      <c r="J1955" s="444">
        <f t="array" ref="J1955">IFERROR(INDEX('Retirement Calculator'!J:J,MATCH('Isaac 401k'!N1955,'Retirement Calculator'!A:A,0),0),0)</f>
        <v>0</v>
      </c>
      <c r="K1955" s="444">
        <f t="shared" ca="1" si="136"/>
        <v>227751.70526579034</v>
      </c>
      <c r="L1955" s="444">
        <f t="shared" ca="1" si="137"/>
        <v>54888160.969055481</v>
      </c>
      <c r="M1955" s="460">
        <f t="shared" si="139"/>
        <v>0.05</v>
      </c>
      <c r="N1955" s="464">
        <f t="shared" si="140"/>
        <v>110548</v>
      </c>
    </row>
    <row r="1956" spans="7:14" ht="11.25" customHeight="1" x14ac:dyDescent="0.3">
      <c r="G1956" s="459"/>
      <c r="H1956" s="459">
        <v>1949</v>
      </c>
      <c r="I1956" s="444">
        <f t="shared" ca="1" si="138"/>
        <v>54888160.969055481</v>
      </c>
      <c r="J1956" s="444">
        <f t="array" ref="J1956">IFERROR(INDEX('Retirement Calculator'!J:J,MATCH('Isaac 401k'!N1956,'Retirement Calculator'!A:A,0),0),0)</f>
        <v>0</v>
      </c>
      <c r="K1956" s="444">
        <f t="shared" ca="1" si="136"/>
        <v>228700.67070439784</v>
      </c>
      <c r="L1956" s="444">
        <f t="shared" ca="1" si="137"/>
        <v>55116861.639759876</v>
      </c>
      <c r="M1956" s="460">
        <f t="shared" si="139"/>
        <v>0.05</v>
      </c>
      <c r="N1956" s="464">
        <f t="shared" si="140"/>
        <v>110578</v>
      </c>
    </row>
    <row r="1957" spans="7:14" ht="11.25" customHeight="1" x14ac:dyDescent="0.3">
      <c r="G1957" s="459"/>
      <c r="H1957" s="459">
        <v>1950</v>
      </c>
      <c r="I1957" s="444">
        <f t="shared" ca="1" si="138"/>
        <v>55116861.639759876</v>
      </c>
      <c r="J1957" s="444">
        <f t="array" ref="J1957">IFERROR(INDEX('Retirement Calculator'!J:J,MATCH('Isaac 401k'!N1957,'Retirement Calculator'!A:A,0),0),0)</f>
        <v>0</v>
      </c>
      <c r="K1957" s="444">
        <f t="shared" ca="1" si="136"/>
        <v>229653.59016566616</v>
      </c>
      <c r="L1957" s="444">
        <f t="shared" ca="1" si="137"/>
        <v>55346515.229925543</v>
      </c>
      <c r="M1957" s="460">
        <f t="shared" si="139"/>
        <v>0.05</v>
      </c>
      <c r="N1957" s="464">
        <f t="shared" si="140"/>
        <v>110609</v>
      </c>
    </row>
    <row r="1958" spans="7:14" ht="11.25" customHeight="1" x14ac:dyDescent="0.3">
      <c r="G1958" s="459"/>
      <c r="H1958" s="459">
        <v>1951</v>
      </c>
      <c r="I1958" s="444">
        <f t="shared" ca="1" si="138"/>
        <v>55346515.229925543</v>
      </c>
      <c r="J1958" s="444">
        <f t="array" ref="J1958">IFERROR(INDEX('Retirement Calculator'!J:J,MATCH('Isaac 401k'!N1958,'Retirement Calculator'!A:A,0),0),0)</f>
        <v>0</v>
      </c>
      <c r="K1958" s="444">
        <f t="shared" ca="1" si="136"/>
        <v>230610.48012468976</v>
      </c>
      <c r="L1958" s="444">
        <f t="shared" ca="1" si="137"/>
        <v>55577125.710050233</v>
      </c>
      <c r="M1958" s="460">
        <f t="shared" si="139"/>
        <v>0.05</v>
      </c>
      <c r="N1958" s="464">
        <f t="shared" si="140"/>
        <v>110639</v>
      </c>
    </row>
    <row r="1959" spans="7:14" ht="11.25" customHeight="1" x14ac:dyDescent="0.3">
      <c r="G1959" s="459"/>
      <c r="H1959" s="459">
        <v>1952</v>
      </c>
      <c r="I1959" s="444">
        <f t="shared" ca="1" si="138"/>
        <v>55577125.710050233</v>
      </c>
      <c r="J1959" s="444">
        <f t="array" ref="J1959">IFERROR(INDEX('Retirement Calculator'!J:J,MATCH('Isaac 401k'!N1959,'Retirement Calculator'!A:A,0),0),0)</f>
        <v>0</v>
      </c>
      <c r="K1959" s="444">
        <f t="shared" ca="1" si="136"/>
        <v>231571.3571252093</v>
      </c>
      <c r="L1959" s="444">
        <f t="shared" ca="1" si="137"/>
        <v>55808697.06717544</v>
      </c>
      <c r="M1959" s="460">
        <f t="shared" si="139"/>
        <v>0.05</v>
      </c>
      <c r="N1959" s="464">
        <f t="shared" si="140"/>
        <v>110670</v>
      </c>
    </row>
    <row r="1960" spans="7:14" ht="11.25" customHeight="1" x14ac:dyDescent="0.3">
      <c r="G1960" s="459"/>
      <c r="H1960" s="459">
        <v>1953</v>
      </c>
      <c r="I1960" s="444">
        <f t="shared" ca="1" si="138"/>
        <v>55808697.06717544</v>
      </c>
      <c r="J1960" s="444">
        <f t="array" ref="J1960">IFERROR(INDEX('Retirement Calculator'!J:J,MATCH('Isaac 401k'!N1960,'Retirement Calculator'!A:A,0),0),0)</f>
        <v>0</v>
      </c>
      <c r="K1960" s="444">
        <f t="shared" ca="1" si="136"/>
        <v>232536.23777989767</v>
      </c>
      <c r="L1960" s="444">
        <f t="shared" ca="1" si="137"/>
        <v>56041233.304955341</v>
      </c>
      <c r="M1960" s="460">
        <f t="shared" si="139"/>
        <v>0.05</v>
      </c>
      <c r="N1960" s="464">
        <f t="shared" si="140"/>
        <v>110701</v>
      </c>
    </row>
    <row r="1961" spans="7:14" ht="11.25" customHeight="1" x14ac:dyDescent="0.3">
      <c r="G1961" s="459"/>
      <c r="H1961" s="459">
        <v>1954</v>
      </c>
      <c r="I1961" s="444">
        <f t="shared" ca="1" si="138"/>
        <v>56041233.304955341</v>
      </c>
      <c r="J1961" s="444">
        <f t="array" ref="J1961">IFERROR(INDEX('Retirement Calculator'!J:J,MATCH('Isaac 401k'!N1961,'Retirement Calculator'!A:A,0),0),0)</f>
        <v>0</v>
      </c>
      <c r="K1961" s="444">
        <f t="shared" ca="1" si="136"/>
        <v>233505.13877064723</v>
      </c>
      <c r="L1961" s="444">
        <f t="shared" ca="1" si="137"/>
        <v>56274738.443725988</v>
      </c>
      <c r="M1961" s="460">
        <f t="shared" si="139"/>
        <v>0.05</v>
      </c>
      <c r="N1961" s="464">
        <f t="shared" si="140"/>
        <v>110729</v>
      </c>
    </row>
    <row r="1962" spans="7:14" ht="11.25" customHeight="1" x14ac:dyDescent="0.3">
      <c r="G1962" s="459"/>
      <c r="H1962" s="459">
        <v>1955</v>
      </c>
      <c r="I1962" s="444">
        <f t="shared" ca="1" si="138"/>
        <v>56274738.443725988</v>
      </c>
      <c r="J1962" s="444">
        <f t="array" ref="J1962">IFERROR(INDEX('Retirement Calculator'!J:J,MATCH('Isaac 401k'!N1962,'Retirement Calculator'!A:A,0),0),0)</f>
        <v>0</v>
      </c>
      <c r="K1962" s="444">
        <f t="shared" ca="1" si="136"/>
        <v>234478.0768488583</v>
      </c>
      <c r="L1962" s="444">
        <f t="shared" ca="1" si="137"/>
        <v>56509216.520574845</v>
      </c>
      <c r="M1962" s="460">
        <f t="shared" si="139"/>
        <v>0.05</v>
      </c>
      <c r="N1962" s="464">
        <f t="shared" si="140"/>
        <v>110760</v>
      </c>
    </row>
    <row r="1963" spans="7:14" ht="11.25" customHeight="1" x14ac:dyDescent="0.3">
      <c r="G1963" s="459"/>
      <c r="H1963" s="459">
        <v>1956</v>
      </c>
      <c r="I1963" s="444">
        <f t="shared" ca="1" si="138"/>
        <v>56509216.520574845</v>
      </c>
      <c r="J1963" s="444">
        <f t="array" ref="J1963">IFERROR(INDEX('Retirement Calculator'!J:J,MATCH('Isaac 401k'!N1963,'Retirement Calculator'!A:A,0),0),0)</f>
        <v>0</v>
      </c>
      <c r="K1963" s="444">
        <f t="shared" ca="1" si="136"/>
        <v>235455.06883572851</v>
      </c>
      <c r="L1963" s="444">
        <f t="shared" ca="1" si="137"/>
        <v>56744671.589410573</v>
      </c>
      <c r="M1963" s="460">
        <f t="shared" si="139"/>
        <v>0.05</v>
      </c>
      <c r="N1963" s="464">
        <f t="shared" si="140"/>
        <v>110790</v>
      </c>
    </row>
    <row r="1964" spans="7:14" ht="11.25" customHeight="1" x14ac:dyDescent="0.3">
      <c r="G1964" s="459"/>
      <c r="H1964" s="459">
        <v>1957</v>
      </c>
      <c r="I1964" s="444">
        <f t="shared" ca="1" si="138"/>
        <v>56744671.589410573</v>
      </c>
      <c r="J1964" s="444">
        <f t="array" ref="J1964">IFERROR(INDEX('Retirement Calculator'!J:J,MATCH('Isaac 401k'!N1964,'Retirement Calculator'!A:A,0),0),0)</f>
        <v>0</v>
      </c>
      <c r="K1964" s="444">
        <f t="shared" ca="1" si="136"/>
        <v>236436.13162254408</v>
      </c>
      <c r="L1964" s="444">
        <f t="shared" ca="1" si="137"/>
        <v>56981107.721033119</v>
      </c>
      <c r="M1964" s="460">
        <f t="shared" si="139"/>
        <v>0.05</v>
      </c>
      <c r="N1964" s="464">
        <f t="shared" si="140"/>
        <v>110821</v>
      </c>
    </row>
    <row r="1965" spans="7:14" ht="11.25" customHeight="1" x14ac:dyDescent="0.3">
      <c r="G1965" s="459"/>
      <c r="H1965" s="459">
        <v>1958</v>
      </c>
      <c r="I1965" s="444">
        <f t="shared" ca="1" si="138"/>
        <v>56981107.721033119</v>
      </c>
      <c r="J1965" s="444">
        <f t="array" ref="J1965">IFERROR(INDEX('Retirement Calculator'!J:J,MATCH('Isaac 401k'!N1965,'Retirement Calculator'!A:A,0),0),0)</f>
        <v>0</v>
      </c>
      <c r="K1965" s="444">
        <f t="shared" ca="1" si="136"/>
        <v>237421.28217097133</v>
      </c>
      <c r="L1965" s="444">
        <f t="shared" ca="1" si="137"/>
        <v>57218529.003204092</v>
      </c>
      <c r="M1965" s="460">
        <f t="shared" si="139"/>
        <v>0.05</v>
      </c>
      <c r="N1965" s="464">
        <f t="shared" si="140"/>
        <v>110851</v>
      </c>
    </row>
    <row r="1966" spans="7:14" ht="11.25" customHeight="1" x14ac:dyDescent="0.3">
      <c r="G1966" s="459"/>
      <c r="H1966" s="459">
        <v>1959</v>
      </c>
      <c r="I1966" s="444">
        <f t="shared" ca="1" si="138"/>
        <v>57218529.003204092</v>
      </c>
      <c r="J1966" s="444">
        <f t="array" ref="J1966">IFERROR(INDEX('Retirement Calculator'!J:J,MATCH('Isaac 401k'!N1966,'Retirement Calculator'!A:A,0),0),0)</f>
        <v>0</v>
      </c>
      <c r="K1966" s="444">
        <f t="shared" ca="1" si="136"/>
        <v>238410.53751335037</v>
      </c>
      <c r="L1966" s="444">
        <f t="shared" ca="1" si="137"/>
        <v>57456939.540717445</v>
      </c>
      <c r="M1966" s="460">
        <f t="shared" si="139"/>
        <v>0.05</v>
      </c>
      <c r="N1966" s="464">
        <f t="shared" si="140"/>
        <v>110882</v>
      </c>
    </row>
    <row r="1967" spans="7:14" ht="11.25" customHeight="1" x14ac:dyDescent="0.3">
      <c r="G1967" s="459"/>
      <c r="H1967" s="459">
        <v>1960</v>
      </c>
      <c r="I1967" s="444">
        <f t="shared" ca="1" si="138"/>
        <v>57456939.540717445</v>
      </c>
      <c r="J1967" s="444">
        <f t="array" ref="J1967">IFERROR(INDEX('Retirement Calculator'!J:J,MATCH('Isaac 401k'!N1967,'Retirement Calculator'!A:A,0),0),0)</f>
        <v>0</v>
      </c>
      <c r="K1967" s="444">
        <f t="shared" ca="1" si="136"/>
        <v>239403.91475298934</v>
      </c>
      <c r="L1967" s="444">
        <f t="shared" ca="1" si="137"/>
        <v>57696343.455470435</v>
      </c>
      <c r="M1967" s="460">
        <f t="shared" si="139"/>
        <v>0.05</v>
      </c>
      <c r="N1967" s="464">
        <f t="shared" si="140"/>
        <v>110913</v>
      </c>
    </row>
    <row r="1968" spans="7:14" ht="11.25" customHeight="1" x14ac:dyDescent="0.3">
      <c r="G1968" s="459"/>
      <c r="H1968" s="459">
        <v>1961</v>
      </c>
      <c r="I1968" s="444">
        <f t="shared" ca="1" si="138"/>
        <v>57696343.455470435</v>
      </c>
      <c r="J1968" s="444">
        <f t="array" ref="J1968">IFERROR(INDEX('Retirement Calculator'!J:J,MATCH('Isaac 401k'!N1968,'Retirement Calculator'!A:A,0),0),0)</f>
        <v>0</v>
      </c>
      <c r="K1968" s="444">
        <f t="shared" ca="1" si="136"/>
        <v>240401.43106446014</v>
      </c>
      <c r="L1968" s="444">
        <f t="shared" ca="1" si="137"/>
        <v>57936744.886534892</v>
      </c>
      <c r="M1968" s="460">
        <f t="shared" si="139"/>
        <v>0.05</v>
      </c>
      <c r="N1968" s="464">
        <f t="shared" si="140"/>
        <v>110943</v>
      </c>
    </row>
    <row r="1969" spans="7:14" ht="11.25" customHeight="1" x14ac:dyDescent="0.3">
      <c r="G1969" s="459"/>
      <c r="H1969" s="459">
        <v>1962</v>
      </c>
      <c r="I1969" s="444">
        <f t="shared" ca="1" si="138"/>
        <v>57936744.886534892</v>
      </c>
      <c r="J1969" s="444">
        <f t="array" ref="J1969">IFERROR(INDEX('Retirement Calculator'!J:J,MATCH('Isaac 401k'!N1969,'Retirement Calculator'!A:A,0),0),0)</f>
        <v>0</v>
      </c>
      <c r="K1969" s="444">
        <f t="shared" ca="1" si="136"/>
        <v>241403.10369389536</v>
      </c>
      <c r="L1969" s="444">
        <f t="shared" ca="1" si="137"/>
        <v>58178147.990228787</v>
      </c>
      <c r="M1969" s="460">
        <f t="shared" si="139"/>
        <v>0.05</v>
      </c>
      <c r="N1969" s="464">
        <f t="shared" si="140"/>
        <v>110974</v>
      </c>
    </row>
    <row r="1970" spans="7:14" ht="11.25" customHeight="1" x14ac:dyDescent="0.3">
      <c r="G1970" s="459"/>
      <c r="H1970" s="459">
        <v>1963</v>
      </c>
      <c r="I1970" s="444">
        <f t="shared" ca="1" si="138"/>
        <v>58178147.990228787</v>
      </c>
      <c r="J1970" s="444">
        <f t="array" ref="J1970">IFERROR(INDEX('Retirement Calculator'!J:J,MATCH('Isaac 401k'!N1970,'Retirement Calculator'!A:A,0),0),0)</f>
        <v>0</v>
      </c>
      <c r="K1970" s="444">
        <f t="shared" ca="1" si="136"/>
        <v>242408.94995928661</v>
      </c>
      <c r="L1970" s="444">
        <f t="shared" ca="1" si="137"/>
        <v>58420556.940188073</v>
      </c>
      <c r="M1970" s="460">
        <f t="shared" si="139"/>
        <v>0.05</v>
      </c>
      <c r="N1970" s="464">
        <f t="shared" si="140"/>
        <v>111004</v>
      </c>
    </row>
    <row r="1971" spans="7:14" ht="11.25" customHeight="1" x14ac:dyDescent="0.3">
      <c r="G1971" s="459"/>
      <c r="H1971" s="459">
        <v>1964</v>
      </c>
      <c r="I1971" s="444">
        <f t="shared" ca="1" si="138"/>
        <v>58420556.940188073</v>
      </c>
      <c r="J1971" s="444">
        <f t="array" ref="J1971">IFERROR(INDEX('Retirement Calculator'!J:J,MATCH('Isaac 401k'!N1971,'Retirement Calculator'!A:A,0),0),0)</f>
        <v>0</v>
      </c>
      <c r="K1971" s="444">
        <f t="shared" ca="1" si="136"/>
        <v>243418.98725078363</v>
      </c>
      <c r="L1971" s="444">
        <f t="shared" ca="1" si="137"/>
        <v>58663975.927438855</v>
      </c>
      <c r="M1971" s="460">
        <f t="shared" si="139"/>
        <v>0.05</v>
      </c>
      <c r="N1971" s="464">
        <f t="shared" si="140"/>
        <v>111035</v>
      </c>
    </row>
    <row r="1972" spans="7:14" ht="11.25" customHeight="1" x14ac:dyDescent="0.3">
      <c r="G1972" s="459"/>
      <c r="H1972" s="459">
        <v>1965</v>
      </c>
      <c r="I1972" s="444">
        <f t="shared" ca="1" si="138"/>
        <v>58663975.927438855</v>
      </c>
      <c r="J1972" s="444">
        <f t="array" ref="J1972">IFERROR(INDEX('Retirement Calculator'!J:J,MATCH('Isaac 401k'!N1972,'Retirement Calculator'!A:A,0),0),0)</f>
        <v>0</v>
      </c>
      <c r="K1972" s="444">
        <f t="shared" ca="1" si="136"/>
        <v>244433.23303099524</v>
      </c>
      <c r="L1972" s="444">
        <f t="shared" ca="1" si="137"/>
        <v>58908409.160469852</v>
      </c>
      <c r="M1972" s="460">
        <f t="shared" si="139"/>
        <v>0.05</v>
      </c>
      <c r="N1972" s="464">
        <f t="shared" si="140"/>
        <v>111066</v>
      </c>
    </row>
    <row r="1973" spans="7:14" ht="11.25" customHeight="1" x14ac:dyDescent="0.3">
      <c r="G1973" s="459"/>
      <c r="H1973" s="459">
        <v>1966</v>
      </c>
      <c r="I1973" s="444">
        <f t="shared" ca="1" si="138"/>
        <v>58908409.160469852</v>
      </c>
      <c r="J1973" s="444">
        <f t="array" ref="J1973">IFERROR(INDEX('Retirement Calculator'!J:J,MATCH('Isaac 401k'!N1973,'Retirement Calculator'!A:A,0),0),0)</f>
        <v>0</v>
      </c>
      <c r="K1973" s="444">
        <f t="shared" ca="1" si="136"/>
        <v>245451.70483529105</v>
      </c>
      <c r="L1973" s="444">
        <f t="shared" ca="1" si="137"/>
        <v>59153860.865305141</v>
      </c>
      <c r="M1973" s="460">
        <f t="shared" si="139"/>
        <v>0.05</v>
      </c>
      <c r="N1973" s="464">
        <f t="shared" si="140"/>
        <v>111095</v>
      </c>
    </row>
    <row r="1974" spans="7:14" ht="11.25" customHeight="1" x14ac:dyDescent="0.3">
      <c r="G1974" s="459"/>
      <c r="H1974" s="459">
        <v>1967</v>
      </c>
      <c r="I1974" s="444">
        <f t="shared" ca="1" si="138"/>
        <v>59153860.865305141</v>
      </c>
      <c r="J1974" s="444">
        <f t="array" ref="J1974">IFERROR(INDEX('Retirement Calculator'!J:J,MATCH('Isaac 401k'!N1974,'Retirement Calculator'!A:A,0),0),0)</f>
        <v>0</v>
      </c>
      <c r="K1974" s="444">
        <f t="shared" ca="1" si="136"/>
        <v>246474.4202721047</v>
      </c>
      <c r="L1974" s="444">
        <f t="shared" ca="1" si="137"/>
        <v>59400335.285577245</v>
      </c>
      <c r="M1974" s="460">
        <f t="shared" si="139"/>
        <v>0.05</v>
      </c>
      <c r="N1974" s="464">
        <f t="shared" si="140"/>
        <v>111126</v>
      </c>
    </row>
    <row r="1975" spans="7:14" ht="11.25" customHeight="1" x14ac:dyDescent="0.3">
      <c r="G1975" s="459"/>
      <c r="H1975" s="459">
        <v>1968</v>
      </c>
      <c r="I1975" s="444">
        <f t="shared" ca="1" si="138"/>
        <v>59400335.285577245</v>
      </c>
      <c r="J1975" s="444">
        <f t="array" ref="J1975">IFERROR(INDEX('Retirement Calculator'!J:J,MATCH('Isaac 401k'!N1975,'Retirement Calculator'!A:A,0),0),0)</f>
        <v>0</v>
      </c>
      <c r="K1975" s="444">
        <f t="shared" ca="1" si="136"/>
        <v>247501.39702323856</v>
      </c>
      <c r="L1975" s="444">
        <f t="shared" ca="1" si="137"/>
        <v>59647836.682600483</v>
      </c>
      <c r="M1975" s="460">
        <f t="shared" si="139"/>
        <v>0.05</v>
      </c>
      <c r="N1975" s="464">
        <f t="shared" si="140"/>
        <v>111156</v>
      </c>
    </row>
    <row r="1976" spans="7:14" ht="11.25" customHeight="1" x14ac:dyDescent="0.3">
      <c r="G1976" s="459"/>
      <c r="H1976" s="459">
        <v>1969</v>
      </c>
      <c r="I1976" s="444">
        <f t="shared" ca="1" si="138"/>
        <v>59647836.682600483</v>
      </c>
      <c r="J1976" s="444">
        <f t="array" ref="J1976">IFERROR(INDEX('Retirement Calculator'!J:J,MATCH('Isaac 401k'!N1976,'Retirement Calculator'!A:A,0),0),0)</f>
        <v>0</v>
      </c>
      <c r="K1976" s="444">
        <f t="shared" ca="1" si="136"/>
        <v>248532.65284416871</v>
      </c>
      <c r="L1976" s="444">
        <f t="shared" ca="1" si="137"/>
        <v>59896369.335444652</v>
      </c>
      <c r="M1976" s="460">
        <f t="shared" si="139"/>
        <v>0.05</v>
      </c>
      <c r="N1976" s="464">
        <f t="shared" si="140"/>
        <v>111187</v>
      </c>
    </row>
    <row r="1977" spans="7:14" ht="11.25" customHeight="1" x14ac:dyDescent="0.3">
      <c r="G1977" s="459"/>
      <c r="H1977" s="459">
        <v>1970</v>
      </c>
      <c r="I1977" s="444">
        <f t="shared" ca="1" si="138"/>
        <v>59896369.335444652</v>
      </c>
      <c r="J1977" s="444">
        <f t="array" ref="J1977">IFERROR(INDEX('Retirement Calculator'!J:J,MATCH('Isaac 401k'!N1977,'Retirement Calculator'!A:A,0),0),0)</f>
        <v>0</v>
      </c>
      <c r="K1977" s="444">
        <f t="shared" ca="1" si="136"/>
        <v>249568.20556435274</v>
      </c>
      <c r="L1977" s="444">
        <f t="shared" ca="1" si="137"/>
        <v>60145937.541009001</v>
      </c>
      <c r="M1977" s="460">
        <f t="shared" si="139"/>
        <v>0.05</v>
      </c>
      <c r="N1977" s="464">
        <f t="shared" si="140"/>
        <v>111217</v>
      </c>
    </row>
    <row r="1978" spans="7:14" ht="11.25" customHeight="1" x14ac:dyDescent="0.3">
      <c r="G1978" s="459"/>
      <c r="H1978" s="459">
        <v>1971</v>
      </c>
      <c r="I1978" s="444">
        <f t="shared" ca="1" si="138"/>
        <v>60145937.541009001</v>
      </c>
      <c r="J1978" s="444">
        <f t="array" ref="J1978">IFERROR(INDEX('Retirement Calculator'!J:J,MATCH('Isaac 401k'!N1978,'Retirement Calculator'!A:A,0),0),0)</f>
        <v>0</v>
      </c>
      <c r="K1978" s="444">
        <f t="shared" ca="1" si="136"/>
        <v>250608.07308753752</v>
      </c>
      <c r="L1978" s="444">
        <f t="shared" ca="1" si="137"/>
        <v>60396545.614096537</v>
      </c>
      <c r="M1978" s="460">
        <f t="shared" si="139"/>
        <v>0.05</v>
      </c>
      <c r="N1978" s="464">
        <f t="shared" si="140"/>
        <v>111248</v>
      </c>
    </row>
    <row r="1979" spans="7:14" ht="11.25" customHeight="1" x14ac:dyDescent="0.3">
      <c r="G1979" s="459"/>
      <c r="H1979" s="459">
        <v>1972</v>
      </c>
      <c r="I1979" s="444">
        <f t="shared" ca="1" si="138"/>
        <v>60396545.614096537</v>
      </c>
      <c r="J1979" s="444">
        <f t="array" ref="J1979">IFERROR(INDEX('Retirement Calculator'!J:J,MATCH('Isaac 401k'!N1979,'Retirement Calculator'!A:A,0),0),0)</f>
        <v>0</v>
      </c>
      <c r="K1979" s="444">
        <f t="shared" ca="1" si="136"/>
        <v>251652.27339206892</v>
      </c>
      <c r="L1979" s="444">
        <f t="shared" ca="1" si="137"/>
        <v>60648197.887488604</v>
      </c>
      <c r="M1979" s="460">
        <f t="shared" si="139"/>
        <v>0.05</v>
      </c>
      <c r="N1979" s="464">
        <f t="shared" si="140"/>
        <v>111279</v>
      </c>
    </row>
    <row r="1980" spans="7:14" ht="11.25" customHeight="1" x14ac:dyDescent="0.3">
      <c r="G1980" s="459"/>
      <c r="H1980" s="459">
        <v>1973</v>
      </c>
      <c r="I1980" s="444">
        <f t="shared" ca="1" si="138"/>
        <v>60648197.887488604</v>
      </c>
      <c r="J1980" s="444">
        <f t="array" ref="J1980">IFERROR(INDEX('Retirement Calculator'!J:J,MATCH('Isaac 401k'!N1980,'Retirement Calculator'!A:A,0),0),0)</f>
        <v>0</v>
      </c>
      <c r="K1980" s="444">
        <f t="shared" ca="1" si="136"/>
        <v>252700.82453120252</v>
      </c>
      <c r="L1980" s="444">
        <f t="shared" ca="1" si="137"/>
        <v>60900898.712019809</v>
      </c>
      <c r="M1980" s="460">
        <f t="shared" si="139"/>
        <v>0.05</v>
      </c>
      <c r="N1980" s="464">
        <f t="shared" si="140"/>
        <v>111309</v>
      </c>
    </row>
    <row r="1981" spans="7:14" ht="11.25" customHeight="1" x14ac:dyDescent="0.3">
      <c r="G1981" s="459"/>
      <c r="H1981" s="459">
        <v>1974</v>
      </c>
      <c r="I1981" s="444">
        <f t="shared" ca="1" si="138"/>
        <v>60900898.712019809</v>
      </c>
      <c r="J1981" s="444">
        <f t="array" ref="J1981">IFERROR(INDEX('Retirement Calculator'!J:J,MATCH('Isaac 401k'!N1981,'Retirement Calculator'!A:A,0),0),0)</f>
        <v>0</v>
      </c>
      <c r="K1981" s="444">
        <f t="shared" ca="1" si="136"/>
        <v>253753.74463341586</v>
      </c>
      <c r="L1981" s="444">
        <f t="shared" ca="1" si="137"/>
        <v>61154652.456653222</v>
      </c>
      <c r="M1981" s="460">
        <f t="shared" si="139"/>
        <v>0.05</v>
      </c>
      <c r="N1981" s="464">
        <f t="shared" si="140"/>
        <v>111340</v>
      </c>
    </row>
    <row r="1982" spans="7:14" ht="11.25" customHeight="1" x14ac:dyDescent="0.3">
      <c r="G1982" s="459"/>
      <c r="H1982" s="459">
        <v>1975</v>
      </c>
      <c r="I1982" s="444">
        <f t="shared" ca="1" si="138"/>
        <v>61154652.456653222</v>
      </c>
      <c r="J1982" s="444">
        <f t="array" ref="J1982">IFERROR(INDEX('Retirement Calculator'!J:J,MATCH('Isaac 401k'!N1982,'Retirement Calculator'!A:A,0),0),0)</f>
        <v>0</v>
      </c>
      <c r="K1982" s="444">
        <f t="shared" ca="1" si="136"/>
        <v>254811.05190272172</v>
      </c>
      <c r="L1982" s="444">
        <f t="shared" ca="1" si="137"/>
        <v>61409463.508555941</v>
      </c>
      <c r="M1982" s="460">
        <f t="shared" si="139"/>
        <v>0.05</v>
      </c>
      <c r="N1982" s="464">
        <f t="shared" si="140"/>
        <v>111370</v>
      </c>
    </row>
    <row r="1983" spans="7:14" ht="11.25" customHeight="1" x14ac:dyDescent="0.3">
      <c r="G1983" s="459"/>
      <c r="H1983" s="459">
        <v>1976</v>
      </c>
      <c r="I1983" s="444">
        <f t="shared" ca="1" si="138"/>
        <v>61409463.508555941</v>
      </c>
      <c r="J1983" s="444">
        <f t="array" ref="J1983">IFERROR(INDEX('Retirement Calculator'!J:J,MATCH('Isaac 401k'!N1983,'Retirement Calculator'!A:A,0),0),0)</f>
        <v>0</v>
      </c>
      <c r="K1983" s="444">
        <f t="shared" ca="1" si="136"/>
        <v>255872.76461898308</v>
      </c>
      <c r="L1983" s="444">
        <f t="shared" ca="1" si="137"/>
        <v>61665336.273174927</v>
      </c>
      <c r="M1983" s="460">
        <f t="shared" si="139"/>
        <v>0.05</v>
      </c>
      <c r="N1983" s="464">
        <f t="shared" si="140"/>
        <v>111401</v>
      </c>
    </row>
    <row r="1984" spans="7:14" ht="11.25" customHeight="1" x14ac:dyDescent="0.3">
      <c r="G1984" s="459"/>
      <c r="H1984" s="459">
        <v>1977</v>
      </c>
      <c r="I1984" s="444">
        <f t="shared" ca="1" si="138"/>
        <v>61665336.273174927</v>
      </c>
      <c r="J1984" s="444">
        <f t="array" ref="J1984">IFERROR(INDEX('Retirement Calculator'!J:J,MATCH('Isaac 401k'!N1984,'Retirement Calculator'!A:A,0),0),0)</f>
        <v>0</v>
      </c>
      <c r="K1984" s="444">
        <f t="shared" ca="1" si="136"/>
        <v>256938.90113822886</v>
      </c>
      <c r="L1984" s="444">
        <f t="shared" ca="1" si="137"/>
        <v>61922275.174313158</v>
      </c>
      <c r="M1984" s="460">
        <f t="shared" si="139"/>
        <v>0.05</v>
      </c>
      <c r="N1984" s="464">
        <f t="shared" si="140"/>
        <v>111432</v>
      </c>
    </row>
    <row r="1985" spans="7:14" ht="11.25" customHeight="1" x14ac:dyDescent="0.3">
      <c r="G1985" s="459"/>
      <c r="H1985" s="459">
        <v>1978</v>
      </c>
      <c r="I1985" s="444">
        <f t="shared" ca="1" si="138"/>
        <v>61922275.174313158</v>
      </c>
      <c r="J1985" s="444">
        <f t="array" ref="J1985">IFERROR(INDEX('Retirement Calculator'!J:J,MATCH('Isaac 401k'!N1985,'Retirement Calculator'!A:A,0),0),0)</f>
        <v>0</v>
      </c>
      <c r="K1985" s="444">
        <f t="shared" ca="1" si="136"/>
        <v>258009.47989297152</v>
      </c>
      <c r="L1985" s="444">
        <f t="shared" ca="1" si="137"/>
        <v>62180284.654206127</v>
      </c>
      <c r="M1985" s="460">
        <f t="shared" si="139"/>
        <v>0.05</v>
      </c>
      <c r="N1985" s="464">
        <f t="shared" si="140"/>
        <v>111460</v>
      </c>
    </row>
    <row r="1986" spans="7:14" ht="11.25" customHeight="1" x14ac:dyDescent="0.3">
      <c r="G1986" s="459"/>
      <c r="H1986" s="459">
        <v>1979</v>
      </c>
      <c r="I1986" s="444">
        <f t="shared" ca="1" si="138"/>
        <v>62180284.654206127</v>
      </c>
      <c r="J1986" s="444">
        <f t="array" ref="J1986">IFERROR(INDEX('Retirement Calculator'!J:J,MATCH('Isaac 401k'!N1986,'Retirement Calculator'!A:A,0),0),0)</f>
        <v>0</v>
      </c>
      <c r="K1986" s="444">
        <f t="shared" ca="1" si="136"/>
        <v>259084.51939252552</v>
      </c>
      <c r="L1986" s="444">
        <f t="shared" ca="1" si="137"/>
        <v>62439369.173598655</v>
      </c>
      <c r="M1986" s="460">
        <f t="shared" si="139"/>
        <v>0.05</v>
      </c>
      <c r="N1986" s="464">
        <f t="shared" si="140"/>
        <v>111491</v>
      </c>
    </row>
    <row r="1987" spans="7:14" ht="11.25" customHeight="1" x14ac:dyDescent="0.3">
      <c r="G1987" s="459"/>
      <c r="H1987" s="459">
        <v>1980</v>
      </c>
      <c r="I1987" s="444">
        <f t="shared" ca="1" si="138"/>
        <v>62439369.173598655</v>
      </c>
      <c r="J1987" s="444">
        <f t="array" ref="J1987">IFERROR(INDEX('Retirement Calculator'!J:J,MATCH('Isaac 401k'!N1987,'Retirement Calculator'!A:A,0),0),0)</f>
        <v>0</v>
      </c>
      <c r="K1987" s="444">
        <f t="shared" ca="1" si="136"/>
        <v>260164.03822332775</v>
      </c>
      <c r="L1987" s="444">
        <f t="shared" ca="1" si="137"/>
        <v>62699533.211821981</v>
      </c>
      <c r="M1987" s="460">
        <f t="shared" si="139"/>
        <v>0.05</v>
      </c>
      <c r="N1987" s="464">
        <f t="shared" si="140"/>
        <v>111521</v>
      </c>
    </row>
    <row r="1988" spans="7:14" ht="11.25" customHeight="1" x14ac:dyDescent="0.3">
      <c r="G1988" s="459"/>
      <c r="H1988" s="459">
        <v>1981</v>
      </c>
      <c r="I1988" s="444">
        <f t="shared" ca="1" si="138"/>
        <v>62699533.211821981</v>
      </c>
      <c r="J1988" s="444">
        <f t="array" ref="J1988">IFERROR(INDEX('Retirement Calculator'!J:J,MATCH('Isaac 401k'!N1988,'Retirement Calculator'!A:A,0),0),0)</f>
        <v>0</v>
      </c>
      <c r="K1988" s="444">
        <f t="shared" ca="1" si="136"/>
        <v>261248.05504925826</v>
      </c>
      <c r="L1988" s="444">
        <f t="shared" ca="1" si="137"/>
        <v>62960781.266871236</v>
      </c>
      <c r="M1988" s="460">
        <f t="shared" si="139"/>
        <v>0.05</v>
      </c>
      <c r="N1988" s="464">
        <f t="shared" si="140"/>
        <v>111552</v>
      </c>
    </row>
    <row r="1989" spans="7:14" ht="11.25" customHeight="1" x14ac:dyDescent="0.3">
      <c r="G1989" s="459"/>
      <c r="H1989" s="459">
        <v>1982</v>
      </c>
      <c r="I1989" s="444">
        <f t="shared" ca="1" si="138"/>
        <v>62960781.266871236</v>
      </c>
      <c r="J1989" s="444">
        <f t="array" ref="J1989">IFERROR(INDEX('Retirement Calculator'!J:J,MATCH('Isaac 401k'!N1989,'Retirement Calculator'!A:A,0),0),0)</f>
        <v>0</v>
      </c>
      <c r="K1989" s="444">
        <f t="shared" ca="1" si="136"/>
        <v>262336.5886119635</v>
      </c>
      <c r="L1989" s="444">
        <f t="shared" ca="1" si="137"/>
        <v>63223117.855483197</v>
      </c>
      <c r="M1989" s="460">
        <f t="shared" si="139"/>
        <v>0.05</v>
      </c>
      <c r="N1989" s="464">
        <f t="shared" si="140"/>
        <v>111582</v>
      </c>
    </row>
    <row r="1990" spans="7:14" ht="11.25" customHeight="1" x14ac:dyDescent="0.3">
      <c r="G1990" s="459"/>
      <c r="H1990" s="459">
        <v>1983</v>
      </c>
      <c r="I1990" s="444">
        <f t="shared" ca="1" si="138"/>
        <v>63223117.855483197</v>
      </c>
      <c r="J1990" s="444">
        <f t="array" ref="J1990">IFERROR(INDEX('Retirement Calculator'!J:J,MATCH('Isaac 401k'!N1990,'Retirement Calculator'!A:A,0),0),0)</f>
        <v>0</v>
      </c>
      <c r="K1990" s="444">
        <f t="shared" ca="1" si="136"/>
        <v>263429.65773118002</v>
      </c>
      <c r="L1990" s="444">
        <f t="shared" ca="1" si="137"/>
        <v>63486547.51321438</v>
      </c>
      <c r="M1990" s="460">
        <f t="shared" si="139"/>
        <v>0.05</v>
      </c>
      <c r="N1990" s="464">
        <f t="shared" si="140"/>
        <v>111613</v>
      </c>
    </row>
    <row r="1991" spans="7:14" ht="11.25" customHeight="1" x14ac:dyDescent="0.3">
      <c r="G1991" s="459"/>
      <c r="H1991" s="459">
        <v>1984</v>
      </c>
      <c r="I1991" s="444">
        <f t="shared" ca="1" si="138"/>
        <v>63486547.51321438</v>
      </c>
      <c r="J1991" s="444">
        <f t="array" ref="J1991">IFERROR(INDEX('Retirement Calculator'!J:J,MATCH('Isaac 401k'!N1991,'Retirement Calculator'!A:A,0),0),0)</f>
        <v>0</v>
      </c>
      <c r="K1991" s="444">
        <f t="shared" ca="1" si="136"/>
        <v>264527.28130505991</v>
      </c>
      <c r="L1991" s="444">
        <f t="shared" ca="1" si="137"/>
        <v>63751074.794519439</v>
      </c>
      <c r="M1991" s="460">
        <f t="shared" si="139"/>
        <v>0.05</v>
      </c>
      <c r="N1991" s="464">
        <f t="shared" si="140"/>
        <v>111644</v>
      </c>
    </row>
    <row r="1992" spans="7:14" ht="11.25" customHeight="1" x14ac:dyDescent="0.3">
      <c r="G1992" s="459"/>
      <c r="H1992" s="459">
        <v>1985</v>
      </c>
      <c r="I1992" s="444">
        <f t="shared" ca="1" si="138"/>
        <v>63751074.794519439</v>
      </c>
      <c r="J1992" s="444">
        <f t="array" ref="J1992">IFERROR(INDEX('Retirement Calculator'!J:J,MATCH('Isaac 401k'!N1992,'Retirement Calculator'!A:A,0),0),0)</f>
        <v>0</v>
      </c>
      <c r="K1992" s="444">
        <f t="shared" ca="1" si="136"/>
        <v>265629.47831049771</v>
      </c>
      <c r="L1992" s="444">
        <f t="shared" ca="1" si="137"/>
        <v>64016704.272829935</v>
      </c>
      <c r="M1992" s="460">
        <f t="shared" si="139"/>
        <v>0.05</v>
      </c>
      <c r="N1992" s="464">
        <f t="shared" si="140"/>
        <v>111674</v>
      </c>
    </row>
    <row r="1993" spans="7:14" ht="11.25" customHeight="1" x14ac:dyDescent="0.3">
      <c r="G1993" s="459"/>
      <c r="H1993" s="459">
        <v>1986</v>
      </c>
      <c r="I1993" s="444">
        <f t="shared" ca="1" si="138"/>
        <v>64016704.272829935</v>
      </c>
      <c r="J1993" s="444">
        <f t="array" ref="J1993">IFERROR(INDEX('Retirement Calculator'!J:J,MATCH('Isaac 401k'!N1993,'Retirement Calculator'!A:A,0),0),0)</f>
        <v>0</v>
      </c>
      <c r="K1993" s="444">
        <f t="shared" ca="1" si="136"/>
        <v>266736.26780345803</v>
      </c>
      <c r="L1993" s="444">
        <f t="shared" ca="1" si="137"/>
        <v>64283440.540633395</v>
      </c>
      <c r="M1993" s="460">
        <f t="shared" si="139"/>
        <v>0.05</v>
      </c>
      <c r="N1993" s="464">
        <f t="shared" si="140"/>
        <v>111705</v>
      </c>
    </row>
    <row r="1994" spans="7:14" ht="11.25" customHeight="1" x14ac:dyDescent="0.3">
      <c r="G1994" s="459"/>
      <c r="H1994" s="459">
        <v>1987</v>
      </c>
      <c r="I1994" s="444">
        <f t="shared" ca="1" si="138"/>
        <v>64283440.540633395</v>
      </c>
      <c r="J1994" s="444">
        <f t="array" ref="J1994">IFERROR(INDEX('Retirement Calculator'!J:J,MATCH('Isaac 401k'!N1994,'Retirement Calculator'!A:A,0),0),0)</f>
        <v>0</v>
      </c>
      <c r="K1994" s="444">
        <f t="shared" ca="1" si="136"/>
        <v>267847.66891930578</v>
      </c>
      <c r="L1994" s="444">
        <f t="shared" ca="1" si="137"/>
        <v>64551288.209552698</v>
      </c>
      <c r="M1994" s="460">
        <f t="shared" si="139"/>
        <v>0.05</v>
      </c>
      <c r="N1994" s="464">
        <f t="shared" si="140"/>
        <v>111735</v>
      </c>
    </row>
    <row r="1995" spans="7:14" ht="11.25" customHeight="1" x14ac:dyDescent="0.3">
      <c r="G1995" s="459"/>
      <c r="H1995" s="459">
        <v>1988</v>
      </c>
      <c r="I1995" s="444">
        <f t="shared" ca="1" si="138"/>
        <v>64551288.209552698</v>
      </c>
      <c r="J1995" s="444">
        <f t="array" ref="J1995">IFERROR(INDEX('Retirement Calculator'!J:J,MATCH('Isaac 401k'!N1995,'Retirement Calculator'!A:A,0),0),0)</f>
        <v>0</v>
      </c>
      <c r="K1995" s="444">
        <f t="shared" ca="1" si="136"/>
        <v>268963.70087313629</v>
      </c>
      <c r="L1995" s="444">
        <f t="shared" ca="1" si="137"/>
        <v>64820251.910425834</v>
      </c>
      <c r="M1995" s="460">
        <f t="shared" si="139"/>
        <v>0.05</v>
      </c>
      <c r="N1995" s="464">
        <f t="shared" si="140"/>
        <v>111766</v>
      </c>
    </row>
    <row r="1996" spans="7:14" ht="11.25" customHeight="1" x14ac:dyDescent="0.3">
      <c r="G1996" s="459"/>
      <c r="H1996" s="459">
        <v>1989</v>
      </c>
      <c r="I1996" s="444">
        <f t="shared" ca="1" si="138"/>
        <v>64820251.910425834</v>
      </c>
      <c r="J1996" s="444">
        <f t="array" ref="J1996">IFERROR(INDEX('Retirement Calculator'!J:J,MATCH('Isaac 401k'!N1996,'Retirement Calculator'!A:A,0),0),0)</f>
        <v>0</v>
      </c>
      <c r="K1996" s="444">
        <f t="shared" ca="1" si="136"/>
        <v>270084.38296010764</v>
      </c>
      <c r="L1996" s="444">
        <f t="shared" ca="1" si="137"/>
        <v>65090336.293385945</v>
      </c>
      <c r="M1996" s="460">
        <f t="shared" si="139"/>
        <v>0.05</v>
      </c>
      <c r="N1996" s="464">
        <f t="shared" si="140"/>
        <v>111797</v>
      </c>
    </row>
    <row r="1997" spans="7:14" ht="11.25" customHeight="1" x14ac:dyDescent="0.3">
      <c r="G1997" s="459"/>
      <c r="H1997" s="459">
        <v>1990</v>
      </c>
      <c r="I1997" s="444">
        <f t="shared" ca="1" si="138"/>
        <v>65090336.293385945</v>
      </c>
      <c r="J1997" s="444">
        <f t="array" ref="J1997">IFERROR(INDEX('Retirement Calculator'!J:J,MATCH('Isaac 401k'!N1997,'Retirement Calculator'!A:A,0),0),0)</f>
        <v>0</v>
      </c>
      <c r="K1997" s="444">
        <f t="shared" ca="1" si="136"/>
        <v>271209.73455577478</v>
      </c>
      <c r="L1997" s="444">
        <f t="shared" ca="1" si="137"/>
        <v>65361546.027941719</v>
      </c>
      <c r="M1997" s="460">
        <f t="shared" si="139"/>
        <v>0.05</v>
      </c>
      <c r="N1997" s="464">
        <f t="shared" si="140"/>
        <v>111825</v>
      </c>
    </row>
    <row r="1998" spans="7:14" ht="11.25" customHeight="1" x14ac:dyDescent="0.3">
      <c r="G1998" s="459"/>
      <c r="H1998" s="459">
        <v>1991</v>
      </c>
      <c r="I1998" s="444">
        <f t="shared" ca="1" si="138"/>
        <v>65361546.027941719</v>
      </c>
      <c r="J1998" s="444">
        <f t="array" ref="J1998">IFERROR(INDEX('Retirement Calculator'!J:J,MATCH('Isaac 401k'!N1998,'Retirement Calculator'!A:A,0),0),0)</f>
        <v>0</v>
      </c>
      <c r="K1998" s="444">
        <f t="shared" ca="1" si="136"/>
        <v>272339.77511642384</v>
      </c>
      <c r="L1998" s="444">
        <f t="shared" ca="1" si="137"/>
        <v>65633885.80305814</v>
      </c>
      <c r="M1998" s="460">
        <f t="shared" si="139"/>
        <v>0.05</v>
      </c>
      <c r="N1998" s="464">
        <f t="shared" si="140"/>
        <v>111856</v>
      </c>
    </row>
    <row r="1999" spans="7:14" ht="11.25" customHeight="1" x14ac:dyDescent="0.3">
      <c r="G1999" s="459"/>
      <c r="H1999" s="459">
        <v>1992</v>
      </c>
      <c r="I1999" s="444">
        <f t="shared" ca="1" si="138"/>
        <v>65633885.80305814</v>
      </c>
      <c r="J1999" s="444">
        <f t="array" ref="J1999">IFERROR(INDEX('Retirement Calculator'!J:J,MATCH('Isaac 401k'!N1999,'Retirement Calculator'!A:A,0),0),0)</f>
        <v>0</v>
      </c>
      <c r="K1999" s="444">
        <f t="shared" ca="1" si="136"/>
        <v>273474.52417940891</v>
      </c>
      <c r="L1999" s="444">
        <f t="shared" ca="1" si="137"/>
        <v>65907360.327237546</v>
      </c>
      <c r="M1999" s="460">
        <f t="shared" si="139"/>
        <v>0.05</v>
      </c>
      <c r="N1999" s="464">
        <f t="shared" si="140"/>
        <v>111886</v>
      </c>
    </row>
    <row r="2000" spans="7:14" ht="11.25" customHeight="1" x14ac:dyDescent="0.3">
      <c r="G2000" s="459"/>
      <c r="H2000" s="459">
        <v>1993</v>
      </c>
      <c r="I2000" s="444">
        <f t="shared" ca="1" si="138"/>
        <v>65907360.327237546</v>
      </c>
      <c r="J2000" s="444">
        <f t="array" ref="J2000">IFERROR(INDEX('Retirement Calculator'!J:J,MATCH('Isaac 401k'!N2000,'Retirement Calculator'!A:A,0),0),0)</f>
        <v>0</v>
      </c>
      <c r="K2000" s="444">
        <f t="shared" ca="1" si="136"/>
        <v>274614.00136348978</v>
      </c>
      <c r="L2000" s="444">
        <f t="shared" ca="1" si="137"/>
        <v>66181974.328601032</v>
      </c>
      <c r="M2000" s="460">
        <f t="shared" si="139"/>
        <v>0.05</v>
      </c>
      <c r="N2000" s="464">
        <f t="shared" si="140"/>
        <v>111917</v>
      </c>
    </row>
    <row r="2001" spans="7:14" ht="11.25" customHeight="1" x14ac:dyDescent="0.3">
      <c r="G2001" s="459"/>
      <c r="H2001" s="459">
        <v>1994</v>
      </c>
      <c r="I2001" s="444">
        <f t="shared" ca="1" si="138"/>
        <v>66181974.328601032</v>
      </c>
      <c r="J2001" s="444">
        <f t="array" ref="J2001">IFERROR(INDEX('Retirement Calculator'!J:J,MATCH('Isaac 401k'!N2001,'Retirement Calculator'!A:A,0),0),0)</f>
        <v>0</v>
      </c>
      <c r="K2001" s="444">
        <f t="shared" ca="1" si="136"/>
        <v>275758.22636917094</v>
      </c>
      <c r="L2001" s="444">
        <f t="shared" ca="1" si="137"/>
        <v>66457732.554970205</v>
      </c>
      <c r="M2001" s="460">
        <f t="shared" si="139"/>
        <v>0.05</v>
      </c>
      <c r="N2001" s="464">
        <f t="shared" si="140"/>
        <v>111947</v>
      </c>
    </row>
    <row r="2002" spans="7:14" ht="11.25" customHeight="1" x14ac:dyDescent="0.3">
      <c r="G2002" s="459"/>
      <c r="H2002" s="459">
        <v>1995</v>
      </c>
      <c r="I2002" s="444">
        <f t="shared" ca="1" si="138"/>
        <v>66457732.554970205</v>
      </c>
      <c r="J2002" s="444">
        <f t="array" ref="J2002">IFERROR(INDEX('Retirement Calculator'!J:J,MATCH('Isaac 401k'!N2002,'Retirement Calculator'!A:A,0),0),0)</f>
        <v>0</v>
      </c>
      <c r="K2002" s="444">
        <f t="shared" ca="1" si="136"/>
        <v>276907.21897904249</v>
      </c>
      <c r="L2002" s="444">
        <f t="shared" ca="1" si="137"/>
        <v>66734639.773949251</v>
      </c>
      <c r="M2002" s="460">
        <f t="shared" si="139"/>
        <v>0.05</v>
      </c>
      <c r="N2002" s="464">
        <f t="shared" si="140"/>
        <v>111978</v>
      </c>
    </row>
    <row r="2003" spans="7:14" ht="11.25" customHeight="1" x14ac:dyDescent="0.3">
      <c r="G2003" s="459"/>
      <c r="H2003" s="459">
        <v>1996</v>
      </c>
      <c r="I2003" s="444">
        <f t="shared" ca="1" si="138"/>
        <v>66734639.773949251</v>
      </c>
      <c r="J2003" s="444">
        <f t="array" ref="J2003">IFERROR(INDEX('Retirement Calculator'!J:J,MATCH('Isaac 401k'!N2003,'Retirement Calculator'!A:A,0),0),0)</f>
        <v>0</v>
      </c>
      <c r="K2003" s="444">
        <f t="shared" ca="1" si="136"/>
        <v>278060.99905812182</v>
      </c>
      <c r="L2003" s="444">
        <f t="shared" ca="1" si="137"/>
        <v>67012700.773007371</v>
      </c>
      <c r="M2003" s="460">
        <f t="shared" si="139"/>
        <v>0.05</v>
      </c>
      <c r="N2003" s="464">
        <f t="shared" si="140"/>
        <v>112009</v>
      </c>
    </row>
    <row r="2004" spans="7:14" ht="11.25" customHeight="1" x14ac:dyDescent="0.3">
      <c r="G2004" s="459"/>
      <c r="H2004" s="459">
        <v>1997</v>
      </c>
      <c r="I2004" s="444">
        <f t="shared" ca="1" si="138"/>
        <v>67012700.773007371</v>
      </c>
      <c r="J2004" s="444">
        <f t="array" ref="J2004">IFERROR(INDEX('Retirement Calculator'!J:J,MATCH('Isaac 401k'!N2004,'Retirement Calculator'!A:A,0),0),0)</f>
        <v>0</v>
      </c>
      <c r="K2004" s="444">
        <f t="shared" ca="1" si="136"/>
        <v>279219.58655419736</v>
      </c>
      <c r="L2004" s="444">
        <f t="shared" ca="1" si="137"/>
        <v>67291920.359561563</v>
      </c>
      <c r="M2004" s="460">
        <f t="shared" si="139"/>
        <v>0.05</v>
      </c>
      <c r="N2004" s="464">
        <f t="shared" si="140"/>
        <v>112039</v>
      </c>
    </row>
    <row r="2005" spans="7:14" ht="11.25" customHeight="1" x14ac:dyDescent="0.3">
      <c r="G2005" s="459"/>
      <c r="H2005" s="459">
        <v>1998</v>
      </c>
      <c r="I2005" s="444">
        <f t="shared" ca="1" si="138"/>
        <v>67291920.359561563</v>
      </c>
      <c r="J2005" s="444">
        <f t="array" ref="J2005">IFERROR(INDEX('Retirement Calculator'!J:J,MATCH('Isaac 401k'!N2005,'Retirement Calculator'!A:A,0),0),0)</f>
        <v>0</v>
      </c>
      <c r="K2005" s="444">
        <f t="shared" ca="1" si="136"/>
        <v>280383.00149817317</v>
      </c>
      <c r="L2005" s="444">
        <f t="shared" ca="1" si="137"/>
        <v>67572303.36105974</v>
      </c>
      <c r="M2005" s="460">
        <f t="shared" si="139"/>
        <v>0.05</v>
      </c>
      <c r="N2005" s="464">
        <f t="shared" si="140"/>
        <v>112070</v>
      </c>
    </row>
    <row r="2006" spans="7:14" ht="11.25" customHeight="1" x14ac:dyDescent="0.3">
      <c r="G2006" s="459"/>
      <c r="H2006" s="459">
        <v>1999</v>
      </c>
      <c r="I2006" s="444">
        <f t="shared" ca="1" si="138"/>
        <v>67572303.36105974</v>
      </c>
      <c r="J2006" s="444">
        <f t="array" ref="J2006">IFERROR(INDEX('Retirement Calculator'!J:J,MATCH('Isaac 401k'!N2006,'Retirement Calculator'!A:A,0),0),0)</f>
        <v>0</v>
      </c>
      <c r="K2006" s="444">
        <f t="shared" ca="1" si="136"/>
        <v>281551.2640044156</v>
      </c>
      <c r="L2006" s="444">
        <f t="shared" ca="1" si="137"/>
        <v>67853854.625064149</v>
      </c>
      <c r="M2006" s="460">
        <f t="shared" si="139"/>
        <v>0.05</v>
      </c>
      <c r="N2006" s="464">
        <f t="shared" si="140"/>
        <v>112100</v>
      </c>
    </row>
    <row r="2007" spans="7:14" ht="11.25" customHeight="1" x14ac:dyDescent="0.3">
      <c r="G2007" s="459"/>
      <c r="H2007" s="459">
        <v>2000</v>
      </c>
      <c r="I2007" s="444">
        <f t="shared" ca="1" si="138"/>
        <v>67853854.625064149</v>
      </c>
      <c r="J2007" s="444">
        <f t="array" ref="J2007">IFERROR(INDEX('Retirement Calculator'!J:J,MATCH('Isaac 401k'!N2007,'Retirement Calculator'!A:A,0),0),0)</f>
        <v>0</v>
      </c>
      <c r="K2007" s="444">
        <f t="shared" ca="1" si="136"/>
        <v>282724.39427110064</v>
      </c>
      <c r="L2007" s="444">
        <f t="shared" ca="1" si="137"/>
        <v>68136579.019335255</v>
      </c>
      <c r="M2007" s="460">
        <f t="shared" si="139"/>
        <v>0.05</v>
      </c>
      <c r="N2007" s="464">
        <f t="shared" si="140"/>
        <v>112131</v>
      </c>
    </row>
    <row r="2008" spans="7:14" ht="11.25" customHeight="1" x14ac:dyDescent="0.3">
      <c r="G2008" s="459"/>
      <c r="H2008" s="459">
        <v>2001</v>
      </c>
      <c r="I2008" s="444">
        <f t="shared" ca="1" si="138"/>
        <v>68136579.019335255</v>
      </c>
      <c r="J2008" s="444">
        <f t="array" ref="J2008">IFERROR(INDEX('Retirement Calculator'!J:J,MATCH('Isaac 401k'!N2008,'Retirement Calculator'!A:A,0),0),0)</f>
        <v>0</v>
      </c>
      <c r="K2008" s="444">
        <f t="shared" ca="1" si="136"/>
        <v>283902.41258056357</v>
      </c>
      <c r="L2008" s="444">
        <f t="shared" ca="1" si="137"/>
        <v>68420481.43191582</v>
      </c>
      <c r="M2008" s="460">
        <f t="shared" si="139"/>
        <v>0.05</v>
      </c>
      <c r="N2008" s="464">
        <f t="shared" si="140"/>
        <v>112162</v>
      </c>
    </row>
    <row r="2009" spans="7:14" ht="11.25" customHeight="1" x14ac:dyDescent="0.3">
      <c r="G2009" s="459"/>
      <c r="H2009" s="459">
        <v>2002</v>
      </c>
      <c r="I2009" s="444">
        <f t="shared" ca="1" si="138"/>
        <v>68420481.43191582</v>
      </c>
      <c r="J2009" s="444">
        <f t="array" ref="J2009">IFERROR(INDEX('Retirement Calculator'!J:J,MATCH('Isaac 401k'!N2009,'Retirement Calculator'!A:A,0),0),0)</f>
        <v>0</v>
      </c>
      <c r="K2009" s="444">
        <f t="shared" ca="1" si="136"/>
        <v>285085.33929964923</v>
      </c>
      <c r="L2009" s="444">
        <f t="shared" ca="1" si="137"/>
        <v>68705566.771215469</v>
      </c>
      <c r="M2009" s="460">
        <f t="shared" si="139"/>
        <v>0.05</v>
      </c>
      <c r="N2009" s="464">
        <f t="shared" si="140"/>
        <v>112190</v>
      </c>
    </row>
    <row r="2010" spans="7:14" ht="11.25" customHeight="1" x14ac:dyDescent="0.3">
      <c r="G2010" s="459"/>
      <c r="H2010" s="459">
        <v>2003</v>
      </c>
      <c r="I2010" s="444">
        <f t="shared" ca="1" si="138"/>
        <v>68705566.771215469</v>
      </c>
      <c r="J2010" s="444">
        <f t="array" ref="J2010">IFERROR(INDEX('Retirement Calculator'!J:J,MATCH('Isaac 401k'!N2010,'Retirement Calculator'!A:A,0),0),0)</f>
        <v>0</v>
      </c>
      <c r="K2010" s="444">
        <f t="shared" ca="1" si="136"/>
        <v>286273.19488006446</v>
      </c>
      <c r="L2010" s="444">
        <f t="shared" ca="1" si="137"/>
        <v>68991839.966095537</v>
      </c>
      <c r="M2010" s="460">
        <f t="shared" si="139"/>
        <v>0.05</v>
      </c>
      <c r="N2010" s="464">
        <f t="shared" si="140"/>
        <v>112221</v>
      </c>
    </row>
    <row r="2011" spans="7:14" ht="11.25" customHeight="1" x14ac:dyDescent="0.3">
      <c r="G2011" s="459"/>
      <c r="H2011" s="459">
        <v>2004</v>
      </c>
      <c r="I2011" s="444">
        <f t="shared" ca="1" si="138"/>
        <v>68991839.966095537</v>
      </c>
      <c r="J2011" s="444">
        <f t="array" ref="J2011">IFERROR(INDEX('Retirement Calculator'!J:J,MATCH('Isaac 401k'!N2011,'Retirement Calculator'!A:A,0),0),0)</f>
        <v>0</v>
      </c>
      <c r="K2011" s="444">
        <f t="shared" ca="1" si="136"/>
        <v>287465.9998587314</v>
      </c>
      <c r="L2011" s="444">
        <f t="shared" ca="1" si="137"/>
        <v>69279305.965954274</v>
      </c>
      <c r="M2011" s="460">
        <f t="shared" si="139"/>
        <v>0.05</v>
      </c>
      <c r="N2011" s="464">
        <f t="shared" si="140"/>
        <v>112251</v>
      </c>
    </row>
    <row r="2012" spans="7:14" ht="11.25" customHeight="1" x14ac:dyDescent="0.3">
      <c r="G2012" s="459"/>
      <c r="H2012" s="459">
        <v>2005</v>
      </c>
      <c r="I2012" s="444">
        <f t="shared" ca="1" si="138"/>
        <v>69279305.965954274</v>
      </c>
      <c r="J2012" s="444">
        <f t="array" ref="J2012">IFERROR(INDEX('Retirement Calculator'!J:J,MATCH('Isaac 401k'!N2012,'Retirement Calculator'!A:A,0),0),0)</f>
        <v>0</v>
      </c>
      <c r="K2012" s="444">
        <f t="shared" ca="1" si="136"/>
        <v>288663.77485814283</v>
      </c>
      <c r="L2012" s="444">
        <f t="shared" ca="1" si="137"/>
        <v>69567969.740812421</v>
      </c>
      <c r="M2012" s="460">
        <f t="shared" si="139"/>
        <v>0.05</v>
      </c>
      <c r="N2012" s="464">
        <f t="shared" si="140"/>
        <v>112282</v>
      </c>
    </row>
    <row r="2013" spans="7:14" ht="11.25" customHeight="1" x14ac:dyDescent="0.3">
      <c r="G2013" s="459"/>
      <c r="H2013" s="459">
        <v>2006</v>
      </c>
      <c r="I2013" s="444">
        <f t="shared" ca="1" si="138"/>
        <v>69567969.740812421</v>
      </c>
      <c r="J2013" s="444">
        <f t="array" ref="J2013">IFERROR(INDEX('Retirement Calculator'!J:J,MATCH('Isaac 401k'!N2013,'Retirement Calculator'!A:A,0),0),0)</f>
        <v>0</v>
      </c>
      <c r="K2013" s="444">
        <f t="shared" ca="1" si="136"/>
        <v>289866.54058671842</v>
      </c>
      <c r="L2013" s="444">
        <f t="shared" ca="1" si="137"/>
        <v>69857836.281399146</v>
      </c>
      <c r="M2013" s="460">
        <f t="shared" si="139"/>
        <v>0.05</v>
      </c>
      <c r="N2013" s="464">
        <f t="shared" si="140"/>
        <v>112312</v>
      </c>
    </row>
    <row r="2014" spans="7:14" ht="11.25" customHeight="1" x14ac:dyDescent="0.3">
      <c r="G2014" s="459"/>
      <c r="H2014" s="459">
        <v>2007</v>
      </c>
      <c r="I2014" s="444">
        <f t="shared" ca="1" si="138"/>
        <v>69857836.281399146</v>
      </c>
      <c r="J2014" s="444">
        <f t="array" ref="J2014">IFERROR(INDEX('Retirement Calculator'!J:J,MATCH('Isaac 401k'!N2014,'Retirement Calculator'!A:A,0),0),0)</f>
        <v>0</v>
      </c>
      <c r="K2014" s="444">
        <f t="shared" ca="1" si="136"/>
        <v>291074.31783916312</v>
      </c>
      <c r="L2014" s="444">
        <f t="shared" ca="1" si="137"/>
        <v>70148910.599238306</v>
      </c>
      <c r="M2014" s="460">
        <f t="shared" si="139"/>
        <v>0.05</v>
      </c>
      <c r="N2014" s="464">
        <f t="shared" si="140"/>
        <v>112343</v>
      </c>
    </row>
    <row r="2015" spans="7:14" ht="11.25" customHeight="1" x14ac:dyDescent="0.3">
      <c r="G2015" s="459"/>
      <c r="H2015" s="459">
        <v>2008</v>
      </c>
      <c r="I2015" s="444">
        <f t="shared" ca="1" si="138"/>
        <v>70148910.599238306</v>
      </c>
      <c r="J2015" s="444">
        <f t="array" ref="J2015">IFERROR(INDEX('Retirement Calculator'!J:J,MATCH('Isaac 401k'!N2015,'Retirement Calculator'!A:A,0),0),0)</f>
        <v>0</v>
      </c>
      <c r="K2015" s="444">
        <f t="shared" ca="1" si="136"/>
        <v>292287.12749682629</v>
      </c>
      <c r="L2015" s="444">
        <f t="shared" ca="1" si="137"/>
        <v>70441197.72673513</v>
      </c>
      <c r="M2015" s="460">
        <f t="shared" si="139"/>
        <v>0.05</v>
      </c>
      <c r="N2015" s="464">
        <f t="shared" si="140"/>
        <v>112374</v>
      </c>
    </row>
    <row r="2016" spans="7:14" ht="11.25" customHeight="1" x14ac:dyDescent="0.3">
      <c r="G2016" s="459"/>
      <c r="H2016" s="459">
        <v>2009</v>
      </c>
      <c r="I2016" s="444">
        <f t="shared" ca="1" si="138"/>
        <v>70441197.72673513</v>
      </c>
      <c r="J2016" s="444">
        <f t="array" ref="J2016">IFERROR(INDEX('Retirement Calculator'!J:J,MATCH('Isaac 401k'!N2016,'Retirement Calculator'!A:A,0),0),0)</f>
        <v>0</v>
      </c>
      <c r="K2016" s="444">
        <f t="shared" ca="1" si="136"/>
        <v>293504.99052806303</v>
      </c>
      <c r="L2016" s="444">
        <f t="shared" ca="1" si="137"/>
        <v>70734702.717263192</v>
      </c>
      <c r="M2016" s="460">
        <f t="shared" si="139"/>
        <v>0.05</v>
      </c>
      <c r="N2016" s="464">
        <f t="shared" si="140"/>
        <v>112404</v>
      </c>
    </row>
    <row r="2017" spans="7:14" ht="11.25" customHeight="1" x14ac:dyDescent="0.3">
      <c r="G2017" s="459"/>
      <c r="H2017" s="459">
        <v>2010</v>
      </c>
      <c r="I2017" s="444">
        <f t="shared" ca="1" si="138"/>
        <v>70734702.717263192</v>
      </c>
      <c r="J2017" s="444">
        <f t="array" ref="J2017">IFERROR(INDEX('Retirement Calculator'!J:J,MATCH('Isaac 401k'!N2017,'Retirement Calculator'!A:A,0),0),0)</f>
        <v>0</v>
      </c>
      <c r="K2017" s="444">
        <f t="shared" ca="1" si="136"/>
        <v>294727.92798859661</v>
      </c>
      <c r="L2017" s="444">
        <f t="shared" ca="1" si="137"/>
        <v>71029430.645251796</v>
      </c>
      <c r="M2017" s="460">
        <f t="shared" si="139"/>
        <v>0.05</v>
      </c>
      <c r="N2017" s="464">
        <f t="shared" si="140"/>
        <v>112435</v>
      </c>
    </row>
    <row r="2018" spans="7:14" ht="11.25" customHeight="1" x14ac:dyDescent="0.3">
      <c r="G2018" s="459"/>
      <c r="H2018" s="459">
        <v>2011</v>
      </c>
      <c r="I2018" s="444">
        <f t="shared" ca="1" si="138"/>
        <v>71029430.645251796</v>
      </c>
      <c r="J2018" s="444">
        <f t="array" ref="J2018">IFERROR(INDEX('Retirement Calculator'!J:J,MATCH('Isaac 401k'!N2018,'Retirement Calculator'!A:A,0),0),0)</f>
        <v>0</v>
      </c>
      <c r="K2018" s="444">
        <f t="shared" ca="1" si="136"/>
        <v>295955.96102188248</v>
      </c>
      <c r="L2018" s="444">
        <f t="shared" ca="1" si="137"/>
        <v>71325386.606273681</v>
      </c>
      <c r="M2018" s="460">
        <f t="shared" si="139"/>
        <v>0.05</v>
      </c>
      <c r="N2018" s="464">
        <f t="shared" si="140"/>
        <v>112465</v>
      </c>
    </row>
    <row r="2019" spans="7:14" ht="11.25" customHeight="1" x14ac:dyDescent="0.3">
      <c r="G2019" s="459"/>
      <c r="H2019" s="459">
        <v>2012</v>
      </c>
      <c r="I2019" s="444">
        <f t="shared" ca="1" si="138"/>
        <v>71325386.606273681</v>
      </c>
      <c r="J2019" s="444">
        <f t="array" ref="J2019">IFERROR(INDEX('Retirement Calculator'!J:J,MATCH('Isaac 401k'!N2019,'Retirement Calculator'!A:A,0),0),0)</f>
        <v>0</v>
      </c>
      <c r="K2019" s="444">
        <f t="shared" ca="1" si="136"/>
        <v>297189.11085947364</v>
      </c>
      <c r="L2019" s="444">
        <f t="shared" ca="1" si="137"/>
        <v>71622575.71713315</v>
      </c>
      <c r="M2019" s="460">
        <f t="shared" si="139"/>
        <v>0.05</v>
      </c>
      <c r="N2019" s="464">
        <f t="shared" si="140"/>
        <v>112496</v>
      </c>
    </row>
    <row r="2020" spans="7:14" ht="11.25" customHeight="1" x14ac:dyDescent="0.3">
      <c r="G2020" s="459"/>
      <c r="H2020" s="459">
        <v>2013</v>
      </c>
      <c r="I2020" s="444">
        <f t="shared" ca="1" si="138"/>
        <v>71622575.71713315</v>
      </c>
      <c r="J2020" s="444">
        <f t="array" ref="J2020">IFERROR(INDEX('Retirement Calculator'!J:J,MATCH('Isaac 401k'!N2020,'Retirement Calculator'!A:A,0),0),0)</f>
        <v>0</v>
      </c>
      <c r="K2020" s="444">
        <f t="shared" ca="1" si="136"/>
        <v>298427.39882138814</v>
      </c>
      <c r="L2020" s="444">
        <f t="shared" ca="1" si="137"/>
        <v>71921003.115954533</v>
      </c>
      <c r="M2020" s="460">
        <f t="shared" si="139"/>
        <v>0.05</v>
      </c>
      <c r="N2020" s="464">
        <f t="shared" si="140"/>
        <v>112527</v>
      </c>
    </row>
    <row r="2021" spans="7:14" ht="11.25" customHeight="1" x14ac:dyDescent="0.3">
      <c r="G2021" s="459"/>
      <c r="H2021" s="459">
        <v>2014</v>
      </c>
      <c r="I2021" s="444">
        <f t="shared" ca="1" si="138"/>
        <v>71921003.115954533</v>
      </c>
      <c r="J2021" s="444">
        <f t="array" ref="J2021">IFERROR(INDEX('Retirement Calculator'!J:J,MATCH('Isaac 401k'!N2021,'Retirement Calculator'!A:A,0),0),0)</f>
        <v>0</v>
      </c>
      <c r="K2021" s="444">
        <f t="shared" ca="1" si="136"/>
        <v>299670.84631647723</v>
      </c>
      <c r="L2021" s="444">
        <f t="shared" ca="1" si="137"/>
        <v>72220673.962271005</v>
      </c>
      <c r="M2021" s="460">
        <f t="shared" si="139"/>
        <v>0.05</v>
      </c>
      <c r="N2021" s="464">
        <f t="shared" si="140"/>
        <v>112556</v>
      </c>
    </row>
    <row r="2022" spans="7:14" ht="11.25" customHeight="1" x14ac:dyDescent="0.3">
      <c r="G2022" s="459"/>
      <c r="H2022" s="459">
        <v>2015</v>
      </c>
      <c r="I2022" s="444">
        <f t="shared" ca="1" si="138"/>
        <v>72220673.962271005</v>
      </c>
      <c r="J2022" s="444">
        <f t="array" ref="J2022">IFERROR(INDEX('Retirement Calculator'!J:J,MATCH('Isaac 401k'!N2022,'Retirement Calculator'!A:A,0),0),0)</f>
        <v>0</v>
      </c>
      <c r="K2022" s="444">
        <f t="shared" ca="1" si="136"/>
        <v>300919.47484279587</v>
      </c>
      <c r="L2022" s="444">
        <f t="shared" ca="1" si="137"/>
        <v>72521593.437113807</v>
      </c>
      <c r="M2022" s="460">
        <f t="shared" si="139"/>
        <v>0.05</v>
      </c>
      <c r="N2022" s="464">
        <f t="shared" si="140"/>
        <v>112587</v>
      </c>
    </row>
    <row r="2023" spans="7:14" ht="11.25" customHeight="1" x14ac:dyDescent="0.3">
      <c r="G2023" s="459"/>
      <c r="H2023" s="459">
        <v>2016</v>
      </c>
      <c r="I2023" s="444">
        <f t="shared" ca="1" si="138"/>
        <v>72521593.437113807</v>
      </c>
      <c r="J2023" s="444">
        <f t="array" ref="J2023">IFERROR(INDEX('Retirement Calculator'!J:J,MATCH('Isaac 401k'!N2023,'Retirement Calculator'!A:A,0),0),0)</f>
        <v>0</v>
      </c>
      <c r="K2023" s="444">
        <f t="shared" ca="1" si="136"/>
        <v>302173.30598797416</v>
      </c>
      <c r="L2023" s="444">
        <f t="shared" ca="1" si="137"/>
        <v>72823766.743101776</v>
      </c>
      <c r="M2023" s="460">
        <f t="shared" si="139"/>
        <v>0.05</v>
      </c>
      <c r="N2023" s="464">
        <f t="shared" si="140"/>
        <v>112617</v>
      </c>
    </row>
    <row r="2024" spans="7:14" ht="11.25" customHeight="1" x14ac:dyDescent="0.3">
      <c r="G2024" s="459"/>
      <c r="H2024" s="459">
        <v>2017</v>
      </c>
      <c r="I2024" s="444">
        <f t="shared" ca="1" si="138"/>
        <v>72823766.743101776</v>
      </c>
      <c r="J2024" s="444">
        <f t="array" ref="J2024">IFERROR(INDEX('Retirement Calculator'!J:J,MATCH('Isaac 401k'!N2024,'Retirement Calculator'!A:A,0),0),0)</f>
        <v>0</v>
      </c>
      <c r="K2024" s="444">
        <f t="shared" ca="1" si="136"/>
        <v>303432.36142959073</v>
      </c>
      <c r="L2024" s="444">
        <f t="shared" ca="1" si="137"/>
        <v>73127199.104531363</v>
      </c>
      <c r="M2024" s="460">
        <f t="shared" si="139"/>
        <v>0.05</v>
      </c>
      <c r="N2024" s="464">
        <f t="shared" si="140"/>
        <v>112648</v>
      </c>
    </row>
    <row r="2025" spans="7:14" ht="11.25" customHeight="1" x14ac:dyDescent="0.3">
      <c r="G2025" s="459"/>
      <c r="H2025" s="459">
        <v>2018</v>
      </c>
      <c r="I2025" s="444">
        <f t="shared" ca="1" si="138"/>
        <v>73127199.104531363</v>
      </c>
      <c r="J2025" s="444">
        <f t="array" ref="J2025">IFERROR(INDEX('Retirement Calculator'!J:J,MATCH('Isaac 401k'!N2025,'Retirement Calculator'!A:A,0),0),0)</f>
        <v>0</v>
      </c>
      <c r="K2025" s="444">
        <f t="shared" ca="1" si="136"/>
        <v>304696.66293554736</v>
      </c>
      <c r="L2025" s="444">
        <f t="shared" ca="1" si="137"/>
        <v>73431895.767466903</v>
      </c>
      <c r="M2025" s="460">
        <f t="shared" si="139"/>
        <v>0.05</v>
      </c>
      <c r="N2025" s="464">
        <f t="shared" si="140"/>
        <v>112678</v>
      </c>
    </row>
    <row r="2026" spans="7:14" ht="11.25" customHeight="1" x14ac:dyDescent="0.3">
      <c r="G2026" s="459"/>
      <c r="H2026" s="459">
        <v>2019</v>
      </c>
      <c r="I2026" s="444">
        <f t="shared" ca="1" si="138"/>
        <v>73431895.767466903</v>
      </c>
      <c r="J2026" s="444">
        <f t="array" ref="J2026">IFERROR(INDEX('Retirement Calculator'!J:J,MATCH('Isaac 401k'!N2026,'Retirement Calculator'!A:A,0),0),0)</f>
        <v>0</v>
      </c>
      <c r="K2026" s="444">
        <f t="shared" ca="1" si="136"/>
        <v>305966.2323644454</v>
      </c>
      <c r="L2026" s="444">
        <f t="shared" ca="1" si="137"/>
        <v>73737861.999831349</v>
      </c>
      <c r="M2026" s="460">
        <f t="shared" si="139"/>
        <v>0.05</v>
      </c>
      <c r="N2026" s="464">
        <f t="shared" si="140"/>
        <v>112709</v>
      </c>
    </row>
    <row r="2027" spans="7:14" ht="11.25" customHeight="1" x14ac:dyDescent="0.3">
      <c r="G2027" s="459"/>
      <c r="H2027" s="459">
        <v>2020</v>
      </c>
      <c r="I2027" s="444">
        <f t="shared" ca="1" si="138"/>
        <v>73737861.999831349</v>
      </c>
      <c r="J2027" s="444">
        <f t="array" ref="J2027">IFERROR(INDEX('Retirement Calculator'!J:J,MATCH('Isaac 401k'!N2027,'Retirement Calculator'!A:A,0),0),0)</f>
        <v>0</v>
      </c>
      <c r="K2027" s="444">
        <f t="shared" ca="1" si="136"/>
        <v>307241.09166596393</v>
      </c>
      <c r="L2027" s="444">
        <f t="shared" ca="1" si="137"/>
        <v>74045103.091497317</v>
      </c>
      <c r="M2027" s="460">
        <f t="shared" si="139"/>
        <v>0.05</v>
      </c>
      <c r="N2027" s="464">
        <f t="shared" si="140"/>
        <v>112740</v>
      </c>
    </row>
    <row r="2028" spans="7:14" ht="11.25" customHeight="1" x14ac:dyDescent="0.3">
      <c r="G2028" s="459"/>
      <c r="H2028" s="459">
        <v>2021</v>
      </c>
      <c r="I2028" s="444">
        <f t="shared" ca="1" si="138"/>
        <v>74045103.091497317</v>
      </c>
      <c r="J2028" s="444">
        <f t="array" ref="J2028">IFERROR(INDEX('Retirement Calculator'!J:J,MATCH('Isaac 401k'!N2028,'Retirement Calculator'!A:A,0),0),0)</f>
        <v>0</v>
      </c>
      <c r="K2028" s="444">
        <f t="shared" ca="1" si="136"/>
        <v>308521.26288123883</v>
      </c>
      <c r="L2028" s="444">
        <f t="shared" ca="1" si="137"/>
        <v>74353624.354378551</v>
      </c>
      <c r="M2028" s="460">
        <f t="shared" si="139"/>
        <v>0.05</v>
      </c>
      <c r="N2028" s="464">
        <f t="shared" si="140"/>
        <v>112770</v>
      </c>
    </row>
    <row r="2029" spans="7:14" ht="11.25" customHeight="1" x14ac:dyDescent="0.3">
      <c r="G2029" s="459"/>
      <c r="H2029" s="459">
        <v>2022</v>
      </c>
      <c r="I2029" s="444">
        <f t="shared" ca="1" si="138"/>
        <v>74353624.354378551</v>
      </c>
      <c r="J2029" s="444">
        <f t="array" ref="J2029">IFERROR(INDEX('Retirement Calculator'!J:J,MATCH('Isaac 401k'!N2029,'Retirement Calculator'!A:A,0),0),0)</f>
        <v>0</v>
      </c>
      <c r="K2029" s="444">
        <f t="shared" ca="1" si="136"/>
        <v>309806.76814324397</v>
      </c>
      <c r="L2029" s="444">
        <f t="shared" ca="1" si="137"/>
        <v>74663431.122521788</v>
      </c>
      <c r="M2029" s="460">
        <f t="shared" si="139"/>
        <v>0.05</v>
      </c>
      <c r="N2029" s="464">
        <f t="shared" si="140"/>
        <v>112801</v>
      </c>
    </row>
    <row r="2030" spans="7:14" ht="11.25" customHeight="1" x14ac:dyDescent="0.3">
      <c r="G2030" s="459"/>
      <c r="H2030" s="459">
        <v>2023</v>
      </c>
      <c r="I2030" s="444">
        <f t="shared" ca="1" si="138"/>
        <v>74663431.122521788</v>
      </c>
      <c r="J2030" s="444">
        <f t="array" ref="J2030">IFERROR(INDEX('Retirement Calculator'!J:J,MATCH('Isaac 401k'!N2030,'Retirement Calculator'!A:A,0),0),0)</f>
        <v>0</v>
      </c>
      <c r="K2030" s="444">
        <f t="shared" ca="1" si="136"/>
        <v>311097.62967717409</v>
      </c>
      <c r="L2030" s="444">
        <f t="shared" ca="1" si="137"/>
        <v>74974528.752198964</v>
      </c>
      <c r="M2030" s="460">
        <f t="shared" si="139"/>
        <v>0.05</v>
      </c>
      <c r="N2030" s="464">
        <f t="shared" si="140"/>
        <v>112831</v>
      </c>
    </row>
    <row r="2031" spans="7:14" ht="11.25" customHeight="1" x14ac:dyDescent="0.3">
      <c r="G2031" s="459"/>
      <c r="H2031" s="459">
        <v>2024</v>
      </c>
      <c r="I2031" s="444">
        <f t="shared" ca="1" si="138"/>
        <v>74974528.752198964</v>
      </c>
      <c r="J2031" s="444">
        <f t="array" ref="J2031">IFERROR(INDEX('Retirement Calculator'!J:J,MATCH('Isaac 401k'!N2031,'Retirement Calculator'!A:A,0),0),0)</f>
        <v>0</v>
      </c>
      <c r="K2031" s="444">
        <f t="shared" ca="1" si="136"/>
        <v>312393.86980082904</v>
      </c>
      <c r="L2031" s="444">
        <f t="shared" ca="1" si="137"/>
        <v>75286922.6219998</v>
      </c>
      <c r="M2031" s="460">
        <f t="shared" si="139"/>
        <v>0.05</v>
      </c>
      <c r="N2031" s="464">
        <f t="shared" si="140"/>
        <v>112862</v>
      </c>
    </row>
    <row r="2032" spans="7:14" ht="11.25" customHeight="1" x14ac:dyDescent="0.3">
      <c r="G2032" s="459"/>
      <c r="H2032" s="459">
        <v>2025</v>
      </c>
      <c r="I2032" s="444">
        <f t="shared" ca="1" si="138"/>
        <v>75286922.6219998</v>
      </c>
      <c r="J2032" s="444">
        <f t="array" ref="J2032">IFERROR(INDEX('Retirement Calculator'!J:J,MATCH('Isaac 401k'!N2032,'Retirement Calculator'!A:A,0),0),0)</f>
        <v>0</v>
      </c>
      <c r="K2032" s="444">
        <f t="shared" ca="1" si="136"/>
        <v>313695.51092499914</v>
      </c>
      <c r="L2032" s="444">
        <f t="shared" ca="1" si="137"/>
        <v>75600618.132924795</v>
      </c>
      <c r="M2032" s="460">
        <f t="shared" si="139"/>
        <v>0.05</v>
      </c>
      <c r="N2032" s="464">
        <f t="shared" si="140"/>
        <v>112893</v>
      </c>
    </row>
    <row r="2033" spans="7:14" ht="11.25" customHeight="1" x14ac:dyDescent="0.3">
      <c r="G2033" s="459"/>
      <c r="H2033" s="459">
        <v>2026</v>
      </c>
      <c r="I2033" s="444">
        <f t="shared" ca="1" si="138"/>
        <v>75600618.132924795</v>
      </c>
      <c r="J2033" s="444">
        <f t="array" ref="J2033">IFERROR(INDEX('Retirement Calculator'!J:J,MATCH('Isaac 401k'!N2033,'Retirement Calculator'!A:A,0),0),0)</f>
        <v>0</v>
      </c>
      <c r="K2033" s="444">
        <f t="shared" ca="1" si="136"/>
        <v>315002.5755538533</v>
      </c>
      <c r="L2033" s="444">
        <f t="shared" ca="1" si="137"/>
        <v>75915620.708478644</v>
      </c>
      <c r="M2033" s="460">
        <f t="shared" si="139"/>
        <v>0.05</v>
      </c>
      <c r="N2033" s="464">
        <f t="shared" si="140"/>
        <v>112921</v>
      </c>
    </row>
    <row r="2034" spans="7:14" ht="11.25" customHeight="1" x14ac:dyDescent="0.3">
      <c r="G2034" s="459"/>
      <c r="H2034" s="459">
        <v>2027</v>
      </c>
      <c r="I2034" s="444">
        <f t="shared" ca="1" si="138"/>
        <v>75915620.708478644</v>
      </c>
      <c r="J2034" s="444">
        <f t="array" ref="J2034">IFERROR(INDEX('Retirement Calculator'!J:J,MATCH('Isaac 401k'!N2034,'Retirement Calculator'!A:A,0),0),0)</f>
        <v>0</v>
      </c>
      <c r="K2034" s="444">
        <f t="shared" ca="1" si="136"/>
        <v>316315.08628532768</v>
      </c>
      <c r="L2034" s="444">
        <f t="shared" ca="1" si="137"/>
        <v>76231935.794763967</v>
      </c>
      <c r="M2034" s="460">
        <f t="shared" si="139"/>
        <v>0.05</v>
      </c>
      <c r="N2034" s="464">
        <f t="shared" si="140"/>
        <v>112952</v>
      </c>
    </row>
    <row r="2035" spans="7:14" ht="11.25" customHeight="1" x14ac:dyDescent="0.3">
      <c r="G2035" s="459"/>
      <c r="H2035" s="459">
        <v>2028</v>
      </c>
      <c r="I2035" s="444">
        <f t="shared" ca="1" si="138"/>
        <v>76231935.794763967</v>
      </c>
      <c r="J2035" s="444">
        <f t="array" ref="J2035">IFERROR(INDEX('Retirement Calculator'!J:J,MATCH('Isaac 401k'!N2035,'Retirement Calculator'!A:A,0),0),0)</f>
        <v>0</v>
      </c>
      <c r="K2035" s="444">
        <f t="shared" ca="1" si="136"/>
        <v>317633.06581151654</v>
      </c>
      <c r="L2035" s="444">
        <f t="shared" ca="1" si="137"/>
        <v>76549568.860575482</v>
      </c>
      <c r="M2035" s="460">
        <f t="shared" si="139"/>
        <v>0.05</v>
      </c>
      <c r="N2035" s="464">
        <f t="shared" si="140"/>
        <v>112982</v>
      </c>
    </row>
    <row r="2036" spans="7:14" ht="11.25" customHeight="1" x14ac:dyDescent="0.3">
      <c r="G2036" s="459"/>
      <c r="H2036" s="459">
        <v>2029</v>
      </c>
      <c r="I2036" s="444">
        <f t="shared" ca="1" si="138"/>
        <v>76549568.860575482</v>
      </c>
      <c r="J2036" s="444">
        <f t="array" ref="J2036">IFERROR(INDEX('Retirement Calculator'!J:J,MATCH('Isaac 401k'!N2036,'Retirement Calculator'!A:A,0),0),0)</f>
        <v>0</v>
      </c>
      <c r="K2036" s="444">
        <f t="shared" ca="1" si="136"/>
        <v>318956.53691906453</v>
      </c>
      <c r="L2036" s="444">
        <f t="shared" ca="1" si="137"/>
        <v>76868525.39749454</v>
      </c>
      <c r="M2036" s="460">
        <f t="shared" si="139"/>
        <v>0.05</v>
      </c>
      <c r="N2036" s="464">
        <f t="shared" si="140"/>
        <v>113013</v>
      </c>
    </row>
    <row r="2037" spans="7:14" ht="11.25" customHeight="1" x14ac:dyDescent="0.3">
      <c r="G2037" s="459"/>
      <c r="H2037" s="459">
        <v>2030</v>
      </c>
      <c r="I2037" s="444">
        <f t="shared" ca="1" si="138"/>
        <v>76868525.39749454</v>
      </c>
      <c r="J2037" s="444">
        <f t="array" ref="J2037">IFERROR(INDEX('Retirement Calculator'!J:J,MATCH('Isaac 401k'!N2037,'Retirement Calculator'!A:A,0),0),0)</f>
        <v>0</v>
      </c>
      <c r="K2037" s="444">
        <f t="shared" ca="1" si="136"/>
        <v>320285.52248956059</v>
      </c>
      <c r="L2037" s="444">
        <f t="shared" ca="1" si="137"/>
        <v>77188810.919984102</v>
      </c>
      <c r="M2037" s="460">
        <f t="shared" si="139"/>
        <v>0.05</v>
      </c>
      <c r="N2037" s="464">
        <f t="shared" si="140"/>
        <v>113043</v>
      </c>
    </row>
    <row r="2038" spans="7:14" ht="11.25" customHeight="1" x14ac:dyDescent="0.3">
      <c r="G2038" s="459"/>
      <c r="H2038" s="459">
        <v>2031</v>
      </c>
      <c r="I2038" s="444">
        <f t="shared" ca="1" si="138"/>
        <v>77188810.919984102</v>
      </c>
      <c r="J2038" s="444">
        <f t="array" ref="J2038">IFERROR(INDEX('Retirement Calculator'!J:J,MATCH('Isaac 401k'!N2038,'Retirement Calculator'!A:A,0),0),0)</f>
        <v>0</v>
      </c>
      <c r="K2038" s="444">
        <f t="shared" ca="1" si="136"/>
        <v>321620.04549993377</v>
      </c>
      <c r="L2038" s="444">
        <f t="shared" ca="1" si="137"/>
        <v>77510430.965484038</v>
      </c>
      <c r="M2038" s="460">
        <f t="shared" si="139"/>
        <v>0.05</v>
      </c>
      <c r="N2038" s="464">
        <f t="shared" si="140"/>
        <v>113074</v>
      </c>
    </row>
    <row r="2039" spans="7:14" ht="11.25" customHeight="1" x14ac:dyDescent="0.3">
      <c r="G2039" s="459"/>
      <c r="H2039" s="459">
        <v>2032</v>
      </c>
      <c r="I2039" s="444">
        <f t="shared" ca="1" si="138"/>
        <v>77510430.965484038</v>
      </c>
      <c r="J2039" s="444">
        <f t="array" ref="J2039">IFERROR(INDEX('Retirement Calculator'!J:J,MATCH('Isaac 401k'!N2039,'Retirement Calculator'!A:A,0),0),0)</f>
        <v>0</v>
      </c>
      <c r="K2039" s="444">
        <f t="shared" ca="1" si="136"/>
        <v>322960.12902285013</v>
      </c>
      <c r="L2039" s="444">
        <f t="shared" ca="1" si="137"/>
        <v>77833391.09450689</v>
      </c>
      <c r="M2039" s="460">
        <f t="shared" si="139"/>
        <v>0.05</v>
      </c>
      <c r="N2039" s="464">
        <f t="shared" si="140"/>
        <v>113105</v>
      </c>
    </row>
    <row r="2040" spans="7:14" ht="11.25" customHeight="1" x14ac:dyDescent="0.3">
      <c r="G2040" s="459"/>
      <c r="H2040" s="459">
        <v>2033</v>
      </c>
      <c r="I2040" s="444">
        <f t="shared" ca="1" si="138"/>
        <v>77833391.09450689</v>
      </c>
      <c r="J2040" s="444">
        <f t="array" ref="J2040">IFERROR(INDEX('Retirement Calculator'!J:J,MATCH('Isaac 401k'!N2040,'Retirement Calculator'!A:A,0),0),0)</f>
        <v>0</v>
      </c>
      <c r="K2040" s="444">
        <f t="shared" ca="1" si="136"/>
        <v>324305.79622711206</v>
      </c>
      <c r="L2040" s="444">
        <f t="shared" ca="1" si="137"/>
        <v>78157696.890734002</v>
      </c>
      <c r="M2040" s="460">
        <f t="shared" si="139"/>
        <v>0.05</v>
      </c>
      <c r="N2040" s="464">
        <f t="shared" si="140"/>
        <v>113135</v>
      </c>
    </row>
    <row r="2041" spans="7:14" ht="11.25" customHeight="1" x14ac:dyDescent="0.3">
      <c r="G2041" s="459"/>
      <c r="H2041" s="459">
        <v>2034</v>
      </c>
      <c r="I2041" s="444">
        <f t="shared" ca="1" si="138"/>
        <v>78157696.890734002</v>
      </c>
      <c r="J2041" s="444">
        <f t="array" ref="J2041">IFERROR(INDEX('Retirement Calculator'!J:J,MATCH('Isaac 401k'!N2041,'Retirement Calculator'!A:A,0),0),0)</f>
        <v>0</v>
      </c>
      <c r="K2041" s="444">
        <f t="shared" ca="1" si="136"/>
        <v>325657.07037805836</v>
      </c>
      <c r="L2041" s="444">
        <f t="shared" ca="1" si="137"/>
        <v>78483353.961112067</v>
      </c>
      <c r="M2041" s="460">
        <f t="shared" si="139"/>
        <v>0.05</v>
      </c>
      <c r="N2041" s="464">
        <f t="shared" si="140"/>
        <v>113166</v>
      </c>
    </row>
    <row r="2042" spans="7:14" ht="11.25" customHeight="1" x14ac:dyDescent="0.3">
      <c r="G2042" s="459"/>
      <c r="H2042" s="459">
        <v>2035</v>
      </c>
      <c r="I2042" s="444">
        <f t="shared" ca="1" si="138"/>
        <v>78483353.961112067</v>
      </c>
      <c r="J2042" s="444">
        <f t="array" ref="J2042">IFERROR(INDEX('Retirement Calculator'!J:J,MATCH('Isaac 401k'!N2042,'Retirement Calculator'!A:A,0),0),0)</f>
        <v>0</v>
      </c>
      <c r="K2042" s="444">
        <f t="shared" ca="1" si="136"/>
        <v>327013.97483796696</v>
      </c>
      <c r="L2042" s="444">
        <f t="shared" ca="1" si="137"/>
        <v>78810367.935950041</v>
      </c>
      <c r="M2042" s="460">
        <f t="shared" si="139"/>
        <v>0.05</v>
      </c>
      <c r="N2042" s="464">
        <f t="shared" si="140"/>
        <v>113196</v>
      </c>
    </row>
    <row r="2043" spans="7:14" ht="11.25" customHeight="1" x14ac:dyDescent="0.3">
      <c r="G2043" s="459"/>
      <c r="H2043" s="459">
        <v>2036</v>
      </c>
      <c r="I2043" s="444">
        <f t="shared" ca="1" si="138"/>
        <v>78810367.935950041</v>
      </c>
      <c r="J2043" s="444">
        <f t="array" ref="J2043">IFERROR(INDEX('Retirement Calculator'!J:J,MATCH('Isaac 401k'!N2043,'Retirement Calculator'!A:A,0),0),0)</f>
        <v>0</v>
      </c>
      <c r="K2043" s="444">
        <f t="shared" ca="1" si="136"/>
        <v>328376.53306645848</v>
      </c>
      <c r="L2043" s="444">
        <f t="shared" ca="1" si="137"/>
        <v>79138744.469016492</v>
      </c>
      <c r="M2043" s="460">
        <f t="shared" si="139"/>
        <v>0.05</v>
      </c>
      <c r="N2043" s="464">
        <f t="shared" si="140"/>
        <v>113227</v>
      </c>
    </row>
    <row r="2044" spans="7:14" ht="11.25" customHeight="1" x14ac:dyDescent="0.3">
      <c r="G2044" s="459"/>
      <c r="H2044" s="459">
        <v>2037</v>
      </c>
      <c r="I2044" s="444">
        <f t="shared" ca="1" si="138"/>
        <v>79138744.469016492</v>
      </c>
      <c r="J2044" s="444">
        <f t="array" ref="J2044">IFERROR(INDEX('Retirement Calculator'!J:J,MATCH('Isaac 401k'!N2044,'Retirement Calculator'!A:A,0),0),0)</f>
        <v>0</v>
      </c>
      <c r="K2044" s="444">
        <f t="shared" ca="1" si="136"/>
        <v>329744.76862090203</v>
      </c>
      <c r="L2044" s="444">
        <f t="shared" ca="1" si="137"/>
        <v>79468489.237637401</v>
      </c>
      <c r="M2044" s="460">
        <f t="shared" si="139"/>
        <v>0.05</v>
      </c>
      <c r="N2044" s="464">
        <f t="shared" si="140"/>
        <v>113258</v>
      </c>
    </row>
    <row r="2045" spans="7:14" ht="11.25" customHeight="1" x14ac:dyDescent="0.3">
      <c r="G2045" s="459"/>
      <c r="H2045" s="459">
        <v>2038</v>
      </c>
      <c r="I2045" s="444">
        <f t="shared" ca="1" si="138"/>
        <v>79468489.237637401</v>
      </c>
      <c r="J2045" s="444">
        <f t="array" ref="J2045">IFERROR(INDEX('Retirement Calculator'!J:J,MATCH('Isaac 401k'!N2045,'Retirement Calculator'!A:A,0),0),0)</f>
        <v>0</v>
      </c>
      <c r="K2045" s="444">
        <f t="shared" ca="1" si="136"/>
        <v>331118.70515682251</v>
      </c>
      <c r="L2045" s="444">
        <f t="shared" ca="1" si="137"/>
        <v>79799607.942794219</v>
      </c>
      <c r="M2045" s="460">
        <f t="shared" si="139"/>
        <v>0.05</v>
      </c>
      <c r="N2045" s="464">
        <f t="shared" si="140"/>
        <v>113286</v>
      </c>
    </row>
    <row r="2046" spans="7:14" ht="11.25" customHeight="1" x14ac:dyDescent="0.3">
      <c r="G2046" s="459"/>
      <c r="H2046" s="459">
        <v>2039</v>
      </c>
      <c r="I2046" s="444">
        <f t="shared" ca="1" si="138"/>
        <v>79799607.942794219</v>
      </c>
      <c r="J2046" s="444">
        <f t="array" ref="J2046">IFERROR(INDEX('Retirement Calculator'!J:J,MATCH('Isaac 401k'!N2046,'Retirement Calculator'!A:A,0),0),0)</f>
        <v>0</v>
      </c>
      <c r="K2046" s="444">
        <f t="shared" ca="1" si="136"/>
        <v>332498.36642830924</v>
      </c>
      <c r="L2046" s="444">
        <f t="shared" ca="1" si="137"/>
        <v>80132106.309222534</v>
      </c>
      <c r="M2046" s="460">
        <f t="shared" si="139"/>
        <v>0.05</v>
      </c>
      <c r="N2046" s="464">
        <f t="shared" si="140"/>
        <v>113317</v>
      </c>
    </row>
    <row r="2047" spans="7:14" ht="11.25" customHeight="1" x14ac:dyDescent="0.3">
      <c r="G2047" s="459"/>
      <c r="H2047" s="459">
        <v>2040</v>
      </c>
      <c r="I2047" s="444">
        <f t="shared" ca="1" si="138"/>
        <v>80132106.309222534</v>
      </c>
      <c r="J2047" s="444">
        <f t="array" ref="J2047">IFERROR(INDEX('Retirement Calculator'!J:J,MATCH('Isaac 401k'!N2047,'Retirement Calculator'!A:A,0),0),0)</f>
        <v>0</v>
      </c>
      <c r="K2047" s="444">
        <f t="shared" ca="1" si="136"/>
        <v>333883.77628842724</v>
      </c>
      <c r="L2047" s="444">
        <f t="shared" ca="1" si="137"/>
        <v>80465990.085510954</v>
      </c>
      <c r="M2047" s="460">
        <f t="shared" si="139"/>
        <v>0.05</v>
      </c>
      <c r="N2047" s="464">
        <f t="shared" si="140"/>
        <v>113347</v>
      </c>
    </row>
    <row r="2048" spans="7:14" ht="11.25" customHeight="1" x14ac:dyDescent="0.3">
      <c r="G2048" s="459"/>
      <c r="H2048" s="459">
        <v>2041</v>
      </c>
      <c r="I2048" s="444">
        <f t="shared" ca="1" si="138"/>
        <v>80465990.085510954</v>
      </c>
      <c r="J2048" s="444">
        <f t="array" ref="J2048">IFERROR(INDEX('Retirement Calculator'!J:J,MATCH('Isaac 401k'!N2048,'Retirement Calculator'!A:A,0),0),0)</f>
        <v>0</v>
      </c>
      <c r="K2048" s="444">
        <f t="shared" ref="K2048:K2302" ca="1" si="141">IPMT(M2048/12,1,12,-I2048+J2048,,0)</f>
        <v>335274.95868962898</v>
      </c>
      <c r="L2048" s="444">
        <f t="shared" ref="L2048:L2302" ca="1" si="142">I2048-J2048+K2048</f>
        <v>80801265.044200584</v>
      </c>
      <c r="M2048" s="460">
        <f t="shared" si="139"/>
        <v>0.05</v>
      </c>
      <c r="N2048" s="464">
        <f t="shared" si="140"/>
        <v>113378</v>
      </c>
    </row>
    <row r="2049" spans="7:14" ht="11.25" customHeight="1" x14ac:dyDescent="0.3">
      <c r="G2049" s="459"/>
      <c r="H2049" s="459">
        <v>2042</v>
      </c>
      <c r="I2049" s="444">
        <f t="shared" ref="I2049:I2303" ca="1" si="143">L2048</f>
        <v>80801265.044200584</v>
      </c>
      <c r="J2049" s="444">
        <f t="array" ref="J2049">IFERROR(INDEX('Retirement Calculator'!J:J,MATCH('Isaac 401k'!N2049,'Retirement Calculator'!A:A,0),0),0)</f>
        <v>0</v>
      </c>
      <c r="K2049" s="444">
        <f t="shared" ca="1" si="141"/>
        <v>336671.9376841691</v>
      </c>
      <c r="L2049" s="444">
        <f t="shared" ca="1" si="142"/>
        <v>81137936.981884748</v>
      </c>
      <c r="M2049" s="460">
        <f t="shared" ref="M2049:M2303" si="144">M2048</f>
        <v>0.05</v>
      </c>
      <c r="N2049" s="464">
        <f t="shared" ref="N2049:N2303" si="145">EDATE(N2048,1)</f>
        <v>113408</v>
      </c>
    </row>
    <row r="2050" spans="7:14" ht="11.25" customHeight="1" x14ac:dyDescent="0.3">
      <c r="G2050" s="459"/>
      <c r="H2050" s="459">
        <v>2043</v>
      </c>
      <c r="I2050" s="444">
        <f t="shared" ca="1" si="143"/>
        <v>81137936.981884748</v>
      </c>
      <c r="J2050" s="444">
        <f t="array" ref="J2050">IFERROR(INDEX('Retirement Calculator'!J:J,MATCH('Isaac 401k'!N2050,'Retirement Calculator'!A:A,0),0),0)</f>
        <v>0</v>
      </c>
      <c r="K2050" s="444">
        <f t="shared" ca="1" si="141"/>
        <v>338074.73742451979</v>
      </c>
      <c r="L2050" s="444">
        <f t="shared" ca="1" si="142"/>
        <v>81476011.71930927</v>
      </c>
      <c r="M2050" s="460">
        <f t="shared" si="144"/>
        <v>0.05</v>
      </c>
      <c r="N2050" s="464">
        <f t="shared" si="145"/>
        <v>113439</v>
      </c>
    </row>
    <row r="2051" spans="7:14" ht="11.25" customHeight="1" x14ac:dyDescent="0.3">
      <c r="G2051" s="459"/>
      <c r="H2051" s="459">
        <v>2044</v>
      </c>
      <c r="I2051" s="444">
        <f t="shared" ca="1" si="143"/>
        <v>81476011.71930927</v>
      </c>
      <c r="J2051" s="444">
        <f t="array" ref="J2051">IFERROR(INDEX('Retirement Calculator'!J:J,MATCH('Isaac 401k'!N2051,'Retirement Calculator'!A:A,0),0),0)</f>
        <v>0</v>
      </c>
      <c r="K2051" s="444">
        <f t="shared" ca="1" si="141"/>
        <v>339483.3821637886</v>
      </c>
      <c r="L2051" s="444">
        <f t="shared" ca="1" si="142"/>
        <v>81815495.101473063</v>
      </c>
      <c r="M2051" s="460">
        <f t="shared" si="144"/>
        <v>0.05</v>
      </c>
      <c r="N2051" s="464">
        <f t="shared" si="145"/>
        <v>113470</v>
      </c>
    </row>
    <row r="2052" spans="7:14" ht="11.25" customHeight="1" x14ac:dyDescent="0.3">
      <c r="G2052" s="459"/>
      <c r="H2052" s="459">
        <v>2045</v>
      </c>
      <c r="I2052" s="444">
        <f t="shared" ca="1" si="143"/>
        <v>81815495.101473063</v>
      </c>
      <c r="J2052" s="444">
        <f t="array" ref="J2052">IFERROR(INDEX('Retirement Calculator'!J:J,MATCH('Isaac 401k'!N2052,'Retirement Calculator'!A:A,0),0),0)</f>
        <v>0</v>
      </c>
      <c r="K2052" s="444">
        <f t="shared" ca="1" si="141"/>
        <v>340897.89625613776</v>
      </c>
      <c r="L2052" s="444">
        <f t="shared" ca="1" si="142"/>
        <v>82156392.997729197</v>
      </c>
      <c r="M2052" s="460">
        <f t="shared" si="144"/>
        <v>0.05</v>
      </c>
      <c r="N2052" s="464">
        <f t="shared" si="145"/>
        <v>113500</v>
      </c>
    </row>
    <row r="2053" spans="7:14" ht="11.25" customHeight="1" x14ac:dyDescent="0.3">
      <c r="G2053" s="459"/>
      <c r="H2053" s="459">
        <v>2046</v>
      </c>
      <c r="I2053" s="444">
        <f t="shared" ca="1" si="143"/>
        <v>82156392.997729197</v>
      </c>
      <c r="J2053" s="444">
        <f t="array" ref="J2053">IFERROR(INDEX('Retirement Calculator'!J:J,MATCH('Isaac 401k'!N2053,'Retirement Calculator'!A:A,0),0),0)</f>
        <v>0</v>
      </c>
      <c r="K2053" s="444">
        <f t="shared" ca="1" si="141"/>
        <v>342318.30415720498</v>
      </c>
      <c r="L2053" s="444">
        <f t="shared" ca="1" si="142"/>
        <v>82498711.30188641</v>
      </c>
      <c r="M2053" s="460">
        <f t="shared" si="144"/>
        <v>0.05</v>
      </c>
      <c r="N2053" s="464">
        <f t="shared" si="145"/>
        <v>113531</v>
      </c>
    </row>
    <row r="2054" spans="7:14" ht="11.25" customHeight="1" x14ac:dyDescent="0.3">
      <c r="G2054" s="459"/>
      <c r="H2054" s="459">
        <v>2047</v>
      </c>
      <c r="I2054" s="444">
        <f t="shared" ca="1" si="143"/>
        <v>82498711.30188641</v>
      </c>
      <c r="J2054" s="444">
        <f t="array" ref="J2054">IFERROR(INDEX('Retirement Calculator'!J:J,MATCH('Isaac 401k'!N2054,'Retirement Calculator'!A:A,0),0),0)</f>
        <v>0</v>
      </c>
      <c r="K2054" s="444">
        <f t="shared" ca="1" si="141"/>
        <v>343744.63042452669</v>
      </c>
      <c r="L2054" s="444">
        <f t="shared" ca="1" si="142"/>
        <v>82842455.932310939</v>
      </c>
      <c r="M2054" s="460">
        <f t="shared" si="144"/>
        <v>0.05</v>
      </c>
      <c r="N2054" s="464">
        <f t="shared" si="145"/>
        <v>113561</v>
      </c>
    </row>
    <row r="2055" spans="7:14" ht="11.25" customHeight="1" x14ac:dyDescent="0.3">
      <c r="G2055" s="459"/>
      <c r="H2055" s="459">
        <v>2048</v>
      </c>
      <c r="I2055" s="444">
        <f t="shared" ca="1" si="143"/>
        <v>82842455.932310939</v>
      </c>
      <c r="J2055" s="444">
        <f t="array" ref="J2055">IFERROR(INDEX('Retirement Calculator'!J:J,MATCH('Isaac 401k'!N2055,'Retirement Calculator'!A:A,0),0),0)</f>
        <v>0</v>
      </c>
      <c r="K2055" s="444">
        <f t="shared" ca="1" si="141"/>
        <v>345176.89971796225</v>
      </c>
      <c r="L2055" s="444">
        <f t="shared" ca="1" si="142"/>
        <v>83187632.832028896</v>
      </c>
      <c r="M2055" s="460">
        <f t="shared" si="144"/>
        <v>0.05</v>
      </c>
      <c r="N2055" s="464">
        <f t="shared" si="145"/>
        <v>113592</v>
      </c>
    </row>
    <row r="2056" spans="7:14" ht="11.25" customHeight="1" x14ac:dyDescent="0.3">
      <c r="G2056" s="459"/>
      <c r="H2056" s="459">
        <v>2049</v>
      </c>
      <c r="I2056" s="444">
        <f t="shared" ca="1" si="143"/>
        <v>83187632.832028896</v>
      </c>
      <c r="J2056" s="444">
        <f t="array" ref="J2056">IFERROR(INDEX('Retirement Calculator'!J:J,MATCH('Isaac 401k'!N2056,'Retirement Calculator'!A:A,0),0),0)</f>
        <v>0</v>
      </c>
      <c r="K2056" s="444">
        <f t="shared" ca="1" si="141"/>
        <v>346615.13680012041</v>
      </c>
      <c r="L2056" s="444">
        <f t="shared" ca="1" si="142"/>
        <v>83534247.968829021</v>
      </c>
      <c r="M2056" s="460">
        <f t="shared" si="144"/>
        <v>0.05</v>
      </c>
      <c r="N2056" s="464">
        <f t="shared" si="145"/>
        <v>113623</v>
      </c>
    </row>
    <row r="2057" spans="7:14" ht="11.25" customHeight="1" x14ac:dyDescent="0.3">
      <c r="G2057" s="459"/>
      <c r="H2057" s="459">
        <v>2050</v>
      </c>
      <c r="I2057" s="444">
        <f t="shared" ca="1" si="143"/>
        <v>83534247.968829021</v>
      </c>
      <c r="J2057" s="444">
        <f t="array" ref="J2057">IFERROR(INDEX('Retirement Calculator'!J:J,MATCH('Isaac 401k'!N2057,'Retirement Calculator'!A:A,0),0),0)</f>
        <v>0</v>
      </c>
      <c r="K2057" s="444">
        <f t="shared" ca="1" si="141"/>
        <v>348059.36653678759</v>
      </c>
      <c r="L2057" s="444">
        <f t="shared" ca="1" si="142"/>
        <v>83882307.335365802</v>
      </c>
      <c r="M2057" s="460">
        <f t="shared" si="144"/>
        <v>0.05</v>
      </c>
      <c r="N2057" s="464">
        <f t="shared" si="145"/>
        <v>113651</v>
      </c>
    </row>
    <row r="2058" spans="7:14" ht="11.25" customHeight="1" x14ac:dyDescent="0.3">
      <c r="G2058" s="459"/>
      <c r="H2058" s="459">
        <v>2051</v>
      </c>
      <c r="I2058" s="444">
        <f t="shared" ca="1" si="143"/>
        <v>83882307.335365802</v>
      </c>
      <c r="J2058" s="444">
        <f t="array" ref="J2058">IFERROR(INDEX('Retirement Calculator'!J:J,MATCH('Isaac 401k'!N2058,'Retirement Calculator'!A:A,0),0),0)</f>
        <v>0</v>
      </c>
      <c r="K2058" s="444">
        <f t="shared" ca="1" si="141"/>
        <v>349509.61389735749</v>
      </c>
      <c r="L2058" s="444">
        <f t="shared" ca="1" si="142"/>
        <v>84231816.949263155</v>
      </c>
      <c r="M2058" s="460">
        <f t="shared" si="144"/>
        <v>0.05</v>
      </c>
      <c r="N2058" s="464">
        <f t="shared" si="145"/>
        <v>113682</v>
      </c>
    </row>
    <row r="2059" spans="7:14" ht="11.25" customHeight="1" x14ac:dyDescent="0.3">
      <c r="G2059" s="459"/>
      <c r="H2059" s="459">
        <v>2052</v>
      </c>
      <c r="I2059" s="444">
        <f t="shared" ca="1" si="143"/>
        <v>84231816.949263155</v>
      </c>
      <c r="J2059" s="444">
        <f t="array" ref="J2059">IFERROR(INDEX('Retirement Calculator'!J:J,MATCH('Isaac 401k'!N2059,'Retirement Calculator'!A:A,0),0),0)</f>
        <v>0</v>
      </c>
      <c r="K2059" s="444">
        <f t="shared" ca="1" si="141"/>
        <v>350965.90395526314</v>
      </c>
      <c r="L2059" s="444">
        <f t="shared" ca="1" si="142"/>
        <v>84582782.853218421</v>
      </c>
      <c r="M2059" s="460">
        <f t="shared" si="144"/>
        <v>0.05</v>
      </c>
      <c r="N2059" s="464">
        <f t="shared" si="145"/>
        <v>113712</v>
      </c>
    </row>
    <row r="2060" spans="7:14" ht="11.25" customHeight="1" x14ac:dyDescent="0.3">
      <c r="G2060" s="459"/>
      <c r="H2060" s="459">
        <v>2053</v>
      </c>
      <c r="I2060" s="444">
        <f t="shared" ca="1" si="143"/>
        <v>84582782.853218421</v>
      </c>
      <c r="J2060" s="444">
        <f t="array" ref="J2060">IFERROR(INDEX('Retirement Calculator'!J:J,MATCH('Isaac 401k'!N2060,'Retirement Calculator'!A:A,0),0),0)</f>
        <v>0</v>
      </c>
      <c r="K2060" s="444">
        <f t="shared" ca="1" si="141"/>
        <v>352428.26188841008</v>
      </c>
      <c r="L2060" s="444">
        <f t="shared" ca="1" si="142"/>
        <v>84935211.115106836</v>
      </c>
      <c r="M2060" s="460">
        <f t="shared" si="144"/>
        <v>0.05</v>
      </c>
      <c r="N2060" s="464">
        <f t="shared" si="145"/>
        <v>113743</v>
      </c>
    </row>
    <row r="2061" spans="7:14" ht="11.25" customHeight="1" x14ac:dyDescent="0.3">
      <c r="G2061" s="459"/>
      <c r="H2061" s="459">
        <v>2054</v>
      </c>
      <c r="I2061" s="444">
        <f t="shared" ca="1" si="143"/>
        <v>84935211.115106836</v>
      </c>
      <c r="J2061" s="444">
        <f t="array" ref="J2061">IFERROR(INDEX('Retirement Calculator'!J:J,MATCH('Isaac 401k'!N2061,'Retirement Calculator'!A:A,0),0),0)</f>
        <v>0</v>
      </c>
      <c r="K2061" s="444">
        <f t="shared" ca="1" si="141"/>
        <v>353896.71297961182</v>
      </c>
      <c r="L2061" s="444">
        <f t="shared" ca="1" si="142"/>
        <v>85289107.828086451</v>
      </c>
      <c r="M2061" s="460">
        <f t="shared" si="144"/>
        <v>0.05</v>
      </c>
      <c r="N2061" s="464">
        <f t="shared" si="145"/>
        <v>113773</v>
      </c>
    </row>
    <row r="2062" spans="7:14" ht="11.25" customHeight="1" x14ac:dyDescent="0.3">
      <c r="G2062" s="459"/>
      <c r="H2062" s="459">
        <v>2055</v>
      </c>
      <c r="I2062" s="444">
        <f t="shared" ca="1" si="143"/>
        <v>85289107.828086451</v>
      </c>
      <c r="J2062" s="444">
        <f t="array" ref="J2062">IFERROR(INDEX('Retirement Calculator'!J:J,MATCH('Isaac 401k'!N2062,'Retirement Calculator'!A:A,0),0),0)</f>
        <v>0</v>
      </c>
      <c r="K2062" s="444">
        <f t="shared" ca="1" si="141"/>
        <v>355371.28261702688</v>
      </c>
      <c r="L2062" s="444">
        <f t="shared" ca="1" si="142"/>
        <v>85644479.110703483</v>
      </c>
      <c r="M2062" s="460">
        <f t="shared" si="144"/>
        <v>0.05</v>
      </c>
      <c r="N2062" s="464">
        <f t="shared" si="145"/>
        <v>113804</v>
      </c>
    </row>
    <row r="2063" spans="7:14" ht="11.25" customHeight="1" x14ac:dyDescent="0.3">
      <c r="G2063" s="459"/>
      <c r="H2063" s="459">
        <v>2056</v>
      </c>
      <c r="I2063" s="444">
        <f t="shared" ca="1" si="143"/>
        <v>85644479.110703483</v>
      </c>
      <c r="J2063" s="444">
        <f t="array" ref="J2063">IFERROR(INDEX('Retirement Calculator'!J:J,MATCH('Isaac 401k'!N2063,'Retirement Calculator'!A:A,0),0),0)</f>
        <v>0</v>
      </c>
      <c r="K2063" s="444">
        <f t="shared" ca="1" si="141"/>
        <v>356851.99629459786</v>
      </c>
      <c r="L2063" s="444">
        <f t="shared" ca="1" si="142"/>
        <v>86001331.106998086</v>
      </c>
      <c r="M2063" s="460">
        <f t="shared" si="144"/>
        <v>0.05</v>
      </c>
      <c r="N2063" s="464">
        <f t="shared" si="145"/>
        <v>113835</v>
      </c>
    </row>
    <row r="2064" spans="7:14" ht="11.25" customHeight="1" x14ac:dyDescent="0.3">
      <c r="G2064" s="459"/>
      <c r="H2064" s="459">
        <v>2057</v>
      </c>
      <c r="I2064" s="444">
        <f t="shared" ca="1" si="143"/>
        <v>86001331.106998086</v>
      </c>
      <c r="J2064" s="444">
        <f t="array" ref="J2064">IFERROR(INDEX('Retirement Calculator'!J:J,MATCH('Isaac 401k'!N2064,'Retirement Calculator'!A:A,0),0),0)</f>
        <v>0</v>
      </c>
      <c r="K2064" s="444">
        <f t="shared" ca="1" si="141"/>
        <v>358338.87961249205</v>
      </c>
      <c r="L2064" s="444">
        <f t="shared" ca="1" si="142"/>
        <v>86359669.986610577</v>
      </c>
      <c r="M2064" s="460">
        <f t="shared" si="144"/>
        <v>0.05</v>
      </c>
      <c r="N2064" s="464">
        <f t="shared" si="145"/>
        <v>113865</v>
      </c>
    </row>
    <row r="2065" spans="7:14" ht="11.25" customHeight="1" x14ac:dyDescent="0.3">
      <c r="G2065" s="459"/>
      <c r="H2065" s="459">
        <v>2058</v>
      </c>
      <c r="I2065" s="444">
        <f t="shared" ca="1" si="143"/>
        <v>86359669.986610577</v>
      </c>
      <c r="J2065" s="444">
        <f t="array" ref="J2065">IFERROR(INDEX('Retirement Calculator'!J:J,MATCH('Isaac 401k'!N2065,'Retirement Calculator'!A:A,0),0),0)</f>
        <v>0</v>
      </c>
      <c r="K2065" s="444">
        <f t="shared" ca="1" si="141"/>
        <v>359831.95827754406</v>
      </c>
      <c r="L2065" s="444">
        <f t="shared" ca="1" si="142"/>
        <v>86719501.944888115</v>
      </c>
      <c r="M2065" s="460">
        <f t="shared" si="144"/>
        <v>0.05</v>
      </c>
      <c r="N2065" s="464">
        <f t="shared" si="145"/>
        <v>113896</v>
      </c>
    </row>
    <row r="2066" spans="7:14" ht="11.25" customHeight="1" x14ac:dyDescent="0.3">
      <c r="G2066" s="459"/>
      <c r="H2066" s="459">
        <v>2059</v>
      </c>
      <c r="I2066" s="444">
        <f t="shared" ca="1" si="143"/>
        <v>86719501.944888115</v>
      </c>
      <c r="J2066" s="444">
        <f t="array" ref="J2066">IFERROR(INDEX('Retirement Calculator'!J:J,MATCH('Isaac 401k'!N2066,'Retirement Calculator'!A:A,0),0),0)</f>
        <v>0</v>
      </c>
      <c r="K2066" s="444">
        <f t="shared" ca="1" si="141"/>
        <v>361331.25810370047</v>
      </c>
      <c r="L2066" s="444">
        <f t="shared" ca="1" si="142"/>
        <v>87080833.202991813</v>
      </c>
      <c r="M2066" s="460">
        <f t="shared" si="144"/>
        <v>0.05</v>
      </c>
      <c r="N2066" s="464">
        <f t="shared" si="145"/>
        <v>113926</v>
      </c>
    </row>
    <row r="2067" spans="7:14" ht="11.25" customHeight="1" x14ac:dyDescent="0.3">
      <c r="G2067" s="459"/>
      <c r="H2067" s="459">
        <v>2060</v>
      </c>
      <c r="I2067" s="444">
        <f t="shared" ca="1" si="143"/>
        <v>87080833.202991813</v>
      </c>
      <c r="J2067" s="444">
        <f t="array" ref="J2067">IFERROR(INDEX('Retirement Calculator'!J:J,MATCH('Isaac 401k'!N2067,'Retirement Calculator'!A:A,0),0),0)</f>
        <v>0</v>
      </c>
      <c r="K2067" s="444">
        <f t="shared" ca="1" si="141"/>
        <v>362836.80501246586</v>
      </c>
      <c r="L2067" s="444">
        <f t="shared" ca="1" si="142"/>
        <v>87443670.008004278</v>
      </c>
      <c r="M2067" s="460">
        <f t="shared" si="144"/>
        <v>0.05</v>
      </c>
      <c r="N2067" s="464">
        <f t="shared" si="145"/>
        <v>113957</v>
      </c>
    </row>
    <row r="2068" spans="7:14" ht="11.25" customHeight="1" x14ac:dyDescent="0.3">
      <c r="G2068" s="459"/>
      <c r="H2068" s="459">
        <v>2061</v>
      </c>
      <c r="I2068" s="444">
        <f t="shared" ca="1" si="143"/>
        <v>87443670.008004278</v>
      </c>
      <c r="J2068" s="444">
        <f t="array" ref="J2068">IFERROR(INDEX('Retirement Calculator'!J:J,MATCH('Isaac 401k'!N2068,'Retirement Calculator'!A:A,0),0),0)</f>
        <v>0</v>
      </c>
      <c r="K2068" s="444">
        <f t="shared" ca="1" si="141"/>
        <v>364348.62503335113</v>
      </c>
      <c r="L2068" s="444">
        <f t="shared" ca="1" si="142"/>
        <v>87808018.633037627</v>
      </c>
      <c r="M2068" s="460">
        <f t="shared" si="144"/>
        <v>0.05</v>
      </c>
      <c r="N2068" s="464">
        <f t="shared" si="145"/>
        <v>113988</v>
      </c>
    </row>
    <row r="2069" spans="7:14" ht="11.25" customHeight="1" x14ac:dyDescent="0.3">
      <c r="G2069" s="459"/>
      <c r="H2069" s="459">
        <v>2062</v>
      </c>
      <c r="I2069" s="444">
        <f t="shared" ca="1" si="143"/>
        <v>87808018.633037627</v>
      </c>
      <c r="J2069" s="444">
        <f t="array" ref="J2069">IFERROR(INDEX('Retirement Calculator'!J:J,MATCH('Isaac 401k'!N2069,'Retirement Calculator'!A:A,0),0),0)</f>
        <v>0</v>
      </c>
      <c r="K2069" s="444">
        <f t="shared" ca="1" si="141"/>
        <v>365866.74430432345</v>
      </c>
      <c r="L2069" s="444">
        <f t="shared" ca="1" si="142"/>
        <v>88173885.377341956</v>
      </c>
      <c r="M2069" s="460">
        <f t="shared" si="144"/>
        <v>0.05</v>
      </c>
      <c r="N2069" s="464">
        <f t="shared" si="145"/>
        <v>114017</v>
      </c>
    </row>
    <row r="2070" spans="7:14" ht="11.25" customHeight="1" x14ac:dyDescent="0.3">
      <c r="G2070" s="459"/>
      <c r="H2070" s="459">
        <v>2063</v>
      </c>
      <c r="I2070" s="444">
        <f t="shared" ca="1" si="143"/>
        <v>88173885.377341956</v>
      </c>
      <c r="J2070" s="444">
        <f t="array" ref="J2070">IFERROR(INDEX('Retirement Calculator'!J:J,MATCH('Isaac 401k'!N2070,'Retirement Calculator'!A:A,0),0),0)</f>
        <v>0</v>
      </c>
      <c r="K2070" s="444">
        <f t="shared" ca="1" si="141"/>
        <v>367391.18907225813</v>
      </c>
      <c r="L2070" s="444">
        <f t="shared" ca="1" si="142"/>
        <v>88541276.566414207</v>
      </c>
      <c r="M2070" s="460">
        <f t="shared" si="144"/>
        <v>0.05</v>
      </c>
      <c r="N2070" s="464">
        <f t="shared" si="145"/>
        <v>114048</v>
      </c>
    </row>
    <row r="2071" spans="7:14" ht="11.25" customHeight="1" x14ac:dyDescent="0.3">
      <c r="G2071" s="459"/>
      <c r="H2071" s="459">
        <v>2064</v>
      </c>
      <c r="I2071" s="444">
        <f t="shared" ca="1" si="143"/>
        <v>88541276.566414207</v>
      </c>
      <c r="J2071" s="444">
        <f t="array" ref="J2071">IFERROR(INDEX('Retirement Calculator'!J:J,MATCH('Isaac 401k'!N2071,'Retirement Calculator'!A:A,0),0),0)</f>
        <v>0</v>
      </c>
      <c r="K2071" s="444">
        <f t="shared" ca="1" si="141"/>
        <v>368921.98569339252</v>
      </c>
      <c r="L2071" s="444">
        <f t="shared" ca="1" si="142"/>
        <v>88910198.552107602</v>
      </c>
      <c r="M2071" s="460">
        <f t="shared" si="144"/>
        <v>0.05</v>
      </c>
      <c r="N2071" s="464">
        <f t="shared" si="145"/>
        <v>114078</v>
      </c>
    </row>
    <row r="2072" spans="7:14" ht="11.25" customHeight="1" x14ac:dyDescent="0.3">
      <c r="G2072" s="459"/>
      <c r="H2072" s="459">
        <v>2065</v>
      </c>
      <c r="I2072" s="444">
        <f t="shared" ca="1" si="143"/>
        <v>88910198.552107602</v>
      </c>
      <c r="J2072" s="444">
        <f t="array" ref="J2072">IFERROR(INDEX('Retirement Calculator'!J:J,MATCH('Isaac 401k'!N2072,'Retirement Calculator'!A:A,0),0),0)</f>
        <v>0</v>
      </c>
      <c r="K2072" s="444">
        <f t="shared" ca="1" si="141"/>
        <v>370459.16063378169</v>
      </c>
      <c r="L2072" s="444">
        <f t="shared" ca="1" si="142"/>
        <v>89280657.71274139</v>
      </c>
      <c r="M2072" s="460">
        <f t="shared" si="144"/>
        <v>0.05</v>
      </c>
      <c r="N2072" s="464">
        <f t="shared" si="145"/>
        <v>114109</v>
      </c>
    </row>
    <row r="2073" spans="7:14" ht="11.25" customHeight="1" x14ac:dyDescent="0.3">
      <c r="G2073" s="459"/>
      <c r="H2073" s="459">
        <v>2066</v>
      </c>
      <c r="I2073" s="444">
        <f t="shared" ca="1" si="143"/>
        <v>89280657.71274139</v>
      </c>
      <c r="J2073" s="444">
        <f t="array" ref="J2073">IFERROR(INDEX('Retirement Calculator'!J:J,MATCH('Isaac 401k'!N2073,'Retirement Calculator'!A:A,0),0),0)</f>
        <v>0</v>
      </c>
      <c r="K2073" s="444">
        <f t="shared" ca="1" si="141"/>
        <v>372002.74046975578</v>
      </c>
      <c r="L2073" s="444">
        <f t="shared" ca="1" si="142"/>
        <v>89652660.453211144</v>
      </c>
      <c r="M2073" s="460">
        <f t="shared" si="144"/>
        <v>0.05</v>
      </c>
      <c r="N2073" s="464">
        <f t="shared" si="145"/>
        <v>114139</v>
      </c>
    </row>
    <row r="2074" spans="7:14" ht="11.25" customHeight="1" x14ac:dyDescent="0.3">
      <c r="G2074" s="459"/>
      <c r="H2074" s="459">
        <v>2067</v>
      </c>
      <c r="I2074" s="444">
        <f t="shared" ca="1" si="143"/>
        <v>89652660.453211144</v>
      </c>
      <c r="J2074" s="444">
        <f t="array" ref="J2074">IFERROR(INDEX('Retirement Calculator'!J:J,MATCH('Isaac 401k'!N2074,'Retirement Calculator'!A:A,0),0),0)</f>
        <v>0</v>
      </c>
      <c r="K2074" s="444">
        <f t="shared" ca="1" si="141"/>
        <v>373552.75188837975</v>
      </c>
      <c r="L2074" s="444">
        <f t="shared" ca="1" si="142"/>
        <v>90026213.205099523</v>
      </c>
      <c r="M2074" s="460">
        <f t="shared" si="144"/>
        <v>0.05</v>
      </c>
      <c r="N2074" s="464">
        <f t="shared" si="145"/>
        <v>114170</v>
      </c>
    </row>
    <row r="2075" spans="7:14" ht="11.25" customHeight="1" x14ac:dyDescent="0.3">
      <c r="G2075" s="459"/>
      <c r="H2075" s="459">
        <v>2068</v>
      </c>
      <c r="I2075" s="444">
        <f t="shared" ca="1" si="143"/>
        <v>90026213.205099523</v>
      </c>
      <c r="J2075" s="444">
        <f t="array" ref="J2075">IFERROR(INDEX('Retirement Calculator'!J:J,MATCH('Isaac 401k'!N2075,'Retirement Calculator'!A:A,0),0),0)</f>
        <v>0</v>
      </c>
      <c r="K2075" s="444">
        <f t="shared" ca="1" si="141"/>
        <v>375109.22168791469</v>
      </c>
      <c r="L2075" s="444">
        <f t="shared" ca="1" si="142"/>
        <v>90401322.426787436</v>
      </c>
      <c r="M2075" s="460">
        <f t="shared" si="144"/>
        <v>0.05</v>
      </c>
      <c r="N2075" s="464">
        <f t="shared" si="145"/>
        <v>114201</v>
      </c>
    </row>
    <row r="2076" spans="7:14" ht="11.25" customHeight="1" x14ac:dyDescent="0.3">
      <c r="G2076" s="459"/>
      <c r="H2076" s="459">
        <v>2069</v>
      </c>
      <c r="I2076" s="444">
        <f t="shared" ca="1" si="143"/>
        <v>90401322.426787436</v>
      </c>
      <c r="J2076" s="444">
        <f t="array" ref="J2076">IFERROR(INDEX('Retirement Calculator'!J:J,MATCH('Isaac 401k'!N2076,'Retirement Calculator'!A:A,0),0),0)</f>
        <v>0</v>
      </c>
      <c r="K2076" s="444">
        <f t="shared" ca="1" si="141"/>
        <v>376672.17677828099</v>
      </c>
      <c r="L2076" s="444">
        <f t="shared" ca="1" si="142"/>
        <v>90777994.603565723</v>
      </c>
      <c r="M2076" s="460">
        <f t="shared" si="144"/>
        <v>0.05</v>
      </c>
      <c r="N2076" s="464">
        <f t="shared" si="145"/>
        <v>114231</v>
      </c>
    </row>
    <row r="2077" spans="7:14" ht="11.25" customHeight="1" x14ac:dyDescent="0.3">
      <c r="G2077" s="459"/>
      <c r="H2077" s="459">
        <v>2070</v>
      </c>
      <c r="I2077" s="444">
        <f t="shared" ca="1" si="143"/>
        <v>90777994.603565723</v>
      </c>
      <c r="J2077" s="444">
        <f t="array" ref="J2077">IFERROR(INDEX('Retirement Calculator'!J:J,MATCH('Isaac 401k'!N2077,'Retirement Calculator'!A:A,0),0),0)</f>
        <v>0</v>
      </c>
      <c r="K2077" s="444">
        <f t="shared" ca="1" si="141"/>
        <v>378241.64418152382</v>
      </c>
      <c r="L2077" s="444">
        <f t="shared" ca="1" si="142"/>
        <v>91156236.247747242</v>
      </c>
      <c r="M2077" s="460">
        <f t="shared" si="144"/>
        <v>0.05</v>
      </c>
      <c r="N2077" s="464">
        <f t="shared" si="145"/>
        <v>114262</v>
      </c>
    </row>
    <row r="2078" spans="7:14" ht="11.25" customHeight="1" x14ac:dyDescent="0.3">
      <c r="G2078" s="459"/>
      <c r="H2078" s="459">
        <v>2071</v>
      </c>
      <c r="I2078" s="444">
        <f t="shared" ca="1" si="143"/>
        <v>91156236.247747242</v>
      </c>
      <c r="J2078" s="444">
        <f t="array" ref="J2078">IFERROR(INDEX('Retirement Calculator'!J:J,MATCH('Isaac 401k'!N2078,'Retirement Calculator'!A:A,0),0),0)</f>
        <v>0</v>
      </c>
      <c r="K2078" s="444">
        <f t="shared" ca="1" si="141"/>
        <v>379817.65103228018</v>
      </c>
      <c r="L2078" s="444">
        <f t="shared" ca="1" si="142"/>
        <v>91536053.898779526</v>
      </c>
      <c r="M2078" s="460">
        <f t="shared" si="144"/>
        <v>0.05</v>
      </c>
      <c r="N2078" s="464">
        <f t="shared" si="145"/>
        <v>114292</v>
      </c>
    </row>
    <row r="2079" spans="7:14" ht="11.25" customHeight="1" x14ac:dyDescent="0.3">
      <c r="G2079" s="459"/>
      <c r="H2079" s="459">
        <v>2072</v>
      </c>
      <c r="I2079" s="444">
        <f t="shared" ca="1" si="143"/>
        <v>91536053.898779526</v>
      </c>
      <c r="J2079" s="444">
        <f t="array" ref="J2079">IFERROR(INDEX('Retirement Calculator'!J:J,MATCH('Isaac 401k'!N2079,'Retirement Calculator'!A:A,0),0),0)</f>
        <v>0</v>
      </c>
      <c r="K2079" s="444">
        <f t="shared" ca="1" si="141"/>
        <v>381400.22457824805</v>
      </c>
      <c r="L2079" s="444">
        <f t="shared" ca="1" si="142"/>
        <v>91917454.123357773</v>
      </c>
      <c r="M2079" s="460">
        <f t="shared" si="144"/>
        <v>0.05</v>
      </c>
      <c r="N2079" s="464">
        <f t="shared" si="145"/>
        <v>114323</v>
      </c>
    </row>
    <row r="2080" spans="7:14" ht="11.25" customHeight="1" x14ac:dyDescent="0.3">
      <c r="G2080" s="459"/>
      <c r="H2080" s="459">
        <v>2073</v>
      </c>
      <c r="I2080" s="444">
        <f t="shared" ca="1" si="143"/>
        <v>91917454.123357773</v>
      </c>
      <c r="J2080" s="444">
        <f t="array" ref="J2080">IFERROR(INDEX('Retirement Calculator'!J:J,MATCH('Isaac 401k'!N2080,'Retirement Calculator'!A:A,0),0),0)</f>
        <v>0</v>
      </c>
      <c r="K2080" s="444">
        <f t="shared" ca="1" si="141"/>
        <v>382989.39218065736</v>
      </c>
      <c r="L2080" s="444">
        <f t="shared" ca="1" si="142"/>
        <v>92300443.515538424</v>
      </c>
      <c r="M2080" s="460">
        <f t="shared" si="144"/>
        <v>0.05</v>
      </c>
      <c r="N2080" s="464">
        <f t="shared" si="145"/>
        <v>114354</v>
      </c>
    </row>
    <row r="2081" spans="7:14" ht="11.25" customHeight="1" x14ac:dyDescent="0.3">
      <c r="G2081" s="459"/>
      <c r="H2081" s="459">
        <v>2074</v>
      </c>
      <c r="I2081" s="444">
        <f t="shared" ca="1" si="143"/>
        <v>92300443.515538424</v>
      </c>
      <c r="J2081" s="444">
        <f t="array" ref="J2081">IFERROR(INDEX('Retirement Calculator'!J:J,MATCH('Isaac 401k'!N2081,'Retirement Calculator'!A:A,0),0),0)</f>
        <v>0</v>
      </c>
      <c r="K2081" s="444">
        <f t="shared" ca="1" si="141"/>
        <v>384585.18131474341</v>
      </c>
      <c r="L2081" s="444">
        <f t="shared" ca="1" si="142"/>
        <v>92685028.696853161</v>
      </c>
      <c r="M2081" s="460">
        <f t="shared" si="144"/>
        <v>0.05</v>
      </c>
      <c r="N2081" s="464">
        <f t="shared" si="145"/>
        <v>114382</v>
      </c>
    </row>
    <row r="2082" spans="7:14" ht="11.25" customHeight="1" x14ac:dyDescent="0.3">
      <c r="G2082" s="459"/>
      <c r="H2082" s="459">
        <v>2075</v>
      </c>
      <c r="I2082" s="444">
        <f t="shared" ca="1" si="143"/>
        <v>92685028.696853161</v>
      </c>
      <c r="J2082" s="444">
        <f t="array" ref="J2082">IFERROR(INDEX('Retirement Calculator'!J:J,MATCH('Isaac 401k'!N2082,'Retirement Calculator'!A:A,0),0),0)</f>
        <v>0</v>
      </c>
      <c r="K2082" s="444">
        <f t="shared" ca="1" si="141"/>
        <v>386187.61957022152</v>
      </c>
      <c r="L2082" s="444">
        <f t="shared" ca="1" si="142"/>
        <v>93071216.316423386</v>
      </c>
      <c r="M2082" s="460">
        <f t="shared" si="144"/>
        <v>0.05</v>
      </c>
      <c r="N2082" s="464">
        <f t="shared" si="145"/>
        <v>114413</v>
      </c>
    </row>
    <row r="2083" spans="7:14" ht="11.25" customHeight="1" x14ac:dyDescent="0.3">
      <c r="G2083" s="459"/>
      <c r="H2083" s="459">
        <v>2076</v>
      </c>
      <c r="I2083" s="444">
        <f t="shared" ca="1" si="143"/>
        <v>93071216.316423386</v>
      </c>
      <c r="J2083" s="444">
        <f t="array" ref="J2083">IFERROR(INDEX('Retirement Calculator'!J:J,MATCH('Isaac 401k'!N2083,'Retirement Calculator'!A:A,0),0),0)</f>
        <v>0</v>
      </c>
      <c r="K2083" s="444">
        <f t="shared" ca="1" si="141"/>
        <v>387796.7346517641</v>
      </c>
      <c r="L2083" s="444">
        <f t="shared" ca="1" si="142"/>
        <v>93459013.051075146</v>
      </c>
      <c r="M2083" s="460">
        <f t="shared" si="144"/>
        <v>0.05</v>
      </c>
      <c r="N2083" s="464">
        <f t="shared" si="145"/>
        <v>114443</v>
      </c>
    </row>
    <row r="2084" spans="7:14" ht="11.25" customHeight="1" x14ac:dyDescent="0.3">
      <c r="G2084" s="459"/>
      <c r="H2084" s="459">
        <v>2077</v>
      </c>
      <c r="I2084" s="444">
        <f t="shared" ca="1" si="143"/>
        <v>93459013.051075146</v>
      </c>
      <c r="J2084" s="444">
        <f t="array" ref="J2084">IFERROR(INDEX('Retirement Calculator'!J:J,MATCH('Isaac 401k'!N2084,'Retirement Calculator'!A:A,0),0),0)</f>
        <v>0</v>
      </c>
      <c r="K2084" s="444">
        <f t="shared" ca="1" si="141"/>
        <v>389412.55437947978</v>
      </c>
      <c r="L2084" s="444">
        <f t="shared" ca="1" si="142"/>
        <v>93848425.605454624</v>
      </c>
      <c r="M2084" s="460">
        <f t="shared" si="144"/>
        <v>0.05</v>
      </c>
      <c r="N2084" s="464">
        <f t="shared" si="145"/>
        <v>114474</v>
      </c>
    </row>
    <row r="2085" spans="7:14" ht="11.25" customHeight="1" x14ac:dyDescent="0.3">
      <c r="G2085" s="459"/>
      <c r="H2085" s="459">
        <v>2078</v>
      </c>
      <c r="I2085" s="444">
        <f t="shared" ca="1" si="143"/>
        <v>93848425.605454624</v>
      </c>
      <c r="J2085" s="444">
        <f t="array" ref="J2085">IFERROR(INDEX('Retirement Calculator'!J:J,MATCH('Isaac 401k'!N2085,'Retirement Calculator'!A:A,0),0),0)</f>
        <v>0</v>
      </c>
      <c r="K2085" s="444">
        <f t="shared" ca="1" si="141"/>
        <v>391035.10668939428</v>
      </c>
      <c r="L2085" s="444">
        <f t="shared" ca="1" si="142"/>
        <v>94239460.712144017</v>
      </c>
      <c r="M2085" s="460">
        <f t="shared" si="144"/>
        <v>0.05</v>
      </c>
      <c r="N2085" s="464">
        <f t="shared" si="145"/>
        <v>114504</v>
      </c>
    </row>
    <row r="2086" spans="7:14" ht="11.25" customHeight="1" x14ac:dyDescent="0.3">
      <c r="G2086" s="459"/>
      <c r="H2086" s="459">
        <v>2079</v>
      </c>
      <c r="I2086" s="444">
        <f t="shared" ca="1" si="143"/>
        <v>94239460.712144017</v>
      </c>
      <c r="J2086" s="444">
        <f t="array" ref="J2086">IFERROR(INDEX('Retirement Calculator'!J:J,MATCH('Isaac 401k'!N2086,'Retirement Calculator'!A:A,0),0),0)</f>
        <v>0</v>
      </c>
      <c r="K2086" s="444">
        <f t="shared" ca="1" si="141"/>
        <v>392664.4196339334</v>
      </c>
      <c r="L2086" s="444">
        <f t="shared" ca="1" si="142"/>
        <v>94632125.131777957</v>
      </c>
      <c r="M2086" s="460">
        <f t="shared" si="144"/>
        <v>0.05</v>
      </c>
      <c r="N2086" s="464">
        <f t="shared" si="145"/>
        <v>114535</v>
      </c>
    </row>
    <row r="2087" spans="7:14" ht="11.25" customHeight="1" x14ac:dyDescent="0.3">
      <c r="G2087" s="459"/>
      <c r="H2087" s="459">
        <v>2080</v>
      </c>
      <c r="I2087" s="444">
        <f t="shared" ca="1" si="143"/>
        <v>94632125.131777957</v>
      </c>
      <c r="J2087" s="444">
        <f t="array" ref="J2087">IFERROR(INDEX('Retirement Calculator'!J:J,MATCH('Isaac 401k'!N2087,'Retirement Calculator'!A:A,0),0),0)</f>
        <v>0</v>
      </c>
      <c r="K2087" s="444">
        <f t="shared" ca="1" si="141"/>
        <v>394300.52138240816</v>
      </c>
      <c r="L2087" s="444">
        <f t="shared" ca="1" si="142"/>
        <v>95026425.653160363</v>
      </c>
      <c r="M2087" s="460">
        <f t="shared" si="144"/>
        <v>0.05</v>
      </c>
      <c r="N2087" s="464">
        <f t="shared" si="145"/>
        <v>114566</v>
      </c>
    </row>
    <row r="2088" spans="7:14" ht="11.25" customHeight="1" x14ac:dyDescent="0.3">
      <c r="G2088" s="459"/>
      <c r="H2088" s="459">
        <v>2081</v>
      </c>
      <c r="I2088" s="444">
        <f t="shared" ca="1" si="143"/>
        <v>95026425.653160363</v>
      </c>
      <c r="J2088" s="444">
        <f t="array" ref="J2088">IFERROR(INDEX('Retirement Calculator'!J:J,MATCH('Isaac 401k'!N2088,'Retirement Calculator'!A:A,0),0),0)</f>
        <v>0</v>
      </c>
      <c r="K2088" s="444">
        <f t="shared" ca="1" si="141"/>
        <v>395943.44022150151</v>
      </c>
      <c r="L2088" s="444">
        <f t="shared" ca="1" si="142"/>
        <v>95422369.093381867</v>
      </c>
      <c r="M2088" s="460">
        <f t="shared" si="144"/>
        <v>0.05</v>
      </c>
      <c r="N2088" s="464">
        <f t="shared" si="145"/>
        <v>114596</v>
      </c>
    </row>
    <row r="2089" spans="7:14" ht="11.25" customHeight="1" x14ac:dyDescent="0.3">
      <c r="G2089" s="459"/>
      <c r="H2089" s="459">
        <v>2082</v>
      </c>
      <c r="I2089" s="444">
        <f t="shared" ca="1" si="143"/>
        <v>95422369.093381867</v>
      </c>
      <c r="J2089" s="444">
        <f t="array" ref="J2089">IFERROR(INDEX('Retirement Calculator'!J:J,MATCH('Isaac 401k'!N2089,'Retirement Calculator'!A:A,0),0),0)</f>
        <v>0</v>
      </c>
      <c r="K2089" s="444">
        <f t="shared" ca="1" si="141"/>
        <v>397593.20455575775</v>
      </c>
      <c r="L2089" s="444">
        <f t="shared" ca="1" si="142"/>
        <v>95819962.297937632</v>
      </c>
      <c r="M2089" s="460">
        <f t="shared" si="144"/>
        <v>0.05</v>
      </c>
      <c r="N2089" s="464">
        <f t="shared" si="145"/>
        <v>114627</v>
      </c>
    </row>
    <row r="2090" spans="7:14" ht="11.25" customHeight="1" x14ac:dyDescent="0.3">
      <c r="G2090" s="459"/>
      <c r="H2090" s="459">
        <v>2083</v>
      </c>
      <c r="I2090" s="444">
        <f t="shared" ca="1" si="143"/>
        <v>95819962.297937632</v>
      </c>
      <c r="J2090" s="444">
        <f t="array" ref="J2090">IFERROR(INDEX('Retirement Calculator'!J:J,MATCH('Isaac 401k'!N2090,'Retirement Calculator'!A:A,0),0),0)</f>
        <v>0</v>
      </c>
      <c r="K2090" s="444">
        <f t="shared" ca="1" si="141"/>
        <v>399249.84290807345</v>
      </c>
      <c r="L2090" s="444">
        <f t="shared" ca="1" si="142"/>
        <v>96219212.140845701</v>
      </c>
      <c r="M2090" s="460">
        <f t="shared" si="144"/>
        <v>0.05</v>
      </c>
      <c r="N2090" s="464">
        <f t="shared" si="145"/>
        <v>114657</v>
      </c>
    </row>
    <row r="2091" spans="7:14" ht="11.25" customHeight="1" x14ac:dyDescent="0.3">
      <c r="G2091" s="459"/>
      <c r="H2091" s="459">
        <v>2084</v>
      </c>
      <c r="I2091" s="444">
        <f t="shared" ca="1" si="143"/>
        <v>96219212.140845701</v>
      </c>
      <c r="J2091" s="444">
        <f t="array" ref="J2091">IFERROR(INDEX('Retirement Calculator'!J:J,MATCH('Isaac 401k'!N2091,'Retirement Calculator'!A:A,0),0),0)</f>
        <v>0</v>
      </c>
      <c r="K2091" s="444">
        <f t="shared" ca="1" si="141"/>
        <v>400913.38392019039</v>
      </c>
      <c r="L2091" s="444">
        <f t="shared" ca="1" si="142"/>
        <v>96620125.524765894</v>
      </c>
      <c r="M2091" s="460">
        <f t="shared" si="144"/>
        <v>0.05</v>
      </c>
      <c r="N2091" s="464">
        <f t="shared" si="145"/>
        <v>114688</v>
      </c>
    </row>
    <row r="2092" spans="7:14" ht="11.25" customHeight="1" x14ac:dyDescent="0.3">
      <c r="G2092" s="459"/>
      <c r="H2092" s="459">
        <v>2085</v>
      </c>
      <c r="I2092" s="444">
        <f t="shared" ca="1" si="143"/>
        <v>96620125.524765894</v>
      </c>
      <c r="J2092" s="444">
        <f t="array" ref="J2092">IFERROR(INDEX('Retirement Calculator'!J:J,MATCH('Isaac 401k'!N2092,'Retirement Calculator'!A:A,0),0),0)</f>
        <v>0</v>
      </c>
      <c r="K2092" s="444">
        <f t="shared" ca="1" si="141"/>
        <v>402583.85635319119</v>
      </c>
      <c r="L2092" s="444">
        <f t="shared" ca="1" si="142"/>
        <v>97022709.381119087</v>
      </c>
      <c r="M2092" s="460">
        <f t="shared" si="144"/>
        <v>0.05</v>
      </c>
      <c r="N2092" s="464">
        <f t="shared" si="145"/>
        <v>114719</v>
      </c>
    </row>
    <row r="2093" spans="7:14" ht="11.25" customHeight="1" x14ac:dyDescent="0.3">
      <c r="G2093" s="459"/>
      <c r="H2093" s="459">
        <v>2086</v>
      </c>
      <c r="I2093" s="444">
        <f t="shared" ca="1" si="143"/>
        <v>97022709.381119087</v>
      </c>
      <c r="J2093" s="444">
        <f t="array" ref="J2093">IFERROR(INDEX('Retirement Calculator'!J:J,MATCH('Isaac 401k'!N2093,'Retirement Calculator'!A:A,0),0),0)</f>
        <v>0</v>
      </c>
      <c r="K2093" s="444">
        <f t="shared" ca="1" si="141"/>
        <v>404261.28908799618</v>
      </c>
      <c r="L2093" s="444">
        <f t="shared" ca="1" si="142"/>
        <v>97426970.670207083</v>
      </c>
      <c r="M2093" s="460">
        <f t="shared" si="144"/>
        <v>0.05</v>
      </c>
      <c r="N2093" s="464">
        <f t="shared" si="145"/>
        <v>114747</v>
      </c>
    </row>
    <row r="2094" spans="7:14" ht="11.25" customHeight="1" x14ac:dyDescent="0.3">
      <c r="G2094" s="459"/>
      <c r="H2094" s="459">
        <v>2087</v>
      </c>
      <c r="I2094" s="444">
        <f t="shared" ca="1" si="143"/>
        <v>97426970.670207083</v>
      </c>
      <c r="J2094" s="444">
        <f t="array" ref="J2094">IFERROR(INDEX('Retirement Calculator'!J:J,MATCH('Isaac 401k'!N2094,'Retirement Calculator'!A:A,0),0),0)</f>
        <v>0</v>
      </c>
      <c r="K2094" s="444">
        <f t="shared" ca="1" si="141"/>
        <v>405945.71112586284</v>
      </c>
      <c r="L2094" s="444">
        <f t="shared" ca="1" si="142"/>
        <v>97832916.381332949</v>
      </c>
      <c r="M2094" s="460">
        <f t="shared" si="144"/>
        <v>0.05</v>
      </c>
      <c r="N2094" s="464">
        <f t="shared" si="145"/>
        <v>114778</v>
      </c>
    </row>
    <row r="2095" spans="7:14" ht="11.25" customHeight="1" x14ac:dyDescent="0.3">
      <c r="G2095" s="459"/>
      <c r="H2095" s="459">
        <v>2088</v>
      </c>
      <c r="I2095" s="444">
        <f t="shared" ca="1" si="143"/>
        <v>97832916.381332949</v>
      </c>
      <c r="J2095" s="444">
        <f t="array" ref="J2095">IFERROR(INDEX('Retirement Calculator'!J:J,MATCH('Isaac 401k'!N2095,'Retirement Calculator'!A:A,0),0),0)</f>
        <v>0</v>
      </c>
      <c r="K2095" s="444">
        <f t="shared" ca="1" si="141"/>
        <v>407637.15158888727</v>
      </c>
      <c r="L2095" s="444">
        <f t="shared" ca="1" si="142"/>
        <v>98240553.532921836</v>
      </c>
      <c r="M2095" s="460">
        <f t="shared" si="144"/>
        <v>0.05</v>
      </c>
      <c r="N2095" s="464">
        <f t="shared" si="145"/>
        <v>114808</v>
      </c>
    </row>
    <row r="2096" spans="7:14" ht="11.25" customHeight="1" x14ac:dyDescent="0.3">
      <c r="G2096" s="459"/>
      <c r="H2096" s="459">
        <v>2089</v>
      </c>
      <c r="I2096" s="444">
        <f t="shared" ca="1" si="143"/>
        <v>98240553.532921836</v>
      </c>
      <c r="J2096" s="444">
        <f t="array" ref="J2096">IFERROR(INDEX('Retirement Calculator'!J:J,MATCH('Isaac 401k'!N2096,'Retirement Calculator'!A:A,0),0),0)</f>
        <v>0</v>
      </c>
      <c r="K2096" s="444">
        <f t="shared" ca="1" si="141"/>
        <v>409335.63972050766</v>
      </c>
      <c r="L2096" s="444">
        <f t="shared" ca="1" si="142"/>
        <v>98649889.17264235</v>
      </c>
      <c r="M2096" s="460">
        <f t="shared" si="144"/>
        <v>0.05</v>
      </c>
      <c r="N2096" s="464">
        <f t="shared" si="145"/>
        <v>114839</v>
      </c>
    </row>
    <row r="2097" spans="7:14" ht="11.25" customHeight="1" x14ac:dyDescent="0.3">
      <c r="G2097" s="459"/>
      <c r="H2097" s="459">
        <v>2090</v>
      </c>
      <c r="I2097" s="444">
        <f t="shared" ca="1" si="143"/>
        <v>98649889.17264235</v>
      </c>
      <c r="J2097" s="444">
        <f t="array" ref="J2097">IFERROR(INDEX('Retirement Calculator'!J:J,MATCH('Isaac 401k'!N2097,'Retirement Calculator'!A:A,0),0),0)</f>
        <v>0</v>
      </c>
      <c r="K2097" s="444">
        <f t="shared" ca="1" si="141"/>
        <v>411041.2048860098</v>
      </c>
      <c r="L2097" s="444">
        <f t="shared" ca="1" si="142"/>
        <v>99060930.377528355</v>
      </c>
      <c r="M2097" s="460">
        <f t="shared" si="144"/>
        <v>0.05</v>
      </c>
      <c r="N2097" s="464">
        <f t="shared" si="145"/>
        <v>114869</v>
      </c>
    </row>
    <row r="2098" spans="7:14" ht="11.25" customHeight="1" x14ac:dyDescent="0.3">
      <c r="G2098" s="459"/>
      <c r="H2098" s="459">
        <v>2091</v>
      </c>
      <c r="I2098" s="444">
        <f t="shared" ca="1" si="143"/>
        <v>99060930.377528355</v>
      </c>
      <c r="J2098" s="444">
        <f t="array" ref="J2098">IFERROR(INDEX('Retirement Calculator'!J:J,MATCH('Isaac 401k'!N2098,'Retirement Calculator'!A:A,0),0),0)</f>
        <v>0</v>
      </c>
      <c r="K2098" s="444">
        <f t="shared" ca="1" si="141"/>
        <v>412753.8765730348</v>
      </c>
      <c r="L2098" s="444">
        <f t="shared" ca="1" si="142"/>
        <v>99473684.254101396</v>
      </c>
      <c r="M2098" s="460">
        <f t="shared" si="144"/>
        <v>0.05</v>
      </c>
      <c r="N2098" s="464">
        <f t="shared" si="145"/>
        <v>114900</v>
      </c>
    </row>
    <row r="2099" spans="7:14" ht="11.25" customHeight="1" x14ac:dyDescent="0.3">
      <c r="G2099" s="459"/>
      <c r="H2099" s="459">
        <v>2092</v>
      </c>
      <c r="I2099" s="444">
        <f t="shared" ca="1" si="143"/>
        <v>99473684.254101396</v>
      </c>
      <c r="J2099" s="444">
        <f t="array" ref="J2099">IFERROR(INDEX('Retirement Calculator'!J:J,MATCH('Isaac 401k'!N2099,'Retirement Calculator'!A:A,0),0),0)</f>
        <v>0</v>
      </c>
      <c r="K2099" s="444">
        <f t="shared" ca="1" si="141"/>
        <v>414473.68439208914</v>
      </c>
      <c r="L2099" s="444">
        <f t="shared" ca="1" si="142"/>
        <v>99888157.93849349</v>
      </c>
      <c r="M2099" s="460">
        <f t="shared" si="144"/>
        <v>0.05</v>
      </c>
      <c r="N2099" s="464">
        <f t="shared" si="145"/>
        <v>114931</v>
      </c>
    </row>
    <row r="2100" spans="7:14" ht="11.25" customHeight="1" x14ac:dyDescent="0.3">
      <c r="G2100" s="459"/>
      <c r="H2100" s="459">
        <v>2093</v>
      </c>
      <c r="I2100" s="444">
        <f t="shared" ca="1" si="143"/>
        <v>99888157.93849349</v>
      </c>
      <c r="J2100" s="444">
        <f t="array" ref="J2100">IFERROR(INDEX('Retirement Calculator'!J:J,MATCH('Isaac 401k'!N2100,'Retirement Calculator'!A:A,0),0),0)</f>
        <v>0</v>
      </c>
      <c r="K2100" s="444">
        <f t="shared" ca="1" si="141"/>
        <v>416200.65807705623</v>
      </c>
      <c r="L2100" s="444">
        <f t="shared" ca="1" si="142"/>
        <v>100304358.59657055</v>
      </c>
      <c r="M2100" s="460">
        <f t="shared" si="144"/>
        <v>0.05</v>
      </c>
      <c r="N2100" s="464">
        <f t="shared" si="145"/>
        <v>114961</v>
      </c>
    </row>
    <row r="2101" spans="7:14" ht="11.25" customHeight="1" x14ac:dyDescent="0.3">
      <c r="G2101" s="459"/>
      <c r="H2101" s="459">
        <v>2094</v>
      </c>
      <c r="I2101" s="444">
        <f t="shared" ca="1" si="143"/>
        <v>100304358.59657055</v>
      </c>
      <c r="J2101" s="444">
        <f t="array" ref="J2101">IFERROR(INDEX('Retirement Calculator'!J:J,MATCH('Isaac 401k'!N2101,'Retirement Calculator'!A:A,0),0),0)</f>
        <v>0</v>
      </c>
      <c r="K2101" s="444">
        <f t="shared" ca="1" si="141"/>
        <v>417934.82748571062</v>
      </c>
      <c r="L2101" s="444">
        <f t="shared" ca="1" si="142"/>
        <v>100722293.42405626</v>
      </c>
      <c r="M2101" s="460">
        <f t="shared" si="144"/>
        <v>0.05</v>
      </c>
      <c r="N2101" s="464">
        <f t="shared" si="145"/>
        <v>114992</v>
      </c>
    </row>
    <row r="2102" spans="7:14" ht="11.25" customHeight="1" x14ac:dyDescent="0.3">
      <c r="G2102" s="459"/>
      <c r="H2102" s="459">
        <v>2095</v>
      </c>
      <c r="I2102" s="444">
        <f t="shared" ca="1" si="143"/>
        <v>100722293.42405626</v>
      </c>
      <c r="J2102" s="444">
        <f t="array" ref="J2102">IFERROR(INDEX('Retirement Calculator'!J:J,MATCH('Isaac 401k'!N2102,'Retirement Calculator'!A:A,0),0),0)</f>
        <v>0</v>
      </c>
      <c r="K2102" s="444">
        <f t="shared" ca="1" si="141"/>
        <v>419676.22260023444</v>
      </c>
      <c r="L2102" s="444">
        <f t="shared" ca="1" si="142"/>
        <v>101141969.6466565</v>
      </c>
      <c r="M2102" s="460">
        <f t="shared" si="144"/>
        <v>0.05</v>
      </c>
      <c r="N2102" s="464">
        <f t="shared" si="145"/>
        <v>115022</v>
      </c>
    </row>
    <row r="2103" spans="7:14" ht="11.25" customHeight="1" x14ac:dyDescent="0.3">
      <c r="G2103" s="459"/>
      <c r="H2103" s="459">
        <v>2096</v>
      </c>
      <c r="I2103" s="444">
        <f t="shared" ca="1" si="143"/>
        <v>101141969.6466565</v>
      </c>
      <c r="J2103" s="444">
        <f t="array" ref="J2103">IFERROR(INDEX('Retirement Calculator'!J:J,MATCH('Isaac 401k'!N2103,'Retirement Calculator'!A:A,0),0),0)</f>
        <v>0</v>
      </c>
      <c r="K2103" s="444">
        <f t="shared" ca="1" si="141"/>
        <v>421424.87352773541</v>
      </c>
      <c r="L2103" s="444">
        <f t="shared" ca="1" si="142"/>
        <v>101563394.52018423</v>
      </c>
      <c r="M2103" s="460">
        <f t="shared" si="144"/>
        <v>0.05</v>
      </c>
      <c r="N2103" s="464">
        <f t="shared" si="145"/>
        <v>115053</v>
      </c>
    </row>
    <row r="2104" spans="7:14" ht="11.25" customHeight="1" x14ac:dyDescent="0.3">
      <c r="G2104" s="459"/>
      <c r="H2104" s="459">
        <v>2097</v>
      </c>
      <c r="I2104" s="444">
        <f t="shared" ca="1" si="143"/>
        <v>101563394.52018423</v>
      </c>
      <c r="J2104" s="444">
        <f t="array" ref="J2104">IFERROR(INDEX('Retirement Calculator'!J:J,MATCH('Isaac 401k'!N2104,'Retirement Calculator'!A:A,0),0),0)</f>
        <v>0</v>
      </c>
      <c r="K2104" s="444">
        <f t="shared" ca="1" si="141"/>
        <v>423180.81050076761</v>
      </c>
      <c r="L2104" s="444">
        <f t="shared" ca="1" si="142"/>
        <v>101986575.330685</v>
      </c>
      <c r="M2104" s="460">
        <f t="shared" si="144"/>
        <v>0.05</v>
      </c>
      <c r="N2104" s="464">
        <f t="shared" si="145"/>
        <v>115084</v>
      </c>
    </row>
    <row r="2105" spans="7:14" ht="11.25" customHeight="1" x14ac:dyDescent="0.3">
      <c r="G2105" s="459"/>
      <c r="H2105" s="459">
        <v>2098</v>
      </c>
      <c r="I2105" s="444">
        <f t="shared" ca="1" si="143"/>
        <v>101986575.330685</v>
      </c>
      <c r="J2105" s="444">
        <f t="array" ref="J2105">IFERROR(INDEX('Retirement Calculator'!J:J,MATCH('Isaac 401k'!N2105,'Retirement Calculator'!A:A,0),0),0)</f>
        <v>0</v>
      </c>
      <c r="K2105" s="444">
        <f t="shared" ca="1" si="141"/>
        <v>424944.06387785421</v>
      </c>
      <c r="L2105" s="444">
        <f t="shared" ca="1" si="142"/>
        <v>102411519.39456286</v>
      </c>
      <c r="M2105" s="460">
        <f t="shared" si="144"/>
        <v>0.05</v>
      </c>
      <c r="N2105" s="464">
        <f t="shared" si="145"/>
        <v>115112</v>
      </c>
    </row>
    <row r="2106" spans="7:14" ht="11.25" customHeight="1" x14ac:dyDescent="0.3">
      <c r="G2106" s="459"/>
      <c r="H2106" s="459">
        <v>2099</v>
      </c>
      <c r="I2106" s="444">
        <f t="shared" ca="1" si="143"/>
        <v>102411519.39456286</v>
      </c>
      <c r="J2106" s="444">
        <f t="array" ref="J2106">IFERROR(INDEX('Retirement Calculator'!J:J,MATCH('Isaac 401k'!N2106,'Retirement Calculator'!A:A,0),0),0)</f>
        <v>0</v>
      </c>
      <c r="K2106" s="444">
        <f t="shared" ca="1" si="141"/>
        <v>426714.66414401191</v>
      </c>
      <c r="L2106" s="444">
        <f t="shared" ca="1" si="142"/>
        <v>102838234.05870686</v>
      </c>
      <c r="M2106" s="460">
        <f t="shared" si="144"/>
        <v>0.05</v>
      </c>
      <c r="N2106" s="464">
        <f t="shared" si="145"/>
        <v>115143</v>
      </c>
    </row>
    <row r="2107" spans="7:14" ht="11.25" customHeight="1" x14ac:dyDescent="0.3">
      <c r="G2107" s="459"/>
      <c r="H2107" s="459">
        <v>2100</v>
      </c>
      <c r="I2107" s="444">
        <f t="shared" ca="1" si="143"/>
        <v>102838234.05870686</v>
      </c>
      <c r="J2107" s="444">
        <f t="array" ref="J2107">IFERROR(INDEX('Retirement Calculator'!J:J,MATCH('Isaac 401k'!N2107,'Retirement Calculator'!A:A,0),0),0)</f>
        <v>0</v>
      </c>
      <c r="K2107" s="444">
        <f t="shared" ca="1" si="141"/>
        <v>428492.6419112786</v>
      </c>
      <c r="L2107" s="444">
        <f t="shared" ca="1" si="142"/>
        <v>103266726.70061815</v>
      </c>
      <c r="M2107" s="460">
        <f t="shared" si="144"/>
        <v>0.05</v>
      </c>
      <c r="N2107" s="464">
        <f t="shared" si="145"/>
        <v>115173</v>
      </c>
    </row>
    <row r="2108" spans="7:14" ht="11.25" customHeight="1" x14ac:dyDescent="0.3">
      <c r="G2108" s="459"/>
      <c r="H2108" s="459">
        <v>2101</v>
      </c>
      <c r="I2108" s="444">
        <f t="shared" ca="1" si="143"/>
        <v>103266726.70061815</v>
      </c>
      <c r="J2108" s="444">
        <f t="array" ref="J2108">IFERROR(INDEX('Retirement Calculator'!J:J,MATCH('Isaac 401k'!N2108,'Retirement Calculator'!A:A,0),0),0)</f>
        <v>0</v>
      </c>
      <c r="K2108" s="444">
        <f t="shared" ca="1" si="141"/>
        <v>430278.02791924227</v>
      </c>
      <c r="L2108" s="444">
        <f t="shared" ca="1" si="142"/>
        <v>103697004.7285374</v>
      </c>
      <c r="M2108" s="460">
        <f t="shared" si="144"/>
        <v>0.05</v>
      </c>
      <c r="N2108" s="464">
        <f t="shared" si="145"/>
        <v>115204</v>
      </c>
    </row>
    <row r="2109" spans="7:14" ht="11.25" customHeight="1" x14ac:dyDescent="0.3">
      <c r="G2109" s="459"/>
      <c r="H2109" s="459">
        <v>2102</v>
      </c>
      <c r="I2109" s="444">
        <f t="shared" ca="1" si="143"/>
        <v>103697004.7285374</v>
      </c>
      <c r="J2109" s="444">
        <f t="array" ref="J2109">IFERROR(INDEX('Retirement Calculator'!J:J,MATCH('Isaac 401k'!N2109,'Retirement Calculator'!A:A,0),0),0)</f>
        <v>0</v>
      </c>
      <c r="K2109" s="444">
        <f t="shared" ca="1" si="141"/>
        <v>432070.85303557245</v>
      </c>
      <c r="L2109" s="444">
        <f t="shared" ca="1" si="142"/>
        <v>104129075.58157296</v>
      </c>
      <c r="M2109" s="460">
        <f t="shared" si="144"/>
        <v>0.05</v>
      </c>
      <c r="N2109" s="464">
        <f t="shared" si="145"/>
        <v>115234</v>
      </c>
    </row>
    <row r="2110" spans="7:14" ht="11.25" customHeight="1" x14ac:dyDescent="0.3">
      <c r="G2110" s="459"/>
      <c r="H2110" s="459">
        <v>2103</v>
      </c>
      <c r="I2110" s="444">
        <f t="shared" ca="1" si="143"/>
        <v>104129075.58157296</v>
      </c>
      <c r="J2110" s="444">
        <f t="array" ref="J2110">IFERROR(INDEX('Retirement Calculator'!J:J,MATCH('Isaac 401k'!N2110,'Retirement Calculator'!A:A,0),0),0)</f>
        <v>0</v>
      </c>
      <c r="K2110" s="444">
        <f t="shared" ca="1" si="141"/>
        <v>433871.14825655404</v>
      </c>
      <c r="L2110" s="444">
        <f t="shared" ca="1" si="142"/>
        <v>104562946.72982952</v>
      </c>
      <c r="M2110" s="460">
        <f t="shared" si="144"/>
        <v>0.05</v>
      </c>
      <c r="N2110" s="464">
        <f t="shared" si="145"/>
        <v>115265</v>
      </c>
    </row>
    <row r="2111" spans="7:14" ht="11.25" customHeight="1" x14ac:dyDescent="0.3">
      <c r="G2111" s="459"/>
      <c r="H2111" s="459">
        <v>2104</v>
      </c>
      <c r="I2111" s="444">
        <f t="shared" ca="1" si="143"/>
        <v>104562946.72982952</v>
      </c>
      <c r="J2111" s="444">
        <f t="array" ref="J2111">IFERROR(INDEX('Retirement Calculator'!J:J,MATCH('Isaac 401k'!N2111,'Retirement Calculator'!A:A,0),0),0)</f>
        <v>0</v>
      </c>
      <c r="K2111" s="444">
        <f t="shared" ca="1" si="141"/>
        <v>435678.94470762298</v>
      </c>
      <c r="L2111" s="444">
        <f t="shared" ca="1" si="142"/>
        <v>104998625.67453714</v>
      </c>
      <c r="M2111" s="460">
        <f t="shared" si="144"/>
        <v>0.05</v>
      </c>
      <c r="N2111" s="464">
        <f t="shared" si="145"/>
        <v>115296</v>
      </c>
    </row>
    <row r="2112" spans="7:14" ht="11.25" customHeight="1" x14ac:dyDescent="0.3">
      <c r="G2112" s="459"/>
      <c r="H2112" s="459">
        <v>2105</v>
      </c>
      <c r="I2112" s="444">
        <f t="shared" ca="1" si="143"/>
        <v>104998625.67453714</v>
      </c>
      <c r="J2112" s="444">
        <f t="array" ref="J2112">IFERROR(INDEX('Retirement Calculator'!J:J,MATCH('Isaac 401k'!N2112,'Retirement Calculator'!A:A,0),0),0)</f>
        <v>0</v>
      </c>
      <c r="K2112" s="444">
        <f t="shared" ca="1" si="141"/>
        <v>437494.27364390477</v>
      </c>
      <c r="L2112" s="444">
        <f t="shared" ca="1" si="142"/>
        <v>105436119.94818105</v>
      </c>
      <c r="M2112" s="460">
        <f t="shared" si="144"/>
        <v>0.05</v>
      </c>
      <c r="N2112" s="464">
        <f t="shared" si="145"/>
        <v>115326</v>
      </c>
    </row>
    <row r="2113" spans="7:14" ht="11.25" customHeight="1" x14ac:dyDescent="0.3">
      <c r="G2113" s="459"/>
      <c r="H2113" s="459">
        <v>2106</v>
      </c>
      <c r="I2113" s="444">
        <f t="shared" ca="1" si="143"/>
        <v>105436119.94818105</v>
      </c>
      <c r="J2113" s="444">
        <f t="array" ref="J2113">IFERROR(INDEX('Retirement Calculator'!J:J,MATCH('Isaac 401k'!N2113,'Retirement Calculator'!A:A,0),0),0)</f>
        <v>0</v>
      </c>
      <c r="K2113" s="444">
        <f t="shared" ca="1" si="141"/>
        <v>439317.16645075433</v>
      </c>
      <c r="L2113" s="444">
        <f t="shared" ca="1" si="142"/>
        <v>105875437.1146318</v>
      </c>
      <c r="M2113" s="460">
        <f t="shared" si="144"/>
        <v>0.05</v>
      </c>
      <c r="N2113" s="464">
        <f t="shared" si="145"/>
        <v>115357</v>
      </c>
    </row>
    <row r="2114" spans="7:14" ht="11.25" customHeight="1" x14ac:dyDescent="0.3">
      <c r="G2114" s="459"/>
      <c r="H2114" s="459">
        <v>2107</v>
      </c>
      <c r="I2114" s="444">
        <f t="shared" ca="1" si="143"/>
        <v>105875437.1146318</v>
      </c>
      <c r="J2114" s="444">
        <f t="array" ref="J2114">IFERROR(INDEX('Retirement Calculator'!J:J,MATCH('Isaac 401k'!N2114,'Retirement Calculator'!A:A,0),0),0)</f>
        <v>0</v>
      </c>
      <c r="K2114" s="444">
        <f t="shared" ca="1" si="141"/>
        <v>441147.65464429912</v>
      </c>
      <c r="L2114" s="444">
        <f t="shared" ca="1" si="142"/>
        <v>106316584.7692761</v>
      </c>
      <c r="M2114" s="460">
        <f t="shared" si="144"/>
        <v>0.05</v>
      </c>
      <c r="N2114" s="464">
        <f t="shared" si="145"/>
        <v>115387</v>
      </c>
    </row>
    <row r="2115" spans="7:14" ht="11.25" customHeight="1" x14ac:dyDescent="0.3">
      <c r="G2115" s="459"/>
      <c r="H2115" s="459">
        <v>2108</v>
      </c>
      <c r="I2115" s="444">
        <f t="shared" ca="1" si="143"/>
        <v>106316584.7692761</v>
      </c>
      <c r="J2115" s="444">
        <f t="array" ref="J2115">IFERROR(INDEX('Retirement Calculator'!J:J,MATCH('Isaac 401k'!N2115,'Retirement Calculator'!A:A,0),0),0)</f>
        <v>0</v>
      </c>
      <c r="K2115" s="444">
        <f t="shared" ca="1" si="141"/>
        <v>442985.76987198374</v>
      </c>
      <c r="L2115" s="444">
        <f t="shared" ca="1" si="142"/>
        <v>106759570.53914808</v>
      </c>
      <c r="M2115" s="460">
        <f t="shared" si="144"/>
        <v>0.05</v>
      </c>
      <c r="N2115" s="464">
        <f t="shared" si="145"/>
        <v>115418</v>
      </c>
    </row>
    <row r="2116" spans="7:14" ht="11.25" customHeight="1" x14ac:dyDescent="0.3">
      <c r="G2116" s="459"/>
      <c r="H2116" s="459">
        <v>2109</v>
      </c>
      <c r="I2116" s="444">
        <f t="shared" ca="1" si="143"/>
        <v>106759570.53914808</v>
      </c>
      <c r="J2116" s="444">
        <f t="array" ref="J2116">IFERROR(INDEX('Retirement Calculator'!J:J,MATCH('Isaac 401k'!N2116,'Retirement Calculator'!A:A,0),0),0)</f>
        <v>0</v>
      </c>
      <c r="K2116" s="444">
        <f t="shared" ca="1" si="141"/>
        <v>444831.54391311697</v>
      </c>
      <c r="L2116" s="444">
        <f t="shared" ca="1" si="142"/>
        <v>107204402.08306119</v>
      </c>
      <c r="M2116" s="460">
        <f t="shared" si="144"/>
        <v>0.05</v>
      </c>
      <c r="N2116" s="464">
        <f t="shared" si="145"/>
        <v>115449</v>
      </c>
    </row>
    <row r="2117" spans="7:14" ht="11.25" customHeight="1" x14ac:dyDescent="0.3">
      <c r="G2117" s="459"/>
      <c r="H2117" s="459">
        <v>2110</v>
      </c>
      <c r="I2117" s="444">
        <f t="shared" ca="1" si="143"/>
        <v>107204402.08306119</v>
      </c>
      <c r="J2117" s="444">
        <f t="array" ref="J2117">IFERROR(INDEX('Retirement Calculator'!J:J,MATCH('Isaac 401k'!N2117,'Retirement Calculator'!A:A,0),0),0)</f>
        <v>0</v>
      </c>
      <c r="K2117" s="444">
        <f t="shared" ca="1" si="141"/>
        <v>446685.00867942156</v>
      </c>
      <c r="L2117" s="444">
        <f t="shared" ca="1" si="142"/>
        <v>107651087.09174061</v>
      </c>
      <c r="M2117" s="460">
        <f t="shared" si="144"/>
        <v>0.05</v>
      </c>
      <c r="N2117" s="464">
        <f t="shared" si="145"/>
        <v>115478</v>
      </c>
    </row>
    <row r="2118" spans="7:14" ht="11.25" customHeight="1" x14ac:dyDescent="0.3">
      <c r="G2118" s="459"/>
      <c r="H2118" s="459">
        <v>2111</v>
      </c>
      <c r="I2118" s="444">
        <f t="shared" ca="1" si="143"/>
        <v>107651087.09174061</v>
      </c>
      <c r="J2118" s="444">
        <f t="array" ref="J2118">IFERROR(INDEX('Retirement Calculator'!J:J,MATCH('Isaac 401k'!N2118,'Retirement Calculator'!A:A,0),0),0)</f>
        <v>0</v>
      </c>
      <c r="K2118" s="444">
        <f t="shared" ca="1" si="141"/>
        <v>448546.19621558586</v>
      </c>
      <c r="L2118" s="444">
        <f t="shared" ca="1" si="142"/>
        <v>108099633.28795619</v>
      </c>
      <c r="M2118" s="460">
        <f t="shared" si="144"/>
        <v>0.05</v>
      </c>
      <c r="N2118" s="464">
        <f t="shared" si="145"/>
        <v>115509</v>
      </c>
    </row>
    <row r="2119" spans="7:14" ht="11.25" customHeight="1" x14ac:dyDescent="0.3">
      <c r="G2119" s="459"/>
      <c r="H2119" s="459">
        <v>2112</v>
      </c>
      <c r="I2119" s="444">
        <f t="shared" ca="1" si="143"/>
        <v>108099633.28795619</v>
      </c>
      <c r="J2119" s="444">
        <f t="array" ref="J2119">IFERROR(INDEX('Retirement Calculator'!J:J,MATCH('Isaac 401k'!N2119,'Retirement Calculator'!A:A,0),0),0)</f>
        <v>0</v>
      </c>
      <c r="K2119" s="444">
        <f t="shared" ca="1" si="141"/>
        <v>450415.13869981747</v>
      </c>
      <c r="L2119" s="444">
        <f t="shared" ca="1" si="142"/>
        <v>108550048.42665601</v>
      </c>
      <c r="M2119" s="460">
        <f t="shared" si="144"/>
        <v>0.05</v>
      </c>
      <c r="N2119" s="464">
        <f t="shared" si="145"/>
        <v>115539</v>
      </c>
    </row>
    <row r="2120" spans="7:14" ht="11.25" customHeight="1" x14ac:dyDescent="0.3">
      <c r="G2120" s="459"/>
      <c r="H2120" s="459">
        <v>2113</v>
      </c>
      <c r="I2120" s="444">
        <f t="shared" ca="1" si="143"/>
        <v>108550048.42665601</v>
      </c>
      <c r="J2120" s="444">
        <f t="array" ref="J2120">IFERROR(INDEX('Retirement Calculator'!J:J,MATCH('Isaac 401k'!N2120,'Retirement Calculator'!A:A,0),0),0)</f>
        <v>0</v>
      </c>
      <c r="K2120" s="444">
        <f t="shared" ca="1" si="141"/>
        <v>452291.86844440002</v>
      </c>
      <c r="L2120" s="444">
        <f t="shared" ca="1" si="142"/>
        <v>109002340.29510041</v>
      </c>
      <c r="M2120" s="460">
        <f t="shared" si="144"/>
        <v>0.05</v>
      </c>
      <c r="N2120" s="464">
        <f t="shared" si="145"/>
        <v>115570</v>
      </c>
    </row>
    <row r="2121" spans="7:14" ht="11.25" customHeight="1" x14ac:dyDescent="0.3">
      <c r="G2121" s="459"/>
      <c r="H2121" s="459">
        <v>2114</v>
      </c>
      <c r="I2121" s="444">
        <f t="shared" ca="1" si="143"/>
        <v>109002340.29510041</v>
      </c>
      <c r="J2121" s="444">
        <f t="array" ref="J2121">IFERROR(INDEX('Retirement Calculator'!J:J,MATCH('Isaac 401k'!N2121,'Retirement Calculator'!A:A,0),0),0)</f>
        <v>0</v>
      </c>
      <c r="K2121" s="444">
        <f t="shared" ca="1" si="141"/>
        <v>454176.41789625172</v>
      </c>
      <c r="L2121" s="444">
        <f t="shared" ca="1" si="142"/>
        <v>109456516.71299666</v>
      </c>
      <c r="M2121" s="460">
        <f t="shared" si="144"/>
        <v>0.05</v>
      </c>
      <c r="N2121" s="464">
        <f t="shared" si="145"/>
        <v>115600</v>
      </c>
    </row>
    <row r="2122" spans="7:14" ht="11.25" customHeight="1" x14ac:dyDescent="0.3">
      <c r="G2122" s="459"/>
      <c r="H2122" s="459">
        <v>2115</v>
      </c>
      <c r="I2122" s="444">
        <f t="shared" ca="1" si="143"/>
        <v>109456516.71299666</v>
      </c>
      <c r="J2122" s="444">
        <f t="array" ref="J2122">IFERROR(INDEX('Retirement Calculator'!J:J,MATCH('Isaac 401k'!N2122,'Retirement Calculator'!A:A,0),0),0)</f>
        <v>0</v>
      </c>
      <c r="K2122" s="444">
        <f t="shared" ca="1" si="141"/>
        <v>456068.81963748607</v>
      </c>
      <c r="L2122" s="444">
        <f t="shared" ca="1" si="142"/>
        <v>109912585.53263415</v>
      </c>
      <c r="M2122" s="460">
        <f t="shared" si="144"/>
        <v>0.05</v>
      </c>
      <c r="N2122" s="464">
        <f t="shared" si="145"/>
        <v>115631</v>
      </c>
    </row>
    <row r="2123" spans="7:14" ht="11.25" customHeight="1" x14ac:dyDescent="0.3">
      <c r="G2123" s="459"/>
      <c r="H2123" s="459">
        <v>2116</v>
      </c>
      <c r="I2123" s="444">
        <f t="shared" ca="1" si="143"/>
        <v>109912585.53263415</v>
      </c>
      <c r="J2123" s="444">
        <f t="array" ref="J2123">IFERROR(INDEX('Retirement Calculator'!J:J,MATCH('Isaac 401k'!N2123,'Retirement Calculator'!A:A,0),0),0)</f>
        <v>0</v>
      </c>
      <c r="K2123" s="444">
        <f t="shared" ca="1" si="141"/>
        <v>457969.10638597561</v>
      </c>
      <c r="L2123" s="444">
        <f t="shared" ca="1" si="142"/>
        <v>110370554.63902013</v>
      </c>
      <c r="M2123" s="460">
        <f t="shared" si="144"/>
        <v>0.05</v>
      </c>
      <c r="N2123" s="464">
        <f t="shared" si="145"/>
        <v>115662</v>
      </c>
    </row>
    <row r="2124" spans="7:14" ht="11.25" customHeight="1" x14ac:dyDescent="0.3">
      <c r="G2124" s="459"/>
      <c r="H2124" s="459">
        <v>2117</v>
      </c>
      <c r="I2124" s="444">
        <f t="shared" ca="1" si="143"/>
        <v>110370554.63902013</v>
      </c>
      <c r="J2124" s="444">
        <f t="array" ref="J2124">IFERROR(INDEX('Retirement Calculator'!J:J,MATCH('Isaac 401k'!N2124,'Retirement Calculator'!A:A,0),0),0)</f>
        <v>0</v>
      </c>
      <c r="K2124" s="444">
        <f t="shared" ca="1" si="141"/>
        <v>459877.31099591719</v>
      </c>
      <c r="L2124" s="444">
        <f t="shared" ca="1" si="142"/>
        <v>110830431.95001605</v>
      </c>
      <c r="M2124" s="460">
        <f t="shared" si="144"/>
        <v>0.05</v>
      </c>
      <c r="N2124" s="464">
        <f t="shared" si="145"/>
        <v>115692</v>
      </c>
    </row>
    <row r="2125" spans="7:14" ht="11.25" customHeight="1" x14ac:dyDescent="0.3">
      <c r="G2125" s="459"/>
      <c r="H2125" s="459">
        <v>2118</v>
      </c>
      <c r="I2125" s="444">
        <f t="shared" ca="1" si="143"/>
        <v>110830431.95001605</v>
      </c>
      <c r="J2125" s="444">
        <f t="array" ref="J2125">IFERROR(INDEX('Retirement Calculator'!J:J,MATCH('Isaac 401k'!N2125,'Retirement Calculator'!A:A,0),0),0)</f>
        <v>0</v>
      </c>
      <c r="K2125" s="444">
        <f t="shared" ca="1" si="141"/>
        <v>461793.46645840019</v>
      </c>
      <c r="L2125" s="444">
        <f t="shared" ca="1" si="142"/>
        <v>111292225.41647445</v>
      </c>
      <c r="M2125" s="460">
        <f t="shared" si="144"/>
        <v>0.05</v>
      </c>
      <c r="N2125" s="464">
        <f t="shared" si="145"/>
        <v>115723</v>
      </c>
    </row>
    <row r="2126" spans="7:14" ht="11.25" customHeight="1" x14ac:dyDescent="0.3">
      <c r="G2126" s="459"/>
      <c r="H2126" s="459">
        <v>2119</v>
      </c>
      <c r="I2126" s="444">
        <f t="shared" ca="1" si="143"/>
        <v>111292225.41647445</v>
      </c>
      <c r="J2126" s="444">
        <f t="array" ref="J2126">IFERROR(INDEX('Retirement Calculator'!J:J,MATCH('Isaac 401k'!N2126,'Retirement Calculator'!A:A,0),0),0)</f>
        <v>0</v>
      </c>
      <c r="K2126" s="444">
        <f t="shared" ca="1" si="141"/>
        <v>463717.60590197687</v>
      </c>
      <c r="L2126" s="444">
        <f t="shared" ca="1" si="142"/>
        <v>111755943.02237642</v>
      </c>
      <c r="M2126" s="460">
        <f t="shared" si="144"/>
        <v>0.05</v>
      </c>
      <c r="N2126" s="464">
        <f t="shared" si="145"/>
        <v>115753</v>
      </c>
    </row>
    <row r="2127" spans="7:14" ht="11.25" customHeight="1" x14ac:dyDescent="0.3">
      <c r="G2127" s="459"/>
      <c r="H2127" s="459">
        <v>2120</v>
      </c>
      <c r="I2127" s="444">
        <f t="shared" ca="1" si="143"/>
        <v>111755943.02237642</v>
      </c>
      <c r="J2127" s="444">
        <f t="array" ref="J2127">IFERROR(INDEX('Retirement Calculator'!J:J,MATCH('Isaac 401k'!N2127,'Retirement Calculator'!A:A,0),0),0)</f>
        <v>0</v>
      </c>
      <c r="K2127" s="444">
        <f t="shared" ca="1" si="141"/>
        <v>465649.76259323506</v>
      </c>
      <c r="L2127" s="444">
        <f t="shared" ca="1" si="142"/>
        <v>112221592.78496966</v>
      </c>
      <c r="M2127" s="460">
        <f t="shared" si="144"/>
        <v>0.05</v>
      </c>
      <c r="N2127" s="464">
        <f t="shared" si="145"/>
        <v>115784</v>
      </c>
    </row>
    <row r="2128" spans="7:14" ht="11.25" customHeight="1" x14ac:dyDescent="0.3">
      <c r="G2128" s="459"/>
      <c r="H2128" s="459">
        <v>2121</v>
      </c>
      <c r="I2128" s="444">
        <f t="shared" ca="1" si="143"/>
        <v>112221592.78496966</v>
      </c>
      <c r="J2128" s="444">
        <f t="array" ref="J2128">IFERROR(INDEX('Retirement Calculator'!J:J,MATCH('Isaac 401k'!N2128,'Retirement Calculator'!A:A,0),0),0)</f>
        <v>0</v>
      </c>
      <c r="K2128" s="444">
        <f t="shared" ca="1" si="141"/>
        <v>467589.96993737359</v>
      </c>
      <c r="L2128" s="444">
        <f t="shared" ca="1" si="142"/>
        <v>112689182.75490703</v>
      </c>
      <c r="M2128" s="460">
        <f t="shared" si="144"/>
        <v>0.05</v>
      </c>
      <c r="N2128" s="464">
        <f t="shared" si="145"/>
        <v>115815</v>
      </c>
    </row>
    <row r="2129" spans="7:14" ht="11.25" customHeight="1" x14ac:dyDescent="0.3">
      <c r="G2129" s="459"/>
      <c r="H2129" s="459">
        <v>2122</v>
      </c>
      <c r="I2129" s="444">
        <f t="shared" ca="1" si="143"/>
        <v>112689182.75490703</v>
      </c>
      <c r="J2129" s="444">
        <f t="array" ref="J2129">IFERROR(INDEX('Retirement Calculator'!J:J,MATCH('Isaac 401k'!N2129,'Retirement Calculator'!A:A,0),0),0)</f>
        <v>0</v>
      </c>
      <c r="K2129" s="444">
        <f t="shared" ca="1" si="141"/>
        <v>469538.26147877926</v>
      </c>
      <c r="L2129" s="444">
        <f t="shared" ca="1" si="142"/>
        <v>113158721.01638581</v>
      </c>
      <c r="M2129" s="460">
        <f t="shared" si="144"/>
        <v>0.05</v>
      </c>
      <c r="N2129" s="464">
        <f t="shared" si="145"/>
        <v>115843</v>
      </c>
    </row>
    <row r="2130" spans="7:14" ht="11.25" customHeight="1" x14ac:dyDescent="0.3">
      <c r="G2130" s="459"/>
      <c r="H2130" s="459">
        <v>2123</v>
      </c>
      <c r="I2130" s="444">
        <f t="shared" ca="1" si="143"/>
        <v>113158721.01638581</v>
      </c>
      <c r="J2130" s="444">
        <f t="array" ref="J2130">IFERROR(INDEX('Retirement Calculator'!J:J,MATCH('Isaac 401k'!N2130,'Retirement Calculator'!A:A,0),0),0)</f>
        <v>0</v>
      </c>
      <c r="K2130" s="444">
        <f t="shared" ca="1" si="141"/>
        <v>471494.67090160755</v>
      </c>
      <c r="L2130" s="444">
        <f t="shared" ca="1" si="142"/>
        <v>113630215.68728742</v>
      </c>
      <c r="M2130" s="460">
        <f t="shared" si="144"/>
        <v>0.05</v>
      </c>
      <c r="N2130" s="464">
        <f t="shared" si="145"/>
        <v>115874</v>
      </c>
    </row>
    <row r="2131" spans="7:14" ht="11.25" customHeight="1" x14ac:dyDescent="0.3">
      <c r="G2131" s="459"/>
      <c r="H2131" s="459">
        <v>2124</v>
      </c>
      <c r="I2131" s="444">
        <f t="shared" ca="1" si="143"/>
        <v>113630215.68728742</v>
      </c>
      <c r="J2131" s="444">
        <f t="array" ref="J2131">IFERROR(INDEX('Retirement Calculator'!J:J,MATCH('Isaac 401k'!N2131,'Retirement Calculator'!A:A,0),0),0)</f>
        <v>0</v>
      </c>
      <c r="K2131" s="444">
        <f t="shared" ca="1" si="141"/>
        <v>473459.23203036416</v>
      </c>
      <c r="L2131" s="444">
        <f t="shared" ca="1" si="142"/>
        <v>114103674.91931778</v>
      </c>
      <c r="M2131" s="460">
        <f t="shared" si="144"/>
        <v>0.05</v>
      </c>
      <c r="N2131" s="464">
        <f t="shared" si="145"/>
        <v>115904</v>
      </c>
    </row>
    <row r="2132" spans="7:14" ht="11.25" customHeight="1" x14ac:dyDescent="0.3">
      <c r="G2132" s="459"/>
      <c r="H2132" s="459">
        <v>2125</v>
      </c>
      <c r="I2132" s="444">
        <f t="shared" ca="1" si="143"/>
        <v>114103674.91931778</v>
      </c>
      <c r="J2132" s="444">
        <f t="array" ref="J2132">IFERROR(INDEX('Retirement Calculator'!J:J,MATCH('Isaac 401k'!N2132,'Retirement Calculator'!A:A,0),0),0)</f>
        <v>0</v>
      </c>
      <c r="K2132" s="444">
        <f t="shared" ca="1" si="141"/>
        <v>475431.97883049067</v>
      </c>
      <c r="L2132" s="444">
        <f t="shared" ca="1" si="142"/>
        <v>114579106.89814827</v>
      </c>
      <c r="M2132" s="460">
        <f t="shared" si="144"/>
        <v>0.05</v>
      </c>
      <c r="N2132" s="464">
        <f t="shared" si="145"/>
        <v>115935</v>
      </c>
    </row>
    <row r="2133" spans="7:14" ht="11.25" customHeight="1" x14ac:dyDescent="0.3">
      <c r="G2133" s="459"/>
      <c r="H2133" s="459">
        <v>2126</v>
      </c>
      <c r="I2133" s="444">
        <f t="shared" ca="1" si="143"/>
        <v>114579106.89814827</v>
      </c>
      <c r="J2133" s="444">
        <f t="array" ref="J2133">IFERROR(INDEX('Retirement Calculator'!J:J,MATCH('Isaac 401k'!N2133,'Retirement Calculator'!A:A,0),0),0)</f>
        <v>0</v>
      </c>
      <c r="K2133" s="444">
        <f t="shared" ca="1" si="141"/>
        <v>477412.94540895103</v>
      </c>
      <c r="L2133" s="444">
        <f t="shared" ca="1" si="142"/>
        <v>115056519.84355722</v>
      </c>
      <c r="M2133" s="460">
        <f t="shared" si="144"/>
        <v>0.05</v>
      </c>
      <c r="N2133" s="464">
        <f t="shared" si="145"/>
        <v>115965</v>
      </c>
    </row>
    <row r="2134" spans="7:14" ht="11.25" customHeight="1" x14ac:dyDescent="0.3">
      <c r="G2134" s="459"/>
      <c r="H2134" s="459">
        <v>2127</v>
      </c>
      <c r="I2134" s="444">
        <f t="shared" ca="1" si="143"/>
        <v>115056519.84355722</v>
      </c>
      <c r="J2134" s="444">
        <f t="array" ref="J2134">IFERROR(INDEX('Retirement Calculator'!J:J,MATCH('Isaac 401k'!N2134,'Retirement Calculator'!A:A,0),0),0)</f>
        <v>0</v>
      </c>
      <c r="K2134" s="444">
        <f t="shared" ca="1" si="141"/>
        <v>479402.16601482173</v>
      </c>
      <c r="L2134" s="444">
        <f t="shared" ca="1" si="142"/>
        <v>115535922.00957204</v>
      </c>
      <c r="M2134" s="460">
        <f t="shared" si="144"/>
        <v>0.05</v>
      </c>
      <c r="N2134" s="464">
        <f t="shared" si="145"/>
        <v>115996</v>
      </c>
    </row>
    <row r="2135" spans="7:14" ht="11.25" customHeight="1" x14ac:dyDescent="0.3">
      <c r="G2135" s="459"/>
      <c r="H2135" s="459">
        <v>2128</v>
      </c>
      <c r="I2135" s="444">
        <f t="shared" ca="1" si="143"/>
        <v>115535922.00957204</v>
      </c>
      <c r="J2135" s="444">
        <f t="array" ref="J2135">IFERROR(INDEX('Retirement Calculator'!J:J,MATCH('Isaac 401k'!N2135,'Retirement Calculator'!A:A,0),0),0)</f>
        <v>0</v>
      </c>
      <c r="K2135" s="444">
        <f t="shared" ca="1" si="141"/>
        <v>481399.67503988353</v>
      </c>
      <c r="L2135" s="444">
        <f t="shared" ca="1" si="142"/>
        <v>116017321.68461193</v>
      </c>
      <c r="M2135" s="460">
        <f t="shared" si="144"/>
        <v>0.05</v>
      </c>
      <c r="N2135" s="464">
        <f t="shared" si="145"/>
        <v>116027</v>
      </c>
    </row>
    <row r="2136" spans="7:14" ht="11.25" customHeight="1" x14ac:dyDescent="0.3">
      <c r="G2136" s="459"/>
      <c r="H2136" s="459">
        <v>2129</v>
      </c>
      <c r="I2136" s="444">
        <f t="shared" ca="1" si="143"/>
        <v>116017321.68461193</v>
      </c>
      <c r="J2136" s="444">
        <f t="array" ref="J2136">IFERROR(INDEX('Retirement Calculator'!J:J,MATCH('Isaac 401k'!N2136,'Retirement Calculator'!A:A,0),0),0)</f>
        <v>0</v>
      </c>
      <c r="K2136" s="444">
        <f t="shared" ca="1" si="141"/>
        <v>483405.50701921637</v>
      </c>
      <c r="L2136" s="444">
        <f t="shared" ca="1" si="142"/>
        <v>116500727.19163115</v>
      </c>
      <c r="M2136" s="460">
        <f t="shared" si="144"/>
        <v>0.05</v>
      </c>
      <c r="N2136" s="464">
        <f t="shared" si="145"/>
        <v>116057</v>
      </c>
    </row>
    <row r="2137" spans="7:14" ht="11.25" customHeight="1" x14ac:dyDescent="0.3">
      <c r="G2137" s="459"/>
      <c r="H2137" s="459">
        <v>2130</v>
      </c>
      <c r="I2137" s="444">
        <f t="shared" ca="1" si="143"/>
        <v>116500727.19163115</v>
      </c>
      <c r="J2137" s="444">
        <f t="array" ref="J2137">IFERROR(INDEX('Retirement Calculator'!J:J,MATCH('Isaac 401k'!N2137,'Retirement Calculator'!A:A,0),0),0)</f>
        <v>0</v>
      </c>
      <c r="K2137" s="444">
        <f t="shared" ca="1" si="141"/>
        <v>485419.69663179654</v>
      </c>
      <c r="L2137" s="444">
        <f t="shared" ca="1" si="142"/>
        <v>116986146.88826294</v>
      </c>
      <c r="M2137" s="460">
        <f t="shared" si="144"/>
        <v>0.05</v>
      </c>
      <c r="N2137" s="464">
        <f t="shared" si="145"/>
        <v>116088</v>
      </c>
    </row>
    <row r="2138" spans="7:14" ht="11.25" customHeight="1" x14ac:dyDescent="0.3">
      <c r="G2138" s="459"/>
      <c r="H2138" s="459">
        <v>2131</v>
      </c>
      <c r="I2138" s="444">
        <f t="shared" ca="1" si="143"/>
        <v>116986146.88826294</v>
      </c>
      <c r="J2138" s="444">
        <f t="array" ref="J2138">IFERROR(INDEX('Retirement Calculator'!J:J,MATCH('Isaac 401k'!N2138,'Retirement Calculator'!A:A,0),0),0)</f>
        <v>0</v>
      </c>
      <c r="K2138" s="444">
        <f t="shared" ca="1" si="141"/>
        <v>487442.27870109567</v>
      </c>
      <c r="L2138" s="444">
        <f t="shared" ca="1" si="142"/>
        <v>117473589.16696404</v>
      </c>
      <c r="M2138" s="460">
        <f t="shared" si="144"/>
        <v>0.05</v>
      </c>
      <c r="N2138" s="464">
        <f t="shared" si="145"/>
        <v>116118</v>
      </c>
    </row>
    <row r="2139" spans="7:14" ht="11.25" customHeight="1" x14ac:dyDescent="0.3">
      <c r="G2139" s="459"/>
      <c r="H2139" s="459">
        <v>2132</v>
      </c>
      <c r="I2139" s="444">
        <f t="shared" ca="1" si="143"/>
        <v>117473589.16696404</v>
      </c>
      <c r="J2139" s="444">
        <f t="array" ref="J2139">IFERROR(INDEX('Retirement Calculator'!J:J,MATCH('Isaac 401k'!N2139,'Retirement Calculator'!A:A,0),0),0)</f>
        <v>0</v>
      </c>
      <c r="K2139" s="444">
        <f t="shared" ca="1" si="141"/>
        <v>489473.28819568345</v>
      </c>
      <c r="L2139" s="444">
        <f t="shared" ca="1" si="142"/>
        <v>117963062.45515972</v>
      </c>
      <c r="M2139" s="460">
        <f t="shared" si="144"/>
        <v>0.05</v>
      </c>
      <c r="N2139" s="464">
        <f t="shared" si="145"/>
        <v>116149</v>
      </c>
    </row>
    <row r="2140" spans="7:14" ht="11.25" customHeight="1" x14ac:dyDescent="0.3">
      <c r="G2140" s="459"/>
      <c r="H2140" s="459">
        <v>2133</v>
      </c>
      <c r="I2140" s="444">
        <f t="shared" ca="1" si="143"/>
        <v>117963062.45515972</v>
      </c>
      <c r="J2140" s="444">
        <f t="array" ref="J2140">IFERROR(INDEX('Retirement Calculator'!J:J,MATCH('Isaac 401k'!N2140,'Retirement Calculator'!A:A,0),0),0)</f>
        <v>0</v>
      </c>
      <c r="K2140" s="444">
        <f t="shared" ca="1" si="141"/>
        <v>491512.7602298322</v>
      </c>
      <c r="L2140" s="444">
        <f t="shared" ca="1" si="142"/>
        <v>118454575.21538955</v>
      </c>
      <c r="M2140" s="460">
        <f t="shared" si="144"/>
        <v>0.05</v>
      </c>
      <c r="N2140" s="464">
        <f t="shared" si="145"/>
        <v>116180</v>
      </c>
    </row>
    <row r="2141" spans="7:14" ht="11.25" customHeight="1" x14ac:dyDescent="0.3">
      <c r="G2141" s="459"/>
      <c r="H2141" s="459">
        <v>2134</v>
      </c>
      <c r="I2141" s="444">
        <f t="shared" ca="1" si="143"/>
        <v>118454575.21538955</v>
      </c>
      <c r="J2141" s="444">
        <f t="array" ref="J2141">IFERROR(INDEX('Retirement Calculator'!J:J,MATCH('Isaac 401k'!N2141,'Retirement Calculator'!A:A,0),0),0)</f>
        <v>0</v>
      </c>
      <c r="K2141" s="444">
        <f t="shared" ca="1" si="141"/>
        <v>493560.73006412311</v>
      </c>
      <c r="L2141" s="444">
        <f t="shared" ca="1" si="142"/>
        <v>118948135.94545367</v>
      </c>
      <c r="M2141" s="460">
        <f t="shared" si="144"/>
        <v>0.05</v>
      </c>
      <c r="N2141" s="464">
        <f t="shared" si="145"/>
        <v>116208</v>
      </c>
    </row>
    <row r="2142" spans="7:14" ht="11.25" customHeight="1" x14ac:dyDescent="0.3">
      <c r="G2142" s="459"/>
      <c r="H2142" s="459">
        <v>2135</v>
      </c>
      <c r="I2142" s="444">
        <f t="shared" ca="1" si="143"/>
        <v>118948135.94545367</v>
      </c>
      <c r="J2142" s="444">
        <f t="array" ref="J2142">IFERROR(INDEX('Retirement Calculator'!J:J,MATCH('Isaac 401k'!N2142,'Retirement Calculator'!A:A,0),0),0)</f>
        <v>0</v>
      </c>
      <c r="K2142" s="444">
        <f t="shared" ca="1" si="141"/>
        <v>495617.23310605698</v>
      </c>
      <c r="L2142" s="444">
        <f t="shared" ca="1" si="142"/>
        <v>119443753.17855974</v>
      </c>
      <c r="M2142" s="460">
        <f t="shared" si="144"/>
        <v>0.05</v>
      </c>
      <c r="N2142" s="464">
        <f t="shared" si="145"/>
        <v>116239</v>
      </c>
    </row>
    <row r="2143" spans="7:14" ht="11.25" customHeight="1" x14ac:dyDescent="0.3">
      <c r="G2143" s="459"/>
      <c r="H2143" s="459">
        <v>2136</v>
      </c>
      <c r="I2143" s="444">
        <f t="shared" ca="1" si="143"/>
        <v>119443753.17855974</v>
      </c>
      <c r="J2143" s="444">
        <f t="array" ref="J2143">IFERROR(INDEX('Retirement Calculator'!J:J,MATCH('Isaac 401k'!N2143,'Retirement Calculator'!A:A,0),0),0)</f>
        <v>0</v>
      </c>
      <c r="K2143" s="444">
        <f t="shared" ca="1" si="141"/>
        <v>497682.30491066549</v>
      </c>
      <c r="L2143" s="444">
        <f t="shared" ca="1" si="142"/>
        <v>119941435.4834704</v>
      </c>
      <c r="M2143" s="460">
        <f t="shared" si="144"/>
        <v>0.05</v>
      </c>
      <c r="N2143" s="464">
        <f t="shared" si="145"/>
        <v>116269</v>
      </c>
    </row>
    <row r="2144" spans="7:14" ht="11.25" customHeight="1" x14ac:dyDescent="0.3">
      <c r="G2144" s="459"/>
      <c r="H2144" s="459">
        <v>2137</v>
      </c>
      <c r="I2144" s="444">
        <f t="shared" ca="1" si="143"/>
        <v>119941435.4834704</v>
      </c>
      <c r="J2144" s="444">
        <f t="array" ref="J2144">IFERROR(INDEX('Retirement Calculator'!J:J,MATCH('Isaac 401k'!N2144,'Retirement Calculator'!A:A,0),0),0)</f>
        <v>0</v>
      </c>
      <c r="K2144" s="444">
        <f t="shared" ca="1" si="141"/>
        <v>499755.98118112661</v>
      </c>
      <c r="L2144" s="444">
        <f t="shared" ca="1" si="142"/>
        <v>120441191.46465153</v>
      </c>
      <c r="M2144" s="460">
        <f t="shared" si="144"/>
        <v>0.05</v>
      </c>
      <c r="N2144" s="464">
        <f t="shared" si="145"/>
        <v>116300</v>
      </c>
    </row>
    <row r="2145" spans="7:14" ht="11.25" customHeight="1" x14ac:dyDescent="0.3">
      <c r="G2145" s="459"/>
      <c r="H2145" s="459">
        <v>2138</v>
      </c>
      <c r="I2145" s="444">
        <f t="shared" ca="1" si="143"/>
        <v>120441191.46465153</v>
      </c>
      <c r="J2145" s="444">
        <f t="array" ref="J2145">IFERROR(INDEX('Retirement Calculator'!J:J,MATCH('Isaac 401k'!N2145,'Retirement Calculator'!A:A,0),0),0)</f>
        <v>0</v>
      </c>
      <c r="K2145" s="444">
        <f t="shared" ca="1" si="141"/>
        <v>501838.29776938126</v>
      </c>
      <c r="L2145" s="444">
        <f t="shared" ca="1" si="142"/>
        <v>120943029.76242091</v>
      </c>
      <c r="M2145" s="460">
        <f t="shared" si="144"/>
        <v>0.05</v>
      </c>
      <c r="N2145" s="464">
        <f t="shared" si="145"/>
        <v>116330</v>
      </c>
    </row>
    <row r="2146" spans="7:14" ht="11.25" customHeight="1" x14ac:dyDescent="0.3">
      <c r="G2146" s="459"/>
      <c r="H2146" s="459">
        <v>2139</v>
      </c>
      <c r="I2146" s="444">
        <f t="shared" ca="1" si="143"/>
        <v>120943029.76242091</v>
      </c>
      <c r="J2146" s="444">
        <f t="array" ref="J2146">IFERROR(INDEX('Retirement Calculator'!J:J,MATCH('Isaac 401k'!N2146,'Retirement Calculator'!A:A,0),0),0)</f>
        <v>0</v>
      </c>
      <c r="K2146" s="444">
        <f t="shared" ca="1" si="141"/>
        <v>503929.29067675379</v>
      </c>
      <c r="L2146" s="444">
        <f t="shared" ca="1" si="142"/>
        <v>121446959.05309767</v>
      </c>
      <c r="M2146" s="460">
        <f t="shared" si="144"/>
        <v>0.05</v>
      </c>
      <c r="N2146" s="464">
        <f t="shared" si="145"/>
        <v>116361</v>
      </c>
    </row>
    <row r="2147" spans="7:14" ht="11.25" customHeight="1" x14ac:dyDescent="0.3">
      <c r="G2147" s="459"/>
      <c r="H2147" s="459">
        <v>2140</v>
      </c>
      <c r="I2147" s="444">
        <f t="shared" ca="1" si="143"/>
        <v>121446959.05309767</v>
      </c>
      <c r="J2147" s="444">
        <f t="array" ref="J2147">IFERROR(INDEX('Retirement Calculator'!J:J,MATCH('Isaac 401k'!N2147,'Retirement Calculator'!A:A,0),0),0)</f>
        <v>0</v>
      </c>
      <c r="K2147" s="444">
        <f t="shared" ca="1" si="141"/>
        <v>506028.99605457351</v>
      </c>
      <c r="L2147" s="444">
        <f t="shared" ca="1" si="142"/>
        <v>121952988.04915224</v>
      </c>
      <c r="M2147" s="460">
        <f t="shared" si="144"/>
        <v>0.05</v>
      </c>
      <c r="N2147" s="464">
        <f t="shared" si="145"/>
        <v>116392</v>
      </c>
    </row>
    <row r="2148" spans="7:14" ht="11.25" customHeight="1" x14ac:dyDescent="0.3">
      <c r="G2148" s="459"/>
      <c r="H2148" s="459">
        <v>2141</v>
      </c>
      <c r="I2148" s="444">
        <f t="shared" ca="1" si="143"/>
        <v>121952988.04915224</v>
      </c>
      <c r="J2148" s="444">
        <f t="array" ref="J2148">IFERROR(INDEX('Retirement Calculator'!J:J,MATCH('Isaac 401k'!N2148,'Retirement Calculator'!A:A,0),0),0)</f>
        <v>0</v>
      </c>
      <c r="K2148" s="444">
        <f t="shared" ca="1" si="141"/>
        <v>508137.45020480099</v>
      </c>
      <c r="L2148" s="444">
        <f t="shared" ca="1" si="142"/>
        <v>122461125.49935704</v>
      </c>
      <c r="M2148" s="460">
        <f t="shared" si="144"/>
        <v>0.05</v>
      </c>
      <c r="N2148" s="464">
        <f t="shared" si="145"/>
        <v>116422</v>
      </c>
    </row>
    <row r="2149" spans="7:14" ht="11.25" customHeight="1" x14ac:dyDescent="0.3">
      <c r="G2149" s="459"/>
      <c r="H2149" s="459">
        <v>2142</v>
      </c>
      <c r="I2149" s="444">
        <f t="shared" ca="1" si="143"/>
        <v>122461125.49935704</v>
      </c>
      <c r="J2149" s="444">
        <f t="array" ref="J2149">IFERROR(INDEX('Retirement Calculator'!J:J,MATCH('Isaac 401k'!N2149,'Retirement Calculator'!A:A,0),0),0)</f>
        <v>0</v>
      </c>
      <c r="K2149" s="444">
        <f t="shared" ca="1" si="141"/>
        <v>510254.68958065432</v>
      </c>
      <c r="L2149" s="444">
        <f t="shared" ca="1" si="142"/>
        <v>122971380.18893769</v>
      </c>
      <c r="M2149" s="460">
        <f t="shared" si="144"/>
        <v>0.05</v>
      </c>
      <c r="N2149" s="464">
        <f t="shared" si="145"/>
        <v>116453</v>
      </c>
    </row>
    <row r="2150" spans="7:14" ht="11.25" customHeight="1" x14ac:dyDescent="0.3">
      <c r="G2150" s="459"/>
      <c r="H2150" s="459">
        <v>2143</v>
      </c>
      <c r="I2150" s="444">
        <f t="shared" ca="1" si="143"/>
        <v>122971380.18893769</v>
      </c>
      <c r="J2150" s="444">
        <f t="array" ref="J2150">IFERROR(INDEX('Retirement Calculator'!J:J,MATCH('Isaac 401k'!N2150,'Retirement Calculator'!A:A,0),0),0)</f>
        <v>0</v>
      </c>
      <c r="K2150" s="444">
        <f t="shared" ca="1" si="141"/>
        <v>512380.75078724039</v>
      </c>
      <c r="L2150" s="444">
        <f t="shared" ca="1" si="142"/>
        <v>123483760.93972494</v>
      </c>
      <c r="M2150" s="460">
        <f t="shared" si="144"/>
        <v>0.05</v>
      </c>
      <c r="N2150" s="464">
        <f t="shared" si="145"/>
        <v>116483</v>
      </c>
    </row>
    <row r="2151" spans="7:14" ht="11.25" customHeight="1" x14ac:dyDescent="0.3">
      <c r="G2151" s="459"/>
      <c r="H2151" s="459">
        <v>2144</v>
      </c>
      <c r="I2151" s="444">
        <f t="shared" ca="1" si="143"/>
        <v>123483760.93972494</v>
      </c>
      <c r="J2151" s="444">
        <f t="array" ref="J2151">IFERROR(INDEX('Retirement Calculator'!J:J,MATCH('Isaac 401k'!N2151,'Retirement Calculator'!A:A,0),0),0)</f>
        <v>0</v>
      </c>
      <c r="K2151" s="444">
        <f t="shared" ca="1" si="141"/>
        <v>514515.67058218725</v>
      </c>
      <c r="L2151" s="444">
        <f t="shared" ca="1" si="142"/>
        <v>123998276.61030713</v>
      </c>
      <c r="M2151" s="460">
        <f t="shared" si="144"/>
        <v>0.05</v>
      </c>
      <c r="N2151" s="464">
        <f t="shared" si="145"/>
        <v>116514</v>
      </c>
    </row>
    <row r="2152" spans="7:14" ht="11.25" customHeight="1" x14ac:dyDescent="0.3">
      <c r="G2152" s="459"/>
      <c r="H2152" s="459">
        <v>2145</v>
      </c>
      <c r="I2152" s="444">
        <f t="shared" ca="1" si="143"/>
        <v>123998276.61030713</v>
      </c>
      <c r="J2152" s="444">
        <f t="array" ref="J2152">IFERROR(INDEX('Retirement Calculator'!J:J,MATCH('Isaac 401k'!N2152,'Retirement Calculator'!A:A,0),0),0)</f>
        <v>0</v>
      </c>
      <c r="K2152" s="444">
        <f t="shared" ca="1" si="141"/>
        <v>516659.48587627971</v>
      </c>
      <c r="L2152" s="444">
        <f t="shared" ca="1" si="142"/>
        <v>124514936.0961834</v>
      </c>
      <c r="M2152" s="460">
        <f t="shared" si="144"/>
        <v>0.05</v>
      </c>
      <c r="N2152" s="464">
        <f t="shared" si="145"/>
        <v>116545</v>
      </c>
    </row>
    <row r="2153" spans="7:14" ht="11.25" customHeight="1" x14ac:dyDescent="0.3">
      <c r="G2153" s="459"/>
      <c r="H2153" s="459">
        <v>2146</v>
      </c>
      <c r="I2153" s="444">
        <f t="shared" ca="1" si="143"/>
        <v>124514936.0961834</v>
      </c>
      <c r="J2153" s="444">
        <f t="array" ref="J2153">IFERROR(INDEX('Retirement Calculator'!J:J,MATCH('Isaac 401k'!N2153,'Retirement Calculator'!A:A,0),0),0)</f>
        <v>0</v>
      </c>
      <c r="K2153" s="444">
        <f t="shared" ca="1" si="141"/>
        <v>518812.23373409756</v>
      </c>
      <c r="L2153" s="444">
        <f t="shared" ca="1" si="142"/>
        <v>125033748.32991751</v>
      </c>
      <c r="M2153" s="460">
        <f t="shared" si="144"/>
        <v>0.05</v>
      </c>
      <c r="N2153" s="464">
        <f t="shared" si="145"/>
        <v>116573</v>
      </c>
    </row>
    <row r="2154" spans="7:14" ht="11.25" customHeight="1" x14ac:dyDescent="0.3">
      <c r="G2154" s="459"/>
      <c r="H2154" s="459">
        <v>2147</v>
      </c>
      <c r="I2154" s="444">
        <f t="shared" ca="1" si="143"/>
        <v>125033748.32991751</v>
      </c>
      <c r="J2154" s="444">
        <f t="array" ref="J2154">IFERROR(INDEX('Retirement Calculator'!J:J,MATCH('Isaac 401k'!N2154,'Retirement Calculator'!A:A,0),0),0)</f>
        <v>0</v>
      </c>
      <c r="K2154" s="444">
        <f t="shared" ca="1" si="141"/>
        <v>520973.95137465629</v>
      </c>
      <c r="L2154" s="444">
        <f t="shared" ca="1" si="142"/>
        <v>125554722.28129216</v>
      </c>
      <c r="M2154" s="460">
        <f t="shared" si="144"/>
        <v>0.05</v>
      </c>
      <c r="N2154" s="464">
        <f t="shared" si="145"/>
        <v>116604</v>
      </c>
    </row>
    <row r="2155" spans="7:14" ht="11.25" customHeight="1" x14ac:dyDescent="0.3">
      <c r="G2155" s="459"/>
      <c r="H2155" s="459">
        <v>2148</v>
      </c>
      <c r="I2155" s="444">
        <f t="shared" ca="1" si="143"/>
        <v>125554722.28129216</v>
      </c>
      <c r="J2155" s="444">
        <f t="array" ref="J2155">IFERROR(INDEX('Retirement Calculator'!J:J,MATCH('Isaac 401k'!N2155,'Retirement Calculator'!A:A,0),0),0)</f>
        <v>0</v>
      </c>
      <c r="K2155" s="444">
        <f t="shared" ca="1" si="141"/>
        <v>523144.67617205065</v>
      </c>
      <c r="L2155" s="444">
        <f t="shared" ca="1" si="142"/>
        <v>126077866.9574642</v>
      </c>
      <c r="M2155" s="460">
        <f t="shared" si="144"/>
        <v>0.05</v>
      </c>
      <c r="N2155" s="464">
        <f t="shared" si="145"/>
        <v>116634</v>
      </c>
    </row>
    <row r="2156" spans="7:14" ht="11.25" customHeight="1" x14ac:dyDescent="0.3">
      <c r="G2156" s="459"/>
      <c r="H2156" s="459">
        <v>2149</v>
      </c>
      <c r="I2156" s="444">
        <f t="shared" ca="1" si="143"/>
        <v>126077866.9574642</v>
      </c>
      <c r="J2156" s="444">
        <f t="array" ref="J2156">IFERROR(INDEX('Retirement Calculator'!J:J,MATCH('Isaac 401k'!N2156,'Retirement Calculator'!A:A,0),0),0)</f>
        <v>0</v>
      </c>
      <c r="K2156" s="444">
        <f t="shared" ca="1" si="141"/>
        <v>525324.44565610075</v>
      </c>
      <c r="L2156" s="444">
        <f t="shared" ca="1" si="142"/>
        <v>126603191.40312031</v>
      </c>
      <c r="M2156" s="460">
        <f t="shared" si="144"/>
        <v>0.05</v>
      </c>
      <c r="N2156" s="464">
        <f t="shared" si="145"/>
        <v>116665</v>
      </c>
    </row>
    <row r="2157" spans="7:14" ht="11.25" customHeight="1" x14ac:dyDescent="0.3">
      <c r="G2157" s="459"/>
      <c r="H2157" s="459">
        <v>2150</v>
      </c>
      <c r="I2157" s="444">
        <f t="shared" ca="1" si="143"/>
        <v>126603191.40312031</v>
      </c>
      <c r="J2157" s="444">
        <f t="array" ref="J2157">IFERROR(INDEX('Retirement Calculator'!J:J,MATCH('Isaac 401k'!N2157,'Retirement Calculator'!A:A,0),0),0)</f>
        <v>0</v>
      </c>
      <c r="K2157" s="444">
        <f t="shared" ca="1" si="141"/>
        <v>527513.29751300125</v>
      </c>
      <c r="L2157" s="444">
        <f t="shared" ca="1" si="142"/>
        <v>127130704.70063332</v>
      </c>
      <c r="M2157" s="460">
        <f t="shared" si="144"/>
        <v>0.05</v>
      </c>
      <c r="N2157" s="464">
        <f t="shared" si="145"/>
        <v>116695</v>
      </c>
    </row>
    <row r="2158" spans="7:14" ht="11.25" customHeight="1" x14ac:dyDescent="0.3">
      <c r="G2158" s="459"/>
      <c r="H2158" s="459">
        <v>2151</v>
      </c>
      <c r="I2158" s="444">
        <f t="shared" ca="1" si="143"/>
        <v>127130704.70063332</v>
      </c>
      <c r="J2158" s="444">
        <f t="array" ref="J2158">IFERROR(INDEX('Retirement Calculator'!J:J,MATCH('Isaac 401k'!N2158,'Retirement Calculator'!A:A,0),0),0)</f>
        <v>0</v>
      </c>
      <c r="K2158" s="444">
        <f t="shared" ca="1" si="141"/>
        <v>529711.26958597219</v>
      </c>
      <c r="L2158" s="444">
        <f t="shared" ca="1" si="142"/>
        <v>127660415.97021928</v>
      </c>
      <c r="M2158" s="460">
        <f t="shared" si="144"/>
        <v>0.05</v>
      </c>
      <c r="N2158" s="464">
        <f t="shared" si="145"/>
        <v>116726</v>
      </c>
    </row>
    <row r="2159" spans="7:14" ht="11.25" customHeight="1" x14ac:dyDescent="0.3">
      <c r="G2159" s="459"/>
      <c r="H2159" s="459">
        <v>2152</v>
      </c>
      <c r="I2159" s="444">
        <f t="shared" ca="1" si="143"/>
        <v>127660415.97021928</v>
      </c>
      <c r="J2159" s="444">
        <f t="array" ref="J2159">IFERROR(INDEX('Retirement Calculator'!J:J,MATCH('Isaac 401k'!N2159,'Retirement Calculator'!A:A,0),0),0)</f>
        <v>0</v>
      </c>
      <c r="K2159" s="444">
        <f t="shared" ca="1" si="141"/>
        <v>531918.39987591363</v>
      </c>
      <c r="L2159" s="444">
        <f t="shared" ca="1" si="142"/>
        <v>128192334.37009519</v>
      </c>
      <c r="M2159" s="460">
        <f t="shared" si="144"/>
        <v>0.05</v>
      </c>
      <c r="N2159" s="464">
        <f t="shared" si="145"/>
        <v>116757</v>
      </c>
    </row>
    <row r="2160" spans="7:14" ht="11.25" customHeight="1" x14ac:dyDescent="0.3">
      <c r="G2160" s="459"/>
      <c r="H2160" s="459">
        <v>2153</v>
      </c>
      <c r="I2160" s="444">
        <f t="shared" ca="1" si="143"/>
        <v>128192334.37009519</v>
      </c>
      <c r="J2160" s="444">
        <f t="array" ref="J2160">IFERROR(INDEX('Retirement Calculator'!J:J,MATCH('Isaac 401k'!N2160,'Retirement Calculator'!A:A,0),0),0)</f>
        <v>0</v>
      </c>
      <c r="K2160" s="444">
        <f t="shared" ca="1" si="141"/>
        <v>534134.72654206329</v>
      </c>
      <c r="L2160" s="444">
        <f t="shared" ca="1" si="142"/>
        <v>128726469.09663726</v>
      </c>
      <c r="M2160" s="460">
        <f t="shared" si="144"/>
        <v>0.05</v>
      </c>
      <c r="N2160" s="464">
        <f t="shared" si="145"/>
        <v>116787</v>
      </c>
    </row>
    <row r="2161" spans="7:14" ht="11.25" customHeight="1" x14ac:dyDescent="0.3">
      <c r="G2161" s="459"/>
      <c r="H2161" s="459">
        <v>2154</v>
      </c>
      <c r="I2161" s="444">
        <f t="shared" ca="1" si="143"/>
        <v>128726469.09663726</v>
      </c>
      <c r="J2161" s="444">
        <f t="array" ref="J2161">IFERROR(INDEX('Retirement Calculator'!J:J,MATCH('Isaac 401k'!N2161,'Retirement Calculator'!A:A,0),0),0)</f>
        <v>0</v>
      </c>
      <c r="K2161" s="444">
        <f t="shared" ca="1" si="141"/>
        <v>536360.2879026552</v>
      </c>
      <c r="L2161" s="444">
        <f t="shared" ca="1" si="142"/>
        <v>129262829.38453992</v>
      </c>
      <c r="M2161" s="460">
        <f t="shared" si="144"/>
        <v>0.05</v>
      </c>
      <c r="N2161" s="464">
        <f t="shared" si="145"/>
        <v>116818</v>
      </c>
    </row>
    <row r="2162" spans="7:14" ht="11.25" customHeight="1" x14ac:dyDescent="0.3">
      <c r="G2162" s="459"/>
      <c r="H2162" s="459">
        <v>2155</v>
      </c>
      <c r="I2162" s="444">
        <f t="shared" ca="1" si="143"/>
        <v>129262829.38453992</v>
      </c>
      <c r="J2162" s="444">
        <f t="array" ref="J2162">IFERROR(INDEX('Retirement Calculator'!J:J,MATCH('Isaac 401k'!N2162,'Retirement Calculator'!A:A,0),0),0)</f>
        <v>0</v>
      </c>
      <c r="K2162" s="444">
        <f t="shared" ca="1" si="141"/>
        <v>538595.12243558303</v>
      </c>
      <c r="L2162" s="444">
        <f t="shared" ca="1" si="142"/>
        <v>129801424.5069755</v>
      </c>
      <c r="M2162" s="460">
        <f t="shared" si="144"/>
        <v>0.05</v>
      </c>
      <c r="N2162" s="464">
        <f t="shared" si="145"/>
        <v>116848</v>
      </c>
    </row>
    <row r="2163" spans="7:14" ht="11.25" customHeight="1" x14ac:dyDescent="0.3">
      <c r="G2163" s="459"/>
      <c r="H2163" s="459">
        <v>2156</v>
      </c>
      <c r="I2163" s="444">
        <f t="shared" ca="1" si="143"/>
        <v>129801424.5069755</v>
      </c>
      <c r="J2163" s="444">
        <f t="array" ref="J2163">IFERROR(INDEX('Retirement Calculator'!J:J,MATCH('Isaac 401k'!N2163,'Retirement Calculator'!A:A,0),0),0)</f>
        <v>0</v>
      </c>
      <c r="K2163" s="444">
        <f t="shared" ca="1" si="141"/>
        <v>540839.26877906465</v>
      </c>
      <c r="L2163" s="444">
        <f t="shared" ca="1" si="142"/>
        <v>130342263.77575457</v>
      </c>
      <c r="M2163" s="460">
        <f t="shared" si="144"/>
        <v>0.05</v>
      </c>
      <c r="N2163" s="464">
        <f t="shared" si="145"/>
        <v>116879</v>
      </c>
    </row>
    <row r="2164" spans="7:14" ht="11.25" customHeight="1" x14ac:dyDescent="0.3">
      <c r="G2164" s="459"/>
      <c r="H2164" s="459">
        <v>2157</v>
      </c>
      <c r="I2164" s="444">
        <f t="shared" ca="1" si="143"/>
        <v>130342263.77575457</v>
      </c>
      <c r="J2164" s="444">
        <f t="array" ref="J2164">IFERROR(INDEX('Retirement Calculator'!J:J,MATCH('Isaac 401k'!N2164,'Retirement Calculator'!A:A,0),0),0)</f>
        <v>0</v>
      </c>
      <c r="K2164" s="444">
        <f t="shared" ca="1" si="141"/>
        <v>543092.76573231071</v>
      </c>
      <c r="L2164" s="444">
        <f t="shared" ca="1" si="142"/>
        <v>130885356.54148689</v>
      </c>
      <c r="M2164" s="460">
        <f t="shared" si="144"/>
        <v>0.05</v>
      </c>
      <c r="N2164" s="464">
        <f t="shared" si="145"/>
        <v>116910</v>
      </c>
    </row>
    <row r="2165" spans="7:14" ht="11.25" customHeight="1" x14ac:dyDescent="0.3">
      <c r="G2165" s="459"/>
      <c r="H2165" s="459">
        <v>2158</v>
      </c>
      <c r="I2165" s="444">
        <f t="shared" ca="1" si="143"/>
        <v>130885356.54148689</v>
      </c>
      <c r="J2165" s="444">
        <f t="array" ref="J2165">IFERROR(INDEX('Retirement Calculator'!J:J,MATCH('Isaac 401k'!N2165,'Retirement Calculator'!A:A,0),0),0)</f>
        <v>0</v>
      </c>
      <c r="K2165" s="444">
        <f t="shared" ca="1" si="141"/>
        <v>545355.65225619543</v>
      </c>
      <c r="L2165" s="444">
        <f t="shared" ca="1" si="142"/>
        <v>131430712.19374308</v>
      </c>
      <c r="M2165" s="460">
        <f t="shared" si="144"/>
        <v>0.05</v>
      </c>
      <c r="N2165" s="464">
        <f t="shared" si="145"/>
        <v>116939</v>
      </c>
    </row>
    <row r="2166" spans="7:14" ht="11.25" customHeight="1" x14ac:dyDescent="0.3">
      <c r="G2166" s="459"/>
      <c r="H2166" s="459">
        <v>2159</v>
      </c>
      <c r="I2166" s="444">
        <f t="shared" ca="1" si="143"/>
        <v>131430712.19374308</v>
      </c>
      <c r="J2166" s="444">
        <f t="array" ref="J2166">IFERROR(INDEX('Retirement Calculator'!J:J,MATCH('Isaac 401k'!N2166,'Retirement Calculator'!A:A,0),0),0)</f>
        <v>0</v>
      </c>
      <c r="K2166" s="444">
        <f t="shared" ca="1" si="141"/>
        <v>547627.96747392952</v>
      </c>
      <c r="L2166" s="444">
        <f t="shared" ca="1" si="142"/>
        <v>131978340.161217</v>
      </c>
      <c r="M2166" s="460">
        <f t="shared" si="144"/>
        <v>0.05</v>
      </c>
      <c r="N2166" s="464">
        <f t="shared" si="145"/>
        <v>116970</v>
      </c>
    </row>
    <row r="2167" spans="7:14" ht="11.25" customHeight="1" x14ac:dyDescent="0.3">
      <c r="G2167" s="459"/>
      <c r="H2167" s="459">
        <v>2160</v>
      </c>
      <c r="I2167" s="444">
        <f t="shared" ca="1" si="143"/>
        <v>131978340.161217</v>
      </c>
      <c r="J2167" s="444">
        <f t="array" ref="J2167">IFERROR(INDEX('Retirement Calculator'!J:J,MATCH('Isaac 401k'!N2167,'Retirement Calculator'!A:A,0),0),0)</f>
        <v>0</v>
      </c>
      <c r="K2167" s="444">
        <f t="shared" ca="1" si="141"/>
        <v>549909.75067173748</v>
      </c>
      <c r="L2167" s="444">
        <f t="shared" ca="1" si="142"/>
        <v>132528249.91188875</v>
      </c>
      <c r="M2167" s="460">
        <f t="shared" si="144"/>
        <v>0.05</v>
      </c>
      <c r="N2167" s="464">
        <f t="shared" si="145"/>
        <v>117000</v>
      </c>
    </row>
    <row r="2168" spans="7:14" ht="11.25" customHeight="1" x14ac:dyDescent="0.3">
      <c r="G2168" s="459"/>
      <c r="H2168" s="459">
        <v>2161</v>
      </c>
      <c r="I2168" s="444">
        <f t="shared" ca="1" si="143"/>
        <v>132528249.91188875</v>
      </c>
      <c r="J2168" s="444">
        <f t="array" ref="J2168">IFERROR(INDEX('Retirement Calculator'!J:J,MATCH('Isaac 401k'!N2168,'Retirement Calculator'!A:A,0),0),0)</f>
        <v>0</v>
      </c>
      <c r="K2168" s="444">
        <f t="shared" ca="1" si="141"/>
        <v>552201.04129953647</v>
      </c>
      <c r="L2168" s="444">
        <f t="shared" ca="1" si="142"/>
        <v>133080450.95318829</v>
      </c>
      <c r="M2168" s="460">
        <f t="shared" si="144"/>
        <v>0.05</v>
      </c>
      <c r="N2168" s="464">
        <f t="shared" si="145"/>
        <v>117031</v>
      </c>
    </row>
    <row r="2169" spans="7:14" ht="11.25" customHeight="1" x14ac:dyDescent="0.3">
      <c r="G2169" s="459"/>
      <c r="H2169" s="459">
        <v>2162</v>
      </c>
      <c r="I2169" s="444">
        <f t="shared" ca="1" si="143"/>
        <v>133080450.95318829</v>
      </c>
      <c r="J2169" s="444">
        <f t="array" ref="J2169">IFERROR(INDEX('Retirement Calculator'!J:J,MATCH('Isaac 401k'!N2169,'Retirement Calculator'!A:A,0),0),0)</f>
        <v>0</v>
      </c>
      <c r="K2169" s="444">
        <f t="shared" ca="1" si="141"/>
        <v>554501.8789716179</v>
      </c>
      <c r="L2169" s="444">
        <f t="shared" ca="1" si="142"/>
        <v>133634952.83215991</v>
      </c>
      <c r="M2169" s="460">
        <f t="shared" si="144"/>
        <v>0.05</v>
      </c>
      <c r="N2169" s="464">
        <f t="shared" si="145"/>
        <v>117061</v>
      </c>
    </row>
    <row r="2170" spans="7:14" ht="11.25" customHeight="1" x14ac:dyDescent="0.3">
      <c r="G2170" s="459"/>
      <c r="H2170" s="459">
        <v>2163</v>
      </c>
      <c r="I2170" s="444">
        <f t="shared" ca="1" si="143"/>
        <v>133634952.83215991</v>
      </c>
      <c r="J2170" s="444">
        <f t="array" ref="J2170">IFERROR(INDEX('Retirement Calculator'!J:J,MATCH('Isaac 401k'!N2170,'Retirement Calculator'!A:A,0),0),0)</f>
        <v>0</v>
      </c>
      <c r="K2170" s="444">
        <f t="shared" ca="1" si="141"/>
        <v>556812.30346733297</v>
      </c>
      <c r="L2170" s="444">
        <f t="shared" ca="1" si="142"/>
        <v>134191765.13562724</v>
      </c>
      <c r="M2170" s="460">
        <f t="shared" si="144"/>
        <v>0.05</v>
      </c>
      <c r="N2170" s="464">
        <f t="shared" si="145"/>
        <v>117092</v>
      </c>
    </row>
    <row r="2171" spans="7:14" ht="11.25" customHeight="1" x14ac:dyDescent="0.3">
      <c r="G2171" s="459"/>
      <c r="H2171" s="459">
        <v>2164</v>
      </c>
      <c r="I2171" s="444">
        <f t="shared" ca="1" si="143"/>
        <v>134191765.13562724</v>
      </c>
      <c r="J2171" s="444">
        <f t="array" ref="J2171">IFERROR(INDEX('Retirement Calculator'!J:J,MATCH('Isaac 401k'!N2171,'Retirement Calculator'!A:A,0),0),0)</f>
        <v>0</v>
      </c>
      <c r="K2171" s="444">
        <f t="shared" ca="1" si="141"/>
        <v>559132.35473178024</v>
      </c>
      <c r="L2171" s="444">
        <f t="shared" ca="1" si="142"/>
        <v>134750897.49035901</v>
      </c>
      <c r="M2171" s="460">
        <f t="shared" si="144"/>
        <v>0.05</v>
      </c>
      <c r="N2171" s="464">
        <f t="shared" si="145"/>
        <v>117123</v>
      </c>
    </row>
    <row r="2172" spans="7:14" ht="11.25" customHeight="1" x14ac:dyDescent="0.3">
      <c r="G2172" s="459"/>
      <c r="H2172" s="459">
        <v>2165</v>
      </c>
      <c r="I2172" s="444">
        <f t="shared" ca="1" si="143"/>
        <v>134750897.49035901</v>
      </c>
      <c r="J2172" s="444">
        <f t="array" ref="J2172">IFERROR(INDEX('Retirement Calculator'!J:J,MATCH('Isaac 401k'!N2172,'Retirement Calculator'!A:A,0),0),0)</f>
        <v>0</v>
      </c>
      <c r="K2172" s="444">
        <f t="shared" ca="1" si="141"/>
        <v>561462.07287649589</v>
      </c>
      <c r="L2172" s="444">
        <f t="shared" ca="1" si="142"/>
        <v>135312359.56323549</v>
      </c>
      <c r="M2172" s="460">
        <f t="shared" si="144"/>
        <v>0.05</v>
      </c>
      <c r="N2172" s="464">
        <f t="shared" si="145"/>
        <v>117153</v>
      </c>
    </row>
    <row r="2173" spans="7:14" ht="11.25" customHeight="1" x14ac:dyDescent="0.3">
      <c r="G2173" s="459"/>
      <c r="H2173" s="459">
        <v>2166</v>
      </c>
      <c r="I2173" s="444">
        <f t="shared" ca="1" si="143"/>
        <v>135312359.56323549</v>
      </c>
      <c r="J2173" s="444">
        <f t="array" ref="J2173">IFERROR(INDEX('Retirement Calculator'!J:J,MATCH('Isaac 401k'!N2173,'Retirement Calculator'!A:A,0),0),0)</f>
        <v>0</v>
      </c>
      <c r="K2173" s="444">
        <f t="shared" ca="1" si="141"/>
        <v>563801.49818014784</v>
      </c>
      <c r="L2173" s="444">
        <f t="shared" ca="1" si="142"/>
        <v>135876161.06141564</v>
      </c>
      <c r="M2173" s="460">
        <f t="shared" si="144"/>
        <v>0.05</v>
      </c>
      <c r="N2173" s="464">
        <f t="shared" si="145"/>
        <v>117184</v>
      </c>
    </row>
    <row r="2174" spans="7:14" ht="11.25" customHeight="1" x14ac:dyDescent="0.3">
      <c r="G2174" s="459"/>
      <c r="H2174" s="459">
        <v>2167</v>
      </c>
      <c r="I2174" s="444">
        <f t="shared" ca="1" si="143"/>
        <v>135876161.06141564</v>
      </c>
      <c r="J2174" s="444">
        <f t="array" ref="J2174">IFERROR(INDEX('Retirement Calculator'!J:J,MATCH('Isaac 401k'!N2174,'Retirement Calculator'!A:A,0),0),0)</f>
        <v>0</v>
      </c>
      <c r="K2174" s="444">
        <f t="shared" ca="1" si="141"/>
        <v>566150.67108923185</v>
      </c>
      <c r="L2174" s="444">
        <f t="shared" ca="1" si="142"/>
        <v>136442311.73250487</v>
      </c>
      <c r="M2174" s="460">
        <f t="shared" si="144"/>
        <v>0.05</v>
      </c>
      <c r="N2174" s="464">
        <f t="shared" si="145"/>
        <v>117214</v>
      </c>
    </row>
    <row r="2175" spans="7:14" ht="11.25" customHeight="1" x14ac:dyDescent="0.3">
      <c r="G2175" s="459"/>
      <c r="H2175" s="459">
        <v>2168</v>
      </c>
      <c r="I2175" s="444">
        <f t="shared" ca="1" si="143"/>
        <v>136442311.73250487</v>
      </c>
      <c r="J2175" s="444">
        <f t="array" ref="J2175">IFERROR(INDEX('Retirement Calculator'!J:J,MATCH('Isaac 401k'!N2175,'Retirement Calculator'!A:A,0),0),0)</f>
        <v>0</v>
      </c>
      <c r="K2175" s="444">
        <f t="shared" ca="1" si="141"/>
        <v>568509.63221877033</v>
      </c>
      <c r="L2175" s="444">
        <f t="shared" ca="1" si="142"/>
        <v>137010821.36472365</v>
      </c>
      <c r="M2175" s="460">
        <f t="shared" si="144"/>
        <v>0.05</v>
      </c>
      <c r="N2175" s="464">
        <f t="shared" si="145"/>
        <v>117245</v>
      </c>
    </row>
    <row r="2176" spans="7:14" ht="11.25" customHeight="1" x14ac:dyDescent="0.3">
      <c r="G2176" s="459"/>
      <c r="H2176" s="459">
        <v>2169</v>
      </c>
      <c r="I2176" s="444">
        <f t="shared" ca="1" si="143"/>
        <v>137010821.36472365</v>
      </c>
      <c r="J2176" s="444">
        <f t="array" ref="J2176">IFERROR(INDEX('Retirement Calculator'!J:J,MATCH('Isaac 401k'!N2176,'Retirement Calculator'!A:A,0),0),0)</f>
        <v>0</v>
      </c>
      <c r="K2176" s="444">
        <f t="shared" ca="1" si="141"/>
        <v>570878.42235301516</v>
      </c>
      <c r="L2176" s="444">
        <f t="shared" ca="1" si="142"/>
        <v>137581699.78707668</v>
      </c>
      <c r="M2176" s="460">
        <f t="shared" si="144"/>
        <v>0.05</v>
      </c>
      <c r="N2176" s="464">
        <f t="shared" si="145"/>
        <v>117276</v>
      </c>
    </row>
    <row r="2177" spans="7:14" ht="11.25" customHeight="1" x14ac:dyDescent="0.3">
      <c r="G2177" s="459"/>
      <c r="H2177" s="459">
        <v>2170</v>
      </c>
      <c r="I2177" s="444">
        <f t="shared" ca="1" si="143"/>
        <v>137581699.78707668</v>
      </c>
      <c r="J2177" s="444">
        <f t="array" ref="J2177">IFERROR(INDEX('Retirement Calculator'!J:J,MATCH('Isaac 401k'!N2177,'Retirement Calculator'!A:A,0),0),0)</f>
        <v>0</v>
      </c>
      <c r="K2177" s="444">
        <f t="shared" ca="1" si="141"/>
        <v>573257.08244615281</v>
      </c>
      <c r="L2177" s="444">
        <f t="shared" ca="1" si="142"/>
        <v>138154956.86952284</v>
      </c>
      <c r="M2177" s="460">
        <f t="shared" si="144"/>
        <v>0.05</v>
      </c>
      <c r="N2177" s="464">
        <f t="shared" si="145"/>
        <v>117304</v>
      </c>
    </row>
    <row r="2178" spans="7:14" ht="11.25" customHeight="1" x14ac:dyDescent="0.3">
      <c r="G2178" s="459"/>
      <c r="H2178" s="459">
        <v>2171</v>
      </c>
      <c r="I2178" s="444">
        <f t="shared" ca="1" si="143"/>
        <v>138154956.86952284</v>
      </c>
      <c r="J2178" s="444">
        <f t="array" ref="J2178">IFERROR(INDEX('Retirement Calculator'!J:J,MATCH('Isaac 401k'!N2178,'Retirement Calculator'!A:A,0),0),0)</f>
        <v>0</v>
      </c>
      <c r="K2178" s="444">
        <f t="shared" ca="1" si="141"/>
        <v>575645.65362301178</v>
      </c>
      <c r="L2178" s="444">
        <f t="shared" ca="1" si="142"/>
        <v>138730602.52314585</v>
      </c>
      <c r="M2178" s="460">
        <f t="shared" si="144"/>
        <v>0.05</v>
      </c>
      <c r="N2178" s="464">
        <f t="shared" si="145"/>
        <v>117335</v>
      </c>
    </row>
    <row r="2179" spans="7:14" ht="11.25" customHeight="1" x14ac:dyDescent="0.3">
      <c r="G2179" s="459"/>
      <c r="H2179" s="459">
        <v>2172</v>
      </c>
      <c r="I2179" s="444">
        <f t="shared" ca="1" si="143"/>
        <v>138730602.52314585</v>
      </c>
      <c r="J2179" s="444">
        <f t="array" ref="J2179">IFERROR(INDEX('Retirement Calculator'!J:J,MATCH('Isaac 401k'!N2179,'Retirement Calculator'!A:A,0),0),0)</f>
        <v>0</v>
      </c>
      <c r="K2179" s="444">
        <f t="shared" ca="1" si="141"/>
        <v>578044.17717977439</v>
      </c>
      <c r="L2179" s="444">
        <f t="shared" ca="1" si="142"/>
        <v>139308646.70032564</v>
      </c>
      <c r="M2179" s="460">
        <f t="shared" si="144"/>
        <v>0.05</v>
      </c>
      <c r="N2179" s="464">
        <f t="shared" si="145"/>
        <v>117365</v>
      </c>
    </row>
    <row r="2180" spans="7:14" ht="11.25" customHeight="1" x14ac:dyDescent="0.3">
      <c r="G2180" s="459"/>
      <c r="H2180" s="459">
        <v>2173</v>
      </c>
      <c r="I2180" s="444">
        <f t="shared" ca="1" si="143"/>
        <v>139308646.70032564</v>
      </c>
      <c r="J2180" s="444">
        <f t="array" ref="J2180">IFERROR(INDEX('Retirement Calculator'!J:J,MATCH('Isaac 401k'!N2180,'Retirement Calculator'!A:A,0),0),0)</f>
        <v>0</v>
      </c>
      <c r="K2180" s="444">
        <f t="shared" ca="1" si="141"/>
        <v>580452.69458469015</v>
      </c>
      <c r="L2180" s="444">
        <f t="shared" ca="1" si="142"/>
        <v>139889099.39491034</v>
      </c>
      <c r="M2180" s="460">
        <f t="shared" si="144"/>
        <v>0.05</v>
      </c>
      <c r="N2180" s="464">
        <f t="shared" si="145"/>
        <v>117396</v>
      </c>
    </row>
    <row r="2181" spans="7:14" ht="11.25" customHeight="1" x14ac:dyDescent="0.3">
      <c r="G2181" s="459"/>
      <c r="H2181" s="459">
        <v>2174</v>
      </c>
      <c r="I2181" s="444">
        <f t="shared" ca="1" si="143"/>
        <v>139889099.39491034</v>
      </c>
      <c r="J2181" s="444">
        <f t="array" ref="J2181">IFERROR(INDEX('Retirement Calculator'!J:J,MATCH('Isaac 401k'!N2181,'Retirement Calculator'!A:A,0),0),0)</f>
        <v>0</v>
      </c>
      <c r="K2181" s="444">
        <f t="shared" ca="1" si="141"/>
        <v>582871.24747879303</v>
      </c>
      <c r="L2181" s="444">
        <f t="shared" ca="1" si="142"/>
        <v>140471970.64238912</v>
      </c>
      <c r="M2181" s="460">
        <f t="shared" si="144"/>
        <v>0.05</v>
      </c>
      <c r="N2181" s="464">
        <f t="shared" si="145"/>
        <v>117426</v>
      </c>
    </row>
    <row r="2182" spans="7:14" ht="11.25" customHeight="1" x14ac:dyDescent="0.3">
      <c r="G2182" s="459"/>
      <c r="H2182" s="459">
        <v>2175</v>
      </c>
      <c r="I2182" s="444">
        <f t="shared" ca="1" si="143"/>
        <v>140471970.64238912</v>
      </c>
      <c r="J2182" s="444">
        <f t="array" ref="J2182">IFERROR(INDEX('Retirement Calculator'!J:J,MATCH('Isaac 401k'!N2182,'Retirement Calculator'!A:A,0),0),0)</f>
        <v>0</v>
      </c>
      <c r="K2182" s="444">
        <f t="shared" ca="1" si="141"/>
        <v>585299.87767662131</v>
      </c>
      <c r="L2182" s="444">
        <f t="shared" ca="1" si="142"/>
        <v>141057270.52006575</v>
      </c>
      <c r="M2182" s="460">
        <f t="shared" si="144"/>
        <v>0.05</v>
      </c>
      <c r="N2182" s="464">
        <f t="shared" si="145"/>
        <v>117457</v>
      </c>
    </row>
    <row r="2183" spans="7:14" ht="11.25" customHeight="1" x14ac:dyDescent="0.3">
      <c r="G2183" s="459"/>
      <c r="H2183" s="459">
        <v>2176</v>
      </c>
      <c r="I2183" s="444">
        <f t="shared" ca="1" si="143"/>
        <v>141057270.52006575</v>
      </c>
      <c r="J2183" s="444">
        <f t="array" ref="J2183">IFERROR(INDEX('Retirement Calculator'!J:J,MATCH('Isaac 401k'!N2183,'Retirement Calculator'!A:A,0),0),0)</f>
        <v>0</v>
      </c>
      <c r="K2183" s="444">
        <f t="shared" ca="1" si="141"/>
        <v>587738.6271669406</v>
      </c>
      <c r="L2183" s="444">
        <f t="shared" ca="1" si="142"/>
        <v>141645009.14723268</v>
      </c>
      <c r="M2183" s="460">
        <f t="shared" si="144"/>
        <v>0.05</v>
      </c>
      <c r="N2183" s="464">
        <f t="shared" si="145"/>
        <v>117488</v>
      </c>
    </row>
    <row r="2184" spans="7:14" ht="11.25" customHeight="1" x14ac:dyDescent="0.3">
      <c r="G2184" s="459"/>
      <c r="H2184" s="459">
        <v>2177</v>
      </c>
      <c r="I2184" s="444">
        <f t="shared" ca="1" si="143"/>
        <v>141645009.14723268</v>
      </c>
      <c r="J2184" s="444">
        <f t="array" ref="J2184">IFERROR(INDEX('Retirement Calculator'!J:J,MATCH('Isaac 401k'!N2184,'Retirement Calculator'!A:A,0),0),0)</f>
        <v>0</v>
      </c>
      <c r="K2184" s="444">
        <f t="shared" ca="1" si="141"/>
        <v>590187.53811346949</v>
      </c>
      <c r="L2184" s="444">
        <f t="shared" ca="1" si="142"/>
        <v>142235196.68534616</v>
      </c>
      <c r="M2184" s="460">
        <f t="shared" si="144"/>
        <v>0.05</v>
      </c>
      <c r="N2184" s="464">
        <f t="shared" si="145"/>
        <v>117518</v>
      </c>
    </row>
    <row r="2185" spans="7:14" ht="11.25" customHeight="1" x14ac:dyDescent="0.3">
      <c r="G2185" s="459"/>
      <c r="H2185" s="459">
        <v>2178</v>
      </c>
      <c r="I2185" s="444">
        <f t="shared" ca="1" si="143"/>
        <v>142235196.68534616</v>
      </c>
      <c r="J2185" s="444">
        <f t="array" ref="J2185">IFERROR(INDEX('Retirement Calculator'!J:J,MATCH('Isaac 401k'!N2185,'Retirement Calculator'!A:A,0),0),0)</f>
        <v>0</v>
      </c>
      <c r="K2185" s="444">
        <f t="shared" ca="1" si="141"/>
        <v>592646.65285560896</v>
      </c>
      <c r="L2185" s="444">
        <f t="shared" ca="1" si="142"/>
        <v>142827843.33820176</v>
      </c>
      <c r="M2185" s="460">
        <f t="shared" si="144"/>
        <v>0.05</v>
      </c>
      <c r="N2185" s="464">
        <f t="shared" si="145"/>
        <v>117549</v>
      </c>
    </row>
    <row r="2186" spans="7:14" ht="11.25" customHeight="1" x14ac:dyDescent="0.3">
      <c r="G2186" s="459"/>
      <c r="H2186" s="459">
        <v>2179</v>
      </c>
      <c r="I2186" s="444">
        <f t="shared" ca="1" si="143"/>
        <v>142827843.33820176</v>
      </c>
      <c r="J2186" s="444">
        <f t="array" ref="J2186">IFERROR(INDEX('Retirement Calculator'!J:J,MATCH('Isaac 401k'!N2186,'Retirement Calculator'!A:A,0),0),0)</f>
        <v>0</v>
      </c>
      <c r="K2186" s="444">
        <f t="shared" ca="1" si="141"/>
        <v>595116.01390917401</v>
      </c>
      <c r="L2186" s="444">
        <f t="shared" ca="1" si="142"/>
        <v>143422959.35211092</v>
      </c>
      <c r="M2186" s="460">
        <f t="shared" si="144"/>
        <v>0.05</v>
      </c>
      <c r="N2186" s="464">
        <f t="shared" si="145"/>
        <v>117579</v>
      </c>
    </row>
    <row r="2187" spans="7:14" ht="11.25" customHeight="1" x14ac:dyDescent="0.3">
      <c r="G2187" s="459"/>
      <c r="H2187" s="459">
        <v>2180</v>
      </c>
      <c r="I2187" s="444">
        <f t="shared" ca="1" si="143"/>
        <v>143422959.35211092</v>
      </c>
      <c r="J2187" s="444">
        <f t="array" ref="J2187">IFERROR(INDEX('Retirement Calculator'!J:J,MATCH('Isaac 401k'!N2187,'Retirement Calculator'!A:A,0),0),0)</f>
        <v>0</v>
      </c>
      <c r="K2187" s="444">
        <f t="shared" ca="1" si="141"/>
        <v>597595.66396712884</v>
      </c>
      <c r="L2187" s="444">
        <f t="shared" ca="1" si="142"/>
        <v>144020555.01607805</v>
      </c>
      <c r="M2187" s="460">
        <f t="shared" si="144"/>
        <v>0.05</v>
      </c>
      <c r="N2187" s="464">
        <f t="shared" si="145"/>
        <v>117610</v>
      </c>
    </row>
    <row r="2188" spans="7:14" ht="11.25" customHeight="1" x14ac:dyDescent="0.3">
      <c r="G2188" s="459"/>
      <c r="H2188" s="459">
        <v>2181</v>
      </c>
      <c r="I2188" s="444">
        <f t="shared" ca="1" si="143"/>
        <v>144020555.01607805</v>
      </c>
      <c r="J2188" s="444">
        <f t="array" ref="J2188">IFERROR(INDEX('Retirement Calculator'!J:J,MATCH('Isaac 401k'!N2188,'Retirement Calculator'!A:A,0),0),0)</f>
        <v>0</v>
      </c>
      <c r="K2188" s="444">
        <f t="shared" ca="1" si="141"/>
        <v>600085.64590032527</v>
      </c>
      <c r="L2188" s="444">
        <f t="shared" ca="1" si="142"/>
        <v>144620640.66197839</v>
      </c>
      <c r="M2188" s="460">
        <f t="shared" si="144"/>
        <v>0.05</v>
      </c>
      <c r="N2188" s="464">
        <f t="shared" si="145"/>
        <v>117641</v>
      </c>
    </row>
    <row r="2189" spans="7:14" ht="11.25" customHeight="1" x14ac:dyDescent="0.3">
      <c r="G2189" s="459"/>
      <c r="H2189" s="459">
        <v>2182</v>
      </c>
      <c r="I2189" s="444">
        <f t="shared" ca="1" si="143"/>
        <v>144620640.66197839</v>
      </c>
      <c r="J2189" s="444">
        <f t="array" ref="J2189">IFERROR(INDEX('Retirement Calculator'!J:J,MATCH('Isaac 401k'!N2189,'Retirement Calculator'!A:A,0),0),0)</f>
        <v>0</v>
      </c>
      <c r="K2189" s="444">
        <f t="shared" ca="1" si="141"/>
        <v>602586.00275824335</v>
      </c>
      <c r="L2189" s="444">
        <f t="shared" ca="1" si="142"/>
        <v>145223226.66473663</v>
      </c>
      <c r="M2189" s="460">
        <f t="shared" si="144"/>
        <v>0.05</v>
      </c>
      <c r="N2189" s="464">
        <f t="shared" si="145"/>
        <v>117669</v>
      </c>
    </row>
    <row r="2190" spans="7:14" ht="11.25" customHeight="1" x14ac:dyDescent="0.3">
      <c r="G2190" s="459"/>
      <c r="H2190" s="459">
        <v>2183</v>
      </c>
      <c r="I2190" s="444">
        <f t="shared" ca="1" si="143"/>
        <v>145223226.66473663</v>
      </c>
      <c r="J2190" s="444">
        <f t="array" ref="J2190">IFERROR(INDEX('Retirement Calculator'!J:J,MATCH('Isaac 401k'!N2190,'Retirement Calculator'!A:A,0),0),0)</f>
        <v>0</v>
      </c>
      <c r="K2190" s="444">
        <f t="shared" ca="1" si="141"/>
        <v>605096.7777697359</v>
      </c>
      <c r="L2190" s="444">
        <f t="shared" ca="1" si="142"/>
        <v>145828323.44250637</v>
      </c>
      <c r="M2190" s="460">
        <f t="shared" si="144"/>
        <v>0.05</v>
      </c>
      <c r="N2190" s="464">
        <f t="shared" si="145"/>
        <v>117700</v>
      </c>
    </row>
    <row r="2191" spans="7:14" ht="11.25" customHeight="1" x14ac:dyDescent="0.3">
      <c r="G2191" s="459"/>
      <c r="H2191" s="459">
        <v>2184</v>
      </c>
      <c r="I2191" s="444">
        <f t="shared" ca="1" si="143"/>
        <v>145828323.44250637</v>
      </c>
      <c r="J2191" s="444">
        <f t="array" ref="J2191">IFERROR(INDEX('Retirement Calculator'!J:J,MATCH('Isaac 401k'!N2191,'Retirement Calculator'!A:A,0),0),0)</f>
        <v>0</v>
      </c>
      <c r="K2191" s="444">
        <f t="shared" ca="1" si="141"/>
        <v>607618.01434377651</v>
      </c>
      <c r="L2191" s="444">
        <f t="shared" ca="1" si="142"/>
        <v>146435941.45685014</v>
      </c>
      <c r="M2191" s="460">
        <f t="shared" si="144"/>
        <v>0.05</v>
      </c>
      <c r="N2191" s="464">
        <f t="shared" si="145"/>
        <v>117730</v>
      </c>
    </row>
    <row r="2192" spans="7:14" ht="11.25" customHeight="1" x14ac:dyDescent="0.3">
      <c r="G2192" s="459"/>
      <c r="H2192" s="459">
        <v>2185</v>
      </c>
      <c r="I2192" s="444">
        <f t="shared" ca="1" si="143"/>
        <v>146435941.45685014</v>
      </c>
      <c r="J2192" s="444">
        <f t="array" ref="J2192">IFERROR(INDEX('Retirement Calculator'!J:J,MATCH('Isaac 401k'!N2192,'Retirement Calculator'!A:A,0),0),0)</f>
        <v>0</v>
      </c>
      <c r="K2192" s="444">
        <f t="shared" ca="1" si="141"/>
        <v>610149.75607020897</v>
      </c>
      <c r="L2192" s="444">
        <f t="shared" ca="1" si="142"/>
        <v>147046091.21292034</v>
      </c>
      <c r="M2192" s="460">
        <f t="shared" si="144"/>
        <v>0.05</v>
      </c>
      <c r="N2192" s="464">
        <f t="shared" si="145"/>
        <v>117761</v>
      </c>
    </row>
    <row r="2193" spans="7:14" ht="11.25" customHeight="1" x14ac:dyDescent="0.3">
      <c r="G2193" s="459"/>
      <c r="H2193" s="459">
        <v>2186</v>
      </c>
      <c r="I2193" s="444">
        <f t="shared" ca="1" si="143"/>
        <v>147046091.21292034</v>
      </c>
      <c r="J2193" s="444">
        <f t="array" ref="J2193">IFERROR(INDEX('Retirement Calculator'!J:J,MATCH('Isaac 401k'!N2193,'Retirement Calculator'!A:A,0),0),0)</f>
        <v>0</v>
      </c>
      <c r="K2193" s="444">
        <f t="shared" ca="1" si="141"/>
        <v>612692.04672050138</v>
      </c>
      <c r="L2193" s="444">
        <f t="shared" ca="1" si="142"/>
        <v>147658783.25964084</v>
      </c>
      <c r="M2193" s="460">
        <f t="shared" si="144"/>
        <v>0.05</v>
      </c>
      <c r="N2193" s="464">
        <f t="shared" si="145"/>
        <v>117791</v>
      </c>
    </row>
    <row r="2194" spans="7:14" ht="11.25" customHeight="1" x14ac:dyDescent="0.3">
      <c r="G2194" s="459"/>
      <c r="H2194" s="459">
        <v>2187</v>
      </c>
      <c r="I2194" s="444">
        <f t="shared" ca="1" si="143"/>
        <v>147658783.25964084</v>
      </c>
      <c r="J2194" s="444">
        <f t="array" ref="J2194">IFERROR(INDEX('Retirement Calculator'!J:J,MATCH('Isaac 401k'!N2194,'Retirement Calculator'!A:A,0),0),0)</f>
        <v>0</v>
      </c>
      <c r="K2194" s="444">
        <f t="shared" ca="1" si="141"/>
        <v>615244.93024850346</v>
      </c>
      <c r="L2194" s="444">
        <f t="shared" ca="1" si="142"/>
        <v>148274028.18988934</v>
      </c>
      <c r="M2194" s="460">
        <f t="shared" si="144"/>
        <v>0.05</v>
      </c>
      <c r="N2194" s="464">
        <f t="shared" si="145"/>
        <v>117822</v>
      </c>
    </row>
    <row r="2195" spans="7:14" ht="11.25" customHeight="1" x14ac:dyDescent="0.3">
      <c r="G2195" s="459"/>
      <c r="H2195" s="459">
        <v>2188</v>
      </c>
      <c r="I2195" s="444">
        <f t="shared" ca="1" si="143"/>
        <v>148274028.18988934</v>
      </c>
      <c r="J2195" s="444">
        <f t="array" ref="J2195">IFERROR(INDEX('Retirement Calculator'!J:J,MATCH('Isaac 401k'!N2195,'Retirement Calculator'!A:A,0),0),0)</f>
        <v>0</v>
      </c>
      <c r="K2195" s="444">
        <f t="shared" ca="1" si="141"/>
        <v>617808.45079120563</v>
      </c>
      <c r="L2195" s="444">
        <f t="shared" ca="1" si="142"/>
        <v>148891836.64068055</v>
      </c>
      <c r="M2195" s="460">
        <f t="shared" si="144"/>
        <v>0.05</v>
      </c>
      <c r="N2195" s="464">
        <f t="shared" si="145"/>
        <v>117853</v>
      </c>
    </row>
    <row r="2196" spans="7:14" ht="11.25" customHeight="1" x14ac:dyDescent="0.3">
      <c r="G2196" s="459"/>
      <c r="H2196" s="459">
        <v>2189</v>
      </c>
      <c r="I2196" s="444">
        <f t="shared" ca="1" si="143"/>
        <v>148891836.64068055</v>
      </c>
      <c r="J2196" s="444">
        <f t="array" ref="J2196">IFERROR(INDEX('Retirement Calculator'!J:J,MATCH('Isaac 401k'!N2196,'Retirement Calculator'!A:A,0),0),0)</f>
        <v>0</v>
      </c>
      <c r="K2196" s="444">
        <f t="shared" ca="1" si="141"/>
        <v>620382.65266950231</v>
      </c>
      <c r="L2196" s="444">
        <f t="shared" ca="1" si="142"/>
        <v>149512219.29335004</v>
      </c>
      <c r="M2196" s="460">
        <f t="shared" si="144"/>
        <v>0.05</v>
      </c>
      <c r="N2196" s="464">
        <f t="shared" si="145"/>
        <v>117883</v>
      </c>
    </row>
    <row r="2197" spans="7:14" ht="11.25" customHeight="1" x14ac:dyDescent="0.3">
      <c r="G2197" s="459"/>
      <c r="H2197" s="459">
        <v>2190</v>
      </c>
      <c r="I2197" s="444">
        <f t="shared" ca="1" si="143"/>
        <v>149512219.29335004</v>
      </c>
      <c r="J2197" s="444">
        <f t="array" ref="J2197">IFERROR(INDEX('Retirement Calculator'!J:J,MATCH('Isaac 401k'!N2197,'Retirement Calculator'!A:A,0),0),0)</f>
        <v>0</v>
      </c>
      <c r="K2197" s="444">
        <f t="shared" ca="1" si="141"/>
        <v>622967.58038895845</v>
      </c>
      <c r="L2197" s="444">
        <f t="shared" ca="1" si="142"/>
        <v>150135186.873739</v>
      </c>
      <c r="M2197" s="460">
        <f t="shared" si="144"/>
        <v>0.05</v>
      </c>
      <c r="N2197" s="464">
        <f t="shared" si="145"/>
        <v>117914</v>
      </c>
    </row>
    <row r="2198" spans="7:14" ht="11.25" customHeight="1" x14ac:dyDescent="0.3">
      <c r="G2198" s="459"/>
      <c r="H2198" s="459">
        <v>2191</v>
      </c>
      <c r="I2198" s="444">
        <f t="shared" ca="1" si="143"/>
        <v>150135186.873739</v>
      </c>
      <c r="J2198" s="444">
        <f t="array" ref="J2198">IFERROR(INDEX('Retirement Calculator'!J:J,MATCH('Isaac 401k'!N2198,'Retirement Calculator'!A:A,0),0),0)</f>
        <v>0</v>
      </c>
      <c r="K2198" s="444">
        <f t="shared" ca="1" si="141"/>
        <v>625563.2786405792</v>
      </c>
      <c r="L2198" s="444">
        <f t="shared" ca="1" si="142"/>
        <v>150760750.15237957</v>
      </c>
      <c r="M2198" s="460">
        <f t="shared" si="144"/>
        <v>0.05</v>
      </c>
      <c r="N2198" s="464">
        <f t="shared" si="145"/>
        <v>117944</v>
      </c>
    </row>
    <row r="2199" spans="7:14" ht="11.25" customHeight="1" x14ac:dyDescent="0.3">
      <c r="G2199" s="459"/>
      <c r="H2199" s="459">
        <v>2192</v>
      </c>
      <c r="I2199" s="444">
        <f t="shared" ca="1" si="143"/>
        <v>150760750.15237957</v>
      </c>
      <c r="J2199" s="444">
        <f t="array" ref="J2199">IFERROR(INDEX('Retirement Calculator'!J:J,MATCH('Isaac 401k'!N2199,'Retirement Calculator'!A:A,0),0),0)</f>
        <v>0</v>
      </c>
      <c r="K2199" s="444">
        <f t="shared" ca="1" si="141"/>
        <v>628169.79230158159</v>
      </c>
      <c r="L2199" s="444">
        <f t="shared" ca="1" si="142"/>
        <v>151388919.94468117</v>
      </c>
      <c r="M2199" s="460">
        <f t="shared" si="144"/>
        <v>0.05</v>
      </c>
      <c r="N2199" s="464">
        <f t="shared" si="145"/>
        <v>117975</v>
      </c>
    </row>
    <row r="2200" spans="7:14" ht="11.25" customHeight="1" x14ac:dyDescent="0.3">
      <c r="G2200" s="459"/>
      <c r="H2200" s="459">
        <v>2193</v>
      </c>
      <c r="I2200" s="444">
        <f t="shared" ca="1" si="143"/>
        <v>151388919.94468117</v>
      </c>
      <c r="J2200" s="444">
        <f t="array" ref="J2200">IFERROR(INDEX('Retirement Calculator'!J:J,MATCH('Isaac 401k'!N2200,'Retirement Calculator'!A:A,0),0),0)</f>
        <v>0</v>
      </c>
      <c r="K2200" s="444">
        <f t="shared" ca="1" si="141"/>
        <v>630787.16643617151</v>
      </c>
      <c r="L2200" s="444">
        <f t="shared" ca="1" si="142"/>
        <v>152019707.11111733</v>
      </c>
      <c r="M2200" s="460">
        <f t="shared" si="144"/>
        <v>0.05</v>
      </c>
      <c r="N2200" s="464">
        <f t="shared" si="145"/>
        <v>118006</v>
      </c>
    </row>
    <row r="2201" spans="7:14" ht="11.25" customHeight="1" x14ac:dyDescent="0.3">
      <c r="G2201" s="459"/>
      <c r="H2201" s="459">
        <v>2194</v>
      </c>
      <c r="I2201" s="444">
        <f t="shared" ca="1" si="143"/>
        <v>152019707.11111733</v>
      </c>
      <c r="J2201" s="444">
        <f t="array" ref="J2201">IFERROR(INDEX('Retirement Calculator'!J:J,MATCH('Isaac 401k'!N2201,'Retirement Calculator'!A:A,0),0),0)</f>
        <v>0</v>
      </c>
      <c r="K2201" s="444">
        <f t="shared" ca="1" si="141"/>
        <v>633415.44629632216</v>
      </c>
      <c r="L2201" s="444">
        <f t="shared" ca="1" si="142"/>
        <v>152653122.55741367</v>
      </c>
      <c r="M2201" s="460">
        <f t="shared" si="144"/>
        <v>0.05</v>
      </c>
      <c r="N2201" s="464">
        <f t="shared" si="145"/>
        <v>118034</v>
      </c>
    </row>
    <row r="2202" spans="7:14" ht="11.25" customHeight="1" x14ac:dyDescent="0.3">
      <c r="G2202" s="459"/>
      <c r="H2202" s="459">
        <v>2195</v>
      </c>
      <c r="I2202" s="444">
        <f t="shared" ca="1" si="143"/>
        <v>152653122.55741367</v>
      </c>
      <c r="J2202" s="444">
        <f t="array" ref="J2202">IFERROR(INDEX('Retirement Calculator'!J:J,MATCH('Isaac 401k'!N2202,'Retirement Calculator'!A:A,0),0),0)</f>
        <v>0</v>
      </c>
      <c r="K2202" s="444">
        <f t="shared" ca="1" si="141"/>
        <v>636054.67732255696</v>
      </c>
      <c r="L2202" s="444">
        <f t="shared" ca="1" si="142"/>
        <v>153289177.23473623</v>
      </c>
      <c r="M2202" s="460">
        <f t="shared" si="144"/>
        <v>0.05</v>
      </c>
      <c r="N2202" s="464">
        <f t="shared" si="145"/>
        <v>118065</v>
      </c>
    </row>
    <row r="2203" spans="7:14" ht="11.25" customHeight="1" x14ac:dyDescent="0.3">
      <c r="G2203" s="459"/>
      <c r="H2203" s="459">
        <v>2196</v>
      </c>
      <c r="I2203" s="444">
        <f t="shared" ca="1" si="143"/>
        <v>153289177.23473623</v>
      </c>
      <c r="J2203" s="444">
        <f t="array" ref="J2203">IFERROR(INDEX('Retirement Calculator'!J:J,MATCH('Isaac 401k'!N2203,'Retirement Calculator'!A:A,0),0),0)</f>
        <v>0</v>
      </c>
      <c r="K2203" s="444">
        <f t="shared" ca="1" si="141"/>
        <v>638704.90514473431</v>
      </c>
      <c r="L2203" s="444">
        <f t="shared" ca="1" si="142"/>
        <v>153927882.13988096</v>
      </c>
      <c r="M2203" s="460">
        <f t="shared" si="144"/>
        <v>0.05</v>
      </c>
      <c r="N2203" s="464">
        <f t="shared" si="145"/>
        <v>118095</v>
      </c>
    </row>
    <row r="2204" spans="7:14" ht="11.25" customHeight="1" x14ac:dyDescent="0.3">
      <c r="G2204" s="459"/>
      <c r="H2204" s="459">
        <v>2197</v>
      </c>
      <c r="I2204" s="444">
        <f t="shared" ca="1" si="143"/>
        <v>153927882.13988096</v>
      </c>
      <c r="J2204" s="444">
        <f t="array" ref="J2204">IFERROR(INDEX('Retirement Calculator'!J:J,MATCH('Isaac 401k'!N2204,'Retirement Calculator'!A:A,0),0),0)</f>
        <v>0</v>
      </c>
      <c r="K2204" s="444">
        <f t="shared" ca="1" si="141"/>
        <v>641366.17558283731</v>
      </c>
      <c r="L2204" s="444">
        <f t="shared" ca="1" si="142"/>
        <v>154569248.31546378</v>
      </c>
      <c r="M2204" s="460">
        <f t="shared" si="144"/>
        <v>0.05</v>
      </c>
      <c r="N2204" s="464">
        <f t="shared" si="145"/>
        <v>118126</v>
      </c>
    </row>
    <row r="2205" spans="7:14" ht="11.25" customHeight="1" x14ac:dyDescent="0.3">
      <c r="G2205" s="459"/>
      <c r="H2205" s="459">
        <v>2198</v>
      </c>
      <c r="I2205" s="444">
        <f t="shared" ca="1" si="143"/>
        <v>154569248.31546378</v>
      </c>
      <c r="J2205" s="444">
        <f t="array" ref="J2205">IFERROR(INDEX('Retirement Calculator'!J:J,MATCH('Isaac 401k'!N2205,'Retirement Calculator'!A:A,0),0),0)</f>
        <v>0</v>
      </c>
      <c r="K2205" s="444">
        <f t="shared" ca="1" si="141"/>
        <v>644038.5346477658</v>
      </c>
      <c r="L2205" s="444">
        <f t="shared" ca="1" si="142"/>
        <v>155213286.85011154</v>
      </c>
      <c r="M2205" s="460">
        <f t="shared" si="144"/>
        <v>0.05</v>
      </c>
      <c r="N2205" s="464">
        <f t="shared" si="145"/>
        <v>118156</v>
      </c>
    </row>
    <row r="2206" spans="7:14" ht="11.25" customHeight="1" x14ac:dyDescent="0.3">
      <c r="G2206" s="459"/>
      <c r="H2206" s="459">
        <v>2199</v>
      </c>
      <c r="I2206" s="444">
        <f t="shared" ca="1" si="143"/>
        <v>155213286.85011154</v>
      </c>
      <c r="J2206" s="444">
        <f t="array" ref="J2206">IFERROR(INDEX('Retirement Calculator'!J:J,MATCH('Isaac 401k'!N2206,'Retirement Calculator'!A:A,0),0),0)</f>
        <v>0</v>
      </c>
      <c r="K2206" s="444">
        <f t="shared" ca="1" si="141"/>
        <v>646722.02854213142</v>
      </c>
      <c r="L2206" s="444">
        <f t="shared" ca="1" si="142"/>
        <v>155860008.87865368</v>
      </c>
      <c r="M2206" s="460">
        <f t="shared" si="144"/>
        <v>0.05</v>
      </c>
      <c r="N2206" s="464">
        <f t="shared" si="145"/>
        <v>118187</v>
      </c>
    </row>
    <row r="2207" spans="7:14" ht="11.25" customHeight="1" x14ac:dyDescent="0.3">
      <c r="G2207" s="459"/>
      <c r="H2207" s="459">
        <v>2200</v>
      </c>
      <c r="I2207" s="444">
        <f t="shared" ca="1" si="143"/>
        <v>155860008.87865368</v>
      </c>
      <c r="J2207" s="444">
        <f t="array" ref="J2207">IFERROR(INDEX('Retirement Calculator'!J:J,MATCH('Isaac 401k'!N2207,'Retirement Calculator'!A:A,0),0),0)</f>
        <v>0</v>
      </c>
      <c r="K2207" s="444">
        <f t="shared" ca="1" si="141"/>
        <v>649416.70366105693</v>
      </c>
      <c r="L2207" s="444">
        <f t="shared" ca="1" si="142"/>
        <v>156509425.58231473</v>
      </c>
      <c r="M2207" s="460">
        <f t="shared" si="144"/>
        <v>0.05</v>
      </c>
      <c r="N2207" s="464">
        <f t="shared" si="145"/>
        <v>118218</v>
      </c>
    </row>
    <row r="2208" spans="7:14" ht="11.25" customHeight="1" x14ac:dyDescent="0.3">
      <c r="G2208" s="459"/>
      <c r="H2208" s="459">
        <v>2201</v>
      </c>
      <c r="I2208" s="444">
        <f t="shared" ca="1" si="143"/>
        <v>156509425.58231473</v>
      </c>
      <c r="J2208" s="444">
        <f t="array" ref="J2208">IFERROR(INDEX('Retirement Calculator'!J:J,MATCH('Isaac 401k'!N2208,'Retirement Calculator'!A:A,0),0),0)</f>
        <v>0</v>
      </c>
      <c r="K2208" s="444">
        <f t="shared" ca="1" si="141"/>
        <v>652122.606592978</v>
      </c>
      <c r="L2208" s="444">
        <f t="shared" ca="1" si="142"/>
        <v>157161548.18890771</v>
      </c>
      <c r="M2208" s="460">
        <f t="shared" si="144"/>
        <v>0.05</v>
      </c>
      <c r="N2208" s="464">
        <f t="shared" si="145"/>
        <v>118248</v>
      </c>
    </row>
    <row r="2209" spans="7:14" ht="11.25" customHeight="1" x14ac:dyDescent="0.3">
      <c r="G2209" s="459"/>
      <c r="H2209" s="459">
        <v>2202</v>
      </c>
      <c r="I2209" s="444">
        <f t="shared" ca="1" si="143"/>
        <v>157161548.18890771</v>
      </c>
      <c r="J2209" s="444">
        <f t="array" ref="J2209">IFERROR(INDEX('Retirement Calculator'!J:J,MATCH('Isaac 401k'!N2209,'Retirement Calculator'!A:A,0),0),0)</f>
        <v>0</v>
      </c>
      <c r="K2209" s="444">
        <f t="shared" ca="1" si="141"/>
        <v>654839.78412044875</v>
      </c>
      <c r="L2209" s="444">
        <f t="shared" ca="1" si="142"/>
        <v>157816387.97302815</v>
      </c>
      <c r="M2209" s="460">
        <f t="shared" si="144"/>
        <v>0.05</v>
      </c>
      <c r="N2209" s="464">
        <f t="shared" si="145"/>
        <v>118279</v>
      </c>
    </row>
    <row r="2210" spans="7:14" ht="11.25" customHeight="1" x14ac:dyDescent="0.3">
      <c r="G2210" s="459"/>
      <c r="H2210" s="459">
        <v>2203</v>
      </c>
      <c r="I2210" s="444">
        <f t="shared" ca="1" si="143"/>
        <v>157816387.97302815</v>
      </c>
      <c r="J2210" s="444">
        <f t="array" ref="J2210">IFERROR(INDEX('Retirement Calculator'!J:J,MATCH('Isaac 401k'!N2210,'Retirement Calculator'!A:A,0),0),0)</f>
        <v>0</v>
      </c>
      <c r="K2210" s="444">
        <f t="shared" ca="1" si="141"/>
        <v>657568.28322095063</v>
      </c>
      <c r="L2210" s="444">
        <f t="shared" ca="1" si="142"/>
        <v>158473956.2562491</v>
      </c>
      <c r="M2210" s="460">
        <f t="shared" si="144"/>
        <v>0.05</v>
      </c>
      <c r="N2210" s="464">
        <f t="shared" si="145"/>
        <v>118309</v>
      </c>
    </row>
    <row r="2211" spans="7:14" ht="11.25" customHeight="1" x14ac:dyDescent="0.3">
      <c r="G2211" s="459"/>
      <c r="H2211" s="459">
        <v>2204</v>
      </c>
      <c r="I2211" s="444">
        <f t="shared" ca="1" si="143"/>
        <v>158473956.2562491</v>
      </c>
      <c r="J2211" s="444">
        <f t="array" ref="J2211">IFERROR(INDEX('Retirement Calculator'!J:J,MATCH('Isaac 401k'!N2211,'Retirement Calculator'!A:A,0),0),0)</f>
        <v>0</v>
      </c>
      <c r="K2211" s="444">
        <f t="shared" ca="1" si="141"/>
        <v>660308.15106770454</v>
      </c>
      <c r="L2211" s="444">
        <f t="shared" ca="1" si="142"/>
        <v>159134264.4073168</v>
      </c>
      <c r="M2211" s="460">
        <f t="shared" si="144"/>
        <v>0.05</v>
      </c>
      <c r="N2211" s="464">
        <f t="shared" si="145"/>
        <v>118340</v>
      </c>
    </row>
    <row r="2212" spans="7:14" ht="11.25" customHeight="1" x14ac:dyDescent="0.3">
      <c r="G2212" s="459"/>
      <c r="H2212" s="459">
        <v>2205</v>
      </c>
      <c r="I2212" s="444">
        <f t="shared" ca="1" si="143"/>
        <v>159134264.4073168</v>
      </c>
      <c r="J2212" s="444">
        <f t="array" ref="J2212">IFERROR(INDEX('Retirement Calculator'!J:J,MATCH('Isaac 401k'!N2212,'Retirement Calculator'!A:A,0),0),0)</f>
        <v>0</v>
      </c>
      <c r="K2212" s="444">
        <f t="shared" ca="1" si="141"/>
        <v>663059.43503048667</v>
      </c>
      <c r="L2212" s="444">
        <f t="shared" ca="1" si="142"/>
        <v>159797323.84234729</v>
      </c>
      <c r="M2212" s="460">
        <f t="shared" si="144"/>
        <v>0.05</v>
      </c>
      <c r="N2212" s="464">
        <f t="shared" si="145"/>
        <v>118371</v>
      </c>
    </row>
    <row r="2213" spans="7:14" ht="11.25" customHeight="1" x14ac:dyDescent="0.3">
      <c r="G2213" s="459"/>
      <c r="H2213" s="459">
        <v>2206</v>
      </c>
      <c r="I2213" s="444">
        <f t="shared" ca="1" si="143"/>
        <v>159797323.84234729</v>
      </c>
      <c r="J2213" s="444">
        <f t="array" ref="J2213">IFERROR(INDEX('Retirement Calculator'!J:J,MATCH('Isaac 401k'!N2213,'Retirement Calculator'!A:A,0),0),0)</f>
        <v>0</v>
      </c>
      <c r="K2213" s="444">
        <f t="shared" ca="1" si="141"/>
        <v>665822.18267644709</v>
      </c>
      <c r="L2213" s="444">
        <f t="shared" ca="1" si="142"/>
        <v>160463146.02502373</v>
      </c>
      <c r="M2213" s="460">
        <f t="shared" si="144"/>
        <v>0.05</v>
      </c>
      <c r="N2213" s="464">
        <f t="shared" si="145"/>
        <v>118400</v>
      </c>
    </row>
    <row r="2214" spans="7:14" ht="11.25" customHeight="1" x14ac:dyDescent="0.3">
      <c r="G2214" s="459"/>
      <c r="H2214" s="459">
        <v>2207</v>
      </c>
      <c r="I2214" s="444">
        <f t="shared" ca="1" si="143"/>
        <v>160463146.02502373</v>
      </c>
      <c r="J2214" s="444">
        <f t="array" ref="J2214">IFERROR(INDEX('Retirement Calculator'!J:J,MATCH('Isaac 401k'!N2214,'Retirement Calculator'!A:A,0),0),0)</f>
        <v>0</v>
      </c>
      <c r="K2214" s="444">
        <f t="shared" ca="1" si="141"/>
        <v>668596.44177093217</v>
      </c>
      <c r="L2214" s="444">
        <f t="shared" ca="1" si="142"/>
        <v>161131742.46679467</v>
      </c>
      <c r="M2214" s="460">
        <f t="shared" si="144"/>
        <v>0.05</v>
      </c>
      <c r="N2214" s="464">
        <f t="shared" si="145"/>
        <v>118431</v>
      </c>
    </row>
    <row r="2215" spans="7:14" ht="11.25" customHeight="1" x14ac:dyDescent="0.3">
      <c r="G2215" s="459"/>
      <c r="H2215" s="459">
        <v>2208</v>
      </c>
      <c r="I2215" s="444">
        <f t="shared" ca="1" si="143"/>
        <v>161131742.46679467</v>
      </c>
      <c r="J2215" s="444">
        <f t="array" ref="J2215">IFERROR(INDEX('Retirement Calculator'!J:J,MATCH('Isaac 401k'!N2215,'Retirement Calculator'!A:A,0),0),0)</f>
        <v>0</v>
      </c>
      <c r="K2215" s="444">
        <f t="shared" ca="1" si="141"/>
        <v>671382.26027831109</v>
      </c>
      <c r="L2215" s="444">
        <f t="shared" ca="1" si="142"/>
        <v>161803124.72707298</v>
      </c>
      <c r="M2215" s="460">
        <f t="shared" si="144"/>
        <v>0.05</v>
      </c>
      <c r="N2215" s="464">
        <f t="shared" si="145"/>
        <v>118461</v>
      </c>
    </row>
    <row r="2216" spans="7:14" ht="11.25" customHeight="1" x14ac:dyDescent="0.3">
      <c r="G2216" s="459"/>
      <c r="H2216" s="459">
        <v>2209</v>
      </c>
      <c r="I2216" s="444">
        <f t="shared" ca="1" si="143"/>
        <v>161803124.72707298</v>
      </c>
      <c r="J2216" s="444">
        <f t="array" ref="J2216">IFERROR(INDEX('Retirement Calculator'!J:J,MATCH('Isaac 401k'!N2216,'Retirement Calculator'!A:A,0),0),0)</f>
        <v>0</v>
      </c>
      <c r="K2216" s="444">
        <f t="shared" ca="1" si="141"/>
        <v>674179.68636280415</v>
      </c>
      <c r="L2216" s="444">
        <f t="shared" ca="1" si="142"/>
        <v>162477304.41343579</v>
      </c>
      <c r="M2216" s="460">
        <f t="shared" si="144"/>
        <v>0.05</v>
      </c>
      <c r="N2216" s="464">
        <f t="shared" si="145"/>
        <v>118492</v>
      </c>
    </row>
    <row r="2217" spans="7:14" ht="11.25" customHeight="1" x14ac:dyDescent="0.3">
      <c r="G2217" s="459"/>
      <c r="H2217" s="459">
        <v>2210</v>
      </c>
      <c r="I2217" s="444">
        <f t="shared" ca="1" si="143"/>
        <v>162477304.41343579</v>
      </c>
      <c r="J2217" s="444">
        <f t="array" ref="J2217">IFERROR(INDEX('Retirement Calculator'!J:J,MATCH('Isaac 401k'!N2217,'Retirement Calculator'!A:A,0),0),0)</f>
        <v>0</v>
      </c>
      <c r="K2217" s="444">
        <f t="shared" ca="1" si="141"/>
        <v>676988.76838931581</v>
      </c>
      <c r="L2217" s="444">
        <f t="shared" ca="1" si="142"/>
        <v>163154293.1818251</v>
      </c>
      <c r="M2217" s="460">
        <f t="shared" si="144"/>
        <v>0.05</v>
      </c>
      <c r="N2217" s="464">
        <f t="shared" si="145"/>
        <v>118522</v>
      </c>
    </row>
    <row r="2218" spans="7:14" ht="11.25" customHeight="1" x14ac:dyDescent="0.3">
      <c r="G2218" s="459"/>
      <c r="H2218" s="459">
        <v>2211</v>
      </c>
      <c r="I2218" s="444">
        <f t="shared" ca="1" si="143"/>
        <v>163154293.1818251</v>
      </c>
      <c r="J2218" s="444">
        <f t="array" ref="J2218">IFERROR(INDEX('Retirement Calculator'!J:J,MATCH('Isaac 401k'!N2218,'Retirement Calculator'!A:A,0),0),0)</f>
        <v>0</v>
      </c>
      <c r="K2218" s="444">
        <f t="shared" ca="1" si="141"/>
        <v>679809.5549242713</v>
      </c>
      <c r="L2218" s="444">
        <f t="shared" ca="1" si="142"/>
        <v>163834102.73674938</v>
      </c>
      <c r="M2218" s="460">
        <f t="shared" si="144"/>
        <v>0.05</v>
      </c>
      <c r="N2218" s="464">
        <f t="shared" si="145"/>
        <v>118553</v>
      </c>
    </row>
    <row r="2219" spans="7:14" ht="11.25" customHeight="1" x14ac:dyDescent="0.3">
      <c r="G2219" s="459"/>
      <c r="H2219" s="459">
        <v>2212</v>
      </c>
      <c r="I2219" s="444">
        <f t="shared" ca="1" si="143"/>
        <v>163834102.73674938</v>
      </c>
      <c r="J2219" s="444">
        <f t="array" ref="J2219">IFERROR(INDEX('Retirement Calculator'!J:J,MATCH('Isaac 401k'!N2219,'Retirement Calculator'!A:A,0),0),0)</f>
        <v>0</v>
      </c>
      <c r="K2219" s="444">
        <f t="shared" ca="1" si="141"/>
        <v>682642.09473645571</v>
      </c>
      <c r="L2219" s="444">
        <f t="shared" ca="1" si="142"/>
        <v>164516744.83148584</v>
      </c>
      <c r="M2219" s="460">
        <f t="shared" si="144"/>
        <v>0.05</v>
      </c>
      <c r="N2219" s="464">
        <f t="shared" si="145"/>
        <v>118584</v>
      </c>
    </row>
    <row r="2220" spans="7:14" ht="11.25" customHeight="1" x14ac:dyDescent="0.3">
      <c r="G2220" s="459"/>
      <c r="H2220" s="459">
        <v>2213</v>
      </c>
      <c r="I2220" s="444">
        <f t="shared" ca="1" si="143"/>
        <v>164516744.83148584</v>
      </c>
      <c r="J2220" s="444">
        <f t="array" ref="J2220">IFERROR(INDEX('Retirement Calculator'!J:J,MATCH('Isaac 401k'!N2220,'Retirement Calculator'!A:A,0),0),0)</f>
        <v>0</v>
      </c>
      <c r="K2220" s="444">
        <f t="shared" ca="1" si="141"/>
        <v>685486.43679785763</v>
      </c>
      <c r="L2220" s="444">
        <f t="shared" ca="1" si="142"/>
        <v>165202231.26828369</v>
      </c>
      <c r="M2220" s="460">
        <f t="shared" si="144"/>
        <v>0.05</v>
      </c>
      <c r="N2220" s="464">
        <f t="shared" si="145"/>
        <v>118614</v>
      </c>
    </row>
    <row r="2221" spans="7:14" ht="11.25" customHeight="1" x14ac:dyDescent="0.3">
      <c r="G2221" s="459"/>
      <c r="H2221" s="459">
        <v>2214</v>
      </c>
      <c r="I2221" s="444">
        <f t="shared" ca="1" si="143"/>
        <v>165202231.26828369</v>
      </c>
      <c r="J2221" s="444">
        <f t="array" ref="J2221">IFERROR(INDEX('Retirement Calculator'!J:J,MATCH('Isaac 401k'!N2221,'Retirement Calculator'!A:A,0),0),0)</f>
        <v>0</v>
      </c>
      <c r="K2221" s="444">
        <f t="shared" ca="1" si="141"/>
        <v>688342.63028451544</v>
      </c>
      <c r="L2221" s="444">
        <f t="shared" ca="1" si="142"/>
        <v>165890573.89856821</v>
      </c>
      <c r="M2221" s="460">
        <f t="shared" si="144"/>
        <v>0.05</v>
      </c>
      <c r="N2221" s="464">
        <f t="shared" si="145"/>
        <v>118645</v>
      </c>
    </row>
    <row r="2222" spans="7:14" ht="11.25" customHeight="1" x14ac:dyDescent="0.3">
      <c r="G2222" s="459"/>
      <c r="H2222" s="459">
        <v>2215</v>
      </c>
      <c r="I2222" s="444">
        <f t="shared" ca="1" si="143"/>
        <v>165890573.89856821</v>
      </c>
      <c r="J2222" s="444">
        <f t="array" ref="J2222">IFERROR(INDEX('Retirement Calculator'!J:J,MATCH('Isaac 401k'!N2222,'Retirement Calculator'!A:A,0),0),0)</f>
        <v>0</v>
      </c>
      <c r="K2222" s="444">
        <f t="shared" ca="1" si="141"/>
        <v>691210.72457736754</v>
      </c>
      <c r="L2222" s="444">
        <f t="shared" ca="1" si="142"/>
        <v>166581784.62314558</v>
      </c>
      <c r="M2222" s="460">
        <f t="shared" si="144"/>
        <v>0.05</v>
      </c>
      <c r="N2222" s="464">
        <f t="shared" si="145"/>
        <v>118675</v>
      </c>
    </row>
    <row r="2223" spans="7:14" ht="11.25" customHeight="1" x14ac:dyDescent="0.3">
      <c r="G2223" s="459"/>
      <c r="H2223" s="459">
        <v>2216</v>
      </c>
      <c r="I2223" s="444">
        <f t="shared" ca="1" si="143"/>
        <v>166581784.62314558</v>
      </c>
      <c r="J2223" s="444">
        <f t="array" ref="J2223">IFERROR(INDEX('Retirement Calculator'!J:J,MATCH('Isaac 401k'!N2223,'Retirement Calculator'!A:A,0),0),0)</f>
        <v>0</v>
      </c>
      <c r="K2223" s="444">
        <f t="shared" ca="1" si="141"/>
        <v>694090.76926310663</v>
      </c>
      <c r="L2223" s="444">
        <f t="shared" ca="1" si="142"/>
        <v>167275875.3924087</v>
      </c>
      <c r="M2223" s="460">
        <f t="shared" si="144"/>
        <v>0.05</v>
      </c>
      <c r="N2223" s="464">
        <f t="shared" si="145"/>
        <v>118706</v>
      </c>
    </row>
    <row r="2224" spans="7:14" ht="11.25" customHeight="1" x14ac:dyDescent="0.3">
      <c r="G2224" s="459"/>
      <c r="H2224" s="459">
        <v>2217</v>
      </c>
      <c r="I2224" s="444">
        <f t="shared" ca="1" si="143"/>
        <v>167275875.3924087</v>
      </c>
      <c r="J2224" s="444">
        <f t="array" ref="J2224">IFERROR(INDEX('Retirement Calculator'!J:J,MATCH('Isaac 401k'!N2224,'Retirement Calculator'!A:A,0),0),0)</f>
        <v>0</v>
      </c>
      <c r="K2224" s="444">
        <f t="shared" ca="1" si="141"/>
        <v>696982.8141350362</v>
      </c>
      <c r="L2224" s="444">
        <f t="shared" ca="1" si="142"/>
        <v>167972858.20654374</v>
      </c>
      <c r="M2224" s="460">
        <f t="shared" si="144"/>
        <v>0.05</v>
      </c>
      <c r="N2224" s="464">
        <f t="shared" si="145"/>
        <v>118737</v>
      </c>
    </row>
    <row r="2225" spans="7:14" ht="11.25" customHeight="1" x14ac:dyDescent="0.3">
      <c r="G2225" s="459"/>
      <c r="H2225" s="459">
        <v>2218</v>
      </c>
      <c r="I2225" s="444">
        <f t="shared" ca="1" si="143"/>
        <v>167972858.20654374</v>
      </c>
      <c r="J2225" s="444">
        <f t="array" ref="J2225">IFERROR(INDEX('Retirement Calculator'!J:J,MATCH('Isaac 401k'!N2225,'Retirement Calculator'!A:A,0),0),0)</f>
        <v>0</v>
      </c>
      <c r="K2225" s="444">
        <f t="shared" ca="1" si="141"/>
        <v>699886.90919393231</v>
      </c>
      <c r="L2225" s="444">
        <f t="shared" ca="1" si="142"/>
        <v>168672745.11573768</v>
      </c>
      <c r="M2225" s="460">
        <f t="shared" si="144"/>
        <v>0.05</v>
      </c>
      <c r="N2225" s="464">
        <f t="shared" si="145"/>
        <v>118765</v>
      </c>
    </row>
    <row r="2226" spans="7:14" ht="11.25" customHeight="1" x14ac:dyDescent="0.3">
      <c r="G2226" s="459"/>
      <c r="H2226" s="459">
        <v>2219</v>
      </c>
      <c r="I2226" s="444">
        <f t="shared" ca="1" si="143"/>
        <v>168672745.11573768</v>
      </c>
      <c r="J2226" s="444">
        <f t="array" ref="J2226">IFERROR(INDEX('Retirement Calculator'!J:J,MATCH('Isaac 401k'!N2226,'Retirement Calculator'!A:A,0),0),0)</f>
        <v>0</v>
      </c>
      <c r="K2226" s="444">
        <f t="shared" ca="1" si="141"/>
        <v>702803.10464890697</v>
      </c>
      <c r="L2226" s="444">
        <f t="shared" ca="1" si="142"/>
        <v>169375548.22038659</v>
      </c>
      <c r="M2226" s="460">
        <f t="shared" si="144"/>
        <v>0.05</v>
      </c>
      <c r="N2226" s="464">
        <f t="shared" si="145"/>
        <v>118796</v>
      </c>
    </row>
    <row r="2227" spans="7:14" ht="11.25" customHeight="1" x14ac:dyDescent="0.3">
      <c r="G2227" s="459"/>
      <c r="H2227" s="459">
        <v>2220</v>
      </c>
      <c r="I2227" s="444">
        <f t="shared" ca="1" si="143"/>
        <v>169375548.22038659</v>
      </c>
      <c r="J2227" s="444">
        <f t="array" ref="J2227">IFERROR(INDEX('Retirement Calculator'!J:J,MATCH('Isaac 401k'!N2227,'Retirement Calculator'!A:A,0),0),0)</f>
        <v>0</v>
      </c>
      <c r="K2227" s="444">
        <f t="shared" ca="1" si="141"/>
        <v>705731.45091827749</v>
      </c>
      <c r="L2227" s="444">
        <f t="shared" ca="1" si="142"/>
        <v>170081279.67130488</v>
      </c>
      <c r="M2227" s="460">
        <f t="shared" si="144"/>
        <v>0.05</v>
      </c>
      <c r="N2227" s="464">
        <f t="shared" si="145"/>
        <v>118826</v>
      </c>
    </row>
    <row r="2228" spans="7:14" ht="11.25" customHeight="1" x14ac:dyDescent="0.3">
      <c r="G2228" s="459"/>
      <c r="H2228" s="459">
        <v>2221</v>
      </c>
      <c r="I2228" s="444">
        <f t="shared" ca="1" si="143"/>
        <v>170081279.67130488</v>
      </c>
      <c r="J2228" s="444">
        <f t="array" ref="J2228">IFERROR(INDEX('Retirement Calculator'!J:J,MATCH('Isaac 401k'!N2228,'Retirement Calculator'!A:A,0),0),0)</f>
        <v>0</v>
      </c>
      <c r="K2228" s="444">
        <f t="shared" ca="1" si="141"/>
        <v>708671.99863043695</v>
      </c>
      <c r="L2228" s="444">
        <f t="shared" ca="1" si="142"/>
        <v>170789951.66993532</v>
      </c>
      <c r="M2228" s="460">
        <f t="shared" si="144"/>
        <v>0.05</v>
      </c>
      <c r="N2228" s="464">
        <f t="shared" si="145"/>
        <v>118857</v>
      </c>
    </row>
    <row r="2229" spans="7:14" ht="11.25" customHeight="1" x14ac:dyDescent="0.3">
      <c r="G2229" s="459"/>
      <c r="H2229" s="459">
        <v>2222</v>
      </c>
      <c r="I2229" s="444">
        <f t="shared" ca="1" si="143"/>
        <v>170789951.66993532</v>
      </c>
      <c r="J2229" s="444">
        <f t="array" ref="J2229">IFERROR(INDEX('Retirement Calculator'!J:J,MATCH('Isaac 401k'!N2229,'Retirement Calculator'!A:A,0),0),0)</f>
        <v>0</v>
      </c>
      <c r="K2229" s="444">
        <f t="shared" ca="1" si="141"/>
        <v>711624.79862473044</v>
      </c>
      <c r="L2229" s="444">
        <f t="shared" ca="1" si="142"/>
        <v>171501576.46856004</v>
      </c>
      <c r="M2229" s="460">
        <f t="shared" si="144"/>
        <v>0.05</v>
      </c>
      <c r="N2229" s="464">
        <f t="shared" si="145"/>
        <v>118887</v>
      </c>
    </row>
    <row r="2230" spans="7:14" ht="11.25" customHeight="1" x14ac:dyDescent="0.3">
      <c r="G2230" s="459"/>
      <c r="H2230" s="459">
        <v>2223</v>
      </c>
      <c r="I2230" s="444">
        <f t="shared" ca="1" si="143"/>
        <v>171501576.46856004</v>
      </c>
      <c r="J2230" s="444">
        <f t="array" ref="J2230">IFERROR(INDEX('Retirement Calculator'!J:J,MATCH('Isaac 401k'!N2230,'Retirement Calculator'!A:A,0),0),0)</f>
        <v>0</v>
      </c>
      <c r="K2230" s="444">
        <f t="shared" ca="1" si="141"/>
        <v>714589.90195233352</v>
      </c>
      <c r="L2230" s="444">
        <f t="shared" ca="1" si="142"/>
        <v>172216166.37051237</v>
      </c>
      <c r="M2230" s="460">
        <f t="shared" si="144"/>
        <v>0.05</v>
      </c>
      <c r="N2230" s="464">
        <f t="shared" si="145"/>
        <v>118918</v>
      </c>
    </row>
    <row r="2231" spans="7:14" ht="11.25" customHeight="1" x14ac:dyDescent="0.3">
      <c r="G2231" s="459"/>
      <c r="H2231" s="459">
        <v>2224</v>
      </c>
      <c r="I2231" s="444">
        <f t="shared" ca="1" si="143"/>
        <v>172216166.37051237</v>
      </c>
      <c r="J2231" s="444">
        <f t="array" ref="J2231">IFERROR(INDEX('Retirement Calculator'!J:J,MATCH('Isaac 401k'!N2231,'Retirement Calculator'!A:A,0),0),0)</f>
        <v>0</v>
      </c>
      <c r="K2231" s="444">
        <f t="shared" ca="1" si="141"/>
        <v>717567.35987713491</v>
      </c>
      <c r="L2231" s="444">
        <f t="shared" ca="1" si="142"/>
        <v>172933733.73038951</v>
      </c>
      <c r="M2231" s="460">
        <f t="shared" si="144"/>
        <v>0.05</v>
      </c>
      <c r="N2231" s="464">
        <f t="shared" si="145"/>
        <v>118949</v>
      </c>
    </row>
    <row r="2232" spans="7:14" ht="11.25" customHeight="1" x14ac:dyDescent="0.3">
      <c r="G2232" s="459"/>
      <c r="H2232" s="459">
        <v>2225</v>
      </c>
      <c r="I2232" s="444">
        <f t="shared" ca="1" si="143"/>
        <v>172933733.73038951</v>
      </c>
      <c r="J2232" s="444">
        <f t="array" ref="J2232">IFERROR(INDEX('Retirement Calculator'!J:J,MATCH('Isaac 401k'!N2232,'Retirement Calculator'!A:A,0),0),0)</f>
        <v>0</v>
      </c>
      <c r="K2232" s="444">
        <f t="shared" ca="1" si="141"/>
        <v>720557.22387662297</v>
      </c>
      <c r="L2232" s="444">
        <f t="shared" ca="1" si="142"/>
        <v>173654290.95426613</v>
      </c>
      <c r="M2232" s="460">
        <f t="shared" si="144"/>
        <v>0.05</v>
      </c>
      <c r="N2232" s="464">
        <f t="shared" si="145"/>
        <v>118979</v>
      </c>
    </row>
    <row r="2233" spans="7:14" ht="11.25" customHeight="1" x14ac:dyDescent="0.3">
      <c r="G2233" s="459"/>
      <c r="H2233" s="459">
        <v>2226</v>
      </c>
      <c r="I2233" s="444">
        <f t="shared" ca="1" si="143"/>
        <v>173654290.95426613</v>
      </c>
      <c r="J2233" s="444">
        <f t="array" ref="J2233">IFERROR(INDEX('Retirement Calculator'!J:J,MATCH('Isaac 401k'!N2233,'Retirement Calculator'!A:A,0),0),0)</f>
        <v>0</v>
      </c>
      <c r="K2233" s="444">
        <f t="shared" ca="1" si="141"/>
        <v>723559.54564277548</v>
      </c>
      <c r="L2233" s="444">
        <f t="shared" ca="1" si="142"/>
        <v>174377850.49990889</v>
      </c>
      <c r="M2233" s="460">
        <f t="shared" si="144"/>
        <v>0.05</v>
      </c>
      <c r="N2233" s="464">
        <f t="shared" si="145"/>
        <v>119010</v>
      </c>
    </row>
    <row r="2234" spans="7:14" ht="11.25" customHeight="1" x14ac:dyDescent="0.3">
      <c r="G2234" s="459"/>
      <c r="H2234" s="459">
        <v>2227</v>
      </c>
      <c r="I2234" s="444">
        <f t="shared" ca="1" si="143"/>
        <v>174377850.49990889</v>
      </c>
      <c r="J2234" s="444">
        <f t="array" ref="J2234">IFERROR(INDEX('Retirement Calculator'!J:J,MATCH('Isaac 401k'!N2234,'Retirement Calculator'!A:A,0),0),0)</f>
        <v>0</v>
      </c>
      <c r="K2234" s="444">
        <f t="shared" ca="1" si="141"/>
        <v>726574.3770829537</v>
      </c>
      <c r="L2234" s="444">
        <f t="shared" ca="1" si="142"/>
        <v>175104424.87699184</v>
      </c>
      <c r="M2234" s="460">
        <f t="shared" si="144"/>
        <v>0.05</v>
      </c>
      <c r="N2234" s="464">
        <f t="shared" si="145"/>
        <v>119040</v>
      </c>
    </row>
    <row r="2235" spans="7:14" ht="11.25" customHeight="1" x14ac:dyDescent="0.3">
      <c r="G2235" s="459"/>
      <c r="H2235" s="459">
        <v>2228</v>
      </c>
      <c r="I2235" s="444">
        <f t="shared" ca="1" si="143"/>
        <v>175104424.87699184</v>
      </c>
      <c r="J2235" s="444">
        <f t="array" ref="J2235">IFERROR(INDEX('Retirement Calculator'!J:J,MATCH('Isaac 401k'!N2235,'Retirement Calculator'!A:A,0),0),0)</f>
        <v>0</v>
      </c>
      <c r="K2235" s="444">
        <f t="shared" ca="1" si="141"/>
        <v>729601.77032079932</v>
      </c>
      <c r="L2235" s="444">
        <f t="shared" ca="1" si="142"/>
        <v>175834026.64731264</v>
      </c>
      <c r="M2235" s="460">
        <f t="shared" si="144"/>
        <v>0.05</v>
      </c>
      <c r="N2235" s="464">
        <f t="shared" si="145"/>
        <v>119071</v>
      </c>
    </row>
    <row r="2236" spans="7:14" ht="11.25" customHeight="1" x14ac:dyDescent="0.3">
      <c r="G2236" s="459"/>
      <c r="H2236" s="459">
        <v>2229</v>
      </c>
      <c r="I2236" s="444">
        <f t="shared" ca="1" si="143"/>
        <v>175834026.64731264</v>
      </c>
      <c r="J2236" s="444">
        <f t="array" ref="J2236">IFERROR(INDEX('Retirement Calculator'!J:J,MATCH('Isaac 401k'!N2236,'Retirement Calculator'!A:A,0),0),0)</f>
        <v>0</v>
      </c>
      <c r="K2236" s="444">
        <f t="shared" ca="1" si="141"/>
        <v>732641.77769713604</v>
      </c>
      <c r="L2236" s="444">
        <f t="shared" ca="1" si="142"/>
        <v>176566668.42500979</v>
      </c>
      <c r="M2236" s="460">
        <f t="shared" si="144"/>
        <v>0.05</v>
      </c>
      <c r="N2236" s="464">
        <f t="shared" si="145"/>
        <v>119102</v>
      </c>
    </row>
    <row r="2237" spans="7:14" ht="11.25" customHeight="1" x14ac:dyDescent="0.3">
      <c r="G2237" s="459"/>
      <c r="H2237" s="459">
        <v>2230</v>
      </c>
      <c r="I2237" s="444">
        <f t="shared" ca="1" si="143"/>
        <v>176566668.42500979</v>
      </c>
      <c r="J2237" s="444">
        <f t="array" ref="J2237">IFERROR(INDEX('Retirement Calculator'!J:J,MATCH('Isaac 401k'!N2237,'Retirement Calculator'!A:A,0),0),0)</f>
        <v>0</v>
      </c>
      <c r="K2237" s="444">
        <f t="shared" ca="1" si="141"/>
        <v>735694.45177087409</v>
      </c>
      <c r="L2237" s="444">
        <f t="shared" ca="1" si="142"/>
        <v>177302362.87678066</v>
      </c>
      <c r="M2237" s="460">
        <f t="shared" si="144"/>
        <v>0.05</v>
      </c>
      <c r="N2237" s="464">
        <f t="shared" si="145"/>
        <v>119130</v>
      </c>
    </row>
    <row r="2238" spans="7:14" ht="11.25" customHeight="1" x14ac:dyDescent="0.3">
      <c r="G2238" s="459"/>
      <c r="H2238" s="459">
        <v>2231</v>
      </c>
      <c r="I2238" s="444">
        <f t="shared" ca="1" si="143"/>
        <v>177302362.87678066</v>
      </c>
      <c r="J2238" s="444">
        <f t="array" ref="J2238">IFERROR(INDEX('Retirement Calculator'!J:J,MATCH('Isaac 401k'!N2238,'Retirement Calculator'!A:A,0),0),0)</f>
        <v>0</v>
      </c>
      <c r="K2238" s="444">
        <f t="shared" ca="1" si="141"/>
        <v>738759.8453199194</v>
      </c>
      <c r="L2238" s="444">
        <f t="shared" ca="1" si="142"/>
        <v>178041122.72210059</v>
      </c>
      <c r="M2238" s="460">
        <f t="shared" si="144"/>
        <v>0.05</v>
      </c>
      <c r="N2238" s="464">
        <f t="shared" si="145"/>
        <v>119161</v>
      </c>
    </row>
    <row r="2239" spans="7:14" ht="11.25" customHeight="1" x14ac:dyDescent="0.3">
      <c r="G2239" s="459"/>
      <c r="H2239" s="459">
        <v>2232</v>
      </c>
      <c r="I2239" s="444">
        <f t="shared" ca="1" si="143"/>
        <v>178041122.72210059</v>
      </c>
      <c r="J2239" s="444">
        <f t="array" ref="J2239">IFERROR(INDEX('Retirement Calculator'!J:J,MATCH('Isaac 401k'!N2239,'Retirement Calculator'!A:A,0),0),0)</f>
        <v>0</v>
      </c>
      <c r="K2239" s="444">
        <f t="shared" ca="1" si="141"/>
        <v>741838.01134208578</v>
      </c>
      <c r="L2239" s="444">
        <f t="shared" ca="1" si="142"/>
        <v>178782960.73344266</v>
      </c>
      <c r="M2239" s="460">
        <f t="shared" si="144"/>
        <v>0.05</v>
      </c>
      <c r="N2239" s="464">
        <f t="shared" si="145"/>
        <v>119191</v>
      </c>
    </row>
    <row r="2240" spans="7:14" ht="11.25" customHeight="1" x14ac:dyDescent="0.3">
      <c r="G2240" s="459"/>
      <c r="H2240" s="459">
        <v>2233</v>
      </c>
      <c r="I2240" s="444">
        <f t="shared" ca="1" si="143"/>
        <v>178782960.73344266</v>
      </c>
      <c r="J2240" s="444">
        <f t="array" ref="J2240">IFERROR(INDEX('Retirement Calculator'!J:J,MATCH('Isaac 401k'!N2240,'Retirement Calculator'!A:A,0),0),0)</f>
        <v>0</v>
      </c>
      <c r="K2240" s="444">
        <f t="shared" ca="1" si="141"/>
        <v>744929.00305601105</v>
      </c>
      <c r="L2240" s="444">
        <f t="shared" ca="1" si="142"/>
        <v>179527889.73649868</v>
      </c>
      <c r="M2240" s="460">
        <f t="shared" si="144"/>
        <v>0.05</v>
      </c>
      <c r="N2240" s="464">
        <f t="shared" si="145"/>
        <v>119222</v>
      </c>
    </row>
    <row r="2241" spans="7:14" ht="11.25" customHeight="1" x14ac:dyDescent="0.3">
      <c r="G2241" s="459"/>
      <c r="H2241" s="459">
        <v>2234</v>
      </c>
      <c r="I2241" s="444">
        <f t="shared" ca="1" si="143"/>
        <v>179527889.73649868</v>
      </c>
      <c r="J2241" s="444">
        <f t="array" ref="J2241">IFERROR(INDEX('Retirement Calculator'!J:J,MATCH('Isaac 401k'!N2241,'Retirement Calculator'!A:A,0),0),0)</f>
        <v>0</v>
      </c>
      <c r="K2241" s="444">
        <f t="shared" ca="1" si="141"/>
        <v>748032.87390207779</v>
      </c>
      <c r="L2241" s="444">
        <f t="shared" ca="1" si="142"/>
        <v>180275922.61040077</v>
      </c>
      <c r="M2241" s="460">
        <f t="shared" si="144"/>
        <v>0.05</v>
      </c>
      <c r="N2241" s="464">
        <f t="shared" si="145"/>
        <v>119252</v>
      </c>
    </row>
    <row r="2242" spans="7:14" ht="11.25" customHeight="1" x14ac:dyDescent="0.3">
      <c r="G2242" s="459"/>
      <c r="H2242" s="459">
        <v>2235</v>
      </c>
      <c r="I2242" s="444">
        <f t="shared" ca="1" si="143"/>
        <v>180275922.61040077</v>
      </c>
      <c r="J2242" s="444">
        <f t="array" ref="J2242">IFERROR(INDEX('Retirement Calculator'!J:J,MATCH('Isaac 401k'!N2242,'Retirement Calculator'!A:A,0),0),0)</f>
        <v>0</v>
      </c>
      <c r="K2242" s="444">
        <f t="shared" ca="1" si="141"/>
        <v>751149.67754333653</v>
      </c>
      <c r="L2242" s="444">
        <f t="shared" ca="1" si="142"/>
        <v>181027072.28794411</v>
      </c>
      <c r="M2242" s="460">
        <f t="shared" si="144"/>
        <v>0.05</v>
      </c>
      <c r="N2242" s="464">
        <f t="shared" si="145"/>
        <v>119283</v>
      </c>
    </row>
    <row r="2243" spans="7:14" ht="11.25" customHeight="1" x14ac:dyDescent="0.3">
      <c r="G2243" s="459"/>
      <c r="H2243" s="459">
        <v>2236</v>
      </c>
      <c r="I2243" s="444">
        <f t="shared" ca="1" si="143"/>
        <v>181027072.28794411</v>
      </c>
      <c r="J2243" s="444">
        <f t="array" ref="J2243">IFERROR(INDEX('Retirement Calculator'!J:J,MATCH('Isaac 401k'!N2243,'Retirement Calculator'!A:A,0),0),0)</f>
        <v>0</v>
      </c>
      <c r="K2243" s="444">
        <f t="shared" ca="1" si="141"/>
        <v>754279.46786643378</v>
      </c>
      <c r="L2243" s="444">
        <f t="shared" ca="1" si="142"/>
        <v>181781351.75581053</v>
      </c>
      <c r="M2243" s="460">
        <f t="shared" si="144"/>
        <v>0.05</v>
      </c>
      <c r="N2243" s="464">
        <f t="shared" si="145"/>
        <v>119314</v>
      </c>
    </row>
    <row r="2244" spans="7:14" ht="11.25" customHeight="1" x14ac:dyDescent="0.3">
      <c r="G2244" s="459"/>
      <c r="H2244" s="459">
        <v>2237</v>
      </c>
      <c r="I2244" s="444">
        <f t="shared" ca="1" si="143"/>
        <v>181781351.75581053</v>
      </c>
      <c r="J2244" s="444">
        <f t="array" ref="J2244">IFERROR(INDEX('Retirement Calculator'!J:J,MATCH('Isaac 401k'!N2244,'Retirement Calculator'!A:A,0),0),0)</f>
        <v>0</v>
      </c>
      <c r="K2244" s="444">
        <f t="shared" ca="1" si="141"/>
        <v>757422.29898254387</v>
      </c>
      <c r="L2244" s="444">
        <f t="shared" ca="1" si="142"/>
        <v>182538774.05479306</v>
      </c>
      <c r="M2244" s="460">
        <f t="shared" si="144"/>
        <v>0.05</v>
      </c>
      <c r="N2244" s="464">
        <f t="shared" si="145"/>
        <v>119344</v>
      </c>
    </row>
    <row r="2245" spans="7:14" ht="11.25" customHeight="1" x14ac:dyDescent="0.3">
      <c r="G2245" s="459"/>
      <c r="H2245" s="459">
        <v>2238</v>
      </c>
      <c r="I2245" s="444">
        <f t="shared" ca="1" si="143"/>
        <v>182538774.05479306</v>
      </c>
      <c r="J2245" s="444">
        <f t="array" ref="J2245">IFERROR(INDEX('Retirement Calculator'!J:J,MATCH('Isaac 401k'!N2245,'Retirement Calculator'!A:A,0),0),0)</f>
        <v>0</v>
      </c>
      <c r="K2245" s="444">
        <f t="shared" ca="1" si="141"/>
        <v>760578.22522830439</v>
      </c>
      <c r="L2245" s="444">
        <f t="shared" ca="1" si="142"/>
        <v>183299352.28002137</v>
      </c>
      <c r="M2245" s="460">
        <f t="shared" si="144"/>
        <v>0.05</v>
      </c>
      <c r="N2245" s="464">
        <f t="shared" si="145"/>
        <v>119375</v>
      </c>
    </row>
    <row r="2246" spans="7:14" ht="11.25" customHeight="1" x14ac:dyDescent="0.3">
      <c r="G2246" s="459"/>
      <c r="H2246" s="459">
        <v>2239</v>
      </c>
      <c r="I2246" s="444">
        <f t="shared" ca="1" si="143"/>
        <v>183299352.28002137</v>
      </c>
      <c r="J2246" s="444">
        <f t="array" ref="J2246">IFERROR(INDEX('Retirement Calculator'!J:J,MATCH('Isaac 401k'!N2246,'Retirement Calculator'!A:A,0),0),0)</f>
        <v>0</v>
      </c>
      <c r="K2246" s="444">
        <f t="shared" ca="1" si="141"/>
        <v>763747.30116675573</v>
      </c>
      <c r="L2246" s="444">
        <f t="shared" ca="1" si="142"/>
        <v>184063099.58118811</v>
      </c>
      <c r="M2246" s="460">
        <f t="shared" si="144"/>
        <v>0.05</v>
      </c>
      <c r="N2246" s="464">
        <f t="shared" si="145"/>
        <v>119405</v>
      </c>
    </row>
    <row r="2247" spans="7:14" ht="11.25" customHeight="1" x14ac:dyDescent="0.3">
      <c r="G2247" s="459"/>
      <c r="H2247" s="459">
        <v>2240</v>
      </c>
      <c r="I2247" s="444">
        <f t="shared" ca="1" si="143"/>
        <v>184063099.58118811</v>
      </c>
      <c r="J2247" s="444">
        <f t="array" ref="J2247">IFERROR(INDEX('Retirement Calculator'!J:J,MATCH('Isaac 401k'!N2247,'Retirement Calculator'!A:A,0),0),0)</f>
        <v>0</v>
      </c>
      <c r="K2247" s="444">
        <f t="shared" ca="1" si="141"/>
        <v>766929.58158828376</v>
      </c>
      <c r="L2247" s="444">
        <f t="shared" ca="1" si="142"/>
        <v>184830029.16277641</v>
      </c>
      <c r="M2247" s="460">
        <f t="shared" si="144"/>
        <v>0.05</v>
      </c>
      <c r="N2247" s="464">
        <f t="shared" si="145"/>
        <v>119436</v>
      </c>
    </row>
    <row r="2248" spans="7:14" ht="11.25" customHeight="1" x14ac:dyDescent="0.3">
      <c r="G2248" s="459"/>
      <c r="H2248" s="459">
        <v>2241</v>
      </c>
      <c r="I2248" s="444">
        <f t="shared" ca="1" si="143"/>
        <v>184830029.16277641</v>
      </c>
      <c r="J2248" s="444">
        <f t="array" ref="J2248">IFERROR(INDEX('Retirement Calculator'!J:J,MATCH('Isaac 401k'!N2248,'Retirement Calculator'!A:A,0),0),0)</f>
        <v>0</v>
      </c>
      <c r="K2248" s="444">
        <f t="shared" ca="1" si="141"/>
        <v>770125.12151156832</v>
      </c>
      <c r="L2248" s="444">
        <f t="shared" ca="1" si="142"/>
        <v>185600154.28428799</v>
      </c>
      <c r="M2248" s="460">
        <f t="shared" si="144"/>
        <v>0.05</v>
      </c>
      <c r="N2248" s="464">
        <f t="shared" si="145"/>
        <v>119467</v>
      </c>
    </row>
    <row r="2249" spans="7:14" ht="11.25" customHeight="1" x14ac:dyDescent="0.3">
      <c r="G2249" s="459"/>
      <c r="H2249" s="459">
        <v>2242</v>
      </c>
      <c r="I2249" s="444">
        <f t="shared" ca="1" si="143"/>
        <v>185600154.28428799</v>
      </c>
      <c r="J2249" s="444">
        <f t="array" ref="J2249">IFERROR(INDEX('Retirement Calculator'!J:J,MATCH('Isaac 401k'!N2249,'Retirement Calculator'!A:A,0),0),0)</f>
        <v>0</v>
      </c>
      <c r="K2249" s="444">
        <f t="shared" ca="1" si="141"/>
        <v>773333.97618453333</v>
      </c>
      <c r="L2249" s="444">
        <f t="shared" ca="1" si="142"/>
        <v>186373488.26047254</v>
      </c>
      <c r="M2249" s="460">
        <f t="shared" si="144"/>
        <v>0.05</v>
      </c>
      <c r="N2249" s="464">
        <f t="shared" si="145"/>
        <v>119495</v>
      </c>
    </row>
    <row r="2250" spans="7:14" ht="11.25" customHeight="1" x14ac:dyDescent="0.3">
      <c r="G2250" s="459"/>
      <c r="H2250" s="459">
        <v>2243</v>
      </c>
      <c r="I2250" s="444">
        <f t="shared" ca="1" si="143"/>
        <v>186373488.26047254</v>
      </c>
      <c r="J2250" s="444">
        <f t="array" ref="J2250">IFERROR(INDEX('Retirement Calculator'!J:J,MATCH('Isaac 401k'!N2250,'Retirement Calculator'!A:A,0),0),0)</f>
        <v>0</v>
      </c>
      <c r="K2250" s="444">
        <f t="shared" ca="1" si="141"/>
        <v>776556.20108530228</v>
      </c>
      <c r="L2250" s="444">
        <f t="shared" ca="1" si="142"/>
        <v>187150044.46155784</v>
      </c>
      <c r="M2250" s="460">
        <f t="shared" si="144"/>
        <v>0.05</v>
      </c>
      <c r="N2250" s="464">
        <f t="shared" si="145"/>
        <v>119526</v>
      </c>
    </row>
    <row r="2251" spans="7:14" ht="11.25" customHeight="1" x14ac:dyDescent="0.3">
      <c r="G2251" s="459"/>
      <c r="H2251" s="459">
        <v>2244</v>
      </c>
      <c r="I2251" s="444">
        <f t="shared" ca="1" si="143"/>
        <v>187150044.46155784</v>
      </c>
      <c r="J2251" s="444">
        <f t="array" ref="J2251">IFERROR(INDEX('Retirement Calculator'!J:J,MATCH('Isaac 401k'!N2251,'Retirement Calculator'!A:A,0),0),0)</f>
        <v>0</v>
      </c>
      <c r="K2251" s="444">
        <f t="shared" ca="1" si="141"/>
        <v>779791.85192315769</v>
      </c>
      <c r="L2251" s="444">
        <f t="shared" ca="1" si="142"/>
        <v>187929836.313481</v>
      </c>
      <c r="M2251" s="460">
        <f t="shared" si="144"/>
        <v>0.05</v>
      </c>
      <c r="N2251" s="464">
        <f t="shared" si="145"/>
        <v>119556</v>
      </c>
    </row>
    <row r="2252" spans="7:14" ht="11.25" customHeight="1" x14ac:dyDescent="0.3">
      <c r="G2252" s="459"/>
      <c r="H2252" s="459">
        <v>2245</v>
      </c>
      <c r="I2252" s="444">
        <f t="shared" ca="1" si="143"/>
        <v>187929836.313481</v>
      </c>
      <c r="J2252" s="444">
        <f t="array" ref="J2252">IFERROR(INDEX('Retirement Calculator'!J:J,MATCH('Isaac 401k'!N2252,'Retirement Calculator'!A:A,0),0),0)</f>
        <v>0</v>
      </c>
      <c r="K2252" s="444">
        <f t="shared" ca="1" si="141"/>
        <v>783040.98463950423</v>
      </c>
      <c r="L2252" s="444">
        <f t="shared" ca="1" si="142"/>
        <v>188712877.2981205</v>
      </c>
      <c r="M2252" s="460">
        <f t="shared" si="144"/>
        <v>0.05</v>
      </c>
      <c r="N2252" s="464">
        <f t="shared" si="145"/>
        <v>119587</v>
      </c>
    </row>
    <row r="2253" spans="7:14" ht="11.25" customHeight="1" x14ac:dyDescent="0.3">
      <c r="G2253" s="459"/>
      <c r="H2253" s="459">
        <v>2246</v>
      </c>
      <c r="I2253" s="444">
        <f t="shared" ca="1" si="143"/>
        <v>188712877.2981205</v>
      </c>
      <c r="J2253" s="444">
        <f t="array" ref="J2253">IFERROR(INDEX('Retirement Calculator'!J:J,MATCH('Isaac 401k'!N2253,'Retirement Calculator'!A:A,0),0),0)</f>
        <v>0</v>
      </c>
      <c r="K2253" s="444">
        <f t="shared" ca="1" si="141"/>
        <v>786303.65540883539</v>
      </c>
      <c r="L2253" s="444">
        <f t="shared" ca="1" si="142"/>
        <v>189499180.95352933</v>
      </c>
      <c r="M2253" s="460">
        <f t="shared" si="144"/>
        <v>0.05</v>
      </c>
      <c r="N2253" s="464">
        <f t="shared" si="145"/>
        <v>119617</v>
      </c>
    </row>
    <row r="2254" spans="7:14" ht="11.25" customHeight="1" x14ac:dyDescent="0.3">
      <c r="G2254" s="459"/>
      <c r="H2254" s="459">
        <v>2247</v>
      </c>
      <c r="I2254" s="444">
        <f t="shared" ca="1" si="143"/>
        <v>189499180.95352933</v>
      </c>
      <c r="J2254" s="444">
        <f t="array" ref="J2254">IFERROR(INDEX('Retirement Calculator'!J:J,MATCH('Isaac 401k'!N2254,'Retirement Calculator'!A:A,0),0),0)</f>
        <v>0</v>
      </c>
      <c r="K2254" s="444">
        <f t="shared" ca="1" si="141"/>
        <v>789579.92063970549</v>
      </c>
      <c r="L2254" s="444">
        <f t="shared" ca="1" si="142"/>
        <v>190288760.87416902</v>
      </c>
      <c r="M2254" s="460">
        <f t="shared" si="144"/>
        <v>0.05</v>
      </c>
      <c r="N2254" s="464">
        <f t="shared" si="145"/>
        <v>119648</v>
      </c>
    </row>
    <row r="2255" spans="7:14" ht="11.25" customHeight="1" x14ac:dyDescent="0.3">
      <c r="G2255" s="459"/>
      <c r="H2255" s="459">
        <v>2248</v>
      </c>
      <c r="I2255" s="444">
        <f t="shared" ca="1" si="143"/>
        <v>190288760.87416902</v>
      </c>
      <c r="J2255" s="444">
        <f t="array" ref="J2255">IFERROR(INDEX('Retirement Calculator'!J:J,MATCH('Isaac 401k'!N2255,'Retirement Calculator'!A:A,0),0),0)</f>
        <v>0</v>
      </c>
      <c r="K2255" s="444">
        <f t="shared" ca="1" si="141"/>
        <v>792869.8369757043</v>
      </c>
      <c r="L2255" s="444">
        <f t="shared" ca="1" si="142"/>
        <v>191081630.71114472</v>
      </c>
      <c r="M2255" s="460">
        <f t="shared" si="144"/>
        <v>0.05</v>
      </c>
      <c r="N2255" s="464">
        <f t="shared" si="145"/>
        <v>119679</v>
      </c>
    </row>
    <row r="2256" spans="7:14" ht="11.25" customHeight="1" x14ac:dyDescent="0.3">
      <c r="G2256" s="459"/>
      <c r="H2256" s="459">
        <v>2249</v>
      </c>
      <c r="I2256" s="444">
        <f t="shared" ca="1" si="143"/>
        <v>191081630.71114472</v>
      </c>
      <c r="J2256" s="444">
        <f t="array" ref="J2256">IFERROR(INDEX('Retirement Calculator'!J:J,MATCH('Isaac 401k'!N2256,'Retirement Calculator'!A:A,0),0),0)</f>
        <v>0</v>
      </c>
      <c r="K2256" s="444">
        <f t="shared" ca="1" si="141"/>
        <v>796173.46129643626</v>
      </c>
      <c r="L2256" s="444">
        <f t="shared" ca="1" si="142"/>
        <v>191877804.17244115</v>
      </c>
      <c r="M2256" s="460">
        <f t="shared" si="144"/>
        <v>0.05</v>
      </c>
      <c r="N2256" s="464">
        <f t="shared" si="145"/>
        <v>119709</v>
      </c>
    </row>
    <row r="2257" spans="7:14" ht="11.25" customHeight="1" x14ac:dyDescent="0.3">
      <c r="G2257" s="459"/>
      <c r="H2257" s="459">
        <v>2250</v>
      </c>
      <c r="I2257" s="444">
        <f t="shared" ca="1" si="143"/>
        <v>191877804.17244115</v>
      </c>
      <c r="J2257" s="444">
        <f t="array" ref="J2257">IFERROR(INDEX('Retirement Calculator'!J:J,MATCH('Isaac 401k'!N2257,'Retirement Calculator'!A:A,0),0),0)</f>
        <v>0</v>
      </c>
      <c r="K2257" s="444">
        <f t="shared" ca="1" si="141"/>
        <v>799490.85071850475</v>
      </c>
      <c r="L2257" s="444">
        <f t="shared" ca="1" si="142"/>
        <v>192677295.02315965</v>
      </c>
      <c r="M2257" s="460">
        <f t="shared" si="144"/>
        <v>0.05</v>
      </c>
      <c r="N2257" s="464">
        <f t="shared" si="145"/>
        <v>119740</v>
      </c>
    </row>
    <row r="2258" spans="7:14" ht="11.25" customHeight="1" x14ac:dyDescent="0.3">
      <c r="G2258" s="459"/>
      <c r="H2258" s="459">
        <v>2251</v>
      </c>
      <c r="I2258" s="444">
        <f t="shared" ca="1" si="143"/>
        <v>192677295.02315965</v>
      </c>
      <c r="J2258" s="444">
        <f t="array" ref="J2258">IFERROR(INDEX('Retirement Calculator'!J:J,MATCH('Isaac 401k'!N2258,'Retirement Calculator'!A:A,0),0),0)</f>
        <v>0</v>
      </c>
      <c r="K2258" s="444">
        <f t="shared" ca="1" si="141"/>
        <v>802822.06259649852</v>
      </c>
      <c r="L2258" s="444">
        <f t="shared" ca="1" si="142"/>
        <v>193480117.08575615</v>
      </c>
      <c r="M2258" s="460">
        <f t="shared" si="144"/>
        <v>0.05</v>
      </c>
      <c r="N2258" s="464">
        <f t="shared" si="145"/>
        <v>119770</v>
      </c>
    </row>
    <row r="2259" spans="7:14" ht="11.25" customHeight="1" x14ac:dyDescent="0.3">
      <c r="G2259" s="459"/>
      <c r="H2259" s="459">
        <v>2252</v>
      </c>
      <c r="I2259" s="444">
        <f t="shared" ca="1" si="143"/>
        <v>193480117.08575615</v>
      </c>
      <c r="J2259" s="444">
        <f t="array" ref="J2259">IFERROR(INDEX('Retirement Calculator'!J:J,MATCH('Isaac 401k'!N2259,'Retirement Calculator'!A:A,0),0),0)</f>
        <v>0</v>
      </c>
      <c r="K2259" s="444">
        <f t="shared" ca="1" si="141"/>
        <v>806167.15452398395</v>
      </c>
      <c r="L2259" s="444">
        <f t="shared" ca="1" si="142"/>
        <v>194286284.24028015</v>
      </c>
      <c r="M2259" s="460">
        <f t="shared" si="144"/>
        <v>0.05</v>
      </c>
      <c r="N2259" s="464">
        <f t="shared" si="145"/>
        <v>119801</v>
      </c>
    </row>
    <row r="2260" spans="7:14" ht="11.25" customHeight="1" x14ac:dyDescent="0.3">
      <c r="G2260" s="459"/>
      <c r="H2260" s="459">
        <v>2253</v>
      </c>
      <c r="I2260" s="444">
        <f t="shared" ca="1" si="143"/>
        <v>194286284.24028015</v>
      </c>
      <c r="J2260" s="444">
        <f t="array" ref="J2260">IFERROR(INDEX('Retirement Calculator'!J:J,MATCH('Isaac 401k'!N2260,'Retirement Calculator'!A:A,0),0),0)</f>
        <v>0</v>
      </c>
      <c r="K2260" s="444">
        <f t="shared" ca="1" si="141"/>
        <v>809526.18433450058</v>
      </c>
      <c r="L2260" s="444">
        <f t="shared" ca="1" si="142"/>
        <v>195095810.42461464</v>
      </c>
      <c r="M2260" s="460">
        <f t="shared" si="144"/>
        <v>0.05</v>
      </c>
      <c r="N2260" s="464">
        <f t="shared" si="145"/>
        <v>119832</v>
      </c>
    </row>
    <row r="2261" spans="7:14" ht="11.25" customHeight="1" x14ac:dyDescent="0.3">
      <c r="G2261" s="459"/>
      <c r="H2261" s="459">
        <v>2254</v>
      </c>
      <c r="I2261" s="444">
        <f t="shared" ca="1" si="143"/>
        <v>195095810.42461464</v>
      </c>
      <c r="J2261" s="444">
        <f t="array" ref="J2261">IFERROR(INDEX('Retirement Calculator'!J:J,MATCH('Isaac 401k'!N2261,'Retirement Calculator'!A:A,0),0),0)</f>
        <v>0</v>
      </c>
      <c r="K2261" s="444">
        <f t="shared" ca="1" si="141"/>
        <v>812899.21010256093</v>
      </c>
      <c r="L2261" s="444">
        <f t="shared" ca="1" si="142"/>
        <v>195908709.6347172</v>
      </c>
      <c r="M2261" s="460">
        <f t="shared" si="144"/>
        <v>0.05</v>
      </c>
      <c r="N2261" s="464">
        <f t="shared" si="145"/>
        <v>119861</v>
      </c>
    </row>
    <row r="2262" spans="7:14" ht="11.25" customHeight="1" x14ac:dyDescent="0.3">
      <c r="G2262" s="459"/>
      <c r="H2262" s="459">
        <v>2255</v>
      </c>
      <c r="I2262" s="444">
        <f t="shared" ca="1" si="143"/>
        <v>195908709.6347172</v>
      </c>
      <c r="J2262" s="444">
        <f t="array" ref="J2262">IFERROR(INDEX('Retirement Calculator'!J:J,MATCH('Isaac 401k'!N2262,'Retirement Calculator'!A:A,0),0),0)</f>
        <v>0</v>
      </c>
      <c r="K2262" s="444">
        <f t="shared" ca="1" si="141"/>
        <v>816286.29014465492</v>
      </c>
      <c r="L2262" s="444">
        <f t="shared" ca="1" si="142"/>
        <v>196724995.92486185</v>
      </c>
      <c r="M2262" s="460">
        <f t="shared" si="144"/>
        <v>0.05</v>
      </c>
      <c r="N2262" s="464">
        <f t="shared" si="145"/>
        <v>119892</v>
      </c>
    </row>
    <row r="2263" spans="7:14" ht="11.25" customHeight="1" x14ac:dyDescent="0.3">
      <c r="G2263" s="459"/>
      <c r="H2263" s="459">
        <v>2256</v>
      </c>
      <c r="I2263" s="444">
        <f t="shared" ca="1" si="143"/>
        <v>196724995.92486185</v>
      </c>
      <c r="J2263" s="444">
        <f t="array" ref="J2263">IFERROR(INDEX('Retirement Calculator'!J:J,MATCH('Isaac 401k'!N2263,'Retirement Calculator'!A:A,0),0),0)</f>
        <v>0</v>
      </c>
      <c r="K2263" s="444">
        <f t="shared" ca="1" si="141"/>
        <v>819687.48302025767</v>
      </c>
      <c r="L2263" s="444">
        <f t="shared" ca="1" si="142"/>
        <v>197544683.40788209</v>
      </c>
      <c r="M2263" s="460">
        <f t="shared" si="144"/>
        <v>0.05</v>
      </c>
      <c r="N2263" s="464">
        <f t="shared" si="145"/>
        <v>119922</v>
      </c>
    </row>
    <row r="2264" spans="7:14" ht="11.25" customHeight="1" x14ac:dyDescent="0.3">
      <c r="G2264" s="459"/>
      <c r="H2264" s="459">
        <v>2257</v>
      </c>
      <c r="I2264" s="444">
        <f t="shared" ca="1" si="143"/>
        <v>197544683.40788209</v>
      </c>
      <c r="J2264" s="444">
        <f t="array" ref="J2264">IFERROR(INDEX('Retirement Calculator'!J:J,MATCH('Isaac 401k'!N2264,'Retirement Calculator'!A:A,0),0),0)</f>
        <v>0</v>
      </c>
      <c r="K2264" s="444">
        <f t="shared" ca="1" si="141"/>
        <v>823102.84753284208</v>
      </c>
      <c r="L2264" s="444">
        <f t="shared" ca="1" si="142"/>
        <v>198367786.25541493</v>
      </c>
      <c r="M2264" s="460">
        <f t="shared" si="144"/>
        <v>0.05</v>
      </c>
      <c r="N2264" s="464">
        <f t="shared" si="145"/>
        <v>119953</v>
      </c>
    </row>
    <row r="2265" spans="7:14" ht="11.25" customHeight="1" x14ac:dyDescent="0.3">
      <c r="G2265" s="459"/>
      <c r="H2265" s="459">
        <v>2258</v>
      </c>
      <c r="I2265" s="444">
        <f t="shared" ca="1" si="143"/>
        <v>198367786.25541493</v>
      </c>
      <c r="J2265" s="444">
        <f t="array" ref="J2265">IFERROR(INDEX('Retirement Calculator'!J:J,MATCH('Isaac 401k'!N2265,'Retirement Calculator'!A:A,0),0),0)</f>
        <v>0</v>
      </c>
      <c r="K2265" s="444">
        <f t="shared" ca="1" si="141"/>
        <v>826532.44273089559</v>
      </c>
      <c r="L2265" s="444">
        <f t="shared" ca="1" si="142"/>
        <v>199194318.69814584</v>
      </c>
      <c r="M2265" s="460">
        <f t="shared" si="144"/>
        <v>0.05</v>
      </c>
      <c r="N2265" s="464">
        <f t="shared" si="145"/>
        <v>119983</v>
      </c>
    </row>
    <row r="2266" spans="7:14" ht="11.25" customHeight="1" x14ac:dyDescent="0.3">
      <c r="G2266" s="459"/>
      <c r="H2266" s="459">
        <v>2259</v>
      </c>
      <c r="I2266" s="444">
        <f t="shared" ca="1" si="143"/>
        <v>199194318.69814584</v>
      </c>
      <c r="J2266" s="444">
        <f t="array" ref="J2266">IFERROR(INDEX('Retirement Calculator'!J:J,MATCH('Isaac 401k'!N2266,'Retirement Calculator'!A:A,0),0),0)</f>
        <v>0</v>
      </c>
      <c r="K2266" s="444">
        <f t="shared" ca="1" si="141"/>
        <v>829976.32790894096</v>
      </c>
      <c r="L2266" s="444">
        <f t="shared" ca="1" si="142"/>
        <v>200024295.02605477</v>
      </c>
      <c r="M2266" s="460">
        <f t="shared" si="144"/>
        <v>0.05</v>
      </c>
      <c r="N2266" s="464">
        <f t="shared" si="145"/>
        <v>120014</v>
      </c>
    </row>
    <row r="2267" spans="7:14" ht="11.25" customHeight="1" x14ac:dyDescent="0.3">
      <c r="G2267" s="459"/>
      <c r="H2267" s="459">
        <v>2260</v>
      </c>
      <c r="I2267" s="444">
        <f t="shared" ca="1" si="143"/>
        <v>200024295.02605477</v>
      </c>
      <c r="J2267" s="444">
        <f t="array" ref="J2267">IFERROR(INDEX('Retirement Calculator'!J:J,MATCH('Isaac 401k'!N2267,'Retirement Calculator'!A:A,0),0),0)</f>
        <v>0</v>
      </c>
      <c r="K2267" s="444">
        <f t="shared" ca="1" si="141"/>
        <v>833434.56260856148</v>
      </c>
      <c r="L2267" s="444">
        <f t="shared" ca="1" si="142"/>
        <v>200857729.58866334</v>
      </c>
      <c r="M2267" s="460">
        <f t="shared" si="144"/>
        <v>0.05</v>
      </c>
      <c r="N2267" s="464">
        <f t="shared" si="145"/>
        <v>120045</v>
      </c>
    </row>
    <row r="2268" spans="7:14" ht="11.25" customHeight="1" x14ac:dyDescent="0.3">
      <c r="G2268" s="459"/>
      <c r="H2268" s="459">
        <v>2261</v>
      </c>
      <c r="I2268" s="444">
        <f t="shared" ca="1" si="143"/>
        <v>200857729.58866334</v>
      </c>
      <c r="J2268" s="444">
        <f t="array" ref="J2268">IFERROR(INDEX('Retirement Calculator'!J:J,MATCH('Isaac 401k'!N2268,'Retirement Calculator'!A:A,0),0),0)</f>
        <v>0</v>
      </c>
      <c r="K2268" s="444">
        <f t="shared" ca="1" si="141"/>
        <v>836907.20661943057</v>
      </c>
      <c r="L2268" s="444">
        <f t="shared" ca="1" si="142"/>
        <v>201694636.79528278</v>
      </c>
      <c r="M2268" s="460">
        <f t="shared" si="144"/>
        <v>0.05</v>
      </c>
      <c r="N2268" s="464">
        <f t="shared" si="145"/>
        <v>120075</v>
      </c>
    </row>
    <row r="2269" spans="7:14" ht="11.25" customHeight="1" x14ac:dyDescent="0.3">
      <c r="G2269" s="459"/>
      <c r="H2269" s="459">
        <v>2262</v>
      </c>
      <c r="I2269" s="444">
        <f t="shared" ca="1" si="143"/>
        <v>201694636.79528278</v>
      </c>
      <c r="J2269" s="444">
        <f t="array" ref="J2269">IFERROR(INDEX('Retirement Calculator'!J:J,MATCH('Isaac 401k'!N2269,'Retirement Calculator'!A:A,0),0),0)</f>
        <v>0</v>
      </c>
      <c r="K2269" s="444">
        <f t="shared" ca="1" si="141"/>
        <v>840394.31998034497</v>
      </c>
      <c r="L2269" s="444">
        <f t="shared" ca="1" si="142"/>
        <v>202535031.11526313</v>
      </c>
      <c r="M2269" s="460">
        <f t="shared" si="144"/>
        <v>0.05</v>
      </c>
      <c r="N2269" s="464">
        <f t="shared" si="145"/>
        <v>120106</v>
      </c>
    </row>
    <row r="2270" spans="7:14" ht="11.25" customHeight="1" x14ac:dyDescent="0.3">
      <c r="G2270" s="459"/>
      <c r="H2270" s="459">
        <v>2263</v>
      </c>
      <c r="I2270" s="444">
        <f t="shared" ca="1" si="143"/>
        <v>202535031.11526313</v>
      </c>
      <c r="J2270" s="444">
        <f t="array" ref="J2270">IFERROR(INDEX('Retirement Calculator'!J:J,MATCH('Isaac 401k'!N2270,'Retirement Calculator'!A:A,0),0),0)</f>
        <v>0</v>
      </c>
      <c r="K2270" s="444">
        <f t="shared" ca="1" si="141"/>
        <v>843895.96298026305</v>
      </c>
      <c r="L2270" s="444">
        <f t="shared" ca="1" si="142"/>
        <v>203378927.0782434</v>
      </c>
      <c r="M2270" s="460">
        <f t="shared" si="144"/>
        <v>0.05</v>
      </c>
      <c r="N2270" s="464">
        <f t="shared" si="145"/>
        <v>120136</v>
      </c>
    </row>
    <row r="2271" spans="7:14" ht="11.25" customHeight="1" x14ac:dyDescent="0.3">
      <c r="G2271" s="459"/>
      <c r="H2271" s="459">
        <v>2264</v>
      </c>
      <c r="I2271" s="444">
        <f t="shared" ca="1" si="143"/>
        <v>203378927.0782434</v>
      </c>
      <c r="J2271" s="444">
        <f t="array" ref="J2271">IFERROR(INDEX('Retirement Calculator'!J:J,MATCH('Isaac 401k'!N2271,'Retirement Calculator'!A:A,0),0),0)</f>
        <v>0</v>
      </c>
      <c r="K2271" s="444">
        <f t="shared" ca="1" si="141"/>
        <v>847412.19615934754</v>
      </c>
      <c r="L2271" s="444">
        <f t="shared" ca="1" si="142"/>
        <v>204226339.27440274</v>
      </c>
      <c r="M2271" s="460">
        <f t="shared" si="144"/>
        <v>0.05</v>
      </c>
      <c r="N2271" s="464">
        <f t="shared" si="145"/>
        <v>120167</v>
      </c>
    </row>
    <row r="2272" spans="7:14" ht="11.25" customHeight="1" x14ac:dyDescent="0.3">
      <c r="G2272" s="459"/>
      <c r="H2272" s="459">
        <v>2265</v>
      </c>
      <c r="I2272" s="444">
        <f t="shared" ca="1" si="143"/>
        <v>204226339.27440274</v>
      </c>
      <c r="J2272" s="444">
        <f t="array" ref="J2272">IFERROR(INDEX('Retirement Calculator'!J:J,MATCH('Isaac 401k'!N2272,'Retirement Calculator'!A:A,0),0),0)</f>
        <v>0</v>
      </c>
      <c r="K2272" s="444">
        <f t="shared" ca="1" si="141"/>
        <v>850943.0803100114</v>
      </c>
      <c r="L2272" s="444">
        <f t="shared" ca="1" si="142"/>
        <v>205077282.35471275</v>
      </c>
      <c r="M2272" s="460">
        <f t="shared" si="144"/>
        <v>0.05</v>
      </c>
      <c r="N2272" s="464">
        <f t="shared" si="145"/>
        <v>120198</v>
      </c>
    </row>
    <row r="2273" spans="7:14" ht="11.25" customHeight="1" x14ac:dyDescent="0.3">
      <c r="G2273" s="459"/>
      <c r="H2273" s="459">
        <v>2266</v>
      </c>
      <c r="I2273" s="444">
        <f t="shared" ca="1" si="143"/>
        <v>205077282.35471275</v>
      </c>
      <c r="J2273" s="444">
        <f t="array" ref="J2273">IFERROR(INDEX('Retirement Calculator'!J:J,MATCH('Isaac 401k'!N2273,'Retirement Calculator'!A:A,0),0),0)</f>
        <v>0</v>
      </c>
      <c r="K2273" s="444">
        <f t="shared" ca="1" si="141"/>
        <v>854488.67647796974</v>
      </c>
      <c r="L2273" s="444">
        <f t="shared" ca="1" si="142"/>
        <v>205931771.03119072</v>
      </c>
      <c r="M2273" s="460">
        <f t="shared" si="144"/>
        <v>0.05</v>
      </c>
      <c r="N2273" s="464">
        <f t="shared" si="145"/>
        <v>120226</v>
      </c>
    </row>
    <row r="2274" spans="7:14" ht="11.25" customHeight="1" x14ac:dyDescent="0.3">
      <c r="G2274" s="459"/>
      <c r="H2274" s="459">
        <v>2267</v>
      </c>
      <c r="I2274" s="444">
        <f t="shared" ca="1" si="143"/>
        <v>205931771.03119072</v>
      </c>
      <c r="J2274" s="444">
        <f t="array" ref="J2274">IFERROR(INDEX('Retirement Calculator'!J:J,MATCH('Isaac 401k'!N2274,'Retirement Calculator'!A:A,0),0),0)</f>
        <v>0</v>
      </c>
      <c r="K2274" s="444">
        <f t="shared" ca="1" si="141"/>
        <v>858049.04596329469</v>
      </c>
      <c r="L2274" s="444">
        <f t="shared" ca="1" si="142"/>
        <v>206789820.07715401</v>
      </c>
      <c r="M2274" s="460">
        <f t="shared" si="144"/>
        <v>0.05</v>
      </c>
      <c r="N2274" s="464">
        <f t="shared" si="145"/>
        <v>120257</v>
      </c>
    </row>
    <row r="2275" spans="7:14" ht="11.25" customHeight="1" x14ac:dyDescent="0.3">
      <c r="G2275" s="459"/>
      <c r="H2275" s="459">
        <v>2268</v>
      </c>
      <c r="I2275" s="444">
        <f t="shared" ca="1" si="143"/>
        <v>206789820.07715401</v>
      </c>
      <c r="J2275" s="444">
        <f t="array" ref="J2275">IFERROR(INDEX('Retirement Calculator'!J:J,MATCH('Isaac 401k'!N2275,'Retirement Calculator'!A:A,0),0),0)</f>
        <v>0</v>
      </c>
      <c r="K2275" s="444">
        <f t="shared" ca="1" si="141"/>
        <v>861624.25032147497</v>
      </c>
      <c r="L2275" s="444">
        <f t="shared" ca="1" si="142"/>
        <v>207651444.32747549</v>
      </c>
      <c r="M2275" s="460">
        <f t="shared" si="144"/>
        <v>0.05</v>
      </c>
      <c r="N2275" s="464">
        <f t="shared" si="145"/>
        <v>120287</v>
      </c>
    </row>
    <row r="2276" spans="7:14" ht="11.25" customHeight="1" x14ac:dyDescent="0.3">
      <c r="G2276" s="459"/>
      <c r="H2276" s="459">
        <v>2269</v>
      </c>
      <c r="I2276" s="444">
        <f t="shared" ca="1" si="143"/>
        <v>207651444.32747549</v>
      </c>
      <c r="J2276" s="444">
        <f t="array" ref="J2276">IFERROR(INDEX('Retirement Calculator'!J:J,MATCH('Isaac 401k'!N2276,'Retirement Calculator'!A:A,0),0),0)</f>
        <v>0</v>
      </c>
      <c r="K2276" s="444">
        <f t="shared" ca="1" si="141"/>
        <v>865214.35136448115</v>
      </c>
      <c r="L2276" s="444">
        <f t="shared" ca="1" si="142"/>
        <v>208516658.67883998</v>
      </c>
      <c r="M2276" s="460">
        <f t="shared" si="144"/>
        <v>0.05</v>
      </c>
      <c r="N2276" s="464">
        <f t="shared" si="145"/>
        <v>120318</v>
      </c>
    </row>
    <row r="2277" spans="7:14" ht="11.25" customHeight="1" x14ac:dyDescent="0.3">
      <c r="G2277" s="459"/>
      <c r="H2277" s="459">
        <v>2270</v>
      </c>
      <c r="I2277" s="444">
        <f t="shared" ca="1" si="143"/>
        <v>208516658.67883998</v>
      </c>
      <c r="J2277" s="444">
        <f t="array" ref="J2277">IFERROR(INDEX('Retirement Calculator'!J:J,MATCH('Isaac 401k'!N2277,'Retirement Calculator'!A:A,0),0),0)</f>
        <v>0</v>
      </c>
      <c r="K2277" s="444">
        <f t="shared" ca="1" si="141"/>
        <v>868819.41116183321</v>
      </c>
      <c r="L2277" s="444">
        <f t="shared" ca="1" si="142"/>
        <v>209385478.09000182</v>
      </c>
      <c r="M2277" s="460">
        <f t="shared" si="144"/>
        <v>0.05</v>
      </c>
      <c r="N2277" s="464">
        <f t="shared" si="145"/>
        <v>120348</v>
      </c>
    </row>
    <row r="2278" spans="7:14" ht="11.25" customHeight="1" x14ac:dyDescent="0.3">
      <c r="G2278" s="459"/>
      <c r="H2278" s="459">
        <v>2271</v>
      </c>
      <c r="I2278" s="444">
        <f t="shared" ca="1" si="143"/>
        <v>209385478.09000182</v>
      </c>
      <c r="J2278" s="444">
        <f t="array" ref="J2278">IFERROR(INDEX('Retirement Calculator'!J:J,MATCH('Isaac 401k'!N2278,'Retirement Calculator'!A:A,0),0),0)</f>
        <v>0</v>
      </c>
      <c r="K2278" s="444">
        <f t="shared" ca="1" si="141"/>
        <v>872439.49204167421</v>
      </c>
      <c r="L2278" s="444">
        <f t="shared" ca="1" si="142"/>
        <v>210257917.5820435</v>
      </c>
      <c r="M2278" s="460">
        <f t="shared" si="144"/>
        <v>0.05</v>
      </c>
      <c r="N2278" s="464">
        <f t="shared" si="145"/>
        <v>120379</v>
      </c>
    </row>
    <row r="2279" spans="7:14" ht="11.25" customHeight="1" x14ac:dyDescent="0.3">
      <c r="G2279" s="459"/>
      <c r="H2279" s="459">
        <v>2272</v>
      </c>
      <c r="I2279" s="444">
        <f t="shared" ca="1" si="143"/>
        <v>210257917.5820435</v>
      </c>
      <c r="J2279" s="444">
        <f t="array" ref="J2279">IFERROR(INDEX('Retirement Calculator'!J:J,MATCH('Isaac 401k'!N2279,'Retirement Calculator'!A:A,0),0),0)</f>
        <v>0</v>
      </c>
      <c r="K2279" s="444">
        <f t="shared" ca="1" si="141"/>
        <v>876074.65659184789</v>
      </c>
      <c r="L2279" s="444">
        <f t="shared" ca="1" si="142"/>
        <v>211133992.23863536</v>
      </c>
      <c r="M2279" s="460">
        <f t="shared" si="144"/>
        <v>0.05</v>
      </c>
      <c r="N2279" s="464">
        <f t="shared" si="145"/>
        <v>120410</v>
      </c>
    </row>
    <row r="2280" spans="7:14" ht="11.25" customHeight="1" x14ac:dyDescent="0.3">
      <c r="G2280" s="459"/>
      <c r="H2280" s="459">
        <v>2273</v>
      </c>
      <c r="I2280" s="444">
        <f t="shared" ca="1" si="143"/>
        <v>211133992.23863536</v>
      </c>
      <c r="J2280" s="444">
        <f t="array" ref="J2280">IFERROR(INDEX('Retirement Calculator'!J:J,MATCH('Isaac 401k'!N2280,'Retirement Calculator'!A:A,0),0),0)</f>
        <v>0</v>
      </c>
      <c r="K2280" s="444">
        <f t="shared" ca="1" si="141"/>
        <v>879724.96766098053</v>
      </c>
      <c r="L2280" s="444">
        <f t="shared" ca="1" si="142"/>
        <v>212013717.20629635</v>
      </c>
      <c r="M2280" s="460">
        <f t="shared" si="144"/>
        <v>0.05</v>
      </c>
      <c r="N2280" s="464">
        <f t="shared" si="145"/>
        <v>120440</v>
      </c>
    </row>
    <row r="2281" spans="7:14" ht="11.25" customHeight="1" x14ac:dyDescent="0.3">
      <c r="G2281" s="459"/>
      <c r="H2281" s="459">
        <v>2274</v>
      </c>
      <c r="I2281" s="444">
        <f t="shared" ca="1" si="143"/>
        <v>212013717.20629635</v>
      </c>
      <c r="J2281" s="444">
        <f t="array" ref="J2281">IFERROR(INDEX('Retirement Calculator'!J:J,MATCH('Isaac 401k'!N2281,'Retirement Calculator'!A:A,0),0),0)</f>
        <v>0</v>
      </c>
      <c r="K2281" s="444">
        <f t="shared" ca="1" si="141"/>
        <v>883390.48835956829</v>
      </c>
      <c r="L2281" s="444">
        <f t="shared" ca="1" si="142"/>
        <v>212897107.69465593</v>
      </c>
      <c r="M2281" s="460">
        <f t="shared" si="144"/>
        <v>0.05</v>
      </c>
      <c r="N2281" s="464">
        <f t="shared" si="145"/>
        <v>120471</v>
      </c>
    </row>
    <row r="2282" spans="7:14" ht="11.25" customHeight="1" x14ac:dyDescent="0.3">
      <c r="G2282" s="459"/>
      <c r="H2282" s="459">
        <v>2275</v>
      </c>
      <c r="I2282" s="444">
        <f t="shared" ca="1" si="143"/>
        <v>212897107.69465593</v>
      </c>
      <c r="J2282" s="444">
        <f t="array" ref="J2282">IFERROR(INDEX('Retirement Calculator'!J:J,MATCH('Isaac 401k'!N2282,'Retirement Calculator'!A:A,0),0),0)</f>
        <v>0</v>
      </c>
      <c r="K2282" s="444">
        <f t="shared" ca="1" si="141"/>
        <v>887071.28206106636</v>
      </c>
      <c r="L2282" s="444">
        <f t="shared" ca="1" si="142"/>
        <v>213784178.976717</v>
      </c>
      <c r="M2282" s="460">
        <f t="shared" si="144"/>
        <v>0.05</v>
      </c>
      <c r="N2282" s="464">
        <f t="shared" si="145"/>
        <v>120501</v>
      </c>
    </row>
    <row r="2283" spans="7:14" ht="11.25" customHeight="1" x14ac:dyDescent="0.3">
      <c r="G2283" s="459"/>
      <c r="H2283" s="459">
        <v>2276</v>
      </c>
      <c r="I2283" s="444">
        <f t="shared" ca="1" si="143"/>
        <v>213784178.976717</v>
      </c>
      <c r="J2283" s="444">
        <f t="array" ref="J2283">IFERROR(INDEX('Retirement Calculator'!J:J,MATCH('Isaac 401k'!N2283,'Retirement Calculator'!A:A,0),0),0)</f>
        <v>0</v>
      </c>
      <c r="K2283" s="444">
        <f t="shared" ca="1" si="141"/>
        <v>890767.41240298748</v>
      </c>
      <c r="L2283" s="444">
        <f t="shared" ca="1" si="142"/>
        <v>214674946.38911998</v>
      </c>
      <c r="M2283" s="460">
        <f t="shared" si="144"/>
        <v>0.05</v>
      </c>
      <c r="N2283" s="464">
        <f t="shared" si="145"/>
        <v>120532</v>
      </c>
    </row>
    <row r="2284" spans="7:14" ht="11.25" customHeight="1" x14ac:dyDescent="0.3">
      <c r="G2284" s="459"/>
      <c r="H2284" s="459">
        <v>2277</v>
      </c>
      <c r="I2284" s="444">
        <f t="shared" ca="1" si="143"/>
        <v>214674946.38911998</v>
      </c>
      <c r="J2284" s="444">
        <f t="array" ref="J2284">IFERROR(INDEX('Retirement Calculator'!J:J,MATCH('Isaac 401k'!N2284,'Retirement Calculator'!A:A,0),0),0)</f>
        <v>0</v>
      </c>
      <c r="K2284" s="444">
        <f t="shared" ca="1" si="141"/>
        <v>894478.94328799983</v>
      </c>
      <c r="L2284" s="444">
        <f t="shared" ca="1" si="142"/>
        <v>215569425.33240798</v>
      </c>
      <c r="M2284" s="460">
        <f t="shared" si="144"/>
        <v>0.05</v>
      </c>
      <c r="N2284" s="464">
        <f t="shared" si="145"/>
        <v>120563</v>
      </c>
    </row>
    <row r="2285" spans="7:14" ht="11.25" customHeight="1" x14ac:dyDescent="0.3">
      <c r="G2285" s="459"/>
      <c r="H2285" s="459">
        <v>2278</v>
      </c>
      <c r="I2285" s="444">
        <f t="shared" ca="1" si="143"/>
        <v>215569425.33240798</v>
      </c>
      <c r="J2285" s="444">
        <f t="array" ref="J2285">IFERROR(INDEX('Retirement Calculator'!J:J,MATCH('Isaac 401k'!N2285,'Retirement Calculator'!A:A,0),0),0)</f>
        <v>0</v>
      </c>
      <c r="K2285" s="444">
        <f t="shared" ca="1" si="141"/>
        <v>898205.93888503325</v>
      </c>
      <c r="L2285" s="444">
        <f t="shared" ca="1" si="142"/>
        <v>216467631.27129301</v>
      </c>
      <c r="M2285" s="460">
        <f t="shared" si="144"/>
        <v>0.05</v>
      </c>
      <c r="N2285" s="464">
        <f t="shared" si="145"/>
        <v>120591</v>
      </c>
    </row>
    <row r="2286" spans="7:14" ht="11.25" customHeight="1" x14ac:dyDescent="0.3">
      <c r="G2286" s="459"/>
      <c r="H2286" s="459">
        <v>2279</v>
      </c>
      <c r="I2286" s="444">
        <f t="shared" ca="1" si="143"/>
        <v>216467631.27129301</v>
      </c>
      <c r="J2286" s="444">
        <f t="array" ref="J2286">IFERROR(INDEX('Retirement Calculator'!J:J,MATCH('Isaac 401k'!N2286,'Retirement Calculator'!A:A,0),0),0)</f>
        <v>0</v>
      </c>
      <c r="K2286" s="444">
        <f t="shared" ca="1" si="141"/>
        <v>901948.46363038756</v>
      </c>
      <c r="L2286" s="444">
        <f t="shared" ca="1" si="142"/>
        <v>217369579.73492339</v>
      </c>
      <c r="M2286" s="460">
        <f t="shared" si="144"/>
        <v>0.05</v>
      </c>
      <c r="N2286" s="464">
        <f t="shared" si="145"/>
        <v>120622</v>
      </c>
    </row>
    <row r="2287" spans="7:14" ht="11.25" customHeight="1" x14ac:dyDescent="0.3">
      <c r="G2287" s="459"/>
      <c r="H2287" s="459">
        <v>2280</v>
      </c>
      <c r="I2287" s="444">
        <f t="shared" ca="1" si="143"/>
        <v>217369579.73492339</v>
      </c>
      <c r="J2287" s="444">
        <f t="array" ref="J2287">IFERROR(INDEX('Retirement Calculator'!J:J,MATCH('Isaac 401k'!N2287,'Retirement Calculator'!A:A,0),0),0)</f>
        <v>0</v>
      </c>
      <c r="K2287" s="444">
        <f t="shared" ca="1" si="141"/>
        <v>905706.58222884731</v>
      </c>
      <c r="L2287" s="444">
        <f t="shared" ca="1" si="142"/>
        <v>218275286.31715223</v>
      </c>
      <c r="M2287" s="460">
        <f t="shared" si="144"/>
        <v>0.05</v>
      </c>
      <c r="N2287" s="464">
        <f t="shared" si="145"/>
        <v>120652</v>
      </c>
    </row>
    <row r="2288" spans="7:14" ht="11.25" customHeight="1" x14ac:dyDescent="0.3">
      <c r="G2288" s="459"/>
      <c r="H2288" s="459">
        <v>2281</v>
      </c>
      <c r="I2288" s="444">
        <f t="shared" ca="1" si="143"/>
        <v>218275286.31715223</v>
      </c>
      <c r="J2288" s="444">
        <f t="array" ref="J2288">IFERROR(INDEX('Retirement Calculator'!J:J,MATCH('Isaac 401k'!N2288,'Retirement Calculator'!A:A,0),0),0)</f>
        <v>0</v>
      </c>
      <c r="K2288" s="444">
        <f t="shared" ca="1" si="141"/>
        <v>909480.35965480108</v>
      </c>
      <c r="L2288" s="444">
        <f t="shared" ca="1" si="142"/>
        <v>219184766.67680705</v>
      </c>
      <c r="M2288" s="460">
        <f t="shared" si="144"/>
        <v>0.05</v>
      </c>
      <c r="N2288" s="464">
        <f t="shared" si="145"/>
        <v>120683</v>
      </c>
    </row>
    <row r="2289" spans="7:14" ht="11.25" customHeight="1" x14ac:dyDescent="0.3">
      <c r="G2289" s="459"/>
      <c r="H2289" s="459">
        <v>2282</v>
      </c>
      <c r="I2289" s="444">
        <f t="shared" ca="1" si="143"/>
        <v>219184766.67680705</v>
      </c>
      <c r="J2289" s="444">
        <f t="array" ref="J2289">IFERROR(INDEX('Retirement Calculator'!J:J,MATCH('Isaac 401k'!N2289,'Retirement Calculator'!A:A,0),0),0)</f>
        <v>0</v>
      </c>
      <c r="K2289" s="444">
        <f t="shared" ca="1" si="141"/>
        <v>913269.86115336255</v>
      </c>
      <c r="L2289" s="444">
        <f t="shared" ca="1" si="142"/>
        <v>220098036.53796041</v>
      </c>
      <c r="M2289" s="460">
        <f t="shared" si="144"/>
        <v>0.05</v>
      </c>
      <c r="N2289" s="464">
        <f t="shared" si="145"/>
        <v>120713</v>
      </c>
    </row>
    <row r="2290" spans="7:14" ht="11.25" customHeight="1" x14ac:dyDescent="0.3">
      <c r="G2290" s="459"/>
      <c r="H2290" s="459">
        <v>2283</v>
      </c>
      <c r="I2290" s="444">
        <f t="shared" ca="1" si="143"/>
        <v>220098036.53796041</v>
      </c>
      <c r="J2290" s="444">
        <f t="array" ref="J2290">IFERROR(INDEX('Retirement Calculator'!J:J,MATCH('Isaac 401k'!N2290,'Retirement Calculator'!A:A,0),0),0)</f>
        <v>0</v>
      </c>
      <c r="K2290" s="444">
        <f t="shared" ca="1" si="141"/>
        <v>917075.15224150172</v>
      </c>
      <c r="L2290" s="444">
        <f t="shared" ca="1" si="142"/>
        <v>221015111.69020191</v>
      </c>
      <c r="M2290" s="460">
        <f t="shared" si="144"/>
        <v>0.05</v>
      </c>
      <c r="N2290" s="464">
        <f t="shared" si="145"/>
        <v>120744</v>
      </c>
    </row>
    <row r="2291" spans="7:14" ht="11.25" customHeight="1" x14ac:dyDescent="0.3">
      <c r="G2291" s="459"/>
      <c r="H2291" s="459">
        <v>2284</v>
      </c>
      <c r="I2291" s="444">
        <f t="shared" ca="1" si="143"/>
        <v>221015111.69020191</v>
      </c>
      <c r="J2291" s="444">
        <f t="array" ref="J2291">IFERROR(INDEX('Retirement Calculator'!J:J,MATCH('Isaac 401k'!N2291,'Retirement Calculator'!A:A,0),0),0)</f>
        <v>0</v>
      </c>
      <c r="K2291" s="444">
        <f t="shared" ca="1" si="141"/>
        <v>920896.29870917473</v>
      </c>
      <c r="L2291" s="444">
        <f t="shared" ca="1" si="142"/>
        <v>221936007.98891109</v>
      </c>
      <c r="M2291" s="460">
        <f t="shared" si="144"/>
        <v>0.05</v>
      </c>
      <c r="N2291" s="464">
        <f t="shared" si="145"/>
        <v>120775</v>
      </c>
    </row>
    <row r="2292" spans="7:14" ht="11.25" customHeight="1" x14ac:dyDescent="0.3">
      <c r="G2292" s="459"/>
      <c r="H2292" s="459">
        <v>2285</v>
      </c>
      <c r="I2292" s="444">
        <f t="shared" ca="1" si="143"/>
        <v>221936007.98891109</v>
      </c>
      <c r="J2292" s="444">
        <f t="array" ref="J2292">IFERROR(INDEX('Retirement Calculator'!J:J,MATCH('Isaac 401k'!N2292,'Retirement Calculator'!A:A,0),0),0)</f>
        <v>0</v>
      </c>
      <c r="K2292" s="444">
        <f t="shared" ca="1" si="141"/>
        <v>924733.36662046274</v>
      </c>
      <c r="L2292" s="444">
        <f t="shared" ca="1" si="142"/>
        <v>222860741.35553154</v>
      </c>
      <c r="M2292" s="460">
        <f t="shared" si="144"/>
        <v>0.05</v>
      </c>
      <c r="N2292" s="464">
        <f t="shared" si="145"/>
        <v>120805</v>
      </c>
    </row>
    <row r="2293" spans="7:14" ht="11.25" customHeight="1" x14ac:dyDescent="0.3">
      <c r="G2293" s="459"/>
      <c r="H2293" s="459">
        <v>2286</v>
      </c>
      <c r="I2293" s="444">
        <f t="shared" ca="1" si="143"/>
        <v>222860741.35553154</v>
      </c>
      <c r="J2293" s="444">
        <f t="array" ref="J2293">IFERROR(INDEX('Retirement Calculator'!J:J,MATCH('Isaac 401k'!N2293,'Retirement Calculator'!A:A,0),0),0)</f>
        <v>0</v>
      </c>
      <c r="K2293" s="444">
        <f t="shared" ca="1" si="141"/>
        <v>928586.42231471464</v>
      </c>
      <c r="L2293" s="444">
        <f t="shared" ca="1" si="142"/>
        <v>223789327.77784625</v>
      </c>
      <c r="M2293" s="460">
        <f t="shared" si="144"/>
        <v>0.05</v>
      </c>
      <c r="N2293" s="464">
        <f t="shared" si="145"/>
        <v>120836</v>
      </c>
    </row>
    <row r="2294" spans="7:14" ht="11.25" customHeight="1" x14ac:dyDescent="0.3">
      <c r="G2294" s="459"/>
      <c r="H2294" s="459">
        <v>2287</v>
      </c>
      <c r="I2294" s="444">
        <f t="shared" ca="1" si="143"/>
        <v>223789327.77784625</v>
      </c>
      <c r="J2294" s="444">
        <f t="array" ref="J2294">IFERROR(INDEX('Retirement Calculator'!J:J,MATCH('Isaac 401k'!N2294,'Retirement Calculator'!A:A,0),0),0)</f>
        <v>0</v>
      </c>
      <c r="K2294" s="444">
        <f t="shared" ca="1" si="141"/>
        <v>932455.53240769263</v>
      </c>
      <c r="L2294" s="444">
        <f t="shared" ca="1" si="142"/>
        <v>224721783.31025395</v>
      </c>
      <c r="M2294" s="460">
        <f t="shared" si="144"/>
        <v>0.05</v>
      </c>
      <c r="N2294" s="464">
        <f t="shared" si="145"/>
        <v>120866</v>
      </c>
    </row>
    <row r="2295" spans="7:14" ht="11.25" customHeight="1" x14ac:dyDescent="0.3">
      <c r="G2295" s="459"/>
      <c r="H2295" s="459">
        <v>2288</v>
      </c>
      <c r="I2295" s="444">
        <f t="shared" ca="1" si="143"/>
        <v>224721783.31025395</v>
      </c>
      <c r="J2295" s="444">
        <f t="array" ref="J2295">IFERROR(INDEX('Retirement Calculator'!J:J,MATCH('Isaac 401k'!N2295,'Retirement Calculator'!A:A,0),0),0)</f>
        <v>0</v>
      </c>
      <c r="K2295" s="444">
        <f t="shared" ca="1" si="141"/>
        <v>936340.76379272493</v>
      </c>
      <c r="L2295" s="444">
        <f t="shared" ca="1" si="142"/>
        <v>225658124.07404667</v>
      </c>
      <c r="M2295" s="460">
        <f t="shared" si="144"/>
        <v>0.05</v>
      </c>
      <c r="N2295" s="464">
        <f t="shared" si="145"/>
        <v>120897</v>
      </c>
    </row>
    <row r="2296" spans="7:14" ht="11.25" customHeight="1" x14ac:dyDescent="0.3">
      <c r="G2296" s="459"/>
      <c r="H2296" s="459">
        <v>2289</v>
      </c>
      <c r="I2296" s="444">
        <f t="shared" ca="1" si="143"/>
        <v>225658124.07404667</v>
      </c>
      <c r="J2296" s="444">
        <f t="array" ref="J2296">IFERROR(INDEX('Retirement Calculator'!J:J,MATCH('Isaac 401k'!N2296,'Retirement Calculator'!A:A,0),0),0)</f>
        <v>0</v>
      </c>
      <c r="K2296" s="444">
        <f t="shared" ca="1" si="141"/>
        <v>940242.18364186108</v>
      </c>
      <c r="L2296" s="444">
        <f t="shared" ca="1" si="142"/>
        <v>226598366.25768852</v>
      </c>
      <c r="M2296" s="460">
        <f t="shared" si="144"/>
        <v>0.05</v>
      </c>
      <c r="N2296" s="464">
        <f t="shared" si="145"/>
        <v>120928</v>
      </c>
    </row>
    <row r="2297" spans="7:14" ht="11.25" customHeight="1" x14ac:dyDescent="0.3">
      <c r="G2297" s="459"/>
      <c r="H2297" s="459">
        <v>2290</v>
      </c>
      <c r="I2297" s="444">
        <f t="shared" ca="1" si="143"/>
        <v>226598366.25768852</v>
      </c>
      <c r="J2297" s="444">
        <f t="array" ref="J2297">IFERROR(INDEX('Retirement Calculator'!J:J,MATCH('Isaac 401k'!N2297,'Retirement Calculator'!A:A,0),0),0)</f>
        <v>0</v>
      </c>
      <c r="K2297" s="444">
        <f t="shared" ca="1" si="141"/>
        <v>944159.85940703552</v>
      </c>
      <c r="L2297" s="444">
        <f t="shared" ca="1" si="142"/>
        <v>227542526.11709556</v>
      </c>
      <c r="M2297" s="460">
        <f t="shared" si="144"/>
        <v>0.05</v>
      </c>
      <c r="N2297" s="464">
        <f t="shared" si="145"/>
        <v>120956</v>
      </c>
    </row>
    <row r="2298" spans="7:14" ht="11.25" customHeight="1" x14ac:dyDescent="0.3">
      <c r="G2298" s="459"/>
      <c r="H2298" s="459">
        <v>2291</v>
      </c>
      <c r="I2298" s="444">
        <f t="shared" ca="1" si="143"/>
        <v>227542526.11709556</v>
      </c>
      <c r="J2298" s="444">
        <f t="array" ref="J2298">IFERROR(INDEX('Retirement Calculator'!J:J,MATCH('Isaac 401k'!N2298,'Retirement Calculator'!A:A,0),0),0)</f>
        <v>0</v>
      </c>
      <c r="K2298" s="444">
        <f t="shared" ca="1" si="141"/>
        <v>948093.85882123152</v>
      </c>
      <c r="L2298" s="444">
        <f t="shared" ca="1" si="142"/>
        <v>228490619.9759168</v>
      </c>
      <c r="M2298" s="460">
        <f t="shared" si="144"/>
        <v>0.05</v>
      </c>
      <c r="N2298" s="464">
        <f t="shared" si="145"/>
        <v>120987</v>
      </c>
    </row>
    <row r="2299" spans="7:14" ht="11.25" customHeight="1" x14ac:dyDescent="0.3">
      <c r="G2299" s="459"/>
      <c r="H2299" s="459">
        <v>2292</v>
      </c>
      <c r="I2299" s="444">
        <f t="shared" ca="1" si="143"/>
        <v>228490619.9759168</v>
      </c>
      <c r="J2299" s="444">
        <f t="array" ref="J2299">IFERROR(INDEX('Retirement Calculator'!J:J,MATCH('Isaac 401k'!N2299,'Retirement Calculator'!A:A,0),0),0)</f>
        <v>0</v>
      </c>
      <c r="K2299" s="444">
        <f t="shared" ca="1" si="141"/>
        <v>952044.24989965325</v>
      </c>
      <c r="L2299" s="444">
        <f t="shared" ca="1" si="142"/>
        <v>229442664.22581646</v>
      </c>
      <c r="M2299" s="460">
        <f t="shared" si="144"/>
        <v>0.05</v>
      </c>
      <c r="N2299" s="464">
        <f t="shared" si="145"/>
        <v>121017</v>
      </c>
    </row>
    <row r="2300" spans="7:14" ht="11.25" customHeight="1" x14ac:dyDescent="0.3">
      <c r="G2300" s="459"/>
      <c r="H2300" s="459">
        <v>2293</v>
      </c>
      <c r="I2300" s="444">
        <f t="shared" ca="1" si="143"/>
        <v>229442664.22581646</v>
      </c>
      <c r="J2300" s="444">
        <f t="array" ref="J2300">IFERROR(INDEX('Retirement Calculator'!J:J,MATCH('Isaac 401k'!N2300,'Retirement Calculator'!A:A,0),0),0)</f>
        <v>0</v>
      </c>
      <c r="K2300" s="444">
        <f t="shared" ca="1" si="141"/>
        <v>956011.10094090202</v>
      </c>
      <c r="L2300" s="444">
        <f t="shared" ca="1" si="142"/>
        <v>230398675.32675737</v>
      </c>
      <c r="M2300" s="460">
        <f t="shared" si="144"/>
        <v>0.05</v>
      </c>
      <c r="N2300" s="464">
        <f t="shared" si="145"/>
        <v>121048</v>
      </c>
    </row>
    <row r="2301" spans="7:14" ht="11.25" customHeight="1" x14ac:dyDescent="0.3">
      <c r="G2301" s="459"/>
      <c r="H2301" s="459">
        <v>2294</v>
      </c>
      <c r="I2301" s="444">
        <f t="shared" ca="1" si="143"/>
        <v>230398675.32675737</v>
      </c>
      <c r="J2301" s="444">
        <f t="array" ref="J2301">IFERROR(INDEX('Retirement Calculator'!J:J,MATCH('Isaac 401k'!N2301,'Retirement Calculator'!A:A,0),0),0)</f>
        <v>0</v>
      </c>
      <c r="K2301" s="444">
        <f t="shared" ca="1" si="141"/>
        <v>959994.48052815557</v>
      </c>
      <c r="L2301" s="444">
        <f t="shared" ca="1" si="142"/>
        <v>231358669.80728552</v>
      </c>
      <c r="M2301" s="460">
        <f t="shared" si="144"/>
        <v>0.05</v>
      </c>
      <c r="N2301" s="464">
        <f t="shared" si="145"/>
        <v>121078</v>
      </c>
    </row>
    <row r="2302" spans="7:14" ht="11.25" customHeight="1" x14ac:dyDescent="0.3">
      <c r="G2302" s="459"/>
      <c r="H2302" s="459">
        <v>2295</v>
      </c>
      <c r="I2302" s="444">
        <f t="shared" ca="1" si="143"/>
        <v>231358669.80728552</v>
      </c>
      <c r="J2302" s="444">
        <f t="array" ref="J2302">IFERROR(INDEX('Retirement Calculator'!J:J,MATCH('Isaac 401k'!N2302,'Retirement Calculator'!A:A,0),0),0)</f>
        <v>0</v>
      </c>
      <c r="K2302" s="444">
        <f t="shared" ca="1" si="141"/>
        <v>963994.45753035636</v>
      </c>
      <c r="L2302" s="444">
        <f t="shared" ca="1" si="142"/>
        <v>232322664.26481587</v>
      </c>
      <c r="M2302" s="460">
        <f t="shared" si="144"/>
        <v>0.05</v>
      </c>
      <c r="N2302" s="464">
        <f t="shared" si="145"/>
        <v>121109</v>
      </c>
    </row>
    <row r="2303" spans="7:14" ht="11.25" customHeight="1" x14ac:dyDescent="0.3">
      <c r="G2303" s="459"/>
      <c r="H2303" s="459">
        <v>2296</v>
      </c>
      <c r="I2303" s="444">
        <f t="shared" ca="1" si="143"/>
        <v>232322664.26481587</v>
      </c>
      <c r="J2303" s="444">
        <f t="array" ref="J2303">IFERROR(INDEX('Retirement Calculator'!J:J,MATCH('Isaac 401k'!N2303,'Retirement Calculator'!A:A,0),0),0)</f>
        <v>0</v>
      </c>
      <c r="K2303" s="444">
        <f t="shared" ref="K2303:K2557" ca="1" si="146">IPMT(M2303/12,1,12,-I2303+J2303,,0)</f>
        <v>968011.10110339941</v>
      </c>
      <c r="L2303" s="444">
        <f t="shared" ref="L2303:L2557" ca="1" si="147">I2303-J2303+K2303</f>
        <v>233290675.36591926</v>
      </c>
      <c r="M2303" s="460">
        <f t="shared" si="144"/>
        <v>0.05</v>
      </c>
      <c r="N2303" s="464">
        <f t="shared" si="145"/>
        <v>121140</v>
      </c>
    </row>
    <row r="2304" spans="7:14" ht="11.25" customHeight="1" x14ac:dyDescent="0.3">
      <c r="G2304" s="459"/>
      <c r="H2304" s="459">
        <v>2297</v>
      </c>
      <c r="I2304" s="444">
        <f t="shared" ref="I2304:I2558" ca="1" si="148">L2303</f>
        <v>233290675.36591926</v>
      </c>
      <c r="J2304" s="444">
        <f t="array" ref="J2304">IFERROR(INDEX('Retirement Calculator'!J:J,MATCH('Isaac 401k'!N2304,'Retirement Calculator'!A:A,0),0),0)</f>
        <v>0</v>
      </c>
      <c r="K2304" s="444">
        <f t="shared" ca="1" si="146"/>
        <v>972044.48069133027</v>
      </c>
      <c r="L2304" s="444">
        <f t="shared" ca="1" si="147"/>
        <v>234262719.84661061</v>
      </c>
      <c r="M2304" s="460">
        <f t="shared" ref="M2304:M2558" si="149">M2303</f>
        <v>0.05</v>
      </c>
      <c r="N2304" s="464">
        <f t="shared" ref="N2304:N2558" si="150">EDATE(N2303,1)</f>
        <v>121170</v>
      </c>
    </row>
    <row r="2305" spans="7:14" ht="11.25" customHeight="1" x14ac:dyDescent="0.3">
      <c r="G2305" s="459"/>
      <c r="H2305" s="459">
        <v>2298</v>
      </c>
      <c r="I2305" s="444">
        <f t="shared" ca="1" si="148"/>
        <v>234262719.84661061</v>
      </c>
      <c r="J2305" s="444">
        <f t="array" ref="J2305">IFERROR(INDEX('Retirement Calculator'!J:J,MATCH('Isaac 401k'!N2305,'Retirement Calculator'!A:A,0),0),0)</f>
        <v>0</v>
      </c>
      <c r="K2305" s="444">
        <f t="shared" ca="1" si="146"/>
        <v>976094.66602754418</v>
      </c>
      <c r="L2305" s="444">
        <f t="shared" ca="1" si="147"/>
        <v>235238814.51263815</v>
      </c>
      <c r="M2305" s="460">
        <f t="shared" si="149"/>
        <v>0.05</v>
      </c>
      <c r="N2305" s="464">
        <f t="shared" si="150"/>
        <v>121201</v>
      </c>
    </row>
    <row r="2306" spans="7:14" ht="11.25" customHeight="1" x14ac:dyDescent="0.3">
      <c r="G2306" s="459"/>
      <c r="H2306" s="459">
        <v>2299</v>
      </c>
      <c r="I2306" s="444">
        <f t="shared" ca="1" si="148"/>
        <v>235238814.51263815</v>
      </c>
      <c r="J2306" s="444">
        <f t="array" ref="J2306">IFERROR(INDEX('Retirement Calculator'!J:J,MATCH('Isaac 401k'!N2306,'Retirement Calculator'!A:A,0),0),0)</f>
        <v>0</v>
      </c>
      <c r="K2306" s="444">
        <f t="shared" ca="1" si="146"/>
        <v>980161.72713599226</v>
      </c>
      <c r="L2306" s="444">
        <f t="shared" ca="1" si="147"/>
        <v>236218976.23977414</v>
      </c>
      <c r="M2306" s="460">
        <f t="shared" si="149"/>
        <v>0.05</v>
      </c>
      <c r="N2306" s="464">
        <f t="shared" si="150"/>
        <v>121231</v>
      </c>
    </row>
    <row r="2307" spans="7:14" ht="11.25" customHeight="1" x14ac:dyDescent="0.3">
      <c r="G2307" s="459"/>
      <c r="H2307" s="459">
        <v>2300</v>
      </c>
      <c r="I2307" s="444">
        <f t="shared" ca="1" si="148"/>
        <v>236218976.23977414</v>
      </c>
      <c r="J2307" s="444">
        <f t="array" ref="J2307">IFERROR(INDEX('Retirement Calculator'!J:J,MATCH('Isaac 401k'!N2307,'Retirement Calculator'!A:A,0),0),0)</f>
        <v>0</v>
      </c>
      <c r="K2307" s="444">
        <f t="shared" ca="1" si="146"/>
        <v>984245.73433239223</v>
      </c>
      <c r="L2307" s="444">
        <f t="shared" ca="1" si="147"/>
        <v>237203221.97410652</v>
      </c>
      <c r="M2307" s="460">
        <f t="shared" si="149"/>
        <v>0.05</v>
      </c>
      <c r="N2307" s="464">
        <f t="shared" si="150"/>
        <v>121262</v>
      </c>
    </row>
    <row r="2308" spans="7:14" ht="11.25" customHeight="1" x14ac:dyDescent="0.3">
      <c r="G2308" s="459"/>
      <c r="H2308" s="459">
        <v>2301</v>
      </c>
      <c r="I2308" s="444">
        <f t="shared" ca="1" si="148"/>
        <v>237203221.97410652</v>
      </c>
      <c r="J2308" s="444">
        <f t="array" ref="J2308">IFERROR(INDEX('Retirement Calculator'!J:J,MATCH('Isaac 401k'!N2308,'Retirement Calculator'!A:A,0),0),0)</f>
        <v>0</v>
      </c>
      <c r="K2308" s="444">
        <f t="shared" ca="1" si="146"/>
        <v>988346.75822544366</v>
      </c>
      <c r="L2308" s="444">
        <f t="shared" ca="1" si="147"/>
        <v>238191568.73233196</v>
      </c>
      <c r="M2308" s="460">
        <f t="shared" si="149"/>
        <v>0.05</v>
      </c>
      <c r="N2308" s="464">
        <f t="shared" si="150"/>
        <v>121293</v>
      </c>
    </row>
    <row r="2309" spans="7:14" ht="11.25" customHeight="1" x14ac:dyDescent="0.3">
      <c r="G2309" s="459"/>
      <c r="H2309" s="459">
        <v>2302</v>
      </c>
      <c r="I2309" s="444">
        <f t="shared" ca="1" si="148"/>
        <v>238191568.73233196</v>
      </c>
      <c r="J2309" s="444">
        <f t="array" ref="J2309">IFERROR(INDEX('Retirement Calculator'!J:J,MATCH('Isaac 401k'!N2309,'Retirement Calculator'!A:A,0),0),0)</f>
        <v>0</v>
      </c>
      <c r="K2309" s="444">
        <f t="shared" ca="1" si="146"/>
        <v>992464.86971805</v>
      </c>
      <c r="L2309" s="444">
        <f t="shared" ca="1" si="147"/>
        <v>239184033.60205001</v>
      </c>
      <c r="M2309" s="460">
        <f t="shared" si="149"/>
        <v>0.05</v>
      </c>
      <c r="N2309" s="464">
        <f t="shared" si="150"/>
        <v>121322</v>
      </c>
    </row>
    <row r="2310" spans="7:14" ht="11.25" customHeight="1" x14ac:dyDescent="0.3">
      <c r="G2310" s="459"/>
      <c r="H2310" s="459">
        <v>2303</v>
      </c>
      <c r="I2310" s="444">
        <f t="shared" ca="1" si="148"/>
        <v>239184033.60205001</v>
      </c>
      <c r="J2310" s="444">
        <f t="array" ref="J2310">IFERROR(INDEX('Retirement Calculator'!J:J,MATCH('Isaac 401k'!N2310,'Retirement Calculator'!A:A,0),0),0)</f>
        <v>0</v>
      </c>
      <c r="K2310" s="444">
        <f t="shared" ca="1" si="146"/>
        <v>996600.14000854152</v>
      </c>
      <c r="L2310" s="444">
        <f t="shared" ca="1" si="147"/>
        <v>240180633.74205855</v>
      </c>
      <c r="M2310" s="460">
        <f t="shared" si="149"/>
        <v>0.05</v>
      </c>
      <c r="N2310" s="464">
        <f t="shared" si="150"/>
        <v>121353</v>
      </c>
    </row>
    <row r="2311" spans="7:14" ht="11.25" customHeight="1" x14ac:dyDescent="0.3">
      <c r="G2311" s="459"/>
      <c r="H2311" s="459">
        <v>2304</v>
      </c>
      <c r="I2311" s="444">
        <f t="shared" ca="1" si="148"/>
        <v>240180633.74205855</v>
      </c>
      <c r="J2311" s="444">
        <f t="array" ref="J2311">IFERROR(INDEX('Retirement Calculator'!J:J,MATCH('Isaac 401k'!N2311,'Retirement Calculator'!A:A,0),0),0)</f>
        <v>0</v>
      </c>
      <c r="K2311" s="444">
        <f t="shared" ca="1" si="146"/>
        <v>1000752.6405919106</v>
      </c>
      <c r="L2311" s="444">
        <f t="shared" ca="1" si="147"/>
        <v>241181386.38265046</v>
      </c>
      <c r="M2311" s="460">
        <f t="shared" si="149"/>
        <v>0.05</v>
      </c>
      <c r="N2311" s="464">
        <f t="shared" si="150"/>
        <v>121383</v>
      </c>
    </row>
    <row r="2312" spans="7:14" ht="11.25" customHeight="1" x14ac:dyDescent="0.3">
      <c r="G2312" s="459"/>
      <c r="H2312" s="459">
        <v>2305</v>
      </c>
      <c r="I2312" s="444">
        <f t="shared" ca="1" si="148"/>
        <v>241181386.38265046</v>
      </c>
      <c r="J2312" s="444">
        <f t="array" ref="J2312">IFERROR(INDEX('Retirement Calculator'!J:J,MATCH('Isaac 401k'!N2312,'Retirement Calculator'!A:A,0),0),0)</f>
        <v>0</v>
      </c>
      <c r="K2312" s="444">
        <f t="shared" ca="1" si="146"/>
        <v>1004922.4432610435</v>
      </c>
      <c r="L2312" s="444">
        <f t="shared" ca="1" si="147"/>
        <v>242186308.82591152</v>
      </c>
      <c r="M2312" s="460">
        <f t="shared" si="149"/>
        <v>0.05</v>
      </c>
      <c r="N2312" s="464">
        <f t="shared" si="150"/>
        <v>121414</v>
      </c>
    </row>
    <row r="2313" spans="7:14" ht="11.25" customHeight="1" x14ac:dyDescent="0.3">
      <c r="G2313" s="459"/>
      <c r="H2313" s="459">
        <v>2306</v>
      </c>
      <c r="I2313" s="444">
        <f t="shared" ca="1" si="148"/>
        <v>242186308.82591152</v>
      </c>
      <c r="J2313" s="444">
        <f t="array" ref="J2313">IFERROR(INDEX('Retirement Calculator'!J:J,MATCH('Isaac 401k'!N2313,'Retirement Calculator'!A:A,0),0),0)</f>
        <v>0</v>
      </c>
      <c r="K2313" s="444">
        <f t="shared" ca="1" si="146"/>
        <v>1009109.6201079645</v>
      </c>
      <c r="L2313" s="444">
        <f t="shared" ca="1" si="147"/>
        <v>243195418.4460195</v>
      </c>
      <c r="M2313" s="460">
        <f t="shared" si="149"/>
        <v>0.05</v>
      </c>
      <c r="N2313" s="464">
        <f t="shared" si="150"/>
        <v>121444</v>
      </c>
    </row>
    <row r="2314" spans="7:14" ht="11.25" customHeight="1" x14ac:dyDescent="0.3">
      <c r="G2314" s="459"/>
      <c r="H2314" s="459">
        <v>2307</v>
      </c>
      <c r="I2314" s="444">
        <f t="shared" ca="1" si="148"/>
        <v>243195418.4460195</v>
      </c>
      <c r="J2314" s="444">
        <f t="array" ref="J2314">IFERROR(INDEX('Retirement Calculator'!J:J,MATCH('Isaac 401k'!N2314,'Retirement Calculator'!A:A,0),0),0)</f>
        <v>0</v>
      </c>
      <c r="K2314" s="444">
        <f t="shared" ca="1" si="146"/>
        <v>1013314.2435250812</v>
      </c>
      <c r="L2314" s="444">
        <f t="shared" ca="1" si="147"/>
        <v>244208732.68954459</v>
      </c>
      <c r="M2314" s="460">
        <f t="shared" si="149"/>
        <v>0.05</v>
      </c>
      <c r="N2314" s="464">
        <f t="shared" si="150"/>
        <v>121475</v>
      </c>
    </row>
    <row r="2315" spans="7:14" ht="11.25" customHeight="1" x14ac:dyDescent="0.3">
      <c r="G2315" s="459"/>
      <c r="H2315" s="459">
        <v>2308</v>
      </c>
      <c r="I2315" s="444">
        <f t="shared" ca="1" si="148"/>
        <v>244208732.68954459</v>
      </c>
      <c r="J2315" s="444">
        <f t="array" ref="J2315">IFERROR(INDEX('Retirement Calculator'!J:J,MATCH('Isaac 401k'!N2315,'Retirement Calculator'!A:A,0),0),0)</f>
        <v>0</v>
      </c>
      <c r="K2315" s="444">
        <f t="shared" ca="1" si="146"/>
        <v>1017536.3862064359</v>
      </c>
      <c r="L2315" s="444">
        <f t="shared" ca="1" si="147"/>
        <v>245226269.07575104</v>
      </c>
      <c r="M2315" s="460">
        <f t="shared" si="149"/>
        <v>0.05</v>
      </c>
      <c r="N2315" s="464">
        <f t="shared" si="150"/>
        <v>121506</v>
      </c>
    </row>
    <row r="2316" spans="7:14" ht="11.25" customHeight="1" x14ac:dyDescent="0.3">
      <c r="G2316" s="459"/>
      <c r="H2316" s="459">
        <v>2309</v>
      </c>
      <c r="I2316" s="444">
        <f t="shared" ca="1" si="148"/>
        <v>245226269.07575104</v>
      </c>
      <c r="J2316" s="444">
        <f t="array" ref="J2316">IFERROR(INDEX('Retirement Calculator'!J:J,MATCH('Isaac 401k'!N2316,'Retirement Calculator'!A:A,0),0),0)</f>
        <v>0</v>
      </c>
      <c r="K2316" s="444">
        <f t="shared" ca="1" si="146"/>
        <v>1021776.1211489626</v>
      </c>
      <c r="L2316" s="444">
        <f t="shared" ca="1" si="147"/>
        <v>246248045.19690001</v>
      </c>
      <c r="M2316" s="460">
        <f t="shared" si="149"/>
        <v>0.05</v>
      </c>
      <c r="N2316" s="464">
        <f t="shared" si="150"/>
        <v>121536</v>
      </c>
    </row>
    <row r="2317" spans="7:14" ht="11.25" customHeight="1" x14ac:dyDescent="0.3">
      <c r="G2317" s="459"/>
      <c r="H2317" s="459">
        <v>2310</v>
      </c>
      <c r="I2317" s="444">
        <f t="shared" ca="1" si="148"/>
        <v>246248045.19690001</v>
      </c>
      <c r="J2317" s="444">
        <f t="array" ref="J2317">IFERROR(INDEX('Retirement Calculator'!J:J,MATCH('Isaac 401k'!N2317,'Retirement Calculator'!A:A,0),0),0)</f>
        <v>0</v>
      </c>
      <c r="K2317" s="444">
        <f t="shared" ca="1" si="146"/>
        <v>1026033.5216537501</v>
      </c>
      <c r="L2317" s="444">
        <f t="shared" ca="1" si="147"/>
        <v>247274078.71855375</v>
      </c>
      <c r="M2317" s="460">
        <f t="shared" si="149"/>
        <v>0.05</v>
      </c>
      <c r="N2317" s="464">
        <f t="shared" si="150"/>
        <v>121567</v>
      </c>
    </row>
    <row r="2318" spans="7:14" ht="11.25" customHeight="1" x14ac:dyDescent="0.3">
      <c r="G2318" s="459"/>
      <c r="H2318" s="459">
        <v>2311</v>
      </c>
      <c r="I2318" s="444">
        <f t="shared" ca="1" si="148"/>
        <v>247274078.71855375</v>
      </c>
      <c r="J2318" s="444">
        <f t="array" ref="J2318">IFERROR(INDEX('Retirement Calculator'!J:J,MATCH('Isaac 401k'!N2318,'Retirement Calculator'!A:A,0),0),0)</f>
        <v>0</v>
      </c>
      <c r="K2318" s="444">
        <f t="shared" ca="1" si="146"/>
        <v>1030308.6613273072</v>
      </c>
      <c r="L2318" s="444">
        <f t="shared" ca="1" si="147"/>
        <v>248304387.37988105</v>
      </c>
      <c r="M2318" s="460">
        <f t="shared" si="149"/>
        <v>0.05</v>
      </c>
      <c r="N2318" s="464">
        <f t="shared" si="150"/>
        <v>121597</v>
      </c>
    </row>
    <row r="2319" spans="7:14" ht="11.25" customHeight="1" x14ac:dyDescent="0.3">
      <c r="G2319" s="459"/>
      <c r="H2319" s="459">
        <v>2312</v>
      </c>
      <c r="I2319" s="444">
        <f t="shared" ca="1" si="148"/>
        <v>248304387.37988105</v>
      </c>
      <c r="J2319" s="444">
        <f t="array" ref="J2319">IFERROR(INDEX('Retirement Calculator'!J:J,MATCH('Isaac 401k'!N2319,'Retirement Calculator'!A:A,0),0),0)</f>
        <v>0</v>
      </c>
      <c r="K2319" s="444">
        <f t="shared" ca="1" si="146"/>
        <v>1034601.6140828377</v>
      </c>
      <c r="L2319" s="444">
        <f t="shared" ca="1" si="147"/>
        <v>249338988.9939639</v>
      </c>
      <c r="M2319" s="460">
        <f t="shared" si="149"/>
        <v>0.05</v>
      </c>
      <c r="N2319" s="464">
        <f t="shared" si="150"/>
        <v>121628</v>
      </c>
    </row>
    <row r="2320" spans="7:14" ht="11.25" customHeight="1" x14ac:dyDescent="0.3">
      <c r="G2320" s="459"/>
      <c r="H2320" s="459">
        <v>2313</v>
      </c>
      <c r="I2320" s="444">
        <f t="shared" ca="1" si="148"/>
        <v>249338988.9939639</v>
      </c>
      <c r="J2320" s="444">
        <f t="array" ref="J2320">IFERROR(INDEX('Retirement Calculator'!J:J,MATCH('Isaac 401k'!N2320,'Retirement Calculator'!A:A,0),0),0)</f>
        <v>0</v>
      </c>
      <c r="K2320" s="444">
        <f t="shared" ca="1" si="146"/>
        <v>1038912.4541415162</v>
      </c>
      <c r="L2320" s="444">
        <f t="shared" ca="1" si="147"/>
        <v>250377901.44810542</v>
      </c>
      <c r="M2320" s="460">
        <f t="shared" si="149"/>
        <v>0.05</v>
      </c>
      <c r="N2320" s="464">
        <f t="shared" si="150"/>
        <v>121659</v>
      </c>
    </row>
    <row r="2321" spans="7:14" ht="11.25" customHeight="1" x14ac:dyDescent="0.3">
      <c r="G2321" s="459"/>
      <c r="H2321" s="459">
        <v>2314</v>
      </c>
      <c r="I2321" s="444">
        <f t="shared" ca="1" si="148"/>
        <v>250377901.44810542</v>
      </c>
      <c r="J2321" s="444">
        <f t="array" ref="J2321">IFERROR(INDEX('Retirement Calculator'!J:J,MATCH('Isaac 401k'!N2321,'Retirement Calculator'!A:A,0),0),0)</f>
        <v>0</v>
      </c>
      <c r="K2321" s="444">
        <f t="shared" ca="1" si="146"/>
        <v>1043241.2560337727</v>
      </c>
      <c r="L2321" s="444">
        <f t="shared" ca="1" si="147"/>
        <v>251421142.7041392</v>
      </c>
      <c r="M2321" s="460">
        <f t="shared" si="149"/>
        <v>0.05</v>
      </c>
      <c r="N2321" s="464">
        <f t="shared" si="150"/>
        <v>121687</v>
      </c>
    </row>
    <row r="2322" spans="7:14" ht="11.25" customHeight="1" x14ac:dyDescent="0.3">
      <c r="G2322" s="459"/>
      <c r="H2322" s="459">
        <v>2315</v>
      </c>
      <c r="I2322" s="444">
        <f t="shared" ca="1" si="148"/>
        <v>251421142.7041392</v>
      </c>
      <c r="J2322" s="444">
        <f t="array" ref="J2322">IFERROR(INDEX('Retirement Calculator'!J:J,MATCH('Isaac 401k'!N2322,'Retirement Calculator'!A:A,0),0),0)</f>
        <v>0</v>
      </c>
      <c r="K2322" s="444">
        <f t="shared" ca="1" si="146"/>
        <v>1047588.0946005798</v>
      </c>
      <c r="L2322" s="444">
        <f t="shared" ca="1" si="147"/>
        <v>252468730.79873979</v>
      </c>
      <c r="M2322" s="460">
        <f t="shared" si="149"/>
        <v>0.05</v>
      </c>
      <c r="N2322" s="464">
        <f t="shared" si="150"/>
        <v>121718</v>
      </c>
    </row>
    <row r="2323" spans="7:14" ht="11.25" customHeight="1" x14ac:dyDescent="0.3">
      <c r="G2323" s="459"/>
      <c r="H2323" s="459">
        <v>2316</v>
      </c>
      <c r="I2323" s="444">
        <f t="shared" ca="1" si="148"/>
        <v>252468730.79873979</v>
      </c>
      <c r="J2323" s="444">
        <f t="array" ref="J2323">IFERROR(INDEX('Retirement Calculator'!J:J,MATCH('Isaac 401k'!N2323,'Retirement Calculator'!A:A,0),0),0)</f>
        <v>0</v>
      </c>
      <c r="K2323" s="444">
        <f t="shared" ca="1" si="146"/>
        <v>1051953.0449947491</v>
      </c>
      <c r="L2323" s="444">
        <f t="shared" ca="1" si="147"/>
        <v>253520683.84373453</v>
      </c>
      <c r="M2323" s="460">
        <f t="shared" si="149"/>
        <v>0.05</v>
      </c>
      <c r="N2323" s="464">
        <f t="shared" si="150"/>
        <v>121748</v>
      </c>
    </row>
    <row r="2324" spans="7:14" ht="11.25" customHeight="1" x14ac:dyDescent="0.3">
      <c r="G2324" s="459"/>
      <c r="H2324" s="459">
        <v>2317</v>
      </c>
      <c r="I2324" s="444">
        <f t="shared" ca="1" si="148"/>
        <v>253520683.84373453</v>
      </c>
      <c r="J2324" s="444">
        <f t="array" ref="J2324">IFERROR(INDEX('Retirement Calculator'!J:J,MATCH('Isaac 401k'!N2324,'Retirement Calculator'!A:A,0),0),0)</f>
        <v>0</v>
      </c>
      <c r="K2324" s="444">
        <f t="shared" ca="1" si="146"/>
        <v>1056336.1826822273</v>
      </c>
      <c r="L2324" s="444">
        <f t="shared" ca="1" si="147"/>
        <v>254577020.02641675</v>
      </c>
      <c r="M2324" s="460">
        <f t="shared" si="149"/>
        <v>0.05</v>
      </c>
      <c r="N2324" s="464">
        <f t="shared" si="150"/>
        <v>121779</v>
      </c>
    </row>
    <row r="2325" spans="7:14" ht="11.25" customHeight="1" x14ac:dyDescent="0.3">
      <c r="G2325" s="459"/>
      <c r="H2325" s="459">
        <v>2318</v>
      </c>
      <c r="I2325" s="444">
        <f t="shared" ca="1" si="148"/>
        <v>254577020.02641675</v>
      </c>
      <c r="J2325" s="444">
        <f t="array" ref="J2325">IFERROR(INDEX('Retirement Calculator'!J:J,MATCH('Isaac 401k'!N2325,'Retirement Calculator'!A:A,0),0),0)</f>
        <v>0</v>
      </c>
      <c r="K2325" s="444">
        <f t="shared" ca="1" si="146"/>
        <v>1060737.583443403</v>
      </c>
      <c r="L2325" s="444">
        <f t="shared" ca="1" si="147"/>
        <v>255637757.60986015</v>
      </c>
      <c r="M2325" s="460">
        <f t="shared" si="149"/>
        <v>0.05</v>
      </c>
      <c r="N2325" s="464">
        <f t="shared" si="150"/>
        <v>121809</v>
      </c>
    </row>
    <row r="2326" spans="7:14" ht="11.25" customHeight="1" x14ac:dyDescent="0.3">
      <c r="G2326" s="459"/>
      <c r="H2326" s="459">
        <v>2319</v>
      </c>
      <c r="I2326" s="444">
        <f t="shared" ca="1" si="148"/>
        <v>255637757.60986015</v>
      </c>
      <c r="J2326" s="444">
        <f t="array" ref="J2326">IFERROR(INDEX('Retirement Calculator'!J:J,MATCH('Isaac 401k'!N2326,'Retirement Calculator'!A:A,0),0),0)</f>
        <v>0</v>
      </c>
      <c r="K2326" s="444">
        <f t="shared" ca="1" si="146"/>
        <v>1065157.3233744174</v>
      </c>
      <c r="L2326" s="444">
        <f t="shared" ca="1" si="147"/>
        <v>256702914.93323457</v>
      </c>
      <c r="M2326" s="460">
        <f t="shared" si="149"/>
        <v>0.05</v>
      </c>
      <c r="N2326" s="464">
        <f t="shared" si="150"/>
        <v>121840</v>
      </c>
    </row>
    <row r="2327" spans="7:14" ht="11.25" customHeight="1" x14ac:dyDescent="0.3">
      <c r="G2327" s="459"/>
      <c r="H2327" s="459">
        <v>2320</v>
      </c>
      <c r="I2327" s="444">
        <f t="shared" ca="1" si="148"/>
        <v>256702914.93323457</v>
      </c>
      <c r="J2327" s="444">
        <f t="array" ref="J2327">IFERROR(INDEX('Retirement Calculator'!J:J,MATCH('Isaac 401k'!N2327,'Retirement Calculator'!A:A,0),0),0)</f>
        <v>0</v>
      </c>
      <c r="K2327" s="444">
        <f t="shared" ca="1" si="146"/>
        <v>1069595.4788884772</v>
      </c>
      <c r="L2327" s="444">
        <f t="shared" ca="1" si="147"/>
        <v>257772510.41212305</v>
      </c>
      <c r="M2327" s="460">
        <f t="shared" si="149"/>
        <v>0.05</v>
      </c>
      <c r="N2327" s="464">
        <f t="shared" si="150"/>
        <v>121871</v>
      </c>
    </row>
    <row r="2328" spans="7:14" ht="11.25" customHeight="1" x14ac:dyDescent="0.3">
      <c r="G2328" s="459"/>
      <c r="H2328" s="459">
        <v>2321</v>
      </c>
      <c r="I2328" s="444">
        <f t="shared" ca="1" si="148"/>
        <v>257772510.41212305</v>
      </c>
      <c r="J2328" s="444">
        <f t="array" ref="J2328">IFERROR(INDEX('Retirement Calculator'!J:J,MATCH('Isaac 401k'!N2328,'Retirement Calculator'!A:A,0),0),0)</f>
        <v>0</v>
      </c>
      <c r="K2328" s="444">
        <f t="shared" ca="1" si="146"/>
        <v>1074052.1267171795</v>
      </c>
      <c r="L2328" s="444">
        <f t="shared" ca="1" si="147"/>
        <v>258846562.53884023</v>
      </c>
      <c r="M2328" s="460">
        <f t="shared" si="149"/>
        <v>0.05</v>
      </c>
      <c r="N2328" s="464">
        <f t="shared" si="150"/>
        <v>121901</v>
      </c>
    </row>
    <row r="2329" spans="7:14" ht="11.25" customHeight="1" x14ac:dyDescent="0.3">
      <c r="G2329" s="459"/>
      <c r="H2329" s="459">
        <v>2322</v>
      </c>
      <c r="I2329" s="444">
        <f t="shared" ca="1" si="148"/>
        <v>258846562.53884023</v>
      </c>
      <c r="J2329" s="444">
        <f t="array" ref="J2329">IFERROR(INDEX('Retirement Calculator'!J:J,MATCH('Isaac 401k'!N2329,'Retirement Calculator'!A:A,0),0),0)</f>
        <v>0</v>
      </c>
      <c r="K2329" s="444">
        <f t="shared" ca="1" si="146"/>
        <v>1078527.3439118343</v>
      </c>
      <c r="L2329" s="444">
        <f t="shared" ca="1" si="147"/>
        <v>259925089.88275206</v>
      </c>
      <c r="M2329" s="460">
        <f t="shared" si="149"/>
        <v>0.05</v>
      </c>
      <c r="N2329" s="464">
        <f t="shared" si="150"/>
        <v>121932</v>
      </c>
    </row>
    <row r="2330" spans="7:14" ht="11.25" customHeight="1" x14ac:dyDescent="0.3">
      <c r="G2330" s="459"/>
      <c r="H2330" s="459">
        <v>2323</v>
      </c>
      <c r="I2330" s="444">
        <f t="shared" ca="1" si="148"/>
        <v>259925089.88275206</v>
      </c>
      <c r="J2330" s="444">
        <f t="array" ref="J2330">IFERROR(INDEX('Retirement Calculator'!J:J,MATCH('Isaac 401k'!N2330,'Retirement Calculator'!A:A,0),0),0)</f>
        <v>0</v>
      </c>
      <c r="K2330" s="444">
        <f t="shared" ca="1" si="146"/>
        <v>1083021.2078448003</v>
      </c>
      <c r="L2330" s="444">
        <f t="shared" ca="1" si="147"/>
        <v>261008111.09059685</v>
      </c>
      <c r="M2330" s="460">
        <f t="shared" si="149"/>
        <v>0.05</v>
      </c>
      <c r="N2330" s="464">
        <f t="shared" si="150"/>
        <v>121962</v>
      </c>
    </row>
    <row r="2331" spans="7:14" ht="11.25" customHeight="1" x14ac:dyDescent="0.3">
      <c r="G2331" s="459"/>
      <c r="H2331" s="459">
        <v>2324</v>
      </c>
      <c r="I2331" s="444">
        <f t="shared" ca="1" si="148"/>
        <v>261008111.09059685</v>
      </c>
      <c r="J2331" s="444">
        <f t="array" ref="J2331">IFERROR(INDEX('Retirement Calculator'!J:J,MATCH('Isaac 401k'!N2331,'Retirement Calculator'!A:A,0),0),0)</f>
        <v>0</v>
      </c>
      <c r="K2331" s="444">
        <f t="shared" ca="1" si="146"/>
        <v>1087533.7962108203</v>
      </c>
      <c r="L2331" s="444">
        <f t="shared" ca="1" si="147"/>
        <v>262095644.88680768</v>
      </c>
      <c r="M2331" s="460">
        <f t="shared" si="149"/>
        <v>0.05</v>
      </c>
      <c r="N2331" s="464">
        <f t="shared" si="150"/>
        <v>121993</v>
      </c>
    </row>
    <row r="2332" spans="7:14" ht="11.25" customHeight="1" x14ac:dyDescent="0.3">
      <c r="G2332" s="459"/>
      <c r="H2332" s="459">
        <v>2325</v>
      </c>
      <c r="I2332" s="444">
        <f t="shared" ca="1" si="148"/>
        <v>262095644.88680768</v>
      </c>
      <c r="J2332" s="444">
        <f t="array" ref="J2332">IFERROR(INDEX('Retirement Calculator'!J:J,MATCH('Isaac 401k'!N2332,'Retirement Calculator'!A:A,0),0),0)</f>
        <v>0</v>
      </c>
      <c r="K2332" s="444">
        <f t="shared" ca="1" si="146"/>
        <v>1092065.1870283654</v>
      </c>
      <c r="L2332" s="444">
        <f t="shared" ca="1" si="147"/>
        <v>263187710.07383606</v>
      </c>
      <c r="M2332" s="460">
        <f t="shared" si="149"/>
        <v>0.05</v>
      </c>
      <c r="N2332" s="464">
        <f t="shared" si="150"/>
        <v>122024</v>
      </c>
    </row>
    <row r="2333" spans="7:14" ht="11.25" customHeight="1" x14ac:dyDescent="0.3">
      <c r="G2333" s="459"/>
      <c r="H2333" s="459">
        <v>2326</v>
      </c>
      <c r="I2333" s="444">
        <f t="shared" ca="1" si="148"/>
        <v>263187710.07383606</v>
      </c>
      <c r="J2333" s="444">
        <f t="array" ref="J2333">IFERROR(INDEX('Retirement Calculator'!J:J,MATCH('Isaac 401k'!N2333,'Retirement Calculator'!A:A,0),0),0)</f>
        <v>0</v>
      </c>
      <c r="K2333" s="444">
        <f t="shared" ca="1" si="146"/>
        <v>1096615.4586409833</v>
      </c>
      <c r="L2333" s="444">
        <f t="shared" ca="1" si="147"/>
        <v>264284325.53247705</v>
      </c>
      <c r="M2333" s="460">
        <f t="shared" si="149"/>
        <v>0.05</v>
      </c>
      <c r="N2333" s="464">
        <f t="shared" si="150"/>
        <v>122052</v>
      </c>
    </row>
    <row r="2334" spans="7:14" ht="11.25" customHeight="1" x14ac:dyDescent="0.3">
      <c r="G2334" s="459"/>
      <c r="H2334" s="459">
        <v>2327</v>
      </c>
      <c r="I2334" s="444">
        <f t="shared" ca="1" si="148"/>
        <v>264284325.53247705</v>
      </c>
      <c r="J2334" s="444">
        <f t="array" ref="J2334">IFERROR(INDEX('Retirement Calculator'!J:J,MATCH('Isaac 401k'!N2334,'Retirement Calculator'!A:A,0),0),0)</f>
        <v>0</v>
      </c>
      <c r="K2334" s="444">
        <f t="shared" ca="1" si="146"/>
        <v>1101184.6897186541</v>
      </c>
      <c r="L2334" s="444">
        <f t="shared" ca="1" si="147"/>
        <v>265385510.22219571</v>
      </c>
      <c r="M2334" s="460">
        <f t="shared" si="149"/>
        <v>0.05</v>
      </c>
      <c r="N2334" s="464">
        <f t="shared" si="150"/>
        <v>122083</v>
      </c>
    </row>
    <row r="2335" spans="7:14" ht="11.25" customHeight="1" x14ac:dyDescent="0.3">
      <c r="G2335" s="459"/>
      <c r="H2335" s="459">
        <v>2328</v>
      </c>
      <c r="I2335" s="444">
        <f t="shared" ca="1" si="148"/>
        <v>265385510.22219571</v>
      </c>
      <c r="J2335" s="444">
        <f t="array" ref="J2335">IFERROR(INDEX('Retirement Calculator'!J:J,MATCH('Isaac 401k'!N2335,'Retirement Calculator'!A:A,0),0),0)</f>
        <v>0</v>
      </c>
      <c r="K2335" s="444">
        <f t="shared" ca="1" si="146"/>
        <v>1105772.9592591487</v>
      </c>
      <c r="L2335" s="444">
        <f t="shared" ca="1" si="147"/>
        <v>266491283.18145487</v>
      </c>
      <c r="M2335" s="460">
        <f t="shared" si="149"/>
        <v>0.05</v>
      </c>
      <c r="N2335" s="464">
        <f t="shared" si="150"/>
        <v>122113</v>
      </c>
    </row>
    <row r="2336" spans="7:14" ht="11.25" customHeight="1" x14ac:dyDescent="0.3">
      <c r="G2336" s="459"/>
      <c r="H2336" s="459">
        <v>2329</v>
      </c>
      <c r="I2336" s="444">
        <f t="shared" ca="1" si="148"/>
        <v>266491283.18145487</v>
      </c>
      <c r="J2336" s="444">
        <f t="array" ref="J2336">IFERROR(INDEX('Retirement Calculator'!J:J,MATCH('Isaac 401k'!N2336,'Retirement Calculator'!A:A,0),0),0)</f>
        <v>0</v>
      </c>
      <c r="K2336" s="444">
        <f t="shared" ca="1" si="146"/>
        <v>1110380.3465893951</v>
      </c>
      <c r="L2336" s="444">
        <f t="shared" ca="1" si="147"/>
        <v>267601663.52804425</v>
      </c>
      <c r="M2336" s="460">
        <f t="shared" si="149"/>
        <v>0.05</v>
      </c>
      <c r="N2336" s="464">
        <f t="shared" si="150"/>
        <v>122144</v>
      </c>
    </row>
    <row r="2337" spans="7:14" ht="11.25" customHeight="1" x14ac:dyDescent="0.3">
      <c r="G2337" s="459"/>
      <c r="H2337" s="459">
        <v>2330</v>
      </c>
      <c r="I2337" s="444">
        <f t="shared" ca="1" si="148"/>
        <v>267601663.52804425</v>
      </c>
      <c r="J2337" s="444">
        <f t="array" ref="J2337">IFERROR(INDEX('Retirement Calculator'!J:J,MATCH('Isaac 401k'!N2337,'Retirement Calculator'!A:A,0),0),0)</f>
        <v>0</v>
      </c>
      <c r="K2337" s="444">
        <f t="shared" ca="1" si="146"/>
        <v>1115006.9313668509</v>
      </c>
      <c r="L2337" s="444">
        <f t="shared" ca="1" si="147"/>
        <v>268716670.45941108</v>
      </c>
      <c r="M2337" s="460">
        <f t="shared" si="149"/>
        <v>0.05</v>
      </c>
      <c r="N2337" s="464">
        <f t="shared" si="150"/>
        <v>122174</v>
      </c>
    </row>
    <row r="2338" spans="7:14" ht="11.25" customHeight="1" x14ac:dyDescent="0.3">
      <c r="G2338" s="459"/>
      <c r="H2338" s="459">
        <v>2331</v>
      </c>
      <c r="I2338" s="444">
        <f t="shared" ca="1" si="148"/>
        <v>268716670.45941108</v>
      </c>
      <c r="J2338" s="444">
        <f t="array" ref="J2338">IFERROR(INDEX('Retirement Calculator'!J:J,MATCH('Isaac 401k'!N2338,'Retirement Calculator'!A:A,0),0),0)</f>
        <v>0</v>
      </c>
      <c r="K2338" s="444">
        <f t="shared" ca="1" si="146"/>
        <v>1119652.7935808795</v>
      </c>
      <c r="L2338" s="444">
        <f t="shared" ca="1" si="147"/>
        <v>269836323.25299197</v>
      </c>
      <c r="M2338" s="460">
        <f t="shared" si="149"/>
        <v>0.05</v>
      </c>
      <c r="N2338" s="464">
        <f t="shared" si="150"/>
        <v>122205</v>
      </c>
    </row>
    <row r="2339" spans="7:14" ht="11.25" customHeight="1" x14ac:dyDescent="0.3">
      <c r="G2339" s="459"/>
      <c r="H2339" s="459">
        <v>2332</v>
      </c>
      <c r="I2339" s="444">
        <f t="shared" ca="1" si="148"/>
        <v>269836323.25299197</v>
      </c>
      <c r="J2339" s="444">
        <f t="array" ref="J2339">IFERROR(INDEX('Retirement Calculator'!J:J,MATCH('Isaac 401k'!N2339,'Retirement Calculator'!A:A,0),0),0)</f>
        <v>0</v>
      </c>
      <c r="K2339" s="444">
        <f t="shared" ca="1" si="146"/>
        <v>1124318.0135541332</v>
      </c>
      <c r="L2339" s="444">
        <f t="shared" ca="1" si="147"/>
        <v>270960641.26654613</v>
      </c>
      <c r="M2339" s="460">
        <f t="shared" si="149"/>
        <v>0.05</v>
      </c>
      <c r="N2339" s="464">
        <f t="shared" si="150"/>
        <v>122236</v>
      </c>
    </row>
    <row r="2340" spans="7:14" ht="11.25" customHeight="1" x14ac:dyDescent="0.3">
      <c r="G2340" s="459"/>
      <c r="H2340" s="459">
        <v>2333</v>
      </c>
      <c r="I2340" s="444">
        <f t="shared" ca="1" si="148"/>
        <v>270960641.26654613</v>
      </c>
      <c r="J2340" s="444">
        <f t="array" ref="J2340">IFERROR(INDEX('Retirement Calculator'!J:J,MATCH('Isaac 401k'!N2340,'Retirement Calculator'!A:A,0),0),0)</f>
        <v>0</v>
      </c>
      <c r="K2340" s="444">
        <f t="shared" ca="1" si="146"/>
        <v>1129002.6719439421</v>
      </c>
      <c r="L2340" s="444">
        <f t="shared" ca="1" si="147"/>
        <v>272089643.93849009</v>
      </c>
      <c r="M2340" s="460">
        <f t="shared" si="149"/>
        <v>0.05</v>
      </c>
      <c r="N2340" s="464">
        <f t="shared" si="150"/>
        <v>122266</v>
      </c>
    </row>
    <row r="2341" spans="7:14" ht="11.25" customHeight="1" x14ac:dyDescent="0.3">
      <c r="G2341" s="459"/>
      <c r="H2341" s="459">
        <v>2334</v>
      </c>
      <c r="I2341" s="444">
        <f t="shared" ca="1" si="148"/>
        <v>272089643.93849009</v>
      </c>
      <c r="J2341" s="444">
        <f t="array" ref="J2341">IFERROR(INDEX('Retirement Calculator'!J:J,MATCH('Isaac 401k'!N2341,'Retirement Calculator'!A:A,0),0),0)</f>
        <v>0</v>
      </c>
      <c r="K2341" s="444">
        <f t="shared" ca="1" si="146"/>
        <v>1133706.8497437087</v>
      </c>
      <c r="L2341" s="444">
        <f t="shared" ca="1" si="147"/>
        <v>273223350.78823382</v>
      </c>
      <c r="M2341" s="460">
        <f t="shared" si="149"/>
        <v>0.05</v>
      </c>
      <c r="N2341" s="464">
        <f t="shared" si="150"/>
        <v>122297</v>
      </c>
    </row>
    <row r="2342" spans="7:14" ht="11.25" customHeight="1" x14ac:dyDescent="0.3">
      <c r="G2342" s="459"/>
      <c r="H2342" s="459">
        <v>2335</v>
      </c>
      <c r="I2342" s="444">
        <f t="shared" ca="1" si="148"/>
        <v>273223350.78823382</v>
      </c>
      <c r="J2342" s="444">
        <f t="array" ref="J2342">IFERROR(INDEX('Retirement Calculator'!J:J,MATCH('Isaac 401k'!N2342,'Retirement Calculator'!A:A,0),0),0)</f>
        <v>0</v>
      </c>
      <c r="K2342" s="444">
        <f t="shared" ca="1" si="146"/>
        <v>1138430.6282843077</v>
      </c>
      <c r="L2342" s="444">
        <f t="shared" ca="1" si="147"/>
        <v>274361781.41651815</v>
      </c>
      <c r="M2342" s="460">
        <f t="shared" si="149"/>
        <v>0.05</v>
      </c>
      <c r="N2342" s="464">
        <f t="shared" si="150"/>
        <v>122327</v>
      </c>
    </row>
    <row r="2343" spans="7:14" ht="11.25" customHeight="1" x14ac:dyDescent="0.3">
      <c r="G2343" s="459"/>
      <c r="H2343" s="459">
        <v>2336</v>
      </c>
      <c r="I2343" s="444">
        <f t="shared" ca="1" si="148"/>
        <v>274361781.41651815</v>
      </c>
      <c r="J2343" s="444">
        <f t="array" ref="J2343">IFERROR(INDEX('Retirement Calculator'!J:J,MATCH('Isaac 401k'!N2343,'Retirement Calculator'!A:A,0),0),0)</f>
        <v>0</v>
      </c>
      <c r="K2343" s="444">
        <f t="shared" ca="1" si="146"/>
        <v>1143174.0892354923</v>
      </c>
      <c r="L2343" s="444">
        <f t="shared" ca="1" si="147"/>
        <v>275504955.50575364</v>
      </c>
      <c r="M2343" s="460">
        <f t="shared" si="149"/>
        <v>0.05</v>
      </c>
      <c r="N2343" s="464">
        <f t="shared" si="150"/>
        <v>122358</v>
      </c>
    </row>
    <row r="2344" spans="7:14" ht="11.25" customHeight="1" x14ac:dyDescent="0.3">
      <c r="G2344" s="459"/>
      <c r="H2344" s="459">
        <v>2337</v>
      </c>
      <c r="I2344" s="444">
        <f t="shared" ca="1" si="148"/>
        <v>275504955.50575364</v>
      </c>
      <c r="J2344" s="444">
        <f t="array" ref="J2344">IFERROR(INDEX('Retirement Calculator'!J:J,MATCH('Isaac 401k'!N2344,'Retirement Calculator'!A:A,0),0),0)</f>
        <v>0</v>
      </c>
      <c r="K2344" s="444">
        <f t="shared" ca="1" si="146"/>
        <v>1147937.3146073068</v>
      </c>
      <c r="L2344" s="444">
        <f t="shared" ca="1" si="147"/>
        <v>276652892.82036096</v>
      </c>
      <c r="M2344" s="460">
        <f t="shared" si="149"/>
        <v>0.05</v>
      </c>
      <c r="N2344" s="464">
        <f t="shared" si="150"/>
        <v>122389</v>
      </c>
    </row>
    <row r="2345" spans="7:14" ht="11.25" customHeight="1" x14ac:dyDescent="0.3">
      <c r="G2345" s="459"/>
      <c r="H2345" s="459">
        <v>2338</v>
      </c>
      <c r="I2345" s="444">
        <f t="shared" ca="1" si="148"/>
        <v>276652892.82036096</v>
      </c>
      <c r="J2345" s="444">
        <f t="array" ref="J2345">IFERROR(INDEX('Retirement Calculator'!J:J,MATCH('Isaac 401k'!N2345,'Retirement Calculator'!A:A,0),0),0)</f>
        <v>0</v>
      </c>
      <c r="K2345" s="444">
        <f t="shared" ca="1" si="146"/>
        <v>1152720.3867515039</v>
      </c>
      <c r="L2345" s="444">
        <f t="shared" ca="1" si="147"/>
        <v>277805613.20711249</v>
      </c>
      <c r="M2345" s="460">
        <f t="shared" si="149"/>
        <v>0.05</v>
      </c>
      <c r="N2345" s="464">
        <f t="shared" si="150"/>
        <v>122417</v>
      </c>
    </row>
    <row r="2346" spans="7:14" ht="11.25" customHeight="1" x14ac:dyDescent="0.3">
      <c r="G2346" s="459"/>
      <c r="H2346" s="459">
        <v>2339</v>
      </c>
      <c r="I2346" s="444">
        <f t="shared" ca="1" si="148"/>
        <v>277805613.20711249</v>
      </c>
      <c r="J2346" s="444">
        <f t="array" ref="J2346">IFERROR(INDEX('Retirement Calculator'!J:J,MATCH('Isaac 401k'!N2346,'Retirement Calculator'!A:A,0),0),0)</f>
        <v>0</v>
      </c>
      <c r="K2346" s="444">
        <f t="shared" ca="1" si="146"/>
        <v>1157523.3883629688</v>
      </c>
      <c r="L2346" s="444">
        <f t="shared" ca="1" si="147"/>
        <v>278963136.59547544</v>
      </c>
      <c r="M2346" s="460">
        <f t="shared" si="149"/>
        <v>0.05</v>
      </c>
      <c r="N2346" s="464">
        <f t="shared" si="150"/>
        <v>122448</v>
      </c>
    </row>
    <row r="2347" spans="7:14" ht="11.25" customHeight="1" x14ac:dyDescent="0.3">
      <c r="G2347" s="459"/>
      <c r="H2347" s="459">
        <v>2340</v>
      </c>
      <c r="I2347" s="444">
        <f t="shared" ca="1" si="148"/>
        <v>278963136.59547544</v>
      </c>
      <c r="J2347" s="444">
        <f t="array" ref="J2347">IFERROR(INDEX('Retirement Calculator'!J:J,MATCH('Isaac 401k'!N2347,'Retirement Calculator'!A:A,0),0),0)</f>
        <v>0</v>
      </c>
      <c r="K2347" s="444">
        <f t="shared" ca="1" si="146"/>
        <v>1162346.4024811476</v>
      </c>
      <c r="L2347" s="444">
        <f t="shared" ca="1" si="147"/>
        <v>280125482.99795657</v>
      </c>
      <c r="M2347" s="460">
        <f t="shared" si="149"/>
        <v>0.05</v>
      </c>
      <c r="N2347" s="464">
        <f t="shared" si="150"/>
        <v>122478</v>
      </c>
    </row>
    <row r="2348" spans="7:14" ht="11.25" customHeight="1" x14ac:dyDescent="0.3">
      <c r="G2348" s="459"/>
      <c r="H2348" s="459">
        <v>2341</v>
      </c>
      <c r="I2348" s="444">
        <f t="shared" ca="1" si="148"/>
        <v>280125482.99795657</v>
      </c>
      <c r="J2348" s="444">
        <f t="array" ref="J2348">IFERROR(INDEX('Retirement Calculator'!J:J,MATCH('Isaac 401k'!N2348,'Retirement Calculator'!A:A,0),0),0)</f>
        <v>0</v>
      </c>
      <c r="K2348" s="444">
        <f t="shared" ca="1" si="146"/>
        <v>1167189.5124914858</v>
      </c>
      <c r="L2348" s="444">
        <f t="shared" ca="1" si="147"/>
        <v>281292672.51044804</v>
      </c>
      <c r="M2348" s="460">
        <f t="shared" si="149"/>
        <v>0.05</v>
      </c>
      <c r="N2348" s="464">
        <f t="shared" si="150"/>
        <v>122509</v>
      </c>
    </row>
    <row r="2349" spans="7:14" ht="11.25" customHeight="1" x14ac:dyDescent="0.3">
      <c r="G2349" s="459"/>
      <c r="H2349" s="459">
        <v>2342</v>
      </c>
      <c r="I2349" s="444">
        <f t="shared" ca="1" si="148"/>
        <v>281292672.51044804</v>
      </c>
      <c r="J2349" s="444">
        <f t="array" ref="J2349">IFERROR(INDEX('Retirement Calculator'!J:J,MATCH('Isaac 401k'!N2349,'Retirement Calculator'!A:A,0),0),0)</f>
        <v>0</v>
      </c>
      <c r="K2349" s="444">
        <f t="shared" ca="1" si="146"/>
        <v>1172052.8021268668</v>
      </c>
      <c r="L2349" s="444">
        <f t="shared" ca="1" si="147"/>
        <v>282464725.31257492</v>
      </c>
      <c r="M2349" s="460">
        <f t="shared" si="149"/>
        <v>0.05</v>
      </c>
      <c r="N2349" s="464">
        <f t="shared" si="150"/>
        <v>122539</v>
      </c>
    </row>
    <row r="2350" spans="7:14" ht="11.25" customHeight="1" x14ac:dyDescent="0.3">
      <c r="G2350" s="459"/>
      <c r="H2350" s="459">
        <v>2343</v>
      </c>
      <c r="I2350" s="444">
        <f t="shared" ca="1" si="148"/>
        <v>282464725.31257492</v>
      </c>
      <c r="J2350" s="444">
        <f t="array" ref="J2350">IFERROR(INDEX('Retirement Calculator'!J:J,MATCH('Isaac 401k'!N2350,'Retirement Calculator'!A:A,0),0),0)</f>
        <v>0</v>
      </c>
      <c r="K2350" s="444">
        <f t="shared" ca="1" si="146"/>
        <v>1176936.3554690622</v>
      </c>
      <c r="L2350" s="444">
        <f t="shared" ca="1" si="147"/>
        <v>283641661.66804397</v>
      </c>
      <c r="M2350" s="460">
        <f t="shared" si="149"/>
        <v>0.05</v>
      </c>
      <c r="N2350" s="464">
        <f t="shared" si="150"/>
        <v>122570</v>
      </c>
    </row>
    <row r="2351" spans="7:14" ht="11.25" customHeight="1" x14ac:dyDescent="0.3">
      <c r="G2351" s="459"/>
      <c r="H2351" s="459">
        <v>2344</v>
      </c>
      <c r="I2351" s="444">
        <f t="shared" ca="1" si="148"/>
        <v>283641661.66804397</v>
      </c>
      <c r="J2351" s="444">
        <f t="array" ref="J2351">IFERROR(INDEX('Retirement Calculator'!J:J,MATCH('Isaac 401k'!N2351,'Retirement Calculator'!A:A,0),0),0)</f>
        <v>0</v>
      </c>
      <c r="K2351" s="444">
        <f t="shared" ca="1" si="146"/>
        <v>1181840.2569501833</v>
      </c>
      <c r="L2351" s="444">
        <f t="shared" ca="1" si="147"/>
        <v>284823501.92499417</v>
      </c>
      <c r="M2351" s="460">
        <f t="shared" si="149"/>
        <v>0.05</v>
      </c>
      <c r="N2351" s="464">
        <f t="shared" si="150"/>
        <v>122601</v>
      </c>
    </row>
    <row r="2352" spans="7:14" ht="11.25" customHeight="1" x14ac:dyDescent="0.3">
      <c r="G2352" s="459"/>
      <c r="H2352" s="459">
        <v>2345</v>
      </c>
      <c r="I2352" s="444">
        <f t="shared" ca="1" si="148"/>
        <v>284823501.92499417</v>
      </c>
      <c r="J2352" s="444">
        <f t="array" ref="J2352">IFERROR(INDEX('Retirement Calculator'!J:J,MATCH('Isaac 401k'!N2352,'Retirement Calculator'!A:A,0),0),0)</f>
        <v>0</v>
      </c>
      <c r="K2352" s="444">
        <f t="shared" ca="1" si="146"/>
        <v>1186764.5913541424</v>
      </c>
      <c r="L2352" s="444">
        <f t="shared" ca="1" si="147"/>
        <v>286010266.5163483</v>
      </c>
      <c r="M2352" s="460">
        <f t="shared" si="149"/>
        <v>0.05</v>
      </c>
      <c r="N2352" s="464">
        <f t="shared" si="150"/>
        <v>122631</v>
      </c>
    </row>
    <row r="2353" spans="7:14" ht="11.25" customHeight="1" x14ac:dyDescent="0.3">
      <c r="G2353" s="459"/>
      <c r="H2353" s="459">
        <v>2346</v>
      </c>
      <c r="I2353" s="444">
        <f t="shared" ca="1" si="148"/>
        <v>286010266.5163483</v>
      </c>
      <c r="J2353" s="444">
        <f t="array" ref="J2353">IFERROR(INDEX('Retirement Calculator'!J:J,MATCH('Isaac 401k'!N2353,'Retirement Calculator'!A:A,0),0),0)</f>
        <v>0</v>
      </c>
      <c r="K2353" s="444">
        <f t="shared" ca="1" si="146"/>
        <v>1191709.443818118</v>
      </c>
      <c r="L2353" s="444">
        <f t="shared" ca="1" si="147"/>
        <v>287201975.96016639</v>
      </c>
      <c r="M2353" s="460">
        <f t="shared" si="149"/>
        <v>0.05</v>
      </c>
      <c r="N2353" s="464">
        <f t="shared" si="150"/>
        <v>122662</v>
      </c>
    </row>
    <row r="2354" spans="7:14" ht="11.25" customHeight="1" x14ac:dyDescent="0.3">
      <c r="G2354" s="459"/>
      <c r="H2354" s="459">
        <v>2347</v>
      </c>
      <c r="I2354" s="444">
        <f t="shared" ca="1" si="148"/>
        <v>287201975.96016639</v>
      </c>
      <c r="J2354" s="444">
        <f t="array" ref="J2354">IFERROR(INDEX('Retirement Calculator'!J:J,MATCH('Isaac 401k'!N2354,'Retirement Calculator'!A:A,0),0),0)</f>
        <v>0</v>
      </c>
      <c r="K2354" s="444">
        <f t="shared" ca="1" si="146"/>
        <v>1196674.8998340266</v>
      </c>
      <c r="L2354" s="444">
        <f t="shared" ca="1" si="147"/>
        <v>288398650.86000043</v>
      </c>
      <c r="M2354" s="460">
        <f t="shared" si="149"/>
        <v>0.05</v>
      </c>
      <c r="N2354" s="464">
        <f t="shared" si="150"/>
        <v>122692</v>
      </c>
    </row>
    <row r="2355" spans="7:14" ht="11.25" customHeight="1" x14ac:dyDescent="0.3">
      <c r="G2355" s="459"/>
      <c r="H2355" s="459">
        <v>2348</v>
      </c>
      <c r="I2355" s="444">
        <f t="shared" ca="1" si="148"/>
        <v>288398650.86000043</v>
      </c>
      <c r="J2355" s="444">
        <f t="array" ref="J2355">IFERROR(INDEX('Retirement Calculator'!J:J,MATCH('Isaac 401k'!N2355,'Retirement Calculator'!A:A,0),0),0)</f>
        <v>0</v>
      </c>
      <c r="K2355" s="444">
        <f t="shared" ca="1" si="146"/>
        <v>1201661.0452500018</v>
      </c>
      <c r="L2355" s="444">
        <f t="shared" ca="1" si="147"/>
        <v>289600311.90525043</v>
      </c>
      <c r="M2355" s="460">
        <f t="shared" si="149"/>
        <v>0.05</v>
      </c>
      <c r="N2355" s="464">
        <f t="shared" si="150"/>
        <v>122723</v>
      </c>
    </row>
    <row r="2356" spans="7:14" ht="11.25" customHeight="1" x14ac:dyDescent="0.3">
      <c r="G2356" s="459"/>
      <c r="H2356" s="459">
        <v>2349</v>
      </c>
      <c r="I2356" s="444">
        <f t="shared" ca="1" si="148"/>
        <v>289600311.90525043</v>
      </c>
      <c r="J2356" s="444">
        <f t="array" ref="J2356">IFERROR(INDEX('Retirement Calculator'!J:J,MATCH('Isaac 401k'!N2356,'Retirement Calculator'!A:A,0),0),0)</f>
        <v>0</v>
      </c>
      <c r="K2356" s="444">
        <f t="shared" ca="1" si="146"/>
        <v>1206667.9662718768</v>
      </c>
      <c r="L2356" s="444">
        <f t="shared" ca="1" si="147"/>
        <v>290806979.87152231</v>
      </c>
      <c r="M2356" s="460">
        <f t="shared" si="149"/>
        <v>0.05</v>
      </c>
      <c r="N2356" s="464">
        <f t="shared" si="150"/>
        <v>122754</v>
      </c>
    </row>
    <row r="2357" spans="7:14" ht="11.25" customHeight="1" x14ac:dyDescent="0.3">
      <c r="G2357" s="459"/>
      <c r="H2357" s="459">
        <v>2350</v>
      </c>
      <c r="I2357" s="444">
        <f t="shared" ca="1" si="148"/>
        <v>290806979.87152231</v>
      </c>
      <c r="J2357" s="444">
        <f t="array" ref="J2357">IFERROR(INDEX('Retirement Calculator'!J:J,MATCH('Isaac 401k'!N2357,'Retirement Calculator'!A:A,0),0),0)</f>
        <v>0</v>
      </c>
      <c r="K2357" s="444">
        <f t="shared" ca="1" si="146"/>
        <v>1211695.7494646762</v>
      </c>
      <c r="L2357" s="444">
        <f t="shared" ca="1" si="147"/>
        <v>292018675.620987</v>
      </c>
      <c r="M2357" s="460">
        <f t="shared" si="149"/>
        <v>0.05</v>
      </c>
      <c r="N2357" s="464">
        <f t="shared" si="150"/>
        <v>122783</v>
      </c>
    </row>
    <row r="2358" spans="7:14" ht="11.25" customHeight="1" x14ac:dyDescent="0.3">
      <c r="G2358" s="459"/>
      <c r="H2358" s="459">
        <v>2351</v>
      </c>
      <c r="I2358" s="444">
        <f t="shared" ca="1" si="148"/>
        <v>292018675.620987</v>
      </c>
      <c r="J2358" s="444">
        <f t="array" ref="J2358">IFERROR(INDEX('Retirement Calculator'!J:J,MATCH('Isaac 401k'!N2358,'Retirement Calculator'!A:A,0),0),0)</f>
        <v>0</v>
      </c>
      <c r="K2358" s="444">
        <f t="shared" ca="1" si="146"/>
        <v>1216744.4817541125</v>
      </c>
      <c r="L2358" s="444">
        <f t="shared" ca="1" si="147"/>
        <v>293235420.10274112</v>
      </c>
      <c r="M2358" s="460">
        <f t="shared" si="149"/>
        <v>0.05</v>
      </c>
      <c r="N2358" s="464">
        <f t="shared" si="150"/>
        <v>122814</v>
      </c>
    </row>
    <row r="2359" spans="7:14" ht="11.25" customHeight="1" x14ac:dyDescent="0.3">
      <c r="G2359" s="459"/>
      <c r="H2359" s="459">
        <v>2352</v>
      </c>
      <c r="I2359" s="444">
        <f t="shared" ca="1" si="148"/>
        <v>293235420.10274112</v>
      </c>
      <c r="J2359" s="444">
        <f t="array" ref="J2359">IFERROR(INDEX('Retirement Calculator'!J:J,MATCH('Isaac 401k'!N2359,'Retirement Calculator'!A:A,0),0),0)</f>
        <v>0</v>
      </c>
      <c r="K2359" s="444">
        <f t="shared" ca="1" si="146"/>
        <v>1221814.250428088</v>
      </c>
      <c r="L2359" s="444">
        <f t="shared" ca="1" si="147"/>
        <v>294457234.3531692</v>
      </c>
      <c r="M2359" s="460">
        <f t="shared" si="149"/>
        <v>0.05</v>
      </c>
      <c r="N2359" s="464">
        <f t="shared" si="150"/>
        <v>122844</v>
      </c>
    </row>
    <row r="2360" spans="7:14" ht="11.25" customHeight="1" x14ac:dyDescent="0.3">
      <c r="G2360" s="459"/>
      <c r="H2360" s="459">
        <v>2353</v>
      </c>
      <c r="I2360" s="444">
        <f t="shared" ca="1" si="148"/>
        <v>294457234.3531692</v>
      </c>
      <c r="J2360" s="444">
        <f t="array" ref="J2360">IFERROR(INDEX('Retirement Calculator'!J:J,MATCH('Isaac 401k'!N2360,'Retirement Calculator'!A:A,0),0),0)</f>
        <v>0</v>
      </c>
      <c r="K2360" s="444">
        <f t="shared" ca="1" si="146"/>
        <v>1226905.1431382049</v>
      </c>
      <c r="L2360" s="444">
        <f t="shared" ca="1" si="147"/>
        <v>295684139.49630743</v>
      </c>
      <c r="M2360" s="460">
        <f t="shared" si="149"/>
        <v>0.05</v>
      </c>
      <c r="N2360" s="464">
        <f t="shared" si="150"/>
        <v>122875</v>
      </c>
    </row>
    <row r="2361" spans="7:14" ht="11.25" customHeight="1" x14ac:dyDescent="0.3">
      <c r="G2361" s="459"/>
      <c r="H2361" s="459">
        <v>2354</v>
      </c>
      <c r="I2361" s="444">
        <f t="shared" ca="1" si="148"/>
        <v>295684139.49630743</v>
      </c>
      <c r="J2361" s="444">
        <f t="array" ref="J2361">IFERROR(INDEX('Retirement Calculator'!J:J,MATCH('Isaac 401k'!N2361,'Retirement Calculator'!A:A,0),0),0)</f>
        <v>0</v>
      </c>
      <c r="K2361" s="444">
        <f t="shared" ca="1" si="146"/>
        <v>1232017.2479012809</v>
      </c>
      <c r="L2361" s="444">
        <f t="shared" ca="1" si="147"/>
        <v>296916156.74420869</v>
      </c>
      <c r="M2361" s="460">
        <f t="shared" si="149"/>
        <v>0.05</v>
      </c>
      <c r="N2361" s="464">
        <f t="shared" si="150"/>
        <v>122905</v>
      </c>
    </row>
    <row r="2362" spans="7:14" ht="11.25" customHeight="1" x14ac:dyDescent="0.3">
      <c r="G2362" s="459"/>
      <c r="H2362" s="459">
        <v>2355</v>
      </c>
      <c r="I2362" s="444">
        <f t="shared" ca="1" si="148"/>
        <v>296916156.74420869</v>
      </c>
      <c r="J2362" s="444">
        <f t="array" ref="J2362">IFERROR(INDEX('Retirement Calculator'!J:J,MATCH('Isaac 401k'!N2362,'Retirement Calculator'!A:A,0),0),0)</f>
        <v>0</v>
      </c>
      <c r="K2362" s="444">
        <f t="shared" ca="1" si="146"/>
        <v>1237150.6531008696</v>
      </c>
      <c r="L2362" s="444">
        <f t="shared" ca="1" si="147"/>
        <v>298153307.39730954</v>
      </c>
      <c r="M2362" s="460">
        <f t="shared" si="149"/>
        <v>0.05</v>
      </c>
      <c r="N2362" s="464">
        <f t="shared" si="150"/>
        <v>122936</v>
      </c>
    </row>
    <row r="2363" spans="7:14" ht="11.25" customHeight="1" x14ac:dyDescent="0.3">
      <c r="G2363" s="459"/>
      <c r="H2363" s="459">
        <v>2356</v>
      </c>
      <c r="I2363" s="444">
        <f t="shared" ca="1" si="148"/>
        <v>298153307.39730954</v>
      </c>
      <c r="J2363" s="444">
        <f t="array" ref="J2363">IFERROR(INDEX('Retirement Calculator'!J:J,MATCH('Isaac 401k'!N2363,'Retirement Calculator'!A:A,0),0),0)</f>
        <v>0</v>
      </c>
      <c r="K2363" s="444">
        <f t="shared" ca="1" si="146"/>
        <v>1242305.4474887897</v>
      </c>
      <c r="L2363" s="444">
        <f t="shared" ca="1" si="147"/>
        <v>299395612.84479833</v>
      </c>
      <c r="M2363" s="460">
        <f t="shared" si="149"/>
        <v>0.05</v>
      </c>
      <c r="N2363" s="464">
        <f t="shared" si="150"/>
        <v>122967</v>
      </c>
    </row>
    <row r="2364" spans="7:14" ht="11.25" customHeight="1" x14ac:dyDescent="0.3">
      <c r="G2364" s="459"/>
      <c r="H2364" s="459">
        <v>2357</v>
      </c>
      <c r="I2364" s="444">
        <f t="shared" ca="1" si="148"/>
        <v>299395612.84479833</v>
      </c>
      <c r="J2364" s="444">
        <f t="array" ref="J2364">IFERROR(INDEX('Retirement Calculator'!J:J,MATCH('Isaac 401k'!N2364,'Retirement Calculator'!A:A,0),0),0)</f>
        <v>0</v>
      </c>
      <c r="K2364" s="444">
        <f t="shared" ca="1" si="146"/>
        <v>1247481.7201866596</v>
      </c>
      <c r="L2364" s="444">
        <f t="shared" ca="1" si="147"/>
        <v>300643094.56498498</v>
      </c>
      <c r="M2364" s="460">
        <f t="shared" si="149"/>
        <v>0.05</v>
      </c>
      <c r="N2364" s="464">
        <f t="shared" si="150"/>
        <v>122997</v>
      </c>
    </row>
    <row r="2365" spans="7:14" ht="11.25" customHeight="1" x14ac:dyDescent="0.3">
      <c r="G2365" s="459"/>
      <c r="H2365" s="459">
        <v>2358</v>
      </c>
      <c r="I2365" s="444">
        <f t="shared" ca="1" si="148"/>
        <v>300643094.56498498</v>
      </c>
      <c r="J2365" s="444">
        <f t="array" ref="J2365">IFERROR(INDEX('Retirement Calculator'!J:J,MATCH('Isaac 401k'!N2365,'Retirement Calculator'!A:A,0),0),0)</f>
        <v>0</v>
      </c>
      <c r="K2365" s="444">
        <f t="shared" ca="1" si="146"/>
        <v>1252679.5606874374</v>
      </c>
      <c r="L2365" s="444">
        <f t="shared" ca="1" si="147"/>
        <v>301895774.1256724</v>
      </c>
      <c r="M2365" s="460">
        <f t="shared" si="149"/>
        <v>0.05</v>
      </c>
      <c r="N2365" s="464">
        <f t="shared" si="150"/>
        <v>123028</v>
      </c>
    </row>
    <row r="2366" spans="7:14" ht="11.25" customHeight="1" x14ac:dyDescent="0.3">
      <c r="G2366" s="459"/>
      <c r="H2366" s="459">
        <v>2359</v>
      </c>
      <c r="I2366" s="444">
        <f t="shared" ca="1" si="148"/>
        <v>301895774.1256724</v>
      </c>
      <c r="J2366" s="444">
        <f t="array" ref="J2366">IFERROR(INDEX('Retirement Calculator'!J:J,MATCH('Isaac 401k'!N2366,'Retirement Calculator'!A:A,0),0),0)</f>
        <v>0</v>
      </c>
      <c r="K2366" s="444">
        <f t="shared" ca="1" si="146"/>
        <v>1257899.0588569683</v>
      </c>
      <c r="L2366" s="444">
        <f t="shared" ca="1" si="147"/>
        <v>303153673.18452936</v>
      </c>
      <c r="M2366" s="460">
        <f t="shared" si="149"/>
        <v>0.05</v>
      </c>
      <c r="N2366" s="464">
        <f t="shared" si="150"/>
        <v>123058</v>
      </c>
    </row>
    <row r="2367" spans="7:14" ht="11.25" customHeight="1" x14ac:dyDescent="0.3">
      <c r="G2367" s="459"/>
      <c r="H2367" s="459">
        <v>2360</v>
      </c>
      <c r="I2367" s="444">
        <f t="shared" ca="1" si="148"/>
        <v>303153673.18452936</v>
      </c>
      <c r="J2367" s="444">
        <f t="array" ref="J2367">IFERROR(INDEX('Retirement Calculator'!J:J,MATCH('Isaac 401k'!N2367,'Retirement Calculator'!A:A,0),0),0)</f>
        <v>0</v>
      </c>
      <c r="K2367" s="444">
        <f t="shared" ca="1" si="146"/>
        <v>1263140.3049355389</v>
      </c>
      <c r="L2367" s="444">
        <f t="shared" ca="1" si="147"/>
        <v>304416813.48946488</v>
      </c>
      <c r="M2367" s="460">
        <f t="shared" si="149"/>
        <v>0.05</v>
      </c>
      <c r="N2367" s="464">
        <f t="shared" si="150"/>
        <v>123089</v>
      </c>
    </row>
    <row r="2368" spans="7:14" ht="11.25" customHeight="1" x14ac:dyDescent="0.3">
      <c r="G2368" s="459"/>
      <c r="H2368" s="459">
        <v>2361</v>
      </c>
      <c r="I2368" s="444">
        <f t="shared" ca="1" si="148"/>
        <v>304416813.48946488</v>
      </c>
      <c r="J2368" s="444">
        <f t="array" ref="J2368">IFERROR(INDEX('Retirement Calculator'!J:J,MATCH('Isaac 401k'!N2368,'Retirement Calculator'!A:A,0),0),0)</f>
        <v>0</v>
      </c>
      <c r="K2368" s="444">
        <f t="shared" ca="1" si="146"/>
        <v>1268403.3895394369</v>
      </c>
      <c r="L2368" s="444">
        <f t="shared" ca="1" si="147"/>
        <v>305685216.8790043</v>
      </c>
      <c r="M2368" s="460">
        <f t="shared" si="149"/>
        <v>0.05</v>
      </c>
      <c r="N2368" s="464">
        <f t="shared" si="150"/>
        <v>123120</v>
      </c>
    </row>
    <row r="2369" spans="7:14" ht="11.25" customHeight="1" x14ac:dyDescent="0.3">
      <c r="G2369" s="459"/>
      <c r="H2369" s="459">
        <v>2362</v>
      </c>
      <c r="I2369" s="444">
        <f t="shared" ca="1" si="148"/>
        <v>305685216.8790043</v>
      </c>
      <c r="J2369" s="444">
        <f t="array" ref="J2369">IFERROR(INDEX('Retirement Calculator'!J:J,MATCH('Isaac 401k'!N2369,'Retirement Calculator'!A:A,0),0),0)</f>
        <v>0</v>
      </c>
      <c r="K2369" s="444">
        <f t="shared" ca="1" si="146"/>
        <v>1273688.4036625179</v>
      </c>
      <c r="L2369" s="444">
        <f t="shared" ca="1" si="147"/>
        <v>306958905.2826668</v>
      </c>
      <c r="M2369" s="460">
        <f t="shared" si="149"/>
        <v>0.05</v>
      </c>
      <c r="N2369" s="464">
        <f t="shared" si="150"/>
        <v>123148</v>
      </c>
    </row>
    <row r="2370" spans="7:14" ht="11.25" customHeight="1" x14ac:dyDescent="0.3">
      <c r="G2370" s="459"/>
      <c r="H2370" s="459">
        <v>2363</v>
      </c>
      <c r="I2370" s="444">
        <f t="shared" ca="1" si="148"/>
        <v>306958905.2826668</v>
      </c>
      <c r="J2370" s="444">
        <f t="array" ref="J2370">IFERROR(INDEX('Retirement Calculator'!J:J,MATCH('Isaac 401k'!N2370,'Retirement Calculator'!A:A,0),0),0)</f>
        <v>0</v>
      </c>
      <c r="K2370" s="444">
        <f t="shared" ca="1" si="146"/>
        <v>1278995.4386777782</v>
      </c>
      <c r="L2370" s="444">
        <f t="shared" ca="1" si="147"/>
        <v>308237900.72134459</v>
      </c>
      <c r="M2370" s="460">
        <f t="shared" si="149"/>
        <v>0.05</v>
      </c>
      <c r="N2370" s="464">
        <f t="shared" si="150"/>
        <v>123179</v>
      </c>
    </row>
    <row r="2371" spans="7:14" ht="11.25" customHeight="1" x14ac:dyDescent="0.3">
      <c r="G2371" s="459"/>
      <c r="H2371" s="459">
        <v>2364</v>
      </c>
      <c r="I2371" s="444">
        <f t="shared" ca="1" si="148"/>
        <v>308237900.72134459</v>
      </c>
      <c r="J2371" s="444">
        <f t="array" ref="J2371">IFERROR(INDEX('Retirement Calculator'!J:J,MATCH('Isaac 401k'!N2371,'Retirement Calculator'!A:A,0),0),0)</f>
        <v>0</v>
      </c>
      <c r="K2371" s="444">
        <f t="shared" ca="1" si="146"/>
        <v>1284324.5863389359</v>
      </c>
      <c r="L2371" s="444">
        <f t="shared" ca="1" si="147"/>
        <v>309522225.30768353</v>
      </c>
      <c r="M2371" s="460">
        <f t="shared" si="149"/>
        <v>0.05</v>
      </c>
      <c r="N2371" s="464">
        <f t="shared" si="150"/>
        <v>123209</v>
      </c>
    </row>
    <row r="2372" spans="7:14" ht="11.25" customHeight="1" x14ac:dyDescent="0.3">
      <c r="G2372" s="459"/>
      <c r="H2372" s="459">
        <v>2365</v>
      </c>
      <c r="I2372" s="444">
        <f t="shared" ca="1" si="148"/>
        <v>309522225.30768353</v>
      </c>
      <c r="J2372" s="444">
        <f t="array" ref="J2372">IFERROR(INDEX('Retirement Calculator'!J:J,MATCH('Isaac 401k'!N2372,'Retirement Calculator'!A:A,0),0),0)</f>
        <v>0</v>
      </c>
      <c r="K2372" s="444">
        <f t="shared" ca="1" si="146"/>
        <v>1289675.9387820147</v>
      </c>
      <c r="L2372" s="444">
        <f t="shared" ca="1" si="147"/>
        <v>310811901.24646556</v>
      </c>
      <c r="M2372" s="460">
        <f t="shared" si="149"/>
        <v>0.05</v>
      </c>
      <c r="N2372" s="464">
        <f t="shared" si="150"/>
        <v>123240</v>
      </c>
    </row>
    <row r="2373" spans="7:14" ht="11.25" customHeight="1" x14ac:dyDescent="0.3">
      <c r="G2373" s="459"/>
      <c r="H2373" s="459">
        <v>2366</v>
      </c>
      <c r="I2373" s="444">
        <f t="shared" ca="1" si="148"/>
        <v>310811901.24646556</v>
      </c>
      <c r="J2373" s="444">
        <f t="array" ref="J2373">IFERROR(INDEX('Retirement Calculator'!J:J,MATCH('Isaac 401k'!N2373,'Retirement Calculator'!A:A,0),0),0)</f>
        <v>0</v>
      </c>
      <c r="K2373" s="444">
        <f t="shared" ca="1" si="146"/>
        <v>1295049.5885269397</v>
      </c>
      <c r="L2373" s="444">
        <f t="shared" ca="1" si="147"/>
        <v>312106950.83499253</v>
      </c>
      <c r="M2373" s="460">
        <f t="shared" si="149"/>
        <v>0.05</v>
      </c>
      <c r="N2373" s="464">
        <f t="shared" si="150"/>
        <v>123270</v>
      </c>
    </row>
    <row r="2374" spans="7:14" ht="11.25" customHeight="1" x14ac:dyDescent="0.3">
      <c r="G2374" s="459"/>
      <c r="H2374" s="459">
        <v>2367</v>
      </c>
      <c r="I2374" s="444">
        <f t="shared" ca="1" si="148"/>
        <v>312106950.83499253</v>
      </c>
      <c r="J2374" s="444">
        <f t="array" ref="J2374">IFERROR(INDEX('Retirement Calculator'!J:J,MATCH('Isaac 401k'!N2374,'Retirement Calculator'!A:A,0),0),0)</f>
        <v>0</v>
      </c>
      <c r="K2374" s="444">
        <f t="shared" ca="1" si="146"/>
        <v>1300445.6284791355</v>
      </c>
      <c r="L2374" s="444">
        <f t="shared" ca="1" si="147"/>
        <v>313407396.46347165</v>
      </c>
      <c r="M2374" s="460">
        <f t="shared" si="149"/>
        <v>0.05</v>
      </c>
      <c r="N2374" s="464">
        <f t="shared" si="150"/>
        <v>123301</v>
      </c>
    </row>
    <row r="2375" spans="7:14" ht="11.25" customHeight="1" x14ac:dyDescent="0.3">
      <c r="G2375" s="459"/>
      <c r="H2375" s="459">
        <v>2368</v>
      </c>
      <c r="I2375" s="444">
        <f t="shared" ca="1" si="148"/>
        <v>313407396.46347165</v>
      </c>
      <c r="J2375" s="444">
        <f t="array" ref="J2375">IFERROR(INDEX('Retirement Calculator'!J:J,MATCH('Isaac 401k'!N2375,'Retirement Calculator'!A:A,0),0),0)</f>
        <v>0</v>
      </c>
      <c r="K2375" s="444">
        <f t="shared" ca="1" si="146"/>
        <v>1305864.151931132</v>
      </c>
      <c r="L2375" s="444">
        <f t="shared" ca="1" si="147"/>
        <v>314713260.61540276</v>
      </c>
      <c r="M2375" s="460">
        <f t="shared" si="149"/>
        <v>0.05</v>
      </c>
      <c r="N2375" s="464">
        <f t="shared" si="150"/>
        <v>123332</v>
      </c>
    </row>
    <row r="2376" spans="7:14" ht="11.25" customHeight="1" x14ac:dyDescent="0.3">
      <c r="G2376" s="459"/>
      <c r="H2376" s="459">
        <v>2369</v>
      </c>
      <c r="I2376" s="444">
        <f t="shared" ca="1" si="148"/>
        <v>314713260.61540276</v>
      </c>
      <c r="J2376" s="444">
        <f t="array" ref="J2376">IFERROR(INDEX('Retirement Calculator'!J:J,MATCH('Isaac 401k'!N2376,'Retirement Calculator'!A:A,0),0),0)</f>
        <v>0</v>
      </c>
      <c r="K2376" s="444">
        <f t="shared" ca="1" si="146"/>
        <v>1311305.2525641781</v>
      </c>
      <c r="L2376" s="444">
        <f t="shared" ca="1" si="147"/>
        <v>316024565.86796695</v>
      </c>
      <c r="M2376" s="460">
        <f t="shared" si="149"/>
        <v>0.05</v>
      </c>
      <c r="N2376" s="464">
        <f t="shared" si="150"/>
        <v>123362</v>
      </c>
    </row>
    <row r="2377" spans="7:14" ht="11.25" customHeight="1" x14ac:dyDescent="0.3">
      <c r="G2377" s="459"/>
      <c r="H2377" s="459">
        <v>2370</v>
      </c>
      <c r="I2377" s="444">
        <f t="shared" ca="1" si="148"/>
        <v>316024565.86796695</v>
      </c>
      <c r="J2377" s="444">
        <f t="array" ref="J2377">IFERROR(INDEX('Retirement Calculator'!J:J,MATCH('Isaac 401k'!N2377,'Retirement Calculator'!A:A,0),0),0)</f>
        <v>0</v>
      </c>
      <c r="K2377" s="444">
        <f t="shared" ca="1" si="146"/>
        <v>1316769.0244498623</v>
      </c>
      <c r="L2377" s="444">
        <f t="shared" ca="1" si="147"/>
        <v>317341334.89241683</v>
      </c>
      <c r="M2377" s="460">
        <f t="shared" si="149"/>
        <v>0.05</v>
      </c>
      <c r="N2377" s="464">
        <f t="shared" si="150"/>
        <v>123393</v>
      </c>
    </row>
    <row r="2378" spans="7:14" ht="11.25" customHeight="1" x14ac:dyDescent="0.3">
      <c r="G2378" s="459"/>
      <c r="H2378" s="459">
        <v>2371</v>
      </c>
      <c r="I2378" s="444">
        <f t="shared" ca="1" si="148"/>
        <v>317341334.89241683</v>
      </c>
      <c r="J2378" s="444">
        <f t="array" ref="J2378">IFERROR(INDEX('Retirement Calculator'!J:J,MATCH('Isaac 401k'!N2378,'Retirement Calculator'!A:A,0),0),0)</f>
        <v>0</v>
      </c>
      <c r="K2378" s="444">
        <f t="shared" ca="1" si="146"/>
        <v>1322255.5620517367</v>
      </c>
      <c r="L2378" s="444">
        <f t="shared" ca="1" si="147"/>
        <v>318663590.45446855</v>
      </c>
      <c r="M2378" s="460">
        <f t="shared" si="149"/>
        <v>0.05</v>
      </c>
      <c r="N2378" s="464">
        <f t="shared" si="150"/>
        <v>123423</v>
      </c>
    </row>
    <row r="2379" spans="7:14" ht="11.25" customHeight="1" x14ac:dyDescent="0.3">
      <c r="G2379" s="459"/>
      <c r="H2379" s="459">
        <v>2372</v>
      </c>
      <c r="I2379" s="444">
        <f t="shared" ca="1" si="148"/>
        <v>318663590.45446855</v>
      </c>
      <c r="J2379" s="444">
        <f t="array" ref="J2379">IFERROR(INDEX('Retirement Calculator'!J:J,MATCH('Isaac 401k'!N2379,'Retirement Calculator'!A:A,0),0),0)</f>
        <v>0</v>
      </c>
      <c r="K2379" s="444">
        <f t="shared" ca="1" si="146"/>
        <v>1327764.9602269523</v>
      </c>
      <c r="L2379" s="444">
        <f t="shared" ca="1" si="147"/>
        <v>319991355.4146955</v>
      </c>
      <c r="M2379" s="460">
        <f t="shared" si="149"/>
        <v>0.05</v>
      </c>
      <c r="N2379" s="464">
        <f t="shared" si="150"/>
        <v>123454</v>
      </c>
    </row>
    <row r="2380" spans="7:14" ht="11.25" customHeight="1" x14ac:dyDescent="0.3">
      <c r="G2380" s="459"/>
      <c r="H2380" s="459">
        <v>2373</v>
      </c>
      <c r="I2380" s="444">
        <f t="shared" ca="1" si="148"/>
        <v>319991355.4146955</v>
      </c>
      <c r="J2380" s="444">
        <f t="array" ref="J2380">IFERROR(INDEX('Retirement Calculator'!J:J,MATCH('Isaac 401k'!N2380,'Retirement Calculator'!A:A,0),0),0)</f>
        <v>0</v>
      </c>
      <c r="K2380" s="444">
        <f t="shared" ca="1" si="146"/>
        <v>1333297.3142278979</v>
      </c>
      <c r="L2380" s="444">
        <f t="shared" ca="1" si="147"/>
        <v>321324652.72892338</v>
      </c>
      <c r="M2380" s="460">
        <f t="shared" si="149"/>
        <v>0.05</v>
      </c>
      <c r="N2380" s="464">
        <f t="shared" si="150"/>
        <v>123485</v>
      </c>
    </row>
    <row r="2381" spans="7:14" ht="11.25" customHeight="1" x14ac:dyDescent="0.3">
      <c r="G2381" s="459"/>
      <c r="H2381" s="459">
        <v>2374</v>
      </c>
      <c r="I2381" s="444">
        <f t="shared" ca="1" si="148"/>
        <v>321324652.72892338</v>
      </c>
      <c r="J2381" s="444">
        <f t="array" ref="J2381">IFERROR(INDEX('Retirement Calculator'!J:J,MATCH('Isaac 401k'!N2381,'Retirement Calculator'!A:A,0),0),0)</f>
        <v>0</v>
      </c>
      <c r="K2381" s="444">
        <f t="shared" ca="1" si="146"/>
        <v>1338852.7197038473</v>
      </c>
      <c r="L2381" s="444">
        <f t="shared" ca="1" si="147"/>
        <v>322663505.44862723</v>
      </c>
      <c r="M2381" s="460">
        <f t="shared" si="149"/>
        <v>0.05</v>
      </c>
      <c r="N2381" s="464">
        <f t="shared" si="150"/>
        <v>123513</v>
      </c>
    </row>
    <row r="2382" spans="7:14" ht="11.25" customHeight="1" x14ac:dyDescent="0.3">
      <c r="G2382" s="459"/>
      <c r="H2382" s="459">
        <v>2375</v>
      </c>
      <c r="I2382" s="444">
        <f t="shared" ca="1" si="148"/>
        <v>322663505.44862723</v>
      </c>
      <c r="J2382" s="444">
        <f t="array" ref="J2382">IFERROR(INDEX('Retirement Calculator'!J:J,MATCH('Isaac 401k'!N2382,'Retirement Calculator'!A:A,0),0),0)</f>
        <v>0</v>
      </c>
      <c r="K2382" s="444">
        <f t="shared" ca="1" si="146"/>
        <v>1344431.2727026134</v>
      </c>
      <c r="L2382" s="444">
        <f t="shared" ca="1" si="147"/>
        <v>324007936.72132987</v>
      </c>
      <c r="M2382" s="460">
        <f t="shared" si="149"/>
        <v>0.05</v>
      </c>
      <c r="N2382" s="464">
        <f t="shared" si="150"/>
        <v>123544</v>
      </c>
    </row>
    <row r="2383" spans="7:14" ht="11.25" customHeight="1" x14ac:dyDescent="0.3">
      <c r="G2383" s="459"/>
      <c r="H2383" s="459">
        <v>2376</v>
      </c>
      <c r="I2383" s="444">
        <f t="shared" ca="1" si="148"/>
        <v>324007936.72132987</v>
      </c>
      <c r="J2383" s="444">
        <f t="array" ref="J2383">IFERROR(INDEX('Retirement Calculator'!J:J,MATCH('Isaac 401k'!N2383,'Retirement Calculator'!A:A,0),0),0)</f>
        <v>0</v>
      </c>
      <c r="K2383" s="444">
        <f t="shared" ca="1" si="146"/>
        <v>1350033.0696722078</v>
      </c>
      <c r="L2383" s="444">
        <f t="shared" ca="1" si="147"/>
        <v>325357969.79100209</v>
      </c>
      <c r="M2383" s="460">
        <f t="shared" si="149"/>
        <v>0.05</v>
      </c>
      <c r="N2383" s="464">
        <f t="shared" si="150"/>
        <v>123574</v>
      </c>
    </row>
    <row r="2384" spans="7:14" ht="11.25" customHeight="1" x14ac:dyDescent="0.3">
      <c r="G2384" s="459"/>
      <c r="H2384" s="459">
        <v>2377</v>
      </c>
      <c r="I2384" s="444">
        <f t="shared" ca="1" si="148"/>
        <v>325357969.79100209</v>
      </c>
      <c r="J2384" s="444">
        <f t="array" ref="J2384">IFERROR(INDEX('Retirement Calculator'!J:J,MATCH('Isaac 401k'!N2384,'Retirement Calculator'!A:A,0),0),0)</f>
        <v>0</v>
      </c>
      <c r="K2384" s="444">
        <f t="shared" ca="1" si="146"/>
        <v>1355658.2074625087</v>
      </c>
      <c r="L2384" s="444">
        <f t="shared" ca="1" si="147"/>
        <v>326713627.99846458</v>
      </c>
      <c r="M2384" s="460">
        <f t="shared" si="149"/>
        <v>0.05</v>
      </c>
      <c r="N2384" s="464">
        <f t="shared" si="150"/>
        <v>123605</v>
      </c>
    </row>
    <row r="2385" spans="7:14" ht="11.25" customHeight="1" x14ac:dyDescent="0.3">
      <c r="G2385" s="459"/>
      <c r="H2385" s="459">
        <v>2378</v>
      </c>
      <c r="I2385" s="444">
        <f t="shared" ca="1" si="148"/>
        <v>326713627.99846458</v>
      </c>
      <c r="J2385" s="444">
        <f t="array" ref="J2385">IFERROR(INDEX('Retirement Calculator'!J:J,MATCH('Isaac 401k'!N2385,'Retirement Calculator'!A:A,0),0),0)</f>
        <v>0</v>
      </c>
      <c r="K2385" s="444">
        <f t="shared" ca="1" si="146"/>
        <v>1361306.7833269357</v>
      </c>
      <c r="L2385" s="444">
        <f t="shared" ca="1" si="147"/>
        <v>328074934.78179151</v>
      </c>
      <c r="M2385" s="460">
        <f t="shared" si="149"/>
        <v>0.05</v>
      </c>
      <c r="N2385" s="464">
        <f t="shared" si="150"/>
        <v>123635</v>
      </c>
    </row>
    <row r="2386" spans="7:14" ht="11.25" customHeight="1" x14ac:dyDescent="0.3">
      <c r="G2386" s="459"/>
      <c r="H2386" s="459">
        <v>2379</v>
      </c>
      <c r="I2386" s="444">
        <f t="shared" ca="1" si="148"/>
        <v>328074934.78179151</v>
      </c>
      <c r="J2386" s="444">
        <f t="array" ref="J2386">IFERROR(INDEX('Retirement Calculator'!J:J,MATCH('Isaac 401k'!N2386,'Retirement Calculator'!A:A,0),0),0)</f>
        <v>0</v>
      </c>
      <c r="K2386" s="444">
        <f t="shared" ca="1" si="146"/>
        <v>1366978.8949241312</v>
      </c>
      <c r="L2386" s="444">
        <f t="shared" ca="1" si="147"/>
        <v>329441913.67671561</v>
      </c>
      <c r="M2386" s="460">
        <f t="shared" si="149"/>
        <v>0.05</v>
      </c>
      <c r="N2386" s="464">
        <f t="shared" si="150"/>
        <v>123666</v>
      </c>
    </row>
    <row r="2387" spans="7:14" ht="11.25" customHeight="1" x14ac:dyDescent="0.3">
      <c r="G2387" s="459"/>
      <c r="H2387" s="459">
        <v>2380</v>
      </c>
      <c r="I2387" s="444">
        <f t="shared" ca="1" si="148"/>
        <v>329441913.67671561</v>
      </c>
      <c r="J2387" s="444">
        <f t="array" ref="J2387">IFERROR(INDEX('Retirement Calculator'!J:J,MATCH('Isaac 401k'!N2387,'Retirement Calculator'!A:A,0),0),0)</f>
        <v>0</v>
      </c>
      <c r="K2387" s="444">
        <f t="shared" ca="1" si="146"/>
        <v>1372674.6403196484</v>
      </c>
      <c r="L2387" s="444">
        <f t="shared" ca="1" si="147"/>
        <v>330814588.31703526</v>
      </c>
      <c r="M2387" s="460">
        <f t="shared" si="149"/>
        <v>0.05</v>
      </c>
      <c r="N2387" s="464">
        <f t="shared" si="150"/>
        <v>123697</v>
      </c>
    </row>
    <row r="2388" spans="7:14" ht="11.25" customHeight="1" x14ac:dyDescent="0.3">
      <c r="G2388" s="459"/>
      <c r="H2388" s="459">
        <v>2381</v>
      </c>
      <c r="I2388" s="444">
        <f t="shared" ca="1" si="148"/>
        <v>330814588.31703526</v>
      </c>
      <c r="J2388" s="444">
        <f t="array" ref="J2388">IFERROR(INDEX('Retirement Calculator'!J:J,MATCH('Isaac 401k'!N2388,'Retirement Calculator'!A:A,0),0),0)</f>
        <v>0</v>
      </c>
      <c r="K2388" s="444">
        <f t="shared" ca="1" si="146"/>
        <v>1378394.117987647</v>
      </c>
      <c r="L2388" s="444">
        <f t="shared" ca="1" si="147"/>
        <v>332192982.43502289</v>
      </c>
      <c r="M2388" s="460">
        <f t="shared" si="149"/>
        <v>0.05</v>
      </c>
      <c r="N2388" s="464">
        <f t="shared" si="150"/>
        <v>123727</v>
      </c>
    </row>
    <row r="2389" spans="7:14" ht="11.25" customHeight="1" x14ac:dyDescent="0.3">
      <c r="G2389" s="459"/>
      <c r="H2389" s="459">
        <v>2382</v>
      </c>
      <c r="I2389" s="444">
        <f t="shared" ca="1" si="148"/>
        <v>332192982.43502289</v>
      </c>
      <c r="J2389" s="444">
        <f t="array" ref="J2389">IFERROR(INDEX('Retirement Calculator'!J:J,MATCH('Isaac 401k'!N2389,'Retirement Calculator'!A:A,0),0),0)</f>
        <v>0</v>
      </c>
      <c r="K2389" s="444">
        <f t="shared" ca="1" si="146"/>
        <v>1384137.4268125955</v>
      </c>
      <c r="L2389" s="444">
        <f t="shared" ca="1" si="147"/>
        <v>333577119.86183548</v>
      </c>
      <c r="M2389" s="460">
        <f t="shared" si="149"/>
        <v>0.05</v>
      </c>
      <c r="N2389" s="464">
        <f t="shared" si="150"/>
        <v>123758</v>
      </c>
    </row>
    <row r="2390" spans="7:14" ht="11.25" customHeight="1" x14ac:dyDescent="0.3">
      <c r="G2390" s="459"/>
      <c r="H2390" s="459">
        <v>2383</v>
      </c>
      <c r="I2390" s="444">
        <f t="shared" ca="1" si="148"/>
        <v>333577119.86183548</v>
      </c>
      <c r="J2390" s="444">
        <f t="array" ref="J2390">IFERROR(INDEX('Retirement Calculator'!J:J,MATCH('Isaac 401k'!N2390,'Retirement Calculator'!A:A,0),0),0)</f>
        <v>0</v>
      </c>
      <c r="K2390" s="444">
        <f t="shared" ca="1" si="146"/>
        <v>1389904.6660909811</v>
      </c>
      <c r="L2390" s="444">
        <f t="shared" ca="1" si="147"/>
        <v>334967024.52792645</v>
      </c>
      <c r="M2390" s="460">
        <f t="shared" si="149"/>
        <v>0.05</v>
      </c>
      <c r="N2390" s="464">
        <f t="shared" si="150"/>
        <v>123788</v>
      </c>
    </row>
    <row r="2391" spans="7:14" ht="11.25" customHeight="1" x14ac:dyDescent="0.3">
      <c r="G2391" s="459"/>
      <c r="H2391" s="459">
        <v>2384</v>
      </c>
      <c r="I2391" s="444">
        <f t="shared" ca="1" si="148"/>
        <v>334967024.52792645</v>
      </c>
      <c r="J2391" s="444">
        <f t="array" ref="J2391">IFERROR(INDEX('Retirement Calculator'!J:J,MATCH('Isaac 401k'!N2391,'Retirement Calculator'!A:A,0),0),0)</f>
        <v>0</v>
      </c>
      <c r="K2391" s="444">
        <f t="shared" ca="1" si="146"/>
        <v>1395695.9355330269</v>
      </c>
      <c r="L2391" s="444">
        <f t="shared" ca="1" si="147"/>
        <v>336362720.46345949</v>
      </c>
      <c r="M2391" s="460">
        <f t="shared" si="149"/>
        <v>0.05</v>
      </c>
      <c r="N2391" s="464">
        <f t="shared" si="150"/>
        <v>123819</v>
      </c>
    </row>
    <row r="2392" spans="7:14" ht="11.25" customHeight="1" x14ac:dyDescent="0.3">
      <c r="G2392" s="459"/>
      <c r="H2392" s="459">
        <v>2385</v>
      </c>
      <c r="I2392" s="444">
        <f t="shared" ca="1" si="148"/>
        <v>336362720.46345949</v>
      </c>
      <c r="J2392" s="444">
        <f t="array" ref="J2392">IFERROR(INDEX('Retirement Calculator'!J:J,MATCH('Isaac 401k'!N2392,'Retirement Calculator'!A:A,0),0),0)</f>
        <v>0</v>
      </c>
      <c r="K2392" s="444">
        <f t="shared" ca="1" si="146"/>
        <v>1401511.3352644145</v>
      </c>
      <c r="L2392" s="444">
        <f t="shared" ca="1" si="147"/>
        <v>337764231.79872394</v>
      </c>
      <c r="M2392" s="460">
        <f t="shared" si="149"/>
        <v>0.05</v>
      </c>
      <c r="N2392" s="464">
        <f t="shared" si="150"/>
        <v>123850</v>
      </c>
    </row>
    <row r="2393" spans="7:14" ht="11.25" customHeight="1" x14ac:dyDescent="0.3">
      <c r="G2393" s="459"/>
      <c r="H2393" s="459">
        <v>2386</v>
      </c>
      <c r="I2393" s="444">
        <f t="shared" ca="1" si="148"/>
        <v>337764231.79872394</v>
      </c>
      <c r="J2393" s="444">
        <f t="array" ref="J2393">IFERROR(INDEX('Retirement Calculator'!J:J,MATCH('Isaac 401k'!N2393,'Retirement Calculator'!A:A,0),0),0)</f>
        <v>0</v>
      </c>
      <c r="K2393" s="444">
        <f t="shared" ca="1" si="146"/>
        <v>1407350.9658280164</v>
      </c>
      <c r="L2393" s="444">
        <f t="shared" ca="1" si="147"/>
        <v>339171582.76455194</v>
      </c>
      <c r="M2393" s="460">
        <f t="shared" si="149"/>
        <v>0.05</v>
      </c>
      <c r="N2393" s="464">
        <f t="shared" si="150"/>
        <v>123878</v>
      </c>
    </row>
    <row r="2394" spans="7:14" ht="11.25" customHeight="1" x14ac:dyDescent="0.3">
      <c r="G2394" s="459"/>
      <c r="H2394" s="459">
        <v>2387</v>
      </c>
      <c r="I2394" s="444">
        <f t="shared" ca="1" si="148"/>
        <v>339171582.76455194</v>
      </c>
      <c r="J2394" s="444">
        <f t="array" ref="J2394">IFERROR(INDEX('Retirement Calculator'!J:J,MATCH('Isaac 401k'!N2394,'Retirement Calculator'!A:A,0),0),0)</f>
        <v>0</v>
      </c>
      <c r="K2394" s="444">
        <f t="shared" ca="1" si="146"/>
        <v>1413214.9281856332</v>
      </c>
      <c r="L2394" s="444">
        <f t="shared" ca="1" si="147"/>
        <v>340584797.69273758</v>
      </c>
      <c r="M2394" s="460">
        <f t="shared" si="149"/>
        <v>0.05</v>
      </c>
      <c r="N2394" s="464">
        <f t="shared" si="150"/>
        <v>123909</v>
      </c>
    </row>
    <row r="2395" spans="7:14" ht="11.25" customHeight="1" x14ac:dyDescent="0.3">
      <c r="G2395" s="459"/>
      <c r="H2395" s="459">
        <v>2388</v>
      </c>
      <c r="I2395" s="444">
        <f t="shared" ca="1" si="148"/>
        <v>340584797.69273758</v>
      </c>
      <c r="J2395" s="444">
        <f t="array" ref="J2395">IFERROR(INDEX('Retirement Calculator'!J:J,MATCH('Isaac 401k'!N2395,'Retirement Calculator'!A:A,0),0),0)</f>
        <v>0</v>
      </c>
      <c r="K2395" s="444">
        <f t="shared" ca="1" si="146"/>
        <v>1419103.3237197399</v>
      </c>
      <c r="L2395" s="444">
        <f t="shared" ca="1" si="147"/>
        <v>342003901.01645732</v>
      </c>
      <c r="M2395" s="460">
        <f t="shared" si="149"/>
        <v>0.05</v>
      </c>
      <c r="N2395" s="464">
        <f t="shared" si="150"/>
        <v>123939</v>
      </c>
    </row>
    <row r="2396" spans="7:14" ht="11.25" customHeight="1" x14ac:dyDescent="0.3">
      <c r="G2396" s="459"/>
      <c r="H2396" s="459">
        <v>2389</v>
      </c>
      <c r="I2396" s="444">
        <f t="shared" ca="1" si="148"/>
        <v>342003901.01645732</v>
      </c>
      <c r="J2396" s="444">
        <f t="array" ref="J2396">IFERROR(INDEX('Retirement Calculator'!J:J,MATCH('Isaac 401k'!N2396,'Retirement Calculator'!A:A,0),0),0)</f>
        <v>0</v>
      </c>
      <c r="K2396" s="444">
        <f t="shared" ca="1" si="146"/>
        <v>1425016.2542352388</v>
      </c>
      <c r="L2396" s="444">
        <f t="shared" ca="1" si="147"/>
        <v>343428917.27069259</v>
      </c>
      <c r="M2396" s="460">
        <f t="shared" si="149"/>
        <v>0.05</v>
      </c>
      <c r="N2396" s="464">
        <f t="shared" si="150"/>
        <v>123970</v>
      </c>
    </row>
    <row r="2397" spans="7:14" ht="11.25" customHeight="1" x14ac:dyDescent="0.3">
      <c r="G2397" s="459"/>
      <c r="H2397" s="459">
        <v>2390</v>
      </c>
      <c r="I2397" s="444">
        <f t="shared" ca="1" si="148"/>
        <v>343428917.27069259</v>
      </c>
      <c r="J2397" s="444">
        <f t="array" ref="J2397">IFERROR(INDEX('Retirement Calculator'!J:J,MATCH('Isaac 401k'!N2397,'Retirement Calculator'!A:A,0),0),0)</f>
        <v>0</v>
      </c>
      <c r="K2397" s="444">
        <f t="shared" ca="1" si="146"/>
        <v>1430953.8219612192</v>
      </c>
      <c r="L2397" s="444">
        <f t="shared" ca="1" si="147"/>
        <v>344859871.09265381</v>
      </c>
      <c r="M2397" s="460">
        <f t="shared" si="149"/>
        <v>0.05</v>
      </c>
      <c r="N2397" s="464">
        <f t="shared" si="150"/>
        <v>124000</v>
      </c>
    </row>
    <row r="2398" spans="7:14" ht="11.25" customHeight="1" x14ac:dyDescent="0.3">
      <c r="G2398" s="459"/>
      <c r="H2398" s="459">
        <v>2391</v>
      </c>
      <c r="I2398" s="444">
        <f t="shared" ca="1" si="148"/>
        <v>344859871.09265381</v>
      </c>
      <c r="J2398" s="444">
        <f t="array" ref="J2398">IFERROR(INDEX('Retirement Calculator'!J:J,MATCH('Isaac 401k'!N2398,'Retirement Calculator'!A:A,0),0),0)</f>
        <v>0</v>
      </c>
      <c r="K2398" s="444">
        <f t="shared" ca="1" si="146"/>
        <v>1436916.1295527243</v>
      </c>
      <c r="L2398" s="444">
        <f t="shared" ca="1" si="147"/>
        <v>346296787.22220653</v>
      </c>
      <c r="M2398" s="460">
        <f t="shared" si="149"/>
        <v>0.05</v>
      </c>
      <c r="N2398" s="464">
        <f t="shared" si="150"/>
        <v>124031</v>
      </c>
    </row>
    <row r="2399" spans="7:14" ht="11.25" customHeight="1" x14ac:dyDescent="0.3">
      <c r="G2399" s="459"/>
      <c r="H2399" s="459">
        <v>2392</v>
      </c>
      <c r="I2399" s="444">
        <f t="shared" ca="1" si="148"/>
        <v>346296787.22220653</v>
      </c>
      <c r="J2399" s="444">
        <f t="array" ref="J2399">IFERROR(INDEX('Retirement Calculator'!J:J,MATCH('Isaac 401k'!N2399,'Retirement Calculator'!A:A,0),0),0)</f>
        <v>0</v>
      </c>
      <c r="K2399" s="444">
        <f t="shared" ca="1" si="146"/>
        <v>1442903.2800925272</v>
      </c>
      <c r="L2399" s="444">
        <f t="shared" ca="1" si="147"/>
        <v>347739690.50229907</v>
      </c>
      <c r="M2399" s="460">
        <f t="shared" si="149"/>
        <v>0.05</v>
      </c>
      <c r="N2399" s="464">
        <f t="shared" si="150"/>
        <v>124062</v>
      </c>
    </row>
    <row r="2400" spans="7:14" ht="11.25" customHeight="1" x14ac:dyDescent="0.3">
      <c r="G2400" s="459"/>
      <c r="H2400" s="459">
        <v>2393</v>
      </c>
      <c r="I2400" s="444">
        <f t="shared" ca="1" si="148"/>
        <v>347739690.50229907</v>
      </c>
      <c r="J2400" s="444">
        <f t="array" ref="J2400">IFERROR(INDEX('Retirement Calculator'!J:J,MATCH('Isaac 401k'!N2400,'Retirement Calculator'!A:A,0),0),0)</f>
        <v>0</v>
      </c>
      <c r="K2400" s="444">
        <f t="shared" ca="1" si="146"/>
        <v>1448915.3770929128</v>
      </c>
      <c r="L2400" s="444">
        <f t="shared" ca="1" si="147"/>
        <v>349188605.87939197</v>
      </c>
      <c r="M2400" s="460">
        <f t="shared" si="149"/>
        <v>0.05</v>
      </c>
      <c r="N2400" s="464">
        <f t="shared" si="150"/>
        <v>124092</v>
      </c>
    </row>
    <row r="2401" spans="7:14" ht="11.25" customHeight="1" x14ac:dyDescent="0.3">
      <c r="G2401" s="459"/>
      <c r="H2401" s="459">
        <v>2394</v>
      </c>
      <c r="I2401" s="444">
        <f t="shared" ca="1" si="148"/>
        <v>349188605.87939197</v>
      </c>
      <c r="J2401" s="444">
        <f t="array" ref="J2401">IFERROR(INDEX('Retirement Calculator'!J:J,MATCH('Isaac 401k'!N2401,'Retirement Calculator'!A:A,0),0),0)</f>
        <v>0</v>
      </c>
      <c r="K2401" s="444">
        <f t="shared" ca="1" si="146"/>
        <v>1454952.5244974666</v>
      </c>
      <c r="L2401" s="444">
        <f t="shared" ca="1" si="147"/>
        <v>350643558.40388942</v>
      </c>
      <c r="M2401" s="460">
        <f t="shared" si="149"/>
        <v>0.05</v>
      </c>
      <c r="N2401" s="464">
        <f t="shared" si="150"/>
        <v>124123</v>
      </c>
    </row>
    <row r="2402" spans="7:14" ht="11.25" customHeight="1" x14ac:dyDescent="0.3">
      <c r="G2402" s="459"/>
      <c r="H2402" s="459">
        <v>2395</v>
      </c>
      <c r="I2402" s="444">
        <f t="shared" ca="1" si="148"/>
        <v>350643558.40388942</v>
      </c>
      <c r="J2402" s="444">
        <f t="array" ref="J2402">IFERROR(INDEX('Retirement Calculator'!J:J,MATCH('Isaac 401k'!N2402,'Retirement Calculator'!A:A,0),0),0)</f>
        <v>0</v>
      </c>
      <c r="K2402" s="444">
        <f t="shared" ca="1" si="146"/>
        <v>1461014.8266828726</v>
      </c>
      <c r="L2402" s="444">
        <f t="shared" ca="1" si="147"/>
        <v>352104573.23057228</v>
      </c>
      <c r="M2402" s="460">
        <f t="shared" si="149"/>
        <v>0.05</v>
      </c>
      <c r="N2402" s="464">
        <f t="shared" si="150"/>
        <v>124153</v>
      </c>
    </row>
    <row r="2403" spans="7:14" ht="11.25" customHeight="1" x14ac:dyDescent="0.3">
      <c r="G2403" s="459"/>
      <c r="H2403" s="459">
        <v>2396</v>
      </c>
      <c r="I2403" s="444">
        <f t="shared" ca="1" si="148"/>
        <v>352104573.23057228</v>
      </c>
      <c r="J2403" s="444">
        <f t="array" ref="J2403">IFERROR(INDEX('Retirement Calculator'!J:J,MATCH('Isaac 401k'!N2403,'Retirement Calculator'!A:A,0),0),0)</f>
        <v>0</v>
      </c>
      <c r="K2403" s="444">
        <f t="shared" ca="1" si="146"/>
        <v>1467102.3884607179</v>
      </c>
      <c r="L2403" s="444">
        <f t="shared" ca="1" si="147"/>
        <v>353571675.61903298</v>
      </c>
      <c r="M2403" s="460">
        <f t="shared" si="149"/>
        <v>0.05</v>
      </c>
      <c r="N2403" s="464">
        <f t="shared" si="150"/>
        <v>124184</v>
      </c>
    </row>
    <row r="2404" spans="7:14" ht="11.25" customHeight="1" x14ac:dyDescent="0.3">
      <c r="G2404" s="459"/>
      <c r="H2404" s="459">
        <v>2397</v>
      </c>
      <c r="I2404" s="444">
        <f t="shared" ca="1" si="148"/>
        <v>353571675.61903298</v>
      </c>
      <c r="J2404" s="444">
        <f t="array" ref="J2404">IFERROR(INDEX('Retirement Calculator'!J:J,MATCH('Isaac 401k'!N2404,'Retirement Calculator'!A:A,0),0),0)</f>
        <v>0</v>
      </c>
      <c r="K2404" s="444">
        <f t="shared" ca="1" si="146"/>
        <v>1473215.3150793042</v>
      </c>
      <c r="L2404" s="444">
        <f t="shared" ca="1" si="147"/>
        <v>355044890.93411231</v>
      </c>
      <c r="M2404" s="460">
        <f t="shared" si="149"/>
        <v>0.05</v>
      </c>
      <c r="N2404" s="464">
        <f t="shared" si="150"/>
        <v>124215</v>
      </c>
    </row>
    <row r="2405" spans="7:14" ht="11.25" customHeight="1" x14ac:dyDescent="0.3">
      <c r="G2405" s="459"/>
      <c r="H2405" s="459">
        <v>2398</v>
      </c>
      <c r="I2405" s="444">
        <f t="shared" ca="1" si="148"/>
        <v>355044890.93411231</v>
      </c>
      <c r="J2405" s="444">
        <f t="array" ref="J2405">IFERROR(INDEX('Retirement Calculator'!J:J,MATCH('Isaac 401k'!N2405,'Retirement Calculator'!A:A,0),0),0)</f>
        <v>0</v>
      </c>
      <c r="K2405" s="444">
        <f t="shared" ca="1" si="146"/>
        <v>1479353.7122254679</v>
      </c>
      <c r="L2405" s="444">
        <f t="shared" ca="1" si="147"/>
        <v>356524244.64633781</v>
      </c>
      <c r="M2405" s="460">
        <f t="shared" si="149"/>
        <v>0.05</v>
      </c>
      <c r="N2405" s="464">
        <f t="shared" si="150"/>
        <v>124244</v>
      </c>
    </row>
    <row r="2406" spans="7:14" ht="11.25" customHeight="1" x14ac:dyDescent="0.3">
      <c r="G2406" s="459"/>
      <c r="H2406" s="459">
        <v>2399</v>
      </c>
      <c r="I2406" s="444">
        <f t="shared" ca="1" si="148"/>
        <v>356524244.64633781</v>
      </c>
      <c r="J2406" s="444">
        <f t="array" ref="J2406">IFERROR(INDEX('Retirement Calculator'!J:J,MATCH('Isaac 401k'!N2406,'Retirement Calculator'!A:A,0),0),0)</f>
        <v>0</v>
      </c>
      <c r="K2406" s="444">
        <f t="shared" ca="1" si="146"/>
        <v>1485517.6860264074</v>
      </c>
      <c r="L2406" s="444">
        <f t="shared" ca="1" si="147"/>
        <v>358009762.3323642</v>
      </c>
      <c r="M2406" s="460">
        <f t="shared" si="149"/>
        <v>0.05</v>
      </c>
      <c r="N2406" s="464">
        <f t="shared" si="150"/>
        <v>124275</v>
      </c>
    </row>
    <row r="2407" spans="7:14" ht="11.25" customHeight="1" x14ac:dyDescent="0.3">
      <c r="G2407" s="459"/>
      <c r="H2407" s="459">
        <v>2400</v>
      </c>
      <c r="I2407" s="444">
        <f t="shared" ca="1" si="148"/>
        <v>358009762.3323642</v>
      </c>
      <c r="J2407" s="444">
        <f t="array" ref="J2407">IFERROR(INDEX('Retirement Calculator'!J:J,MATCH('Isaac 401k'!N2407,'Retirement Calculator'!A:A,0),0),0)</f>
        <v>0</v>
      </c>
      <c r="K2407" s="444">
        <f t="shared" ca="1" si="146"/>
        <v>1491707.3430515174</v>
      </c>
      <c r="L2407" s="444">
        <f t="shared" ca="1" si="147"/>
        <v>359501469.67541569</v>
      </c>
      <c r="M2407" s="460">
        <f t="shared" si="149"/>
        <v>0.05</v>
      </c>
      <c r="N2407" s="464">
        <f t="shared" si="150"/>
        <v>124305</v>
      </c>
    </row>
    <row r="2408" spans="7:14" ht="11.25" customHeight="1" x14ac:dyDescent="0.3">
      <c r="G2408" s="459"/>
      <c r="H2408" s="459">
        <v>2401</v>
      </c>
      <c r="I2408" s="444">
        <f t="shared" ca="1" si="148"/>
        <v>359501469.67541569</v>
      </c>
      <c r="J2408" s="444">
        <f t="array" ref="J2408">IFERROR(INDEX('Retirement Calculator'!J:J,MATCH('Isaac 401k'!N2408,'Retirement Calculator'!A:A,0),0),0)</f>
        <v>0</v>
      </c>
      <c r="K2408" s="444">
        <f t="shared" ca="1" si="146"/>
        <v>1497922.790314232</v>
      </c>
      <c r="L2408" s="444">
        <f t="shared" ca="1" si="147"/>
        <v>360999392.46572995</v>
      </c>
      <c r="M2408" s="460">
        <f t="shared" si="149"/>
        <v>0.05</v>
      </c>
      <c r="N2408" s="464">
        <f t="shared" si="150"/>
        <v>124336</v>
      </c>
    </row>
    <row r="2409" spans="7:14" ht="11.25" customHeight="1" x14ac:dyDescent="0.3">
      <c r="G2409" s="459"/>
      <c r="H2409" s="459">
        <v>2402</v>
      </c>
      <c r="I2409" s="444">
        <f t="shared" ca="1" si="148"/>
        <v>360999392.46572995</v>
      </c>
      <c r="J2409" s="444">
        <f t="array" ref="J2409">IFERROR(INDEX('Retirement Calculator'!J:J,MATCH('Isaac 401k'!N2409,'Retirement Calculator'!A:A,0),0),0)</f>
        <v>0</v>
      </c>
      <c r="K2409" s="444">
        <f t="shared" ca="1" si="146"/>
        <v>1504164.1352738747</v>
      </c>
      <c r="L2409" s="444">
        <f t="shared" ca="1" si="147"/>
        <v>362503556.60100383</v>
      </c>
      <c r="M2409" s="460">
        <f t="shared" si="149"/>
        <v>0.05</v>
      </c>
      <c r="N2409" s="464">
        <f t="shared" si="150"/>
        <v>124366</v>
      </c>
    </row>
    <row r="2410" spans="7:14" ht="11.25" customHeight="1" x14ac:dyDescent="0.3">
      <c r="G2410" s="459"/>
      <c r="H2410" s="459">
        <v>2403</v>
      </c>
      <c r="I2410" s="444">
        <f t="shared" ca="1" si="148"/>
        <v>362503556.60100383</v>
      </c>
      <c r="J2410" s="444">
        <f t="array" ref="J2410">IFERROR(INDEX('Retirement Calculator'!J:J,MATCH('Isaac 401k'!N2410,'Retirement Calculator'!A:A,0),0),0)</f>
        <v>0</v>
      </c>
      <c r="K2410" s="444">
        <f t="shared" ca="1" si="146"/>
        <v>1510431.4858375159</v>
      </c>
      <c r="L2410" s="444">
        <f t="shared" ca="1" si="147"/>
        <v>364013988.08684134</v>
      </c>
      <c r="M2410" s="460">
        <f t="shared" si="149"/>
        <v>0.05</v>
      </c>
      <c r="N2410" s="464">
        <f t="shared" si="150"/>
        <v>124397</v>
      </c>
    </row>
    <row r="2411" spans="7:14" ht="11.25" customHeight="1" x14ac:dyDescent="0.3">
      <c r="G2411" s="459"/>
      <c r="H2411" s="459">
        <v>2404</v>
      </c>
      <c r="I2411" s="444">
        <f t="shared" ca="1" si="148"/>
        <v>364013988.08684134</v>
      </c>
      <c r="J2411" s="444">
        <f t="array" ref="J2411">IFERROR(INDEX('Retirement Calculator'!J:J,MATCH('Isaac 401k'!N2411,'Retirement Calculator'!A:A,0),0),0)</f>
        <v>0</v>
      </c>
      <c r="K2411" s="444">
        <f t="shared" ca="1" si="146"/>
        <v>1516724.950361839</v>
      </c>
      <c r="L2411" s="444">
        <f t="shared" ca="1" si="147"/>
        <v>365530713.03720319</v>
      </c>
      <c r="M2411" s="460">
        <f t="shared" si="149"/>
        <v>0.05</v>
      </c>
      <c r="N2411" s="464">
        <f t="shared" si="150"/>
        <v>124428</v>
      </c>
    </row>
    <row r="2412" spans="7:14" ht="11.25" customHeight="1" x14ac:dyDescent="0.3">
      <c r="G2412" s="459"/>
      <c r="H2412" s="459">
        <v>2405</v>
      </c>
      <c r="I2412" s="444">
        <f t="shared" ca="1" si="148"/>
        <v>365530713.03720319</v>
      </c>
      <c r="J2412" s="444">
        <f t="array" ref="J2412">IFERROR(INDEX('Retirement Calculator'!J:J,MATCH('Isaac 401k'!N2412,'Retirement Calculator'!A:A,0),0),0)</f>
        <v>0</v>
      </c>
      <c r="K2412" s="444">
        <f t="shared" ca="1" si="146"/>
        <v>1523044.6376550132</v>
      </c>
      <c r="L2412" s="444">
        <f t="shared" ca="1" si="147"/>
        <v>367053757.67485821</v>
      </c>
      <c r="M2412" s="460">
        <f t="shared" si="149"/>
        <v>0.05</v>
      </c>
      <c r="N2412" s="464">
        <f t="shared" si="150"/>
        <v>124458</v>
      </c>
    </row>
    <row r="2413" spans="7:14" ht="11.25" customHeight="1" x14ac:dyDescent="0.3">
      <c r="G2413" s="459"/>
      <c r="H2413" s="459">
        <v>2406</v>
      </c>
      <c r="I2413" s="444">
        <f t="shared" ca="1" si="148"/>
        <v>367053757.67485821</v>
      </c>
      <c r="J2413" s="444">
        <f t="array" ref="J2413">IFERROR(INDEX('Retirement Calculator'!J:J,MATCH('Isaac 401k'!N2413,'Retirement Calculator'!A:A,0),0),0)</f>
        <v>0</v>
      </c>
      <c r="K2413" s="444">
        <f t="shared" ca="1" si="146"/>
        <v>1529390.656978576</v>
      </c>
      <c r="L2413" s="444">
        <f t="shared" ca="1" si="147"/>
        <v>368583148.33183676</v>
      </c>
      <c r="M2413" s="460">
        <f t="shared" si="149"/>
        <v>0.05</v>
      </c>
      <c r="N2413" s="464">
        <f t="shared" si="150"/>
        <v>124489</v>
      </c>
    </row>
    <row r="2414" spans="7:14" ht="11.25" customHeight="1" x14ac:dyDescent="0.3">
      <c r="G2414" s="459"/>
      <c r="H2414" s="459">
        <v>2407</v>
      </c>
      <c r="I2414" s="444">
        <f t="shared" ca="1" si="148"/>
        <v>368583148.33183676</v>
      </c>
      <c r="J2414" s="444">
        <f t="array" ref="J2414">IFERROR(INDEX('Retirement Calculator'!J:J,MATCH('Isaac 401k'!N2414,'Retirement Calculator'!A:A,0),0),0)</f>
        <v>0</v>
      </c>
      <c r="K2414" s="444">
        <f t="shared" ca="1" si="146"/>
        <v>1535763.1180493198</v>
      </c>
      <c r="L2414" s="444">
        <f t="shared" ca="1" si="147"/>
        <v>370118911.44988608</v>
      </c>
      <c r="M2414" s="460">
        <f t="shared" si="149"/>
        <v>0.05</v>
      </c>
      <c r="N2414" s="464">
        <f t="shared" si="150"/>
        <v>124519</v>
      </c>
    </row>
    <row r="2415" spans="7:14" ht="11.25" customHeight="1" x14ac:dyDescent="0.3">
      <c r="G2415" s="459"/>
      <c r="H2415" s="459">
        <v>2408</v>
      </c>
      <c r="I2415" s="444">
        <f t="shared" ca="1" si="148"/>
        <v>370118911.44988608</v>
      </c>
      <c r="J2415" s="444">
        <f t="array" ref="J2415">IFERROR(INDEX('Retirement Calculator'!J:J,MATCH('Isaac 401k'!N2415,'Retirement Calculator'!A:A,0),0),0)</f>
        <v>0</v>
      </c>
      <c r="K2415" s="444">
        <f t="shared" ca="1" si="146"/>
        <v>1542162.131041192</v>
      </c>
      <c r="L2415" s="444">
        <f t="shared" ca="1" si="147"/>
        <v>371661073.58092725</v>
      </c>
      <c r="M2415" s="460">
        <f t="shared" si="149"/>
        <v>0.05</v>
      </c>
      <c r="N2415" s="464">
        <f t="shared" si="150"/>
        <v>124550</v>
      </c>
    </row>
    <row r="2416" spans="7:14" ht="11.25" customHeight="1" x14ac:dyDescent="0.3">
      <c r="G2416" s="459"/>
      <c r="H2416" s="459">
        <v>2409</v>
      </c>
      <c r="I2416" s="444">
        <f t="shared" ca="1" si="148"/>
        <v>371661073.58092725</v>
      </c>
      <c r="J2416" s="444">
        <f t="array" ref="J2416">IFERROR(INDEX('Retirement Calculator'!J:J,MATCH('Isaac 401k'!N2416,'Retirement Calculator'!A:A,0),0),0)</f>
        <v>0</v>
      </c>
      <c r="K2416" s="444">
        <f t="shared" ca="1" si="146"/>
        <v>1548587.8065871969</v>
      </c>
      <c r="L2416" s="444">
        <f t="shared" ca="1" si="147"/>
        <v>373209661.38751447</v>
      </c>
      <c r="M2416" s="460">
        <f t="shared" si="149"/>
        <v>0.05</v>
      </c>
      <c r="N2416" s="464">
        <f t="shared" si="150"/>
        <v>124581</v>
      </c>
    </row>
    <row r="2417" spans="7:14" ht="11.25" customHeight="1" x14ac:dyDescent="0.3">
      <c r="G2417" s="459"/>
      <c r="H2417" s="459">
        <v>2410</v>
      </c>
      <c r="I2417" s="444">
        <f t="shared" ca="1" si="148"/>
        <v>373209661.38751447</v>
      </c>
      <c r="J2417" s="444">
        <f t="array" ref="J2417">IFERROR(INDEX('Retirement Calculator'!J:J,MATCH('Isaac 401k'!N2417,'Retirement Calculator'!A:A,0),0),0)</f>
        <v>0</v>
      </c>
      <c r="K2417" s="444">
        <f t="shared" ca="1" si="146"/>
        <v>1555040.2557813104</v>
      </c>
      <c r="L2417" s="444">
        <f t="shared" ca="1" si="147"/>
        <v>374764701.64329576</v>
      </c>
      <c r="M2417" s="460">
        <f t="shared" si="149"/>
        <v>0.05</v>
      </c>
      <c r="N2417" s="464">
        <f t="shared" si="150"/>
        <v>124609</v>
      </c>
    </row>
    <row r="2418" spans="7:14" ht="11.25" customHeight="1" x14ac:dyDescent="0.3">
      <c r="G2418" s="459"/>
      <c r="H2418" s="459">
        <v>2411</v>
      </c>
      <c r="I2418" s="444">
        <f t="shared" ca="1" si="148"/>
        <v>374764701.64329576</v>
      </c>
      <c r="J2418" s="444">
        <f t="array" ref="J2418">IFERROR(INDEX('Retirement Calculator'!J:J,MATCH('Isaac 401k'!N2418,'Retirement Calculator'!A:A,0),0),0)</f>
        <v>0</v>
      </c>
      <c r="K2418" s="444">
        <f t="shared" ca="1" si="146"/>
        <v>1561519.5901803989</v>
      </c>
      <c r="L2418" s="444">
        <f t="shared" ca="1" si="147"/>
        <v>376326221.23347616</v>
      </c>
      <c r="M2418" s="460">
        <f t="shared" si="149"/>
        <v>0.05</v>
      </c>
      <c r="N2418" s="464">
        <f t="shared" si="150"/>
        <v>124640</v>
      </c>
    </row>
    <row r="2419" spans="7:14" ht="11.25" customHeight="1" x14ac:dyDescent="0.3">
      <c r="G2419" s="459"/>
      <c r="H2419" s="459">
        <v>2412</v>
      </c>
      <c r="I2419" s="444">
        <f t="shared" ca="1" si="148"/>
        <v>376326221.23347616</v>
      </c>
      <c r="J2419" s="444">
        <f t="array" ref="J2419">IFERROR(INDEX('Retirement Calculator'!J:J,MATCH('Isaac 401k'!N2419,'Retirement Calculator'!A:A,0),0),0)</f>
        <v>0</v>
      </c>
      <c r="K2419" s="444">
        <f t="shared" ca="1" si="146"/>
        <v>1568025.9218061506</v>
      </c>
      <c r="L2419" s="444">
        <f t="shared" ca="1" si="147"/>
        <v>377894247.15528232</v>
      </c>
      <c r="M2419" s="460">
        <f t="shared" si="149"/>
        <v>0.05</v>
      </c>
      <c r="N2419" s="464">
        <f t="shared" si="150"/>
        <v>124670</v>
      </c>
    </row>
    <row r="2420" spans="7:14" ht="11.25" customHeight="1" x14ac:dyDescent="0.3">
      <c r="G2420" s="459"/>
      <c r="H2420" s="459">
        <v>2413</v>
      </c>
      <c r="I2420" s="444">
        <f t="shared" ca="1" si="148"/>
        <v>377894247.15528232</v>
      </c>
      <c r="J2420" s="444">
        <f t="array" ref="J2420">IFERROR(INDEX('Retirement Calculator'!J:J,MATCH('Isaac 401k'!N2420,'Retirement Calculator'!A:A,0),0),0)</f>
        <v>0</v>
      </c>
      <c r="K2420" s="444">
        <f t="shared" ca="1" si="146"/>
        <v>1574559.3631470096</v>
      </c>
      <c r="L2420" s="444">
        <f t="shared" ca="1" si="147"/>
        <v>379468806.51842934</v>
      </c>
      <c r="M2420" s="460">
        <f t="shared" si="149"/>
        <v>0.05</v>
      </c>
      <c r="N2420" s="464">
        <f t="shared" si="150"/>
        <v>124701</v>
      </c>
    </row>
    <row r="2421" spans="7:14" ht="11.25" customHeight="1" x14ac:dyDescent="0.3">
      <c r="G2421" s="459"/>
      <c r="H2421" s="459">
        <v>2414</v>
      </c>
      <c r="I2421" s="444">
        <f t="shared" ca="1" si="148"/>
        <v>379468806.51842934</v>
      </c>
      <c r="J2421" s="444">
        <f t="array" ref="J2421">IFERROR(INDEX('Retirement Calculator'!J:J,MATCH('Isaac 401k'!N2421,'Retirement Calculator'!A:A,0),0),0)</f>
        <v>0</v>
      </c>
      <c r="K2421" s="444">
        <f t="shared" ca="1" si="146"/>
        <v>1581120.0271601223</v>
      </c>
      <c r="L2421" s="444">
        <f t="shared" ca="1" si="147"/>
        <v>381049926.54558945</v>
      </c>
      <c r="M2421" s="460">
        <f t="shared" si="149"/>
        <v>0.05</v>
      </c>
      <c r="N2421" s="464">
        <f t="shared" si="150"/>
        <v>124731</v>
      </c>
    </row>
    <row r="2422" spans="7:14" ht="11.25" customHeight="1" x14ac:dyDescent="0.3">
      <c r="G2422" s="459"/>
      <c r="H2422" s="459">
        <v>2415</v>
      </c>
      <c r="I2422" s="444">
        <f t="shared" ca="1" si="148"/>
        <v>381049926.54558945</v>
      </c>
      <c r="J2422" s="444">
        <f t="array" ref="J2422">IFERROR(INDEX('Retirement Calculator'!J:J,MATCH('Isaac 401k'!N2422,'Retirement Calculator'!A:A,0),0),0)</f>
        <v>0</v>
      </c>
      <c r="K2422" s="444">
        <f t="shared" ca="1" si="146"/>
        <v>1587708.0272732894</v>
      </c>
      <c r="L2422" s="444">
        <f t="shared" ca="1" si="147"/>
        <v>382637634.57286274</v>
      </c>
      <c r="M2422" s="460">
        <f t="shared" si="149"/>
        <v>0.05</v>
      </c>
      <c r="N2422" s="464">
        <f t="shared" si="150"/>
        <v>124762</v>
      </c>
    </row>
    <row r="2423" spans="7:14" ht="11.25" customHeight="1" x14ac:dyDescent="0.3">
      <c r="G2423" s="459"/>
      <c r="H2423" s="459">
        <v>2416</v>
      </c>
      <c r="I2423" s="444">
        <f t="shared" ca="1" si="148"/>
        <v>382637634.57286274</v>
      </c>
      <c r="J2423" s="444">
        <f t="array" ref="J2423">IFERROR(INDEX('Retirement Calculator'!J:J,MATCH('Isaac 401k'!N2423,'Retirement Calculator'!A:A,0),0),0)</f>
        <v>0</v>
      </c>
      <c r="K2423" s="444">
        <f t="shared" ca="1" si="146"/>
        <v>1594323.4773869282</v>
      </c>
      <c r="L2423" s="444">
        <f t="shared" ca="1" si="147"/>
        <v>384231958.0502497</v>
      </c>
      <c r="M2423" s="460">
        <f t="shared" si="149"/>
        <v>0.05</v>
      </c>
      <c r="N2423" s="464">
        <f t="shared" si="150"/>
        <v>124793</v>
      </c>
    </row>
    <row r="2424" spans="7:14" ht="11.25" customHeight="1" x14ac:dyDescent="0.3">
      <c r="G2424" s="459"/>
      <c r="H2424" s="459">
        <v>2417</v>
      </c>
      <c r="I2424" s="444">
        <f t="shared" ca="1" si="148"/>
        <v>384231958.0502497</v>
      </c>
      <c r="J2424" s="444">
        <f t="array" ref="J2424">IFERROR(INDEX('Retirement Calculator'!J:J,MATCH('Isaac 401k'!N2424,'Retirement Calculator'!A:A,0),0),0)</f>
        <v>0</v>
      </c>
      <c r="K2424" s="444">
        <f t="shared" ca="1" si="146"/>
        <v>1600966.4918760404</v>
      </c>
      <c r="L2424" s="444">
        <f t="shared" ca="1" si="147"/>
        <v>385832924.54212576</v>
      </c>
      <c r="M2424" s="460">
        <f t="shared" si="149"/>
        <v>0.05</v>
      </c>
      <c r="N2424" s="464">
        <f t="shared" si="150"/>
        <v>124823</v>
      </c>
    </row>
    <row r="2425" spans="7:14" ht="11.25" customHeight="1" x14ac:dyDescent="0.3">
      <c r="G2425" s="459"/>
      <c r="H2425" s="459">
        <v>2418</v>
      </c>
      <c r="I2425" s="444">
        <f t="shared" ca="1" si="148"/>
        <v>385832924.54212576</v>
      </c>
      <c r="J2425" s="444">
        <f t="array" ref="J2425">IFERROR(INDEX('Retirement Calculator'!J:J,MATCH('Isaac 401k'!N2425,'Retirement Calculator'!A:A,0),0),0)</f>
        <v>0</v>
      </c>
      <c r="K2425" s="444">
        <f t="shared" ca="1" si="146"/>
        <v>1607637.1855921906</v>
      </c>
      <c r="L2425" s="444">
        <f t="shared" ca="1" si="147"/>
        <v>387440561.72771794</v>
      </c>
      <c r="M2425" s="460">
        <f t="shared" si="149"/>
        <v>0.05</v>
      </c>
      <c r="N2425" s="464">
        <f t="shared" si="150"/>
        <v>124854</v>
      </c>
    </row>
    <row r="2426" spans="7:14" ht="11.25" customHeight="1" x14ac:dyDescent="0.3">
      <c r="G2426" s="459"/>
      <c r="H2426" s="459">
        <v>2419</v>
      </c>
      <c r="I2426" s="444">
        <f t="shared" ca="1" si="148"/>
        <v>387440561.72771794</v>
      </c>
      <c r="J2426" s="444">
        <f t="array" ref="J2426">IFERROR(INDEX('Retirement Calculator'!J:J,MATCH('Isaac 401k'!N2426,'Retirement Calculator'!A:A,0),0),0)</f>
        <v>0</v>
      </c>
      <c r="K2426" s="444">
        <f t="shared" ca="1" si="146"/>
        <v>1614335.6738654913</v>
      </c>
      <c r="L2426" s="444">
        <f t="shared" ca="1" si="147"/>
        <v>389054897.40158343</v>
      </c>
      <c r="M2426" s="460">
        <f t="shared" si="149"/>
        <v>0.05</v>
      </c>
      <c r="N2426" s="464">
        <f t="shared" si="150"/>
        <v>124884</v>
      </c>
    </row>
    <row r="2427" spans="7:14" ht="11.25" customHeight="1" x14ac:dyDescent="0.3">
      <c r="G2427" s="459"/>
      <c r="H2427" s="459">
        <v>2420</v>
      </c>
      <c r="I2427" s="444">
        <f t="shared" ca="1" si="148"/>
        <v>389054897.40158343</v>
      </c>
      <c r="J2427" s="444">
        <f t="array" ref="J2427">IFERROR(INDEX('Retirement Calculator'!J:J,MATCH('Isaac 401k'!N2427,'Retirement Calculator'!A:A,0),0),0)</f>
        <v>0</v>
      </c>
      <c r="K2427" s="444">
        <f t="shared" ca="1" si="146"/>
        <v>1621062.0725065977</v>
      </c>
      <c r="L2427" s="444">
        <f t="shared" ca="1" si="147"/>
        <v>390675959.47409004</v>
      </c>
      <c r="M2427" s="460">
        <f t="shared" si="149"/>
        <v>0.05</v>
      </c>
      <c r="N2427" s="464">
        <f t="shared" si="150"/>
        <v>124915</v>
      </c>
    </row>
    <row r="2428" spans="7:14" ht="11.25" customHeight="1" x14ac:dyDescent="0.3">
      <c r="G2428" s="459"/>
      <c r="H2428" s="459">
        <v>2421</v>
      </c>
      <c r="I2428" s="444">
        <f t="shared" ca="1" si="148"/>
        <v>390675959.47409004</v>
      </c>
      <c r="J2428" s="444">
        <f t="array" ref="J2428">IFERROR(INDEX('Retirement Calculator'!J:J,MATCH('Isaac 401k'!N2428,'Retirement Calculator'!A:A,0),0),0)</f>
        <v>0</v>
      </c>
      <c r="K2428" s="444">
        <f t="shared" ca="1" si="146"/>
        <v>1627816.4978087086</v>
      </c>
      <c r="L2428" s="444">
        <f t="shared" ca="1" si="147"/>
        <v>392303775.97189873</v>
      </c>
      <c r="M2428" s="460">
        <f t="shared" si="149"/>
        <v>0.05</v>
      </c>
      <c r="N2428" s="464">
        <f t="shared" si="150"/>
        <v>124946</v>
      </c>
    </row>
    <row r="2429" spans="7:14" ht="11.25" customHeight="1" x14ac:dyDescent="0.3">
      <c r="G2429" s="459"/>
      <c r="H2429" s="459">
        <v>2422</v>
      </c>
      <c r="I2429" s="444">
        <f t="shared" ca="1" si="148"/>
        <v>392303775.97189873</v>
      </c>
      <c r="J2429" s="444">
        <f t="array" ref="J2429">IFERROR(INDEX('Retirement Calculator'!J:J,MATCH('Isaac 401k'!N2429,'Retirement Calculator'!A:A,0),0),0)</f>
        <v>0</v>
      </c>
      <c r="K2429" s="444">
        <f t="shared" ca="1" si="146"/>
        <v>1634599.066549578</v>
      </c>
      <c r="L2429" s="444">
        <f t="shared" ca="1" si="147"/>
        <v>393938375.03844833</v>
      </c>
      <c r="M2429" s="460">
        <f t="shared" si="149"/>
        <v>0.05</v>
      </c>
      <c r="N2429" s="464">
        <f t="shared" si="150"/>
        <v>124974</v>
      </c>
    </row>
    <row r="2430" spans="7:14" ht="11.25" customHeight="1" x14ac:dyDescent="0.3">
      <c r="G2430" s="459"/>
      <c r="H2430" s="459">
        <v>2423</v>
      </c>
      <c r="I2430" s="444">
        <f t="shared" ca="1" si="148"/>
        <v>393938375.03844833</v>
      </c>
      <c r="J2430" s="444">
        <f t="array" ref="J2430">IFERROR(INDEX('Retirement Calculator'!J:J,MATCH('Isaac 401k'!N2430,'Retirement Calculator'!A:A,0),0),0)</f>
        <v>0</v>
      </c>
      <c r="K2430" s="444">
        <f t="shared" ca="1" si="146"/>
        <v>1641409.8959935347</v>
      </c>
      <c r="L2430" s="444">
        <f t="shared" ca="1" si="147"/>
        <v>395579784.93444186</v>
      </c>
      <c r="M2430" s="460">
        <f t="shared" si="149"/>
        <v>0.05</v>
      </c>
      <c r="N2430" s="464">
        <f t="shared" si="150"/>
        <v>125005</v>
      </c>
    </row>
    <row r="2431" spans="7:14" ht="11.25" customHeight="1" x14ac:dyDescent="0.3">
      <c r="G2431" s="459"/>
      <c r="H2431" s="459">
        <v>2424</v>
      </c>
      <c r="I2431" s="444">
        <f t="shared" ca="1" si="148"/>
        <v>395579784.93444186</v>
      </c>
      <c r="J2431" s="444">
        <f t="array" ref="J2431">IFERROR(INDEX('Retirement Calculator'!J:J,MATCH('Isaac 401k'!N2431,'Retirement Calculator'!A:A,0),0),0)</f>
        <v>0</v>
      </c>
      <c r="K2431" s="444">
        <f t="shared" ca="1" si="146"/>
        <v>1648249.1038935077</v>
      </c>
      <c r="L2431" s="444">
        <f t="shared" ca="1" si="147"/>
        <v>397228034.03833538</v>
      </c>
      <c r="M2431" s="460">
        <f t="shared" si="149"/>
        <v>0.05</v>
      </c>
      <c r="N2431" s="464">
        <f t="shared" si="150"/>
        <v>125035</v>
      </c>
    </row>
    <row r="2432" spans="7:14" ht="11.25" customHeight="1" x14ac:dyDescent="0.3">
      <c r="G2432" s="459"/>
      <c r="H2432" s="459">
        <v>2425</v>
      </c>
      <c r="I2432" s="444">
        <f t="shared" ca="1" si="148"/>
        <v>397228034.03833538</v>
      </c>
      <c r="J2432" s="444">
        <f t="array" ref="J2432">IFERROR(INDEX('Retirement Calculator'!J:J,MATCH('Isaac 401k'!N2432,'Retirement Calculator'!A:A,0),0),0)</f>
        <v>0</v>
      </c>
      <c r="K2432" s="444">
        <f t="shared" ca="1" si="146"/>
        <v>1655116.808493064</v>
      </c>
      <c r="L2432" s="444">
        <f t="shared" ca="1" si="147"/>
        <v>398883150.84682846</v>
      </c>
      <c r="M2432" s="460">
        <f t="shared" si="149"/>
        <v>0.05</v>
      </c>
      <c r="N2432" s="464">
        <f t="shared" si="150"/>
        <v>125066</v>
      </c>
    </row>
    <row r="2433" spans="7:14" ht="11.25" customHeight="1" x14ac:dyDescent="0.3">
      <c r="G2433" s="459"/>
      <c r="H2433" s="459">
        <v>2426</v>
      </c>
      <c r="I2433" s="444">
        <f t="shared" ca="1" si="148"/>
        <v>398883150.84682846</v>
      </c>
      <c r="J2433" s="444">
        <f t="array" ref="J2433">IFERROR(INDEX('Retirement Calculator'!J:J,MATCH('Isaac 401k'!N2433,'Retirement Calculator'!A:A,0),0),0)</f>
        <v>0</v>
      </c>
      <c r="K2433" s="444">
        <f t="shared" ca="1" si="146"/>
        <v>1662013.128528452</v>
      </c>
      <c r="L2433" s="444">
        <f t="shared" ca="1" si="147"/>
        <v>400545163.97535694</v>
      </c>
      <c r="M2433" s="460">
        <f t="shared" si="149"/>
        <v>0.05</v>
      </c>
      <c r="N2433" s="464">
        <f t="shared" si="150"/>
        <v>125096</v>
      </c>
    </row>
    <row r="2434" spans="7:14" ht="11.25" customHeight="1" x14ac:dyDescent="0.3">
      <c r="G2434" s="459"/>
      <c r="H2434" s="459">
        <v>2427</v>
      </c>
      <c r="I2434" s="444">
        <f t="shared" ca="1" si="148"/>
        <v>400545163.97535694</v>
      </c>
      <c r="J2434" s="444">
        <f t="array" ref="J2434">IFERROR(INDEX('Retirement Calculator'!J:J,MATCH('Isaac 401k'!N2434,'Retirement Calculator'!A:A,0),0),0)</f>
        <v>0</v>
      </c>
      <c r="K2434" s="444">
        <f t="shared" ca="1" si="146"/>
        <v>1668938.1832306539</v>
      </c>
      <c r="L2434" s="444">
        <f t="shared" ca="1" si="147"/>
        <v>402214102.15858757</v>
      </c>
      <c r="M2434" s="460">
        <f t="shared" si="149"/>
        <v>0.05</v>
      </c>
      <c r="N2434" s="464">
        <f t="shared" si="150"/>
        <v>125127</v>
      </c>
    </row>
    <row r="2435" spans="7:14" ht="11.25" customHeight="1" x14ac:dyDescent="0.3">
      <c r="G2435" s="459"/>
      <c r="H2435" s="459">
        <v>2428</v>
      </c>
      <c r="I2435" s="444">
        <f t="shared" ca="1" si="148"/>
        <v>402214102.15858757</v>
      </c>
      <c r="J2435" s="444">
        <f t="array" ref="J2435">IFERROR(INDEX('Retirement Calculator'!J:J,MATCH('Isaac 401k'!N2435,'Retirement Calculator'!A:A,0),0),0)</f>
        <v>0</v>
      </c>
      <c r="K2435" s="444">
        <f t="shared" ca="1" si="146"/>
        <v>1675892.0923274483</v>
      </c>
      <c r="L2435" s="444">
        <f t="shared" ca="1" si="147"/>
        <v>403889994.25091505</v>
      </c>
      <c r="M2435" s="460">
        <f t="shared" si="149"/>
        <v>0.05</v>
      </c>
      <c r="N2435" s="464">
        <f t="shared" si="150"/>
        <v>125158</v>
      </c>
    </row>
    <row r="2436" spans="7:14" ht="11.25" customHeight="1" x14ac:dyDescent="0.3">
      <c r="G2436" s="459"/>
      <c r="H2436" s="459">
        <v>2429</v>
      </c>
      <c r="I2436" s="444">
        <f t="shared" ca="1" si="148"/>
        <v>403889994.25091505</v>
      </c>
      <c r="J2436" s="444">
        <f t="array" ref="J2436">IFERROR(INDEX('Retirement Calculator'!J:J,MATCH('Isaac 401k'!N2436,'Retirement Calculator'!A:A,0),0),0)</f>
        <v>0</v>
      </c>
      <c r="K2436" s="444">
        <f t="shared" ca="1" si="146"/>
        <v>1682874.9760454793</v>
      </c>
      <c r="L2436" s="444">
        <f t="shared" ca="1" si="147"/>
        <v>405572869.22696054</v>
      </c>
      <c r="M2436" s="460">
        <f t="shared" si="149"/>
        <v>0.05</v>
      </c>
      <c r="N2436" s="464">
        <f t="shared" si="150"/>
        <v>125188</v>
      </c>
    </row>
    <row r="2437" spans="7:14" ht="11.25" customHeight="1" x14ac:dyDescent="0.3">
      <c r="G2437" s="459"/>
      <c r="H2437" s="459">
        <v>2430</v>
      </c>
      <c r="I2437" s="444">
        <f t="shared" ca="1" si="148"/>
        <v>405572869.22696054</v>
      </c>
      <c r="J2437" s="444">
        <f t="array" ref="J2437">IFERROR(INDEX('Retirement Calculator'!J:J,MATCH('Isaac 401k'!N2437,'Retirement Calculator'!A:A,0),0),0)</f>
        <v>0</v>
      </c>
      <c r="K2437" s="444">
        <f t="shared" ca="1" si="146"/>
        <v>1689886.9551123355</v>
      </c>
      <c r="L2437" s="444">
        <f t="shared" ca="1" si="147"/>
        <v>407262756.18207288</v>
      </c>
      <c r="M2437" s="460">
        <f t="shared" si="149"/>
        <v>0.05</v>
      </c>
      <c r="N2437" s="464">
        <f t="shared" si="150"/>
        <v>125219</v>
      </c>
    </row>
    <row r="2438" spans="7:14" ht="11.25" customHeight="1" x14ac:dyDescent="0.3">
      <c r="G2438" s="459"/>
      <c r="H2438" s="459">
        <v>2431</v>
      </c>
      <c r="I2438" s="444">
        <f t="shared" ca="1" si="148"/>
        <v>407262756.18207288</v>
      </c>
      <c r="J2438" s="444">
        <f t="array" ref="J2438">IFERROR(INDEX('Retirement Calculator'!J:J,MATCH('Isaac 401k'!N2438,'Retirement Calculator'!A:A,0),0),0)</f>
        <v>0</v>
      </c>
      <c r="K2438" s="444">
        <f t="shared" ca="1" si="146"/>
        <v>1696928.1507586369</v>
      </c>
      <c r="L2438" s="444">
        <f t="shared" ca="1" si="147"/>
        <v>408959684.3328315</v>
      </c>
      <c r="M2438" s="460">
        <f t="shared" si="149"/>
        <v>0.05</v>
      </c>
      <c r="N2438" s="464">
        <f t="shared" si="150"/>
        <v>125249</v>
      </c>
    </row>
    <row r="2439" spans="7:14" ht="11.25" customHeight="1" x14ac:dyDescent="0.3">
      <c r="G2439" s="459"/>
      <c r="H2439" s="459">
        <v>2432</v>
      </c>
      <c r="I2439" s="444">
        <f t="shared" ca="1" si="148"/>
        <v>408959684.3328315</v>
      </c>
      <c r="J2439" s="444">
        <f t="array" ref="J2439">IFERROR(INDEX('Retirement Calculator'!J:J,MATCH('Isaac 401k'!N2439,'Retirement Calculator'!A:A,0),0),0)</f>
        <v>0</v>
      </c>
      <c r="K2439" s="444">
        <f t="shared" ca="1" si="146"/>
        <v>1703998.6847201313</v>
      </c>
      <c r="L2439" s="444">
        <f t="shared" ca="1" si="147"/>
        <v>410663683.01755166</v>
      </c>
      <c r="M2439" s="460">
        <f t="shared" si="149"/>
        <v>0.05</v>
      </c>
      <c r="N2439" s="464">
        <f t="shared" si="150"/>
        <v>125280</v>
      </c>
    </row>
    <row r="2440" spans="7:14" ht="11.25" customHeight="1" x14ac:dyDescent="0.3">
      <c r="G2440" s="459"/>
      <c r="H2440" s="459">
        <v>2433</v>
      </c>
      <c r="I2440" s="444">
        <f t="shared" ca="1" si="148"/>
        <v>410663683.01755166</v>
      </c>
      <c r="J2440" s="444">
        <f t="array" ref="J2440">IFERROR(INDEX('Retirement Calculator'!J:J,MATCH('Isaac 401k'!N2440,'Retirement Calculator'!A:A,0),0),0)</f>
        <v>0</v>
      </c>
      <c r="K2440" s="444">
        <f t="shared" ca="1" si="146"/>
        <v>1711098.6792397986</v>
      </c>
      <c r="L2440" s="444">
        <f t="shared" ca="1" si="147"/>
        <v>412374781.69679147</v>
      </c>
      <c r="M2440" s="460">
        <f t="shared" si="149"/>
        <v>0.05</v>
      </c>
      <c r="N2440" s="464">
        <f t="shared" si="150"/>
        <v>125311</v>
      </c>
    </row>
    <row r="2441" spans="7:14" ht="11.25" customHeight="1" x14ac:dyDescent="0.3">
      <c r="G2441" s="459"/>
      <c r="H2441" s="459">
        <v>2434</v>
      </c>
      <c r="I2441" s="444">
        <f t="shared" ca="1" si="148"/>
        <v>412374781.69679147</v>
      </c>
      <c r="J2441" s="444">
        <f t="array" ref="J2441">IFERROR(INDEX('Retirement Calculator'!J:J,MATCH('Isaac 401k'!N2441,'Retirement Calculator'!A:A,0),0),0)</f>
        <v>0</v>
      </c>
      <c r="K2441" s="444">
        <f t="shared" ca="1" si="146"/>
        <v>1718228.2570699644</v>
      </c>
      <c r="L2441" s="444">
        <f t="shared" ca="1" si="147"/>
        <v>414093009.95386142</v>
      </c>
      <c r="M2441" s="460">
        <f t="shared" si="149"/>
        <v>0.05</v>
      </c>
      <c r="N2441" s="464">
        <f t="shared" si="150"/>
        <v>125339</v>
      </c>
    </row>
    <row r="2442" spans="7:14" ht="11.25" customHeight="1" x14ac:dyDescent="0.3">
      <c r="G2442" s="459"/>
      <c r="H2442" s="459">
        <v>2435</v>
      </c>
      <c r="I2442" s="444">
        <f t="shared" ca="1" si="148"/>
        <v>414093009.95386142</v>
      </c>
      <c r="J2442" s="444">
        <f t="array" ref="J2442">IFERROR(INDEX('Retirement Calculator'!J:J,MATCH('Isaac 401k'!N2442,'Retirement Calculator'!A:A,0),0),0)</f>
        <v>0</v>
      </c>
      <c r="K2442" s="444">
        <f t="shared" ca="1" si="146"/>
        <v>1725387.5414744224</v>
      </c>
      <c r="L2442" s="444">
        <f t="shared" ca="1" si="147"/>
        <v>415818397.49533582</v>
      </c>
      <c r="M2442" s="460">
        <f t="shared" si="149"/>
        <v>0.05</v>
      </c>
      <c r="N2442" s="464">
        <f t="shared" si="150"/>
        <v>125370</v>
      </c>
    </row>
    <row r="2443" spans="7:14" ht="11.25" customHeight="1" x14ac:dyDescent="0.3">
      <c r="G2443" s="459"/>
      <c r="H2443" s="459">
        <v>2436</v>
      </c>
      <c r="I2443" s="444">
        <f t="shared" ca="1" si="148"/>
        <v>415818397.49533582</v>
      </c>
      <c r="J2443" s="444">
        <f t="array" ref="J2443">IFERROR(INDEX('Retirement Calculator'!J:J,MATCH('Isaac 401k'!N2443,'Retirement Calculator'!A:A,0),0),0)</f>
        <v>0</v>
      </c>
      <c r="K2443" s="444">
        <f t="shared" ca="1" si="146"/>
        <v>1732576.6562305659</v>
      </c>
      <c r="L2443" s="444">
        <f t="shared" ca="1" si="147"/>
        <v>417550974.15156639</v>
      </c>
      <c r="M2443" s="460">
        <f t="shared" si="149"/>
        <v>0.05</v>
      </c>
      <c r="N2443" s="464">
        <f t="shared" si="150"/>
        <v>125400</v>
      </c>
    </row>
    <row r="2444" spans="7:14" ht="11.25" customHeight="1" x14ac:dyDescent="0.3">
      <c r="G2444" s="459"/>
      <c r="H2444" s="459">
        <v>2437</v>
      </c>
      <c r="I2444" s="444">
        <f t="shared" ca="1" si="148"/>
        <v>417550974.15156639</v>
      </c>
      <c r="J2444" s="444">
        <f t="array" ref="J2444">IFERROR(INDEX('Retirement Calculator'!J:J,MATCH('Isaac 401k'!N2444,'Retirement Calculator'!A:A,0),0),0)</f>
        <v>0</v>
      </c>
      <c r="K2444" s="444">
        <f t="shared" ca="1" si="146"/>
        <v>1739795.7256315267</v>
      </c>
      <c r="L2444" s="444">
        <f t="shared" ca="1" si="147"/>
        <v>419290769.87719792</v>
      </c>
      <c r="M2444" s="460">
        <f t="shared" si="149"/>
        <v>0.05</v>
      </c>
      <c r="N2444" s="464">
        <f t="shared" si="150"/>
        <v>125431</v>
      </c>
    </row>
    <row r="2445" spans="7:14" ht="11.25" customHeight="1" x14ac:dyDescent="0.3">
      <c r="G2445" s="459"/>
      <c r="H2445" s="459">
        <v>2438</v>
      </c>
      <c r="I2445" s="444">
        <f t="shared" ca="1" si="148"/>
        <v>419290769.87719792</v>
      </c>
      <c r="J2445" s="444">
        <f t="array" ref="J2445">IFERROR(INDEX('Retirement Calculator'!J:J,MATCH('Isaac 401k'!N2445,'Retirement Calculator'!A:A,0),0),0)</f>
        <v>0</v>
      </c>
      <c r="K2445" s="444">
        <f t="shared" ca="1" si="146"/>
        <v>1747044.8744883246</v>
      </c>
      <c r="L2445" s="444">
        <f t="shared" ca="1" si="147"/>
        <v>421037814.75168628</v>
      </c>
      <c r="M2445" s="460">
        <f t="shared" si="149"/>
        <v>0.05</v>
      </c>
      <c r="N2445" s="464">
        <f t="shared" si="150"/>
        <v>125461</v>
      </c>
    </row>
    <row r="2446" spans="7:14" ht="11.25" customHeight="1" x14ac:dyDescent="0.3">
      <c r="G2446" s="459"/>
      <c r="H2446" s="459">
        <v>2439</v>
      </c>
      <c r="I2446" s="444">
        <f t="shared" ca="1" si="148"/>
        <v>421037814.75168628</v>
      </c>
      <c r="J2446" s="444">
        <f t="array" ref="J2446">IFERROR(INDEX('Retirement Calculator'!J:J,MATCH('Isaac 401k'!N2446,'Retirement Calculator'!A:A,0),0),0)</f>
        <v>0</v>
      </c>
      <c r="K2446" s="444">
        <f t="shared" ca="1" si="146"/>
        <v>1754324.228132026</v>
      </c>
      <c r="L2446" s="444">
        <f t="shared" ca="1" si="147"/>
        <v>422792138.97981828</v>
      </c>
      <c r="M2446" s="460">
        <f t="shared" si="149"/>
        <v>0.05</v>
      </c>
      <c r="N2446" s="464">
        <f t="shared" si="150"/>
        <v>125492</v>
      </c>
    </row>
    <row r="2447" spans="7:14" ht="11.25" customHeight="1" x14ac:dyDescent="0.3">
      <c r="G2447" s="459"/>
      <c r="H2447" s="459">
        <v>2440</v>
      </c>
      <c r="I2447" s="444">
        <f t="shared" ca="1" si="148"/>
        <v>422792138.97981828</v>
      </c>
      <c r="J2447" s="444">
        <f t="array" ref="J2447">IFERROR(INDEX('Retirement Calculator'!J:J,MATCH('Isaac 401k'!N2447,'Retirement Calculator'!A:A,0),0),0)</f>
        <v>0</v>
      </c>
      <c r="K2447" s="444">
        <f t="shared" ca="1" si="146"/>
        <v>1761633.9124159096</v>
      </c>
      <c r="L2447" s="444">
        <f t="shared" ca="1" si="147"/>
        <v>424553772.89223421</v>
      </c>
      <c r="M2447" s="460">
        <f t="shared" si="149"/>
        <v>0.05</v>
      </c>
      <c r="N2447" s="464">
        <f t="shared" si="150"/>
        <v>125523</v>
      </c>
    </row>
    <row r="2448" spans="7:14" ht="11.25" customHeight="1" x14ac:dyDescent="0.3">
      <c r="G2448" s="459"/>
      <c r="H2448" s="459">
        <v>2441</v>
      </c>
      <c r="I2448" s="444">
        <f t="shared" ca="1" si="148"/>
        <v>424553772.89223421</v>
      </c>
      <c r="J2448" s="444">
        <f t="array" ref="J2448">IFERROR(INDEX('Retirement Calculator'!J:J,MATCH('Isaac 401k'!N2448,'Retirement Calculator'!A:A,0),0),0)</f>
        <v>0</v>
      </c>
      <c r="K2448" s="444">
        <f t="shared" ca="1" si="146"/>
        <v>1768974.0537176426</v>
      </c>
      <c r="L2448" s="444">
        <f t="shared" ca="1" si="147"/>
        <v>426322746.94595182</v>
      </c>
      <c r="M2448" s="460">
        <f t="shared" si="149"/>
        <v>0.05</v>
      </c>
      <c r="N2448" s="464">
        <f t="shared" si="150"/>
        <v>125553</v>
      </c>
    </row>
    <row r="2449" spans="7:14" ht="11.25" customHeight="1" x14ac:dyDescent="0.3">
      <c r="G2449" s="459"/>
      <c r="H2449" s="459">
        <v>2442</v>
      </c>
      <c r="I2449" s="444">
        <f t="shared" ca="1" si="148"/>
        <v>426322746.94595182</v>
      </c>
      <c r="J2449" s="444">
        <f t="array" ref="J2449">IFERROR(INDEX('Retirement Calculator'!J:J,MATCH('Isaac 401k'!N2449,'Retirement Calculator'!A:A,0),0),0)</f>
        <v>0</v>
      </c>
      <c r="K2449" s="444">
        <f t="shared" ca="1" si="146"/>
        <v>1776344.7789414658</v>
      </c>
      <c r="L2449" s="444">
        <f t="shared" ca="1" si="147"/>
        <v>428099091.72489327</v>
      </c>
      <c r="M2449" s="460">
        <f t="shared" si="149"/>
        <v>0.05</v>
      </c>
      <c r="N2449" s="464">
        <f t="shared" si="150"/>
        <v>125584</v>
      </c>
    </row>
    <row r="2450" spans="7:14" ht="11.25" customHeight="1" x14ac:dyDescent="0.3">
      <c r="G2450" s="459"/>
      <c r="H2450" s="459">
        <v>2443</v>
      </c>
      <c r="I2450" s="444">
        <f t="shared" ca="1" si="148"/>
        <v>428099091.72489327</v>
      </c>
      <c r="J2450" s="444">
        <f t="array" ref="J2450">IFERROR(INDEX('Retirement Calculator'!J:J,MATCH('Isaac 401k'!N2450,'Retirement Calculator'!A:A,0),0),0)</f>
        <v>0</v>
      </c>
      <c r="K2450" s="444">
        <f t="shared" ca="1" si="146"/>
        <v>1783746.2155203887</v>
      </c>
      <c r="L2450" s="444">
        <f t="shared" ca="1" si="147"/>
        <v>429882837.94041365</v>
      </c>
      <c r="M2450" s="460">
        <f t="shared" si="149"/>
        <v>0.05</v>
      </c>
      <c r="N2450" s="464">
        <f t="shared" si="150"/>
        <v>125614</v>
      </c>
    </row>
    <row r="2451" spans="7:14" ht="11.25" customHeight="1" x14ac:dyDescent="0.3">
      <c r="G2451" s="459"/>
      <c r="H2451" s="459">
        <v>2444</v>
      </c>
      <c r="I2451" s="444">
        <f t="shared" ca="1" si="148"/>
        <v>429882837.94041365</v>
      </c>
      <c r="J2451" s="444">
        <f t="array" ref="J2451">IFERROR(INDEX('Retirement Calculator'!J:J,MATCH('Isaac 401k'!N2451,'Retirement Calculator'!A:A,0),0),0)</f>
        <v>0</v>
      </c>
      <c r="K2451" s="444">
        <f t="shared" ca="1" si="146"/>
        <v>1791178.4914183903</v>
      </c>
      <c r="L2451" s="444">
        <f t="shared" ca="1" si="147"/>
        <v>431674016.43183202</v>
      </c>
      <c r="M2451" s="460">
        <f t="shared" si="149"/>
        <v>0.05</v>
      </c>
      <c r="N2451" s="464">
        <f t="shared" si="150"/>
        <v>125645</v>
      </c>
    </row>
    <row r="2452" spans="7:14" ht="11.25" customHeight="1" x14ac:dyDescent="0.3">
      <c r="G2452" s="459"/>
      <c r="H2452" s="459">
        <v>2445</v>
      </c>
      <c r="I2452" s="444">
        <f t="shared" ca="1" si="148"/>
        <v>431674016.43183202</v>
      </c>
      <c r="J2452" s="444">
        <f t="array" ref="J2452">IFERROR(INDEX('Retirement Calculator'!J:J,MATCH('Isaac 401k'!N2452,'Retirement Calculator'!A:A,0),0),0)</f>
        <v>0</v>
      </c>
      <c r="K2452" s="444">
        <f t="shared" ca="1" si="146"/>
        <v>1798641.7351326335</v>
      </c>
      <c r="L2452" s="444">
        <f t="shared" ca="1" si="147"/>
        <v>433472658.16696465</v>
      </c>
      <c r="M2452" s="460">
        <f t="shared" si="149"/>
        <v>0.05</v>
      </c>
      <c r="N2452" s="464">
        <f t="shared" si="150"/>
        <v>125676</v>
      </c>
    </row>
    <row r="2453" spans="7:14" ht="11.25" customHeight="1" x14ac:dyDescent="0.3">
      <c r="G2453" s="459"/>
      <c r="H2453" s="459">
        <v>2446</v>
      </c>
      <c r="I2453" s="444">
        <f t="shared" ca="1" si="148"/>
        <v>433472658.16696465</v>
      </c>
      <c r="J2453" s="444">
        <f t="array" ref="J2453">IFERROR(INDEX('Retirement Calculator'!J:J,MATCH('Isaac 401k'!N2453,'Retirement Calculator'!A:A,0),0),0)</f>
        <v>0</v>
      </c>
      <c r="K2453" s="444">
        <f t="shared" ca="1" si="146"/>
        <v>1806136.075695686</v>
      </c>
      <c r="L2453" s="444">
        <f t="shared" ca="1" si="147"/>
        <v>435278794.24266034</v>
      </c>
      <c r="M2453" s="460">
        <f t="shared" si="149"/>
        <v>0.05</v>
      </c>
      <c r="N2453" s="464">
        <f t="shared" si="150"/>
        <v>125705</v>
      </c>
    </row>
    <row r="2454" spans="7:14" ht="11.25" customHeight="1" x14ac:dyDescent="0.3">
      <c r="G2454" s="459"/>
      <c r="H2454" s="459">
        <v>2447</v>
      </c>
      <c r="I2454" s="444">
        <f t="shared" ca="1" si="148"/>
        <v>435278794.24266034</v>
      </c>
      <c r="J2454" s="444">
        <f t="array" ref="J2454">IFERROR(INDEX('Retirement Calculator'!J:J,MATCH('Isaac 401k'!N2454,'Retirement Calculator'!A:A,0),0),0)</f>
        <v>0</v>
      </c>
      <c r="K2454" s="444">
        <f t="shared" ca="1" si="146"/>
        <v>1813661.6426777514</v>
      </c>
      <c r="L2454" s="444">
        <f t="shared" ca="1" si="147"/>
        <v>437092455.88533807</v>
      </c>
      <c r="M2454" s="460">
        <f t="shared" si="149"/>
        <v>0.05</v>
      </c>
      <c r="N2454" s="464">
        <f t="shared" si="150"/>
        <v>125736</v>
      </c>
    </row>
    <row r="2455" spans="7:14" ht="11.25" customHeight="1" x14ac:dyDescent="0.3">
      <c r="G2455" s="459"/>
      <c r="H2455" s="459">
        <v>2448</v>
      </c>
      <c r="I2455" s="444">
        <f t="shared" ca="1" si="148"/>
        <v>437092455.88533807</v>
      </c>
      <c r="J2455" s="444">
        <f t="array" ref="J2455">IFERROR(INDEX('Retirement Calculator'!J:J,MATCH('Isaac 401k'!N2455,'Retirement Calculator'!A:A,0),0),0)</f>
        <v>0</v>
      </c>
      <c r="K2455" s="444">
        <f t="shared" ca="1" si="146"/>
        <v>1821218.5661889086</v>
      </c>
      <c r="L2455" s="444">
        <f t="shared" ca="1" si="147"/>
        <v>438913674.451527</v>
      </c>
      <c r="M2455" s="460">
        <f t="shared" si="149"/>
        <v>0.05</v>
      </c>
      <c r="N2455" s="464">
        <f t="shared" si="150"/>
        <v>125766</v>
      </c>
    </row>
    <row r="2456" spans="7:14" ht="11.25" customHeight="1" x14ac:dyDescent="0.3">
      <c r="G2456" s="459"/>
      <c r="H2456" s="459">
        <v>2449</v>
      </c>
      <c r="I2456" s="444">
        <f t="shared" ca="1" si="148"/>
        <v>438913674.451527</v>
      </c>
      <c r="J2456" s="444">
        <f t="array" ref="J2456">IFERROR(INDEX('Retirement Calculator'!J:J,MATCH('Isaac 401k'!N2456,'Retirement Calculator'!A:A,0),0),0)</f>
        <v>0</v>
      </c>
      <c r="K2456" s="444">
        <f t="shared" ca="1" si="146"/>
        <v>1828806.9768813625</v>
      </c>
      <c r="L2456" s="444">
        <f t="shared" ca="1" si="147"/>
        <v>440742481.42840838</v>
      </c>
      <c r="M2456" s="460">
        <f t="shared" si="149"/>
        <v>0.05</v>
      </c>
      <c r="N2456" s="464">
        <f t="shared" si="150"/>
        <v>125797</v>
      </c>
    </row>
    <row r="2457" spans="7:14" ht="11.25" customHeight="1" x14ac:dyDescent="0.3">
      <c r="G2457" s="459"/>
      <c r="H2457" s="459">
        <v>2450</v>
      </c>
      <c r="I2457" s="444">
        <f t="shared" ca="1" si="148"/>
        <v>440742481.42840838</v>
      </c>
      <c r="J2457" s="444">
        <f t="array" ref="J2457">IFERROR(INDEX('Retirement Calculator'!J:J,MATCH('Isaac 401k'!N2457,'Retirement Calculator'!A:A,0),0),0)</f>
        <v>0</v>
      </c>
      <c r="K2457" s="444">
        <f t="shared" ca="1" si="146"/>
        <v>1836427.0059517017</v>
      </c>
      <c r="L2457" s="444">
        <f t="shared" ca="1" si="147"/>
        <v>442578908.43436009</v>
      </c>
      <c r="M2457" s="460">
        <f t="shared" si="149"/>
        <v>0.05</v>
      </c>
      <c r="N2457" s="464">
        <f t="shared" si="150"/>
        <v>125827</v>
      </c>
    </row>
    <row r="2458" spans="7:14" ht="11.25" customHeight="1" x14ac:dyDescent="0.3">
      <c r="G2458" s="459"/>
      <c r="H2458" s="459">
        <v>2451</v>
      </c>
      <c r="I2458" s="444">
        <f t="shared" ca="1" si="148"/>
        <v>442578908.43436009</v>
      </c>
      <c r="J2458" s="444">
        <f t="array" ref="J2458">IFERROR(INDEX('Retirement Calculator'!J:J,MATCH('Isaac 401k'!N2458,'Retirement Calculator'!A:A,0),0),0)</f>
        <v>0</v>
      </c>
      <c r="K2458" s="444">
        <f t="shared" ca="1" si="146"/>
        <v>1844078.785143167</v>
      </c>
      <c r="L2458" s="444">
        <f t="shared" ca="1" si="147"/>
        <v>444422987.21950328</v>
      </c>
      <c r="M2458" s="460">
        <f t="shared" si="149"/>
        <v>0.05</v>
      </c>
      <c r="N2458" s="464">
        <f t="shared" si="150"/>
        <v>125858</v>
      </c>
    </row>
    <row r="2459" spans="7:14" ht="11.25" customHeight="1" x14ac:dyDescent="0.3">
      <c r="G2459" s="459"/>
      <c r="H2459" s="459">
        <v>2452</v>
      </c>
      <c r="I2459" s="444">
        <f t="shared" ca="1" si="148"/>
        <v>444422987.21950328</v>
      </c>
      <c r="J2459" s="444">
        <f t="array" ref="J2459">IFERROR(INDEX('Retirement Calculator'!J:J,MATCH('Isaac 401k'!N2459,'Retirement Calculator'!A:A,0),0),0)</f>
        <v>0</v>
      </c>
      <c r="K2459" s="444">
        <f t="shared" ca="1" si="146"/>
        <v>1851762.4467479303</v>
      </c>
      <c r="L2459" s="444">
        <f t="shared" ca="1" si="147"/>
        <v>446274749.66625124</v>
      </c>
      <c r="M2459" s="460">
        <f t="shared" si="149"/>
        <v>0.05</v>
      </c>
      <c r="N2459" s="464">
        <f t="shared" si="150"/>
        <v>125889</v>
      </c>
    </row>
    <row r="2460" spans="7:14" ht="11.25" customHeight="1" x14ac:dyDescent="0.3">
      <c r="G2460" s="459"/>
      <c r="H2460" s="459">
        <v>2453</v>
      </c>
      <c r="I2460" s="444">
        <f t="shared" ca="1" si="148"/>
        <v>446274749.66625124</v>
      </c>
      <c r="J2460" s="444">
        <f t="array" ref="J2460">IFERROR(INDEX('Retirement Calculator'!J:J,MATCH('Isaac 401k'!N2460,'Retirement Calculator'!A:A,0),0),0)</f>
        <v>0</v>
      </c>
      <c r="K2460" s="444">
        <f t="shared" ca="1" si="146"/>
        <v>1859478.1236093799</v>
      </c>
      <c r="L2460" s="444">
        <f t="shared" ca="1" si="147"/>
        <v>448134227.78986061</v>
      </c>
      <c r="M2460" s="460">
        <f t="shared" si="149"/>
        <v>0.05</v>
      </c>
      <c r="N2460" s="464">
        <f t="shared" si="150"/>
        <v>125919</v>
      </c>
    </row>
    <row r="2461" spans="7:14" ht="11.25" customHeight="1" x14ac:dyDescent="0.3">
      <c r="G2461" s="459"/>
      <c r="H2461" s="459">
        <v>2454</v>
      </c>
      <c r="I2461" s="444">
        <f t="shared" ca="1" si="148"/>
        <v>448134227.78986061</v>
      </c>
      <c r="J2461" s="444">
        <f t="array" ref="J2461">IFERROR(INDEX('Retirement Calculator'!J:J,MATCH('Isaac 401k'!N2461,'Retirement Calculator'!A:A,0),0),0)</f>
        <v>0</v>
      </c>
      <c r="K2461" s="444">
        <f t="shared" ca="1" si="146"/>
        <v>1867225.9491244191</v>
      </c>
      <c r="L2461" s="444">
        <f t="shared" ca="1" si="147"/>
        <v>450001453.738985</v>
      </c>
      <c r="M2461" s="460">
        <f t="shared" si="149"/>
        <v>0.05</v>
      </c>
      <c r="N2461" s="464">
        <f t="shared" si="150"/>
        <v>125950</v>
      </c>
    </row>
    <row r="2462" spans="7:14" ht="11.25" customHeight="1" x14ac:dyDescent="0.3">
      <c r="G2462" s="459"/>
      <c r="H2462" s="459">
        <v>2455</v>
      </c>
      <c r="I2462" s="444">
        <f t="shared" ca="1" si="148"/>
        <v>450001453.738985</v>
      </c>
      <c r="J2462" s="444">
        <f t="array" ref="J2462">IFERROR(INDEX('Retirement Calculator'!J:J,MATCH('Isaac 401k'!N2462,'Retirement Calculator'!A:A,0),0),0)</f>
        <v>0</v>
      </c>
      <c r="K2462" s="444">
        <f t="shared" ca="1" si="146"/>
        <v>1875006.0572457707</v>
      </c>
      <c r="L2462" s="444">
        <f t="shared" ca="1" si="147"/>
        <v>451876459.79623079</v>
      </c>
      <c r="M2462" s="460">
        <f t="shared" si="149"/>
        <v>0.05</v>
      </c>
      <c r="N2462" s="464">
        <f t="shared" si="150"/>
        <v>125980</v>
      </c>
    </row>
    <row r="2463" spans="7:14" ht="11.25" customHeight="1" x14ac:dyDescent="0.3">
      <c r="G2463" s="459"/>
      <c r="H2463" s="459">
        <v>2456</v>
      </c>
      <c r="I2463" s="444">
        <f t="shared" ca="1" si="148"/>
        <v>451876459.79623079</v>
      </c>
      <c r="J2463" s="444">
        <f t="array" ref="J2463">IFERROR(INDEX('Retirement Calculator'!J:J,MATCH('Isaac 401k'!N2463,'Retirement Calculator'!A:A,0),0),0)</f>
        <v>0</v>
      </c>
      <c r="K2463" s="444">
        <f t="shared" ca="1" si="146"/>
        <v>1882818.5824842951</v>
      </c>
      <c r="L2463" s="444">
        <f t="shared" ca="1" si="147"/>
        <v>453759278.3787151</v>
      </c>
      <c r="M2463" s="460">
        <f t="shared" si="149"/>
        <v>0.05</v>
      </c>
      <c r="N2463" s="464">
        <f t="shared" si="150"/>
        <v>126011</v>
      </c>
    </row>
    <row r="2464" spans="7:14" ht="11.25" customHeight="1" x14ac:dyDescent="0.3">
      <c r="G2464" s="459"/>
      <c r="H2464" s="459">
        <v>2457</v>
      </c>
      <c r="I2464" s="444">
        <f t="shared" ca="1" si="148"/>
        <v>453759278.3787151</v>
      </c>
      <c r="J2464" s="444">
        <f t="array" ref="J2464">IFERROR(INDEX('Retirement Calculator'!J:J,MATCH('Isaac 401k'!N2464,'Retirement Calculator'!A:A,0),0),0)</f>
        <v>0</v>
      </c>
      <c r="K2464" s="444">
        <f t="shared" ca="1" si="146"/>
        <v>1890663.6599113131</v>
      </c>
      <c r="L2464" s="444">
        <f t="shared" ca="1" si="147"/>
        <v>455649942.03862643</v>
      </c>
      <c r="M2464" s="460">
        <f t="shared" si="149"/>
        <v>0.05</v>
      </c>
      <c r="N2464" s="464">
        <f t="shared" si="150"/>
        <v>126042</v>
      </c>
    </row>
    <row r="2465" spans="7:14" ht="11.25" customHeight="1" x14ac:dyDescent="0.3">
      <c r="G2465" s="459"/>
      <c r="H2465" s="459">
        <v>2458</v>
      </c>
      <c r="I2465" s="444">
        <f t="shared" ca="1" si="148"/>
        <v>455649942.03862643</v>
      </c>
      <c r="J2465" s="444">
        <f t="array" ref="J2465">IFERROR(INDEX('Retirement Calculator'!J:J,MATCH('Isaac 401k'!N2465,'Retirement Calculator'!A:A,0),0),0)</f>
        <v>0</v>
      </c>
      <c r="K2465" s="444">
        <f t="shared" ca="1" si="146"/>
        <v>1898541.4251609438</v>
      </c>
      <c r="L2465" s="444">
        <f t="shared" ca="1" si="147"/>
        <v>457548483.46378738</v>
      </c>
      <c r="M2465" s="460">
        <f t="shared" si="149"/>
        <v>0.05</v>
      </c>
      <c r="N2465" s="464">
        <f t="shared" si="150"/>
        <v>126070</v>
      </c>
    </row>
    <row r="2466" spans="7:14" ht="11.25" customHeight="1" x14ac:dyDescent="0.3">
      <c r="G2466" s="459"/>
      <c r="H2466" s="459">
        <v>2459</v>
      </c>
      <c r="I2466" s="444">
        <f t="shared" ca="1" si="148"/>
        <v>457548483.46378738</v>
      </c>
      <c r="J2466" s="444">
        <f t="array" ref="J2466">IFERROR(INDEX('Retirement Calculator'!J:J,MATCH('Isaac 401k'!N2466,'Retirement Calculator'!A:A,0),0),0)</f>
        <v>0</v>
      </c>
      <c r="K2466" s="444">
        <f t="shared" ca="1" si="146"/>
        <v>1906452.014432447</v>
      </c>
      <c r="L2466" s="444">
        <f t="shared" ca="1" si="147"/>
        <v>459454935.47821981</v>
      </c>
      <c r="M2466" s="460">
        <f t="shared" si="149"/>
        <v>0.05</v>
      </c>
      <c r="N2466" s="464">
        <f t="shared" si="150"/>
        <v>126101</v>
      </c>
    </row>
    <row r="2467" spans="7:14" ht="11.25" customHeight="1" x14ac:dyDescent="0.3">
      <c r="G2467" s="459"/>
      <c r="H2467" s="459">
        <v>2460</v>
      </c>
      <c r="I2467" s="444">
        <f t="shared" ca="1" si="148"/>
        <v>459454935.47821981</v>
      </c>
      <c r="J2467" s="444">
        <f t="array" ref="J2467">IFERROR(INDEX('Retirement Calculator'!J:J,MATCH('Isaac 401k'!N2467,'Retirement Calculator'!A:A,0),0),0)</f>
        <v>0</v>
      </c>
      <c r="K2467" s="444">
        <f t="shared" ca="1" si="146"/>
        <v>1914395.5644925826</v>
      </c>
      <c r="L2467" s="444">
        <f t="shared" ca="1" si="147"/>
        <v>461369331.04271239</v>
      </c>
      <c r="M2467" s="460">
        <f t="shared" si="149"/>
        <v>0.05</v>
      </c>
      <c r="N2467" s="464">
        <f t="shared" si="150"/>
        <v>126131</v>
      </c>
    </row>
    <row r="2468" spans="7:14" ht="11.25" customHeight="1" x14ac:dyDescent="0.3">
      <c r="G2468" s="459"/>
      <c r="H2468" s="459">
        <v>2461</v>
      </c>
      <c r="I2468" s="444">
        <f t="shared" ca="1" si="148"/>
        <v>461369331.04271239</v>
      </c>
      <c r="J2468" s="444">
        <f t="array" ref="J2468">IFERROR(INDEX('Retirement Calculator'!J:J,MATCH('Isaac 401k'!N2468,'Retirement Calculator'!A:A,0),0),0)</f>
        <v>0</v>
      </c>
      <c r="K2468" s="444">
        <f t="shared" ca="1" si="146"/>
        <v>1922372.212677968</v>
      </c>
      <c r="L2468" s="444">
        <f t="shared" ca="1" si="147"/>
        <v>463291703.25539035</v>
      </c>
      <c r="M2468" s="460">
        <f t="shared" si="149"/>
        <v>0.05</v>
      </c>
      <c r="N2468" s="464">
        <f t="shared" si="150"/>
        <v>126162</v>
      </c>
    </row>
    <row r="2469" spans="7:14" ht="11.25" customHeight="1" x14ac:dyDescent="0.3">
      <c r="G2469" s="459"/>
      <c r="H2469" s="459">
        <v>2462</v>
      </c>
      <c r="I2469" s="444">
        <f t="shared" ca="1" si="148"/>
        <v>463291703.25539035</v>
      </c>
      <c r="J2469" s="444">
        <f t="array" ref="J2469">IFERROR(INDEX('Retirement Calculator'!J:J,MATCH('Isaac 401k'!N2469,'Retirement Calculator'!A:A,0),0),0)</f>
        <v>0</v>
      </c>
      <c r="K2469" s="444">
        <f t="shared" ca="1" si="146"/>
        <v>1930382.0968974601</v>
      </c>
      <c r="L2469" s="444">
        <f t="shared" ca="1" si="147"/>
        <v>465222085.35228783</v>
      </c>
      <c r="M2469" s="460">
        <f t="shared" si="149"/>
        <v>0.05</v>
      </c>
      <c r="N2469" s="464">
        <f t="shared" si="150"/>
        <v>126192</v>
      </c>
    </row>
    <row r="2470" spans="7:14" ht="11.25" customHeight="1" x14ac:dyDescent="0.3">
      <c r="G2470" s="459"/>
      <c r="H2470" s="459">
        <v>2463</v>
      </c>
      <c r="I2470" s="444">
        <f t="shared" ca="1" si="148"/>
        <v>465222085.35228783</v>
      </c>
      <c r="J2470" s="444">
        <f t="array" ref="J2470">IFERROR(INDEX('Retirement Calculator'!J:J,MATCH('Isaac 401k'!N2470,'Retirement Calculator'!A:A,0),0),0)</f>
        <v>0</v>
      </c>
      <c r="K2470" s="444">
        <f t="shared" ca="1" si="146"/>
        <v>1938425.3556345326</v>
      </c>
      <c r="L2470" s="444">
        <f t="shared" ca="1" si="147"/>
        <v>467160510.70792234</v>
      </c>
      <c r="M2470" s="460">
        <f t="shared" si="149"/>
        <v>0.05</v>
      </c>
      <c r="N2470" s="464">
        <f t="shared" si="150"/>
        <v>126223</v>
      </c>
    </row>
    <row r="2471" spans="7:14" ht="11.25" customHeight="1" x14ac:dyDescent="0.3">
      <c r="G2471" s="459"/>
      <c r="H2471" s="459">
        <v>2464</v>
      </c>
      <c r="I2471" s="444">
        <f t="shared" ca="1" si="148"/>
        <v>467160510.70792234</v>
      </c>
      <c r="J2471" s="444">
        <f t="array" ref="J2471">IFERROR(INDEX('Retirement Calculator'!J:J,MATCH('Isaac 401k'!N2471,'Retirement Calculator'!A:A,0),0),0)</f>
        <v>0</v>
      </c>
      <c r="K2471" s="444">
        <f t="shared" ca="1" si="146"/>
        <v>1946502.1279496765</v>
      </c>
      <c r="L2471" s="444">
        <f t="shared" ca="1" si="147"/>
        <v>469107012.83587199</v>
      </c>
      <c r="M2471" s="460">
        <f t="shared" si="149"/>
        <v>0.05</v>
      </c>
      <c r="N2471" s="464">
        <f t="shared" si="150"/>
        <v>126254</v>
      </c>
    </row>
    <row r="2472" spans="7:14" ht="11.25" customHeight="1" x14ac:dyDescent="0.3">
      <c r="G2472" s="459"/>
      <c r="H2472" s="459">
        <v>2465</v>
      </c>
      <c r="I2472" s="444">
        <f t="shared" ca="1" si="148"/>
        <v>469107012.83587199</v>
      </c>
      <c r="J2472" s="444">
        <f t="array" ref="J2472">IFERROR(INDEX('Retirement Calculator'!J:J,MATCH('Isaac 401k'!N2472,'Retirement Calculator'!A:A,0),0),0)</f>
        <v>0</v>
      </c>
      <c r="K2472" s="444">
        <f t="shared" ca="1" si="146"/>
        <v>1954612.5534828</v>
      </c>
      <c r="L2472" s="444">
        <f t="shared" ca="1" si="147"/>
        <v>471061625.38935477</v>
      </c>
      <c r="M2472" s="460">
        <f t="shared" si="149"/>
        <v>0.05</v>
      </c>
      <c r="N2472" s="464">
        <f t="shared" si="150"/>
        <v>126284</v>
      </c>
    </row>
    <row r="2473" spans="7:14" ht="11.25" customHeight="1" x14ac:dyDescent="0.3">
      <c r="G2473" s="459"/>
      <c r="H2473" s="459">
        <v>2466</v>
      </c>
      <c r="I2473" s="444">
        <f t="shared" ca="1" si="148"/>
        <v>471061625.38935477</v>
      </c>
      <c r="J2473" s="444">
        <f t="array" ref="J2473">IFERROR(INDEX('Retirement Calculator'!J:J,MATCH('Isaac 401k'!N2473,'Retirement Calculator'!A:A,0),0),0)</f>
        <v>0</v>
      </c>
      <c r="K2473" s="444">
        <f t="shared" ca="1" si="146"/>
        <v>1962756.7724556448</v>
      </c>
      <c r="L2473" s="444">
        <f t="shared" ca="1" si="147"/>
        <v>473024382.1618104</v>
      </c>
      <c r="M2473" s="460">
        <f t="shared" si="149"/>
        <v>0.05</v>
      </c>
      <c r="N2473" s="464">
        <f t="shared" si="150"/>
        <v>126315</v>
      </c>
    </row>
    <row r="2474" spans="7:14" ht="11.25" customHeight="1" x14ac:dyDescent="0.3">
      <c r="G2474" s="459"/>
      <c r="H2474" s="459">
        <v>2467</v>
      </c>
      <c r="I2474" s="444">
        <f t="shared" ca="1" si="148"/>
        <v>473024382.1618104</v>
      </c>
      <c r="J2474" s="444">
        <f t="array" ref="J2474">IFERROR(INDEX('Retirement Calculator'!J:J,MATCH('Isaac 401k'!N2474,'Retirement Calculator'!A:A,0),0),0)</f>
        <v>0</v>
      </c>
      <c r="K2474" s="444">
        <f t="shared" ca="1" si="146"/>
        <v>1970934.9256742101</v>
      </c>
      <c r="L2474" s="444">
        <f t="shared" ca="1" si="147"/>
        <v>474995317.0874846</v>
      </c>
      <c r="M2474" s="460">
        <f t="shared" si="149"/>
        <v>0.05</v>
      </c>
      <c r="N2474" s="464">
        <f t="shared" si="150"/>
        <v>126345</v>
      </c>
    </row>
    <row r="2475" spans="7:14" ht="11.25" customHeight="1" x14ac:dyDescent="0.3">
      <c r="G2475" s="459"/>
      <c r="H2475" s="459">
        <v>2468</v>
      </c>
      <c r="I2475" s="444">
        <f t="shared" ca="1" si="148"/>
        <v>474995317.0874846</v>
      </c>
      <c r="J2475" s="444">
        <f t="array" ref="J2475">IFERROR(INDEX('Retirement Calculator'!J:J,MATCH('Isaac 401k'!N2475,'Retirement Calculator'!A:A,0),0),0)</f>
        <v>0</v>
      </c>
      <c r="K2475" s="444">
        <f t="shared" ca="1" si="146"/>
        <v>1979147.1545311857</v>
      </c>
      <c r="L2475" s="444">
        <f t="shared" ca="1" si="147"/>
        <v>476974464.24201578</v>
      </c>
      <c r="M2475" s="460">
        <f t="shared" si="149"/>
        <v>0.05</v>
      </c>
      <c r="N2475" s="464">
        <f t="shared" si="150"/>
        <v>126376</v>
      </c>
    </row>
    <row r="2476" spans="7:14" ht="11.25" customHeight="1" x14ac:dyDescent="0.3">
      <c r="G2476" s="459"/>
      <c r="H2476" s="459">
        <v>2469</v>
      </c>
      <c r="I2476" s="444">
        <f t="shared" ca="1" si="148"/>
        <v>476974464.24201578</v>
      </c>
      <c r="J2476" s="444">
        <f t="array" ref="J2476">IFERROR(INDEX('Retirement Calculator'!J:J,MATCH('Isaac 401k'!N2476,'Retirement Calculator'!A:A,0),0),0)</f>
        <v>0</v>
      </c>
      <c r="K2476" s="444">
        <f t="shared" ca="1" si="146"/>
        <v>1987393.6010083992</v>
      </c>
      <c r="L2476" s="444">
        <f t="shared" ca="1" si="147"/>
        <v>478961857.84302419</v>
      </c>
      <c r="M2476" s="460">
        <f t="shared" si="149"/>
        <v>0.05</v>
      </c>
      <c r="N2476" s="464">
        <f t="shared" si="150"/>
        <v>126407</v>
      </c>
    </row>
    <row r="2477" spans="7:14" ht="11.25" customHeight="1" x14ac:dyDescent="0.3">
      <c r="G2477" s="459"/>
      <c r="H2477" s="459">
        <v>2470</v>
      </c>
      <c r="I2477" s="444">
        <f t="shared" ca="1" si="148"/>
        <v>478961857.84302419</v>
      </c>
      <c r="J2477" s="444">
        <f t="array" ref="J2477">IFERROR(INDEX('Retirement Calculator'!J:J,MATCH('Isaac 401k'!N2477,'Retirement Calculator'!A:A,0),0),0)</f>
        <v>0</v>
      </c>
      <c r="K2477" s="444">
        <f t="shared" ca="1" si="146"/>
        <v>1995674.4076792675</v>
      </c>
      <c r="L2477" s="444">
        <f t="shared" ca="1" si="147"/>
        <v>480957532.25070345</v>
      </c>
      <c r="M2477" s="460">
        <f t="shared" si="149"/>
        <v>0.05</v>
      </c>
      <c r="N2477" s="464">
        <f t="shared" si="150"/>
        <v>126435</v>
      </c>
    </row>
    <row r="2478" spans="7:14" ht="11.25" customHeight="1" x14ac:dyDescent="0.3">
      <c r="G2478" s="459"/>
      <c r="H2478" s="459">
        <v>2471</v>
      </c>
      <c r="I2478" s="444">
        <f t="shared" ca="1" si="148"/>
        <v>480957532.25070345</v>
      </c>
      <c r="J2478" s="444">
        <f t="array" ref="J2478">IFERROR(INDEX('Retirement Calculator'!J:J,MATCH('Isaac 401k'!N2478,'Retirement Calculator'!A:A,0),0),0)</f>
        <v>0</v>
      </c>
      <c r="K2478" s="444">
        <f t="shared" ca="1" si="146"/>
        <v>2003989.7177112643</v>
      </c>
      <c r="L2478" s="444">
        <f t="shared" ca="1" si="147"/>
        <v>482961521.96841472</v>
      </c>
      <c r="M2478" s="460">
        <f t="shared" si="149"/>
        <v>0.05</v>
      </c>
      <c r="N2478" s="464">
        <f t="shared" si="150"/>
        <v>126466</v>
      </c>
    </row>
    <row r="2479" spans="7:14" ht="11.25" customHeight="1" x14ac:dyDescent="0.3">
      <c r="G2479" s="459"/>
      <c r="H2479" s="459">
        <v>2472</v>
      </c>
      <c r="I2479" s="444">
        <f t="shared" ca="1" si="148"/>
        <v>482961521.96841472</v>
      </c>
      <c r="J2479" s="444">
        <f t="array" ref="J2479">IFERROR(INDEX('Retirement Calculator'!J:J,MATCH('Isaac 401k'!N2479,'Retirement Calculator'!A:A,0),0),0)</f>
        <v>0</v>
      </c>
      <c r="K2479" s="444">
        <f t="shared" ca="1" si="146"/>
        <v>2012339.6748683944</v>
      </c>
      <c r="L2479" s="444">
        <f t="shared" ca="1" si="147"/>
        <v>484973861.64328313</v>
      </c>
      <c r="M2479" s="460">
        <f t="shared" si="149"/>
        <v>0.05</v>
      </c>
      <c r="N2479" s="464">
        <f t="shared" si="150"/>
        <v>126496</v>
      </c>
    </row>
    <row r="2480" spans="7:14" ht="11.25" customHeight="1" x14ac:dyDescent="0.3">
      <c r="G2480" s="459"/>
      <c r="H2480" s="459">
        <v>2473</v>
      </c>
      <c r="I2480" s="444">
        <f t="shared" ca="1" si="148"/>
        <v>484973861.64328313</v>
      </c>
      <c r="J2480" s="444">
        <f t="array" ref="J2480">IFERROR(INDEX('Retirement Calculator'!J:J,MATCH('Isaac 401k'!N2480,'Retirement Calculator'!A:A,0),0),0)</f>
        <v>0</v>
      </c>
      <c r="K2480" s="444">
        <f t="shared" ca="1" si="146"/>
        <v>2020724.4235136795</v>
      </c>
      <c r="L2480" s="444">
        <f t="shared" ca="1" si="147"/>
        <v>486994586.06679678</v>
      </c>
      <c r="M2480" s="460">
        <f t="shared" si="149"/>
        <v>0.05</v>
      </c>
      <c r="N2480" s="464">
        <f t="shared" si="150"/>
        <v>126527</v>
      </c>
    </row>
    <row r="2481" spans="7:14" ht="11.25" customHeight="1" x14ac:dyDescent="0.3">
      <c r="G2481" s="459"/>
      <c r="H2481" s="459">
        <v>2474</v>
      </c>
      <c r="I2481" s="444">
        <f t="shared" ca="1" si="148"/>
        <v>486994586.06679678</v>
      </c>
      <c r="J2481" s="444">
        <f t="array" ref="J2481">IFERROR(INDEX('Retirement Calculator'!J:J,MATCH('Isaac 401k'!N2481,'Retirement Calculator'!A:A,0),0),0)</f>
        <v>0</v>
      </c>
      <c r="K2481" s="444">
        <f t="shared" ca="1" si="146"/>
        <v>2029144.1086116529</v>
      </c>
      <c r="L2481" s="444">
        <f t="shared" ca="1" si="147"/>
        <v>489023730.17540842</v>
      </c>
      <c r="M2481" s="460">
        <f t="shared" si="149"/>
        <v>0.05</v>
      </c>
      <c r="N2481" s="464">
        <f t="shared" si="150"/>
        <v>126557</v>
      </c>
    </row>
    <row r="2482" spans="7:14" ht="11.25" customHeight="1" x14ac:dyDescent="0.3">
      <c r="G2482" s="459"/>
      <c r="H2482" s="459">
        <v>2475</v>
      </c>
      <c r="I2482" s="444">
        <f t="shared" ca="1" si="148"/>
        <v>489023730.17540842</v>
      </c>
      <c r="J2482" s="444">
        <f t="array" ref="J2482">IFERROR(INDEX('Retirement Calculator'!J:J,MATCH('Isaac 401k'!N2482,'Retirement Calculator'!A:A,0),0),0)</f>
        <v>0</v>
      </c>
      <c r="K2482" s="444">
        <f t="shared" ca="1" si="146"/>
        <v>2037598.8757308687</v>
      </c>
      <c r="L2482" s="444">
        <f t="shared" ca="1" si="147"/>
        <v>491061329.0511393</v>
      </c>
      <c r="M2482" s="460">
        <f t="shared" si="149"/>
        <v>0.05</v>
      </c>
      <c r="N2482" s="464">
        <f t="shared" si="150"/>
        <v>126588</v>
      </c>
    </row>
    <row r="2483" spans="7:14" ht="11.25" customHeight="1" x14ac:dyDescent="0.3">
      <c r="G2483" s="459"/>
      <c r="H2483" s="459">
        <v>2476</v>
      </c>
      <c r="I2483" s="444">
        <f t="shared" ca="1" si="148"/>
        <v>491061329.0511393</v>
      </c>
      <c r="J2483" s="444">
        <f t="array" ref="J2483">IFERROR(INDEX('Retirement Calculator'!J:J,MATCH('Isaac 401k'!N2483,'Retirement Calculator'!A:A,0),0),0)</f>
        <v>0</v>
      </c>
      <c r="K2483" s="444">
        <f t="shared" ca="1" si="146"/>
        <v>2046088.8710464137</v>
      </c>
      <c r="L2483" s="444">
        <f t="shared" ca="1" si="147"/>
        <v>493107417.92218572</v>
      </c>
      <c r="M2483" s="460">
        <f t="shared" si="149"/>
        <v>0.05</v>
      </c>
      <c r="N2483" s="464">
        <f t="shared" si="150"/>
        <v>126619</v>
      </c>
    </row>
    <row r="2484" spans="7:14" ht="11.25" customHeight="1" x14ac:dyDescent="0.3">
      <c r="G2484" s="459"/>
      <c r="H2484" s="459">
        <v>2477</v>
      </c>
      <c r="I2484" s="444">
        <f t="shared" ca="1" si="148"/>
        <v>493107417.92218572</v>
      </c>
      <c r="J2484" s="444">
        <f t="array" ref="J2484">IFERROR(INDEX('Retirement Calculator'!J:J,MATCH('Isaac 401k'!N2484,'Retirement Calculator'!A:A,0),0),0)</f>
        <v>0</v>
      </c>
      <c r="K2484" s="444">
        <f t="shared" ca="1" si="146"/>
        <v>2054614.2413424405</v>
      </c>
      <c r="L2484" s="444">
        <f t="shared" ca="1" si="147"/>
        <v>495162032.16352814</v>
      </c>
      <c r="M2484" s="460">
        <f t="shared" si="149"/>
        <v>0.05</v>
      </c>
      <c r="N2484" s="464">
        <f t="shared" si="150"/>
        <v>126649</v>
      </c>
    </row>
    <row r="2485" spans="7:14" ht="11.25" customHeight="1" x14ac:dyDescent="0.3">
      <c r="G2485" s="459"/>
      <c r="H2485" s="459">
        <v>2478</v>
      </c>
      <c r="I2485" s="444">
        <f t="shared" ca="1" si="148"/>
        <v>495162032.16352814</v>
      </c>
      <c r="J2485" s="444">
        <f t="array" ref="J2485">IFERROR(INDEX('Retirement Calculator'!J:J,MATCH('Isaac 401k'!N2485,'Retirement Calculator'!A:A,0),0),0)</f>
        <v>0</v>
      </c>
      <c r="K2485" s="444">
        <f t="shared" ca="1" si="146"/>
        <v>2063175.1340147005</v>
      </c>
      <c r="L2485" s="444">
        <f t="shared" ca="1" si="147"/>
        <v>497225207.29754287</v>
      </c>
      <c r="M2485" s="460">
        <f t="shared" si="149"/>
        <v>0.05</v>
      </c>
      <c r="N2485" s="464">
        <f t="shared" si="150"/>
        <v>126680</v>
      </c>
    </row>
    <row r="2486" spans="7:14" ht="11.25" customHeight="1" x14ac:dyDescent="0.3">
      <c r="G2486" s="459"/>
      <c r="H2486" s="459">
        <v>2479</v>
      </c>
      <c r="I2486" s="444">
        <f t="shared" ca="1" si="148"/>
        <v>497225207.29754287</v>
      </c>
      <c r="J2486" s="444">
        <f t="array" ref="J2486">IFERROR(INDEX('Retirement Calculator'!J:J,MATCH('Isaac 401k'!N2486,'Retirement Calculator'!A:A,0),0),0)</f>
        <v>0</v>
      </c>
      <c r="K2486" s="444">
        <f t="shared" ca="1" si="146"/>
        <v>2071771.6970730952</v>
      </c>
      <c r="L2486" s="444">
        <f t="shared" ca="1" si="147"/>
        <v>499296978.99461597</v>
      </c>
      <c r="M2486" s="460">
        <f t="shared" si="149"/>
        <v>0.05</v>
      </c>
      <c r="N2486" s="464">
        <f t="shared" si="150"/>
        <v>126710</v>
      </c>
    </row>
    <row r="2487" spans="7:14" ht="11.25" customHeight="1" x14ac:dyDescent="0.3">
      <c r="G2487" s="459"/>
      <c r="H2487" s="459">
        <v>2480</v>
      </c>
      <c r="I2487" s="444">
        <f t="shared" ca="1" si="148"/>
        <v>499296978.99461597</v>
      </c>
      <c r="J2487" s="444">
        <f t="array" ref="J2487">IFERROR(INDEX('Retirement Calculator'!J:J,MATCH('Isaac 401k'!N2487,'Retirement Calculator'!A:A,0),0),0)</f>
        <v>0</v>
      </c>
      <c r="K2487" s="444">
        <f t="shared" ca="1" si="146"/>
        <v>2080404.0791442329</v>
      </c>
      <c r="L2487" s="444">
        <f t="shared" ca="1" si="147"/>
        <v>501377383.07376021</v>
      </c>
      <c r="M2487" s="460">
        <f t="shared" si="149"/>
        <v>0.05</v>
      </c>
      <c r="N2487" s="464">
        <f t="shared" si="150"/>
        <v>126741</v>
      </c>
    </row>
    <row r="2488" spans="7:14" ht="11.25" customHeight="1" x14ac:dyDescent="0.3">
      <c r="G2488" s="459"/>
      <c r="H2488" s="459">
        <v>2481</v>
      </c>
      <c r="I2488" s="444">
        <f t="shared" ca="1" si="148"/>
        <v>501377383.07376021</v>
      </c>
      <c r="J2488" s="444">
        <f t="array" ref="J2488">IFERROR(INDEX('Retirement Calculator'!J:J,MATCH('Isaac 401k'!N2488,'Retirement Calculator'!A:A,0),0),0)</f>
        <v>0</v>
      </c>
      <c r="K2488" s="444">
        <f t="shared" ca="1" si="146"/>
        <v>2089072.4294740011</v>
      </c>
      <c r="L2488" s="444">
        <f t="shared" ca="1" si="147"/>
        <v>503466455.50323421</v>
      </c>
      <c r="M2488" s="460">
        <f t="shared" si="149"/>
        <v>0.05</v>
      </c>
      <c r="N2488" s="464">
        <f t="shared" si="150"/>
        <v>126772</v>
      </c>
    </row>
    <row r="2489" spans="7:14" ht="11.25" customHeight="1" x14ac:dyDescent="0.3">
      <c r="G2489" s="459"/>
      <c r="H2489" s="459">
        <v>2482</v>
      </c>
      <c r="I2489" s="444">
        <f t="shared" ca="1" si="148"/>
        <v>503466455.50323421</v>
      </c>
      <c r="J2489" s="444">
        <f t="array" ref="J2489">IFERROR(INDEX('Retirement Calculator'!J:J,MATCH('Isaac 401k'!N2489,'Retirement Calculator'!A:A,0),0),0)</f>
        <v>0</v>
      </c>
      <c r="K2489" s="444">
        <f t="shared" ca="1" si="146"/>
        <v>2097776.8979301425</v>
      </c>
      <c r="L2489" s="444">
        <f t="shared" ca="1" si="147"/>
        <v>505564232.40116435</v>
      </c>
      <c r="M2489" s="460">
        <f t="shared" si="149"/>
        <v>0.05</v>
      </c>
      <c r="N2489" s="464">
        <f t="shared" si="150"/>
        <v>126800</v>
      </c>
    </row>
    <row r="2490" spans="7:14" ht="11.25" customHeight="1" x14ac:dyDescent="0.3">
      <c r="G2490" s="459"/>
      <c r="H2490" s="459">
        <v>2483</v>
      </c>
      <c r="I2490" s="444">
        <f t="shared" ca="1" si="148"/>
        <v>505564232.40116435</v>
      </c>
      <c r="J2490" s="444">
        <f t="array" ref="J2490">IFERROR(INDEX('Retirement Calculator'!J:J,MATCH('Isaac 401k'!N2490,'Retirement Calculator'!A:A,0),0),0)</f>
        <v>0</v>
      </c>
      <c r="K2490" s="444">
        <f t="shared" ca="1" si="146"/>
        <v>2106517.6350048515</v>
      </c>
      <c r="L2490" s="444">
        <f t="shared" ca="1" si="147"/>
        <v>507670750.03616923</v>
      </c>
      <c r="M2490" s="460">
        <f t="shared" si="149"/>
        <v>0.05</v>
      </c>
      <c r="N2490" s="464">
        <f t="shared" si="150"/>
        <v>126831</v>
      </c>
    </row>
    <row r="2491" spans="7:14" ht="11.25" customHeight="1" x14ac:dyDescent="0.3">
      <c r="G2491" s="459"/>
      <c r="H2491" s="459">
        <v>2484</v>
      </c>
      <c r="I2491" s="444">
        <f t="shared" ca="1" si="148"/>
        <v>507670750.03616923</v>
      </c>
      <c r="J2491" s="444">
        <f t="array" ref="J2491">IFERROR(INDEX('Retirement Calculator'!J:J,MATCH('Isaac 401k'!N2491,'Retirement Calculator'!A:A,0),0),0)</f>
        <v>0</v>
      </c>
      <c r="K2491" s="444">
        <f t="shared" ca="1" si="146"/>
        <v>2115294.7918173717</v>
      </c>
      <c r="L2491" s="444">
        <f t="shared" ca="1" si="147"/>
        <v>509786044.8279866</v>
      </c>
      <c r="M2491" s="460">
        <f t="shared" si="149"/>
        <v>0.05</v>
      </c>
      <c r="N2491" s="464">
        <f t="shared" si="150"/>
        <v>126861</v>
      </c>
    </row>
    <row r="2492" spans="7:14" ht="11.25" customHeight="1" x14ac:dyDescent="0.3">
      <c r="G2492" s="459"/>
      <c r="H2492" s="459">
        <v>2485</v>
      </c>
      <c r="I2492" s="444">
        <f t="shared" ca="1" si="148"/>
        <v>509786044.8279866</v>
      </c>
      <c r="J2492" s="444">
        <f t="array" ref="J2492">IFERROR(INDEX('Retirement Calculator'!J:J,MATCH('Isaac 401k'!N2492,'Retirement Calculator'!A:A,0),0),0)</f>
        <v>0</v>
      </c>
      <c r="K2492" s="444">
        <f t="shared" ca="1" si="146"/>
        <v>2124108.5201166109</v>
      </c>
      <c r="L2492" s="444">
        <f t="shared" ca="1" si="147"/>
        <v>511910153.34810323</v>
      </c>
      <c r="M2492" s="460">
        <f t="shared" si="149"/>
        <v>0.05</v>
      </c>
      <c r="N2492" s="464">
        <f t="shared" si="150"/>
        <v>126892</v>
      </c>
    </row>
    <row r="2493" spans="7:14" ht="11.25" customHeight="1" x14ac:dyDescent="0.3">
      <c r="G2493" s="459"/>
      <c r="H2493" s="459">
        <v>2486</v>
      </c>
      <c r="I2493" s="444">
        <f t="shared" ca="1" si="148"/>
        <v>511910153.34810323</v>
      </c>
      <c r="J2493" s="444">
        <f t="array" ref="J2493">IFERROR(INDEX('Retirement Calculator'!J:J,MATCH('Isaac 401k'!N2493,'Retirement Calculator'!A:A,0),0),0)</f>
        <v>0</v>
      </c>
      <c r="K2493" s="444">
        <f t="shared" ca="1" si="146"/>
        <v>2132958.9722837638</v>
      </c>
      <c r="L2493" s="444">
        <f t="shared" ca="1" si="147"/>
        <v>514043112.32038701</v>
      </c>
      <c r="M2493" s="460">
        <f t="shared" si="149"/>
        <v>0.05</v>
      </c>
      <c r="N2493" s="464">
        <f t="shared" si="150"/>
        <v>126922</v>
      </c>
    </row>
    <row r="2494" spans="7:14" ht="11.25" customHeight="1" x14ac:dyDescent="0.3">
      <c r="G2494" s="459"/>
      <c r="H2494" s="459">
        <v>2487</v>
      </c>
      <c r="I2494" s="444">
        <f t="shared" ca="1" si="148"/>
        <v>514043112.32038701</v>
      </c>
      <c r="J2494" s="444">
        <f t="array" ref="J2494">IFERROR(INDEX('Retirement Calculator'!J:J,MATCH('Isaac 401k'!N2494,'Retirement Calculator'!A:A,0),0),0)</f>
        <v>0</v>
      </c>
      <c r="K2494" s="444">
        <f t="shared" ca="1" si="146"/>
        <v>2141846.301334946</v>
      </c>
      <c r="L2494" s="444">
        <f t="shared" ca="1" si="147"/>
        <v>516184958.62172192</v>
      </c>
      <c r="M2494" s="460">
        <f t="shared" si="149"/>
        <v>0.05</v>
      </c>
      <c r="N2494" s="464">
        <f t="shared" si="150"/>
        <v>126953</v>
      </c>
    </row>
    <row r="2495" spans="7:14" ht="11.25" customHeight="1" x14ac:dyDescent="0.3">
      <c r="G2495" s="459"/>
      <c r="H2495" s="459">
        <v>2488</v>
      </c>
      <c r="I2495" s="444">
        <f t="shared" ca="1" si="148"/>
        <v>516184958.62172192</v>
      </c>
      <c r="J2495" s="444">
        <f t="array" ref="J2495">IFERROR(INDEX('Retirement Calculator'!J:J,MATCH('Isaac 401k'!N2495,'Retirement Calculator'!A:A,0),0),0)</f>
        <v>0</v>
      </c>
      <c r="K2495" s="444">
        <f t="shared" ca="1" si="146"/>
        <v>2150770.6609238414</v>
      </c>
      <c r="L2495" s="444">
        <f t="shared" ca="1" si="147"/>
        <v>518335729.28264576</v>
      </c>
      <c r="M2495" s="460">
        <f t="shared" si="149"/>
        <v>0.05</v>
      </c>
      <c r="N2495" s="464">
        <f t="shared" si="150"/>
        <v>126984</v>
      </c>
    </row>
    <row r="2496" spans="7:14" ht="11.25" customHeight="1" x14ac:dyDescent="0.3">
      <c r="G2496" s="459"/>
      <c r="H2496" s="459">
        <v>2489</v>
      </c>
      <c r="I2496" s="444">
        <f t="shared" ca="1" si="148"/>
        <v>518335729.28264576</v>
      </c>
      <c r="J2496" s="444">
        <f t="array" ref="J2496">IFERROR(INDEX('Retirement Calculator'!J:J,MATCH('Isaac 401k'!N2496,'Retirement Calculator'!A:A,0),0),0)</f>
        <v>0</v>
      </c>
      <c r="K2496" s="444">
        <f t="shared" ca="1" si="146"/>
        <v>2159732.2053443571</v>
      </c>
      <c r="L2496" s="444">
        <f t="shared" ca="1" si="147"/>
        <v>520495461.48799014</v>
      </c>
      <c r="M2496" s="460">
        <f t="shared" si="149"/>
        <v>0.05</v>
      </c>
      <c r="N2496" s="464">
        <f t="shared" si="150"/>
        <v>127014</v>
      </c>
    </row>
    <row r="2497" spans="7:14" ht="11.25" customHeight="1" x14ac:dyDescent="0.3">
      <c r="G2497" s="459"/>
      <c r="H2497" s="459">
        <v>2490</v>
      </c>
      <c r="I2497" s="444">
        <f t="shared" ca="1" si="148"/>
        <v>520495461.48799014</v>
      </c>
      <c r="J2497" s="444">
        <f t="array" ref="J2497">IFERROR(INDEX('Retirement Calculator'!J:J,MATCH('Isaac 401k'!N2497,'Retirement Calculator'!A:A,0),0),0)</f>
        <v>0</v>
      </c>
      <c r="K2497" s="444">
        <f t="shared" ca="1" si="146"/>
        <v>2168731.0895332922</v>
      </c>
      <c r="L2497" s="444">
        <f t="shared" ca="1" si="147"/>
        <v>522664192.57752341</v>
      </c>
      <c r="M2497" s="460">
        <f t="shared" si="149"/>
        <v>0.05</v>
      </c>
      <c r="N2497" s="464">
        <f t="shared" si="150"/>
        <v>127045</v>
      </c>
    </row>
    <row r="2498" spans="7:14" ht="11.25" customHeight="1" x14ac:dyDescent="0.3">
      <c r="G2498" s="459"/>
      <c r="H2498" s="459">
        <v>2491</v>
      </c>
      <c r="I2498" s="444">
        <f t="shared" ca="1" si="148"/>
        <v>522664192.57752341</v>
      </c>
      <c r="J2498" s="444">
        <f t="array" ref="J2498">IFERROR(INDEX('Retirement Calculator'!J:J,MATCH('Isaac 401k'!N2498,'Retirement Calculator'!A:A,0),0),0)</f>
        <v>0</v>
      </c>
      <c r="K2498" s="444">
        <f t="shared" ca="1" si="146"/>
        <v>2177767.4690730143</v>
      </c>
      <c r="L2498" s="444">
        <f t="shared" ca="1" si="147"/>
        <v>524841960.04659641</v>
      </c>
      <c r="M2498" s="460">
        <f t="shared" si="149"/>
        <v>0.05</v>
      </c>
      <c r="N2498" s="464">
        <f t="shared" si="150"/>
        <v>127075</v>
      </c>
    </row>
    <row r="2499" spans="7:14" ht="11.25" customHeight="1" x14ac:dyDescent="0.3">
      <c r="G2499" s="459"/>
      <c r="H2499" s="459">
        <v>2492</v>
      </c>
      <c r="I2499" s="444">
        <f t="shared" ca="1" si="148"/>
        <v>524841960.04659641</v>
      </c>
      <c r="J2499" s="444">
        <f t="array" ref="J2499">IFERROR(INDEX('Retirement Calculator'!J:J,MATCH('Isaac 401k'!N2499,'Retirement Calculator'!A:A,0),0),0)</f>
        <v>0</v>
      </c>
      <c r="K2499" s="444">
        <f t="shared" ca="1" si="146"/>
        <v>2186841.5001941514</v>
      </c>
      <c r="L2499" s="444">
        <f t="shared" ca="1" si="147"/>
        <v>527028801.54679054</v>
      </c>
      <c r="M2499" s="460">
        <f t="shared" si="149"/>
        <v>0.05</v>
      </c>
      <c r="N2499" s="464">
        <f t="shared" si="150"/>
        <v>127106</v>
      </c>
    </row>
    <row r="2500" spans="7:14" ht="11.25" customHeight="1" x14ac:dyDescent="0.3">
      <c r="G2500" s="459"/>
      <c r="H2500" s="459">
        <v>2493</v>
      </c>
      <c r="I2500" s="444">
        <f t="shared" ca="1" si="148"/>
        <v>527028801.54679054</v>
      </c>
      <c r="J2500" s="444">
        <f t="array" ref="J2500">IFERROR(INDEX('Retirement Calculator'!J:J,MATCH('Isaac 401k'!N2500,'Retirement Calculator'!A:A,0),0),0)</f>
        <v>0</v>
      </c>
      <c r="K2500" s="444">
        <f t="shared" ca="1" si="146"/>
        <v>2195953.3397782939</v>
      </c>
      <c r="L2500" s="444">
        <f t="shared" ca="1" si="147"/>
        <v>529224754.88656884</v>
      </c>
      <c r="M2500" s="460">
        <f t="shared" si="149"/>
        <v>0.05</v>
      </c>
      <c r="N2500" s="464">
        <f t="shared" si="150"/>
        <v>127137</v>
      </c>
    </row>
    <row r="2501" spans="7:14" ht="11.25" customHeight="1" x14ac:dyDescent="0.3">
      <c r="G2501" s="459"/>
      <c r="H2501" s="459">
        <v>2494</v>
      </c>
      <c r="I2501" s="444">
        <f t="shared" ca="1" si="148"/>
        <v>529224754.88656884</v>
      </c>
      <c r="J2501" s="444">
        <f t="array" ref="J2501">IFERROR(INDEX('Retirement Calculator'!J:J,MATCH('Isaac 401k'!N2501,'Retirement Calculator'!A:A,0),0),0)</f>
        <v>0</v>
      </c>
      <c r="K2501" s="444">
        <f t="shared" ca="1" si="146"/>
        <v>2205103.1453607031</v>
      </c>
      <c r="L2501" s="444">
        <f t="shared" ca="1" si="147"/>
        <v>531429858.03192955</v>
      </c>
      <c r="M2501" s="460">
        <f t="shared" si="149"/>
        <v>0.05</v>
      </c>
      <c r="N2501" s="464">
        <f t="shared" si="150"/>
        <v>127166</v>
      </c>
    </row>
    <row r="2502" spans="7:14" ht="11.25" customHeight="1" x14ac:dyDescent="0.3">
      <c r="G2502" s="459"/>
      <c r="H2502" s="459">
        <v>2495</v>
      </c>
      <c r="I2502" s="444">
        <f t="shared" ca="1" si="148"/>
        <v>531429858.03192955</v>
      </c>
      <c r="J2502" s="444">
        <f t="array" ref="J2502">IFERROR(INDEX('Retirement Calculator'!J:J,MATCH('Isaac 401k'!N2502,'Retirement Calculator'!A:A,0),0),0)</f>
        <v>0</v>
      </c>
      <c r="K2502" s="444">
        <f t="shared" ca="1" si="146"/>
        <v>2214291.0751330396</v>
      </c>
      <c r="L2502" s="444">
        <f t="shared" ca="1" si="147"/>
        <v>533644149.10706258</v>
      </c>
      <c r="M2502" s="460">
        <f t="shared" si="149"/>
        <v>0.05</v>
      </c>
      <c r="N2502" s="464">
        <f t="shared" si="150"/>
        <v>127197</v>
      </c>
    </row>
    <row r="2503" spans="7:14" ht="11.25" customHeight="1" x14ac:dyDescent="0.3">
      <c r="G2503" s="459"/>
      <c r="H2503" s="459">
        <v>2496</v>
      </c>
      <c r="I2503" s="444">
        <f t="shared" ca="1" si="148"/>
        <v>533644149.10706258</v>
      </c>
      <c r="J2503" s="444">
        <f t="array" ref="J2503">IFERROR(INDEX('Retirement Calculator'!J:J,MATCH('Isaac 401k'!N2503,'Retirement Calculator'!A:A,0),0),0)</f>
        <v>0</v>
      </c>
      <c r="K2503" s="444">
        <f t="shared" ca="1" si="146"/>
        <v>2223517.2879460938</v>
      </c>
      <c r="L2503" s="444">
        <f t="shared" ca="1" si="147"/>
        <v>535867666.39500868</v>
      </c>
      <c r="M2503" s="460">
        <f t="shared" si="149"/>
        <v>0.05</v>
      </c>
      <c r="N2503" s="464">
        <f t="shared" si="150"/>
        <v>127227</v>
      </c>
    </row>
    <row r="2504" spans="7:14" ht="11.25" customHeight="1" x14ac:dyDescent="0.3">
      <c r="G2504" s="459"/>
      <c r="H2504" s="459">
        <v>2497</v>
      </c>
      <c r="I2504" s="444">
        <f t="shared" ca="1" si="148"/>
        <v>535867666.39500868</v>
      </c>
      <c r="J2504" s="444">
        <f t="array" ref="J2504">IFERROR(INDEX('Retirement Calculator'!J:J,MATCH('Isaac 401k'!N2504,'Retirement Calculator'!A:A,0),0),0)</f>
        <v>0</v>
      </c>
      <c r="K2504" s="444">
        <f t="shared" ca="1" si="146"/>
        <v>2232781.943312536</v>
      </c>
      <c r="L2504" s="444">
        <f t="shared" ca="1" si="147"/>
        <v>538100448.33832121</v>
      </c>
      <c r="M2504" s="460">
        <f t="shared" si="149"/>
        <v>0.05</v>
      </c>
      <c r="N2504" s="464">
        <f t="shared" si="150"/>
        <v>127258</v>
      </c>
    </row>
    <row r="2505" spans="7:14" ht="11.25" customHeight="1" x14ac:dyDescent="0.3">
      <c r="G2505" s="459"/>
      <c r="H2505" s="459">
        <v>2498</v>
      </c>
      <c r="I2505" s="444">
        <f t="shared" ca="1" si="148"/>
        <v>538100448.33832121</v>
      </c>
      <c r="J2505" s="444">
        <f t="array" ref="J2505">IFERROR(INDEX('Retirement Calculator'!J:J,MATCH('Isaac 401k'!N2505,'Retirement Calculator'!A:A,0),0),0)</f>
        <v>0</v>
      </c>
      <c r="K2505" s="444">
        <f t="shared" ca="1" si="146"/>
        <v>2242085.2014096715</v>
      </c>
      <c r="L2505" s="444">
        <f t="shared" ca="1" si="147"/>
        <v>540342533.53973091</v>
      </c>
      <c r="M2505" s="460">
        <f t="shared" si="149"/>
        <v>0.05</v>
      </c>
      <c r="N2505" s="464">
        <f t="shared" si="150"/>
        <v>127288</v>
      </c>
    </row>
    <row r="2506" spans="7:14" ht="11.25" customHeight="1" x14ac:dyDescent="0.3">
      <c r="G2506" s="459"/>
      <c r="H2506" s="459">
        <v>2499</v>
      </c>
      <c r="I2506" s="444">
        <f t="shared" ca="1" si="148"/>
        <v>540342533.53973091</v>
      </c>
      <c r="J2506" s="444">
        <f t="array" ref="J2506">IFERROR(INDEX('Retirement Calculator'!J:J,MATCH('Isaac 401k'!N2506,'Retirement Calculator'!A:A,0),0),0)</f>
        <v>0</v>
      </c>
      <c r="K2506" s="444">
        <f t="shared" ca="1" si="146"/>
        <v>2251427.2230822123</v>
      </c>
      <c r="L2506" s="444">
        <f t="shared" ca="1" si="147"/>
        <v>542593960.76281309</v>
      </c>
      <c r="M2506" s="460">
        <f t="shared" si="149"/>
        <v>0.05</v>
      </c>
      <c r="N2506" s="464">
        <f t="shared" si="150"/>
        <v>127319</v>
      </c>
    </row>
    <row r="2507" spans="7:14" ht="11.25" customHeight="1" x14ac:dyDescent="0.3">
      <c r="G2507" s="459"/>
      <c r="H2507" s="459">
        <v>2500</v>
      </c>
      <c r="I2507" s="444">
        <f t="shared" ca="1" si="148"/>
        <v>542593960.76281309</v>
      </c>
      <c r="J2507" s="444">
        <f t="array" ref="J2507">IFERROR(INDEX('Retirement Calculator'!J:J,MATCH('Isaac 401k'!N2507,'Retirement Calculator'!A:A,0),0),0)</f>
        <v>0</v>
      </c>
      <c r="K2507" s="444">
        <f t="shared" ca="1" si="146"/>
        <v>2260808.1698450544</v>
      </c>
      <c r="L2507" s="444">
        <f t="shared" ca="1" si="147"/>
        <v>544854768.9326582</v>
      </c>
      <c r="M2507" s="460">
        <f t="shared" si="149"/>
        <v>0.05</v>
      </c>
      <c r="N2507" s="464">
        <f t="shared" si="150"/>
        <v>127350</v>
      </c>
    </row>
    <row r="2508" spans="7:14" ht="11.25" customHeight="1" x14ac:dyDescent="0.3">
      <c r="G2508" s="459"/>
      <c r="H2508" s="459">
        <v>2501</v>
      </c>
      <c r="I2508" s="444">
        <f t="shared" ca="1" si="148"/>
        <v>544854768.9326582</v>
      </c>
      <c r="J2508" s="444">
        <f t="array" ref="J2508">IFERROR(INDEX('Retirement Calculator'!J:J,MATCH('Isaac 401k'!N2508,'Retirement Calculator'!A:A,0),0),0)</f>
        <v>0</v>
      </c>
      <c r="K2508" s="444">
        <f t="shared" ca="1" si="146"/>
        <v>2270228.2038860759</v>
      </c>
      <c r="L2508" s="444">
        <f t="shared" ca="1" si="147"/>
        <v>547124997.13654423</v>
      </c>
      <c r="M2508" s="460">
        <f t="shared" si="149"/>
        <v>0.05</v>
      </c>
      <c r="N2508" s="464">
        <f t="shared" si="150"/>
        <v>127380</v>
      </c>
    </row>
    <row r="2509" spans="7:14" ht="11.25" customHeight="1" x14ac:dyDescent="0.3">
      <c r="G2509" s="459"/>
      <c r="H2509" s="459">
        <v>2502</v>
      </c>
      <c r="I2509" s="444">
        <f t="shared" ca="1" si="148"/>
        <v>547124997.13654423</v>
      </c>
      <c r="J2509" s="444">
        <f t="array" ref="J2509">IFERROR(INDEX('Retirement Calculator'!J:J,MATCH('Isaac 401k'!N2509,'Retirement Calculator'!A:A,0),0),0)</f>
        <v>0</v>
      </c>
      <c r="K2509" s="444">
        <f t="shared" ca="1" si="146"/>
        <v>2279687.4880689341</v>
      </c>
      <c r="L2509" s="444">
        <f t="shared" ca="1" si="147"/>
        <v>549404684.62461317</v>
      </c>
      <c r="M2509" s="460">
        <f t="shared" si="149"/>
        <v>0.05</v>
      </c>
      <c r="N2509" s="464">
        <f t="shared" si="150"/>
        <v>127411</v>
      </c>
    </row>
    <row r="2510" spans="7:14" ht="11.25" customHeight="1" x14ac:dyDescent="0.3">
      <c r="G2510" s="459"/>
      <c r="H2510" s="459">
        <v>2503</v>
      </c>
      <c r="I2510" s="444">
        <f t="shared" ca="1" si="148"/>
        <v>549404684.62461317</v>
      </c>
      <c r="J2510" s="444">
        <f t="array" ref="J2510">IFERROR(INDEX('Retirement Calculator'!J:J,MATCH('Isaac 401k'!N2510,'Retirement Calculator'!A:A,0),0),0)</f>
        <v>0</v>
      </c>
      <c r="K2510" s="444">
        <f t="shared" ca="1" si="146"/>
        <v>2289186.185935888</v>
      </c>
      <c r="L2510" s="444">
        <f t="shared" ca="1" si="147"/>
        <v>551693870.81054902</v>
      </c>
      <c r="M2510" s="460">
        <f t="shared" si="149"/>
        <v>0.05</v>
      </c>
      <c r="N2510" s="464">
        <f t="shared" si="150"/>
        <v>127441</v>
      </c>
    </row>
    <row r="2511" spans="7:14" ht="11.25" customHeight="1" x14ac:dyDescent="0.3">
      <c r="G2511" s="459"/>
      <c r="H2511" s="459">
        <v>2504</v>
      </c>
      <c r="I2511" s="444">
        <f t="shared" ca="1" si="148"/>
        <v>551693870.81054902</v>
      </c>
      <c r="J2511" s="444">
        <f t="array" ref="J2511">IFERROR(INDEX('Retirement Calculator'!J:J,MATCH('Isaac 401k'!N2511,'Retirement Calculator'!A:A,0),0),0)</f>
        <v>0</v>
      </c>
      <c r="K2511" s="444">
        <f t="shared" ca="1" si="146"/>
        <v>2298724.4617106207</v>
      </c>
      <c r="L2511" s="444">
        <f t="shared" ca="1" si="147"/>
        <v>553992595.27225959</v>
      </c>
      <c r="M2511" s="460">
        <f t="shared" si="149"/>
        <v>0.05</v>
      </c>
      <c r="N2511" s="464">
        <f t="shared" si="150"/>
        <v>127472</v>
      </c>
    </row>
    <row r="2512" spans="7:14" ht="11.25" customHeight="1" x14ac:dyDescent="0.3">
      <c r="G2512" s="459"/>
      <c r="H2512" s="459">
        <v>2505</v>
      </c>
      <c r="I2512" s="444">
        <f t="shared" ca="1" si="148"/>
        <v>553992595.27225959</v>
      </c>
      <c r="J2512" s="444">
        <f t="array" ref="J2512">IFERROR(INDEX('Retirement Calculator'!J:J,MATCH('Isaac 401k'!N2512,'Retirement Calculator'!A:A,0),0),0)</f>
        <v>0</v>
      </c>
      <c r="K2512" s="444">
        <f t="shared" ca="1" si="146"/>
        <v>2308302.4803010817</v>
      </c>
      <c r="L2512" s="444">
        <f t="shared" ca="1" si="147"/>
        <v>556300897.75256062</v>
      </c>
      <c r="M2512" s="460">
        <f t="shared" si="149"/>
        <v>0.05</v>
      </c>
      <c r="N2512" s="464">
        <f t="shared" si="150"/>
        <v>127503</v>
      </c>
    </row>
    <row r="2513" spans="7:14" ht="11.25" customHeight="1" x14ac:dyDescent="0.3">
      <c r="G2513" s="459"/>
      <c r="H2513" s="459">
        <v>2506</v>
      </c>
      <c r="I2513" s="444">
        <f t="shared" ca="1" si="148"/>
        <v>556300897.75256062</v>
      </c>
      <c r="J2513" s="444">
        <f t="array" ref="J2513">IFERROR(INDEX('Retirement Calculator'!J:J,MATCH('Isaac 401k'!N2513,'Retirement Calculator'!A:A,0),0),0)</f>
        <v>0</v>
      </c>
      <c r="K2513" s="444">
        <f t="shared" ca="1" si="146"/>
        <v>2317920.4073023358</v>
      </c>
      <c r="L2513" s="444">
        <f t="shared" ca="1" si="147"/>
        <v>558618818.159863</v>
      </c>
      <c r="M2513" s="460">
        <f t="shared" si="149"/>
        <v>0.05</v>
      </c>
      <c r="N2513" s="464">
        <f t="shared" si="150"/>
        <v>127531</v>
      </c>
    </row>
    <row r="2514" spans="7:14" ht="11.25" customHeight="1" x14ac:dyDescent="0.3">
      <c r="G2514" s="459"/>
      <c r="H2514" s="459">
        <v>2507</v>
      </c>
      <c r="I2514" s="444">
        <f t="shared" ca="1" si="148"/>
        <v>558618818.159863</v>
      </c>
      <c r="J2514" s="444">
        <f t="array" ref="J2514">IFERROR(INDEX('Retirement Calculator'!J:J,MATCH('Isaac 401k'!N2514,'Retirement Calculator'!A:A,0),0),0)</f>
        <v>0</v>
      </c>
      <c r="K2514" s="444">
        <f t="shared" ca="1" si="146"/>
        <v>2327578.4089994291</v>
      </c>
      <c r="L2514" s="444">
        <f t="shared" ca="1" si="147"/>
        <v>560946396.56886244</v>
      </c>
      <c r="M2514" s="460">
        <f t="shared" si="149"/>
        <v>0.05</v>
      </c>
      <c r="N2514" s="464">
        <f t="shared" si="150"/>
        <v>127562</v>
      </c>
    </row>
    <row r="2515" spans="7:14" ht="11.25" customHeight="1" x14ac:dyDescent="0.3">
      <c r="G2515" s="459"/>
      <c r="H2515" s="459">
        <v>2508</v>
      </c>
      <c r="I2515" s="444">
        <f t="shared" ca="1" si="148"/>
        <v>560946396.56886244</v>
      </c>
      <c r="J2515" s="444">
        <f t="array" ref="J2515">IFERROR(INDEX('Retirement Calculator'!J:J,MATCH('Isaac 401k'!N2515,'Retirement Calculator'!A:A,0),0),0)</f>
        <v>0</v>
      </c>
      <c r="K2515" s="444">
        <f t="shared" ca="1" si="146"/>
        <v>2337276.6523702601</v>
      </c>
      <c r="L2515" s="444">
        <f t="shared" ca="1" si="147"/>
        <v>563283673.22123265</v>
      </c>
      <c r="M2515" s="460">
        <f t="shared" si="149"/>
        <v>0.05</v>
      </c>
      <c r="N2515" s="464">
        <f t="shared" si="150"/>
        <v>127592</v>
      </c>
    </row>
    <row r="2516" spans="7:14" ht="11.25" customHeight="1" x14ac:dyDescent="0.3">
      <c r="G2516" s="459"/>
      <c r="H2516" s="459">
        <v>2509</v>
      </c>
      <c r="I2516" s="444">
        <f t="shared" ca="1" si="148"/>
        <v>563283673.22123265</v>
      </c>
      <c r="J2516" s="444">
        <f t="array" ref="J2516">IFERROR(INDEX('Retirement Calculator'!J:J,MATCH('Isaac 401k'!N2516,'Retirement Calculator'!A:A,0),0),0)</f>
        <v>0</v>
      </c>
      <c r="K2516" s="444">
        <f t="shared" ca="1" si="146"/>
        <v>2347015.3050884693</v>
      </c>
      <c r="L2516" s="444">
        <f t="shared" ca="1" si="147"/>
        <v>565630688.52632117</v>
      </c>
      <c r="M2516" s="460">
        <f t="shared" si="149"/>
        <v>0.05</v>
      </c>
      <c r="N2516" s="464">
        <f t="shared" si="150"/>
        <v>127623</v>
      </c>
    </row>
    <row r="2517" spans="7:14" ht="11.25" customHeight="1" x14ac:dyDescent="0.3">
      <c r="G2517" s="459"/>
      <c r="H2517" s="459">
        <v>2510</v>
      </c>
      <c r="I2517" s="444">
        <f t="shared" ca="1" si="148"/>
        <v>565630688.52632117</v>
      </c>
      <c r="J2517" s="444">
        <f t="array" ref="J2517">IFERROR(INDEX('Retirement Calculator'!J:J,MATCH('Isaac 401k'!N2517,'Retirement Calculator'!A:A,0),0),0)</f>
        <v>0</v>
      </c>
      <c r="K2517" s="444">
        <f t="shared" ca="1" si="146"/>
        <v>2356794.535526338</v>
      </c>
      <c r="L2517" s="444">
        <f t="shared" ca="1" si="147"/>
        <v>567987483.06184757</v>
      </c>
      <c r="M2517" s="460">
        <f t="shared" si="149"/>
        <v>0.05</v>
      </c>
      <c r="N2517" s="464">
        <f t="shared" si="150"/>
        <v>127653</v>
      </c>
    </row>
    <row r="2518" spans="7:14" ht="11.25" customHeight="1" x14ac:dyDescent="0.3">
      <c r="G2518" s="459"/>
      <c r="H2518" s="459">
        <v>2511</v>
      </c>
      <c r="I2518" s="444">
        <f t="shared" ca="1" si="148"/>
        <v>567987483.06184757</v>
      </c>
      <c r="J2518" s="444">
        <f t="array" ref="J2518">IFERROR(INDEX('Retirement Calculator'!J:J,MATCH('Isaac 401k'!N2518,'Retirement Calculator'!A:A,0),0),0)</f>
        <v>0</v>
      </c>
      <c r="K2518" s="444">
        <f t="shared" ca="1" si="146"/>
        <v>2366614.5127576981</v>
      </c>
      <c r="L2518" s="444">
        <f t="shared" ca="1" si="147"/>
        <v>570354097.57460523</v>
      </c>
      <c r="M2518" s="460">
        <f t="shared" si="149"/>
        <v>0.05</v>
      </c>
      <c r="N2518" s="464">
        <f t="shared" si="150"/>
        <v>127684</v>
      </c>
    </row>
    <row r="2519" spans="7:14" ht="11.25" customHeight="1" x14ac:dyDescent="0.3">
      <c r="G2519" s="459"/>
      <c r="H2519" s="459">
        <v>2512</v>
      </c>
      <c r="I2519" s="444">
        <f t="shared" ca="1" si="148"/>
        <v>570354097.57460523</v>
      </c>
      <c r="J2519" s="444">
        <f t="array" ref="J2519">IFERROR(INDEX('Retirement Calculator'!J:J,MATCH('Isaac 401k'!N2519,'Retirement Calculator'!A:A,0),0),0)</f>
        <v>0</v>
      </c>
      <c r="K2519" s="444">
        <f t="shared" ca="1" si="146"/>
        <v>2376475.406560855</v>
      </c>
      <c r="L2519" s="444">
        <f t="shared" ca="1" si="147"/>
        <v>572730572.98116612</v>
      </c>
      <c r="M2519" s="460">
        <f t="shared" si="149"/>
        <v>0.05</v>
      </c>
      <c r="N2519" s="464">
        <f t="shared" si="150"/>
        <v>127715</v>
      </c>
    </row>
    <row r="2520" spans="7:14" ht="11.25" customHeight="1" x14ac:dyDescent="0.3">
      <c r="G2520" s="459"/>
      <c r="H2520" s="459">
        <v>2513</v>
      </c>
      <c r="I2520" s="444">
        <f t="shared" ca="1" si="148"/>
        <v>572730572.98116612</v>
      </c>
      <c r="J2520" s="444">
        <f t="array" ref="J2520">IFERROR(INDEX('Retirement Calculator'!J:J,MATCH('Isaac 401k'!N2520,'Retirement Calculator'!A:A,0),0),0)</f>
        <v>0</v>
      </c>
      <c r="K2520" s="444">
        <f t="shared" ca="1" si="146"/>
        <v>2386377.3874215255</v>
      </c>
      <c r="L2520" s="444">
        <f t="shared" ca="1" si="147"/>
        <v>575116950.36858761</v>
      </c>
      <c r="M2520" s="460">
        <f t="shared" si="149"/>
        <v>0.05</v>
      </c>
      <c r="N2520" s="464">
        <f t="shared" si="150"/>
        <v>127745</v>
      </c>
    </row>
    <row r="2521" spans="7:14" ht="11.25" customHeight="1" x14ac:dyDescent="0.3">
      <c r="G2521" s="459"/>
      <c r="H2521" s="459">
        <v>2514</v>
      </c>
      <c r="I2521" s="444">
        <f t="shared" ca="1" si="148"/>
        <v>575116950.36858761</v>
      </c>
      <c r="J2521" s="444">
        <f t="array" ref="J2521">IFERROR(INDEX('Retirement Calculator'!J:J,MATCH('Isaac 401k'!N2521,'Retirement Calculator'!A:A,0),0),0)</f>
        <v>0</v>
      </c>
      <c r="K2521" s="444">
        <f t="shared" ca="1" si="146"/>
        <v>2396320.6265357817</v>
      </c>
      <c r="L2521" s="444">
        <f t="shared" ca="1" si="147"/>
        <v>577513270.99512339</v>
      </c>
      <c r="M2521" s="460">
        <f t="shared" si="149"/>
        <v>0.05</v>
      </c>
      <c r="N2521" s="464">
        <f t="shared" si="150"/>
        <v>127776</v>
      </c>
    </row>
    <row r="2522" spans="7:14" ht="11.25" customHeight="1" x14ac:dyDescent="0.3">
      <c r="G2522" s="459"/>
      <c r="H2522" s="459">
        <v>2515</v>
      </c>
      <c r="I2522" s="444">
        <f t="shared" ca="1" si="148"/>
        <v>577513270.99512339</v>
      </c>
      <c r="J2522" s="444">
        <f t="array" ref="J2522">IFERROR(INDEX('Retirement Calculator'!J:J,MATCH('Isaac 401k'!N2522,'Retirement Calculator'!A:A,0),0),0)</f>
        <v>0</v>
      </c>
      <c r="K2522" s="444">
        <f t="shared" ca="1" si="146"/>
        <v>2406305.2958130143</v>
      </c>
      <c r="L2522" s="444">
        <f t="shared" ca="1" si="147"/>
        <v>579919576.29093635</v>
      </c>
      <c r="M2522" s="460">
        <f t="shared" si="149"/>
        <v>0.05</v>
      </c>
      <c r="N2522" s="464">
        <f t="shared" si="150"/>
        <v>127806</v>
      </c>
    </row>
    <row r="2523" spans="7:14" ht="11.25" customHeight="1" x14ac:dyDescent="0.3">
      <c r="G2523" s="459"/>
      <c r="H2523" s="459">
        <v>2516</v>
      </c>
      <c r="I2523" s="444">
        <f t="shared" ca="1" si="148"/>
        <v>579919576.29093635</v>
      </c>
      <c r="J2523" s="444">
        <f t="array" ref="J2523">IFERROR(INDEX('Retirement Calculator'!J:J,MATCH('Isaac 401k'!N2523,'Retirement Calculator'!A:A,0),0),0)</f>
        <v>0</v>
      </c>
      <c r="K2523" s="444">
        <f t="shared" ca="1" si="146"/>
        <v>2416331.5678789015</v>
      </c>
      <c r="L2523" s="444">
        <f t="shared" ca="1" si="147"/>
        <v>582335907.85881519</v>
      </c>
      <c r="M2523" s="460">
        <f t="shared" si="149"/>
        <v>0.05</v>
      </c>
      <c r="N2523" s="464">
        <f t="shared" si="150"/>
        <v>127837</v>
      </c>
    </row>
    <row r="2524" spans="7:14" ht="11.25" customHeight="1" x14ac:dyDescent="0.3">
      <c r="G2524" s="459"/>
      <c r="H2524" s="459">
        <v>2517</v>
      </c>
      <c r="I2524" s="444">
        <f t="shared" ca="1" si="148"/>
        <v>582335907.85881519</v>
      </c>
      <c r="J2524" s="444">
        <f t="array" ref="J2524">IFERROR(INDEX('Retirement Calculator'!J:J,MATCH('Isaac 401k'!N2524,'Retirement Calculator'!A:A,0),0),0)</f>
        <v>0</v>
      </c>
      <c r="K2524" s="444">
        <f t="shared" ca="1" si="146"/>
        <v>2426399.6160783968</v>
      </c>
      <c r="L2524" s="444">
        <f t="shared" ca="1" si="147"/>
        <v>584762307.47489357</v>
      </c>
      <c r="M2524" s="460">
        <f t="shared" si="149"/>
        <v>0.05</v>
      </c>
      <c r="N2524" s="464">
        <f t="shared" si="150"/>
        <v>127868</v>
      </c>
    </row>
    <row r="2525" spans="7:14" ht="11.25" customHeight="1" x14ac:dyDescent="0.3">
      <c r="G2525" s="459"/>
      <c r="H2525" s="459">
        <v>2518</v>
      </c>
      <c r="I2525" s="444">
        <f t="shared" ca="1" si="148"/>
        <v>584762307.47489357</v>
      </c>
      <c r="J2525" s="444">
        <f t="array" ref="J2525">IFERROR(INDEX('Retirement Calculator'!J:J,MATCH('Isaac 401k'!N2525,'Retirement Calculator'!A:A,0),0),0)</f>
        <v>0</v>
      </c>
      <c r="K2525" s="444">
        <f t="shared" ca="1" si="146"/>
        <v>2436509.6144787231</v>
      </c>
      <c r="L2525" s="444">
        <f t="shared" ca="1" si="147"/>
        <v>587198817.08937228</v>
      </c>
      <c r="M2525" s="460">
        <f t="shared" si="149"/>
        <v>0.05</v>
      </c>
      <c r="N2525" s="464">
        <f t="shared" si="150"/>
        <v>127896</v>
      </c>
    </row>
    <row r="2526" spans="7:14" ht="11.25" customHeight="1" x14ac:dyDescent="0.3">
      <c r="G2526" s="459"/>
      <c r="H2526" s="459">
        <v>2519</v>
      </c>
      <c r="I2526" s="444">
        <f t="shared" ca="1" si="148"/>
        <v>587198817.08937228</v>
      </c>
      <c r="J2526" s="444">
        <f t="array" ref="J2526">IFERROR(INDEX('Retirement Calculator'!J:J,MATCH('Isaac 401k'!N2526,'Retirement Calculator'!A:A,0),0),0)</f>
        <v>0</v>
      </c>
      <c r="K2526" s="444">
        <f t="shared" ca="1" si="146"/>
        <v>2446661.7378723845</v>
      </c>
      <c r="L2526" s="444">
        <f t="shared" ca="1" si="147"/>
        <v>589645478.82724464</v>
      </c>
      <c r="M2526" s="460">
        <f t="shared" si="149"/>
        <v>0.05</v>
      </c>
      <c r="N2526" s="464">
        <f t="shared" si="150"/>
        <v>127927</v>
      </c>
    </row>
    <row r="2527" spans="7:14" ht="11.25" customHeight="1" x14ac:dyDescent="0.3">
      <c r="G2527" s="459"/>
      <c r="H2527" s="459">
        <v>2520</v>
      </c>
      <c r="I2527" s="444">
        <f t="shared" ca="1" si="148"/>
        <v>589645478.82724464</v>
      </c>
      <c r="J2527" s="444">
        <f t="array" ref="J2527">IFERROR(INDEX('Retirement Calculator'!J:J,MATCH('Isaac 401k'!N2527,'Retirement Calculator'!A:A,0),0),0)</f>
        <v>0</v>
      </c>
      <c r="K2527" s="444">
        <f t="shared" ca="1" si="146"/>
        <v>2456856.161780186</v>
      </c>
      <c r="L2527" s="444">
        <f t="shared" ca="1" si="147"/>
        <v>592102334.98902488</v>
      </c>
      <c r="M2527" s="460">
        <f t="shared" si="149"/>
        <v>0.05</v>
      </c>
      <c r="N2527" s="464">
        <f t="shared" si="150"/>
        <v>127957</v>
      </c>
    </row>
    <row r="2528" spans="7:14" ht="11.25" customHeight="1" x14ac:dyDescent="0.3">
      <c r="G2528" s="459"/>
      <c r="H2528" s="459">
        <v>2521</v>
      </c>
      <c r="I2528" s="444">
        <f t="shared" ca="1" si="148"/>
        <v>592102334.98902488</v>
      </c>
      <c r="J2528" s="444">
        <f t="array" ref="J2528">IFERROR(INDEX('Retirement Calculator'!J:J,MATCH('Isaac 401k'!N2528,'Retirement Calculator'!A:A,0),0),0)</f>
        <v>0</v>
      </c>
      <c r="K2528" s="444">
        <f t="shared" ca="1" si="146"/>
        <v>2467093.0624542702</v>
      </c>
      <c r="L2528" s="444">
        <f t="shared" ca="1" si="147"/>
        <v>594569428.0514791</v>
      </c>
      <c r="M2528" s="460">
        <f t="shared" si="149"/>
        <v>0.05</v>
      </c>
      <c r="N2528" s="464">
        <f t="shared" si="150"/>
        <v>127988</v>
      </c>
    </row>
    <row r="2529" spans="7:14" ht="11.25" customHeight="1" x14ac:dyDescent="0.3">
      <c r="G2529" s="459"/>
      <c r="H2529" s="459">
        <v>2522</v>
      </c>
      <c r="I2529" s="444">
        <f t="shared" ca="1" si="148"/>
        <v>594569428.0514791</v>
      </c>
      <c r="J2529" s="444">
        <f t="array" ref="J2529">IFERROR(INDEX('Retirement Calculator'!J:J,MATCH('Isaac 401k'!N2529,'Retirement Calculator'!A:A,0),0),0)</f>
        <v>0</v>
      </c>
      <c r="K2529" s="444">
        <f t="shared" ca="1" si="146"/>
        <v>2477372.6168811629</v>
      </c>
      <c r="L2529" s="444">
        <f t="shared" ca="1" si="147"/>
        <v>597046800.66836023</v>
      </c>
      <c r="M2529" s="460">
        <f t="shared" si="149"/>
        <v>0.05</v>
      </c>
      <c r="N2529" s="464">
        <f t="shared" si="150"/>
        <v>128018</v>
      </c>
    </row>
    <row r="2530" spans="7:14" ht="11.25" customHeight="1" x14ac:dyDescent="0.3">
      <c r="G2530" s="459"/>
      <c r="H2530" s="459">
        <v>2523</v>
      </c>
      <c r="I2530" s="444">
        <f t="shared" ca="1" si="148"/>
        <v>597046800.66836023</v>
      </c>
      <c r="J2530" s="444">
        <f t="array" ref="J2530">IFERROR(INDEX('Retirement Calculator'!J:J,MATCH('Isaac 401k'!N2530,'Retirement Calculator'!A:A,0),0),0)</f>
        <v>0</v>
      </c>
      <c r="K2530" s="444">
        <f t="shared" ca="1" si="146"/>
        <v>2487695.0027848342</v>
      </c>
      <c r="L2530" s="444">
        <f t="shared" ca="1" si="147"/>
        <v>599534495.67114508</v>
      </c>
      <c r="M2530" s="460">
        <f t="shared" si="149"/>
        <v>0.05</v>
      </c>
      <c r="N2530" s="464">
        <f t="shared" si="150"/>
        <v>128049</v>
      </c>
    </row>
    <row r="2531" spans="7:14" ht="11.25" customHeight="1" x14ac:dyDescent="0.3">
      <c r="G2531" s="459"/>
      <c r="H2531" s="459">
        <v>2524</v>
      </c>
      <c r="I2531" s="444">
        <f t="shared" ca="1" si="148"/>
        <v>599534495.67114508</v>
      </c>
      <c r="J2531" s="444">
        <f t="array" ref="J2531">IFERROR(INDEX('Retirement Calculator'!J:J,MATCH('Isaac 401k'!N2531,'Retirement Calculator'!A:A,0),0),0)</f>
        <v>0</v>
      </c>
      <c r="K2531" s="444">
        <f t="shared" ca="1" si="146"/>
        <v>2498060.3986297711</v>
      </c>
      <c r="L2531" s="444">
        <f t="shared" ca="1" si="147"/>
        <v>602032556.06977487</v>
      </c>
      <c r="M2531" s="460">
        <f t="shared" si="149"/>
        <v>0.05</v>
      </c>
      <c r="N2531" s="464">
        <f t="shared" si="150"/>
        <v>128080</v>
      </c>
    </row>
    <row r="2532" spans="7:14" ht="11.25" customHeight="1" x14ac:dyDescent="0.3">
      <c r="G2532" s="459"/>
      <c r="H2532" s="459">
        <v>2525</v>
      </c>
      <c r="I2532" s="444">
        <f t="shared" ca="1" si="148"/>
        <v>602032556.06977487</v>
      </c>
      <c r="J2532" s="444">
        <f t="array" ref="J2532">IFERROR(INDEX('Retirement Calculator'!J:J,MATCH('Isaac 401k'!N2532,'Retirement Calculator'!A:A,0),0),0)</f>
        <v>0</v>
      </c>
      <c r="K2532" s="444">
        <f t="shared" ca="1" si="146"/>
        <v>2508468.983624062</v>
      </c>
      <c r="L2532" s="444">
        <f t="shared" ca="1" si="147"/>
        <v>604541025.05339897</v>
      </c>
      <c r="M2532" s="460">
        <f t="shared" si="149"/>
        <v>0.05</v>
      </c>
      <c r="N2532" s="464">
        <f t="shared" si="150"/>
        <v>128110</v>
      </c>
    </row>
    <row r="2533" spans="7:14" ht="11.25" customHeight="1" x14ac:dyDescent="0.3">
      <c r="G2533" s="459"/>
      <c r="H2533" s="459">
        <v>2526</v>
      </c>
      <c r="I2533" s="444">
        <f t="shared" ca="1" si="148"/>
        <v>604541025.05339897</v>
      </c>
      <c r="J2533" s="444">
        <f t="array" ref="J2533">IFERROR(INDEX('Retirement Calculator'!J:J,MATCH('Isaac 401k'!N2533,'Retirement Calculator'!A:A,0),0),0)</f>
        <v>0</v>
      </c>
      <c r="K2533" s="444">
        <f t="shared" ca="1" si="146"/>
        <v>2518920.9377224958</v>
      </c>
      <c r="L2533" s="444">
        <f t="shared" ca="1" si="147"/>
        <v>607059945.99112141</v>
      </c>
      <c r="M2533" s="460">
        <f t="shared" si="149"/>
        <v>0.05</v>
      </c>
      <c r="N2533" s="464">
        <f t="shared" si="150"/>
        <v>128141</v>
      </c>
    </row>
    <row r="2534" spans="7:14" ht="11.25" customHeight="1" x14ac:dyDescent="0.3">
      <c r="G2534" s="459"/>
      <c r="H2534" s="459">
        <v>2527</v>
      </c>
      <c r="I2534" s="444">
        <f t="shared" ca="1" si="148"/>
        <v>607059945.99112141</v>
      </c>
      <c r="J2534" s="444">
        <f t="array" ref="J2534">IFERROR(INDEX('Retirement Calculator'!J:J,MATCH('Isaac 401k'!N2534,'Retirement Calculator'!A:A,0),0),0)</f>
        <v>0</v>
      </c>
      <c r="K2534" s="444">
        <f t="shared" ca="1" si="146"/>
        <v>2529416.4416296724</v>
      </c>
      <c r="L2534" s="444">
        <f t="shared" ca="1" si="147"/>
        <v>609589362.43275106</v>
      </c>
      <c r="M2534" s="460">
        <f t="shared" si="149"/>
        <v>0.05</v>
      </c>
      <c r="N2534" s="464">
        <f t="shared" si="150"/>
        <v>128171</v>
      </c>
    </row>
    <row r="2535" spans="7:14" ht="11.25" customHeight="1" x14ac:dyDescent="0.3">
      <c r="G2535" s="459"/>
      <c r="H2535" s="459">
        <v>2528</v>
      </c>
      <c r="I2535" s="444">
        <f t="shared" ca="1" si="148"/>
        <v>609589362.43275106</v>
      </c>
      <c r="J2535" s="444">
        <f t="array" ref="J2535">IFERROR(INDEX('Retirement Calculator'!J:J,MATCH('Isaac 401k'!N2535,'Retirement Calculator'!A:A,0),0),0)</f>
        <v>0</v>
      </c>
      <c r="K2535" s="444">
        <f t="shared" ca="1" si="146"/>
        <v>2539955.6768031293</v>
      </c>
      <c r="L2535" s="444">
        <f t="shared" ca="1" si="147"/>
        <v>612129318.10955417</v>
      </c>
      <c r="M2535" s="460">
        <f t="shared" si="149"/>
        <v>0.05</v>
      </c>
      <c r="N2535" s="464">
        <f t="shared" si="150"/>
        <v>128202</v>
      </c>
    </row>
    <row r="2536" spans="7:14" ht="11.25" customHeight="1" x14ac:dyDescent="0.3">
      <c r="G2536" s="459"/>
      <c r="H2536" s="459">
        <v>2529</v>
      </c>
      <c r="I2536" s="444">
        <f t="shared" ca="1" si="148"/>
        <v>612129318.10955417</v>
      </c>
      <c r="J2536" s="444">
        <f t="array" ref="J2536">IFERROR(INDEX('Retirement Calculator'!J:J,MATCH('Isaac 401k'!N2536,'Retirement Calculator'!A:A,0),0),0)</f>
        <v>0</v>
      </c>
      <c r="K2536" s="444">
        <f t="shared" ca="1" si="146"/>
        <v>2550538.8254564758</v>
      </c>
      <c r="L2536" s="444">
        <f t="shared" ca="1" si="147"/>
        <v>614679856.93501067</v>
      </c>
      <c r="M2536" s="460">
        <f t="shared" si="149"/>
        <v>0.05</v>
      </c>
      <c r="N2536" s="464">
        <f t="shared" si="150"/>
        <v>128233</v>
      </c>
    </row>
    <row r="2537" spans="7:14" ht="11.25" customHeight="1" x14ac:dyDescent="0.3">
      <c r="G2537" s="459"/>
      <c r="H2537" s="459">
        <v>2530</v>
      </c>
      <c r="I2537" s="444">
        <f t="shared" ca="1" si="148"/>
        <v>614679856.93501067</v>
      </c>
      <c r="J2537" s="444">
        <f t="array" ref="J2537">IFERROR(INDEX('Retirement Calculator'!J:J,MATCH('Isaac 401k'!N2537,'Retirement Calculator'!A:A,0),0),0)</f>
        <v>0</v>
      </c>
      <c r="K2537" s="444">
        <f t="shared" ca="1" si="146"/>
        <v>2561166.0705625443</v>
      </c>
      <c r="L2537" s="444">
        <f t="shared" ca="1" si="147"/>
        <v>617241023.00557327</v>
      </c>
      <c r="M2537" s="460">
        <f t="shared" si="149"/>
        <v>0.05</v>
      </c>
      <c r="N2537" s="464">
        <f t="shared" si="150"/>
        <v>128261</v>
      </c>
    </row>
    <row r="2538" spans="7:14" ht="11.25" customHeight="1" x14ac:dyDescent="0.3">
      <c r="G2538" s="459"/>
      <c r="H2538" s="459">
        <v>2531</v>
      </c>
      <c r="I2538" s="444">
        <f t="shared" ca="1" si="148"/>
        <v>617241023.00557327</v>
      </c>
      <c r="J2538" s="444">
        <f t="array" ref="J2538">IFERROR(INDEX('Retirement Calculator'!J:J,MATCH('Isaac 401k'!N2538,'Retirement Calculator'!A:A,0),0),0)</f>
        <v>0</v>
      </c>
      <c r="K2538" s="444">
        <f t="shared" ca="1" si="146"/>
        <v>2571837.5958565553</v>
      </c>
      <c r="L2538" s="444">
        <f t="shared" ca="1" si="147"/>
        <v>619812860.60142982</v>
      </c>
      <c r="M2538" s="460">
        <f t="shared" si="149"/>
        <v>0.05</v>
      </c>
      <c r="N2538" s="464">
        <f t="shared" si="150"/>
        <v>128292</v>
      </c>
    </row>
    <row r="2539" spans="7:14" ht="11.25" customHeight="1" x14ac:dyDescent="0.3">
      <c r="G2539" s="459"/>
      <c r="H2539" s="459">
        <v>2532</v>
      </c>
      <c r="I2539" s="444">
        <f t="shared" ca="1" si="148"/>
        <v>619812860.60142982</v>
      </c>
      <c r="J2539" s="444">
        <f t="array" ref="J2539">IFERROR(INDEX('Retirement Calculator'!J:J,MATCH('Isaac 401k'!N2539,'Retirement Calculator'!A:A,0),0),0)</f>
        <v>0</v>
      </c>
      <c r="K2539" s="444">
        <f t="shared" ca="1" si="146"/>
        <v>2582553.5858392911</v>
      </c>
      <c r="L2539" s="444">
        <f t="shared" ca="1" si="147"/>
        <v>622395414.18726909</v>
      </c>
      <c r="M2539" s="460">
        <f t="shared" si="149"/>
        <v>0.05</v>
      </c>
      <c r="N2539" s="464">
        <f t="shared" si="150"/>
        <v>128322</v>
      </c>
    </row>
    <row r="2540" spans="7:14" ht="11.25" customHeight="1" x14ac:dyDescent="0.3">
      <c r="G2540" s="459"/>
      <c r="H2540" s="459">
        <v>2533</v>
      </c>
      <c r="I2540" s="444">
        <f t="shared" ca="1" si="148"/>
        <v>622395414.18726909</v>
      </c>
      <c r="J2540" s="444">
        <f t="array" ref="J2540">IFERROR(INDEX('Retirement Calculator'!J:J,MATCH('Isaac 401k'!N2540,'Retirement Calculator'!A:A,0),0),0)</f>
        <v>0</v>
      </c>
      <c r="K2540" s="444">
        <f t="shared" ca="1" si="146"/>
        <v>2593314.2257802878</v>
      </c>
      <c r="L2540" s="444">
        <f t="shared" ca="1" si="147"/>
        <v>624988728.41304934</v>
      </c>
      <c r="M2540" s="460">
        <f t="shared" si="149"/>
        <v>0.05</v>
      </c>
      <c r="N2540" s="464">
        <f t="shared" si="150"/>
        <v>128353</v>
      </c>
    </row>
    <row r="2541" spans="7:14" ht="11.25" customHeight="1" x14ac:dyDescent="0.3">
      <c r="G2541" s="459"/>
      <c r="H2541" s="459">
        <v>2534</v>
      </c>
      <c r="I2541" s="444">
        <f t="shared" ca="1" si="148"/>
        <v>624988728.41304934</v>
      </c>
      <c r="J2541" s="444">
        <f t="array" ref="J2541">IFERROR(INDEX('Retirement Calculator'!J:J,MATCH('Isaac 401k'!N2541,'Retirement Calculator'!A:A,0),0),0)</f>
        <v>0</v>
      </c>
      <c r="K2541" s="444">
        <f t="shared" ca="1" si="146"/>
        <v>2604119.7017210387</v>
      </c>
      <c r="L2541" s="444">
        <f t="shared" ca="1" si="147"/>
        <v>627592848.11477041</v>
      </c>
      <c r="M2541" s="460">
        <f t="shared" si="149"/>
        <v>0.05</v>
      </c>
      <c r="N2541" s="464">
        <f t="shared" si="150"/>
        <v>128383</v>
      </c>
    </row>
    <row r="2542" spans="7:14" ht="11.25" customHeight="1" x14ac:dyDescent="0.3">
      <c r="G2542" s="459"/>
      <c r="H2542" s="459">
        <v>2535</v>
      </c>
      <c r="I2542" s="444">
        <f t="shared" ca="1" si="148"/>
        <v>627592848.11477041</v>
      </c>
      <c r="J2542" s="444">
        <f t="array" ref="J2542">IFERROR(INDEX('Retirement Calculator'!J:J,MATCH('Isaac 401k'!N2542,'Retirement Calculator'!A:A,0),0),0)</f>
        <v>0</v>
      </c>
      <c r="K2542" s="444">
        <f t="shared" ca="1" si="146"/>
        <v>2614970.2004782101</v>
      </c>
      <c r="L2542" s="444">
        <f t="shared" ca="1" si="147"/>
        <v>630207818.31524861</v>
      </c>
      <c r="M2542" s="460">
        <f t="shared" si="149"/>
        <v>0.05</v>
      </c>
      <c r="N2542" s="464">
        <f t="shared" si="150"/>
        <v>128414</v>
      </c>
    </row>
    <row r="2543" spans="7:14" ht="11.25" customHeight="1" x14ac:dyDescent="0.3">
      <c r="G2543" s="459"/>
      <c r="H2543" s="459">
        <v>2536</v>
      </c>
      <c r="I2543" s="444">
        <f t="shared" ca="1" si="148"/>
        <v>630207818.31524861</v>
      </c>
      <c r="J2543" s="444">
        <f t="array" ref="J2543">IFERROR(INDEX('Retirement Calculator'!J:J,MATCH('Isaac 401k'!N2543,'Retirement Calculator'!A:A,0),0),0)</f>
        <v>0</v>
      </c>
      <c r="K2543" s="444">
        <f t="shared" ca="1" si="146"/>
        <v>2625865.9096468692</v>
      </c>
      <c r="L2543" s="444">
        <f t="shared" ca="1" si="147"/>
        <v>632833684.22489548</v>
      </c>
      <c r="M2543" s="460">
        <f t="shared" si="149"/>
        <v>0.05</v>
      </c>
      <c r="N2543" s="464">
        <f t="shared" si="150"/>
        <v>128445</v>
      </c>
    </row>
    <row r="2544" spans="7:14" ht="11.25" customHeight="1" x14ac:dyDescent="0.3">
      <c r="G2544" s="459"/>
      <c r="H2544" s="459">
        <v>2537</v>
      </c>
      <c r="I2544" s="444">
        <f t="shared" ca="1" si="148"/>
        <v>632833684.22489548</v>
      </c>
      <c r="J2544" s="444">
        <f t="array" ref="J2544">IFERROR(INDEX('Retirement Calculator'!J:J,MATCH('Isaac 401k'!N2544,'Retirement Calculator'!A:A,0),0),0)</f>
        <v>0</v>
      </c>
      <c r="K2544" s="444">
        <f t="shared" ca="1" si="146"/>
        <v>2636807.0176037312</v>
      </c>
      <c r="L2544" s="444">
        <f t="shared" ca="1" si="147"/>
        <v>635470491.24249923</v>
      </c>
      <c r="M2544" s="460">
        <f t="shared" si="149"/>
        <v>0.05</v>
      </c>
      <c r="N2544" s="464">
        <f t="shared" si="150"/>
        <v>128475</v>
      </c>
    </row>
    <row r="2545" spans="7:14" ht="11.25" customHeight="1" x14ac:dyDescent="0.3">
      <c r="G2545" s="459"/>
      <c r="H2545" s="459">
        <v>2538</v>
      </c>
      <c r="I2545" s="444">
        <f t="shared" ca="1" si="148"/>
        <v>635470491.24249923</v>
      </c>
      <c r="J2545" s="444">
        <f t="array" ref="J2545">IFERROR(INDEX('Retirement Calculator'!J:J,MATCH('Isaac 401k'!N2545,'Retirement Calculator'!A:A,0),0),0)</f>
        <v>0</v>
      </c>
      <c r="K2545" s="444">
        <f t="shared" ca="1" si="146"/>
        <v>2647793.7135104137</v>
      </c>
      <c r="L2545" s="444">
        <f t="shared" ca="1" si="147"/>
        <v>638118284.95600963</v>
      </c>
      <c r="M2545" s="460">
        <f t="shared" si="149"/>
        <v>0.05</v>
      </c>
      <c r="N2545" s="464">
        <f t="shared" si="150"/>
        <v>128506</v>
      </c>
    </row>
    <row r="2546" spans="7:14" ht="11.25" customHeight="1" x14ac:dyDescent="0.3">
      <c r="G2546" s="459"/>
      <c r="H2546" s="459">
        <v>2539</v>
      </c>
      <c r="I2546" s="444">
        <f t="shared" ca="1" si="148"/>
        <v>638118284.95600963</v>
      </c>
      <c r="J2546" s="444">
        <f t="array" ref="J2546">IFERROR(INDEX('Retirement Calculator'!J:J,MATCH('Isaac 401k'!N2546,'Retirement Calculator'!A:A,0),0),0)</f>
        <v>0</v>
      </c>
      <c r="K2546" s="444">
        <f t="shared" ca="1" si="146"/>
        <v>2658826.1873167069</v>
      </c>
      <c r="L2546" s="444">
        <f t="shared" ca="1" si="147"/>
        <v>640777111.14332628</v>
      </c>
      <c r="M2546" s="460">
        <f t="shared" si="149"/>
        <v>0.05</v>
      </c>
      <c r="N2546" s="464">
        <f t="shared" si="150"/>
        <v>128536</v>
      </c>
    </row>
    <row r="2547" spans="7:14" ht="11.25" customHeight="1" x14ac:dyDescent="0.3">
      <c r="G2547" s="459"/>
      <c r="H2547" s="459">
        <v>2540</v>
      </c>
      <c r="I2547" s="444">
        <f t="shared" ca="1" si="148"/>
        <v>640777111.14332628</v>
      </c>
      <c r="J2547" s="444">
        <f t="array" ref="J2547">IFERROR(INDEX('Retirement Calculator'!J:J,MATCH('Isaac 401k'!N2547,'Retirement Calculator'!A:A,0),0),0)</f>
        <v>0</v>
      </c>
      <c r="K2547" s="444">
        <f t="shared" ca="1" si="146"/>
        <v>2669904.6297638593</v>
      </c>
      <c r="L2547" s="444">
        <f t="shared" ca="1" si="147"/>
        <v>643447015.77309012</v>
      </c>
      <c r="M2547" s="460">
        <f t="shared" si="149"/>
        <v>0.05</v>
      </c>
      <c r="N2547" s="464">
        <f t="shared" si="150"/>
        <v>128567</v>
      </c>
    </row>
    <row r="2548" spans="7:14" ht="11.25" customHeight="1" x14ac:dyDescent="0.3">
      <c r="G2548" s="459"/>
      <c r="H2548" s="459">
        <v>2541</v>
      </c>
      <c r="I2548" s="444">
        <f t="shared" ca="1" si="148"/>
        <v>643447015.77309012</v>
      </c>
      <c r="J2548" s="444">
        <f t="array" ref="J2548">IFERROR(INDEX('Retirement Calculator'!J:J,MATCH('Isaac 401k'!N2548,'Retirement Calculator'!A:A,0),0),0)</f>
        <v>0</v>
      </c>
      <c r="K2548" s="444">
        <f t="shared" ca="1" si="146"/>
        <v>2681029.2323878757</v>
      </c>
      <c r="L2548" s="444">
        <f t="shared" ca="1" si="147"/>
        <v>646128045.00547802</v>
      </c>
      <c r="M2548" s="460">
        <f t="shared" si="149"/>
        <v>0.05</v>
      </c>
      <c r="N2548" s="464">
        <f t="shared" si="150"/>
        <v>128598</v>
      </c>
    </row>
    <row r="2549" spans="7:14" ht="11.25" customHeight="1" x14ac:dyDescent="0.3">
      <c r="G2549" s="459"/>
      <c r="H2549" s="459">
        <v>2542</v>
      </c>
      <c r="I2549" s="444">
        <f t="shared" ca="1" si="148"/>
        <v>646128045.00547802</v>
      </c>
      <c r="J2549" s="444">
        <f t="array" ref="J2549">IFERROR(INDEX('Retirement Calculator'!J:J,MATCH('Isaac 401k'!N2549,'Retirement Calculator'!A:A,0),0),0)</f>
        <v>0</v>
      </c>
      <c r="K2549" s="444">
        <f t="shared" ca="1" si="146"/>
        <v>2692200.1875228249</v>
      </c>
      <c r="L2549" s="444">
        <f t="shared" ca="1" si="147"/>
        <v>648820245.19300079</v>
      </c>
      <c r="M2549" s="460">
        <f t="shared" si="149"/>
        <v>0.05</v>
      </c>
      <c r="N2549" s="464">
        <f t="shared" si="150"/>
        <v>128627</v>
      </c>
    </row>
    <row r="2550" spans="7:14" ht="11.25" customHeight="1" x14ac:dyDescent="0.3">
      <c r="G2550" s="459"/>
      <c r="H2550" s="459">
        <v>2543</v>
      </c>
      <c r="I2550" s="444">
        <f t="shared" ca="1" si="148"/>
        <v>648820245.19300079</v>
      </c>
      <c r="J2550" s="444">
        <f t="array" ref="J2550">IFERROR(INDEX('Retirement Calculator'!J:J,MATCH('Isaac 401k'!N2550,'Retirement Calculator'!A:A,0),0),0)</f>
        <v>0</v>
      </c>
      <c r="K2550" s="444">
        <f t="shared" ca="1" si="146"/>
        <v>2703417.68830417</v>
      </c>
      <c r="L2550" s="444">
        <f t="shared" ca="1" si="147"/>
        <v>651523662.88130498</v>
      </c>
      <c r="M2550" s="460">
        <f t="shared" si="149"/>
        <v>0.05</v>
      </c>
      <c r="N2550" s="464">
        <f t="shared" si="150"/>
        <v>128658</v>
      </c>
    </row>
    <row r="2551" spans="7:14" ht="11.25" customHeight="1" x14ac:dyDescent="0.3">
      <c r="G2551" s="459"/>
      <c r="H2551" s="459">
        <v>2544</v>
      </c>
      <c r="I2551" s="444">
        <f t="shared" ca="1" si="148"/>
        <v>651523662.88130498</v>
      </c>
      <c r="J2551" s="444">
        <f t="array" ref="J2551">IFERROR(INDEX('Retirement Calculator'!J:J,MATCH('Isaac 401k'!N2551,'Retirement Calculator'!A:A,0),0),0)</f>
        <v>0</v>
      </c>
      <c r="K2551" s="444">
        <f t="shared" ca="1" si="146"/>
        <v>2714681.9286721041</v>
      </c>
      <c r="L2551" s="444">
        <f t="shared" ca="1" si="147"/>
        <v>654238344.80997705</v>
      </c>
      <c r="M2551" s="460">
        <f t="shared" si="149"/>
        <v>0.05</v>
      </c>
      <c r="N2551" s="464">
        <f t="shared" si="150"/>
        <v>128688</v>
      </c>
    </row>
    <row r="2552" spans="7:14" ht="11.25" customHeight="1" x14ac:dyDescent="0.3">
      <c r="G2552" s="459"/>
      <c r="H2552" s="459">
        <v>2545</v>
      </c>
      <c r="I2552" s="444">
        <f t="shared" ca="1" si="148"/>
        <v>654238344.80997705</v>
      </c>
      <c r="J2552" s="444">
        <f t="array" ref="J2552">IFERROR(INDEX('Retirement Calculator'!J:J,MATCH('Isaac 401k'!N2552,'Retirement Calculator'!A:A,0),0),0)</f>
        <v>0</v>
      </c>
      <c r="K2552" s="444">
        <f t="shared" ca="1" si="146"/>
        <v>2725993.1033749045</v>
      </c>
      <c r="L2552" s="444">
        <f t="shared" ca="1" si="147"/>
        <v>656964337.91335201</v>
      </c>
      <c r="M2552" s="460">
        <f t="shared" si="149"/>
        <v>0.05</v>
      </c>
      <c r="N2552" s="464">
        <f t="shared" si="150"/>
        <v>128719</v>
      </c>
    </row>
    <row r="2553" spans="7:14" ht="11.25" customHeight="1" x14ac:dyDescent="0.3">
      <c r="G2553" s="459"/>
      <c r="H2553" s="459">
        <v>2546</v>
      </c>
      <c r="I2553" s="444">
        <f t="shared" ca="1" si="148"/>
        <v>656964337.91335201</v>
      </c>
      <c r="J2553" s="444">
        <f t="array" ref="J2553">IFERROR(INDEX('Retirement Calculator'!J:J,MATCH('Isaac 401k'!N2553,'Retirement Calculator'!A:A,0),0),0)</f>
        <v>0</v>
      </c>
      <c r="K2553" s="444">
        <f t="shared" ca="1" si="146"/>
        <v>2737351.4079723</v>
      </c>
      <c r="L2553" s="444">
        <f t="shared" ca="1" si="147"/>
        <v>659701689.32132435</v>
      </c>
      <c r="M2553" s="460">
        <f t="shared" si="149"/>
        <v>0.05</v>
      </c>
      <c r="N2553" s="464">
        <f t="shared" si="150"/>
        <v>128749</v>
      </c>
    </row>
    <row r="2554" spans="7:14" ht="11.25" customHeight="1" x14ac:dyDescent="0.3">
      <c r="G2554" s="459"/>
      <c r="H2554" s="459">
        <v>2547</v>
      </c>
      <c r="I2554" s="444">
        <f t="shared" ca="1" si="148"/>
        <v>659701689.32132435</v>
      </c>
      <c r="J2554" s="444">
        <f t="array" ref="J2554">IFERROR(INDEX('Retirement Calculator'!J:J,MATCH('Isaac 401k'!N2554,'Retirement Calculator'!A:A,0),0),0)</f>
        <v>0</v>
      </c>
      <c r="K2554" s="444">
        <f t="shared" ca="1" si="146"/>
        <v>2748757.0388388513</v>
      </c>
      <c r="L2554" s="444">
        <f t="shared" ca="1" si="147"/>
        <v>662450446.36016321</v>
      </c>
      <c r="M2554" s="460">
        <f t="shared" si="149"/>
        <v>0.05</v>
      </c>
      <c r="N2554" s="464">
        <f t="shared" si="150"/>
        <v>128780</v>
      </c>
    </row>
    <row r="2555" spans="7:14" ht="11.25" customHeight="1" x14ac:dyDescent="0.3">
      <c r="G2555" s="459"/>
      <c r="H2555" s="459">
        <v>2548</v>
      </c>
      <c r="I2555" s="444">
        <f t="shared" ca="1" si="148"/>
        <v>662450446.36016321</v>
      </c>
      <c r="J2555" s="444">
        <f t="array" ref="J2555">IFERROR(INDEX('Retirement Calculator'!J:J,MATCH('Isaac 401k'!N2555,'Retirement Calculator'!A:A,0),0),0)</f>
        <v>0</v>
      </c>
      <c r="K2555" s="444">
        <f t="shared" ca="1" si="146"/>
        <v>2760210.1931673465</v>
      </c>
      <c r="L2555" s="444">
        <f t="shared" ca="1" si="147"/>
        <v>665210656.55333054</v>
      </c>
      <c r="M2555" s="460">
        <f t="shared" si="149"/>
        <v>0.05</v>
      </c>
      <c r="N2555" s="464">
        <f t="shared" si="150"/>
        <v>128811</v>
      </c>
    </row>
    <row r="2556" spans="7:14" ht="11.25" customHeight="1" x14ac:dyDescent="0.3">
      <c r="G2556" s="459"/>
      <c r="H2556" s="459">
        <v>2549</v>
      </c>
      <c r="I2556" s="444">
        <f t="shared" ca="1" si="148"/>
        <v>665210656.55333054</v>
      </c>
      <c r="J2556" s="444">
        <f t="array" ref="J2556">IFERROR(INDEX('Retirement Calculator'!J:J,MATCH('Isaac 401k'!N2556,'Retirement Calculator'!A:A,0),0),0)</f>
        <v>0</v>
      </c>
      <c r="K2556" s="444">
        <f t="shared" ca="1" si="146"/>
        <v>2771711.0689722104</v>
      </c>
      <c r="L2556" s="444">
        <f t="shared" ca="1" si="147"/>
        <v>667982367.62230277</v>
      </c>
      <c r="M2556" s="460">
        <f t="shared" si="149"/>
        <v>0.05</v>
      </c>
      <c r="N2556" s="464">
        <f t="shared" si="150"/>
        <v>128841</v>
      </c>
    </row>
    <row r="2557" spans="7:14" ht="11.25" customHeight="1" x14ac:dyDescent="0.3">
      <c r="G2557" s="459"/>
      <c r="H2557" s="459">
        <v>2550</v>
      </c>
      <c r="I2557" s="444">
        <f t="shared" ca="1" si="148"/>
        <v>667982367.62230277</v>
      </c>
      <c r="J2557" s="444">
        <f t="array" ref="J2557">IFERROR(INDEX('Retirement Calculator'!J:J,MATCH('Isaac 401k'!N2557,'Retirement Calculator'!A:A,0),0),0)</f>
        <v>0</v>
      </c>
      <c r="K2557" s="444">
        <f t="shared" ca="1" si="146"/>
        <v>2783259.8650929281</v>
      </c>
      <c r="L2557" s="444">
        <f t="shared" ca="1" si="147"/>
        <v>670765627.48739564</v>
      </c>
      <c r="M2557" s="460">
        <f t="shared" si="149"/>
        <v>0.05</v>
      </c>
      <c r="N2557" s="464">
        <f t="shared" si="150"/>
        <v>128872</v>
      </c>
    </row>
    <row r="2558" spans="7:14" ht="11.25" customHeight="1" x14ac:dyDescent="0.3">
      <c r="G2558" s="459"/>
      <c r="H2558" s="459">
        <v>2551</v>
      </c>
      <c r="I2558" s="444">
        <f t="shared" ca="1" si="148"/>
        <v>670765627.48739564</v>
      </c>
      <c r="J2558" s="444">
        <f t="array" ref="J2558">IFERROR(INDEX('Retirement Calculator'!J:J,MATCH('Isaac 401k'!N2558,'Retirement Calculator'!A:A,0),0),0)</f>
        <v>0</v>
      </c>
      <c r="K2558" s="444">
        <f t="shared" ref="K2558:K2812" ca="1" si="151">IPMT(M2558/12,1,12,-I2558+J2558,,0)</f>
        <v>2794856.7811974818</v>
      </c>
      <c r="L2558" s="444">
        <f t="shared" ref="L2558:L2812" ca="1" si="152">I2558-J2558+K2558</f>
        <v>673560484.26859307</v>
      </c>
      <c r="M2558" s="460">
        <f t="shared" si="149"/>
        <v>0.05</v>
      </c>
      <c r="N2558" s="464">
        <f t="shared" si="150"/>
        <v>128902</v>
      </c>
    </row>
    <row r="2559" spans="7:14" ht="11.25" customHeight="1" x14ac:dyDescent="0.3">
      <c r="G2559" s="459"/>
      <c r="H2559" s="459">
        <v>2552</v>
      </c>
      <c r="I2559" s="444">
        <f t="shared" ref="I2559:I2813" ca="1" si="153">L2558</f>
        <v>673560484.26859307</v>
      </c>
      <c r="J2559" s="444">
        <f t="array" ref="J2559">IFERROR(INDEX('Retirement Calculator'!J:J,MATCH('Isaac 401k'!N2559,'Retirement Calculator'!A:A,0),0),0)</f>
        <v>0</v>
      </c>
      <c r="K2559" s="444">
        <f t="shared" ca="1" si="151"/>
        <v>2806502.0177858043</v>
      </c>
      <c r="L2559" s="444">
        <f t="shared" ca="1" si="152"/>
        <v>676366986.28637886</v>
      </c>
      <c r="M2559" s="460">
        <f t="shared" ref="M2559:M2813" si="154">M2558</f>
        <v>0.05</v>
      </c>
      <c r="N2559" s="464">
        <f t="shared" ref="N2559:N2813" si="155">EDATE(N2558,1)</f>
        <v>128933</v>
      </c>
    </row>
    <row r="2560" spans="7:14" ht="11.25" customHeight="1" x14ac:dyDescent="0.3">
      <c r="G2560" s="459"/>
      <c r="H2560" s="459">
        <v>2553</v>
      </c>
      <c r="I2560" s="444">
        <f t="shared" ca="1" si="153"/>
        <v>676366986.28637886</v>
      </c>
      <c r="J2560" s="444">
        <f t="array" ref="J2560">IFERROR(INDEX('Retirement Calculator'!J:J,MATCH('Isaac 401k'!N2560,'Retirement Calculator'!A:A,0),0),0)</f>
        <v>0</v>
      </c>
      <c r="K2560" s="444">
        <f t="shared" ca="1" si="151"/>
        <v>2818195.7761932453</v>
      </c>
      <c r="L2560" s="444">
        <f t="shared" ca="1" si="152"/>
        <v>679185182.06257212</v>
      </c>
      <c r="M2560" s="460">
        <f t="shared" si="154"/>
        <v>0.05</v>
      </c>
      <c r="N2560" s="464">
        <f t="shared" si="155"/>
        <v>128964</v>
      </c>
    </row>
    <row r="2561" spans="7:14" ht="11.25" customHeight="1" x14ac:dyDescent="0.3">
      <c r="G2561" s="459"/>
      <c r="H2561" s="459">
        <v>2554</v>
      </c>
      <c r="I2561" s="444">
        <f t="shared" ca="1" si="153"/>
        <v>679185182.06257212</v>
      </c>
      <c r="J2561" s="444">
        <f t="array" ref="J2561">IFERROR(INDEX('Retirement Calculator'!J:J,MATCH('Isaac 401k'!N2561,'Retirement Calculator'!A:A,0),0),0)</f>
        <v>0</v>
      </c>
      <c r="K2561" s="444">
        <f t="shared" ca="1" si="151"/>
        <v>2829938.2585940505</v>
      </c>
      <c r="L2561" s="444">
        <f t="shared" ca="1" si="152"/>
        <v>682015120.32116616</v>
      </c>
      <c r="M2561" s="460">
        <f t="shared" si="154"/>
        <v>0.05</v>
      </c>
      <c r="N2561" s="464">
        <f t="shared" si="155"/>
        <v>128992</v>
      </c>
    </row>
    <row r="2562" spans="7:14" ht="11.25" customHeight="1" x14ac:dyDescent="0.3">
      <c r="G2562" s="459"/>
      <c r="H2562" s="459">
        <v>2555</v>
      </c>
      <c r="I2562" s="444">
        <f t="shared" ca="1" si="153"/>
        <v>682015120.32116616</v>
      </c>
      <c r="J2562" s="444">
        <f t="array" ref="J2562">IFERROR(INDEX('Retirement Calculator'!J:J,MATCH('Isaac 401k'!N2562,'Retirement Calculator'!A:A,0),0),0)</f>
        <v>0</v>
      </c>
      <c r="K2562" s="444">
        <f t="shared" ca="1" si="151"/>
        <v>2841729.6680048588</v>
      </c>
      <c r="L2562" s="444">
        <f t="shared" ca="1" si="152"/>
        <v>684856849.98917103</v>
      </c>
      <c r="M2562" s="460">
        <f t="shared" si="154"/>
        <v>0.05</v>
      </c>
      <c r="N2562" s="464">
        <f t="shared" si="155"/>
        <v>129023</v>
      </c>
    </row>
    <row r="2563" spans="7:14" ht="11.25" customHeight="1" x14ac:dyDescent="0.3">
      <c r="G2563" s="459"/>
      <c r="H2563" s="459">
        <v>2556</v>
      </c>
      <c r="I2563" s="444">
        <f t="shared" ca="1" si="153"/>
        <v>684856849.98917103</v>
      </c>
      <c r="J2563" s="444">
        <f t="array" ref="J2563">IFERROR(INDEX('Retirement Calculator'!J:J,MATCH('Isaac 401k'!N2563,'Retirement Calculator'!A:A,0),0),0)</f>
        <v>0</v>
      </c>
      <c r="K2563" s="444">
        <f t="shared" ca="1" si="151"/>
        <v>2853570.2082882128</v>
      </c>
      <c r="L2563" s="444">
        <f t="shared" ca="1" si="152"/>
        <v>687710420.19745922</v>
      </c>
      <c r="M2563" s="460">
        <f t="shared" si="154"/>
        <v>0.05</v>
      </c>
      <c r="N2563" s="464">
        <f t="shared" si="155"/>
        <v>129053</v>
      </c>
    </row>
    <row r="2564" spans="7:14" ht="11.25" customHeight="1" x14ac:dyDescent="0.3">
      <c r="G2564" s="459"/>
      <c r="H2564" s="459">
        <v>2557</v>
      </c>
      <c r="I2564" s="444">
        <f t="shared" ca="1" si="153"/>
        <v>687710420.19745922</v>
      </c>
      <c r="J2564" s="444">
        <f t="array" ref="J2564">IFERROR(INDEX('Retirement Calculator'!J:J,MATCH('Isaac 401k'!N2564,'Retirement Calculator'!A:A,0),0),0)</f>
        <v>0</v>
      </c>
      <c r="K2564" s="444">
        <f t="shared" ca="1" si="151"/>
        <v>2865460.0841560801</v>
      </c>
      <c r="L2564" s="444">
        <f t="shared" ca="1" si="152"/>
        <v>690575880.28161526</v>
      </c>
      <c r="M2564" s="460">
        <f t="shared" si="154"/>
        <v>0.05</v>
      </c>
      <c r="N2564" s="464">
        <f t="shared" si="155"/>
        <v>129084</v>
      </c>
    </row>
    <row r="2565" spans="7:14" ht="11.25" customHeight="1" x14ac:dyDescent="0.3">
      <c r="G2565" s="459"/>
      <c r="H2565" s="459">
        <v>2558</v>
      </c>
      <c r="I2565" s="444">
        <f t="shared" ca="1" si="153"/>
        <v>690575880.28161526</v>
      </c>
      <c r="J2565" s="444">
        <f t="array" ref="J2565">IFERROR(INDEX('Retirement Calculator'!J:J,MATCH('Isaac 401k'!N2565,'Retirement Calculator'!A:A,0),0),0)</f>
        <v>0</v>
      </c>
      <c r="K2565" s="444">
        <f t="shared" ca="1" si="151"/>
        <v>2877399.5011733971</v>
      </c>
      <c r="L2565" s="444">
        <f t="shared" ca="1" si="152"/>
        <v>693453279.78278863</v>
      </c>
      <c r="M2565" s="460">
        <f t="shared" si="154"/>
        <v>0.05</v>
      </c>
      <c r="N2565" s="464">
        <f t="shared" si="155"/>
        <v>129114</v>
      </c>
    </row>
    <row r="2566" spans="7:14" ht="11.25" customHeight="1" x14ac:dyDescent="0.3">
      <c r="G2566" s="459"/>
      <c r="H2566" s="459">
        <v>2559</v>
      </c>
      <c r="I2566" s="444">
        <f t="shared" ca="1" si="153"/>
        <v>693453279.78278863</v>
      </c>
      <c r="J2566" s="444">
        <f t="array" ref="J2566">IFERROR(INDEX('Retirement Calculator'!J:J,MATCH('Isaac 401k'!N2566,'Retirement Calculator'!A:A,0),0),0)</f>
        <v>0</v>
      </c>
      <c r="K2566" s="444">
        <f t="shared" ca="1" si="151"/>
        <v>2889388.6657616193</v>
      </c>
      <c r="L2566" s="444">
        <f t="shared" ca="1" si="152"/>
        <v>696342668.44855022</v>
      </c>
      <c r="M2566" s="460">
        <f t="shared" si="154"/>
        <v>0.05</v>
      </c>
      <c r="N2566" s="464">
        <f t="shared" si="155"/>
        <v>129145</v>
      </c>
    </row>
    <row r="2567" spans="7:14" ht="11.25" customHeight="1" x14ac:dyDescent="0.3">
      <c r="G2567" s="459"/>
      <c r="H2567" s="459">
        <v>2560</v>
      </c>
      <c r="I2567" s="444">
        <f t="shared" ca="1" si="153"/>
        <v>696342668.44855022</v>
      </c>
      <c r="J2567" s="444">
        <f t="array" ref="J2567">IFERROR(INDEX('Retirement Calculator'!J:J,MATCH('Isaac 401k'!N2567,'Retirement Calculator'!A:A,0),0),0)</f>
        <v>0</v>
      </c>
      <c r="K2567" s="444">
        <f t="shared" ca="1" si="151"/>
        <v>2901427.7852022927</v>
      </c>
      <c r="L2567" s="444">
        <f t="shared" ca="1" si="152"/>
        <v>699244096.23375249</v>
      </c>
      <c r="M2567" s="460">
        <f t="shared" si="154"/>
        <v>0.05</v>
      </c>
      <c r="N2567" s="464">
        <f t="shared" si="155"/>
        <v>129176</v>
      </c>
    </row>
    <row r="2568" spans="7:14" ht="11.25" customHeight="1" x14ac:dyDescent="0.3">
      <c r="G2568" s="459"/>
      <c r="H2568" s="459">
        <v>2561</v>
      </c>
      <c r="I2568" s="444">
        <f t="shared" ca="1" si="153"/>
        <v>699244096.23375249</v>
      </c>
      <c r="J2568" s="444">
        <f t="array" ref="J2568">IFERROR(INDEX('Retirement Calculator'!J:J,MATCH('Isaac 401k'!N2568,'Retirement Calculator'!A:A,0),0),0)</f>
        <v>0</v>
      </c>
      <c r="K2568" s="444">
        <f t="shared" ca="1" si="151"/>
        <v>2913517.0676406352</v>
      </c>
      <c r="L2568" s="444">
        <f t="shared" ca="1" si="152"/>
        <v>702157613.30139315</v>
      </c>
      <c r="M2568" s="460">
        <f t="shared" si="154"/>
        <v>0.05</v>
      </c>
      <c r="N2568" s="464">
        <f t="shared" si="155"/>
        <v>129206</v>
      </c>
    </row>
    <row r="2569" spans="7:14" ht="11.25" customHeight="1" x14ac:dyDescent="0.3">
      <c r="G2569" s="459"/>
      <c r="H2569" s="459">
        <v>2562</v>
      </c>
      <c r="I2569" s="444">
        <f t="shared" ca="1" si="153"/>
        <v>702157613.30139315</v>
      </c>
      <c r="J2569" s="444">
        <f t="array" ref="J2569">IFERROR(INDEX('Retirement Calculator'!J:J,MATCH('Isaac 401k'!N2569,'Retirement Calculator'!A:A,0),0),0)</f>
        <v>0</v>
      </c>
      <c r="K2569" s="444">
        <f t="shared" ca="1" si="151"/>
        <v>2925656.7220891379</v>
      </c>
      <c r="L2569" s="444">
        <f t="shared" ca="1" si="152"/>
        <v>705083270.02348232</v>
      </c>
      <c r="M2569" s="460">
        <f t="shared" si="154"/>
        <v>0.05</v>
      </c>
      <c r="N2569" s="464">
        <f t="shared" si="155"/>
        <v>129237</v>
      </c>
    </row>
    <row r="2570" spans="7:14" ht="11.25" customHeight="1" x14ac:dyDescent="0.3">
      <c r="G2570" s="459"/>
      <c r="H2570" s="459">
        <v>2563</v>
      </c>
      <c r="I2570" s="444">
        <f t="shared" ca="1" si="153"/>
        <v>705083270.02348232</v>
      </c>
      <c r="J2570" s="444">
        <f t="array" ref="J2570">IFERROR(INDEX('Retirement Calculator'!J:J,MATCH('Isaac 401k'!N2570,'Retirement Calculator'!A:A,0),0),0)</f>
        <v>0</v>
      </c>
      <c r="K2570" s="444">
        <f t="shared" ca="1" si="151"/>
        <v>2937846.9584311764</v>
      </c>
      <c r="L2570" s="444">
        <f t="shared" ca="1" si="152"/>
        <v>708021116.98191345</v>
      </c>
      <c r="M2570" s="460">
        <f t="shared" si="154"/>
        <v>0.05</v>
      </c>
      <c r="N2570" s="464">
        <f t="shared" si="155"/>
        <v>129267</v>
      </c>
    </row>
    <row r="2571" spans="7:14" ht="11.25" customHeight="1" x14ac:dyDescent="0.3">
      <c r="G2571" s="459"/>
      <c r="H2571" s="459">
        <v>2564</v>
      </c>
      <c r="I2571" s="444">
        <f t="shared" ca="1" si="153"/>
        <v>708021116.98191345</v>
      </c>
      <c r="J2571" s="444">
        <f t="array" ref="J2571">IFERROR(INDEX('Retirement Calculator'!J:J,MATCH('Isaac 401k'!N2571,'Retirement Calculator'!A:A,0),0),0)</f>
        <v>0</v>
      </c>
      <c r="K2571" s="444">
        <f t="shared" ca="1" si="151"/>
        <v>2950087.9874246395</v>
      </c>
      <c r="L2571" s="444">
        <f t="shared" ca="1" si="152"/>
        <v>710971204.96933806</v>
      </c>
      <c r="M2571" s="460">
        <f t="shared" si="154"/>
        <v>0.05</v>
      </c>
      <c r="N2571" s="464">
        <f t="shared" si="155"/>
        <v>129298</v>
      </c>
    </row>
    <row r="2572" spans="7:14" ht="11.25" customHeight="1" x14ac:dyDescent="0.3">
      <c r="G2572" s="459"/>
      <c r="H2572" s="459">
        <v>2565</v>
      </c>
      <c r="I2572" s="444">
        <f t="shared" ca="1" si="153"/>
        <v>710971204.96933806</v>
      </c>
      <c r="J2572" s="444">
        <f t="array" ref="J2572">IFERROR(INDEX('Retirement Calculator'!J:J,MATCH('Isaac 401k'!N2572,'Retirement Calculator'!A:A,0),0),0)</f>
        <v>0</v>
      </c>
      <c r="K2572" s="444">
        <f t="shared" ca="1" si="151"/>
        <v>2962380.0207055751</v>
      </c>
      <c r="L2572" s="444">
        <f t="shared" ca="1" si="152"/>
        <v>713933584.99004364</v>
      </c>
      <c r="M2572" s="460">
        <f t="shared" si="154"/>
        <v>0.05</v>
      </c>
      <c r="N2572" s="464">
        <f t="shared" si="155"/>
        <v>129329</v>
      </c>
    </row>
    <row r="2573" spans="7:14" ht="11.25" customHeight="1" x14ac:dyDescent="0.3">
      <c r="G2573" s="459"/>
      <c r="H2573" s="459">
        <v>2566</v>
      </c>
      <c r="I2573" s="444">
        <f t="shared" ca="1" si="153"/>
        <v>713933584.99004364</v>
      </c>
      <c r="J2573" s="444">
        <f t="array" ref="J2573">IFERROR(INDEX('Retirement Calculator'!J:J,MATCH('Isaac 401k'!N2573,'Retirement Calculator'!A:A,0),0),0)</f>
        <v>0</v>
      </c>
      <c r="K2573" s="444">
        <f t="shared" ca="1" si="151"/>
        <v>2974723.2707918487</v>
      </c>
      <c r="L2573" s="444">
        <f t="shared" ca="1" si="152"/>
        <v>716908308.26083553</v>
      </c>
      <c r="M2573" s="460">
        <f t="shared" si="154"/>
        <v>0.05</v>
      </c>
      <c r="N2573" s="464">
        <f t="shared" si="155"/>
        <v>129357</v>
      </c>
    </row>
    <row r="2574" spans="7:14" ht="11.25" customHeight="1" x14ac:dyDescent="0.3">
      <c r="G2574" s="459"/>
      <c r="H2574" s="459">
        <v>2567</v>
      </c>
      <c r="I2574" s="444">
        <f t="shared" ca="1" si="153"/>
        <v>716908308.26083553</v>
      </c>
      <c r="J2574" s="444">
        <f t="array" ref="J2574">IFERROR(INDEX('Retirement Calculator'!J:J,MATCH('Isaac 401k'!N2574,'Retirement Calculator'!A:A,0),0),0)</f>
        <v>0</v>
      </c>
      <c r="K2574" s="444">
        <f t="shared" ca="1" si="151"/>
        <v>2987117.9510868145</v>
      </c>
      <c r="L2574" s="444">
        <f t="shared" ca="1" si="152"/>
        <v>719895426.21192229</v>
      </c>
      <c r="M2574" s="460">
        <f t="shared" si="154"/>
        <v>0.05</v>
      </c>
      <c r="N2574" s="464">
        <f t="shared" si="155"/>
        <v>129388</v>
      </c>
    </row>
    <row r="2575" spans="7:14" ht="11.25" customHeight="1" x14ac:dyDescent="0.3">
      <c r="G2575" s="459"/>
      <c r="H2575" s="459">
        <v>2568</v>
      </c>
      <c r="I2575" s="444">
        <f t="shared" ca="1" si="153"/>
        <v>719895426.21192229</v>
      </c>
      <c r="J2575" s="444">
        <f t="array" ref="J2575">IFERROR(INDEX('Retirement Calculator'!J:J,MATCH('Isaac 401k'!N2575,'Retirement Calculator'!A:A,0),0),0)</f>
        <v>0</v>
      </c>
      <c r="K2575" s="444">
        <f t="shared" ca="1" si="151"/>
        <v>2999564.2758830097</v>
      </c>
      <c r="L2575" s="444">
        <f t="shared" ca="1" si="152"/>
        <v>722894990.48780525</v>
      </c>
      <c r="M2575" s="460">
        <f t="shared" si="154"/>
        <v>0.05</v>
      </c>
      <c r="N2575" s="464">
        <f t="shared" si="155"/>
        <v>129418</v>
      </c>
    </row>
    <row r="2576" spans="7:14" ht="11.25" customHeight="1" x14ac:dyDescent="0.3">
      <c r="G2576" s="459"/>
      <c r="H2576" s="459">
        <v>2569</v>
      </c>
      <c r="I2576" s="444">
        <f t="shared" ca="1" si="153"/>
        <v>722894990.48780525</v>
      </c>
      <c r="J2576" s="444">
        <f t="array" ref="J2576">IFERROR(INDEX('Retirement Calculator'!J:J,MATCH('Isaac 401k'!N2576,'Retirement Calculator'!A:A,0),0),0)</f>
        <v>0</v>
      </c>
      <c r="K2576" s="444">
        <f t="shared" ca="1" si="151"/>
        <v>3012062.4603658551</v>
      </c>
      <c r="L2576" s="444">
        <f t="shared" ca="1" si="152"/>
        <v>725907052.94817114</v>
      </c>
      <c r="M2576" s="460">
        <f t="shared" si="154"/>
        <v>0.05</v>
      </c>
      <c r="N2576" s="464">
        <f t="shared" si="155"/>
        <v>129449</v>
      </c>
    </row>
    <row r="2577" spans="7:14" ht="11.25" customHeight="1" x14ac:dyDescent="0.3">
      <c r="G2577" s="459"/>
      <c r="H2577" s="459">
        <v>2570</v>
      </c>
      <c r="I2577" s="444">
        <f t="shared" ca="1" si="153"/>
        <v>725907052.94817114</v>
      </c>
      <c r="J2577" s="444">
        <f t="array" ref="J2577">IFERROR(INDEX('Retirement Calculator'!J:J,MATCH('Isaac 401k'!N2577,'Retirement Calculator'!A:A,0),0),0)</f>
        <v>0</v>
      </c>
      <c r="K2577" s="444">
        <f t="shared" ca="1" si="151"/>
        <v>3024612.7206173795</v>
      </c>
      <c r="L2577" s="444">
        <f t="shared" ca="1" si="152"/>
        <v>728931665.66878855</v>
      </c>
      <c r="M2577" s="460">
        <f t="shared" si="154"/>
        <v>0.05</v>
      </c>
      <c r="N2577" s="464">
        <f t="shared" si="155"/>
        <v>129479</v>
      </c>
    </row>
    <row r="2578" spans="7:14" ht="11.25" customHeight="1" x14ac:dyDescent="0.3">
      <c r="G2578" s="459"/>
      <c r="H2578" s="459">
        <v>2571</v>
      </c>
      <c r="I2578" s="444">
        <f t="shared" ca="1" si="153"/>
        <v>728931665.66878855</v>
      </c>
      <c r="J2578" s="444">
        <f t="array" ref="J2578">IFERROR(INDEX('Retirement Calculator'!J:J,MATCH('Isaac 401k'!N2578,'Retirement Calculator'!A:A,0),0),0)</f>
        <v>0</v>
      </c>
      <c r="K2578" s="444">
        <f t="shared" ca="1" si="151"/>
        <v>3037215.2736199521</v>
      </c>
      <c r="L2578" s="444">
        <f t="shared" ca="1" si="152"/>
        <v>731968880.94240856</v>
      </c>
      <c r="M2578" s="460">
        <f t="shared" si="154"/>
        <v>0.05</v>
      </c>
      <c r="N2578" s="464">
        <f t="shared" si="155"/>
        <v>129510</v>
      </c>
    </row>
    <row r="2579" spans="7:14" ht="11.25" customHeight="1" x14ac:dyDescent="0.3">
      <c r="G2579" s="459"/>
      <c r="H2579" s="459">
        <v>2572</v>
      </c>
      <c r="I2579" s="444">
        <f t="shared" ca="1" si="153"/>
        <v>731968880.94240856</v>
      </c>
      <c r="J2579" s="444">
        <f t="array" ref="J2579">IFERROR(INDEX('Retirement Calculator'!J:J,MATCH('Isaac 401k'!N2579,'Retirement Calculator'!A:A,0),0),0)</f>
        <v>0</v>
      </c>
      <c r="K2579" s="444">
        <f t="shared" ca="1" si="151"/>
        <v>3049870.3372600358</v>
      </c>
      <c r="L2579" s="444">
        <f t="shared" ca="1" si="152"/>
        <v>735018751.27966857</v>
      </c>
      <c r="M2579" s="460">
        <f t="shared" si="154"/>
        <v>0.05</v>
      </c>
      <c r="N2579" s="464">
        <f t="shared" si="155"/>
        <v>129541</v>
      </c>
    </row>
    <row r="2580" spans="7:14" ht="11.25" customHeight="1" x14ac:dyDescent="0.3">
      <c r="G2580" s="459"/>
      <c r="H2580" s="459">
        <v>2573</v>
      </c>
      <c r="I2580" s="444">
        <f t="shared" ca="1" si="153"/>
        <v>735018751.27966857</v>
      </c>
      <c r="J2580" s="444">
        <f t="array" ref="J2580">IFERROR(INDEX('Retirement Calculator'!J:J,MATCH('Isaac 401k'!N2580,'Retirement Calculator'!A:A,0),0),0)</f>
        <v>0</v>
      </c>
      <c r="K2580" s="444">
        <f t="shared" ca="1" si="151"/>
        <v>3062578.1303319521</v>
      </c>
      <c r="L2580" s="444">
        <f t="shared" ca="1" si="152"/>
        <v>738081329.41000056</v>
      </c>
      <c r="M2580" s="460">
        <f t="shared" si="154"/>
        <v>0.05</v>
      </c>
      <c r="N2580" s="464">
        <f t="shared" si="155"/>
        <v>129571</v>
      </c>
    </row>
    <row r="2581" spans="7:14" ht="11.25" customHeight="1" x14ac:dyDescent="0.3">
      <c r="G2581" s="459"/>
      <c r="H2581" s="459">
        <v>2574</v>
      </c>
      <c r="I2581" s="444">
        <f t="shared" ca="1" si="153"/>
        <v>738081329.41000056</v>
      </c>
      <c r="J2581" s="444">
        <f t="array" ref="J2581">IFERROR(INDEX('Retirement Calculator'!J:J,MATCH('Isaac 401k'!N2581,'Retirement Calculator'!A:A,0),0),0)</f>
        <v>0</v>
      </c>
      <c r="K2581" s="444">
        <f t="shared" ca="1" si="151"/>
        <v>3075338.8725416688</v>
      </c>
      <c r="L2581" s="444">
        <f t="shared" ca="1" si="152"/>
        <v>741156668.28254223</v>
      </c>
      <c r="M2581" s="460">
        <f t="shared" si="154"/>
        <v>0.05</v>
      </c>
      <c r="N2581" s="464">
        <f t="shared" si="155"/>
        <v>129602</v>
      </c>
    </row>
    <row r="2582" spans="7:14" ht="11.25" customHeight="1" x14ac:dyDescent="0.3">
      <c r="G2582" s="459"/>
      <c r="H2582" s="459">
        <v>2575</v>
      </c>
      <c r="I2582" s="444">
        <f t="shared" ca="1" si="153"/>
        <v>741156668.28254223</v>
      </c>
      <c r="J2582" s="444">
        <f t="array" ref="J2582">IFERROR(INDEX('Retirement Calculator'!J:J,MATCH('Isaac 401k'!N2582,'Retirement Calculator'!A:A,0),0),0)</f>
        <v>0</v>
      </c>
      <c r="K2582" s="444">
        <f t="shared" ca="1" si="151"/>
        <v>3088152.7845105925</v>
      </c>
      <c r="L2582" s="444">
        <f t="shared" ca="1" si="152"/>
        <v>744244821.06705284</v>
      </c>
      <c r="M2582" s="460">
        <f t="shared" si="154"/>
        <v>0.05</v>
      </c>
      <c r="N2582" s="464">
        <f t="shared" si="155"/>
        <v>129632</v>
      </c>
    </row>
    <row r="2583" spans="7:14" ht="11.25" customHeight="1" x14ac:dyDescent="0.3">
      <c r="G2583" s="459"/>
      <c r="H2583" s="459">
        <v>2576</v>
      </c>
      <c r="I2583" s="444">
        <f t="shared" ca="1" si="153"/>
        <v>744244821.06705284</v>
      </c>
      <c r="J2583" s="444">
        <f t="array" ref="J2583">IFERROR(INDEX('Retirement Calculator'!J:J,MATCH('Isaac 401k'!N2583,'Retirement Calculator'!A:A,0),0),0)</f>
        <v>0</v>
      </c>
      <c r="K2583" s="444">
        <f t="shared" ca="1" si="151"/>
        <v>3101020.0877793869</v>
      </c>
      <c r="L2583" s="444">
        <f t="shared" ca="1" si="152"/>
        <v>747345841.15483224</v>
      </c>
      <c r="M2583" s="460">
        <f t="shared" si="154"/>
        <v>0.05</v>
      </c>
      <c r="N2583" s="464">
        <f t="shared" si="155"/>
        <v>129663</v>
      </c>
    </row>
    <row r="2584" spans="7:14" ht="11.25" customHeight="1" x14ac:dyDescent="0.3">
      <c r="G2584" s="459"/>
      <c r="H2584" s="459">
        <v>2577</v>
      </c>
      <c r="I2584" s="444">
        <f t="shared" ca="1" si="153"/>
        <v>747345841.15483224</v>
      </c>
      <c r="J2584" s="444">
        <f t="array" ref="J2584">IFERROR(INDEX('Retirement Calculator'!J:J,MATCH('Isaac 401k'!N2584,'Retirement Calculator'!A:A,0),0),0)</f>
        <v>0</v>
      </c>
      <c r="K2584" s="444">
        <f t="shared" ca="1" si="151"/>
        <v>3113941.004811801</v>
      </c>
      <c r="L2584" s="444">
        <f t="shared" ca="1" si="152"/>
        <v>750459782.15964401</v>
      </c>
      <c r="M2584" s="460">
        <f t="shared" si="154"/>
        <v>0.05</v>
      </c>
      <c r="N2584" s="464">
        <f t="shared" si="155"/>
        <v>129694</v>
      </c>
    </row>
    <row r="2585" spans="7:14" ht="11.25" customHeight="1" x14ac:dyDescent="0.3">
      <c r="G2585" s="459"/>
      <c r="H2585" s="459">
        <v>2578</v>
      </c>
      <c r="I2585" s="444">
        <f t="shared" ca="1" si="153"/>
        <v>750459782.15964401</v>
      </c>
      <c r="J2585" s="444">
        <f t="array" ref="J2585">IFERROR(INDEX('Retirement Calculator'!J:J,MATCH('Isaac 401k'!N2585,'Retirement Calculator'!A:A,0),0),0)</f>
        <v>0</v>
      </c>
      <c r="K2585" s="444">
        <f t="shared" ca="1" si="151"/>
        <v>3126915.7589985165</v>
      </c>
      <c r="L2585" s="444">
        <f t="shared" ca="1" si="152"/>
        <v>753586697.91864252</v>
      </c>
      <c r="M2585" s="460">
        <f t="shared" si="154"/>
        <v>0.05</v>
      </c>
      <c r="N2585" s="464">
        <f t="shared" si="155"/>
        <v>129722</v>
      </c>
    </row>
    <row r="2586" spans="7:14" ht="11.25" customHeight="1" x14ac:dyDescent="0.3">
      <c r="G2586" s="459"/>
      <c r="H2586" s="459">
        <v>2579</v>
      </c>
      <c r="I2586" s="444">
        <f t="shared" ca="1" si="153"/>
        <v>753586697.91864252</v>
      </c>
      <c r="J2586" s="444">
        <f t="array" ref="J2586">IFERROR(INDEX('Retirement Calculator'!J:J,MATCH('Isaac 401k'!N2586,'Retirement Calculator'!A:A,0),0),0)</f>
        <v>0</v>
      </c>
      <c r="K2586" s="444">
        <f t="shared" ca="1" si="151"/>
        <v>3139944.5746610104</v>
      </c>
      <c r="L2586" s="444">
        <f t="shared" ca="1" si="152"/>
        <v>756726642.49330354</v>
      </c>
      <c r="M2586" s="460">
        <f t="shared" si="154"/>
        <v>0.05</v>
      </c>
      <c r="N2586" s="464">
        <f t="shared" si="155"/>
        <v>129753</v>
      </c>
    </row>
    <row r="2587" spans="7:14" ht="11.25" customHeight="1" x14ac:dyDescent="0.3">
      <c r="G2587" s="459"/>
      <c r="H2587" s="459">
        <v>2580</v>
      </c>
      <c r="I2587" s="444">
        <f t="shared" ca="1" si="153"/>
        <v>756726642.49330354</v>
      </c>
      <c r="J2587" s="444">
        <f t="array" ref="J2587">IFERROR(INDEX('Retirement Calculator'!J:J,MATCH('Isaac 401k'!N2587,'Retirement Calculator'!A:A,0),0),0)</f>
        <v>0</v>
      </c>
      <c r="K2587" s="444">
        <f t="shared" ca="1" si="151"/>
        <v>3153027.6770554315</v>
      </c>
      <c r="L2587" s="444">
        <f t="shared" ca="1" si="152"/>
        <v>759879670.17035902</v>
      </c>
      <c r="M2587" s="460">
        <f t="shared" si="154"/>
        <v>0.05</v>
      </c>
      <c r="N2587" s="464">
        <f t="shared" si="155"/>
        <v>129783</v>
      </c>
    </row>
    <row r="2588" spans="7:14" ht="11.25" customHeight="1" x14ac:dyDescent="0.3">
      <c r="G2588" s="459"/>
      <c r="H2588" s="459">
        <v>2581</v>
      </c>
      <c r="I2588" s="444">
        <f t="shared" ca="1" si="153"/>
        <v>759879670.17035902</v>
      </c>
      <c r="J2588" s="444">
        <f t="array" ref="J2588">IFERROR(INDEX('Retirement Calculator'!J:J,MATCH('Isaac 401k'!N2588,'Retirement Calculator'!A:A,0),0),0)</f>
        <v>0</v>
      </c>
      <c r="K2588" s="444">
        <f t="shared" ca="1" si="151"/>
        <v>3166165.2923764959</v>
      </c>
      <c r="L2588" s="444">
        <f t="shared" ca="1" si="152"/>
        <v>763045835.46273553</v>
      </c>
      <c r="M2588" s="460">
        <f t="shared" si="154"/>
        <v>0.05</v>
      </c>
      <c r="N2588" s="464">
        <f t="shared" si="155"/>
        <v>129814</v>
      </c>
    </row>
    <row r="2589" spans="7:14" ht="11.25" customHeight="1" x14ac:dyDescent="0.3">
      <c r="G2589" s="459"/>
      <c r="H2589" s="459">
        <v>2582</v>
      </c>
      <c r="I2589" s="444">
        <f t="shared" ca="1" si="153"/>
        <v>763045835.46273553</v>
      </c>
      <c r="J2589" s="444">
        <f t="array" ref="J2589">IFERROR(INDEX('Retirement Calculator'!J:J,MATCH('Isaac 401k'!N2589,'Retirement Calculator'!A:A,0),0),0)</f>
        <v>0</v>
      </c>
      <c r="K2589" s="444">
        <f t="shared" ca="1" si="151"/>
        <v>3179357.647761398</v>
      </c>
      <c r="L2589" s="444">
        <f t="shared" ca="1" si="152"/>
        <v>766225193.11049688</v>
      </c>
      <c r="M2589" s="460">
        <f t="shared" si="154"/>
        <v>0.05</v>
      </c>
      <c r="N2589" s="464">
        <f t="shared" si="155"/>
        <v>129844</v>
      </c>
    </row>
    <row r="2590" spans="7:14" ht="11.25" customHeight="1" x14ac:dyDescent="0.3">
      <c r="G2590" s="459"/>
      <c r="H2590" s="459">
        <v>2583</v>
      </c>
      <c r="I2590" s="444">
        <f t="shared" ca="1" si="153"/>
        <v>766225193.11049688</v>
      </c>
      <c r="J2590" s="444">
        <f t="array" ref="J2590">IFERROR(INDEX('Retirement Calculator'!J:J,MATCH('Isaac 401k'!N2590,'Retirement Calculator'!A:A,0),0),0)</f>
        <v>0</v>
      </c>
      <c r="K2590" s="444">
        <f t="shared" ca="1" si="151"/>
        <v>3192604.9712937372</v>
      </c>
      <c r="L2590" s="444">
        <f t="shared" ca="1" si="152"/>
        <v>769417798.08179057</v>
      </c>
      <c r="M2590" s="460">
        <f t="shared" si="154"/>
        <v>0.05</v>
      </c>
      <c r="N2590" s="464">
        <f t="shared" si="155"/>
        <v>129875</v>
      </c>
    </row>
    <row r="2591" spans="7:14" ht="11.25" customHeight="1" x14ac:dyDescent="0.3">
      <c r="G2591" s="459"/>
      <c r="H2591" s="459">
        <v>2584</v>
      </c>
      <c r="I2591" s="444">
        <f t="shared" ca="1" si="153"/>
        <v>769417798.08179057</v>
      </c>
      <c r="J2591" s="444">
        <f t="array" ref="J2591">IFERROR(INDEX('Retirement Calculator'!J:J,MATCH('Isaac 401k'!N2591,'Retirement Calculator'!A:A,0),0),0)</f>
        <v>0</v>
      </c>
      <c r="K2591" s="444">
        <f t="shared" ca="1" si="151"/>
        <v>3205907.4920074604</v>
      </c>
      <c r="L2591" s="444">
        <f t="shared" ca="1" si="152"/>
        <v>772623705.57379806</v>
      </c>
      <c r="M2591" s="460">
        <f t="shared" si="154"/>
        <v>0.05</v>
      </c>
      <c r="N2591" s="464">
        <f t="shared" si="155"/>
        <v>129906</v>
      </c>
    </row>
    <row r="2592" spans="7:14" ht="11.25" customHeight="1" x14ac:dyDescent="0.3">
      <c r="G2592" s="459"/>
      <c r="H2592" s="459">
        <v>2585</v>
      </c>
      <c r="I2592" s="444">
        <f t="shared" ca="1" si="153"/>
        <v>772623705.57379806</v>
      </c>
      <c r="J2592" s="444">
        <f t="array" ref="J2592">IFERROR(INDEX('Retirement Calculator'!J:J,MATCH('Isaac 401k'!N2592,'Retirement Calculator'!A:A,0),0),0)</f>
        <v>0</v>
      </c>
      <c r="K2592" s="444">
        <f t="shared" ca="1" si="151"/>
        <v>3219265.4398908252</v>
      </c>
      <c r="L2592" s="444">
        <f t="shared" ca="1" si="152"/>
        <v>775842971.01368892</v>
      </c>
      <c r="M2592" s="460">
        <f t="shared" si="154"/>
        <v>0.05</v>
      </c>
      <c r="N2592" s="464">
        <f t="shared" si="155"/>
        <v>129936</v>
      </c>
    </row>
    <row r="2593" spans="7:14" ht="11.25" customHeight="1" x14ac:dyDescent="0.3">
      <c r="G2593" s="459"/>
      <c r="H2593" s="459">
        <v>2586</v>
      </c>
      <c r="I2593" s="444">
        <f t="shared" ca="1" si="153"/>
        <v>775842971.01368892</v>
      </c>
      <c r="J2593" s="444">
        <f t="array" ref="J2593">IFERROR(INDEX('Retirement Calculator'!J:J,MATCH('Isaac 401k'!N2593,'Retirement Calculator'!A:A,0),0),0)</f>
        <v>0</v>
      </c>
      <c r="K2593" s="444">
        <f t="shared" ca="1" si="151"/>
        <v>3232679.0458903704</v>
      </c>
      <c r="L2593" s="444">
        <f t="shared" ca="1" si="152"/>
        <v>779075650.05957925</v>
      </c>
      <c r="M2593" s="460">
        <f t="shared" si="154"/>
        <v>0.05</v>
      </c>
      <c r="N2593" s="464">
        <f t="shared" si="155"/>
        <v>129967</v>
      </c>
    </row>
    <row r="2594" spans="7:14" ht="11.25" customHeight="1" x14ac:dyDescent="0.3">
      <c r="G2594" s="459"/>
      <c r="H2594" s="459">
        <v>2587</v>
      </c>
      <c r="I2594" s="444">
        <f t="shared" ca="1" si="153"/>
        <v>779075650.05957925</v>
      </c>
      <c r="J2594" s="444">
        <f t="array" ref="J2594">IFERROR(INDEX('Retirement Calculator'!J:J,MATCH('Isaac 401k'!N2594,'Retirement Calculator'!A:A,0),0),0)</f>
        <v>0</v>
      </c>
      <c r="K2594" s="444">
        <f t="shared" ca="1" si="151"/>
        <v>3246148.5419149133</v>
      </c>
      <c r="L2594" s="444">
        <f t="shared" ca="1" si="152"/>
        <v>782321798.60149419</v>
      </c>
      <c r="M2594" s="460">
        <f t="shared" si="154"/>
        <v>0.05</v>
      </c>
      <c r="N2594" s="464">
        <f t="shared" si="155"/>
        <v>129997</v>
      </c>
    </row>
    <row r="2595" spans="7:14" ht="11.25" customHeight="1" x14ac:dyDescent="0.3">
      <c r="G2595" s="459"/>
      <c r="H2595" s="459">
        <v>2588</v>
      </c>
      <c r="I2595" s="444">
        <f t="shared" ca="1" si="153"/>
        <v>782321798.60149419</v>
      </c>
      <c r="J2595" s="444">
        <f t="array" ref="J2595">IFERROR(INDEX('Retirement Calculator'!J:J,MATCH('Isaac 401k'!N2595,'Retirement Calculator'!A:A,0),0),0)</f>
        <v>0</v>
      </c>
      <c r="K2595" s="444">
        <f t="shared" ca="1" si="151"/>
        <v>3259674.160839559</v>
      </c>
      <c r="L2595" s="444">
        <f t="shared" ca="1" si="152"/>
        <v>785581472.76233375</v>
      </c>
      <c r="M2595" s="460">
        <f t="shared" si="154"/>
        <v>0.05</v>
      </c>
      <c r="N2595" s="464">
        <f t="shared" si="155"/>
        <v>130028</v>
      </c>
    </row>
    <row r="2596" spans="7:14" ht="11.25" customHeight="1" x14ac:dyDescent="0.3">
      <c r="G2596" s="459"/>
      <c r="H2596" s="459">
        <v>2589</v>
      </c>
      <c r="I2596" s="444">
        <f t="shared" ca="1" si="153"/>
        <v>785581472.76233375</v>
      </c>
      <c r="J2596" s="444">
        <f t="array" ref="J2596">IFERROR(INDEX('Retirement Calculator'!J:J,MATCH('Isaac 401k'!N2596,'Retirement Calculator'!A:A,0),0),0)</f>
        <v>0</v>
      </c>
      <c r="K2596" s="444">
        <f t="shared" ca="1" si="151"/>
        <v>3273256.136509724</v>
      </c>
      <c r="L2596" s="444">
        <f t="shared" ca="1" si="152"/>
        <v>788854728.89884353</v>
      </c>
      <c r="M2596" s="460">
        <f t="shared" si="154"/>
        <v>0.05</v>
      </c>
      <c r="N2596" s="464">
        <f t="shared" si="155"/>
        <v>130059</v>
      </c>
    </row>
    <row r="2597" spans="7:14" ht="11.25" customHeight="1" x14ac:dyDescent="0.3">
      <c r="G2597" s="459"/>
      <c r="H2597" s="459">
        <v>2590</v>
      </c>
      <c r="I2597" s="444">
        <f t="shared" ca="1" si="153"/>
        <v>788854728.89884353</v>
      </c>
      <c r="J2597" s="444">
        <f t="array" ref="J2597">IFERROR(INDEX('Retirement Calculator'!J:J,MATCH('Isaac 401k'!N2597,'Retirement Calculator'!A:A,0),0),0)</f>
        <v>0</v>
      </c>
      <c r="K2597" s="444">
        <f t="shared" ca="1" si="151"/>
        <v>3286894.7037451812</v>
      </c>
      <c r="L2597" s="444">
        <f t="shared" ca="1" si="152"/>
        <v>792141623.60258865</v>
      </c>
      <c r="M2597" s="460">
        <f t="shared" si="154"/>
        <v>0.05</v>
      </c>
      <c r="N2597" s="464">
        <f t="shared" si="155"/>
        <v>130088</v>
      </c>
    </row>
    <row r="2598" spans="7:14" ht="11.25" customHeight="1" x14ac:dyDescent="0.3">
      <c r="G2598" s="459"/>
      <c r="H2598" s="459">
        <v>2591</v>
      </c>
      <c r="I2598" s="444">
        <f t="shared" ca="1" si="153"/>
        <v>792141623.60258865</v>
      </c>
      <c r="J2598" s="444">
        <f t="array" ref="J2598">IFERROR(INDEX('Retirement Calculator'!J:J,MATCH('Isaac 401k'!N2598,'Retirement Calculator'!A:A,0),0),0)</f>
        <v>0</v>
      </c>
      <c r="K2598" s="444">
        <f t="shared" ca="1" si="151"/>
        <v>3300590.0983441193</v>
      </c>
      <c r="L2598" s="444">
        <f t="shared" ca="1" si="152"/>
        <v>795442213.70093274</v>
      </c>
      <c r="M2598" s="460">
        <f t="shared" si="154"/>
        <v>0.05</v>
      </c>
      <c r="N2598" s="464">
        <f t="shared" si="155"/>
        <v>130119</v>
      </c>
    </row>
    <row r="2599" spans="7:14" ht="11.25" customHeight="1" x14ac:dyDescent="0.3">
      <c r="G2599" s="459"/>
      <c r="H2599" s="459">
        <v>2592</v>
      </c>
      <c r="I2599" s="444">
        <f t="shared" ca="1" si="153"/>
        <v>795442213.70093274</v>
      </c>
      <c r="J2599" s="444">
        <f t="array" ref="J2599">IFERROR(INDEX('Retirement Calculator'!J:J,MATCH('Isaac 401k'!N2599,'Retirement Calculator'!A:A,0),0),0)</f>
        <v>0</v>
      </c>
      <c r="K2599" s="444">
        <f t="shared" ca="1" si="151"/>
        <v>3314342.5570872198</v>
      </c>
      <c r="L2599" s="444">
        <f t="shared" ca="1" si="152"/>
        <v>798756556.25801992</v>
      </c>
      <c r="M2599" s="460">
        <f t="shared" si="154"/>
        <v>0.05</v>
      </c>
      <c r="N2599" s="464">
        <f t="shared" si="155"/>
        <v>130149</v>
      </c>
    </row>
    <row r="2600" spans="7:14" ht="11.25" customHeight="1" x14ac:dyDescent="0.3">
      <c r="G2600" s="459"/>
      <c r="H2600" s="459">
        <v>2593</v>
      </c>
      <c r="I2600" s="444">
        <f t="shared" ca="1" si="153"/>
        <v>798756556.25801992</v>
      </c>
      <c r="J2600" s="444">
        <f t="array" ref="J2600">IFERROR(INDEX('Retirement Calculator'!J:J,MATCH('Isaac 401k'!N2600,'Retirement Calculator'!A:A,0),0),0)</f>
        <v>0</v>
      </c>
      <c r="K2600" s="444">
        <f t="shared" ca="1" si="151"/>
        <v>3328152.3177417498</v>
      </c>
      <c r="L2600" s="444">
        <f t="shared" ca="1" si="152"/>
        <v>802084708.57576168</v>
      </c>
      <c r="M2600" s="460">
        <f t="shared" si="154"/>
        <v>0.05</v>
      </c>
      <c r="N2600" s="464">
        <f t="shared" si="155"/>
        <v>130180</v>
      </c>
    </row>
    <row r="2601" spans="7:14" ht="11.25" customHeight="1" x14ac:dyDescent="0.3">
      <c r="G2601" s="459"/>
      <c r="H2601" s="459">
        <v>2594</v>
      </c>
      <c r="I2601" s="444">
        <f t="shared" ca="1" si="153"/>
        <v>802084708.57576168</v>
      </c>
      <c r="J2601" s="444">
        <f t="array" ref="J2601">IFERROR(INDEX('Retirement Calculator'!J:J,MATCH('Isaac 401k'!N2601,'Retirement Calculator'!A:A,0),0),0)</f>
        <v>0</v>
      </c>
      <c r="K2601" s="444">
        <f t="shared" ca="1" si="151"/>
        <v>3342019.6190656736</v>
      </c>
      <c r="L2601" s="444">
        <f t="shared" ca="1" si="152"/>
        <v>805426728.19482732</v>
      </c>
      <c r="M2601" s="460">
        <f t="shared" si="154"/>
        <v>0.05</v>
      </c>
      <c r="N2601" s="464">
        <f t="shared" si="155"/>
        <v>130210</v>
      </c>
    </row>
    <row r="2602" spans="7:14" ht="11.25" customHeight="1" x14ac:dyDescent="0.3">
      <c r="G2602" s="459"/>
      <c r="H2602" s="459">
        <v>2595</v>
      </c>
      <c r="I2602" s="444">
        <f t="shared" ca="1" si="153"/>
        <v>805426728.19482732</v>
      </c>
      <c r="J2602" s="444">
        <f t="array" ref="J2602">IFERROR(INDEX('Retirement Calculator'!J:J,MATCH('Isaac 401k'!N2602,'Retirement Calculator'!A:A,0),0),0)</f>
        <v>0</v>
      </c>
      <c r="K2602" s="444">
        <f t="shared" ca="1" si="151"/>
        <v>3355944.7008117805</v>
      </c>
      <c r="L2602" s="444">
        <f t="shared" ca="1" si="152"/>
        <v>808782672.89563906</v>
      </c>
      <c r="M2602" s="460">
        <f t="shared" si="154"/>
        <v>0.05</v>
      </c>
      <c r="N2602" s="464">
        <f t="shared" si="155"/>
        <v>130241</v>
      </c>
    </row>
    <row r="2603" spans="7:14" ht="11.25" customHeight="1" x14ac:dyDescent="0.3">
      <c r="G2603" s="459"/>
      <c r="H2603" s="459">
        <v>2596</v>
      </c>
      <c r="I2603" s="444">
        <f t="shared" ca="1" si="153"/>
        <v>808782672.89563906</v>
      </c>
      <c r="J2603" s="444">
        <f t="array" ref="J2603">IFERROR(INDEX('Retirement Calculator'!J:J,MATCH('Isaac 401k'!N2603,'Retirement Calculator'!A:A,0),0),0)</f>
        <v>0</v>
      </c>
      <c r="K2603" s="444">
        <f t="shared" ca="1" si="151"/>
        <v>3369927.8037318294</v>
      </c>
      <c r="L2603" s="444">
        <f t="shared" ca="1" si="152"/>
        <v>812152600.69937086</v>
      </c>
      <c r="M2603" s="460">
        <f t="shared" si="154"/>
        <v>0.05</v>
      </c>
      <c r="N2603" s="464">
        <f t="shared" si="155"/>
        <v>130272</v>
      </c>
    </row>
    <row r="2604" spans="7:14" ht="11.25" customHeight="1" x14ac:dyDescent="0.3">
      <c r="G2604" s="459"/>
      <c r="H2604" s="459">
        <v>2597</v>
      </c>
      <c r="I2604" s="444">
        <f t="shared" ca="1" si="153"/>
        <v>812152600.69937086</v>
      </c>
      <c r="J2604" s="444">
        <f t="array" ref="J2604">IFERROR(INDEX('Retirement Calculator'!J:J,MATCH('Isaac 401k'!N2604,'Retirement Calculator'!A:A,0),0),0)</f>
        <v>0</v>
      </c>
      <c r="K2604" s="444">
        <f t="shared" ca="1" si="151"/>
        <v>3383969.169580712</v>
      </c>
      <c r="L2604" s="444">
        <f t="shared" ca="1" si="152"/>
        <v>815536569.86895156</v>
      </c>
      <c r="M2604" s="460">
        <f t="shared" si="154"/>
        <v>0.05</v>
      </c>
      <c r="N2604" s="464">
        <f t="shared" si="155"/>
        <v>130302</v>
      </c>
    </row>
    <row r="2605" spans="7:14" ht="11.25" customHeight="1" x14ac:dyDescent="0.3">
      <c r="G2605" s="459"/>
      <c r="H2605" s="459">
        <v>2598</v>
      </c>
      <c r="I2605" s="444">
        <f t="shared" ca="1" si="153"/>
        <v>815536569.86895156</v>
      </c>
      <c r="J2605" s="444">
        <f t="array" ref="J2605">IFERROR(INDEX('Retirement Calculator'!J:J,MATCH('Isaac 401k'!N2605,'Retirement Calculator'!A:A,0),0),0)</f>
        <v>0</v>
      </c>
      <c r="K2605" s="444">
        <f t="shared" ca="1" si="151"/>
        <v>3398069.0411206316</v>
      </c>
      <c r="L2605" s="444">
        <f t="shared" ca="1" si="152"/>
        <v>818934638.91007221</v>
      </c>
      <c r="M2605" s="460">
        <f t="shared" si="154"/>
        <v>0.05</v>
      </c>
      <c r="N2605" s="464">
        <f t="shared" si="155"/>
        <v>130333</v>
      </c>
    </row>
    <row r="2606" spans="7:14" ht="11.25" customHeight="1" x14ac:dyDescent="0.3">
      <c r="G2606" s="459"/>
      <c r="H2606" s="459">
        <v>2599</v>
      </c>
      <c r="I2606" s="444">
        <f t="shared" ca="1" si="153"/>
        <v>818934638.91007221</v>
      </c>
      <c r="J2606" s="444">
        <f t="array" ref="J2606">IFERROR(INDEX('Retirement Calculator'!J:J,MATCH('Isaac 401k'!N2606,'Retirement Calculator'!A:A,0),0),0)</f>
        <v>0</v>
      </c>
      <c r="K2606" s="444">
        <f t="shared" ca="1" si="151"/>
        <v>3412227.6621253006</v>
      </c>
      <c r="L2606" s="444">
        <f t="shared" ca="1" si="152"/>
        <v>822346866.57219756</v>
      </c>
      <c r="M2606" s="460">
        <f t="shared" si="154"/>
        <v>0.05</v>
      </c>
      <c r="N2606" s="464">
        <f t="shared" si="155"/>
        <v>130363</v>
      </c>
    </row>
    <row r="2607" spans="7:14" ht="11.25" customHeight="1" x14ac:dyDescent="0.3">
      <c r="G2607" s="459"/>
      <c r="H2607" s="459">
        <v>2600</v>
      </c>
      <c r="I2607" s="444">
        <f t="shared" ca="1" si="153"/>
        <v>822346866.57219756</v>
      </c>
      <c r="J2607" s="444">
        <f t="array" ref="J2607">IFERROR(INDEX('Retirement Calculator'!J:J,MATCH('Isaac 401k'!N2607,'Retirement Calculator'!A:A,0),0),0)</f>
        <v>0</v>
      </c>
      <c r="K2607" s="444">
        <f t="shared" ca="1" si="151"/>
        <v>3426445.2773841564</v>
      </c>
      <c r="L2607" s="444">
        <f t="shared" ca="1" si="152"/>
        <v>825773311.84958172</v>
      </c>
      <c r="M2607" s="460">
        <f t="shared" si="154"/>
        <v>0.05</v>
      </c>
      <c r="N2607" s="464">
        <f t="shared" si="155"/>
        <v>130394</v>
      </c>
    </row>
    <row r="2608" spans="7:14" ht="11.25" customHeight="1" x14ac:dyDescent="0.3">
      <c r="G2608" s="459"/>
      <c r="H2608" s="459">
        <v>2601</v>
      </c>
      <c r="I2608" s="444">
        <f t="shared" ca="1" si="153"/>
        <v>825773311.84958172</v>
      </c>
      <c r="J2608" s="444">
        <f t="array" ref="J2608">IFERROR(INDEX('Retirement Calculator'!J:J,MATCH('Isaac 401k'!N2608,'Retirement Calculator'!A:A,0),0),0)</f>
        <v>0</v>
      </c>
      <c r="K2608" s="444">
        <f t="shared" ca="1" si="151"/>
        <v>3440722.1327065905</v>
      </c>
      <c r="L2608" s="444">
        <f t="shared" ca="1" si="152"/>
        <v>829214033.98228836</v>
      </c>
      <c r="M2608" s="460">
        <f t="shared" si="154"/>
        <v>0.05</v>
      </c>
      <c r="N2608" s="464">
        <f t="shared" si="155"/>
        <v>130425</v>
      </c>
    </row>
    <row r="2609" spans="7:14" ht="11.25" customHeight="1" x14ac:dyDescent="0.3">
      <c r="G2609" s="459"/>
      <c r="H2609" s="459">
        <v>2602</v>
      </c>
      <c r="I2609" s="444">
        <f t="shared" ca="1" si="153"/>
        <v>829214033.98228836</v>
      </c>
      <c r="J2609" s="444">
        <f t="array" ref="J2609">IFERROR(INDEX('Retirement Calculator'!J:J,MATCH('Isaac 401k'!N2609,'Retirement Calculator'!A:A,0),0),0)</f>
        <v>0</v>
      </c>
      <c r="K2609" s="444">
        <f t="shared" ca="1" si="151"/>
        <v>3455058.4749262016</v>
      </c>
      <c r="L2609" s="444">
        <f t="shared" ca="1" si="152"/>
        <v>832669092.45721459</v>
      </c>
      <c r="M2609" s="460">
        <f t="shared" si="154"/>
        <v>0.05</v>
      </c>
      <c r="N2609" s="464">
        <f t="shared" si="155"/>
        <v>130453</v>
      </c>
    </row>
    <row r="2610" spans="7:14" ht="11.25" customHeight="1" x14ac:dyDescent="0.3">
      <c r="G2610" s="459"/>
      <c r="H2610" s="459">
        <v>2603</v>
      </c>
      <c r="I2610" s="444">
        <f t="shared" ca="1" si="153"/>
        <v>832669092.45721459</v>
      </c>
      <c r="J2610" s="444">
        <f t="array" ref="J2610">IFERROR(INDEX('Retirement Calculator'!J:J,MATCH('Isaac 401k'!N2610,'Retirement Calculator'!A:A,0),0),0)</f>
        <v>0</v>
      </c>
      <c r="K2610" s="444">
        <f t="shared" ca="1" si="151"/>
        <v>3469454.5519050607</v>
      </c>
      <c r="L2610" s="444">
        <f t="shared" ca="1" si="152"/>
        <v>836138547.00911963</v>
      </c>
      <c r="M2610" s="460">
        <f t="shared" si="154"/>
        <v>0.05</v>
      </c>
      <c r="N2610" s="464">
        <f t="shared" si="155"/>
        <v>130484</v>
      </c>
    </row>
    <row r="2611" spans="7:14" ht="11.25" customHeight="1" x14ac:dyDescent="0.3">
      <c r="G2611" s="459"/>
      <c r="H2611" s="459">
        <v>2604</v>
      </c>
      <c r="I2611" s="444">
        <f t="shared" ca="1" si="153"/>
        <v>836138547.00911963</v>
      </c>
      <c r="J2611" s="444">
        <f t="array" ref="J2611">IFERROR(INDEX('Retirement Calculator'!J:J,MATCH('Isaac 401k'!N2611,'Retirement Calculator'!A:A,0),0),0)</f>
        <v>0</v>
      </c>
      <c r="K2611" s="444">
        <f t="shared" ca="1" si="151"/>
        <v>3483910.6125379982</v>
      </c>
      <c r="L2611" s="444">
        <f t="shared" ca="1" si="152"/>
        <v>839622457.62165761</v>
      </c>
      <c r="M2611" s="460">
        <f t="shared" si="154"/>
        <v>0.05</v>
      </c>
      <c r="N2611" s="464">
        <f t="shared" si="155"/>
        <v>130514</v>
      </c>
    </row>
    <row r="2612" spans="7:14" ht="11.25" customHeight="1" x14ac:dyDescent="0.3">
      <c r="G2612" s="459"/>
      <c r="H2612" s="459">
        <v>2605</v>
      </c>
      <c r="I2612" s="444">
        <f t="shared" ca="1" si="153"/>
        <v>839622457.62165761</v>
      </c>
      <c r="J2612" s="444">
        <f t="array" ref="J2612">IFERROR(INDEX('Retirement Calculator'!J:J,MATCH('Isaac 401k'!N2612,'Retirement Calculator'!A:A,0),0),0)</f>
        <v>0</v>
      </c>
      <c r="K2612" s="444">
        <f t="shared" ca="1" si="151"/>
        <v>3498426.9067569063</v>
      </c>
      <c r="L2612" s="444">
        <f t="shared" ca="1" si="152"/>
        <v>843120884.52841449</v>
      </c>
      <c r="M2612" s="460">
        <f t="shared" si="154"/>
        <v>0.05</v>
      </c>
      <c r="N2612" s="464">
        <f t="shared" si="155"/>
        <v>130545</v>
      </c>
    </row>
    <row r="2613" spans="7:14" ht="11.25" customHeight="1" x14ac:dyDescent="0.3">
      <c r="G2613" s="459"/>
      <c r="H2613" s="459">
        <v>2606</v>
      </c>
      <c r="I2613" s="444">
        <f t="shared" ca="1" si="153"/>
        <v>843120884.52841449</v>
      </c>
      <c r="J2613" s="444">
        <f t="array" ref="J2613">IFERROR(INDEX('Retirement Calculator'!J:J,MATCH('Isaac 401k'!N2613,'Retirement Calculator'!A:A,0),0),0)</f>
        <v>0</v>
      </c>
      <c r="K2613" s="444">
        <f t="shared" ca="1" si="151"/>
        <v>3513003.6855350602</v>
      </c>
      <c r="L2613" s="444">
        <f t="shared" ca="1" si="152"/>
        <v>846633888.21394956</v>
      </c>
      <c r="M2613" s="460">
        <f t="shared" si="154"/>
        <v>0.05</v>
      </c>
      <c r="N2613" s="464">
        <f t="shared" si="155"/>
        <v>130575</v>
      </c>
    </row>
    <row r="2614" spans="7:14" ht="11.25" customHeight="1" x14ac:dyDescent="0.3">
      <c r="G2614" s="459"/>
      <c r="H2614" s="459">
        <v>2607</v>
      </c>
      <c r="I2614" s="444">
        <f t="shared" ca="1" si="153"/>
        <v>846633888.21394956</v>
      </c>
      <c r="J2614" s="444">
        <f t="array" ref="J2614">IFERROR(INDEX('Retirement Calculator'!J:J,MATCH('Isaac 401k'!N2614,'Retirement Calculator'!A:A,0),0),0)</f>
        <v>0</v>
      </c>
      <c r="K2614" s="444">
        <f t="shared" ca="1" si="151"/>
        <v>3527641.2008914566</v>
      </c>
      <c r="L2614" s="444">
        <f t="shared" ca="1" si="152"/>
        <v>850161529.41484106</v>
      </c>
      <c r="M2614" s="460">
        <f t="shared" si="154"/>
        <v>0.05</v>
      </c>
      <c r="N2614" s="464">
        <f t="shared" si="155"/>
        <v>130606</v>
      </c>
    </row>
    <row r="2615" spans="7:14" ht="11.25" customHeight="1" x14ac:dyDescent="0.3">
      <c r="G2615" s="459"/>
      <c r="H2615" s="459">
        <v>2608</v>
      </c>
      <c r="I2615" s="444">
        <f t="shared" ca="1" si="153"/>
        <v>850161529.41484106</v>
      </c>
      <c r="J2615" s="444">
        <f t="array" ref="J2615">IFERROR(INDEX('Retirement Calculator'!J:J,MATCH('Isaac 401k'!N2615,'Retirement Calculator'!A:A,0),0),0)</f>
        <v>0</v>
      </c>
      <c r="K2615" s="444">
        <f t="shared" ca="1" si="151"/>
        <v>3542339.7058951715</v>
      </c>
      <c r="L2615" s="444">
        <f t="shared" ca="1" si="152"/>
        <v>853703869.12073624</v>
      </c>
      <c r="M2615" s="460">
        <f t="shared" si="154"/>
        <v>0.05</v>
      </c>
      <c r="N2615" s="464">
        <f t="shared" si="155"/>
        <v>130637</v>
      </c>
    </row>
    <row r="2616" spans="7:14" ht="11.25" customHeight="1" x14ac:dyDescent="0.3">
      <c r="G2616" s="459"/>
      <c r="H2616" s="459">
        <v>2609</v>
      </c>
      <c r="I2616" s="444">
        <f t="shared" ca="1" si="153"/>
        <v>853703869.12073624</v>
      </c>
      <c r="J2616" s="444">
        <f t="array" ref="J2616">IFERROR(INDEX('Retirement Calculator'!J:J,MATCH('Isaac 401k'!N2616,'Retirement Calculator'!A:A,0),0),0)</f>
        <v>0</v>
      </c>
      <c r="K2616" s="444">
        <f t="shared" ca="1" si="151"/>
        <v>3557099.454669734</v>
      </c>
      <c r="L2616" s="444">
        <f t="shared" ca="1" si="152"/>
        <v>857260968.57540596</v>
      </c>
      <c r="M2616" s="460">
        <f t="shared" si="154"/>
        <v>0.05</v>
      </c>
      <c r="N2616" s="464">
        <f t="shared" si="155"/>
        <v>130667</v>
      </c>
    </row>
    <row r="2617" spans="7:14" ht="11.25" customHeight="1" x14ac:dyDescent="0.3">
      <c r="G2617" s="459"/>
      <c r="H2617" s="459">
        <v>2610</v>
      </c>
      <c r="I2617" s="444">
        <f t="shared" ca="1" si="153"/>
        <v>857260968.57540596</v>
      </c>
      <c r="J2617" s="444">
        <f t="array" ref="J2617">IFERROR(INDEX('Retirement Calculator'!J:J,MATCH('Isaac 401k'!N2617,'Retirement Calculator'!A:A,0),0),0)</f>
        <v>0</v>
      </c>
      <c r="K2617" s="444">
        <f t="shared" ca="1" si="151"/>
        <v>3571920.7023975244</v>
      </c>
      <c r="L2617" s="444">
        <f t="shared" ca="1" si="152"/>
        <v>860832889.27780342</v>
      </c>
      <c r="M2617" s="460">
        <f t="shared" si="154"/>
        <v>0.05</v>
      </c>
      <c r="N2617" s="464">
        <f t="shared" si="155"/>
        <v>130698</v>
      </c>
    </row>
    <row r="2618" spans="7:14" ht="11.25" customHeight="1" x14ac:dyDescent="0.3">
      <c r="G2618" s="459"/>
      <c r="H2618" s="459">
        <v>2611</v>
      </c>
      <c r="I2618" s="444">
        <f t="shared" ca="1" si="153"/>
        <v>860832889.27780342</v>
      </c>
      <c r="J2618" s="444">
        <f t="array" ref="J2618">IFERROR(INDEX('Retirement Calculator'!J:J,MATCH('Isaac 401k'!N2618,'Retirement Calculator'!A:A,0),0),0)</f>
        <v>0</v>
      </c>
      <c r="K2618" s="444">
        <f t="shared" ca="1" si="151"/>
        <v>3586803.7053241809</v>
      </c>
      <c r="L2618" s="444">
        <f t="shared" ca="1" si="152"/>
        <v>864419692.98312759</v>
      </c>
      <c r="M2618" s="460">
        <f t="shared" si="154"/>
        <v>0.05</v>
      </c>
      <c r="N2618" s="464">
        <f t="shared" si="155"/>
        <v>130728</v>
      </c>
    </row>
    <row r="2619" spans="7:14" ht="11.25" customHeight="1" x14ac:dyDescent="0.3">
      <c r="G2619" s="459"/>
      <c r="H2619" s="459">
        <v>2612</v>
      </c>
      <c r="I2619" s="444">
        <f t="shared" ca="1" si="153"/>
        <v>864419692.98312759</v>
      </c>
      <c r="J2619" s="444">
        <f t="array" ref="J2619">IFERROR(INDEX('Retirement Calculator'!J:J,MATCH('Isaac 401k'!N2619,'Retirement Calculator'!A:A,0),0),0)</f>
        <v>0</v>
      </c>
      <c r="K2619" s="444">
        <f t="shared" ca="1" si="151"/>
        <v>3601748.7207630314</v>
      </c>
      <c r="L2619" s="444">
        <f t="shared" ca="1" si="152"/>
        <v>868021441.70389068</v>
      </c>
      <c r="M2619" s="460">
        <f t="shared" si="154"/>
        <v>0.05</v>
      </c>
      <c r="N2619" s="464">
        <f t="shared" si="155"/>
        <v>130759</v>
      </c>
    </row>
    <row r="2620" spans="7:14" ht="11.25" customHeight="1" x14ac:dyDescent="0.3">
      <c r="G2620" s="459"/>
      <c r="H2620" s="459">
        <v>2613</v>
      </c>
      <c r="I2620" s="444">
        <f t="shared" ca="1" si="153"/>
        <v>868021441.70389068</v>
      </c>
      <c r="J2620" s="444">
        <f t="array" ref="J2620">IFERROR(INDEX('Retirement Calculator'!J:J,MATCH('Isaac 401k'!N2620,'Retirement Calculator'!A:A,0),0),0)</f>
        <v>0</v>
      </c>
      <c r="K2620" s="444">
        <f t="shared" ca="1" si="151"/>
        <v>3616756.0070995451</v>
      </c>
      <c r="L2620" s="444">
        <f t="shared" ca="1" si="152"/>
        <v>871638197.71099019</v>
      </c>
      <c r="M2620" s="460">
        <f t="shared" si="154"/>
        <v>0.05</v>
      </c>
      <c r="N2620" s="464">
        <f t="shared" si="155"/>
        <v>130790</v>
      </c>
    </row>
    <row r="2621" spans="7:14" ht="11.25" customHeight="1" x14ac:dyDescent="0.3">
      <c r="G2621" s="459"/>
      <c r="H2621" s="459">
        <v>2614</v>
      </c>
      <c r="I2621" s="444">
        <f t="shared" ca="1" si="153"/>
        <v>871638197.71099019</v>
      </c>
      <c r="J2621" s="444">
        <f t="array" ref="J2621">IFERROR(INDEX('Retirement Calculator'!J:J,MATCH('Isaac 401k'!N2621,'Retirement Calculator'!A:A,0),0),0)</f>
        <v>0</v>
      </c>
      <c r="K2621" s="444">
        <f t="shared" ca="1" si="151"/>
        <v>3631825.8237957917</v>
      </c>
      <c r="L2621" s="444">
        <f t="shared" ca="1" si="152"/>
        <v>875270023.53478599</v>
      </c>
      <c r="M2621" s="460">
        <f t="shared" si="154"/>
        <v>0.05</v>
      </c>
      <c r="N2621" s="464">
        <f t="shared" si="155"/>
        <v>130818</v>
      </c>
    </row>
    <row r="2622" spans="7:14" ht="11.25" customHeight="1" x14ac:dyDescent="0.3">
      <c r="G2622" s="459"/>
      <c r="H2622" s="459">
        <v>2615</v>
      </c>
      <c r="I2622" s="444">
        <f t="shared" ca="1" si="153"/>
        <v>875270023.53478599</v>
      </c>
      <c r="J2622" s="444">
        <f t="array" ref="J2622">IFERROR(INDEX('Retirement Calculator'!J:J,MATCH('Isaac 401k'!N2622,'Retirement Calculator'!A:A,0),0),0)</f>
        <v>0</v>
      </c>
      <c r="K2622" s="444">
        <f t="shared" ca="1" si="151"/>
        <v>3646958.4313949416</v>
      </c>
      <c r="L2622" s="444">
        <f t="shared" ca="1" si="152"/>
        <v>878916981.96618092</v>
      </c>
      <c r="M2622" s="460">
        <f t="shared" si="154"/>
        <v>0.05</v>
      </c>
      <c r="N2622" s="464">
        <f t="shared" si="155"/>
        <v>130849</v>
      </c>
    </row>
    <row r="2623" spans="7:14" ht="11.25" customHeight="1" x14ac:dyDescent="0.3">
      <c r="G2623" s="459"/>
      <c r="H2623" s="459">
        <v>2616</v>
      </c>
      <c r="I2623" s="444">
        <f t="shared" ca="1" si="153"/>
        <v>878916981.96618092</v>
      </c>
      <c r="J2623" s="444">
        <f t="array" ref="J2623">IFERROR(INDEX('Retirement Calculator'!J:J,MATCH('Isaac 401k'!N2623,'Retirement Calculator'!A:A,0),0),0)</f>
        <v>0</v>
      </c>
      <c r="K2623" s="444">
        <f t="shared" ca="1" si="151"/>
        <v>3662154.091525754</v>
      </c>
      <c r="L2623" s="444">
        <f t="shared" ca="1" si="152"/>
        <v>882579136.05770671</v>
      </c>
      <c r="M2623" s="460">
        <f t="shared" si="154"/>
        <v>0.05</v>
      </c>
      <c r="N2623" s="464">
        <f t="shared" si="155"/>
        <v>130879</v>
      </c>
    </row>
    <row r="2624" spans="7:14" ht="11.25" customHeight="1" x14ac:dyDescent="0.3">
      <c r="G2624" s="459"/>
      <c r="H2624" s="459">
        <v>2617</v>
      </c>
      <c r="I2624" s="444">
        <f t="shared" ca="1" si="153"/>
        <v>882579136.05770671</v>
      </c>
      <c r="J2624" s="444">
        <f t="array" ref="J2624">IFERROR(INDEX('Retirement Calculator'!J:J,MATCH('Isaac 401k'!N2624,'Retirement Calculator'!A:A,0),0),0)</f>
        <v>0</v>
      </c>
      <c r="K2624" s="444">
        <f t="shared" ca="1" si="151"/>
        <v>3677413.0669071111</v>
      </c>
      <c r="L2624" s="444">
        <f t="shared" ca="1" si="152"/>
        <v>886256549.12461388</v>
      </c>
      <c r="M2624" s="460">
        <f t="shared" si="154"/>
        <v>0.05</v>
      </c>
      <c r="N2624" s="464">
        <f t="shared" si="155"/>
        <v>130910</v>
      </c>
    </row>
    <row r="2625" spans="7:14" ht="11.25" customHeight="1" x14ac:dyDescent="0.3">
      <c r="G2625" s="459"/>
      <c r="H2625" s="459">
        <v>2618</v>
      </c>
      <c r="I2625" s="444">
        <f t="shared" ca="1" si="153"/>
        <v>886256549.12461388</v>
      </c>
      <c r="J2625" s="444">
        <f t="array" ref="J2625">IFERROR(INDEX('Retirement Calculator'!J:J,MATCH('Isaac 401k'!N2625,'Retirement Calculator'!A:A,0),0),0)</f>
        <v>0</v>
      </c>
      <c r="K2625" s="444">
        <f t="shared" ca="1" si="151"/>
        <v>3692735.6213525571</v>
      </c>
      <c r="L2625" s="444">
        <f t="shared" ca="1" si="152"/>
        <v>889949284.74596643</v>
      </c>
      <c r="M2625" s="460">
        <f t="shared" si="154"/>
        <v>0.05</v>
      </c>
      <c r="N2625" s="464">
        <f t="shared" si="155"/>
        <v>130940</v>
      </c>
    </row>
    <row r="2626" spans="7:14" ht="11.25" customHeight="1" x14ac:dyDescent="0.3">
      <c r="G2626" s="459"/>
      <c r="H2626" s="459">
        <v>2619</v>
      </c>
      <c r="I2626" s="444">
        <f t="shared" ca="1" si="153"/>
        <v>889949284.74596643</v>
      </c>
      <c r="J2626" s="444">
        <f t="array" ref="J2626">IFERROR(INDEX('Retirement Calculator'!J:J,MATCH('Isaac 401k'!N2626,'Retirement Calculator'!A:A,0),0),0)</f>
        <v>0</v>
      </c>
      <c r="K2626" s="444">
        <f t="shared" ca="1" si="151"/>
        <v>3708122.0197748598</v>
      </c>
      <c r="L2626" s="444">
        <f t="shared" ca="1" si="152"/>
        <v>893657406.76574135</v>
      </c>
      <c r="M2626" s="460">
        <f t="shared" si="154"/>
        <v>0.05</v>
      </c>
      <c r="N2626" s="464">
        <f t="shared" si="155"/>
        <v>130971</v>
      </c>
    </row>
    <row r="2627" spans="7:14" ht="11.25" customHeight="1" x14ac:dyDescent="0.3">
      <c r="G2627" s="459"/>
      <c r="H2627" s="459">
        <v>2620</v>
      </c>
      <c r="I2627" s="444">
        <f t="shared" ca="1" si="153"/>
        <v>893657406.76574135</v>
      </c>
      <c r="J2627" s="444">
        <f t="array" ref="J2627">IFERROR(INDEX('Retirement Calculator'!J:J,MATCH('Isaac 401k'!N2627,'Retirement Calculator'!A:A,0),0),0)</f>
        <v>0</v>
      </c>
      <c r="K2627" s="444">
        <f t="shared" ca="1" si="151"/>
        <v>3723572.5281905895</v>
      </c>
      <c r="L2627" s="444">
        <f t="shared" ca="1" si="152"/>
        <v>897380979.29393196</v>
      </c>
      <c r="M2627" s="460">
        <f t="shared" si="154"/>
        <v>0.05</v>
      </c>
      <c r="N2627" s="464">
        <f t="shared" si="155"/>
        <v>131002</v>
      </c>
    </row>
    <row r="2628" spans="7:14" ht="11.25" customHeight="1" x14ac:dyDescent="0.3">
      <c r="G2628" s="459"/>
      <c r="H2628" s="459">
        <v>2621</v>
      </c>
      <c r="I2628" s="444">
        <f t="shared" ca="1" si="153"/>
        <v>897380979.29393196</v>
      </c>
      <c r="J2628" s="444">
        <f t="array" ref="J2628">IFERROR(INDEX('Retirement Calculator'!J:J,MATCH('Isaac 401k'!N2628,'Retirement Calculator'!A:A,0),0),0)</f>
        <v>0</v>
      </c>
      <c r="K2628" s="444">
        <f t="shared" ca="1" si="151"/>
        <v>3739087.4137247158</v>
      </c>
      <c r="L2628" s="444">
        <f t="shared" ca="1" si="152"/>
        <v>901120066.70765662</v>
      </c>
      <c r="M2628" s="460">
        <f t="shared" si="154"/>
        <v>0.05</v>
      </c>
      <c r="N2628" s="464">
        <f t="shared" si="155"/>
        <v>131032</v>
      </c>
    </row>
    <row r="2629" spans="7:14" ht="11.25" customHeight="1" x14ac:dyDescent="0.3">
      <c r="G2629" s="459"/>
      <c r="H2629" s="459">
        <v>2622</v>
      </c>
      <c r="I2629" s="444">
        <f t="shared" ca="1" si="153"/>
        <v>901120066.70765662</v>
      </c>
      <c r="J2629" s="444">
        <f t="array" ref="J2629">IFERROR(INDEX('Retirement Calculator'!J:J,MATCH('Isaac 401k'!N2629,'Retirement Calculator'!A:A,0),0),0)</f>
        <v>0</v>
      </c>
      <c r="K2629" s="444">
        <f t="shared" ca="1" si="151"/>
        <v>3754666.9446152365</v>
      </c>
      <c r="L2629" s="444">
        <f t="shared" ca="1" si="152"/>
        <v>904874733.65227187</v>
      </c>
      <c r="M2629" s="460">
        <f t="shared" si="154"/>
        <v>0.05</v>
      </c>
      <c r="N2629" s="464">
        <f t="shared" si="155"/>
        <v>131063</v>
      </c>
    </row>
    <row r="2630" spans="7:14" ht="11.25" customHeight="1" x14ac:dyDescent="0.3">
      <c r="G2630" s="459"/>
      <c r="H2630" s="459">
        <v>2623</v>
      </c>
      <c r="I2630" s="444">
        <f t="shared" ca="1" si="153"/>
        <v>904874733.65227187</v>
      </c>
      <c r="J2630" s="444">
        <f t="array" ref="J2630">IFERROR(INDEX('Retirement Calculator'!J:J,MATCH('Isaac 401k'!N2630,'Retirement Calculator'!A:A,0),0),0)</f>
        <v>0</v>
      </c>
      <c r="K2630" s="444">
        <f t="shared" ca="1" si="151"/>
        <v>3770311.3902177992</v>
      </c>
      <c r="L2630" s="444">
        <f t="shared" ca="1" si="152"/>
        <v>908645045.04248965</v>
      </c>
      <c r="M2630" s="460">
        <f t="shared" si="154"/>
        <v>0.05</v>
      </c>
      <c r="N2630" s="464">
        <f t="shared" si="155"/>
        <v>131093</v>
      </c>
    </row>
    <row r="2631" spans="7:14" ht="11.25" customHeight="1" x14ac:dyDescent="0.3">
      <c r="G2631" s="459"/>
      <c r="H2631" s="459">
        <v>2624</v>
      </c>
      <c r="I2631" s="444">
        <f t="shared" ca="1" si="153"/>
        <v>908645045.04248965</v>
      </c>
      <c r="J2631" s="444">
        <f t="array" ref="J2631">IFERROR(INDEX('Retirement Calculator'!J:J,MATCH('Isaac 401k'!N2631,'Retirement Calculator'!A:A,0),0),0)</f>
        <v>0</v>
      </c>
      <c r="K2631" s="444">
        <f t="shared" ca="1" si="151"/>
        <v>3786021.0210103733</v>
      </c>
      <c r="L2631" s="444">
        <f t="shared" ca="1" si="152"/>
        <v>912431066.06350005</v>
      </c>
      <c r="M2631" s="460">
        <f t="shared" si="154"/>
        <v>0.05</v>
      </c>
      <c r="N2631" s="464">
        <f t="shared" si="155"/>
        <v>131124</v>
      </c>
    </row>
    <row r="2632" spans="7:14" ht="11.25" customHeight="1" x14ac:dyDescent="0.3">
      <c r="G2632" s="459"/>
      <c r="H2632" s="459">
        <v>2625</v>
      </c>
      <c r="I2632" s="444">
        <f t="shared" ca="1" si="153"/>
        <v>912431066.06350005</v>
      </c>
      <c r="J2632" s="444">
        <f t="array" ref="J2632">IFERROR(INDEX('Retirement Calculator'!J:J,MATCH('Isaac 401k'!N2632,'Retirement Calculator'!A:A,0),0),0)</f>
        <v>0</v>
      </c>
      <c r="K2632" s="444">
        <f t="shared" ca="1" si="151"/>
        <v>3801796.108597917</v>
      </c>
      <c r="L2632" s="444">
        <f t="shared" ca="1" si="152"/>
        <v>916232862.17209792</v>
      </c>
      <c r="M2632" s="460">
        <f t="shared" si="154"/>
        <v>0.05</v>
      </c>
      <c r="N2632" s="464">
        <f t="shared" si="155"/>
        <v>131155</v>
      </c>
    </row>
    <row r="2633" spans="7:14" ht="11.25" customHeight="1" x14ac:dyDescent="0.3">
      <c r="G2633" s="459"/>
      <c r="H2633" s="459">
        <v>2626</v>
      </c>
      <c r="I2633" s="444">
        <f t="shared" ca="1" si="153"/>
        <v>916232862.17209792</v>
      </c>
      <c r="J2633" s="444">
        <f t="array" ref="J2633">IFERROR(INDEX('Retirement Calculator'!J:J,MATCH('Isaac 401k'!N2633,'Retirement Calculator'!A:A,0),0),0)</f>
        <v>0</v>
      </c>
      <c r="K2633" s="444">
        <f t="shared" ca="1" si="151"/>
        <v>3817636.9257170744</v>
      </c>
      <c r="L2633" s="444">
        <f t="shared" ca="1" si="152"/>
        <v>920050499.09781504</v>
      </c>
      <c r="M2633" s="460">
        <f t="shared" si="154"/>
        <v>0.05</v>
      </c>
      <c r="N2633" s="464">
        <f t="shared" si="155"/>
        <v>131183</v>
      </c>
    </row>
    <row r="2634" spans="7:14" ht="11.25" customHeight="1" x14ac:dyDescent="0.3">
      <c r="G2634" s="459"/>
      <c r="H2634" s="459">
        <v>2627</v>
      </c>
      <c r="I2634" s="444">
        <f t="shared" ca="1" si="153"/>
        <v>920050499.09781504</v>
      </c>
      <c r="J2634" s="444">
        <f t="array" ref="J2634">IFERROR(INDEX('Retirement Calculator'!J:J,MATCH('Isaac 401k'!N2634,'Retirement Calculator'!A:A,0),0),0)</f>
        <v>0</v>
      </c>
      <c r="K2634" s="444">
        <f t="shared" ca="1" si="151"/>
        <v>3833543.7462408952</v>
      </c>
      <c r="L2634" s="444">
        <f t="shared" ca="1" si="152"/>
        <v>923884042.84405589</v>
      </c>
      <c r="M2634" s="460">
        <f t="shared" si="154"/>
        <v>0.05</v>
      </c>
      <c r="N2634" s="464">
        <f t="shared" si="155"/>
        <v>131214</v>
      </c>
    </row>
    <row r="2635" spans="7:14" ht="11.25" customHeight="1" x14ac:dyDescent="0.3">
      <c r="G2635" s="459"/>
      <c r="H2635" s="459">
        <v>2628</v>
      </c>
      <c r="I2635" s="444">
        <f t="shared" ca="1" si="153"/>
        <v>923884042.84405589</v>
      </c>
      <c r="J2635" s="444">
        <f t="array" ref="J2635">IFERROR(INDEX('Retirement Calculator'!J:J,MATCH('Isaac 401k'!N2635,'Retirement Calculator'!A:A,0),0),0)</f>
        <v>0</v>
      </c>
      <c r="K2635" s="444">
        <f t="shared" ca="1" si="151"/>
        <v>3849516.8451835657</v>
      </c>
      <c r="L2635" s="444">
        <f t="shared" ca="1" si="152"/>
        <v>927733559.6892395</v>
      </c>
      <c r="M2635" s="460">
        <f t="shared" si="154"/>
        <v>0.05</v>
      </c>
      <c r="N2635" s="464">
        <f t="shared" si="155"/>
        <v>131244</v>
      </c>
    </row>
    <row r="2636" spans="7:14" ht="11.25" customHeight="1" x14ac:dyDescent="0.3">
      <c r="G2636" s="459"/>
      <c r="H2636" s="459">
        <v>2629</v>
      </c>
      <c r="I2636" s="444">
        <f t="shared" ca="1" si="153"/>
        <v>927733559.6892395</v>
      </c>
      <c r="J2636" s="444">
        <f t="array" ref="J2636">IFERROR(INDEX('Retirement Calculator'!J:J,MATCH('Isaac 401k'!N2636,'Retirement Calculator'!A:A,0),0),0)</f>
        <v>0</v>
      </c>
      <c r="K2636" s="444">
        <f t="shared" ca="1" si="151"/>
        <v>3865556.4987051641</v>
      </c>
      <c r="L2636" s="444">
        <f t="shared" ca="1" si="152"/>
        <v>931599116.18794465</v>
      </c>
      <c r="M2636" s="460">
        <f t="shared" si="154"/>
        <v>0.05</v>
      </c>
      <c r="N2636" s="464">
        <f t="shared" si="155"/>
        <v>131275</v>
      </c>
    </row>
    <row r="2637" spans="7:14" ht="11.25" customHeight="1" x14ac:dyDescent="0.3">
      <c r="G2637" s="459"/>
      <c r="H2637" s="459">
        <v>2630</v>
      </c>
      <c r="I2637" s="444">
        <f t="shared" ca="1" si="153"/>
        <v>931599116.18794465</v>
      </c>
      <c r="J2637" s="444">
        <f t="array" ref="J2637">IFERROR(INDEX('Retirement Calculator'!J:J,MATCH('Isaac 401k'!N2637,'Retirement Calculator'!A:A,0),0),0)</f>
        <v>0</v>
      </c>
      <c r="K2637" s="444">
        <f t="shared" ca="1" si="151"/>
        <v>3881662.984116436</v>
      </c>
      <c r="L2637" s="444">
        <f t="shared" ca="1" si="152"/>
        <v>935480779.17206109</v>
      </c>
      <c r="M2637" s="460">
        <f t="shared" si="154"/>
        <v>0.05</v>
      </c>
      <c r="N2637" s="464">
        <f t="shared" si="155"/>
        <v>131305</v>
      </c>
    </row>
    <row r="2638" spans="7:14" ht="11.25" customHeight="1" x14ac:dyDescent="0.3">
      <c r="G2638" s="459"/>
      <c r="H2638" s="459">
        <v>2631</v>
      </c>
      <c r="I2638" s="444">
        <f t="shared" ca="1" si="153"/>
        <v>935480779.17206109</v>
      </c>
      <c r="J2638" s="444">
        <f t="array" ref="J2638">IFERROR(INDEX('Retirement Calculator'!J:J,MATCH('Isaac 401k'!N2638,'Retirement Calculator'!A:A,0),0),0)</f>
        <v>0</v>
      </c>
      <c r="K2638" s="444">
        <f t="shared" ca="1" si="151"/>
        <v>3897836.579883588</v>
      </c>
      <c r="L2638" s="444">
        <f t="shared" ca="1" si="152"/>
        <v>939378615.75194466</v>
      </c>
      <c r="M2638" s="460">
        <f t="shared" si="154"/>
        <v>0.05</v>
      </c>
      <c r="N2638" s="464">
        <f t="shared" si="155"/>
        <v>131336</v>
      </c>
    </row>
    <row r="2639" spans="7:14" ht="11.25" customHeight="1" x14ac:dyDescent="0.3">
      <c r="G2639" s="459"/>
      <c r="H2639" s="459">
        <v>2632</v>
      </c>
      <c r="I2639" s="444">
        <f t="shared" ca="1" si="153"/>
        <v>939378615.75194466</v>
      </c>
      <c r="J2639" s="444">
        <f t="array" ref="J2639">IFERROR(INDEX('Retirement Calculator'!J:J,MATCH('Isaac 401k'!N2639,'Retirement Calculator'!A:A,0),0),0)</f>
        <v>0</v>
      </c>
      <c r="K2639" s="444">
        <f t="shared" ca="1" si="151"/>
        <v>3914077.5656331028</v>
      </c>
      <c r="L2639" s="444">
        <f t="shared" ca="1" si="152"/>
        <v>943292693.31757772</v>
      </c>
      <c r="M2639" s="460">
        <f t="shared" si="154"/>
        <v>0.05</v>
      </c>
      <c r="N2639" s="464">
        <f t="shared" si="155"/>
        <v>131367</v>
      </c>
    </row>
    <row r="2640" spans="7:14" ht="11.25" customHeight="1" x14ac:dyDescent="0.3">
      <c r="G2640" s="459"/>
      <c r="H2640" s="459">
        <v>2633</v>
      </c>
      <c r="I2640" s="444">
        <f t="shared" ca="1" si="153"/>
        <v>943292693.31757772</v>
      </c>
      <c r="J2640" s="444">
        <f t="array" ref="J2640">IFERROR(INDEX('Retirement Calculator'!J:J,MATCH('Isaac 401k'!N2640,'Retirement Calculator'!A:A,0),0),0)</f>
        <v>0</v>
      </c>
      <c r="K2640" s="444">
        <f t="shared" ca="1" si="151"/>
        <v>3930386.2221565736</v>
      </c>
      <c r="L2640" s="444">
        <f t="shared" ca="1" si="152"/>
        <v>947223079.53973424</v>
      </c>
      <c r="M2640" s="460">
        <f t="shared" si="154"/>
        <v>0.05</v>
      </c>
      <c r="N2640" s="464">
        <f t="shared" si="155"/>
        <v>131397</v>
      </c>
    </row>
    <row r="2641" spans="7:14" ht="11.25" customHeight="1" x14ac:dyDescent="0.3">
      <c r="G2641" s="459"/>
      <c r="H2641" s="459">
        <v>2634</v>
      </c>
      <c r="I2641" s="444">
        <f t="shared" ca="1" si="153"/>
        <v>947223079.53973424</v>
      </c>
      <c r="J2641" s="444">
        <f t="array" ref="J2641">IFERROR(INDEX('Retirement Calculator'!J:J,MATCH('Isaac 401k'!N2641,'Retirement Calculator'!A:A,0),0),0)</f>
        <v>0</v>
      </c>
      <c r="K2641" s="444">
        <f t="shared" ca="1" si="151"/>
        <v>3946762.8314155592</v>
      </c>
      <c r="L2641" s="444">
        <f t="shared" ca="1" si="152"/>
        <v>951169842.37114978</v>
      </c>
      <c r="M2641" s="460">
        <f t="shared" si="154"/>
        <v>0.05</v>
      </c>
      <c r="N2641" s="464">
        <f t="shared" si="155"/>
        <v>131428</v>
      </c>
    </row>
    <row r="2642" spans="7:14" ht="11.25" customHeight="1" x14ac:dyDescent="0.3">
      <c r="G2642" s="459"/>
      <c r="H2642" s="459">
        <v>2635</v>
      </c>
      <c r="I2642" s="444">
        <f t="shared" ca="1" si="153"/>
        <v>951169842.37114978</v>
      </c>
      <c r="J2642" s="444">
        <f t="array" ref="J2642">IFERROR(INDEX('Retirement Calculator'!J:J,MATCH('Isaac 401k'!N2642,'Retirement Calculator'!A:A,0),0),0)</f>
        <v>0</v>
      </c>
      <c r="K2642" s="444">
        <f t="shared" ca="1" si="151"/>
        <v>3963207.6765464572</v>
      </c>
      <c r="L2642" s="444">
        <f t="shared" ca="1" si="152"/>
        <v>955133050.04769623</v>
      </c>
      <c r="M2642" s="460">
        <f t="shared" si="154"/>
        <v>0.05</v>
      </c>
      <c r="N2642" s="464">
        <f t="shared" si="155"/>
        <v>131458</v>
      </c>
    </row>
    <row r="2643" spans="7:14" ht="11.25" customHeight="1" x14ac:dyDescent="0.3">
      <c r="G2643" s="459"/>
      <c r="H2643" s="459">
        <v>2636</v>
      </c>
      <c r="I2643" s="444">
        <f t="shared" ca="1" si="153"/>
        <v>955133050.04769623</v>
      </c>
      <c r="J2643" s="444">
        <f t="array" ref="J2643">IFERROR(INDEX('Retirement Calculator'!J:J,MATCH('Isaac 401k'!N2643,'Retirement Calculator'!A:A,0),0),0)</f>
        <v>0</v>
      </c>
      <c r="K2643" s="444">
        <f t="shared" ca="1" si="151"/>
        <v>3979721.041865401</v>
      </c>
      <c r="L2643" s="444">
        <f t="shared" ca="1" si="152"/>
        <v>959112771.08956158</v>
      </c>
      <c r="M2643" s="460">
        <f t="shared" si="154"/>
        <v>0.05</v>
      </c>
      <c r="N2643" s="464">
        <f t="shared" si="155"/>
        <v>131489</v>
      </c>
    </row>
    <row r="2644" spans="7:14" ht="11.25" customHeight="1" x14ac:dyDescent="0.3">
      <c r="G2644" s="459"/>
      <c r="H2644" s="459">
        <v>2637</v>
      </c>
      <c r="I2644" s="444">
        <f t="shared" ca="1" si="153"/>
        <v>959112771.08956158</v>
      </c>
      <c r="J2644" s="444">
        <f t="array" ref="J2644">IFERROR(INDEX('Retirement Calculator'!J:J,MATCH('Isaac 401k'!N2644,'Retirement Calculator'!A:A,0),0),0)</f>
        <v>0</v>
      </c>
      <c r="K2644" s="444">
        <f t="shared" ca="1" si="151"/>
        <v>3996303.2128731734</v>
      </c>
      <c r="L2644" s="444">
        <f t="shared" ca="1" si="152"/>
        <v>963109074.3024348</v>
      </c>
      <c r="M2644" s="460">
        <f t="shared" si="154"/>
        <v>0.05</v>
      </c>
      <c r="N2644" s="464">
        <f t="shared" si="155"/>
        <v>131520</v>
      </c>
    </row>
    <row r="2645" spans="7:14" ht="11.25" customHeight="1" x14ac:dyDescent="0.3">
      <c r="G2645" s="459"/>
      <c r="H2645" s="459">
        <v>2638</v>
      </c>
      <c r="I2645" s="444">
        <f t="shared" ca="1" si="153"/>
        <v>963109074.3024348</v>
      </c>
      <c r="J2645" s="444">
        <f t="array" ref="J2645">IFERROR(INDEX('Retirement Calculator'!J:J,MATCH('Isaac 401k'!N2645,'Retirement Calculator'!A:A,0),0),0)</f>
        <v>0</v>
      </c>
      <c r="K2645" s="444">
        <f t="shared" ca="1" si="151"/>
        <v>4012954.4762601447</v>
      </c>
      <c r="L2645" s="444">
        <f t="shared" ca="1" si="152"/>
        <v>967122028.77869499</v>
      </c>
      <c r="M2645" s="460">
        <f t="shared" si="154"/>
        <v>0.05</v>
      </c>
      <c r="N2645" s="464">
        <f t="shared" si="155"/>
        <v>131549</v>
      </c>
    </row>
    <row r="2646" spans="7:14" ht="11.25" customHeight="1" x14ac:dyDescent="0.3">
      <c r="G2646" s="459"/>
      <c r="H2646" s="459">
        <v>2639</v>
      </c>
      <c r="I2646" s="444">
        <f t="shared" ca="1" si="153"/>
        <v>967122028.77869499</v>
      </c>
      <c r="J2646" s="444">
        <f t="array" ref="J2646">IFERROR(INDEX('Retirement Calculator'!J:J,MATCH('Isaac 401k'!N2646,'Retirement Calculator'!A:A,0),0),0)</f>
        <v>0</v>
      </c>
      <c r="K2646" s="444">
        <f t="shared" ca="1" si="151"/>
        <v>4029675.1199112292</v>
      </c>
      <c r="L2646" s="444">
        <f t="shared" ca="1" si="152"/>
        <v>971151703.89860618</v>
      </c>
      <c r="M2646" s="460">
        <f t="shared" si="154"/>
        <v>0.05</v>
      </c>
      <c r="N2646" s="464">
        <f t="shared" si="155"/>
        <v>131580</v>
      </c>
    </row>
    <row r="2647" spans="7:14" ht="11.25" customHeight="1" x14ac:dyDescent="0.3">
      <c r="G2647" s="459"/>
      <c r="H2647" s="459">
        <v>2640</v>
      </c>
      <c r="I2647" s="444">
        <f t="shared" ca="1" si="153"/>
        <v>971151703.89860618</v>
      </c>
      <c r="J2647" s="444">
        <f t="array" ref="J2647">IFERROR(INDEX('Retirement Calculator'!J:J,MATCH('Isaac 401k'!N2647,'Retirement Calculator'!A:A,0),0),0)</f>
        <v>0</v>
      </c>
      <c r="K2647" s="444">
        <f t="shared" ca="1" si="151"/>
        <v>4046465.4329108591</v>
      </c>
      <c r="L2647" s="444">
        <f t="shared" ca="1" si="152"/>
        <v>975198169.33151698</v>
      </c>
      <c r="M2647" s="460">
        <f t="shared" si="154"/>
        <v>0.05</v>
      </c>
      <c r="N2647" s="464">
        <f t="shared" si="155"/>
        <v>131610</v>
      </c>
    </row>
    <row r="2648" spans="7:14" ht="11.25" customHeight="1" x14ac:dyDescent="0.3">
      <c r="G2648" s="459"/>
      <c r="H2648" s="459">
        <v>2641</v>
      </c>
      <c r="I2648" s="444">
        <f t="shared" ca="1" si="153"/>
        <v>975198169.33151698</v>
      </c>
      <c r="J2648" s="444">
        <f t="array" ref="J2648">IFERROR(INDEX('Retirement Calculator'!J:J,MATCH('Isaac 401k'!N2648,'Retirement Calculator'!A:A,0),0),0)</f>
        <v>0</v>
      </c>
      <c r="K2648" s="444">
        <f t="shared" ca="1" si="151"/>
        <v>4063325.7055479879</v>
      </c>
      <c r="L2648" s="444">
        <f t="shared" ca="1" si="152"/>
        <v>979261495.03706491</v>
      </c>
      <c r="M2648" s="460">
        <f t="shared" si="154"/>
        <v>0.05</v>
      </c>
      <c r="N2648" s="464">
        <f t="shared" si="155"/>
        <v>131641</v>
      </c>
    </row>
    <row r="2649" spans="7:14" ht="11.25" customHeight="1" x14ac:dyDescent="0.3">
      <c r="G2649" s="459"/>
      <c r="H2649" s="459">
        <v>2642</v>
      </c>
      <c r="I2649" s="444">
        <f t="shared" ca="1" si="153"/>
        <v>979261495.03706491</v>
      </c>
      <c r="J2649" s="444">
        <f t="array" ref="J2649">IFERROR(INDEX('Retirement Calculator'!J:J,MATCH('Isaac 401k'!N2649,'Retirement Calculator'!A:A,0),0),0)</f>
        <v>0</v>
      </c>
      <c r="K2649" s="444">
        <f t="shared" ca="1" si="151"/>
        <v>4080256.2293211035</v>
      </c>
      <c r="L2649" s="444">
        <f t="shared" ca="1" si="152"/>
        <v>983341751.26638603</v>
      </c>
      <c r="M2649" s="460">
        <f t="shared" si="154"/>
        <v>0.05</v>
      </c>
      <c r="N2649" s="464">
        <f t="shared" si="155"/>
        <v>131671</v>
      </c>
    </row>
    <row r="2650" spans="7:14" ht="11.25" customHeight="1" x14ac:dyDescent="0.3">
      <c r="G2650" s="459"/>
      <c r="H2650" s="459">
        <v>2643</v>
      </c>
      <c r="I2650" s="444">
        <f t="shared" ca="1" si="153"/>
        <v>983341751.26638603</v>
      </c>
      <c r="J2650" s="444">
        <f t="array" ref="J2650">IFERROR(INDEX('Retirement Calculator'!J:J,MATCH('Isaac 401k'!N2650,'Retirement Calculator'!A:A,0),0),0)</f>
        <v>0</v>
      </c>
      <c r="K2650" s="444">
        <f t="shared" ca="1" si="151"/>
        <v>4097257.2969432757</v>
      </c>
      <c r="L2650" s="444">
        <f t="shared" ca="1" si="152"/>
        <v>987439008.56332934</v>
      </c>
      <c r="M2650" s="460">
        <f t="shared" si="154"/>
        <v>0.05</v>
      </c>
      <c r="N2650" s="464">
        <f t="shared" si="155"/>
        <v>131702</v>
      </c>
    </row>
    <row r="2651" spans="7:14" ht="11.25" customHeight="1" x14ac:dyDescent="0.3">
      <c r="G2651" s="459"/>
      <c r="H2651" s="459">
        <v>2644</v>
      </c>
      <c r="I2651" s="444">
        <f t="shared" ca="1" si="153"/>
        <v>987439008.56332934</v>
      </c>
      <c r="J2651" s="444">
        <f t="array" ref="J2651">IFERROR(INDEX('Retirement Calculator'!J:J,MATCH('Isaac 401k'!N2651,'Retirement Calculator'!A:A,0),0),0)</f>
        <v>0</v>
      </c>
      <c r="K2651" s="444">
        <f t="shared" ca="1" si="151"/>
        <v>4114329.202347206</v>
      </c>
      <c r="L2651" s="444">
        <f t="shared" ca="1" si="152"/>
        <v>991553337.7656765</v>
      </c>
      <c r="M2651" s="460">
        <f t="shared" si="154"/>
        <v>0.05</v>
      </c>
      <c r="N2651" s="464">
        <f t="shared" si="155"/>
        <v>131733</v>
      </c>
    </row>
    <row r="2652" spans="7:14" ht="11.25" customHeight="1" x14ac:dyDescent="0.3">
      <c r="G2652" s="459"/>
      <c r="H2652" s="459">
        <v>2645</v>
      </c>
      <c r="I2652" s="444">
        <f t="shared" ca="1" si="153"/>
        <v>991553337.7656765</v>
      </c>
      <c r="J2652" s="444">
        <f t="array" ref="J2652">IFERROR(INDEX('Retirement Calculator'!J:J,MATCH('Isaac 401k'!N2652,'Retirement Calculator'!A:A,0),0),0)</f>
        <v>0</v>
      </c>
      <c r="K2652" s="444">
        <f t="shared" ca="1" si="151"/>
        <v>4131472.2406903193</v>
      </c>
      <c r="L2652" s="444">
        <f t="shared" ca="1" si="152"/>
        <v>995684810.00636685</v>
      </c>
      <c r="M2652" s="460">
        <f t="shared" si="154"/>
        <v>0.05</v>
      </c>
      <c r="N2652" s="464">
        <f t="shared" si="155"/>
        <v>131763</v>
      </c>
    </row>
    <row r="2653" spans="7:14" ht="11.25" customHeight="1" x14ac:dyDescent="0.3">
      <c r="G2653" s="459"/>
      <c r="H2653" s="459">
        <v>2646</v>
      </c>
      <c r="I2653" s="444">
        <f t="shared" ca="1" si="153"/>
        <v>995684810.00636685</v>
      </c>
      <c r="J2653" s="444">
        <f t="array" ref="J2653">IFERROR(INDEX('Retirement Calculator'!J:J,MATCH('Isaac 401k'!N2653,'Retirement Calculator'!A:A,0),0),0)</f>
        <v>0</v>
      </c>
      <c r="K2653" s="444">
        <f t="shared" ca="1" si="151"/>
        <v>4148686.7083598617</v>
      </c>
      <c r="L2653" s="444">
        <f t="shared" ca="1" si="152"/>
        <v>999833496.71472669</v>
      </c>
      <c r="M2653" s="460">
        <f t="shared" si="154"/>
        <v>0.05</v>
      </c>
      <c r="N2653" s="464">
        <f t="shared" si="155"/>
        <v>131794</v>
      </c>
    </row>
    <row r="2654" spans="7:14" ht="11.25" customHeight="1" x14ac:dyDescent="0.3">
      <c r="G2654" s="459"/>
      <c r="H2654" s="459">
        <v>2647</v>
      </c>
      <c r="I2654" s="444">
        <f t="shared" ca="1" si="153"/>
        <v>999833496.71472669</v>
      </c>
      <c r="J2654" s="444">
        <f t="array" ref="J2654">IFERROR(INDEX('Retirement Calculator'!J:J,MATCH('Isaac 401k'!N2654,'Retirement Calculator'!A:A,0),0),0)</f>
        <v>0</v>
      </c>
      <c r="K2654" s="444">
        <f t="shared" ca="1" si="151"/>
        <v>4165972.9029780282</v>
      </c>
      <c r="L2654" s="444">
        <f t="shared" ca="1" si="152"/>
        <v>1003999469.6177047</v>
      </c>
      <c r="M2654" s="460">
        <f t="shared" si="154"/>
        <v>0.05</v>
      </c>
      <c r="N2654" s="464">
        <f t="shared" si="155"/>
        <v>131824</v>
      </c>
    </row>
    <row r="2655" spans="7:14" ht="11.25" customHeight="1" x14ac:dyDescent="0.3">
      <c r="G2655" s="459"/>
      <c r="H2655" s="459">
        <v>2648</v>
      </c>
      <c r="I2655" s="444">
        <f t="shared" ca="1" si="153"/>
        <v>1003999469.6177047</v>
      </c>
      <c r="J2655" s="444">
        <f t="array" ref="J2655">IFERROR(INDEX('Retirement Calculator'!J:J,MATCH('Isaac 401k'!N2655,'Retirement Calculator'!A:A,0),0),0)</f>
        <v>0</v>
      </c>
      <c r="K2655" s="444">
        <f t="shared" ca="1" si="151"/>
        <v>4183331.1234071031</v>
      </c>
      <c r="L2655" s="444">
        <f t="shared" ca="1" si="152"/>
        <v>1008182800.7411119</v>
      </c>
      <c r="M2655" s="460">
        <f t="shared" si="154"/>
        <v>0.05</v>
      </c>
      <c r="N2655" s="464">
        <f t="shared" si="155"/>
        <v>131855</v>
      </c>
    </row>
    <row r="2656" spans="7:14" ht="11.25" customHeight="1" x14ac:dyDescent="0.3">
      <c r="G2656" s="459"/>
      <c r="H2656" s="459">
        <v>2649</v>
      </c>
      <c r="I2656" s="444">
        <f t="shared" ca="1" si="153"/>
        <v>1008182800.7411119</v>
      </c>
      <c r="J2656" s="444">
        <f t="array" ref="J2656">IFERROR(INDEX('Retirement Calculator'!J:J,MATCH('Isaac 401k'!N2656,'Retirement Calculator'!A:A,0),0),0)</f>
        <v>0</v>
      </c>
      <c r="K2656" s="444">
        <f t="shared" ca="1" si="151"/>
        <v>4200761.6697546318</v>
      </c>
      <c r="L2656" s="444">
        <f t="shared" ca="1" si="152"/>
        <v>1012383562.4108665</v>
      </c>
      <c r="M2656" s="460">
        <f t="shared" si="154"/>
        <v>0.05</v>
      </c>
      <c r="N2656" s="464">
        <f t="shared" si="155"/>
        <v>131886</v>
      </c>
    </row>
    <row r="2657" spans="7:14" ht="11.25" customHeight="1" x14ac:dyDescent="0.3">
      <c r="G2657" s="459"/>
      <c r="H2657" s="459">
        <v>2650</v>
      </c>
      <c r="I2657" s="444">
        <f t="shared" ca="1" si="153"/>
        <v>1012383562.4108665</v>
      </c>
      <c r="J2657" s="444">
        <f t="array" ref="J2657">IFERROR(INDEX('Retirement Calculator'!J:J,MATCH('Isaac 401k'!N2657,'Retirement Calculator'!A:A,0),0),0)</f>
        <v>0</v>
      </c>
      <c r="K2657" s="444">
        <f t="shared" ca="1" si="151"/>
        <v>4218264.84337861</v>
      </c>
      <c r="L2657" s="444">
        <f t="shared" ca="1" si="152"/>
        <v>1016601827.2542452</v>
      </c>
      <c r="M2657" s="460">
        <f t="shared" si="154"/>
        <v>0.05</v>
      </c>
      <c r="N2657" s="464">
        <f t="shared" si="155"/>
        <v>131914</v>
      </c>
    </row>
    <row r="2658" spans="7:14" ht="11.25" customHeight="1" x14ac:dyDescent="0.3">
      <c r="G2658" s="459"/>
      <c r="H2658" s="459">
        <v>2651</v>
      </c>
      <c r="I2658" s="444">
        <f t="shared" ca="1" si="153"/>
        <v>1016601827.2542452</v>
      </c>
      <c r="J2658" s="444">
        <f t="array" ref="J2658">IFERROR(INDEX('Retirement Calculator'!J:J,MATCH('Isaac 401k'!N2658,'Retirement Calculator'!A:A,0),0),0)</f>
        <v>0</v>
      </c>
      <c r="K2658" s="444">
        <f t="shared" ca="1" si="151"/>
        <v>4235840.9468926881</v>
      </c>
      <c r="L2658" s="444">
        <f t="shared" ca="1" si="152"/>
        <v>1020837668.2011379</v>
      </c>
      <c r="M2658" s="460">
        <f t="shared" si="154"/>
        <v>0.05</v>
      </c>
      <c r="N2658" s="464">
        <f t="shared" si="155"/>
        <v>131945</v>
      </c>
    </row>
    <row r="2659" spans="7:14" ht="11.25" customHeight="1" x14ac:dyDescent="0.3">
      <c r="G2659" s="459"/>
      <c r="H2659" s="459">
        <v>2652</v>
      </c>
      <c r="I2659" s="444">
        <f t="shared" ca="1" si="153"/>
        <v>1020837668.2011379</v>
      </c>
      <c r="J2659" s="444">
        <f t="array" ref="J2659">IFERROR(INDEX('Retirement Calculator'!J:J,MATCH('Isaac 401k'!N2659,'Retirement Calculator'!A:A,0),0),0)</f>
        <v>0</v>
      </c>
      <c r="K2659" s="444">
        <f t="shared" ca="1" si="151"/>
        <v>4253490.284171408</v>
      </c>
      <c r="L2659" s="444">
        <f t="shared" ca="1" si="152"/>
        <v>1025091158.4853094</v>
      </c>
      <c r="M2659" s="460">
        <f t="shared" si="154"/>
        <v>0.05</v>
      </c>
      <c r="N2659" s="464">
        <f t="shared" si="155"/>
        <v>131975</v>
      </c>
    </row>
    <row r="2660" spans="7:14" ht="11.25" customHeight="1" x14ac:dyDescent="0.3">
      <c r="G2660" s="459"/>
      <c r="H2660" s="459">
        <v>2653</v>
      </c>
      <c r="I2660" s="444">
        <f t="shared" ca="1" si="153"/>
        <v>1025091158.4853094</v>
      </c>
      <c r="J2660" s="444">
        <f t="array" ref="J2660">IFERROR(INDEX('Retirement Calculator'!J:J,MATCH('Isaac 401k'!N2660,'Retirement Calculator'!A:A,0),0),0)</f>
        <v>0</v>
      </c>
      <c r="K2660" s="444">
        <f t="shared" ca="1" si="151"/>
        <v>4271213.1603554552</v>
      </c>
      <c r="L2660" s="444">
        <f t="shared" ca="1" si="152"/>
        <v>1029362371.6456648</v>
      </c>
      <c r="M2660" s="460">
        <f t="shared" si="154"/>
        <v>0.05</v>
      </c>
      <c r="N2660" s="464">
        <f t="shared" si="155"/>
        <v>132006</v>
      </c>
    </row>
    <row r="2661" spans="7:14" ht="11.25" customHeight="1" x14ac:dyDescent="0.3">
      <c r="G2661" s="459"/>
      <c r="H2661" s="459">
        <v>2654</v>
      </c>
      <c r="I2661" s="444">
        <f t="shared" ca="1" si="153"/>
        <v>1029362371.6456648</v>
      </c>
      <c r="J2661" s="444">
        <f t="array" ref="J2661">IFERROR(INDEX('Retirement Calculator'!J:J,MATCH('Isaac 401k'!N2661,'Retirement Calculator'!A:A,0),0),0)</f>
        <v>0</v>
      </c>
      <c r="K2661" s="444">
        <f t="shared" ca="1" si="151"/>
        <v>4289009.881856937</v>
      </c>
      <c r="L2661" s="444">
        <f t="shared" ca="1" si="152"/>
        <v>1033651381.5275217</v>
      </c>
      <c r="M2661" s="460">
        <f t="shared" si="154"/>
        <v>0.05</v>
      </c>
      <c r="N2661" s="464">
        <f t="shared" si="155"/>
        <v>132036</v>
      </c>
    </row>
    <row r="2662" spans="7:14" ht="11.25" customHeight="1" x14ac:dyDescent="0.3">
      <c r="G2662" s="459"/>
      <c r="H2662" s="459">
        <v>2655</v>
      </c>
      <c r="I2662" s="444">
        <f t="shared" ca="1" si="153"/>
        <v>1033651381.5275217</v>
      </c>
      <c r="J2662" s="444">
        <f t="array" ref="J2662">IFERROR(INDEX('Retirement Calculator'!J:J,MATCH('Isaac 401k'!N2662,'Retirement Calculator'!A:A,0),0),0)</f>
        <v>0</v>
      </c>
      <c r="K2662" s="444">
        <f t="shared" ca="1" si="151"/>
        <v>4306880.7563646734</v>
      </c>
      <c r="L2662" s="444">
        <f t="shared" ca="1" si="152"/>
        <v>1037958262.2838864</v>
      </c>
      <c r="M2662" s="460">
        <f t="shared" si="154"/>
        <v>0.05</v>
      </c>
      <c r="N2662" s="464">
        <f t="shared" si="155"/>
        <v>132067</v>
      </c>
    </row>
    <row r="2663" spans="7:14" ht="11.25" customHeight="1" x14ac:dyDescent="0.3">
      <c r="G2663" s="459"/>
      <c r="H2663" s="459">
        <v>2656</v>
      </c>
      <c r="I2663" s="444">
        <f t="shared" ca="1" si="153"/>
        <v>1037958262.2838864</v>
      </c>
      <c r="J2663" s="444">
        <f t="array" ref="J2663">IFERROR(INDEX('Retirement Calculator'!J:J,MATCH('Isaac 401k'!N2663,'Retirement Calculator'!A:A,0),0),0)</f>
        <v>0</v>
      </c>
      <c r="K2663" s="444">
        <f t="shared" ca="1" si="151"/>
        <v>4324826.0928495275</v>
      </c>
      <c r="L2663" s="444">
        <f t="shared" ca="1" si="152"/>
        <v>1042283088.3767359</v>
      </c>
      <c r="M2663" s="460">
        <f t="shared" si="154"/>
        <v>0.05</v>
      </c>
      <c r="N2663" s="464">
        <f t="shared" si="155"/>
        <v>132098</v>
      </c>
    </row>
    <row r="2664" spans="7:14" ht="11.25" customHeight="1" x14ac:dyDescent="0.3">
      <c r="G2664" s="459"/>
      <c r="H2664" s="459">
        <v>2657</v>
      </c>
      <c r="I2664" s="444">
        <f t="shared" ca="1" si="153"/>
        <v>1042283088.3767359</v>
      </c>
      <c r="J2664" s="444">
        <f t="array" ref="J2664">IFERROR(INDEX('Retirement Calculator'!J:J,MATCH('Isaac 401k'!N2664,'Retirement Calculator'!A:A,0),0),0)</f>
        <v>0</v>
      </c>
      <c r="K2664" s="444">
        <f t="shared" ca="1" si="151"/>
        <v>4342846.2015697332</v>
      </c>
      <c r="L2664" s="444">
        <f t="shared" ca="1" si="152"/>
        <v>1046625934.5783056</v>
      </c>
      <c r="M2664" s="460">
        <f t="shared" si="154"/>
        <v>0.05</v>
      </c>
      <c r="N2664" s="464">
        <f t="shared" si="155"/>
        <v>132128</v>
      </c>
    </row>
    <row r="2665" spans="7:14" ht="11.25" customHeight="1" x14ac:dyDescent="0.3">
      <c r="G2665" s="459"/>
      <c r="H2665" s="459">
        <v>2658</v>
      </c>
      <c r="I2665" s="444">
        <f t="shared" ca="1" si="153"/>
        <v>1046625934.5783056</v>
      </c>
      <c r="J2665" s="444">
        <f t="array" ref="J2665">IFERROR(INDEX('Retirement Calculator'!J:J,MATCH('Isaac 401k'!N2665,'Retirement Calculator'!A:A,0),0),0)</f>
        <v>0</v>
      </c>
      <c r="K2665" s="444">
        <f t="shared" ca="1" si="151"/>
        <v>4360941.3940762738</v>
      </c>
      <c r="L2665" s="444">
        <f t="shared" ca="1" si="152"/>
        <v>1050986875.9723818</v>
      </c>
      <c r="M2665" s="460">
        <f t="shared" si="154"/>
        <v>0.05</v>
      </c>
      <c r="N2665" s="464">
        <f t="shared" si="155"/>
        <v>132159</v>
      </c>
    </row>
    <row r="2666" spans="7:14" ht="11.25" customHeight="1" x14ac:dyDescent="0.3">
      <c r="G2666" s="459"/>
      <c r="H2666" s="459">
        <v>2659</v>
      </c>
      <c r="I2666" s="444">
        <f t="shared" ca="1" si="153"/>
        <v>1050986875.9723818</v>
      </c>
      <c r="J2666" s="444">
        <f t="array" ref="J2666">IFERROR(INDEX('Retirement Calculator'!J:J,MATCH('Isaac 401k'!N2666,'Retirement Calculator'!A:A,0),0),0)</f>
        <v>0</v>
      </c>
      <c r="K2666" s="444">
        <f t="shared" ca="1" si="151"/>
        <v>4379111.9832182573</v>
      </c>
      <c r="L2666" s="444">
        <f t="shared" ca="1" si="152"/>
        <v>1055365987.9556001</v>
      </c>
      <c r="M2666" s="460">
        <f t="shared" si="154"/>
        <v>0.05</v>
      </c>
      <c r="N2666" s="464">
        <f t="shared" si="155"/>
        <v>132189</v>
      </c>
    </row>
    <row r="2667" spans="7:14" ht="11.25" customHeight="1" x14ac:dyDescent="0.3">
      <c r="G2667" s="459"/>
      <c r="H2667" s="459">
        <v>2660</v>
      </c>
      <c r="I2667" s="444">
        <f t="shared" ca="1" si="153"/>
        <v>1055365987.9556001</v>
      </c>
      <c r="J2667" s="444">
        <f t="array" ref="J2667">IFERROR(INDEX('Retirement Calculator'!J:J,MATCH('Isaac 401k'!N2667,'Retirement Calculator'!A:A,0),0),0)</f>
        <v>0</v>
      </c>
      <c r="K2667" s="444">
        <f t="shared" ca="1" si="151"/>
        <v>4397358.2831483344</v>
      </c>
      <c r="L2667" s="444">
        <f t="shared" ca="1" si="152"/>
        <v>1059763346.2387484</v>
      </c>
      <c r="M2667" s="460">
        <f t="shared" si="154"/>
        <v>0.05</v>
      </c>
      <c r="N2667" s="464">
        <f t="shared" si="155"/>
        <v>132220</v>
      </c>
    </row>
    <row r="2668" spans="7:14" ht="11.25" customHeight="1" x14ac:dyDescent="0.3">
      <c r="G2668" s="459"/>
      <c r="H2668" s="459">
        <v>2661</v>
      </c>
      <c r="I2668" s="444">
        <f t="shared" ca="1" si="153"/>
        <v>1059763346.2387484</v>
      </c>
      <c r="J2668" s="444">
        <f t="array" ref="J2668">IFERROR(INDEX('Retirement Calculator'!J:J,MATCH('Isaac 401k'!N2668,'Retirement Calculator'!A:A,0),0),0)</f>
        <v>0</v>
      </c>
      <c r="K2668" s="444">
        <f t="shared" ca="1" si="151"/>
        <v>4415680.6093281182</v>
      </c>
      <c r="L2668" s="444">
        <f t="shared" ca="1" si="152"/>
        <v>1064179026.8480766</v>
      </c>
      <c r="M2668" s="460">
        <f t="shared" si="154"/>
        <v>0.05</v>
      </c>
      <c r="N2668" s="464">
        <f t="shared" si="155"/>
        <v>132251</v>
      </c>
    </row>
    <row r="2669" spans="7:14" ht="11.25" customHeight="1" x14ac:dyDescent="0.3">
      <c r="G2669" s="459"/>
      <c r="H2669" s="459">
        <v>2662</v>
      </c>
      <c r="I2669" s="444">
        <f t="shared" ca="1" si="153"/>
        <v>1064179026.8480766</v>
      </c>
      <c r="J2669" s="444">
        <f t="array" ref="J2669">IFERROR(INDEX('Retirement Calculator'!J:J,MATCH('Isaac 401k'!N2669,'Retirement Calculator'!A:A,0),0),0)</f>
        <v>0</v>
      </c>
      <c r="K2669" s="444">
        <f t="shared" ca="1" si="151"/>
        <v>4434079.2785336524</v>
      </c>
      <c r="L2669" s="444">
        <f t="shared" ca="1" si="152"/>
        <v>1068613106.1266103</v>
      </c>
      <c r="M2669" s="460">
        <f t="shared" si="154"/>
        <v>0.05</v>
      </c>
      <c r="N2669" s="464">
        <f t="shared" si="155"/>
        <v>132279</v>
      </c>
    </row>
    <row r="2670" spans="7:14" ht="11.25" customHeight="1" x14ac:dyDescent="0.3">
      <c r="G2670" s="459"/>
      <c r="H2670" s="459">
        <v>2663</v>
      </c>
      <c r="I2670" s="444">
        <f t="shared" ca="1" si="153"/>
        <v>1068613106.1266103</v>
      </c>
      <c r="J2670" s="444">
        <f t="array" ref="J2670">IFERROR(INDEX('Retirement Calculator'!J:J,MATCH('Isaac 401k'!N2670,'Retirement Calculator'!A:A,0),0),0)</f>
        <v>0</v>
      </c>
      <c r="K2670" s="444">
        <f t="shared" ca="1" si="151"/>
        <v>4452554.6088608764</v>
      </c>
      <c r="L2670" s="444">
        <f t="shared" ca="1" si="152"/>
        <v>1073065660.7354711</v>
      </c>
      <c r="M2670" s="460">
        <f t="shared" si="154"/>
        <v>0.05</v>
      </c>
      <c r="N2670" s="464">
        <f t="shared" si="155"/>
        <v>132310</v>
      </c>
    </row>
    <row r="2671" spans="7:14" ht="11.25" customHeight="1" x14ac:dyDescent="0.3">
      <c r="G2671" s="459"/>
      <c r="H2671" s="459">
        <v>2664</v>
      </c>
      <c r="I2671" s="444">
        <f t="shared" ca="1" si="153"/>
        <v>1073065660.7354711</v>
      </c>
      <c r="J2671" s="444">
        <f t="array" ref="J2671">IFERROR(INDEX('Retirement Calculator'!J:J,MATCH('Isaac 401k'!N2671,'Retirement Calculator'!A:A,0),0),0)</f>
        <v>0</v>
      </c>
      <c r="K2671" s="444">
        <f t="shared" ca="1" si="151"/>
        <v>4471106.9197311299</v>
      </c>
      <c r="L2671" s="444">
        <f t="shared" ca="1" si="152"/>
        <v>1077536767.6552022</v>
      </c>
      <c r="M2671" s="460">
        <f t="shared" si="154"/>
        <v>0.05</v>
      </c>
      <c r="N2671" s="464">
        <f t="shared" si="155"/>
        <v>132340</v>
      </c>
    </row>
    <row r="2672" spans="7:14" ht="11.25" customHeight="1" x14ac:dyDescent="0.3">
      <c r="G2672" s="459"/>
      <c r="H2672" s="459">
        <v>2665</v>
      </c>
      <c r="I2672" s="444">
        <f t="shared" ca="1" si="153"/>
        <v>1077536767.6552022</v>
      </c>
      <c r="J2672" s="444">
        <f t="array" ref="J2672">IFERROR(INDEX('Retirement Calculator'!J:J,MATCH('Isaac 401k'!N2672,'Retirement Calculator'!A:A,0),0),0)</f>
        <v>0</v>
      </c>
      <c r="K2672" s="444">
        <f t="shared" ca="1" si="151"/>
        <v>4489736.5318966759</v>
      </c>
      <c r="L2672" s="444">
        <f t="shared" ca="1" si="152"/>
        <v>1082026504.1870987</v>
      </c>
      <c r="M2672" s="460">
        <f t="shared" si="154"/>
        <v>0.05</v>
      </c>
      <c r="N2672" s="464">
        <f t="shared" si="155"/>
        <v>132371</v>
      </c>
    </row>
    <row r="2673" spans="7:14" ht="11.25" customHeight="1" x14ac:dyDescent="0.3">
      <c r="G2673" s="459"/>
      <c r="H2673" s="459">
        <v>2666</v>
      </c>
      <c r="I2673" s="444">
        <f t="shared" ca="1" si="153"/>
        <v>1082026504.1870987</v>
      </c>
      <c r="J2673" s="444">
        <f t="array" ref="J2673">IFERROR(INDEX('Retirement Calculator'!J:J,MATCH('Isaac 401k'!N2673,'Retirement Calculator'!A:A,0),0),0)</f>
        <v>0</v>
      </c>
      <c r="K2673" s="444">
        <f t="shared" ca="1" si="151"/>
        <v>4508443.7674462451</v>
      </c>
      <c r="L2673" s="444">
        <f t="shared" ca="1" si="152"/>
        <v>1086534947.954545</v>
      </c>
      <c r="M2673" s="460">
        <f t="shared" si="154"/>
        <v>0.05</v>
      </c>
      <c r="N2673" s="464">
        <f t="shared" si="155"/>
        <v>132401</v>
      </c>
    </row>
    <row r="2674" spans="7:14" ht="11.25" customHeight="1" x14ac:dyDescent="0.3">
      <c r="G2674" s="459"/>
      <c r="H2674" s="459">
        <v>2667</v>
      </c>
      <c r="I2674" s="444">
        <f t="shared" ca="1" si="153"/>
        <v>1086534947.954545</v>
      </c>
      <c r="J2674" s="444">
        <f t="array" ref="J2674">IFERROR(INDEX('Retirement Calculator'!J:J,MATCH('Isaac 401k'!N2674,'Retirement Calculator'!A:A,0),0),0)</f>
        <v>0</v>
      </c>
      <c r="K2674" s="444">
        <f t="shared" ca="1" si="151"/>
        <v>4527228.9498106046</v>
      </c>
      <c r="L2674" s="444">
        <f t="shared" ca="1" si="152"/>
        <v>1091062176.9043555</v>
      </c>
      <c r="M2674" s="460">
        <f t="shared" si="154"/>
        <v>0.05</v>
      </c>
      <c r="N2674" s="464">
        <f t="shared" si="155"/>
        <v>132432</v>
      </c>
    </row>
    <row r="2675" spans="7:14" ht="11.25" customHeight="1" x14ac:dyDescent="0.3">
      <c r="G2675" s="459"/>
      <c r="H2675" s="459">
        <v>2668</v>
      </c>
      <c r="I2675" s="444">
        <f t="shared" ca="1" si="153"/>
        <v>1091062176.9043555</v>
      </c>
      <c r="J2675" s="444">
        <f t="array" ref="J2675">IFERROR(INDEX('Retirement Calculator'!J:J,MATCH('Isaac 401k'!N2675,'Retirement Calculator'!A:A,0),0),0)</f>
        <v>0</v>
      </c>
      <c r="K2675" s="444">
        <f t="shared" ca="1" si="151"/>
        <v>4546092.4037681483</v>
      </c>
      <c r="L2675" s="444">
        <f t="shared" ca="1" si="152"/>
        <v>1095608269.3081236</v>
      </c>
      <c r="M2675" s="460">
        <f t="shared" si="154"/>
        <v>0.05</v>
      </c>
      <c r="N2675" s="464">
        <f t="shared" si="155"/>
        <v>132463</v>
      </c>
    </row>
    <row r="2676" spans="7:14" ht="11.25" customHeight="1" x14ac:dyDescent="0.3">
      <c r="G2676" s="459"/>
      <c r="H2676" s="459">
        <v>2669</v>
      </c>
      <c r="I2676" s="444">
        <f t="shared" ca="1" si="153"/>
        <v>1095608269.3081236</v>
      </c>
      <c r="J2676" s="444">
        <f t="array" ref="J2676">IFERROR(INDEX('Retirement Calculator'!J:J,MATCH('Isaac 401k'!N2676,'Retirement Calculator'!A:A,0),0),0)</f>
        <v>0</v>
      </c>
      <c r="K2676" s="444">
        <f t="shared" ca="1" si="151"/>
        <v>4565034.4554505153</v>
      </c>
      <c r="L2676" s="444">
        <f t="shared" ca="1" si="152"/>
        <v>1100173303.7635741</v>
      </c>
      <c r="M2676" s="460">
        <f t="shared" si="154"/>
        <v>0.05</v>
      </c>
      <c r="N2676" s="464">
        <f t="shared" si="155"/>
        <v>132493</v>
      </c>
    </row>
    <row r="2677" spans="7:14" ht="11.25" customHeight="1" x14ac:dyDescent="0.3">
      <c r="G2677" s="459"/>
      <c r="H2677" s="459">
        <v>2670</v>
      </c>
      <c r="I2677" s="444">
        <f t="shared" ca="1" si="153"/>
        <v>1100173303.7635741</v>
      </c>
      <c r="J2677" s="444">
        <f t="array" ref="J2677">IFERROR(INDEX('Retirement Calculator'!J:J,MATCH('Isaac 401k'!N2677,'Retirement Calculator'!A:A,0),0),0)</f>
        <v>0</v>
      </c>
      <c r="K2677" s="444">
        <f t="shared" ca="1" si="151"/>
        <v>4584055.4323482253</v>
      </c>
      <c r="L2677" s="444">
        <f t="shared" ca="1" si="152"/>
        <v>1104757359.1959224</v>
      </c>
      <c r="M2677" s="460">
        <f t="shared" si="154"/>
        <v>0.05</v>
      </c>
      <c r="N2677" s="464">
        <f t="shared" si="155"/>
        <v>132524</v>
      </c>
    </row>
    <row r="2678" spans="7:14" ht="11.25" customHeight="1" x14ac:dyDescent="0.3">
      <c r="G2678" s="459"/>
      <c r="H2678" s="459">
        <v>2671</v>
      </c>
      <c r="I2678" s="444">
        <f t="shared" ca="1" si="153"/>
        <v>1104757359.1959224</v>
      </c>
      <c r="J2678" s="444">
        <f t="array" ref="J2678">IFERROR(INDEX('Retirement Calculator'!J:J,MATCH('Isaac 401k'!N2678,'Retirement Calculator'!A:A,0),0),0)</f>
        <v>0</v>
      </c>
      <c r="K2678" s="444">
        <f t="shared" ca="1" si="151"/>
        <v>4603155.663316343</v>
      </c>
      <c r="L2678" s="444">
        <f t="shared" ca="1" si="152"/>
        <v>1109360514.8592386</v>
      </c>
      <c r="M2678" s="460">
        <f t="shared" si="154"/>
        <v>0.05</v>
      </c>
      <c r="N2678" s="464">
        <f t="shared" si="155"/>
        <v>132554</v>
      </c>
    </row>
    <row r="2679" spans="7:14" ht="11.25" customHeight="1" x14ac:dyDescent="0.3">
      <c r="G2679" s="459"/>
      <c r="H2679" s="459">
        <v>2672</v>
      </c>
      <c r="I2679" s="444">
        <f t="shared" ca="1" si="153"/>
        <v>1109360514.8592386</v>
      </c>
      <c r="J2679" s="444">
        <f t="array" ref="J2679">IFERROR(INDEX('Retirement Calculator'!J:J,MATCH('Isaac 401k'!N2679,'Retirement Calculator'!A:A,0),0),0)</f>
        <v>0</v>
      </c>
      <c r="K2679" s="444">
        <f t="shared" ca="1" si="151"/>
        <v>4622335.478580161</v>
      </c>
      <c r="L2679" s="444">
        <f t="shared" ca="1" si="152"/>
        <v>1113982850.3378189</v>
      </c>
      <c r="M2679" s="460">
        <f t="shared" si="154"/>
        <v>0.05</v>
      </c>
      <c r="N2679" s="464">
        <f t="shared" si="155"/>
        <v>132585</v>
      </c>
    </row>
    <row r="2680" spans="7:14" ht="11.25" customHeight="1" x14ac:dyDescent="0.3">
      <c r="G2680" s="459"/>
      <c r="H2680" s="459">
        <v>2673</v>
      </c>
      <c r="I2680" s="444">
        <f t="shared" ca="1" si="153"/>
        <v>1113982850.3378189</v>
      </c>
      <c r="J2680" s="444">
        <f t="array" ref="J2680">IFERROR(INDEX('Retirement Calculator'!J:J,MATCH('Isaac 401k'!N2680,'Retirement Calculator'!A:A,0),0),0)</f>
        <v>0</v>
      </c>
      <c r="K2680" s="444">
        <f t="shared" ca="1" si="151"/>
        <v>4641595.2097409116</v>
      </c>
      <c r="L2680" s="444">
        <f t="shared" ca="1" si="152"/>
        <v>1118624445.5475597</v>
      </c>
      <c r="M2680" s="460">
        <f t="shared" si="154"/>
        <v>0.05</v>
      </c>
      <c r="N2680" s="464">
        <f t="shared" si="155"/>
        <v>132616</v>
      </c>
    </row>
    <row r="2681" spans="7:14" ht="11.25" customHeight="1" x14ac:dyDescent="0.3">
      <c r="G2681" s="459"/>
      <c r="H2681" s="459">
        <v>2674</v>
      </c>
      <c r="I2681" s="444">
        <f t="shared" ca="1" si="153"/>
        <v>1118624445.5475597</v>
      </c>
      <c r="J2681" s="444">
        <f t="array" ref="J2681">IFERROR(INDEX('Retirement Calculator'!J:J,MATCH('Isaac 401k'!N2681,'Retirement Calculator'!A:A,0),0),0)</f>
        <v>0</v>
      </c>
      <c r="K2681" s="444">
        <f t="shared" ca="1" si="151"/>
        <v>4660935.1897814991</v>
      </c>
      <c r="L2681" s="444">
        <f t="shared" ca="1" si="152"/>
        <v>1123285380.7373412</v>
      </c>
      <c r="M2681" s="460">
        <f t="shared" si="154"/>
        <v>0.05</v>
      </c>
      <c r="N2681" s="464">
        <f t="shared" si="155"/>
        <v>132644</v>
      </c>
    </row>
    <row r="2682" spans="7:14" ht="11.25" customHeight="1" x14ac:dyDescent="0.3">
      <c r="G2682" s="459"/>
      <c r="H2682" s="459">
        <v>2675</v>
      </c>
      <c r="I2682" s="444">
        <f t="shared" ca="1" si="153"/>
        <v>1123285380.7373412</v>
      </c>
      <c r="J2682" s="444">
        <f t="array" ref="J2682">IFERROR(INDEX('Retirement Calculator'!J:J,MATCH('Isaac 401k'!N2682,'Retirement Calculator'!A:A,0),0),0)</f>
        <v>0</v>
      </c>
      <c r="K2682" s="444">
        <f t="shared" ca="1" si="151"/>
        <v>4680355.7530722544</v>
      </c>
      <c r="L2682" s="444">
        <f t="shared" ca="1" si="152"/>
        <v>1127965736.4904134</v>
      </c>
      <c r="M2682" s="460">
        <f t="shared" si="154"/>
        <v>0.05</v>
      </c>
      <c r="N2682" s="464">
        <f t="shared" si="155"/>
        <v>132675</v>
      </c>
    </row>
    <row r="2683" spans="7:14" ht="11.25" customHeight="1" x14ac:dyDescent="0.3">
      <c r="G2683" s="459"/>
      <c r="H2683" s="459">
        <v>2676</v>
      </c>
      <c r="I2683" s="444">
        <f t="shared" ca="1" si="153"/>
        <v>1127965736.4904134</v>
      </c>
      <c r="J2683" s="444">
        <f t="array" ref="J2683">IFERROR(INDEX('Retirement Calculator'!J:J,MATCH('Isaac 401k'!N2683,'Retirement Calculator'!A:A,0),0),0)</f>
        <v>0</v>
      </c>
      <c r="K2683" s="444">
        <f t="shared" ca="1" si="151"/>
        <v>4699857.2353767222</v>
      </c>
      <c r="L2683" s="444">
        <f t="shared" ca="1" si="152"/>
        <v>1132665593.7257903</v>
      </c>
      <c r="M2683" s="460">
        <f t="shared" si="154"/>
        <v>0.05</v>
      </c>
      <c r="N2683" s="464">
        <f t="shared" si="155"/>
        <v>132705</v>
      </c>
    </row>
    <row r="2684" spans="7:14" ht="11.25" customHeight="1" x14ac:dyDescent="0.3">
      <c r="G2684" s="459"/>
      <c r="H2684" s="459">
        <v>2677</v>
      </c>
      <c r="I2684" s="444">
        <f t="shared" ca="1" si="153"/>
        <v>1132665593.7257903</v>
      </c>
      <c r="J2684" s="444">
        <f t="array" ref="J2684">IFERROR(INDEX('Retirement Calculator'!J:J,MATCH('Isaac 401k'!N2684,'Retirement Calculator'!A:A,0),0),0)</f>
        <v>0</v>
      </c>
      <c r="K2684" s="444">
        <f t="shared" ca="1" si="151"/>
        <v>4719439.9738574596</v>
      </c>
      <c r="L2684" s="444">
        <f t="shared" ca="1" si="152"/>
        <v>1137385033.6996477</v>
      </c>
      <c r="M2684" s="460">
        <f t="shared" si="154"/>
        <v>0.05</v>
      </c>
      <c r="N2684" s="464">
        <f t="shared" si="155"/>
        <v>132736</v>
      </c>
    </row>
    <row r="2685" spans="7:14" ht="11.25" customHeight="1" x14ac:dyDescent="0.3">
      <c r="G2685" s="459"/>
      <c r="H2685" s="459">
        <v>2678</v>
      </c>
      <c r="I2685" s="444">
        <f t="shared" ca="1" si="153"/>
        <v>1137385033.6996477</v>
      </c>
      <c r="J2685" s="444">
        <f t="array" ref="J2685">IFERROR(INDEX('Retirement Calculator'!J:J,MATCH('Isaac 401k'!N2685,'Retirement Calculator'!A:A,0),0),0)</f>
        <v>0</v>
      </c>
      <c r="K2685" s="444">
        <f t="shared" ca="1" si="151"/>
        <v>4739104.3070818651</v>
      </c>
      <c r="L2685" s="444">
        <f t="shared" ca="1" si="152"/>
        <v>1142124138.0067296</v>
      </c>
      <c r="M2685" s="460">
        <f t="shared" si="154"/>
        <v>0.05</v>
      </c>
      <c r="N2685" s="464">
        <f t="shared" si="155"/>
        <v>132766</v>
      </c>
    </row>
    <row r="2686" spans="7:14" ht="11.25" customHeight="1" x14ac:dyDescent="0.3">
      <c r="G2686" s="459"/>
      <c r="H2686" s="459">
        <v>2679</v>
      </c>
      <c r="I2686" s="444">
        <f t="shared" ca="1" si="153"/>
        <v>1142124138.0067296</v>
      </c>
      <c r="J2686" s="444">
        <f t="array" ref="J2686">IFERROR(INDEX('Retirement Calculator'!J:J,MATCH('Isaac 401k'!N2686,'Retirement Calculator'!A:A,0),0),0)</f>
        <v>0</v>
      </c>
      <c r="K2686" s="444">
        <f t="shared" ca="1" si="151"/>
        <v>4758850.5750280395</v>
      </c>
      <c r="L2686" s="444">
        <f t="shared" ca="1" si="152"/>
        <v>1146882988.5817575</v>
      </c>
      <c r="M2686" s="460">
        <f t="shared" si="154"/>
        <v>0.05</v>
      </c>
      <c r="N2686" s="464">
        <f t="shared" si="155"/>
        <v>132797</v>
      </c>
    </row>
    <row r="2687" spans="7:14" ht="11.25" customHeight="1" x14ac:dyDescent="0.3">
      <c r="G2687" s="459"/>
      <c r="H2687" s="459">
        <v>2680</v>
      </c>
      <c r="I2687" s="444">
        <f t="shared" ca="1" si="153"/>
        <v>1146882988.5817575</v>
      </c>
      <c r="J2687" s="444">
        <f t="array" ref="J2687">IFERROR(INDEX('Retirement Calculator'!J:J,MATCH('Isaac 401k'!N2687,'Retirement Calculator'!A:A,0),0),0)</f>
        <v>0</v>
      </c>
      <c r="K2687" s="444">
        <f t="shared" ca="1" si="151"/>
        <v>4778679.1190906567</v>
      </c>
      <c r="L2687" s="444">
        <f t="shared" ca="1" si="152"/>
        <v>1151661667.7008481</v>
      </c>
      <c r="M2687" s="460">
        <f t="shared" si="154"/>
        <v>0.05</v>
      </c>
      <c r="N2687" s="464">
        <f t="shared" si="155"/>
        <v>132828</v>
      </c>
    </row>
    <row r="2688" spans="7:14" ht="11.25" customHeight="1" x14ac:dyDescent="0.3">
      <c r="G2688" s="459"/>
      <c r="H2688" s="459">
        <v>2681</v>
      </c>
      <c r="I2688" s="444">
        <f t="shared" ca="1" si="153"/>
        <v>1151661667.7008481</v>
      </c>
      <c r="J2688" s="444">
        <f t="array" ref="J2688">IFERROR(INDEX('Retirement Calculator'!J:J,MATCH('Isaac 401k'!N2688,'Retirement Calculator'!A:A,0),0),0)</f>
        <v>0</v>
      </c>
      <c r="K2688" s="444">
        <f t="shared" ca="1" si="151"/>
        <v>4798590.2820868669</v>
      </c>
      <c r="L2688" s="444">
        <f t="shared" ca="1" si="152"/>
        <v>1156460257.982935</v>
      </c>
      <c r="M2688" s="460">
        <f t="shared" si="154"/>
        <v>0.05</v>
      </c>
      <c r="N2688" s="464">
        <f t="shared" si="155"/>
        <v>132858</v>
      </c>
    </row>
    <row r="2689" spans="7:14" ht="11.25" customHeight="1" x14ac:dyDescent="0.3">
      <c r="G2689" s="459"/>
      <c r="H2689" s="459">
        <v>2682</v>
      </c>
      <c r="I2689" s="444">
        <f t="shared" ca="1" si="153"/>
        <v>1156460257.982935</v>
      </c>
      <c r="J2689" s="444">
        <f t="array" ref="J2689">IFERROR(INDEX('Retirement Calculator'!J:J,MATCH('Isaac 401k'!N2689,'Retirement Calculator'!A:A,0),0),0)</f>
        <v>0</v>
      </c>
      <c r="K2689" s="444">
        <f t="shared" ca="1" si="151"/>
        <v>4818584.4082622286</v>
      </c>
      <c r="L2689" s="444">
        <f t="shared" ca="1" si="152"/>
        <v>1161278842.3911972</v>
      </c>
      <c r="M2689" s="460">
        <f t="shared" si="154"/>
        <v>0.05</v>
      </c>
      <c r="N2689" s="464">
        <f t="shared" si="155"/>
        <v>132889</v>
      </c>
    </row>
    <row r="2690" spans="7:14" ht="11.25" customHeight="1" x14ac:dyDescent="0.3">
      <c r="G2690" s="459"/>
      <c r="H2690" s="459">
        <v>2683</v>
      </c>
      <c r="I2690" s="444">
        <f t="shared" ca="1" si="153"/>
        <v>1161278842.3911972</v>
      </c>
      <c r="J2690" s="444">
        <f t="array" ref="J2690">IFERROR(INDEX('Retirement Calculator'!J:J,MATCH('Isaac 401k'!N2690,'Retirement Calculator'!A:A,0),0),0)</f>
        <v>0</v>
      </c>
      <c r="K2690" s="444">
        <f t="shared" ca="1" si="151"/>
        <v>4838661.8432966545</v>
      </c>
      <c r="L2690" s="444">
        <f t="shared" ca="1" si="152"/>
        <v>1166117504.234494</v>
      </c>
      <c r="M2690" s="460">
        <f t="shared" si="154"/>
        <v>0.05</v>
      </c>
      <c r="N2690" s="464">
        <f t="shared" si="155"/>
        <v>132919</v>
      </c>
    </row>
    <row r="2691" spans="7:14" ht="11.25" customHeight="1" x14ac:dyDescent="0.3">
      <c r="G2691" s="459"/>
      <c r="H2691" s="459">
        <v>2684</v>
      </c>
      <c r="I2691" s="444">
        <f t="shared" ca="1" si="153"/>
        <v>1166117504.234494</v>
      </c>
      <c r="J2691" s="444">
        <f t="array" ref="J2691">IFERROR(INDEX('Retirement Calculator'!J:J,MATCH('Isaac 401k'!N2691,'Retirement Calculator'!A:A,0),0),0)</f>
        <v>0</v>
      </c>
      <c r="K2691" s="444">
        <f t="shared" ca="1" si="151"/>
        <v>4858822.9343103915</v>
      </c>
      <c r="L2691" s="444">
        <f t="shared" ca="1" si="152"/>
        <v>1170976327.1688044</v>
      </c>
      <c r="M2691" s="460">
        <f t="shared" si="154"/>
        <v>0.05</v>
      </c>
      <c r="N2691" s="464">
        <f t="shared" si="155"/>
        <v>132950</v>
      </c>
    </row>
    <row r="2692" spans="7:14" ht="11.25" customHeight="1" x14ac:dyDescent="0.3">
      <c r="G2692" s="459"/>
      <c r="H2692" s="459">
        <v>2685</v>
      </c>
      <c r="I2692" s="444">
        <f t="shared" ca="1" si="153"/>
        <v>1170976327.1688044</v>
      </c>
      <c r="J2692" s="444">
        <f t="array" ref="J2692">IFERROR(INDEX('Retirement Calculator'!J:J,MATCH('Isaac 401k'!N2692,'Retirement Calculator'!A:A,0),0),0)</f>
        <v>0</v>
      </c>
      <c r="K2692" s="444">
        <f t="shared" ca="1" si="151"/>
        <v>4879068.0298700184</v>
      </c>
      <c r="L2692" s="444">
        <f t="shared" ca="1" si="152"/>
        <v>1175855395.1986744</v>
      </c>
      <c r="M2692" s="460">
        <f t="shared" si="154"/>
        <v>0.05</v>
      </c>
      <c r="N2692" s="464">
        <f t="shared" si="155"/>
        <v>132981</v>
      </c>
    </row>
    <row r="2693" spans="7:14" ht="11.25" customHeight="1" x14ac:dyDescent="0.3">
      <c r="G2693" s="459"/>
      <c r="H2693" s="459">
        <v>2686</v>
      </c>
      <c r="I2693" s="444">
        <f t="shared" ca="1" si="153"/>
        <v>1175855395.1986744</v>
      </c>
      <c r="J2693" s="444">
        <f t="array" ref="J2693">IFERROR(INDEX('Retirement Calculator'!J:J,MATCH('Isaac 401k'!N2693,'Retirement Calculator'!A:A,0),0),0)</f>
        <v>0</v>
      </c>
      <c r="K2693" s="444">
        <f t="shared" ca="1" si="151"/>
        <v>4899397.4799944768</v>
      </c>
      <c r="L2693" s="444">
        <f t="shared" ca="1" si="152"/>
        <v>1180754792.678669</v>
      </c>
      <c r="M2693" s="460">
        <f t="shared" si="154"/>
        <v>0.05</v>
      </c>
      <c r="N2693" s="464">
        <f t="shared" si="155"/>
        <v>133010</v>
      </c>
    </row>
    <row r="2694" spans="7:14" ht="11.25" customHeight="1" x14ac:dyDescent="0.3">
      <c r="G2694" s="459"/>
      <c r="H2694" s="459">
        <v>2687</v>
      </c>
      <c r="I2694" s="444">
        <f t="shared" ca="1" si="153"/>
        <v>1180754792.678669</v>
      </c>
      <c r="J2694" s="444">
        <f t="array" ref="J2694">IFERROR(INDEX('Retirement Calculator'!J:J,MATCH('Isaac 401k'!N2694,'Retirement Calculator'!A:A,0),0),0)</f>
        <v>0</v>
      </c>
      <c r="K2694" s="444">
        <f t="shared" ca="1" si="151"/>
        <v>4919811.6361611206</v>
      </c>
      <c r="L2694" s="444">
        <f t="shared" ca="1" si="152"/>
        <v>1185674604.3148301</v>
      </c>
      <c r="M2694" s="460">
        <f t="shared" si="154"/>
        <v>0.05</v>
      </c>
      <c r="N2694" s="464">
        <f t="shared" si="155"/>
        <v>133041</v>
      </c>
    </row>
    <row r="2695" spans="7:14" ht="11.25" customHeight="1" x14ac:dyDescent="0.3">
      <c r="G2695" s="459"/>
      <c r="H2695" s="459">
        <v>2688</v>
      </c>
      <c r="I2695" s="444">
        <f t="shared" ca="1" si="153"/>
        <v>1185674604.3148301</v>
      </c>
      <c r="J2695" s="444">
        <f t="array" ref="J2695">IFERROR(INDEX('Retirement Calculator'!J:J,MATCH('Isaac 401k'!N2695,'Retirement Calculator'!A:A,0),0),0)</f>
        <v>0</v>
      </c>
      <c r="K2695" s="444">
        <f t="shared" ca="1" si="151"/>
        <v>4940310.8513117917</v>
      </c>
      <c r="L2695" s="444">
        <f t="shared" ca="1" si="152"/>
        <v>1190614915.1661417</v>
      </c>
      <c r="M2695" s="460">
        <f t="shared" si="154"/>
        <v>0.05</v>
      </c>
      <c r="N2695" s="464">
        <f t="shared" si="155"/>
        <v>133071</v>
      </c>
    </row>
    <row r="2696" spans="7:14" ht="11.25" customHeight="1" x14ac:dyDescent="0.3">
      <c r="G2696" s="459"/>
      <c r="H2696" s="459">
        <v>2689</v>
      </c>
      <c r="I2696" s="444">
        <f t="shared" ca="1" si="153"/>
        <v>1190614915.1661417</v>
      </c>
      <c r="J2696" s="444">
        <f t="array" ref="J2696">IFERROR(INDEX('Retirement Calculator'!J:J,MATCH('Isaac 401k'!N2696,'Retirement Calculator'!A:A,0),0),0)</f>
        <v>0</v>
      </c>
      <c r="K2696" s="444">
        <f t="shared" ca="1" si="151"/>
        <v>4960895.4798589237</v>
      </c>
      <c r="L2696" s="444">
        <f t="shared" ca="1" si="152"/>
        <v>1195575810.6460006</v>
      </c>
      <c r="M2696" s="460">
        <f t="shared" si="154"/>
        <v>0.05</v>
      </c>
      <c r="N2696" s="464">
        <f t="shared" si="155"/>
        <v>133102</v>
      </c>
    </row>
    <row r="2697" spans="7:14" ht="11.25" customHeight="1" x14ac:dyDescent="0.3">
      <c r="G2697" s="459"/>
      <c r="H2697" s="459">
        <v>2690</v>
      </c>
      <c r="I2697" s="444">
        <f t="shared" ca="1" si="153"/>
        <v>1195575810.6460006</v>
      </c>
      <c r="J2697" s="444">
        <f t="array" ref="J2697">IFERROR(INDEX('Retirement Calculator'!J:J,MATCH('Isaac 401k'!N2697,'Retirement Calculator'!A:A,0),0),0)</f>
        <v>0</v>
      </c>
      <c r="K2697" s="444">
        <f t="shared" ca="1" si="151"/>
        <v>4981565.8776916694</v>
      </c>
      <c r="L2697" s="444">
        <f t="shared" ca="1" si="152"/>
        <v>1200557376.5236924</v>
      </c>
      <c r="M2697" s="460">
        <f t="shared" si="154"/>
        <v>0.05</v>
      </c>
      <c r="N2697" s="464">
        <f t="shared" si="155"/>
        <v>133132</v>
      </c>
    </row>
    <row r="2698" spans="7:14" ht="11.25" customHeight="1" x14ac:dyDescent="0.3">
      <c r="G2698" s="459"/>
      <c r="H2698" s="459">
        <v>2691</v>
      </c>
      <c r="I2698" s="444">
        <f t="shared" ca="1" si="153"/>
        <v>1200557376.5236924</v>
      </c>
      <c r="J2698" s="444">
        <f t="array" ref="J2698">IFERROR(INDEX('Retirement Calculator'!J:J,MATCH('Isaac 401k'!N2698,'Retirement Calculator'!A:A,0),0),0)</f>
        <v>0</v>
      </c>
      <c r="K2698" s="444">
        <f t="shared" ca="1" si="151"/>
        <v>5002322.4021820519</v>
      </c>
      <c r="L2698" s="444">
        <f t="shared" ca="1" si="152"/>
        <v>1205559698.9258745</v>
      </c>
      <c r="M2698" s="460">
        <f t="shared" si="154"/>
        <v>0.05</v>
      </c>
      <c r="N2698" s="464">
        <f t="shared" si="155"/>
        <v>133163</v>
      </c>
    </row>
    <row r="2699" spans="7:14" ht="11.25" customHeight="1" x14ac:dyDescent="0.3">
      <c r="G2699" s="459"/>
      <c r="H2699" s="459">
        <v>2692</v>
      </c>
      <c r="I2699" s="444">
        <f t="shared" ca="1" si="153"/>
        <v>1205559698.9258745</v>
      </c>
      <c r="J2699" s="444">
        <f t="array" ref="J2699">IFERROR(INDEX('Retirement Calculator'!J:J,MATCH('Isaac 401k'!N2699,'Retirement Calculator'!A:A,0),0),0)</f>
        <v>0</v>
      </c>
      <c r="K2699" s="444">
        <f t="shared" ca="1" si="151"/>
        <v>5023165.4121911433</v>
      </c>
      <c r="L2699" s="444">
        <f t="shared" ca="1" si="152"/>
        <v>1210582864.3380656</v>
      </c>
      <c r="M2699" s="460">
        <f t="shared" si="154"/>
        <v>0.05</v>
      </c>
      <c r="N2699" s="464">
        <f t="shared" si="155"/>
        <v>133194</v>
      </c>
    </row>
    <row r="2700" spans="7:14" ht="11.25" customHeight="1" x14ac:dyDescent="0.3">
      <c r="G2700" s="459"/>
      <c r="H2700" s="459">
        <v>2693</v>
      </c>
      <c r="I2700" s="444">
        <f t="shared" ca="1" si="153"/>
        <v>1210582864.3380656</v>
      </c>
      <c r="J2700" s="444">
        <f t="array" ref="J2700">IFERROR(INDEX('Retirement Calculator'!J:J,MATCH('Isaac 401k'!N2700,'Retirement Calculator'!A:A,0),0),0)</f>
        <v>0</v>
      </c>
      <c r="K2700" s="444">
        <f t="shared" ca="1" si="151"/>
        <v>5044095.2680752734</v>
      </c>
      <c r="L2700" s="444">
        <f t="shared" ca="1" si="152"/>
        <v>1215626959.6061409</v>
      </c>
      <c r="M2700" s="460">
        <f t="shared" si="154"/>
        <v>0.05</v>
      </c>
      <c r="N2700" s="464">
        <f t="shared" si="155"/>
        <v>133224</v>
      </c>
    </row>
    <row r="2701" spans="7:14" ht="11.25" customHeight="1" x14ac:dyDescent="0.3">
      <c r="G2701" s="459"/>
      <c r="H2701" s="459">
        <v>2694</v>
      </c>
      <c r="I2701" s="444">
        <f t="shared" ca="1" si="153"/>
        <v>1215626959.6061409</v>
      </c>
      <c r="J2701" s="444">
        <f t="array" ref="J2701">IFERROR(INDEX('Retirement Calculator'!J:J,MATCH('Isaac 401k'!N2701,'Retirement Calculator'!A:A,0),0),0)</f>
        <v>0</v>
      </c>
      <c r="K2701" s="444">
        <f t="shared" ca="1" si="151"/>
        <v>5065112.3316922532</v>
      </c>
      <c r="L2701" s="444">
        <f t="shared" ca="1" si="152"/>
        <v>1220692071.9378331</v>
      </c>
      <c r="M2701" s="460">
        <f t="shared" si="154"/>
        <v>0.05</v>
      </c>
      <c r="N2701" s="464">
        <f t="shared" si="155"/>
        <v>133255</v>
      </c>
    </row>
    <row r="2702" spans="7:14" ht="11.25" customHeight="1" x14ac:dyDescent="0.3">
      <c r="G2702" s="459"/>
      <c r="H2702" s="459">
        <v>2695</v>
      </c>
      <c r="I2702" s="444">
        <f t="shared" ca="1" si="153"/>
        <v>1220692071.9378331</v>
      </c>
      <c r="J2702" s="444">
        <f t="array" ref="J2702">IFERROR(INDEX('Retirement Calculator'!J:J,MATCH('Isaac 401k'!N2702,'Retirement Calculator'!A:A,0),0),0)</f>
        <v>0</v>
      </c>
      <c r="K2702" s="444">
        <f t="shared" ca="1" si="151"/>
        <v>5086216.966407638</v>
      </c>
      <c r="L2702" s="444">
        <f t="shared" ca="1" si="152"/>
        <v>1225778288.9042406</v>
      </c>
      <c r="M2702" s="460">
        <f t="shared" si="154"/>
        <v>0.05</v>
      </c>
      <c r="N2702" s="464">
        <f t="shared" si="155"/>
        <v>133285</v>
      </c>
    </row>
    <row r="2703" spans="7:14" ht="11.25" customHeight="1" x14ac:dyDescent="0.3">
      <c r="G2703" s="459"/>
      <c r="H2703" s="459">
        <v>2696</v>
      </c>
      <c r="I2703" s="444">
        <f t="shared" ca="1" si="153"/>
        <v>1225778288.9042406</v>
      </c>
      <c r="J2703" s="444">
        <f t="array" ref="J2703">IFERROR(INDEX('Retirement Calculator'!J:J,MATCH('Isaac 401k'!N2703,'Retirement Calculator'!A:A,0),0),0)</f>
        <v>0</v>
      </c>
      <c r="K2703" s="444">
        <f t="shared" ca="1" si="151"/>
        <v>5107409.5371010024</v>
      </c>
      <c r="L2703" s="444">
        <f t="shared" ca="1" si="152"/>
        <v>1230885698.4413416</v>
      </c>
      <c r="M2703" s="460">
        <f t="shared" si="154"/>
        <v>0.05</v>
      </c>
      <c r="N2703" s="464">
        <f t="shared" si="155"/>
        <v>133316</v>
      </c>
    </row>
    <row r="2704" spans="7:14" ht="11.25" customHeight="1" x14ac:dyDescent="0.3">
      <c r="G2704" s="459"/>
      <c r="H2704" s="459">
        <v>2697</v>
      </c>
      <c r="I2704" s="444">
        <f t="shared" ca="1" si="153"/>
        <v>1230885698.4413416</v>
      </c>
      <c r="J2704" s="444">
        <f t="array" ref="J2704">IFERROR(INDEX('Retirement Calculator'!J:J,MATCH('Isaac 401k'!N2704,'Retirement Calculator'!A:A,0),0),0)</f>
        <v>0</v>
      </c>
      <c r="K2704" s="444">
        <f t="shared" ca="1" si="151"/>
        <v>5128690.4101722566</v>
      </c>
      <c r="L2704" s="444">
        <f t="shared" ca="1" si="152"/>
        <v>1236014388.8515139</v>
      </c>
      <c r="M2704" s="460">
        <f t="shared" si="154"/>
        <v>0.05</v>
      </c>
      <c r="N2704" s="464">
        <f t="shared" si="155"/>
        <v>133347</v>
      </c>
    </row>
    <row r="2705" spans="7:14" ht="11.25" customHeight="1" x14ac:dyDescent="0.3">
      <c r="G2705" s="459"/>
      <c r="H2705" s="459">
        <v>2698</v>
      </c>
      <c r="I2705" s="444">
        <f t="shared" ca="1" si="153"/>
        <v>1236014388.8515139</v>
      </c>
      <c r="J2705" s="444">
        <f t="array" ref="J2705">IFERROR(INDEX('Retirement Calculator'!J:J,MATCH('Isaac 401k'!N2705,'Retirement Calculator'!A:A,0),0),0)</f>
        <v>0</v>
      </c>
      <c r="K2705" s="444">
        <f t="shared" ca="1" si="151"/>
        <v>5150059.9535479741</v>
      </c>
      <c r="L2705" s="444">
        <f t="shared" ca="1" si="152"/>
        <v>1241164448.8050618</v>
      </c>
      <c r="M2705" s="460">
        <f t="shared" si="154"/>
        <v>0.05</v>
      </c>
      <c r="N2705" s="464">
        <f t="shared" si="155"/>
        <v>133375</v>
      </c>
    </row>
    <row r="2706" spans="7:14" ht="11.25" customHeight="1" x14ac:dyDescent="0.3">
      <c r="G2706" s="459"/>
      <c r="H2706" s="459">
        <v>2699</v>
      </c>
      <c r="I2706" s="444">
        <f t="shared" ca="1" si="153"/>
        <v>1241164448.8050618</v>
      </c>
      <c r="J2706" s="444">
        <f t="array" ref="J2706">IFERROR(INDEX('Retirement Calculator'!J:J,MATCH('Isaac 401k'!N2706,'Retirement Calculator'!A:A,0),0),0)</f>
        <v>0</v>
      </c>
      <c r="K2706" s="444">
        <f t="shared" ca="1" si="151"/>
        <v>5171518.5366877578</v>
      </c>
      <c r="L2706" s="444">
        <f t="shared" ca="1" si="152"/>
        <v>1246335967.3417497</v>
      </c>
      <c r="M2706" s="460">
        <f t="shared" si="154"/>
        <v>0.05</v>
      </c>
      <c r="N2706" s="464">
        <f t="shared" si="155"/>
        <v>133406</v>
      </c>
    </row>
    <row r="2707" spans="7:14" ht="11.25" customHeight="1" x14ac:dyDescent="0.3">
      <c r="G2707" s="459"/>
      <c r="H2707" s="459">
        <v>2700</v>
      </c>
      <c r="I2707" s="444">
        <f t="shared" ca="1" si="153"/>
        <v>1246335967.3417497</v>
      </c>
      <c r="J2707" s="444">
        <f t="array" ref="J2707">IFERROR(INDEX('Retirement Calculator'!J:J,MATCH('Isaac 401k'!N2707,'Retirement Calculator'!A:A,0),0),0)</f>
        <v>0</v>
      </c>
      <c r="K2707" s="444">
        <f t="shared" ca="1" si="151"/>
        <v>5193066.5305906236</v>
      </c>
      <c r="L2707" s="444">
        <f t="shared" ca="1" si="152"/>
        <v>1251529033.8723402</v>
      </c>
      <c r="M2707" s="460">
        <f t="shared" si="154"/>
        <v>0.05</v>
      </c>
      <c r="N2707" s="464">
        <f t="shared" si="155"/>
        <v>133436</v>
      </c>
    </row>
    <row r="2708" spans="7:14" ht="11.25" customHeight="1" x14ac:dyDescent="0.3">
      <c r="G2708" s="459"/>
      <c r="H2708" s="459">
        <v>2701</v>
      </c>
      <c r="I2708" s="444">
        <f t="shared" ca="1" si="153"/>
        <v>1251529033.8723402</v>
      </c>
      <c r="J2708" s="444">
        <f t="array" ref="J2708">IFERROR(INDEX('Retirement Calculator'!J:J,MATCH('Isaac 401k'!N2708,'Retirement Calculator'!A:A,0),0),0)</f>
        <v>0</v>
      </c>
      <c r="K2708" s="444">
        <f t="shared" ca="1" si="151"/>
        <v>5214704.3078014171</v>
      </c>
      <c r="L2708" s="444">
        <f t="shared" ca="1" si="152"/>
        <v>1256743738.1801417</v>
      </c>
      <c r="M2708" s="460">
        <f t="shared" si="154"/>
        <v>0.05</v>
      </c>
      <c r="N2708" s="464">
        <f t="shared" si="155"/>
        <v>133467</v>
      </c>
    </row>
    <row r="2709" spans="7:14" ht="11.25" customHeight="1" x14ac:dyDescent="0.3">
      <c r="G2709" s="459"/>
      <c r="H2709" s="459">
        <v>2702</v>
      </c>
      <c r="I2709" s="444">
        <f t="shared" ca="1" si="153"/>
        <v>1256743738.1801417</v>
      </c>
      <c r="J2709" s="444">
        <f t="array" ref="J2709">IFERROR(INDEX('Retirement Calculator'!J:J,MATCH('Isaac 401k'!N2709,'Retirement Calculator'!A:A,0),0),0)</f>
        <v>0</v>
      </c>
      <c r="K2709" s="444">
        <f t="shared" ca="1" si="151"/>
        <v>5236432.2424172573</v>
      </c>
      <c r="L2709" s="444">
        <f t="shared" ca="1" si="152"/>
        <v>1261980170.422559</v>
      </c>
      <c r="M2709" s="460">
        <f t="shared" si="154"/>
        <v>0.05</v>
      </c>
      <c r="N2709" s="464">
        <f t="shared" si="155"/>
        <v>133497</v>
      </c>
    </row>
    <row r="2710" spans="7:14" ht="11.25" customHeight="1" x14ac:dyDescent="0.3">
      <c r="G2710" s="459"/>
      <c r="H2710" s="459">
        <v>2703</v>
      </c>
      <c r="I2710" s="444">
        <f t="shared" ca="1" si="153"/>
        <v>1261980170.422559</v>
      </c>
      <c r="J2710" s="444">
        <f t="array" ref="J2710">IFERROR(INDEX('Retirement Calculator'!J:J,MATCH('Isaac 401k'!N2710,'Retirement Calculator'!A:A,0),0),0)</f>
        <v>0</v>
      </c>
      <c r="K2710" s="444">
        <f t="shared" ca="1" si="151"/>
        <v>5258250.7100939956</v>
      </c>
      <c r="L2710" s="444">
        <f t="shared" ca="1" si="152"/>
        <v>1267238421.132653</v>
      </c>
      <c r="M2710" s="460">
        <f t="shared" si="154"/>
        <v>0.05</v>
      </c>
      <c r="N2710" s="464">
        <f t="shared" si="155"/>
        <v>133528</v>
      </c>
    </row>
    <row r="2711" spans="7:14" ht="11.25" customHeight="1" x14ac:dyDescent="0.3">
      <c r="G2711" s="459"/>
      <c r="H2711" s="459">
        <v>2704</v>
      </c>
      <c r="I2711" s="444">
        <f t="shared" ca="1" si="153"/>
        <v>1267238421.132653</v>
      </c>
      <c r="J2711" s="444">
        <f t="array" ref="J2711">IFERROR(INDEX('Retirement Calculator'!J:J,MATCH('Isaac 401k'!N2711,'Retirement Calculator'!A:A,0),0),0)</f>
        <v>0</v>
      </c>
      <c r="K2711" s="444">
        <f t="shared" ca="1" si="151"/>
        <v>5280160.0880527208</v>
      </c>
      <c r="L2711" s="444">
        <f t="shared" ca="1" si="152"/>
        <v>1272518581.2207057</v>
      </c>
      <c r="M2711" s="460">
        <f t="shared" si="154"/>
        <v>0.05</v>
      </c>
      <c r="N2711" s="464">
        <f t="shared" si="155"/>
        <v>133559</v>
      </c>
    </row>
    <row r="2712" spans="7:14" ht="11.25" customHeight="1" x14ac:dyDescent="0.3">
      <c r="G2712" s="459"/>
      <c r="H2712" s="459">
        <v>2705</v>
      </c>
      <c r="I2712" s="444">
        <f t="shared" ca="1" si="153"/>
        <v>1272518581.2207057</v>
      </c>
      <c r="J2712" s="444">
        <f t="array" ref="J2712">IFERROR(INDEX('Retirement Calculator'!J:J,MATCH('Isaac 401k'!N2712,'Retirement Calculator'!A:A,0),0),0)</f>
        <v>0</v>
      </c>
      <c r="K2712" s="444">
        <f t="shared" ca="1" si="151"/>
        <v>5302160.7550862739</v>
      </c>
      <c r="L2712" s="444">
        <f t="shared" ca="1" si="152"/>
        <v>1277820741.9757919</v>
      </c>
      <c r="M2712" s="460">
        <f t="shared" si="154"/>
        <v>0.05</v>
      </c>
      <c r="N2712" s="464">
        <f t="shared" si="155"/>
        <v>133589</v>
      </c>
    </row>
    <row r="2713" spans="7:14" ht="11.25" customHeight="1" x14ac:dyDescent="0.3">
      <c r="G2713" s="459"/>
      <c r="H2713" s="459">
        <v>2706</v>
      </c>
      <c r="I2713" s="444">
        <f t="shared" ca="1" si="153"/>
        <v>1277820741.9757919</v>
      </c>
      <c r="J2713" s="444">
        <f t="array" ref="J2713">IFERROR(INDEX('Retirement Calculator'!J:J,MATCH('Isaac 401k'!N2713,'Retirement Calculator'!A:A,0),0),0)</f>
        <v>0</v>
      </c>
      <c r="K2713" s="444">
        <f t="shared" ca="1" si="151"/>
        <v>5324253.0915657999</v>
      </c>
      <c r="L2713" s="444">
        <f t="shared" ca="1" si="152"/>
        <v>1283144995.0673578</v>
      </c>
      <c r="M2713" s="460">
        <f t="shared" si="154"/>
        <v>0.05</v>
      </c>
      <c r="N2713" s="464">
        <f t="shared" si="155"/>
        <v>133620</v>
      </c>
    </row>
    <row r="2714" spans="7:14" ht="11.25" customHeight="1" x14ac:dyDescent="0.3">
      <c r="G2714" s="459"/>
      <c r="H2714" s="459">
        <v>2707</v>
      </c>
      <c r="I2714" s="444">
        <f t="shared" ca="1" si="153"/>
        <v>1283144995.0673578</v>
      </c>
      <c r="J2714" s="444">
        <f t="array" ref="J2714">IFERROR(INDEX('Retirement Calculator'!J:J,MATCH('Isaac 401k'!N2714,'Retirement Calculator'!A:A,0),0),0)</f>
        <v>0</v>
      </c>
      <c r="K2714" s="444">
        <f t="shared" ca="1" si="151"/>
        <v>5346437.4794473238</v>
      </c>
      <c r="L2714" s="444">
        <f t="shared" ca="1" si="152"/>
        <v>1288491432.5468051</v>
      </c>
      <c r="M2714" s="460">
        <f t="shared" si="154"/>
        <v>0.05</v>
      </c>
      <c r="N2714" s="464">
        <f t="shared" si="155"/>
        <v>133650</v>
      </c>
    </row>
    <row r="2715" spans="7:14" ht="11.25" customHeight="1" x14ac:dyDescent="0.3">
      <c r="G2715" s="459"/>
      <c r="H2715" s="459">
        <v>2708</v>
      </c>
      <c r="I2715" s="444">
        <f t="shared" ca="1" si="153"/>
        <v>1288491432.5468051</v>
      </c>
      <c r="J2715" s="444">
        <f t="array" ref="J2715">IFERROR(INDEX('Retirement Calculator'!J:J,MATCH('Isaac 401k'!N2715,'Retirement Calculator'!A:A,0),0),0)</f>
        <v>0</v>
      </c>
      <c r="K2715" s="444">
        <f t="shared" ca="1" si="151"/>
        <v>5368714.3022783548</v>
      </c>
      <c r="L2715" s="444">
        <f t="shared" ca="1" si="152"/>
        <v>1293860146.8490834</v>
      </c>
      <c r="M2715" s="460">
        <f t="shared" si="154"/>
        <v>0.05</v>
      </c>
      <c r="N2715" s="464">
        <f t="shared" si="155"/>
        <v>133681</v>
      </c>
    </row>
    <row r="2716" spans="7:14" ht="11.25" customHeight="1" x14ac:dyDescent="0.3">
      <c r="G2716" s="459"/>
      <c r="H2716" s="459">
        <v>2709</v>
      </c>
      <c r="I2716" s="444">
        <f t="shared" ca="1" si="153"/>
        <v>1293860146.8490834</v>
      </c>
      <c r="J2716" s="444">
        <f t="array" ref="J2716">IFERROR(INDEX('Retirement Calculator'!J:J,MATCH('Isaac 401k'!N2716,'Retirement Calculator'!A:A,0),0),0)</f>
        <v>0</v>
      </c>
      <c r="K2716" s="444">
        <f t="shared" ca="1" si="151"/>
        <v>5391083.9452045141</v>
      </c>
      <c r="L2716" s="444">
        <f t="shared" ca="1" si="152"/>
        <v>1299251230.7942879</v>
      </c>
      <c r="M2716" s="460">
        <f t="shared" si="154"/>
        <v>0.05</v>
      </c>
      <c r="N2716" s="464">
        <f t="shared" si="155"/>
        <v>133712</v>
      </c>
    </row>
    <row r="2717" spans="7:14" ht="11.25" customHeight="1" x14ac:dyDescent="0.3">
      <c r="G2717" s="459"/>
      <c r="H2717" s="459">
        <v>2710</v>
      </c>
      <c r="I2717" s="444">
        <f t="shared" ca="1" si="153"/>
        <v>1299251230.7942879</v>
      </c>
      <c r="J2717" s="444">
        <f t="array" ref="J2717">IFERROR(INDEX('Retirement Calculator'!J:J,MATCH('Isaac 401k'!N2717,'Retirement Calculator'!A:A,0),0),0)</f>
        <v>0</v>
      </c>
      <c r="K2717" s="444">
        <f t="shared" ca="1" si="151"/>
        <v>5413546.7949762</v>
      </c>
      <c r="L2717" s="444">
        <f t="shared" ca="1" si="152"/>
        <v>1304664777.5892642</v>
      </c>
      <c r="M2717" s="460">
        <f t="shared" si="154"/>
        <v>0.05</v>
      </c>
      <c r="N2717" s="464">
        <f t="shared" si="155"/>
        <v>133740</v>
      </c>
    </row>
    <row r="2718" spans="7:14" ht="11.25" customHeight="1" x14ac:dyDescent="0.3">
      <c r="G2718" s="459"/>
      <c r="H2718" s="459">
        <v>2711</v>
      </c>
      <c r="I2718" s="444">
        <f t="shared" ca="1" si="153"/>
        <v>1304664777.5892642</v>
      </c>
      <c r="J2718" s="444">
        <f t="array" ref="J2718">IFERROR(INDEX('Retirement Calculator'!J:J,MATCH('Isaac 401k'!N2718,'Retirement Calculator'!A:A,0),0),0)</f>
        <v>0</v>
      </c>
      <c r="K2718" s="444">
        <f t="shared" ca="1" si="151"/>
        <v>5436103.2399552669</v>
      </c>
      <c r="L2718" s="444">
        <f t="shared" ca="1" si="152"/>
        <v>1310100880.8292193</v>
      </c>
      <c r="M2718" s="460">
        <f t="shared" si="154"/>
        <v>0.05</v>
      </c>
      <c r="N2718" s="464">
        <f t="shared" si="155"/>
        <v>133771</v>
      </c>
    </row>
    <row r="2719" spans="7:14" ht="11.25" customHeight="1" x14ac:dyDescent="0.3">
      <c r="G2719" s="459"/>
      <c r="H2719" s="459">
        <v>2712</v>
      </c>
      <c r="I2719" s="444">
        <f t="shared" ca="1" si="153"/>
        <v>1310100880.8292193</v>
      </c>
      <c r="J2719" s="444">
        <f t="array" ref="J2719">IFERROR(INDEX('Retirement Calculator'!J:J,MATCH('Isaac 401k'!N2719,'Retirement Calculator'!A:A,0),0),0)</f>
        <v>0</v>
      </c>
      <c r="K2719" s="444">
        <f t="shared" ca="1" si="151"/>
        <v>5458753.6701217471</v>
      </c>
      <c r="L2719" s="444">
        <f t="shared" ca="1" si="152"/>
        <v>1315559634.499341</v>
      </c>
      <c r="M2719" s="460">
        <f t="shared" si="154"/>
        <v>0.05</v>
      </c>
      <c r="N2719" s="464">
        <f t="shared" si="155"/>
        <v>133801</v>
      </c>
    </row>
    <row r="2720" spans="7:14" ht="11.25" customHeight="1" x14ac:dyDescent="0.3">
      <c r="G2720" s="459"/>
      <c r="H2720" s="459">
        <v>2713</v>
      </c>
      <c r="I2720" s="444">
        <f t="shared" ca="1" si="153"/>
        <v>1315559634.499341</v>
      </c>
      <c r="J2720" s="444">
        <f t="array" ref="J2720">IFERROR(INDEX('Retirement Calculator'!J:J,MATCH('Isaac 401k'!N2720,'Retirement Calculator'!A:A,0),0),0)</f>
        <v>0</v>
      </c>
      <c r="K2720" s="444">
        <f t="shared" ca="1" si="151"/>
        <v>5481498.4770805873</v>
      </c>
      <c r="L2720" s="444">
        <f t="shared" ca="1" si="152"/>
        <v>1321041132.9764216</v>
      </c>
      <c r="M2720" s="460">
        <f t="shared" si="154"/>
        <v>0.05</v>
      </c>
      <c r="N2720" s="464">
        <f t="shared" si="155"/>
        <v>133832</v>
      </c>
    </row>
    <row r="2721" spans="7:14" ht="11.25" customHeight="1" x14ac:dyDescent="0.3">
      <c r="G2721" s="459"/>
      <c r="H2721" s="459">
        <v>2714</v>
      </c>
      <c r="I2721" s="444">
        <f t="shared" ca="1" si="153"/>
        <v>1321041132.9764216</v>
      </c>
      <c r="J2721" s="444">
        <f t="array" ref="J2721">IFERROR(INDEX('Retirement Calculator'!J:J,MATCH('Isaac 401k'!N2721,'Retirement Calculator'!A:A,0),0),0)</f>
        <v>0</v>
      </c>
      <c r="K2721" s="444">
        <f t="shared" ca="1" si="151"/>
        <v>5504338.0540684229</v>
      </c>
      <c r="L2721" s="444">
        <f t="shared" ca="1" si="152"/>
        <v>1326545471.0304899</v>
      </c>
      <c r="M2721" s="460">
        <f t="shared" si="154"/>
        <v>0.05</v>
      </c>
      <c r="N2721" s="464">
        <f t="shared" si="155"/>
        <v>133862</v>
      </c>
    </row>
    <row r="2722" spans="7:14" ht="11.25" customHeight="1" x14ac:dyDescent="0.3">
      <c r="G2722" s="459"/>
      <c r="H2722" s="459">
        <v>2715</v>
      </c>
      <c r="I2722" s="444">
        <f t="shared" ca="1" si="153"/>
        <v>1326545471.0304899</v>
      </c>
      <c r="J2722" s="444">
        <f t="array" ref="J2722">IFERROR(INDEX('Retirement Calculator'!J:J,MATCH('Isaac 401k'!N2722,'Retirement Calculator'!A:A,0),0),0)</f>
        <v>0</v>
      </c>
      <c r="K2722" s="444">
        <f t="shared" ca="1" si="151"/>
        <v>5527272.7959603742</v>
      </c>
      <c r="L2722" s="444">
        <f t="shared" ca="1" si="152"/>
        <v>1332072743.8264503</v>
      </c>
      <c r="M2722" s="460">
        <f t="shared" si="154"/>
        <v>0.05</v>
      </c>
      <c r="N2722" s="464">
        <f t="shared" si="155"/>
        <v>133893</v>
      </c>
    </row>
    <row r="2723" spans="7:14" ht="11.25" customHeight="1" x14ac:dyDescent="0.3">
      <c r="G2723" s="459"/>
      <c r="H2723" s="459">
        <v>2716</v>
      </c>
      <c r="I2723" s="444">
        <f t="shared" ca="1" si="153"/>
        <v>1332072743.8264503</v>
      </c>
      <c r="J2723" s="444">
        <f t="array" ref="J2723">IFERROR(INDEX('Retirement Calculator'!J:J,MATCH('Isaac 401k'!N2723,'Retirement Calculator'!A:A,0),0),0)</f>
        <v>0</v>
      </c>
      <c r="K2723" s="444">
        <f t="shared" ca="1" si="151"/>
        <v>5550303.0992768761</v>
      </c>
      <c r="L2723" s="444">
        <f t="shared" ca="1" si="152"/>
        <v>1337623046.9257271</v>
      </c>
      <c r="M2723" s="460">
        <f t="shared" si="154"/>
        <v>0.05</v>
      </c>
      <c r="N2723" s="464">
        <f t="shared" si="155"/>
        <v>133924</v>
      </c>
    </row>
    <row r="2724" spans="7:14" ht="11.25" customHeight="1" x14ac:dyDescent="0.3">
      <c r="G2724" s="459"/>
      <c r="H2724" s="459">
        <v>2717</v>
      </c>
      <c r="I2724" s="444">
        <f t="shared" ca="1" si="153"/>
        <v>1337623046.9257271</v>
      </c>
      <c r="J2724" s="444">
        <f t="array" ref="J2724">IFERROR(INDEX('Retirement Calculator'!J:J,MATCH('Isaac 401k'!N2724,'Retirement Calculator'!A:A,0),0),0)</f>
        <v>0</v>
      </c>
      <c r="K2724" s="444">
        <f t="shared" ca="1" si="151"/>
        <v>5573429.3621905297</v>
      </c>
      <c r="L2724" s="444">
        <f t="shared" ca="1" si="152"/>
        <v>1343196476.2879176</v>
      </c>
      <c r="M2724" s="460">
        <f t="shared" si="154"/>
        <v>0.05</v>
      </c>
      <c r="N2724" s="464">
        <f t="shared" si="155"/>
        <v>133954</v>
      </c>
    </row>
    <row r="2725" spans="7:14" ht="11.25" customHeight="1" x14ac:dyDescent="0.3">
      <c r="G2725" s="459"/>
      <c r="H2725" s="459">
        <v>2718</v>
      </c>
      <c r="I2725" s="444">
        <f t="shared" ca="1" si="153"/>
        <v>1343196476.2879176</v>
      </c>
      <c r="J2725" s="444">
        <f t="array" ref="J2725">IFERROR(INDEX('Retirement Calculator'!J:J,MATCH('Isaac 401k'!N2725,'Retirement Calculator'!A:A,0),0),0)</f>
        <v>0</v>
      </c>
      <c r="K2725" s="444">
        <f t="shared" ca="1" si="151"/>
        <v>5596651.9845329896</v>
      </c>
      <c r="L2725" s="444">
        <f t="shared" ca="1" si="152"/>
        <v>1348793128.2724507</v>
      </c>
      <c r="M2725" s="460">
        <f t="shared" si="154"/>
        <v>0.05</v>
      </c>
      <c r="N2725" s="464">
        <f t="shared" si="155"/>
        <v>133985</v>
      </c>
    </row>
    <row r="2726" spans="7:14" ht="11.25" customHeight="1" x14ac:dyDescent="0.3">
      <c r="G2726" s="459"/>
      <c r="H2726" s="459">
        <v>2719</v>
      </c>
      <c r="I2726" s="444">
        <f t="shared" ca="1" si="153"/>
        <v>1348793128.2724507</v>
      </c>
      <c r="J2726" s="444">
        <f t="array" ref="J2726">IFERROR(INDEX('Retirement Calculator'!J:J,MATCH('Isaac 401k'!N2726,'Retirement Calculator'!A:A,0),0),0)</f>
        <v>0</v>
      </c>
      <c r="K2726" s="444">
        <f t="shared" ca="1" si="151"/>
        <v>5619971.3678018777</v>
      </c>
      <c r="L2726" s="444">
        <f t="shared" ca="1" si="152"/>
        <v>1354413099.6402526</v>
      </c>
      <c r="M2726" s="460">
        <f t="shared" si="154"/>
        <v>0.05</v>
      </c>
      <c r="N2726" s="464">
        <f t="shared" si="155"/>
        <v>134015</v>
      </c>
    </row>
    <row r="2727" spans="7:14" ht="11.25" customHeight="1" x14ac:dyDescent="0.3">
      <c r="G2727" s="459"/>
      <c r="H2727" s="459">
        <v>2720</v>
      </c>
      <c r="I2727" s="444">
        <f t="shared" ca="1" si="153"/>
        <v>1354413099.6402526</v>
      </c>
      <c r="J2727" s="444">
        <f t="array" ref="J2727">IFERROR(INDEX('Retirement Calculator'!J:J,MATCH('Isaac 401k'!N2727,'Retirement Calculator'!A:A,0),0),0)</f>
        <v>0</v>
      </c>
      <c r="K2727" s="444">
        <f t="shared" ca="1" si="151"/>
        <v>5643387.9151677191</v>
      </c>
      <c r="L2727" s="444">
        <f t="shared" ca="1" si="152"/>
        <v>1360056487.5554204</v>
      </c>
      <c r="M2727" s="460">
        <f t="shared" si="154"/>
        <v>0.05</v>
      </c>
      <c r="N2727" s="464">
        <f t="shared" si="155"/>
        <v>134046</v>
      </c>
    </row>
    <row r="2728" spans="7:14" ht="11.25" customHeight="1" x14ac:dyDescent="0.3">
      <c r="G2728" s="459"/>
      <c r="H2728" s="459">
        <v>2721</v>
      </c>
      <c r="I2728" s="444">
        <f t="shared" ca="1" si="153"/>
        <v>1360056487.5554204</v>
      </c>
      <c r="J2728" s="444">
        <f t="array" ref="J2728">IFERROR(INDEX('Retirement Calculator'!J:J,MATCH('Isaac 401k'!N2728,'Retirement Calculator'!A:A,0),0),0)</f>
        <v>0</v>
      </c>
      <c r="K2728" s="444">
        <f t="shared" ca="1" si="151"/>
        <v>5666902.0314809186</v>
      </c>
      <c r="L2728" s="444">
        <f t="shared" ca="1" si="152"/>
        <v>1365723389.5869014</v>
      </c>
      <c r="M2728" s="460">
        <f t="shared" si="154"/>
        <v>0.05</v>
      </c>
      <c r="N2728" s="464">
        <f t="shared" si="155"/>
        <v>134077</v>
      </c>
    </row>
    <row r="2729" spans="7:14" ht="11.25" customHeight="1" x14ac:dyDescent="0.3">
      <c r="G2729" s="459"/>
      <c r="H2729" s="459">
        <v>2722</v>
      </c>
      <c r="I2729" s="444">
        <f t="shared" ca="1" si="153"/>
        <v>1365723389.5869014</v>
      </c>
      <c r="J2729" s="444">
        <f t="array" ref="J2729">IFERROR(INDEX('Retirement Calculator'!J:J,MATCH('Isaac 401k'!N2729,'Retirement Calculator'!A:A,0),0),0)</f>
        <v>0</v>
      </c>
      <c r="K2729" s="444">
        <f t="shared" ca="1" si="151"/>
        <v>5690514.1232787557</v>
      </c>
      <c r="L2729" s="444">
        <f t="shared" ca="1" si="152"/>
        <v>1371413903.7101803</v>
      </c>
      <c r="M2729" s="460">
        <f t="shared" si="154"/>
        <v>0.05</v>
      </c>
      <c r="N2729" s="464">
        <f t="shared" si="155"/>
        <v>134105</v>
      </c>
    </row>
    <row r="2730" spans="7:14" ht="11.25" customHeight="1" x14ac:dyDescent="0.3">
      <c r="G2730" s="459"/>
      <c r="H2730" s="459">
        <v>2723</v>
      </c>
      <c r="I2730" s="444">
        <f t="shared" ca="1" si="153"/>
        <v>1371413903.7101803</v>
      </c>
      <c r="J2730" s="444">
        <f t="array" ref="J2730">IFERROR(INDEX('Retirement Calculator'!J:J,MATCH('Isaac 401k'!N2730,'Retirement Calculator'!A:A,0),0),0)</f>
        <v>0</v>
      </c>
      <c r="K2730" s="444">
        <f t="shared" ca="1" si="151"/>
        <v>5714224.5987924179</v>
      </c>
      <c r="L2730" s="444">
        <f t="shared" ca="1" si="152"/>
        <v>1377128128.3089726</v>
      </c>
      <c r="M2730" s="460">
        <f t="shared" si="154"/>
        <v>0.05</v>
      </c>
      <c r="N2730" s="464">
        <f t="shared" si="155"/>
        <v>134136</v>
      </c>
    </row>
    <row r="2731" spans="7:14" ht="11.25" customHeight="1" x14ac:dyDescent="0.3">
      <c r="G2731" s="459"/>
      <c r="H2731" s="459">
        <v>2724</v>
      </c>
      <c r="I2731" s="444">
        <f t="shared" ca="1" si="153"/>
        <v>1377128128.3089726</v>
      </c>
      <c r="J2731" s="444">
        <f t="array" ref="J2731">IFERROR(INDEX('Retirement Calculator'!J:J,MATCH('Isaac 401k'!N2731,'Retirement Calculator'!A:A,0),0),0)</f>
        <v>0</v>
      </c>
      <c r="K2731" s="444">
        <f t="shared" ca="1" si="151"/>
        <v>5738033.8679540521</v>
      </c>
      <c r="L2731" s="444">
        <f t="shared" ca="1" si="152"/>
        <v>1382866162.1769266</v>
      </c>
      <c r="M2731" s="460">
        <f t="shared" si="154"/>
        <v>0.05</v>
      </c>
      <c r="N2731" s="464">
        <f t="shared" si="155"/>
        <v>134166</v>
      </c>
    </row>
    <row r="2732" spans="7:14" ht="11.25" customHeight="1" x14ac:dyDescent="0.3">
      <c r="G2732" s="459"/>
      <c r="H2732" s="459">
        <v>2725</v>
      </c>
      <c r="I2732" s="444">
        <f t="shared" ca="1" si="153"/>
        <v>1382866162.1769266</v>
      </c>
      <c r="J2732" s="444">
        <f t="array" ref="J2732">IFERROR(INDEX('Retirement Calculator'!J:J,MATCH('Isaac 401k'!N2732,'Retirement Calculator'!A:A,0),0),0)</f>
        <v>0</v>
      </c>
      <c r="K2732" s="444">
        <f t="shared" ca="1" si="151"/>
        <v>5761942.3424038608</v>
      </c>
      <c r="L2732" s="444">
        <f t="shared" ca="1" si="152"/>
        <v>1388628104.5193305</v>
      </c>
      <c r="M2732" s="460">
        <f t="shared" si="154"/>
        <v>0.05</v>
      </c>
      <c r="N2732" s="464">
        <f t="shared" si="155"/>
        <v>134197</v>
      </c>
    </row>
    <row r="2733" spans="7:14" ht="11.25" customHeight="1" x14ac:dyDescent="0.3">
      <c r="G2733" s="459"/>
      <c r="H2733" s="459">
        <v>2726</v>
      </c>
      <c r="I2733" s="444">
        <f t="shared" ca="1" si="153"/>
        <v>1388628104.5193305</v>
      </c>
      <c r="J2733" s="444">
        <f t="array" ref="J2733">IFERROR(INDEX('Retirement Calculator'!J:J,MATCH('Isaac 401k'!N2733,'Retirement Calculator'!A:A,0),0),0)</f>
        <v>0</v>
      </c>
      <c r="K2733" s="444">
        <f t="shared" ca="1" si="151"/>
        <v>5785950.4354972104</v>
      </c>
      <c r="L2733" s="444">
        <f t="shared" ca="1" si="152"/>
        <v>1394414054.9548278</v>
      </c>
      <c r="M2733" s="460">
        <f t="shared" si="154"/>
        <v>0.05</v>
      </c>
      <c r="N2733" s="464">
        <f t="shared" si="155"/>
        <v>134227</v>
      </c>
    </row>
    <row r="2734" spans="7:14" ht="11.25" customHeight="1" x14ac:dyDescent="0.3">
      <c r="G2734" s="459"/>
      <c r="H2734" s="459">
        <v>2727</v>
      </c>
      <c r="I2734" s="444">
        <f t="shared" ca="1" si="153"/>
        <v>1394414054.9548278</v>
      </c>
      <c r="J2734" s="444">
        <f t="array" ref="J2734">IFERROR(INDEX('Retirement Calculator'!J:J,MATCH('Isaac 401k'!N2734,'Retirement Calculator'!A:A,0),0),0)</f>
        <v>0</v>
      </c>
      <c r="K2734" s="444">
        <f t="shared" ca="1" si="151"/>
        <v>5810058.5623117825</v>
      </c>
      <c r="L2734" s="444">
        <f t="shared" ca="1" si="152"/>
        <v>1400224113.5171397</v>
      </c>
      <c r="M2734" s="460">
        <f t="shared" si="154"/>
        <v>0.05</v>
      </c>
      <c r="N2734" s="464">
        <f t="shared" si="155"/>
        <v>134258</v>
      </c>
    </row>
    <row r="2735" spans="7:14" ht="11.25" customHeight="1" x14ac:dyDescent="0.3">
      <c r="G2735" s="459"/>
      <c r="H2735" s="459">
        <v>2728</v>
      </c>
      <c r="I2735" s="444">
        <f t="shared" ca="1" si="153"/>
        <v>1400224113.5171397</v>
      </c>
      <c r="J2735" s="444">
        <f t="array" ref="J2735">IFERROR(INDEX('Retirement Calculator'!J:J,MATCH('Isaac 401k'!N2735,'Retirement Calculator'!A:A,0),0),0)</f>
        <v>0</v>
      </c>
      <c r="K2735" s="444">
        <f t="shared" ca="1" si="151"/>
        <v>5834267.1396547481</v>
      </c>
      <c r="L2735" s="444">
        <f t="shared" ca="1" si="152"/>
        <v>1406058380.6567943</v>
      </c>
      <c r="M2735" s="460">
        <f t="shared" si="154"/>
        <v>0.05</v>
      </c>
      <c r="N2735" s="464">
        <f t="shared" si="155"/>
        <v>134289</v>
      </c>
    </row>
    <row r="2736" spans="7:14" ht="11.25" customHeight="1" x14ac:dyDescent="0.3">
      <c r="G2736" s="459"/>
      <c r="H2736" s="459">
        <v>2729</v>
      </c>
      <c r="I2736" s="444">
        <f t="shared" ca="1" si="153"/>
        <v>1406058380.6567943</v>
      </c>
      <c r="J2736" s="444">
        <f t="array" ref="J2736">IFERROR(INDEX('Retirement Calculator'!J:J,MATCH('Isaac 401k'!N2736,'Retirement Calculator'!A:A,0),0),0)</f>
        <v>0</v>
      </c>
      <c r="K2736" s="444">
        <f t="shared" ca="1" si="151"/>
        <v>5858576.586069976</v>
      </c>
      <c r="L2736" s="444">
        <f t="shared" ca="1" si="152"/>
        <v>1411916957.2428644</v>
      </c>
      <c r="M2736" s="460">
        <f t="shared" si="154"/>
        <v>0.05</v>
      </c>
      <c r="N2736" s="464">
        <f t="shared" si="155"/>
        <v>134319</v>
      </c>
    </row>
    <row r="2737" spans="7:14" ht="11.25" customHeight="1" x14ac:dyDescent="0.3">
      <c r="G2737" s="459"/>
      <c r="H2737" s="459">
        <v>2730</v>
      </c>
      <c r="I2737" s="444">
        <f t="shared" ca="1" si="153"/>
        <v>1411916957.2428644</v>
      </c>
      <c r="J2737" s="444">
        <f t="array" ref="J2737">IFERROR(INDEX('Retirement Calculator'!J:J,MATCH('Isaac 401k'!N2737,'Retirement Calculator'!A:A,0),0),0)</f>
        <v>0</v>
      </c>
      <c r="K2737" s="444">
        <f t="shared" ca="1" si="151"/>
        <v>5882987.3218452679</v>
      </c>
      <c r="L2737" s="444">
        <f t="shared" ca="1" si="152"/>
        <v>1417799944.5647097</v>
      </c>
      <c r="M2737" s="460">
        <f t="shared" si="154"/>
        <v>0.05</v>
      </c>
      <c r="N2737" s="464">
        <f t="shared" si="155"/>
        <v>134350</v>
      </c>
    </row>
    <row r="2738" spans="7:14" ht="11.25" customHeight="1" x14ac:dyDescent="0.3">
      <c r="G2738" s="459"/>
      <c r="H2738" s="459">
        <v>2731</v>
      </c>
      <c r="I2738" s="444">
        <f t="shared" ca="1" si="153"/>
        <v>1417799944.5647097</v>
      </c>
      <c r="J2738" s="444">
        <f t="array" ref="J2738">IFERROR(INDEX('Retirement Calculator'!J:J,MATCH('Isaac 401k'!N2738,'Retirement Calculator'!A:A,0),0),0)</f>
        <v>0</v>
      </c>
      <c r="K2738" s="444">
        <f t="shared" ca="1" si="151"/>
        <v>5907499.7690196233</v>
      </c>
      <c r="L2738" s="444">
        <f t="shared" ca="1" si="152"/>
        <v>1423707444.3337293</v>
      </c>
      <c r="M2738" s="460">
        <f t="shared" si="154"/>
        <v>0.05</v>
      </c>
      <c r="N2738" s="464">
        <f t="shared" si="155"/>
        <v>134380</v>
      </c>
    </row>
    <row r="2739" spans="7:14" ht="11.25" customHeight="1" x14ac:dyDescent="0.3">
      <c r="G2739" s="459"/>
      <c r="H2739" s="459">
        <v>2732</v>
      </c>
      <c r="I2739" s="444">
        <f t="shared" ca="1" si="153"/>
        <v>1423707444.3337293</v>
      </c>
      <c r="J2739" s="444">
        <f t="array" ref="J2739">IFERROR(INDEX('Retirement Calculator'!J:J,MATCH('Isaac 401k'!N2739,'Retirement Calculator'!A:A,0),0),0)</f>
        <v>0</v>
      </c>
      <c r="K2739" s="444">
        <f t="shared" ca="1" si="151"/>
        <v>5932114.3513905387</v>
      </c>
      <c r="L2739" s="444">
        <f t="shared" ca="1" si="152"/>
        <v>1429639558.6851199</v>
      </c>
      <c r="M2739" s="460">
        <f t="shared" si="154"/>
        <v>0.05</v>
      </c>
      <c r="N2739" s="464">
        <f t="shared" si="155"/>
        <v>134411</v>
      </c>
    </row>
    <row r="2740" spans="7:14" ht="11.25" customHeight="1" x14ac:dyDescent="0.3">
      <c r="G2740" s="459"/>
      <c r="H2740" s="459">
        <v>2733</v>
      </c>
      <c r="I2740" s="444">
        <f t="shared" ca="1" si="153"/>
        <v>1429639558.6851199</v>
      </c>
      <c r="J2740" s="444">
        <f t="array" ref="J2740">IFERROR(INDEX('Retirement Calculator'!J:J,MATCH('Isaac 401k'!N2740,'Retirement Calculator'!A:A,0),0),0)</f>
        <v>0</v>
      </c>
      <c r="K2740" s="444">
        <f t="shared" ca="1" si="151"/>
        <v>5956831.4945213329</v>
      </c>
      <c r="L2740" s="444">
        <f t="shared" ca="1" si="152"/>
        <v>1435596390.1796412</v>
      </c>
      <c r="M2740" s="460">
        <f t="shared" si="154"/>
        <v>0.05</v>
      </c>
      <c r="N2740" s="464">
        <f t="shared" si="155"/>
        <v>134442</v>
      </c>
    </row>
    <row r="2741" spans="7:14" ht="11.25" customHeight="1" x14ac:dyDescent="0.3">
      <c r="G2741" s="459"/>
      <c r="H2741" s="459">
        <v>2734</v>
      </c>
      <c r="I2741" s="444">
        <f t="shared" ca="1" si="153"/>
        <v>1435596390.1796412</v>
      </c>
      <c r="J2741" s="444">
        <f t="array" ref="J2741">IFERROR(INDEX('Retirement Calculator'!J:J,MATCH('Isaac 401k'!N2741,'Retirement Calculator'!A:A,0),0),0)</f>
        <v>0</v>
      </c>
      <c r="K2741" s="444">
        <f t="shared" ca="1" si="151"/>
        <v>5981651.6257485049</v>
      </c>
      <c r="L2741" s="444">
        <f t="shared" ca="1" si="152"/>
        <v>1441578041.8053896</v>
      </c>
      <c r="M2741" s="460">
        <f t="shared" si="154"/>
        <v>0.05</v>
      </c>
      <c r="N2741" s="464">
        <f t="shared" si="155"/>
        <v>134471</v>
      </c>
    </row>
    <row r="2742" spans="7:14" ht="11.25" customHeight="1" x14ac:dyDescent="0.3">
      <c r="G2742" s="459"/>
      <c r="H2742" s="459">
        <v>2735</v>
      </c>
      <c r="I2742" s="444">
        <f t="shared" ca="1" si="153"/>
        <v>1441578041.8053896</v>
      </c>
      <c r="J2742" s="444">
        <f t="array" ref="J2742">IFERROR(INDEX('Retirement Calculator'!J:J,MATCH('Isaac 401k'!N2742,'Retirement Calculator'!A:A,0),0),0)</f>
        <v>0</v>
      </c>
      <c r="K2742" s="444">
        <f t="shared" ca="1" si="151"/>
        <v>6006575.1741891233</v>
      </c>
      <c r="L2742" s="444">
        <f t="shared" ca="1" si="152"/>
        <v>1447584616.9795787</v>
      </c>
      <c r="M2742" s="460">
        <f t="shared" si="154"/>
        <v>0.05</v>
      </c>
      <c r="N2742" s="464">
        <f t="shared" si="155"/>
        <v>134502</v>
      </c>
    </row>
    <row r="2743" spans="7:14" ht="11.25" customHeight="1" x14ac:dyDescent="0.3">
      <c r="G2743" s="459"/>
      <c r="H2743" s="459">
        <v>2736</v>
      </c>
      <c r="I2743" s="444">
        <f t="shared" ca="1" si="153"/>
        <v>1447584616.9795787</v>
      </c>
      <c r="J2743" s="444">
        <f t="array" ref="J2743">IFERROR(INDEX('Retirement Calculator'!J:J,MATCH('Isaac 401k'!N2743,'Retirement Calculator'!A:A,0),0),0)</f>
        <v>0</v>
      </c>
      <c r="K2743" s="444">
        <f t="shared" ca="1" si="151"/>
        <v>6031602.5707482444</v>
      </c>
      <c r="L2743" s="444">
        <f t="shared" ca="1" si="152"/>
        <v>1453616219.5503271</v>
      </c>
      <c r="M2743" s="460">
        <f t="shared" si="154"/>
        <v>0.05</v>
      </c>
      <c r="N2743" s="464">
        <f t="shared" si="155"/>
        <v>134532</v>
      </c>
    </row>
    <row r="2744" spans="7:14" ht="11.25" customHeight="1" x14ac:dyDescent="0.3">
      <c r="G2744" s="459"/>
      <c r="H2744" s="459">
        <v>2737</v>
      </c>
      <c r="I2744" s="444">
        <f t="shared" ca="1" si="153"/>
        <v>1453616219.5503271</v>
      </c>
      <c r="J2744" s="444">
        <f t="array" ref="J2744">IFERROR(INDEX('Retirement Calculator'!J:J,MATCH('Isaac 401k'!N2744,'Retirement Calculator'!A:A,0),0),0)</f>
        <v>0</v>
      </c>
      <c r="K2744" s="444">
        <f t="shared" ca="1" si="151"/>
        <v>6056734.2481263625</v>
      </c>
      <c r="L2744" s="444">
        <f t="shared" ca="1" si="152"/>
        <v>1459672953.7984533</v>
      </c>
      <c r="M2744" s="460">
        <f t="shared" si="154"/>
        <v>0.05</v>
      </c>
      <c r="N2744" s="464">
        <f t="shared" si="155"/>
        <v>134563</v>
      </c>
    </row>
    <row r="2745" spans="7:14" ht="11.25" customHeight="1" x14ac:dyDescent="0.3">
      <c r="G2745" s="459"/>
      <c r="H2745" s="459">
        <v>2738</v>
      </c>
      <c r="I2745" s="444">
        <f t="shared" ca="1" si="153"/>
        <v>1459672953.7984533</v>
      </c>
      <c r="J2745" s="444">
        <f t="array" ref="J2745">IFERROR(INDEX('Retirement Calculator'!J:J,MATCH('Isaac 401k'!N2745,'Retirement Calculator'!A:A,0),0),0)</f>
        <v>0</v>
      </c>
      <c r="K2745" s="444">
        <f t="shared" ca="1" si="151"/>
        <v>6081970.6408268884</v>
      </c>
      <c r="L2745" s="444">
        <f t="shared" ca="1" si="152"/>
        <v>1465754924.4392803</v>
      </c>
      <c r="M2745" s="460">
        <f t="shared" si="154"/>
        <v>0.05</v>
      </c>
      <c r="N2745" s="464">
        <f t="shared" si="155"/>
        <v>134593</v>
      </c>
    </row>
    <row r="2746" spans="7:14" ht="11.25" customHeight="1" x14ac:dyDescent="0.3">
      <c r="G2746" s="459"/>
      <c r="H2746" s="459">
        <v>2739</v>
      </c>
      <c r="I2746" s="444">
        <f t="shared" ca="1" si="153"/>
        <v>1465754924.4392803</v>
      </c>
      <c r="J2746" s="444">
        <f t="array" ref="J2746">IFERROR(INDEX('Retirement Calculator'!J:J,MATCH('Isaac 401k'!N2746,'Retirement Calculator'!A:A,0),0),0)</f>
        <v>0</v>
      </c>
      <c r="K2746" s="444">
        <f t="shared" ca="1" si="151"/>
        <v>6107312.1851636674</v>
      </c>
      <c r="L2746" s="444">
        <f t="shared" ca="1" si="152"/>
        <v>1471862236.624444</v>
      </c>
      <c r="M2746" s="460">
        <f t="shared" si="154"/>
        <v>0.05</v>
      </c>
      <c r="N2746" s="464">
        <f t="shared" si="155"/>
        <v>134624</v>
      </c>
    </row>
    <row r="2747" spans="7:14" ht="11.25" customHeight="1" x14ac:dyDescent="0.3">
      <c r="G2747" s="459"/>
      <c r="H2747" s="459">
        <v>2740</v>
      </c>
      <c r="I2747" s="444">
        <f t="shared" ca="1" si="153"/>
        <v>1471862236.624444</v>
      </c>
      <c r="J2747" s="444">
        <f t="array" ref="J2747">IFERROR(INDEX('Retirement Calculator'!J:J,MATCH('Isaac 401k'!N2747,'Retirement Calculator'!A:A,0),0),0)</f>
        <v>0</v>
      </c>
      <c r="K2747" s="444">
        <f t="shared" ca="1" si="151"/>
        <v>6132759.3192685163</v>
      </c>
      <c r="L2747" s="444">
        <f t="shared" ca="1" si="152"/>
        <v>1477994995.9437125</v>
      </c>
      <c r="M2747" s="460">
        <f t="shared" si="154"/>
        <v>0.05</v>
      </c>
      <c r="N2747" s="464">
        <f t="shared" si="155"/>
        <v>134655</v>
      </c>
    </row>
    <row r="2748" spans="7:14" ht="11.25" customHeight="1" x14ac:dyDescent="0.3">
      <c r="G2748" s="459"/>
      <c r="H2748" s="459">
        <v>2741</v>
      </c>
      <c r="I2748" s="444">
        <f t="shared" ca="1" si="153"/>
        <v>1477994995.9437125</v>
      </c>
      <c r="J2748" s="444">
        <f t="array" ref="J2748">IFERROR(INDEX('Retirement Calculator'!J:J,MATCH('Isaac 401k'!N2748,'Retirement Calculator'!A:A,0),0),0)</f>
        <v>0</v>
      </c>
      <c r="K2748" s="444">
        <f t="shared" ca="1" si="151"/>
        <v>6158312.4830988022</v>
      </c>
      <c r="L2748" s="444">
        <f t="shared" ca="1" si="152"/>
        <v>1484153308.4268112</v>
      </c>
      <c r="M2748" s="460">
        <f t="shared" si="154"/>
        <v>0.05</v>
      </c>
      <c r="N2748" s="464">
        <f t="shared" si="155"/>
        <v>134685</v>
      </c>
    </row>
    <row r="2749" spans="7:14" ht="11.25" customHeight="1" x14ac:dyDescent="0.3">
      <c r="G2749" s="459"/>
      <c r="H2749" s="459">
        <v>2742</v>
      </c>
      <c r="I2749" s="444">
        <f t="shared" ca="1" si="153"/>
        <v>1484153308.4268112</v>
      </c>
      <c r="J2749" s="444">
        <f t="array" ref="J2749">IFERROR(INDEX('Retirement Calculator'!J:J,MATCH('Isaac 401k'!N2749,'Retirement Calculator'!A:A,0),0),0)</f>
        <v>0</v>
      </c>
      <c r="K2749" s="444">
        <f t="shared" ca="1" si="151"/>
        <v>6183972.1184450462</v>
      </c>
      <c r="L2749" s="444">
        <f t="shared" ca="1" si="152"/>
        <v>1490337280.5452564</v>
      </c>
      <c r="M2749" s="460">
        <f t="shared" si="154"/>
        <v>0.05</v>
      </c>
      <c r="N2749" s="464">
        <f t="shared" si="155"/>
        <v>134716</v>
      </c>
    </row>
    <row r="2750" spans="7:14" ht="11.25" customHeight="1" x14ac:dyDescent="0.3">
      <c r="G2750" s="459"/>
      <c r="H2750" s="459">
        <v>2743</v>
      </c>
      <c r="I2750" s="444">
        <f t="shared" ca="1" si="153"/>
        <v>1490337280.5452564</v>
      </c>
      <c r="J2750" s="444">
        <f t="array" ref="J2750">IFERROR(INDEX('Retirement Calculator'!J:J,MATCH('Isaac 401k'!N2750,'Retirement Calculator'!A:A,0),0),0)</f>
        <v>0</v>
      </c>
      <c r="K2750" s="444">
        <f t="shared" ca="1" si="151"/>
        <v>6209738.6689385679</v>
      </c>
      <c r="L2750" s="444">
        <f t="shared" ca="1" si="152"/>
        <v>1496547019.214195</v>
      </c>
      <c r="M2750" s="460">
        <f t="shared" si="154"/>
        <v>0.05</v>
      </c>
      <c r="N2750" s="464">
        <f t="shared" si="155"/>
        <v>134746</v>
      </c>
    </row>
    <row r="2751" spans="7:14" ht="11.25" customHeight="1" x14ac:dyDescent="0.3">
      <c r="G2751" s="459"/>
      <c r="H2751" s="459">
        <v>2744</v>
      </c>
      <c r="I2751" s="444">
        <f t="shared" ca="1" si="153"/>
        <v>1496547019.214195</v>
      </c>
      <c r="J2751" s="444">
        <f t="array" ref="J2751">IFERROR(INDEX('Retirement Calculator'!J:J,MATCH('Isaac 401k'!N2751,'Retirement Calculator'!A:A,0),0),0)</f>
        <v>0</v>
      </c>
      <c r="K2751" s="444">
        <f t="shared" ca="1" si="151"/>
        <v>6235612.5800591456</v>
      </c>
      <c r="L2751" s="444">
        <f t="shared" ca="1" si="152"/>
        <v>1502782631.7942541</v>
      </c>
      <c r="M2751" s="460">
        <f t="shared" si="154"/>
        <v>0.05</v>
      </c>
      <c r="N2751" s="464">
        <f t="shared" si="155"/>
        <v>134777</v>
      </c>
    </row>
    <row r="2752" spans="7:14" ht="11.25" customHeight="1" x14ac:dyDescent="0.3">
      <c r="G2752" s="459"/>
      <c r="H2752" s="459">
        <v>2745</v>
      </c>
      <c r="I2752" s="444">
        <f t="shared" ca="1" si="153"/>
        <v>1502782631.7942541</v>
      </c>
      <c r="J2752" s="444">
        <f t="array" ref="J2752">IFERROR(INDEX('Retirement Calculator'!J:J,MATCH('Isaac 401k'!N2752,'Retirement Calculator'!A:A,0),0),0)</f>
        <v>0</v>
      </c>
      <c r="K2752" s="444">
        <f t="shared" ca="1" si="151"/>
        <v>6261594.2991427248</v>
      </c>
      <c r="L2752" s="444">
        <f t="shared" ca="1" si="152"/>
        <v>1509044226.0933969</v>
      </c>
      <c r="M2752" s="460">
        <f t="shared" si="154"/>
        <v>0.05</v>
      </c>
      <c r="N2752" s="464">
        <f t="shared" si="155"/>
        <v>134808</v>
      </c>
    </row>
    <row r="2753" spans="7:14" ht="11.25" customHeight="1" x14ac:dyDescent="0.3">
      <c r="G2753" s="459"/>
      <c r="H2753" s="459">
        <v>2746</v>
      </c>
      <c r="I2753" s="444">
        <f t="shared" ca="1" si="153"/>
        <v>1509044226.0933969</v>
      </c>
      <c r="J2753" s="444">
        <f t="array" ref="J2753">IFERROR(INDEX('Retirement Calculator'!J:J,MATCH('Isaac 401k'!N2753,'Retirement Calculator'!A:A,0),0),0)</f>
        <v>0</v>
      </c>
      <c r="K2753" s="444">
        <f t="shared" ca="1" si="151"/>
        <v>6287684.2753891535</v>
      </c>
      <c r="L2753" s="444">
        <f t="shared" ca="1" si="152"/>
        <v>1515331910.3687861</v>
      </c>
      <c r="M2753" s="460">
        <f t="shared" si="154"/>
        <v>0.05</v>
      </c>
      <c r="N2753" s="464">
        <f t="shared" si="155"/>
        <v>134836</v>
      </c>
    </row>
    <row r="2754" spans="7:14" ht="11.25" customHeight="1" x14ac:dyDescent="0.3">
      <c r="G2754" s="459"/>
      <c r="H2754" s="459">
        <v>2747</v>
      </c>
      <c r="I2754" s="444">
        <f t="shared" ca="1" si="153"/>
        <v>1515331910.3687861</v>
      </c>
      <c r="J2754" s="444">
        <f t="array" ref="J2754">IFERROR(INDEX('Retirement Calculator'!J:J,MATCH('Isaac 401k'!N2754,'Retirement Calculator'!A:A,0),0),0)</f>
        <v>0</v>
      </c>
      <c r="K2754" s="444">
        <f t="shared" ca="1" si="151"/>
        <v>6313882.9598699417</v>
      </c>
      <c r="L2754" s="444">
        <f t="shared" ca="1" si="152"/>
        <v>1521645793.328656</v>
      </c>
      <c r="M2754" s="460">
        <f t="shared" si="154"/>
        <v>0.05</v>
      </c>
      <c r="N2754" s="464">
        <f t="shared" si="155"/>
        <v>134867</v>
      </c>
    </row>
    <row r="2755" spans="7:14" ht="11.25" customHeight="1" x14ac:dyDescent="0.3">
      <c r="G2755" s="459"/>
      <c r="H2755" s="459">
        <v>2748</v>
      </c>
      <c r="I2755" s="444">
        <f t="shared" ca="1" si="153"/>
        <v>1521645793.328656</v>
      </c>
      <c r="J2755" s="444">
        <f t="array" ref="J2755">IFERROR(INDEX('Retirement Calculator'!J:J,MATCH('Isaac 401k'!N2755,'Retirement Calculator'!A:A,0),0),0)</f>
        <v>0</v>
      </c>
      <c r="K2755" s="444">
        <f t="shared" ca="1" si="151"/>
        <v>6340190.8055360662</v>
      </c>
      <c r="L2755" s="444">
        <f t="shared" ca="1" si="152"/>
        <v>1527985984.134192</v>
      </c>
      <c r="M2755" s="460">
        <f t="shared" si="154"/>
        <v>0.05</v>
      </c>
      <c r="N2755" s="464">
        <f t="shared" si="155"/>
        <v>134897</v>
      </c>
    </row>
    <row r="2756" spans="7:14" ht="11.25" customHeight="1" x14ac:dyDescent="0.3">
      <c r="G2756" s="459"/>
      <c r="H2756" s="459">
        <v>2749</v>
      </c>
      <c r="I2756" s="444">
        <f t="shared" ca="1" si="153"/>
        <v>1527985984.134192</v>
      </c>
      <c r="J2756" s="444">
        <f t="array" ref="J2756">IFERROR(INDEX('Retirement Calculator'!J:J,MATCH('Isaac 401k'!N2756,'Retirement Calculator'!A:A,0),0),0)</f>
        <v>0</v>
      </c>
      <c r="K2756" s="444">
        <f t="shared" ca="1" si="151"/>
        <v>6366608.2672258001</v>
      </c>
      <c r="L2756" s="444">
        <f t="shared" ca="1" si="152"/>
        <v>1534352592.4014177</v>
      </c>
      <c r="M2756" s="460">
        <f t="shared" si="154"/>
        <v>0.05</v>
      </c>
      <c r="N2756" s="464">
        <f t="shared" si="155"/>
        <v>134928</v>
      </c>
    </row>
    <row r="2757" spans="7:14" ht="11.25" customHeight="1" x14ac:dyDescent="0.3">
      <c r="G2757" s="459"/>
      <c r="H2757" s="459">
        <v>2750</v>
      </c>
      <c r="I2757" s="444">
        <f t="shared" ca="1" si="153"/>
        <v>1534352592.4014177</v>
      </c>
      <c r="J2757" s="444">
        <f t="array" ref="J2757">IFERROR(INDEX('Retirement Calculator'!J:J,MATCH('Isaac 401k'!N2757,'Retirement Calculator'!A:A,0),0),0)</f>
        <v>0</v>
      </c>
      <c r="K2757" s="444">
        <f t="shared" ca="1" si="151"/>
        <v>6393135.8016725741</v>
      </c>
      <c r="L2757" s="444">
        <f t="shared" ca="1" si="152"/>
        <v>1540745728.2030902</v>
      </c>
      <c r="M2757" s="460">
        <f t="shared" si="154"/>
        <v>0.05</v>
      </c>
      <c r="N2757" s="464">
        <f t="shared" si="155"/>
        <v>134958</v>
      </c>
    </row>
    <row r="2758" spans="7:14" ht="11.25" customHeight="1" x14ac:dyDescent="0.3">
      <c r="G2758" s="459"/>
      <c r="H2758" s="459">
        <v>2751</v>
      </c>
      <c r="I2758" s="444">
        <f t="shared" ca="1" si="153"/>
        <v>1540745728.2030902</v>
      </c>
      <c r="J2758" s="444">
        <f t="array" ref="J2758">IFERROR(INDEX('Retirement Calculator'!J:J,MATCH('Isaac 401k'!N2758,'Retirement Calculator'!A:A,0),0),0)</f>
        <v>0</v>
      </c>
      <c r="K2758" s="444">
        <f t="shared" ca="1" si="151"/>
        <v>6419773.8675128762</v>
      </c>
      <c r="L2758" s="444">
        <f t="shared" ca="1" si="152"/>
        <v>1547165502.0706031</v>
      </c>
      <c r="M2758" s="460">
        <f t="shared" si="154"/>
        <v>0.05</v>
      </c>
      <c r="N2758" s="464">
        <f t="shared" si="155"/>
        <v>134989</v>
      </c>
    </row>
    <row r="2759" spans="7:14" ht="11.25" customHeight="1" x14ac:dyDescent="0.3">
      <c r="G2759" s="459"/>
      <c r="H2759" s="459">
        <v>2752</v>
      </c>
      <c r="I2759" s="444">
        <f t="shared" ca="1" si="153"/>
        <v>1547165502.0706031</v>
      </c>
      <c r="J2759" s="444">
        <f t="array" ref="J2759">IFERROR(INDEX('Retirement Calculator'!J:J,MATCH('Isaac 401k'!N2759,'Retirement Calculator'!A:A,0),0),0)</f>
        <v>0</v>
      </c>
      <c r="K2759" s="444">
        <f t="shared" ca="1" si="151"/>
        <v>6446522.9252941795</v>
      </c>
      <c r="L2759" s="444">
        <f t="shared" ca="1" si="152"/>
        <v>1553612024.9958973</v>
      </c>
      <c r="M2759" s="460">
        <f t="shared" si="154"/>
        <v>0.05</v>
      </c>
      <c r="N2759" s="464">
        <f t="shared" si="155"/>
        <v>135020</v>
      </c>
    </row>
    <row r="2760" spans="7:14" ht="11.25" customHeight="1" x14ac:dyDescent="0.3">
      <c r="G2760" s="459"/>
      <c r="H2760" s="459">
        <v>2753</v>
      </c>
      <c r="I2760" s="444">
        <f t="shared" ca="1" si="153"/>
        <v>1553612024.9958973</v>
      </c>
      <c r="J2760" s="444">
        <f t="array" ref="J2760">IFERROR(INDEX('Retirement Calculator'!J:J,MATCH('Isaac 401k'!N2760,'Retirement Calculator'!A:A,0),0),0)</f>
        <v>0</v>
      </c>
      <c r="K2760" s="444">
        <f t="shared" ca="1" si="151"/>
        <v>6473383.4374829056</v>
      </c>
      <c r="L2760" s="444">
        <f t="shared" ca="1" si="152"/>
        <v>1560085408.4333801</v>
      </c>
      <c r="M2760" s="460">
        <f t="shared" si="154"/>
        <v>0.05</v>
      </c>
      <c r="N2760" s="464">
        <f t="shared" si="155"/>
        <v>135050</v>
      </c>
    </row>
    <row r="2761" spans="7:14" ht="11.25" customHeight="1" x14ac:dyDescent="0.3">
      <c r="G2761" s="459"/>
      <c r="H2761" s="459">
        <v>2754</v>
      </c>
      <c r="I2761" s="444">
        <f t="shared" ca="1" si="153"/>
        <v>1560085408.4333801</v>
      </c>
      <c r="J2761" s="444">
        <f t="array" ref="J2761">IFERROR(INDEX('Retirement Calculator'!J:J,MATCH('Isaac 401k'!N2761,'Retirement Calculator'!A:A,0),0),0)</f>
        <v>0</v>
      </c>
      <c r="K2761" s="444">
        <f t="shared" ca="1" si="151"/>
        <v>6500355.8684724169</v>
      </c>
      <c r="L2761" s="444">
        <f t="shared" ca="1" si="152"/>
        <v>1566585764.3018525</v>
      </c>
      <c r="M2761" s="460">
        <f t="shared" si="154"/>
        <v>0.05</v>
      </c>
      <c r="N2761" s="464">
        <f t="shared" si="155"/>
        <v>135081</v>
      </c>
    </row>
    <row r="2762" spans="7:14" ht="11.25" customHeight="1" x14ac:dyDescent="0.3">
      <c r="G2762" s="459"/>
      <c r="H2762" s="459">
        <v>2755</v>
      </c>
      <c r="I2762" s="444">
        <f t="shared" ca="1" si="153"/>
        <v>1566585764.3018525</v>
      </c>
      <c r="J2762" s="444">
        <f t="array" ref="J2762">IFERROR(INDEX('Retirement Calculator'!J:J,MATCH('Isaac 401k'!N2762,'Retirement Calculator'!A:A,0),0),0)</f>
        <v>0</v>
      </c>
      <c r="K2762" s="444">
        <f t="shared" ca="1" si="151"/>
        <v>6527440.6845910521</v>
      </c>
      <c r="L2762" s="444">
        <f t="shared" ca="1" si="152"/>
        <v>1573113204.9864435</v>
      </c>
      <c r="M2762" s="460">
        <f t="shared" si="154"/>
        <v>0.05</v>
      </c>
      <c r="N2762" s="464">
        <f t="shared" si="155"/>
        <v>135111</v>
      </c>
    </row>
    <row r="2763" spans="7:14" ht="11.25" customHeight="1" x14ac:dyDescent="0.3">
      <c r="G2763" s="459"/>
      <c r="H2763" s="459">
        <v>2756</v>
      </c>
      <c r="I2763" s="444">
        <f t="shared" ca="1" si="153"/>
        <v>1573113204.9864435</v>
      </c>
      <c r="J2763" s="444">
        <f t="array" ref="J2763">IFERROR(INDEX('Retirement Calculator'!J:J,MATCH('Isaac 401k'!N2763,'Retirement Calculator'!A:A,0),0),0)</f>
        <v>0</v>
      </c>
      <c r="K2763" s="444">
        <f t="shared" ca="1" si="151"/>
        <v>6554638.3541101813</v>
      </c>
      <c r="L2763" s="444">
        <f t="shared" ca="1" si="152"/>
        <v>1579667843.3405538</v>
      </c>
      <c r="M2763" s="460">
        <f t="shared" si="154"/>
        <v>0.05</v>
      </c>
      <c r="N2763" s="464">
        <f t="shared" si="155"/>
        <v>135142</v>
      </c>
    </row>
    <row r="2764" spans="7:14" ht="11.25" customHeight="1" x14ac:dyDescent="0.3">
      <c r="G2764" s="459"/>
      <c r="H2764" s="459">
        <v>2757</v>
      </c>
      <c r="I2764" s="444">
        <f t="shared" ca="1" si="153"/>
        <v>1579667843.3405538</v>
      </c>
      <c r="J2764" s="444">
        <f t="array" ref="J2764">IFERROR(INDEX('Retirement Calculator'!J:J,MATCH('Isaac 401k'!N2764,'Retirement Calculator'!A:A,0),0),0)</f>
        <v>0</v>
      </c>
      <c r="K2764" s="444">
        <f t="shared" ca="1" si="151"/>
        <v>6581949.3472523075</v>
      </c>
      <c r="L2764" s="444">
        <f t="shared" ca="1" si="152"/>
        <v>1586249792.6878061</v>
      </c>
      <c r="M2764" s="460">
        <f t="shared" si="154"/>
        <v>0.05</v>
      </c>
      <c r="N2764" s="464">
        <f t="shared" si="155"/>
        <v>135173</v>
      </c>
    </row>
    <row r="2765" spans="7:14" ht="11.25" customHeight="1" x14ac:dyDescent="0.3">
      <c r="G2765" s="459"/>
      <c r="H2765" s="459">
        <v>2758</v>
      </c>
      <c r="I2765" s="444">
        <f t="shared" ca="1" si="153"/>
        <v>1586249792.6878061</v>
      </c>
      <c r="J2765" s="444">
        <f t="array" ref="J2765">IFERROR(INDEX('Retirement Calculator'!J:J,MATCH('Isaac 401k'!N2765,'Retirement Calculator'!A:A,0),0),0)</f>
        <v>0</v>
      </c>
      <c r="K2765" s="444">
        <f t="shared" ca="1" si="151"/>
        <v>6609374.1361991921</v>
      </c>
      <c r="L2765" s="444">
        <f t="shared" ca="1" si="152"/>
        <v>1592859166.8240054</v>
      </c>
      <c r="M2765" s="460">
        <f t="shared" si="154"/>
        <v>0.05</v>
      </c>
      <c r="N2765" s="464">
        <f t="shared" si="155"/>
        <v>135201</v>
      </c>
    </row>
    <row r="2766" spans="7:14" ht="11.25" customHeight="1" x14ac:dyDescent="0.3">
      <c r="G2766" s="459"/>
      <c r="H2766" s="459">
        <v>2759</v>
      </c>
      <c r="I2766" s="444">
        <f t="shared" ca="1" si="153"/>
        <v>1592859166.8240054</v>
      </c>
      <c r="J2766" s="444">
        <f t="array" ref="J2766">IFERROR(INDEX('Retirement Calculator'!J:J,MATCH('Isaac 401k'!N2766,'Retirement Calculator'!A:A,0),0),0)</f>
        <v>0</v>
      </c>
      <c r="K2766" s="444">
        <f t="shared" ca="1" si="151"/>
        <v>6636913.1951000225</v>
      </c>
      <c r="L2766" s="444">
        <f t="shared" ca="1" si="152"/>
        <v>1599496080.0191054</v>
      </c>
      <c r="M2766" s="460">
        <f t="shared" si="154"/>
        <v>0.05</v>
      </c>
      <c r="N2766" s="464">
        <f t="shared" si="155"/>
        <v>135232</v>
      </c>
    </row>
    <row r="2767" spans="7:14" ht="11.25" customHeight="1" x14ac:dyDescent="0.3">
      <c r="G2767" s="459"/>
      <c r="H2767" s="459">
        <v>2760</v>
      </c>
      <c r="I2767" s="444">
        <f t="shared" ca="1" si="153"/>
        <v>1599496080.0191054</v>
      </c>
      <c r="J2767" s="444">
        <f t="array" ref="J2767">IFERROR(INDEX('Retirement Calculator'!J:J,MATCH('Isaac 401k'!N2767,'Retirement Calculator'!A:A,0),0),0)</f>
        <v>0</v>
      </c>
      <c r="K2767" s="444">
        <f t="shared" ca="1" si="151"/>
        <v>6664567.0000796057</v>
      </c>
      <c r="L2767" s="444">
        <f t="shared" ca="1" si="152"/>
        <v>1606160647.0191851</v>
      </c>
      <c r="M2767" s="460">
        <f t="shared" si="154"/>
        <v>0.05</v>
      </c>
      <c r="N2767" s="464">
        <f t="shared" si="155"/>
        <v>135262</v>
      </c>
    </row>
    <row r="2768" spans="7:14" ht="11.25" customHeight="1" x14ac:dyDescent="0.3">
      <c r="G2768" s="459"/>
      <c r="H2768" s="459">
        <v>2761</v>
      </c>
      <c r="I2768" s="444">
        <f t="shared" ca="1" si="153"/>
        <v>1606160647.0191851</v>
      </c>
      <c r="J2768" s="444">
        <f t="array" ref="J2768">IFERROR(INDEX('Retirement Calculator'!J:J,MATCH('Isaac 401k'!N2768,'Retirement Calculator'!A:A,0),0),0)</f>
        <v>0</v>
      </c>
      <c r="K2768" s="444">
        <f t="shared" ca="1" si="151"/>
        <v>6692336.0292466041</v>
      </c>
      <c r="L2768" s="444">
        <f t="shared" ca="1" si="152"/>
        <v>1612852983.0484316</v>
      </c>
      <c r="M2768" s="460">
        <f t="shared" si="154"/>
        <v>0.05</v>
      </c>
      <c r="N2768" s="464">
        <f t="shared" si="155"/>
        <v>135293</v>
      </c>
    </row>
    <row r="2769" spans="7:14" ht="11.25" customHeight="1" x14ac:dyDescent="0.3">
      <c r="G2769" s="459"/>
      <c r="H2769" s="459">
        <v>2762</v>
      </c>
      <c r="I2769" s="444">
        <f t="shared" ca="1" si="153"/>
        <v>1612852983.0484316</v>
      </c>
      <c r="J2769" s="444">
        <f t="array" ref="J2769">IFERROR(INDEX('Retirement Calculator'!J:J,MATCH('Isaac 401k'!N2769,'Retirement Calculator'!A:A,0),0),0)</f>
        <v>0</v>
      </c>
      <c r="K2769" s="444">
        <f t="shared" ca="1" si="151"/>
        <v>6720220.7627017982</v>
      </c>
      <c r="L2769" s="444">
        <f t="shared" ca="1" si="152"/>
        <v>1619573203.8111334</v>
      </c>
      <c r="M2769" s="460">
        <f t="shared" si="154"/>
        <v>0.05</v>
      </c>
      <c r="N2769" s="464">
        <f t="shared" si="155"/>
        <v>135323</v>
      </c>
    </row>
    <row r="2770" spans="7:14" ht="11.25" customHeight="1" x14ac:dyDescent="0.3">
      <c r="G2770" s="459"/>
      <c r="H2770" s="459">
        <v>2763</v>
      </c>
      <c r="I2770" s="444">
        <f t="shared" ca="1" si="153"/>
        <v>1619573203.8111334</v>
      </c>
      <c r="J2770" s="444">
        <f t="array" ref="J2770">IFERROR(INDEX('Retirement Calculator'!J:J,MATCH('Isaac 401k'!N2770,'Retirement Calculator'!A:A,0),0),0)</f>
        <v>0</v>
      </c>
      <c r="K2770" s="444">
        <f t="shared" ca="1" si="151"/>
        <v>6748221.6825463893</v>
      </c>
      <c r="L2770" s="444">
        <f t="shared" ca="1" si="152"/>
        <v>1626321425.4936798</v>
      </c>
      <c r="M2770" s="460">
        <f t="shared" si="154"/>
        <v>0.05</v>
      </c>
      <c r="N2770" s="464">
        <f t="shared" si="155"/>
        <v>135354</v>
      </c>
    </row>
    <row r="2771" spans="7:14" ht="11.25" customHeight="1" x14ac:dyDescent="0.3">
      <c r="G2771" s="459"/>
      <c r="H2771" s="459">
        <v>2764</v>
      </c>
      <c r="I2771" s="444">
        <f t="shared" ca="1" si="153"/>
        <v>1626321425.4936798</v>
      </c>
      <c r="J2771" s="444">
        <f t="array" ref="J2771">IFERROR(INDEX('Retirement Calculator'!J:J,MATCH('Isaac 401k'!N2771,'Retirement Calculator'!A:A,0),0),0)</f>
        <v>0</v>
      </c>
      <c r="K2771" s="444">
        <f t="shared" ca="1" si="151"/>
        <v>6776339.2728903322</v>
      </c>
      <c r="L2771" s="444">
        <f t="shared" ca="1" si="152"/>
        <v>1633097764.7665701</v>
      </c>
      <c r="M2771" s="460">
        <f t="shared" si="154"/>
        <v>0.05</v>
      </c>
      <c r="N2771" s="464">
        <f t="shared" si="155"/>
        <v>135385</v>
      </c>
    </row>
    <row r="2772" spans="7:14" ht="11.25" customHeight="1" x14ac:dyDescent="0.3">
      <c r="G2772" s="459"/>
      <c r="H2772" s="459">
        <v>2765</v>
      </c>
      <c r="I2772" s="444">
        <f t="shared" ca="1" si="153"/>
        <v>1633097764.7665701</v>
      </c>
      <c r="J2772" s="444">
        <f t="array" ref="J2772">IFERROR(INDEX('Retirement Calculator'!J:J,MATCH('Isaac 401k'!N2772,'Retirement Calculator'!A:A,0),0),0)</f>
        <v>0</v>
      </c>
      <c r="K2772" s="444">
        <f t="shared" ca="1" si="151"/>
        <v>6804574.0198607082</v>
      </c>
      <c r="L2772" s="444">
        <f t="shared" ca="1" si="152"/>
        <v>1639902338.7864308</v>
      </c>
      <c r="M2772" s="460">
        <f t="shared" si="154"/>
        <v>0.05</v>
      </c>
      <c r="N2772" s="464">
        <f t="shared" si="155"/>
        <v>135415</v>
      </c>
    </row>
    <row r="2773" spans="7:14" ht="11.25" customHeight="1" x14ac:dyDescent="0.3">
      <c r="G2773" s="459"/>
      <c r="H2773" s="459">
        <v>2766</v>
      </c>
      <c r="I2773" s="444">
        <f t="shared" ca="1" si="153"/>
        <v>1639902338.7864308</v>
      </c>
      <c r="J2773" s="444">
        <f t="array" ref="J2773">IFERROR(INDEX('Retirement Calculator'!J:J,MATCH('Isaac 401k'!N2773,'Retirement Calculator'!A:A,0),0),0)</f>
        <v>0</v>
      </c>
      <c r="K2773" s="444">
        <f t="shared" ca="1" si="151"/>
        <v>6832926.4116101284</v>
      </c>
      <c r="L2773" s="444">
        <f t="shared" ca="1" si="152"/>
        <v>1646735265.198041</v>
      </c>
      <c r="M2773" s="460">
        <f t="shared" si="154"/>
        <v>0.05</v>
      </c>
      <c r="N2773" s="464">
        <f t="shared" si="155"/>
        <v>135446</v>
      </c>
    </row>
    <row r="2774" spans="7:14" ht="11.25" customHeight="1" x14ac:dyDescent="0.3">
      <c r="G2774" s="459"/>
      <c r="H2774" s="459">
        <v>2767</v>
      </c>
      <c r="I2774" s="444">
        <f t="shared" ca="1" si="153"/>
        <v>1646735265.198041</v>
      </c>
      <c r="J2774" s="444">
        <f t="array" ref="J2774">IFERROR(INDEX('Retirement Calculator'!J:J,MATCH('Isaac 401k'!N2774,'Retirement Calculator'!A:A,0),0),0)</f>
        <v>0</v>
      </c>
      <c r="K2774" s="444">
        <f t="shared" ca="1" si="151"/>
        <v>6861396.9383251704</v>
      </c>
      <c r="L2774" s="444">
        <f t="shared" ca="1" si="152"/>
        <v>1653596662.1363661</v>
      </c>
      <c r="M2774" s="460">
        <f t="shared" si="154"/>
        <v>0.05</v>
      </c>
      <c r="N2774" s="464">
        <f t="shared" si="155"/>
        <v>135476</v>
      </c>
    </row>
    <row r="2775" spans="7:14" ht="11.25" customHeight="1" x14ac:dyDescent="0.3">
      <c r="G2775" s="459"/>
      <c r="H2775" s="459">
        <v>2768</v>
      </c>
      <c r="I2775" s="444">
        <f t="shared" ca="1" si="153"/>
        <v>1653596662.1363661</v>
      </c>
      <c r="J2775" s="444">
        <f t="array" ref="J2775">IFERROR(INDEX('Retirement Calculator'!J:J,MATCH('Isaac 401k'!N2775,'Retirement Calculator'!A:A,0),0),0)</f>
        <v>0</v>
      </c>
      <c r="K2775" s="444">
        <f t="shared" ca="1" si="151"/>
        <v>6889986.0922348583</v>
      </c>
      <c r="L2775" s="444">
        <f t="shared" ca="1" si="152"/>
        <v>1660486648.228601</v>
      </c>
      <c r="M2775" s="460">
        <f t="shared" si="154"/>
        <v>0.05</v>
      </c>
      <c r="N2775" s="464">
        <f t="shared" si="155"/>
        <v>135507</v>
      </c>
    </row>
    <row r="2776" spans="7:14" ht="11.25" customHeight="1" x14ac:dyDescent="0.3">
      <c r="G2776" s="459"/>
      <c r="H2776" s="459">
        <v>2769</v>
      </c>
      <c r="I2776" s="444">
        <f t="shared" ca="1" si="153"/>
        <v>1660486648.228601</v>
      </c>
      <c r="J2776" s="444">
        <f t="array" ref="J2776">IFERROR(INDEX('Retirement Calculator'!J:J,MATCH('Isaac 401k'!N2776,'Retirement Calculator'!A:A,0),0),0)</f>
        <v>0</v>
      </c>
      <c r="K2776" s="444">
        <f t="shared" ca="1" si="151"/>
        <v>6918694.3676191708</v>
      </c>
      <c r="L2776" s="444">
        <f t="shared" ca="1" si="152"/>
        <v>1667405342.5962203</v>
      </c>
      <c r="M2776" s="460">
        <f t="shared" si="154"/>
        <v>0.05</v>
      </c>
      <c r="N2776" s="464">
        <f t="shared" si="155"/>
        <v>135538</v>
      </c>
    </row>
    <row r="2777" spans="7:14" ht="11.25" customHeight="1" x14ac:dyDescent="0.3">
      <c r="G2777" s="459"/>
      <c r="H2777" s="459">
        <v>2770</v>
      </c>
      <c r="I2777" s="444">
        <f t="shared" ca="1" si="153"/>
        <v>1667405342.5962203</v>
      </c>
      <c r="J2777" s="444">
        <f t="array" ref="J2777">IFERROR(INDEX('Retirement Calculator'!J:J,MATCH('Isaac 401k'!N2777,'Retirement Calculator'!A:A,0),0),0)</f>
        <v>0</v>
      </c>
      <c r="K2777" s="444">
        <f t="shared" ca="1" si="151"/>
        <v>6947522.2608175846</v>
      </c>
      <c r="L2777" s="444">
        <f t="shared" ca="1" si="152"/>
        <v>1674352864.8570378</v>
      </c>
      <c r="M2777" s="460">
        <f t="shared" si="154"/>
        <v>0.05</v>
      </c>
      <c r="N2777" s="464">
        <f t="shared" si="155"/>
        <v>135566</v>
      </c>
    </row>
    <row r="2778" spans="7:14" ht="11.25" customHeight="1" x14ac:dyDescent="0.3">
      <c r="G2778" s="459"/>
      <c r="H2778" s="459">
        <v>2771</v>
      </c>
      <c r="I2778" s="444">
        <f t="shared" ca="1" si="153"/>
        <v>1674352864.8570378</v>
      </c>
      <c r="J2778" s="444">
        <f t="array" ref="J2778">IFERROR(INDEX('Retirement Calculator'!J:J,MATCH('Isaac 401k'!N2778,'Retirement Calculator'!A:A,0),0),0)</f>
        <v>0</v>
      </c>
      <c r="K2778" s="444">
        <f t="shared" ca="1" si="151"/>
        <v>6976470.2702376572</v>
      </c>
      <c r="L2778" s="444">
        <f t="shared" ca="1" si="152"/>
        <v>1681329335.1272755</v>
      </c>
      <c r="M2778" s="460">
        <f t="shared" si="154"/>
        <v>0.05</v>
      </c>
      <c r="N2778" s="464">
        <f t="shared" si="155"/>
        <v>135597</v>
      </c>
    </row>
    <row r="2779" spans="7:14" ht="11.25" customHeight="1" x14ac:dyDescent="0.3">
      <c r="G2779" s="459"/>
      <c r="H2779" s="459">
        <v>2772</v>
      </c>
      <c r="I2779" s="444">
        <f t="shared" ca="1" si="153"/>
        <v>1681329335.1272755</v>
      </c>
      <c r="J2779" s="444">
        <f t="array" ref="J2779">IFERROR(INDEX('Retirement Calculator'!J:J,MATCH('Isaac 401k'!N2779,'Retirement Calculator'!A:A,0),0),0)</f>
        <v>0</v>
      </c>
      <c r="K2779" s="444">
        <f t="shared" ca="1" si="151"/>
        <v>7005538.8963636486</v>
      </c>
      <c r="L2779" s="444">
        <f t="shared" ca="1" si="152"/>
        <v>1688334874.0236392</v>
      </c>
      <c r="M2779" s="460">
        <f t="shared" si="154"/>
        <v>0.05</v>
      </c>
      <c r="N2779" s="464">
        <f t="shared" si="155"/>
        <v>135627</v>
      </c>
    </row>
    <row r="2780" spans="7:14" ht="11.25" customHeight="1" x14ac:dyDescent="0.3">
      <c r="G2780" s="459"/>
      <c r="H2780" s="459">
        <v>2773</v>
      </c>
      <c r="I2780" s="444">
        <f t="shared" ca="1" si="153"/>
        <v>1688334874.0236392</v>
      </c>
      <c r="J2780" s="444">
        <f t="array" ref="J2780">IFERROR(INDEX('Retirement Calculator'!J:J,MATCH('Isaac 401k'!N2780,'Retirement Calculator'!A:A,0),0),0)</f>
        <v>0</v>
      </c>
      <c r="K2780" s="444">
        <f t="shared" ca="1" si="151"/>
        <v>7034728.6417651633</v>
      </c>
      <c r="L2780" s="444">
        <f t="shared" ca="1" si="152"/>
        <v>1695369602.6654043</v>
      </c>
      <c r="M2780" s="460">
        <f t="shared" si="154"/>
        <v>0.05</v>
      </c>
      <c r="N2780" s="464">
        <f t="shared" si="155"/>
        <v>135658</v>
      </c>
    </row>
    <row r="2781" spans="7:14" ht="11.25" customHeight="1" x14ac:dyDescent="0.3">
      <c r="G2781" s="459"/>
      <c r="H2781" s="459">
        <v>2774</v>
      </c>
      <c r="I2781" s="444">
        <f t="shared" ca="1" si="153"/>
        <v>1695369602.6654043</v>
      </c>
      <c r="J2781" s="444">
        <f t="array" ref="J2781">IFERROR(INDEX('Retirement Calculator'!J:J,MATCH('Isaac 401k'!N2781,'Retirement Calculator'!A:A,0),0),0)</f>
        <v>0</v>
      </c>
      <c r="K2781" s="444">
        <f t="shared" ca="1" si="151"/>
        <v>7064040.0111058513</v>
      </c>
      <c r="L2781" s="444">
        <f t="shared" ca="1" si="152"/>
        <v>1702433642.6765101</v>
      </c>
      <c r="M2781" s="460">
        <f t="shared" si="154"/>
        <v>0.05</v>
      </c>
      <c r="N2781" s="464">
        <f t="shared" si="155"/>
        <v>135688</v>
      </c>
    </row>
    <row r="2782" spans="7:14" ht="11.25" customHeight="1" x14ac:dyDescent="0.3">
      <c r="G2782" s="459"/>
      <c r="H2782" s="459">
        <v>2775</v>
      </c>
      <c r="I2782" s="444">
        <f t="shared" ca="1" si="153"/>
        <v>1702433642.6765101</v>
      </c>
      <c r="J2782" s="444">
        <f t="array" ref="J2782">IFERROR(INDEX('Retirement Calculator'!J:J,MATCH('Isaac 401k'!N2782,'Retirement Calculator'!A:A,0),0),0)</f>
        <v>0</v>
      </c>
      <c r="K2782" s="444">
        <f t="shared" ca="1" si="151"/>
        <v>7093473.511152125</v>
      </c>
      <c r="L2782" s="444">
        <f t="shared" ca="1" si="152"/>
        <v>1709527116.1876621</v>
      </c>
      <c r="M2782" s="460">
        <f t="shared" si="154"/>
        <v>0.05</v>
      </c>
      <c r="N2782" s="464">
        <f t="shared" si="155"/>
        <v>135719</v>
      </c>
    </row>
    <row r="2783" spans="7:14" ht="11.25" customHeight="1" x14ac:dyDescent="0.3">
      <c r="G2783" s="459"/>
      <c r="H2783" s="459">
        <v>2776</v>
      </c>
      <c r="I2783" s="444">
        <f t="shared" ca="1" si="153"/>
        <v>1709527116.1876621</v>
      </c>
      <c r="J2783" s="444">
        <f t="array" ref="J2783">IFERROR(INDEX('Retirement Calculator'!J:J,MATCH('Isaac 401k'!N2783,'Retirement Calculator'!A:A,0),0),0)</f>
        <v>0</v>
      </c>
      <c r="K2783" s="444">
        <f t="shared" ca="1" si="151"/>
        <v>7123029.6507819258</v>
      </c>
      <c r="L2783" s="444">
        <f t="shared" ca="1" si="152"/>
        <v>1716650145.838444</v>
      </c>
      <c r="M2783" s="460">
        <f t="shared" si="154"/>
        <v>0.05</v>
      </c>
      <c r="N2783" s="464">
        <f t="shared" si="155"/>
        <v>135750</v>
      </c>
    </row>
    <row r="2784" spans="7:14" ht="11.25" customHeight="1" x14ac:dyDescent="0.3">
      <c r="G2784" s="459"/>
      <c r="H2784" s="459">
        <v>2777</v>
      </c>
      <c r="I2784" s="444">
        <f t="shared" ca="1" si="153"/>
        <v>1716650145.838444</v>
      </c>
      <c r="J2784" s="444">
        <f t="array" ref="J2784">IFERROR(INDEX('Retirement Calculator'!J:J,MATCH('Isaac 401k'!N2784,'Retirement Calculator'!A:A,0),0),0)</f>
        <v>0</v>
      </c>
      <c r="K2784" s="444">
        <f t="shared" ca="1" si="151"/>
        <v>7152708.9409935167</v>
      </c>
      <c r="L2784" s="444">
        <f t="shared" ca="1" si="152"/>
        <v>1723802854.7794375</v>
      </c>
      <c r="M2784" s="460">
        <f t="shared" si="154"/>
        <v>0.05</v>
      </c>
      <c r="N2784" s="464">
        <f t="shared" si="155"/>
        <v>135780</v>
      </c>
    </row>
    <row r="2785" spans="7:14" ht="11.25" customHeight="1" x14ac:dyDescent="0.3">
      <c r="G2785" s="459"/>
      <c r="H2785" s="459">
        <v>2778</v>
      </c>
      <c r="I2785" s="444">
        <f t="shared" ca="1" si="153"/>
        <v>1723802854.7794375</v>
      </c>
      <c r="J2785" s="444">
        <f t="array" ref="J2785">IFERROR(INDEX('Retirement Calculator'!J:J,MATCH('Isaac 401k'!N2785,'Retirement Calculator'!A:A,0),0),0)</f>
        <v>0</v>
      </c>
      <c r="K2785" s="444">
        <f t="shared" ca="1" si="151"/>
        <v>7182511.8949143216</v>
      </c>
      <c r="L2785" s="444">
        <f t="shared" ca="1" si="152"/>
        <v>1730985366.6743519</v>
      </c>
      <c r="M2785" s="460">
        <f t="shared" si="154"/>
        <v>0.05</v>
      </c>
      <c r="N2785" s="464">
        <f t="shared" si="155"/>
        <v>135811</v>
      </c>
    </row>
    <row r="2786" spans="7:14" ht="11.25" customHeight="1" x14ac:dyDescent="0.3">
      <c r="G2786" s="459"/>
      <c r="H2786" s="459">
        <v>2779</v>
      </c>
      <c r="I2786" s="444">
        <f t="shared" ca="1" si="153"/>
        <v>1730985366.6743519</v>
      </c>
      <c r="J2786" s="444">
        <f t="array" ref="J2786">IFERROR(INDEX('Retirement Calculator'!J:J,MATCH('Isaac 401k'!N2786,'Retirement Calculator'!A:A,0),0),0)</f>
        <v>0</v>
      </c>
      <c r="K2786" s="444">
        <f t="shared" ca="1" si="151"/>
        <v>7212439.0278097996</v>
      </c>
      <c r="L2786" s="444">
        <f t="shared" ca="1" si="152"/>
        <v>1738197805.7021618</v>
      </c>
      <c r="M2786" s="460">
        <f t="shared" si="154"/>
        <v>0.05</v>
      </c>
      <c r="N2786" s="464">
        <f t="shared" si="155"/>
        <v>135841</v>
      </c>
    </row>
    <row r="2787" spans="7:14" ht="11.25" customHeight="1" x14ac:dyDescent="0.3">
      <c r="G2787" s="459"/>
      <c r="H2787" s="459">
        <v>2780</v>
      </c>
      <c r="I2787" s="444">
        <f t="shared" ca="1" si="153"/>
        <v>1738197805.7021618</v>
      </c>
      <c r="J2787" s="444">
        <f t="array" ref="J2787">IFERROR(INDEX('Retirement Calculator'!J:J,MATCH('Isaac 401k'!N2787,'Retirement Calculator'!A:A,0),0),0)</f>
        <v>0</v>
      </c>
      <c r="K2787" s="444">
        <f t="shared" ca="1" si="151"/>
        <v>7242490.8570923405</v>
      </c>
      <c r="L2787" s="444">
        <f t="shared" ca="1" si="152"/>
        <v>1745440296.5592542</v>
      </c>
      <c r="M2787" s="460">
        <f t="shared" si="154"/>
        <v>0.05</v>
      </c>
      <c r="N2787" s="464">
        <f t="shared" si="155"/>
        <v>135872</v>
      </c>
    </row>
    <row r="2788" spans="7:14" ht="11.25" customHeight="1" x14ac:dyDescent="0.3">
      <c r="G2788" s="459"/>
      <c r="H2788" s="459">
        <v>2781</v>
      </c>
      <c r="I2788" s="444">
        <f t="shared" ca="1" si="153"/>
        <v>1745440296.5592542</v>
      </c>
      <c r="J2788" s="444">
        <f t="array" ref="J2788">IFERROR(INDEX('Retirement Calculator'!J:J,MATCH('Isaac 401k'!N2788,'Retirement Calculator'!A:A,0),0),0)</f>
        <v>0</v>
      </c>
      <c r="K2788" s="444">
        <f t="shared" ca="1" si="151"/>
        <v>7272667.9023302244</v>
      </c>
      <c r="L2788" s="444">
        <f t="shared" ca="1" si="152"/>
        <v>1752712964.4615843</v>
      </c>
      <c r="M2788" s="460">
        <f t="shared" si="154"/>
        <v>0.05</v>
      </c>
      <c r="N2788" s="464">
        <f t="shared" si="155"/>
        <v>135903</v>
      </c>
    </row>
    <row r="2789" spans="7:14" ht="11.25" customHeight="1" x14ac:dyDescent="0.3">
      <c r="G2789" s="459"/>
      <c r="H2789" s="459">
        <v>2782</v>
      </c>
      <c r="I2789" s="444">
        <f t="shared" ca="1" si="153"/>
        <v>1752712964.4615843</v>
      </c>
      <c r="J2789" s="444">
        <f t="array" ref="J2789">IFERROR(INDEX('Retirement Calculator'!J:J,MATCH('Isaac 401k'!N2789,'Retirement Calculator'!A:A,0),0),0)</f>
        <v>0</v>
      </c>
      <c r="K2789" s="444">
        <f t="shared" ca="1" si="151"/>
        <v>7302970.6852566022</v>
      </c>
      <c r="L2789" s="444">
        <f t="shared" ca="1" si="152"/>
        <v>1760015935.146841</v>
      </c>
      <c r="M2789" s="460">
        <f t="shared" si="154"/>
        <v>0.05</v>
      </c>
      <c r="N2789" s="464">
        <f t="shared" si="155"/>
        <v>135932</v>
      </c>
    </row>
    <row r="2790" spans="7:14" ht="11.25" customHeight="1" x14ac:dyDescent="0.3">
      <c r="G2790" s="459"/>
      <c r="H2790" s="459">
        <v>2783</v>
      </c>
      <c r="I2790" s="444">
        <f t="shared" ca="1" si="153"/>
        <v>1760015935.146841</v>
      </c>
      <c r="J2790" s="444">
        <f t="array" ref="J2790">IFERROR(INDEX('Retirement Calculator'!J:J,MATCH('Isaac 401k'!N2790,'Retirement Calculator'!A:A,0),0),0)</f>
        <v>0</v>
      </c>
      <c r="K2790" s="444">
        <f t="shared" ca="1" si="151"/>
        <v>7333399.729778504</v>
      </c>
      <c r="L2790" s="444">
        <f t="shared" ca="1" si="152"/>
        <v>1767349334.8766196</v>
      </c>
      <c r="M2790" s="460">
        <f t="shared" si="154"/>
        <v>0.05</v>
      </c>
      <c r="N2790" s="464">
        <f t="shared" si="155"/>
        <v>135963</v>
      </c>
    </row>
    <row r="2791" spans="7:14" ht="11.25" customHeight="1" x14ac:dyDescent="0.3">
      <c r="G2791" s="459"/>
      <c r="H2791" s="459">
        <v>2784</v>
      </c>
      <c r="I2791" s="444">
        <f t="shared" ca="1" si="153"/>
        <v>1767349334.8766196</v>
      </c>
      <c r="J2791" s="444">
        <f t="array" ref="J2791">IFERROR(INDEX('Retirement Calculator'!J:J,MATCH('Isaac 401k'!N2791,'Retirement Calculator'!A:A,0),0),0)</f>
        <v>0</v>
      </c>
      <c r="K2791" s="444">
        <f t="shared" ca="1" si="151"/>
        <v>7363955.5619859146</v>
      </c>
      <c r="L2791" s="444">
        <f t="shared" ca="1" si="152"/>
        <v>1774713290.4386055</v>
      </c>
      <c r="M2791" s="460">
        <f t="shared" si="154"/>
        <v>0.05</v>
      </c>
      <c r="N2791" s="464">
        <f t="shared" si="155"/>
        <v>135993</v>
      </c>
    </row>
    <row r="2792" spans="7:14" ht="11.25" customHeight="1" x14ac:dyDescent="0.3">
      <c r="G2792" s="459"/>
      <c r="H2792" s="459">
        <v>2785</v>
      </c>
      <c r="I2792" s="444">
        <f t="shared" ca="1" si="153"/>
        <v>1774713290.4386055</v>
      </c>
      <c r="J2792" s="444">
        <f t="array" ref="J2792">IFERROR(INDEX('Retirement Calculator'!J:J,MATCH('Isaac 401k'!N2792,'Retirement Calculator'!A:A,0),0),0)</f>
        <v>0</v>
      </c>
      <c r="K2792" s="444">
        <f t="shared" ca="1" si="151"/>
        <v>7394638.7101608561</v>
      </c>
      <c r="L2792" s="444">
        <f t="shared" ca="1" si="152"/>
        <v>1782107929.1487665</v>
      </c>
      <c r="M2792" s="460">
        <f t="shared" si="154"/>
        <v>0.05</v>
      </c>
      <c r="N2792" s="464">
        <f t="shared" si="155"/>
        <v>136024</v>
      </c>
    </row>
    <row r="2793" spans="7:14" ht="11.25" customHeight="1" x14ac:dyDescent="0.3">
      <c r="G2793" s="459"/>
      <c r="H2793" s="459">
        <v>2786</v>
      </c>
      <c r="I2793" s="444">
        <f t="shared" ca="1" si="153"/>
        <v>1782107929.1487665</v>
      </c>
      <c r="J2793" s="444">
        <f t="array" ref="J2793">IFERROR(INDEX('Retirement Calculator'!J:J,MATCH('Isaac 401k'!N2793,'Retirement Calculator'!A:A,0),0),0)</f>
        <v>0</v>
      </c>
      <c r="K2793" s="444">
        <f t="shared" ca="1" si="151"/>
        <v>7425449.704786526</v>
      </c>
      <c r="L2793" s="444">
        <f t="shared" ca="1" si="152"/>
        <v>1789533378.8535531</v>
      </c>
      <c r="M2793" s="460">
        <f t="shared" si="154"/>
        <v>0.05</v>
      </c>
      <c r="N2793" s="464">
        <f t="shared" si="155"/>
        <v>136054</v>
      </c>
    </row>
    <row r="2794" spans="7:14" ht="11.25" customHeight="1" x14ac:dyDescent="0.3">
      <c r="G2794" s="459"/>
      <c r="H2794" s="459">
        <v>2787</v>
      </c>
      <c r="I2794" s="444">
        <f t="shared" ca="1" si="153"/>
        <v>1789533378.8535531</v>
      </c>
      <c r="J2794" s="444">
        <f t="array" ref="J2794">IFERROR(INDEX('Retirement Calculator'!J:J,MATCH('Isaac 401k'!N2794,'Retirement Calculator'!A:A,0),0),0)</f>
        <v>0</v>
      </c>
      <c r="K2794" s="444">
        <f t="shared" ca="1" si="151"/>
        <v>7456389.0785564706</v>
      </c>
      <c r="L2794" s="444">
        <f t="shared" ca="1" si="152"/>
        <v>1796989767.9321096</v>
      </c>
      <c r="M2794" s="460">
        <f t="shared" si="154"/>
        <v>0.05</v>
      </c>
      <c r="N2794" s="464">
        <f t="shared" si="155"/>
        <v>136085</v>
      </c>
    </row>
    <row r="2795" spans="7:14" ht="11.25" customHeight="1" x14ac:dyDescent="0.3">
      <c r="G2795" s="459"/>
      <c r="H2795" s="459">
        <v>2788</v>
      </c>
      <c r="I2795" s="444">
        <f t="shared" ca="1" si="153"/>
        <v>1796989767.9321096</v>
      </c>
      <c r="J2795" s="444">
        <f t="array" ref="J2795">IFERROR(INDEX('Retirement Calculator'!J:J,MATCH('Isaac 401k'!N2795,'Retirement Calculator'!A:A,0),0),0)</f>
        <v>0</v>
      </c>
      <c r="K2795" s="444">
        <f t="shared" ca="1" si="151"/>
        <v>7487457.36638379</v>
      </c>
      <c r="L2795" s="444">
        <f t="shared" ca="1" si="152"/>
        <v>1804477225.2984934</v>
      </c>
      <c r="M2795" s="460">
        <f t="shared" si="154"/>
        <v>0.05</v>
      </c>
      <c r="N2795" s="464">
        <f t="shared" si="155"/>
        <v>136116</v>
      </c>
    </row>
    <row r="2796" spans="7:14" ht="11.25" customHeight="1" x14ac:dyDescent="0.3">
      <c r="G2796" s="459"/>
      <c r="H2796" s="459">
        <v>2789</v>
      </c>
      <c r="I2796" s="444">
        <f t="shared" ca="1" si="153"/>
        <v>1804477225.2984934</v>
      </c>
      <c r="J2796" s="444">
        <f t="array" ref="J2796">IFERROR(INDEX('Retirement Calculator'!J:J,MATCH('Isaac 401k'!N2796,'Retirement Calculator'!A:A,0),0),0)</f>
        <v>0</v>
      </c>
      <c r="K2796" s="444">
        <f t="shared" ca="1" si="151"/>
        <v>7518655.1054103877</v>
      </c>
      <c r="L2796" s="444">
        <f t="shared" ca="1" si="152"/>
        <v>1811995880.4039037</v>
      </c>
      <c r="M2796" s="460">
        <f t="shared" si="154"/>
        <v>0.05</v>
      </c>
      <c r="N2796" s="464">
        <f t="shared" si="155"/>
        <v>136146</v>
      </c>
    </row>
    <row r="2797" spans="7:14" ht="11.25" customHeight="1" x14ac:dyDescent="0.3">
      <c r="G2797" s="459"/>
      <c r="H2797" s="459">
        <v>2790</v>
      </c>
      <c r="I2797" s="444">
        <f t="shared" ca="1" si="153"/>
        <v>1811995880.4039037</v>
      </c>
      <c r="J2797" s="444">
        <f t="array" ref="J2797">IFERROR(INDEX('Retirement Calculator'!J:J,MATCH('Isaac 401k'!N2797,'Retirement Calculator'!A:A,0),0),0)</f>
        <v>0</v>
      </c>
      <c r="K2797" s="444">
        <f t="shared" ca="1" si="151"/>
        <v>7549982.8350162655</v>
      </c>
      <c r="L2797" s="444">
        <f t="shared" ca="1" si="152"/>
        <v>1819545863.23892</v>
      </c>
      <c r="M2797" s="460">
        <f t="shared" si="154"/>
        <v>0.05</v>
      </c>
      <c r="N2797" s="464">
        <f t="shared" si="155"/>
        <v>136177</v>
      </c>
    </row>
    <row r="2798" spans="7:14" ht="11.25" customHeight="1" x14ac:dyDescent="0.3">
      <c r="G2798" s="459"/>
      <c r="H2798" s="459">
        <v>2791</v>
      </c>
      <c r="I2798" s="444">
        <f t="shared" ca="1" si="153"/>
        <v>1819545863.23892</v>
      </c>
      <c r="J2798" s="444">
        <f t="array" ref="J2798">IFERROR(INDEX('Retirement Calculator'!J:J,MATCH('Isaac 401k'!N2798,'Retirement Calculator'!A:A,0),0),0)</f>
        <v>0</v>
      </c>
      <c r="K2798" s="444">
        <f t="shared" ca="1" si="151"/>
        <v>7581441.0968288323</v>
      </c>
      <c r="L2798" s="444">
        <f t="shared" ca="1" si="152"/>
        <v>1827127304.3357489</v>
      </c>
      <c r="M2798" s="460">
        <f t="shared" si="154"/>
        <v>0.05</v>
      </c>
      <c r="N2798" s="464">
        <f t="shared" si="155"/>
        <v>136207</v>
      </c>
    </row>
    <row r="2799" spans="7:14" ht="11.25" customHeight="1" x14ac:dyDescent="0.3">
      <c r="G2799" s="459"/>
      <c r="H2799" s="459">
        <v>2792</v>
      </c>
      <c r="I2799" s="444">
        <f t="shared" ca="1" si="153"/>
        <v>1827127304.3357489</v>
      </c>
      <c r="J2799" s="444">
        <f t="array" ref="J2799">IFERROR(INDEX('Retirement Calculator'!J:J,MATCH('Isaac 401k'!N2799,'Retirement Calculator'!A:A,0),0),0)</f>
        <v>0</v>
      </c>
      <c r="K2799" s="444">
        <f t="shared" ca="1" si="151"/>
        <v>7613030.4347322863</v>
      </c>
      <c r="L2799" s="444">
        <f t="shared" ca="1" si="152"/>
        <v>1834740334.7704811</v>
      </c>
      <c r="M2799" s="460">
        <f t="shared" si="154"/>
        <v>0.05</v>
      </c>
      <c r="N2799" s="464">
        <f t="shared" si="155"/>
        <v>136238</v>
      </c>
    </row>
    <row r="2800" spans="7:14" ht="11.25" customHeight="1" x14ac:dyDescent="0.3">
      <c r="G2800" s="459"/>
      <c r="H2800" s="459">
        <v>2793</v>
      </c>
      <c r="I2800" s="444">
        <f t="shared" ca="1" si="153"/>
        <v>1834740334.7704811</v>
      </c>
      <c r="J2800" s="444">
        <f t="array" ref="J2800">IFERROR(INDEX('Retirement Calculator'!J:J,MATCH('Isaac 401k'!N2800,'Retirement Calculator'!A:A,0),0),0)</f>
        <v>0</v>
      </c>
      <c r="K2800" s="444">
        <f t="shared" ca="1" si="151"/>
        <v>7644751.3948770054</v>
      </c>
      <c r="L2800" s="444">
        <f t="shared" ca="1" si="152"/>
        <v>1842385086.1653581</v>
      </c>
      <c r="M2800" s="460">
        <f t="shared" si="154"/>
        <v>0.05</v>
      </c>
      <c r="N2800" s="464">
        <f t="shared" si="155"/>
        <v>136269</v>
      </c>
    </row>
    <row r="2801" spans="7:14" ht="11.25" customHeight="1" x14ac:dyDescent="0.3">
      <c r="G2801" s="459"/>
      <c r="H2801" s="459">
        <v>2794</v>
      </c>
      <c r="I2801" s="444">
        <f t="shared" ca="1" si="153"/>
        <v>1842385086.1653581</v>
      </c>
      <c r="J2801" s="444">
        <f t="array" ref="J2801">IFERROR(INDEX('Retirement Calculator'!J:J,MATCH('Isaac 401k'!N2801,'Retirement Calculator'!A:A,0),0),0)</f>
        <v>0</v>
      </c>
      <c r="K2801" s="444">
        <f t="shared" ca="1" si="151"/>
        <v>7676604.5256889919</v>
      </c>
      <c r="L2801" s="444">
        <f t="shared" ca="1" si="152"/>
        <v>1850061690.691047</v>
      </c>
      <c r="M2801" s="460">
        <f t="shared" si="154"/>
        <v>0.05</v>
      </c>
      <c r="N2801" s="464">
        <f t="shared" si="155"/>
        <v>136297</v>
      </c>
    </row>
    <row r="2802" spans="7:14" ht="11.25" customHeight="1" x14ac:dyDescent="0.3">
      <c r="G2802" s="459"/>
      <c r="H2802" s="459">
        <v>2795</v>
      </c>
      <c r="I2802" s="444">
        <f t="shared" ca="1" si="153"/>
        <v>1850061690.691047</v>
      </c>
      <c r="J2802" s="444">
        <f t="array" ref="J2802">IFERROR(INDEX('Retirement Calculator'!J:J,MATCH('Isaac 401k'!N2802,'Retirement Calculator'!A:A,0),0),0)</f>
        <v>0</v>
      </c>
      <c r="K2802" s="444">
        <f t="shared" ca="1" si="151"/>
        <v>7708590.3778793626</v>
      </c>
      <c r="L2802" s="444">
        <f t="shared" ca="1" si="152"/>
        <v>1857770281.0689263</v>
      </c>
      <c r="M2802" s="460">
        <f t="shared" si="154"/>
        <v>0.05</v>
      </c>
      <c r="N2802" s="464">
        <f t="shared" si="155"/>
        <v>136328</v>
      </c>
    </row>
    <row r="2803" spans="7:14" ht="11.25" customHeight="1" x14ac:dyDescent="0.3">
      <c r="G2803" s="459"/>
      <c r="H2803" s="459">
        <v>2796</v>
      </c>
      <c r="I2803" s="444">
        <f t="shared" ca="1" si="153"/>
        <v>1857770281.0689263</v>
      </c>
      <c r="J2803" s="444">
        <f t="array" ref="J2803">IFERROR(INDEX('Retirement Calculator'!J:J,MATCH('Isaac 401k'!N2803,'Retirement Calculator'!A:A,0),0),0)</f>
        <v>0</v>
      </c>
      <c r="K2803" s="444">
        <f t="shared" ca="1" si="151"/>
        <v>7740709.5044538593</v>
      </c>
      <c r="L2803" s="444">
        <f t="shared" ca="1" si="152"/>
        <v>1865510990.5733802</v>
      </c>
      <c r="M2803" s="460">
        <f t="shared" si="154"/>
        <v>0.05</v>
      </c>
      <c r="N2803" s="464">
        <f t="shared" si="155"/>
        <v>136358</v>
      </c>
    </row>
    <row r="2804" spans="7:14" ht="11.25" customHeight="1" x14ac:dyDescent="0.3">
      <c r="G2804" s="459"/>
      <c r="H2804" s="459">
        <v>2797</v>
      </c>
      <c r="I2804" s="444">
        <f t="shared" ca="1" si="153"/>
        <v>1865510990.5733802</v>
      </c>
      <c r="J2804" s="444">
        <f t="array" ref="J2804">IFERROR(INDEX('Retirement Calculator'!J:J,MATCH('Isaac 401k'!N2804,'Retirement Calculator'!A:A,0),0),0)</f>
        <v>0</v>
      </c>
      <c r="K2804" s="444">
        <f t="shared" ca="1" si="151"/>
        <v>7772962.4607224176</v>
      </c>
      <c r="L2804" s="444">
        <f t="shared" ca="1" si="152"/>
        <v>1873283953.0341027</v>
      </c>
      <c r="M2804" s="460">
        <f t="shared" si="154"/>
        <v>0.05</v>
      </c>
      <c r="N2804" s="464">
        <f t="shared" si="155"/>
        <v>136389</v>
      </c>
    </row>
    <row r="2805" spans="7:14" ht="11.25" customHeight="1" x14ac:dyDescent="0.3">
      <c r="G2805" s="459"/>
      <c r="H2805" s="459">
        <v>2798</v>
      </c>
      <c r="I2805" s="444">
        <f t="shared" ca="1" si="153"/>
        <v>1873283953.0341027</v>
      </c>
      <c r="J2805" s="444">
        <f t="array" ref="J2805">IFERROR(INDEX('Retirement Calculator'!J:J,MATCH('Isaac 401k'!N2805,'Retirement Calculator'!A:A,0),0),0)</f>
        <v>0</v>
      </c>
      <c r="K2805" s="444">
        <f t="shared" ca="1" si="151"/>
        <v>7805349.8043087609</v>
      </c>
      <c r="L2805" s="444">
        <f t="shared" ca="1" si="152"/>
        <v>1881089302.8384113</v>
      </c>
      <c r="M2805" s="460">
        <f t="shared" si="154"/>
        <v>0.05</v>
      </c>
      <c r="N2805" s="464">
        <f t="shared" si="155"/>
        <v>136419</v>
      </c>
    </row>
    <row r="2806" spans="7:14" ht="11.25" customHeight="1" x14ac:dyDescent="0.3">
      <c r="G2806" s="459"/>
      <c r="H2806" s="459">
        <v>2799</v>
      </c>
      <c r="I2806" s="444">
        <f t="shared" ca="1" si="153"/>
        <v>1881089302.8384113</v>
      </c>
      <c r="J2806" s="444">
        <f t="array" ref="J2806">IFERROR(INDEX('Retirement Calculator'!J:J,MATCH('Isaac 401k'!N2806,'Retirement Calculator'!A:A,0),0),0)</f>
        <v>0</v>
      </c>
      <c r="K2806" s="444">
        <f t="shared" ca="1" si="151"/>
        <v>7837872.0951600485</v>
      </c>
      <c r="L2806" s="444">
        <f t="shared" ca="1" si="152"/>
        <v>1888927174.9335713</v>
      </c>
      <c r="M2806" s="460">
        <f t="shared" si="154"/>
        <v>0.05</v>
      </c>
      <c r="N2806" s="464">
        <f t="shared" si="155"/>
        <v>136450</v>
      </c>
    </row>
    <row r="2807" spans="7:14" ht="11.25" customHeight="1" x14ac:dyDescent="0.3">
      <c r="G2807" s="459"/>
      <c r="H2807" s="459">
        <v>2800</v>
      </c>
      <c r="I2807" s="444">
        <f t="shared" ca="1" si="153"/>
        <v>1888927174.9335713</v>
      </c>
      <c r="J2807" s="444">
        <f t="array" ref="J2807">IFERROR(INDEX('Retirement Calculator'!J:J,MATCH('Isaac 401k'!N2807,'Retirement Calculator'!A:A,0),0),0)</f>
        <v>0</v>
      </c>
      <c r="K2807" s="444">
        <f t="shared" ca="1" si="151"/>
        <v>7870529.8955565467</v>
      </c>
      <c r="L2807" s="444">
        <f t="shared" ca="1" si="152"/>
        <v>1896797704.8291278</v>
      </c>
      <c r="M2807" s="460">
        <f t="shared" si="154"/>
        <v>0.05</v>
      </c>
      <c r="N2807" s="464">
        <f t="shared" si="155"/>
        <v>136481</v>
      </c>
    </row>
    <row r="2808" spans="7:14" ht="11.25" customHeight="1" x14ac:dyDescent="0.3">
      <c r="G2808" s="459"/>
      <c r="H2808" s="459">
        <v>2801</v>
      </c>
      <c r="I2808" s="444">
        <f t="shared" ca="1" si="153"/>
        <v>1896797704.8291278</v>
      </c>
      <c r="J2808" s="444">
        <f t="array" ref="J2808">IFERROR(INDEX('Retirement Calculator'!J:J,MATCH('Isaac 401k'!N2808,'Retirement Calculator'!A:A,0),0),0)</f>
        <v>0</v>
      </c>
      <c r="K2808" s="444">
        <f t="shared" ca="1" si="151"/>
        <v>7903323.7701213658</v>
      </c>
      <c r="L2808" s="444">
        <f t="shared" ca="1" si="152"/>
        <v>1904701028.5992491</v>
      </c>
      <c r="M2808" s="460">
        <f t="shared" si="154"/>
        <v>0.05</v>
      </c>
      <c r="N2808" s="464">
        <f t="shared" si="155"/>
        <v>136511</v>
      </c>
    </row>
    <row r="2809" spans="7:14" ht="11.25" customHeight="1" x14ac:dyDescent="0.3">
      <c r="G2809" s="459"/>
      <c r="H2809" s="459">
        <v>2802</v>
      </c>
      <c r="I2809" s="444">
        <f t="shared" ca="1" si="153"/>
        <v>1904701028.5992491</v>
      </c>
      <c r="J2809" s="444">
        <f t="array" ref="J2809">IFERROR(INDEX('Retirement Calculator'!J:J,MATCH('Isaac 401k'!N2809,'Retirement Calculator'!A:A,0),0),0)</f>
        <v>0</v>
      </c>
      <c r="K2809" s="444">
        <f t="shared" ca="1" si="151"/>
        <v>7936254.2858302044</v>
      </c>
      <c r="L2809" s="444">
        <f t="shared" ca="1" si="152"/>
        <v>1912637282.8850794</v>
      </c>
      <c r="M2809" s="460">
        <f t="shared" si="154"/>
        <v>0.05</v>
      </c>
      <c r="N2809" s="464">
        <f t="shared" si="155"/>
        <v>136542</v>
      </c>
    </row>
    <row r="2810" spans="7:14" ht="11.25" customHeight="1" x14ac:dyDescent="0.3">
      <c r="G2810" s="459"/>
      <c r="H2810" s="459">
        <v>2803</v>
      </c>
      <c r="I2810" s="444">
        <f t="shared" ca="1" si="153"/>
        <v>1912637282.8850794</v>
      </c>
      <c r="J2810" s="444">
        <f t="array" ref="J2810">IFERROR(INDEX('Retirement Calculator'!J:J,MATCH('Isaac 401k'!N2810,'Retirement Calculator'!A:A,0),0),0)</f>
        <v>0</v>
      </c>
      <c r="K2810" s="444">
        <f t="shared" ca="1" si="151"/>
        <v>7969322.0120211644</v>
      </c>
      <c r="L2810" s="444">
        <f t="shared" ca="1" si="152"/>
        <v>1920606604.8971004</v>
      </c>
      <c r="M2810" s="460">
        <f t="shared" si="154"/>
        <v>0.05</v>
      </c>
      <c r="N2810" s="464">
        <f t="shared" si="155"/>
        <v>136572</v>
      </c>
    </row>
    <row r="2811" spans="7:14" ht="11.25" customHeight="1" x14ac:dyDescent="0.3">
      <c r="G2811" s="459"/>
      <c r="H2811" s="459">
        <v>2804</v>
      </c>
      <c r="I2811" s="444">
        <f t="shared" ca="1" si="153"/>
        <v>1920606604.8971004</v>
      </c>
      <c r="J2811" s="444">
        <f t="array" ref="J2811">IFERROR(INDEX('Retirement Calculator'!J:J,MATCH('Isaac 401k'!N2811,'Retirement Calculator'!A:A,0),0),0)</f>
        <v>0</v>
      </c>
      <c r="K2811" s="444">
        <f t="shared" ca="1" si="151"/>
        <v>8002527.5204045847</v>
      </c>
      <c r="L2811" s="444">
        <f t="shared" ca="1" si="152"/>
        <v>1928609132.417505</v>
      </c>
      <c r="M2811" s="460">
        <f t="shared" si="154"/>
        <v>0.05</v>
      </c>
      <c r="N2811" s="464">
        <f t="shared" si="155"/>
        <v>136603</v>
      </c>
    </row>
    <row r="2812" spans="7:14" ht="11.25" customHeight="1" x14ac:dyDescent="0.3">
      <c r="G2812" s="459"/>
      <c r="H2812" s="459">
        <v>2805</v>
      </c>
      <c r="I2812" s="444">
        <f t="shared" ca="1" si="153"/>
        <v>1928609132.417505</v>
      </c>
      <c r="J2812" s="444">
        <f t="array" ref="J2812">IFERROR(INDEX('Retirement Calculator'!J:J,MATCH('Isaac 401k'!N2812,'Retirement Calculator'!A:A,0),0),0)</f>
        <v>0</v>
      </c>
      <c r="K2812" s="444">
        <f t="shared" ca="1" si="151"/>
        <v>8035871.3850729372</v>
      </c>
      <c r="L2812" s="444">
        <f t="shared" ca="1" si="152"/>
        <v>1936645003.802578</v>
      </c>
      <c r="M2812" s="460">
        <f t="shared" si="154"/>
        <v>0.05</v>
      </c>
      <c r="N2812" s="464">
        <f t="shared" si="155"/>
        <v>136634</v>
      </c>
    </row>
    <row r="2813" spans="7:14" ht="11.25" customHeight="1" x14ac:dyDescent="0.3">
      <c r="G2813" s="459"/>
      <c r="H2813" s="459">
        <v>2806</v>
      </c>
      <c r="I2813" s="444">
        <f t="shared" ca="1" si="153"/>
        <v>1936645003.802578</v>
      </c>
      <c r="J2813" s="444">
        <f t="array" ref="J2813">IFERROR(INDEX('Retirement Calculator'!J:J,MATCH('Isaac 401k'!N2813,'Retirement Calculator'!A:A,0),0),0)</f>
        <v>0</v>
      </c>
      <c r="K2813" s="444">
        <f t="shared" ref="K2813:K3067" ca="1" si="156">IPMT(M2813/12,1,12,-I2813+J2813,,0)</f>
        <v>8069354.1825107411</v>
      </c>
      <c r="L2813" s="444">
        <f t="shared" ref="L2813:L3067" ca="1" si="157">I2813-J2813+K2813</f>
        <v>1944714357.9850888</v>
      </c>
      <c r="M2813" s="460">
        <f t="shared" si="154"/>
        <v>0.05</v>
      </c>
      <c r="N2813" s="464">
        <f t="shared" si="155"/>
        <v>136662</v>
      </c>
    </row>
    <row r="2814" spans="7:14" ht="11.25" customHeight="1" x14ac:dyDescent="0.3">
      <c r="G2814" s="459"/>
      <c r="H2814" s="459">
        <v>2807</v>
      </c>
      <c r="I2814" s="444">
        <f t="shared" ref="I2814:I3068" ca="1" si="158">L2813</f>
        <v>1944714357.9850888</v>
      </c>
      <c r="J2814" s="444">
        <f t="array" ref="J2814">IFERROR(INDEX('Retirement Calculator'!J:J,MATCH('Isaac 401k'!N2814,'Retirement Calculator'!A:A,0),0),0)</f>
        <v>0</v>
      </c>
      <c r="K2814" s="444">
        <f t="shared" ca="1" si="156"/>
        <v>8102976.4916045358</v>
      </c>
      <c r="L2814" s="444">
        <f t="shared" ca="1" si="157"/>
        <v>1952817334.4766934</v>
      </c>
      <c r="M2814" s="460">
        <f t="shared" ref="M2814:M3068" si="159">M2813</f>
        <v>0.05</v>
      </c>
      <c r="N2814" s="464">
        <f t="shared" ref="N2814:N3068" si="160">EDATE(N2813,1)</f>
        <v>136693</v>
      </c>
    </row>
    <row r="2815" spans="7:14" ht="11.25" customHeight="1" x14ac:dyDescent="0.3">
      <c r="G2815" s="459"/>
      <c r="H2815" s="459">
        <v>2808</v>
      </c>
      <c r="I2815" s="444">
        <f t="shared" ca="1" si="158"/>
        <v>1952817334.4766934</v>
      </c>
      <c r="J2815" s="444">
        <f t="array" ref="J2815">IFERROR(INDEX('Retirement Calculator'!J:J,MATCH('Isaac 401k'!N2815,'Retirement Calculator'!A:A,0),0),0)</f>
        <v>0</v>
      </c>
      <c r="K2815" s="444">
        <f t="shared" ca="1" si="156"/>
        <v>8136738.8936528899</v>
      </c>
      <c r="L2815" s="444">
        <f t="shared" ca="1" si="157"/>
        <v>1960954073.3703463</v>
      </c>
      <c r="M2815" s="460">
        <f t="shared" si="159"/>
        <v>0.05</v>
      </c>
      <c r="N2815" s="464">
        <f t="shared" si="160"/>
        <v>136723</v>
      </c>
    </row>
    <row r="2816" spans="7:14" ht="11.25" customHeight="1" x14ac:dyDescent="0.3">
      <c r="G2816" s="459"/>
      <c r="H2816" s="459">
        <v>2809</v>
      </c>
      <c r="I2816" s="444">
        <f t="shared" ca="1" si="158"/>
        <v>1960954073.3703463</v>
      </c>
      <c r="J2816" s="444">
        <f t="array" ref="J2816">IFERROR(INDEX('Retirement Calculator'!J:J,MATCH('Isaac 401k'!N2816,'Retirement Calculator'!A:A,0),0),0)</f>
        <v>0</v>
      </c>
      <c r="K2816" s="444">
        <f t="shared" ca="1" si="156"/>
        <v>8170641.9723764425</v>
      </c>
      <c r="L2816" s="444">
        <f t="shared" ca="1" si="157"/>
        <v>1969124715.3427227</v>
      </c>
      <c r="M2816" s="460">
        <f t="shared" si="159"/>
        <v>0.05</v>
      </c>
      <c r="N2816" s="464">
        <f t="shared" si="160"/>
        <v>136754</v>
      </c>
    </row>
    <row r="2817" spans="7:14" ht="11.25" customHeight="1" x14ac:dyDescent="0.3">
      <c r="G2817" s="459"/>
      <c r="H2817" s="459">
        <v>2810</v>
      </c>
      <c r="I2817" s="444">
        <f t="shared" ca="1" si="158"/>
        <v>1969124715.3427227</v>
      </c>
      <c r="J2817" s="444">
        <f t="array" ref="J2817">IFERROR(INDEX('Retirement Calculator'!J:J,MATCH('Isaac 401k'!N2817,'Retirement Calculator'!A:A,0),0),0)</f>
        <v>0</v>
      </c>
      <c r="K2817" s="444">
        <f t="shared" ca="1" si="156"/>
        <v>8204686.3139280109</v>
      </c>
      <c r="L2817" s="444">
        <f t="shared" ca="1" si="157"/>
        <v>1977329401.6566508</v>
      </c>
      <c r="M2817" s="460">
        <f t="shared" si="159"/>
        <v>0.05</v>
      </c>
      <c r="N2817" s="464">
        <f t="shared" si="160"/>
        <v>136784</v>
      </c>
    </row>
    <row r="2818" spans="7:14" ht="11.25" customHeight="1" x14ac:dyDescent="0.3">
      <c r="G2818" s="459"/>
      <c r="H2818" s="459">
        <v>2811</v>
      </c>
      <c r="I2818" s="444">
        <f t="shared" ca="1" si="158"/>
        <v>1977329401.6566508</v>
      </c>
      <c r="J2818" s="444">
        <f t="array" ref="J2818">IFERROR(INDEX('Retirement Calculator'!J:J,MATCH('Isaac 401k'!N2818,'Retirement Calculator'!A:A,0),0),0)</f>
        <v>0</v>
      </c>
      <c r="K2818" s="444">
        <f t="shared" ca="1" si="156"/>
        <v>8238872.5069027115</v>
      </c>
      <c r="L2818" s="444">
        <f t="shared" ca="1" si="157"/>
        <v>1985568274.1635535</v>
      </c>
      <c r="M2818" s="460">
        <f t="shared" si="159"/>
        <v>0.05</v>
      </c>
      <c r="N2818" s="464">
        <f t="shared" si="160"/>
        <v>136815</v>
      </c>
    </row>
    <row r="2819" spans="7:14" ht="11.25" customHeight="1" x14ac:dyDescent="0.3">
      <c r="G2819" s="459"/>
      <c r="H2819" s="459">
        <v>2812</v>
      </c>
      <c r="I2819" s="444">
        <f t="shared" ca="1" si="158"/>
        <v>1985568274.1635535</v>
      </c>
      <c r="J2819" s="444">
        <f t="array" ref="J2819">IFERROR(INDEX('Retirement Calculator'!J:J,MATCH('Isaac 401k'!N2819,'Retirement Calculator'!A:A,0),0),0)</f>
        <v>0</v>
      </c>
      <c r="K2819" s="444">
        <f t="shared" ca="1" si="156"/>
        <v>8273201.1423481405</v>
      </c>
      <c r="L2819" s="444">
        <f t="shared" ca="1" si="157"/>
        <v>1993841475.3059015</v>
      </c>
      <c r="M2819" s="460">
        <f t="shared" si="159"/>
        <v>0.05</v>
      </c>
      <c r="N2819" s="464">
        <f t="shared" si="160"/>
        <v>136846</v>
      </c>
    </row>
    <row r="2820" spans="7:14" ht="11.25" customHeight="1" x14ac:dyDescent="0.3">
      <c r="G2820" s="459"/>
      <c r="H2820" s="459">
        <v>2813</v>
      </c>
      <c r="I2820" s="444">
        <f t="shared" ca="1" si="158"/>
        <v>1993841475.3059015</v>
      </c>
      <c r="J2820" s="444">
        <f t="array" ref="J2820">IFERROR(INDEX('Retirement Calculator'!J:J,MATCH('Isaac 401k'!N2820,'Retirement Calculator'!A:A,0),0),0)</f>
        <v>0</v>
      </c>
      <c r="K2820" s="444">
        <f t="shared" ca="1" si="156"/>
        <v>8307672.8137745894</v>
      </c>
      <c r="L2820" s="444">
        <f t="shared" ca="1" si="157"/>
        <v>2002149148.1196761</v>
      </c>
      <c r="M2820" s="460">
        <f t="shared" si="159"/>
        <v>0.05</v>
      </c>
      <c r="N2820" s="464">
        <f t="shared" si="160"/>
        <v>136876</v>
      </c>
    </row>
    <row r="2821" spans="7:14" ht="11.25" customHeight="1" x14ac:dyDescent="0.3">
      <c r="G2821" s="459"/>
      <c r="H2821" s="459">
        <v>2814</v>
      </c>
      <c r="I2821" s="444">
        <f t="shared" ca="1" si="158"/>
        <v>2002149148.1196761</v>
      </c>
      <c r="J2821" s="444">
        <f t="array" ref="J2821">IFERROR(INDEX('Retirement Calculator'!J:J,MATCH('Isaac 401k'!N2821,'Retirement Calculator'!A:A,0),0),0)</f>
        <v>0</v>
      </c>
      <c r="K2821" s="444">
        <f t="shared" ca="1" si="156"/>
        <v>8342288.1171653168</v>
      </c>
      <c r="L2821" s="444">
        <f t="shared" ca="1" si="157"/>
        <v>2010491436.2368414</v>
      </c>
      <c r="M2821" s="460">
        <f t="shared" si="159"/>
        <v>0.05</v>
      </c>
      <c r="N2821" s="464">
        <f t="shared" si="160"/>
        <v>136907</v>
      </c>
    </row>
    <row r="2822" spans="7:14" ht="11.25" customHeight="1" x14ac:dyDescent="0.3">
      <c r="G2822" s="459"/>
      <c r="H2822" s="459">
        <v>2815</v>
      </c>
      <c r="I2822" s="444">
        <f t="shared" ca="1" si="158"/>
        <v>2010491436.2368414</v>
      </c>
      <c r="J2822" s="444">
        <f t="array" ref="J2822">IFERROR(INDEX('Retirement Calculator'!J:J,MATCH('Isaac 401k'!N2822,'Retirement Calculator'!A:A,0),0),0)</f>
        <v>0</v>
      </c>
      <c r="K2822" s="444">
        <f t="shared" ca="1" si="156"/>
        <v>8377047.6509868391</v>
      </c>
      <c r="L2822" s="444">
        <f t="shared" ca="1" si="157"/>
        <v>2018868483.8878284</v>
      </c>
      <c r="M2822" s="460">
        <f t="shared" si="159"/>
        <v>0.05</v>
      </c>
      <c r="N2822" s="464">
        <f t="shared" si="160"/>
        <v>136937</v>
      </c>
    </row>
    <row r="2823" spans="7:14" ht="11.25" customHeight="1" x14ac:dyDescent="0.3">
      <c r="G2823" s="459"/>
      <c r="H2823" s="459">
        <v>2816</v>
      </c>
      <c r="I2823" s="444">
        <f t="shared" ca="1" si="158"/>
        <v>2018868483.8878284</v>
      </c>
      <c r="J2823" s="444">
        <f t="array" ref="J2823">IFERROR(INDEX('Retirement Calculator'!J:J,MATCH('Isaac 401k'!N2823,'Retirement Calculator'!A:A,0),0),0)</f>
        <v>0</v>
      </c>
      <c r="K2823" s="444">
        <f t="shared" ca="1" si="156"/>
        <v>8411952.0161992852</v>
      </c>
      <c r="L2823" s="444">
        <f t="shared" ca="1" si="157"/>
        <v>2027280435.9040277</v>
      </c>
      <c r="M2823" s="460">
        <f t="shared" si="159"/>
        <v>0.05</v>
      </c>
      <c r="N2823" s="464">
        <f t="shared" si="160"/>
        <v>136968</v>
      </c>
    </row>
    <row r="2824" spans="7:14" ht="11.25" customHeight="1" x14ac:dyDescent="0.3">
      <c r="G2824" s="459"/>
      <c r="H2824" s="459">
        <v>2817</v>
      </c>
      <c r="I2824" s="444">
        <f t="shared" ca="1" si="158"/>
        <v>2027280435.9040277</v>
      </c>
      <c r="J2824" s="444">
        <f t="array" ref="J2824">IFERROR(INDEX('Retirement Calculator'!J:J,MATCH('Isaac 401k'!N2824,'Retirement Calculator'!A:A,0),0),0)</f>
        <v>0</v>
      </c>
      <c r="K2824" s="444">
        <f t="shared" ca="1" si="156"/>
        <v>8447001.8162667826</v>
      </c>
      <c r="L2824" s="444">
        <f t="shared" ca="1" si="157"/>
        <v>2035727437.7202945</v>
      </c>
      <c r="M2824" s="460">
        <f t="shared" si="159"/>
        <v>0.05</v>
      </c>
      <c r="N2824" s="464">
        <f t="shared" si="160"/>
        <v>136999</v>
      </c>
    </row>
    <row r="2825" spans="7:14" ht="11.25" customHeight="1" x14ac:dyDescent="0.3">
      <c r="G2825" s="459"/>
      <c r="H2825" s="459">
        <v>2818</v>
      </c>
      <c r="I2825" s="444">
        <f t="shared" ca="1" si="158"/>
        <v>2035727437.7202945</v>
      </c>
      <c r="J2825" s="444">
        <f t="array" ref="J2825">IFERROR(INDEX('Retirement Calculator'!J:J,MATCH('Isaac 401k'!N2825,'Retirement Calculator'!A:A,0),0),0)</f>
        <v>0</v>
      </c>
      <c r="K2825" s="444">
        <f t="shared" ca="1" si="156"/>
        <v>8482197.6571678929</v>
      </c>
      <c r="L2825" s="444">
        <f t="shared" ca="1" si="157"/>
        <v>2044209635.3774624</v>
      </c>
      <c r="M2825" s="460">
        <f t="shared" si="159"/>
        <v>0.05</v>
      </c>
      <c r="N2825" s="464">
        <f t="shared" si="160"/>
        <v>137027</v>
      </c>
    </row>
    <row r="2826" spans="7:14" ht="11.25" customHeight="1" x14ac:dyDescent="0.3">
      <c r="G2826" s="459"/>
      <c r="H2826" s="459">
        <v>2819</v>
      </c>
      <c r="I2826" s="444">
        <f t="shared" ca="1" si="158"/>
        <v>2044209635.3774624</v>
      </c>
      <c r="J2826" s="444">
        <f t="array" ref="J2826">IFERROR(INDEX('Retirement Calculator'!J:J,MATCH('Isaac 401k'!N2826,'Retirement Calculator'!A:A,0),0),0)</f>
        <v>0</v>
      </c>
      <c r="K2826" s="444">
        <f t="shared" ca="1" si="156"/>
        <v>8517540.1474060919</v>
      </c>
      <c r="L2826" s="444">
        <f t="shared" ca="1" si="157"/>
        <v>2052727175.5248685</v>
      </c>
      <c r="M2826" s="460">
        <f t="shared" si="159"/>
        <v>0.05</v>
      </c>
      <c r="N2826" s="464">
        <f t="shared" si="160"/>
        <v>137058</v>
      </c>
    </row>
    <row r="2827" spans="7:14" ht="11.25" customHeight="1" x14ac:dyDescent="0.3">
      <c r="G2827" s="459"/>
      <c r="H2827" s="459">
        <v>2820</v>
      </c>
      <c r="I2827" s="444">
        <f t="shared" ca="1" si="158"/>
        <v>2052727175.5248685</v>
      </c>
      <c r="J2827" s="444">
        <f t="array" ref="J2827">IFERROR(INDEX('Retirement Calculator'!J:J,MATCH('Isaac 401k'!N2827,'Retirement Calculator'!A:A,0),0),0)</f>
        <v>0</v>
      </c>
      <c r="K2827" s="444">
        <f t="shared" ca="1" si="156"/>
        <v>8553029.8980202843</v>
      </c>
      <c r="L2827" s="444">
        <f t="shared" ca="1" si="157"/>
        <v>2061280205.4228888</v>
      </c>
      <c r="M2827" s="460">
        <f t="shared" si="159"/>
        <v>0.05</v>
      </c>
      <c r="N2827" s="464">
        <f t="shared" si="160"/>
        <v>137088</v>
      </c>
    </row>
    <row r="2828" spans="7:14" ht="11.25" customHeight="1" x14ac:dyDescent="0.3">
      <c r="G2828" s="459"/>
      <c r="H2828" s="459">
        <v>2821</v>
      </c>
      <c r="I2828" s="444">
        <f t="shared" ca="1" si="158"/>
        <v>2061280205.4228888</v>
      </c>
      <c r="J2828" s="444">
        <f t="array" ref="J2828">IFERROR(INDEX('Retirement Calculator'!J:J,MATCH('Isaac 401k'!N2828,'Retirement Calculator'!A:A,0),0),0)</f>
        <v>0</v>
      </c>
      <c r="K2828" s="444">
        <f t="shared" ca="1" si="156"/>
        <v>8588667.5225953702</v>
      </c>
      <c r="L2828" s="444">
        <f t="shared" ca="1" si="157"/>
        <v>2069868872.9454842</v>
      </c>
      <c r="M2828" s="460">
        <f t="shared" si="159"/>
        <v>0.05</v>
      </c>
      <c r="N2828" s="464">
        <f t="shared" si="160"/>
        <v>137119</v>
      </c>
    </row>
    <row r="2829" spans="7:14" ht="11.25" customHeight="1" x14ac:dyDescent="0.3">
      <c r="G2829" s="459"/>
      <c r="H2829" s="459">
        <v>2822</v>
      </c>
      <c r="I2829" s="444">
        <f t="shared" ca="1" si="158"/>
        <v>2069868872.9454842</v>
      </c>
      <c r="J2829" s="444">
        <f t="array" ref="J2829">IFERROR(INDEX('Retirement Calculator'!J:J,MATCH('Isaac 401k'!N2829,'Retirement Calculator'!A:A,0),0),0)</f>
        <v>0</v>
      </c>
      <c r="K2829" s="444">
        <f t="shared" ca="1" si="156"/>
        <v>8624453.6372728497</v>
      </c>
      <c r="L2829" s="444">
        <f t="shared" ca="1" si="157"/>
        <v>2078493326.582757</v>
      </c>
      <c r="M2829" s="460">
        <f t="shared" si="159"/>
        <v>0.05</v>
      </c>
      <c r="N2829" s="464">
        <f t="shared" si="160"/>
        <v>137149</v>
      </c>
    </row>
    <row r="2830" spans="7:14" ht="11.25" customHeight="1" x14ac:dyDescent="0.3">
      <c r="G2830" s="459"/>
      <c r="H2830" s="459">
        <v>2823</v>
      </c>
      <c r="I2830" s="444">
        <f t="shared" ca="1" si="158"/>
        <v>2078493326.582757</v>
      </c>
      <c r="J2830" s="444">
        <f t="array" ref="J2830">IFERROR(INDEX('Retirement Calculator'!J:J,MATCH('Isaac 401k'!N2830,'Retirement Calculator'!A:A,0),0),0)</f>
        <v>0</v>
      </c>
      <c r="K2830" s="444">
        <f t="shared" ca="1" si="156"/>
        <v>8660388.860761486</v>
      </c>
      <c r="L2830" s="444">
        <f t="shared" ca="1" si="157"/>
        <v>2087153715.4435184</v>
      </c>
      <c r="M2830" s="460">
        <f t="shared" si="159"/>
        <v>0.05</v>
      </c>
      <c r="N2830" s="464">
        <f t="shared" si="160"/>
        <v>137180</v>
      </c>
    </row>
    <row r="2831" spans="7:14" ht="11.25" customHeight="1" x14ac:dyDescent="0.3">
      <c r="G2831" s="459"/>
      <c r="H2831" s="459">
        <v>2824</v>
      </c>
      <c r="I2831" s="444">
        <f t="shared" ca="1" si="158"/>
        <v>2087153715.4435184</v>
      </c>
      <c r="J2831" s="444">
        <f t="array" ref="J2831">IFERROR(INDEX('Retirement Calculator'!J:J,MATCH('Isaac 401k'!N2831,'Retirement Calculator'!A:A,0),0),0)</f>
        <v>0</v>
      </c>
      <c r="K2831" s="444">
        <f t="shared" ca="1" si="156"/>
        <v>8696473.8143479917</v>
      </c>
      <c r="L2831" s="444">
        <f t="shared" ca="1" si="157"/>
        <v>2095850189.2578664</v>
      </c>
      <c r="M2831" s="460">
        <f t="shared" si="159"/>
        <v>0.05</v>
      </c>
      <c r="N2831" s="464">
        <f t="shared" si="160"/>
        <v>137211</v>
      </c>
    </row>
    <row r="2832" spans="7:14" ht="11.25" customHeight="1" x14ac:dyDescent="0.3">
      <c r="G2832" s="459"/>
      <c r="H2832" s="459">
        <v>2825</v>
      </c>
      <c r="I2832" s="444">
        <f t="shared" ca="1" si="158"/>
        <v>2095850189.2578664</v>
      </c>
      <c r="J2832" s="444">
        <f t="array" ref="J2832">IFERROR(INDEX('Retirement Calculator'!J:J,MATCH('Isaac 401k'!N2832,'Retirement Calculator'!A:A,0),0),0)</f>
        <v>0</v>
      </c>
      <c r="K2832" s="444">
        <f t="shared" ca="1" si="156"/>
        <v>8732709.1219077762</v>
      </c>
      <c r="L2832" s="444">
        <f t="shared" ca="1" si="157"/>
        <v>2104582898.3797741</v>
      </c>
      <c r="M2832" s="460">
        <f t="shared" si="159"/>
        <v>0.05</v>
      </c>
      <c r="N2832" s="464">
        <f t="shared" si="160"/>
        <v>137241</v>
      </c>
    </row>
    <row r="2833" spans="7:14" ht="11.25" customHeight="1" x14ac:dyDescent="0.3">
      <c r="G2833" s="459"/>
      <c r="H2833" s="459">
        <v>2826</v>
      </c>
      <c r="I2833" s="444">
        <f t="shared" ca="1" si="158"/>
        <v>2104582898.3797741</v>
      </c>
      <c r="J2833" s="444">
        <f t="array" ref="J2833">IFERROR(INDEX('Retirement Calculator'!J:J,MATCH('Isaac 401k'!N2833,'Retirement Calculator'!A:A,0),0),0)</f>
        <v>0</v>
      </c>
      <c r="K2833" s="444">
        <f t="shared" ca="1" si="156"/>
        <v>8769095.4099157248</v>
      </c>
      <c r="L2833" s="444">
        <f t="shared" ca="1" si="157"/>
        <v>2113351993.7896898</v>
      </c>
      <c r="M2833" s="460">
        <f t="shared" si="159"/>
        <v>0.05</v>
      </c>
      <c r="N2833" s="464">
        <f t="shared" si="160"/>
        <v>137272</v>
      </c>
    </row>
    <row r="2834" spans="7:14" ht="11.25" customHeight="1" x14ac:dyDescent="0.3">
      <c r="G2834" s="459"/>
      <c r="H2834" s="459">
        <v>2827</v>
      </c>
      <c r="I2834" s="444">
        <f t="shared" ca="1" si="158"/>
        <v>2113351993.7896898</v>
      </c>
      <c r="J2834" s="444">
        <f t="array" ref="J2834">IFERROR(INDEX('Retirement Calculator'!J:J,MATCH('Isaac 401k'!N2834,'Retirement Calculator'!A:A,0),0),0)</f>
        <v>0</v>
      </c>
      <c r="K2834" s="444">
        <f t="shared" ca="1" si="156"/>
        <v>8805633.3074570391</v>
      </c>
      <c r="L2834" s="444">
        <f t="shared" ca="1" si="157"/>
        <v>2122157627.0971467</v>
      </c>
      <c r="M2834" s="460">
        <f t="shared" si="159"/>
        <v>0.05</v>
      </c>
      <c r="N2834" s="464">
        <f t="shared" si="160"/>
        <v>137302</v>
      </c>
    </row>
    <row r="2835" spans="7:14" ht="11.25" customHeight="1" x14ac:dyDescent="0.3">
      <c r="G2835" s="459"/>
      <c r="H2835" s="459">
        <v>2828</v>
      </c>
      <c r="I2835" s="444">
        <f t="shared" ca="1" si="158"/>
        <v>2122157627.0971467</v>
      </c>
      <c r="J2835" s="444">
        <f t="array" ref="J2835">IFERROR(INDEX('Retirement Calculator'!J:J,MATCH('Isaac 401k'!N2835,'Retirement Calculator'!A:A,0),0),0)</f>
        <v>0</v>
      </c>
      <c r="K2835" s="444">
        <f t="shared" ca="1" si="156"/>
        <v>8842323.4462381117</v>
      </c>
      <c r="L2835" s="444">
        <f t="shared" ca="1" si="157"/>
        <v>2130999950.5433848</v>
      </c>
      <c r="M2835" s="460">
        <f t="shared" si="159"/>
        <v>0.05</v>
      </c>
      <c r="N2835" s="464">
        <f t="shared" si="160"/>
        <v>137333</v>
      </c>
    </row>
    <row r="2836" spans="7:14" ht="11.25" customHeight="1" x14ac:dyDescent="0.3">
      <c r="G2836" s="459"/>
      <c r="H2836" s="459">
        <v>2829</v>
      </c>
      <c r="I2836" s="444">
        <f t="shared" ca="1" si="158"/>
        <v>2130999950.5433848</v>
      </c>
      <c r="J2836" s="444">
        <f t="array" ref="J2836">IFERROR(INDEX('Retirement Calculator'!J:J,MATCH('Isaac 401k'!N2836,'Retirement Calculator'!A:A,0),0),0)</f>
        <v>0</v>
      </c>
      <c r="K2836" s="444">
        <f t="shared" ca="1" si="156"/>
        <v>8879166.4605974369</v>
      </c>
      <c r="L2836" s="444">
        <f t="shared" ca="1" si="157"/>
        <v>2139879117.0039823</v>
      </c>
      <c r="M2836" s="460">
        <f t="shared" si="159"/>
        <v>0.05</v>
      </c>
      <c r="N2836" s="464">
        <f t="shared" si="160"/>
        <v>137364</v>
      </c>
    </row>
    <row r="2837" spans="7:14" ht="11.25" customHeight="1" x14ac:dyDescent="0.3">
      <c r="G2837" s="459"/>
      <c r="H2837" s="459">
        <v>2830</v>
      </c>
      <c r="I2837" s="444">
        <f t="shared" ca="1" si="158"/>
        <v>2139879117.0039823</v>
      </c>
      <c r="J2837" s="444">
        <f t="array" ref="J2837">IFERROR(INDEX('Retirement Calculator'!J:J,MATCH('Isaac 401k'!N2837,'Retirement Calculator'!A:A,0),0),0)</f>
        <v>0</v>
      </c>
      <c r="K2837" s="444">
        <f t="shared" ca="1" si="156"/>
        <v>8916162.9875165932</v>
      </c>
      <c r="L2837" s="444">
        <f t="shared" ca="1" si="157"/>
        <v>2148795279.9914989</v>
      </c>
      <c r="M2837" s="460">
        <f t="shared" si="159"/>
        <v>0.05</v>
      </c>
      <c r="N2837" s="464">
        <f t="shared" si="160"/>
        <v>137393</v>
      </c>
    </row>
    <row r="2838" spans="7:14" ht="11.25" customHeight="1" x14ac:dyDescent="0.3">
      <c r="G2838" s="459"/>
      <c r="H2838" s="459">
        <v>2831</v>
      </c>
      <c r="I2838" s="444">
        <f t="shared" ca="1" si="158"/>
        <v>2148795279.9914989</v>
      </c>
      <c r="J2838" s="444">
        <f t="array" ref="J2838">IFERROR(INDEX('Retirement Calculator'!J:J,MATCH('Isaac 401k'!N2838,'Retirement Calculator'!A:A,0),0),0)</f>
        <v>0</v>
      </c>
      <c r="K2838" s="444">
        <f t="shared" ca="1" si="156"/>
        <v>8953313.666631246</v>
      </c>
      <c r="L2838" s="444">
        <f t="shared" ca="1" si="157"/>
        <v>2157748593.6581302</v>
      </c>
      <c r="M2838" s="460">
        <f t="shared" si="159"/>
        <v>0.05</v>
      </c>
      <c r="N2838" s="464">
        <f t="shared" si="160"/>
        <v>137424</v>
      </c>
    </row>
    <row r="2839" spans="7:14" ht="11.25" customHeight="1" x14ac:dyDescent="0.3">
      <c r="G2839" s="459"/>
      <c r="H2839" s="459">
        <v>2832</v>
      </c>
      <c r="I2839" s="444">
        <f t="shared" ca="1" si="158"/>
        <v>2157748593.6581302</v>
      </c>
      <c r="J2839" s="444">
        <f t="array" ref="J2839">IFERROR(INDEX('Retirement Calculator'!J:J,MATCH('Isaac 401k'!N2839,'Retirement Calculator'!A:A,0),0),0)</f>
        <v>0</v>
      </c>
      <c r="K2839" s="444">
        <f t="shared" ca="1" si="156"/>
        <v>8990619.1402422097</v>
      </c>
      <c r="L2839" s="444">
        <f t="shared" ca="1" si="157"/>
        <v>2166739212.7983723</v>
      </c>
      <c r="M2839" s="460">
        <f t="shared" si="159"/>
        <v>0.05</v>
      </c>
      <c r="N2839" s="464">
        <f t="shared" si="160"/>
        <v>137454</v>
      </c>
    </row>
    <row r="2840" spans="7:14" ht="11.25" customHeight="1" x14ac:dyDescent="0.3">
      <c r="G2840" s="459"/>
      <c r="H2840" s="459">
        <v>2833</v>
      </c>
      <c r="I2840" s="444">
        <f t="shared" ca="1" si="158"/>
        <v>2166739212.7983723</v>
      </c>
      <c r="J2840" s="444">
        <f t="array" ref="J2840">IFERROR(INDEX('Retirement Calculator'!J:J,MATCH('Isaac 401k'!N2840,'Retirement Calculator'!A:A,0),0),0)</f>
        <v>0</v>
      </c>
      <c r="K2840" s="444">
        <f t="shared" ca="1" si="156"/>
        <v>9028080.0533265509</v>
      </c>
      <c r="L2840" s="444">
        <f t="shared" ca="1" si="157"/>
        <v>2175767292.8516989</v>
      </c>
      <c r="M2840" s="460">
        <f t="shared" si="159"/>
        <v>0.05</v>
      </c>
      <c r="N2840" s="464">
        <f t="shared" si="160"/>
        <v>137485</v>
      </c>
    </row>
    <row r="2841" spans="7:14" ht="11.25" customHeight="1" x14ac:dyDescent="0.3">
      <c r="G2841" s="459"/>
      <c r="H2841" s="459">
        <v>2834</v>
      </c>
      <c r="I2841" s="444">
        <f t="shared" ca="1" si="158"/>
        <v>2175767292.8516989</v>
      </c>
      <c r="J2841" s="444">
        <f t="array" ref="J2841">IFERROR(INDEX('Retirement Calculator'!J:J,MATCH('Isaac 401k'!N2841,'Retirement Calculator'!A:A,0),0),0)</f>
        <v>0</v>
      </c>
      <c r="K2841" s="444">
        <f t="shared" ca="1" si="156"/>
        <v>9065697.0535487458</v>
      </c>
      <c r="L2841" s="444">
        <f t="shared" ca="1" si="157"/>
        <v>2184832989.9052477</v>
      </c>
      <c r="M2841" s="460">
        <f t="shared" si="159"/>
        <v>0.05</v>
      </c>
      <c r="N2841" s="464">
        <f t="shared" si="160"/>
        <v>137515</v>
      </c>
    </row>
    <row r="2842" spans="7:14" ht="11.25" customHeight="1" x14ac:dyDescent="0.3">
      <c r="G2842" s="459"/>
      <c r="H2842" s="459">
        <v>2835</v>
      </c>
      <c r="I2842" s="444">
        <f t="shared" ca="1" si="158"/>
        <v>2184832989.9052477</v>
      </c>
      <c r="J2842" s="444">
        <f t="array" ref="J2842">IFERROR(INDEX('Retirement Calculator'!J:J,MATCH('Isaac 401k'!N2842,'Retirement Calculator'!A:A,0),0),0)</f>
        <v>0</v>
      </c>
      <c r="K2842" s="444">
        <f t="shared" ca="1" si="156"/>
        <v>9103470.7912718654</v>
      </c>
      <c r="L2842" s="444">
        <f t="shared" ca="1" si="157"/>
        <v>2193936460.6965194</v>
      </c>
      <c r="M2842" s="460">
        <f t="shared" si="159"/>
        <v>0.05</v>
      </c>
      <c r="N2842" s="464">
        <f t="shared" si="160"/>
        <v>137546</v>
      </c>
    </row>
    <row r="2843" spans="7:14" ht="11.25" customHeight="1" x14ac:dyDescent="0.3">
      <c r="G2843" s="459"/>
      <c r="H2843" s="459">
        <v>2836</v>
      </c>
      <c r="I2843" s="444">
        <f t="shared" ca="1" si="158"/>
        <v>2193936460.6965194</v>
      </c>
      <c r="J2843" s="444">
        <f t="array" ref="J2843">IFERROR(INDEX('Retirement Calculator'!J:J,MATCH('Isaac 401k'!N2843,'Retirement Calculator'!A:A,0),0),0)</f>
        <v>0</v>
      </c>
      <c r="K2843" s="444">
        <f t="shared" ca="1" si="156"/>
        <v>9141401.9195688311</v>
      </c>
      <c r="L2843" s="444">
        <f t="shared" ca="1" si="157"/>
        <v>2203077862.6160884</v>
      </c>
      <c r="M2843" s="460">
        <f t="shared" si="159"/>
        <v>0.05</v>
      </c>
      <c r="N2843" s="464">
        <f t="shared" si="160"/>
        <v>137577</v>
      </c>
    </row>
    <row r="2844" spans="7:14" ht="11.25" customHeight="1" x14ac:dyDescent="0.3">
      <c r="G2844" s="459"/>
      <c r="H2844" s="459">
        <v>2837</v>
      </c>
      <c r="I2844" s="444">
        <f t="shared" ca="1" si="158"/>
        <v>2203077862.6160884</v>
      </c>
      <c r="J2844" s="444">
        <f t="array" ref="J2844">IFERROR(INDEX('Retirement Calculator'!J:J,MATCH('Isaac 401k'!N2844,'Retirement Calculator'!A:A,0),0),0)</f>
        <v>0</v>
      </c>
      <c r="K2844" s="444">
        <f t="shared" ca="1" si="156"/>
        <v>9179491.094233701</v>
      </c>
      <c r="L2844" s="444">
        <f t="shared" ca="1" si="157"/>
        <v>2212257353.7103219</v>
      </c>
      <c r="M2844" s="460">
        <f t="shared" si="159"/>
        <v>0.05</v>
      </c>
      <c r="N2844" s="464">
        <f t="shared" si="160"/>
        <v>137607</v>
      </c>
    </row>
    <row r="2845" spans="7:14" ht="11.25" customHeight="1" x14ac:dyDescent="0.3">
      <c r="G2845" s="459"/>
      <c r="H2845" s="459">
        <v>2838</v>
      </c>
      <c r="I2845" s="444">
        <f t="shared" ca="1" si="158"/>
        <v>2212257353.7103219</v>
      </c>
      <c r="J2845" s="444">
        <f t="array" ref="J2845">IFERROR(INDEX('Retirement Calculator'!J:J,MATCH('Isaac 401k'!N2845,'Retirement Calculator'!A:A,0),0),0)</f>
        <v>0</v>
      </c>
      <c r="K2845" s="444">
        <f t="shared" ca="1" si="156"/>
        <v>9217738.9737930074</v>
      </c>
      <c r="L2845" s="444">
        <f t="shared" ca="1" si="157"/>
        <v>2221475092.6841149</v>
      </c>
      <c r="M2845" s="460">
        <f t="shared" si="159"/>
        <v>0.05</v>
      </c>
      <c r="N2845" s="464">
        <f t="shared" si="160"/>
        <v>137638</v>
      </c>
    </row>
    <row r="2846" spans="7:14" ht="11.25" customHeight="1" x14ac:dyDescent="0.3">
      <c r="G2846" s="459"/>
      <c r="H2846" s="459">
        <v>2839</v>
      </c>
      <c r="I2846" s="444">
        <f t="shared" ca="1" si="158"/>
        <v>2221475092.6841149</v>
      </c>
      <c r="J2846" s="444">
        <f t="array" ref="J2846">IFERROR(INDEX('Retirement Calculator'!J:J,MATCH('Isaac 401k'!N2846,'Retirement Calculator'!A:A,0),0),0)</f>
        <v>0</v>
      </c>
      <c r="K2846" s="444">
        <f t="shared" ca="1" si="156"/>
        <v>9256146.2195171453</v>
      </c>
      <c r="L2846" s="444">
        <f t="shared" ca="1" si="157"/>
        <v>2230731238.9036322</v>
      </c>
      <c r="M2846" s="460">
        <f t="shared" si="159"/>
        <v>0.05</v>
      </c>
      <c r="N2846" s="464">
        <f t="shared" si="160"/>
        <v>137668</v>
      </c>
    </row>
    <row r="2847" spans="7:14" ht="11.25" customHeight="1" x14ac:dyDescent="0.3">
      <c r="G2847" s="459"/>
      <c r="H2847" s="459">
        <v>2840</v>
      </c>
      <c r="I2847" s="444">
        <f t="shared" ca="1" si="158"/>
        <v>2230731238.9036322</v>
      </c>
      <c r="J2847" s="444">
        <f t="array" ref="J2847">IFERROR(INDEX('Retirement Calculator'!J:J,MATCH('Isaac 401k'!N2847,'Retirement Calculator'!A:A,0),0),0)</f>
        <v>0</v>
      </c>
      <c r="K2847" s="444">
        <f t="shared" ca="1" si="156"/>
        <v>9294713.4954318013</v>
      </c>
      <c r="L2847" s="444">
        <f t="shared" ca="1" si="157"/>
        <v>2240025952.3990641</v>
      </c>
      <c r="M2847" s="460">
        <f t="shared" si="159"/>
        <v>0.05</v>
      </c>
      <c r="N2847" s="464">
        <f t="shared" si="160"/>
        <v>137699</v>
      </c>
    </row>
    <row r="2848" spans="7:14" ht="11.25" customHeight="1" x14ac:dyDescent="0.3">
      <c r="G2848" s="459"/>
      <c r="H2848" s="459">
        <v>2841</v>
      </c>
      <c r="I2848" s="444">
        <f t="shared" ca="1" si="158"/>
        <v>2240025952.3990641</v>
      </c>
      <c r="J2848" s="444">
        <f t="array" ref="J2848">IFERROR(INDEX('Retirement Calculator'!J:J,MATCH('Isaac 401k'!N2848,'Retirement Calculator'!A:A,0),0),0)</f>
        <v>0</v>
      </c>
      <c r="K2848" s="444">
        <f t="shared" ca="1" si="156"/>
        <v>9333441.4683294334</v>
      </c>
      <c r="L2848" s="444">
        <f t="shared" ca="1" si="157"/>
        <v>2249359393.8673935</v>
      </c>
      <c r="M2848" s="460">
        <f t="shared" si="159"/>
        <v>0.05</v>
      </c>
      <c r="N2848" s="464">
        <f t="shared" si="160"/>
        <v>137730</v>
      </c>
    </row>
    <row r="2849" spans="7:14" ht="11.25" customHeight="1" x14ac:dyDescent="0.3">
      <c r="G2849" s="459"/>
      <c r="H2849" s="459">
        <v>2842</v>
      </c>
      <c r="I2849" s="444">
        <f t="shared" ca="1" si="158"/>
        <v>2249359393.8673935</v>
      </c>
      <c r="J2849" s="444">
        <f t="array" ref="J2849">IFERROR(INDEX('Retirement Calculator'!J:J,MATCH('Isaac 401k'!N2849,'Retirement Calculator'!A:A,0),0),0)</f>
        <v>0</v>
      </c>
      <c r="K2849" s="444">
        <f t="shared" ca="1" si="156"/>
        <v>9372330.807780806</v>
      </c>
      <c r="L2849" s="444">
        <f t="shared" ca="1" si="157"/>
        <v>2258731724.6751742</v>
      </c>
      <c r="M2849" s="460">
        <f t="shared" si="159"/>
        <v>0.05</v>
      </c>
      <c r="N2849" s="464">
        <f t="shared" si="160"/>
        <v>137758</v>
      </c>
    </row>
    <row r="2850" spans="7:14" ht="11.25" customHeight="1" x14ac:dyDescent="0.3">
      <c r="G2850" s="459"/>
      <c r="H2850" s="459">
        <v>2843</v>
      </c>
      <c r="I2850" s="444">
        <f t="shared" ca="1" si="158"/>
        <v>2258731724.6751742</v>
      </c>
      <c r="J2850" s="444">
        <f t="array" ref="J2850">IFERROR(INDEX('Retirement Calculator'!J:J,MATCH('Isaac 401k'!N2850,'Retirement Calculator'!A:A,0),0),0)</f>
        <v>0</v>
      </c>
      <c r="K2850" s="444">
        <f t="shared" ca="1" si="156"/>
        <v>9411382.1861465592</v>
      </c>
      <c r="L2850" s="444">
        <f t="shared" ca="1" si="157"/>
        <v>2268143106.861321</v>
      </c>
      <c r="M2850" s="460">
        <f t="shared" si="159"/>
        <v>0.05</v>
      </c>
      <c r="N2850" s="464">
        <f t="shared" si="160"/>
        <v>137789</v>
      </c>
    </row>
    <row r="2851" spans="7:14" ht="11.25" customHeight="1" x14ac:dyDescent="0.3">
      <c r="G2851" s="459"/>
      <c r="H2851" s="459">
        <v>2844</v>
      </c>
      <c r="I2851" s="444">
        <f t="shared" ca="1" si="158"/>
        <v>2268143106.861321</v>
      </c>
      <c r="J2851" s="444">
        <f t="array" ref="J2851">IFERROR(INDEX('Retirement Calculator'!J:J,MATCH('Isaac 401k'!N2851,'Retirement Calculator'!A:A,0),0),0)</f>
        <v>0</v>
      </c>
      <c r="K2851" s="444">
        <f t="shared" ca="1" si="156"/>
        <v>9450596.278588837</v>
      </c>
      <c r="L2851" s="444">
        <f t="shared" ca="1" si="157"/>
        <v>2277593703.1399097</v>
      </c>
      <c r="M2851" s="460">
        <f t="shared" si="159"/>
        <v>0.05</v>
      </c>
      <c r="N2851" s="464">
        <f t="shared" si="160"/>
        <v>137819</v>
      </c>
    </row>
    <row r="2852" spans="7:14" ht="11.25" customHeight="1" x14ac:dyDescent="0.3">
      <c r="G2852" s="459"/>
      <c r="H2852" s="459">
        <v>2845</v>
      </c>
      <c r="I2852" s="444">
        <f t="shared" ca="1" si="158"/>
        <v>2277593703.1399097</v>
      </c>
      <c r="J2852" s="444">
        <f t="array" ref="J2852">IFERROR(INDEX('Retirement Calculator'!J:J,MATCH('Isaac 401k'!N2852,'Retirement Calculator'!A:A,0),0),0)</f>
        <v>0</v>
      </c>
      <c r="K2852" s="444">
        <f t="shared" ca="1" si="156"/>
        <v>9489973.7630829569</v>
      </c>
      <c r="L2852" s="444">
        <f t="shared" ca="1" si="157"/>
        <v>2287083676.9029927</v>
      </c>
      <c r="M2852" s="460">
        <f t="shared" si="159"/>
        <v>0.05</v>
      </c>
      <c r="N2852" s="464">
        <f t="shared" si="160"/>
        <v>137850</v>
      </c>
    </row>
    <row r="2853" spans="7:14" ht="11.25" customHeight="1" x14ac:dyDescent="0.3">
      <c r="G2853" s="459"/>
      <c r="H2853" s="459">
        <v>2846</v>
      </c>
      <c r="I2853" s="444">
        <f t="shared" ca="1" si="158"/>
        <v>2287083676.9029927</v>
      </c>
      <c r="J2853" s="444">
        <f t="array" ref="J2853">IFERROR(INDEX('Retirement Calculator'!J:J,MATCH('Isaac 401k'!N2853,'Retirement Calculator'!A:A,0),0),0)</f>
        <v>0</v>
      </c>
      <c r="K2853" s="444">
        <f t="shared" ca="1" si="156"/>
        <v>9529515.320429137</v>
      </c>
      <c r="L2853" s="444">
        <f t="shared" ca="1" si="157"/>
        <v>2296613192.2234221</v>
      </c>
      <c r="M2853" s="460">
        <f t="shared" si="159"/>
        <v>0.05</v>
      </c>
      <c r="N2853" s="464">
        <f t="shared" si="160"/>
        <v>137880</v>
      </c>
    </row>
    <row r="2854" spans="7:14" ht="11.25" customHeight="1" x14ac:dyDescent="0.3">
      <c r="G2854" s="459"/>
      <c r="H2854" s="459">
        <v>2847</v>
      </c>
      <c r="I2854" s="444">
        <f t="shared" ca="1" si="158"/>
        <v>2296613192.2234221</v>
      </c>
      <c r="J2854" s="444">
        <f t="array" ref="J2854">IFERROR(INDEX('Retirement Calculator'!J:J,MATCH('Isaac 401k'!N2854,'Retirement Calculator'!A:A,0),0),0)</f>
        <v>0</v>
      </c>
      <c r="K2854" s="444">
        <f t="shared" ca="1" si="156"/>
        <v>9569221.6342642587</v>
      </c>
      <c r="L2854" s="444">
        <f t="shared" ca="1" si="157"/>
        <v>2306182413.8576865</v>
      </c>
      <c r="M2854" s="460">
        <f t="shared" si="159"/>
        <v>0.05</v>
      </c>
      <c r="N2854" s="464">
        <f t="shared" si="160"/>
        <v>137911</v>
      </c>
    </row>
    <row r="2855" spans="7:14" ht="11.25" customHeight="1" x14ac:dyDescent="0.3">
      <c r="G2855" s="459"/>
      <c r="H2855" s="459">
        <v>2848</v>
      </c>
      <c r="I2855" s="444">
        <f t="shared" ca="1" si="158"/>
        <v>2306182413.8576865</v>
      </c>
      <c r="J2855" s="444">
        <f t="array" ref="J2855">IFERROR(INDEX('Retirement Calculator'!J:J,MATCH('Isaac 401k'!N2855,'Retirement Calculator'!A:A,0),0),0)</f>
        <v>0</v>
      </c>
      <c r="K2855" s="444">
        <f t="shared" ca="1" si="156"/>
        <v>9609093.3910736945</v>
      </c>
      <c r="L2855" s="444">
        <f t="shared" ca="1" si="157"/>
        <v>2315791507.2487602</v>
      </c>
      <c r="M2855" s="460">
        <f t="shared" si="159"/>
        <v>0.05</v>
      </c>
      <c r="N2855" s="464">
        <f t="shared" si="160"/>
        <v>137942</v>
      </c>
    </row>
    <row r="2856" spans="7:14" ht="11.25" customHeight="1" x14ac:dyDescent="0.3">
      <c r="G2856" s="459"/>
      <c r="H2856" s="459">
        <v>2849</v>
      </c>
      <c r="I2856" s="444">
        <f t="shared" ca="1" si="158"/>
        <v>2315791507.2487602</v>
      </c>
      <c r="J2856" s="444">
        <f t="array" ref="J2856">IFERROR(INDEX('Retirement Calculator'!J:J,MATCH('Isaac 401k'!N2856,'Retirement Calculator'!A:A,0),0),0)</f>
        <v>0</v>
      </c>
      <c r="K2856" s="444">
        <f t="shared" ca="1" si="156"/>
        <v>9649131.2802031673</v>
      </c>
      <c r="L2856" s="444">
        <f t="shared" ca="1" si="157"/>
        <v>2325440638.5289636</v>
      </c>
      <c r="M2856" s="460">
        <f t="shared" si="159"/>
        <v>0.05</v>
      </c>
      <c r="N2856" s="464">
        <f t="shared" si="160"/>
        <v>137972</v>
      </c>
    </row>
    <row r="2857" spans="7:14" ht="11.25" customHeight="1" x14ac:dyDescent="0.3">
      <c r="G2857" s="459"/>
      <c r="H2857" s="459">
        <v>2850</v>
      </c>
      <c r="I2857" s="444">
        <f t="shared" ca="1" si="158"/>
        <v>2325440638.5289636</v>
      </c>
      <c r="J2857" s="444">
        <f t="array" ref="J2857">IFERROR(INDEX('Retirement Calculator'!J:J,MATCH('Isaac 401k'!N2857,'Retirement Calculator'!A:A,0),0),0)</f>
        <v>0</v>
      </c>
      <c r="K2857" s="444">
        <f t="shared" ca="1" si="156"/>
        <v>9689335.9938706812</v>
      </c>
      <c r="L2857" s="444">
        <f t="shared" ca="1" si="157"/>
        <v>2335129974.5228343</v>
      </c>
      <c r="M2857" s="460">
        <f t="shared" si="159"/>
        <v>0.05</v>
      </c>
      <c r="N2857" s="464">
        <f t="shared" si="160"/>
        <v>138003</v>
      </c>
    </row>
    <row r="2858" spans="7:14" ht="11.25" customHeight="1" x14ac:dyDescent="0.3">
      <c r="G2858" s="459"/>
      <c r="H2858" s="459">
        <v>2851</v>
      </c>
      <c r="I2858" s="444">
        <f t="shared" ca="1" si="158"/>
        <v>2335129974.5228343</v>
      </c>
      <c r="J2858" s="444">
        <f t="array" ref="J2858">IFERROR(INDEX('Retirement Calculator'!J:J,MATCH('Isaac 401k'!N2858,'Retirement Calculator'!A:A,0),0),0)</f>
        <v>0</v>
      </c>
      <c r="K2858" s="444">
        <f t="shared" ca="1" si="156"/>
        <v>9729708.2271784768</v>
      </c>
      <c r="L2858" s="444">
        <f t="shared" ca="1" si="157"/>
        <v>2344859682.7500129</v>
      </c>
      <c r="M2858" s="460">
        <f t="shared" si="159"/>
        <v>0.05</v>
      </c>
      <c r="N2858" s="464">
        <f t="shared" si="160"/>
        <v>138033</v>
      </c>
    </row>
    <row r="2859" spans="7:14" ht="11.25" customHeight="1" x14ac:dyDescent="0.3">
      <c r="G2859" s="459"/>
      <c r="H2859" s="459">
        <v>2852</v>
      </c>
      <c r="I2859" s="444">
        <f t="shared" ca="1" si="158"/>
        <v>2344859682.7500129</v>
      </c>
      <c r="J2859" s="444">
        <f t="array" ref="J2859">IFERROR(INDEX('Retirement Calculator'!J:J,MATCH('Isaac 401k'!N2859,'Retirement Calculator'!A:A,0),0),0)</f>
        <v>0</v>
      </c>
      <c r="K2859" s="444">
        <f t="shared" ca="1" si="156"/>
        <v>9770248.6781250536</v>
      </c>
      <c r="L2859" s="444">
        <f t="shared" ca="1" si="157"/>
        <v>2354629931.4281378</v>
      </c>
      <c r="M2859" s="460">
        <f t="shared" si="159"/>
        <v>0.05</v>
      </c>
      <c r="N2859" s="464">
        <f t="shared" si="160"/>
        <v>138064</v>
      </c>
    </row>
    <row r="2860" spans="7:14" ht="11.25" customHeight="1" x14ac:dyDescent="0.3">
      <c r="G2860" s="459"/>
      <c r="H2860" s="459">
        <v>2853</v>
      </c>
      <c r="I2860" s="444">
        <f t="shared" ca="1" si="158"/>
        <v>2354629931.4281378</v>
      </c>
      <c r="J2860" s="444">
        <f t="array" ref="J2860">IFERROR(INDEX('Retirement Calculator'!J:J,MATCH('Isaac 401k'!N2860,'Retirement Calculator'!A:A,0),0),0)</f>
        <v>0</v>
      </c>
      <c r="K2860" s="444">
        <f t="shared" ca="1" si="156"/>
        <v>9810958.0476172399</v>
      </c>
      <c r="L2860" s="444">
        <f t="shared" ca="1" si="157"/>
        <v>2364440889.4757552</v>
      </c>
      <c r="M2860" s="460">
        <f t="shared" si="159"/>
        <v>0.05</v>
      </c>
      <c r="N2860" s="464">
        <f t="shared" si="160"/>
        <v>138095</v>
      </c>
    </row>
    <row r="2861" spans="7:14" ht="11.25" customHeight="1" x14ac:dyDescent="0.3">
      <c r="G2861" s="459"/>
      <c r="H2861" s="459">
        <v>2854</v>
      </c>
      <c r="I2861" s="444">
        <f t="shared" ca="1" si="158"/>
        <v>2364440889.4757552</v>
      </c>
      <c r="J2861" s="444">
        <f t="array" ref="J2861">IFERROR(INDEX('Retirement Calculator'!J:J,MATCH('Isaac 401k'!N2861,'Retirement Calculator'!A:A,0),0),0)</f>
        <v>0</v>
      </c>
      <c r="K2861" s="444">
        <f t="shared" ca="1" si="156"/>
        <v>9851837.0394823141</v>
      </c>
      <c r="L2861" s="444">
        <f t="shared" ca="1" si="157"/>
        <v>2374292726.5152373</v>
      </c>
      <c r="M2861" s="460">
        <f t="shared" si="159"/>
        <v>0.05</v>
      </c>
      <c r="N2861" s="464">
        <f t="shared" si="160"/>
        <v>138123</v>
      </c>
    </row>
    <row r="2862" spans="7:14" ht="11.25" customHeight="1" x14ac:dyDescent="0.3">
      <c r="G2862" s="459"/>
      <c r="H2862" s="459">
        <v>2855</v>
      </c>
      <c r="I2862" s="444">
        <f t="shared" ca="1" si="158"/>
        <v>2374292726.5152373</v>
      </c>
      <c r="J2862" s="444">
        <f t="array" ref="J2862">IFERROR(INDEX('Retirement Calculator'!J:J,MATCH('Isaac 401k'!N2862,'Retirement Calculator'!A:A,0),0),0)</f>
        <v>0</v>
      </c>
      <c r="K2862" s="444">
        <f t="shared" ca="1" si="156"/>
        <v>9892886.3604801558</v>
      </c>
      <c r="L2862" s="444">
        <f t="shared" ca="1" si="157"/>
        <v>2384185612.8757176</v>
      </c>
      <c r="M2862" s="460">
        <f t="shared" si="159"/>
        <v>0.05</v>
      </c>
      <c r="N2862" s="464">
        <f t="shared" si="160"/>
        <v>138154</v>
      </c>
    </row>
    <row r="2863" spans="7:14" ht="11.25" customHeight="1" x14ac:dyDescent="0.3">
      <c r="G2863" s="459"/>
      <c r="H2863" s="459">
        <v>2856</v>
      </c>
      <c r="I2863" s="444">
        <f t="shared" ca="1" si="158"/>
        <v>2384185612.8757176</v>
      </c>
      <c r="J2863" s="444">
        <f t="array" ref="J2863">IFERROR(INDEX('Retirement Calculator'!J:J,MATCH('Isaac 401k'!N2863,'Retirement Calculator'!A:A,0),0),0)</f>
        <v>0</v>
      </c>
      <c r="K2863" s="444">
        <f t="shared" ca="1" si="156"/>
        <v>9934106.7203154899</v>
      </c>
      <c r="L2863" s="444">
        <f t="shared" ca="1" si="157"/>
        <v>2394119719.5960331</v>
      </c>
      <c r="M2863" s="460">
        <f t="shared" si="159"/>
        <v>0.05</v>
      </c>
      <c r="N2863" s="464">
        <f t="shared" si="160"/>
        <v>138184</v>
      </c>
    </row>
    <row r="2864" spans="7:14" ht="11.25" customHeight="1" x14ac:dyDescent="0.3">
      <c r="G2864" s="459"/>
      <c r="H2864" s="459">
        <v>2857</v>
      </c>
      <c r="I2864" s="444">
        <f t="shared" ca="1" si="158"/>
        <v>2394119719.5960331</v>
      </c>
      <c r="J2864" s="444">
        <f t="array" ref="J2864">IFERROR(INDEX('Retirement Calculator'!J:J,MATCH('Isaac 401k'!N2864,'Retirement Calculator'!A:A,0),0),0)</f>
        <v>0</v>
      </c>
      <c r="K2864" s="444">
        <f t="shared" ca="1" si="156"/>
        <v>9975498.8316501379</v>
      </c>
      <c r="L2864" s="444">
        <f t="shared" ca="1" si="157"/>
        <v>2404095218.4276834</v>
      </c>
      <c r="M2864" s="460">
        <f t="shared" si="159"/>
        <v>0.05</v>
      </c>
      <c r="N2864" s="464">
        <f t="shared" si="160"/>
        <v>138215</v>
      </c>
    </row>
    <row r="2865" spans="7:14" ht="11.25" customHeight="1" x14ac:dyDescent="0.3">
      <c r="G2865" s="459"/>
      <c r="H2865" s="459">
        <v>2858</v>
      </c>
      <c r="I2865" s="444">
        <f t="shared" ca="1" si="158"/>
        <v>2404095218.4276834</v>
      </c>
      <c r="J2865" s="444">
        <f t="array" ref="J2865">IFERROR(INDEX('Retirement Calculator'!J:J,MATCH('Isaac 401k'!N2865,'Retirement Calculator'!A:A,0),0),0)</f>
        <v>0</v>
      </c>
      <c r="K2865" s="444">
        <f t="shared" ca="1" si="156"/>
        <v>10017063.410115346</v>
      </c>
      <c r="L2865" s="444">
        <f t="shared" ca="1" si="157"/>
        <v>2414112281.8377986</v>
      </c>
      <c r="M2865" s="460">
        <f t="shared" si="159"/>
        <v>0.05</v>
      </c>
      <c r="N2865" s="464">
        <f t="shared" si="160"/>
        <v>138245</v>
      </c>
    </row>
    <row r="2866" spans="7:14" ht="11.25" customHeight="1" x14ac:dyDescent="0.3">
      <c r="G2866" s="459"/>
      <c r="H2866" s="459">
        <v>2859</v>
      </c>
      <c r="I2866" s="444">
        <f t="shared" ca="1" si="158"/>
        <v>2414112281.8377986</v>
      </c>
      <c r="J2866" s="444">
        <f t="array" ref="J2866">IFERROR(INDEX('Retirement Calculator'!J:J,MATCH('Isaac 401k'!N2866,'Retirement Calculator'!A:A,0),0),0)</f>
        <v>0</v>
      </c>
      <c r="K2866" s="444">
        <f t="shared" ca="1" si="156"/>
        <v>10058801.17432416</v>
      </c>
      <c r="L2866" s="444">
        <f t="shared" ca="1" si="157"/>
        <v>2424171083.0121226</v>
      </c>
      <c r="M2866" s="460">
        <f t="shared" si="159"/>
        <v>0.05</v>
      </c>
      <c r="N2866" s="464">
        <f t="shared" si="160"/>
        <v>138276</v>
      </c>
    </row>
    <row r="2867" spans="7:14" ht="11.25" customHeight="1" x14ac:dyDescent="0.3">
      <c r="G2867" s="459"/>
      <c r="H2867" s="459">
        <v>2860</v>
      </c>
      <c r="I2867" s="444">
        <f t="shared" ca="1" si="158"/>
        <v>2424171083.0121226</v>
      </c>
      <c r="J2867" s="444">
        <f t="array" ref="J2867">IFERROR(INDEX('Retirement Calculator'!J:J,MATCH('Isaac 401k'!N2867,'Retirement Calculator'!A:A,0),0),0)</f>
        <v>0</v>
      </c>
      <c r="K2867" s="444">
        <f t="shared" ca="1" si="156"/>
        <v>10100712.845883844</v>
      </c>
      <c r="L2867" s="444">
        <f t="shared" ca="1" si="157"/>
        <v>2434271795.8580065</v>
      </c>
      <c r="M2867" s="460">
        <f t="shared" si="159"/>
        <v>0.05</v>
      </c>
      <c r="N2867" s="464">
        <f t="shared" si="160"/>
        <v>138307</v>
      </c>
    </row>
    <row r="2868" spans="7:14" ht="11.25" customHeight="1" x14ac:dyDescent="0.3">
      <c r="G2868" s="459"/>
      <c r="H2868" s="459">
        <v>2861</v>
      </c>
      <c r="I2868" s="444">
        <f t="shared" ca="1" si="158"/>
        <v>2434271795.8580065</v>
      </c>
      <c r="J2868" s="444">
        <f t="array" ref="J2868">IFERROR(INDEX('Retirement Calculator'!J:J,MATCH('Isaac 401k'!N2868,'Retirement Calculator'!A:A,0),0),0)</f>
        <v>0</v>
      </c>
      <c r="K2868" s="444">
        <f t="shared" ca="1" si="156"/>
        <v>10142799.149408361</v>
      </c>
      <c r="L2868" s="444">
        <f t="shared" ca="1" si="157"/>
        <v>2444414595.0074148</v>
      </c>
      <c r="M2868" s="460">
        <f t="shared" si="159"/>
        <v>0.05</v>
      </c>
      <c r="N2868" s="464">
        <f t="shared" si="160"/>
        <v>138337</v>
      </c>
    </row>
    <row r="2869" spans="7:14" ht="11.25" customHeight="1" x14ac:dyDescent="0.3">
      <c r="G2869" s="459"/>
      <c r="H2869" s="459">
        <v>2862</v>
      </c>
      <c r="I2869" s="444">
        <f t="shared" ca="1" si="158"/>
        <v>2444414595.0074148</v>
      </c>
      <c r="J2869" s="444">
        <f t="array" ref="J2869">IFERROR(INDEX('Retirement Calculator'!J:J,MATCH('Isaac 401k'!N2869,'Retirement Calculator'!A:A,0),0),0)</f>
        <v>0</v>
      </c>
      <c r="K2869" s="444">
        <f t="shared" ca="1" si="156"/>
        <v>10185060.812530896</v>
      </c>
      <c r="L2869" s="444">
        <f t="shared" ca="1" si="157"/>
        <v>2454599655.8199458</v>
      </c>
      <c r="M2869" s="460">
        <f t="shared" si="159"/>
        <v>0.05</v>
      </c>
      <c r="N2869" s="464">
        <f t="shared" si="160"/>
        <v>138368</v>
      </c>
    </row>
    <row r="2870" spans="7:14" ht="11.25" customHeight="1" x14ac:dyDescent="0.3">
      <c r="G2870" s="459"/>
      <c r="H2870" s="459">
        <v>2863</v>
      </c>
      <c r="I2870" s="444">
        <f t="shared" ca="1" si="158"/>
        <v>2454599655.8199458</v>
      </c>
      <c r="J2870" s="444">
        <f t="array" ref="J2870">IFERROR(INDEX('Retirement Calculator'!J:J,MATCH('Isaac 401k'!N2870,'Retirement Calculator'!A:A,0),0),0)</f>
        <v>0</v>
      </c>
      <c r="K2870" s="444">
        <f t="shared" ca="1" si="156"/>
        <v>10227498.565916441</v>
      </c>
      <c r="L2870" s="444">
        <f t="shared" ca="1" si="157"/>
        <v>2464827154.3858624</v>
      </c>
      <c r="M2870" s="460">
        <f t="shared" si="159"/>
        <v>0.05</v>
      </c>
      <c r="N2870" s="464">
        <f t="shared" si="160"/>
        <v>138398</v>
      </c>
    </row>
    <row r="2871" spans="7:14" ht="11.25" customHeight="1" x14ac:dyDescent="0.3">
      <c r="G2871" s="459"/>
      <c r="H2871" s="459">
        <v>2864</v>
      </c>
      <c r="I2871" s="444">
        <f t="shared" ca="1" si="158"/>
        <v>2464827154.3858624</v>
      </c>
      <c r="J2871" s="444">
        <f t="array" ref="J2871">IFERROR(INDEX('Retirement Calculator'!J:J,MATCH('Isaac 401k'!N2871,'Retirement Calculator'!A:A,0),0),0)</f>
        <v>0</v>
      </c>
      <c r="K2871" s="444">
        <f t="shared" ca="1" si="156"/>
        <v>10270113.143274426</v>
      </c>
      <c r="L2871" s="444">
        <f t="shared" ca="1" si="157"/>
        <v>2475097267.5291367</v>
      </c>
      <c r="M2871" s="460">
        <f t="shared" si="159"/>
        <v>0.05</v>
      </c>
      <c r="N2871" s="464">
        <f t="shared" si="160"/>
        <v>138429</v>
      </c>
    </row>
    <row r="2872" spans="7:14" ht="11.25" customHeight="1" x14ac:dyDescent="0.3">
      <c r="G2872" s="459"/>
      <c r="H2872" s="459">
        <v>2865</v>
      </c>
      <c r="I2872" s="444">
        <f t="shared" ca="1" si="158"/>
        <v>2475097267.5291367</v>
      </c>
      <c r="J2872" s="444">
        <f t="array" ref="J2872">IFERROR(INDEX('Retirement Calculator'!J:J,MATCH('Isaac 401k'!N2872,'Retirement Calculator'!A:A,0),0),0)</f>
        <v>0</v>
      </c>
      <c r="K2872" s="444">
        <f t="shared" ca="1" si="156"/>
        <v>10312905.281371403</v>
      </c>
      <c r="L2872" s="444">
        <f t="shared" ca="1" si="157"/>
        <v>2485410172.8105083</v>
      </c>
      <c r="M2872" s="460">
        <f t="shared" si="159"/>
        <v>0.05</v>
      </c>
      <c r="N2872" s="464">
        <f t="shared" si="160"/>
        <v>138460</v>
      </c>
    </row>
    <row r="2873" spans="7:14" ht="11.25" customHeight="1" x14ac:dyDescent="0.3">
      <c r="G2873" s="459"/>
      <c r="H2873" s="459">
        <v>2866</v>
      </c>
      <c r="I2873" s="444">
        <f t="shared" ca="1" si="158"/>
        <v>2485410172.8105083</v>
      </c>
      <c r="J2873" s="444">
        <f t="array" ref="J2873">IFERROR(INDEX('Retirement Calculator'!J:J,MATCH('Isaac 401k'!N2873,'Retirement Calculator'!A:A,0),0),0)</f>
        <v>0</v>
      </c>
      <c r="K2873" s="444">
        <f t="shared" ca="1" si="156"/>
        <v>10355875.720043784</v>
      </c>
      <c r="L2873" s="444">
        <f t="shared" ca="1" si="157"/>
        <v>2495766048.5305519</v>
      </c>
      <c r="M2873" s="460">
        <f t="shared" si="159"/>
        <v>0.05</v>
      </c>
      <c r="N2873" s="464">
        <f t="shared" si="160"/>
        <v>138488</v>
      </c>
    </row>
    <row r="2874" spans="7:14" ht="11.25" customHeight="1" x14ac:dyDescent="0.3">
      <c r="G2874" s="459"/>
      <c r="H2874" s="459">
        <v>2867</v>
      </c>
      <c r="I2874" s="444">
        <f t="shared" ca="1" si="158"/>
        <v>2495766048.5305519</v>
      </c>
      <c r="J2874" s="444">
        <f t="array" ref="J2874">IFERROR(INDEX('Retirement Calculator'!J:J,MATCH('Isaac 401k'!N2874,'Retirement Calculator'!A:A,0),0),0)</f>
        <v>0</v>
      </c>
      <c r="K2874" s="444">
        <f t="shared" ca="1" si="156"/>
        <v>10399025.202210633</v>
      </c>
      <c r="L2874" s="444">
        <f t="shared" ca="1" si="157"/>
        <v>2506165073.7327623</v>
      </c>
      <c r="M2874" s="460">
        <f t="shared" si="159"/>
        <v>0.05</v>
      </c>
      <c r="N2874" s="464">
        <f t="shared" si="160"/>
        <v>138519</v>
      </c>
    </row>
    <row r="2875" spans="7:14" ht="11.25" customHeight="1" x14ac:dyDescent="0.3">
      <c r="G2875" s="459"/>
      <c r="H2875" s="459">
        <v>2868</v>
      </c>
      <c r="I2875" s="444">
        <f t="shared" ca="1" si="158"/>
        <v>2506165073.7327623</v>
      </c>
      <c r="J2875" s="444">
        <f t="array" ref="J2875">IFERROR(INDEX('Retirement Calculator'!J:J,MATCH('Isaac 401k'!N2875,'Retirement Calculator'!A:A,0),0),0)</f>
        <v>0</v>
      </c>
      <c r="K2875" s="444">
        <f t="shared" ca="1" si="156"/>
        <v>10442354.47388651</v>
      </c>
      <c r="L2875" s="444">
        <f t="shared" ca="1" si="157"/>
        <v>2516607428.2066488</v>
      </c>
      <c r="M2875" s="460">
        <f t="shared" si="159"/>
        <v>0.05</v>
      </c>
      <c r="N2875" s="464">
        <f t="shared" si="160"/>
        <v>138549</v>
      </c>
    </row>
    <row r="2876" spans="7:14" ht="11.25" customHeight="1" x14ac:dyDescent="0.3">
      <c r="G2876" s="459"/>
      <c r="H2876" s="459">
        <v>2869</v>
      </c>
      <c r="I2876" s="444">
        <f t="shared" ca="1" si="158"/>
        <v>2516607428.2066488</v>
      </c>
      <c r="J2876" s="444">
        <f t="array" ref="J2876">IFERROR(INDEX('Retirement Calculator'!J:J,MATCH('Isaac 401k'!N2876,'Retirement Calculator'!A:A,0),0),0)</f>
        <v>0</v>
      </c>
      <c r="K2876" s="444">
        <f t="shared" ca="1" si="156"/>
        <v>10485864.284194371</v>
      </c>
      <c r="L2876" s="444">
        <f t="shared" ca="1" si="157"/>
        <v>2527093292.4908433</v>
      </c>
      <c r="M2876" s="460">
        <f t="shared" si="159"/>
        <v>0.05</v>
      </c>
      <c r="N2876" s="464">
        <f t="shared" si="160"/>
        <v>138580</v>
      </c>
    </row>
    <row r="2877" spans="7:14" ht="11.25" customHeight="1" x14ac:dyDescent="0.3">
      <c r="G2877" s="459"/>
      <c r="H2877" s="459">
        <v>2870</v>
      </c>
      <c r="I2877" s="444">
        <f t="shared" ca="1" si="158"/>
        <v>2527093292.4908433</v>
      </c>
      <c r="J2877" s="444">
        <f t="array" ref="J2877">IFERROR(INDEX('Retirement Calculator'!J:J,MATCH('Isaac 401k'!N2877,'Retirement Calculator'!A:A,0),0),0)</f>
        <v>0</v>
      </c>
      <c r="K2877" s="444">
        <f t="shared" ca="1" si="156"/>
        <v>10529555.385378513</v>
      </c>
      <c r="L2877" s="444">
        <f t="shared" ca="1" si="157"/>
        <v>2537622847.8762217</v>
      </c>
      <c r="M2877" s="460">
        <f t="shared" si="159"/>
        <v>0.05</v>
      </c>
      <c r="N2877" s="464">
        <f t="shared" si="160"/>
        <v>138610</v>
      </c>
    </row>
    <row r="2878" spans="7:14" ht="11.25" customHeight="1" x14ac:dyDescent="0.3">
      <c r="G2878" s="459"/>
      <c r="H2878" s="459">
        <v>2871</v>
      </c>
      <c r="I2878" s="444">
        <f t="shared" ca="1" si="158"/>
        <v>2537622847.8762217</v>
      </c>
      <c r="J2878" s="444">
        <f t="array" ref="J2878">IFERROR(INDEX('Retirement Calculator'!J:J,MATCH('Isaac 401k'!N2878,'Retirement Calculator'!A:A,0),0),0)</f>
        <v>0</v>
      </c>
      <c r="K2878" s="444">
        <f t="shared" ca="1" si="156"/>
        <v>10573428.532817591</v>
      </c>
      <c r="L2878" s="444">
        <f t="shared" ca="1" si="157"/>
        <v>2548196276.409039</v>
      </c>
      <c r="M2878" s="460">
        <f t="shared" si="159"/>
        <v>0.05</v>
      </c>
      <c r="N2878" s="464">
        <f t="shared" si="160"/>
        <v>138641</v>
      </c>
    </row>
    <row r="2879" spans="7:14" ht="11.25" customHeight="1" x14ac:dyDescent="0.3">
      <c r="G2879" s="459"/>
      <c r="H2879" s="459">
        <v>2872</v>
      </c>
      <c r="I2879" s="444">
        <f t="shared" ca="1" si="158"/>
        <v>2548196276.409039</v>
      </c>
      <c r="J2879" s="444">
        <f t="array" ref="J2879">IFERROR(INDEX('Retirement Calculator'!J:J,MATCH('Isaac 401k'!N2879,'Retirement Calculator'!A:A,0),0),0)</f>
        <v>0</v>
      </c>
      <c r="K2879" s="444">
        <f t="shared" ca="1" si="156"/>
        <v>10617484.485037662</v>
      </c>
      <c r="L2879" s="444">
        <f t="shared" ca="1" si="157"/>
        <v>2558813760.8940768</v>
      </c>
      <c r="M2879" s="460">
        <f t="shared" si="159"/>
        <v>0.05</v>
      </c>
      <c r="N2879" s="464">
        <f t="shared" si="160"/>
        <v>138672</v>
      </c>
    </row>
    <row r="2880" spans="7:14" ht="11.25" customHeight="1" x14ac:dyDescent="0.3">
      <c r="G2880" s="459"/>
      <c r="H2880" s="459">
        <v>2873</v>
      </c>
      <c r="I2880" s="444">
        <f t="shared" ca="1" si="158"/>
        <v>2558813760.8940768</v>
      </c>
      <c r="J2880" s="444">
        <f t="array" ref="J2880">IFERROR(INDEX('Retirement Calculator'!J:J,MATCH('Isaac 401k'!N2880,'Retirement Calculator'!A:A,0),0),0)</f>
        <v>0</v>
      </c>
      <c r="K2880" s="444">
        <f t="shared" ca="1" si="156"/>
        <v>10661724.00372532</v>
      </c>
      <c r="L2880" s="444">
        <f t="shared" ca="1" si="157"/>
        <v>2569475484.8978024</v>
      </c>
      <c r="M2880" s="460">
        <f t="shared" si="159"/>
        <v>0.05</v>
      </c>
      <c r="N2880" s="464">
        <f t="shared" si="160"/>
        <v>138702</v>
      </c>
    </row>
    <row r="2881" spans="7:14" ht="11.25" customHeight="1" x14ac:dyDescent="0.3">
      <c r="G2881" s="459"/>
      <c r="H2881" s="459">
        <v>2874</v>
      </c>
      <c r="I2881" s="444">
        <f t="shared" ca="1" si="158"/>
        <v>2569475484.8978024</v>
      </c>
      <c r="J2881" s="444">
        <f t="array" ref="J2881">IFERROR(INDEX('Retirement Calculator'!J:J,MATCH('Isaac 401k'!N2881,'Retirement Calculator'!A:A,0),0),0)</f>
        <v>0</v>
      </c>
      <c r="K2881" s="444">
        <f t="shared" ca="1" si="156"/>
        <v>10706147.853740843</v>
      </c>
      <c r="L2881" s="444">
        <f t="shared" ca="1" si="157"/>
        <v>2580181632.751543</v>
      </c>
      <c r="M2881" s="460">
        <f t="shared" si="159"/>
        <v>0.05</v>
      </c>
      <c r="N2881" s="464">
        <f t="shared" si="160"/>
        <v>138733</v>
      </c>
    </row>
    <row r="2882" spans="7:14" ht="11.25" customHeight="1" x14ac:dyDescent="0.3">
      <c r="G2882" s="459"/>
      <c r="H2882" s="459">
        <v>2875</v>
      </c>
      <c r="I2882" s="444">
        <f t="shared" ca="1" si="158"/>
        <v>2580181632.751543</v>
      </c>
      <c r="J2882" s="444">
        <f t="array" ref="J2882">IFERROR(INDEX('Retirement Calculator'!J:J,MATCH('Isaac 401k'!N2882,'Retirement Calculator'!A:A,0),0),0)</f>
        <v>0</v>
      </c>
      <c r="K2882" s="444">
        <f t="shared" ca="1" si="156"/>
        <v>10750756.803131429</v>
      </c>
      <c r="L2882" s="444">
        <f t="shared" ca="1" si="157"/>
        <v>2590932389.5546746</v>
      </c>
      <c r="M2882" s="460">
        <f t="shared" si="159"/>
        <v>0.05</v>
      </c>
      <c r="N2882" s="464">
        <f t="shared" si="160"/>
        <v>138763</v>
      </c>
    </row>
    <row r="2883" spans="7:14" ht="11.25" customHeight="1" x14ac:dyDescent="0.3">
      <c r="G2883" s="459"/>
      <c r="H2883" s="459">
        <v>2876</v>
      </c>
      <c r="I2883" s="444">
        <f t="shared" ca="1" si="158"/>
        <v>2590932389.5546746</v>
      </c>
      <c r="J2883" s="444">
        <f t="array" ref="J2883">IFERROR(INDEX('Retirement Calculator'!J:J,MATCH('Isaac 401k'!N2883,'Retirement Calculator'!A:A,0),0),0)</f>
        <v>0</v>
      </c>
      <c r="K2883" s="444">
        <f t="shared" ca="1" si="156"/>
        <v>10795551.623144478</v>
      </c>
      <c r="L2883" s="444">
        <f t="shared" ca="1" si="157"/>
        <v>2601727941.1778193</v>
      </c>
      <c r="M2883" s="460">
        <f t="shared" si="159"/>
        <v>0.05</v>
      </c>
      <c r="N2883" s="464">
        <f t="shared" si="160"/>
        <v>138794</v>
      </c>
    </row>
    <row r="2884" spans="7:14" ht="11.25" customHeight="1" x14ac:dyDescent="0.3">
      <c r="G2884" s="459"/>
      <c r="H2884" s="459">
        <v>2877</v>
      </c>
      <c r="I2884" s="444">
        <f t="shared" ca="1" si="158"/>
        <v>2601727941.1778193</v>
      </c>
      <c r="J2884" s="444">
        <f t="array" ref="J2884">IFERROR(INDEX('Retirement Calculator'!J:J,MATCH('Isaac 401k'!N2884,'Retirement Calculator'!A:A,0),0),0)</f>
        <v>0</v>
      </c>
      <c r="K2884" s="444">
        <f t="shared" ca="1" si="156"/>
        <v>10840533.088240914</v>
      </c>
      <c r="L2884" s="444">
        <f t="shared" ca="1" si="157"/>
        <v>2612568474.2660604</v>
      </c>
      <c r="M2884" s="460">
        <f t="shared" si="159"/>
        <v>0.05</v>
      </c>
      <c r="N2884" s="464">
        <f t="shared" si="160"/>
        <v>138825</v>
      </c>
    </row>
    <row r="2885" spans="7:14" ht="11.25" customHeight="1" x14ac:dyDescent="0.3">
      <c r="G2885" s="459"/>
      <c r="H2885" s="459">
        <v>2878</v>
      </c>
      <c r="I2885" s="444">
        <f t="shared" ca="1" si="158"/>
        <v>2612568474.2660604</v>
      </c>
      <c r="J2885" s="444">
        <f t="array" ref="J2885">IFERROR(INDEX('Retirement Calculator'!J:J,MATCH('Isaac 401k'!N2885,'Retirement Calculator'!A:A,0),0),0)</f>
        <v>0</v>
      </c>
      <c r="K2885" s="444">
        <f t="shared" ca="1" si="156"/>
        <v>10885701.976108585</v>
      </c>
      <c r="L2885" s="444">
        <f t="shared" ca="1" si="157"/>
        <v>2623454176.2421689</v>
      </c>
      <c r="M2885" s="460">
        <f t="shared" si="159"/>
        <v>0.05</v>
      </c>
      <c r="N2885" s="464">
        <f t="shared" si="160"/>
        <v>138854</v>
      </c>
    </row>
    <row r="2886" spans="7:14" ht="11.25" customHeight="1" x14ac:dyDescent="0.3">
      <c r="G2886" s="459"/>
      <c r="H2886" s="459">
        <v>2879</v>
      </c>
      <c r="I2886" s="444">
        <f t="shared" ca="1" si="158"/>
        <v>2623454176.2421689</v>
      </c>
      <c r="J2886" s="444">
        <f t="array" ref="J2886">IFERROR(INDEX('Retirement Calculator'!J:J,MATCH('Isaac 401k'!N2886,'Retirement Calculator'!A:A,0),0),0)</f>
        <v>0</v>
      </c>
      <c r="K2886" s="444">
        <f t="shared" ca="1" si="156"/>
        <v>10931059.067675704</v>
      </c>
      <c r="L2886" s="444">
        <f t="shared" ca="1" si="157"/>
        <v>2634385235.3098445</v>
      </c>
      <c r="M2886" s="460">
        <f t="shared" si="159"/>
        <v>0.05</v>
      </c>
      <c r="N2886" s="464">
        <f t="shared" si="160"/>
        <v>138885</v>
      </c>
    </row>
    <row r="2887" spans="7:14" ht="11.25" customHeight="1" x14ac:dyDescent="0.3">
      <c r="G2887" s="459"/>
      <c r="H2887" s="459">
        <v>2880</v>
      </c>
      <c r="I2887" s="444">
        <f t="shared" ca="1" si="158"/>
        <v>2634385235.3098445</v>
      </c>
      <c r="J2887" s="444">
        <f t="array" ref="J2887">IFERROR(INDEX('Retirement Calculator'!J:J,MATCH('Isaac 401k'!N2887,'Retirement Calculator'!A:A,0),0),0)</f>
        <v>0</v>
      </c>
      <c r="K2887" s="444">
        <f t="shared" ca="1" si="156"/>
        <v>10976605.147124352</v>
      </c>
      <c r="L2887" s="444">
        <f t="shared" ca="1" si="157"/>
        <v>2645361840.4569688</v>
      </c>
      <c r="M2887" s="460">
        <f t="shared" si="159"/>
        <v>0.05</v>
      </c>
      <c r="N2887" s="464">
        <f t="shared" si="160"/>
        <v>138915</v>
      </c>
    </row>
    <row r="2888" spans="7:14" ht="11.25" customHeight="1" x14ac:dyDescent="0.3">
      <c r="G2888" s="459"/>
      <c r="H2888" s="459">
        <v>2881</v>
      </c>
      <c r="I2888" s="444">
        <f t="shared" ca="1" si="158"/>
        <v>2645361840.4569688</v>
      </c>
      <c r="J2888" s="444">
        <f t="array" ref="J2888">IFERROR(INDEX('Retirement Calculator'!J:J,MATCH('Isaac 401k'!N2888,'Retirement Calculator'!A:A,0),0),0)</f>
        <v>0</v>
      </c>
      <c r="K2888" s="444">
        <f t="shared" ca="1" si="156"/>
        <v>11022341.001904037</v>
      </c>
      <c r="L2888" s="444">
        <f t="shared" ca="1" si="157"/>
        <v>2656384181.4588728</v>
      </c>
      <c r="M2888" s="460">
        <f t="shared" si="159"/>
        <v>0.05</v>
      </c>
      <c r="N2888" s="464">
        <f t="shared" si="160"/>
        <v>138946</v>
      </c>
    </row>
    <row r="2889" spans="7:14" ht="11.25" customHeight="1" x14ac:dyDescent="0.3">
      <c r="G2889" s="459"/>
      <c r="H2889" s="459">
        <v>2882</v>
      </c>
      <c r="I2889" s="444">
        <f t="shared" ca="1" si="158"/>
        <v>2656384181.4588728</v>
      </c>
      <c r="J2889" s="444">
        <f t="array" ref="J2889">IFERROR(INDEX('Retirement Calculator'!J:J,MATCH('Isaac 401k'!N2889,'Retirement Calculator'!A:A,0),0),0)</f>
        <v>0</v>
      </c>
      <c r="K2889" s="444">
        <f t="shared" ca="1" si="156"/>
        <v>11068267.422745302</v>
      </c>
      <c r="L2889" s="444">
        <f t="shared" ca="1" si="157"/>
        <v>2667452448.881618</v>
      </c>
      <c r="M2889" s="460">
        <f t="shared" si="159"/>
        <v>0.05</v>
      </c>
      <c r="N2889" s="464">
        <f t="shared" si="160"/>
        <v>138976</v>
      </c>
    </row>
    <row r="2890" spans="7:14" ht="11.25" customHeight="1" x14ac:dyDescent="0.3">
      <c r="G2890" s="459"/>
      <c r="H2890" s="459">
        <v>2883</v>
      </c>
      <c r="I2890" s="444">
        <f t="shared" ca="1" si="158"/>
        <v>2667452448.881618</v>
      </c>
      <c r="J2890" s="444">
        <f t="array" ref="J2890">IFERROR(INDEX('Retirement Calculator'!J:J,MATCH('Isaac 401k'!N2890,'Retirement Calculator'!A:A,0),0),0)</f>
        <v>0</v>
      </c>
      <c r="K2890" s="444">
        <f t="shared" ca="1" si="156"/>
        <v>11114385.203673407</v>
      </c>
      <c r="L2890" s="444">
        <f t="shared" ca="1" si="157"/>
        <v>2678566834.0852914</v>
      </c>
      <c r="M2890" s="460">
        <f t="shared" si="159"/>
        <v>0.05</v>
      </c>
      <c r="N2890" s="464">
        <f t="shared" si="160"/>
        <v>139007</v>
      </c>
    </row>
    <row r="2891" spans="7:14" ht="11.25" customHeight="1" x14ac:dyDescent="0.3">
      <c r="G2891" s="459"/>
      <c r="H2891" s="459">
        <v>2884</v>
      </c>
      <c r="I2891" s="444">
        <f t="shared" ca="1" si="158"/>
        <v>2678566834.0852914</v>
      </c>
      <c r="J2891" s="444">
        <f t="array" ref="J2891">IFERROR(INDEX('Retirement Calculator'!J:J,MATCH('Isaac 401k'!N2891,'Retirement Calculator'!A:A,0),0),0)</f>
        <v>0</v>
      </c>
      <c r="K2891" s="444">
        <f t="shared" ca="1" si="156"/>
        <v>11160695.142022047</v>
      </c>
      <c r="L2891" s="444">
        <f t="shared" ca="1" si="157"/>
        <v>2689727529.2273135</v>
      </c>
      <c r="M2891" s="460">
        <f t="shared" si="159"/>
        <v>0.05</v>
      </c>
      <c r="N2891" s="464">
        <f t="shared" si="160"/>
        <v>139038</v>
      </c>
    </row>
    <row r="2892" spans="7:14" ht="11.25" customHeight="1" x14ac:dyDescent="0.3">
      <c r="G2892" s="459"/>
      <c r="H2892" s="459">
        <v>2885</v>
      </c>
      <c r="I2892" s="444">
        <f t="shared" ca="1" si="158"/>
        <v>2689727529.2273135</v>
      </c>
      <c r="J2892" s="444">
        <f t="array" ref="J2892">IFERROR(INDEX('Retirement Calculator'!J:J,MATCH('Isaac 401k'!N2892,'Retirement Calculator'!A:A,0),0),0)</f>
        <v>0</v>
      </c>
      <c r="K2892" s="444">
        <f t="shared" ca="1" si="156"/>
        <v>11207198.03844714</v>
      </c>
      <c r="L2892" s="444">
        <f t="shared" ca="1" si="157"/>
        <v>2700934727.2657604</v>
      </c>
      <c r="M2892" s="460">
        <f t="shared" si="159"/>
        <v>0.05</v>
      </c>
      <c r="N2892" s="464">
        <f t="shared" si="160"/>
        <v>139068</v>
      </c>
    </row>
    <row r="2893" spans="7:14" ht="11.25" customHeight="1" x14ac:dyDescent="0.3">
      <c r="G2893" s="459"/>
      <c r="H2893" s="459">
        <v>2886</v>
      </c>
      <c r="I2893" s="444">
        <f t="shared" ca="1" si="158"/>
        <v>2700934727.2657604</v>
      </c>
      <c r="J2893" s="444">
        <f t="array" ref="J2893">IFERROR(INDEX('Retirement Calculator'!J:J,MATCH('Isaac 401k'!N2893,'Retirement Calculator'!A:A,0),0),0)</f>
        <v>0</v>
      </c>
      <c r="K2893" s="444">
        <f t="shared" ca="1" si="156"/>
        <v>11253894.696940668</v>
      </c>
      <c r="L2893" s="444">
        <f t="shared" ca="1" si="157"/>
        <v>2712188621.9627013</v>
      </c>
      <c r="M2893" s="460">
        <f t="shared" si="159"/>
        <v>0.05</v>
      </c>
      <c r="N2893" s="464">
        <f t="shared" si="160"/>
        <v>139099</v>
      </c>
    </row>
    <row r="2894" spans="7:14" ht="11.25" customHeight="1" x14ac:dyDescent="0.3">
      <c r="G2894" s="459"/>
      <c r="H2894" s="459">
        <v>2887</v>
      </c>
      <c r="I2894" s="444">
        <f t="shared" ca="1" si="158"/>
        <v>2712188621.9627013</v>
      </c>
      <c r="J2894" s="444">
        <f t="array" ref="J2894">IFERROR(INDEX('Retirement Calculator'!J:J,MATCH('Isaac 401k'!N2894,'Retirement Calculator'!A:A,0),0),0)</f>
        <v>0</v>
      </c>
      <c r="K2894" s="444">
        <f t="shared" ca="1" si="156"/>
        <v>11300785.924844589</v>
      </c>
      <c r="L2894" s="444">
        <f t="shared" ca="1" si="157"/>
        <v>2723489407.8875461</v>
      </c>
      <c r="M2894" s="460">
        <f t="shared" si="159"/>
        <v>0.05</v>
      </c>
      <c r="N2894" s="464">
        <f t="shared" si="160"/>
        <v>139129</v>
      </c>
    </row>
    <row r="2895" spans="7:14" ht="11.25" customHeight="1" x14ac:dyDescent="0.3">
      <c r="G2895" s="459"/>
      <c r="H2895" s="459">
        <v>2888</v>
      </c>
      <c r="I2895" s="444">
        <f t="shared" ca="1" si="158"/>
        <v>2723489407.8875461</v>
      </c>
      <c r="J2895" s="444">
        <f t="array" ref="J2895">IFERROR(INDEX('Retirement Calculator'!J:J,MATCH('Isaac 401k'!N2895,'Retirement Calculator'!A:A,0),0),0)</f>
        <v>0</v>
      </c>
      <c r="K2895" s="444">
        <f t="shared" ca="1" si="156"/>
        <v>11347872.532864776</v>
      </c>
      <c r="L2895" s="444">
        <f t="shared" ca="1" si="157"/>
        <v>2734837280.4204106</v>
      </c>
      <c r="M2895" s="460">
        <f t="shared" si="159"/>
        <v>0.05</v>
      </c>
      <c r="N2895" s="464">
        <f t="shared" si="160"/>
        <v>139160</v>
      </c>
    </row>
    <row r="2896" spans="7:14" ht="11.25" customHeight="1" x14ac:dyDescent="0.3">
      <c r="G2896" s="459"/>
      <c r="H2896" s="459">
        <v>2889</v>
      </c>
      <c r="I2896" s="444">
        <f t="shared" ca="1" si="158"/>
        <v>2734837280.4204106</v>
      </c>
      <c r="J2896" s="444">
        <f t="array" ref="J2896">IFERROR(INDEX('Retirement Calculator'!J:J,MATCH('Isaac 401k'!N2896,'Retirement Calculator'!A:A,0),0),0)</f>
        <v>0</v>
      </c>
      <c r="K2896" s="444">
        <f t="shared" ca="1" si="156"/>
        <v>11395155.335085044</v>
      </c>
      <c r="L2896" s="444">
        <f t="shared" ca="1" si="157"/>
        <v>2746232435.7554955</v>
      </c>
      <c r="M2896" s="460">
        <f t="shared" si="159"/>
        <v>0.05</v>
      </c>
      <c r="N2896" s="464">
        <f t="shared" si="160"/>
        <v>139191</v>
      </c>
    </row>
    <row r="2897" spans="7:14" ht="11.25" customHeight="1" x14ac:dyDescent="0.3">
      <c r="G2897" s="459"/>
      <c r="H2897" s="459">
        <v>2890</v>
      </c>
      <c r="I2897" s="444">
        <f t="shared" ca="1" si="158"/>
        <v>2746232435.7554955</v>
      </c>
      <c r="J2897" s="444">
        <f t="array" ref="J2897">IFERROR(INDEX('Retirement Calculator'!J:J,MATCH('Isaac 401k'!N2897,'Retirement Calculator'!A:A,0),0),0)</f>
        <v>0</v>
      </c>
      <c r="K2897" s="444">
        <f t="shared" ca="1" si="156"/>
        <v>11442635.148981232</v>
      </c>
      <c r="L2897" s="444">
        <f t="shared" ca="1" si="157"/>
        <v>2757675070.9044766</v>
      </c>
      <c r="M2897" s="460">
        <f t="shared" si="159"/>
        <v>0.05</v>
      </c>
      <c r="N2897" s="464">
        <f t="shared" si="160"/>
        <v>139219</v>
      </c>
    </row>
    <row r="2898" spans="7:14" ht="11.25" customHeight="1" x14ac:dyDescent="0.3">
      <c r="G2898" s="459"/>
      <c r="H2898" s="459">
        <v>2891</v>
      </c>
      <c r="I2898" s="444">
        <f t="shared" ca="1" si="158"/>
        <v>2757675070.9044766</v>
      </c>
      <c r="J2898" s="444">
        <f t="array" ref="J2898">IFERROR(INDEX('Retirement Calculator'!J:J,MATCH('Isaac 401k'!N2898,'Retirement Calculator'!A:A,0),0),0)</f>
        <v>0</v>
      </c>
      <c r="K2898" s="444">
        <f t="shared" ca="1" si="156"/>
        <v>11490312.795435319</v>
      </c>
      <c r="L2898" s="444">
        <f t="shared" ca="1" si="157"/>
        <v>2769165383.6999121</v>
      </c>
      <c r="M2898" s="460">
        <f t="shared" si="159"/>
        <v>0.05</v>
      </c>
      <c r="N2898" s="464">
        <f t="shared" si="160"/>
        <v>139250</v>
      </c>
    </row>
    <row r="2899" spans="7:14" ht="11.25" customHeight="1" x14ac:dyDescent="0.3">
      <c r="G2899" s="459"/>
      <c r="H2899" s="459">
        <v>2892</v>
      </c>
      <c r="I2899" s="444">
        <f t="shared" ca="1" si="158"/>
        <v>2769165383.6999121</v>
      </c>
      <c r="J2899" s="444">
        <f t="array" ref="J2899">IFERROR(INDEX('Retirement Calculator'!J:J,MATCH('Isaac 401k'!N2899,'Retirement Calculator'!A:A,0),0),0)</f>
        <v>0</v>
      </c>
      <c r="K2899" s="444">
        <f t="shared" ca="1" si="156"/>
        <v>11538189.098749634</v>
      </c>
      <c r="L2899" s="444">
        <f t="shared" ca="1" si="157"/>
        <v>2780703572.7986617</v>
      </c>
      <c r="M2899" s="460">
        <f t="shared" si="159"/>
        <v>0.05</v>
      </c>
      <c r="N2899" s="464">
        <f t="shared" si="160"/>
        <v>139280</v>
      </c>
    </row>
    <row r="2900" spans="7:14" ht="11.25" customHeight="1" x14ac:dyDescent="0.3">
      <c r="G2900" s="459"/>
      <c r="H2900" s="459">
        <v>2893</v>
      </c>
      <c r="I2900" s="444">
        <f t="shared" ca="1" si="158"/>
        <v>2780703572.7986617</v>
      </c>
      <c r="J2900" s="444">
        <f t="array" ref="J2900">IFERROR(INDEX('Retirement Calculator'!J:J,MATCH('Isaac 401k'!N2900,'Retirement Calculator'!A:A,0),0),0)</f>
        <v>0</v>
      </c>
      <c r="K2900" s="444">
        <f t="shared" ca="1" si="156"/>
        <v>11586264.88666109</v>
      </c>
      <c r="L2900" s="444">
        <f t="shared" ca="1" si="157"/>
        <v>2792289837.6853228</v>
      </c>
      <c r="M2900" s="460">
        <f t="shared" si="159"/>
        <v>0.05</v>
      </c>
      <c r="N2900" s="464">
        <f t="shared" si="160"/>
        <v>139311</v>
      </c>
    </row>
    <row r="2901" spans="7:14" ht="11.25" customHeight="1" x14ac:dyDescent="0.3">
      <c r="G2901" s="459"/>
      <c r="H2901" s="459">
        <v>2894</v>
      </c>
      <c r="I2901" s="444">
        <f t="shared" ca="1" si="158"/>
        <v>2792289837.6853228</v>
      </c>
      <c r="J2901" s="444">
        <f t="array" ref="J2901">IFERROR(INDEX('Retirement Calculator'!J:J,MATCH('Isaac 401k'!N2901,'Retirement Calculator'!A:A,0),0),0)</f>
        <v>0</v>
      </c>
      <c r="K2901" s="444">
        <f t="shared" ca="1" si="156"/>
        <v>11634540.990355512</v>
      </c>
      <c r="L2901" s="444">
        <f t="shared" ca="1" si="157"/>
        <v>2803924378.6756783</v>
      </c>
      <c r="M2901" s="460">
        <f t="shared" si="159"/>
        <v>0.05</v>
      </c>
      <c r="N2901" s="464">
        <f t="shared" si="160"/>
        <v>139341</v>
      </c>
    </row>
    <row r="2902" spans="7:14" ht="11.25" customHeight="1" x14ac:dyDescent="0.3">
      <c r="G2902" s="459"/>
      <c r="H2902" s="459">
        <v>2895</v>
      </c>
      <c r="I2902" s="444">
        <f t="shared" ca="1" si="158"/>
        <v>2803924378.6756783</v>
      </c>
      <c r="J2902" s="444">
        <f t="array" ref="J2902">IFERROR(INDEX('Retirement Calculator'!J:J,MATCH('Isaac 401k'!N2902,'Retirement Calculator'!A:A,0),0),0)</f>
        <v>0</v>
      </c>
      <c r="K2902" s="444">
        <f t="shared" ca="1" si="156"/>
        <v>11683018.244481992</v>
      </c>
      <c r="L2902" s="444">
        <f t="shared" ca="1" si="157"/>
        <v>2815607396.9201603</v>
      </c>
      <c r="M2902" s="460">
        <f t="shared" si="159"/>
        <v>0.05</v>
      </c>
      <c r="N2902" s="464">
        <f t="shared" si="160"/>
        <v>139372</v>
      </c>
    </row>
    <row r="2903" spans="7:14" ht="11.25" customHeight="1" x14ac:dyDescent="0.3">
      <c r="G2903" s="459"/>
      <c r="H2903" s="459">
        <v>2896</v>
      </c>
      <c r="I2903" s="444">
        <f t="shared" ca="1" si="158"/>
        <v>2815607396.9201603</v>
      </c>
      <c r="J2903" s="444">
        <f t="array" ref="J2903">IFERROR(INDEX('Retirement Calculator'!J:J,MATCH('Isaac 401k'!N2903,'Retirement Calculator'!A:A,0),0),0)</f>
        <v>0</v>
      </c>
      <c r="K2903" s="444">
        <f t="shared" ca="1" si="156"/>
        <v>11731697.487167334</v>
      </c>
      <c r="L2903" s="444">
        <f t="shared" ca="1" si="157"/>
        <v>2827339094.4073277</v>
      </c>
      <c r="M2903" s="460">
        <f t="shared" si="159"/>
        <v>0.05</v>
      </c>
      <c r="N2903" s="464">
        <f t="shared" si="160"/>
        <v>139403</v>
      </c>
    </row>
    <row r="2904" spans="7:14" ht="11.25" customHeight="1" x14ac:dyDescent="0.3">
      <c r="G2904" s="459"/>
      <c r="H2904" s="459">
        <v>2897</v>
      </c>
      <c r="I2904" s="444">
        <f t="shared" ca="1" si="158"/>
        <v>2827339094.4073277</v>
      </c>
      <c r="J2904" s="444">
        <f t="array" ref="J2904">IFERROR(INDEX('Retirement Calculator'!J:J,MATCH('Isaac 401k'!N2904,'Retirement Calculator'!A:A,0),0),0)</f>
        <v>0</v>
      </c>
      <c r="K2904" s="444">
        <f t="shared" ca="1" si="156"/>
        <v>11780579.560030531</v>
      </c>
      <c r="L2904" s="444">
        <f t="shared" ca="1" si="157"/>
        <v>2839119673.9673581</v>
      </c>
      <c r="M2904" s="460">
        <f t="shared" si="159"/>
        <v>0.05</v>
      </c>
      <c r="N2904" s="464">
        <f t="shared" si="160"/>
        <v>139433</v>
      </c>
    </row>
    <row r="2905" spans="7:14" ht="11.25" customHeight="1" x14ac:dyDescent="0.3">
      <c r="G2905" s="459"/>
      <c r="H2905" s="459">
        <v>2898</v>
      </c>
      <c r="I2905" s="444">
        <f t="shared" ca="1" si="158"/>
        <v>2839119673.9673581</v>
      </c>
      <c r="J2905" s="444">
        <f t="array" ref="J2905">IFERROR(INDEX('Retirement Calculator'!J:J,MATCH('Isaac 401k'!N2905,'Retirement Calculator'!A:A,0),0),0)</f>
        <v>0</v>
      </c>
      <c r="K2905" s="444">
        <f t="shared" ca="1" si="156"/>
        <v>11829665.308197325</v>
      </c>
      <c r="L2905" s="444">
        <f t="shared" ca="1" si="157"/>
        <v>2850949339.2755556</v>
      </c>
      <c r="M2905" s="460">
        <f t="shared" si="159"/>
        <v>0.05</v>
      </c>
      <c r="N2905" s="464">
        <f t="shared" si="160"/>
        <v>139464</v>
      </c>
    </row>
    <row r="2906" spans="7:14" ht="11.25" customHeight="1" x14ac:dyDescent="0.3">
      <c r="G2906" s="459"/>
      <c r="H2906" s="459">
        <v>2899</v>
      </c>
      <c r="I2906" s="444">
        <f t="shared" ca="1" si="158"/>
        <v>2850949339.2755556</v>
      </c>
      <c r="J2906" s="444">
        <f t="array" ref="J2906">IFERROR(INDEX('Retirement Calculator'!J:J,MATCH('Isaac 401k'!N2906,'Retirement Calculator'!A:A,0),0),0)</f>
        <v>0</v>
      </c>
      <c r="K2906" s="444">
        <f t="shared" ca="1" si="156"/>
        <v>11878955.580314815</v>
      </c>
      <c r="L2906" s="444">
        <f t="shared" ca="1" si="157"/>
        <v>2862828294.8558702</v>
      </c>
      <c r="M2906" s="460">
        <f t="shared" si="159"/>
        <v>0.05</v>
      </c>
      <c r="N2906" s="464">
        <f t="shared" si="160"/>
        <v>139494</v>
      </c>
    </row>
    <row r="2907" spans="7:14" ht="11.25" customHeight="1" x14ac:dyDescent="0.3">
      <c r="G2907" s="459"/>
      <c r="H2907" s="459">
        <v>2900</v>
      </c>
      <c r="I2907" s="444">
        <f t="shared" ca="1" si="158"/>
        <v>2862828294.8558702</v>
      </c>
      <c r="J2907" s="444">
        <f t="array" ref="J2907">IFERROR(INDEX('Retirement Calculator'!J:J,MATCH('Isaac 401k'!N2907,'Retirement Calculator'!A:A,0),0),0)</f>
        <v>0</v>
      </c>
      <c r="K2907" s="444">
        <f t="shared" ca="1" si="156"/>
        <v>11928451.228566125</v>
      </c>
      <c r="L2907" s="444">
        <f t="shared" ca="1" si="157"/>
        <v>2874756746.0844364</v>
      </c>
      <c r="M2907" s="460">
        <f t="shared" si="159"/>
        <v>0.05</v>
      </c>
      <c r="N2907" s="464">
        <f t="shared" si="160"/>
        <v>139525</v>
      </c>
    </row>
    <row r="2908" spans="7:14" ht="11.25" customHeight="1" x14ac:dyDescent="0.3">
      <c r="G2908" s="459"/>
      <c r="H2908" s="459">
        <v>2901</v>
      </c>
      <c r="I2908" s="444">
        <f t="shared" ca="1" si="158"/>
        <v>2874756746.0844364</v>
      </c>
      <c r="J2908" s="444">
        <f t="array" ref="J2908">IFERROR(INDEX('Retirement Calculator'!J:J,MATCH('Isaac 401k'!N2908,'Retirement Calculator'!A:A,0),0),0)</f>
        <v>0</v>
      </c>
      <c r="K2908" s="444">
        <f t="shared" ca="1" si="156"/>
        <v>11978153.108685151</v>
      </c>
      <c r="L2908" s="444">
        <f t="shared" ca="1" si="157"/>
        <v>2886734899.1931214</v>
      </c>
      <c r="M2908" s="460">
        <f t="shared" si="159"/>
        <v>0.05</v>
      </c>
      <c r="N2908" s="464">
        <f t="shared" si="160"/>
        <v>139556</v>
      </c>
    </row>
    <row r="2909" spans="7:14" ht="11.25" customHeight="1" x14ac:dyDescent="0.3">
      <c r="G2909" s="459"/>
      <c r="H2909" s="459">
        <v>2902</v>
      </c>
      <c r="I2909" s="444">
        <f t="shared" ca="1" si="158"/>
        <v>2886734899.1931214</v>
      </c>
      <c r="J2909" s="444">
        <f t="array" ref="J2909">IFERROR(INDEX('Retirement Calculator'!J:J,MATCH('Isaac 401k'!N2909,'Retirement Calculator'!A:A,0),0),0)</f>
        <v>0</v>
      </c>
      <c r="K2909" s="444">
        <f t="shared" ca="1" si="156"/>
        <v>12028062.07997134</v>
      </c>
      <c r="L2909" s="444">
        <f t="shared" ca="1" si="157"/>
        <v>2898762961.2730927</v>
      </c>
      <c r="M2909" s="460">
        <f t="shared" si="159"/>
        <v>0.05</v>
      </c>
      <c r="N2909" s="464">
        <f t="shared" si="160"/>
        <v>139584</v>
      </c>
    </row>
    <row r="2910" spans="7:14" ht="11.25" customHeight="1" x14ac:dyDescent="0.3">
      <c r="G2910" s="459"/>
      <c r="H2910" s="459">
        <v>2903</v>
      </c>
      <c r="I2910" s="444">
        <f t="shared" ca="1" si="158"/>
        <v>2898762961.2730927</v>
      </c>
      <c r="J2910" s="444">
        <f t="array" ref="J2910">IFERROR(INDEX('Retirement Calculator'!J:J,MATCH('Isaac 401k'!N2910,'Retirement Calculator'!A:A,0),0),0)</f>
        <v>0</v>
      </c>
      <c r="K2910" s="444">
        <f t="shared" ca="1" si="156"/>
        <v>12078179.005304553</v>
      </c>
      <c r="L2910" s="444">
        <f t="shared" ca="1" si="157"/>
        <v>2910841140.2783971</v>
      </c>
      <c r="M2910" s="460">
        <f t="shared" si="159"/>
        <v>0.05</v>
      </c>
      <c r="N2910" s="464">
        <f t="shared" si="160"/>
        <v>139615</v>
      </c>
    </row>
    <row r="2911" spans="7:14" ht="11.25" customHeight="1" x14ac:dyDescent="0.3">
      <c r="G2911" s="459"/>
      <c r="H2911" s="459">
        <v>2904</v>
      </c>
      <c r="I2911" s="444">
        <f t="shared" ca="1" si="158"/>
        <v>2910841140.2783971</v>
      </c>
      <c r="J2911" s="444">
        <f t="array" ref="J2911">IFERROR(INDEX('Retirement Calculator'!J:J,MATCH('Isaac 401k'!N2911,'Retirement Calculator'!A:A,0),0),0)</f>
        <v>0</v>
      </c>
      <c r="K2911" s="444">
        <f t="shared" ca="1" si="156"/>
        <v>12128504.751159988</v>
      </c>
      <c r="L2911" s="444">
        <f t="shared" ca="1" si="157"/>
        <v>2922969645.0295572</v>
      </c>
      <c r="M2911" s="460">
        <f t="shared" si="159"/>
        <v>0.05</v>
      </c>
      <c r="N2911" s="464">
        <f t="shared" si="160"/>
        <v>139645</v>
      </c>
    </row>
    <row r="2912" spans="7:14" ht="11.25" customHeight="1" x14ac:dyDescent="0.3">
      <c r="G2912" s="459"/>
      <c r="H2912" s="459">
        <v>2905</v>
      </c>
      <c r="I2912" s="444">
        <f t="shared" ca="1" si="158"/>
        <v>2922969645.0295572</v>
      </c>
      <c r="J2912" s="444">
        <f t="array" ref="J2912">IFERROR(INDEX('Retirement Calculator'!J:J,MATCH('Isaac 401k'!N2912,'Retirement Calculator'!A:A,0),0),0)</f>
        <v>0</v>
      </c>
      <c r="K2912" s="444">
        <f t="shared" ca="1" si="156"/>
        <v>12179040.187623154</v>
      </c>
      <c r="L2912" s="444">
        <f t="shared" ca="1" si="157"/>
        <v>2935148685.2171803</v>
      </c>
      <c r="M2912" s="460">
        <f t="shared" si="159"/>
        <v>0.05</v>
      </c>
      <c r="N2912" s="464">
        <f t="shared" si="160"/>
        <v>139676</v>
      </c>
    </row>
    <row r="2913" spans="7:14" ht="11.25" customHeight="1" x14ac:dyDescent="0.3">
      <c r="G2913" s="459"/>
      <c r="H2913" s="459">
        <v>2906</v>
      </c>
      <c r="I2913" s="444">
        <f t="shared" ca="1" si="158"/>
        <v>2935148685.2171803</v>
      </c>
      <c r="J2913" s="444">
        <f t="array" ref="J2913">IFERROR(INDEX('Retirement Calculator'!J:J,MATCH('Isaac 401k'!N2913,'Retirement Calculator'!A:A,0),0),0)</f>
        <v>0</v>
      </c>
      <c r="K2913" s="444">
        <f t="shared" ca="1" si="156"/>
        <v>12229786.188404918</v>
      </c>
      <c r="L2913" s="444">
        <f t="shared" ca="1" si="157"/>
        <v>2947378471.4055853</v>
      </c>
      <c r="M2913" s="460">
        <f t="shared" si="159"/>
        <v>0.05</v>
      </c>
      <c r="N2913" s="464">
        <f t="shared" si="160"/>
        <v>139706</v>
      </c>
    </row>
    <row r="2914" spans="7:14" ht="11.25" customHeight="1" x14ac:dyDescent="0.3">
      <c r="G2914" s="459"/>
      <c r="H2914" s="459">
        <v>2907</v>
      </c>
      <c r="I2914" s="444">
        <f t="shared" ca="1" si="158"/>
        <v>2947378471.4055853</v>
      </c>
      <c r="J2914" s="444">
        <f t="array" ref="J2914">IFERROR(INDEX('Retirement Calculator'!J:J,MATCH('Isaac 401k'!N2914,'Retirement Calculator'!A:A,0),0),0)</f>
        <v>0</v>
      </c>
      <c r="K2914" s="444">
        <f t="shared" ca="1" si="156"/>
        <v>12280743.630856605</v>
      </c>
      <c r="L2914" s="444">
        <f t="shared" ca="1" si="157"/>
        <v>2959659215.0364418</v>
      </c>
      <c r="M2914" s="460">
        <f t="shared" si="159"/>
        <v>0.05</v>
      </c>
      <c r="N2914" s="464">
        <f t="shared" si="160"/>
        <v>139737</v>
      </c>
    </row>
    <row r="2915" spans="7:14" ht="11.25" customHeight="1" x14ac:dyDescent="0.3">
      <c r="G2915" s="459"/>
      <c r="H2915" s="459">
        <v>2908</v>
      </c>
      <c r="I2915" s="444">
        <f t="shared" ca="1" si="158"/>
        <v>2959659215.0364418</v>
      </c>
      <c r="J2915" s="444">
        <f t="array" ref="J2915">IFERROR(INDEX('Retirement Calculator'!J:J,MATCH('Isaac 401k'!N2915,'Retirement Calculator'!A:A,0),0),0)</f>
        <v>0</v>
      </c>
      <c r="K2915" s="444">
        <f t="shared" ca="1" si="156"/>
        <v>12331913.395985175</v>
      </c>
      <c r="L2915" s="444">
        <f t="shared" ca="1" si="157"/>
        <v>2971991128.4324269</v>
      </c>
      <c r="M2915" s="460">
        <f t="shared" si="159"/>
        <v>0.05</v>
      </c>
      <c r="N2915" s="464">
        <f t="shared" si="160"/>
        <v>139768</v>
      </c>
    </row>
    <row r="2916" spans="7:14" ht="11.25" customHeight="1" x14ac:dyDescent="0.3">
      <c r="G2916" s="459"/>
      <c r="H2916" s="459">
        <v>2909</v>
      </c>
      <c r="I2916" s="444">
        <f t="shared" ca="1" si="158"/>
        <v>2971991128.4324269</v>
      </c>
      <c r="J2916" s="444">
        <f t="array" ref="J2916">IFERROR(INDEX('Retirement Calculator'!J:J,MATCH('Isaac 401k'!N2916,'Retirement Calculator'!A:A,0),0),0)</f>
        <v>0</v>
      </c>
      <c r="K2916" s="444">
        <f t="shared" ca="1" si="156"/>
        <v>12383296.368468445</v>
      </c>
      <c r="L2916" s="444">
        <f t="shared" ca="1" si="157"/>
        <v>2984374424.8008952</v>
      </c>
      <c r="M2916" s="460">
        <f t="shared" si="159"/>
        <v>0.05</v>
      </c>
      <c r="N2916" s="464">
        <f t="shared" si="160"/>
        <v>139798</v>
      </c>
    </row>
    <row r="2917" spans="7:14" ht="11.25" customHeight="1" x14ac:dyDescent="0.3">
      <c r="G2917" s="459"/>
      <c r="H2917" s="459">
        <v>2910</v>
      </c>
      <c r="I2917" s="444">
        <f t="shared" ca="1" si="158"/>
        <v>2984374424.8008952</v>
      </c>
      <c r="J2917" s="444">
        <f t="array" ref="J2917">IFERROR(INDEX('Retirement Calculator'!J:J,MATCH('Isaac 401k'!N2917,'Retirement Calculator'!A:A,0),0),0)</f>
        <v>0</v>
      </c>
      <c r="K2917" s="444">
        <f t="shared" ca="1" si="156"/>
        <v>12434893.436670396</v>
      </c>
      <c r="L2917" s="444">
        <f t="shared" ca="1" si="157"/>
        <v>2996809318.2375655</v>
      </c>
      <c r="M2917" s="460">
        <f t="shared" si="159"/>
        <v>0.05</v>
      </c>
      <c r="N2917" s="464">
        <f t="shared" si="160"/>
        <v>139829</v>
      </c>
    </row>
    <row r="2918" spans="7:14" ht="11.25" customHeight="1" x14ac:dyDescent="0.3">
      <c r="G2918" s="459"/>
      <c r="H2918" s="459">
        <v>2911</v>
      </c>
      <c r="I2918" s="444">
        <f t="shared" ca="1" si="158"/>
        <v>2996809318.2375655</v>
      </c>
      <c r="J2918" s="444">
        <f t="array" ref="J2918">IFERROR(INDEX('Retirement Calculator'!J:J,MATCH('Isaac 401k'!N2918,'Retirement Calculator'!A:A,0),0),0)</f>
        <v>0</v>
      </c>
      <c r="K2918" s="444">
        <f t="shared" ca="1" si="156"/>
        <v>12486705.492656523</v>
      </c>
      <c r="L2918" s="444">
        <f t="shared" ca="1" si="157"/>
        <v>3009296023.7302222</v>
      </c>
      <c r="M2918" s="460">
        <f t="shared" si="159"/>
        <v>0.05</v>
      </c>
      <c r="N2918" s="464">
        <f t="shared" si="160"/>
        <v>139859</v>
      </c>
    </row>
    <row r="2919" spans="7:14" ht="11.25" customHeight="1" x14ac:dyDescent="0.3">
      <c r="G2919" s="459"/>
      <c r="H2919" s="459">
        <v>2912</v>
      </c>
      <c r="I2919" s="444">
        <f t="shared" ca="1" si="158"/>
        <v>3009296023.7302222</v>
      </c>
      <c r="J2919" s="444">
        <f t="array" ref="J2919">IFERROR(INDEX('Retirement Calculator'!J:J,MATCH('Isaac 401k'!N2919,'Retirement Calculator'!A:A,0),0),0)</f>
        <v>0</v>
      </c>
      <c r="K2919" s="444">
        <f t="shared" ca="1" si="156"/>
        <v>12538733.432209259</v>
      </c>
      <c r="L2919" s="444">
        <f t="shared" ca="1" si="157"/>
        <v>3021834757.1624317</v>
      </c>
      <c r="M2919" s="460">
        <f t="shared" si="159"/>
        <v>0.05</v>
      </c>
      <c r="N2919" s="464">
        <f t="shared" si="160"/>
        <v>139890</v>
      </c>
    </row>
    <row r="2920" spans="7:14" ht="11.25" customHeight="1" x14ac:dyDescent="0.3">
      <c r="G2920" s="459"/>
      <c r="H2920" s="459">
        <v>2913</v>
      </c>
      <c r="I2920" s="444">
        <f t="shared" ca="1" si="158"/>
        <v>3021834757.1624317</v>
      </c>
      <c r="J2920" s="444">
        <f t="array" ref="J2920">IFERROR(INDEX('Retirement Calculator'!J:J,MATCH('Isaac 401k'!N2920,'Retirement Calculator'!A:A,0),0),0)</f>
        <v>0</v>
      </c>
      <c r="K2920" s="444">
        <f t="shared" ca="1" si="156"/>
        <v>12590978.154843464</v>
      </c>
      <c r="L2920" s="444">
        <f t="shared" ca="1" si="157"/>
        <v>3034425735.317275</v>
      </c>
      <c r="M2920" s="460">
        <f t="shared" si="159"/>
        <v>0.05</v>
      </c>
      <c r="N2920" s="464">
        <f t="shared" si="160"/>
        <v>139921</v>
      </c>
    </row>
    <row r="2921" spans="7:14" ht="11.25" customHeight="1" x14ac:dyDescent="0.3">
      <c r="G2921" s="459"/>
      <c r="H2921" s="459">
        <v>2914</v>
      </c>
      <c r="I2921" s="444">
        <f t="shared" ca="1" si="158"/>
        <v>3034425735.317275</v>
      </c>
      <c r="J2921" s="444">
        <f t="array" ref="J2921">IFERROR(INDEX('Retirement Calculator'!J:J,MATCH('Isaac 401k'!N2921,'Retirement Calculator'!A:A,0),0),0)</f>
        <v>0</v>
      </c>
      <c r="K2921" s="444">
        <f t="shared" ca="1" si="156"/>
        <v>12643440.563821979</v>
      </c>
      <c r="L2921" s="444">
        <f t="shared" ca="1" si="157"/>
        <v>3047069175.8810968</v>
      </c>
      <c r="M2921" s="460">
        <f t="shared" si="159"/>
        <v>0.05</v>
      </c>
      <c r="N2921" s="464">
        <f t="shared" si="160"/>
        <v>139949</v>
      </c>
    </row>
    <row r="2922" spans="7:14" ht="11.25" customHeight="1" x14ac:dyDescent="0.3">
      <c r="G2922" s="459"/>
      <c r="H2922" s="459">
        <v>2915</v>
      </c>
      <c r="I2922" s="444">
        <f t="shared" ca="1" si="158"/>
        <v>3047069175.8810968</v>
      </c>
      <c r="J2922" s="444">
        <f t="array" ref="J2922">IFERROR(INDEX('Retirement Calculator'!J:J,MATCH('Isaac 401k'!N2922,'Retirement Calculator'!A:A,0),0),0)</f>
        <v>0</v>
      </c>
      <c r="K2922" s="444">
        <f t="shared" ca="1" si="156"/>
        <v>12696121.566171236</v>
      </c>
      <c r="L2922" s="444">
        <f t="shared" ca="1" si="157"/>
        <v>3059765297.447268</v>
      </c>
      <c r="M2922" s="460">
        <f t="shared" si="159"/>
        <v>0.05</v>
      </c>
      <c r="N2922" s="464">
        <f t="shared" si="160"/>
        <v>139980</v>
      </c>
    </row>
    <row r="2923" spans="7:14" ht="11.25" customHeight="1" x14ac:dyDescent="0.3">
      <c r="G2923" s="459"/>
      <c r="H2923" s="459">
        <v>2916</v>
      </c>
      <c r="I2923" s="444">
        <f t="shared" ca="1" si="158"/>
        <v>3059765297.447268</v>
      </c>
      <c r="J2923" s="444">
        <f t="array" ref="J2923">IFERROR(INDEX('Retirement Calculator'!J:J,MATCH('Isaac 401k'!N2923,'Retirement Calculator'!A:A,0),0),0)</f>
        <v>0</v>
      </c>
      <c r="K2923" s="444">
        <f t="shared" ca="1" si="156"/>
        <v>12749022.07269695</v>
      </c>
      <c r="L2923" s="444">
        <f t="shared" ca="1" si="157"/>
        <v>3072514319.5199652</v>
      </c>
      <c r="M2923" s="460">
        <f t="shared" si="159"/>
        <v>0.05</v>
      </c>
      <c r="N2923" s="464">
        <f t="shared" si="160"/>
        <v>140010</v>
      </c>
    </row>
    <row r="2924" spans="7:14" ht="11.25" customHeight="1" x14ac:dyDescent="0.3">
      <c r="G2924" s="459"/>
      <c r="H2924" s="459">
        <v>2917</v>
      </c>
      <c r="I2924" s="444">
        <f t="shared" ca="1" si="158"/>
        <v>3072514319.5199652</v>
      </c>
      <c r="J2924" s="444">
        <f t="array" ref="J2924">IFERROR(INDEX('Retirement Calculator'!J:J,MATCH('Isaac 401k'!N2924,'Retirement Calculator'!A:A,0),0),0)</f>
        <v>0</v>
      </c>
      <c r="K2924" s="444">
        <f t="shared" ca="1" si="156"/>
        <v>12802142.997999854</v>
      </c>
      <c r="L2924" s="444">
        <f t="shared" ca="1" si="157"/>
        <v>3085316462.5179648</v>
      </c>
      <c r="M2924" s="460">
        <f t="shared" si="159"/>
        <v>0.05</v>
      </c>
      <c r="N2924" s="464">
        <f t="shared" si="160"/>
        <v>140041</v>
      </c>
    </row>
    <row r="2925" spans="7:14" ht="11.25" customHeight="1" x14ac:dyDescent="0.3">
      <c r="G2925" s="459"/>
      <c r="H2925" s="459">
        <v>2918</v>
      </c>
      <c r="I2925" s="444">
        <f t="shared" ca="1" si="158"/>
        <v>3085316462.5179648</v>
      </c>
      <c r="J2925" s="444">
        <f t="array" ref="J2925">IFERROR(INDEX('Retirement Calculator'!J:J,MATCH('Isaac 401k'!N2925,'Retirement Calculator'!A:A,0),0),0)</f>
        <v>0</v>
      </c>
      <c r="K2925" s="444">
        <f t="shared" ca="1" si="156"/>
        <v>12855485.26049152</v>
      </c>
      <c r="L2925" s="444">
        <f t="shared" ca="1" si="157"/>
        <v>3098171947.7784562</v>
      </c>
      <c r="M2925" s="460">
        <f t="shared" si="159"/>
        <v>0.05</v>
      </c>
      <c r="N2925" s="464">
        <f t="shared" si="160"/>
        <v>140071</v>
      </c>
    </row>
    <row r="2926" spans="7:14" ht="11.25" customHeight="1" x14ac:dyDescent="0.3">
      <c r="G2926" s="459"/>
      <c r="H2926" s="459">
        <v>2919</v>
      </c>
      <c r="I2926" s="444">
        <f t="shared" ca="1" si="158"/>
        <v>3098171947.7784562</v>
      </c>
      <c r="J2926" s="444">
        <f t="array" ref="J2926">IFERROR(INDEX('Retirement Calculator'!J:J,MATCH('Isaac 401k'!N2926,'Retirement Calculator'!A:A,0),0),0)</f>
        <v>0</v>
      </c>
      <c r="K2926" s="444">
        <f t="shared" ca="1" si="156"/>
        <v>12909049.782410234</v>
      </c>
      <c r="L2926" s="444">
        <f t="shared" ca="1" si="157"/>
        <v>3111080997.5608664</v>
      </c>
      <c r="M2926" s="460">
        <f t="shared" si="159"/>
        <v>0.05</v>
      </c>
      <c r="N2926" s="464">
        <f t="shared" si="160"/>
        <v>140102</v>
      </c>
    </row>
    <row r="2927" spans="7:14" ht="11.25" customHeight="1" x14ac:dyDescent="0.3">
      <c r="G2927" s="459"/>
      <c r="H2927" s="459">
        <v>2920</v>
      </c>
      <c r="I2927" s="444">
        <f t="shared" ca="1" si="158"/>
        <v>3111080997.5608664</v>
      </c>
      <c r="J2927" s="444">
        <f t="array" ref="J2927">IFERROR(INDEX('Retirement Calculator'!J:J,MATCH('Isaac 401k'!N2927,'Retirement Calculator'!A:A,0),0),0)</f>
        <v>0</v>
      </c>
      <c r="K2927" s="444">
        <f t="shared" ca="1" si="156"/>
        <v>12962837.489836942</v>
      </c>
      <c r="L2927" s="444">
        <f t="shared" ca="1" si="157"/>
        <v>3124043835.0507035</v>
      </c>
      <c r="M2927" s="460">
        <f t="shared" si="159"/>
        <v>0.05</v>
      </c>
      <c r="N2927" s="464">
        <f t="shared" si="160"/>
        <v>140133</v>
      </c>
    </row>
    <row r="2928" spans="7:14" ht="11.25" customHeight="1" x14ac:dyDescent="0.3">
      <c r="G2928" s="459"/>
      <c r="H2928" s="459">
        <v>2921</v>
      </c>
      <c r="I2928" s="444">
        <f t="shared" ca="1" si="158"/>
        <v>3124043835.0507035</v>
      </c>
      <c r="J2928" s="444">
        <f t="array" ref="J2928">IFERROR(INDEX('Retirement Calculator'!J:J,MATCH('Isaac 401k'!N2928,'Retirement Calculator'!A:A,0),0),0)</f>
        <v>0</v>
      </c>
      <c r="K2928" s="444">
        <f t="shared" ca="1" si="156"/>
        <v>13016849.312711265</v>
      </c>
      <c r="L2928" s="444">
        <f t="shared" ca="1" si="157"/>
        <v>3137060684.3634148</v>
      </c>
      <c r="M2928" s="460">
        <f t="shared" si="159"/>
        <v>0.05</v>
      </c>
      <c r="N2928" s="464">
        <f t="shared" si="160"/>
        <v>140163</v>
      </c>
    </row>
    <row r="2929" spans="7:14" ht="11.25" customHeight="1" x14ac:dyDescent="0.3">
      <c r="G2929" s="459"/>
      <c r="H2929" s="459">
        <v>2922</v>
      </c>
      <c r="I2929" s="444">
        <f t="shared" ca="1" si="158"/>
        <v>3137060684.3634148</v>
      </c>
      <c r="J2929" s="444">
        <f t="array" ref="J2929">IFERROR(INDEX('Retirement Calculator'!J:J,MATCH('Isaac 401k'!N2929,'Retirement Calculator'!A:A,0),0),0)</f>
        <v>0</v>
      </c>
      <c r="K2929" s="444">
        <f t="shared" ca="1" si="156"/>
        <v>13071086.184847562</v>
      </c>
      <c r="L2929" s="444">
        <f t="shared" ca="1" si="157"/>
        <v>3150131770.5482621</v>
      </c>
      <c r="M2929" s="460">
        <f t="shared" si="159"/>
        <v>0.05</v>
      </c>
      <c r="N2929" s="464">
        <f t="shared" si="160"/>
        <v>140194</v>
      </c>
    </row>
    <row r="2930" spans="7:14" ht="11.25" customHeight="1" x14ac:dyDescent="0.3">
      <c r="G2930" s="459"/>
      <c r="H2930" s="459">
        <v>2923</v>
      </c>
      <c r="I2930" s="444">
        <f t="shared" ca="1" si="158"/>
        <v>3150131770.5482621</v>
      </c>
      <c r="J2930" s="444">
        <f t="array" ref="J2930">IFERROR(INDEX('Retirement Calculator'!J:J,MATCH('Isaac 401k'!N2930,'Retirement Calculator'!A:A,0),0),0)</f>
        <v>0</v>
      </c>
      <c r="K2930" s="444">
        <f t="shared" ca="1" si="156"/>
        <v>13125549.043951092</v>
      </c>
      <c r="L2930" s="444">
        <f t="shared" ca="1" si="157"/>
        <v>3163257319.5922132</v>
      </c>
      <c r="M2930" s="460">
        <f t="shared" si="159"/>
        <v>0.05</v>
      </c>
      <c r="N2930" s="464">
        <f t="shared" si="160"/>
        <v>140224</v>
      </c>
    </row>
    <row r="2931" spans="7:14" ht="11.25" customHeight="1" x14ac:dyDescent="0.3">
      <c r="G2931" s="459"/>
      <c r="H2931" s="459">
        <v>2924</v>
      </c>
      <c r="I2931" s="444">
        <f t="shared" ca="1" si="158"/>
        <v>3163257319.5922132</v>
      </c>
      <c r="J2931" s="444">
        <f t="array" ref="J2931">IFERROR(INDEX('Retirement Calculator'!J:J,MATCH('Isaac 401k'!N2931,'Retirement Calculator'!A:A,0),0),0)</f>
        <v>0</v>
      </c>
      <c r="K2931" s="444">
        <f t="shared" ca="1" si="156"/>
        <v>13180238.831634222</v>
      </c>
      <c r="L2931" s="444">
        <f t="shared" ca="1" si="157"/>
        <v>3176437558.4238472</v>
      </c>
      <c r="M2931" s="460">
        <f t="shared" si="159"/>
        <v>0.05</v>
      </c>
      <c r="N2931" s="464">
        <f t="shared" si="160"/>
        <v>140255</v>
      </c>
    </row>
    <row r="2932" spans="7:14" ht="11.25" customHeight="1" x14ac:dyDescent="0.3">
      <c r="G2932" s="459"/>
      <c r="H2932" s="459">
        <v>2925</v>
      </c>
      <c r="I2932" s="444">
        <f t="shared" ca="1" si="158"/>
        <v>3176437558.4238472</v>
      </c>
      <c r="J2932" s="444">
        <f t="array" ref="J2932">IFERROR(INDEX('Retirement Calculator'!J:J,MATCH('Isaac 401k'!N2932,'Retirement Calculator'!A:A,0),0),0)</f>
        <v>0</v>
      </c>
      <c r="K2932" s="444">
        <f t="shared" ca="1" si="156"/>
        <v>13235156.493432697</v>
      </c>
      <c r="L2932" s="444">
        <f t="shared" ca="1" si="157"/>
        <v>3189672714.9172797</v>
      </c>
      <c r="M2932" s="460">
        <f t="shared" si="159"/>
        <v>0.05</v>
      </c>
      <c r="N2932" s="464">
        <f t="shared" si="160"/>
        <v>140286</v>
      </c>
    </row>
    <row r="2933" spans="7:14" ht="11.25" customHeight="1" x14ac:dyDescent="0.3">
      <c r="G2933" s="459"/>
      <c r="H2933" s="459">
        <v>2926</v>
      </c>
      <c r="I2933" s="444">
        <f t="shared" ca="1" si="158"/>
        <v>3189672714.9172797</v>
      </c>
      <c r="J2933" s="444">
        <f t="array" ref="J2933">IFERROR(INDEX('Retirement Calculator'!J:J,MATCH('Isaac 401k'!N2933,'Retirement Calculator'!A:A,0),0),0)</f>
        <v>0</v>
      </c>
      <c r="K2933" s="444">
        <f t="shared" ca="1" si="156"/>
        <v>13290302.978821998</v>
      </c>
      <c r="L2933" s="444">
        <f t="shared" ca="1" si="157"/>
        <v>3202963017.896102</v>
      </c>
      <c r="M2933" s="460">
        <f t="shared" si="159"/>
        <v>0.05</v>
      </c>
      <c r="N2933" s="464">
        <f t="shared" si="160"/>
        <v>140315</v>
      </c>
    </row>
    <row r="2934" spans="7:14" ht="11.25" customHeight="1" x14ac:dyDescent="0.3">
      <c r="G2934" s="459"/>
      <c r="H2934" s="459">
        <v>2927</v>
      </c>
      <c r="I2934" s="444">
        <f t="shared" ca="1" si="158"/>
        <v>3202963017.896102</v>
      </c>
      <c r="J2934" s="444">
        <f t="array" ref="J2934">IFERROR(INDEX('Retirement Calculator'!J:J,MATCH('Isaac 401k'!N2934,'Retirement Calculator'!A:A,0),0),0)</f>
        <v>0</v>
      </c>
      <c r="K2934" s="444">
        <f t="shared" ca="1" si="156"/>
        <v>13345679.241233759</v>
      </c>
      <c r="L2934" s="444">
        <f t="shared" ca="1" si="157"/>
        <v>3216308697.1373358</v>
      </c>
      <c r="M2934" s="460">
        <f t="shared" si="159"/>
        <v>0.05</v>
      </c>
      <c r="N2934" s="464">
        <f t="shared" si="160"/>
        <v>140346</v>
      </c>
    </row>
    <row r="2935" spans="7:14" ht="11.25" customHeight="1" x14ac:dyDescent="0.3">
      <c r="G2935" s="459"/>
      <c r="H2935" s="459">
        <v>2928</v>
      </c>
      <c r="I2935" s="444">
        <f t="shared" ca="1" si="158"/>
        <v>3216308697.1373358</v>
      </c>
      <c r="J2935" s="444">
        <f t="array" ref="J2935">IFERROR(INDEX('Retirement Calculator'!J:J,MATCH('Isaac 401k'!N2935,'Retirement Calculator'!A:A,0),0),0)</f>
        <v>0</v>
      </c>
      <c r="K2935" s="444">
        <f t="shared" ca="1" si="156"/>
        <v>13401286.238072231</v>
      </c>
      <c r="L2935" s="444">
        <f t="shared" ca="1" si="157"/>
        <v>3229709983.3754082</v>
      </c>
      <c r="M2935" s="460">
        <f t="shared" si="159"/>
        <v>0.05</v>
      </c>
      <c r="N2935" s="464">
        <f t="shared" si="160"/>
        <v>140376</v>
      </c>
    </row>
    <row r="2936" spans="7:14" ht="11.25" customHeight="1" x14ac:dyDescent="0.3">
      <c r="G2936" s="459"/>
      <c r="H2936" s="459">
        <v>2929</v>
      </c>
      <c r="I2936" s="444">
        <f t="shared" ca="1" si="158"/>
        <v>3229709983.3754082</v>
      </c>
      <c r="J2936" s="444">
        <f t="array" ref="J2936">IFERROR(INDEX('Retirement Calculator'!J:J,MATCH('Isaac 401k'!N2936,'Retirement Calculator'!A:A,0),0),0)</f>
        <v>0</v>
      </c>
      <c r="K2936" s="444">
        <f t="shared" ca="1" si="156"/>
        <v>13457124.930730866</v>
      </c>
      <c r="L2936" s="444">
        <f t="shared" ca="1" si="157"/>
        <v>3243167108.306139</v>
      </c>
      <c r="M2936" s="460">
        <f t="shared" si="159"/>
        <v>0.05</v>
      </c>
      <c r="N2936" s="464">
        <f t="shared" si="160"/>
        <v>140407</v>
      </c>
    </row>
    <row r="2937" spans="7:14" ht="11.25" customHeight="1" x14ac:dyDescent="0.3">
      <c r="G2937" s="459"/>
      <c r="H2937" s="459">
        <v>2930</v>
      </c>
      <c r="I2937" s="444">
        <f t="shared" ca="1" si="158"/>
        <v>3243167108.306139</v>
      </c>
      <c r="J2937" s="444">
        <f t="array" ref="J2937">IFERROR(INDEX('Retirement Calculator'!J:J,MATCH('Isaac 401k'!N2937,'Retirement Calculator'!A:A,0),0),0)</f>
        <v>0</v>
      </c>
      <c r="K2937" s="444">
        <f t="shared" ca="1" si="156"/>
        <v>13513196.284608912</v>
      </c>
      <c r="L2937" s="444">
        <f t="shared" ca="1" si="157"/>
        <v>3256680304.5907478</v>
      </c>
      <c r="M2937" s="460">
        <f t="shared" si="159"/>
        <v>0.05</v>
      </c>
      <c r="N2937" s="464">
        <f t="shared" si="160"/>
        <v>140437</v>
      </c>
    </row>
    <row r="2938" spans="7:14" ht="11.25" customHeight="1" x14ac:dyDescent="0.3">
      <c r="G2938" s="459"/>
      <c r="H2938" s="459">
        <v>2931</v>
      </c>
      <c r="I2938" s="444">
        <f t="shared" ca="1" si="158"/>
        <v>3256680304.5907478</v>
      </c>
      <c r="J2938" s="444">
        <f t="array" ref="J2938">IFERROR(INDEX('Retirement Calculator'!J:J,MATCH('Isaac 401k'!N2938,'Retirement Calculator'!A:A,0),0),0)</f>
        <v>0</v>
      </c>
      <c r="K2938" s="444">
        <f t="shared" ca="1" si="156"/>
        <v>13569501.269128116</v>
      </c>
      <c r="L2938" s="444">
        <f t="shared" ca="1" si="157"/>
        <v>3270249805.8598762</v>
      </c>
      <c r="M2938" s="460">
        <f t="shared" si="159"/>
        <v>0.05</v>
      </c>
      <c r="N2938" s="464">
        <f t="shared" si="160"/>
        <v>140468</v>
      </c>
    </row>
    <row r="2939" spans="7:14" ht="11.25" customHeight="1" x14ac:dyDescent="0.3">
      <c r="G2939" s="459"/>
      <c r="H2939" s="459">
        <v>2932</v>
      </c>
      <c r="I2939" s="444">
        <f t="shared" ca="1" si="158"/>
        <v>3270249805.8598762</v>
      </c>
      <c r="J2939" s="444">
        <f t="array" ref="J2939">IFERROR(INDEX('Retirement Calculator'!J:J,MATCH('Isaac 401k'!N2939,'Retirement Calculator'!A:A,0),0),0)</f>
        <v>0</v>
      </c>
      <c r="K2939" s="444">
        <f t="shared" ca="1" si="156"/>
        <v>13626040.857749484</v>
      </c>
      <c r="L2939" s="444">
        <f t="shared" ca="1" si="157"/>
        <v>3283875846.7176256</v>
      </c>
      <c r="M2939" s="460">
        <f t="shared" si="159"/>
        <v>0.05</v>
      </c>
      <c r="N2939" s="464">
        <f t="shared" si="160"/>
        <v>140499</v>
      </c>
    </row>
    <row r="2940" spans="7:14" ht="11.25" customHeight="1" x14ac:dyDescent="0.3">
      <c r="G2940" s="459"/>
      <c r="H2940" s="459">
        <v>2933</v>
      </c>
      <c r="I2940" s="444">
        <f t="shared" ca="1" si="158"/>
        <v>3283875846.7176256</v>
      </c>
      <c r="J2940" s="444">
        <f t="array" ref="J2940">IFERROR(INDEX('Retirement Calculator'!J:J,MATCH('Isaac 401k'!N2940,'Retirement Calculator'!A:A,0),0),0)</f>
        <v>0</v>
      </c>
      <c r="K2940" s="444">
        <f t="shared" ca="1" si="156"/>
        <v>13682816.027990106</v>
      </c>
      <c r="L2940" s="444">
        <f t="shared" ca="1" si="157"/>
        <v>3297558662.745616</v>
      </c>
      <c r="M2940" s="460">
        <f t="shared" si="159"/>
        <v>0.05</v>
      </c>
      <c r="N2940" s="464">
        <f t="shared" si="160"/>
        <v>140529</v>
      </c>
    </row>
    <row r="2941" spans="7:14" ht="11.25" customHeight="1" x14ac:dyDescent="0.3">
      <c r="G2941" s="459"/>
      <c r="H2941" s="459">
        <v>2934</v>
      </c>
      <c r="I2941" s="444">
        <f t="shared" ca="1" si="158"/>
        <v>3297558662.745616</v>
      </c>
      <c r="J2941" s="444">
        <f t="array" ref="J2941">IFERROR(INDEX('Retirement Calculator'!J:J,MATCH('Isaac 401k'!N2941,'Retirement Calculator'!A:A,0),0),0)</f>
        <v>0</v>
      </c>
      <c r="K2941" s="444">
        <f t="shared" ca="1" si="156"/>
        <v>13739827.761440067</v>
      </c>
      <c r="L2941" s="444">
        <f t="shared" ca="1" si="157"/>
        <v>3311298490.5070562</v>
      </c>
      <c r="M2941" s="460">
        <f t="shared" si="159"/>
        <v>0.05</v>
      </c>
      <c r="N2941" s="464">
        <f t="shared" si="160"/>
        <v>140560</v>
      </c>
    </row>
    <row r="2942" spans="7:14" ht="11.25" customHeight="1" x14ac:dyDescent="0.3">
      <c r="G2942" s="459"/>
      <c r="H2942" s="459">
        <v>2935</v>
      </c>
      <c r="I2942" s="444">
        <f t="shared" ca="1" si="158"/>
        <v>3311298490.5070562</v>
      </c>
      <c r="J2942" s="444">
        <f t="array" ref="J2942">IFERROR(INDEX('Retirement Calculator'!J:J,MATCH('Isaac 401k'!N2942,'Retirement Calculator'!A:A,0),0),0)</f>
        <v>0</v>
      </c>
      <c r="K2942" s="444">
        <f t="shared" ca="1" si="156"/>
        <v>13797077.043779401</v>
      </c>
      <c r="L2942" s="444">
        <f t="shared" ca="1" si="157"/>
        <v>3325095567.5508356</v>
      </c>
      <c r="M2942" s="460">
        <f t="shared" si="159"/>
        <v>0.05</v>
      </c>
      <c r="N2942" s="464">
        <f t="shared" si="160"/>
        <v>140590</v>
      </c>
    </row>
    <row r="2943" spans="7:14" ht="11.25" customHeight="1" x14ac:dyDescent="0.3">
      <c r="G2943" s="459"/>
      <c r="H2943" s="459">
        <v>2936</v>
      </c>
      <c r="I2943" s="444">
        <f t="shared" ca="1" si="158"/>
        <v>3325095567.5508356</v>
      </c>
      <c r="J2943" s="444">
        <f t="array" ref="J2943">IFERROR(INDEX('Retirement Calculator'!J:J,MATCH('Isaac 401k'!N2943,'Retirement Calculator'!A:A,0),0),0)</f>
        <v>0</v>
      </c>
      <c r="K2943" s="444">
        <f t="shared" ca="1" si="156"/>
        <v>13854564.864795148</v>
      </c>
      <c r="L2943" s="444">
        <f t="shared" ca="1" si="157"/>
        <v>3338950132.4156308</v>
      </c>
      <c r="M2943" s="460">
        <f t="shared" si="159"/>
        <v>0.05</v>
      </c>
      <c r="N2943" s="464">
        <f t="shared" si="160"/>
        <v>140621</v>
      </c>
    </row>
    <row r="2944" spans="7:14" ht="11.25" customHeight="1" x14ac:dyDescent="0.3">
      <c r="G2944" s="459"/>
      <c r="H2944" s="459">
        <v>2937</v>
      </c>
      <c r="I2944" s="444">
        <f t="shared" ca="1" si="158"/>
        <v>3338950132.4156308</v>
      </c>
      <c r="J2944" s="444">
        <f t="array" ref="J2944">IFERROR(INDEX('Retirement Calculator'!J:J,MATCH('Isaac 401k'!N2944,'Retirement Calculator'!A:A,0),0),0)</f>
        <v>0</v>
      </c>
      <c r="K2944" s="444">
        <f t="shared" ca="1" si="156"/>
        <v>13912292.218398461</v>
      </c>
      <c r="L2944" s="444">
        <f t="shared" ca="1" si="157"/>
        <v>3352862424.6340294</v>
      </c>
      <c r="M2944" s="460">
        <f t="shared" si="159"/>
        <v>0.05</v>
      </c>
      <c r="N2944" s="464">
        <f t="shared" si="160"/>
        <v>140652</v>
      </c>
    </row>
    <row r="2945" spans="7:14" ht="11.25" customHeight="1" x14ac:dyDescent="0.3">
      <c r="G2945" s="459"/>
      <c r="H2945" s="459">
        <v>2938</v>
      </c>
      <c r="I2945" s="444">
        <f t="shared" ca="1" si="158"/>
        <v>3352862424.6340294</v>
      </c>
      <c r="J2945" s="444">
        <f t="array" ref="J2945">IFERROR(INDEX('Retirement Calculator'!J:J,MATCH('Isaac 401k'!N2945,'Retirement Calculator'!A:A,0),0),0)</f>
        <v>0</v>
      </c>
      <c r="K2945" s="444">
        <f t="shared" ca="1" si="156"/>
        <v>13970260.102641789</v>
      </c>
      <c r="L2945" s="444">
        <f t="shared" ca="1" si="157"/>
        <v>3366832684.736671</v>
      </c>
      <c r="M2945" s="460">
        <f t="shared" si="159"/>
        <v>0.05</v>
      </c>
      <c r="N2945" s="464">
        <f t="shared" si="160"/>
        <v>140680</v>
      </c>
    </row>
    <row r="2946" spans="7:14" ht="11.25" customHeight="1" x14ac:dyDescent="0.3">
      <c r="G2946" s="459"/>
      <c r="H2946" s="459">
        <v>2939</v>
      </c>
      <c r="I2946" s="444">
        <f t="shared" ca="1" si="158"/>
        <v>3366832684.736671</v>
      </c>
      <c r="J2946" s="444">
        <f t="array" ref="J2946">IFERROR(INDEX('Retirement Calculator'!J:J,MATCH('Isaac 401k'!N2946,'Retirement Calculator'!A:A,0),0),0)</f>
        <v>0</v>
      </c>
      <c r="K2946" s="444">
        <f t="shared" ca="1" si="156"/>
        <v>14028469.519736126</v>
      </c>
      <c r="L2946" s="444">
        <f t="shared" ca="1" si="157"/>
        <v>3380861154.2564073</v>
      </c>
      <c r="M2946" s="460">
        <f t="shared" si="159"/>
        <v>0.05</v>
      </c>
      <c r="N2946" s="464">
        <f t="shared" si="160"/>
        <v>140711</v>
      </c>
    </row>
    <row r="2947" spans="7:14" ht="11.25" customHeight="1" x14ac:dyDescent="0.3">
      <c r="G2947" s="459"/>
      <c r="H2947" s="459">
        <v>2940</v>
      </c>
      <c r="I2947" s="444">
        <f t="shared" ca="1" si="158"/>
        <v>3380861154.2564073</v>
      </c>
      <c r="J2947" s="444">
        <f t="array" ref="J2947">IFERROR(INDEX('Retirement Calculator'!J:J,MATCH('Isaac 401k'!N2947,'Retirement Calculator'!A:A,0),0),0)</f>
        <v>0</v>
      </c>
      <c r="K2947" s="444">
        <f t="shared" ca="1" si="156"/>
        <v>14086921.476068363</v>
      </c>
      <c r="L2947" s="444">
        <f t="shared" ca="1" si="157"/>
        <v>3394948075.7324758</v>
      </c>
      <c r="M2947" s="460">
        <f t="shared" si="159"/>
        <v>0.05</v>
      </c>
      <c r="N2947" s="464">
        <f t="shared" si="160"/>
        <v>140741</v>
      </c>
    </row>
    <row r="2948" spans="7:14" ht="11.25" customHeight="1" x14ac:dyDescent="0.3">
      <c r="G2948" s="459"/>
      <c r="H2948" s="459">
        <v>2941</v>
      </c>
      <c r="I2948" s="444">
        <f t="shared" ca="1" si="158"/>
        <v>3394948075.7324758</v>
      </c>
      <c r="J2948" s="444">
        <f t="array" ref="J2948">IFERROR(INDEX('Retirement Calculator'!J:J,MATCH('Isaac 401k'!N2948,'Retirement Calculator'!A:A,0),0),0)</f>
        <v>0</v>
      </c>
      <c r="K2948" s="444">
        <f t="shared" ca="1" si="156"/>
        <v>14145616.982218649</v>
      </c>
      <c r="L2948" s="444">
        <f t="shared" ca="1" si="157"/>
        <v>3409093692.7146945</v>
      </c>
      <c r="M2948" s="460">
        <f t="shared" si="159"/>
        <v>0.05</v>
      </c>
      <c r="N2948" s="464">
        <f t="shared" si="160"/>
        <v>140772</v>
      </c>
    </row>
    <row r="2949" spans="7:14" ht="11.25" customHeight="1" x14ac:dyDescent="0.3">
      <c r="G2949" s="459"/>
      <c r="H2949" s="459">
        <v>2942</v>
      </c>
      <c r="I2949" s="444">
        <f t="shared" ca="1" si="158"/>
        <v>3409093692.7146945</v>
      </c>
      <c r="J2949" s="444">
        <f t="array" ref="J2949">IFERROR(INDEX('Retirement Calculator'!J:J,MATCH('Isaac 401k'!N2949,'Retirement Calculator'!A:A,0),0),0)</f>
        <v>0</v>
      </c>
      <c r="K2949" s="444">
        <f t="shared" ca="1" si="156"/>
        <v>14204557.052977895</v>
      </c>
      <c r="L2949" s="444">
        <f t="shared" ca="1" si="157"/>
        <v>3423298249.7676725</v>
      </c>
      <c r="M2949" s="460">
        <f t="shared" si="159"/>
        <v>0.05</v>
      </c>
      <c r="N2949" s="464">
        <f t="shared" si="160"/>
        <v>140802</v>
      </c>
    </row>
    <row r="2950" spans="7:14" ht="11.25" customHeight="1" x14ac:dyDescent="0.3">
      <c r="G2950" s="459"/>
      <c r="H2950" s="459">
        <v>2943</v>
      </c>
      <c r="I2950" s="444">
        <f t="shared" ca="1" si="158"/>
        <v>3423298249.7676725</v>
      </c>
      <c r="J2950" s="444">
        <f t="array" ref="J2950">IFERROR(INDEX('Retirement Calculator'!J:J,MATCH('Isaac 401k'!N2950,'Retirement Calculator'!A:A,0),0),0)</f>
        <v>0</v>
      </c>
      <c r="K2950" s="444">
        <f t="shared" ca="1" si="156"/>
        <v>14263742.707365302</v>
      </c>
      <c r="L2950" s="444">
        <f t="shared" ca="1" si="157"/>
        <v>3437561992.4750381</v>
      </c>
      <c r="M2950" s="460">
        <f t="shared" si="159"/>
        <v>0.05</v>
      </c>
      <c r="N2950" s="464">
        <f t="shared" si="160"/>
        <v>140833</v>
      </c>
    </row>
    <row r="2951" spans="7:14" ht="11.25" customHeight="1" x14ac:dyDescent="0.3">
      <c r="G2951" s="459"/>
      <c r="H2951" s="459">
        <v>2944</v>
      </c>
      <c r="I2951" s="444">
        <f t="shared" ca="1" si="158"/>
        <v>3437561992.4750381</v>
      </c>
      <c r="J2951" s="444">
        <f t="array" ref="J2951">IFERROR(INDEX('Retirement Calculator'!J:J,MATCH('Isaac 401k'!N2951,'Retirement Calculator'!A:A,0),0),0)</f>
        <v>0</v>
      </c>
      <c r="K2951" s="444">
        <f t="shared" ca="1" si="156"/>
        <v>14323174.968645994</v>
      </c>
      <c r="L2951" s="444">
        <f t="shared" ca="1" si="157"/>
        <v>3451885167.4436841</v>
      </c>
      <c r="M2951" s="460">
        <f t="shared" si="159"/>
        <v>0.05</v>
      </c>
      <c r="N2951" s="464">
        <f t="shared" si="160"/>
        <v>140864</v>
      </c>
    </row>
    <row r="2952" spans="7:14" ht="11.25" customHeight="1" x14ac:dyDescent="0.3">
      <c r="G2952" s="459"/>
      <c r="H2952" s="459">
        <v>2945</v>
      </c>
      <c r="I2952" s="444">
        <f t="shared" ca="1" si="158"/>
        <v>3451885167.4436841</v>
      </c>
      <c r="J2952" s="444">
        <f t="array" ref="J2952">IFERROR(INDEX('Retirement Calculator'!J:J,MATCH('Isaac 401k'!N2952,'Retirement Calculator'!A:A,0),0),0)</f>
        <v>0</v>
      </c>
      <c r="K2952" s="444">
        <f t="shared" ca="1" si="156"/>
        <v>14382854.864348684</v>
      </c>
      <c r="L2952" s="444">
        <f t="shared" ca="1" si="157"/>
        <v>3466268022.308033</v>
      </c>
      <c r="M2952" s="460">
        <f t="shared" si="159"/>
        <v>0.05</v>
      </c>
      <c r="N2952" s="464">
        <f t="shared" si="160"/>
        <v>140894</v>
      </c>
    </row>
    <row r="2953" spans="7:14" ht="11.25" customHeight="1" x14ac:dyDescent="0.3">
      <c r="G2953" s="459"/>
      <c r="H2953" s="459">
        <v>2946</v>
      </c>
      <c r="I2953" s="444">
        <f t="shared" ca="1" si="158"/>
        <v>3466268022.308033</v>
      </c>
      <c r="J2953" s="444">
        <f t="array" ref="J2953">IFERROR(INDEX('Retirement Calculator'!J:J,MATCH('Isaac 401k'!N2953,'Retirement Calculator'!A:A,0),0),0)</f>
        <v>0</v>
      </c>
      <c r="K2953" s="444">
        <f t="shared" ca="1" si="156"/>
        <v>14442783.426283471</v>
      </c>
      <c r="L2953" s="444">
        <f t="shared" ca="1" si="157"/>
        <v>3480710805.7343163</v>
      </c>
      <c r="M2953" s="460">
        <f t="shared" si="159"/>
        <v>0.05</v>
      </c>
      <c r="N2953" s="464">
        <f t="shared" si="160"/>
        <v>140925</v>
      </c>
    </row>
    <row r="2954" spans="7:14" ht="11.25" customHeight="1" x14ac:dyDescent="0.3">
      <c r="G2954" s="459"/>
      <c r="H2954" s="459">
        <v>2947</v>
      </c>
      <c r="I2954" s="444">
        <f t="shared" ca="1" si="158"/>
        <v>3480710805.7343163</v>
      </c>
      <c r="J2954" s="444">
        <f t="array" ref="J2954">IFERROR(INDEX('Retirement Calculator'!J:J,MATCH('Isaac 401k'!N2954,'Retirement Calculator'!A:A,0),0),0)</f>
        <v>0</v>
      </c>
      <c r="K2954" s="444">
        <f t="shared" ca="1" si="156"/>
        <v>14502961.690559654</v>
      </c>
      <c r="L2954" s="444">
        <f t="shared" ca="1" si="157"/>
        <v>3495213767.4248762</v>
      </c>
      <c r="M2954" s="460">
        <f t="shared" si="159"/>
        <v>0.05</v>
      </c>
      <c r="N2954" s="464">
        <f t="shared" si="160"/>
        <v>140955</v>
      </c>
    </row>
    <row r="2955" spans="7:14" ht="11.25" customHeight="1" x14ac:dyDescent="0.3">
      <c r="G2955" s="459"/>
      <c r="H2955" s="459">
        <v>2948</v>
      </c>
      <c r="I2955" s="444">
        <f t="shared" ca="1" si="158"/>
        <v>3495213767.4248762</v>
      </c>
      <c r="J2955" s="444">
        <f t="array" ref="J2955">IFERROR(INDEX('Retirement Calculator'!J:J,MATCH('Isaac 401k'!N2955,'Retirement Calculator'!A:A,0),0),0)</f>
        <v>0</v>
      </c>
      <c r="K2955" s="444">
        <f t="shared" ca="1" si="156"/>
        <v>14563390.697603652</v>
      </c>
      <c r="L2955" s="444">
        <f t="shared" ca="1" si="157"/>
        <v>3509777158.1224799</v>
      </c>
      <c r="M2955" s="460">
        <f t="shared" si="159"/>
        <v>0.05</v>
      </c>
      <c r="N2955" s="464">
        <f t="shared" si="160"/>
        <v>140986</v>
      </c>
    </row>
    <row r="2956" spans="7:14" ht="11.25" customHeight="1" x14ac:dyDescent="0.3">
      <c r="G2956" s="459"/>
      <c r="H2956" s="459">
        <v>2949</v>
      </c>
      <c r="I2956" s="444">
        <f t="shared" ca="1" si="158"/>
        <v>3509777158.1224799</v>
      </c>
      <c r="J2956" s="444">
        <f t="array" ref="J2956">IFERROR(INDEX('Retirement Calculator'!J:J,MATCH('Isaac 401k'!N2956,'Retirement Calculator'!A:A,0),0),0)</f>
        <v>0</v>
      </c>
      <c r="K2956" s="444">
        <f t="shared" ca="1" si="156"/>
        <v>14624071.492177</v>
      </c>
      <c r="L2956" s="444">
        <f t="shared" ca="1" si="157"/>
        <v>3524401229.6146569</v>
      </c>
      <c r="M2956" s="460">
        <f t="shared" si="159"/>
        <v>0.05</v>
      </c>
      <c r="N2956" s="464">
        <f t="shared" si="160"/>
        <v>141017</v>
      </c>
    </row>
    <row r="2957" spans="7:14" ht="11.25" customHeight="1" x14ac:dyDescent="0.3">
      <c r="G2957" s="459"/>
      <c r="H2957" s="459">
        <v>2950</v>
      </c>
      <c r="I2957" s="444">
        <f t="shared" ca="1" si="158"/>
        <v>3524401229.6146569</v>
      </c>
      <c r="J2957" s="444">
        <f t="array" ref="J2957">IFERROR(INDEX('Retirement Calculator'!J:J,MATCH('Isaac 401k'!N2957,'Retirement Calculator'!A:A,0),0),0)</f>
        <v>0</v>
      </c>
      <c r="K2957" s="444">
        <f t="shared" ca="1" si="156"/>
        <v>14685005.123394405</v>
      </c>
      <c r="L2957" s="444">
        <f t="shared" ca="1" si="157"/>
        <v>3539086234.7380514</v>
      </c>
      <c r="M2957" s="460">
        <f t="shared" si="159"/>
        <v>0.05</v>
      </c>
      <c r="N2957" s="464">
        <f t="shared" si="160"/>
        <v>141045</v>
      </c>
    </row>
    <row r="2958" spans="7:14" ht="11.25" customHeight="1" x14ac:dyDescent="0.3">
      <c r="G2958" s="459"/>
      <c r="H2958" s="459">
        <v>2951</v>
      </c>
      <c r="I2958" s="444">
        <f t="shared" ca="1" si="158"/>
        <v>3539086234.7380514</v>
      </c>
      <c r="J2958" s="444">
        <f t="array" ref="J2958">IFERROR(INDEX('Retirement Calculator'!J:J,MATCH('Isaac 401k'!N2958,'Retirement Calculator'!A:A,0),0),0)</f>
        <v>0</v>
      </c>
      <c r="K2958" s="444">
        <f t="shared" ca="1" si="156"/>
        <v>14746192.64474188</v>
      </c>
      <c r="L2958" s="444">
        <f t="shared" ca="1" si="157"/>
        <v>3553832427.3827934</v>
      </c>
      <c r="M2958" s="460">
        <f t="shared" si="159"/>
        <v>0.05</v>
      </c>
      <c r="N2958" s="464">
        <f t="shared" si="160"/>
        <v>141076</v>
      </c>
    </row>
    <row r="2959" spans="7:14" ht="11.25" customHeight="1" x14ac:dyDescent="0.3">
      <c r="G2959" s="459"/>
      <c r="H2959" s="459">
        <v>2952</v>
      </c>
      <c r="I2959" s="444">
        <f t="shared" ca="1" si="158"/>
        <v>3553832427.3827934</v>
      </c>
      <c r="J2959" s="444">
        <f t="array" ref="J2959">IFERROR(INDEX('Retirement Calculator'!J:J,MATCH('Isaac 401k'!N2959,'Retirement Calculator'!A:A,0),0),0)</f>
        <v>0</v>
      </c>
      <c r="K2959" s="444">
        <f t="shared" ca="1" si="156"/>
        <v>14807635.114094973</v>
      </c>
      <c r="L2959" s="444">
        <f t="shared" ca="1" si="157"/>
        <v>3568640062.4968882</v>
      </c>
      <c r="M2959" s="460">
        <f t="shared" si="159"/>
        <v>0.05</v>
      </c>
      <c r="N2959" s="464">
        <f t="shared" si="160"/>
        <v>141106</v>
      </c>
    </row>
    <row r="2960" spans="7:14" ht="11.25" customHeight="1" x14ac:dyDescent="0.3">
      <c r="G2960" s="459"/>
      <c r="H2960" s="459">
        <v>2953</v>
      </c>
      <c r="I2960" s="444">
        <f t="shared" ca="1" si="158"/>
        <v>3568640062.4968882</v>
      </c>
      <c r="J2960" s="444">
        <f t="array" ref="J2960">IFERROR(INDEX('Retirement Calculator'!J:J,MATCH('Isaac 401k'!N2960,'Retirement Calculator'!A:A,0),0),0)</f>
        <v>0</v>
      </c>
      <c r="K2960" s="444">
        <f t="shared" ca="1" si="156"/>
        <v>14869333.593737032</v>
      </c>
      <c r="L2960" s="444">
        <f t="shared" ca="1" si="157"/>
        <v>3583509396.0906253</v>
      </c>
      <c r="M2960" s="460">
        <f t="shared" si="159"/>
        <v>0.05</v>
      </c>
      <c r="N2960" s="464">
        <f t="shared" si="160"/>
        <v>141137</v>
      </c>
    </row>
    <row r="2961" spans="7:14" ht="11.25" customHeight="1" x14ac:dyDescent="0.3">
      <c r="G2961" s="459"/>
      <c r="H2961" s="459">
        <v>2954</v>
      </c>
      <c r="I2961" s="444">
        <f t="shared" ca="1" si="158"/>
        <v>3583509396.0906253</v>
      </c>
      <c r="J2961" s="444">
        <f t="array" ref="J2961">IFERROR(INDEX('Retirement Calculator'!J:J,MATCH('Isaac 401k'!N2961,'Retirement Calculator'!A:A,0),0),0)</f>
        <v>0</v>
      </c>
      <c r="K2961" s="444">
        <f t="shared" ca="1" si="156"/>
        <v>14931289.150377605</v>
      </c>
      <c r="L2961" s="444">
        <f t="shared" ca="1" si="157"/>
        <v>3598440685.241003</v>
      </c>
      <c r="M2961" s="460">
        <f t="shared" si="159"/>
        <v>0.05</v>
      </c>
      <c r="N2961" s="464">
        <f t="shared" si="160"/>
        <v>141167</v>
      </c>
    </row>
    <row r="2962" spans="7:14" ht="11.25" customHeight="1" x14ac:dyDescent="0.3">
      <c r="G2962" s="459"/>
      <c r="H2962" s="459">
        <v>2955</v>
      </c>
      <c r="I2962" s="444">
        <f t="shared" ca="1" si="158"/>
        <v>3598440685.241003</v>
      </c>
      <c r="J2962" s="444">
        <f t="array" ref="J2962">IFERROR(INDEX('Retirement Calculator'!J:J,MATCH('Isaac 401k'!N2962,'Retirement Calculator'!A:A,0),0),0)</f>
        <v>0</v>
      </c>
      <c r="K2962" s="444">
        <f t="shared" ca="1" si="156"/>
        <v>14993502.855170848</v>
      </c>
      <c r="L2962" s="444">
        <f t="shared" ca="1" si="157"/>
        <v>3613434188.0961738</v>
      </c>
      <c r="M2962" s="460">
        <f t="shared" si="159"/>
        <v>0.05</v>
      </c>
      <c r="N2962" s="464">
        <f t="shared" si="160"/>
        <v>141198</v>
      </c>
    </row>
    <row r="2963" spans="7:14" ht="11.25" customHeight="1" x14ac:dyDescent="0.3">
      <c r="G2963" s="459"/>
      <c r="H2963" s="459">
        <v>2956</v>
      </c>
      <c r="I2963" s="444">
        <f t="shared" ca="1" si="158"/>
        <v>3613434188.0961738</v>
      </c>
      <c r="J2963" s="444">
        <f t="array" ref="J2963">IFERROR(INDEX('Retirement Calculator'!J:J,MATCH('Isaac 401k'!N2963,'Retirement Calculator'!A:A,0),0),0)</f>
        <v>0</v>
      </c>
      <c r="K2963" s="444">
        <f t="shared" ca="1" si="156"/>
        <v>15055975.783734057</v>
      </c>
      <c r="L2963" s="444">
        <f t="shared" ca="1" si="157"/>
        <v>3628490163.8799076</v>
      </c>
      <c r="M2963" s="460">
        <f t="shared" si="159"/>
        <v>0.05</v>
      </c>
      <c r="N2963" s="464">
        <f t="shared" si="160"/>
        <v>141229</v>
      </c>
    </row>
    <row r="2964" spans="7:14" ht="11.25" customHeight="1" x14ac:dyDescent="0.3">
      <c r="G2964" s="459"/>
      <c r="H2964" s="459">
        <v>2957</v>
      </c>
      <c r="I2964" s="444">
        <f t="shared" ca="1" si="158"/>
        <v>3628490163.8799076</v>
      </c>
      <c r="J2964" s="444">
        <f t="array" ref="J2964">IFERROR(INDEX('Retirement Calculator'!J:J,MATCH('Isaac 401k'!N2964,'Retirement Calculator'!A:A,0),0),0)</f>
        <v>0</v>
      </c>
      <c r="K2964" s="444">
        <f t="shared" ca="1" si="156"/>
        <v>15118709.016166281</v>
      </c>
      <c r="L2964" s="444">
        <f t="shared" ca="1" si="157"/>
        <v>3643608872.8960738</v>
      </c>
      <c r="M2964" s="460">
        <f t="shared" si="159"/>
        <v>0.05</v>
      </c>
      <c r="N2964" s="464">
        <f t="shared" si="160"/>
        <v>141259</v>
      </c>
    </row>
    <row r="2965" spans="7:14" ht="11.25" customHeight="1" x14ac:dyDescent="0.3">
      <c r="G2965" s="459"/>
      <c r="H2965" s="459">
        <v>2958</v>
      </c>
      <c r="I2965" s="444">
        <f t="shared" ca="1" si="158"/>
        <v>3643608872.8960738</v>
      </c>
      <c r="J2965" s="444">
        <f t="array" ref="J2965">IFERROR(INDEX('Retirement Calculator'!J:J,MATCH('Isaac 401k'!N2965,'Retirement Calculator'!A:A,0),0),0)</f>
        <v>0</v>
      </c>
      <c r="K2965" s="444">
        <f t="shared" ca="1" si="156"/>
        <v>15181703.637066972</v>
      </c>
      <c r="L2965" s="444">
        <f t="shared" ca="1" si="157"/>
        <v>3658790576.5331407</v>
      </c>
      <c r="M2965" s="460">
        <f t="shared" si="159"/>
        <v>0.05</v>
      </c>
      <c r="N2965" s="464">
        <f t="shared" si="160"/>
        <v>141290</v>
      </c>
    </row>
    <row r="2966" spans="7:14" ht="11.25" customHeight="1" x14ac:dyDescent="0.3">
      <c r="G2966" s="459"/>
      <c r="H2966" s="459">
        <v>2959</v>
      </c>
      <c r="I2966" s="444">
        <f t="shared" ca="1" si="158"/>
        <v>3658790576.5331407</v>
      </c>
      <c r="J2966" s="444">
        <f t="array" ref="J2966">IFERROR(INDEX('Retirement Calculator'!J:J,MATCH('Isaac 401k'!N2966,'Retirement Calculator'!A:A,0),0),0)</f>
        <v>0</v>
      </c>
      <c r="K2966" s="444">
        <f t="shared" ca="1" si="156"/>
        <v>15244960.735554751</v>
      </c>
      <c r="L2966" s="444">
        <f t="shared" ca="1" si="157"/>
        <v>3674035537.2686954</v>
      </c>
      <c r="M2966" s="460">
        <f t="shared" si="159"/>
        <v>0.05</v>
      </c>
      <c r="N2966" s="464">
        <f t="shared" si="160"/>
        <v>141320</v>
      </c>
    </row>
    <row r="2967" spans="7:14" ht="11.25" customHeight="1" x14ac:dyDescent="0.3">
      <c r="G2967" s="459"/>
      <c r="H2967" s="459">
        <v>2960</v>
      </c>
      <c r="I2967" s="444">
        <f t="shared" ca="1" si="158"/>
        <v>3674035537.2686954</v>
      </c>
      <c r="J2967" s="444">
        <f t="array" ref="J2967">IFERROR(INDEX('Retirement Calculator'!J:J,MATCH('Isaac 401k'!N2967,'Retirement Calculator'!A:A,0),0),0)</f>
        <v>0</v>
      </c>
      <c r="K2967" s="444">
        <f t="shared" ca="1" si="156"/>
        <v>15308481.405286228</v>
      </c>
      <c r="L2967" s="444">
        <f t="shared" ca="1" si="157"/>
        <v>3689344018.6739817</v>
      </c>
      <c r="M2967" s="460">
        <f t="shared" si="159"/>
        <v>0.05</v>
      </c>
      <c r="N2967" s="464">
        <f t="shared" si="160"/>
        <v>141351</v>
      </c>
    </row>
    <row r="2968" spans="7:14" ht="11.25" customHeight="1" x14ac:dyDescent="0.3">
      <c r="G2968" s="459"/>
      <c r="H2968" s="459">
        <v>2961</v>
      </c>
      <c r="I2968" s="444">
        <f t="shared" ca="1" si="158"/>
        <v>3689344018.6739817</v>
      </c>
      <c r="J2968" s="444">
        <f t="array" ref="J2968">IFERROR(INDEX('Retirement Calculator'!J:J,MATCH('Isaac 401k'!N2968,'Retirement Calculator'!A:A,0),0),0)</f>
        <v>0</v>
      </c>
      <c r="K2968" s="444">
        <f t="shared" ca="1" si="156"/>
        <v>15372266.744474925</v>
      </c>
      <c r="L2968" s="444">
        <f t="shared" ca="1" si="157"/>
        <v>3704716285.4184566</v>
      </c>
      <c r="M2968" s="460">
        <f t="shared" si="159"/>
        <v>0.05</v>
      </c>
      <c r="N2968" s="464">
        <f t="shared" si="160"/>
        <v>141382</v>
      </c>
    </row>
    <row r="2969" spans="7:14" ht="11.25" customHeight="1" x14ac:dyDescent="0.3">
      <c r="G2969" s="459"/>
      <c r="H2969" s="459">
        <v>2962</v>
      </c>
      <c r="I2969" s="444">
        <f t="shared" ca="1" si="158"/>
        <v>3704716285.4184566</v>
      </c>
      <c r="J2969" s="444">
        <f t="array" ref="J2969">IFERROR(INDEX('Retirement Calculator'!J:J,MATCH('Isaac 401k'!N2969,'Retirement Calculator'!A:A,0),0),0)</f>
        <v>0</v>
      </c>
      <c r="K2969" s="444">
        <f t="shared" ca="1" si="156"/>
        <v>15436317.855910236</v>
      </c>
      <c r="L2969" s="444">
        <f t="shared" ca="1" si="157"/>
        <v>3720152603.2743669</v>
      </c>
      <c r="M2969" s="460">
        <f t="shared" si="159"/>
        <v>0.05</v>
      </c>
      <c r="N2969" s="464">
        <f t="shared" si="160"/>
        <v>141410</v>
      </c>
    </row>
    <row r="2970" spans="7:14" ht="11.25" customHeight="1" x14ac:dyDescent="0.3">
      <c r="G2970" s="459"/>
      <c r="H2970" s="459">
        <v>2963</v>
      </c>
      <c r="I2970" s="444">
        <f t="shared" ca="1" si="158"/>
        <v>3720152603.2743669</v>
      </c>
      <c r="J2970" s="444">
        <f t="array" ref="J2970">IFERROR(INDEX('Retirement Calculator'!J:J,MATCH('Isaac 401k'!N2970,'Retirement Calculator'!A:A,0),0),0)</f>
        <v>0</v>
      </c>
      <c r="K2970" s="444">
        <f t="shared" ca="1" si="156"/>
        <v>15500635.846976526</v>
      </c>
      <c r="L2970" s="444">
        <f t="shared" ca="1" si="157"/>
        <v>3735653239.1213436</v>
      </c>
      <c r="M2970" s="460">
        <f t="shared" si="159"/>
        <v>0.05</v>
      </c>
      <c r="N2970" s="464">
        <f t="shared" si="160"/>
        <v>141441</v>
      </c>
    </row>
    <row r="2971" spans="7:14" ht="11.25" customHeight="1" x14ac:dyDescent="0.3">
      <c r="G2971" s="459"/>
      <c r="H2971" s="459">
        <v>2964</v>
      </c>
      <c r="I2971" s="444">
        <f t="shared" ca="1" si="158"/>
        <v>3735653239.1213436</v>
      </c>
      <c r="J2971" s="444">
        <f t="array" ref="J2971">IFERROR(INDEX('Retirement Calculator'!J:J,MATCH('Isaac 401k'!N2971,'Retirement Calculator'!A:A,0),0),0)</f>
        <v>0</v>
      </c>
      <c r="K2971" s="444">
        <f t="shared" ca="1" si="156"/>
        <v>15565221.829672264</v>
      </c>
      <c r="L2971" s="444">
        <f t="shared" ca="1" si="157"/>
        <v>3751218460.9510159</v>
      </c>
      <c r="M2971" s="460">
        <f t="shared" si="159"/>
        <v>0.05</v>
      </c>
      <c r="N2971" s="464">
        <f t="shared" si="160"/>
        <v>141471</v>
      </c>
    </row>
    <row r="2972" spans="7:14" ht="11.25" customHeight="1" x14ac:dyDescent="0.3">
      <c r="G2972" s="459"/>
      <c r="H2972" s="459">
        <v>2965</v>
      </c>
      <c r="I2972" s="444">
        <f t="shared" ca="1" si="158"/>
        <v>3751218460.9510159</v>
      </c>
      <c r="J2972" s="444">
        <f t="array" ref="J2972">IFERROR(INDEX('Retirement Calculator'!J:J,MATCH('Isaac 401k'!N2972,'Retirement Calculator'!A:A,0),0),0)</f>
        <v>0</v>
      </c>
      <c r="K2972" s="444">
        <f t="shared" ca="1" si="156"/>
        <v>15630076.920629231</v>
      </c>
      <c r="L2972" s="444">
        <f t="shared" ca="1" si="157"/>
        <v>3766848537.871645</v>
      </c>
      <c r="M2972" s="460">
        <f t="shared" si="159"/>
        <v>0.05</v>
      </c>
      <c r="N2972" s="464">
        <f t="shared" si="160"/>
        <v>141502</v>
      </c>
    </row>
    <row r="2973" spans="7:14" ht="11.25" customHeight="1" x14ac:dyDescent="0.3">
      <c r="G2973" s="459"/>
      <c r="H2973" s="459">
        <v>2966</v>
      </c>
      <c r="I2973" s="444">
        <f t="shared" ca="1" si="158"/>
        <v>3766848537.871645</v>
      </c>
      <c r="J2973" s="444">
        <f t="array" ref="J2973">IFERROR(INDEX('Retirement Calculator'!J:J,MATCH('Isaac 401k'!N2973,'Retirement Calculator'!A:A,0),0),0)</f>
        <v>0</v>
      </c>
      <c r="K2973" s="444">
        <f t="shared" ca="1" si="156"/>
        <v>15695202.241131853</v>
      </c>
      <c r="L2973" s="444">
        <f t="shared" ca="1" si="157"/>
        <v>3782543740.1127768</v>
      </c>
      <c r="M2973" s="460">
        <f t="shared" si="159"/>
        <v>0.05</v>
      </c>
      <c r="N2973" s="464">
        <f t="shared" si="160"/>
        <v>141532</v>
      </c>
    </row>
    <row r="2974" spans="7:14" ht="11.25" customHeight="1" x14ac:dyDescent="0.3">
      <c r="G2974" s="459"/>
      <c r="H2974" s="459">
        <v>2967</v>
      </c>
      <c r="I2974" s="444">
        <f t="shared" ca="1" si="158"/>
        <v>3782543740.1127768</v>
      </c>
      <c r="J2974" s="444">
        <f t="array" ref="J2974">IFERROR(INDEX('Retirement Calculator'!J:J,MATCH('Isaac 401k'!N2974,'Retirement Calculator'!A:A,0),0),0)</f>
        <v>0</v>
      </c>
      <c r="K2974" s="444">
        <f t="shared" ca="1" si="156"/>
        <v>15760598.91713657</v>
      </c>
      <c r="L2974" s="444">
        <f t="shared" ca="1" si="157"/>
        <v>3798304339.0299134</v>
      </c>
      <c r="M2974" s="460">
        <f t="shared" si="159"/>
        <v>0.05</v>
      </c>
      <c r="N2974" s="464">
        <f t="shared" si="160"/>
        <v>141563</v>
      </c>
    </row>
    <row r="2975" spans="7:14" ht="11.25" customHeight="1" x14ac:dyDescent="0.3">
      <c r="G2975" s="459"/>
      <c r="H2975" s="459">
        <v>2968</v>
      </c>
      <c r="I2975" s="444">
        <f t="shared" ca="1" si="158"/>
        <v>3798304339.0299134</v>
      </c>
      <c r="J2975" s="444">
        <f t="array" ref="J2975">IFERROR(INDEX('Retirement Calculator'!J:J,MATCH('Isaac 401k'!N2975,'Retirement Calculator'!A:A,0),0),0)</f>
        <v>0</v>
      </c>
      <c r="K2975" s="444">
        <f t="shared" ca="1" si="156"/>
        <v>15826268.079291305</v>
      </c>
      <c r="L2975" s="444">
        <f t="shared" ca="1" si="157"/>
        <v>3814130607.1092048</v>
      </c>
      <c r="M2975" s="460">
        <f t="shared" si="159"/>
        <v>0.05</v>
      </c>
      <c r="N2975" s="464">
        <f t="shared" si="160"/>
        <v>141594</v>
      </c>
    </row>
    <row r="2976" spans="7:14" ht="11.25" customHeight="1" x14ac:dyDescent="0.3">
      <c r="G2976" s="459"/>
      <c r="H2976" s="459">
        <v>2969</v>
      </c>
      <c r="I2976" s="444">
        <f t="shared" ca="1" si="158"/>
        <v>3814130607.1092048</v>
      </c>
      <c r="J2976" s="444">
        <f t="array" ref="J2976">IFERROR(INDEX('Retirement Calculator'!J:J,MATCH('Isaac 401k'!N2976,'Retirement Calculator'!A:A,0),0),0)</f>
        <v>0</v>
      </c>
      <c r="K2976" s="444">
        <f t="shared" ca="1" si="156"/>
        <v>15892210.862955019</v>
      </c>
      <c r="L2976" s="444">
        <f t="shared" ca="1" si="157"/>
        <v>3830022817.9721599</v>
      </c>
      <c r="M2976" s="460">
        <f t="shared" si="159"/>
        <v>0.05</v>
      </c>
      <c r="N2976" s="464">
        <f t="shared" si="160"/>
        <v>141624</v>
      </c>
    </row>
    <row r="2977" spans="7:14" ht="11.25" customHeight="1" x14ac:dyDescent="0.3">
      <c r="G2977" s="459"/>
      <c r="H2977" s="459">
        <v>2970</v>
      </c>
      <c r="I2977" s="444">
        <f t="shared" ca="1" si="158"/>
        <v>3830022817.9721599</v>
      </c>
      <c r="J2977" s="444">
        <f t="array" ref="J2977">IFERROR(INDEX('Retirement Calculator'!J:J,MATCH('Isaac 401k'!N2977,'Retirement Calculator'!A:A,0),0),0)</f>
        <v>0</v>
      </c>
      <c r="K2977" s="444">
        <f t="shared" ca="1" si="156"/>
        <v>15958428.408217333</v>
      </c>
      <c r="L2977" s="444">
        <f t="shared" ca="1" si="157"/>
        <v>3845981246.3803773</v>
      </c>
      <c r="M2977" s="460">
        <f t="shared" si="159"/>
        <v>0.05</v>
      </c>
      <c r="N2977" s="464">
        <f t="shared" si="160"/>
        <v>141655</v>
      </c>
    </row>
    <row r="2978" spans="7:14" ht="11.25" customHeight="1" x14ac:dyDescent="0.3">
      <c r="G2978" s="459"/>
      <c r="H2978" s="459">
        <v>2971</v>
      </c>
      <c r="I2978" s="444">
        <f t="shared" ca="1" si="158"/>
        <v>3845981246.3803773</v>
      </c>
      <c r="J2978" s="444">
        <f t="array" ref="J2978">IFERROR(INDEX('Retirement Calculator'!J:J,MATCH('Isaac 401k'!N2978,'Retirement Calculator'!A:A,0),0),0)</f>
        <v>0</v>
      </c>
      <c r="K2978" s="444">
        <f t="shared" ca="1" si="156"/>
        <v>16024921.859918237</v>
      </c>
      <c r="L2978" s="444">
        <f t="shared" ca="1" si="157"/>
        <v>3862006168.2402954</v>
      </c>
      <c r="M2978" s="460">
        <f t="shared" si="159"/>
        <v>0.05</v>
      </c>
      <c r="N2978" s="464">
        <f t="shared" si="160"/>
        <v>141685</v>
      </c>
    </row>
    <row r="2979" spans="7:14" ht="11.25" customHeight="1" x14ac:dyDescent="0.3">
      <c r="G2979" s="459"/>
      <c r="H2979" s="459">
        <v>2972</v>
      </c>
      <c r="I2979" s="444">
        <f t="shared" ca="1" si="158"/>
        <v>3862006168.2402954</v>
      </c>
      <c r="J2979" s="444">
        <f t="array" ref="J2979">IFERROR(INDEX('Retirement Calculator'!J:J,MATCH('Isaac 401k'!N2979,'Retirement Calculator'!A:A,0),0),0)</f>
        <v>0</v>
      </c>
      <c r="K2979" s="444">
        <f t="shared" ca="1" si="156"/>
        <v>16091692.367667897</v>
      </c>
      <c r="L2979" s="444">
        <f t="shared" ca="1" si="157"/>
        <v>3878097860.6079631</v>
      </c>
      <c r="M2979" s="460">
        <f t="shared" si="159"/>
        <v>0.05</v>
      </c>
      <c r="N2979" s="464">
        <f t="shared" si="160"/>
        <v>141716</v>
      </c>
    </row>
    <row r="2980" spans="7:14" ht="11.25" customHeight="1" x14ac:dyDescent="0.3">
      <c r="G2980" s="459"/>
      <c r="H2980" s="459">
        <v>2973</v>
      </c>
      <c r="I2980" s="444">
        <f t="shared" ca="1" si="158"/>
        <v>3878097860.6079631</v>
      </c>
      <c r="J2980" s="444">
        <f t="array" ref="J2980">IFERROR(INDEX('Retirement Calculator'!J:J,MATCH('Isaac 401k'!N2980,'Retirement Calculator'!A:A,0),0),0)</f>
        <v>0</v>
      </c>
      <c r="K2980" s="444">
        <f t="shared" ca="1" si="156"/>
        <v>16158741.085866513</v>
      </c>
      <c r="L2980" s="444">
        <f t="shared" ca="1" si="157"/>
        <v>3894256601.6938295</v>
      </c>
      <c r="M2980" s="460">
        <f t="shared" si="159"/>
        <v>0.05</v>
      </c>
      <c r="N2980" s="464">
        <f t="shared" si="160"/>
        <v>141747</v>
      </c>
    </row>
    <row r="2981" spans="7:14" ht="11.25" customHeight="1" x14ac:dyDescent="0.3">
      <c r="G2981" s="459"/>
      <c r="H2981" s="459">
        <v>2974</v>
      </c>
      <c r="I2981" s="444">
        <f t="shared" ca="1" si="158"/>
        <v>3894256601.6938295</v>
      </c>
      <c r="J2981" s="444">
        <f t="array" ref="J2981">IFERROR(INDEX('Retirement Calculator'!J:J,MATCH('Isaac 401k'!N2981,'Retirement Calculator'!A:A,0),0),0)</f>
        <v>0</v>
      </c>
      <c r="K2981" s="444">
        <f t="shared" ca="1" si="156"/>
        <v>16226069.17372429</v>
      </c>
      <c r="L2981" s="444">
        <f t="shared" ca="1" si="157"/>
        <v>3910482670.8675537</v>
      </c>
      <c r="M2981" s="460">
        <f t="shared" si="159"/>
        <v>0.05</v>
      </c>
      <c r="N2981" s="464">
        <f t="shared" si="160"/>
        <v>141776</v>
      </c>
    </row>
    <row r="2982" spans="7:14" ht="11.25" customHeight="1" x14ac:dyDescent="0.3">
      <c r="G2982" s="459"/>
      <c r="H2982" s="459">
        <v>2975</v>
      </c>
      <c r="I2982" s="444">
        <f t="shared" ca="1" si="158"/>
        <v>3910482670.8675537</v>
      </c>
      <c r="J2982" s="444">
        <f t="array" ref="J2982">IFERROR(INDEX('Retirement Calculator'!J:J,MATCH('Isaac 401k'!N2982,'Retirement Calculator'!A:A,0),0),0)</f>
        <v>0</v>
      </c>
      <c r="K2982" s="444">
        <f t="shared" ca="1" si="156"/>
        <v>16293677.795281474</v>
      </c>
      <c r="L2982" s="444">
        <f t="shared" ca="1" si="157"/>
        <v>3926776348.6628351</v>
      </c>
      <c r="M2982" s="460">
        <f t="shared" si="159"/>
        <v>0.05</v>
      </c>
      <c r="N2982" s="464">
        <f t="shared" si="160"/>
        <v>141807</v>
      </c>
    </row>
    <row r="2983" spans="7:14" ht="11.25" customHeight="1" x14ac:dyDescent="0.3">
      <c r="G2983" s="459"/>
      <c r="H2983" s="459">
        <v>2976</v>
      </c>
      <c r="I2983" s="444">
        <f t="shared" ca="1" si="158"/>
        <v>3926776348.6628351</v>
      </c>
      <c r="J2983" s="444">
        <f t="array" ref="J2983">IFERROR(INDEX('Retirement Calculator'!J:J,MATCH('Isaac 401k'!N2983,'Retirement Calculator'!A:A,0),0),0)</f>
        <v>0</v>
      </c>
      <c r="K2983" s="444">
        <f t="shared" ca="1" si="156"/>
        <v>16361568.11942848</v>
      </c>
      <c r="L2983" s="444">
        <f t="shared" ca="1" si="157"/>
        <v>3943137916.7822638</v>
      </c>
      <c r="M2983" s="460">
        <f t="shared" si="159"/>
        <v>0.05</v>
      </c>
      <c r="N2983" s="464">
        <f t="shared" si="160"/>
        <v>141837</v>
      </c>
    </row>
    <row r="2984" spans="7:14" ht="11.25" customHeight="1" x14ac:dyDescent="0.3">
      <c r="G2984" s="459"/>
      <c r="H2984" s="459">
        <v>2977</v>
      </c>
      <c r="I2984" s="444">
        <f t="shared" ca="1" si="158"/>
        <v>3943137916.7822638</v>
      </c>
      <c r="J2984" s="444">
        <f t="array" ref="J2984">IFERROR(INDEX('Retirement Calculator'!J:J,MATCH('Isaac 401k'!N2984,'Retirement Calculator'!A:A,0),0),0)</f>
        <v>0</v>
      </c>
      <c r="K2984" s="444">
        <f t="shared" ca="1" si="156"/>
        <v>16429741.319926098</v>
      </c>
      <c r="L2984" s="444">
        <f t="shared" ca="1" si="157"/>
        <v>3959567658.10219</v>
      </c>
      <c r="M2984" s="460">
        <f t="shared" si="159"/>
        <v>0.05</v>
      </c>
      <c r="N2984" s="464">
        <f t="shared" si="160"/>
        <v>141868</v>
      </c>
    </row>
    <row r="2985" spans="7:14" ht="11.25" customHeight="1" x14ac:dyDescent="0.3">
      <c r="G2985" s="459"/>
      <c r="H2985" s="459">
        <v>2978</v>
      </c>
      <c r="I2985" s="444">
        <f t="shared" ca="1" si="158"/>
        <v>3959567658.10219</v>
      </c>
      <c r="J2985" s="444">
        <f t="array" ref="J2985">IFERROR(INDEX('Retirement Calculator'!J:J,MATCH('Isaac 401k'!N2985,'Retirement Calculator'!A:A,0),0),0)</f>
        <v>0</v>
      </c>
      <c r="K2985" s="444">
        <f t="shared" ca="1" si="156"/>
        <v>16498198.575425791</v>
      </c>
      <c r="L2985" s="444">
        <f t="shared" ca="1" si="157"/>
        <v>3976065856.6776156</v>
      </c>
      <c r="M2985" s="460">
        <f t="shared" si="159"/>
        <v>0.05</v>
      </c>
      <c r="N2985" s="464">
        <f t="shared" si="160"/>
        <v>141898</v>
      </c>
    </row>
    <row r="2986" spans="7:14" ht="11.25" customHeight="1" x14ac:dyDescent="0.3">
      <c r="G2986" s="459"/>
      <c r="H2986" s="459">
        <v>2979</v>
      </c>
      <c r="I2986" s="444">
        <f t="shared" ca="1" si="158"/>
        <v>3976065856.6776156</v>
      </c>
      <c r="J2986" s="444">
        <f t="array" ref="J2986">IFERROR(INDEX('Retirement Calculator'!J:J,MATCH('Isaac 401k'!N2986,'Retirement Calculator'!A:A,0),0),0)</f>
        <v>0</v>
      </c>
      <c r="K2986" s="444">
        <f t="shared" ca="1" si="156"/>
        <v>16566941.069490066</v>
      </c>
      <c r="L2986" s="444">
        <f t="shared" ca="1" si="157"/>
        <v>3992632797.7471056</v>
      </c>
      <c r="M2986" s="460">
        <f t="shared" si="159"/>
        <v>0.05</v>
      </c>
      <c r="N2986" s="464">
        <f t="shared" si="160"/>
        <v>141929</v>
      </c>
    </row>
    <row r="2987" spans="7:14" ht="11.25" customHeight="1" x14ac:dyDescent="0.3">
      <c r="G2987" s="459"/>
      <c r="H2987" s="459">
        <v>2980</v>
      </c>
      <c r="I2987" s="444">
        <f t="shared" ca="1" si="158"/>
        <v>3992632797.7471056</v>
      </c>
      <c r="J2987" s="444">
        <f t="array" ref="J2987">IFERROR(INDEX('Retirement Calculator'!J:J,MATCH('Isaac 401k'!N2987,'Retirement Calculator'!A:A,0),0),0)</f>
        <v>0</v>
      </c>
      <c r="K2987" s="444">
        <f t="shared" ca="1" si="156"/>
        <v>16635969.990612939</v>
      </c>
      <c r="L2987" s="444">
        <f t="shared" ca="1" si="157"/>
        <v>4009268767.7377186</v>
      </c>
      <c r="M2987" s="460">
        <f t="shared" si="159"/>
        <v>0.05</v>
      </c>
      <c r="N2987" s="464">
        <f t="shared" si="160"/>
        <v>141960</v>
      </c>
    </row>
    <row r="2988" spans="7:14" ht="11.25" customHeight="1" x14ac:dyDescent="0.3">
      <c r="G2988" s="459"/>
      <c r="H2988" s="459">
        <v>2981</v>
      </c>
      <c r="I2988" s="444">
        <f t="shared" ca="1" si="158"/>
        <v>4009268767.7377186</v>
      </c>
      <c r="J2988" s="444">
        <f t="array" ref="J2988">IFERROR(INDEX('Retirement Calculator'!J:J,MATCH('Isaac 401k'!N2988,'Retirement Calculator'!A:A,0),0),0)</f>
        <v>0</v>
      </c>
      <c r="K2988" s="444">
        <f t="shared" ca="1" si="156"/>
        <v>16705286.532240493</v>
      </c>
      <c r="L2988" s="444">
        <f t="shared" ca="1" si="157"/>
        <v>4025974054.269959</v>
      </c>
      <c r="M2988" s="460">
        <f t="shared" si="159"/>
        <v>0.05</v>
      </c>
      <c r="N2988" s="464">
        <f t="shared" si="160"/>
        <v>141990</v>
      </c>
    </row>
    <row r="2989" spans="7:14" ht="11.25" customHeight="1" x14ac:dyDescent="0.3">
      <c r="G2989" s="459"/>
      <c r="H2989" s="459">
        <v>2982</v>
      </c>
      <c r="I2989" s="444">
        <f t="shared" ca="1" si="158"/>
        <v>4025974054.269959</v>
      </c>
      <c r="J2989" s="444">
        <f t="array" ref="J2989">IFERROR(INDEX('Retirement Calculator'!J:J,MATCH('Isaac 401k'!N2989,'Retirement Calculator'!A:A,0),0),0)</f>
        <v>0</v>
      </c>
      <c r="K2989" s="444">
        <f t="shared" ca="1" si="156"/>
        <v>16774891.892791497</v>
      </c>
      <c r="L2989" s="444">
        <f t="shared" ca="1" si="157"/>
        <v>4042748946.1627502</v>
      </c>
      <c r="M2989" s="460">
        <f t="shared" si="159"/>
        <v>0.05</v>
      </c>
      <c r="N2989" s="464">
        <f t="shared" si="160"/>
        <v>142021</v>
      </c>
    </row>
    <row r="2990" spans="7:14" ht="11.25" customHeight="1" x14ac:dyDescent="0.3">
      <c r="G2990" s="459"/>
      <c r="H2990" s="459">
        <v>2983</v>
      </c>
      <c r="I2990" s="444">
        <f t="shared" ca="1" si="158"/>
        <v>4042748946.1627502</v>
      </c>
      <c r="J2990" s="444">
        <f t="array" ref="J2990">IFERROR(INDEX('Retirement Calculator'!J:J,MATCH('Isaac 401k'!N2990,'Retirement Calculator'!A:A,0),0),0)</f>
        <v>0</v>
      </c>
      <c r="K2990" s="444">
        <f t="shared" ca="1" si="156"/>
        <v>16844787.275678124</v>
      </c>
      <c r="L2990" s="444">
        <f t="shared" ca="1" si="157"/>
        <v>4059593733.4384284</v>
      </c>
      <c r="M2990" s="460">
        <f t="shared" si="159"/>
        <v>0.05</v>
      </c>
      <c r="N2990" s="464">
        <f t="shared" si="160"/>
        <v>142051</v>
      </c>
    </row>
    <row r="2991" spans="7:14" ht="11.25" customHeight="1" x14ac:dyDescent="0.3">
      <c r="G2991" s="459"/>
      <c r="H2991" s="459">
        <v>2984</v>
      </c>
      <c r="I2991" s="444">
        <f t="shared" ca="1" si="158"/>
        <v>4059593733.4384284</v>
      </c>
      <c r="J2991" s="444">
        <f t="array" ref="J2991">IFERROR(INDEX('Retirement Calculator'!J:J,MATCH('Isaac 401k'!N2991,'Retirement Calculator'!A:A,0),0),0)</f>
        <v>0</v>
      </c>
      <c r="K2991" s="444">
        <f t="shared" ca="1" si="156"/>
        <v>16914973.889326785</v>
      </c>
      <c r="L2991" s="444">
        <f t="shared" ca="1" si="157"/>
        <v>4076508707.327755</v>
      </c>
      <c r="M2991" s="460">
        <f t="shared" si="159"/>
        <v>0.05</v>
      </c>
      <c r="N2991" s="464">
        <f t="shared" si="160"/>
        <v>142082</v>
      </c>
    </row>
    <row r="2992" spans="7:14" ht="11.25" customHeight="1" x14ac:dyDescent="0.3">
      <c r="G2992" s="459"/>
      <c r="H2992" s="459">
        <v>2985</v>
      </c>
      <c r="I2992" s="444">
        <f t="shared" ca="1" si="158"/>
        <v>4076508707.327755</v>
      </c>
      <c r="J2992" s="444">
        <f t="array" ref="J2992">IFERROR(INDEX('Retirement Calculator'!J:J,MATCH('Isaac 401k'!N2992,'Retirement Calculator'!A:A,0),0),0)</f>
        <v>0</v>
      </c>
      <c r="K2992" s="444">
        <f t="shared" ca="1" si="156"/>
        <v>16985452.94719898</v>
      </c>
      <c r="L2992" s="444">
        <f t="shared" ca="1" si="157"/>
        <v>4093494160.2749538</v>
      </c>
      <c r="M2992" s="460">
        <f t="shared" si="159"/>
        <v>0.05</v>
      </c>
      <c r="N2992" s="464">
        <f t="shared" si="160"/>
        <v>142113</v>
      </c>
    </row>
    <row r="2993" spans="7:14" ht="11.25" customHeight="1" x14ac:dyDescent="0.3">
      <c r="G2993" s="459"/>
      <c r="H2993" s="459">
        <v>2986</v>
      </c>
      <c r="I2993" s="444">
        <f t="shared" ca="1" si="158"/>
        <v>4093494160.2749538</v>
      </c>
      <c r="J2993" s="444">
        <f t="array" ref="J2993">IFERROR(INDEX('Retirement Calculator'!J:J,MATCH('Isaac 401k'!N2993,'Retirement Calculator'!A:A,0),0),0)</f>
        <v>0</v>
      </c>
      <c r="K2993" s="444">
        <f t="shared" ca="1" si="156"/>
        <v>17056225.66781231</v>
      </c>
      <c r="L2993" s="444">
        <f t="shared" ca="1" si="157"/>
        <v>4110550385.9427662</v>
      </c>
      <c r="M2993" s="460">
        <f t="shared" si="159"/>
        <v>0.05</v>
      </c>
      <c r="N2993" s="464">
        <f t="shared" si="160"/>
        <v>142141</v>
      </c>
    </row>
    <row r="2994" spans="7:14" ht="11.25" customHeight="1" x14ac:dyDescent="0.3">
      <c r="G2994" s="459"/>
      <c r="H2994" s="459">
        <v>2987</v>
      </c>
      <c r="I2994" s="444">
        <f t="shared" ca="1" si="158"/>
        <v>4110550385.9427662</v>
      </c>
      <c r="J2994" s="444">
        <f t="array" ref="J2994">IFERROR(INDEX('Retirement Calculator'!J:J,MATCH('Isaac 401k'!N2994,'Retirement Calculator'!A:A,0),0),0)</f>
        <v>0</v>
      </c>
      <c r="K2994" s="444">
        <f t="shared" ca="1" si="156"/>
        <v>17127293.274761524</v>
      </c>
      <c r="L2994" s="444">
        <f t="shared" ca="1" si="157"/>
        <v>4127677679.2175279</v>
      </c>
      <c r="M2994" s="460">
        <f t="shared" si="159"/>
        <v>0.05</v>
      </c>
      <c r="N2994" s="464">
        <f t="shared" si="160"/>
        <v>142172</v>
      </c>
    </row>
    <row r="2995" spans="7:14" ht="11.25" customHeight="1" x14ac:dyDescent="0.3">
      <c r="G2995" s="459"/>
      <c r="H2995" s="459">
        <v>2988</v>
      </c>
      <c r="I2995" s="444">
        <f t="shared" ca="1" si="158"/>
        <v>4127677679.2175279</v>
      </c>
      <c r="J2995" s="444">
        <f t="array" ref="J2995">IFERROR(INDEX('Retirement Calculator'!J:J,MATCH('Isaac 401k'!N2995,'Retirement Calculator'!A:A,0),0),0)</f>
        <v>0</v>
      </c>
      <c r="K2995" s="444">
        <f t="shared" ca="1" si="156"/>
        <v>17198656.9967397</v>
      </c>
      <c r="L2995" s="444">
        <f t="shared" ca="1" si="157"/>
        <v>4144876336.2142677</v>
      </c>
      <c r="M2995" s="460">
        <f t="shared" si="159"/>
        <v>0.05</v>
      </c>
      <c r="N2995" s="464">
        <f t="shared" si="160"/>
        <v>142202</v>
      </c>
    </row>
    <row r="2996" spans="7:14" ht="11.25" customHeight="1" x14ac:dyDescent="0.3">
      <c r="G2996" s="459"/>
      <c r="H2996" s="459">
        <v>2989</v>
      </c>
      <c r="I2996" s="444">
        <f t="shared" ca="1" si="158"/>
        <v>4144876336.2142677</v>
      </c>
      <c r="J2996" s="444">
        <f t="array" ref="J2996">IFERROR(INDEX('Retirement Calculator'!J:J,MATCH('Isaac 401k'!N2996,'Retirement Calculator'!A:A,0),0),0)</f>
        <v>0</v>
      </c>
      <c r="K2996" s="444">
        <f t="shared" ca="1" si="156"/>
        <v>17270318.067559447</v>
      </c>
      <c r="L2996" s="444">
        <f t="shared" ca="1" si="157"/>
        <v>4162146654.281827</v>
      </c>
      <c r="M2996" s="460">
        <f t="shared" si="159"/>
        <v>0.05</v>
      </c>
      <c r="N2996" s="464">
        <f t="shared" si="160"/>
        <v>142233</v>
      </c>
    </row>
    <row r="2997" spans="7:14" ht="11.25" customHeight="1" x14ac:dyDescent="0.3">
      <c r="G2997" s="459"/>
      <c r="H2997" s="459">
        <v>2990</v>
      </c>
      <c r="I2997" s="444">
        <f t="shared" ca="1" si="158"/>
        <v>4162146654.281827</v>
      </c>
      <c r="J2997" s="444">
        <f t="array" ref="J2997">IFERROR(INDEX('Retirement Calculator'!J:J,MATCH('Isaac 401k'!N2997,'Retirement Calculator'!A:A,0),0),0)</f>
        <v>0</v>
      </c>
      <c r="K2997" s="444">
        <f t="shared" ca="1" si="156"/>
        <v>17342277.72617428</v>
      </c>
      <c r="L2997" s="444">
        <f t="shared" ca="1" si="157"/>
        <v>4179488932.0080013</v>
      </c>
      <c r="M2997" s="460">
        <f t="shared" si="159"/>
        <v>0.05</v>
      </c>
      <c r="N2997" s="464">
        <f t="shared" si="160"/>
        <v>142263</v>
      </c>
    </row>
    <row r="2998" spans="7:14" ht="11.25" customHeight="1" x14ac:dyDescent="0.3">
      <c r="G2998" s="459"/>
      <c r="H2998" s="459">
        <v>2991</v>
      </c>
      <c r="I2998" s="444">
        <f t="shared" ca="1" si="158"/>
        <v>4179488932.0080013</v>
      </c>
      <c r="J2998" s="444">
        <f t="array" ref="J2998">IFERROR(INDEX('Retirement Calculator'!J:J,MATCH('Isaac 401k'!N2998,'Retirement Calculator'!A:A,0),0),0)</f>
        <v>0</v>
      </c>
      <c r="K2998" s="444">
        <f t="shared" ca="1" si="156"/>
        <v>17414537.216700006</v>
      </c>
      <c r="L2998" s="444">
        <f t="shared" ca="1" si="157"/>
        <v>4196903469.2247014</v>
      </c>
      <c r="M2998" s="460">
        <f t="shared" si="159"/>
        <v>0.05</v>
      </c>
      <c r="N2998" s="464">
        <f t="shared" si="160"/>
        <v>142294</v>
      </c>
    </row>
    <row r="2999" spans="7:14" ht="11.25" customHeight="1" x14ac:dyDescent="0.3">
      <c r="G2999" s="459"/>
      <c r="H2999" s="459">
        <v>2992</v>
      </c>
      <c r="I2999" s="444">
        <f t="shared" ca="1" si="158"/>
        <v>4196903469.2247014</v>
      </c>
      <c r="J2999" s="444">
        <f t="array" ref="J2999">IFERROR(INDEX('Retirement Calculator'!J:J,MATCH('Isaac 401k'!N2999,'Retirement Calculator'!A:A,0),0),0)</f>
        <v>0</v>
      </c>
      <c r="K2999" s="444">
        <f t="shared" ca="1" si="156"/>
        <v>17487097.788436256</v>
      </c>
      <c r="L2999" s="444">
        <f t="shared" ca="1" si="157"/>
        <v>4214390567.0131378</v>
      </c>
      <c r="M2999" s="460">
        <f t="shared" si="159"/>
        <v>0.05</v>
      </c>
      <c r="N2999" s="464">
        <f t="shared" si="160"/>
        <v>142325</v>
      </c>
    </row>
    <row r="3000" spans="7:14" ht="11.25" customHeight="1" x14ac:dyDescent="0.3">
      <c r="G3000" s="459"/>
      <c r="H3000" s="459">
        <v>2993</v>
      </c>
      <c r="I3000" s="444">
        <f t="shared" ca="1" si="158"/>
        <v>4214390567.0131378</v>
      </c>
      <c r="J3000" s="444">
        <f t="array" ref="J3000">IFERROR(INDEX('Retirement Calculator'!J:J,MATCH('Isaac 401k'!N3000,'Retirement Calculator'!A:A,0),0),0)</f>
        <v>0</v>
      </c>
      <c r="K3000" s="444">
        <f t="shared" ca="1" si="156"/>
        <v>17559960.695888072</v>
      </c>
      <c r="L3000" s="444">
        <f t="shared" ca="1" si="157"/>
        <v>4231950527.7090259</v>
      </c>
      <c r="M3000" s="460">
        <f t="shared" si="159"/>
        <v>0.05</v>
      </c>
      <c r="N3000" s="464">
        <f t="shared" si="160"/>
        <v>142355</v>
      </c>
    </row>
    <row r="3001" spans="7:14" ht="11.25" customHeight="1" x14ac:dyDescent="0.3">
      <c r="G3001" s="459"/>
      <c r="H3001" s="459">
        <v>2994</v>
      </c>
      <c r="I3001" s="444">
        <f t="shared" ca="1" si="158"/>
        <v>4231950527.7090259</v>
      </c>
      <c r="J3001" s="444">
        <f t="array" ref="J3001">IFERROR(INDEX('Retirement Calculator'!J:J,MATCH('Isaac 401k'!N3001,'Retirement Calculator'!A:A,0),0),0)</f>
        <v>0</v>
      </c>
      <c r="K3001" s="444">
        <f t="shared" ca="1" si="156"/>
        <v>17633127.198787607</v>
      </c>
      <c r="L3001" s="444">
        <f t="shared" ca="1" si="157"/>
        <v>4249583654.9078135</v>
      </c>
      <c r="M3001" s="460">
        <f t="shared" si="159"/>
        <v>0.05</v>
      </c>
      <c r="N3001" s="464">
        <f t="shared" si="160"/>
        <v>142386</v>
      </c>
    </row>
    <row r="3002" spans="7:14" ht="11.25" customHeight="1" x14ac:dyDescent="0.3">
      <c r="G3002" s="459"/>
      <c r="H3002" s="459">
        <v>2995</v>
      </c>
      <c r="I3002" s="444">
        <f t="shared" ca="1" si="158"/>
        <v>4249583654.9078135</v>
      </c>
      <c r="J3002" s="444">
        <f t="array" ref="J3002">IFERROR(INDEX('Retirement Calculator'!J:J,MATCH('Isaac 401k'!N3002,'Retirement Calculator'!A:A,0),0),0)</f>
        <v>0</v>
      </c>
      <c r="K3002" s="444">
        <f t="shared" ca="1" si="156"/>
        <v>17706598.562115889</v>
      </c>
      <c r="L3002" s="444">
        <f t="shared" ca="1" si="157"/>
        <v>4267290253.4699292</v>
      </c>
      <c r="M3002" s="460">
        <f t="shared" si="159"/>
        <v>0.05</v>
      </c>
      <c r="N3002" s="464">
        <f t="shared" si="160"/>
        <v>142416</v>
      </c>
    </row>
    <row r="3003" spans="7:14" ht="11.25" customHeight="1" x14ac:dyDescent="0.3">
      <c r="G3003" s="459"/>
      <c r="H3003" s="459">
        <v>2996</v>
      </c>
      <c r="I3003" s="444">
        <f t="shared" ca="1" si="158"/>
        <v>4267290253.4699292</v>
      </c>
      <c r="J3003" s="444">
        <f t="array" ref="J3003">IFERROR(INDEX('Retirement Calculator'!J:J,MATCH('Isaac 401k'!N3003,'Retirement Calculator'!A:A,0),0),0)</f>
        <v>0</v>
      </c>
      <c r="K3003" s="444">
        <f t="shared" ca="1" si="156"/>
        <v>17780376.056124706</v>
      </c>
      <c r="L3003" s="444">
        <f t="shared" ca="1" si="157"/>
        <v>4285070629.5260539</v>
      </c>
      <c r="M3003" s="460">
        <f t="shared" si="159"/>
        <v>0.05</v>
      </c>
      <c r="N3003" s="464">
        <f t="shared" si="160"/>
        <v>142447</v>
      </c>
    </row>
    <row r="3004" spans="7:14" ht="11.25" customHeight="1" x14ac:dyDescent="0.3">
      <c r="G3004" s="459"/>
      <c r="H3004" s="459">
        <v>2997</v>
      </c>
      <c r="I3004" s="444">
        <f t="shared" ca="1" si="158"/>
        <v>4285070629.5260539</v>
      </c>
      <c r="J3004" s="444">
        <f t="array" ref="J3004">IFERROR(INDEX('Retirement Calculator'!J:J,MATCH('Isaac 401k'!N3004,'Retirement Calculator'!A:A,0),0),0)</f>
        <v>0</v>
      </c>
      <c r="K3004" s="444">
        <f t="shared" ca="1" si="156"/>
        <v>17854460.956358559</v>
      </c>
      <c r="L3004" s="444">
        <f t="shared" ca="1" si="157"/>
        <v>4302925090.4824123</v>
      </c>
      <c r="M3004" s="460">
        <f t="shared" si="159"/>
        <v>0.05</v>
      </c>
      <c r="N3004" s="464">
        <f t="shared" si="160"/>
        <v>142478</v>
      </c>
    </row>
    <row r="3005" spans="7:14" ht="11.25" customHeight="1" x14ac:dyDescent="0.3">
      <c r="G3005" s="459"/>
      <c r="H3005" s="459">
        <v>2998</v>
      </c>
      <c r="I3005" s="444">
        <f t="shared" ca="1" si="158"/>
        <v>4302925090.4824123</v>
      </c>
      <c r="J3005" s="444">
        <f t="array" ref="J3005">IFERROR(INDEX('Retirement Calculator'!J:J,MATCH('Isaac 401k'!N3005,'Retirement Calculator'!A:A,0),0),0)</f>
        <v>0</v>
      </c>
      <c r="K3005" s="444">
        <f t="shared" ca="1" si="156"/>
        <v>17928854.543676719</v>
      </c>
      <c r="L3005" s="444">
        <f t="shared" ca="1" si="157"/>
        <v>4320853945.0260887</v>
      </c>
      <c r="M3005" s="460">
        <f t="shared" si="159"/>
        <v>0.05</v>
      </c>
      <c r="N3005" s="464">
        <f t="shared" si="160"/>
        <v>142506</v>
      </c>
    </row>
    <row r="3006" spans="7:14" ht="11.25" customHeight="1" x14ac:dyDescent="0.3">
      <c r="G3006" s="459"/>
      <c r="H3006" s="459">
        <v>2999</v>
      </c>
      <c r="I3006" s="444">
        <f t="shared" ca="1" si="158"/>
        <v>4320853945.0260887</v>
      </c>
      <c r="J3006" s="444">
        <f t="array" ref="J3006">IFERROR(INDEX('Retirement Calculator'!J:J,MATCH('Isaac 401k'!N3006,'Retirement Calculator'!A:A,0),0),0)</f>
        <v>0</v>
      </c>
      <c r="K3006" s="444">
        <f t="shared" ca="1" si="156"/>
        <v>18003558.104275368</v>
      </c>
      <c r="L3006" s="444">
        <f t="shared" ca="1" si="157"/>
        <v>4338857503.1303644</v>
      </c>
      <c r="M3006" s="460">
        <f t="shared" si="159"/>
        <v>0.05</v>
      </c>
      <c r="N3006" s="464">
        <f t="shared" si="160"/>
        <v>142537</v>
      </c>
    </row>
    <row r="3007" spans="7:14" ht="11.25" customHeight="1" x14ac:dyDescent="0.3">
      <c r="G3007" s="459"/>
      <c r="H3007" s="459">
        <v>3000</v>
      </c>
      <c r="I3007" s="444">
        <f t="shared" ca="1" si="158"/>
        <v>4338857503.1303644</v>
      </c>
      <c r="J3007" s="444">
        <f t="array" ref="J3007">IFERROR(INDEX('Retirement Calculator'!J:J,MATCH('Isaac 401k'!N3007,'Retirement Calculator'!A:A,0),0),0)</f>
        <v>0</v>
      </c>
      <c r="K3007" s="444">
        <f t="shared" ca="1" si="156"/>
        <v>18078572.929709852</v>
      </c>
      <c r="L3007" s="444">
        <f t="shared" ca="1" si="157"/>
        <v>4356936076.0600739</v>
      </c>
      <c r="M3007" s="460">
        <f t="shared" si="159"/>
        <v>0.05</v>
      </c>
      <c r="N3007" s="464">
        <f t="shared" si="160"/>
        <v>142567</v>
      </c>
    </row>
    <row r="3008" spans="7:14" ht="11.25" customHeight="1" x14ac:dyDescent="0.3">
      <c r="G3008" s="459"/>
      <c r="H3008" s="459">
        <v>3001</v>
      </c>
      <c r="I3008" s="444">
        <f t="shared" ca="1" si="158"/>
        <v>4356936076.0600739</v>
      </c>
      <c r="J3008" s="444">
        <f t="array" ref="J3008">IFERROR(INDEX('Retirement Calculator'!J:J,MATCH('Isaac 401k'!N3008,'Retirement Calculator'!A:A,0),0),0)</f>
        <v>0</v>
      </c>
      <c r="K3008" s="444">
        <f t="shared" ca="1" si="156"/>
        <v>18153900.316916972</v>
      </c>
      <c r="L3008" s="444">
        <f t="shared" ca="1" si="157"/>
        <v>4375089976.3769913</v>
      </c>
      <c r="M3008" s="460">
        <f t="shared" si="159"/>
        <v>0.05</v>
      </c>
      <c r="N3008" s="464">
        <f t="shared" si="160"/>
        <v>142598</v>
      </c>
    </row>
    <row r="3009" spans="7:14" ht="11.25" customHeight="1" x14ac:dyDescent="0.3">
      <c r="G3009" s="459"/>
      <c r="H3009" s="459">
        <v>3002</v>
      </c>
      <c r="I3009" s="444">
        <f t="shared" ca="1" si="158"/>
        <v>4375089976.3769913</v>
      </c>
      <c r="J3009" s="444">
        <f t="array" ref="J3009">IFERROR(INDEX('Retirement Calculator'!J:J,MATCH('Isaac 401k'!N3009,'Retirement Calculator'!A:A,0),0),0)</f>
        <v>0</v>
      </c>
      <c r="K3009" s="444">
        <f t="shared" ca="1" si="156"/>
        <v>18229541.568237465</v>
      </c>
      <c r="L3009" s="444">
        <f t="shared" ca="1" si="157"/>
        <v>4393319517.9452286</v>
      </c>
      <c r="M3009" s="460">
        <f t="shared" si="159"/>
        <v>0.05</v>
      </c>
      <c r="N3009" s="464">
        <f t="shared" si="160"/>
        <v>142628</v>
      </c>
    </row>
    <row r="3010" spans="7:14" ht="11.25" customHeight="1" x14ac:dyDescent="0.3">
      <c r="G3010" s="459"/>
      <c r="H3010" s="459">
        <v>3003</v>
      </c>
      <c r="I3010" s="444">
        <f t="shared" ca="1" si="158"/>
        <v>4393319517.9452286</v>
      </c>
      <c r="J3010" s="444">
        <f t="array" ref="J3010">IFERROR(INDEX('Retirement Calculator'!J:J,MATCH('Isaac 401k'!N3010,'Retirement Calculator'!A:A,0),0),0)</f>
        <v>0</v>
      </c>
      <c r="K3010" s="444">
        <f t="shared" ca="1" si="156"/>
        <v>18305497.991438452</v>
      </c>
      <c r="L3010" s="444">
        <f t="shared" ca="1" si="157"/>
        <v>4411625015.9366674</v>
      </c>
      <c r="M3010" s="460">
        <f t="shared" si="159"/>
        <v>0.05</v>
      </c>
      <c r="N3010" s="464">
        <f t="shared" si="160"/>
        <v>142659</v>
      </c>
    </row>
    <row r="3011" spans="7:14" ht="11.25" customHeight="1" x14ac:dyDescent="0.3">
      <c r="G3011" s="459"/>
      <c r="H3011" s="459">
        <v>3004</v>
      </c>
      <c r="I3011" s="444">
        <f t="shared" ca="1" si="158"/>
        <v>4411625015.9366674</v>
      </c>
      <c r="J3011" s="444">
        <f t="array" ref="J3011">IFERROR(INDEX('Retirement Calculator'!J:J,MATCH('Isaac 401k'!N3011,'Retirement Calculator'!A:A,0),0),0)</f>
        <v>0</v>
      </c>
      <c r="K3011" s="444">
        <f t="shared" ca="1" si="156"/>
        <v>18381770.899736114</v>
      </c>
      <c r="L3011" s="444">
        <f t="shared" ca="1" si="157"/>
        <v>4430006786.8364038</v>
      </c>
      <c r="M3011" s="460">
        <f t="shared" si="159"/>
        <v>0.05</v>
      </c>
      <c r="N3011" s="464">
        <f t="shared" si="160"/>
        <v>142690</v>
      </c>
    </row>
    <row r="3012" spans="7:14" ht="11.25" customHeight="1" x14ac:dyDescent="0.3">
      <c r="G3012" s="459"/>
      <c r="H3012" s="459">
        <v>3005</v>
      </c>
      <c r="I3012" s="444">
        <f t="shared" ca="1" si="158"/>
        <v>4430006786.8364038</v>
      </c>
      <c r="J3012" s="444">
        <f t="array" ref="J3012">IFERROR(INDEX('Retirement Calculator'!J:J,MATCH('Isaac 401k'!N3012,'Retirement Calculator'!A:A,0),0),0)</f>
        <v>0</v>
      </c>
      <c r="K3012" s="444">
        <f t="shared" ca="1" si="156"/>
        <v>18458361.611818351</v>
      </c>
      <c r="L3012" s="444">
        <f t="shared" ca="1" si="157"/>
        <v>4448465148.4482222</v>
      </c>
      <c r="M3012" s="460">
        <f t="shared" si="159"/>
        <v>0.05</v>
      </c>
      <c r="N3012" s="464">
        <f t="shared" si="160"/>
        <v>142720</v>
      </c>
    </row>
    <row r="3013" spans="7:14" ht="11.25" customHeight="1" x14ac:dyDescent="0.3">
      <c r="G3013" s="459"/>
      <c r="H3013" s="459">
        <v>3006</v>
      </c>
      <c r="I3013" s="444">
        <f t="shared" ca="1" si="158"/>
        <v>4448465148.4482222</v>
      </c>
      <c r="J3013" s="444">
        <f t="array" ref="J3013">IFERROR(INDEX('Retirement Calculator'!J:J,MATCH('Isaac 401k'!N3013,'Retirement Calculator'!A:A,0),0),0)</f>
        <v>0</v>
      </c>
      <c r="K3013" s="444">
        <f t="shared" ca="1" si="156"/>
        <v>18535271.451867592</v>
      </c>
      <c r="L3013" s="444">
        <f t="shared" ca="1" si="157"/>
        <v>4467000419.9000902</v>
      </c>
      <c r="M3013" s="460">
        <f t="shared" si="159"/>
        <v>0.05</v>
      </c>
      <c r="N3013" s="464">
        <f t="shared" si="160"/>
        <v>142751</v>
      </c>
    </row>
    <row r="3014" spans="7:14" ht="11.25" customHeight="1" x14ac:dyDescent="0.3">
      <c r="G3014" s="459"/>
      <c r="H3014" s="459">
        <v>3007</v>
      </c>
      <c r="I3014" s="444">
        <f t="shared" ca="1" si="158"/>
        <v>4467000419.9000902</v>
      </c>
      <c r="J3014" s="444">
        <f t="array" ref="J3014">IFERROR(INDEX('Retirement Calculator'!J:J,MATCH('Isaac 401k'!N3014,'Retirement Calculator'!A:A,0),0),0)</f>
        <v>0</v>
      </c>
      <c r="K3014" s="444">
        <f t="shared" ca="1" si="156"/>
        <v>18612501.74958371</v>
      </c>
      <c r="L3014" s="444">
        <f t="shared" ca="1" si="157"/>
        <v>4485612921.6496735</v>
      </c>
      <c r="M3014" s="460">
        <f t="shared" si="159"/>
        <v>0.05</v>
      </c>
      <c r="N3014" s="464">
        <f t="shared" si="160"/>
        <v>142781</v>
      </c>
    </row>
    <row r="3015" spans="7:14" ht="11.25" customHeight="1" x14ac:dyDescent="0.3">
      <c r="G3015" s="459"/>
      <c r="H3015" s="459">
        <v>3008</v>
      </c>
      <c r="I3015" s="444">
        <f t="shared" ca="1" si="158"/>
        <v>4485612921.6496735</v>
      </c>
      <c r="J3015" s="444">
        <f t="array" ref="J3015">IFERROR(INDEX('Retirement Calculator'!J:J,MATCH('Isaac 401k'!N3015,'Retirement Calculator'!A:A,0),0),0)</f>
        <v>0</v>
      </c>
      <c r="K3015" s="444">
        <f t="shared" ca="1" si="156"/>
        <v>18690053.840206973</v>
      </c>
      <c r="L3015" s="444">
        <f t="shared" ca="1" si="157"/>
        <v>4504302975.4898806</v>
      </c>
      <c r="M3015" s="460">
        <f t="shared" si="159"/>
        <v>0.05</v>
      </c>
      <c r="N3015" s="464">
        <f t="shared" si="160"/>
        <v>142812</v>
      </c>
    </row>
    <row r="3016" spans="7:14" ht="11.25" customHeight="1" x14ac:dyDescent="0.3">
      <c r="G3016" s="459"/>
      <c r="H3016" s="459">
        <v>3009</v>
      </c>
      <c r="I3016" s="444">
        <f t="shared" ca="1" si="158"/>
        <v>4504302975.4898806</v>
      </c>
      <c r="J3016" s="444">
        <f t="array" ref="J3016">IFERROR(INDEX('Retirement Calculator'!J:J,MATCH('Isaac 401k'!N3016,'Retirement Calculator'!A:A,0),0),0)</f>
        <v>0</v>
      </c>
      <c r="K3016" s="444">
        <f t="shared" ca="1" si="156"/>
        <v>18767929.064541169</v>
      </c>
      <c r="L3016" s="444">
        <f t="shared" ca="1" si="157"/>
        <v>4523070904.5544214</v>
      </c>
      <c r="M3016" s="460">
        <f t="shared" si="159"/>
        <v>0.05</v>
      </c>
      <c r="N3016" s="464">
        <f t="shared" si="160"/>
        <v>142843</v>
      </c>
    </row>
    <row r="3017" spans="7:14" ht="11.25" customHeight="1" x14ac:dyDescent="0.3">
      <c r="G3017" s="459"/>
      <c r="H3017" s="459">
        <v>3010</v>
      </c>
      <c r="I3017" s="444">
        <f t="shared" ca="1" si="158"/>
        <v>4523070904.5544214</v>
      </c>
      <c r="J3017" s="444">
        <f t="array" ref="J3017">IFERROR(INDEX('Retirement Calculator'!J:J,MATCH('Isaac 401k'!N3017,'Retirement Calculator'!A:A,0),0),0)</f>
        <v>0</v>
      </c>
      <c r="K3017" s="444">
        <f t="shared" ca="1" si="156"/>
        <v>18846128.768976755</v>
      </c>
      <c r="L3017" s="444">
        <f t="shared" ca="1" si="157"/>
        <v>4541917033.3233986</v>
      </c>
      <c r="M3017" s="460">
        <f t="shared" si="159"/>
        <v>0.05</v>
      </c>
      <c r="N3017" s="464">
        <f t="shared" si="160"/>
        <v>142871</v>
      </c>
    </row>
    <row r="3018" spans="7:14" ht="11.25" customHeight="1" x14ac:dyDescent="0.3">
      <c r="G3018" s="459"/>
      <c r="H3018" s="459">
        <v>3011</v>
      </c>
      <c r="I3018" s="444">
        <f t="shared" ca="1" si="158"/>
        <v>4541917033.3233986</v>
      </c>
      <c r="J3018" s="444">
        <f t="array" ref="J3018">IFERROR(INDEX('Retirement Calculator'!J:J,MATCH('Isaac 401k'!N3018,'Retirement Calculator'!A:A,0),0),0)</f>
        <v>0</v>
      </c>
      <c r="K3018" s="444">
        <f t="shared" ca="1" si="156"/>
        <v>18924654.305514161</v>
      </c>
      <c r="L3018" s="444">
        <f t="shared" ca="1" si="157"/>
        <v>4560841687.6289129</v>
      </c>
      <c r="M3018" s="460">
        <f t="shared" si="159"/>
        <v>0.05</v>
      </c>
      <c r="N3018" s="464">
        <f t="shared" si="160"/>
        <v>142902</v>
      </c>
    </row>
    <row r="3019" spans="7:14" ht="11.25" customHeight="1" x14ac:dyDescent="0.3">
      <c r="G3019" s="459"/>
      <c r="H3019" s="459">
        <v>3012</v>
      </c>
      <c r="I3019" s="444">
        <f t="shared" ca="1" si="158"/>
        <v>4560841687.6289129</v>
      </c>
      <c r="J3019" s="444">
        <f t="array" ref="J3019">IFERROR(INDEX('Retirement Calculator'!J:J,MATCH('Isaac 401k'!N3019,'Retirement Calculator'!A:A,0),0),0)</f>
        <v>0</v>
      </c>
      <c r="K3019" s="444">
        <f t="shared" ca="1" si="156"/>
        <v>19003507.031787138</v>
      </c>
      <c r="L3019" s="444">
        <f t="shared" ca="1" si="157"/>
        <v>4579845194.6606998</v>
      </c>
      <c r="M3019" s="460">
        <f t="shared" si="159"/>
        <v>0.05</v>
      </c>
      <c r="N3019" s="464">
        <f t="shared" si="160"/>
        <v>142932</v>
      </c>
    </row>
    <row r="3020" spans="7:14" ht="11.25" customHeight="1" x14ac:dyDescent="0.3">
      <c r="G3020" s="459"/>
      <c r="H3020" s="459">
        <v>3013</v>
      </c>
      <c r="I3020" s="444">
        <f t="shared" ca="1" si="158"/>
        <v>4579845194.6606998</v>
      </c>
      <c r="J3020" s="444">
        <f t="array" ref="J3020">IFERROR(INDEX('Retirement Calculator'!J:J,MATCH('Isaac 401k'!N3020,'Retirement Calculator'!A:A,0),0),0)</f>
        <v>0</v>
      </c>
      <c r="K3020" s="444">
        <f t="shared" ca="1" si="156"/>
        <v>19082688.311086249</v>
      </c>
      <c r="L3020" s="444">
        <f t="shared" ca="1" si="157"/>
        <v>4598927882.9717865</v>
      </c>
      <c r="M3020" s="460">
        <f t="shared" si="159"/>
        <v>0.05</v>
      </c>
      <c r="N3020" s="464">
        <f t="shared" si="160"/>
        <v>142963</v>
      </c>
    </row>
    <row r="3021" spans="7:14" ht="11.25" customHeight="1" x14ac:dyDescent="0.3">
      <c r="G3021" s="459"/>
      <c r="H3021" s="459">
        <v>3014</v>
      </c>
      <c r="I3021" s="444">
        <f t="shared" ca="1" si="158"/>
        <v>4598927882.9717865</v>
      </c>
      <c r="J3021" s="444">
        <f t="array" ref="J3021">IFERROR(INDEX('Retirement Calculator'!J:J,MATCH('Isaac 401k'!N3021,'Retirement Calculator'!A:A,0),0),0)</f>
        <v>0</v>
      </c>
      <c r="K3021" s="444">
        <f t="shared" ca="1" si="156"/>
        <v>19162199.512382444</v>
      </c>
      <c r="L3021" s="444">
        <f t="shared" ca="1" si="157"/>
        <v>4618090082.484169</v>
      </c>
      <c r="M3021" s="460">
        <f t="shared" si="159"/>
        <v>0.05</v>
      </c>
      <c r="N3021" s="464">
        <f t="shared" si="160"/>
        <v>142993</v>
      </c>
    </row>
    <row r="3022" spans="7:14" ht="11.25" customHeight="1" x14ac:dyDescent="0.3">
      <c r="G3022" s="459"/>
      <c r="H3022" s="459">
        <v>3015</v>
      </c>
      <c r="I3022" s="444">
        <f t="shared" ca="1" si="158"/>
        <v>4618090082.484169</v>
      </c>
      <c r="J3022" s="444">
        <f t="array" ref="J3022">IFERROR(INDEX('Retirement Calculator'!J:J,MATCH('Isaac 401k'!N3022,'Retirement Calculator'!A:A,0),0),0)</f>
        <v>0</v>
      </c>
      <c r="K3022" s="444">
        <f t="shared" ca="1" si="156"/>
        <v>19242042.010350704</v>
      </c>
      <c r="L3022" s="444">
        <f t="shared" ca="1" si="157"/>
        <v>4637332124.4945202</v>
      </c>
      <c r="M3022" s="460">
        <f t="shared" si="159"/>
        <v>0.05</v>
      </c>
      <c r="N3022" s="464">
        <f t="shared" si="160"/>
        <v>143024</v>
      </c>
    </row>
    <row r="3023" spans="7:14" ht="11.25" customHeight="1" x14ac:dyDescent="0.3">
      <c r="G3023" s="459"/>
      <c r="H3023" s="459">
        <v>3016</v>
      </c>
      <c r="I3023" s="444">
        <f t="shared" ca="1" si="158"/>
        <v>4637332124.4945202</v>
      </c>
      <c r="J3023" s="444">
        <f t="array" ref="J3023">IFERROR(INDEX('Retirement Calculator'!J:J,MATCH('Isaac 401k'!N3023,'Retirement Calculator'!A:A,0),0),0)</f>
        <v>0</v>
      </c>
      <c r="K3023" s="444">
        <f t="shared" ca="1" si="156"/>
        <v>19322217.185393833</v>
      </c>
      <c r="L3023" s="444">
        <f t="shared" ca="1" si="157"/>
        <v>4656654341.6799145</v>
      </c>
      <c r="M3023" s="460">
        <f t="shared" si="159"/>
        <v>0.05</v>
      </c>
      <c r="N3023" s="464">
        <f t="shared" si="160"/>
        <v>143055</v>
      </c>
    </row>
    <row r="3024" spans="7:14" ht="11.25" customHeight="1" x14ac:dyDescent="0.3">
      <c r="G3024" s="459"/>
      <c r="H3024" s="459">
        <v>3017</v>
      </c>
      <c r="I3024" s="444">
        <f t="shared" ca="1" si="158"/>
        <v>4656654341.6799145</v>
      </c>
      <c r="J3024" s="444">
        <f t="array" ref="J3024">IFERROR(INDEX('Retirement Calculator'!J:J,MATCH('Isaac 401k'!N3024,'Retirement Calculator'!A:A,0),0),0)</f>
        <v>0</v>
      </c>
      <c r="K3024" s="444">
        <f t="shared" ca="1" si="156"/>
        <v>19402726.42366631</v>
      </c>
      <c r="L3024" s="444">
        <f t="shared" ca="1" si="157"/>
        <v>4676057068.1035805</v>
      </c>
      <c r="M3024" s="460">
        <f t="shared" si="159"/>
        <v>0.05</v>
      </c>
      <c r="N3024" s="464">
        <f t="shared" si="160"/>
        <v>143085</v>
      </c>
    </row>
    <row r="3025" spans="7:14" ht="11.25" customHeight="1" x14ac:dyDescent="0.3">
      <c r="G3025" s="459"/>
      <c r="H3025" s="459">
        <v>3018</v>
      </c>
      <c r="I3025" s="444">
        <f t="shared" ca="1" si="158"/>
        <v>4676057068.1035805</v>
      </c>
      <c r="J3025" s="444">
        <f t="array" ref="J3025">IFERROR(INDEX('Retirement Calculator'!J:J,MATCH('Isaac 401k'!N3025,'Retirement Calculator'!A:A,0),0),0)</f>
        <v>0</v>
      </c>
      <c r="K3025" s="444">
        <f t="shared" ca="1" si="156"/>
        <v>19483571.117098253</v>
      </c>
      <c r="L3025" s="444">
        <f t="shared" ca="1" si="157"/>
        <v>4695540639.2206783</v>
      </c>
      <c r="M3025" s="460">
        <f t="shared" si="159"/>
        <v>0.05</v>
      </c>
      <c r="N3025" s="464">
        <f t="shared" si="160"/>
        <v>143116</v>
      </c>
    </row>
    <row r="3026" spans="7:14" ht="11.25" customHeight="1" x14ac:dyDescent="0.3">
      <c r="G3026" s="459"/>
      <c r="H3026" s="459">
        <v>3019</v>
      </c>
      <c r="I3026" s="444">
        <f t="shared" ca="1" si="158"/>
        <v>4695540639.2206783</v>
      </c>
      <c r="J3026" s="444">
        <f t="array" ref="J3026">IFERROR(INDEX('Retirement Calculator'!J:J,MATCH('Isaac 401k'!N3026,'Retirement Calculator'!A:A,0),0),0)</f>
        <v>0</v>
      </c>
      <c r="K3026" s="444">
        <f t="shared" ca="1" si="156"/>
        <v>19564752.663419493</v>
      </c>
      <c r="L3026" s="444">
        <f t="shared" ca="1" si="157"/>
        <v>4715105391.8840981</v>
      </c>
      <c r="M3026" s="460">
        <f t="shared" si="159"/>
        <v>0.05</v>
      </c>
      <c r="N3026" s="464">
        <f t="shared" si="160"/>
        <v>143146</v>
      </c>
    </row>
    <row r="3027" spans="7:14" ht="11.25" customHeight="1" x14ac:dyDescent="0.3">
      <c r="G3027" s="459"/>
      <c r="H3027" s="459">
        <v>3020</v>
      </c>
      <c r="I3027" s="444">
        <f t="shared" ca="1" si="158"/>
        <v>4715105391.8840981</v>
      </c>
      <c r="J3027" s="444">
        <f t="array" ref="J3027">IFERROR(INDEX('Retirement Calculator'!J:J,MATCH('Isaac 401k'!N3027,'Retirement Calculator'!A:A,0),0),0)</f>
        <v>0</v>
      </c>
      <c r="K3027" s="444">
        <f t="shared" ca="1" si="156"/>
        <v>19646272.466183741</v>
      </c>
      <c r="L3027" s="444">
        <f t="shared" ca="1" si="157"/>
        <v>4734751664.3502817</v>
      </c>
      <c r="M3027" s="460">
        <f t="shared" si="159"/>
        <v>0.05</v>
      </c>
      <c r="N3027" s="464">
        <f t="shared" si="160"/>
        <v>143177</v>
      </c>
    </row>
    <row r="3028" spans="7:14" ht="11.25" customHeight="1" x14ac:dyDescent="0.3">
      <c r="G3028" s="459"/>
      <c r="H3028" s="459">
        <v>3021</v>
      </c>
      <c r="I3028" s="444">
        <f t="shared" ca="1" si="158"/>
        <v>4734751664.3502817</v>
      </c>
      <c r="J3028" s="444">
        <f t="array" ref="J3028">IFERROR(INDEX('Retirement Calculator'!J:J,MATCH('Isaac 401k'!N3028,'Retirement Calculator'!A:A,0),0),0)</f>
        <v>0</v>
      </c>
      <c r="K3028" s="444">
        <f t="shared" ca="1" si="156"/>
        <v>19728131.934792839</v>
      </c>
      <c r="L3028" s="444">
        <f t="shared" ca="1" si="157"/>
        <v>4754479796.2850742</v>
      </c>
      <c r="M3028" s="460">
        <f t="shared" si="159"/>
        <v>0.05</v>
      </c>
      <c r="N3028" s="464">
        <f t="shared" si="160"/>
        <v>143208</v>
      </c>
    </row>
    <row r="3029" spans="7:14" ht="11.25" customHeight="1" x14ac:dyDescent="0.3">
      <c r="G3029" s="459"/>
      <c r="H3029" s="459">
        <v>3022</v>
      </c>
      <c r="I3029" s="444">
        <f t="shared" ca="1" si="158"/>
        <v>4754479796.2850742</v>
      </c>
      <c r="J3029" s="444">
        <f t="array" ref="J3029">IFERROR(INDEX('Retirement Calculator'!J:J,MATCH('Isaac 401k'!N3029,'Retirement Calculator'!A:A,0),0),0)</f>
        <v>0</v>
      </c>
      <c r="K3029" s="444">
        <f t="shared" ca="1" si="156"/>
        <v>19810332.484521143</v>
      </c>
      <c r="L3029" s="444">
        <f t="shared" ca="1" si="157"/>
        <v>4774290128.7695951</v>
      </c>
      <c r="M3029" s="460">
        <f t="shared" si="159"/>
        <v>0.05</v>
      </c>
      <c r="N3029" s="464">
        <f t="shared" si="160"/>
        <v>143237</v>
      </c>
    </row>
    <row r="3030" spans="7:14" ht="11.25" customHeight="1" x14ac:dyDescent="0.3">
      <c r="G3030" s="459"/>
      <c r="H3030" s="459">
        <v>3023</v>
      </c>
      <c r="I3030" s="444">
        <f t="shared" ca="1" si="158"/>
        <v>4774290128.7695951</v>
      </c>
      <c r="J3030" s="444">
        <f t="array" ref="J3030">IFERROR(INDEX('Retirement Calculator'!J:J,MATCH('Isaac 401k'!N3030,'Retirement Calculator'!A:A,0),0),0)</f>
        <v>0</v>
      </c>
      <c r="K3030" s="444">
        <f t="shared" ca="1" si="156"/>
        <v>19892875.536539979</v>
      </c>
      <c r="L3030" s="444">
        <f t="shared" ca="1" si="157"/>
        <v>4794183004.3061352</v>
      </c>
      <c r="M3030" s="460">
        <f t="shared" si="159"/>
        <v>0.05</v>
      </c>
      <c r="N3030" s="464">
        <f t="shared" si="160"/>
        <v>143268</v>
      </c>
    </row>
    <row r="3031" spans="7:14" ht="11.25" customHeight="1" x14ac:dyDescent="0.3">
      <c r="G3031" s="459"/>
      <c r="H3031" s="459">
        <v>3024</v>
      </c>
      <c r="I3031" s="444">
        <f t="shared" ca="1" si="158"/>
        <v>4794183004.3061352</v>
      </c>
      <c r="J3031" s="444">
        <f t="array" ref="J3031">IFERROR(INDEX('Retirement Calculator'!J:J,MATCH('Isaac 401k'!N3031,'Retirement Calculator'!A:A,0),0),0)</f>
        <v>0</v>
      </c>
      <c r="K3031" s="444">
        <f t="shared" ca="1" si="156"/>
        <v>19975762.517942231</v>
      </c>
      <c r="L3031" s="444">
        <f t="shared" ca="1" si="157"/>
        <v>4814158766.8240776</v>
      </c>
      <c r="M3031" s="460">
        <f t="shared" si="159"/>
        <v>0.05</v>
      </c>
      <c r="N3031" s="464">
        <f t="shared" si="160"/>
        <v>143298</v>
      </c>
    </row>
    <row r="3032" spans="7:14" ht="11.25" customHeight="1" x14ac:dyDescent="0.3">
      <c r="G3032" s="459"/>
      <c r="H3032" s="459">
        <v>3025</v>
      </c>
      <c r="I3032" s="444">
        <f t="shared" ca="1" si="158"/>
        <v>4814158766.8240776</v>
      </c>
      <c r="J3032" s="444">
        <f t="array" ref="J3032">IFERROR(INDEX('Retirement Calculator'!J:J,MATCH('Isaac 401k'!N3032,'Retirement Calculator'!A:A,0),0),0)</f>
        <v>0</v>
      </c>
      <c r="K3032" s="444">
        <f t="shared" ca="1" si="156"/>
        <v>20058994.86176699</v>
      </c>
      <c r="L3032" s="444">
        <f t="shared" ca="1" si="157"/>
        <v>4834217761.6858444</v>
      </c>
      <c r="M3032" s="460">
        <f t="shared" si="159"/>
        <v>0.05</v>
      </c>
      <c r="N3032" s="464">
        <f t="shared" si="160"/>
        <v>143329</v>
      </c>
    </row>
    <row r="3033" spans="7:14" ht="11.25" customHeight="1" x14ac:dyDescent="0.3">
      <c r="G3033" s="459"/>
      <c r="H3033" s="459">
        <v>3026</v>
      </c>
      <c r="I3033" s="444">
        <f t="shared" ca="1" si="158"/>
        <v>4834217761.6858444</v>
      </c>
      <c r="J3033" s="444">
        <f t="array" ref="J3033">IFERROR(INDEX('Retirement Calculator'!J:J,MATCH('Isaac 401k'!N3033,'Retirement Calculator'!A:A,0),0),0)</f>
        <v>0</v>
      </c>
      <c r="K3033" s="444">
        <f t="shared" ca="1" si="156"/>
        <v>20142574.007024352</v>
      </c>
      <c r="L3033" s="444">
        <f t="shared" ca="1" si="157"/>
        <v>4854360335.6928692</v>
      </c>
      <c r="M3033" s="460">
        <f t="shared" si="159"/>
        <v>0.05</v>
      </c>
      <c r="N3033" s="464">
        <f t="shared" si="160"/>
        <v>143359</v>
      </c>
    </row>
    <row r="3034" spans="7:14" ht="11.25" customHeight="1" x14ac:dyDescent="0.3">
      <c r="G3034" s="459"/>
      <c r="H3034" s="459">
        <v>3027</v>
      </c>
      <c r="I3034" s="444">
        <f t="shared" ca="1" si="158"/>
        <v>4854360335.6928692</v>
      </c>
      <c r="J3034" s="444">
        <f t="array" ref="J3034">IFERROR(INDEX('Retirement Calculator'!J:J,MATCH('Isaac 401k'!N3034,'Retirement Calculator'!A:A,0),0),0)</f>
        <v>0</v>
      </c>
      <c r="K3034" s="444">
        <f t="shared" ca="1" si="156"/>
        <v>20226501.398720287</v>
      </c>
      <c r="L3034" s="444">
        <f t="shared" ca="1" si="157"/>
        <v>4874586837.0915899</v>
      </c>
      <c r="M3034" s="460">
        <f t="shared" si="159"/>
        <v>0.05</v>
      </c>
      <c r="N3034" s="464">
        <f t="shared" si="160"/>
        <v>143390</v>
      </c>
    </row>
    <row r="3035" spans="7:14" ht="11.25" customHeight="1" x14ac:dyDescent="0.3">
      <c r="G3035" s="459"/>
      <c r="H3035" s="459">
        <v>3028</v>
      </c>
      <c r="I3035" s="444">
        <f t="shared" ca="1" si="158"/>
        <v>4874586837.0915899</v>
      </c>
      <c r="J3035" s="444">
        <f t="array" ref="J3035">IFERROR(INDEX('Retirement Calculator'!J:J,MATCH('Isaac 401k'!N3035,'Retirement Calculator'!A:A,0),0),0)</f>
        <v>0</v>
      </c>
      <c r="K3035" s="444">
        <f t="shared" ca="1" si="156"/>
        <v>20310778.487881623</v>
      </c>
      <c r="L3035" s="444">
        <f t="shared" ca="1" si="157"/>
        <v>4894897615.5794716</v>
      </c>
      <c r="M3035" s="460">
        <f t="shared" si="159"/>
        <v>0.05</v>
      </c>
      <c r="N3035" s="464">
        <f t="shared" si="160"/>
        <v>143421</v>
      </c>
    </row>
    <row r="3036" spans="7:14" ht="11.25" customHeight="1" x14ac:dyDescent="0.3">
      <c r="G3036" s="459"/>
      <c r="H3036" s="459">
        <v>3029</v>
      </c>
      <c r="I3036" s="444">
        <f t="shared" ca="1" si="158"/>
        <v>4894897615.5794716</v>
      </c>
      <c r="J3036" s="444">
        <f t="array" ref="J3036">IFERROR(INDEX('Retirement Calculator'!J:J,MATCH('Isaac 401k'!N3036,'Retirement Calculator'!A:A,0),0),0)</f>
        <v>0</v>
      </c>
      <c r="K3036" s="444">
        <f t="shared" ca="1" si="156"/>
        <v>20395406.731581133</v>
      </c>
      <c r="L3036" s="444">
        <f t="shared" ca="1" si="157"/>
        <v>4915293022.3110523</v>
      </c>
      <c r="M3036" s="460">
        <f t="shared" si="159"/>
        <v>0.05</v>
      </c>
      <c r="N3036" s="464">
        <f t="shared" si="160"/>
        <v>143451</v>
      </c>
    </row>
    <row r="3037" spans="7:14" ht="11.25" customHeight="1" x14ac:dyDescent="0.3">
      <c r="G3037" s="459"/>
      <c r="H3037" s="459">
        <v>3030</v>
      </c>
      <c r="I3037" s="444">
        <f t="shared" ca="1" si="158"/>
        <v>4915293022.3110523</v>
      </c>
      <c r="J3037" s="444">
        <f t="array" ref="J3037">IFERROR(INDEX('Retirement Calculator'!J:J,MATCH('Isaac 401k'!N3037,'Retirement Calculator'!A:A,0),0),0)</f>
        <v>0</v>
      </c>
      <c r="K3037" s="444">
        <f t="shared" ca="1" si="156"/>
        <v>20480387.59296272</v>
      </c>
      <c r="L3037" s="444">
        <f t="shared" ca="1" si="157"/>
        <v>4935773409.9040146</v>
      </c>
      <c r="M3037" s="460">
        <f t="shared" si="159"/>
        <v>0.05</v>
      </c>
      <c r="N3037" s="464">
        <f t="shared" si="160"/>
        <v>143482</v>
      </c>
    </row>
    <row r="3038" spans="7:14" ht="11.25" customHeight="1" x14ac:dyDescent="0.3">
      <c r="G3038" s="459"/>
      <c r="H3038" s="459">
        <v>3031</v>
      </c>
      <c r="I3038" s="444">
        <f t="shared" ca="1" si="158"/>
        <v>4935773409.9040146</v>
      </c>
      <c r="J3038" s="444">
        <f t="array" ref="J3038">IFERROR(INDEX('Retirement Calculator'!J:J,MATCH('Isaac 401k'!N3038,'Retirement Calculator'!A:A,0),0),0)</f>
        <v>0</v>
      </c>
      <c r="K3038" s="444">
        <f t="shared" ca="1" si="156"/>
        <v>20565722.541266728</v>
      </c>
      <c r="L3038" s="444">
        <f t="shared" ca="1" si="157"/>
        <v>4956339132.445281</v>
      </c>
      <c r="M3038" s="460">
        <f t="shared" si="159"/>
        <v>0.05</v>
      </c>
      <c r="N3038" s="464">
        <f t="shared" si="160"/>
        <v>143512</v>
      </c>
    </row>
    <row r="3039" spans="7:14" ht="11.25" customHeight="1" x14ac:dyDescent="0.3">
      <c r="G3039" s="459"/>
      <c r="H3039" s="459">
        <v>3032</v>
      </c>
      <c r="I3039" s="444">
        <f t="shared" ca="1" si="158"/>
        <v>4956339132.445281</v>
      </c>
      <c r="J3039" s="444">
        <f t="array" ref="J3039">IFERROR(INDEX('Retirement Calculator'!J:J,MATCH('Isaac 401k'!N3039,'Retirement Calculator'!A:A,0),0),0)</f>
        <v>0</v>
      </c>
      <c r="K3039" s="444">
        <f t="shared" ca="1" si="156"/>
        <v>20651413.051855337</v>
      </c>
      <c r="L3039" s="444">
        <f t="shared" ca="1" si="157"/>
        <v>4976990545.4971361</v>
      </c>
      <c r="M3039" s="460">
        <f t="shared" si="159"/>
        <v>0.05</v>
      </c>
      <c r="N3039" s="464">
        <f t="shared" si="160"/>
        <v>143543</v>
      </c>
    </row>
    <row r="3040" spans="7:14" ht="11.25" customHeight="1" x14ac:dyDescent="0.3">
      <c r="G3040" s="459"/>
      <c r="H3040" s="459">
        <v>3033</v>
      </c>
      <c r="I3040" s="444">
        <f t="shared" ca="1" si="158"/>
        <v>4976990545.4971361</v>
      </c>
      <c r="J3040" s="444">
        <f t="array" ref="J3040">IFERROR(INDEX('Retirement Calculator'!J:J,MATCH('Isaac 401k'!N3040,'Retirement Calculator'!A:A,0),0),0)</f>
        <v>0</v>
      </c>
      <c r="K3040" s="444">
        <f t="shared" ca="1" si="156"/>
        <v>20737460.606238067</v>
      </c>
      <c r="L3040" s="444">
        <f t="shared" ca="1" si="157"/>
        <v>4997728006.1033745</v>
      </c>
      <c r="M3040" s="460">
        <f t="shared" si="159"/>
        <v>0.05</v>
      </c>
      <c r="N3040" s="464">
        <f t="shared" si="160"/>
        <v>143574</v>
      </c>
    </row>
    <row r="3041" spans="7:14" ht="11.25" customHeight="1" x14ac:dyDescent="0.3">
      <c r="G3041" s="459"/>
      <c r="H3041" s="459">
        <v>3034</v>
      </c>
      <c r="I3041" s="444">
        <f t="shared" ca="1" si="158"/>
        <v>4997728006.1033745</v>
      </c>
      <c r="J3041" s="444">
        <f t="array" ref="J3041">IFERROR(INDEX('Retirement Calculator'!J:J,MATCH('Isaac 401k'!N3041,'Retirement Calculator'!A:A,0),0),0)</f>
        <v>0</v>
      </c>
      <c r="K3041" s="444">
        <f t="shared" ca="1" si="156"/>
        <v>20823866.692097392</v>
      </c>
      <c r="L3041" s="444">
        <f t="shared" ca="1" si="157"/>
        <v>5018551872.7954721</v>
      </c>
      <c r="M3041" s="460">
        <f t="shared" si="159"/>
        <v>0.05</v>
      </c>
      <c r="N3041" s="464">
        <f t="shared" si="160"/>
        <v>143602</v>
      </c>
    </row>
    <row r="3042" spans="7:14" ht="11.25" customHeight="1" x14ac:dyDescent="0.3">
      <c r="G3042" s="459"/>
      <c r="H3042" s="459">
        <v>3035</v>
      </c>
      <c r="I3042" s="444">
        <f t="shared" ca="1" si="158"/>
        <v>5018551872.7954721</v>
      </c>
      <c r="J3042" s="444">
        <f t="array" ref="J3042">IFERROR(INDEX('Retirement Calculator'!J:J,MATCH('Isaac 401k'!N3042,'Retirement Calculator'!A:A,0),0),0)</f>
        <v>0</v>
      </c>
      <c r="K3042" s="444">
        <f t="shared" ca="1" si="156"/>
        <v>20910632.803314466</v>
      </c>
      <c r="L3042" s="444">
        <f t="shared" ca="1" si="157"/>
        <v>5039462505.5987864</v>
      </c>
      <c r="M3042" s="460">
        <f t="shared" si="159"/>
        <v>0.05</v>
      </c>
      <c r="N3042" s="464">
        <f t="shared" si="160"/>
        <v>143633</v>
      </c>
    </row>
    <row r="3043" spans="7:14" ht="11.25" customHeight="1" x14ac:dyDescent="0.3">
      <c r="G3043" s="459"/>
      <c r="H3043" s="459">
        <v>3036</v>
      </c>
      <c r="I3043" s="444">
        <f t="shared" ca="1" si="158"/>
        <v>5039462505.5987864</v>
      </c>
      <c r="J3043" s="444">
        <f t="array" ref="J3043">IFERROR(INDEX('Retirement Calculator'!J:J,MATCH('Isaac 401k'!N3043,'Retirement Calculator'!A:A,0),0),0)</f>
        <v>0</v>
      </c>
      <c r="K3043" s="444">
        <f t="shared" ca="1" si="156"/>
        <v>20997760.439994942</v>
      </c>
      <c r="L3043" s="444">
        <f t="shared" ca="1" si="157"/>
        <v>5060460266.0387812</v>
      </c>
      <c r="M3043" s="460">
        <f t="shared" si="159"/>
        <v>0.05</v>
      </c>
      <c r="N3043" s="464">
        <f t="shared" si="160"/>
        <v>143663</v>
      </c>
    </row>
    <row r="3044" spans="7:14" ht="11.25" customHeight="1" x14ac:dyDescent="0.3">
      <c r="G3044" s="459"/>
      <c r="H3044" s="459">
        <v>3037</v>
      </c>
      <c r="I3044" s="444">
        <f t="shared" ca="1" si="158"/>
        <v>5060460266.0387812</v>
      </c>
      <c r="J3044" s="444">
        <f t="array" ref="J3044">IFERROR(INDEX('Retirement Calculator'!J:J,MATCH('Isaac 401k'!N3044,'Retirement Calculator'!A:A,0),0),0)</f>
        <v>0</v>
      </c>
      <c r="K3044" s="444">
        <f t="shared" ca="1" si="156"/>
        <v>21085251.108494923</v>
      </c>
      <c r="L3044" s="444">
        <f t="shared" ca="1" si="157"/>
        <v>5081545517.1472759</v>
      </c>
      <c r="M3044" s="460">
        <f t="shared" si="159"/>
        <v>0.05</v>
      </c>
      <c r="N3044" s="464">
        <f t="shared" si="160"/>
        <v>143694</v>
      </c>
    </row>
    <row r="3045" spans="7:14" ht="11.25" customHeight="1" x14ac:dyDescent="0.3">
      <c r="G3045" s="459"/>
      <c r="H3045" s="459">
        <v>3038</v>
      </c>
      <c r="I3045" s="444">
        <f t="shared" ca="1" si="158"/>
        <v>5081545517.1472759</v>
      </c>
      <c r="J3045" s="444">
        <f t="array" ref="J3045">IFERROR(INDEX('Retirement Calculator'!J:J,MATCH('Isaac 401k'!N3045,'Retirement Calculator'!A:A,0),0),0)</f>
        <v>0</v>
      </c>
      <c r="K3045" s="444">
        <f t="shared" ca="1" si="156"/>
        <v>21173106.321446981</v>
      </c>
      <c r="L3045" s="444">
        <f t="shared" ca="1" si="157"/>
        <v>5102718623.4687233</v>
      </c>
      <c r="M3045" s="460">
        <f t="shared" si="159"/>
        <v>0.05</v>
      </c>
      <c r="N3045" s="464">
        <f t="shared" si="160"/>
        <v>143724</v>
      </c>
    </row>
    <row r="3046" spans="7:14" ht="11.25" customHeight="1" x14ac:dyDescent="0.3">
      <c r="G3046" s="459"/>
      <c r="H3046" s="459">
        <v>3039</v>
      </c>
      <c r="I3046" s="444">
        <f t="shared" ca="1" si="158"/>
        <v>5102718623.4687233</v>
      </c>
      <c r="J3046" s="444">
        <f t="array" ref="J3046">IFERROR(INDEX('Retirement Calculator'!J:J,MATCH('Isaac 401k'!N3046,'Retirement Calculator'!A:A,0),0),0)</f>
        <v>0</v>
      </c>
      <c r="K3046" s="444">
        <f t="shared" ca="1" si="156"/>
        <v>21261327.597786348</v>
      </c>
      <c r="L3046" s="444">
        <f t="shared" ca="1" si="157"/>
        <v>5123979951.0665092</v>
      </c>
      <c r="M3046" s="460">
        <f t="shared" si="159"/>
        <v>0.05</v>
      </c>
      <c r="N3046" s="464">
        <f t="shared" si="160"/>
        <v>143755</v>
      </c>
    </row>
    <row r="3047" spans="7:14" ht="11.25" customHeight="1" x14ac:dyDescent="0.3">
      <c r="G3047" s="459"/>
      <c r="H3047" s="459">
        <v>3040</v>
      </c>
      <c r="I3047" s="444">
        <f t="shared" ca="1" si="158"/>
        <v>5123979951.0665092</v>
      </c>
      <c r="J3047" s="444">
        <f t="array" ref="J3047">IFERROR(INDEX('Retirement Calculator'!J:J,MATCH('Isaac 401k'!N3047,'Retirement Calculator'!A:A,0),0),0)</f>
        <v>0</v>
      </c>
      <c r="K3047" s="444">
        <f t="shared" ca="1" si="156"/>
        <v>21349916.462777123</v>
      </c>
      <c r="L3047" s="444">
        <f t="shared" ca="1" si="157"/>
        <v>5145329867.5292864</v>
      </c>
      <c r="M3047" s="460">
        <f t="shared" si="159"/>
        <v>0.05</v>
      </c>
      <c r="N3047" s="464">
        <f t="shared" si="160"/>
        <v>143786</v>
      </c>
    </row>
    <row r="3048" spans="7:14" ht="11.25" customHeight="1" x14ac:dyDescent="0.3">
      <c r="G3048" s="459"/>
      <c r="H3048" s="459">
        <v>3041</v>
      </c>
      <c r="I3048" s="444">
        <f t="shared" ca="1" si="158"/>
        <v>5145329867.5292864</v>
      </c>
      <c r="J3048" s="444">
        <f t="array" ref="J3048">IFERROR(INDEX('Retirement Calculator'!J:J,MATCH('Isaac 401k'!N3048,'Retirement Calculator'!A:A,0),0),0)</f>
        <v>0</v>
      </c>
      <c r="K3048" s="444">
        <f t="shared" ca="1" si="156"/>
        <v>21438874.448038694</v>
      </c>
      <c r="L3048" s="444">
        <f t="shared" ca="1" si="157"/>
        <v>5166768741.9773254</v>
      </c>
      <c r="M3048" s="460">
        <f t="shared" si="159"/>
        <v>0.05</v>
      </c>
      <c r="N3048" s="464">
        <f t="shared" si="160"/>
        <v>143816</v>
      </c>
    </row>
    <row r="3049" spans="7:14" ht="11.25" customHeight="1" x14ac:dyDescent="0.3">
      <c r="G3049" s="459"/>
      <c r="H3049" s="459">
        <v>3042</v>
      </c>
      <c r="I3049" s="444">
        <f t="shared" ca="1" si="158"/>
        <v>5166768741.9773254</v>
      </c>
      <c r="J3049" s="444">
        <f t="array" ref="J3049">IFERROR(INDEX('Retirement Calculator'!J:J,MATCH('Isaac 401k'!N3049,'Retirement Calculator'!A:A,0),0),0)</f>
        <v>0</v>
      </c>
      <c r="K3049" s="444">
        <f t="shared" ca="1" si="156"/>
        <v>21528203.091572188</v>
      </c>
      <c r="L3049" s="444">
        <f t="shared" ca="1" si="157"/>
        <v>5188296945.0688972</v>
      </c>
      <c r="M3049" s="460">
        <f t="shared" si="159"/>
        <v>0.05</v>
      </c>
      <c r="N3049" s="464">
        <f t="shared" si="160"/>
        <v>143847</v>
      </c>
    </row>
    <row r="3050" spans="7:14" ht="11.25" customHeight="1" x14ac:dyDescent="0.3">
      <c r="G3050" s="459"/>
      <c r="H3050" s="459">
        <v>3043</v>
      </c>
      <c r="I3050" s="444">
        <f t="shared" ca="1" si="158"/>
        <v>5188296945.0688972</v>
      </c>
      <c r="J3050" s="444">
        <f t="array" ref="J3050">IFERROR(INDEX('Retirement Calculator'!J:J,MATCH('Isaac 401k'!N3050,'Retirement Calculator'!A:A,0),0),0)</f>
        <v>0</v>
      </c>
      <c r="K3050" s="444">
        <f t="shared" ca="1" si="156"/>
        <v>21617903.937787071</v>
      </c>
      <c r="L3050" s="444">
        <f t="shared" ca="1" si="157"/>
        <v>5209914849.0066843</v>
      </c>
      <c r="M3050" s="460">
        <f t="shared" si="159"/>
        <v>0.05</v>
      </c>
      <c r="N3050" s="464">
        <f t="shared" si="160"/>
        <v>143877</v>
      </c>
    </row>
    <row r="3051" spans="7:14" ht="11.25" customHeight="1" x14ac:dyDescent="0.3">
      <c r="G3051" s="459"/>
      <c r="H3051" s="459">
        <v>3044</v>
      </c>
      <c r="I3051" s="444">
        <f t="shared" ca="1" si="158"/>
        <v>5209914849.0066843</v>
      </c>
      <c r="J3051" s="444">
        <f t="array" ref="J3051">IFERROR(INDEX('Retirement Calculator'!J:J,MATCH('Isaac 401k'!N3051,'Retirement Calculator'!A:A,0),0),0)</f>
        <v>0</v>
      </c>
      <c r="K3051" s="444">
        <f t="shared" ca="1" si="156"/>
        <v>21707978.537527852</v>
      </c>
      <c r="L3051" s="444">
        <f t="shared" ca="1" si="157"/>
        <v>5231622827.5442123</v>
      </c>
      <c r="M3051" s="460">
        <f t="shared" si="159"/>
        <v>0.05</v>
      </c>
      <c r="N3051" s="464">
        <f t="shared" si="160"/>
        <v>143908</v>
      </c>
    </row>
    <row r="3052" spans="7:14" ht="11.25" customHeight="1" x14ac:dyDescent="0.3">
      <c r="G3052" s="459"/>
      <c r="H3052" s="459">
        <v>3045</v>
      </c>
      <c r="I3052" s="444">
        <f t="shared" ca="1" si="158"/>
        <v>5231622827.5442123</v>
      </c>
      <c r="J3052" s="444">
        <f t="array" ref="J3052">IFERROR(INDEX('Retirement Calculator'!J:J,MATCH('Isaac 401k'!N3052,'Retirement Calculator'!A:A,0),0),0)</f>
        <v>0</v>
      </c>
      <c r="K3052" s="444">
        <f t="shared" ca="1" si="156"/>
        <v>21798428.448100884</v>
      </c>
      <c r="L3052" s="444">
        <f t="shared" ca="1" si="157"/>
        <v>5253421255.9923134</v>
      </c>
      <c r="M3052" s="460">
        <f t="shared" si="159"/>
        <v>0.05</v>
      </c>
      <c r="N3052" s="464">
        <f t="shared" si="160"/>
        <v>143939</v>
      </c>
    </row>
    <row r="3053" spans="7:14" ht="11.25" customHeight="1" x14ac:dyDescent="0.3">
      <c r="G3053" s="459"/>
      <c r="H3053" s="459">
        <v>3046</v>
      </c>
      <c r="I3053" s="444">
        <f t="shared" ca="1" si="158"/>
        <v>5253421255.9923134</v>
      </c>
      <c r="J3053" s="444">
        <f t="array" ref="J3053">IFERROR(INDEX('Retirement Calculator'!J:J,MATCH('Isaac 401k'!N3053,'Retirement Calculator'!A:A,0),0),0)</f>
        <v>0</v>
      </c>
      <c r="K3053" s="444">
        <f t="shared" ca="1" si="156"/>
        <v>21889255.233301304</v>
      </c>
      <c r="L3053" s="444">
        <f t="shared" ca="1" si="157"/>
        <v>5275310511.2256145</v>
      </c>
      <c r="M3053" s="460">
        <f t="shared" si="159"/>
        <v>0.05</v>
      </c>
      <c r="N3053" s="464">
        <f t="shared" si="160"/>
        <v>143967</v>
      </c>
    </row>
    <row r="3054" spans="7:14" ht="11.25" customHeight="1" x14ac:dyDescent="0.3">
      <c r="G3054" s="459"/>
      <c r="H3054" s="459">
        <v>3047</v>
      </c>
      <c r="I3054" s="444">
        <f t="shared" ca="1" si="158"/>
        <v>5275310511.2256145</v>
      </c>
      <c r="J3054" s="444">
        <f t="array" ref="J3054">IFERROR(INDEX('Retirement Calculator'!J:J,MATCH('Isaac 401k'!N3054,'Retirement Calculator'!A:A,0),0),0)</f>
        <v>0</v>
      </c>
      <c r="K3054" s="444">
        <f t="shared" ca="1" si="156"/>
        <v>21980460.463440061</v>
      </c>
      <c r="L3054" s="444">
        <f t="shared" ca="1" si="157"/>
        <v>5297290971.6890545</v>
      </c>
      <c r="M3054" s="460">
        <f t="shared" si="159"/>
        <v>0.05</v>
      </c>
      <c r="N3054" s="464">
        <f t="shared" si="160"/>
        <v>143998</v>
      </c>
    </row>
    <row r="3055" spans="7:14" ht="11.25" customHeight="1" x14ac:dyDescent="0.3">
      <c r="G3055" s="459"/>
      <c r="H3055" s="459">
        <v>3048</v>
      </c>
      <c r="I3055" s="444">
        <f t="shared" ca="1" si="158"/>
        <v>5297290971.6890545</v>
      </c>
      <c r="J3055" s="444">
        <f t="array" ref="J3055">IFERROR(INDEX('Retirement Calculator'!J:J,MATCH('Isaac 401k'!N3055,'Retirement Calculator'!A:A,0),0),0)</f>
        <v>0</v>
      </c>
      <c r="K3055" s="444">
        <f t="shared" ca="1" si="156"/>
        <v>22072045.715371061</v>
      </c>
      <c r="L3055" s="444">
        <f t="shared" ca="1" si="157"/>
        <v>5319363017.4044256</v>
      </c>
      <c r="M3055" s="460">
        <f t="shared" si="159"/>
        <v>0.05</v>
      </c>
      <c r="N3055" s="464">
        <f t="shared" si="160"/>
        <v>144028</v>
      </c>
    </row>
    <row r="3056" spans="7:14" ht="11.25" customHeight="1" x14ac:dyDescent="0.3">
      <c r="G3056" s="459"/>
      <c r="H3056" s="459">
        <v>3049</v>
      </c>
      <c r="I3056" s="444">
        <f t="shared" ca="1" si="158"/>
        <v>5319363017.4044256</v>
      </c>
      <c r="J3056" s="444">
        <f t="array" ref="J3056">IFERROR(INDEX('Retirement Calculator'!J:J,MATCH('Isaac 401k'!N3056,'Retirement Calculator'!A:A,0),0),0)</f>
        <v>0</v>
      </c>
      <c r="K3056" s="444">
        <f t="shared" ca="1" si="156"/>
        <v>22164012.572518438</v>
      </c>
      <c r="L3056" s="444">
        <f t="shared" ca="1" si="157"/>
        <v>5341527029.976944</v>
      </c>
      <c r="M3056" s="460">
        <f t="shared" si="159"/>
        <v>0.05</v>
      </c>
      <c r="N3056" s="464">
        <f t="shared" si="160"/>
        <v>144059</v>
      </c>
    </row>
    <row r="3057" spans="7:14" ht="11.25" customHeight="1" x14ac:dyDescent="0.3">
      <c r="G3057" s="459"/>
      <c r="H3057" s="459">
        <v>3050</v>
      </c>
      <c r="I3057" s="444">
        <f t="shared" ca="1" si="158"/>
        <v>5341527029.976944</v>
      </c>
      <c r="J3057" s="444">
        <f t="array" ref="J3057">IFERROR(INDEX('Retirement Calculator'!J:J,MATCH('Isaac 401k'!N3057,'Retirement Calculator'!A:A,0),0),0)</f>
        <v>0</v>
      </c>
      <c r="K3057" s="444">
        <f t="shared" ca="1" si="156"/>
        <v>22256362.624903932</v>
      </c>
      <c r="L3057" s="444">
        <f t="shared" ca="1" si="157"/>
        <v>5363783392.6018476</v>
      </c>
      <c r="M3057" s="460">
        <f t="shared" si="159"/>
        <v>0.05</v>
      </c>
      <c r="N3057" s="464">
        <f t="shared" si="160"/>
        <v>144089</v>
      </c>
    </row>
    <row r="3058" spans="7:14" ht="11.25" customHeight="1" x14ac:dyDescent="0.3">
      <c r="G3058" s="459"/>
      <c r="H3058" s="459">
        <v>3051</v>
      </c>
      <c r="I3058" s="444">
        <f t="shared" ca="1" si="158"/>
        <v>5363783392.6018476</v>
      </c>
      <c r="J3058" s="444">
        <f t="array" ref="J3058">IFERROR(INDEX('Retirement Calculator'!J:J,MATCH('Isaac 401k'!N3058,'Retirement Calculator'!A:A,0),0),0)</f>
        <v>0</v>
      </c>
      <c r="K3058" s="444">
        <f t="shared" ca="1" si="156"/>
        <v>22349097.469174366</v>
      </c>
      <c r="L3058" s="444">
        <f t="shared" ca="1" si="157"/>
        <v>5386132490.071022</v>
      </c>
      <c r="M3058" s="460">
        <f t="shared" si="159"/>
        <v>0.05</v>
      </c>
      <c r="N3058" s="464">
        <f t="shared" si="160"/>
        <v>144120</v>
      </c>
    </row>
    <row r="3059" spans="7:14" ht="11.25" customHeight="1" x14ac:dyDescent="0.3">
      <c r="G3059" s="459"/>
      <c r="H3059" s="459">
        <v>3052</v>
      </c>
      <c r="I3059" s="444">
        <f t="shared" ca="1" si="158"/>
        <v>5386132490.071022</v>
      </c>
      <c r="J3059" s="444">
        <f t="array" ref="J3059">IFERROR(INDEX('Retirement Calculator'!J:J,MATCH('Isaac 401k'!N3059,'Retirement Calculator'!A:A,0),0),0)</f>
        <v>0</v>
      </c>
      <c r="K3059" s="444">
        <f t="shared" ca="1" si="156"/>
        <v>22442218.708629258</v>
      </c>
      <c r="L3059" s="444">
        <f t="shared" ca="1" si="157"/>
        <v>5408574708.7796516</v>
      </c>
      <c r="M3059" s="460">
        <f t="shared" si="159"/>
        <v>0.05</v>
      </c>
      <c r="N3059" s="464">
        <f t="shared" si="160"/>
        <v>144151</v>
      </c>
    </row>
    <row r="3060" spans="7:14" ht="11.25" customHeight="1" x14ac:dyDescent="0.3">
      <c r="G3060" s="459"/>
      <c r="H3060" s="459">
        <v>3053</v>
      </c>
      <c r="I3060" s="444">
        <f t="shared" ca="1" si="158"/>
        <v>5408574708.7796516</v>
      </c>
      <c r="J3060" s="444">
        <f t="array" ref="J3060">IFERROR(INDEX('Retirement Calculator'!J:J,MATCH('Isaac 401k'!N3060,'Retirement Calculator'!A:A,0),0),0)</f>
        <v>0</v>
      </c>
      <c r="K3060" s="444">
        <f t="shared" ca="1" si="156"/>
        <v>22535727.953248549</v>
      </c>
      <c r="L3060" s="444">
        <f t="shared" ca="1" si="157"/>
        <v>5431110436.7329006</v>
      </c>
      <c r="M3060" s="460">
        <f t="shared" si="159"/>
        <v>0.05</v>
      </c>
      <c r="N3060" s="464">
        <f t="shared" si="160"/>
        <v>144181</v>
      </c>
    </row>
    <row r="3061" spans="7:14" ht="11.25" customHeight="1" x14ac:dyDescent="0.3">
      <c r="G3061" s="459"/>
      <c r="H3061" s="459">
        <v>3054</v>
      </c>
      <c r="I3061" s="444">
        <f t="shared" ca="1" si="158"/>
        <v>5431110436.7329006</v>
      </c>
      <c r="J3061" s="444">
        <f t="array" ref="J3061">IFERROR(INDEX('Retirement Calculator'!J:J,MATCH('Isaac 401k'!N3061,'Retirement Calculator'!A:A,0),0),0)</f>
        <v>0</v>
      </c>
      <c r="K3061" s="444">
        <f t="shared" ca="1" si="156"/>
        <v>22629626.819720417</v>
      </c>
      <c r="L3061" s="444">
        <f t="shared" ca="1" si="157"/>
        <v>5453740063.5526209</v>
      </c>
      <c r="M3061" s="460">
        <f t="shared" si="159"/>
        <v>0.05</v>
      </c>
      <c r="N3061" s="464">
        <f t="shared" si="160"/>
        <v>144212</v>
      </c>
    </row>
    <row r="3062" spans="7:14" ht="11.25" customHeight="1" x14ac:dyDescent="0.3">
      <c r="G3062" s="459"/>
      <c r="H3062" s="459">
        <v>3055</v>
      </c>
      <c r="I3062" s="444">
        <f t="shared" ca="1" si="158"/>
        <v>5453740063.5526209</v>
      </c>
      <c r="J3062" s="444">
        <f t="array" ref="J3062">IFERROR(INDEX('Retirement Calculator'!J:J,MATCH('Isaac 401k'!N3062,'Retirement Calculator'!A:A,0),0),0)</f>
        <v>0</v>
      </c>
      <c r="K3062" s="444">
        <f t="shared" ca="1" si="156"/>
        <v>22723916.931469254</v>
      </c>
      <c r="L3062" s="444">
        <f t="shared" ca="1" si="157"/>
        <v>5476463980.4840899</v>
      </c>
      <c r="M3062" s="460">
        <f t="shared" si="159"/>
        <v>0.05</v>
      </c>
      <c r="N3062" s="464">
        <f t="shared" si="160"/>
        <v>144242</v>
      </c>
    </row>
    <row r="3063" spans="7:14" ht="11.25" customHeight="1" x14ac:dyDescent="0.3">
      <c r="G3063" s="459"/>
      <c r="H3063" s="459">
        <v>3056</v>
      </c>
      <c r="I3063" s="444">
        <f t="shared" ca="1" si="158"/>
        <v>5476463980.4840899</v>
      </c>
      <c r="J3063" s="444">
        <f t="array" ref="J3063">IFERROR(INDEX('Retirement Calculator'!J:J,MATCH('Isaac 401k'!N3063,'Retirement Calculator'!A:A,0),0),0)</f>
        <v>0</v>
      </c>
      <c r="K3063" s="444">
        <f t="shared" ca="1" si="156"/>
        <v>22818599.918683708</v>
      </c>
      <c r="L3063" s="444">
        <f t="shared" ca="1" si="157"/>
        <v>5499282580.4027739</v>
      </c>
      <c r="M3063" s="460">
        <f t="shared" si="159"/>
        <v>0.05</v>
      </c>
      <c r="N3063" s="464">
        <f t="shared" si="160"/>
        <v>144273</v>
      </c>
    </row>
    <row r="3064" spans="7:14" ht="11.25" customHeight="1" x14ac:dyDescent="0.3">
      <c r="G3064" s="459"/>
      <c r="H3064" s="459">
        <v>3057</v>
      </c>
      <c r="I3064" s="444">
        <f t="shared" ca="1" si="158"/>
        <v>5499282580.4027739</v>
      </c>
      <c r="J3064" s="444">
        <f t="array" ref="J3064">IFERROR(INDEX('Retirement Calculator'!J:J,MATCH('Isaac 401k'!N3064,'Retirement Calculator'!A:A,0),0),0)</f>
        <v>0</v>
      </c>
      <c r="K3064" s="444">
        <f t="shared" ca="1" si="156"/>
        <v>22913677.418344893</v>
      </c>
      <c r="L3064" s="444">
        <f t="shared" ca="1" si="157"/>
        <v>5522196257.8211184</v>
      </c>
      <c r="M3064" s="460">
        <f t="shared" si="159"/>
        <v>0.05</v>
      </c>
      <c r="N3064" s="464">
        <f t="shared" si="160"/>
        <v>144304</v>
      </c>
    </row>
    <row r="3065" spans="7:14" ht="11.25" customHeight="1" x14ac:dyDescent="0.3">
      <c r="G3065" s="459"/>
      <c r="H3065" s="459">
        <v>3058</v>
      </c>
      <c r="I3065" s="444">
        <f t="shared" ca="1" si="158"/>
        <v>5522196257.8211184</v>
      </c>
      <c r="J3065" s="444">
        <f t="array" ref="J3065">IFERROR(INDEX('Retirement Calculator'!J:J,MATCH('Isaac 401k'!N3065,'Retirement Calculator'!A:A,0),0),0)</f>
        <v>0</v>
      </c>
      <c r="K3065" s="444">
        <f t="shared" ca="1" si="156"/>
        <v>23009151.074254658</v>
      </c>
      <c r="L3065" s="444">
        <f t="shared" ca="1" si="157"/>
        <v>5545205408.8953733</v>
      </c>
      <c r="M3065" s="460">
        <f t="shared" si="159"/>
        <v>0.05</v>
      </c>
      <c r="N3065" s="464">
        <f t="shared" si="160"/>
        <v>144332</v>
      </c>
    </row>
    <row r="3066" spans="7:14" ht="11.25" customHeight="1" x14ac:dyDescent="0.3">
      <c r="G3066" s="459"/>
      <c r="H3066" s="459">
        <v>3059</v>
      </c>
      <c r="I3066" s="444">
        <f t="shared" ca="1" si="158"/>
        <v>5545205408.8953733</v>
      </c>
      <c r="J3066" s="444">
        <f t="array" ref="J3066">IFERROR(INDEX('Retirement Calculator'!J:J,MATCH('Isaac 401k'!N3066,'Retirement Calculator'!A:A,0),0),0)</f>
        <v>0</v>
      </c>
      <c r="K3066" s="444">
        <f t="shared" ca="1" si="156"/>
        <v>23105022.537064057</v>
      </c>
      <c r="L3066" s="444">
        <f t="shared" ca="1" si="157"/>
        <v>5568310431.4324369</v>
      </c>
      <c r="M3066" s="460">
        <f t="shared" si="159"/>
        <v>0.05</v>
      </c>
      <c r="N3066" s="464">
        <f t="shared" si="160"/>
        <v>144363</v>
      </c>
    </row>
    <row r="3067" spans="7:14" ht="11.25" customHeight="1" x14ac:dyDescent="0.3">
      <c r="G3067" s="459"/>
      <c r="H3067" s="459">
        <v>3060</v>
      </c>
      <c r="I3067" s="444">
        <f t="shared" ca="1" si="158"/>
        <v>5568310431.4324369</v>
      </c>
      <c r="J3067" s="444">
        <f t="array" ref="J3067">IFERROR(INDEX('Retirement Calculator'!J:J,MATCH('Isaac 401k'!N3067,'Retirement Calculator'!A:A,0),0),0)</f>
        <v>0</v>
      </c>
      <c r="K3067" s="444">
        <f t="shared" ca="1" si="156"/>
        <v>23201293.464301821</v>
      </c>
      <c r="L3067" s="444">
        <f t="shared" ca="1" si="157"/>
        <v>5591511724.896739</v>
      </c>
      <c r="M3067" s="460">
        <f t="shared" si="159"/>
        <v>0.05</v>
      </c>
      <c r="N3067" s="464">
        <f t="shared" si="160"/>
        <v>144393</v>
      </c>
    </row>
    <row r="3068" spans="7:14" ht="11.25" customHeight="1" x14ac:dyDescent="0.3">
      <c r="G3068" s="459"/>
      <c r="H3068" s="459">
        <v>3061</v>
      </c>
      <c r="I3068" s="444">
        <f t="shared" ca="1" si="158"/>
        <v>5591511724.896739</v>
      </c>
      <c r="J3068" s="444">
        <f t="array" ref="J3068">IFERROR(INDEX('Retirement Calculator'!J:J,MATCH('Isaac 401k'!N3068,'Retirement Calculator'!A:A,0),0),0)</f>
        <v>0</v>
      </c>
      <c r="K3068" s="444">
        <f t="shared" ref="K3068:K3322" ca="1" si="161">IPMT(M3068/12,1,12,-I3068+J3068,,0)</f>
        <v>23297965.52040308</v>
      </c>
      <c r="L3068" s="444">
        <f t="shared" ref="L3068:L3322" ca="1" si="162">I3068-J3068+K3068</f>
        <v>5614809690.4171419</v>
      </c>
      <c r="M3068" s="460">
        <f t="shared" si="159"/>
        <v>0.05</v>
      </c>
      <c r="N3068" s="464">
        <f t="shared" si="160"/>
        <v>144424</v>
      </c>
    </row>
    <row r="3069" spans="7:14" ht="11.25" customHeight="1" x14ac:dyDescent="0.3">
      <c r="G3069" s="459"/>
      <c r="H3069" s="459">
        <v>3062</v>
      </c>
      <c r="I3069" s="444">
        <f t="shared" ref="I3069:I3323" ca="1" si="163">L3068</f>
        <v>5614809690.4171419</v>
      </c>
      <c r="J3069" s="444">
        <f t="array" ref="J3069">IFERROR(INDEX('Retirement Calculator'!J:J,MATCH('Isaac 401k'!N3069,'Retirement Calculator'!A:A,0),0),0)</f>
        <v>0</v>
      </c>
      <c r="K3069" s="444">
        <f t="shared" ca="1" si="161"/>
        <v>23395040.37673809</v>
      </c>
      <c r="L3069" s="444">
        <f t="shared" ca="1" si="162"/>
        <v>5638204730.7938805</v>
      </c>
      <c r="M3069" s="460">
        <f t="shared" ref="M3069:M3323" si="164">M3068</f>
        <v>0.05</v>
      </c>
      <c r="N3069" s="464">
        <f t="shared" ref="N3069:N3323" si="165">EDATE(N3068,1)</f>
        <v>144454</v>
      </c>
    </row>
    <row r="3070" spans="7:14" ht="11.25" customHeight="1" x14ac:dyDescent="0.3">
      <c r="G3070" s="459"/>
      <c r="H3070" s="459">
        <v>3063</v>
      </c>
      <c r="I3070" s="444">
        <f t="shared" ca="1" si="163"/>
        <v>5638204730.7938805</v>
      </c>
      <c r="J3070" s="444">
        <f t="array" ref="J3070">IFERROR(INDEX('Retirement Calculator'!J:J,MATCH('Isaac 401k'!N3070,'Retirement Calculator'!A:A,0),0),0)</f>
        <v>0</v>
      </c>
      <c r="K3070" s="444">
        <f t="shared" ca="1" si="161"/>
        <v>23492519.71164117</v>
      </c>
      <c r="L3070" s="444">
        <f t="shared" ca="1" si="162"/>
        <v>5661697250.5055218</v>
      </c>
      <c r="M3070" s="460">
        <f t="shared" si="164"/>
        <v>0.05</v>
      </c>
      <c r="N3070" s="464">
        <f t="shared" si="165"/>
        <v>144485</v>
      </c>
    </row>
    <row r="3071" spans="7:14" ht="11.25" customHeight="1" x14ac:dyDescent="0.3">
      <c r="G3071" s="459"/>
      <c r="H3071" s="459">
        <v>3064</v>
      </c>
      <c r="I3071" s="444">
        <f t="shared" ca="1" si="163"/>
        <v>5661697250.5055218</v>
      </c>
      <c r="J3071" s="444">
        <f t="array" ref="J3071">IFERROR(INDEX('Retirement Calculator'!J:J,MATCH('Isaac 401k'!N3071,'Retirement Calculator'!A:A,0),0),0)</f>
        <v>0</v>
      </c>
      <c r="K3071" s="444">
        <f t="shared" ca="1" si="161"/>
        <v>23590405.210439675</v>
      </c>
      <c r="L3071" s="444">
        <f t="shared" ca="1" si="162"/>
        <v>5685287655.7159615</v>
      </c>
      <c r="M3071" s="460">
        <f t="shared" si="164"/>
        <v>0.05</v>
      </c>
      <c r="N3071" s="464">
        <f t="shared" si="165"/>
        <v>144516</v>
      </c>
    </row>
    <row r="3072" spans="7:14" ht="11.25" customHeight="1" x14ac:dyDescent="0.3">
      <c r="G3072" s="459"/>
      <c r="H3072" s="459">
        <v>3065</v>
      </c>
      <c r="I3072" s="444">
        <f t="shared" ca="1" si="163"/>
        <v>5685287655.7159615</v>
      </c>
      <c r="J3072" s="444">
        <f t="array" ref="J3072">IFERROR(INDEX('Retirement Calculator'!J:J,MATCH('Isaac 401k'!N3072,'Retirement Calculator'!A:A,0),0),0)</f>
        <v>0</v>
      </c>
      <c r="K3072" s="444">
        <f t="shared" ca="1" si="161"/>
        <v>23688698.565483171</v>
      </c>
      <c r="L3072" s="444">
        <f t="shared" ca="1" si="162"/>
        <v>5708976354.2814445</v>
      </c>
      <c r="M3072" s="460">
        <f t="shared" si="164"/>
        <v>0.05</v>
      </c>
      <c r="N3072" s="464">
        <f t="shared" si="165"/>
        <v>144546</v>
      </c>
    </row>
    <row r="3073" spans="7:14" ht="11.25" customHeight="1" x14ac:dyDescent="0.3">
      <c r="G3073" s="459"/>
      <c r="H3073" s="459">
        <v>3066</v>
      </c>
      <c r="I3073" s="444">
        <f t="shared" ca="1" si="163"/>
        <v>5708976354.2814445</v>
      </c>
      <c r="J3073" s="444">
        <f t="array" ref="J3073">IFERROR(INDEX('Retirement Calculator'!J:J,MATCH('Isaac 401k'!N3073,'Retirement Calculator'!A:A,0),0),0)</f>
        <v>0</v>
      </c>
      <c r="K3073" s="444">
        <f t="shared" ca="1" si="161"/>
        <v>23787401.476172686</v>
      </c>
      <c r="L3073" s="444">
        <f t="shared" ca="1" si="162"/>
        <v>5732763755.757617</v>
      </c>
      <c r="M3073" s="460">
        <f t="shared" si="164"/>
        <v>0.05</v>
      </c>
      <c r="N3073" s="464">
        <f t="shared" si="165"/>
        <v>144577</v>
      </c>
    </row>
    <row r="3074" spans="7:14" ht="11.25" customHeight="1" x14ac:dyDescent="0.3">
      <c r="G3074" s="459"/>
      <c r="H3074" s="459">
        <v>3067</v>
      </c>
      <c r="I3074" s="444">
        <f t="shared" ca="1" si="163"/>
        <v>5732763755.757617</v>
      </c>
      <c r="J3074" s="444">
        <f t="array" ref="J3074">IFERROR(INDEX('Retirement Calculator'!J:J,MATCH('Isaac 401k'!N3074,'Retirement Calculator'!A:A,0),0),0)</f>
        <v>0</v>
      </c>
      <c r="K3074" s="444">
        <f t="shared" ca="1" si="161"/>
        <v>23886515.648990072</v>
      </c>
      <c r="L3074" s="444">
        <f t="shared" ca="1" si="162"/>
        <v>5756650271.4066067</v>
      </c>
      <c r="M3074" s="460">
        <f t="shared" si="164"/>
        <v>0.05</v>
      </c>
      <c r="N3074" s="464">
        <f t="shared" si="165"/>
        <v>144607</v>
      </c>
    </row>
    <row r="3075" spans="7:14" ht="11.25" customHeight="1" x14ac:dyDescent="0.3">
      <c r="G3075" s="459"/>
      <c r="H3075" s="459">
        <v>3068</v>
      </c>
      <c r="I3075" s="444">
        <f t="shared" ca="1" si="163"/>
        <v>5756650271.4066067</v>
      </c>
      <c r="J3075" s="444">
        <f t="array" ref="J3075">IFERROR(INDEX('Retirement Calculator'!J:J,MATCH('Isaac 401k'!N3075,'Retirement Calculator'!A:A,0),0),0)</f>
        <v>0</v>
      </c>
      <c r="K3075" s="444">
        <f t="shared" ca="1" si="161"/>
        <v>23986042.797527529</v>
      </c>
      <c r="L3075" s="444">
        <f t="shared" ca="1" si="162"/>
        <v>5780636314.204134</v>
      </c>
      <c r="M3075" s="460">
        <f t="shared" si="164"/>
        <v>0.05</v>
      </c>
      <c r="N3075" s="464">
        <f t="shared" si="165"/>
        <v>144638</v>
      </c>
    </row>
    <row r="3076" spans="7:14" ht="11.25" customHeight="1" x14ac:dyDescent="0.3">
      <c r="G3076" s="459"/>
      <c r="H3076" s="459">
        <v>3069</v>
      </c>
      <c r="I3076" s="444">
        <f t="shared" ca="1" si="163"/>
        <v>5780636314.204134</v>
      </c>
      <c r="J3076" s="444">
        <f t="array" ref="J3076">IFERROR(INDEX('Retirement Calculator'!J:J,MATCH('Isaac 401k'!N3076,'Retirement Calculator'!A:A,0),0),0)</f>
        <v>0</v>
      </c>
      <c r="K3076" s="444">
        <f t="shared" ca="1" si="161"/>
        <v>24085984.642517224</v>
      </c>
      <c r="L3076" s="444">
        <f t="shared" ca="1" si="162"/>
        <v>5804722298.8466511</v>
      </c>
      <c r="M3076" s="460">
        <f t="shared" si="164"/>
        <v>0.05</v>
      </c>
      <c r="N3076" s="464">
        <f t="shared" si="165"/>
        <v>144669</v>
      </c>
    </row>
    <row r="3077" spans="7:14" ht="11.25" customHeight="1" x14ac:dyDescent="0.3">
      <c r="G3077" s="459"/>
      <c r="H3077" s="459">
        <v>3070</v>
      </c>
      <c r="I3077" s="444">
        <f t="shared" ca="1" si="163"/>
        <v>5804722298.8466511</v>
      </c>
      <c r="J3077" s="444">
        <f t="array" ref="J3077">IFERROR(INDEX('Retirement Calculator'!J:J,MATCH('Isaac 401k'!N3077,'Retirement Calculator'!A:A,0),0),0)</f>
        <v>0</v>
      </c>
      <c r="K3077" s="444">
        <f t="shared" ca="1" si="161"/>
        <v>24186342.911861047</v>
      </c>
      <c r="L3077" s="444">
        <f t="shared" ca="1" si="162"/>
        <v>5828908641.7585125</v>
      </c>
      <c r="M3077" s="460">
        <f t="shared" si="164"/>
        <v>0.05</v>
      </c>
      <c r="N3077" s="464">
        <f t="shared" si="165"/>
        <v>144698</v>
      </c>
    </row>
    <row r="3078" spans="7:14" ht="11.25" customHeight="1" x14ac:dyDescent="0.3">
      <c r="G3078" s="459"/>
      <c r="H3078" s="459">
        <v>3071</v>
      </c>
      <c r="I3078" s="444">
        <f t="shared" ca="1" si="163"/>
        <v>5828908641.7585125</v>
      </c>
      <c r="J3078" s="444">
        <f t="array" ref="J3078">IFERROR(INDEX('Retirement Calculator'!J:J,MATCH('Isaac 401k'!N3078,'Retirement Calculator'!A:A,0),0),0)</f>
        <v>0</v>
      </c>
      <c r="K3078" s="444">
        <f t="shared" ca="1" si="161"/>
        <v>24287119.340660468</v>
      </c>
      <c r="L3078" s="444">
        <f t="shared" ca="1" si="162"/>
        <v>5853195761.0991726</v>
      </c>
      <c r="M3078" s="460">
        <f t="shared" si="164"/>
        <v>0.05</v>
      </c>
      <c r="N3078" s="464">
        <f t="shared" si="165"/>
        <v>144729</v>
      </c>
    </row>
    <row r="3079" spans="7:14" ht="11.25" customHeight="1" x14ac:dyDescent="0.3">
      <c r="G3079" s="459"/>
      <c r="H3079" s="459">
        <v>3072</v>
      </c>
      <c r="I3079" s="444">
        <f t="shared" ca="1" si="163"/>
        <v>5853195761.0991726</v>
      </c>
      <c r="J3079" s="444">
        <f t="array" ref="J3079">IFERROR(INDEX('Retirement Calculator'!J:J,MATCH('Isaac 401k'!N3079,'Retirement Calculator'!A:A,0),0),0)</f>
        <v>0</v>
      </c>
      <c r="K3079" s="444">
        <f t="shared" ca="1" si="161"/>
        <v>24388315.671246551</v>
      </c>
      <c r="L3079" s="444">
        <f t="shared" ca="1" si="162"/>
        <v>5877584076.7704191</v>
      </c>
      <c r="M3079" s="460">
        <f t="shared" si="164"/>
        <v>0.05</v>
      </c>
      <c r="N3079" s="464">
        <f t="shared" si="165"/>
        <v>144759</v>
      </c>
    </row>
    <row r="3080" spans="7:14" ht="11.25" customHeight="1" x14ac:dyDescent="0.3">
      <c r="G3080" s="459"/>
      <c r="H3080" s="459">
        <v>3073</v>
      </c>
      <c r="I3080" s="444">
        <f t="shared" ca="1" si="163"/>
        <v>5877584076.7704191</v>
      </c>
      <c r="J3080" s="444">
        <f t="array" ref="J3080">IFERROR(INDEX('Retirement Calculator'!J:J,MATCH('Isaac 401k'!N3080,'Retirement Calculator'!A:A,0),0),0)</f>
        <v>0</v>
      </c>
      <c r="K3080" s="444">
        <f t="shared" ca="1" si="161"/>
        <v>24489933.653210081</v>
      </c>
      <c r="L3080" s="444">
        <f t="shared" ca="1" si="162"/>
        <v>5902074010.4236288</v>
      </c>
      <c r="M3080" s="460">
        <f t="shared" si="164"/>
        <v>0.05</v>
      </c>
      <c r="N3080" s="464">
        <f t="shared" si="165"/>
        <v>144790</v>
      </c>
    </row>
    <row r="3081" spans="7:14" ht="11.25" customHeight="1" x14ac:dyDescent="0.3">
      <c r="G3081" s="459"/>
      <c r="H3081" s="459">
        <v>3074</v>
      </c>
      <c r="I3081" s="444">
        <f t="shared" ca="1" si="163"/>
        <v>5902074010.4236288</v>
      </c>
      <c r="J3081" s="444">
        <f t="array" ref="J3081">IFERROR(INDEX('Retirement Calculator'!J:J,MATCH('Isaac 401k'!N3081,'Retirement Calculator'!A:A,0),0),0)</f>
        <v>0</v>
      </c>
      <c r="K3081" s="444">
        <f t="shared" ca="1" si="161"/>
        <v>24591975.043431785</v>
      </c>
      <c r="L3081" s="444">
        <f t="shared" ca="1" si="162"/>
        <v>5926665985.467061</v>
      </c>
      <c r="M3081" s="460">
        <f t="shared" si="164"/>
        <v>0.05</v>
      </c>
      <c r="N3081" s="464">
        <f t="shared" si="165"/>
        <v>144820</v>
      </c>
    </row>
    <row r="3082" spans="7:14" ht="11.25" customHeight="1" x14ac:dyDescent="0.3">
      <c r="G3082" s="459"/>
      <c r="H3082" s="459">
        <v>3075</v>
      </c>
      <c r="I3082" s="444">
        <f t="shared" ca="1" si="163"/>
        <v>5926665985.467061</v>
      </c>
      <c r="J3082" s="444">
        <f t="array" ref="J3082">IFERROR(INDEX('Retirement Calculator'!J:J,MATCH('Isaac 401k'!N3082,'Retirement Calculator'!A:A,0),0),0)</f>
        <v>0</v>
      </c>
      <c r="K3082" s="444">
        <f t="shared" ca="1" si="161"/>
        <v>24694441.606112756</v>
      </c>
      <c r="L3082" s="444">
        <f t="shared" ca="1" si="162"/>
        <v>5951360427.0731735</v>
      </c>
      <c r="M3082" s="460">
        <f t="shared" si="164"/>
        <v>0.05</v>
      </c>
      <c r="N3082" s="464">
        <f t="shared" si="165"/>
        <v>144851</v>
      </c>
    </row>
    <row r="3083" spans="7:14" ht="11.25" customHeight="1" x14ac:dyDescent="0.3">
      <c r="G3083" s="459"/>
      <c r="H3083" s="459">
        <v>3076</v>
      </c>
      <c r="I3083" s="444">
        <f t="shared" ca="1" si="163"/>
        <v>5951360427.0731735</v>
      </c>
      <c r="J3083" s="444">
        <f t="array" ref="J3083">IFERROR(INDEX('Retirement Calculator'!J:J,MATCH('Isaac 401k'!N3083,'Retirement Calculator'!A:A,0),0),0)</f>
        <v>0</v>
      </c>
      <c r="K3083" s="444">
        <f t="shared" ca="1" si="161"/>
        <v>24797335.11280489</v>
      </c>
      <c r="L3083" s="444">
        <f t="shared" ca="1" si="162"/>
        <v>5976157762.1859779</v>
      </c>
      <c r="M3083" s="460">
        <f t="shared" si="164"/>
        <v>0.05</v>
      </c>
      <c r="N3083" s="464">
        <f t="shared" si="165"/>
        <v>144882</v>
      </c>
    </row>
    <row r="3084" spans="7:14" ht="11.25" customHeight="1" x14ac:dyDescent="0.3">
      <c r="G3084" s="459"/>
      <c r="H3084" s="459">
        <v>3077</v>
      </c>
      <c r="I3084" s="444">
        <f t="shared" ca="1" si="163"/>
        <v>5976157762.1859779</v>
      </c>
      <c r="J3084" s="444">
        <f t="array" ref="J3084">IFERROR(INDEX('Retirement Calculator'!J:J,MATCH('Isaac 401k'!N3084,'Retirement Calculator'!A:A,0),0),0)</f>
        <v>0</v>
      </c>
      <c r="K3084" s="444">
        <f t="shared" ca="1" si="161"/>
        <v>24900657.342441574</v>
      </c>
      <c r="L3084" s="444">
        <f t="shared" ca="1" si="162"/>
        <v>6001058419.5284195</v>
      </c>
      <c r="M3084" s="460">
        <f t="shared" si="164"/>
        <v>0.05</v>
      </c>
      <c r="N3084" s="464">
        <f t="shared" si="165"/>
        <v>144912</v>
      </c>
    </row>
    <row r="3085" spans="7:14" ht="11.25" customHeight="1" x14ac:dyDescent="0.3">
      <c r="G3085" s="459"/>
      <c r="H3085" s="459">
        <v>3078</v>
      </c>
      <c r="I3085" s="444">
        <f t="shared" ca="1" si="163"/>
        <v>6001058419.5284195</v>
      </c>
      <c r="J3085" s="444">
        <f t="array" ref="J3085">IFERROR(INDEX('Retirement Calculator'!J:J,MATCH('Isaac 401k'!N3085,'Retirement Calculator'!A:A,0),0),0)</f>
        <v>0</v>
      </c>
      <c r="K3085" s="444">
        <f t="shared" ca="1" si="161"/>
        <v>25004410.081368413</v>
      </c>
      <c r="L3085" s="444">
        <f t="shared" ca="1" si="162"/>
        <v>6026062829.6097879</v>
      </c>
      <c r="M3085" s="460">
        <f t="shared" si="164"/>
        <v>0.05</v>
      </c>
      <c r="N3085" s="464">
        <f t="shared" si="165"/>
        <v>144943</v>
      </c>
    </row>
    <row r="3086" spans="7:14" ht="11.25" customHeight="1" x14ac:dyDescent="0.3">
      <c r="G3086" s="459"/>
      <c r="H3086" s="459">
        <v>3079</v>
      </c>
      <c r="I3086" s="444">
        <f t="shared" ca="1" si="163"/>
        <v>6026062829.6097879</v>
      </c>
      <c r="J3086" s="444">
        <f t="array" ref="J3086">IFERROR(INDEX('Retirement Calculator'!J:J,MATCH('Isaac 401k'!N3086,'Retirement Calculator'!A:A,0),0),0)</f>
        <v>0</v>
      </c>
      <c r="K3086" s="444">
        <f t="shared" ca="1" si="161"/>
        <v>25108595.123374116</v>
      </c>
      <c r="L3086" s="444">
        <f t="shared" ca="1" si="162"/>
        <v>6051171424.7331619</v>
      </c>
      <c r="M3086" s="460">
        <f t="shared" si="164"/>
        <v>0.05</v>
      </c>
      <c r="N3086" s="464">
        <f t="shared" si="165"/>
        <v>144973</v>
      </c>
    </row>
    <row r="3087" spans="7:14" ht="11.25" customHeight="1" x14ac:dyDescent="0.3">
      <c r="G3087" s="459"/>
      <c r="H3087" s="459">
        <v>3080</v>
      </c>
      <c r="I3087" s="444">
        <f t="shared" ca="1" si="163"/>
        <v>6051171424.7331619</v>
      </c>
      <c r="J3087" s="444">
        <f t="array" ref="J3087">IFERROR(INDEX('Retirement Calculator'!J:J,MATCH('Isaac 401k'!N3087,'Retirement Calculator'!A:A,0),0),0)</f>
        <v>0</v>
      </c>
      <c r="K3087" s="444">
        <f t="shared" ca="1" si="161"/>
        <v>25213214.269721508</v>
      </c>
      <c r="L3087" s="444">
        <f t="shared" ca="1" si="162"/>
        <v>6076384639.0028839</v>
      </c>
      <c r="M3087" s="460">
        <f t="shared" si="164"/>
        <v>0.05</v>
      </c>
      <c r="N3087" s="464">
        <f t="shared" si="165"/>
        <v>145004</v>
      </c>
    </row>
    <row r="3088" spans="7:14" ht="11.25" customHeight="1" x14ac:dyDescent="0.3">
      <c r="G3088" s="459"/>
      <c r="H3088" s="459">
        <v>3081</v>
      </c>
      <c r="I3088" s="444">
        <f t="shared" ca="1" si="163"/>
        <v>6076384639.0028839</v>
      </c>
      <c r="J3088" s="444">
        <f t="array" ref="J3088">IFERROR(INDEX('Retirement Calculator'!J:J,MATCH('Isaac 401k'!N3088,'Retirement Calculator'!A:A,0),0),0)</f>
        <v>0</v>
      </c>
      <c r="K3088" s="444">
        <f t="shared" ca="1" si="161"/>
        <v>25318269.329178683</v>
      </c>
      <c r="L3088" s="444">
        <f t="shared" ca="1" si="162"/>
        <v>6101702908.3320627</v>
      </c>
      <c r="M3088" s="460">
        <f t="shared" si="164"/>
        <v>0.05</v>
      </c>
      <c r="N3088" s="464">
        <f t="shared" si="165"/>
        <v>145035</v>
      </c>
    </row>
    <row r="3089" spans="7:14" ht="11.25" customHeight="1" x14ac:dyDescent="0.3">
      <c r="G3089" s="459"/>
      <c r="H3089" s="459">
        <v>3082</v>
      </c>
      <c r="I3089" s="444">
        <f t="shared" ca="1" si="163"/>
        <v>6101702908.3320627</v>
      </c>
      <c r="J3089" s="444">
        <f t="array" ref="J3089">IFERROR(INDEX('Retirement Calculator'!J:J,MATCH('Isaac 401k'!N3089,'Retirement Calculator'!A:A,0),0),0)</f>
        <v>0</v>
      </c>
      <c r="K3089" s="444">
        <f t="shared" ca="1" si="161"/>
        <v>25423762.118050262</v>
      </c>
      <c r="L3089" s="444">
        <f t="shared" ca="1" si="162"/>
        <v>6127126670.4501133</v>
      </c>
      <c r="M3089" s="460">
        <f t="shared" si="164"/>
        <v>0.05</v>
      </c>
      <c r="N3089" s="464">
        <f t="shared" si="165"/>
        <v>145063</v>
      </c>
    </row>
    <row r="3090" spans="7:14" ht="11.25" customHeight="1" x14ac:dyDescent="0.3">
      <c r="G3090" s="459"/>
      <c r="H3090" s="459">
        <v>3083</v>
      </c>
      <c r="I3090" s="444">
        <f t="shared" ca="1" si="163"/>
        <v>6127126670.4501133</v>
      </c>
      <c r="J3090" s="444">
        <f t="array" ref="J3090">IFERROR(INDEX('Retirement Calculator'!J:J,MATCH('Isaac 401k'!N3090,'Retirement Calculator'!A:A,0),0),0)</f>
        <v>0</v>
      </c>
      <c r="K3090" s="444">
        <f t="shared" ca="1" si="161"/>
        <v>25529694.460208803</v>
      </c>
      <c r="L3090" s="444">
        <f t="shared" ca="1" si="162"/>
        <v>6152656364.9103222</v>
      </c>
      <c r="M3090" s="460">
        <f t="shared" si="164"/>
        <v>0.05</v>
      </c>
      <c r="N3090" s="464">
        <f t="shared" si="165"/>
        <v>145094</v>
      </c>
    </row>
    <row r="3091" spans="7:14" ht="11.25" customHeight="1" x14ac:dyDescent="0.3">
      <c r="G3091" s="459"/>
      <c r="H3091" s="459">
        <v>3084</v>
      </c>
      <c r="I3091" s="444">
        <f t="shared" ca="1" si="163"/>
        <v>6152656364.9103222</v>
      </c>
      <c r="J3091" s="444">
        <f t="array" ref="J3091">IFERROR(INDEX('Retirement Calculator'!J:J,MATCH('Isaac 401k'!N3091,'Retirement Calculator'!A:A,0),0),0)</f>
        <v>0</v>
      </c>
      <c r="K3091" s="444">
        <f t="shared" ca="1" si="161"/>
        <v>25636068.187126342</v>
      </c>
      <c r="L3091" s="444">
        <f t="shared" ca="1" si="162"/>
        <v>6178292433.0974483</v>
      </c>
      <c r="M3091" s="460">
        <f t="shared" si="164"/>
        <v>0.05</v>
      </c>
      <c r="N3091" s="464">
        <f t="shared" si="165"/>
        <v>145124</v>
      </c>
    </row>
    <row r="3092" spans="7:14" ht="11.25" customHeight="1" x14ac:dyDescent="0.3">
      <c r="G3092" s="459"/>
      <c r="H3092" s="459">
        <v>3085</v>
      </c>
      <c r="I3092" s="444">
        <f t="shared" ca="1" si="163"/>
        <v>6178292433.0974483</v>
      </c>
      <c r="J3092" s="444">
        <f t="array" ref="J3092">IFERROR(INDEX('Retirement Calculator'!J:J,MATCH('Isaac 401k'!N3092,'Retirement Calculator'!A:A,0),0),0)</f>
        <v>0</v>
      </c>
      <c r="K3092" s="444">
        <f t="shared" ca="1" si="161"/>
        <v>25742885.137906034</v>
      </c>
      <c r="L3092" s="444">
        <f t="shared" ca="1" si="162"/>
        <v>6204035318.2353544</v>
      </c>
      <c r="M3092" s="460">
        <f t="shared" si="164"/>
        <v>0.05</v>
      </c>
      <c r="N3092" s="464">
        <f t="shared" si="165"/>
        <v>145155</v>
      </c>
    </row>
    <row r="3093" spans="7:14" ht="11.25" customHeight="1" x14ac:dyDescent="0.3">
      <c r="G3093" s="459"/>
      <c r="H3093" s="459">
        <v>3086</v>
      </c>
      <c r="I3093" s="444">
        <f t="shared" ca="1" si="163"/>
        <v>6204035318.2353544</v>
      </c>
      <c r="J3093" s="444">
        <f t="array" ref="J3093">IFERROR(INDEX('Retirement Calculator'!J:J,MATCH('Isaac 401k'!N3093,'Retirement Calculator'!A:A,0),0),0)</f>
        <v>0</v>
      </c>
      <c r="K3093" s="444">
        <f t="shared" ca="1" si="161"/>
        <v>25850147.159313977</v>
      </c>
      <c r="L3093" s="444">
        <f t="shared" ca="1" si="162"/>
        <v>6229885465.3946686</v>
      </c>
      <c r="M3093" s="460">
        <f t="shared" si="164"/>
        <v>0.05</v>
      </c>
      <c r="N3093" s="464">
        <f t="shared" si="165"/>
        <v>145185</v>
      </c>
    </row>
    <row r="3094" spans="7:14" ht="11.25" customHeight="1" x14ac:dyDescent="0.3">
      <c r="G3094" s="459"/>
      <c r="H3094" s="459">
        <v>3087</v>
      </c>
      <c r="I3094" s="444">
        <f t="shared" ca="1" si="163"/>
        <v>6229885465.3946686</v>
      </c>
      <c r="J3094" s="444">
        <f t="array" ref="J3094">IFERROR(INDEX('Retirement Calculator'!J:J,MATCH('Isaac 401k'!N3094,'Retirement Calculator'!A:A,0),0),0)</f>
        <v>0</v>
      </c>
      <c r="K3094" s="444">
        <f t="shared" ca="1" si="161"/>
        <v>25957856.105811119</v>
      </c>
      <c r="L3094" s="444">
        <f t="shared" ca="1" si="162"/>
        <v>6255843321.5004797</v>
      </c>
      <c r="M3094" s="460">
        <f t="shared" si="164"/>
        <v>0.05</v>
      </c>
      <c r="N3094" s="464">
        <f t="shared" si="165"/>
        <v>145216</v>
      </c>
    </row>
    <row r="3095" spans="7:14" ht="11.25" customHeight="1" x14ac:dyDescent="0.3">
      <c r="G3095" s="459"/>
      <c r="H3095" s="459">
        <v>3088</v>
      </c>
      <c r="I3095" s="444">
        <f t="shared" ca="1" si="163"/>
        <v>6255843321.5004797</v>
      </c>
      <c r="J3095" s="444">
        <f t="array" ref="J3095">IFERROR(INDEX('Retirement Calculator'!J:J,MATCH('Isaac 401k'!N3095,'Retirement Calculator'!A:A,0),0),0)</f>
        <v>0</v>
      </c>
      <c r="K3095" s="444">
        <f t="shared" ca="1" si="161"/>
        <v>26066013.83958533</v>
      </c>
      <c r="L3095" s="444">
        <f t="shared" ca="1" si="162"/>
        <v>6281909335.340065</v>
      </c>
      <c r="M3095" s="460">
        <f t="shared" si="164"/>
        <v>0.05</v>
      </c>
      <c r="N3095" s="464">
        <f t="shared" si="165"/>
        <v>145247</v>
      </c>
    </row>
    <row r="3096" spans="7:14" ht="11.25" customHeight="1" x14ac:dyDescent="0.3">
      <c r="G3096" s="459"/>
      <c r="H3096" s="459">
        <v>3089</v>
      </c>
      <c r="I3096" s="444">
        <f t="shared" ca="1" si="163"/>
        <v>6281909335.340065</v>
      </c>
      <c r="J3096" s="444">
        <f t="array" ref="J3096">IFERROR(INDEX('Retirement Calculator'!J:J,MATCH('Isaac 401k'!N3096,'Retirement Calculator'!A:A,0),0),0)</f>
        <v>0</v>
      </c>
      <c r="K3096" s="444">
        <f t="shared" ca="1" si="161"/>
        <v>26174622.230583604</v>
      </c>
      <c r="L3096" s="444">
        <f t="shared" ca="1" si="162"/>
        <v>6308083957.5706482</v>
      </c>
      <c r="M3096" s="460">
        <f t="shared" si="164"/>
        <v>0.05</v>
      </c>
      <c r="N3096" s="464">
        <f t="shared" si="165"/>
        <v>145277</v>
      </c>
    </row>
    <row r="3097" spans="7:14" ht="11.25" customHeight="1" x14ac:dyDescent="0.3">
      <c r="G3097" s="459"/>
      <c r="H3097" s="459">
        <v>3090</v>
      </c>
      <c r="I3097" s="444">
        <f t="shared" ca="1" si="163"/>
        <v>6308083957.5706482</v>
      </c>
      <c r="J3097" s="444">
        <f t="array" ref="J3097">IFERROR(INDEX('Retirement Calculator'!J:J,MATCH('Isaac 401k'!N3097,'Retirement Calculator'!A:A,0),0),0)</f>
        <v>0</v>
      </c>
      <c r="K3097" s="444">
        <f t="shared" ca="1" si="161"/>
        <v>26283683.156544369</v>
      </c>
      <c r="L3097" s="444">
        <f t="shared" ca="1" si="162"/>
        <v>6334367640.7271929</v>
      </c>
      <c r="M3097" s="460">
        <f t="shared" si="164"/>
        <v>0.05</v>
      </c>
      <c r="N3097" s="464">
        <f t="shared" si="165"/>
        <v>145308</v>
      </c>
    </row>
    <row r="3098" spans="7:14" ht="11.25" customHeight="1" x14ac:dyDescent="0.3">
      <c r="G3098" s="459"/>
      <c r="H3098" s="459">
        <v>3091</v>
      </c>
      <c r="I3098" s="444">
        <f t="shared" ca="1" si="163"/>
        <v>6334367640.7271929</v>
      </c>
      <c r="J3098" s="444">
        <f t="array" ref="J3098">IFERROR(INDEX('Retirement Calculator'!J:J,MATCH('Isaac 401k'!N3098,'Retirement Calculator'!A:A,0),0),0)</f>
        <v>0</v>
      </c>
      <c r="K3098" s="444">
        <f t="shared" ca="1" si="161"/>
        <v>26393198.503029969</v>
      </c>
      <c r="L3098" s="444">
        <f t="shared" ca="1" si="162"/>
        <v>6360760839.2302227</v>
      </c>
      <c r="M3098" s="460">
        <f t="shared" si="164"/>
        <v>0.05</v>
      </c>
      <c r="N3098" s="464">
        <f t="shared" si="165"/>
        <v>145338</v>
      </c>
    </row>
    <row r="3099" spans="7:14" ht="11.25" customHeight="1" x14ac:dyDescent="0.3">
      <c r="G3099" s="459"/>
      <c r="H3099" s="459">
        <v>3092</v>
      </c>
      <c r="I3099" s="444">
        <f t="shared" ca="1" si="163"/>
        <v>6360760839.2302227</v>
      </c>
      <c r="J3099" s="444">
        <f t="array" ref="J3099">IFERROR(INDEX('Retirement Calculator'!J:J,MATCH('Isaac 401k'!N3099,'Retirement Calculator'!A:A,0),0),0)</f>
        <v>0</v>
      </c>
      <c r="K3099" s="444">
        <f t="shared" ca="1" si="161"/>
        <v>26503170.16345926</v>
      </c>
      <c r="L3099" s="444">
        <f t="shared" ca="1" si="162"/>
        <v>6387264009.3936815</v>
      </c>
      <c r="M3099" s="460">
        <f t="shared" si="164"/>
        <v>0.05</v>
      </c>
      <c r="N3099" s="464">
        <f t="shared" si="165"/>
        <v>145369</v>
      </c>
    </row>
    <row r="3100" spans="7:14" ht="11.25" customHeight="1" x14ac:dyDescent="0.3">
      <c r="G3100" s="459"/>
      <c r="H3100" s="459">
        <v>3093</v>
      </c>
      <c r="I3100" s="444">
        <f t="shared" ca="1" si="163"/>
        <v>6387264009.3936815</v>
      </c>
      <c r="J3100" s="444">
        <f t="array" ref="J3100">IFERROR(INDEX('Retirement Calculator'!J:J,MATCH('Isaac 401k'!N3100,'Retirement Calculator'!A:A,0),0),0)</f>
        <v>0</v>
      </c>
      <c r="K3100" s="444">
        <f t="shared" ca="1" si="161"/>
        <v>26613600.03914034</v>
      </c>
      <c r="L3100" s="444">
        <f t="shared" ca="1" si="162"/>
        <v>6413877609.4328222</v>
      </c>
      <c r="M3100" s="460">
        <f t="shared" si="164"/>
        <v>0.05</v>
      </c>
      <c r="N3100" s="464">
        <f t="shared" si="165"/>
        <v>145400</v>
      </c>
    </row>
    <row r="3101" spans="7:14" ht="11.25" customHeight="1" x14ac:dyDescent="0.3">
      <c r="G3101" s="459"/>
      <c r="H3101" s="459">
        <v>3094</v>
      </c>
      <c r="I3101" s="444">
        <f t="shared" ca="1" si="163"/>
        <v>6413877609.4328222</v>
      </c>
      <c r="J3101" s="444">
        <f t="array" ref="J3101">IFERROR(INDEX('Retirement Calculator'!J:J,MATCH('Isaac 401k'!N3101,'Retirement Calculator'!A:A,0),0),0)</f>
        <v>0</v>
      </c>
      <c r="K3101" s="444">
        <f t="shared" ca="1" si="161"/>
        <v>26724490.039303426</v>
      </c>
      <c r="L3101" s="444">
        <f t="shared" ca="1" si="162"/>
        <v>6440602099.472126</v>
      </c>
      <c r="M3101" s="460">
        <f t="shared" si="164"/>
        <v>0.05</v>
      </c>
      <c r="N3101" s="464">
        <f t="shared" si="165"/>
        <v>145428</v>
      </c>
    </row>
    <row r="3102" spans="7:14" ht="11.25" customHeight="1" x14ac:dyDescent="0.3">
      <c r="G3102" s="459"/>
      <c r="H3102" s="459">
        <v>3095</v>
      </c>
      <c r="I3102" s="444">
        <f t="shared" ca="1" si="163"/>
        <v>6440602099.472126</v>
      </c>
      <c r="J3102" s="444">
        <f t="array" ref="J3102">IFERROR(INDEX('Retirement Calculator'!J:J,MATCH('Isaac 401k'!N3102,'Retirement Calculator'!A:A,0),0),0)</f>
        <v>0</v>
      </c>
      <c r="K3102" s="444">
        <f t="shared" ca="1" si="161"/>
        <v>26835842.081133857</v>
      </c>
      <c r="L3102" s="444">
        <f t="shared" ca="1" si="162"/>
        <v>6467437941.5532598</v>
      </c>
      <c r="M3102" s="460">
        <f t="shared" si="164"/>
        <v>0.05</v>
      </c>
      <c r="N3102" s="464">
        <f t="shared" si="165"/>
        <v>145459</v>
      </c>
    </row>
    <row r="3103" spans="7:14" ht="11.25" customHeight="1" x14ac:dyDescent="0.3">
      <c r="G3103" s="459"/>
      <c r="H3103" s="459">
        <v>3096</v>
      </c>
      <c r="I3103" s="444">
        <f t="shared" ca="1" si="163"/>
        <v>6467437941.5532598</v>
      </c>
      <c r="J3103" s="444">
        <f t="array" ref="J3103">IFERROR(INDEX('Retirement Calculator'!J:J,MATCH('Isaac 401k'!N3103,'Retirement Calculator'!A:A,0),0),0)</f>
        <v>0</v>
      </c>
      <c r="K3103" s="444">
        <f t="shared" ca="1" si="161"/>
        <v>26947658.089805249</v>
      </c>
      <c r="L3103" s="444">
        <f t="shared" ca="1" si="162"/>
        <v>6494385599.6430655</v>
      </c>
      <c r="M3103" s="460">
        <f t="shared" si="164"/>
        <v>0.05</v>
      </c>
      <c r="N3103" s="464">
        <f t="shared" si="165"/>
        <v>145489</v>
      </c>
    </row>
    <row r="3104" spans="7:14" ht="11.25" customHeight="1" x14ac:dyDescent="0.3">
      <c r="G3104" s="459"/>
      <c r="H3104" s="459">
        <v>3097</v>
      </c>
      <c r="I3104" s="444">
        <f t="shared" ca="1" si="163"/>
        <v>6494385599.6430655</v>
      </c>
      <c r="J3104" s="444">
        <f t="array" ref="J3104">IFERROR(INDEX('Retirement Calculator'!J:J,MATCH('Isaac 401k'!N3104,'Retirement Calculator'!A:A,0),0),0)</f>
        <v>0</v>
      </c>
      <c r="K3104" s="444">
        <f t="shared" ca="1" si="161"/>
        <v>27059939.998512771</v>
      </c>
      <c r="L3104" s="444">
        <f t="shared" ca="1" si="162"/>
        <v>6521445539.6415787</v>
      </c>
      <c r="M3104" s="460">
        <f t="shared" si="164"/>
        <v>0.05</v>
      </c>
      <c r="N3104" s="464">
        <f t="shared" si="165"/>
        <v>145520</v>
      </c>
    </row>
    <row r="3105" spans="7:14" ht="11.25" customHeight="1" x14ac:dyDescent="0.3">
      <c r="G3105" s="459"/>
      <c r="H3105" s="459">
        <v>3098</v>
      </c>
      <c r="I3105" s="444">
        <f t="shared" ca="1" si="163"/>
        <v>6521445539.6415787</v>
      </c>
      <c r="J3105" s="444">
        <f t="array" ref="J3105">IFERROR(INDEX('Retirement Calculator'!J:J,MATCH('Isaac 401k'!N3105,'Retirement Calculator'!A:A,0),0),0)</f>
        <v>0</v>
      </c>
      <c r="K3105" s="444">
        <f t="shared" ca="1" si="161"/>
        <v>27172689.748506576</v>
      </c>
      <c r="L3105" s="444">
        <f t="shared" ca="1" si="162"/>
        <v>6548618229.3900852</v>
      </c>
      <c r="M3105" s="460">
        <f t="shared" si="164"/>
        <v>0.05</v>
      </c>
      <c r="N3105" s="464">
        <f t="shared" si="165"/>
        <v>145550</v>
      </c>
    </row>
    <row r="3106" spans="7:14" ht="11.25" customHeight="1" x14ac:dyDescent="0.3">
      <c r="G3106" s="459"/>
      <c r="H3106" s="459">
        <v>3099</v>
      </c>
      <c r="I3106" s="444">
        <f t="shared" ca="1" si="163"/>
        <v>6548618229.3900852</v>
      </c>
      <c r="J3106" s="444">
        <f t="array" ref="J3106">IFERROR(INDEX('Retirement Calculator'!J:J,MATCH('Isaac 401k'!N3106,'Retirement Calculator'!A:A,0),0),0)</f>
        <v>0</v>
      </c>
      <c r="K3106" s="444">
        <f t="shared" ca="1" si="161"/>
        <v>27285909.289125353</v>
      </c>
      <c r="L3106" s="444">
        <f t="shared" ca="1" si="162"/>
        <v>6575904138.6792107</v>
      </c>
      <c r="M3106" s="460">
        <f t="shared" si="164"/>
        <v>0.05</v>
      </c>
      <c r="N3106" s="464">
        <f t="shared" si="165"/>
        <v>145581</v>
      </c>
    </row>
    <row r="3107" spans="7:14" ht="11.25" customHeight="1" x14ac:dyDescent="0.3">
      <c r="G3107" s="459"/>
      <c r="H3107" s="459">
        <v>3100</v>
      </c>
      <c r="I3107" s="444">
        <f t="shared" ca="1" si="163"/>
        <v>6575904138.6792107</v>
      </c>
      <c r="J3107" s="444">
        <f t="array" ref="J3107">IFERROR(INDEX('Retirement Calculator'!J:J,MATCH('Isaac 401k'!N3107,'Retirement Calculator'!A:A,0),0),0)</f>
        <v>0</v>
      </c>
      <c r="K3107" s="444">
        <f t="shared" ca="1" si="161"/>
        <v>27399600.577830043</v>
      </c>
      <c r="L3107" s="444">
        <f t="shared" ca="1" si="162"/>
        <v>6603303739.257041</v>
      </c>
      <c r="M3107" s="460">
        <f t="shared" si="164"/>
        <v>0.05</v>
      </c>
      <c r="N3107" s="464">
        <f t="shared" si="165"/>
        <v>145612</v>
      </c>
    </row>
    <row r="3108" spans="7:14" ht="11.25" customHeight="1" x14ac:dyDescent="0.3">
      <c r="G3108" s="459"/>
      <c r="H3108" s="459">
        <v>3101</v>
      </c>
      <c r="I3108" s="444">
        <f t="shared" ca="1" si="163"/>
        <v>6603303739.257041</v>
      </c>
      <c r="J3108" s="444">
        <f t="array" ref="J3108">IFERROR(INDEX('Retirement Calculator'!J:J,MATCH('Isaac 401k'!N3108,'Retirement Calculator'!A:A,0),0),0)</f>
        <v>0</v>
      </c>
      <c r="K3108" s="444">
        <f t="shared" ca="1" si="161"/>
        <v>27513765.580237672</v>
      </c>
      <c r="L3108" s="444">
        <f t="shared" ca="1" si="162"/>
        <v>6630817504.8372784</v>
      </c>
      <c r="M3108" s="460">
        <f t="shared" si="164"/>
        <v>0.05</v>
      </c>
      <c r="N3108" s="464">
        <f t="shared" si="165"/>
        <v>145642</v>
      </c>
    </row>
    <row r="3109" spans="7:14" ht="11.25" customHeight="1" x14ac:dyDescent="0.3">
      <c r="G3109" s="459"/>
      <c r="H3109" s="459">
        <v>3102</v>
      </c>
      <c r="I3109" s="444">
        <f t="shared" ca="1" si="163"/>
        <v>6630817504.8372784</v>
      </c>
      <c r="J3109" s="444">
        <f t="array" ref="J3109">IFERROR(INDEX('Retirement Calculator'!J:J,MATCH('Isaac 401k'!N3109,'Retirement Calculator'!A:A,0),0),0)</f>
        <v>0</v>
      </c>
      <c r="K3109" s="444">
        <f t="shared" ca="1" si="161"/>
        <v>27628406.270155326</v>
      </c>
      <c r="L3109" s="444">
        <f t="shared" ca="1" si="162"/>
        <v>6658445911.1074333</v>
      </c>
      <c r="M3109" s="460">
        <f t="shared" si="164"/>
        <v>0.05</v>
      </c>
      <c r="N3109" s="464">
        <f t="shared" si="165"/>
        <v>145673</v>
      </c>
    </row>
    <row r="3110" spans="7:14" ht="11.25" customHeight="1" x14ac:dyDescent="0.3">
      <c r="G3110" s="459"/>
      <c r="H3110" s="459">
        <v>3103</v>
      </c>
      <c r="I3110" s="444">
        <f t="shared" ca="1" si="163"/>
        <v>6658445911.1074333</v>
      </c>
      <c r="J3110" s="444">
        <f t="array" ref="J3110">IFERROR(INDEX('Retirement Calculator'!J:J,MATCH('Isaac 401k'!N3110,'Retirement Calculator'!A:A,0),0),0)</f>
        <v>0</v>
      </c>
      <c r="K3110" s="444">
        <f t="shared" ca="1" si="161"/>
        <v>27743524.629614305</v>
      </c>
      <c r="L3110" s="444">
        <f t="shared" ca="1" si="162"/>
        <v>6686189435.7370472</v>
      </c>
      <c r="M3110" s="460">
        <f t="shared" si="164"/>
        <v>0.05</v>
      </c>
      <c r="N3110" s="464">
        <f t="shared" si="165"/>
        <v>145703</v>
      </c>
    </row>
    <row r="3111" spans="7:14" ht="11.25" customHeight="1" x14ac:dyDescent="0.3">
      <c r="G3111" s="459"/>
      <c r="H3111" s="459">
        <v>3104</v>
      </c>
      <c r="I3111" s="444">
        <f t="shared" ca="1" si="163"/>
        <v>6686189435.7370472</v>
      </c>
      <c r="J3111" s="444">
        <f t="array" ref="J3111">IFERROR(INDEX('Retirement Calculator'!J:J,MATCH('Isaac 401k'!N3111,'Retirement Calculator'!A:A,0),0),0)</f>
        <v>0</v>
      </c>
      <c r="K3111" s="444">
        <f t="shared" ca="1" si="161"/>
        <v>27859122.648904365</v>
      </c>
      <c r="L3111" s="444">
        <f t="shared" ca="1" si="162"/>
        <v>6714048558.385952</v>
      </c>
      <c r="M3111" s="460">
        <f t="shared" si="164"/>
        <v>0.05</v>
      </c>
      <c r="N3111" s="464">
        <f t="shared" si="165"/>
        <v>145734</v>
      </c>
    </row>
    <row r="3112" spans="7:14" ht="11.25" customHeight="1" x14ac:dyDescent="0.3">
      <c r="G3112" s="459"/>
      <c r="H3112" s="459">
        <v>3105</v>
      </c>
      <c r="I3112" s="444">
        <f t="shared" ca="1" si="163"/>
        <v>6714048558.385952</v>
      </c>
      <c r="J3112" s="444">
        <f t="array" ref="J3112">IFERROR(INDEX('Retirement Calculator'!J:J,MATCH('Isaac 401k'!N3112,'Retirement Calculator'!A:A,0),0),0)</f>
        <v>0</v>
      </c>
      <c r="K3112" s="444">
        <f t="shared" ca="1" si="161"/>
        <v>27975202.326608133</v>
      </c>
      <c r="L3112" s="444">
        <f t="shared" ca="1" si="162"/>
        <v>6742023760.7125597</v>
      </c>
      <c r="M3112" s="460">
        <f t="shared" si="164"/>
        <v>0.05</v>
      </c>
      <c r="N3112" s="464">
        <f t="shared" si="165"/>
        <v>145765</v>
      </c>
    </row>
    <row r="3113" spans="7:14" ht="11.25" customHeight="1" x14ac:dyDescent="0.3">
      <c r="G3113" s="459"/>
      <c r="H3113" s="459">
        <v>3106</v>
      </c>
      <c r="I3113" s="444">
        <f t="shared" ca="1" si="163"/>
        <v>6742023760.7125597</v>
      </c>
      <c r="J3113" s="444">
        <f t="array" ref="J3113">IFERROR(INDEX('Retirement Calculator'!J:J,MATCH('Isaac 401k'!N3113,'Retirement Calculator'!A:A,0),0),0)</f>
        <v>0</v>
      </c>
      <c r="K3113" s="444">
        <f t="shared" ca="1" si="161"/>
        <v>28091765.669635668</v>
      </c>
      <c r="L3113" s="444">
        <f t="shared" ca="1" si="162"/>
        <v>6770115526.3821955</v>
      </c>
      <c r="M3113" s="460">
        <f t="shared" si="164"/>
        <v>0.05</v>
      </c>
      <c r="N3113" s="464">
        <f t="shared" si="165"/>
        <v>145793</v>
      </c>
    </row>
    <row r="3114" spans="7:14" ht="11.25" customHeight="1" x14ac:dyDescent="0.3">
      <c r="G3114" s="459"/>
      <c r="H3114" s="459">
        <v>3107</v>
      </c>
      <c r="I3114" s="444">
        <f t="shared" ca="1" si="163"/>
        <v>6770115526.3821955</v>
      </c>
      <c r="J3114" s="444">
        <f t="array" ref="J3114">IFERROR(INDEX('Retirement Calculator'!J:J,MATCH('Isaac 401k'!N3114,'Retirement Calculator'!A:A,0),0),0)</f>
        <v>0</v>
      </c>
      <c r="K3114" s="444">
        <f t="shared" ca="1" si="161"/>
        <v>28208814.693259142</v>
      </c>
      <c r="L3114" s="444">
        <f t="shared" ca="1" si="162"/>
        <v>6798324341.0754547</v>
      </c>
      <c r="M3114" s="460">
        <f t="shared" si="164"/>
        <v>0.05</v>
      </c>
      <c r="N3114" s="464">
        <f t="shared" si="165"/>
        <v>145824</v>
      </c>
    </row>
    <row r="3115" spans="7:14" ht="11.25" customHeight="1" x14ac:dyDescent="0.3">
      <c r="G3115" s="459"/>
      <c r="H3115" s="459">
        <v>3108</v>
      </c>
      <c r="I3115" s="444">
        <f t="shared" ca="1" si="163"/>
        <v>6798324341.0754547</v>
      </c>
      <c r="J3115" s="444">
        <f t="array" ref="J3115">IFERROR(INDEX('Retirement Calculator'!J:J,MATCH('Isaac 401k'!N3115,'Retirement Calculator'!A:A,0),0),0)</f>
        <v>0</v>
      </c>
      <c r="K3115" s="444">
        <f t="shared" ca="1" si="161"/>
        <v>28326351.421147723</v>
      </c>
      <c r="L3115" s="444">
        <f t="shared" ca="1" si="162"/>
        <v>6826650692.4966021</v>
      </c>
      <c r="M3115" s="460">
        <f t="shared" si="164"/>
        <v>0.05</v>
      </c>
      <c r="N3115" s="464">
        <f t="shared" si="165"/>
        <v>145854</v>
      </c>
    </row>
    <row r="3116" spans="7:14" ht="11.25" customHeight="1" x14ac:dyDescent="0.3">
      <c r="G3116" s="459"/>
      <c r="H3116" s="459">
        <v>3109</v>
      </c>
      <c r="I3116" s="444">
        <f t="shared" ca="1" si="163"/>
        <v>6826650692.4966021</v>
      </c>
      <c r="J3116" s="444">
        <f t="array" ref="J3116">IFERROR(INDEX('Retirement Calculator'!J:J,MATCH('Isaac 401k'!N3116,'Retirement Calculator'!A:A,0),0),0)</f>
        <v>0</v>
      </c>
      <c r="K3116" s="444">
        <f t="shared" ca="1" si="161"/>
        <v>28444377.885402504</v>
      </c>
      <c r="L3116" s="444">
        <f t="shared" ca="1" si="162"/>
        <v>6855095070.3820047</v>
      </c>
      <c r="M3116" s="460">
        <f t="shared" si="164"/>
        <v>0.05</v>
      </c>
      <c r="N3116" s="464">
        <f t="shared" si="165"/>
        <v>145885</v>
      </c>
    </row>
    <row r="3117" spans="7:14" ht="11.25" customHeight="1" x14ac:dyDescent="0.3">
      <c r="G3117" s="459"/>
      <c r="H3117" s="459">
        <v>3110</v>
      </c>
      <c r="I3117" s="444">
        <f t="shared" ca="1" si="163"/>
        <v>6855095070.3820047</v>
      </c>
      <c r="J3117" s="444">
        <f t="array" ref="J3117">IFERROR(INDEX('Retirement Calculator'!J:J,MATCH('Isaac 401k'!N3117,'Retirement Calculator'!A:A,0),0),0)</f>
        <v>0</v>
      </c>
      <c r="K3117" s="444">
        <f t="shared" ca="1" si="161"/>
        <v>28562896.126591686</v>
      </c>
      <c r="L3117" s="444">
        <f t="shared" ca="1" si="162"/>
        <v>6883657966.5085964</v>
      </c>
      <c r="M3117" s="460">
        <f t="shared" si="164"/>
        <v>0.05</v>
      </c>
      <c r="N3117" s="464">
        <f t="shared" si="165"/>
        <v>145915</v>
      </c>
    </row>
    <row r="3118" spans="7:14" ht="11.25" customHeight="1" x14ac:dyDescent="0.3">
      <c r="G3118" s="459"/>
      <c r="H3118" s="459">
        <v>3111</v>
      </c>
      <c r="I3118" s="444">
        <f t="shared" ca="1" si="163"/>
        <v>6883657966.5085964</v>
      </c>
      <c r="J3118" s="444">
        <f t="array" ref="J3118">IFERROR(INDEX('Retirement Calculator'!J:J,MATCH('Isaac 401k'!N3118,'Retirement Calculator'!A:A,0),0),0)</f>
        <v>0</v>
      </c>
      <c r="K3118" s="444">
        <f t="shared" ca="1" si="161"/>
        <v>28681908.193785813</v>
      </c>
      <c r="L3118" s="444">
        <f t="shared" ca="1" si="162"/>
        <v>6912339874.7023821</v>
      </c>
      <c r="M3118" s="460">
        <f t="shared" si="164"/>
        <v>0.05</v>
      </c>
      <c r="N3118" s="464">
        <f t="shared" si="165"/>
        <v>145946</v>
      </c>
    </row>
    <row r="3119" spans="7:14" ht="11.25" customHeight="1" x14ac:dyDescent="0.3">
      <c r="G3119" s="459"/>
      <c r="H3119" s="459">
        <v>3112</v>
      </c>
      <c r="I3119" s="444">
        <f t="shared" ca="1" si="163"/>
        <v>6912339874.7023821</v>
      </c>
      <c r="J3119" s="444">
        <f t="array" ref="J3119">IFERROR(INDEX('Retirement Calculator'!J:J,MATCH('Isaac 401k'!N3119,'Retirement Calculator'!A:A,0),0),0)</f>
        <v>0</v>
      </c>
      <c r="K3119" s="444">
        <f t="shared" ca="1" si="161"/>
        <v>28801416.144593257</v>
      </c>
      <c r="L3119" s="444">
        <f t="shared" ca="1" si="162"/>
        <v>6941141290.8469753</v>
      </c>
      <c r="M3119" s="460">
        <f t="shared" si="164"/>
        <v>0.05</v>
      </c>
      <c r="N3119" s="464">
        <f t="shared" si="165"/>
        <v>145977</v>
      </c>
    </row>
    <row r="3120" spans="7:14" ht="11.25" customHeight="1" x14ac:dyDescent="0.3">
      <c r="G3120" s="459"/>
      <c r="H3120" s="459">
        <v>3113</v>
      </c>
      <c r="I3120" s="444">
        <f t="shared" ca="1" si="163"/>
        <v>6941141290.8469753</v>
      </c>
      <c r="J3120" s="444">
        <f t="array" ref="J3120">IFERROR(INDEX('Retirement Calculator'!J:J,MATCH('Isaac 401k'!N3120,'Retirement Calculator'!A:A,0),0),0)</f>
        <v>0</v>
      </c>
      <c r="K3120" s="444">
        <f t="shared" ca="1" si="161"/>
        <v>28921422.045195732</v>
      </c>
      <c r="L3120" s="444">
        <f t="shared" ca="1" si="162"/>
        <v>6970062712.8921709</v>
      </c>
      <c r="M3120" s="460">
        <f t="shared" si="164"/>
        <v>0.05</v>
      </c>
      <c r="N3120" s="464">
        <f t="shared" si="165"/>
        <v>146007</v>
      </c>
    </row>
    <row r="3121" spans="7:14" ht="11.25" customHeight="1" x14ac:dyDescent="0.3">
      <c r="G3121" s="459"/>
      <c r="H3121" s="459">
        <v>3114</v>
      </c>
      <c r="I3121" s="444">
        <f t="shared" ca="1" si="163"/>
        <v>6970062712.8921709</v>
      </c>
      <c r="J3121" s="444">
        <f t="array" ref="J3121">IFERROR(INDEX('Retirement Calculator'!J:J,MATCH('Isaac 401k'!N3121,'Retirement Calculator'!A:A,0),0),0)</f>
        <v>0</v>
      </c>
      <c r="K3121" s="444">
        <f t="shared" ca="1" si="161"/>
        <v>29041927.970384046</v>
      </c>
      <c r="L3121" s="444">
        <f t="shared" ca="1" si="162"/>
        <v>6999104640.8625546</v>
      </c>
      <c r="M3121" s="460">
        <f t="shared" si="164"/>
        <v>0.05</v>
      </c>
      <c r="N3121" s="464">
        <f t="shared" si="165"/>
        <v>146038</v>
      </c>
    </row>
    <row r="3122" spans="7:14" ht="11.25" customHeight="1" x14ac:dyDescent="0.3">
      <c r="G3122" s="459"/>
      <c r="H3122" s="459">
        <v>3115</v>
      </c>
      <c r="I3122" s="444">
        <f t="shared" ca="1" si="163"/>
        <v>6999104640.8625546</v>
      </c>
      <c r="J3122" s="444">
        <f t="array" ref="J3122">IFERROR(INDEX('Retirement Calculator'!J:J,MATCH('Isaac 401k'!N3122,'Retirement Calculator'!A:A,0),0),0)</f>
        <v>0</v>
      </c>
      <c r="K3122" s="444">
        <f t="shared" ca="1" si="161"/>
        <v>29162936.003593978</v>
      </c>
      <c r="L3122" s="444">
        <f t="shared" ca="1" si="162"/>
        <v>7028267576.8661489</v>
      </c>
      <c r="M3122" s="460">
        <f t="shared" si="164"/>
        <v>0.05</v>
      </c>
      <c r="N3122" s="464">
        <f t="shared" si="165"/>
        <v>146068</v>
      </c>
    </row>
    <row r="3123" spans="7:14" ht="11.25" customHeight="1" x14ac:dyDescent="0.3">
      <c r="G3123" s="459"/>
      <c r="H3123" s="459">
        <v>3116</v>
      </c>
      <c r="I3123" s="444">
        <f t="shared" ca="1" si="163"/>
        <v>7028267576.8661489</v>
      </c>
      <c r="J3123" s="444">
        <f t="array" ref="J3123">IFERROR(INDEX('Retirement Calculator'!J:J,MATCH('Isaac 401k'!N3123,'Retirement Calculator'!A:A,0),0),0)</f>
        <v>0</v>
      </c>
      <c r="K3123" s="444">
        <f t="shared" ca="1" si="161"/>
        <v>29284448.236942288</v>
      </c>
      <c r="L3123" s="444">
        <f t="shared" ca="1" si="162"/>
        <v>7057552025.1030912</v>
      </c>
      <c r="M3123" s="460">
        <f t="shared" si="164"/>
        <v>0.05</v>
      </c>
      <c r="N3123" s="464">
        <f t="shared" si="165"/>
        <v>146099</v>
      </c>
    </row>
    <row r="3124" spans="7:14" ht="11.25" customHeight="1" x14ac:dyDescent="0.3">
      <c r="G3124" s="459"/>
      <c r="H3124" s="459">
        <v>3117</v>
      </c>
      <c r="I3124" s="444">
        <f t="shared" ca="1" si="163"/>
        <v>7057552025.1030912</v>
      </c>
      <c r="J3124" s="444">
        <f t="array" ref="J3124">IFERROR(INDEX('Retirement Calculator'!J:J,MATCH('Isaac 401k'!N3124,'Retirement Calculator'!A:A,0),0),0)</f>
        <v>0</v>
      </c>
      <c r="K3124" s="444">
        <f t="shared" ca="1" si="161"/>
        <v>29406466.771262877</v>
      </c>
      <c r="L3124" s="444">
        <f t="shared" ca="1" si="162"/>
        <v>7086958491.8743544</v>
      </c>
      <c r="M3124" s="460">
        <f t="shared" si="164"/>
        <v>0.05</v>
      </c>
      <c r="N3124" s="464">
        <f t="shared" si="165"/>
        <v>146130</v>
      </c>
    </row>
    <row r="3125" spans="7:14" ht="11.25" customHeight="1" x14ac:dyDescent="0.3">
      <c r="G3125" s="459"/>
      <c r="H3125" s="459">
        <v>3118</v>
      </c>
      <c r="I3125" s="444">
        <f t="shared" ca="1" si="163"/>
        <v>7086958491.8743544</v>
      </c>
      <c r="J3125" s="444">
        <f t="array" ref="J3125">IFERROR(INDEX('Retirement Calculator'!J:J,MATCH('Isaac 401k'!N3125,'Retirement Calculator'!A:A,0),0),0)</f>
        <v>0</v>
      </c>
      <c r="K3125" s="444">
        <f t="shared" ca="1" si="161"/>
        <v>29528993.716143139</v>
      </c>
      <c r="L3125" s="444">
        <f t="shared" ca="1" si="162"/>
        <v>7116487485.590498</v>
      </c>
      <c r="M3125" s="460">
        <f t="shared" si="164"/>
        <v>0.05</v>
      </c>
      <c r="N3125" s="464">
        <f t="shared" si="165"/>
        <v>146158</v>
      </c>
    </row>
    <row r="3126" spans="7:14" ht="11.25" customHeight="1" x14ac:dyDescent="0.3">
      <c r="G3126" s="459"/>
      <c r="H3126" s="459">
        <v>3119</v>
      </c>
      <c r="I3126" s="444">
        <f t="shared" ca="1" si="163"/>
        <v>7116487485.590498</v>
      </c>
      <c r="J3126" s="444">
        <f t="array" ref="J3126">IFERROR(INDEX('Retirement Calculator'!J:J,MATCH('Isaac 401k'!N3126,'Retirement Calculator'!A:A,0),0),0)</f>
        <v>0</v>
      </c>
      <c r="K3126" s="444">
        <f t="shared" ca="1" si="161"/>
        <v>29652031.189960409</v>
      </c>
      <c r="L3126" s="444">
        <f t="shared" ca="1" si="162"/>
        <v>7146139516.7804585</v>
      </c>
      <c r="M3126" s="460">
        <f t="shared" si="164"/>
        <v>0.05</v>
      </c>
      <c r="N3126" s="464">
        <f t="shared" si="165"/>
        <v>146189</v>
      </c>
    </row>
    <row r="3127" spans="7:14" ht="11.25" customHeight="1" x14ac:dyDescent="0.3">
      <c r="G3127" s="459"/>
      <c r="H3127" s="459">
        <v>3120</v>
      </c>
      <c r="I3127" s="444">
        <f t="shared" ca="1" si="163"/>
        <v>7146139516.7804585</v>
      </c>
      <c r="J3127" s="444">
        <f t="array" ref="J3127">IFERROR(INDEX('Retirement Calculator'!J:J,MATCH('Isaac 401k'!N3127,'Retirement Calculator'!A:A,0),0),0)</f>
        <v>0</v>
      </c>
      <c r="K3127" s="444">
        <f t="shared" ca="1" si="161"/>
        <v>29775581.31991858</v>
      </c>
      <c r="L3127" s="444">
        <f t="shared" ca="1" si="162"/>
        <v>7175915098.1003771</v>
      </c>
      <c r="M3127" s="460">
        <f t="shared" si="164"/>
        <v>0.05</v>
      </c>
      <c r="N3127" s="464">
        <f t="shared" si="165"/>
        <v>146219</v>
      </c>
    </row>
    <row r="3128" spans="7:14" ht="11.25" customHeight="1" x14ac:dyDescent="0.3">
      <c r="G3128" s="459"/>
      <c r="H3128" s="459">
        <v>3121</v>
      </c>
      <c r="I3128" s="444">
        <f t="shared" ca="1" si="163"/>
        <v>7175915098.1003771</v>
      </c>
      <c r="J3128" s="444">
        <f t="array" ref="J3128">IFERROR(INDEX('Retirement Calculator'!J:J,MATCH('Isaac 401k'!N3128,'Retirement Calculator'!A:A,0),0),0)</f>
        <v>0</v>
      </c>
      <c r="K3128" s="444">
        <f t="shared" ca="1" si="161"/>
        <v>29899646.242084906</v>
      </c>
      <c r="L3128" s="444">
        <f t="shared" ca="1" si="162"/>
        <v>7205814744.3424616</v>
      </c>
      <c r="M3128" s="460">
        <f t="shared" si="164"/>
        <v>0.05</v>
      </c>
      <c r="N3128" s="464">
        <f t="shared" si="165"/>
        <v>146250</v>
      </c>
    </row>
    <row r="3129" spans="7:14" ht="11.25" customHeight="1" x14ac:dyDescent="0.3">
      <c r="G3129" s="459"/>
      <c r="H3129" s="459">
        <v>3122</v>
      </c>
      <c r="I3129" s="444">
        <f t="shared" ca="1" si="163"/>
        <v>7205814744.3424616</v>
      </c>
      <c r="J3129" s="444">
        <f t="array" ref="J3129">IFERROR(INDEX('Retirement Calculator'!J:J,MATCH('Isaac 401k'!N3129,'Retirement Calculator'!A:A,0),0),0)</f>
        <v>0</v>
      </c>
      <c r="K3129" s="444">
        <f t="shared" ca="1" si="161"/>
        <v>30024228.101426922</v>
      </c>
      <c r="L3129" s="444">
        <f t="shared" ca="1" si="162"/>
        <v>7235838972.4438887</v>
      </c>
      <c r="M3129" s="460">
        <f t="shared" si="164"/>
        <v>0.05</v>
      </c>
      <c r="N3129" s="464">
        <f t="shared" si="165"/>
        <v>146280</v>
      </c>
    </row>
    <row r="3130" spans="7:14" ht="11.25" customHeight="1" x14ac:dyDescent="0.3">
      <c r="G3130" s="459"/>
      <c r="H3130" s="459">
        <v>3123</v>
      </c>
      <c r="I3130" s="444">
        <f t="shared" ca="1" si="163"/>
        <v>7235838972.4438887</v>
      </c>
      <c r="J3130" s="444">
        <f t="array" ref="J3130">IFERROR(INDEX('Retirement Calculator'!J:J,MATCH('Isaac 401k'!N3130,'Retirement Calculator'!A:A,0),0),0)</f>
        <v>0</v>
      </c>
      <c r="K3130" s="444">
        <f t="shared" ca="1" si="161"/>
        <v>30149329.051849537</v>
      </c>
      <c r="L3130" s="444">
        <f t="shared" ca="1" si="162"/>
        <v>7265988301.495738</v>
      </c>
      <c r="M3130" s="460">
        <f t="shared" si="164"/>
        <v>0.05</v>
      </c>
      <c r="N3130" s="464">
        <f t="shared" si="165"/>
        <v>146311</v>
      </c>
    </row>
    <row r="3131" spans="7:14" ht="11.25" customHeight="1" x14ac:dyDescent="0.3">
      <c r="G3131" s="459"/>
      <c r="H3131" s="459">
        <v>3124</v>
      </c>
      <c r="I3131" s="444">
        <f t="shared" ca="1" si="163"/>
        <v>7265988301.495738</v>
      </c>
      <c r="J3131" s="444">
        <f t="array" ref="J3131">IFERROR(INDEX('Retirement Calculator'!J:J,MATCH('Isaac 401k'!N3131,'Retirement Calculator'!A:A,0),0),0)</f>
        <v>0</v>
      </c>
      <c r="K3131" s="444">
        <f t="shared" ca="1" si="161"/>
        <v>30274951.256232243</v>
      </c>
      <c r="L3131" s="444">
        <f t="shared" ca="1" si="162"/>
        <v>7296263252.7519703</v>
      </c>
      <c r="M3131" s="460">
        <f t="shared" si="164"/>
        <v>0.05</v>
      </c>
      <c r="N3131" s="464">
        <f t="shared" si="165"/>
        <v>146342</v>
      </c>
    </row>
    <row r="3132" spans="7:14" ht="11.25" customHeight="1" x14ac:dyDescent="0.3">
      <c r="G3132" s="459"/>
      <c r="H3132" s="459">
        <v>3125</v>
      </c>
      <c r="I3132" s="444">
        <f t="shared" ca="1" si="163"/>
        <v>7296263252.7519703</v>
      </c>
      <c r="J3132" s="444">
        <f t="array" ref="J3132">IFERROR(INDEX('Retirement Calculator'!J:J,MATCH('Isaac 401k'!N3132,'Retirement Calculator'!A:A,0),0),0)</f>
        <v>0</v>
      </c>
      <c r="K3132" s="444">
        <f t="shared" ca="1" si="161"/>
        <v>30401096.886466537</v>
      </c>
      <c r="L3132" s="444">
        <f t="shared" ca="1" si="162"/>
        <v>7326664349.6384373</v>
      </c>
      <c r="M3132" s="460">
        <f t="shared" si="164"/>
        <v>0.05</v>
      </c>
      <c r="N3132" s="464">
        <f t="shared" si="165"/>
        <v>146372</v>
      </c>
    </row>
    <row r="3133" spans="7:14" ht="11.25" customHeight="1" x14ac:dyDescent="0.3">
      <c r="G3133" s="459"/>
      <c r="H3133" s="459">
        <v>3126</v>
      </c>
      <c r="I3133" s="444">
        <f t="shared" ca="1" si="163"/>
        <v>7326664349.6384373</v>
      </c>
      <c r="J3133" s="444">
        <f t="array" ref="J3133">IFERROR(INDEX('Retirement Calculator'!J:J,MATCH('Isaac 401k'!N3133,'Retirement Calculator'!A:A,0),0),0)</f>
        <v>0</v>
      </c>
      <c r="K3133" s="444">
        <f t="shared" ca="1" si="161"/>
        <v>30527768.123493489</v>
      </c>
      <c r="L3133" s="444">
        <f t="shared" ca="1" si="162"/>
        <v>7357192117.7619305</v>
      </c>
      <c r="M3133" s="460">
        <f t="shared" si="164"/>
        <v>0.05</v>
      </c>
      <c r="N3133" s="464">
        <f t="shared" si="165"/>
        <v>146403</v>
      </c>
    </row>
    <row r="3134" spans="7:14" ht="11.25" customHeight="1" x14ac:dyDescent="0.3">
      <c r="G3134" s="459"/>
      <c r="H3134" s="459">
        <v>3127</v>
      </c>
      <c r="I3134" s="444">
        <f t="shared" ca="1" si="163"/>
        <v>7357192117.7619305</v>
      </c>
      <c r="J3134" s="444">
        <f t="array" ref="J3134">IFERROR(INDEX('Retirement Calculator'!J:J,MATCH('Isaac 401k'!N3134,'Retirement Calculator'!A:A,0),0),0)</f>
        <v>0</v>
      </c>
      <c r="K3134" s="444">
        <f t="shared" ca="1" si="161"/>
        <v>30654967.157341372</v>
      </c>
      <c r="L3134" s="444">
        <f t="shared" ca="1" si="162"/>
        <v>7387847084.9192715</v>
      </c>
      <c r="M3134" s="460">
        <f t="shared" si="164"/>
        <v>0.05</v>
      </c>
      <c r="N3134" s="464">
        <f t="shared" si="165"/>
        <v>146433</v>
      </c>
    </row>
    <row r="3135" spans="7:14" ht="11.25" customHeight="1" x14ac:dyDescent="0.3">
      <c r="G3135" s="459"/>
      <c r="H3135" s="459">
        <v>3128</v>
      </c>
      <c r="I3135" s="444">
        <f t="shared" ca="1" si="163"/>
        <v>7387847084.9192715</v>
      </c>
      <c r="J3135" s="444">
        <f t="array" ref="J3135">IFERROR(INDEX('Retirement Calculator'!J:J,MATCH('Isaac 401k'!N3135,'Retirement Calculator'!A:A,0),0),0)</f>
        <v>0</v>
      </c>
      <c r="K3135" s="444">
        <f t="shared" ca="1" si="161"/>
        <v>30782696.187163632</v>
      </c>
      <c r="L3135" s="444">
        <f t="shared" ca="1" si="162"/>
        <v>7418629781.1064348</v>
      </c>
      <c r="M3135" s="460">
        <f t="shared" si="164"/>
        <v>0.05</v>
      </c>
      <c r="N3135" s="464">
        <f t="shared" si="165"/>
        <v>146464</v>
      </c>
    </row>
    <row r="3136" spans="7:14" ht="11.25" customHeight="1" x14ac:dyDescent="0.3">
      <c r="G3136" s="459"/>
      <c r="H3136" s="459">
        <v>3129</v>
      </c>
      <c r="I3136" s="444">
        <f t="shared" ca="1" si="163"/>
        <v>7418629781.1064348</v>
      </c>
      <c r="J3136" s="444">
        <f t="array" ref="J3136">IFERROR(INDEX('Retirement Calculator'!J:J,MATCH('Isaac 401k'!N3136,'Retirement Calculator'!A:A,0),0),0)</f>
        <v>0</v>
      </c>
      <c r="K3136" s="444">
        <f t="shared" ca="1" si="161"/>
        <v>30910957.421276812</v>
      </c>
      <c r="L3136" s="444">
        <f t="shared" ca="1" si="162"/>
        <v>7449540738.5277119</v>
      </c>
      <c r="M3136" s="460">
        <f t="shared" si="164"/>
        <v>0.05</v>
      </c>
      <c r="N3136" s="464">
        <f t="shared" si="165"/>
        <v>146495</v>
      </c>
    </row>
    <row r="3137" spans="7:14" ht="11.25" customHeight="1" x14ac:dyDescent="0.3">
      <c r="G3137" s="459"/>
      <c r="H3137" s="459">
        <v>3130</v>
      </c>
      <c r="I3137" s="444">
        <f t="shared" ca="1" si="163"/>
        <v>7449540738.5277119</v>
      </c>
      <c r="J3137" s="444">
        <f t="array" ref="J3137">IFERROR(INDEX('Retirement Calculator'!J:J,MATCH('Isaac 401k'!N3137,'Retirement Calculator'!A:A,0),0),0)</f>
        <v>0</v>
      </c>
      <c r="K3137" s="444">
        <f t="shared" ca="1" si="161"/>
        <v>31039753.077198803</v>
      </c>
      <c r="L3137" s="444">
        <f t="shared" ca="1" si="162"/>
        <v>7480580491.6049109</v>
      </c>
      <c r="M3137" s="460">
        <f t="shared" si="164"/>
        <v>0.05</v>
      </c>
      <c r="N3137" s="464">
        <f t="shared" si="165"/>
        <v>146523</v>
      </c>
    </row>
    <row r="3138" spans="7:14" ht="11.25" customHeight="1" x14ac:dyDescent="0.3">
      <c r="G3138" s="459"/>
      <c r="H3138" s="459">
        <v>3131</v>
      </c>
      <c r="I3138" s="444">
        <f t="shared" ca="1" si="163"/>
        <v>7480580491.6049109</v>
      </c>
      <c r="J3138" s="444">
        <f t="array" ref="J3138">IFERROR(INDEX('Retirement Calculator'!J:J,MATCH('Isaac 401k'!N3138,'Retirement Calculator'!A:A,0),0),0)</f>
        <v>0</v>
      </c>
      <c r="K3138" s="444">
        <f t="shared" ca="1" si="161"/>
        <v>31169085.381687131</v>
      </c>
      <c r="L3138" s="444">
        <f t="shared" ca="1" si="162"/>
        <v>7511749576.986598</v>
      </c>
      <c r="M3138" s="460">
        <f t="shared" si="164"/>
        <v>0.05</v>
      </c>
      <c r="N3138" s="464">
        <f t="shared" si="165"/>
        <v>146554</v>
      </c>
    </row>
    <row r="3139" spans="7:14" ht="11.25" customHeight="1" x14ac:dyDescent="0.3">
      <c r="G3139" s="459"/>
      <c r="H3139" s="459">
        <v>3132</v>
      </c>
      <c r="I3139" s="444">
        <f t="shared" ca="1" si="163"/>
        <v>7511749576.986598</v>
      </c>
      <c r="J3139" s="444">
        <f t="array" ref="J3139">IFERROR(INDEX('Retirement Calculator'!J:J,MATCH('Isaac 401k'!N3139,'Retirement Calculator'!A:A,0),0),0)</f>
        <v>0</v>
      </c>
      <c r="K3139" s="444">
        <f t="shared" ca="1" si="161"/>
        <v>31298956.570777491</v>
      </c>
      <c r="L3139" s="444">
        <f t="shared" ca="1" si="162"/>
        <v>7543048533.5573759</v>
      </c>
      <c r="M3139" s="460">
        <f t="shared" si="164"/>
        <v>0.05</v>
      </c>
      <c r="N3139" s="464">
        <f t="shared" si="165"/>
        <v>146584</v>
      </c>
    </row>
    <row r="3140" spans="7:14" ht="11.25" customHeight="1" x14ac:dyDescent="0.3">
      <c r="G3140" s="459"/>
      <c r="H3140" s="459">
        <v>3133</v>
      </c>
      <c r="I3140" s="444">
        <f t="shared" ca="1" si="163"/>
        <v>7543048533.5573759</v>
      </c>
      <c r="J3140" s="444">
        <f t="array" ref="J3140">IFERROR(INDEX('Retirement Calculator'!J:J,MATCH('Isaac 401k'!N3140,'Retirement Calculator'!A:A,0),0),0)</f>
        <v>0</v>
      </c>
      <c r="K3140" s="444">
        <f t="shared" ca="1" si="161"/>
        <v>31429368.889822397</v>
      </c>
      <c r="L3140" s="444">
        <f t="shared" ca="1" si="162"/>
        <v>7574477902.4471979</v>
      </c>
      <c r="M3140" s="460">
        <f t="shared" si="164"/>
        <v>0.05</v>
      </c>
      <c r="N3140" s="464">
        <f t="shared" si="165"/>
        <v>146615</v>
      </c>
    </row>
    <row r="3141" spans="7:14" ht="11.25" customHeight="1" x14ac:dyDescent="0.3">
      <c r="G3141" s="459"/>
      <c r="H3141" s="459">
        <v>3134</v>
      </c>
      <c r="I3141" s="444">
        <f t="shared" ca="1" si="163"/>
        <v>7574477902.4471979</v>
      </c>
      <c r="J3141" s="444">
        <f t="array" ref="J3141">IFERROR(INDEX('Retirement Calculator'!J:J,MATCH('Isaac 401k'!N3141,'Retirement Calculator'!A:A,0),0),0)</f>
        <v>0</v>
      </c>
      <c r="K3141" s="444">
        <f t="shared" ca="1" si="161"/>
        <v>31560324.593529992</v>
      </c>
      <c r="L3141" s="444">
        <f t="shared" ca="1" si="162"/>
        <v>7606038227.0407276</v>
      </c>
      <c r="M3141" s="460">
        <f t="shared" si="164"/>
        <v>0.05</v>
      </c>
      <c r="N3141" s="464">
        <f t="shared" si="165"/>
        <v>146645</v>
      </c>
    </row>
    <row r="3142" spans="7:14" ht="11.25" customHeight="1" x14ac:dyDescent="0.3">
      <c r="G3142" s="459"/>
      <c r="H3142" s="459">
        <v>3135</v>
      </c>
      <c r="I3142" s="444">
        <f t="shared" ca="1" si="163"/>
        <v>7606038227.0407276</v>
      </c>
      <c r="J3142" s="444">
        <f t="array" ref="J3142">IFERROR(INDEX('Retirement Calculator'!J:J,MATCH('Isaac 401k'!N3142,'Retirement Calculator'!A:A,0),0),0)</f>
        <v>0</v>
      </c>
      <c r="K3142" s="444">
        <f t="shared" ca="1" si="161"/>
        <v>31691825.946003031</v>
      </c>
      <c r="L3142" s="444">
        <f t="shared" ca="1" si="162"/>
        <v>7637730052.9867306</v>
      </c>
      <c r="M3142" s="460">
        <f t="shared" si="164"/>
        <v>0.05</v>
      </c>
      <c r="N3142" s="464">
        <f t="shared" si="165"/>
        <v>146676</v>
      </c>
    </row>
    <row r="3143" spans="7:14" ht="11.25" customHeight="1" x14ac:dyDescent="0.3">
      <c r="G3143" s="459"/>
      <c r="H3143" s="459">
        <v>3136</v>
      </c>
      <c r="I3143" s="444">
        <f t="shared" ca="1" si="163"/>
        <v>7637730052.9867306</v>
      </c>
      <c r="J3143" s="444">
        <f t="array" ref="J3143">IFERROR(INDEX('Retirement Calculator'!J:J,MATCH('Isaac 401k'!N3143,'Retirement Calculator'!A:A,0),0),0)</f>
        <v>0</v>
      </c>
      <c r="K3143" s="444">
        <f t="shared" ca="1" si="161"/>
        <v>31823875.220778044</v>
      </c>
      <c r="L3143" s="444">
        <f t="shared" ca="1" si="162"/>
        <v>7669553928.207509</v>
      </c>
      <c r="M3143" s="460">
        <f t="shared" si="164"/>
        <v>0.05</v>
      </c>
      <c r="N3143" s="464">
        <f t="shared" si="165"/>
        <v>146707</v>
      </c>
    </row>
    <row r="3144" spans="7:14" ht="11.25" customHeight="1" x14ac:dyDescent="0.3">
      <c r="G3144" s="459"/>
      <c r="H3144" s="459">
        <v>3137</v>
      </c>
      <c r="I3144" s="444">
        <f t="shared" ca="1" si="163"/>
        <v>7669553928.207509</v>
      </c>
      <c r="J3144" s="444">
        <f t="array" ref="J3144">IFERROR(INDEX('Retirement Calculator'!J:J,MATCH('Isaac 401k'!N3144,'Retirement Calculator'!A:A,0),0),0)</f>
        <v>0</v>
      </c>
      <c r="K3144" s="444">
        <f t="shared" ca="1" si="161"/>
        <v>31956474.700864621</v>
      </c>
      <c r="L3144" s="444">
        <f t="shared" ca="1" si="162"/>
        <v>7701510402.9083738</v>
      </c>
      <c r="M3144" s="460">
        <f t="shared" si="164"/>
        <v>0.05</v>
      </c>
      <c r="N3144" s="464">
        <f t="shared" si="165"/>
        <v>146737</v>
      </c>
    </row>
    <row r="3145" spans="7:14" ht="11.25" customHeight="1" x14ac:dyDescent="0.3">
      <c r="G3145" s="459"/>
      <c r="H3145" s="459">
        <v>3138</v>
      </c>
      <c r="I3145" s="444">
        <f t="shared" ca="1" si="163"/>
        <v>7701510402.9083738</v>
      </c>
      <c r="J3145" s="444">
        <f t="array" ref="J3145">IFERROR(INDEX('Retirement Calculator'!J:J,MATCH('Isaac 401k'!N3145,'Retirement Calculator'!A:A,0),0),0)</f>
        <v>0</v>
      </c>
      <c r="K3145" s="444">
        <f t="shared" ca="1" si="161"/>
        <v>32089626.678784896</v>
      </c>
      <c r="L3145" s="444">
        <f t="shared" ca="1" si="162"/>
        <v>7733600029.5871592</v>
      </c>
      <c r="M3145" s="460">
        <f t="shared" si="164"/>
        <v>0.05</v>
      </c>
      <c r="N3145" s="464">
        <f t="shared" si="165"/>
        <v>146768</v>
      </c>
    </row>
    <row r="3146" spans="7:14" ht="11.25" customHeight="1" x14ac:dyDescent="0.3">
      <c r="G3146" s="459"/>
      <c r="H3146" s="459">
        <v>3139</v>
      </c>
      <c r="I3146" s="444">
        <f t="shared" ca="1" si="163"/>
        <v>7733600029.5871592</v>
      </c>
      <c r="J3146" s="444">
        <f t="array" ref="J3146">IFERROR(INDEX('Retirement Calculator'!J:J,MATCH('Isaac 401k'!N3146,'Retirement Calculator'!A:A,0),0),0)</f>
        <v>0</v>
      </c>
      <c r="K3146" s="444">
        <f t="shared" ca="1" si="161"/>
        <v>32223333.456613164</v>
      </c>
      <c r="L3146" s="444">
        <f t="shared" ca="1" si="162"/>
        <v>7765823363.0437727</v>
      </c>
      <c r="M3146" s="460">
        <f t="shared" si="164"/>
        <v>0.05</v>
      </c>
      <c r="N3146" s="464">
        <f t="shared" si="165"/>
        <v>146798</v>
      </c>
    </row>
    <row r="3147" spans="7:14" ht="11.25" customHeight="1" x14ac:dyDescent="0.3">
      <c r="G3147" s="459"/>
      <c r="H3147" s="459">
        <v>3140</v>
      </c>
      <c r="I3147" s="444">
        <f t="shared" ca="1" si="163"/>
        <v>7765823363.0437727</v>
      </c>
      <c r="J3147" s="444">
        <f t="array" ref="J3147">IFERROR(INDEX('Retirement Calculator'!J:J,MATCH('Isaac 401k'!N3147,'Retirement Calculator'!A:A,0),0),0)</f>
        <v>0</v>
      </c>
      <c r="K3147" s="444">
        <f t="shared" ca="1" si="161"/>
        <v>32357597.346015718</v>
      </c>
      <c r="L3147" s="444">
        <f t="shared" ca="1" si="162"/>
        <v>7798180960.3897886</v>
      </c>
      <c r="M3147" s="460">
        <f t="shared" si="164"/>
        <v>0.05</v>
      </c>
      <c r="N3147" s="464">
        <f t="shared" si="165"/>
        <v>146829</v>
      </c>
    </row>
    <row r="3148" spans="7:14" ht="11.25" customHeight="1" x14ac:dyDescent="0.3">
      <c r="G3148" s="459"/>
      <c r="H3148" s="459">
        <v>3141</v>
      </c>
      <c r="I3148" s="444">
        <f t="shared" ca="1" si="163"/>
        <v>7798180960.3897886</v>
      </c>
      <c r="J3148" s="444">
        <f t="array" ref="J3148">IFERROR(INDEX('Retirement Calculator'!J:J,MATCH('Isaac 401k'!N3148,'Retirement Calculator'!A:A,0),0),0)</f>
        <v>0</v>
      </c>
      <c r="K3148" s="444">
        <f t="shared" ca="1" si="161"/>
        <v>32492420.668290786</v>
      </c>
      <c r="L3148" s="444">
        <f t="shared" ca="1" si="162"/>
        <v>7830673381.0580797</v>
      </c>
      <c r="M3148" s="460">
        <f t="shared" si="164"/>
        <v>0.05</v>
      </c>
      <c r="N3148" s="464">
        <f t="shared" si="165"/>
        <v>146860</v>
      </c>
    </row>
    <row r="3149" spans="7:14" ht="11.25" customHeight="1" x14ac:dyDescent="0.3">
      <c r="G3149" s="459"/>
      <c r="H3149" s="459">
        <v>3142</v>
      </c>
      <c r="I3149" s="444">
        <f t="shared" ca="1" si="163"/>
        <v>7830673381.0580797</v>
      </c>
      <c r="J3149" s="444">
        <f t="array" ref="J3149">IFERROR(INDEX('Retirement Calculator'!J:J,MATCH('Isaac 401k'!N3149,'Retirement Calculator'!A:A,0),0),0)</f>
        <v>0</v>
      </c>
      <c r="K3149" s="444">
        <f t="shared" ca="1" si="161"/>
        <v>32627805.754408665</v>
      </c>
      <c r="L3149" s="444">
        <f t="shared" ca="1" si="162"/>
        <v>7863301186.8124886</v>
      </c>
      <c r="M3149" s="460">
        <f t="shared" si="164"/>
        <v>0.05</v>
      </c>
      <c r="N3149" s="464">
        <f t="shared" si="165"/>
        <v>146888</v>
      </c>
    </row>
    <row r="3150" spans="7:14" ht="11.25" customHeight="1" x14ac:dyDescent="0.3">
      <c r="G3150" s="459"/>
      <c r="H3150" s="459">
        <v>3143</v>
      </c>
      <c r="I3150" s="444">
        <f t="shared" ca="1" si="163"/>
        <v>7863301186.8124886</v>
      </c>
      <c r="J3150" s="444">
        <f t="array" ref="J3150">IFERROR(INDEX('Retirement Calculator'!J:J,MATCH('Isaac 401k'!N3150,'Retirement Calculator'!A:A,0),0),0)</f>
        <v>0</v>
      </c>
      <c r="K3150" s="444">
        <f t="shared" ca="1" si="161"/>
        <v>32763754.945052031</v>
      </c>
      <c r="L3150" s="444">
        <f t="shared" ca="1" si="162"/>
        <v>7896064941.7575407</v>
      </c>
      <c r="M3150" s="460">
        <f t="shared" si="164"/>
        <v>0.05</v>
      </c>
      <c r="N3150" s="464">
        <f t="shared" si="165"/>
        <v>146919</v>
      </c>
    </row>
    <row r="3151" spans="7:14" ht="11.25" customHeight="1" x14ac:dyDescent="0.3">
      <c r="G3151" s="459"/>
      <c r="H3151" s="459">
        <v>3144</v>
      </c>
      <c r="I3151" s="444">
        <f t="shared" ca="1" si="163"/>
        <v>7896064941.7575407</v>
      </c>
      <c r="J3151" s="444">
        <f t="array" ref="J3151">IFERROR(INDEX('Retirement Calculator'!J:J,MATCH('Isaac 401k'!N3151,'Retirement Calculator'!A:A,0),0),0)</f>
        <v>0</v>
      </c>
      <c r="K3151" s="444">
        <f t="shared" ca="1" si="161"/>
        <v>32900270.590656422</v>
      </c>
      <c r="L3151" s="444">
        <f t="shared" ca="1" si="162"/>
        <v>7928965212.348197</v>
      </c>
      <c r="M3151" s="460">
        <f t="shared" si="164"/>
        <v>0.05</v>
      </c>
      <c r="N3151" s="464">
        <f t="shared" si="165"/>
        <v>146949</v>
      </c>
    </row>
    <row r="3152" spans="7:14" ht="11.25" customHeight="1" x14ac:dyDescent="0.3">
      <c r="G3152" s="459"/>
      <c r="H3152" s="459">
        <v>3145</v>
      </c>
      <c r="I3152" s="444">
        <f t="shared" ca="1" si="163"/>
        <v>7928965212.348197</v>
      </c>
      <c r="J3152" s="444">
        <f t="array" ref="J3152">IFERROR(INDEX('Retirement Calculator'!J:J,MATCH('Isaac 401k'!N3152,'Retirement Calculator'!A:A,0),0),0)</f>
        <v>0</v>
      </c>
      <c r="K3152" s="444">
        <f t="shared" ca="1" si="161"/>
        <v>33037355.051450819</v>
      </c>
      <c r="L3152" s="444">
        <f t="shared" ca="1" si="162"/>
        <v>7962002567.3996477</v>
      </c>
      <c r="M3152" s="460">
        <f t="shared" si="164"/>
        <v>0.05</v>
      </c>
      <c r="N3152" s="464">
        <f t="shared" si="165"/>
        <v>146980</v>
      </c>
    </row>
    <row r="3153" spans="7:14" ht="11.25" customHeight="1" x14ac:dyDescent="0.3">
      <c r="G3153" s="459"/>
      <c r="H3153" s="459">
        <v>3146</v>
      </c>
      <c r="I3153" s="444">
        <f t="shared" ca="1" si="163"/>
        <v>7962002567.3996477</v>
      </c>
      <c r="J3153" s="444">
        <f t="array" ref="J3153">IFERROR(INDEX('Retirement Calculator'!J:J,MATCH('Isaac 401k'!N3153,'Retirement Calculator'!A:A,0),0),0)</f>
        <v>0</v>
      </c>
      <c r="K3153" s="444">
        <f t="shared" ca="1" si="161"/>
        <v>33175010.697498534</v>
      </c>
      <c r="L3153" s="444">
        <f t="shared" ca="1" si="162"/>
        <v>7995177578.097146</v>
      </c>
      <c r="M3153" s="460">
        <f t="shared" si="164"/>
        <v>0.05</v>
      </c>
      <c r="N3153" s="464">
        <f t="shared" si="165"/>
        <v>147010</v>
      </c>
    </row>
    <row r="3154" spans="7:14" ht="11.25" customHeight="1" x14ac:dyDescent="0.3">
      <c r="G3154" s="459"/>
      <c r="H3154" s="459">
        <v>3147</v>
      </c>
      <c r="I3154" s="444">
        <f t="shared" ca="1" si="163"/>
        <v>7995177578.097146</v>
      </c>
      <c r="J3154" s="444">
        <f t="array" ref="J3154">IFERROR(INDEX('Retirement Calculator'!J:J,MATCH('Isaac 401k'!N3154,'Retirement Calculator'!A:A,0),0),0)</f>
        <v>0</v>
      </c>
      <c r="K3154" s="444">
        <f t="shared" ca="1" si="161"/>
        <v>33313239.90873811</v>
      </c>
      <c r="L3154" s="444">
        <f t="shared" ca="1" si="162"/>
        <v>8028490818.0058842</v>
      </c>
      <c r="M3154" s="460">
        <f t="shared" si="164"/>
        <v>0.05</v>
      </c>
      <c r="N3154" s="464">
        <f t="shared" si="165"/>
        <v>147041</v>
      </c>
    </row>
    <row r="3155" spans="7:14" ht="11.25" customHeight="1" x14ac:dyDescent="0.3">
      <c r="G3155" s="459"/>
      <c r="H3155" s="459">
        <v>3148</v>
      </c>
      <c r="I3155" s="444">
        <f t="shared" ca="1" si="163"/>
        <v>8028490818.0058842</v>
      </c>
      <c r="J3155" s="444">
        <f t="array" ref="J3155">IFERROR(INDEX('Retirement Calculator'!J:J,MATCH('Isaac 401k'!N3155,'Retirement Calculator'!A:A,0),0),0)</f>
        <v>0</v>
      </c>
      <c r="K3155" s="444">
        <f t="shared" ca="1" si="161"/>
        <v>33452045.075024515</v>
      </c>
      <c r="L3155" s="444">
        <f t="shared" ca="1" si="162"/>
        <v>8061942863.0809088</v>
      </c>
      <c r="M3155" s="460">
        <f t="shared" si="164"/>
        <v>0.05</v>
      </c>
      <c r="N3155" s="464">
        <f t="shared" si="165"/>
        <v>147072</v>
      </c>
    </row>
    <row r="3156" spans="7:14" ht="11.25" customHeight="1" x14ac:dyDescent="0.3">
      <c r="G3156" s="459"/>
      <c r="H3156" s="459">
        <v>3149</v>
      </c>
      <c r="I3156" s="444">
        <f t="shared" ca="1" si="163"/>
        <v>8061942863.0809088</v>
      </c>
      <c r="J3156" s="444">
        <f t="array" ref="J3156">IFERROR(INDEX('Retirement Calculator'!J:J,MATCH('Isaac 401k'!N3156,'Retirement Calculator'!A:A,0),0),0)</f>
        <v>0</v>
      </c>
      <c r="K3156" s="444">
        <f t="shared" ca="1" si="161"/>
        <v>33591428.596170455</v>
      </c>
      <c r="L3156" s="444">
        <f t="shared" ca="1" si="162"/>
        <v>8095534291.6770792</v>
      </c>
      <c r="M3156" s="460">
        <f t="shared" si="164"/>
        <v>0.05</v>
      </c>
      <c r="N3156" s="464">
        <f t="shared" si="165"/>
        <v>147102</v>
      </c>
    </row>
    <row r="3157" spans="7:14" ht="11.25" customHeight="1" x14ac:dyDescent="0.3">
      <c r="G3157" s="459"/>
      <c r="H3157" s="459">
        <v>3150</v>
      </c>
      <c r="I3157" s="444">
        <f t="shared" ca="1" si="163"/>
        <v>8095534291.6770792</v>
      </c>
      <c r="J3157" s="444">
        <f t="array" ref="J3157">IFERROR(INDEX('Retirement Calculator'!J:J,MATCH('Isaac 401k'!N3157,'Retirement Calculator'!A:A,0),0),0)</f>
        <v>0</v>
      </c>
      <c r="K3157" s="444">
        <f t="shared" ca="1" si="161"/>
        <v>33731392.881987832</v>
      </c>
      <c r="L3157" s="444">
        <f t="shared" ca="1" si="162"/>
        <v>8129265684.5590668</v>
      </c>
      <c r="M3157" s="460">
        <f t="shared" si="164"/>
        <v>0.05</v>
      </c>
      <c r="N3157" s="464">
        <f t="shared" si="165"/>
        <v>147133</v>
      </c>
    </row>
    <row r="3158" spans="7:14" ht="11.25" customHeight="1" x14ac:dyDescent="0.3">
      <c r="G3158" s="459"/>
      <c r="H3158" s="459">
        <v>3151</v>
      </c>
      <c r="I3158" s="444">
        <f t="shared" ca="1" si="163"/>
        <v>8129265684.5590668</v>
      </c>
      <c r="J3158" s="444">
        <f t="array" ref="J3158">IFERROR(INDEX('Retirement Calculator'!J:J,MATCH('Isaac 401k'!N3158,'Retirement Calculator'!A:A,0),0),0)</f>
        <v>0</v>
      </c>
      <c r="K3158" s="444">
        <f t="shared" ca="1" si="161"/>
        <v>33871940.352329448</v>
      </c>
      <c r="L3158" s="444">
        <f t="shared" ca="1" si="162"/>
        <v>8163137624.911396</v>
      </c>
      <c r="M3158" s="460">
        <f t="shared" si="164"/>
        <v>0.05</v>
      </c>
      <c r="N3158" s="464">
        <f t="shared" si="165"/>
        <v>147163</v>
      </c>
    </row>
    <row r="3159" spans="7:14" ht="11.25" customHeight="1" x14ac:dyDescent="0.3">
      <c r="G3159" s="459"/>
      <c r="H3159" s="459">
        <v>3152</v>
      </c>
      <c r="I3159" s="444">
        <f t="shared" ca="1" si="163"/>
        <v>8163137624.911396</v>
      </c>
      <c r="J3159" s="444">
        <f t="array" ref="J3159">IFERROR(INDEX('Retirement Calculator'!J:J,MATCH('Isaac 401k'!N3159,'Retirement Calculator'!A:A,0),0),0)</f>
        <v>0</v>
      </c>
      <c r="K3159" s="444">
        <f t="shared" ca="1" si="161"/>
        <v>34013073.437130816</v>
      </c>
      <c r="L3159" s="444">
        <f t="shared" ca="1" si="162"/>
        <v>8197150698.348527</v>
      </c>
      <c r="M3159" s="460">
        <f t="shared" si="164"/>
        <v>0.05</v>
      </c>
      <c r="N3159" s="464">
        <f t="shared" si="165"/>
        <v>147194</v>
      </c>
    </row>
    <row r="3160" spans="7:14" ht="11.25" customHeight="1" x14ac:dyDescent="0.3">
      <c r="G3160" s="459"/>
      <c r="H3160" s="459">
        <v>3153</v>
      </c>
      <c r="I3160" s="444">
        <f t="shared" ca="1" si="163"/>
        <v>8197150698.348527</v>
      </c>
      <c r="J3160" s="444">
        <f t="array" ref="J3160">IFERROR(INDEX('Retirement Calculator'!J:J,MATCH('Isaac 401k'!N3160,'Retirement Calculator'!A:A,0),0),0)</f>
        <v>0</v>
      </c>
      <c r="K3160" s="444">
        <f t="shared" ca="1" si="161"/>
        <v>34154794.576452196</v>
      </c>
      <c r="L3160" s="444">
        <f t="shared" ca="1" si="162"/>
        <v>8231305492.9249792</v>
      </c>
      <c r="M3160" s="460">
        <f t="shared" si="164"/>
        <v>0.05</v>
      </c>
      <c r="N3160" s="464">
        <f t="shared" si="165"/>
        <v>147225</v>
      </c>
    </row>
    <row r="3161" spans="7:14" ht="11.25" customHeight="1" x14ac:dyDescent="0.3">
      <c r="G3161" s="459"/>
      <c r="H3161" s="459">
        <v>3154</v>
      </c>
      <c r="I3161" s="444">
        <f t="shared" ca="1" si="163"/>
        <v>8231305492.9249792</v>
      </c>
      <c r="J3161" s="444">
        <f t="array" ref="J3161">IFERROR(INDEX('Retirement Calculator'!J:J,MATCH('Isaac 401k'!N3161,'Retirement Calculator'!A:A,0),0),0)</f>
        <v>0</v>
      </c>
      <c r="K3161" s="444">
        <f t="shared" ca="1" si="161"/>
        <v>34297106.220520742</v>
      </c>
      <c r="L3161" s="444">
        <f t="shared" ca="1" si="162"/>
        <v>8265602599.1455002</v>
      </c>
      <c r="M3161" s="460">
        <f t="shared" si="164"/>
        <v>0.05</v>
      </c>
      <c r="N3161" s="464">
        <f t="shared" si="165"/>
        <v>147253</v>
      </c>
    </row>
    <row r="3162" spans="7:14" ht="11.25" customHeight="1" x14ac:dyDescent="0.3">
      <c r="G3162" s="459"/>
      <c r="H3162" s="459">
        <v>3155</v>
      </c>
      <c r="I3162" s="444">
        <f t="shared" ca="1" si="163"/>
        <v>8265602599.1455002</v>
      </c>
      <c r="J3162" s="444">
        <f t="array" ref="J3162">IFERROR(INDEX('Retirement Calculator'!J:J,MATCH('Isaac 401k'!N3162,'Retirement Calculator'!A:A,0),0),0)</f>
        <v>0</v>
      </c>
      <c r="K3162" s="444">
        <f t="shared" ca="1" si="161"/>
        <v>34440010.829772919</v>
      </c>
      <c r="L3162" s="444">
        <f t="shared" ca="1" si="162"/>
        <v>8300042609.9752731</v>
      </c>
      <c r="M3162" s="460">
        <f t="shared" si="164"/>
        <v>0.05</v>
      </c>
      <c r="N3162" s="464">
        <f t="shared" si="165"/>
        <v>147284</v>
      </c>
    </row>
    <row r="3163" spans="7:14" ht="11.25" customHeight="1" x14ac:dyDescent="0.3">
      <c r="G3163" s="459"/>
      <c r="H3163" s="459">
        <v>3156</v>
      </c>
      <c r="I3163" s="444">
        <f t="shared" ca="1" si="163"/>
        <v>8300042609.9752731</v>
      </c>
      <c r="J3163" s="444">
        <f t="array" ref="J3163">IFERROR(INDEX('Retirement Calculator'!J:J,MATCH('Isaac 401k'!N3163,'Retirement Calculator'!A:A,0),0),0)</f>
        <v>0</v>
      </c>
      <c r="K3163" s="444">
        <f t="shared" ca="1" si="161"/>
        <v>34583510.874896973</v>
      </c>
      <c r="L3163" s="444">
        <f t="shared" ca="1" si="162"/>
        <v>8334626120.8501701</v>
      </c>
      <c r="M3163" s="460">
        <f t="shared" si="164"/>
        <v>0.05</v>
      </c>
      <c r="N3163" s="464">
        <f t="shared" si="165"/>
        <v>147314</v>
      </c>
    </row>
    <row r="3164" spans="7:14" ht="11.25" customHeight="1" x14ac:dyDescent="0.3">
      <c r="G3164" s="459"/>
      <c r="H3164" s="459">
        <v>3157</v>
      </c>
      <c r="I3164" s="444">
        <f t="shared" ca="1" si="163"/>
        <v>8334626120.8501701</v>
      </c>
      <c r="J3164" s="444">
        <f t="array" ref="J3164">IFERROR(INDEX('Retirement Calculator'!J:J,MATCH('Isaac 401k'!N3164,'Retirement Calculator'!A:A,0),0),0)</f>
        <v>0</v>
      </c>
      <c r="K3164" s="444">
        <f t="shared" ca="1" si="161"/>
        <v>34727608.836875707</v>
      </c>
      <c r="L3164" s="444">
        <f t="shared" ca="1" si="162"/>
        <v>8369353729.6870461</v>
      </c>
      <c r="M3164" s="460">
        <f t="shared" si="164"/>
        <v>0.05</v>
      </c>
      <c r="N3164" s="464">
        <f t="shared" si="165"/>
        <v>147345</v>
      </c>
    </row>
    <row r="3165" spans="7:14" ht="11.25" customHeight="1" x14ac:dyDescent="0.3">
      <c r="G3165" s="459"/>
      <c r="H3165" s="459">
        <v>3158</v>
      </c>
      <c r="I3165" s="444">
        <f t="shared" ca="1" si="163"/>
        <v>8369353729.6870461</v>
      </c>
      <c r="J3165" s="444">
        <f t="array" ref="J3165">IFERROR(INDEX('Retirement Calculator'!J:J,MATCH('Isaac 401k'!N3165,'Retirement Calculator'!A:A,0),0),0)</f>
        <v>0</v>
      </c>
      <c r="K3165" s="444">
        <f t="shared" ca="1" si="161"/>
        <v>34872307.207029358</v>
      </c>
      <c r="L3165" s="444">
        <f t="shared" ca="1" si="162"/>
        <v>8404226036.8940754</v>
      </c>
      <c r="M3165" s="460">
        <f t="shared" si="164"/>
        <v>0.05</v>
      </c>
      <c r="N3165" s="464">
        <f t="shared" si="165"/>
        <v>147375</v>
      </c>
    </row>
    <row r="3166" spans="7:14" ht="11.25" customHeight="1" x14ac:dyDescent="0.3">
      <c r="G3166" s="459"/>
      <c r="H3166" s="459">
        <v>3159</v>
      </c>
      <c r="I3166" s="444">
        <f t="shared" ca="1" si="163"/>
        <v>8404226036.8940754</v>
      </c>
      <c r="J3166" s="444">
        <f t="array" ref="J3166">IFERROR(INDEX('Retirement Calculator'!J:J,MATCH('Isaac 401k'!N3166,'Retirement Calculator'!A:A,0),0),0)</f>
        <v>0</v>
      </c>
      <c r="K3166" s="444">
        <f t="shared" ca="1" si="161"/>
        <v>35017608.487058647</v>
      </c>
      <c r="L3166" s="444">
        <f t="shared" ca="1" si="162"/>
        <v>8439243645.381134</v>
      </c>
      <c r="M3166" s="460">
        <f t="shared" si="164"/>
        <v>0.05</v>
      </c>
      <c r="N3166" s="464">
        <f t="shared" si="165"/>
        <v>147406</v>
      </c>
    </row>
    <row r="3167" spans="7:14" ht="11.25" customHeight="1" x14ac:dyDescent="0.3">
      <c r="G3167" s="459"/>
      <c r="H3167" s="459">
        <v>3160</v>
      </c>
      <c r="I3167" s="444">
        <f t="shared" ca="1" si="163"/>
        <v>8439243645.381134</v>
      </c>
      <c r="J3167" s="444">
        <f t="array" ref="J3167">IFERROR(INDEX('Retirement Calculator'!J:J,MATCH('Isaac 401k'!N3167,'Retirement Calculator'!A:A,0),0),0)</f>
        <v>0</v>
      </c>
      <c r="K3167" s="444">
        <f t="shared" ca="1" si="161"/>
        <v>35163515.189088061</v>
      </c>
      <c r="L3167" s="444">
        <f t="shared" ca="1" si="162"/>
        <v>8474407160.5702219</v>
      </c>
      <c r="M3167" s="460">
        <f t="shared" si="164"/>
        <v>0.05</v>
      </c>
      <c r="N3167" s="464">
        <f t="shared" si="165"/>
        <v>147437</v>
      </c>
    </row>
    <row r="3168" spans="7:14" ht="11.25" customHeight="1" x14ac:dyDescent="0.3">
      <c r="G3168" s="459"/>
      <c r="H3168" s="459">
        <v>3161</v>
      </c>
      <c r="I3168" s="444">
        <f t="shared" ca="1" si="163"/>
        <v>8474407160.5702219</v>
      </c>
      <c r="J3168" s="444">
        <f t="array" ref="J3168">IFERROR(INDEX('Retirement Calculator'!J:J,MATCH('Isaac 401k'!N3168,'Retirement Calculator'!A:A,0),0),0)</f>
        <v>0</v>
      </c>
      <c r="K3168" s="444">
        <f t="shared" ca="1" si="161"/>
        <v>35310029.835709251</v>
      </c>
      <c r="L3168" s="444">
        <f t="shared" ca="1" si="162"/>
        <v>8509717190.4059315</v>
      </c>
      <c r="M3168" s="460">
        <f t="shared" si="164"/>
        <v>0.05</v>
      </c>
      <c r="N3168" s="464">
        <f t="shared" si="165"/>
        <v>147467</v>
      </c>
    </row>
    <row r="3169" spans="7:14" ht="11.25" customHeight="1" x14ac:dyDescent="0.3">
      <c r="G3169" s="459"/>
      <c r="H3169" s="459">
        <v>3162</v>
      </c>
      <c r="I3169" s="444">
        <f t="shared" ca="1" si="163"/>
        <v>8509717190.4059315</v>
      </c>
      <c r="J3169" s="444">
        <f t="array" ref="J3169">IFERROR(INDEX('Retirement Calculator'!J:J,MATCH('Isaac 401k'!N3169,'Retirement Calculator'!A:A,0),0),0)</f>
        <v>0</v>
      </c>
      <c r="K3169" s="444">
        <f t="shared" ca="1" si="161"/>
        <v>35457154.960024714</v>
      </c>
      <c r="L3169" s="444">
        <f t="shared" ca="1" si="162"/>
        <v>8545174345.3659563</v>
      </c>
      <c r="M3169" s="460">
        <f t="shared" si="164"/>
        <v>0.05</v>
      </c>
      <c r="N3169" s="464">
        <f t="shared" si="165"/>
        <v>147498</v>
      </c>
    </row>
    <row r="3170" spans="7:14" ht="11.25" customHeight="1" x14ac:dyDescent="0.3">
      <c r="G3170" s="459"/>
      <c r="H3170" s="459">
        <v>3163</v>
      </c>
      <c r="I3170" s="444">
        <f t="shared" ca="1" si="163"/>
        <v>8545174345.3659563</v>
      </c>
      <c r="J3170" s="444">
        <f t="array" ref="J3170">IFERROR(INDEX('Retirement Calculator'!J:J,MATCH('Isaac 401k'!N3170,'Retirement Calculator'!A:A,0),0),0)</f>
        <v>0</v>
      </c>
      <c r="K3170" s="444">
        <f t="shared" ca="1" si="161"/>
        <v>35604893.105691485</v>
      </c>
      <c r="L3170" s="444">
        <f t="shared" ca="1" si="162"/>
        <v>8580779238.4716482</v>
      </c>
      <c r="M3170" s="460">
        <f t="shared" si="164"/>
        <v>0.05</v>
      </c>
      <c r="N3170" s="464">
        <f t="shared" si="165"/>
        <v>147528</v>
      </c>
    </row>
    <row r="3171" spans="7:14" ht="11.25" customHeight="1" x14ac:dyDescent="0.3">
      <c r="G3171" s="459"/>
      <c r="H3171" s="459">
        <v>3164</v>
      </c>
      <c r="I3171" s="444">
        <f t="shared" ca="1" si="163"/>
        <v>8580779238.4716482</v>
      </c>
      <c r="J3171" s="444">
        <f t="array" ref="J3171">IFERROR(INDEX('Retirement Calculator'!J:J,MATCH('Isaac 401k'!N3171,'Retirement Calculator'!A:A,0),0),0)</f>
        <v>0</v>
      </c>
      <c r="K3171" s="444">
        <f t="shared" ca="1" si="161"/>
        <v>35753246.826965198</v>
      </c>
      <c r="L3171" s="444">
        <f t="shared" ca="1" si="162"/>
        <v>8616532485.2986126</v>
      </c>
      <c r="M3171" s="460">
        <f t="shared" si="164"/>
        <v>0.05</v>
      </c>
      <c r="N3171" s="464">
        <f t="shared" si="165"/>
        <v>147559</v>
      </c>
    </row>
    <row r="3172" spans="7:14" ht="11.25" customHeight="1" x14ac:dyDescent="0.3">
      <c r="G3172" s="459"/>
      <c r="H3172" s="459">
        <v>3165</v>
      </c>
      <c r="I3172" s="444">
        <f t="shared" ca="1" si="163"/>
        <v>8616532485.2986126</v>
      </c>
      <c r="J3172" s="444">
        <f t="array" ref="J3172">IFERROR(INDEX('Retirement Calculator'!J:J,MATCH('Isaac 401k'!N3172,'Retirement Calculator'!A:A,0),0),0)</f>
        <v>0</v>
      </c>
      <c r="K3172" s="444">
        <f t="shared" ca="1" si="161"/>
        <v>35902218.688744217</v>
      </c>
      <c r="L3172" s="444">
        <f t="shared" ca="1" si="162"/>
        <v>8652434703.9873562</v>
      </c>
      <c r="M3172" s="460">
        <f t="shared" si="164"/>
        <v>0.05</v>
      </c>
      <c r="N3172" s="464">
        <f t="shared" si="165"/>
        <v>147590</v>
      </c>
    </row>
    <row r="3173" spans="7:14" ht="11.25" customHeight="1" x14ac:dyDescent="0.3">
      <c r="G3173" s="459"/>
      <c r="H3173" s="459">
        <v>3166</v>
      </c>
      <c r="I3173" s="444">
        <f t="shared" ca="1" si="163"/>
        <v>8652434703.9873562</v>
      </c>
      <c r="J3173" s="444">
        <f t="array" ref="J3173">IFERROR(INDEX('Retirement Calculator'!J:J,MATCH('Isaac 401k'!N3173,'Retirement Calculator'!A:A,0),0),0)</f>
        <v>0</v>
      </c>
      <c r="K3173" s="444">
        <f t="shared" ca="1" si="161"/>
        <v>36051811.266613983</v>
      </c>
      <c r="L3173" s="444">
        <f t="shared" ca="1" si="162"/>
        <v>8688486515.2539711</v>
      </c>
      <c r="M3173" s="460">
        <f t="shared" si="164"/>
        <v>0.05</v>
      </c>
      <c r="N3173" s="464">
        <f t="shared" si="165"/>
        <v>147619</v>
      </c>
    </row>
    <row r="3174" spans="7:14" ht="11.25" customHeight="1" x14ac:dyDescent="0.3">
      <c r="G3174" s="459"/>
      <c r="H3174" s="459">
        <v>3167</v>
      </c>
      <c r="I3174" s="444">
        <f t="shared" ca="1" si="163"/>
        <v>8688486515.2539711</v>
      </c>
      <c r="J3174" s="444">
        <f t="array" ref="J3174">IFERROR(INDEX('Retirement Calculator'!J:J,MATCH('Isaac 401k'!N3174,'Retirement Calculator'!A:A,0),0),0)</f>
        <v>0</v>
      </c>
      <c r="K3174" s="444">
        <f t="shared" ca="1" si="161"/>
        <v>36202027.146891549</v>
      </c>
      <c r="L3174" s="444">
        <f t="shared" ca="1" si="162"/>
        <v>8724688542.4008617</v>
      </c>
      <c r="M3174" s="460">
        <f t="shared" si="164"/>
        <v>0.05</v>
      </c>
      <c r="N3174" s="464">
        <f t="shared" si="165"/>
        <v>147650</v>
      </c>
    </row>
    <row r="3175" spans="7:14" ht="11.25" customHeight="1" x14ac:dyDescent="0.3">
      <c r="G3175" s="459"/>
      <c r="H3175" s="459">
        <v>3168</v>
      </c>
      <c r="I3175" s="444">
        <f t="shared" ca="1" si="163"/>
        <v>8724688542.4008617</v>
      </c>
      <c r="J3175" s="444">
        <f t="array" ref="J3175">IFERROR(INDEX('Retirement Calculator'!J:J,MATCH('Isaac 401k'!N3175,'Retirement Calculator'!A:A,0),0),0)</f>
        <v>0</v>
      </c>
      <c r="K3175" s="444">
        <f t="shared" ca="1" si="161"/>
        <v>36352868.926670253</v>
      </c>
      <c r="L3175" s="444">
        <f t="shared" ca="1" si="162"/>
        <v>8761041411.3275318</v>
      </c>
      <c r="M3175" s="460">
        <f t="shared" si="164"/>
        <v>0.05</v>
      </c>
      <c r="N3175" s="464">
        <f t="shared" si="165"/>
        <v>147680</v>
      </c>
    </row>
    <row r="3176" spans="7:14" ht="11.25" customHeight="1" x14ac:dyDescent="0.3">
      <c r="G3176" s="459"/>
      <c r="H3176" s="459">
        <v>3169</v>
      </c>
      <c r="I3176" s="444">
        <f t="shared" ca="1" si="163"/>
        <v>8761041411.3275318</v>
      </c>
      <c r="J3176" s="444">
        <f t="array" ref="J3176">IFERROR(INDEX('Retirement Calculator'!J:J,MATCH('Isaac 401k'!N3176,'Retirement Calculator'!A:A,0),0),0)</f>
        <v>0</v>
      </c>
      <c r="K3176" s="444">
        <f t="shared" ca="1" si="161"/>
        <v>36504339.213864714</v>
      </c>
      <c r="L3176" s="444">
        <f t="shared" ca="1" si="162"/>
        <v>8797545750.5413971</v>
      </c>
      <c r="M3176" s="460">
        <f t="shared" si="164"/>
        <v>0.05</v>
      </c>
      <c r="N3176" s="464">
        <f t="shared" si="165"/>
        <v>147711</v>
      </c>
    </row>
    <row r="3177" spans="7:14" ht="11.25" customHeight="1" x14ac:dyDescent="0.3">
      <c r="G3177" s="459"/>
      <c r="H3177" s="459">
        <v>3170</v>
      </c>
      <c r="I3177" s="444">
        <f t="shared" ca="1" si="163"/>
        <v>8797545750.5413971</v>
      </c>
      <c r="J3177" s="444">
        <f t="array" ref="J3177">IFERROR(INDEX('Retirement Calculator'!J:J,MATCH('Isaac 401k'!N3177,'Retirement Calculator'!A:A,0),0),0)</f>
        <v>0</v>
      </c>
      <c r="K3177" s="444">
        <f t="shared" ca="1" si="161"/>
        <v>36656440.62725582</v>
      </c>
      <c r="L3177" s="444">
        <f t="shared" ca="1" si="162"/>
        <v>8834202191.1686535</v>
      </c>
      <c r="M3177" s="460">
        <f t="shared" si="164"/>
        <v>0.05</v>
      </c>
      <c r="N3177" s="464">
        <f t="shared" si="165"/>
        <v>147741</v>
      </c>
    </row>
    <row r="3178" spans="7:14" ht="11.25" customHeight="1" x14ac:dyDescent="0.3">
      <c r="G3178" s="459"/>
      <c r="H3178" s="459">
        <v>3171</v>
      </c>
      <c r="I3178" s="444">
        <f t="shared" ca="1" si="163"/>
        <v>8834202191.1686535</v>
      </c>
      <c r="J3178" s="444">
        <f t="array" ref="J3178">IFERROR(INDEX('Retirement Calculator'!J:J,MATCH('Isaac 401k'!N3178,'Retirement Calculator'!A:A,0),0),0)</f>
        <v>0</v>
      </c>
      <c r="K3178" s="444">
        <f t="shared" ca="1" si="161"/>
        <v>36809175.796536058</v>
      </c>
      <c r="L3178" s="444">
        <f t="shared" ca="1" si="162"/>
        <v>8871011366.965189</v>
      </c>
      <c r="M3178" s="460">
        <f t="shared" si="164"/>
        <v>0.05</v>
      </c>
      <c r="N3178" s="464">
        <f t="shared" si="165"/>
        <v>147772</v>
      </c>
    </row>
    <row r="3179" spans="7:14" ht="11.25" customHeight="1" x14ac:dyDescent="0.3">
      <c r="G3179" s="459"/>
      <c r="H3179" s="459">
        <v>3172</v>
      </c>
      <c r="I3179" s="444">
        <f t="shared" ca="1" si="163"/>
        <v>8871011366.965189</v>
      </c>
      <c r="J3179" s="444">
        <f t="array" ref="J3179">IFERROR(INDEX('Retirement Calculator'!J:J,MATCH('Isaac 401k'!N3179,'Retirement Calculator'!A:A,0),0),0)</f>
        <v>0</v>
      </c>
      <c r="K3179" s="444">
        <f t="shared" ca="1" si="161"/>
        <v>36962547.362354957</v>
      </c>
      <c r="L3179" s="444">
        <f t="shared" ca="1" si="162"/>
        <v>8907973914.3275433</v>
      </c>
      <c r="M3179" s="460">
        <f t="shared" si="164"/>
        <v>0.05</v>
      </c>
      <c r="N3179" s="464">
        <f t="shared" si="165"/>
        <v>147803</v>
      </c>
    </row>
    <row r="3180" spans="7:14" ht="11.25" customHeight="1" x14ac:dyDescent="0.3">
      <c r="G3180" s="459"/>
      <c r="H3180" s="459">
        <v>3173</v>
      </c>
      <c r="I3180" s="444">
        <f t="shared" ca="1" si="163"/>
        <v>8907973914.3275433</v>
      </c>
      <c r="J3180" s="444">
        <f t="array" ref="J3180">IFERROR(INDEX('Retirement Calculator'!J:J,MATCH('Isaac 401k'!N3180,'Retirement Calculator'!A:A,0),0),0)</f>
        <v>0</v>
      </c>
      <c r="K3180" s="444">
        <f t="shared" ca="1" si="161"/>
        <v>37116557.976364762</v>
      </c>
      <c r="L3180" s="444">
        <f t="shared" ca="1" si="162"/>
        <v>8945090472.3039074</v>
      </c>
      <c r="M3180" s="460">
        <f t="shared" si="164"/>
        <v>0.05</v>
      </c>
      <c r="N3180" s="464">
        <f t="shared" si="165"/>
        <v>147833</v>
      </c>
    </row>
    <row r="3181" spans="7:14" ht="11.25" customHeight="1" x14ac:dyDescent="0.3">
      <c r="G3181" s="459"/>
      <c r="H3181" s="459">
        <v>3174</v>
      </c>
      <c r="I3181" s="444">
        <f t="shared" ca="1" si="163"/>
        <v>8945090472.3039074</v>
      </c>
      <c r="J3181" s="444">
        <f t="array" ref="J3181">IFERROR(INDEX('Retirement Calculator'!J:J,MATCH('Isaac 401k'!N3181,'Retirement Calculator'!A:A,0),0),0)</f>
        <v>0</v>
      </c>
      <c r="K3181" s="444">
        <f t="shared" ca="1" si="161"/>
        <v>37271210.301266283</v>
      </c>
      <c r="L3181" s="444">
        <f t="shared" ca="1" si="162"/>
        <v>8982361682.6051731</v>
      </c>
      <c r="M3181" s="460">
        <f t="shared" si="164"/>
        <v>0.05</v>
      </c>
      <c r="N3181" s="464">
        <f t="shared" si="165"/>
        <v>147864</v>
      </c>
    </row>
    <row r="3182" spans="7:14" ht="11.25" customHeight="1" x14ac:dyDescent="0.3">
      <c r="G3182" s="459"/>
      <c r="H3182" s="459">
        <v>3175</v>
      </c>
      <c r="I3182" s="444">
        <f t="shared" ca="1" si="163"/>
        <v>8982361682.6051731</v>
      </c>
      <c r="J3182" s="444">
        <f t="array" ref="J3182">IFERROR(INDEX('Retirement Calculator'!J:J,MATCH('Isaac 401k'!N3182,'Retirement Calculator'!A:A,0),0),0)</f>
        <v>0</v>
      </c>
      <c r="K3182" s="444">
        <f t="shared" ca="1" si="161"/>
        <v>37426507.010854885</v>
      </c>
      <c r="L3182" s="444">
        <f t="shared" ca="1" si="162"/>
        <v>9019788189.6160278</v>
      </c>
      <c r="M3182" s="460">
        <f t="shared" si="164"/>
        <v>0.05</v>
      </c>
      <c r="N3182" s="464">
        <f t="shared" si="165"/>
        <v>147894</v>
      </c>
    </row>
    <row r="3183" spans="7:14" ht="11.25" customHeight="1" x14ac:dyDescent="0.3">
      <c r="G3183" s="459"/>
      <c r="H3183" s="459">
        <v>3176</v>
      </c>
      <c r="I3183" s="444">
        <f t="shared" ca="1" si="163"/>
        <v>9019788189.6160278</v>
      </c>
      <c r="J3183" s="444">
        <f t="array" ref="J3183">IFERROR(INDEX('Retirement Calculator'!J:J,MATCH('Isaac 401k'!N3183,'Retirement Calculator'!A:A,0),0),0)</f>
        <v>0</v>
      </c>
      <c r="K3183" s="444">
        <f t="shared" ca="1" si="161"/>
        <v>37582450.790066779</v>
      </c>
      <c r="L3183" s="444">
        <f t="shared" ca="1" si="162"/>
        <v>9057370640.4060955</v>
      </c>
      <c r="M3183" s="460">
        <f t="shared" si="164"/>
        <v>0.05</v>
      </c>
      <c r="N3183" s="464">
        <f t="shared" si="165"/>
        <v>147925</v>
      </c>
    </row>
    <row r="3184" spans="7:14" ht="11.25" customHeight="1" x14ac:dyDescent="0.3">
      <c r="G3184" s="459"/>
      <c r="H3184" s="459">
        <v>3177</v>
      </c>
      <c r="I3184" s="444">
        <f t="shared" ca="1" si="163"/>
        <v>9057370640.4060955</v>
      </c>
      <c r="J3184" s="444">
        <f t="array" ref="J3184">IFERROR(INDEX('Retirement Calculator'!J:J,MATCH('Isaac 401k'!N3184,'Retirement Calculator'!A:A,0),0),0)</f>
        <v>0</v>
      </c>
      <c r="K3184" s="444">
        <f t="shared" ca="1" si="161"/>
        <v>37739044.3350254</v>
      </c>
      <c r="L3184" s="444">
        <f t="shared" ca="1" si="162"/>
        <v>9095109684.7411213</v>
      </c>
      <c r="M3184" s="460">
        <f t="shared" si="164"/>
        <v>0.05</v>
      </c>
      <c r="N3184" s="464">
        <f t="shared" si="165"/>
        <v>147956</v>
      </c>
    </row>
    <row r="3185" spans="7:14" ht="11.25" customHeight="1" x14ac:dyDescent="0.3">
      <c r="G3185" s="459"/>
      <c r="H3185" s="459">
        <v>3178</v>
      </c>
      <c r="I3185" s="444">
        <f t="shared" ca="1" si="163"/>
        <v>9095109684.7411213</v>
      </c>
      <c r="J3185" s="444">
        <f t="array" ref="J3185">IFERROR(INDEX('Retirement Calculator'!J:J,MATCH('Isaac 401k'!N3185,'Retirement Calculator'!A:A,0),0),0)</f>
        <v>0</v>
      </c>
      <c r="K3185" s="444">
        <f t="shared" ca="1" si="161"/>
        <v>37896290.353088006</v>
      </c>
      <c r="L3185" s="444">
        <f t="shared" ca="1" si="162"/>
        <v>9133005975.0942097</v>
      </c>
      <c r="M3185" s="460">
        <f t="shared" si="164"/>
        <v>0.05</v>
      </c>
      <c r="N3185" s="464">
        <f t="shared" si="165"/>
        <v>147984</v>
      </c>
    </row>
    <row r="3186" spans="7:14" ht="11.25" customHeight="1" x14ac:dyDescent="0.3">
      <c r="G3186" s="459"/>
      <c r="H3186" s="459">
        <v>3179</v>
      </c>
      <c r="I3186" s="444">
        <f t="shared" ca="1" si="163"/>
        <v>9133005975.0942097</v>
      </c>
      <c r="J3186" s="444">
        <f t="array" ref="J3186">IFERROR(INDEX('Retirement Calculator'!J:J,MATCH('Isaac 401k'!N3186,'Retirement Calculator'!A:A,0),0),0)</f>
        <v>0</v>
      </c>
      <c r="K3186" s="444">
        <f t="shared" ca="1" si="161"/>
        <v>38054191.562892541</v>
      </c>
      <c r="L3186" s="444">
        <f t="shared" ca="1" si="162"/>
        <v>9171060166.6571026</v>
      </c>
      <c r="M3186" s="460">
        <f t="shared" si="164"/>
        <v>0.05</v>
      </c>
      <c r="N3186" s="464">
        <f t="shared" si="165"/>
        <v>148015</v>
      </c>
    </row>
    <row r="3187" spans="7:14" ht="11.25" customHeight="1" x14ac:dyDescent="0.3">
      <c r="G3187" s="459"/>
      <c r="H3187" s="459">
        <v>3180</v>
      </c>
      <c r="I3187" s="444">
        <f t="shared" ca="1" si="163"/>
        <v>9171060166.6571026</v>
      </c>
      <c r="J3187" s="444">
        <f t="array" ref="J3187">IFERROR(INDEX('Retirement Calculator'!J:J,MATCH('Isaac 401k'!N3187,'Retirement Calculator'!A:A,0),0),0)</f>
        <v>0</v>
      </c>
      <c r="K3187" s="444">
        <f t="shared" ca="1" si="161"/>
        <v>38212750.694404595</v>
      </c>
      <c r="L3187" s="444">
        <f t="shared" ca="1" si="162"/>
        <v>9209272917.3515072</v>
      </c>
      <c r="M3187" s="460">
        <f t="shared" si="164"/>
        <v>0.05</v>
      </c>
      <c r="N3187" s="464">
        <f t="shared" si="165"/>
        <v>148045</v>
      </c>
    </row>
    <row r="3188" spans="7:14" ht="11.25" customHeight="1" x14ac:dyDescent="0.3">
      <c r="G3188" s="459"/>
      <c r="H3188" s="459">
        <v>3181</v>
      </c>
      <c r="I3188" s="444">
        <f t="shared" ca="1" si="163"/>
        <v>9209272917.3515072</v>
      </c>
      <c r="J3188" s="444">
        <f t="array" ref="J3188">IFERROR(INDEX('Retirement Calculator'!J:J,MATCH('Isaac 401k'!N3188,'Retirement Calculator'!A:A,0),0),0)</f>
        <v>0</v>
      </c>
      <c r="K3188" s="444">
        <f t="shared" ca="1" si="161"/>
        <v>38371970.48896461</v>
      </c>
      <c r="L3188" s="444">
        <f t="shared" ca="1" si="162"/>
        <v>9247644887.8404713</v>
      </c>
      <c r="M3188" s="460">
        <f t="shared" si="164"/>
        <v>0.05</v>
      </c>
      <c r="N3188" s="464">
        <f t="shared" si="165"/>
        <v>148076</v>
      </c>
    </row>
    <row r="3189" spans="7:14" ht="11.25" customHeight="1" x14ac:dyDescent="0.3">
      <c r="G3189" s="459"/>
      <c r="H3189" s="459">
        <v>3182</v>
      </c>
      <c r="I3189" s="444">
        <f t="shared" ca="1" si="163"/>
        <v>9247644887.8404713</v>
      </c>
      <c r="J3189" s="444">
        <f t="array" ref="J3189">IFERROR(INDEX('Retirement Calculator'!J:J,MATCH('Isaac 401k'!N3189,'Retirement Calculator'!A:A,0),0),0)</f>
        <v>0</v>
      </c>
      <c r="K3189" s="444">
        <f t="shared" ca="1" si="161"/>
        <v>38531853.699335299</v>
      </c>
      <c r="L3189" s="444">
        <f t="shared" ca="1" si="162"/>
        <v>9286176741.5398064</v>
      </c>
      <c r="M3189" s="460">
        <f t="shared" si="164"/>
        <v>0.05</v>
      </c>
      <c r="N3189" s="464">
        <f t="shared" si="165"/>
        <v>148106</v>
      </c>
    </row>
    <row r="3190" spans="7:14" ht="11.25" customHeight="1" x14ac:dyDescent="0.3">
      <c r="G3190" s="459"/>
      <c r="H3190" s="459">
        <v>3183</v>
      </c>
      <c r="I3190" s="444">
        <f t="shared" ca="1" si="163"/>
        <v>9286176741.5398064</v>
      </c>
      <c r="J3190" s="444">
        <f t="array" ref="J3190">IFERROR(INDEX('Retirement Calculator'!J:J,MATCH('Isaac 401k'!N3190,'Retirement Calculator'!A:A,0),0),0)</f>
        <v>0</v>
      </c>
      <c r="K3190" s="444">
        <f t="shared" ca="1" si="161"/>
        <v>38692403.089749195</v>
      </c>
      <c r="L3190" s="444">
        <f t="shared" ca="1" si="162"/>
        <v>9324869144.6295547</v>
      </c>
      <c r="M3190" s="460">
        <f t="shared" si="164"/>
        <v>0.05</v>
      </c>
      <c r="N3190" s="464">
        <f t="shared" si="165"/>
        <v>148137</v>
      </c>
    </row>
    <row r="3191" spans="7:14" ht="11.25" customHeight="1" x14ac:dyDescent="0.3">
      <c r="G3191" s="459"/>
      <c r="H3191" s="459">
        <v>3184</v>
      </c>
      <c r="I3191" s="444">
        <f t="shared" ca="1" si="163"/>
        <v>9324869144.6295547</v>
      </c>
      <c r="J3191" s="444">
        <f t="array" ref="J3191">IFERROR(INDEX('Retirement Calculator'!J:J,MATCH('Isaac 401k'!N3191,'Retirement Calculator'!A:A,0),0),0)</f>
        <v>0</v>
      </c>
      <c r="K3191" s="444">
        <f t="shared" ca="1" si="161"/>
        <v>38853621.435956478</v>
      </c>
      <c r="L3191" s="444">
        <f t="shared" ca="1" si="162"/>
        <v>9363722766.0655117</v>
      </c>
      <c r="M3191" s="460">
        <f t="shared" si="164"/>
        <v>0.05</v>
      </c>
      <c r="N3191" s="464">
        <f t="shared" si="165"/>
        <v>148168</v>
      </c>
    </row>
    <row r="3192" spans="7:14" ht="11.25" customHeight="1" x14ac:dyDescent="0.3">
      <c r="G3192" s="459"/>
      <c r="H3192" s="459">
        <v>3185</v>
      </c>
      <c r="I3192" s="444">
        <f t="shared" ca="1" si="163"/>
        <v>9363722766.0655117</v>
      </c>
      <c r="J3192" s="444">
        <f t="array" ref="J3192">IFERROR(INDEX('Retirement Calculator'!J:J,MATCH('Isaac 401k'!N3192,'Retirement Calculator'!A:A,0),0),0)</f>
        <v>0</v>
      </c>
      <c r="K3192" s="444">
        <f t="shared" ca="1" si="161"/>
        <v>39015511.525272965</v>
      </c>
      <c r="L3192" s="444">
        <f t="shared" ca="1" si="162"/>
        <v>9402738277.5907841</v>
      </c>
      <c r="M3192" s="460">
        <f t="shared" si="164"/>
        <v>0.05</v>
      </c>
      <c r="N3192" s="464">
        <f t="shared" si="165"/>
        <v>148198</v>
      </c>
    </row>
    <row r="3193" spans="7:14" ht="11.25" customHeight="1" x14ac:dyDescent="0.3">
      <c r="G3193" s="459"/>
      <c r="H3193" s="459">
        <v>3186</v>
      </c>
      <c r="I3193" s="444">
        <f t="shared" ca="1" si="163"/>
        <v>9402738277.5907841</v>
      </c>
      <c r="J3193" s="444">
        <f t="array" ref="J3193">IFERROR(INDEX('Retirement Calculator'!J:J,MATCH('Isaac 401k'!N3193,'Retirement Calculator'!A:A,0),0),0)</f>
        <v>0</v>
      </c>
      <c r="K3193" s="444">
        <f t="shared" ca="1" si="161"/>
        <v>39178076.156628266</v>
      </c>
      <c r="L3193" s="444">
        <f t="shared" ca="1" si="162"/>
        <v>9441916353.7474117</v>
      </c>
      <c r="M3193" s="460">
        <f t="shared" si="164"/>
        <v>0.05</v>
      </c>
      <c r="N3193" s="464">
        <f t="shared" si="165"/>
        <v>148229</v>
      </c>
    </row>
    <row r="3194" spans="7:14" ht="11.25" customHeight="1" x14ac:dyDescent="0.3">
      <c r="G3194" s="459"/>
      <c r="H3194" s="459">
        <v>3187</v>
      </c>
      <c r="I3194" s="444">
        <f t="shared" ca="1" si="163"/>
        <v>9441916353.7474117</v>
      </c>
      <c r="J3194" s="444">
        <f t="array" ref="J3194">IFERROR(INDEX('Retirement Calculator'!J:J,MATCH('Isaac 401k'!N3194,'Retirement Calculator'!A:A,0),0),0)</f>
        <v>0</v>
      </c>
      <c r="K3194" s="444">
        <f t="shared" ca="1" si="161"/>
        <v>39341318.140614212</v>
      </c>
      <c r="L3194" s="444">
        <f t="shared" ca="1" si="162"/>
        <v>9481257671.8880253</v>
      </c>
      <c r="M3194" s="460">
        <f t="shared" si="164"/>
        <v>0.05</v>
      </c>
      <c r="N3194" s="464">
        <f t="shared" si="165"/>
        <v>148259</v>
      </c>
    </row>
    <row r="3195" spans="7:14" ht="11.25" customHeight="1" x14ac:dyDescent="0.3">
      <c r="G3195" s="459"/>
      <c r="H3195" s="459">
        <v>3188</v>
      </c>
      <c r="I3195" s="444">
        <f t="shared" ca="1" si="163"/>
        <v>9481257671.8880253</v>
      </c>
      <c r="J3195" s="444">
        <f t="array" ref="J3195">IFERROR(INDEX('Retirement Calculator'!J:J,MATCH('Isaac 401k'!N3195,'Retirement Calculator'!A:A,0),0),0)</f>
        <v>0</v>
      </c>
      <c r="K3195" s="444">
        <f t="shared" ca="1" si="161"/>
        <v>39505240.299533442</v>
      </c>
      <c r="L3195" s="444">
        <f t="shared" ca="1" si="162"/>
        <v>9520762912.1875591</v>
      </c>
      <c r="M3195" s="460">
        <f t="shared" si="164"/>
        <v>0.05</v>
      </c>
      <c r="N3195" s="464">
        <f t="shared" si="165"/>
        <v>148290</v>
      </c>
    </row>
    <row r="3196" spans="7:14" ht="11.25" customHeight="1" x14ac:dyDescent="0.3">
      <c r="G3196" s="459"/>
      <c r="H3196" s="459">
        <v>3189</v>
      </c>
      <c r="I3196" s="444">
        <f t="shared" ca="1" si="163"/>
        <v>9520762912.1875591</v>
      </c>
      <c r="J3196" s="444">
        <f t="array" ref="J3196">IFERROR(INDEX('Retirement Calculator'!J:J,MATCH('Isaac 401k'!N3196,'Retirement Calculator'!A:A,0),0),0)</f>
        <v>0</v>
      </c>
      <c r="K3196" s="444">
        <f t="shared" ca="1" si="161"/>
        <v>39669845.46744816</v>
      </c>
      <c r="L3196" s="444">
        <f t="shared" ca="1" si="162"/>
        <v>9560432757.6550064</v>
      </c>
      <c r="M3196" s="460">
        <f t="shared" si="164"/>
        <v>0.05</v>
      </c>
      <c r="N3196" s="464">
        <f t="shared" si="165"/>
        <v>148321</v>
      </c>
    </row>
    <row r="3197" spans="7:14" ht="11.25" customHeight="1" x14ac:dyDescent="0.3">
      <c r="G3197" s="459"/>
      <c r="H3197" s="459">
        <v>3190</v>
      </c>
      <c r="I3197" s="444">
        <f t="shared" ca="1" si="163"/>
        <v>9560432757.6550064</v>
      </c>
      <c r="J3197" s="444">
        <f t="array" ref="J3197">IFERROR(INDEX('Retirement Calculator'!J:J,MATCH('Isaac 401k'!N3197,'Retirement Calculator'!A:A,0),0),0)</f>
        <v>0</v>
      </c>
      <c r="K3197" s="444">
        <f t="shared" ca="1" si="161"/>
        <v>39835136.490229189</v>
      </c>
      <c r="L3197" s="444">
        <f t="shared" ca="1" si="162"/>
        <v>9600267894.1452351</v>
      </c>
      <c r="M3197" s="460">
        <f t="shared" si="164"/>
        <v>0.05</v>
      </c>
      <c r="N3197" s="464">
        <f t="shared" si="165"/>
        <v>148349</v>
      </c>
    </row>
    <row r="3198" spans="7:14" ht="11.25" customHeight="1" x14ac:dyDescent="0.3">
      <c r="G3198" s="459"/>
      <c r="H3198" s="459">
        <v>3191</v>
      </c>
      <c r="I3198" s="444">
        <f t="shared" ca="1" si="163"/>
        <v>9600267894.1452351</v>
      </c>
      <c r="J3198" s="444">
        <f t="array" ref="J3198">IFERROR(INDEX('Retirement Calculator'!J:J,MATCH('Isaac 401k'!N3198,'Retirement Calculator'!A:A,0),0),0)</f>
        <v>0</v>
      </c>
      <c r="K3198" s="444">
        <f t="shared" ca="1" si="161"/>
        <v>40001116.225605145</v>
      </c>
      <c r="L3198" s="444">
        <f t="shared" ca="1" si="162"/>
        <v>9640269010.3708401</v>
      </c>
      <c r="M3198" s="460">
        <f t="shared" si="164"/>
        <v>0.05</v>
      </c>
      <c r="N3198" s="464">
        <f t="shared" si="165"/>
        <v>148380</v>
      </c>
    </row>
    <row r="3199" spans="7:14" ht="11.25" customHeight="1" x14ac:dyDescent="0.3">
      <c r="G3199" s="459"/>
      <c r="H3199" s="459">
        <v>3192</v>
      </c>
      <c r="I3199" s="444">
        <f t="shared" ca="1" si="163"/>
        <v>9640269010.3708401</v>
      </c>
      <c r="J3199" s="444">
        <f t="array" ref="J3199">IFERROR(INDEX('Retirement Calculator'!J:J,MATCH('Isaac 401k'!N3199,'Retirement Calculator'!A:A,0),0),0)</f>
        <v>0</v>
      </c>
      <c r="K3199" s="444">
        <f t="shared" ca="1" si="161"/>
        <v>40167787.543211833</v>
      </c>
      <c r="L3199" s="444">
        <f t="shared" ca="1" si="162"/>
        <v>9680436797.9140511</v>
      </c>
      <c r="M3199" s="460">
        <f t="shared" si="164"/>
        <v>0.05</v>
      </c>
      <c r="N3199" s="464">
        <f t="shared" si="165"/>
        <v>148410</v>
      </c>
    </row>
    <row r="3200" spans="7:14" ht="11.25" customHeight="1" x14ac:dyDescent="0.3">
      <c r="G3200" s="459"/>
      <c r="H3200" s="459">
        <v>3193</v>
      </c>
      <c r="I3200" s="444">
        <f t="shared" ca="1" si="163"/>
        <v>9680436797.9140511</v>
      </c>
      <c r="J3200" s="444">
        <f t="array" ref="J3200">IFERROR(INDEX('Retirement Calculator'!J:J,MATCH('Isaac 401k'!N3200,'Retirement Calculator'!A:A,0),0),0)</f>
        <v>0</v>
      </c>
      <c r="K3200" s="444">
        <f t="shared" ca="1" si="161"/>
        <v>40335153.324641876</v>
      </c>
      <c r="L3200" s="444">
        <f t="shared" ca="1" si="162"/>
        <v>9720771951.2386932</v>
      </c>
      <c r="M3200" s="460">
        <f t="shared" si="164"/>
        <v>0.05</v>
      </c>
      <c r="N3200" s="464">
        <f t="shared" si="165"/>
        <v>148441</v>
      </c>
    </row>
    <row r="3201" spans="7:14" ht="11.25" customHeight="1" x14ac:dyDescent="0.3">
      <c r="G3201" s="459"/>
      <c r="H3201" s="459">
        <v>3194</v>
      </c>
      <c r="I3201" s="444">
        <f t="shared" ca="1" si="163"/>
        <v>9720771951.2386932</v>
      </c>
      <c r="J3201" s="444">
        <f t="array" ref="J3201">IFERROR(INDEX('Retirement Calculator'!J:J,MATCH('Isaac 401k'!N3201,'Retirement Calculator'!A:A,0),0),0)</f>
        <v>0</v>
      </c>
      <c r="K3201" s="444">
        <f t="shared" ca="1" si="161"/>
        <v>40503216.463494554</v>
      </c>
      <c r="L3201" s="444">
        <f t="shared" ca="1" si="162"/>
        <v>9761275167.7021885</v>
      </c>
      <c r="M3201" s="460">
        <f t="shared" si="164"/>
        <v>0.05</v>
      </c>
      <c r="N3201" s="464">
        <f t="shared" si="165"/>
        <v>148471</v>
      </c>
    </row>
    <row r="3202" spans="7:14" ht="11.25" customHeight="1" x14ac:dyDescent="0.3">
      <c r="G3202" s="459"/>
      <c r="H3202" s="459">
        <v>3195</v>
      </c>
      <c r="I3202" s="444">
        <f t="shared" ca="1" si="163"/>
        <v>9761275167.7021885</v>
      </c>
      <c r="J3202" s="444">
        <f t="array" ref="J3202">IFERROR(INDEX('Retirement Calculator'!J:J,MATCH('Isaac 401k'!N3202,'Retirement Calculator'!A:A,0),0),0)</f>
        <v>0</v>
      </c>
      <c r="K3202" s="444">
        <f t="shared" ca="1" si="161"/>
        <v>40671979.865425788</v>
      </c>
      <c r="L3202" s="444">
        <f t="shared" ca="1" si="162"/>
        <v>9801947147.5676136</v>
      </c>
      <c r="M3202" s="460">
        <f t="shared" si="164"/>
        <v>0.05</v>
      </c>
      <c r="N3202" s="464">
        <f t="shared" si="165"/>
        <v>148502</v>
      </c>
    </row>
    <row r="3203" spans="7:14" ht="11.25" customHeight="1" x14ac:dyDescent="0.3">
      <c r="G3203" s="459"/>
      <c r="H3203" s="459">
        <v>3196</v>
      </c>
      <c r="I3203" s="444">
        <f t="shared" ca="1" si="163"/>
        <v>9801947147.5676136</v>
      </c>
      <c r="J3203" s="444">
        <f t="array" ref="J3203">IFERROR(INDEX('Retirement Calculator'!J:J,MATCH('Isaac 401k'!N3203,'Retirement Calculator'!A:A,0),0),0)</f>
        <v>0</v>
      </c>
      <c r="K3203" s="444">
        <f t="shared" ca="1" si="161"/>
        <v>40841446.448198393</v>
      </c>
      <c r="L3203" s="444">
        <f t="shared" ca="1" si="162"/>
        <v>9842788594.0158119</v>
      </c>
      <c r="M3203" s="460">
        <f t="shared" si="164"/>
        <v>0.05</v>
      </c>
      <c r="N3203" s="464">
        <f t="shared" si="165"/>
        <v>148533</v>
      </c>
    </row>
    <row r="3204" spans="7:14" ht="11.25" customHeight="1" x14ac:dyDescent="0.3">
      <c r="G3204" s="459"/>
      <c r="H3204" s="459">
        <v>3197</v>
      </c>
      <c r="I3204" s="444">
        <f t="shared" ca="1" si="163"/>
        <v>9842788594.0158119</v>
      </c>
      <c r="J3204" s="444">
        <f t="array" ref="J3204">IFERROR(INDEX('Retirement Calculator'!J:J,MATCH('Isaac 401k'!N3204,'Retirement Calculator'!A:A,0),0),0)</f>
        <v>0</v>
      </c>
      <c r="K3204" s="444">
        <f t="shared" ca="1" si="161"/>
        <v>41011619.141732551</v>
      </c>
      <c r="L3204" s="444">
        <f t="shared" ca="1" si="162"/>
        <v>9883800213.1575451</v>
      </c>
      <c r="M3204" s="460">
        <f t="shared" si="164"/>
        <v>0.05</v>
      </c>
      <c r="N3204" s="464">
        <f t="shared" si="165"/>
        <v>148563</v>
      </c>
    </row>
    <row r="3205" spans="7:14" ht="11.25" customHeight="1" x14ac:dyDescent="0.3">
      <c r="G3205" s="459"/>
      <c r="H3205" s="459">
        <v>3198</v>
      </c>
      <c r="I3205" s="444">
        <f t="shared" ca="1" si="163"/>
        <v>9883800213.1575451</v>
      </c>
      <c r="J3205" s="444">
        <f t="array" ref="J3205">IFERROR(INDEX('Retirement Calculator'!J:J,MATCH('Isaac 401k'!N3205,'Retirement Calculator'!A:A,0),0),0)</f>
        <v>0</v>
      </c>
      <c r="K3205" s="444">
        <f t="shared" ca="1" si="161"/>
        <v>41182500.888156436</v>
      </c>
      <c r="L3205" s="444">
        <f t="shared" ca="1" si="162"/>
        <v>9924982714.045702</v>
      </c>
      <c r="M3205" s="460">
        <f t="shared" si="164"/>
        <v>0.05</v>
      </c>
      <c r="N3205" s="464">
        <f t="shared" si="165"/>
        <v>148594</v>
      </c>
    </row>
    <row r="3206" spans="7:14" ht="11.25" customHeight="1" x14ac:dyDescent="0.3">
      <c r="G3206" s="459"/>
      <c r="H3206" s="459">
        <v>3199</v>
      </c>
      <c r="I3206" s="444">
        <f t="shared" ca="1" si="163"/>
        <v>9924982714.045702</v>
      </c>
      <c r="J3206" s="444">
        <f t="array" ref="J3206">IFERROR(INDEX('Retirement Calculator'!J:J,MATCH('Isaac 401k'!N3206,'Retirement Calculator'!A:A,0),0),0)</f>
        <v>0</v>
      </c>
      <c r="K3206" s="444">
        <f t="shared" ca="1" si="161"/>
        <v>41354094.641857088</v>
      </c>
      <c r="L3206" s="444">
        <f t="shared" ca="1" si="162"/>
        <v>9966336808.6875591</v>
      </c>
      <c r="M3206" s="460">
        <f t="shared" si="164"/>
        <v>0.05</v>
      </c>
      <c r="N3206" s="464">
        <f t="shared" si="165"/>
        <v>148624</v>
      </c>
    </row>
    <row r="3207" spans="7:14" ht="11.25" customHeight="1" x14ac:dyDescent="0.3">
      <c r="G3207" s="459"/>
      <c r="H3207" s="459">
        <v>3200</v>
      </c>
      <c r="I3207" s="444">
        <f t="shared" ca="1" si="163"/>
        <v>9966336808.6875591</v>
      </c>
      <c r="J3207" s="444">
        <f t="array" ref="J3207">IFERROR(INDEX('Retirement Calculator'!J:J,MATCH('Isaac 401k'!N3207,'Retirement Calculator'!A:A,0),0),0)</f>
        <v>0</v>
      </c>
      <c r="K3207" s="444">
        <f t="shared" ca="1" si="161"/>
        <v>41526403.369531497</v>
      </c>
      <c r="L3207" s="444">
        <f t="shared" ca="1" si="162"/>
        <v>10007863212.057091</v>
      </c>
      <c r="M3207" s="460">
        <f t="shared" si="164"/>
        <v>0.05</v>
      </c>
      <c r="N3207" s="464">
        <f t="shared" si="165"/>
        <v>148655</v>
      </c>
    </row>
    <row r="3208" spans="7:14" ht="11.25" customHeight="1" x14ac:dyDescent="0.3">
      <c r="G3208" s="459"/>
      <c r="H3208" s="459">
        <v>3201</v>
      </c>
      <c r="I3208" s="444">
        <f t="shared" ca="1" si="163"/>
        <v>10007863212.057091</v>
      </c>
      <c r="J3208" s="444">
        <f t="array" ref="J3208">IFERROR(INDEX('Retirement Calculator'!J:J,MATCH('Isaac 401k'!N3208,'Retirement Calculator'!A:A,0),0),0)</f>
        <v>0</v>
      </c>
      <c r="K3208" s="444">
        <f t="shared" ca="1" si="161"/>
        <v>41699430.050237879</v>
      </c>
      <c r="L3208" s="444">
        <f t="shared" ca="1" si="162"/>
        <v>10049562642.107328</v>
      </c>
      <c r="M3208" s="460">
        <f t="shared" si="164"/>
        <v>0.05</v>
      </c>
      <c r="N3208" s="464">
        <f t="shared" si="165"/>
        <v>148686</v>
      </c>
    </row>
    <row r="3209" spans="7:14" ht="11.25" customHeight="1" x14ac:dyDescent="0.3">
      <c r="G3209" s="459"/>
      <c r="H3209" s="459">
        <v>3202</v>
      </c>
      <c r="I3209" s="444">
        <f t="shared" ca="1" si="163"/>
        <v>10049562642.107328</v>
      </c>
      <c r="J3209" s="444">
        <f t="array" ref="J3209">IFERROR(INDEX('Retirement Calculator'!J:J,MATCH('Isaac 401k'!N3209,'Retirement Calculator'!A:A,0),0),0)</f>
        <v>0</v>
      </c>
      <c r="K3209" s="444">
        <f t="shared" ca="1" si="161"/>
        <v>41873177.675447203</v>
      </c>
      <c r="L3209" s="444">
        <f t="shared" ca="1" si="162"/>
        <v>10091435819.782776</v>
      </c>
      <c r="M3209" s="460">
        <f t="shared" si="164"/>
        <v>0.05</v>
      </c>
      <c r="N3209" s="464">
        <f t="shared" si="165"/>
        <v>148714</v>
      </c>
    </row>
    <row r="3210" spans="7:14" ht="11.25" customHeight="1" x14ac:dyDescent="0.3">
      <c r="G3210" s="459"/>
      <c r="H3210" s="459">
        <v>3203</v>
      </c>
      <c r="I3210" s="444">
        <f t="shared" ca="1" si="163"/>
        <v>10091435819.782776</v>
      </c>
      <c r="J3210" s="444">
        <f t="array" ref="J3210">IFERROR(INDEX('Retirement Calculator'!J:J,MATCH('Isaac 401k'!N3210,'Retirement Calculator'!A:A,0),0),0)</f>
        <v>0</v>
      </c>
      <c r="K3210" s="444">
        <f t="shared" ca="1" si="161"/>
        <v>42047649.249094896</v>
      </c>
      <c r="L3210" s="444">
        <f t="shared" ca="1" si="162"/>
        <v>10133483469.03187</v>
      </c>
      <c r="M3210" s="460">
        <f t="shared" si="164"/>
        <v>0.05</v>
      </c>
      <c r="N3210" s="464">
        <f t="shared" si="165"/>
        <v>148745</v>
      </c>
    </row>
    <row r="3211" spans="7:14" ht="11.25" customHeight="1" x14ac:dyDescent="0.3">
      <c r="G3211" s="459"/>
      <c r="H3211" s="459">
        <v>3204</v>
      </c>
      <c r="I3211" s="444">
        <f t="shared" ca="1" si="163"/>
        <v>10133483469.03187</v>
      </c>
      <c r="J3211" s="444">
        <f t="array" ref="J3211">IFERROR(INDEX('Retirement Calculator'!J:J,MATCH('Isaac 401k'!N3211,'Retirement Calculator'!A:A,0),0),0)</f>
        <v>0</v>
      </c>
      <c r="K3211" s="444">
        <f t="shared" ca="1" si="161"/>
        <v>42222847.787632793</v>
      </c>
      <c r="L3211" s="444">
        <f t="shared" ca="1" si="162"/>
        <v>10175706316.819502</v>
      </c>
      <c r="M3211" s="460">
        <f t="shared" si="164"/>
        <v>0.05</v>
      </c>
      <c r="N3211" s="464">
        <f t="shared" si="165"/>
        <v>148775</v>
      </c>
    </row>
    <row r="3212" spans="7:14" ht="11.25" customHeight="1" x14ac:dyDescent="0.3">
      <c r="G3212" s="459"/>
      <c r="H3212" s="459">
        <v>3205</v>
      </c>
      <c r="I3212" s="444">
        <f t="shared" ca="1" si="163"/>
        <v>10175706316.819502</v>
      </c>
      <c r="J3212" s="444">
        <f t="array" ref="J3212">IFERROR(INDEX('Retirement Calculator'!J:J,MATCH('Isaac 401k'!N3212,'Retirement Calculator'!A:A,0),0),0)</f>
        <v>0</v>
      </c>
      <c r="K3212" s="444">
        <f t="shared" ca="1" si="161"/>
        <v>42398776.320081256</v>
      </c>
      <c r="L3212" s="444">
        <f t="shared" ca="1" si="162"/>
        <v>10218105093.139584</v>
      </c>
      <c r="M3212" s="460">
        <f t="shared" si="164"/>
        <v>0.05</v>
      </c>
      <c r="N3212" s="464">
        <f t="shared" si="165"/>
        <v>148806</v>
      </c>
    </row>
    <row r="3213" spans="7:14" ht="11.25" customHeight="1" x14ac:dyDescent="0.3">
      <c r="G3213" s="459"/>
      <c r="H3213" s="459">
        <v>3206</v>
      </c>
      <c r="I3213" s="444">
        <f t="shared" ca="1" si="163"/>
        <v>10218105093.139584</v>
      </c>
      <c r="J3213" s="444">
        <f t="array" ref="J3213">IFERROR(INDEX('Retirement Calculator'!J:J,MATCH('Isaac 401k'!N3213,'Retirement Calculator'!A:A,0),0),0)</f>
        <v>0</v>
      </c>
      <c r="K3213" s="444">
        <f t="shared" ca="1" si="161"/>
        <v>42575437.888081595</v>
      </c>
      <c r="L3213" s="444">
        <f t="shared" ca="1" si="162"/>
        <v>10260680531.027666</v>
      </c>
      <c r="M3213" s="460">
        <f t="shared" si="164"/>
        <v>0.05</v>
      </c>
      <c r="N3213" s="464">
        <f t="shared" si="165"/>
        <v>148836</v>
      </c>
    </row>
    <row r="3214" spans="7:14" ht="11.25" customHeight="1" x14ac:dyDescent="0.3">
      <c r="G3214" s="459"/>
      <c r="H3214" s="459">
        <v>3207</v>
      </c>
      <c r="I3214" s="444">
        <f t="shared" ca="1" si="163"/>
        <v>10260680531.027666</v>
      </c>
      <c r="J3214" s="444">
        <f t="array" ref="J3214">IFERROR(INDEX('Retirement Calculator'!J:J,MATCH('Isaac 401k'!N3214,'Retirement Calculator'!A:A,0),0),0)</f>
        <v>0</v>
      </c>
      <c r="K3214" s="444">
        <f t="shared" ca="1" si="161"/>
        <v>42752835.54594861</v>
      </c>
      <c r="L3214" s="444">
        <f t="shared" ca="1" si="162"/>
        <v>10303433366.573614</v>
      </c>
      <c r="M3214" s="460">
        <f t="shared" si="164"/>
        <v>0.05</v>
      </c>
      <c r="N3214" s="464">
        <f t="shared" si="165"/>
        <v>148867</v>
      </c>
    </row>
    <row r="3215" spans="7:14" ht="11.25" customHeight="1" x14ac:dyDescent="0.3">
      <c r="G3215" s="459"/>
      <c r="H3215" s="459">
        <v>3208</v>
      </c>
      <c r="I3215" s="444">
        <f t="shared" ca="1" si="163"/>
        <v>10303433366.573614</v>
      </c>
      <c r="J3215" s="444">
        <f t="array" ref="J3215">IFERROR(INDEX('Retirement Calculator'!J:J,MATCH('Isaac 401k'!N3215,'Retirement Calculator'!A:A,0),0),0)</f>
        <v>0</v>
      </c>
      <c r="K3215" s="444">
        <f t="shared" ca="1" si="161"/>
        <v>42930972.360723391</v>
      </c>
      <c r="L3215" s="444">
        <f t="shared" ca="1" si="162"/>
        <v>10346364338.934338</v>
      </c>
      <c r="M3215" s="460">
        <f t="shared" si="164"/>
        <v>0.05</v>
      </c>
      <c r="N3215" s="464">
        <f t="shared" si="165"/>
        <v>148898</v>
      </c>
    </row>
    <row r="3216" spans="7:14" ht="11.25" customHeight="1" x14ac:dyDescent="0.3">
      <c r="G3216" s="459"/>
      <c r="H3216" s="459">
        <v>3209</v>
      </c>
      <c r="I3216" s="444">
        <f t="shared" ca="1" si="163"/>
        <v>10346364338.934338</v>
      </c>
      <c r="J3216" s="444">
        <f t="array" ref="J3216">IFERROR(INDEX('Retirement Calculator'!J:J,MATCH('Isaac 401k'!N3216,'Retirement Calculator'!A:A,0),0),0)</f>
        <v>0</v>
      </c>
      <c r="K3216" s="444">
        <f t="shared" ca="1" si="161"/>
        <v>43109851.412226409</v>
      </c>
      <c r="L3216" s="444">
        <f t="shared" ca="1" si="162"/>
        <v>10389474190.346563</v>
      </c>
      <c r="M3216" s="460">
        <f t="shared" si="164"/>
        <v>0.05</v>
      </c>
      <c r="N3216" s="464">
        <f t="shared" si="165"/>
        <v>148928</v>
      </c>
    </row>
    <row r="3217" spans="7:14" ht="11.25" customHeight="1" x14ac:dyDescent="0.3">
      <c r="G3217" s="459"/>
      <c r="H3217" s="459">
        <v>3210</v>
      </c>
      <c r="I3217" s="444">
        <f t="shared" ca="1" si="163"/>
        <v>10389474190.346563</v>
      </c>
      <c r="J3217" s="444">
        <f t="array" ref="J3217">IFERROR(INDEX('Retirement Calculator'!J:J,MATCH('Isaac 401k'!N3217,'Retirement Calculator'!A:A,0),0),0)</f>
        <v>0</v>
      </c>
      <c r="K3217" s="444">
        <f t="shared" ca="1" si="161"/>
        <v>43289475.793110684</v>
      </c>
      <c r="L3217" s="444">
        <f t="shared" ca="1" si="162"/>
        <v>10432763666.139673</v>
      </c>
      <c r="M3217" s="460">
        <f t="shared" si="164"/>
        <v>0.05</v>
      </c>
      <c r="N3217" s="464">
        <f t="shared" si="165"/>
        <v>148959</v>
      </c>
    </row>
    <row r="3218" spans="7:14" ht="11.25" customHeight="1" x14ac:dyDescent="0.3">
      <c r="G3218" s="459"/>
      <c r="H3218" s="459">
        <v>3211</v>
      </c>
      <c r="I3218" s="444">
        <f t="shared" ca="1" si="163"/>
        <v>10432763666.139673</v>
      </c>
      <c r="J3218" s="444">
        <f t="array" ref="J3218">IFERROR(INDEX('Retirement Calculator'!J:J,MATCH('Isaac 401k'!N3218,'Retirement Calculator'!A:A,0),0),0)</f>
        <v>0</v>
      </c>
      <c r="K3218" s="444">
        <f t="shared" ca="1" si="161"/>
        <v>43469848.608915307</v>
      </c>
      <c r="L3218" s="444">
        <f t="shared" ca="1" si="162"/>
        <v>10476233514.748589</v>
      </c>
      <c r="M3218" s="460">
        <f t="shared" si="164"/>
        <v>0.05</v>
      </c>
      <c r="N3218" s="464">
        <f t="shared" si="165"/>
        <v>148989</v>
      </c>
    </row>
    <row r="3219" spans="7:14" ht="11.25" customHeight="1" x14ac:dyDescent="0.3">
      <c r="G3219" s="459"/>
      <c r="H3219" s="459">
        <v>3212</v>
      </c>
      <c r="I3219" s="444">
        <f t="shared" ca="1" si="163"/>
        <v>10476233514.748589</v>
      </c>
      <c r="J3219" s="444">
        <f t="array" ref="J3219">IFERROR(INDEX('Retirement Calculator'!J:J,MATCH('Isaac 401k'!N3219,'Retirement Calculator'!A:A,0),0),0)</f>
        <v>0</v>
      </c>
      <c r="K3219" s="444">
        <f t="shared" ca="1" si="161"/>
        <v>43650972.97811912</v>
      </c>
      <c r="L3219" s="444">
        <f t="shared" ca="1" si="162"/>
        <v>10519884487.726707</v>
      </c>
      <c r="M3219" s="460">
        <f t="shared" si="164"/>
        <v>0.05</v>
      </c>
      <c r="N3219" s="464">
        <f t="shared" si="165"/>
        <v>149020</v>
      </c>
    </row>
    <row r="3220" spans="7:14" ht="11.25" customHeight="1" x14ac:dyDescent="0.3">
      <c r="G3220" s="459"/>
      <c r="H3220" s="459">
        <v>3213</v>
      </c>
      <c r="I3220" s="444">
        <f t="shared" ca="1" si="163"/>
        <v>10519884487.726707</v>
      </c>
      <c r="J3220" s="444">
        <f t="array" ref="J3220">IFERROR(INDEX('Retirement Calculator'!J:J,MATCH('Isaac 401k'!N3220,'Retirement Calculator'!A:A,0),0),0)</f>
        <v>0</v>
      </c>
      <c r="K3220" s="444">
        <f t="shared" ca="1" si="161"/>
        <v>43832852.032194614</v>
      </c>
      <c r="L3220" s="444">
        <f t="shared" ca="1" si="162"/>
        <v>10563717339.758902</v>
      </c>
      <c r="M3220" s="460">
        <f t="shared" si="164"/>
        <v>0.05</v>
      </c>
      <c r="N3220" s="464">
        <f t="shared" si="165"/>
        <v>149051</v>
      </c>
    </row>
    <row r="3221" spans="7:14" ht="11.25" customHeight="1" x14ac:dyDescent="0.3">
      <c r="G3221" s="459"/>
      <c r="H3221" s="459">
        <v>3214</v>
      </c>
      <c r="I3221" s="444">
        <f t="shared" ca="1" si="163"/>
        <v>10563717339.758902</v>
      </c>
      <c r="J3221" s="444">
        <f t="array" ref="J3221">IFERROR(INDEX('Retirement Calculator'!J:J,MATCH('Isaac 401k'!N3221,'Retirement Calculator'!A:A,0),0),0)</f>
        <v>0</v>
      </c>
      <c r="K3221" s="444">
        <f t="shared" ca="1" si="161"/>
        <v>44015488.915662088</v>
      </c>
      <c r="L3221" s="444">
        <f t="shared" ca="1" si="162"/>
        <v>10607732828.674564</v>
      </c>
      <c r="M3221" s="460">
        <f t="shared" si="164"/>
        <v>0.05</v>
      </c>
      <c r="N3221" s="464">
        <f t="shared" si="165"/>
        <v>149080</v>
      </c>
    </row>
    <row r="3222" spans="7:14" ht="11.25" customHeight="1" x14ac:dyDescent="0.3">
      <c r="G3222" s="459"/>
      <c r="H3222" s="459">
        <v>3215</v>
      </c>
      <c r="I3222" s="444">
        <f t="shared" ca="1" si="163"/>
        <v>10607732828.674564</v>
      </c>
      <c r="J3222" s="444">
        <f t="array" ref="J3222">IFERROR(INDEX('Retirement Calculator'!J:J,MATCH('Isaac 401k'!N3222,'Retirement Calculator'!A:A,0),0),0)</f>
        <v>0</v>
      </c>
      <c r="K3222" s="444">
        <f t="shared" ca="1" si="161"/>
        <v>44198886.786144018</v>
      </c>
      <c r="L3222" s="444">
        <f t="shared" ca="1" si="162"/>
        <v>10651931715.460709</v>
      </c>
      <c r="M3222" s="460">
        <f t="shared" si="164"/>
        <v>0.05</v>
      </c>
      <c r="N3222" s="464">
        <f t="shared" si="165"/>
        <v>149111</v>
      </c>
    </row>
    <row r="3223" spans="7:14" ht="11.25" customHeight="1" x14ac:dyDescent="0.3">
      <c r="G3223" s="459"/>
      <c r="H3223" s="459">
        <v>3216</v>
      </c>
      <c r="I3223" s="444">
        <f t="shared" ca="1" si="163"/>
        <v>10651931715.460709</v>
      </c>
      <c r="J3223" s="444">
        <f t="array" ref="J3223">IFERROR(INDEX('Retirement Calculator'!J:J,MATCH('Isaac 401k'!N3223,'Retirement Calculator'!A:A,0),0),0)</f>
        <v>0</v>
      </c>
      <c r="K3223" s="444">
        <f t="shared" ca="1" si="161"/>
        <v>44383048.81441962</v>
      </c>
      <c r="L3223" s="444">
        <f t="shared" ca="1" si="162"/>
        <v>10696314764.275127</v>
      </c>
      <c r="M3223" s="460">
        <f t="shared" si="164"/>
        <v>0.05</v>
      </c>
      <c r="N3223" s="464">
        <f t="shared" si="165"/>
        <v>149141</v>
      </c>
    </row>
    <row r="3224" spans="7:14" ht="11.25" customHeight="1" x14ac:dyDescent="0.3">
      <c r="G3224" s="459"/>
      <c r="H3224" s="459">
        <v>3217</v>
      </c>
      <c r="I3224" s="444">
        <f t="shared" ca="1" si="163"/>
        <v>10696314764.275127</v>
      </c>
      <c r="J3224" s="444">
        <f t="array" ref="J3224">IFERROR(INDEX('Retirement Calculator'!J:J,MATCH('Isaac 401k'!N3224,'Retirement Calculator'!A:A,0),0),0)</f>
        <v>0</v>
      </c>
      <c r="K3224" s="444">
        <f t="shared" ca="1" si="161"/>
        <v>44567978.184479699</v>
      </c>
      <c r="L3224" s="444">
        <f t="shared" ca="1" si="162"/>
        <v>10740882742.459606</v>
      </c>
      <c r="M3224" s="460">
        <f t="shared" si="164"/>
        <v>0.05</v>
      </c>
      <c r="N3224" s="464">
        <f t="shared" si="165"/>
        <v>149172</v>
      </c>
    </row>
    <row r="3225" spans="7:14" ht="11.25" customHeight="1" x14ac:dyDescent="0.3">
      <c r="G3225" s="459"/>
      <c r="H3225" s="459">
        <v>3218</v>
      </c>
      <c r="I3225" s="444">
        <f t="shared" ca="1" si="163"/>
        <v>10740882742.459606</v>
      </c>
      <c r="J3225" s="444">
        <f t="array" ref="J3225">IFERROR(INDEX('Retirement Calculator'!J:J,MATCH('Isaac 401k'!N3225,'Retirement Calculator'!A:A,0),0),0)</f>
        <v>0</v>
      </c>
      <c r="K3225" s="444">
        <f t="shared" ca="1" si="161"/>
        <v>44753678.093581691</v>
      </c>
      <c r="L3225" s="444">
        <f t="shared" ca="1" si="162"/>
        <v>10785636420.553188</v>
      </c>
      <c r="M3225" s="460">
        <f t="shared" si="164"/>
        <v>0.05</v>
      </c>
      <c r="N3225" s="464">
        <f t="shared" si="165"/>
        <v>149202</v>
      </c>
    </row>
    <row r="3226" spans="7:14" ht="11.25" customHeight="1" x14ac:dyDescent="0.3">
      <c r="G3226" s="459"/>
      <c r="H3226" s="459">
        <v>3219</v>
      </c>
      <c r="I3226" s="444">
        <f t="shared" ca="1" si="163"/>
        <v>10785636420.553188</v>
      </c>
      <c r="J3226" s="444">
        <f t="array" ref="J3226">IFERROR(INDEX('Retirement Calculator'!J:J,MATCH('Isaac 401k'!N3226,'Retirement Calculator'!A:A,0),0),0)</f>
        <v>0</v>
      </c>
      <c r="K3226" s="444">
        <f t="shared" ca="1" si="161"/>
        <v>44940151.752304949</v>
      </c>
      <c r="L3226" s="444">
        <f t="shared" ca="1" si="162"/>
        <v>10830576572.305492</v>
      </c>
      <c r="M3226" s="460">
        <f t="shared" si="164"/>
        <v>0.05</v>
      </c>
      <c r="N3226" s="464">
        <f t="shared" si="165"/>
        <v>149233</v>
      </c>
    </row>
    <row r="3227" spans="7:14" ht="11.25" customHeight="1" x14ac:dyDescent="0.3">
      <c r="G3227" s="459"/>
      <c r="H3227" s="459">
        <v>3220</v>
      </c>
      <c r="I3227" s="444">
        <f t="shared" ca="1" si="163"/>
        <v>10830576572.305492</v>
      </c>
      <c r="J3227" s="444">
        <f t="array" ref="J3227">IFERROR(INDEX('Retirement Calculator'!J:J,MATCH('Isaac 401k'!N3227,'Retirement Calculator'!A:A,0),0),0)</f>
        <v>0</v>
      </c>
      <c r="K3227" s="444">
        <f t="shared" ca="1" si="161"/>
        <v>45127402.38460622</v>
      </c>
      <c r="L3227" s="444">
        <f t="shared" ca="1" si="162"/>
        <v>10875703974.690098</v>
      </c>
      <c r="M3227" s="460">
        <f t="shared" si="164"/>
        <v>0.05</v>
      </c>
      <c r="N3227" s="464">
        <f t="shared" si="165"/>
        <v>149264</v>
      </c>
    </row>
    <row r="3228" spans="7:14" ht="11.25" customHeight="1" x14ac:dyDescent="0.3">
      <c r="G3228" s="459"/>
      <c r="H3228" s="459">
        <v>3221</v>
      </c>
      <c r="I3228" s="444">
        <f t="shared" ca="1" si="163"/>
        <v>10875703974.690098</v>
      </c>
      <c r="J3228" s="444">
        <f t="array" ref="J3228">IFERROR(INDEX('Retirement Calculator'!J:J,MATCH('Isaac 401k'!N3228,'Retirement Calculator'!A:A,0),0),0)</f>
        <v>0</v>
      </c>
      <c r="K3228" s="444">
        <f t="shared" ca="1" si="161"/>
        <v>45315433.227875404</v>
      </c>
      <c r="L3228" s="444">
        <f t="shared" ca="1" si="162"/>
        <v>10921019407.917973</v>
      </c>
      <c r="M3228" s="460">
        <f t="shared" si="164"/>
        <v>0.05</v>
      </c>
      <c r="N3228" s="464">
        <f t="shared" si="165"/>
        <v>149294</v>
      </c>
    </row>
    <row r="3229" spans="7:14" ht="11.25" customHeight="1" x14ac:dyDescent="0.3">
      <c r="G3229" s="459"/>
      <c r="H3229" s="459">
        <v>3222</v>
      </c>
      <c r="I3229" s="444">
        <f t="shared" ca="1" si="163"/>
        <v>10921019407.917973</v>
      </c>
      <c r="J3229" s="444">
        <f t="array" ref="J3229">IFERROR(INDEX('Retirement Calculator'!J:J,MATCH('Isaac 401k'!N3229,'Retirement Calculator'!A:A,0),0),0)</f>
        <v>0</v>
      </c>
      <c r="K3229" s="444">
        <f t="shared" ca="1" si="161"/>
        <v>45504247.532991551</v>
      </c>
      <c r="L3229" s="444">
        <f t="shared" ca="1" si="162"/>
        <v>10966523655.450964</v>
      </c>
      <c r="M3229" s="460">
        <f t="shared" si="164"/>
        <v>0.05</v>
      </c>
      <c r="N3229" s="464">
        <f t="shared" si="165"/>
        <v>149325</v>
      </c>
    </row>
    <row r="3230" spans="7:14" ht="11.25" customHeight="1" x14ac:dyDescent="0.3">
      <c r="G3230" s="459"/>
      <c r="H3230" s="459">
        <v>3223</v>
      </c>
      <c r="I3230" s="444">
        <f t="shared" ca="1" si="163"/>
        <v>10966523655.450964</v>
      </c>
      <c r="J3230" s="444">
        <f t="array" ref="J3230">IFERROR(INDEX('Retirement Calculator'!J:J,MATCH('Isaac 401k'!N3230,'Retirement Calculator'!A:A,0),0),0)</f>
        <v>0</v>
      </c>
      <c r="K3230" s="444">
        <f t="shared" ca="1" si="161"/>
        <v>45693848.564379014</v>
      </c>
      <c r="L3230" s="444">
        <f t="shared" ca="1" si="162"/>
        <v>11012217504.015343</v>
      </c>
      <c r="M3230" s="460">
        <f t="shared" si="164"/>
        <v>0.05</v>
      </c>
      <c r="N3230" s="464">
        <f t="shared" si="165"/>
        <v>149355</v>
      </c>
    </row>
    <row r="3231" spans="7:14" ht="11.25" customHeight="1" x14ac:dyDescent="0.3">
      <c r="G3231" s="459"/>
      <c r="H3231" s="459">
        <v>3224</v>
      </c>
      <c r="I3231" s="444">
        <f t="shared" ca="1" si="163"/>
        <v>11012217504.015343</v>
      </c>
      <c r="J3231" s="444">
        <f t="array" ref="J3231">IFERROR(INDEX('Retirement Calculator'!J:J,MATCH('Isaac 401k'!N3231,'Retirement Calculator'!A:A,0),0),0)</f>
        <v>0</v>
      </c>
      <c r="K3231" s="444">
        <f t="shared" ca="1" si="161"/>
        <v>45884239.600063927</v>
      </c>
      <c r="L3231" s="444">
        <f t="shared" ca="1" si="162"/>
        <v>11058101743.615406</v>
      </c>
      <c r="M3231" s="460">
        <f t="shared" si="164"/>
        <v>0.05</v>
      </c>
      <c r="N3231" s="464">
        <f t="shared" si="165"/>
        <v>149386</v>
      </c>
    </row>
    <row r="3232" spans="7:14" ht="11.25" customHeight="1" x14ac:dyDescent="0.3">
      <c r="G3232" s="459"/>
      <c r="H3232" s="459">
        <v>3225</v>
      </c>
      <c r="I3232" s="444">
        <f t="shared" ca="1" si="163"/>
        <v>11058101743.615406</v>
      </c>
      <c r="J3232" s="444">
        <f t="array" ref="J3232">IFERROR(INDEX('Retirement Calculator'!J:J,MATCH('Isaac 401k'!N3232,'Retirement Calculator'!A:A,0),0),0)</f>
        <v>0</v>
      </c>
      <c r="K3232" s="444">
        <f t="shared" ca="1" si="161"/>
        <v>46075423.931730859</v>
      </c>
      <c r="L3232" s="444">
        <f t="shared" ca="1" si="162"/>
        <v>11104177167.547136</v>
      </c>
      <c r="M3232" s="460">
        <f t="shared" si="164"/>
        <v>0.05</v>
      </c>
      <c r="N3232" s="464">
        <f t="shared" si="165"/>
        <v>149417</v>
      </c>
    </row>
    <row r="3233" spans="7:14" ht="11.25" customHeight="1" x14ac:dyDescent="0.3">
      <c r="G3233" s="459"/>
      <c r="H3233" s="459">
        <v>3226</v>
      </c>
      <c r="I3233" s="444">
        <f t="shared" ca="1" si="163"/>
        <v>11104177167.547136</v>
      </c>
      <c r="J3233" s="444">
        <f t="array" ref="J3233">IFERROR(INDEX('Retirement Calculator'!J:J,MATCH('Isaac 401k'!N3233,'Retirement Calculator'!A:A,0),0),0)</f>
        <v>0</v>
      </c>
      <c r="K3233" s="444">
        <f t="shared" ca="1" si="161"/>
        <v>46267404.864779733</v>
      </c>
      <c r="L3233" s="444">
        <f t="shared" ca="1" si="162"/>
        <v>11150444572.411917</v>
      </c>
      <c r="M3233" s="460">
        <f t="shared" si="164"/>
        <v>0.05</v>
      </c>
      <c r="N3233" s="464">
        <f t="shared" si="165"/>
        <v>149445</v>
      </c>
    </row>
    <row r="3234" spans="7:14" ht="11.25" customHeight="1" x14ac:dyDescent="0.3">
      <c r="G3234" s="459"/>
      <c r="H3234" s="459">
        <v>3227</v>
      </c>
      <c r="I3234" s="444">
        <f t="shared" ca="1" si="163"/>
        <v>11150444572.411917</v>
      </c>
      <c r="J3234" s="444">
        <f t="array" ref="J3234">IFERROR(INDEX('Retirement Calculator'!J:J,MATCH('Isaac 401k'!N3234,'Retirement Calculator'!A:A,0),0),0)</f>
        <v>0</v>
      </c>
      <c r="K3234" s="444">
        <f t="shared" ca="1" si="161"/>
        <v>46460185.718382984</v>
      </c>
      <c r="L3234" s="444">
        <f t="shared" ca="1" si="162"/>
        <v>11196904758.130301</v>
      </c>
      <c r="M3234" s="460">
        <f t="shared" si="164"/>
        <v>0.05</v>
      </c>
      <c r="N3234" s="464">
        <f t="shared" si="165"/>
        <v>149476</v>
      </c>
    </row>
    <row r="3235" spans="7:14" ht="11.25" customHeight="1" x14ac:dyDescent="0.3">
      <c r="G3235" s="459"/>
      <c r="H3235" s="459">
        <v>3228</v>
      </c>
      <c r="I3235" s="444">
        <f t="shared" ca="1" si="163"/>
        <v>11196904758.130301</v>
      </c>
      <c r="J3235" s="444">
        <f t="array" ref="J3235">IFERROR(INDEX('Retirement Calculator'!J:J,MATCH('Isaac 401k'!N3235,'Retirement Calculator'!A:A,0),0),0)</f>
        <v>0</v>
      </c>
      <c r="K3235" s="444">
        <f t="shared" ca="1" si="161"/>
        <v>46653769.825542919</v>
      </c>
      <c r="L3235" s="444">
        <f t="shared" ca="1" si="162"/>
        <v>11243558527.955843</v>
      </c>
      <c r="M3235" s="460">
        <f t="shared" si="164"/>
        <v>0.05</v>
      </c>
      <c r="N3235" s="464">
        <f t="shared" si="165"/>
        <v>149506</v>
      </c>
    </row>
    <row r="3236" spans="7:14" ht="11.25" customHeight="1" x14ac:dyDescent="0.3">
      <c r="G3236" s="459"/>
      <c r="H3236" s="459">
        <v>3229</v>
      </c>
      <c r="I3236" s="444">
        <f t="shared" ca="1" si="163"/>
        <v>11243558527.955843</v>
      </c>
      <c r="J3236" s="444">
        <f t="array" ref="J3236">IFERROR(INDEX('Retirement Calculator'!J:J,MATCH('Isaac 401k'!N3236,'Retirement Calculator'!A:A,0),0),0)</f>
        <v>0</v>
      </c>
      <c r="K3236" s="444">
        <f t="shared" ca="1" si="161"/>
        <v>46848160.533149347</v>
      </c>
      <c r="L3236" s="444">
        <f t="shared" ca="1" si="162"/>
        <v>11290406688.488993</v>
      </c>
      <c r="M3236" s="460">
        <f t="shared" si="164"/>
        <v>0.05</v>
      </c>
      <c r="N3236" s="464">
        <f t="shared" si="165"/>
        <v>149537</v>
      </c>
    </row>
    <row r="3237" spans="7:14" ht="11.25" customHeight="1" x14ac:dyDescent="0.3">
      <c r="G3237" s="459"/>
      <c r="H3237" s="459">
        <v>3230</v>
      </c>
      <c r="I3237" s="444">
        <f t="shared" ca="1" si="163"/>
        <v>11290406688.488993</v>
      </c>
      <c r="J3237" s="444">
        <f t="array" ref="J3237">IFERROR(INDEX('Retirement Calculator'!J:J,MATCH('Isaac 401k'!N3237,'Retirement Calculator'!A:A,0),0),0)</f>
        <v>0</v>
      </c>
      <c r="K3237" s="444">
        <f t="shared" ca="1" si="161"/>
        <v>47043361.202037469</v>
      </c>
      <c r="L3237" s="444">
        <f t="shared" ca="1" si="162"/>
        <v>11337450049.691031</v>
      </c>
      <c r="M3237" s="460">
        <f t="shared" si="164"/>
        <v>0.05</v>
      </c>
      <c r="N3237" s="464">
        <f t="shared" si="165"/>
        <v>149567</v>
      </c>
    </row>
    <row r="3238" spans="7:14" ht="11.25" customHeight="1" x14ac:dyDescent="0.3">
      <c r="G3238" s="459"/>
      <c r="H3238" s="459">
        <v>3231</v>
      </c>
      <c r="I3238" s="444">
        <f t="shared" ca="1" si="163"/>
        <v>11337450049.691031</v>
      </c>
      <c r="J3238" s="444">
        <f t="array" ref="J3238">IFERROR(INDEX('Retirement Calculator'!J:J,MATCH('Isaac 401k'!N3238,'Retirement Calculator'!A:A,0),0),0)</f>
        <v>0</v>
      </c>
      <c r="K3238" s="444">
        <f t="shared" ca="1" si="161"/>
        <v>47239375.207045957</v>
      </c>
      <c r="L3238" s="444">
        <f t="shared" ca="1" si="162"/>
        <v>11384689424.898077</v>
      </c>
      <c r="M3238" s="460">
        <f t="shared" si="164"/>
        <v>0.05</v>
      </c>
      <c r="N3238" s="464">
        <f t="shared" si="165"/>
        <v>149598</v>
      </c>
    </row>
    <row r="3239" spans="7:14" ht="11.25" customHeight="1" x14ac:dyDescent="0.3">
      <c r="G3239" s="459"/>
      <c r="H3239" s="459">
        <v>3232</v>
      </c>
      <c r="I3239" s="444">
        <f t="shared" ca="1" si="163"/>
        <v>11384689424.898077</v>
      </c>
      <c r="J3239" s="444">
        <f t="array" ref="J3239">IFERROR(INDEX('Retirement Calculator'!J:J,MATCH('Isaac 401k'!N3239,'Retirement Calculator'!A:A,0),0),0)</f>
        <v>0</v>
      </c>
      <c r="K3239" s="444">
        <f t="shared" ca="1" si="161"/>
        <v>47436205.937075317</v>
      </c>
      <c r="L3239" s="444">
        <f t="shared" ca="1" si="162"/>
        <v>11432125630.835152</v>
      </c>
      <c r="M3239" s="460">
        <f t="shared" si="164"/>
        <v>0.05</v>
      </c>
      <c r="N3239" s="464">
        <f t="shared" si="165"/>
        <v>149629</v>
      </c>
    </row>
    <row r="3240" spans="7:14" ht="11.25" customHeight="1" x14ac:dyDescent="0.3">
      <c r="G3240" s="459"/>
      <c r="H3240" s="459">
        <v>3233</v>
      </c>
      <c r="I3240" s="444">
        <f t="shared" ca="1" si="163"/>
        <v>11432125630.835152</v>
      </c>
      <c r="J3240" s="444">
        <f t="array" ref="J3240">IFERROR(INDEX('Retirement Calculator'!J:J,MATCH('Isaac 401k'!N3240,'Retirement Calculator'!A:A,0),0),0)</f>
        <v>0</v>
      </c>
      <c r="K3240" s="444">
        <f t="shared" ca="1" si="161"/>
        <v>47633856.795146465</v>
      </c>
      <c r="L3240" s="444">
        <f t="shared" ca="1" si="162"/>
        <v>11479759487.630299</v>
      </c>
      <c r="M3240" s="460">
        <f t="shared" si="164"/>
        <v>0.05</v>
      </c>
      <c r="N3240" s="464">
        <f t="shared" si="165"/>
        <v>149659</v>
      </c>
    </row>
    <row r="3241" spans="7:14" ht="11.25" customHeight="1" x14ac:dyDescent="0.3">
      <c r="G3241" s="459"/>
      <c r="H3241" s="459">
        <v>3234</v>
      </c>
      <c r="I3241" s="444">
        <f t="shared" ca="1" si="163"/>
        <v>11479759487.630299</v>
      </c>
      <c r="J3241" s="444">
        <f t="array" ref="J3241">IFERROR(INDEX('Retirement Calculator'!J:J,MATCH('Isaac 401k'!N3241,'Retirement Calculator'!A:A,0),0),0)</f>
        <v>0</v>
      </c>
      <c r="K3241" s="444">
        <f t="shared" ca="1" si="161"/>
        <v>47832331.198459581</v>
      </c>
      <c r="L3241" s="444">
        <f t="shared" ca="1" si="162"/>
        <v>11527591818.828758</v>
      </c>
      <c r="M3241" s="460">
        <f t="shared" si="164"/>
        <v>0.05</v>
      </c>
      <c r="N3241" s="464">
        <f t="shared" si="165"/>
        <v>149690</v>
      </c>
    </row>
    <row r="3242" spans="7:14" ht="11.25" customHeight="1" x14ac:dyDescent="0.3">
      <c r="G3242" s="459"/>
      <c r="H3242" s="459">
        <v>3235</v>
      </c>
      <c r="I3242" s="444">
        <f t="shared" ca="1" si="163"/>
        <v>11527591818.828758</v>
      </c>
      <c r="J3242" s="444">
        <f t="array" ref="J3242">IFERROR(INDEX('Retirement Calculator'!J:J,MATCH('Isaac 401k'!N3242,'Retirement Calculator'!A:A,0),0),0)</f>
        <v>0</v>
      </c>
      <c r="K3242" s="444">
        <f t="shared" ca="1" si="161"/>
        <v>48031632.578453161</v>
      </c>
      <c r="L3242" s="444">
        <f t="shared" ca="1" si="162"/>
        <v>11575623451.407211</v>
      </c>
      <c r="M3242" s="460">
        <f t="shared" si="164"/>
        <v>0.05</v>
      </c>
      <c r="N3242" s="464">
        <f t="shared" si="165"/>
        <v>149720</v>
      </c>
    </row>
    <row r="3243" spans="7:14" ht="11.25" customHeight="1" x14ac:dyDescent="0.3">
      <c r="G3243" s="459"/>
      <c r="H3243" s="459">
        <v>3236</v>
      </c>
      <c r="I3243" s="444">
        <f t="shared" ca="1" si="163"/>
        <v>11575623451.407211</v>
      </c>
      <c r="J3243" s="444">
        <f t="array" ref="J3243">IFERROR(INDEX('Retirement Calculator'!J:J,MATCH('Isaac 401k'!N3243,'Retirement Calculator'!A:A,0),0),0)</f>
        <v>0</v>
      </c>
      <c r="K3243" s="444">
        <f t="shared" ca="1" si="161"/>
        <v>48231764.380863383</v>
      </c>
      <c r="L3243" s="444">
        <f t="shared" ca="1" si="162"/>
        <v>11623855215.788074</v>
      </c>
      <c r="M3243" s="460">
        <f t="shared" si="164"/>
        <v>0.05</v>
      </c>
      <c r="N3243" s="464">
        <f t="shared" si="165"/>
        <v>149751</v>
      </c>
    </row>
    <row r="3244" spans="7:14" ht="11.25" customHeight="1" x14ac:dyDescent="0.3">
      <c r="G3244" s="459"/>
      <c r="H3244" s="459">
        <v>3237</v>
      </c>
      <c r="I3244" s="444">
        <f t="shared" ca="1" si="163"/>
        <v>11623855215.788074</v>
      </c>
      <c r="J3244" s="444">
        <f t="array" ref="J3244">IFERROR(INDEX('Retirement Calculator'!J:J,MATCH('Isaac 401k'!N3244,'Retirement Calculator'!A:A,0),0),0)</f>
        <v>0</v>
      </c>
      <c r="K3244" s="444">
        <f t="shared" ca="1" si="161"/>
        <v>48432730.065783642</v>
      </c>
      <c r="L3244" s="444">
        <f t="shared" ca="1" si="162"/>
        <v>11672287945.853859</v>
      </c>
      <c r="M3244" s="460">
        <f t="shared" si="164"/>
        <v>0.05</v>
      </c>
      <c r="N3244" s="464">
        <f t="shared" si="165"/>
        <v>149782</v>
      </c>
    </row>
    <row r="3245" spans="7:14" ht="11.25" customHeight="1" x14ac:dyDescent="0.3">
      <c r="G3245" s="459"/>
      <c r="H3245" s="459">
        <v>3238</v>
      </c>
      <c r="I3245" s="444">
        <f t="shared" ca="1" si="163"/>
        <v>11672287945.853859</v>
      </c>
      <c r="J3245" s="444">
        <f t="array" ref="J3245">IFERROR(INDEX('Retirement Calculator'!J:J,MATCH('Isaac 401k'!N3245,'Retirement Calculator'!A:A,0),0),0)</f>
        <v>0</v>
      </c>
      <c r="K3245" s="444">
        <f t="shared" ca="1" si="161"/>
        <v>48634533.107724413</v>
      </c>
      <c r="L3245" s="444">
        <f t="shared" ca="1" si="162"/>
        <v>11720922478.961584</v>
      </c>
      <c r="M3245" s="460">
        <f t="shared" si="164"/>
        <v>0.05</v>
      </c>
      <c r="N3245" s="464">
        <f t="shared" si="165"/>
        <v>149810</v>
      </c>
    </row>
    <row r="3246" spans="7:14" ht="11.25" customHeight="1" x14ac:dyDescent="0.3">
      <c r="G3246" s="459"/>
      <c r="H3246" s="459">
        <v>3239</v>
      </c>
      <c r="I3246" s="444">
        <f t="shared" ca="1" si="163"/>
        <v>11720922478.961584</v>
      </c>
      <c r="J3246" s="444">
        <f t="array" ref="J3246">IFERROR(INDEX('Retirement Calculator'!J:J,MATCH('Isaac 401k'!N3246,'Retirement Calculator'!A:A,0),0),0)</f>
        <v>0</v>
      </c>
      <c r="K3246" s="444">
        <f t="shared" ca="1" si="161"/>
        <v>48837176.995673269</v>
      </c>
      <c r="L3246" s="444">
        <f t="shared" ca="1" si="162"/>
        <v>11769759655.957258</v>
      </c>
      <c r="M3246" s="460">
        <f t="shared" si="164"/>
        <v>0.05</v>
      </c>
      <c r="N3246" s="464">
        <f t="shared" si="165"/>
        <v>149841</v>
      </c>
    </row>
    <row r="3247" spans="7:14" ht="11.25" customHeight="1" x14ac:dyDescent="0.3">
      <c r="G3247" s="459"/>
      <c r="H3247" s="459">
        <v>3240</v>
      </c>
      <c r="I3247" s="444">
        <f t="shared" ca="1" si="163"/>
        <v>11769759655.957258</v>
      </c>
      <c r="J3247" s="444">
        <f t="array" ref="J3247">IFERROR(INDEX('Retirement Calculator'!J:J,MATCH('Isaac 401k'!N3247,'Retirement Calculator'!A:A,0),0),0)</f>
        <v>0</v>
      </c>
      <c r="K3247" s="444">
        <f t="shared" ca="1" si="161"/>
        <v>49040665.233155243</v>
      </c>
      <c r="L3247" s="444">
        <f t="shared" ca="1" si="162"/>
        <v>11818800321.190413</v>
      </c>
      <c r="M3247" s="460">
        <f t="shared" si="164"/>
        <v>0.05</v>
      </c>
      <c r="N3247" s="464">
        <f t="shared" si="165"/>
        <v>149871</v>
      </c>
    </row>
    <row r="3248" spans="7:14" ht="11.25" customHeight="1" x14ac:dyDescent="0.3">
      <c r="G3248" s="459"/>
      <c r="H3248" s="459">
        <v>3241</v>
      </c>
      <c r="I3248" s="444">
        <f t="shared" ca="1" si="163"/>
        <v>11818800321.190413</v>
      </c>
      <c r="J3248" s="444">
        <f t="array" ref="J3248">IFERROR(INDEX('Retirement Calculator'!J:J,MATCH('Isaac 401k'!N3248,'Retirement Calculator'!A:A,0),0),0)</f>
        <v>0</v>
      </c>
      <c r="K3248" s="444">
        <f t="shared" ca="1" si="161"/>
        <v>49245001.338293388</v>
      </c>
      <c r="L3248" s="444">
        <f t="shared" ca="1" si="162"/>
        <v>11868045322.528706</v>
      </c>
      <c r="M3248" s="460">
        <f t="shared" si="164"/>
        <v>0.05</v>
      </c>
      <c r="N3248" s="464">
        <f t="shared" si="165"/>
        <v>149902</v>
      </c>
    </row>
    <row r="3249" spans="7:14" ht="11.25" customHeight="1" x14ac:dyDescent="0.3">
      <c r="G3249" s="459"/>
      <c r="H3249" s="459">
        <v>3242</v>
      </c>
      <c r="I3249" s="444">
        <f t="shared" ca="1" si="163"/>
        <v>11868045322.528706</v>
      </c>
      <c r="J3249" s="444">
        <f t="array" ref="J3249">IFERROR(INDEX('Retirement Calculator'!J:J,MATCH('Isaac 401k'!N3249,'Retirement Calculator'!A:A,0),0),0)</f>
        <v>0</v>
      </c>
      <c r="K3249" s="444">
        <f t="shared" ca="1" si="161"/>
        <v>49450188.843869604</v>
      </c>
      <c r="L3249" s="444">
        <f t="shared" ca="1" si="162"/>
        <v>11917495511.372576</v>
      </c>
      <c r="M3249" s="460">
        <f t="shared" si="164"/>
        <v>0.05</v>
      </c>
      <c r="N3249" s="464">
        <f t="shared" si="165"/>
        <v>149932</v>
      </c>
    </row>
    <row r="3250" spans="7:14" ht="11.25" customHeight="1" x14ac:dyDescent="0.3">
      <c r="G3250" s="459"/>
      <c r="H3250" s="459">
        <v>3243</v>
      </c>
      <c r="I3250" s="444">
        <f t="shared" ca="1" si="163"/>
        <v>11917495511.372576</v>
      </c>
      <c r="J3250" s="444">
        <f t="array" ref="J3250">IFERROR(INDEX('Retirement Calculator'!J:J,MATCH('Isaac 401k'!N3250,'Retirement Calculator'!A:A,0),0),0)</f>
        <v>0</v>
      </c>
      <c r="K3250" s="444">
        <f t="shared" ca="1" si="161"/>
        <v>49656231.29738573</v>
      </c>
      <c r="L3250" s="444">
        <f t="shared" ca="1" si="162"/>
        <v>11967151742.669962</v>
      </c>
      <c r="M3250" s="460">
        <f t="shared" si="164"/>
        <v>0.05</v>
      </c>
      <c r="N3250" s="464">
        <f t="shared" si="165"/>
        <v>149963</v>
      </c>
    </row>
    <row r="3251" spans="7:14" ht="11.25" customHeight="1" x14ac:dyDescent="0.3">
      <c r="G3251" s="459"/>
      <c r="H3251" s="459">
        <v>3244</v>
      </c>
      <c r="I3251" s="444">
        <f t="shared" ca="1" si="163"/>
        <v>11967151742.669962</v>
      </c>
      <c r="J3251" s="444">
        <f t="array" ref="J3251">IFERROR(INDEX('Retirement Calculator'!J:J,MATCH('Isaac 401k'!N3251,'Retirement Calculator'!A:A,0),0),0)</f>
        <v>0</v>
      </c>
      <c r="K3251" s="444">
        <f t="shared" ca="1" si="161"/>
        <v>49863132.261124842</v>
      </c>
      <c r="L3251" s="444">
        <f t="shared" ca="1" si="162"/>
        <v>12017014874.931087</v>
      </c>
      <c r="M3251" s="460">
        <f t="shared" si="164"/>
        <v>0.05</v>
      </c>
      <c r="N3251" s="464">
        <f t="shared" si="165"/>
        <v>149994</v>
      </c>
    </row>
    <row r="3252" spans="7:14" ht="11.25" customHeight="1" x14ac:dyDescent="0.3">
      <c r="G3252" s="459"/>
      <c r="H3252" s="459">
        <v>3245</v>
      </c>
      <c r="I3252" s="444">
        <f t="shared" ca="1" si="163"/>
        <v>12017014874.931087</v>
      </c>
      <c r="J3252" s="444">
        <f t="array" ref="J3252">IFERROR(INDEX('Retirement Calculator'!J:J,MATCH('Isaac 401k'!N3252,'Retirement Calculator'!A:A,0),0),0)</f>
        <v>0</v>
      </c>
      <c r="K3252" s="444">
        <f t="shared" ca="1" si="161"/>
        <v>50070895.312212862</v>
      </c>
      <c r="L3252" s="444">
        <f t="shared" ca="1" si="162"/>
        <v>12067085770.243299</v>
      </c>
      <c r="M3252" s="460">
        <f t="shared" si="164"/>
        <v>0.05</v>
      </c>
      <c r="N3252" s="464">
        <f t="shared" si="165"/>
        <v>150024</v>
      </c>
    </row>
    <row r="3253" spans="7:14" ht="11.25" customHeight="1" x14ac:dyDescent="0.3">
      <c r="G3253" s="459"/>
      <c r="H3253" s="459">
        <v>3246</v>
      </c>
      <c r="I3253" s="444">
        <f t="shared" ca="1" si="163"/>
        <v>12067085770.243299</v>
      </c>
      <c r="J3253" s="444">
        <f t="array" ref="J3253">IFERROR(INDEX('Retirement Calculator'!J:J,MATCH('Isaac 401k'!N3253,'Retirement Calculator'!A:A,0),0),0)</f>
        <v>0</v>
      </c>
      <c r="K3253" s="444">
        <f t="shared" ca="1" si="161"/>
        <v>50279524.042680413</v>
      </c>
      <c r="L3253" s="444">
        <f t="shared" ca="1" si="162"/>
        <v>12117365294.28598</v>
      </c>
      <c r="M3253" s="460">
        <f t="shared" si="164"/>
        <v>0.05</v>
      </c>
      <c r="N3253" s="464">
        <f t="shared" si="165"/>
        <v>150055</v>
      </c>
    </row>
    <row r="3254" spans="7:14" ht="11.25" customHeight="1" x14ac:dyDescent="0.3">
      <c r="G3254" s="459"/>
      <c r="H3254" s="459">
        <v>3247</v>
      </c>
      <c r="I3254" s="444">
        <f t="shared" ca="1" si="163"/>
        <v>12117365294.28598</v>
      </c>
      <c r="J3254" s="444">
        <f t="array" ref="J3254">IFERROR(INDEX('Retirement Calculator'!J:J,MATCH('Isaac 401k'!N3254,'Retirement Calculator'!A:A,0),0),0)</f>
        <v>0</v>
      </c>
      <c r="K3254" s="444">
        <f t="shared" ca="1" si="161"/>
        <v>50489022.059524916</v>
      </c>
      <c r="L3254" s="444">
        <f t="shared" ca="1" si="162"/>
        <v>12167854316.345505</v>
      </c>
      <c r="M3254" s="460">
        <f t="shared" si="164"/>
        <v>0.05</v>
      </c>
      <c r="N3254" s="464">
        <f t="shared" si="165"/>
        <v>150085</v>
      </c>
    </row>
    <row r="3255" spans="7:14" ht="11.25" customHeight="1" x14ac:dyDescent="0.3">
      <c r="G3255" s="459"/>
      <c r="H3255" s="459">
        <v>3248</v>
      </c>
      <c r="I3255" s="444">
        <f t="shared" ca="1" si="163"/>
        <v>12167854316.345505</v>
      </c>
      <c r="J3255" s="444">
        <f t="array" ref="J3255">IFERROR(INDEX('Retirement Calculator'!J:J,MATCH('Isaac 401k'!N3255,'Retirement Calculator'!A:A,0),0),0)</f>
        <v>0</v>
      </c>
      <c r="K3255" s="444">
        <f t="shared" ca="1" si="161"/>
        <v>50699392.984772936</v>
      </c>
      <c r="L3255" s="444">
        <f t="shared" ca="1" si="162"/>
        <v>12218553709.330278</v>
      </c>
      <c r="M3255" s="460">
        <f t="shared" si="164"/>
        <v>0.05</v>
      </c>
      <c r="N3255" s="464">
        <f t="shared" si="165"/>
        <v>150116</v>
      </c>
    </row>
    <row r="3256" spans="7:14" ht="11.25" customHeight="1" x14ac:dyDescent="0.3">
      <c r="G3256" s="459"/>
      <c r="H3256" s="459">
        <v>3249</v>
      </c>
      <c r="I3256" s="444">
        <f t="shared" ca="1" si="163"/>
        <v>12218553709.330278</v>
      </c>
      <c r="J3256" s="444">
        <f t="array" ref="J3256">IFERROR(INDEX('Retirement Calculator'!J:J,MATCH('Isaac 401k'!N3256,'Retirement Calculator'!A:A,0),0),0)</f>
        <v>0</v>
      </c>
      <c r="K3256" s="444">
        <f t="shared" ca="1" si="161"/>
        <v>50910640.455542825</v>
      </c>
      <c r="L3256" s="444">
        <f t="shared" ca="1" si="162"/>
        <v>12269464349.785822</v>
      </c>
      <c r="M3256" s="460">
        <f t="shared" si="164"/>
        <v>0.05</v>
      </c>
      <c r="N3256" s="464">
        <f t="shared" si="165"/>
        <v>150147</v>
      </c>
    </row>
    <row r="3257" spans="7:14" ht="11.25" customHeight="1" x14ac:dyDescent="0.3">
      <c r="G3257" s="459"/>
      <c r="H3257" s="459">
        <v>3250</v>
      </c>
      <c r="I3257" s="444">
        <f t="shared" ca="1" si="163"/>
        <v>12269464349.785822</v>
      </c>
      <c r="J3257" s="444">
        <f t="array" ref="J3257">IFERROR(INDEX('Retirement Calculator'!J:J,MATCH('Isaac 401k'!N3257,'Retirement Calculator'!A:A,0),0),0)</f>
        <v>0</v>
      </c>
      <c r="K3257" s="444">
        <f t="shared" ca="1" si="161"/>
        <v>51122768.124107592</v>
      </c>
      <c r="L3257" s="444">
        <f t="shared" ca="1" si="162"/>
        <v>12320587117.909929</v>
      </c>
      <c r="M3257" s="460">
        <f t="shared" si="164"/>
        <v>0.05</v>
      </c>
      <c r="N3257" s="464">
        <f t="shared" si="165"/>
        <v>150175</v>
      </c>
    </row>
    <row r="3258" spans="7:14" ht="11.25" customHeight="1" x14ac:dyDescent="0.3">
      <c r="G3258" s="459"/>
      <c r="H3258" s="459">
        <v>3251</v>
      </c>
      <c r="I3258" s="444">
        <f t="shared" ca="1" si="163"/>
        <v>12320587117.909929</v>
      </c>
      <c r="J3258" s="444">
        <f t="array" ref="J3258">IFERROR(INDEX('Retirement Calculator'!J:J,MATCH('Isaac 401k'!N3258,'Retirement Calculator'!A:A,0),0),0)</f>
        <v>0</v>
      </c>
      <c r="K3258" s="444">
        <f t="shared" ca="1" si="161"/>
        <v>51335779.657958038</v>
      </c>
      <c r="L3258" s="444">
        <f t="shared" ca="1" si="162"/>
        <v>12371922897.567888</v>
      </c>
      <c r="M3258" s="460">
        <f t="shared" si="164"/>
        <v>0.05</v>
      </c>
      <c r="N3258" s="464">
        <f t="shared" si="165"/>
        <v>150206</v>
      </c>
    </row>
    <row r="3259" spans="7:14" ht="11.25" customHeight="1" x14ac:dyDescent="0.3">
      <c r="G3259" s="459"/>
      <c r="H3259" s="459">
        <v>3252</v>
      </c>
      <c r="I3259" s="444">
        <f t="shared" ca="1" si="163"/>
        <v>12371922897.567888</v>
      </c>
      <c r="J3259" s="444">
        <f t="array" ref="J3259">IFERROR(INDEX('Retirement Calculator'!J:J,MATCH('Isaac 401k'!N3259,'Retirement Calculator'!A:A,0),0),0)</f>
        <v>0</v>
      </c>
      <c r="K3259" s="444">
        <f t="shared" ca="1" si="161"/>
        <v>51549678.739866197</v>
      </c>
      <c r="L3259" s="444">
        <f t="shared" ca="1" si="162"/>
        <v>12423472576.307755</v>
      </c>
      <c r="M3259" s="460">
        <f t="shared" si="164"/>
        <v>0.05</v>
      </c>
      <c r="N3259" s="464">
        <f t="shared" si="165"/>
        <v>150236</v>
      </c>
    </row>
    <row r="3260" spans="7:14" ht="11.25" customHeight="1" x14ac:dyDescent="0.3">
      <c r="G3260" s="459"/>
      <c r="H3260" s="459">
        <v>3253</v>
      </c>
      <c r="I3260" s="444">
        <f t="shared" ca="1" si="163"/>
        <v>12423472576.307755</v>
      </c>
      <c r="J3260" s="444">
        <f t="array" ref="J3260">IFERROR(INDEX('Retirement Calculator'!J:J,MATCH('Isaac 401k'!N3260,'Retirement Calculator'!A:A,0),0),0)</f>
        <v>0</v>
      </c>
      <c r="K3260" s="444">
        <f t="shared" ca="1" si="161"/>
        <v>51764469.067948975</v>
      </c>
      <c r="L3260" s="444">
        <f t="shared" ca="1" si="162"/>
        <v>12475237045.375704</v>
      </c>
      <c r="M3260" s="460">
        <f t="shared" si="164"/>
        <v>0.05</v>
      </c>
      <c r="N3260" s="464">
        <f t="shared" si="165"/>
        <v>150267</v>
      </c>
    </row>
    <row r="3261" spans="7:14" ht="11.25" customHeight="1" x14ac:dyDescent="0.3">
      <c r="G3261" s="459"/>
      <c r="H3261" s="459">
        <v>3254</v>
      </c>
      <c r="I3261" s="444">
        <f t="shared" ca="1" si="163"/>
        <v>12475237045.375704</v>
      </c>
      <c r="J3261" s="444">
        <f t="array" ref="J3261">IFERROR(INDEX('Retirement Calculator'!J:J,MATCH('Isaac 401k'!N3261,'Retirement Calculator'!A:A,0),0),0)</f>
        <v>0</v>
      </c>
      <c r="K3261" s="444">
        <f t="shared" ca="1" si="161"/>
        <v>51980154.355732098</v>
      </c>
      <c r="L3261" s="444">
        <f t="shared" ca="1" si="162"/>
        <v>12527217199.731436</v>
      </c>
      <c r="M3261" s="460">
        <f t="shared" si="164"/>
        <v>0.05</v>
      </c>
      <c r="N3261" s="464">
        <f t="shared" si="165"/>
        <v>150297</v>
      </c>
    </row>
    <row r="3262" spans="7:14" ht="11.25" customHeight="1" x14ac:dyDescent="0.3">
      <c r="G3262" s="459"/>
      <c r="H3262" s="459">
        <v>3255</v>
      </c>
      <c r="I3262" s="444">
        <f t="shared" ca="1" si="163"/>
        <v>12527217199.731436</v>
      </c>
      <c r="J3262" s="444">
        <f t="array" ref="J3262">IFERROR(INDEX('Retirement Calculator'!J:J,MATCH('Isaac 401k'!N3262,'Retirement Calculator'!A:A,0),0),0)</f>
        <v>0</v>
      </c>
      <c r="K3262" s="444">
        <f t="shared" ca="1" si="161"/>
        <v>52196738.332214318</v>
      </c>
      <c r="L3262" s="444">
        <f t="shared" ca="1" si="162"/>
        <v>12579413938.06365</v>
      </c>
      <c r="M3262" s="460">
        <f t="shared" si="164"/>
        <v>0.05</v>
      </c>
      <c r="N3262" s="464">
        <f t="shared" si="165"/>
        <v>150328</v>
      </c>
    </row>
    <row r="3263" spans="7:14" ht="11.25" customHeight="1" x14ac:dyDescent="0.3">
      <c r="G3263" s="459"/>
      <c r="H3263" s="459">
        <v>3256</v>
      </c>
      <c r="I3263" s="444">
        <f t="shared" ca="1" si="163"/>
        <v>12579413938.06365</v>
      </c>
      <c r="J3263" s="444">
        <f t="array" ref="J3263">IFERROR(INDEX('Retirement Calculator'!J:J,MATCH('Isaac 401k'!N3263,'Retirement Calculator'!A:A,0),0),0)</f>
        <v>0</v>
      </c>
      <c r="K3263" s="444">
        <f t="shared" ca="1" si="161"/>
        <v>52414224.741931878</v>
      </c>
      <c r="L3263" s="444">
        <f t="shared" ca="1" si="162"/>
        <v>12631828162.805582</v>
      </c>
      <c r="M3263" s="460">
        <f t="shared" si="164"/>
        <v>0.05</v>
      </c>
      <c r="N3263" s="464">
        <f t="shared" si="165"/>
        <v>150359</v>
      </c>
    </row>
    <row r="3264" spans="7:14" ht="11.25" customHeight="1" x14ac:dyDescent="0.3">
      <c r="G3264" s="459"/>
      <c r="H3264" s="459">
        <v>3257</v>
      </c>
      <c r="I3264" s="444">
        <f t="shared" ca="1" si="163"/>
        <v>12631828162.805582</v>
      </c>
      <c r="J3264" s="444">
        <f t="array" ref="J3264">IFERROR(INDEX('Retirement Calculator'!J:J,MATCH('Isaac 401k'!N3264,'Retirement Calculator'!A:A,0),0),0)</f>
        <v>0</v>
      </c>
      <c r="K3264" s="444">
        <f t="shared" ca="1" si="161"/>
        <v>52632617.34502326</v>
      </c>
      <c r="L3264" s="444">
        <f t="shared" ca="1" si="162"/>
        <v>12684460780.150606</v>
      </c>
      <c r="M3264" s="460">
        <f t="shared" si="164"/>
        <v>0.05</v>
      </c>
      <c r="N3264" s="464">
        <f t="shared" si="165"/>
        <v>150389</v>
      </c>
    </row>
    <row r="3265" spans="7:14" ht="11.25" customHeight="1" x14ac:dyDescent="0.3">
      <c r="G3265" s="459"/>
      <c r="H3265" s="459">
        <v>3258</v>
      </c>
      <c r="I3265" s="444">
        <f t="shared" ca="1" si="163"/>
        <v>12684460780.150606</v>
      </c>
      <c r="J3265" s="444">
        <f t="array" ref="J3265">IFERROR(INDEX('Retirement Calculator'!J:J,MATCH('Isaac 401k'!N3265,'Retirement Calculator'!A:A,0),0),0)</f>
        <v>0</v>
      </c>
      <c r="K3265" s="444">
        <f t="shared" ca="1" si="161"/>
        <v>52851919.917294189</v>
      </c>
      <c r="L3265" s="444">
        <f t="shared" ca="1" si="162"/>
        <v>12737312700.0679</v>
      </c>
      <c r="M3265" s="460">
        <f t="shared" si="164"/>
        <v>0.05</v>
      </c>
      <c r="N3265" s="464">
        <f t="shared" si="165"/>
        <v>150420</v>
      </c>
    </row>
    <row r="3266" spans="7:14" ht="11.25" customHeight="1" x14ac:dyDescent="0.3">
      <c r="G3266" s="459"/>
      <c r="H3266" s="459">
        <v>3259</v>
      </c>
      <c r="I3266" s="444">
        <f t="shared" ca="1" si="163"/>
        <v>12737312700.0679</v>
      </c>
      <c r="J3266" s="444">
        <f t="array" ref="J3266">IFERROR(INDEX('Retirement Calculator'!J:J,MATCH('Isaac 401k'!N3266,'Retirement Calculator'!A:A,0),0),0)</f>
        <v>0</v>
      </c>
      <c r="K3266" s="444">
        <f t="shared" ca="1" si="161"/>
        <v>53072136.250282913</v>
      </c>
      <c r="L3266" s="444">
        <f t="shared" ca="1" si="162"/>
        <v>12790384836.318182</v>
      </c>
      <c r="M3266" s="460">
        <f t="shared" si="164"/>
        <v>0.05</v>
      </c>
      <c r="N3266" s="464">
        <f t="shared" si="165"/>
        <v>150450</v>
      </c>
    </row>
    <row r="3267" spans="7:14" ht="11.25" customHeight="1" x14ac:dyDescent="0.3">
      <c r="G3267" s="459"/>
      <c r="H3267" s="459">
        <v>3260</v>
      </c>
      <c r="I3267" s="444">
        <f t="shared" ca="1" si="163"/>
        <v>12790384836.318182</v>
      </c>
      <c r="J3267" s="444">
        <f t="array" ref="J3267">IFERROR(INDEX('Retirement Calculator'!J:J,MATCH('Isaac 401k'!N3267,'Retirement Calculator'!A:A,0),0),0)</f>
        <v>0</v>
      </c>
      <c r="K3267" s="444">
        <f t="shared" ca="1" si="161"/>
        <v>53293270.151325755</v>
      </c>
      <c r="L3267" s="444">
        <f t="shared" ca="1" si="162"/>
        <v>12843678106.469507</v>
      </c>
      <c r="M3267" s="460">
        <f t="shared" si="164"/>
        <v>0.05</v>
      </c>
      <c r="N3267" s="464">
        <f t="shared" si="165"/>
        <v>150481</v>
      </c>
    </row>
    <row r="3268" spans="7:14" ht="11.25" customHeight="1" x14ac:dyDescent="0.3">
      <c r="G3268" s="459"/>
      <c r="H3268" s="459">
        <v>3261</v>
      </c>
      <c r="I3268" s="444">
        <f t="shared" ca="1" si="163"/>
        <v>12843678106.469507</v>
      </c>
      <c r="J3268" s="444">
        <f t="array" ref="J3268">IFERROR(INDEX('Retirement Calculator'!J:J,MATCH('Isaac 401k'!N3268,'Retirement Calculator'!A:A,0),0),0)</f>
        <v>0</v>
      </c>
      <c r="K3268" s="444">
        <f t="shared" ca="1" si="161"/>
        <v>53515325.443622947</v>
      </c>
      <c r="L3268" s="444">
        <f t="shared" ca="1" si="162"/>
        <v>12897193431.91313</v>
      </c>
      <c r="M3268" s="460">
        <f t="shared" si="164"/>
        <v>0.05</v>
      </c>
      <c r="N3268" s="464">
        <f t="shared" si="165"/>
        <v>150512</v>
      </c>
    </row>
    <row r="3269" spans="7:14" ht="11.25" customHeight="1" x14ac:dyDescent="0.3">
      <c r="G3269" s="459"/>
      <c r="H3269" s="459">
        <v>3262</v>
      </c>
      <c r="I3269" s="444">
        <f t="shared" ca="1" si="163"/>
        <v>12897193431.91313</v>
      </c>
      <c r="J3269" s="444">
        <f t="array" ref="J3269">IFERROR(INDEX('Retirement Calculator'!J:J,MATCH('Isaac 401k'!N3269,'Retirement Calculator'!A:A,0),0),0)</f>
        <v>0</v>
      </c>
      <c r="K3269" s="444">
        <f t="shared" ca="1" si="161"/>
        <v>53738305.966304705</v>
      </c>
      <c r="L3269" s="444">
        <f t="shared" ca="1" si="162"/>
        <v>12950931737.879435</v>
      </c>
      <c r="M3269" s="460">
        <f t="shared" si="164"/>
        <v>0.05</v>
      </c>
      <c r="N3269" s="464">
        <f t="shared" si="165"/>
        <v>150541</v>
      </c>
    </row>
    <row r="3270" spans="7:14" ht="11.25" customHeight="1" x14ac:dyDescent="0.3">
      <c r="G3270" s="459"/>
      <c r="H3270" s="459">
        <v>3263</v>
      </c>
      <c r="I3270" s="444">
        <f t="shared" ca="1" si="163"/>
        <v>12950931737.879435</v>
      </c>
      <c r="J3270" s="444">
        <f t="array" ref="J3270">IFERROR(INDEX('Retirement Calculator'!J:J,MATCH('Isaac 401k'!N3270,'Retirement Calculator'!A:A,0),0),0)</f>
        <v>0</v>
      </c>
      <c r="K3270" s="444">
        <f t="shared" ca="1" si="161"/>
        <v>53962215.57449764</v>
      </c>
      <c r="L3270" s="444">
        <f t="shared" ca="1" si="162"/>
        <v>13004893953.453932</v>
      </c>
      <c r="M3270" s="460">
        <f t="shared" si="164"/>
        <v>0.05</v>
      </c>
      <c r="N3270" s="464">
        <f t="shared" si="165"/>
        <v>150572</v>
      </c>
    </row>
    <row r="3271" spans="7:14" ht="11.25" customHeight="1" x14ac:dyDescent="0.3">
      <c r="G3271" s="459"/>
      <c r="H3271" s="459">
        <v>3264</v>
      </c>
      <c r="I3271" s="444">
        <f t="shared" ca="1" si="163"/>
        <v>13004893953.453932</v>
      </c>
      <c r="J3271" s="444">
        <f t="array" ref="J3271">IFERROR(INDEX('Retirement Calculator'!J:J,MATCH('Isaac 401k'!N3271,'Retirement Calculator'!A:A,0),0),0)</f>
        <v>0</v>
      </c>
      <c r="K3271" s="444">
        <f t="shared" ca="1" si="161"/>
        <v>54187058.139391385</v>
      </c>
      <c r="L3271" s="444">
        <f t="shared" ca="1" si="162"/>
        <v>13059081011.593323</v>
      </c>
      <c r="M3271" s="460">
        <f t="shared" si="164"/>
        <v>0.05</v>
      </c>
      <c r="N3271" s="464">
        <f t="shared" si="165"/>
        <v>150602</v>
      </c>
    </row>
    <row r="3272" spans="7:14" ht="11.25" customHeight="1" x14ac:dyDescent="0.3">
      <c r="G3272" s="459"/>
      <c r="H3272" s="459">
        <v>3265</v>
      </c>
      <c r="I3272" s="444">
        <f t="shared" ca="1" si="163"/>
        <v>13059081011.593323</v>
      </c>
      <c r="J3272" s="444">
        <f t="array" ref="J3272">IFERROR(INDEX('Retirement Calculator'!J:J,MATCH('Isaac 401k'!N3272,'Retirement Calculator'!A:A,0),0),0)</f>
        <v>0</v>
      </c>
      <c r="K3272" s="444">
        <f t="shared" ca="1" si="161"/>
        <v>54412837.548305511</v>
      </c>
      <c r="L3272" s="444">
        <f t="shared" ca="1" si="162"/>
        <v>13113493849.141628</v>
      </c>
      <c r="M3272" s="460">
        <f t="shared" si="164"/>
        <v>0.05</v>
      </c>
      <c r="N3272" s="464">
        <f t="shared" si="165"/>
        <v>150633</v>
      </c>
    </row>
    <row r="3273" spans="7:14" ht="11.25" customHeight="1" x14ac:dyDescent="0.3">
      <c r="G3273" s="459"/>
      <c r="H3273" s="459">
        <v>3266</v>
      </c>
      <c r="I3273" s="444">
        <f t="shared" ca="1" si="163"/>
        <v>13113493849.141628</v>
      </c>
      <c r="J3273" s="444">
        <f t="array" ref="J3273">IFERROR(INDEX('Retirement Calculator'!J:J,MATCH('Isaac 401k'!N3273,'Retirement Calculator'!A:A,0),0),0)</f>
        <v>0</v>
      </c>
      <c r="K3273" s="444">
        <f t="shared" ca="1" si="161"/>
        <v>54639557.704756781</v>
      </c>
      <c r="L3273" s="444">
        <f t="shared" ca="1" si="162"/>
        <v>13168133406.846386</v>
      </c>
      <c r="M3273" s="460">
        <f t="shared" si="164"/>
        <v>0.05</v>
      </c>
      <c r="N3273" s="464">
        <f t="shared" si="165"/>
        <v>150663</v>
      </c>
    </row>
    <row r="3274" spans="7:14" ht="11.25" customHeight="1" x14ac:dyDescent="0.3">
      <c r="G3274" s="459"/>
      <c r="H3274" s="459">
        <v>3267</v>
      </c>
      <c r="I3274" s="444">
        <f t="shared" ca="1" si="163"/>
        <v>13168133406.846386</v>
      </c>
      <c r="J3274" s="444">
        <f t="array" ref="J3274">IFERROR(INDEX('Retirement Calculator'!J:J,MATCH('Isaac 401k'!N3274,'Retirement Calculator'!A:A,0),0),0)</f>
        <v>0</v>
      </c>
      <c r="K3274" s="444">
        <f t="shared" ca="1" si="161"/>
        <v>54867222.528526604</v>
      </c>
      <c r="L3274" s="444">
        <f t="shared" ca="1" si="162"/>
        <v>13223000629.374912</v>
      </c>
      <c r="M3274" s="460">
        <f t="shared" si="164"/>
        <v>0.05</v>
      </c>
      <c r="N3274" s="464">
        <f t="shared" si="165"/>
        <v>150694</v>
      </c>
    </row>
    <row r="3275" spans="7:14" ht="11.25" customHeight="1" x14ac:dyDescent="0.3">
      <c r="G3275" s="459"/>
      <c r="H3275" s="459">
        <v>3268</v>
      </c>
      <c r="I3275" s="444">
        <f t="shared" ca="1" si="163"/>
        <v>13223000629.374912</v>
      </c>
      <c r="J3275" s="444">
        <f t="array" ref="J3275">IFERROR(INDEX('Retirement Calculator'!J:J,MATCH('Isaac 401k'!N3275,'Retirement Calculator'!A:A,0),0),0)</f>
        <v>0</v>
      </c>
      <c r="K3275" s="444">
        <f t="shared" ca="1" si="161"/>
        <v>55095835.955728799</v>
      </c>
      <c r="L3275" s="444">
        <f t="shared" ca="1" si="162"/>
        <v>13278096465.330641</v>
      </c>
      <c r="M3275" s="460">
        <f t="shared" si="164"/>
        <v>0.05</v>
      </c>
      <c r="N3275" s="464">
        <f t="shared" si="165"/>
        <v>150725</v>
      </c>
    </row>
    <row r="3276" spans="7:14" ht="11.25" customHeight="1" x14ac:dyDescent="0.3">
      <c r="G3276" s="459"/>
      <c r="H3276" s="459">
        <v>3269</v>
      </c>
      <c r="I3276" s="444">
        <f t="shared" ca="1" si="163"/>
        <v>13278096465.330641</v>
      </c>
      <c r="J3276" s="444">
        <f t="array" ref="J3276">IFERROR(INDEX('Retirement Calculator'!J:J,MATCH('Isaac 401k'!N3276,'Retirement Calculator'!A:A,0),0),0)</f>
        <v>0</v>
      </c>
      <c r="K3276" s="444">
        <f t="shared" ca="1" si="161"/>
        <v>55325401.938877672</v>
      </c>
      <c r="L3276" s="444">
        <f t="shared" ca="1" si="162"/>
        <v>13333421867.269518</v>
      </c>
      <c r="M3276" s="460">
        <f t="shared" si="164"/>
        <v>0.05</v>
      </c>
      <c r="N3276" s="464">
        <f t="shared" si="165"/>
        <v>150755</v>
      </c>
    </row>
    <row r="3277" spans="7:14" ht="11.25" customHeight="1" x14ac:dyDescent="0.3">
      <c r="G3277" s="459"/>
      <c r="H3277" s="459">
        <v>3270</v>
      </c>
      <c r="I3277" s="444">
        <f t="shared" ca="1" si="163"/>
        <v>13333421867.269518</v>
      </c>
      <c r="J3277" s="444">
        <f t="array" ref="J3277">IFERROR(INDEX('Retirement Calculator'!J:J,MATCH('Isaac 401k'!N3277,'Retirement Calculator'!A:A,0),0),0)</f>
        <v>0</v>
      </c>
      <c r="K3277" s="444">
        <f t="shared" ca="1" si="161"/>
        <v>55555924.446956322</v>
      </c>
      <c r="L3277" s="444">
        <f t="shared" ca="1" si="162"/>
        <v>13388977791.716475</v>
      </c>
      <c r="M3277" s="460">
        <f t="shared" si="164"/>
        <v>0.05</v>
      </c>
      <c r="N3277" s="464">
        <f t="shared" si="165"/>
        <v>150786</v>
      </c>
    </row>
    <row r="3278" spans="7:14" ht="11.25" customHeight="1" x14ac:dyDescent="0.3">
      <c r="G3278" s="459"/>
      <c r="H3278" s="459">
        <v>3271</v>
      </c>
      <c r="I3278" s="444">
        <f t="shared" ca="1" si="163"/>
        <v>13388977791.716475</v>
      </c>
      <c r="J3278" s="444">
        <f t="array" ref="J3278">IFERROR(INDEX('Retirement Calculator'!J:J,MATCH('Isaac 401k'!N3278,'Retirement Calculator'!A:A,0),0),0)</f>
        <v>0</v>
      </c>
      <c r="K3278" s="444">
        <f t="shared" ca="1" si="161"/>
        <v>55787407.465485312</v>
      </c>
      <c r="L3278" s="444">
        <f t="shared" ca="1" si="162"/>
        <v>13444765199.181959</v>
      </c>
      <c r="M3278" s="460">
        <f t="shared" si="164"/>
        <v>0.05</v>
      </c>
      <c r="N3278" s="464">
        <f t="shared" si="165"/>
        <v>150816</v>
      </c>
    </row>
    <row r="3279" spans="7:14" ht="11.25" customHeight="1" x14ac:dyDescent="0.3">
      <c r="G3279" s="459"/>
      <c r="H3279" s="459">
        <v>3272</v>
      </c>
      <c r="I3279" s="444">
        <f t="shared" ca="1" si="163"/>
        <v>13444765199.181959</v>
      </c>
      <c r="J3279" s="444">
        <f t="array" ref="J3279">IFERROR(INDEX('Retirement Calculator'!J:J,MATCH('Isaac 401k'!N3279,'Retirement Calculator'!A:A,0),0),0)</f>
        <v>0</v>
      </c>
      <c r="K3279" s="444">
        <f t="shared" ca="1" si="161"/>
        <v>56019854.996591486</v>
      </c>
      <c r="L3279" s="444">
        <f t="shared" ca="1" si="162"/>
        <v>13500785054.178551</v>
      </c>
      <c r="M3279" s="460">
        <f t="shared" si="164"/>
        <v>0.05</v>
      </c>
      <c r="N3279" s="464">
        <f t="shared" si="165"/>
        <v>150847</v>
      </c>
    </row>
    <row r="3280" spans="7:14" ht="11.25" customHeight="1" x14ac:dyDescent="0.3">
      <c r="G3280" s="459"/>
      <c r="H3280" s="459">
        <v>3273</v>
      </c>
      <c r="I3280" s="444">
        <f t="shared" ca="1" si="163"/>
        <v>13500785054.178551</v>
      </c>
      <c r="J3280" s="444">
        <f t="array" ref="J3280">IFERROR(INDEX('Retirement Calculator'!J:J,MATCH('Isaac 401k'!N3280,'Retirement Calculator'!A:A,0),0),0)</f>
        <v>0</v>
      </c>
      <c r="K3280" s="444">
        <f t="shared" ca="1" si="161"/>
        <v>56253271.059077293</v>
      </c>
      <c r="L3280" s="444">
        <f t="shared" ca="1" si="162"/>
        <v>13557038325.237629</v>
      </c>
      <c r="M3280" s="460">
        <f t="shared" si="164"/>
        <v>0.05</v>
      </c>
      <c r="N3280" s="464">
        <f t="shared" si="165"/>
        <v>150878</v>
      </c>
    </row>
    <row r="3281" spans="7:14" ht="11.25" customHeight="1" x14ac:dyDescent="0.3">
      <c r="G3281" s="459"/>
      <c r="H3281" s="459">
        <v>3274</v>
      </c>
      <c r="I3281" s="444">
        <f t="shared" ca="1" si="163"/>
        <v>13557038325.237629</v>
      </c>
      <c r="J3281" s="444">
        <f t="array" ref="J3281">IFERROR(INDEX('Retirement Calculator'!J:J,MATCH('Isaac 401k'!N3281,'Retirement Calculator'!A:A,0),0),0)</f>
        <v>0</v>
      </c>
      <c r="K3281" s="444">
        <f t="shared" ca="1" si="161"/>
        <v>56487659.688490123</v>
      </c>
      <c r="L3281" s="444">
        <f t="shared" ca="1" si="162"/>
        <v>13613525984.926119</v>
      </c>
      <c r="M3281" s="460">
        <f t="shared" si="164"/>
        <v>0.05</v>
      </c>
      <c r="N3281" s="464">
        <f t="shared" si="165"/>
        <v>150906</v>
      </c>
    </row>
    <row r="3282" spans="7:14" ht="11.25" customHeight="1" x14ac:dyDescent="0.3">
      <c r="G3282" s="459"/>
      <c r="H3282" s="459">
        <v>3275</v>
      </c>
      <c r="I3282" s="444">
        <f t="shared" ca="1" si="163"/>
        <v>13613525984.926119</v>
      </c>
      <c r="J3282" s="444">
        <f t="array" ref="J3282">IFERROR(INDEX('Retirement Calculator'!J:J,MATCH('Isaac 401k'!N3282,'Retirement Calculator'!A:A,0),0),0)</f>
        <v>0</v>
      </c>
      <c r="K3282" s="444">
        <f t="shared" ca="1" si="161"/>
        <v>56723024.937192164</v>
      </c>
      <c r="L3282" s="444">
        <f t="shared" ca="1" si="162"/>
        <v>13670249009.863312</v>
      </c>
      <c r="M3282" s="460">
        <f t="shared" si="164"/>
        <v>0.05</v>
      </c>
      <c r="N3282" s="464">
        <f t="shared" si="165"/>
        <v>150937</v>
      </c>
    </row>
    <row r="3283" spans="7:14" ht="11.25" customHeight="1" x14ac:dyDescent="0.3">
      <c r="G3283" s="459"/>
      <c r="H3283" s="459">
        <v>3276</v>
      </c>
      <c r="I3283" s="444">
        <f t="shared" ca="1" si="163"/>
        <v>13670249009.863312</v>
      </c>
      <c r="J3283" s="444">
        <f t="array" ref="J3283">IFERROR(INDEX('Retirement Calculator'!J:J,MATCH('Isaac 401k'!N3283,'Retirement Calculator'!A:A,0),0),0)</f>
        <v>0</v>
      </c>
      <c r="K3283" s="444">
        <f t="shared" ca="1" si="161"/>
        <v>56959370.874430455</v>
      </c>
      <c r="L3283" s="444">
        <f t="shared" ca="1" si="162"/>
        <v>13727208380.737741</v>
      </c>
      <c r="M3283" s="460">
        <f t="shared" si="164"/>
        <v>0.05</v>
      </c>
      <c r="N3283" s="464">
        <f t="shared" si="165"/>
        <v>150967</v>
      </c>
    </row>
    <row r="3284" spans="7:14" ht="11.25" customHeight="1" x14ac:dyDescent="0.3">
      <c r="G3284" s="459"/>
      <c r="H3284" s="459">
        <v>3277</v>
      </c>
      <c r="I3284" s="444">
        <f t="shared" ca="1" si="163"/>
        <v>13727208380.737741</v>
      </c>
      <c r="J3284" s="444">
        <f t="array" ref="J3284">IFERROR(INDEX('Retirement Calculator'!J:J,MATCH('Isaac 401k'!N3284,'Retirement Calculator'!A:A,0),0),0)</f>
        <v>0</v>
      </c>
      <c r="K3284" s="444">
        <f t="shared" ca="1" si="161"/>
        <v>57196701.586407252</v>
      </c>
      <c r="L3284" s="444">
        <f t="shared" ca="1" si="162"/>
        <v>13784405082.324148</v>
      </c>
      <c r="M3284" s="460">
        <f t="shared" si="164"/>
        <v>0.05</v>
      </c>
      <c r="N3284" s="464">
        <f t="shared" si="165"/>
        <v>150998</v>
      </c>
    </row>
    <row r="3285" spans="7:14" ht="11.25" customHeight="1" x14ac:dyDescent="0.3">
      <c r="G3285" s="459"/>
      <c r="H3285" s="459">
        <v>3278</v>
      </c>
      <c r="I3285" s="444">
        <f t="shared" ca="1" si="163"/>
        <v>13784405082.324148</v>
      </c>
      <c r="J3285" s="444">
        <f t="array" ref="J3285">IFERROR(INDEX('Retirement Calculator'!J:J,MATCH('Isaac 401k'!N3285,'Retirement Calculator'!A:A,0),0),0)</f>
        <v>0</v>
      </c>
      <c r="K3285" s="444">
        <f t="shared" ca="1" si="161"/>
        <v>57435021.176350623</v>
      </c>
      <c r="L3285" s="444">
        <f t="shared" ca="1" si="162"/>
        <v>13841840103.5005</v>
      </c>
      <c r="M3285" s="460">
        <f t="shared" si="164"/>
        <v>0.05</v>
      </c>
      <c r="N3285" s="464">
        <f t="shared" si="165"/>
        <v>151028</v>
      </c>
    </row>
    <row r="3286" spans="7:14" ht="11.25" customHeight="1" x14ac:dyDescent="0.3">
      <c r="G3286" s="459"/>
      <c r="H3286" s="459">
        <v>3279</v>
      </c>
      <c r="I3286" s="444">
        <f t="shared" ca="1" si="163"/>
        <v>13841840103.5005</v>
      </c>
      <c r="J3286" s="444">
        <f t="array" ref="J3286">IFERROR(INDEX('Retirement Calculator'!J:J,MATCH('Isaac 401k'!N3286,'Retirement Calculator'!A:A,0),0),0)</f>
        <v>0</v>
      </c>
      <c r="K3286" s="444">
        <f t="shared" ca="1" si="161"/>
        <v>57674333.764585413</v>
      </c>
      <c r="L3286" s="444">
        <f t="shared" ca="1" si="162"/>
        <v>13899514437.265085</v>
      </c>
      <c r="M3286" s="460">
        <f t="shared" si="164"/>
        <v>0.05</v>
      </c>
      <c r="N3286" s="464">
        <f t="shared" si="165"/>
        <v>151059</v>
      </c>
    </row>
    <row r="3287" spans="7:14" ht="11.25" customHeight="1" x14ac:dyDescent="0.3">
      <c r="G3287" s="459"/>
      <c r="H3287" s="459">
        <v>3280</v>
      </c>
      <c r="I3287" s="444">
        <f t="shared" ca="1" si="163"/>
        <v>13899514437.265085</v>
      </c>
      <c r="J3287" s="444">
        <f t="array" ref="J3287">IFERROR(INDEX('Retirement Calculator'!J:J,MATCH('Isaac 401k'!N3287,'Retirement Calculator'!A:A,0),0),0)</f>
        <v>0</v>
      </c>
      <c r="K3287" s="444">
        <f t="shared" ca="1" si="161"/>
        <v>57914643.488604523</v>
      </c>
      <c r="L3287" s="444">
        <f t="shared" ca="1" si="162"/>
        <v>13957429080.753689</v>
      </c>
      <c r="M3287" s="460">
        <f t="shared" si="164"/>
        <v>0.05</v>
      </c>
      <c r="N3287" s="464">
        <f t="shared" si="165"/>
        <v>151090</v>
      </c>
    </row>
    <row r="3288" spans="7:14" ht="11.25" customHeight="1" x14ac:dyDescent="0.3">
      <c r="G3288" s="459"/>
      <c r="H3288" s="459">
        <v>3281</v>
      </c>
      <c r="I3288" s="444">
        <f t="shared" ca="1" si="163"/>
        <v>13957429080.753689</v>
      </c>
      <c r="J3288" s="444">
        <f t="array" ref="J3288">IFERROR(INDEX('Retirement Calculator'!J:J,MATCH('Isaac 401k'!N3288,'Retirement Calculator'!A:A,0),0),0)</f>
        <v>0</v>
      </c>
      <c r="K3288" s="444">
        <f t="shared" ca="1" si="161"/>
        <v>58155954.503140368</v>
      </c>
      <c r="L3288" s="444">
        <f t="shared" ca="1" si="162"/>
        <v>14015585035.256828</v>
      </c>
      <c r="M3288" s="460">
        <f t="shared" si="164"/>
        <v>0.05</v>
      </c>
      <c r="N3288" s="464">
        <f t="shared" si="165"/>
        <v>151120</v>
      </c>
    </row>
    <row r="3289" spans="7:14" ht="11.25" customHeight="1" x14ac:dyDescent="0.3">
      <c r="G3289" s="459"/>
      <c r="H3289" s="459">
        <v>3282</v>
      </c>
      <c r="I3289" s="444">
        <f t="shared" ca="1" si="163"/>
        <v>14015585035.256828</v>
      </c>
      <c r="J3289" s="444">
        <f t="array" ref="J3289">IFERROR(INDEX('Retirement Calculator'!J:J,MATCH('Isaac 401k'!N3289,'Retirement Calculator'!A:A,0),0),0)</f>
        <v>0</v>
      </c>
      <c r="K3289" s="444">
        <f t="shared" ca="1" si="161"/>
        <v>58398270.980236784</v>
      </c>
      <c r="L3289" s="444">
        <f t="shared" ca="1" si="162"/>
        <v>14073983306.237064</v>
      </c>
      <c r="M3289" s="460">
        <f t="shared" si="164"/>
        <v>0.05</v>
      </c>
      <c r="N3289" s="464">
        <f t="shared" si="165"/>
        <v>151151</v>
      </c>
    </row>
    <row r="3290" spans="7:14" ht="11.25" customHeight="1" x14ac:dyDescent="0.3">
      <c r="G3290" s="459"/>
      <c r="H3290" s="459">
        <v>3283</v>
      </c>
      <c r="I3290" s="444">
        <f t="shared" ca="1" si="163"/>
        <v>14073983306.237064</v>
      </c>
      <c r="J3290" s="444">
        <f t="array" ref="J3290">IFERROR(INDEX('Retirement Calculator'!J:J,MATCH('Isaac 401k'!N3290,'Retirement Calculator'!A:A,0),0),0)</f>
        <v>0</v>
      </c>
      <c r="K3290" s="444">
        <f t="shared" ca="1" si="161"/>
        <v>58641597.109321095</v>
      </c>
      <c r="L3290" s="444">
        <f t="shared" ca="1" si="162"/>
        <v>14132624903.346386</v>
      </c>
      <c r="M3290" s="460">
        <f t="shared" si="164"/>
        <v>0.05</v>
      </c>
      <c r="N3290" s="464">
        <f t="shared" si="165"/>
        <v>151181</v>
      </c>
    </row>
    <row r="3291" spans="7:14" ht="11.25" customHeight="1" x14ac:dyDescent="0.3">
      <c r="G3291" s="459"/>
      <c r="H3291" s="459">
        <v>3284</v>
      </c>
      <c r="I3291" s="444">
        <f t="shared" ca="1" si="163"/>
        <v>14132624903.346386</v>
      </c>
      <c r="J3291" s="444">
        <f t="array" ref="J3291">IFERROR(INDEX('Retirement Calculator'!J:J,MATCH('Isaac 401k'!N3291,'Retirement Calculator'!A:A,0),0),0)</f>
        <v>0</v>
      </c>
      <c r="K3291" s="444">
        <f t="shared" ca="1" si="161"/>
        <v>58885937.097276598</v>
      </c>
      <c r="L3291" s="444">
        <f t="shared" ca="1" si="162"/>
        <v>14191510840.443663</v>
      </c>
      <c r="M3291" s="460">
        <f t="shared" si="164"/>
        <v>0.05</v>
      </c>
      <c r="N3291" s="464">
        <f t="shared" si="165"/>
        <v>151212</v>
      </c>
    </row>
    <row r="3292" spans="7:14" ht="11.25" customHeight="1" x14ac:dyDescent="0.3">
      <c r="G3292" s="459"/>
      <c r="H3292" s="459">
        <v>3285</v>
      </c>
      <c r="I3292" s="444">
        <f t="shared" ca="1" si="163"/>
        <v>14191510840.443663</v>
      </c>
      <c r="J3292" s="444">
        <f t="array" ref="J3292">IFERROR(INDEX('Retirement Calculator'!J:J,MATCH('Isaac 401k'!N3292,'Retirement Calculator'!A:A,0),0),0)</f>
        <v>0</v>
      </c>
      <c r="K3292" s="444">
        <f t="shared" ca="1" si="161"/>
        <v>59131295.168515258</v>
      </c>
      <c r="L3292" s="444">
        <f t="shared" ca="1" si="162"/>
        <v>14250642135.612179</v>
      </c>
      <c r="M3292" s="460">
        <f t="shared" si="164"/>
        <v>0.05</v>
      </c>
      <c r="N3292" s="464">
        <f t="shared" si="165"/>
        <v>151243</v>
      </c>
    </row>
    <row r="3293" spans="7:14" ht="11.25" customHeight="1" x14ac:dyDescent="0.3">
      <c r="G3293" s="459"/>
      <c r="H3293" s="459">
        <v>3286</v>
      </c>
      <c r="I3293" s="444">
        <f t="shared" ca="1" si="163"/>
        <v>14250642135.612179</v>
      </c>
      <c r="J3293" s="444">
        <f t="array" ref="J3293">IFERROR(INDEX('Retirement Calculator'!J:J,MATCH('Isaac 401k'!N3293,'Retirement Calculator'!A:A,0),0),0)</f>
        <v>0</v>
      </c>
      <c r="K3293" s="444">
        <f t="shared" ca="1" si="161"/>
        <v>59377675.565050736</v>
      </c>
      <c r="L3293" s="444">
        <f t="shared" ca="1" si="162"/>
        <v>14310019811.177229</v>
      </c>
      <c r="M3293" s="460">
        <f t="shared" si="164"/>
        <v>0.05</v>
      </c>
      <c r="N3293" s="464">
        <f t="shared" si="165"/>
        <v>151271</v>
      </c>
    </row>
    <row r="3294" spans="7:14" ht="11.25" customHeight="1" x14ac:dyDescent="0.3">
      <c r="G3294" s="459"/>
      <c r="H3294" s="459">
        <v>3287</v>
      </c>
      <c r="I3294" s="444">
        <f t="shared" ca="1" si="163"/>
        <v>14310019811.177229</v>
      </c>
      <c r="J3294" s="444">
        <f t="array" ref="J3294">IFERROR(INDEX('Retirement Calculator'!J:J,MATCH('Isaac 401k'!N3294,'Retirement Calculator'!A:A,0),0),0)</f>
        <v>0</v>
      </c>
      <c r="K3294" s="444">
        <f t="shared" ca="1" si="161"/>
        <v>59625082.546571784</v>
      </c>
      <c r="L3294" s="444">
        <f t="shared" ca="1" si="162"/>
        <v>14369644893.723801</v>
      </c>
      <c r="M3294" s="460">
        <f t="shared" si="164"/>
        <v>0.05</v>
      </c>
      <c r="N3294" s="464">
        <f t="shared" si="165"/>
        <v>151302</v>
      </c>
    </row>
    <row r="3295" spans="7:14" ht="11.25" customHeight="1" x14ac:dyDescent="0.3">
      <c r="G3295" s="459"/>
      <c r="H3295" s="459">
        <v>3288</v>
      </c>
      <c r="I3295" s="444">
        <f t="shared" ca="1" si="163"/>
        <v>14369644893.723801</v>
      </c>
      <c r="J3295" s="444">
        <f t="array" ref="J3295">IFERROR(INDEX('Retirement Calculator'!J:J,MATCH('Isaac 401k'!N3295,'Retirement Calculator'!A:A,0),0),0)</f>
        <v>0</v>
      </c>
      <c r="K3295" s="444">
        <f t="shared" ca="1" si="161"/>
        <v>59873520.390515842</v>
      </c>
      <c r="L3295" s="444">
        <f t="shared" ca="1" si="162"/>
        <v>14429518414.114317</v>
      </c>
      <c r="M3295" s="460">
        <f t="shared" si="164"/>
        <v>0.05</v>
      </c>
      <c r="N3295" s="464">
        <f t="shared" si="165"/>
        <v>151332</v>
      </c>
    </row>
    <row r="3296" spans="7:14" ht="11.25" customHeight="1" x14ac:dyDescent="0.3">
      <c r="G3296" s="459"/>
      <c r="H3296" s="459">
        <v>3289</v>
      </c>
      <c r="I3296" s="444">
        <f t="shared" ca="1" si="163"/>
        <v>14429518414.114317</v>
      </c>
      <c r="J3296" s="444">
        <f t="array" ref="J3296">IFERROR(INDEX('Retirement Calculator'!J:J,MATCH('Isaac 401k'!N3296,'Retirement Calculator'!A:A,0),0),0)</f>
        <v>0</v>
      </c>
      <c r="K3296" s="444">
        <f t="shared" ca="1" si="161"/>
        <v>60122993.392142996</v>
      </c>
      <c r="L3296" s="444">
        <f t="shared" ca="1" si="162"/>
        <v>14489641407.50646</v>
      </c>
      <c r="M3296" s="460">
        <f t="shared" si="164"/>
        <v>0.05</v>
      </c>
      <c r="N3296" s="464">
        <f t="shared" si="165"/>
        <v>151363</v>
      </c>
    </row>
    <row r="3297" spans="7:14" ht="11.25" customHeight="1" x14ac:dyDescent="0.3">
      <c r="G3297" s="459"/>
      <c r="H3297" s="459">
        <v>3290</v>
      </c>
      <c r="I3297" s="444">
        <f t="shared" ca="1" si="163"/>
        <v>14489641407.50646</v>
      </c>
      <c r="J3297" s="444">
        <f t="array" ref="J3297">IFERROR(INDEX('Retirement Calculator'!J:J,MATCH('Isaac 401k'!N3297,'Retirement Calculator'!A:A,0),0),0)</f>
        <v>0</v>
      </c>
      <c r="K3297" s="444">
        <f t="shared" ca="1" si="161"/>
        <v>60373505.86461024</v>
      </c>
      <c r="L3297" s="444">
        <f t="shared" ca="1" si="162"/>
        <v>14550014913.371071</v>
      </c>
      <c r="M3297" s="460">
        <f t="shared" si="164"/>
        <v>0.05</v>
      </c>
      <c r="N3297" s="464">
        <f t="shared" si="165"/>
        <v>151393</v>
      </c>
    </row>
    <row r="3298" spans="7:14" ht="11.25" customHeight="1" x14ac:dyDescent="0.3">
      <c r="G3298" s="459"/>
      <c r="H3298" s="459">
        <v>3291</v>
      </c>
      <c r="I3298" s="444">
        <f t="shared" ca="1" si="163"/>
        <v>14550014913.371071</v>
      </c>
      <c r="J3298" s="444">
        <f t="array" ref="J3298">IFERROR(INDEX('Retirement Calculator'!J:J,MATCH('Isaac 401k'!N3298,'Retirement Calculator'!A:A,0),0),0)</f>
        <v>0</v>
      </c>
      <c r="K3298" s="444">
        <f t="shared" ca="1" si="161"/>
        <v>60625062.139046125</v>
      </c>
      <c r="L3298" s="444">
        <f t="shared" ca="1" si="162"/>
        <v>14610639975.510117</v>
      </c>
      <c r="M3298" s="460">
        <f t="shared" si="164"/>
        <v>0.05</v>
      </c>
      <c r="N3298" s="464">
        <f t="shared" si="165"/>
        <v>151424</v>
      </c>
    </row>
    <row r="3299" spans="7:14" ht="11.25" customHeight="1" x14ac:dyDescent="0.3">
      <c r="G3299" s="459"/>
      <c r="H3299" s="459">
        <v>3292</v>
      </c>
      <c r="I3299" s="444">
        <f t="shared" ca="1" si="163"/>
        <v>14610639975.510117</v>
      </c>
      <c r="J3299" s="444">
        <f t="array" ref="J3299">IFERROR(INDEX('Retirement Calculator'!J:J,MATCH('Isaac 401k'!N3299,'Retirement Calculator'!A:A,0),0),0)</f>
        <v>0</v>
      </c>
      <c r="K3299" s="444">
        <f t="shared" ca="1" si="161"/>
        <v>60877666.564625479</v>
      </c>
      <c r="L3299" s="444">
        <f t="shared" ca="1" si="162"/>
        <v>14671517642.074741</v>
      </c>
      <c r="M3299" s="460">
        <f t="shared" si="164"/>
        <v>0.05</v>
      </c>
      <c r="N3299" s="464">
        <f t="shared" si="165"/>
        <v>151455</v>
      </c>
    </row>
    <row r="3300" spans="7:14" ht="11.25" customHeight="1" x14ac:dyDescent="0.3">
      <c r="G3300" s="459"/>
      <c r="H3300" s="459">
        <v>3293</v>
      </c>
      <c r="I3300" s="444">
        <f t="shared" ca="1" si="163"/>
        <v>14671517642.074741</v>
      </c>
      <c r="J3300" s="444">
        <f t="array" ref="J3300">IFERROR(INDEX('Retirement Calculator'!J:J,MATCH('Isaac 401k'!N3300,'Retirement Calculator'!A:A,0),0),0)</f>
        <v>0</v>
      </c>
      <c r="K3300" s="444">
        <f t="shared" ca="1" si="161"/>
        <v>61131323.508644752</v>
      </c>
      <c r="L3300" s="444">
        <f t="shared" ca="1" si="162"/>
        <v>14732648965.583385</v>
      </c>
      <c r="M3300" s="460">
        <f t="shared" si="164"/>
        <v>0.05</v>
      </c>
      <c r="N3300" s="464">
        <f t="shared" si="165"/>
        <v>151485</v>
      </c>
    </row>
    <row r="3301" spans="7:14" ht="11.25" customHeight="1" x14ac:dyDescent="0.3">
      <c r="G3301" s="459"/>
      <c r="H3301" s="459">
        <v>3294</v>
      </c>
      <c r="I3301" s="444">
        <f t="shared" ca="1" si="163"/>
        <v>14732648965.583385</v>
      </c>
      <c r="J3301" s="444">
        <f t="array" ref="J3301">IFERROR(INDEX('Retirement Calculator'!J:J,MATCH('Isaac 401k'!N3301,'Retirement Calculator'!A:A,0),0),0)</f>
        <v>0</v>
      </c>
      <c r="K3301" s="444">
        <f t="shared" ca="1" si="161"/>
        <v>61386037.356597438</v>
      </c>
      <c r="L3301" s="444">
        <f t="shared" ca="1" si="162"/>
        <v>14794035002.939983</v>
      </c>
      <c r="M3301" s="460">
        <f t="shared" si="164"/>
        <v>0.05</v>
      </c>
      <c r="N3301" s="464">
        <f t="shared" si="165"/>
        <v>151516</v>
      </c>
    </row>
    <row r="3302" spans="7:14" ht="11.25" customHeight="1" x14ac:dyDescent="0.3">
      <c r="G3302" s="459"/>
      <c r="H3302" s="459">
        <v>3295</v>
      </c>
      <c r="I3302" s="444">
        <f t="shared" ca="1" si="163"/>
        <v>14794035002.939983</v>
      </c>
      <c r="J3302" s="444">
        <f t="array" ref="J3302">IFERROR(INDEX('Retirement Calculator'!J:J,MATCH('Isaac 401k'!N3302,'Retirement Calculator'!A:A,0),0),0)</f>
        <v>0</v>
      </c>
      <c r="K3302" s="444">
        <f t="shared" ca="1" si="161"/>
        <v>61641812.512249924</v>
      </c>
      <c r="L3302" s="444">
        <f t="shared" ca="1" si="162"/>
        <v>14855676815.452232</v>
      </c>
      <c r="M3302" s="460">
        <f t="shared" si="164"/>
        <v>0.05</v>
      </c>
      <c r="N3302" s="464">
        <f t="shared" si="165"/>
        <v>151546</v>
      </c>
    </row>
    <row r="3303" spans="7:14" ht="11.25" customHeight="1" x14ac:dyDescent="0.3">
      <c r="G3303" s="459"/>
      <c r="H3303" s="459">
        <v>3296</v>
      </c>
      <c r="I3303" s="444">
        <f t="shared" ca="1" si="163"/>
        <v>14855676815.452232</v>
      </c>
      <c r="J3303" s="444">
        <f t="array" ref="J3303">IFERROR(INDEX('Retirement Calculator'!J:J,MATCH('Isaac 401k'!N3303,'Retirement Calculator'!A:A,0),0),0)</f>
        <v>0</v>
      </c>
      <c r="K3303" s="444">
        <f t="shared" ca="1" si="161"/>
        <v>61898653.39771764</v>
      </c>
      <c r="L3303" s="444">
        <f t="shared" ca="1" si="162"/>
        <v>14917575468.849951</v>
      </c>
      <c r="M3303" s="460">
        <f t="shared" si="164"/>
        <v>0.05</v>
      </c>
      <c r="N3303" s="464">
        <f t="shared" si="165"/>
        <v>151577</v>
      </c>
    </row>
    <row r="3304" spans="7:14" ht="11.25" customHeight="1" x14ac:dyDescent="0.3">
      <c r="G3304" s="459"/>
      <c r="H3304" s="459">
        <v>3297</v>
      </c>
      <c r="I3304" s="444">
        <f t="shared" ca="1" si="163"/>
        <v>14917575468.849951</v>
      </c>
      <c r="J3304" s="444">
        <f t="array" ref="J3304">IFERROR(INDEX('Retirement Calculator'!J:J,MATCH('Isaac 401k'!N3304,'Retirement Calculator'!A:A,0),0),0)</f>
        <v>0</v>
      </c>
      <c r="K3304" s="444">
        <f t="shared" ca="1" si="161"/>
        <v>62156564.45354145</v>
      </c>
      <c r="L3304" s="444">
        <f t="shared" ca="1" si="162"/>
        <v>14979732033.303492</v>
      </c>
      <c r="M3304" s="460">
        <f t="shared" si="164"/>
        <v>0.05</v>
      </c>
      <c r="N3304" s="464">
        <f t="shared" si="165"/>
        <v>151608</v>
      </c>
    </row>
    <row r="3305" spans="7:14" ht="11.25" customHeight="1" x14ac:dyDescent="0.3">
      <c r="G3305" s="459"/>
      <c r="H3305" s="459">
        <v>3298</v>
      </c>
      <c r="I3305" s="444">
        <f t="shared" ca="1" si="163"/>
        <v>14979732033.303492</v>
      </c>
      <c r="J3305" s="444">
        <f t="array" ref="J3305">IFERROR(INDEX('Retirement Calculator'!J:J,MATCH('Isaac 401k'!N3305,'Retirement Calculator'!A:A,0),0),0)</f>
        <v>0</v>
      </c>
      <c r="K3305" s="444">
        <f t="shared" ca="1" si="161"/>
        <v>62415550.138764538</v>
      </c>
      <c r="L3305" s="444">
        <f t="shared" ca="1" si="162"/>
        <v>15042147583.442257</v>
      </c>
      <c r="M3305" s="460">
        <f t="shared" si="164"/>
        <v>0.05</v>
      </c>
      <c r="N3305" s="464">
        <f t="shared" si="165"/>
        <v>151636</v>
      </c>
    </row>
    <row r="3306" spans="7:14" ht="11.25" customHeight="1" x14ac:dyDescent="0.3">
      <c r="G3306" s="459"/>
      <c r="H3306" s="459">
        <v>3299</v>
      </c>
      <c r="I3306" s="444">
        <f t="shared" ca="1" si="163"/>
        <v>15042147583.442257</v>
      </c>
      <c r="J3306" s="444">
        <f t="array" ref="J3306">IFERROR(INDEX('Retirement Calculator'!J:J,MATCH('Isaac 401k'!N3306,'Retirement Calculator'!A:A,0),0),0)</f>
        <v>0</v>
      </c>
      <c r="K3306" s="444">
        <f t="shared" ca="1" si="161"/>
        <v>62675614.931009404</v>
      </c>
      <c r="L3306" s="444">
        <f t="shared" ca="1" si="162"/>
        <v>15104823198.373266</v>
      </c>
      <c r="M3306" s="460">
        <f t="shared" si="164"/>
        <v>0.05</v>
      </c>
      <c r="N3306" s="464">
        <f t="shared" si="165"/>
        <v>151667</v>
      </c>
    </row>
    <row r="3307" spans="7:14" ht="11.25" customHeight="1" x14ac:dyDescent="0.3">
      <c r="G3307" s="459"/>
      <c r="H3307" s="459">
        <v>3300</v>
      </c>
      <c r="I3307" s="444">
        <f t="shared" ca="1" si="163"/>
        <v>15104823198.373266</v>
      </c>
      <c r="J3307" s="444">
        <f t="array" ref="J3307">IFERROR(INDEX('Retirement Calculator'!J:J,MATCH('Isaac 401k'!N3307,'Retirement Calculator'!A:A,0),0),0)</f>
        <v>0</v>
      </c>
      <c r="K3307" s="444">
        <f t="shared" ca="1" si="161"/>
        <v>62936763.326555274</v>
      </c>
      <c r="L3307" s="444">
        <f t="shared" ca="1" si="162"/>
        <v>15167759961.699821</v>
      </c>
      <c r="M3307" s="460">
        <f t="shared" si="164"/>
        <v>0.05</v>
      </c>
      <c r="N3307" s="464">
        <f t="shared" si="165"/>
        <v>151697</v>
      </c>
    </row>
    <row r="3308" spans="7:14" ht="11.25" customHeight="1" x14ac:dyDescent="0.3">
      <c r="G3308" s="459"/>
      <c r="H3308" s="459">
        <v>3301</v>
      </c>
      <c r="I3308" s="444">
        <f t="shared" ca="1" si="163"/>
        <v>15167759961.699821</v>
      </c>
      <c r="J3308" s="444">
        <f t="array" ref="J3308">IFERROR(INDEX('Retirement Calculator'!J:J,MATCH('Isaac 401k'!N3308,'Retirement Calculator'!A:A,0),0),0)</f>
        <v>0</v>
      </c>
      <c r="K3308" s="444">
        <f t="shared" ca="1" si="161"/>
        <v>63198999.840415917</v>
      </c>
      <c r="L3308" s="444">
        <f t="shared" ca="1" si="162"/>
        <v>15230958961.540237</v>
      </c>
      <c r="M3308" s="460">
        <f t="shared" si="164"/>
        <v>0.05</v>
      </c>
      <c r="N3308" s="464">
        <f t="shared" si="165"/>
        <v>151728</v>
      </c>
    </row>
    <row r="3309" spans="7:14" ht="11.25" customHeight="1" x14ac:dyDescent="0.3">
      <c r="G3309" s="459"/>
      <c r="H3309" s="459">
        <v>3302</v>
      </c>
      <c r="I3309" s="444">
        <f t="shared" ca="1" si="163"/>
        <v>15230958961.540237</v>
      </c>
      <c r="J3309" s="444">
        <f t="array" ref="J3309">IFERROR(INDEX('Retirement Calculator'!J:J,MATCH('Isaac 401k'!N3309,'Retirement Calculator'!A:A,0),0),0)</f>
        <v>0</v>
      </c>
      <c r="K3309" s="444">
        <f t="shared" ca="1" si="161"/>
        <v>63462329.006417647</v>
      </c>
      <c r="L3309" s="444">
        <f t="shared" ca="1" si="162"/>
        <v>15294421290.546656</v>
      </c>
      <c r="M3309" s="460">
        <f t="shared" si="164"/>
        <v>0.05</v>
      </c>
      <c r="N3309" s="464">
        <f t="shared" si="165"/>
        <v>151758</v>
      </c>
    </row>
    <row r="3310" spans="7:14" ht="11.25" customHeight="1" x14ac:dyDescent="0.3">
      <c r="G3310" s="459"/>
      <c r="H3310" s="459">
        <v>3303</v>
      </c>
      <c r="I3310" s="444">
        <f t="shared" ca="1" si="163"/>
        <v>15294421290.546656</v>
      </c>
      <c r="J3310" s="444">
        <f t="array" ref="J3310">IFERROR(INDEX('Retirement Calculator'!J:J,MATCH('Isaac 401k'!N3310,'Retirement Calculator'!A:A,0),0),0)</f>
        <v>0</v>
      </c>
      <c r="K3310" s="444">
        <f t="shared" ca="1" si="161"/>
        <v>63726755.377277724</v>
      </c>
      <c r="L3310" s="444">
        <f t="shared" ca="1" si="162"/>
        <v>15358148045.923933</v>
      </c>
      <c r="M3310" s="460">
        <f t="shared" si="164"/>
        <v>0.05</v>
      </c>
      <c r="N3310" s="464">
        <f t="shared" si="165"/>
        <v>151789</v>
      </c>
    </row>
    <row r="3311" spans="7:14" ht="11.25" customHeight="1" x14ac:dyDescent="0.3">
      <c r="G3311" s="459"/>
      <c r="H3311" s="459">
        <v>3304</v>
      </c>
      <c r="I3311" s="444">
        <f t="shared" ca="1" si="163"/>
        <v>15358148045.923933</v>
      </c>
      <c r="J3311" s="444">
        <f t="array" ref="J3311">IFERROR(INDEX('Retirement Calculator'!J:J,MATCH('Isaac 401k'!N3311,'Retirement Calculator'!A:A,0),0),0)</f>
        <v>0</v>
      </c>
      <c r="K3311" s="444">
        <f t="shared" ca="1" si="161"/>
        <v>63992283.524683051</v>
      </c>
      <c r="L3311" s="444">
        <f t="shared" ca="1" si="162"/>
        <v>15422140329.448616</v>
      </c>
      <c r="M3311" s="460">
        <f t="shared" si="164"/>
        <v>0.05</v>
      </c>
      <c r="N3311" s="464">
        <f t="shared" si="165"/>
        <v>151820</v>
      </c>
    </row>
    <row r="3312" spans="7:14" ht="11.25" customHeight="1" x14ac:dyDescent="0.3">
      <c r="G3312" s="459"/>
      <c r="H3312" s="459">
        <v>3305</v>
      </c>
      <c r="I3312" s="444">
        <f t="shared" ca="1" si="163"/>
        <v>15422140329.448616</v>
      </c>
      <c r="J3312" s="444">
        <f t="array" ref="J3312">IFERROR(INDEX('Retirement Calculator'!J:J,MATCH('Isaac 401k'!N3312,'Retirement Calculator'!A:A,0),0),0)</f>
        <v>0</v>
      </c>
      <c r="K3312" s="444">
        <f t="shared" ca="1" si="161"/>
        <v>64258918.039369233</v>
      </c>
      <c r="L3312" s="444">
        <f t="shared" ca="1" si="162"/>
        <v>15486399247.487986</v>
      </c>
      <c r="M3312" s="460">
        <f t="shared" si="164"/>
        <v>0.05</v>
      </c>
      <c r="N3312" s="464">
        <f t="shared" si="165"/>
        <v>151850</v>
      </c>
    </row>
    <row r="3313" spans="7:14" ht="11.25" customHeight="1" x14ac:dyDescent="0.3">
      <c r="G3313" s="459"/>
      <c r="H3313" s="459">
        <v>3306</v>
      </c>
      <c r="I3313" s="444">
        <f t="shared" ca="1" si="163"/>
        <v>15486399247.487986</v>
      </c>
      <c r="J3313" s="444">
        <f t="array" ref="J3313">IFERROR(INDEX('Retirement Calculator'!J:J,MATCH('Isaac 401k'!N3313,'Retirement Calculator'!A:A,0),0),0)</f>
        <v>0</v>
      </c>
      <c r="K3313" s="444">
        <f t="shared" ca="1" si="161"/>
        <v>64526663.53119994</v>
      </c>
      <c r="L3313" s="444">
        <f t="shared" ca="1" si="162"/>
        <v>15550925911.019186</v>
      </c>
      <c r="M3313" s="460">
        <f t="shared" si="164"/>
        <v>0.05</v>
      </c>
      <c r="N3313" s="464">
        <f t="shared" si="165"/>
        <v>151881</v>
      </c>
    </row>
    <row r="3314" spans="7:14" ht="11.25" customHeight="1" x14ac:dyDescent="0.3">
      <c r="G3314" s="459"/>
      <c r="H3314" s="459">
        <v>3307</v>
      </c>
      <c r="I3314" s="444">
        <f t="shared" ca="1" si="163"/>
        <v>15550925911.019186</v>
      </c>
      <c r="J3314" s="444">
        <f t="array" ref="J3314">IFERROR(INDEX('Retirement Calculator'!J:J,MATCH('Isaac 401k'!N3314,'Retirement Calculator'!A:A,0),0),0)</f>
        <v>0</v>
      </c>
      <c r="K3314" s="444">
        <f t="shared" ca="1" si="161"/>
        <v>64795524.629246607</v>
      </c>
      <c r="L3314" s="444">
        <f t="shared" ca="1" si="162"/>
        <v>15615721435.648432</v>
      </c>
      <c r="M3314" s="460">
        <f t="shared" si="164"/>
        <v>0.05</v>
      </c>
      <c r="N3314" s="464">
        <f t="shared" si="165"/>
        <v>151911</v>
      </c>
    </row>
    <row r="3315" spans="7:14" ht="11.25" customHeight="1" x14ac:dyDescent="0.3">
      <c r="G3315" s="459"/>
      <c r="H3315" s="459">
        <v>3308</v>
      </c>
      <c r="I3315" s="444">
        <f t="shared" ca="1" si="163"/>
        <v>15615721435.648432</v>
      </c>
      <c r="J3315" s="444">
        <f t="array" ref="J3315">IFERROR(INDEX('Retirement Calculator'!J:J,MATCH('Isaac 401k'!N3315,'Retirement Calculator'!A:A,0),0),0)</f>
        <v>0</v>
      </c>
      <c r="K3315" s="444">
        <f t="shared" ca="1" si="161"/>
        <v>65065505.981868468</v>
      </c>
      <c r="L3315" s="444">
        <f t="shared" ca="1" si="162"/>
        <v>15680786941.630301</v>
      </c>
      <c r="M3315" s="460">
        <f t="shared" si="164"/>
        <v>0.05</v>
      </c>
      <c r="N3315" s="464">
        <f t="shared" si="165"/>
        <v>151942</v>
      </c>
    </row>
    <row r="3316" spans="7:14" ht="11.25" customHeight="1" x14ac:dyDescent="0.3">
      <c r="G3316" s="459"/>
      <c r="H3316" s="459">
        <v>3309</v>
      </c>
      <c r="I3316" s="444">
        <f t="shared" ca="1" si="163"/>
        <v>15680786941.630301</v>
      </c>
      <c r="J3316" s="444">
        <f t="array" ref="J3316">IFERROR(INDEX('Retirement Calculator'!J:J,MATCH('Isaac 401k'!N3316,'Retirement Calculator'!A:A,0),0),0)</f>
        <v>0</v>
      </c>
      <c r="K3316" s="444">
        <f t="shared" ca="1" si="161"/>
        <v>65336612.25679291</v>
      </c>
      <c r="L3316" s="444">
        <f t="shared" ca="1" si="162"/>
        <v>15746123553.887093</v>
      </c>
      <c r="M3316" s="460">
        <f t="shared" si="164"/>
        <v>0.05</v>
      </c>
      <c r="N3316" s="464">
        <f t="shared" si="165"/>
        <v>151973</v>
      </c>
    </row>
    <row r="3317" spans="7:14" ht="11.25" customHeight="1" x14ac:dyDescent="0.3">
      <c r="G3317" s="459"/>
      <c r="H3317" s="459">
        <v>3310</v>
      </c>
      <c r="I3317" s="444">
        <f t="shared" ca="1" si="163"/>
        <v>15746123553.887093</v>
      </c>
      <c r="J3317" s="444">
        <f t="array" ref="J3317">IFERROR(INDEX('Retirement Calculator'!J:J,MATCH('Isaac 401k'!N3317,'Retirement Calculator'!A:A,0),0),0)</f>
        <v>0</v>
      </c>
      <c r="K3317" s="444">
        <f t="shared" ca="1" si="161"/>
        <v>65608848.141196229</v>
      </c>
      <c r="L3317" s="444">
        <f t="shared" ca="1" si="162"/>
        <v>15811732402.028288</v>
      </c>
      <c r="M3317" s="460">
        <f t="shared" si="164"/>
        <v>0.05</v>
      </c>
      <c r="N3317" s="464">
        <f t="shared" si="165"/>
        <v>152002</v>
      </c>
    </row>
    <row r="3318" spans="7:14" ht="11.25" customHeight="1" x14ac:dyDescent="0.3">
      <c r="G3318" s="459"/>
      <c r="H3318" s="459">
        <v>3311</v>
      </c>
      <c r="I3318" s="444">
        <f t="shared" ca="1" si="163"/>
        <v>15811732402.028288</v>
      </c>
      <c r="J3318" s="444">
        <f t="array" ref="J3318">IFERROR(INDEX('Retirement Calculator'!J:J,MATCH('Isaac 401k'!N3318,'Retirement Calculator'!A:A,0),0),0)</f>
        <v>0</v>
      </c>
      <c r="K3318" s="444">
        <f t="shared" ca="1" si="161"/>
        <v>65882218.341784529</v>
      </c>
      <c r="L3318" s="444">
        <f t="shared" ca="1" si="162"/>
        <v>15877614620.370073</v>
      </c>
      <c r="M3318" s="460">
        <f t="shared" si="164"/>
        <v>0.05</v>
      </c>
      <c r="N3318" s="464">
        <f t="shared" si="165"/>
        <v>152033</v>
      </c>
    </row>
    <row r="3319" spans="7:14" ht="11.25" customHeight="1" x14ac:dyDescent="0.3">
      <c r="G3319" s="459"/>
      <c r="H3319" s="459">
        <v>3312</v>
      </c>
      <c r="I3319" s="444">
        <f t="shared" ca="1" si="163"/>
        <v>15877614620.370073</v>
      </c>
      <c r="J3319" s="444">
        <f t="array" ref="J3319">IFERROR(INDEX('Retirement Calculator'!J:J,MATCH('Isaac 401k'!N3319,'Retirement Calculator'!A:A,0),0),0)</f>
        <v>0</v>
      </c>
      <c r="K3319" s="444">
        <f t="shared" ca="1" si="161"/>
        <v>66156727.584875308</v>
      </c>
      <c r="L3319" s="444">
        <f t="shared" ca="1" si="162"/>
        <v>15943771347.954948</v>
      </c>
      <c r="M3319" s="460">
        <f t="shared" si="164"/>
        <v>0.05</v>
      </c>
      <c r="N3319" s="464">
        <f t="shared" si="165"/>
        <v>152063</v>
      </c>
    </row>
    <row r="3320" spans="7:14" ht="11.25" customHeight="1" x14ac:dyDescent="0.3">
      <c r="G3320" s="459"/>
      <c r="H3320" s="459">
        <v>3313</v>
      </c>
      <c r="I3320" s="444">
        <f t="shared" ca="1" si="163"/>
        <v>15943771347.954948</v>
      </c>
      <c r="J3320" s="444">
        <f t="array" ref="J3320">IFERROR(INDEX('Retirement Calculator'!J:J,MATCH('Isaac 401k'!N3320,'Retirement Calculator'!A:A,0),0),0)</f>
        <v>0</v>
      </c>
      <c r="K3320" s="444">
        <f t="shared" ca="1" si="161"/>
        <v>66432380.61647895</v>
      </c>
      <c r="L3320" s="444">
        <f t="shared" ca="1" si="162"/>
        <v>16010203728.571428</v>
      </c>
      <c r="M3320" s="460">
        <f t="shared" si="164"/>
        <v>0.05</v>
      </c>
      <c r="N3320" s="464">
        <f t="shared" si="165"/>
        <v>152094</v>
      </c>
    </row>
    <row r="3321" spans="7:14" ht="11.25" customHeight="1" x14ac:dyDescent="0.3">
      <c r="G3321" s="459"/>
      <c r="H3321" s="459">
        <v>3314</v>
      </c>
      <c r="I3321" s="444">
        <f t="shared" ca="1" si="163"/>
        <v>16010203728.571428</v>
      </c>
      <c r="J3321" s="444">
        <f t="array" ref="J3321">IFERROR(INDEX('Retirement Calculator'!J:J,MATCH('Isaac 401k'!N3321,'Retirement Calculator'!A:A,0),0),0)</f>
        <v>0</v>
      </c>
      <c r="K3321" s="444">
        <f t="shared" ca="1" si="161"/>
        <v>66709182.202380948</v>
      </c>
      <c r="L3321" s="444">
        <f t="shared" ca="1" si="162"/>
        <v>16076912910.773809</v>
      </c>
      <c r="M3321" s="460">
        <f t="shared" si="164"/>
        <v>0.05</v>
      </c>
      <c r="N3321" s="464">
        <f t="shared" si="165"/>
        <v>152124</v>
      </c>
    </row>
    <row r="3322" spans="7:14" ht="11.25" customHeight="1" x14ac:dyDescent="0.3">
      <c r="G3322" s="459"/>
      <c r="H3322" s="459">
        <v>3315</v>
      </c>
      <c r="I3322" s="444">
        <f t="shared" ca="1" si="163"/>
        <v>16076912910.773809</v>
      </c>
      <c r="J3322" s="444">
        <f t="array" ref="J3322">IFERROR(INDEX('Retirement Calculator'!J:J,MATCH('Isaac 401k'!N3322,'Retirement Calculator'!A:A,0),0),0)</f>
        <v>0</v>
      </c>
      <c r="K3322" s="444">
        <f t="shared" ca="1" si="161"/>
        <v>66987137.128224194</v>
      </c>
      <c r="L3322" s="444">
        <f t="shared" ca="1" si="162"/>
        <v>16143900047.902033</v>
      </c>
      <c r="M3322" s="460">
        <f t="shared" si="164"/>
        <v>0.05</v>
      </c>
      <c r="N3322" s="464">
        <f t="shared" si="165"/>
        <v>152155</v>
      </c>
    </row>
    <row r="3323" spans="7:14" ht="11.25" customHeight="1" x14ac:dyDescent="0.3">
      <c r="G3323" s="459"/>
      <c r="H3323" s="459">
        <v>3316</v>
      </c>
      <c r="I3323" s="444">
        <f t="shared" ca="1" si="163"/>
        <v>16143900047.902033</v>
      </c>
      <c r="J3323" s="444">
        <f t="array" ref="J3323">IFERROR(INDEX('Retirement Calculator'!J:J,MATCH('Isaac 401k'!N3323,'Retirement Calculator'!A:A,0),0),0)</f>
        <v>0</v>
      </c>
      <c r="K3323" s="444">
        <f t="shared" ref="K3323:K3577" ca="1" si="166">IPMT(M3323/12,1,12,-I3323+J3323,,0)</f>
        <v>67266250.199591815</v>
      </c>
      <c r="L3323" s="444">
        <f t="shared" ref="L3323:L3577" ca="1" si="167">I3323-J3323+K3323</f>
        <v>16211166298.101625</v>
      </c>
      <c r="M3323" s="460">
        <f t="shared" si="164"/>
        <v>0.05</v>
      </c>
      <c r="N3323" s="464">
        <f t="shared" si="165"/>
        <v>152186</v>
      </c>
    </row>
    <row r="3324" spans="7:14" ht="11.25" customHeight="1" x14ac:dyDescent="0.3">
      <c r="G3324" s="459"/>
      <c r="H3324" s="459">
        <v>3317</v>
      </c>
      <c r="I3324" s="444">
        <f t="shared" ref="I3324:I3578" ca="1" si="168">L3323</f>
        <v>16211166298.101625</v>
      </c>
      <c r="J3324" s="444">
        <f t="array" ref="J3324">IFERROR(INDEX('Retirement Calculator'!J:J,MATCH('Isaac 401k'!N3324,'Retirement Calculator'!A:A,0),0),0)</f>
        <v>0</v>
      </c>
      <c r="K3324" s="444">
        <f t="shared" ca="1" si="166"/>
        <v>67546526.242090106</v>
      </c>
      <c r="L3324" s="444">
        <f t="shared" ca="1" si="167"/>
        <v>16278712824.343716</v>
      </c>
      <c r="M3324" s="460">
        <f t="shared" ref="M3324:M3578" si="169">M3323</f>
        <v>0.05</v>
      </c>
      <c r="N3324" s="464">
        <f t="shared" ref="N3324:N3578" si="170">EDATE(N3323,1)</f>
        <v>152216</v>
      </c>
    </row>
    <row r="3325" spans="7:14" ht="11.25" customHeight="1" x14ac:dyDescent="0.3">
      <c r="G3325" s="459"/>
      <c r="H3325" s="459">
        <v>3318</v>
      </c>
      <c r="I3325" s="444">
        <f t="shared" ca="1" si="168"/>
        <v>16278712824.343716</v>
      </c>
      <c r="J3325" s="444">
        <f t="array" ref="J3325">IFERROR(INDEX('Retirement Calculator'!J:J,MATCH('Isaac 401k'!N3325,'Retirement Calculator'!A:A,0),0),0)</f>
        <v>0</v>
      </c>
      <c r="K3325" s="444">
        <f t="shared" ca="1" si="166"/>
        <v>67827970.101432145</v>
      </c>
      <c r="L3325" s="444">
        <f t="shared" ca="1" si="167"/>
        <v>16346540794.445148</v>
      </c>
      <c r="M3325" s="460">
        <f t="shared" si="169"/>
        <v>0.05</v>
      </c>
      <c r="N3325" s="464">
        <f t="shared" si="170"/>
        <v>152247</v>
      </c>
    </row>
    <row r="3326" spans="7:14" ht="11.25" customHeight="1" x14ac:dyDescent="0.3">
      <c r="G3326" s="459"/>
      <c r="H3326" s="459">
        <v>3319</v>
      </c>
      <c r="I3326" s="444">
        <f t="shared" ca="1" si="168"/>
        <v>16346540794.445148</v>
      </c>
      <c r="J3326" s="444">
        <f t="array" ref="J3326">IFERROR(INDEX('Retirement Calculator'!J:J,MATCH('Isaac 401k'!N3326,'Retirement Calculator'!A:A,0),0),0)</f>
        <v>0</v>
      </c>
      <c r="K3326" s="444">
        <f t="shared" ca="1" si="166"/>
        <v>68110586.643521458</v>
      </c>
      <c r="L3326" s="444">
        <f t="shared" ca="1" si="167"/>
        <v>16414651381.088671</v>
      </c>
      <c r="M3326" s="460">
        <f t="shared" si="169"/>
        <v>0.05</v>
      </c>
      <c r="N3326" s="464">
        <f t="shared" si="170"/>
        <v>152277</v>
      </c>
    </row>
    <row r="3327" spans="7:14" ht="11.25" customHeight="1" x14ac:dyDescent="0.3">
      <c r="G3327" s="459"/>
      <c r="H3327" s="459">
        <v>3320</v>
      </c>
      <c r="I3327" s="444">
        <f t="shared" ca="1" si="168"/>
        <v>16414651381.088671</v>
      </c>
      <c r="J3327" s="444">
        <f t="array" ref="J3327">IFERROR(INDEX('Retirement Calculator'!J:J,MATCH('Isaac 401k'!N3327,'Retirement Calculator'!A:A,0),0),0)</f>
        <v>0</v>
      </c>
      <c r="K3327" s="444">
        <f t="shared" ca="1" si="166"/>
        <v>68394380.754536122</v>
      </c>
      <c r="L3327" s="444">
        <f t="shared" ca="1" si="167"/>
        <v>16483045761.843206</v>
      </c>
      <c r="M3327" s="460">
        <f t="shared" si="169"/>
        <v>0.05</v>
      </c>
      <c r="N3327" s="464">
        <f t="shared" si="170"/>
        <v>152308</v>
      </c>
    </row>
    <row r="3328" spans="7:14" ht="11.25" customHeight="1" x14ac:dyDescent="0.3">
      <c r="G3328" s="459"/>
      <c r="H3328" s="459">
        <v>3321</v>
      </c>
      <c r="I3328" s="444">
        <f t="shared" ca="1" si="168"/>
        <v>16483045761.843206</v>
      </c>
      <c r="J3328" s="444">
        <f t="array" ref="J3328">IFERROR(INDEX('Retirement Calculator'!J:J,MATCH('Isaac 401k'!N3328,'Retirement Calculator'!A:A,0),0),0)</f>
        <v>0</v>
      </c>
      <c r="K3328" s="444">
        <f t="shared" ca="1" si="166"/>
        <v>68679357.341013357</v>
      </c>
      <c r="L3328" s="444">
        <f t="shared" ca="1" si="167"/>
        <v>16551725119.184219</v>
      </c>
      <c r="M3328" s="460">
        <f t="shared" si="169"/>
        <v>0.05</v>
      </c>
      <c r="N3328" s="464">
        <f t="shared" si="170"/>
        <v>152339</v>
      </c>
    </row>
    <row r="3329" spans="7:14" ht="11.25" customHeight="1" x14ac:dyDescent="0.3">
      <c r="G3329" s="459"/>
      <c r="H3329" s="459">
        <v>3322</v>
      </c>
      <c r="I3329" s="444">
        <f t="shared" ca="1" si="168"/>
        <v>16551725119.184219</v>
      </c>
      <c r="J3329" s="444">
        <f t="array" ref="J3329">IFERROR(INDEX('Retirement Calculator'!J:J,MATCH('Isaac 401k'!N3329,'Retirement Calculator'!A:A,0),0),0)</f>
        <v>0</v>
      </c>
      <c r="K3329" s="444">
        <f t="shared" ca="1" si="166"/>
        <v>68965521.329934239</v>
      </c>
      <c r="L3329" s="444">
        <f t="shared" ca="1" si="167"/>
        <v>16620690640.514154</v>
      </c>
      <c r="M3329" s="460">
        <f t="shared" si="169"/>
        <v>0.05</v>
      </c>
      <c r="N3329" s="464">
        <f t="shared" si="170"/>
        <v>152367</v>
      </c>
    </row>
    <row r="3330" spans="7:14" ht="11.25" customHeight="1" x14ac:dyDescent="0.3">
      <c r="G3330" s="459"/>
      <c r="H3330" s="459">
        <v>3323</v>
      </c>
      <c r="I3330" s="444">
        <f t="shared" ca="1" si="168"/>
        <v>16620690640.514154</v>
      </c>
      <c r="J3330" s="444">
        <f t="array" ref="J3330">IFERROR(INDEX('Retirement Calculator'!J:J,MATCH('Isaac 401k'!N3330,'Retirement Calculator'!A:A,0),0),0)</f>
        <v>0</v>
      </c>
      <c r="K3330" s="444">
        <f t="shared" ca="1" si="166"/>
        <v>69252877.668808982</v>
      </c>
      <c r="L3330" s="444">
        <f t="shared" ca="1" si="167"/>
        <v>16689943518.182964</v>
      </c>
      <c r="M3330" s="460">
        <f t="shared" si="169"/>
        <v>0.05</v>
      </c>
      <c r="N3330" s="464">
        <f t="shared" si="170"/>
        <v>152398</v>
      </c>
    </row>
    <row r="3331" spans="7:14" ht="11.25" customHeight="1" x14ac:dyDescent="0.3">
      <c r="G3331" s="459"/>
      <c r="H3331" s="459">
        <v>3324</v>
      </c>
      <c r="I3331" s="444">
        <f t="shared" ca="1" si="168"/>
        <v>16689943518.182964</v>
      </c>
      <c r="J3331" s="444">
        <f t="array" ref="J3331">IFERROR(INDEX('Retirement Calculator'!J:J,MATCH('Isaac 401k'!N3331,'Retirement Calculator'!A:A,0),0),0)</f>
        <v>0</v>
      </c>
      <c r="K3331" s="444">
        <f t="shared" ca="1" si="166"/>
        <v>69541431.325762346</v>
      </c>
      <c r="L3331" s="444">
        <f t="shared" ca="1" si="167"/>
        <v>16759484949.508726</v>
      </c>
      <c r="M3331" s="460">
        <f t="shared" si="169"/>
        <v>0.05</v>
      </c>
      <c r="N3331" s="464">
        <f t="shared" si="170"/>
        <v>152428</v>
      </c>
    </row>
    <row r="3332" spans="7:14" ht="11.25" customHeight="1" x14ac:dyDescent="0.3">
      <c r="G3332" s="459"/>
      <c r="H3332" s="459">
        <v>3325</v>
      </c>
      <c r="I3332" s="444">
        <f t="shared" ca="1" si="168"/>
        <v>16759484949.508726</v>
      </c>
      <c r="J3332" s="444">
        <f t="array" ref="J3332">IFERROR(INDEX('Retirement Calculator'!J:J,MATCH('Isaac 401k'!N3332,'Retirement Calculator'!A:A,0),0),0)</f>
        <v>0</v>
      </c>
      <c r="K3332" s="444">
        <f t="shared" ca="1" si="166"/>
        <v>69831187.289619684</v>
      </c>
      <c r="L3332" s="444">
        <f t="shared" ca="1" si="167"/>
        <v>16829316136.798346</v>
      </c>
      <c r="M3332" s="460">
        <f t="shared" si="169"/>
        <v>0.05</v>
      </c>
      <c r="N3332" s="464">
        <f t="shared" si="170"/>
        <v>152459</v>
      </c>
    </row>
    <row r="3333" spans="7:14" ht="11.25" customHeight="1" x14ac:dyDescent="0.3">
      <c r="G3333" s="459"/>
      <c r="H3333" s="459">
        <v>3326</v>
      </c>
      <c r="I3333" s="444">
        <f t="shared" ca="1" si="168"/>
        <v>16829316136.798346</v>
      </c>
      <c r="J3333" s="444">
        <f t="array" ref="J3333">IFERROR(INDEX('Retirement Calculator'!J:J,MATCH('Isaac 401k'!N3333,'Retirement Calculator'!A:A,0),0),0)</f>
        <v>0</v>
      </c>
      <c r="K3333" s="444">
        <f t="shared" ca="1" si="166"/>
        <v>70122150.569993109</v>
      </c>
      <c r="L3333" s="444">
        <f t="shared" ca="1" si="167"/>
        <v>16899438287.36834</v>
      </c>
      <c r="M3333" s="460">
        <f t="shared" si="169"/>
        <v>0.05</v>
      </c>
      <c r="N3333" s="464">
        <f t="shared" si="170"/>
        <v>152489</v>
      </c>
    </row>
    <row r="3334" spans="7:14" ht="11.25" customHeight="1" x14ac:dyDescent="0.3">
      <c r="G3334" s="459"/>
      <c r="H3334" s="459">
        <v>3327</v>
      </c>
      <c r="I3334" s="444">
        <f t="shared" ca="1" si="168"/>
        <v>16899438287.36834</v>
      </c>
      <c r="J3334" s="444">
        <f t="array" ref="J3334">IFERROR(INDEX('Retirement Calculator'!J:J,MATCH('Isaac 401k'!N3334,'Retirement Calculator'!A:A,0),0),0)</f>
        <v>0</v>
      </c>
      <c r="K3334" s="444">
        <f t="shared" ca="1" si="166"/>
        <v>70414326.197368085</v>
      </c>
      <c r="L3334" s="444">
        <f t="shared" ca="1" si="167"/>
        <v>16969852613.565708</v>
      </c>
      <c r="M3334" s="460">
        <f t="shared" si="169"/>
        <v>0.05</v>
      </c>
      <c r="N3334" s="464">
        <f t="shared" si="170"/>
        <v>152520</v>
      </c>
    </row>
    <row r="3335" spans="7:14" ht="11.25" customHeight="1" x14ac:dyDescent="0.3">
      <c r="G3335" s="459"/>
      <c r="H3335" s="459">
        <v>3328</v>
      </c>
      <c r="I3335" s="444">
        <f t="shared" ca="1" si="168"/>
        <v>16969852613.565708</v>
      </c>
      <c r="J3335" s="444">
        <f t="array" ref="J3335">IFERROR(INDEX('Retirement Calculator'!J:J,MATCH('Isaac 401k'!N3335,'Retirement Calculator'!A:A,0),0),0)</f>
        <v>0</v>
      </c>
      <c r="K3335" s="444">
        <f t="shared" ca="1" si="166"/>
        <v>70707719.223190442</v>
      </c>
      <c r="L3335" s="444">
        <f t="shared" ca="1" si="167"/>
        <v>17040560332.788898</v>
      </c>
      <c r="M3335" s="460">
        <f t="shared" si="169"/>
        <v>0.05</v>
      </c>
      <c r="N3335" s="464">
        <f t="shared" si="170"/>
        <v>152551</v>
      </c>
    </row>
    <row r="3336" spans="7:14" ht="11.25" customHeight="1" x14ac:dyDescent="0.3">
      <c r="G3336" s="459"/>
      <c r="H3336" s="459">
        <v>3329</v>
      </c>
      <c r="I3336" s="444">
        <f t="shared" ca="1" si="168"/>
        <v>17040560332.788898</v>
      </c>
      <c r="J3336" s="444">
        <f t="array" ref="J3336">IFERROR(INDEX('Retirement Calculator'!J:J,MATCH('Isaac 401k'!N3336,'Retirement Calculator'!A:A,0),0),0)</f>
        <v>0</v>
      </c>
      <c r="K3336" s="444">
        <f t="shared" ca="1" si="166"/>
        <v>71002334.719953746</v>
      </c>
      <c r="L3336" s="444">
        <f t="shared" ca="1" si="167"/>
        <v>17111562667.508852</v>
      </c>
      <c r="M3336" s="460">
        <f t="shared" si="169"/>
        <v>0.05</v>
      </c>
      <c r="N3336" s="464">
        <f t="shared" si="170"/>
        <v>152581</v>
      </c>
    </row>
    <row r="3337" spans="7:14" ht="11.25" customHeight="1" x14ac:dyDescent="0.3">
      <c r="G3337" s="459"/>
      <c r="H3337" s="459">
        <v>3330</v>
      </c>
      <c r="I3337" s="444">
        <f t="shared" ca="1" si="168"/>
        <v>17111562667.508852</v>
      </c>
      <c r="J3337" s="444">
        <f t="array" ref="J3337">IFERROR(INDEX('Retirement Calculator'!J:J,MATCH('Isaac 401k'!N3337,'Retirement Calculator'!A:A,0),0),0)</f>
        <v>0</v>
      </c>
      <c r="K3337" s="444">
        <f t="shared" ca="1" si="166"/>
        <v>71298177.78128688</v>
      </c>
      <c r="L3337" s="444">
        <f t="shared" ca="1" si="167"/>
        <v>17182860845.290138</v>
      </c>
      <c r="M3337" s="460">
        <f t="shared" si="169"/>
        <v>0.05</v>
      </c>
      <c r="N3337" s="464">
        <f t="shared" si="170"/>
        <v>152612</v>
      </c>
    </row>
    <row r="3338" spans="7:14" ht="11.25" customHeight="1" x14ac:dyDescent="0.3">
      <c r="G3338" s="459"/>
      <c r="H3338" s="459">
        <v>3331</v>
      </c>
      <c r="I3338" s="444">
        <f t="shared" ca="1" si="168"/>
        <v>17182860845.290138</v>
      </c>
      <c r="J3338" s="444">
        <f t="array" ref="J3338">IFERROR(INDEX('Retirement Calculator'!J:J,MATCH('Isaac 401k'!N3338,'Retirement Calculator'!A:A,0),0),0)</f>
        <v>0</v>
      </c>
      <c r="K3338" s="444">
        <f t="shared" ca="1" si="166"/>
        <v>71595253.522042245</v>
      </c>
      <c r="L3338" s="444">
        <f t="shared" ca="1" si="167"/>
        <v>17254456098.81218</v>
      </c>
      <c r="M3338" s="460">
        <f t="shared" si="169"/>
        <v>0.05</v>
      </c>
      <c r="N3338" s="464">
        <f t="shared" si="170"/>
        <v>152642</v>
      </c>
    </row>
    <row r="3339" spans="7:14" ht="11.25" customHeight="1" x14ac:dyDescent="0.3">
      <c r="G3339" s="459"/>
      <c r="H3339" s="459">
        <v>3332</v>
      </c>
      <c r="I3339" s="444">
        <f t="shared" ca="1" si="168"/>
        <v>17254456098.81218</v>
      </c>
      <c r="J3339" s="444">
        <f t="array" ref="J3339">IFERROR(INDEX('Retirement Calculator'!J:J,MATCH('Isaac 401k'!N3339,'Retirement Calculator'!A:A,0),0),0)</f>
        <v>0</v>
      </c>
      <c r="K3339" s="444">
        <f t="shared" ca="1" si="166"/>
        <v>71893567.078384086</v>
      </c>
      <c r="L3339" s="444">
        <f t="shared" ca="1" si="167"/>
        <v>17326349665.890564</v>
      </c>
      <c r="M3339" s="460">
        <f t="shared" si="169"/>
        <v>0.05</v>
      </c>
      <c r="N3339" s="464">
        <f t="shared" si="170"/>
        <v>152673</v>
      </c>
    </row>
    <row r="3340" spans="7:14" ht="11.25" customHeight="1" x14ac:dyDescent="0.3">
      <c r="G3340" s="459"/>
      <c r="H3340" s="459">
        <v>3333</v>
      </c>
      <c r="I3340" s="444">
        <f t="shared" ca="1" si="168"/>
        <v>17326349665.890564</v>
      </c>
      <c r="J3340" s="444">
        <f t="array" ref="J3340">IFERROR(INDEX('Retirement Calculator'!J:J,MATCH('Isaac 401k'!N3340,'Retirement Calculator'!A:A,0),0),0)</f>
        <v>0</v>
      </c>
      <c r="K3340" s="444">
        <f t="shared" ca="1" si="166"/>
        <v>72193123.607877344</v>
      </c>
      <c r="L3340" s="444">
        <f t="shared" ca="1" si="167"/>
        <v>17398542789.49844</v>
      </c>
      <c r="M3340" s="460">
        <f t="shared" si="169"/>
        <v>0.05</v>
      </c>
      <c r="N3340" s="464">
        <f t="shared" si="170"/>
        <v>152704</v>
      </c>
    </row>
    <row r="3341" spans="7:14" ht="11.25" customHeight="1" x14ac:dyDescent="0.3">
      <c r="G3341" s="459"/>
      <c r="H3341" s="459">
        <v>3334</v>
      </c>
      <c r="I3341" s="444">
        <f t="shared" ca="1" si="168"/>
        <v>17398542789.49844</v>
      </c>
      <c r="J3341" s="444">
        <f t="array" ref="J3341">IFERROR(INDEX('Retirement Calculator'!J:J,MATCH('Isaac 401k'!N3341,'Retirement Calculator'!A:A,0),0),0)</f>
        <v>0</v>
      </c>
      <c r="K3341" s="444">
        <f t="shared" ca="1" si="166"/>
        <v>72493928.289576828</v>
      </c>
      <c r="L3341" s="444">
        <f t="shared" ca="1" si="167"/>
        <v>17471036717.788017</v>
      </c>
      <c r="M3341" s="460">
        <f t="shared" si="169"/>
        <v>0.05</v>
      </c>
      <c r="N3341" s="464">
        <f t="shared" si="170"/>
        <v>152732</v>
      </c>
    </row>
    <row r="3342" spans="7:14" ht="11.25" customHeight="1" x14ac:dyDescent="0.3">
      <c r="G3342" s="459"/>
      <c r="H3342" s="459">
        <v>3335</v>
      </c>
      <c r="I3342" s="444">
        <f t="shared" ca="1" si="168"/>
        <v>17471036717.788017</v>
      </c>
      <c r="J3342" s="444">
        <f t="array" ref="J3342">IFERROR(INDEX('Retirement Calculator'!J:J,MATCH('Isaac 401k'!N3342,'Retirement Calculator'!A:A,0),0),0)</f>
        <v>0</v>
      </c>
      <c r="K3342" s="444">
        <f t="shared" ca="1" si="166"/>
        <v>72795986.324116737</v>
      </c>
      <c r="L3342" s="444">
        <f t="shared" ca="1" si="167"/>
        <v>17543832704.112133</v>
      </c>
      <c r="M3342" s="460">
        <f t="shared" si="169"/>
        <v>0.05</v>
      </c>
      <c r="N3342" s="464">
        <f t="shared" si="170"/>
        <v>152763</v>
      </c>
    </row>
    <row r="3343" spans="7:14" ht="11.25" customHeight="1" x14ac:dyDescent="0.3">
      <c r="G3343" s="459"/>
      <c r="H3343" s="459">
        <v>3336</v>
      </c>
      <c r="I3343" s="444">
        <f t="shared" ca="1" si="168"/>
        <v>17543832704.112133</v>
      </c>
      <c r="J3343" s="444">
        <f t="array" ref="J3343">IFERROR(INDEX('Retirement Calculator'!J:J,MATCH('Isaac 401k'!N3343,'Retirement Calculator'!A:A,0),0),0)</f>
        <v>0</v>
      </c>
      <c r="K3343" s="444">
        <f t="shared" ca="1" si="166"/>
        <v>73099302.933800548</v>
      </c>
      <c r="L3343" s="444">
        <f t="shared" ca="1" si="167"/>
        <v>17616932007.045933</v>
      </c>
      <c r="M3343" s="460">
        <f t="shared" si="169"/>
        <v>0.05</v>
      </c>
      <c r="N3343" s="464">
        <f t="shared" si="170"/>
        <v>152793</v>
      </c>
    </row>
    <row r="3344" spans="7:14" ht="11.25" customHeight="1" x14ac:dyDescent="0.3">
      <c r="G3344" s="459"/>
      <c r="H3344" s="459">
        <v>3337</v>
      </c>
      <c r="I3344" s="444">
        <f t="shared" ca="1" si="168"/>
        <v>17616932007.045933</v>
      </c>
      <c r="J3344" s="444">
        <f t="array" ref="J3344">IFERROR(INDEX('Retirement Calculator'!J:J,MATCH('Isaac 401k'!N3344,'Retirement Calculator'!A:A,0),0),0)</f>
        <v>0</v>
      </c>
      <c r="K3344" s="444">
        <f t="shared" ca="1" si="166"/>
        <v>73403883.362691388</v>
      </c>
      <c r="L3344" s="444">
        <f t="shared" ca="1" si="167"/>
        <v>17690335890.408623</v>
      </c>
      <c r="M3344" s="460">
        <f t="shared" si="169"/>
        <v>0.05</v>
      </c>
      <c r="N3344" s="464">
        <f t="shared" si="170"/>
        <v>152824</v>
      </c>
    </row>
    <row r="3345" spans="7:14" ht="11.25" customHeight="1" x14ac:dyDescent="0.3">
      <c r="G3345" s="459"/>
      <c r="H3345" s="459">
        <v>3338</v>
      </c>
      <c r="I3345" s="444">
        <f t="shared" ca="1" si="168"/>
        <v>17690335890.408623</v>
      </c>
      <c r="J3345" s="444">
        <f t="array" ref="J3345">IFERROR(INDEX('Retirement Calculator'!J:J,MATCH('Isaac 401k'!N3345,'Retirement Calculator'!A:A,0),0),0)</f>
        <v>0</v>
      </c>
      <c r="K3345" s="444">
        <f t="shared" ca="1" si="166"/>
        <v>73709732.876702592</v>
      </c>
      <c r="L3345" s="444">
        <f t="shared" ca="1" si="167"/>
        <v>17764045623.285324</v>
      </c>
      <c r="M3345" s="460">
        <f t="shared" si="169"/>
        <v>0.05</v>
      </c>
      <c r="N3345" s="464">
        <f t="shared" si="170"/>
        <v>152854</v>
      </c>
    </row>
    <row r="3346" spans="7:14" ht="11.25" customHeight="1" x14ac:dyDescent="0.3">
      <c r="G3346" s="459"/>
      <c r="H3346" s="459">
        <v>3339</v>
      </c>
      <c r="I3346" s="444">
        <f t="shared" ca="1" si="168"/>
        <v>17764045623.285324</v>
      </c>
      <c r="J3346" s="444">
        <f t="array" ref="J3346">IFERROR(INDEX('Retirement Calculator'!J:J,MATCH('Isaac 401k'!N3346,'Retirement Calculator'!A:A,0),0),0)</f>
        <v>0</v>
      </c>
      <c r="K3346" s="444">
        <f t="shared" ca="1" si="166"/>
        <v>74016856.763688847</v>
      </c>
      <c r="L3346" s="444">
        <f t="shared" ca="1" si="167"/>
        <v>17838062480.049011</v>
      </c>
      <c r="M3346" s="460">
        <f t="shared" si="169"/>
        <v>0.05</v>
      </c>
      <c r="N3346" s="464">
        <f t="shared" si="170"/>
        <v>152885</v>
      </c>
    </row>
    <row r="3347" spans="7:14" ht="11.25" customHeight="1" x14ac:dyDescent="0.3">
      <c r="G3347" s="459"/>
      <c r="H3347" s="459">
        <v>3340</v>
      </c>
      <c r="I3347" s="444">
        <f t="shared" ca="1" si="168"/>
        <v>17838062480.049011</v>
      </c>
      <c r="J3347" s="444">
        <f t="array" ref="J3347">IFERROR(INDEX('Retirement Calculator'!J:J,MATCH('Isaac 401k'!N3347,'Retirement Calculator'!A:A,0),0),0)</f>
        <v>0</v>
      </c>
      <c r="K3347" s="444">
        <f t="shared" ca="1" si="166"/>
        <v>74325260.333537549</v>
      </c>
      <c r="L3347" s="444">
        <f t="shared" ca="1" si="167"/>
        <v>17912387740.382549</v>
      </c>
      <c r="M3347" s="460">
        <f t="shared" si="169"/>
        <v>0.05</v>
      </c>
      <c r="N3347" s="464">
        <f t="shared" si="170"/>
        <v>152916</v>
      </c>
    </row>
    <row r="3348" spans="7:14" ht="11.25" customHeight="1" x14ac:dyDescent="0.3">
      <c r="G3348" s="459"/>
      <c r="H3348" s="459">
        <v>3341</v>
      </c>
      <c r="I3348" s="444">
        <f t="shared" ca="1" si="168"/>
        <v>17912387740.382549</v>
      </c>
      <c r="J3348" s="444">
        <f t="array" ref="J3348">IFERROR(INDEX('Retirement Calculator'!J:J,MATCH('Isaac 401k'!N3348,'Retirement Calculator'!A:A,0),0),0)</f>
        <v>0</v>
      </c>
      <c r="K3348" s="444">
        <f t="shared" ca="1" si="166"/>
        <v>74634948.918260619</v>
      </c>
      <c r="L3348" s="444">
        <f t="shared" ca="1" si="167"/>
        <v>17987022689.300812</v>
      </c>
      <c r="M3348" s="460">
        <f t="shared" si="169"/>
        <v>0.05</v>
      </c>
      <c r="N3348" s="464">
        <f t="shared" si="170"/>
        <v>152946</v>
      </c>
    </row>
    <row r="3349" spans="7:14" ht="11.25" customHeight="1" x14ac:dyDescent="0.3">
      <c r="G3349" s="459"/>
      <c r="H3349" s="459">
        <v>3342</v>
      </c>
      <c r="I3349" s="444">
        <f t="shared" ca="1" si="168"/>
        <v>17987022689.300812</v>
      </c>
      <c r="J3349" s="444">
        <f t="array" ref="J3349">IFERROR(INDEX('Retirement Calculator'!J:J,MATCH('Isaac 401k'!N3349,'Retirement Calculator'!A:A,0),0),0)</f>
        <v>0</v>
      </c>
      <c r="K3349" s="444">
        <f t="shared" ca="1" si="166"/>
        <v>74945927.872086719</v>
      </c>
      <c r="L3349" s="444">
        <f t="shared" ca="1" si="167"/>
        <v>18061968617.172897</v>
      </c>
      <c r="M3349" s="460">
        <f t="shared" si="169"/>
        <v>0.05</v>
      </c>
      <c r="N3349" s="464">
        <f t="shared" si="170"/>
        <v>152977</v>
      </c>
    </row>
    <row r="3350" spans="7:14" ht="11.25" customHeight="1" x14ac:dyDescent="0.3">
      <c r="G3350" s="459"/>
      <c r="H3350" s="459">
        <v>3343</v>
      </c>
      <c r="I3350" s="444">
        <f t="shared" ca="1" si="168"/>
        <v>18061968617.172897</v>
      </c>
      <c r="J3350" s="444">
        <f t="array" ref="J3350">IFERROR(INDEX('Retirement Calculator'!J:J,MATCH('Isaac 401k'!N3350,'Retirement Calculator'!A:A,0),0),0)</f>
        <v>0</v>
      </c>
      <c r="K3350" s="444">
        <f t="shared" ca="1" si="166"/>
        <v>75258202.571553737</v>
      </c>
      <c r="L3350" s="444">
        <f t="shared" ca="1" si="167"/>
        <v>18137226819.74445</v>
      </c>
      <c r="M3350" s="460">
        <f t="shared" si="169"/>
        <v>0.05</v>
      </c>
      <c r="N3350" s="464">
        <f t="shared" si="170"/>
        <v>153007</v>
      </c>
    </row>
    <row r="3351" spans="7:14" ht="11.25" customHeight="1" x14ac:dyDescent="0.3">
      <c r="G3351" s="459"/>
      <c r="H3351" s="459">
        <v>3344</v>
      </c>
      <c r="I3351" s="444">
        <f t="shared" ca="1" si="168"/>
        <v>18137226819.74445</v>
      </c>
      <c r="J3351" s="444">
        <f t="array" ref="J3351">IFERROR(INDEX('Retirement Calculator'!J:J,MATCH('Isaac 401k'!N3351,'Retirement Calculator'!A:A,0),0),0)</f>
        <v>0</v>
      </c>
      <c r="K3351" s="444">
        <f t="shared" ca="1" si="166"/>
        <v>75571778.415601879</v>
      </c>
      <c r="L3351" s="444">
        <f t="shared" ca="1" si="167"/>
        <v>18212798598.160053</v>
      </c>
      <c r="M3351" s="460">
        <f t="shared" si="169"/>
        <v>0.05</v>
      </c>
      <c r="N3351" s="464">
        <f t="shared" si="170"/>
        <v>153038</v>
      </c>
    </row>
    <row r="3352" spans="7:14" ht="11.25" customHeight="1" x14ac:dyDescent="0.3">
      <c r="G3352" s="459"/>
      <c r="H3352" s="459">
        <v>3345</v>
      </c>
      <c r="I3352" s="444">
        <f t="shared" ca="1" si="168"/>
        <v>18212798598.160053</v>
      </c>
      <c r="J3352" s="444">
        <f t="array" ref="J3352">IFERROR(INDEX('Retirement Calculator'!J:J,MATCH('Isaac 401k'!N3352,'Retirement Calculator'!A:A,0),0),0)</f>
        <v>0</v>
      </c>
      <c r="K3352" s="444">
        <f t="shared" ca="1" si="166"/>
        <v>75886660.82566689</v>
      </c>
      <c r="L3352" s="444">
        <f t="shared" ca="1" si="167"/>
        <v>18288685258.985722</v>
      </c>
      <c r="M3352" s="460">
        <f t="shared" si="169"/>
        <v>0.05</v>
      </c>
      <c r="N3352" s="464">
        <f t="shared" si="170"/>
        <v>153069</v>
      </c>
    </row>
    <row r="3353" spans="7:14" ht="11.25" customHeight="1" x14ac:dyDescent="0.3">
      <c r="G3353" s="459"/>
      <c r="H3353" s="459">
        <v>3346</v>
      </c>
      <c r="I3353" s="444">
        <f t="shared" ca="1" si="168"/>
        <v>18288685258.985722</v>
      </c>
      <c r="J3353" s="444">
        <f t="array" ref="J3353">IFERROR(INDEX('Retirement Calculator'!J:J,MATCH('Isaac 401k'!N3353,'Retirement Calculator'!A:A,0),0),0)</f>
        <v>0</v>
      </c>
      <c r="K3353" s="444">
        <f t="shared" ca="1" si="166"/>
        <v>76202855.245773837</v>
      </c>
      <c r="L3353" s="444">
        <f t="shared" ca="1" si="167"/>
        <v>18364888114.231495</v>
      </c>
      <c r="M3353" s="460">
        <f t="shared" si="169"/>
        <v>0.05</v>
      </c>
      <c r="N3353" s="464">
        <f t="shared" si="170"/>
        <v>153097</v>
      </c>
    </row>
    <row r="3354" spans="7:14" ht="11.25" customHeight="1" x14ac:dyDescent="0.3">
      <c r="G3354" s="459"/>
      <c r="H3354" s="459">
        <v>3347</v>
      </c>
      <c r="I3354" s="444">
        <f t="shared" ca="1" si="168"/>
        <v>18364888114.231495</v>
      </c>
      <c r="J3354" s="444">
        <f t="array" ref="J3354">IFERROR(INDEX('Retirement Calculator'!J:J,MATCH('Isaac 401k'!N3354,'Retirement Calculator'!A:A,0),0),0)</f>
        <v>0</v>
      </c>
      <c r="K3354" s="444">
        <f t="shared" ca="1" si="166"/>
        <v>76520367.142631233</v>
      </c>
      <c r="L3354" s="444">
        <f t="shared" ca="1" si="167"/>
        <v>18441408481.374126</v>
      </c>
      <c r="M3354" s="460">
        <f t="shared" si="169"/>
        <v>0.05</v>
      </c>
      <c r="N3354" s="464">
        <f t="shared" si="170"/>
        <v>153128</v>
      </c>
    </row>
    <row r="3355" spans="7:14" ht="11.25" customHeight="1" x14ac:dyDescent="0.3">
      <c r="G3355" s="459"/>
      <c r="H3355" s="459">
        <v>3348</v>
      </c>
      <c r="I3355" s="444">
        <f t="shared" ca="1" si="168"/>
        <v>18441408481.374126</v>
      </c>
      <c r="J3355" s="444">
        <f t="array" ref="J3355">IFERROR(INDEX('Retirement Calculator'!J:J,MATCH('Isaac 401k'!N3355,'Retirement Calculator'!A:A,0),0),0)</f>
        <v>0</v>
      </c>
      <c r="K3355" s="444">
        <f t="shared" ca="1" si="166"/>
        <v>76839202.005725533</v>
      </c>
      <c r="L3355" s="444">
        <f t="shared" ca="1" si="167"/>
        <v>18518247683.379852</v>
      </c>
      <c r="M3355" s="460">
        <f t="shared" si="169"/>
        <v>0.05</v>
      </c>
      <c r="N3355" s="464">
        <f t="shared" si="170"/>
        <v>153158</v>
      </c>
    </row>
    <row r="3356" spans="7:14" ht="11.25" customHeight="1" x14ac:dyDescent="0.3">
      <c r="G3356" s="459"/>
      <c r="H3356" s="459">
        <v>3349</v>
      </c>
      <c r="I3356" s="444">
        <f t="shared" ca="1" si="168"/>
        <v>18518247683.379852</v>
      </c>
      <c r="J3356" s="444">
        <f t="array" ref="J3356">IFERROR(INDEX('Retirement Calculator'!J:J,MATCH('Isaac 401k'!N3356,'Retirement Calculator'!A:A,0),0),0)</f>
        <v>0</v>
      </c>
      <c r="K3356" s="444">
        <f t="shared" ca="1" si="166"/>
        <v>77159365.347416043</v>
      </c>
      <c r="L3356" s="444">
        <f t="shared" ca="1" si="167"/>
        <v>18595407048.727268</v>
      </c>
      <c r="M3356" s="460">
        <f t="shared" si="169"/>
        <v>0.05</v>
      </c>
      <c r="N3356" s="464">
        <f t="shared" si="170"/>
        <v>153189</v>
      </c>
    </row>
    <row r="3357" spans="7:14" ht="11.25" customHeight="1" x14ac:dyDescent="0.3">
      <c r="G3357" s="459"/>
      <c r="H3357" s="459">
        <v>3350</v>
      </c>
      <c r="I3357" s="444">
        <f t="shared" ca="1" si="168"/>
        <v>18595407048.727268</v>
      </c>
      <c r="J3357" s="444">
        <f t="array" ref="J3357">IFERROR(INDEX('Retirement Calculator'!J:J,MATCH('Isaac 401k'!N3357,'Retirement Calculator'!A:A,0),0),0)</f>
        <v>0</v>
      </c>
      <c r="K3357" s="444">
        <f t="shared" ca="1" si="166"/>
        <v>77480862.703030288</v>
      </c>
      <c r="L3357" s="444">
        <f t="shared" ca="1" si="167"/>
        <v>18672887911.430298</v>
      </c>
      <c r="M3357" s="460">
        <f t="shared" si="169"/>
        <v>0.05</v>
      </c>
      <c r="N3357" s="464">
        <f t="shared" si="170"/>
        <v>153219</v>
      </c>
    </row>
    <row r="3358" spans="7:14" ht="11.25" customHeight="1" x14ac:dyDescent="0.3">
      <c r="G3358" s="459"/>
      <c r="H3358" s="459">
        <v>3351</v>
      </c>
      <c r="I3358" s="444">
        <f t="shared" ca="1" si="168"/>
        <v>18672887911.430298</v>
      </c>
      <c r="J3358" s="444">
        <f t="array" ref="J3358">IFERROR(INDEX('Retirement Calculator'!J:J,MATCH('Isaac 401k'!N3358,'Retirement Calculator'!A:A,0),0),0)</f>
        <v>0</v>
      </c>
      <c r="K3358" s="444">
        <f t="shared" ca="1" si="166"/>
        <v>77803699.63095957</v>
      </c>
      <c r="L3358" s="444">
        <f t="shared" ca="1" si="167"/>
        <v>18750691611.061256</v>
      </c>
      <c r="M3358" s="460">
        <f t="shared" si="169"/>
        <v>0.05</v>
      </c>
      <c r="N3358" s="464">
        <f t="shared" si="170"/>
        <v>153250</v>
      </c>
    </row>
    <row r="3359" spans="7:14" ht="11.25" customHeight="1" x14ac:dyDescent="0.3">
      <c r="G3359" s="459"/>
      <c r="H3359" s="459">
        <v>3352</v>
      </c>
      <c r="I3359" s="444">
        <f t="shared" ca="1" si="168"/>
        <v>18750691611.061256</v>
      </c>
      <c r="J3359" s="444">
        <f t="array" ref="J3359">IFERROR(INDEX('Retirement Calculator'!J:J,MATCH('Isaac 401k'!N3359,'Retirement Calculator'!A:A,0),0),0)</f>
        <v>0</v>
      </c>
      <c r="K3359" s="444">
        <f t="shared" ca="1" si="166"/>
        <v>78127881.712755233</v>
      </c>
      <c r="L3359" s="444">
        <f t="shared" ca="1" si="167"/>
        <v>18828819492.774014</v>
      </c>
      <c r="M3359" s="460">
        <f t="shared" si="169"/>
        <v>0.05</v>
      </c>
      <c r="N3359" s="464">
        <f t="shared" si="170"/>
        <v>153281</v>
      </c>
    </row>
    <row r="3360" spans="7:14" ht="11.25" customHeight="1" x14ac:dyDescent="0.3">
      <c r="G3360" s="459"/>
      <c r="H3360" s="459">
        <v>3353</v>
      </c>
      <c r="I3360" s="444">
        <f t="shared" ca="1" si="168"/>
        <v>18828819492.774014</v>
      </c>
      <c r="J3360" s="444">
        <f t="array" ref="J3360">IFERROR(INDEX('Retirement Calculator'!J:J,MATCH('Isaac 401k'!N3360,'Retirement Calculator'!A:A,0),0),0)</f>
        <v>0</v>
      </c>
      <c r="K3360" s="444">
        <f t="shared" ca="1" si="166"/>
        <v>78453414.553225055</v>
      </c>
      <c r="L3360" s="444">
        <f t="shared" ca="1" si="167"/>
        <v>18907272907.32724</v>
      </c>
      <c r="M3360" s="460">
        <f t="shared" si="169"/>
        <v>0.05</v>
      </c>
      <c r="N3360" s="464">
        <f t="shared" si="170"/>
        <v>153311</v>
      </c>
    </row>
    <row r="3361" spans="7:14" ht="11.25" customHeight="1" x14ac:dyDescent="0.3">
      <c r="G3361" s="459"/>
      <c r="H3361" s="459">
        <v>3354</v>
      </c>
      <c r="I3361" s="444">
        <f t="shared" ca="1" si="168"/>
        <v>18907272907.32724</v>
      </c>
      <c r="J3361" s="444">
        <f t="array" ref="J3361">IFERROR(INDEX('Retirement Calculator'!J:J,MATCH('Isaac 401k'!N3361,'Retirement Calculator'!A:A,0),0),0)</f>
        <v>0</v>
      </c>
      <c r="K3361" s="444">
        <f t="shared" ca="1" si="166"/>
        <v>78780303.78053017</v>
      </c>
      <c r="L3361" s="444">
        <f t="shared" ca="1" si="167"/>
        <v>18986053211.107769</v>
      </c>
      <c r="M3361" s="460">
        <f t="shared" si="169"/>
        <v>0.05</v>
      </c>
      <c r="N3361" s="464">
        <f t="shared" si="170"/>
        <v>153342</v>
      </c>
    </row>
    <row r="3362" spans="7:14" ht="11.25" customHeight="1" x14ac:dyDescent="0.3">
      <c r="G3362" s="459"/>
      <c r="H3362" s="459">
        <v>3355</v>
      </c>
      <c r="I3362" s="444">
        <f t="shared" ca="1" si="168"/>
        <v>18986053211.107769</v>
      </c>
      <c r="J3362" s="444">
        <f t="array" ref="J3362">IFERROR(INDEX('Retirement Calculator'!J:J,MATCH('Isaac 401k'!N3362,'Retirement Calculator'!A:A,0),0),0)</f>
        <v>0</v>
      </c>
      <c r="K3362" s="444">
        <f t="shared" ca="1" si="166"/>
        <v>79108555.046282366</v>
      </c>
      <c r="L3362" s="444">
        <f t="shared" ca="1" si="167"/>
        <v>19065161766.154053</v>
      </c>
      <c r="M3362" s="460">
        <f t="shared" si="169"/>
        <v>0.05</v>
      </c>
      <c r="N3362" s="464">
        <f t="shared" si="170"/>
        <v>153372</v>
      </c>
    </row>
    <row r="3363" spans="7:14" ht="11.25" customHeight="1" x14ac:dyDescent="0.3">
      <c r="G3363" s="459"/>
      <c r="H3363" s="459">
        <v>3356</v>
      </c>
      <c r="I3363" s="444">
        <f t="shared" ca="1" si="168"/>
        <v>19065161766.154053</v>
      </c>
      <c r="J3363" s="444">
        <f t="array" ref="J3363">IFERROR(INDEX('Retirement Calculator'!J:J,MATCH('Isaac 401k'!N3363,'Retirement Calculator'!A:A,0),0),0)</f>
        <v>0</v>
      </c>
      <c r="K3363" s="444">
        <f t="shared" ca="1" si="166"/>
        <v>79438174.025641888</v>
      </c>
      <c r="L3363" s="444">
        <f t="shared" ca="1" si="167"/>
        <v>19144599940.179695</v>
      </c>
      <c r="M3363" s="460">
        <f t="shared" si="169"/>
        <v>0.05</v>
      </c>
      <c r="N3363" s="464">
        <f t="shared" si="170"/>
        <v>153403</v>
      </c>
    </row>
    <row r="3364" spans="7:14" ht="11.25" customHeight="1" x14ac:dyDescent="0.3">
      <c r="G3364" s="459"/>
      <c r="H3364" s="459">
        <v>3357</v>
      </c>
      <c r="I3364" s="444">
        <f t="shared" ca="1" si="168"/>
        <v>19144599940.179695</v>
      </c>
      <c r="J3364" s="444">
        <f t="array" ref="J3364">IFERROR(INDEX('Retirement Calculator'!J:J,MATCH('Isaac 401k'!N3364,'Retirement Calculator'!A:A,0),0),0)</f>
        <v>0</v>
      </c>
      <c r="K3364" s="444">
        <f t="shared" ca="1" si="166"/>
        <v>79769166.417415395</v>
      </c>
      <c r="L3364" s="444">
        <f t="shared" ca="1" si="167"/>
        <v>19224369106.597111</v>
      </c>
      <c r="M3364" s="460">
        <f t="shared" si="169"/>
        <v>0.05</v>
      </c>
      <c r="N3364" s="464">
        <f t="shared" si="170"/>
        <v>153434</v>
      </c>
    </row>
    <row r="3365" spans="7:14" ht="11.25" customHeight="1" x14ac:dyDescent="0.3">
      <c r="G3365" s="459"/>
      <c r="H3365" s="459">
        <v>3358</v>
      </c>
      <c r="I3365" s="444">
        <f t="shared" ca="1" si="168"/>
        <v>19224369106.597111</v>
      </c>
      <c r="J3365" s="444">
        <f t="array" ref="J3365">IFERROR(INDEX('Retirement Calculator'!J:J,MATCH('Isaac 401k'!N3365,'Retirement Calculator'!A:A,0),0),0)</f>
        <v>0</v>
      </c>
      <c r="K3365" s="444">
        <f t="shared" ca="1" si="166"/>
        <v>80101537.94415462</v>
      </c>
      <c r="L3365" s="444">
        <f t="shared" ca="1" si="167"/>
        <v>19304470644.541264</v>
      </c>
      <c r="M3365" s="460">
        <f t="shared" si="169"/>
        <v>0.05</v>
      </c>
      <c r="N3365" s="464">
        <f t="shared" si="170"/>
        <v>153463</v>
      </c>
    </row>
    <row r="3366" spans="7:14" ht="11.25" customHeight="1" x14ac:dyDescent="0.3">
      <c r="G3366" s="459"/>
      <c r="H3366" s="459">
        <v>3359</v>
      </c>
      <c r="I3366" s="444">
        <f t="shared" ca="1" si="168"/>
        <v>19304470644.541264</v>
      </c>
      <c r="J3366" s="444">
        <f t="array" ref="J3366">IFERROR(INDEX('Retirement Calculator'!J:J,MATCH('Isaac 401k'!N3366,'Retirement Calculator'!A:A,0),0),0)</f>
        <v>0</v>
      </c>
      <c r="K3366" s="444">
        <f t="shared" ca="1" si="166"/>
        <v>80435294.35225527</v>
      </c>
      <c r="L3366" s="444">
        <f t="shared" ca="1" si="167"/>
        <v>19384905938.89352</v>
      </c>
      <c r="M3366" s="460">
        <f t="shared" si="169"/>
        <v>0.05</v>
      </c>
      <c r="N3366" s="464">
        <f t="shared" si="170"/>
        <v>153494</v>
      </c>
    </row>
    <row r="3367" spans="7:14" ht="11.25" customHeight="1" x14ac:dyDescent="0.3">
      <c r="G3367" s="459"/>
      <c r="H3367" s="459">
        <v>3360</v>
      </c>
      <c r="I3367" s="444">
        <f t="shared" ca="1" si="168"/>
        <v>19384905938.89352</v>
      </c>
      <c r="J3367" s="444">
        <f t="array" ref="J3367">IFERROR(INDEX('Retirement Calculator'!J:J,MATCH('Isaac 401k'!N3367,'Retirement Calculator'!A:A,0),0),0)</f>
        <v>0</v>
      </c>
      <c r="K3367" s="444">
        <f t="shared" ca="1" si="166"/>
        <v>80770441.412056327</v>
      </c>
      <c r="L3367" s="444">
        <f t="shared" ca="1" si="167"/>
        <v>19465676380.305576</v>
      </c>
      <c r="M3367" s="460">
        <f t="shared" si="169"/>
        <v>0.05</v>
      </c>
      <c r="N3367" s="464">
        <f t="shared" si="170"/>
        <v>153524</v>
      </c>
    </row>
    <row r="3368" spans="7:14" ht="11.25" customHeight="1" x14ac:dyDescent="0.3">
      <c r="G3368" s="459"/>
      <c r="H3368" s="459">
        <v>3361</v>
      </c>
      <c r="I3368" s="444">
        <f t="shared" ca="1" si="168"/>
        <v>19465676380.305576</v>
      </c>
      <c r="J3368" s="444">
        <f t="array" ref="J3368">IFERROR(INDEX('Retirement Calculator'!J:J,MATCH('Isaac 401k'!N3368,'Retirement Calculator'!A:A,0),0),0)</f>
        <v>0</v>
      </c>
      <c r="K3368" s="444">
        <f t="shared" ca="1" si="166"/>
        <v>81106984.917939901</v>
      </c>
      <c r="L3368" s="444">
        <f t="shared" ca="1" si="167"/>
        <v>19546783365.223515</v>
      </c>
      <c r="M3368" s="460">
        <f t="shared" si="169"/>
        <v>0.05</v>
      </c>
      <c r="N3368" s="464">
        <f t="shared" si="170"/>
        <v>153555</v>
      </c>
    </row>
    <row r="3369" spans="7:14" ht="11.25" customHeight="1" x14ac:dyDescent="0.3">
      <c r="G3369" s="459"/>
      <c r="H3369" s="459">
        <v>3362</v>
      </c>
      <c r="I3369" s="444">
        <f t="shared" ca="1" si="168"/>
        <v>19546783365.223515</v>
      </c>
      <c r="J3369" s="444">
        <f t="array" ref="J3369">IFERROR(INDEX('Retirement Calculator'!J:J,MATCH('Isaac 401k'!N3369,'Retirement Calculator'!A:A,0),0),0)</f>
        <v>0</v>
      </c>
      <c r="K3369" s="444">
        <f t="shared" ca="1" si="166"/>
        <v>81444930.688431308</v>
      </c>
      <c r="L3369" s="444">
        <f t="shared" ca="1" si="167"/>
        <v>19628228295.911945</v>
      </c>
      <c r="M3369" s="460">
        <f t="shared" si="169"/>
        <v>0.05</v>
      </c>
      <c r="N3369" s="464">
        <f t="shared" si="170"/>
        <v>153585</v>
      </c>
    </row>
    <row r="3370" spans="7:14" ht="11.25" customHeight="1" x14ac:dyDescent="0.3">
      <c r="G3370" s="459"/>
      <c r="H3370" s="459">
        <v>3363</v>
      </c>
      <c r="I3370" s="444">
        <f t="shared" ca="1" si="168"/>
        <v>19628228295.911945</v>
      </c>
      <c r="J3370" s="444">
        <f t="array" ref="J3370">IFERROR(INDEX('Retirement Calculator'!J:J,MATCH('Isaac 401k'!N3370,'Retirement Calculator'!A:A,0),0),0)</f>
        <v>0</v>
      </c>
      <c r="K3370" s="444">
        <f t="shared" ca="1" si="166"/>
        <v>81784284.566299766</v>
      </c>
      <c r="L3370" s="444">
        <f t="shared" ca="1" si="167"/>
        <v>19710012580.478245</v>
      </c>
      <c r="M3370" s="460">
        <f t="shared" si="169"/>
        <v>0.05</v>
      </c>
      <c r="N3370" s="464">
        <f t="shared" si="170"/>
        <v>153616</v>
      </c>
    </row>
    <row r="3371" spans="7:14" ht="11.25" customHeight="1" x14ac:dyDescent="0.3">
      <c r="G3371" s="459"/>
      <c r="H3371" s="459">
        <v>3364</v>
      </c>
      <c r="I3371" s="444">
        <f t="shared" ca="1" si="168"/>
        <v>19710012580.478245</v>
      </c>
      <c r="J3371" s="444">
        <f t="array" ref="J3371">IFERROR(INDEX('Retirement Calculator'!J:J,MATCH('Isaac 401k'!N3371,'Retirement Calculator'!A:A,0),0),0)</f>
        <v>0</v>
      </c>
      <c r="K3371" s="444">
        <f t="shared" ca="1" si="166"/>
        <v>82125052.418659359</v>
      </c>
      <c r="L3371" s="444">
        <f t="shared" ca="1" si="167"/>
        <v>19792137632.896904</v>
      </c>
      <c r="M3371" s="460">
        <f t="shared" si="169"/>
        <v>0.05</v>
      </c>
      <c r="N3371" s="464">
        <f t="shared" si="170"/>
        <v>153647</v>
      </c>
    </row>
    <row r="3372" spans="7:14" ht="11.25" customHeight="1" x14ac:dyDescent="0.3">
      <c r="G3372" s="459"/>
      <c r="H3372" s="459">
        <v>3365</v>
      </c>
      <c r="I3372" s="444">
        <f t="shared" ca="1" si="168"/>
        <v>19792137632.896904</v>
      </c>
      <c r="J3372" s="444">
        <f t="array" ref="J3372">IFERROR(INDEX('Retirement Calculator'!J:J,MATCH('Isaac 401k'!N3372,'Retirement Calculator'!A:A,0),0),0)</f>
        <v>0</v>
      </c>
      <c r="K3372" s="444">
        <f t="shared" ca="1" si="166"/>
        <v>82467240.137070432</v>
      </c>
      <c r="L3372" s="444">
        <f t="shared" ca="1" si="167"/>
        <v>19874604873.033974</v>
      </c>
      <c r="M3372" s="460">
        <f t="shared" si="169"/>
        <v>0.05</v>
      </c>
      <c r="N3372" s="464">
        <f t="shared" si="170"/>
        <v>153677</v>
      </c>
    </row>
    <row r="3373" spans="7:14" ht="11.25" customHeight="1" x14ac:dyDescent="0.3">
      <c r="G3373" s="459"/>
      <c r="H3373" s="459">
        <v>3366</v>
      </c>
      <c r="I3373" s="444">
        <f t="shared" ca="1" si="168"/>
        <v>19874604873.033974</v>
      </c>
      <c r="J3373" s="444">
        <f t="array" ref="J3373">IFERROR(INDEX('Retirement Calculator'!J:J,MATCH('Isaac 401k'!N3373,'Retirement Calculator'!A:A,0),0),0)</f>
        <v>0</v>
      </c>
      <c r="K3373" s="444">
        <f t="shared" ca="1" si="166"/>
        <v>82810853.637641549</v>
      </c>
      <c r="L3373" s="444">
        <f t="shared" ca="1" si="167"/>
        <v>19957415726.671616</v>
      </c>
      <c r="M3373" s="460">
        <f t="shared" si="169"/>
        <v>0.05</v>
      </c>
      <c r="N3373" s="464">
        <f t="shared" si="170"/>
        <v>153708</v>
      </c>
    </row>
    <row r="3374" spans="7:14" ht="11.25" customHeight="1" x14ac:dyDescent="0.3">
      <c r="G3374" s="459"/>
      <c r="H3374" s="459">
        <v>3367</v>
      </c>
      <c r="I3374" s="444">
        <f t="shared" ca="1" si="168"/>
        <v>19957415726.671616</v>
      </c>
      <c r="J3374" s="444">
        <f t="array" ref="J3374">IFERROR(INDEX('Retirement Calculator'!J:J,MATCH('Isaac 401k'!N3374,'Retirement Calculator'!A:A,0),0),0)</f>
        <v>0</v>
      </c>
      <c r="K3374" s="444">
        <f t="shared" ca="1" si="166"/>
        <v>83155898.861131728</v>
      </c>
      <c r="L3374" s="444">
        <f t="shared" ca="1" si="167"/>
        <v>20040571625.532749</v>
      </c>
      <c r="M3374" s="460">
        <f t="shared" si="169"/>
        <v>0.05</v>
      </c>
      <c r="N3374" s="464">
        <f t="shared" si="170"/>
        <v>153738</v>
      </c>
    </row>
    <row r="3375" spans="7:14" ht="11.25" customHeight="1" x14ac:dyDescent="0.3">
      <c r="G3375" s="459"/>
      <c r="H3375" s="459">
        <v>3368</v>
      </c>
      <c r="I3375" s="444">
        <f t="shared" ca="1" si="168"/>
        <v>20040571625.532749</v>
      </c>
      <c r="J3375" s="444">
        <f t="array" ref="J3375">IFERROR(INDEX('Retirement Calculator'!J:J,MATCH('Isaac 401k'!N3375,'Retirement Calculator'!A:A,0),0),0)</f>
        <v>0</v>
      </c>
      <c r="K3375" s="444">
        <f t="shared" ca="1" si="166"/>
        <v>83502381.773053125</v>
      </c>
      <c r="L3375" s="444">
        <f t="shared" ca="1" si="167"/>
        <v>20124074007.305801</v>
      </c>
      <c r="M3375" s="460">
        <f t="shared" si="169"/>
        <v>0.05</v>
      </c>
      <c r="N3375" s="464">
        <f t="shared" si="170"/>
        <v>153769</v>
      </c>
    </row>
    <row r="3376" spans="7:14" ht="11.25" customHeight="1" x14ac:dyDescent="0.3">
      <c r="G3376" s="459"/>
      <c r="H3376" s="459">
        <v>3369</v>
      </c>
      <c r="I3376" s="444">
        <f t="shared" ca="1" si="168"/>
        <v>20124074007.305801</v>
      </c>
      <c r="J3376" s="444">
        <f t="array" ref="J3376">IFERROR(INDEX('Retirement Calculator'!J:J,MATCH('Isaac 401k'!N3376,'Retirement Calculator'!A:A,0),0),0)</f>
        <v>0</v>
      </c>
      <c r="K3376" s="444">
        <f t="shared" ca="1" si="166"/>
        <v>83850308.363774166</v>
      </c>
      <c r="L3376" s="444">
        <f t="shared" ca="1" si="167"/>
        <v>20207924315.669575</v>
      </c>
      <c r="M3376" s="460">
        <f t="shared" si="169"/>
        <v>0.05</v>
      </c>
      <c r="N3376" s="464">
        <f t="shared" si="170"/>
        <v>153800</v>
      </c>
    </row>
    <row r="3377" spans="7:14" ht="11.25" customHeight="1" x14ac:dyDescent="0.3">
      <c r="G3377" s="459"/>
      <c r="H3377" s="459">
        <v>3370</v>
      </c>
      <c r="I3377" s="444">
        <f t="shared" ca="1" si="168"/>
        <v>20207924315.669575</v>
      </c>
      <c r="J3377" s="444">
        <f t="array" ref="J3377">IFERROR(INDEX('Retirement Calculator'!J:J,MATCH('Isaac 401k'!N3377,'Retirement Calculator'!A:A,0),0),0)</f>
        <v>0</v>
      </c>
      <c r="K3377" s="444">
        <f t="shared" ca="1" si="166"/>
        <v>84199684.648623228</v>
      </c>
      <c r="L3377" s="444">
        <f t="shared" ca="1" si="167"/>
        <v>20292124000.318199</v>
      </c>
      <c r="M3377" s="460">
        <f t="shared" si="169"/>
        <v>0.05</v>
      </c>
      <c r="N3377" s="464">
        <f t="shared" si="170"/>
        <v>153828</v>
      </c>
    </row>
    <row r="3378" spans="7:14" ht="11.25" customHeight="1" x14ac:dyDescent="0.3">
      <c r="G3378" s="459"/>
      <c r="H3378" s="459">
        <v>3371</v>
      </c>
      <c r="I3378" s="444">
        <f t="shared" ca="1" si="168"/>
        <v>20292124000.318199</v>
      </c>
      <c r="J3378" s="444">
        <f t="array" ref="J3378">IFERROR(INDEX('Retirement Calculator'!J:J,MATCH('Isaac 401k'!N3378,'Retirement Calculator'!A:A,0),0),0)</f>
        <v>0</v>
      </c>
      <c r="K3378" s="444">
        <f t="shared" ca="1" si="166"/>
        <v>84550516.667992502</v>
      </c>
      <c r="L3378" s="444">
        <f t="shared" ca="1" si="167"/>
        <v>20376674516.986191</v>
      </c>
      <c r="M3378" s="460">
        <f t="shared" si="169"/>
        <v>0.05</v>
      </c>
      <c r="N3378" s="464">
        <f t="shared" si="170"/>
        <v>153859</v>
      </c>
    </row>
    <row r="3379" spans="7:14" ht="11.25" customHeight="1" x14ac:dyDescent="0.3">
      <c r="G3379" s="459"/>
      <c r="H3379" s="459">
        <v>3372</v>
      </c>
      <c r="I3379" s="444">
        <f t="shared" ca="1" si="168"/>
        <v>20376674516.986191</v>
      </c>
      <c r="J3379" s="444">
        <f t="array" ref="J3379">IFERROR(INDEX('Retirement Calculator'!J:J,MATCH('Isaac 401k'!N3379,'Retirement Calculator'!A:A,0),0),0)</f>
        <v>0</v>
      </c>
      <c r="K3379" s="444">
        <f t="shared" ca="1" si="166"/>
        <v>84902810.487442464</v>
      </c>
      <c r="L3379" s="444">
        <f t="shared" ca="1" si="167"/>
        <v>20461577327.473633</v>
      </c>
      <c r="M3379" s="460">
        <f t="shared" si="169"/>
        <v>0.05</v>
      </c>
      <c r="N3379" s="464">
        <f t="shared" si="170"/>
        <v>153889</v>
      </c>
    </row>
    <row r="3380" spans="7:14" ht="11.25" customHeight="1" x14ac:dyDescent="0.3">
      <c r="G3380" s="459"/>
      <c r="H3380" s="459">
        <v>3373</v>
      </c>
      <c r="I3380" s="444">
        <f t="shared" ca="1" si="168"/>
        <v>20461577327.473633</v>
      </c>
      <c r="J3380" s="444">
        <f t="array" ref="J3380">IFERROR(INDEX('Retirement Calculator'!J:J,MATCH('Isaac 401k'!N3380,'Retirement Calculator'!A:A,0),0),0)</f>
        <v>0</v>
      </c>
      <c r="K3380" s="444">
        <f t="shared" ca="1" si="166"/>
        <v>85256572.197806805</v>
      </c>
      <c r="L3380" s="444">
        <f t="shared" ca="1" si="167"/>
        <v>20546833899.67144</v>
      </c>
      <c r="M3380" s="460">
        <f t="shared" si="169"/>
        <v>0.05</v>
      </c>
      <c r="N3380" s="464">
        <f t="shared" si="170"/>
        <v>153920</v>
      </c>
    </row>
    <row r="3381" spans="7:14" ht="11.25" customHeight="1" x14ac:dyDescent="0.3">
      <c r="G3381" s="459"/>
      <c r="H3381" s="459">
        <v>3374</v>
      </c>
      <c r="I3381" s="444">
        <f t="shared" ca="1" si="168"/>
        <v>20546833899.67144</v>
      </c>
      <c r="J3381" s="444">
        <f t="array" ref="J3381">IFERROR(INDEX('Retirement Calculator'!J:J,MATCH('Isaac 401k'!N3381,'Retirement Calculator'!A:A,0),0),0)</f>
        <v>0</v>
      </c>
      <c r="K3381" s="444">
        <f t="shared" ca="1" si="166"/>
        <v>85611807.915297672</v>
      </c>
      <c r="L3381" s="444">
        <f t="shared" ca="1" si="167"/>
        <v>20632445707.586739</v>
      </c>
      <c r="M3381" s="460">
        <f t="shared" si="169"/>
        <v>0.05</v>
      </c>
      <c r="N3381" s="464">
        <f t="shared" si="170"/>
        <v>153950</v>
      </c>
    </row>
    <row r="3382" spans="7:14" ht="11.25" customHeight="1" x14ac:dyDescent="0.3">
      <c r="G3382" s="459"/>
      <c r="H3382" s="459">
        <v>3375</v>
      </c>
      <c r="I3382" s="444">
        <f t="shared" ca="1" si="168"/>
        <v>20632445707.586739</v>
      </c>
      <c r="J3382" s="444">
        <f t="array" ref="J3382">IFERROR(INDEX('Retirement Calculator'!J:J,MATCH('Isaac 401k'!N3382,'Retirement Calculator'!A:A,0),0),0)</f>
        <v>0</v>
      </c>
      <c r="K3382" s="444">
        <f t="shared" ca="1" si="166"/>
        <v>85968523.781611413</v>
      </c>
      <c r="L3382" s="444">
        <f t="shared" ca="1" si="167"/>
        <v>20718414231.368351</v>
      </c>
      <c r="M3382" s="460">
        <f t="shared" si="169"/>
        <v>0.05</v>
      </c>
      <c r="N3382" s="464">
        <f t="shared" si="170"/>
        <v>153981</v>
      </c>
    </row>
    <row r="3383" spans="7:14" ht="11.25" customHeight="1" x14ac:dyDescent="0.3">
      <c r="G3383" s="459"/>
      <c r="H3383" s="459">
        <v>3376</v>
      </c>
      <c r="I3383" s="444">
        <f t="shared" ca="1" si="168"/>
        <v>20718414231.368351</v>
      </c>
      <c r="J3383" s="444">
        <f t="array" ref="J3383">IFERROR(INDEX('Retirement Calculator'!J:J,MATCH('Isaac 401k'!N3383,'Retirement Calculator'!A:A,0),0),0)</f>
        <v>0</v>
      </c>
      <c r="K3383" s="444">
        <f t="shared" ca="1" si="166"/>
        <v>86326725.964034796</v>
      </c>
      <c r="L3383" s="444">
        <f t="shared" ca="1" si="167"/>
        <v>20804740957.332386</v>
      </c>
      <c r="M3383" s="460">
        <f t="shared" si="169"/>
        <v>0.05</v>
      </c>
      <c r="N3383" s="464">
        <f t="shared" si="170"/>
        <v>154012</v>
      </c>
    </row>
    <row r="3384" spans="7:14" ht="11.25" customHeight="1" x14ac:dyDescent="0.3">
      <c r="G3384" s="459"/>
      <c r="H3384" s="459">
        <v>3377</v>
      </c>
      <c r="I3384" s="444">
        <f t="shared" ca="1" si="168"/>
        <v>20804740957.332386</v>
      </c>
      <c r="J3384" s="444">
        <f t="array" ref="J3384">IFERROR(INDEX('Retirement Calculator'!J:J,MATCH('Isaac 401k'!N3384,'Retirement Calculator'!A:A,0),0),0)</f>
        <v>0</v>
      </c>
      <c r="K3384" s="444">
        <f t="shared" ca="1" si="166"/>
        <v>86686420.655551612</v>
      </c>
      <c r="L3384" s="444">
        <f t="shared" ca="1" si="167"/>
        <v>20891427377.987938</v>
      </c>
      <c r="M3384" s="460">
        <f t="shared" si="169"/>
        <v>0.05</v>
      </c>
      <c r="N3384" s="464">
        <f t="shared" si="170"/>
        <v>154042</v>
      </c>
    </row>
    <row r="3385" spans="7:14" ht="11.25" customHeight="1" x14ac:dyDescent="0.3">
      <c r="G3385" s="459"/>
      <c r="H3385" s="459">
        <v>3378</v>
      </c>
      <c r="I3385" s="444">
        <f t="shared" ca="1" si="168"/>
        <v>20891427377.987938</v>
      </c>
      <c r="J3385" s="444">
        <f t="array" ref="J3385">IFERROR(INDEX('Retirement Calculator'!J:J,MATCH('Isaac 401k'!N3385,'Retirement Calculator'!A:A,0),0),0)</f>
        <v>0</v>
      </c>
      <c r="K3385" s="444">
        <f t="shared" ca="1" si="166"/>
        <v>87047614.074949741</v>
      </c>
      <c r="L3385" s="444">
        <f t="shared" ca="1" si="167"/>
        <v>20978474992.062889</v>
      </c>
      <c r="M3385" s="460">
        <f t="shared" si="169"/>
        <v>0.05</v>
      </c>
      <c r="N3385" s="464">
        <f t="shared" si="170"/>
        <v>154073</v>
      </c>
    </row>
    <row r="3386" spans="7:14" ht="11.25" customHeight="1" x14ac:dyDescent="0.3">
      <c r="G3386" s="459"/>
      <c r="H3386" s="459">
        <v>3379</v>
      </c>
      <c r="I3386" s="444">
        <f t="shared" ca="1" si="168"/>
        <v>20978474992.062889</v>
      </c>
      <c r="J3386" s="444">
        <f t="array" ref="J3386">IFERROR(INDEX('Retirement Calculator'!J:J,MATCH('Isaac 401k'!N3386,'Retirement Calculator'!A:A,0),0),0)</f>
        <v>0</v>
      </c>
      <c r="K3386" s="444">
        <f t="shared" ca="1" si="166"/>
        <v>87410312.466928706</v>
      </c>
      <c r="L3386" s="444">
        <f t="shared" ca="1" si="167"/>
        <v>21065885304.529819</v>
      </c>
      <c r="M3386" s="460">
        <f t="shared" si="169"/>
        <v>0.05</v>
      </c>
      <c r="N3386" s="464">
        <f t="shared" si="170"/>
        <v>154103</v>
      </c>
    </row>
    <row r="3387" spans="7:14" ht="11.25" customHeight="1" x14ac:dyDescent="0.3">
      <c r="G3387" s="459"/>
      <c r="H3387" s="459">
        <v>3380</v>
      </c>
      <c r="I3387" s="444">
        <f t="shared" ca="1" si="168"/>
        <v>21065885304.529819</v>
      </c>
      <c r="J3387" s="444">
        <f t="array" ref="J3387">IFERROR(INDEX('Retirement Calculator'!J:J,MATCH('Isaac 401k'!N3387,'Retirement Calculator'!A:A,0),0),0)</f>
        <v>0</v>
      </c>
      <c r="K3387" s="444">
        <f t="shared" ca="1" si="166"/>
        <v>87774522.102207586</v>
      </c>
      <c r="L3387" s="444">
        <f t="shared" ca="1" si="167"/>
        <v>21153659826.632027</v>
      </c>
      <c r="M3387" s="460">
        <f t="shared" si="169"/>
        <v>0.05</v>
      </c>
      <c r="N3387" s="464">
        <f t="shared" si="170"/>
        <v>154134</v>
      </c>
    </row>
    <row r="3388" spans="7:14" ht="11.25" customHeight="1" x14ac:dyDescent="0.3">
      <c r="G3388" s="459"/>
      <c r="H3388" s="459">
        <v>3381</v>
      </c>
      <c r="I3388" s="444">
        <f t="shared" ca="1" si="168"/>
        <v>21153659826.632027</v>
      </c>
      <c r="J3388" s="444">
        <f t="array" ref="J3388">IFERROR(INDEX('Retirement Calculator'!J:J,MATCH('Isaac 401k'!N3388,'Retirement Calculator'!A:A,0),0),0)</f>
        <v>0</v>
      </c>
      <c r="K3388" s="444">
        <f t="shared" ca="1" si="166"/>
        <v>88140249.277633443</v>
      </c>
      <c r="L3388" s="444">
        <f t="shared" ca="1" si="167"/>
        <v>21241800075.90966</v>
      </c>
      <c r="M3388" s="460">
        <f t="shared" si="169"/>
        <v>0.05</v>
      </c>
      <c r="N3388" s="464">
        <f t="shared" si="170"/>
        <v>154165</v>
      </c>
    </row>
    <row r="3389" spans="7:14" ht="11.25" customHeight="1" x14ac:dyDescent="0.3">
      <c r="G3389" s="459"/>
      <c r="H3389" s="459">
        <v>3382</v>
      </c>
      <c r="I3389" s="444">
        <f t="shared" ca="1" si="168"/>
        <v>21241800075.90966</v>
      </c>
      <c r="J3389" s="444">
        <f t="array" ref="J3389">IFERROR(INDEX('Retirement Calculator'!J:J,MATCH('Isaac 401k'!N3389,'Retirement Calculator'!A:A,0),0),0)</f>
        <v>0</v>
      </c>
      <c r="K3389" s="444">
        <f t="shared" ca="1" si="166"/>
        <v>88507500.316290244</v>
      </c>
      <c r="L3389" s="444">
        <f t="shared" ca="1" si="167"/>
        <v>21330307576.225952</v>
      </c>
      <c r="M3389" s="460">
        <f t="shared" si="169"/>
        <v>0.05</v>
      </c>
      <c r="N3389" s="464">
        <f t="shared" si="170"/>
        <v>154193</v>
      </c>
    </row>
    <row r="3390" spans="7:14" ht="11.25" customHeight="1" x14ac:dyDescent="0.3">
      <c r="G3390" s="459"/>
      <c r="H3390" s="459">
        <v>3383</v>
      </c>
      <c r="I3390" s="444">
        <f t="shared" ca="1" si="168"/>
        <v>21330307576.225952</v>
      </c>
      <c r="J3390" s="444">
        <f t="array" ref="J3390">IFERROR(INDEX('Retirement Calculator'!J:J,MATCH('Isaac 401k'!N3390,'Retirement Calculator'!A:A,0),0),0)</f>
        <v>0</v>
      </c>
      <c r="K3390" s="444">
        <f t="shared" ca="1" si="166"/>
        <v>88876281.567608133</v>
      </c>
      <c r="L3390" s="444">
        <f t="shared" ca="1" si="167"/>
        <v>21419183857.79356</v>
      </c>
      <c r="M3390" s="460">
        <f t="shared" si="169"/>
        <v>0.05</v>
      </c>
      <c r="N3390" s="464">
        <f t="shared" si="170"/>
        <v>154224</v>
      </c>
    </row>
    <row r="3391" spans="7:14" ht="11.25" customHeight="1" x14ac:dyDescent="0.3">
      <c r="G3391" s="459"/>
      <c r="H3391" s="459">
        <v>3384</v>
      </c>
      <c r="I3391" s="444">
        <f t="shared" ca="1" si="168"/>
        <v>21419183857.79356</v>
      </c>
      <c r="J3391" s="444">
        <f t="array" ref="J3391">IFERROR(INDEX('Retirement Calculator'!J:J,MATCH('Isaac 401k'!N3391,'Retirement Calculator'!A:A,0),0),0)</f>
        <v>0</v>
      </c>
      <c r="K3391" s="444">
        <f t="shared" ca="1" si="166"/>
        <v>89246599.407473162</v>
      </c>
      <c r="L3391" s="444">
        <f t="shared" ca="1" si="167"/>
        <v>21508430457.201035</v>
      </c>
      <c r="M3391" s="460">
        <f t="shared" si="169"/>
        <v>0.05</v>
      </c>
      <c r="N3391" s="464">
        <f t="shared" si="170"/>
        <v>154254</v>
      </c>
    </row>
    <row r="3392" spans="7:14" ht="11.25" customHeight="1" x14ac:dyDescent="0.3">
      <c r="G3392" s="459"/>
      <c r="H3392" s="459">
        <v>3385</v>
      </c>
      <c r="I3392" s="444">
        <f t="shared" ca="1" si="168"/>
        <v>21508430457.201035</v>
      </c>
      <c r="J3392" s="444">
        <f t="array" ref="J3392">IFERROR(INDEX('Retirement Calculator'!J:J,MATCH('Isaac 401k'!N3392,'Retirement Calculator'!A:A,0),0),0)</f>
        <v>0</v>
      </c>
      <c r="K3392" s="444">
        <f t="shared" ca="1" si="166"/>
        <v>89618460.238337636</v>
      </c>
      <c r="L3392" s="444">
        <f t="shared" ca="1" si="167"/>
        <v>21598048917.439373</v>
      </c>
      <c r="M3392" s="460">
        <f t="shared" si="169"/>
        <v>0.05</v>
      </c>
      <c r="N3392" s="464">
        <f t="shared" si="170"/>
        <v>154285</v>
      </c>
    </row>
    <row r="3393" spans="7:14" ht="11.25" customHeight="1" x14ac:dyDescent="0.3">
      <c r="G3393" s="459"/>
      <c r="H3393" s="459">
        <v>3386</v>
      </c>
      <c r="I3393" s="444">
        <f t="shared" ca="1" si="168"/>
        <v>21598048917.439373</v>
      </c>
      <c r="J3393" s="444">
        <f t="array" ref="J3393">IFERROR(INDEX('Retirement Calculator'!J:J,MATCH('Isaac 401k'!N3393,'Retirement Calculator'!A:A,0),0),0)</f>
        <v>0</v>
      </c>
      <c r="K3393" s="444">
        <f t="shared" ca="1" si="166"/>
        <v>89991870.489330724</v>
      </c>
      <c r="L3393" s="444">
        <f t="shared" ca="1" si="167"/>
        <v>21688040787.928703</v>
      </c>
      <c r="M3393" s="460">
        <f t="shared" si="169"/>
        <v>0.05</v>
      </c>
      <c r="N3393" s="464">
        <f t="shared" si="170"/>
        <v>154315</v>
      </c>
    </row>
    <row r="3394" spans="7:14" ht="11.25" customHeight="1" x14ac:dyDescent="0.3">
      <c r="G3394" s="459"/>
      <c r="H3394" s="459">
        <v>3387</v>
      </c>
      <c r="I3394" s="444">
        <f t="shared" ca="1" si="168"/>
        <v>21688040787.928703</v>
      </c>
      <c r="J3394" s="444">
        <f t="array" ref="J3394">IFERROR(INDEX('Retirement Calculator'!J:J,MATCH('Isaac 401k'!N3394,'Retirement Calculator'!A:A,0),0),0)</f>
        <v>0</v>
      </c>
      <c r="K3394" s="444">
        <f t="shared" ca="1" si="166"/>
        <v>90366836.61636959</v>
      </c>
      <c r="L3394" s="444">
        <f t="shared" ca="1" si="167"/>
        <v>21778407624.545074</v>
      </c>
      <c r="M3394" s="460">
        <f t="shared" si="169"/>
        <v>0.05</v>
      </c>
      <c r="N3394" s="464">
        <f t="shared" si="170"/>
        <v>154346</v>
      </c>
    </row>
    <row r="3395" spans="7:14" ht="11.25" customHeight="1" x14ac:dyDescent="0.3">
      <c r="G3395" s="459"/>
      <c r="H3395" s="459">
        <v>3388</v>
      </c>
      <c r="I3395" s="444">
        <f t="shared" ca="1" si="168"/>
        <v>21778407624.545074</v>
      </c>
      <c r="J3395" s="444">
        <f t="array" ref="J3395">IFERROR(INDEX('Retirement Calculator'!J:J,MATCH('Isaac 401k'!N3395,'Retirement Calculator'!A:A,0),0),0)</f>
        <v>0</v>
      </c>
      <c r="K3395" s="444">
        <f t="shared" ca="1" si="166"/>
        <v>90743365.10227114</v>
      </c>
      <c r="L3395" s="444">
        <f t="shared" ca="1" si="167"/>
        <v>21869150989.647346</v>
      </c>
      <c r="M3395" s="460">
        <f t="shared" si="169"/>
        <v>0.05</v>
      </c>
      <c r="N3395" s="464">
        <f t="shared" si="170"/>
        <v>154377</v>
      </c>
    </row>
    <row r="3396" spans="7:14" ht="11.25" customHeight="1" x14ac:dyDescent="0.3">
      <c r="G3396" s="459"/>
      <c r="H3396" s="459">
        <v>3389</v>
      </c>
      <c r="I3396" s="444">
        <f t="shared" ca="1" si="168"/>
        <v>21869150989.647346</v>
      </c>
      <c r="J3396" s="444">
        <f t="array" ref="J3396">IFERROR(INDEX('Retirement Calculator'!J:J,MATCH('Isaac 401k'!N3396,'Retirement Calculator'!A:A,0),0),0)</f>
        <v>0</v>
      </c>
      <c r="K3396" s="444">
        <f t="shared" ca="1" si="166"/>
        <v>91121462.45686394</v>
      </c>
      <c r="L3396" s="444">
        <f t="shared" ca="1" si="167"/>
        <v>21960272452.10421</v>
      </c>
      <c r="M3396" s="460">
        <f t="shared" si="169"/>
        <v>0.05</v>
      </c>
      <c r="N3396" s="464">
        <f t="shared" si="170"/>
        <v>154407</v>
      </c>
    </row>
    <row r="3397" spans="7:14" ht="11.25" customHeight="1" x14ac:dyDescent="0.3">
      <c r="G3397" s="459"/>
      <c r="H3397" s="459">
        <v>3390</v>
      </c>
      <c r="I3397" s="444">
        <f t="shared" ca="1" si="168"/>
        <v>21960272452.10421</v>
      </c>
      <c r="J3397" s="444">
        <f t="array" ref="J3397">IFERROR(INDEX('Retirement Calculator'!J:J,MATCH('Isaac 401k'!N3397,'Retirement Calculator'!A:A,0),0),0)</f>
        <v>0</v>
      </c>
      <c r="K3397" s="444">
        <f t="shared" ca="1" si="166"/>
        <v>91501135.217100874</v>
      </c>
      <c r="L3397" s="444">
        <f t="shared" ca="1" si="167"/>
        <v>22051773587.321312</v>
      </c>
      <c r="M3397" s="460">
        <f t="shared" si="169"/>
        <v>0.05</v>
      </c>
      <c r="N3397" s="464">
        <f t="shared" si="170"/>
        <v>154438</v>
      </c>
    </row>
    <row r="3398" spans="7:14" ht="11.25" customHeight="1" x14ac:dyDescent="0.3">
      <c r="G3398" s="459"/>
      <c r="H3398" s="459">
        <v>3391</v>
      </c>
      <c r="I3398" s="444">
        <f t="shared" ca="1" si="168"/>
        <v>22051773587.321312</v>
      </c>
      <c r="J3398" s="444">
        <f t="array" ref="J3398">IFERROR(INDEX('Retirement Calculator'!J:J,MATCH('Isaac 401k'!N3398,'Retirement Calculator'!A:A,0),0),0)</f>
        <v>0</v>
      </c>
      <c r="K3398" s="444">
        <f t="shared" ca="1" si="166"/>
        <v>91882389.947172135</v>
      </c>
      <c r="L3398" s="444">
        <f t="shared" ca="1" si="167"/>
        <v>22143655977.268482</v>
      </c>
      <c r="M3398" s="460">
        <f t="shared" si="169"/>
        <v>0.05</v>
      </c>
      <c r="N3398" s="464">
        <f t="shared" si="170"/>
        <v>154468</v>
      </c>
    </row>
    <row r="3399" spans="7:14" ht="11.25" customHeight="1" x14ac:dyDescent="0.3">
      <c r="G3399" s="459"/>
      <c r="H3399" s="459">
        <v>3392</v>
      </c>
      <c r="I3399" s="444">
        <f t="shared" ca="1" si="168"/>
        <v>22143655977.268482</v>
      </c>
      <c r="J3399" s="444">
        <f t="array" ref="J3399">IFERROR(INDEX('Retirement Calculator'!J:J,MATCH('Isaac 401k'!N3399,'Retirement Calculator'!A:A,0),0),0)</f>
        <v>0</v>
      </c>
      <c r="K3399" s="444">
        <f t="shared" ca="1" si="166"/>
        <v>92265233.238618672</v>
      </c>
      <c r="L3399" s="444">
        <f t="shared" ca="1" si="167"/>
        <v>22235921210.507099</v>
      </c>
      <c r="M3399" s="460">
        <f t="shared" si="169"/>
        <v>0.05</v>
      </c>
      <c r="N3399" s="464">
        <f t="shared" si="170"/>
        <v>154499</v>
      </c>
    </row>
    <row r="3400" spans="7:14" ht="11.25" customHeight="1" x14ac:dyDescent="0.3">
      <c r="G3400" s="459"/>
      <c r="H3400" s="459">
        <v>3393</v>
      </c>
      <c r="I3400" s="444">
        <f t="shared" ca="1" si="168"/>
        <v>22235921210.507099</v>
      </c>
      <c r="J3400" s="444">
        <f t="array" ref="J3400">IFERROR(INDEX('Retirement Calculator'!J:J,MATCH('Isaac 401k'!N3400,'Retirement Calculator'!A:A,0),0),0)</f>
        <v>0</v>
      </c>
      <c r="K3400" s="444">
        <f t="shared" ca="1" si="166"/>
        <v>92649671.710446239</v>
      </c>
      <c r="L3400" s="444">
        <f t="shared" ca="1" si="167"/>
        <v>22328570882.217545</v>
      </c>
      <c r="M3400" s="460">
        <f t="shared" si="169"/>
        <v>0.05</v>
      </c>
      <c r="N3400" s="464">
        <f t="shared" si="170"/>
        <v>154530</v>
      </c>
    </row>
    <row r="3401" spans="7:14" ht="11.25" customHeight="1" x14ac:dyDescent="0.3">
      <c r="G3401" s="459"/>
      <c r="H3401" s="459">
        <v>3394</v>
      </c>
      <c r="I3401" s="444">
        <f t="shared" ca="1" si="168"/>
        <v>22328570882.217545</v>
      </c>
      <c r="J3401" s="444">
        <f t="array" ref="J3401">IFERROR(INDEX('Retirement Calculator'!J:J,MATCH('Isaac 401k'!N3401,'Retirement Calculator'!A:A,0),0),0)</f>
        <v>0</v>
      </c>
      <c r="K3401" s="444">
        <f t="shared" ca="1" si="166"/>
        <v>93035712.009239763</v>
      </c>
      <c r="L3401" s="444">
        <f t="shared" ca="1" si="167"/>
        <v>22421606594.226784</v>
      </c>
      <c r="M3401" s="460">
        <f t="shared" si="169"/>
        <v>0.05</v>
      </c>
      <c r="N3401" s="464">
        <f t="shared" si="170"/>
        <v>154558</v>
      </c>
    </row>
    <row r="3402" spans="7:14" ht="11.25" customHeight="1" x14ac:dyDescent="0.3">
      <c r="G3402" s="459"/>
      <c r="H3402" s="459">
        <v>3395</v>
      </c>
      <c r="I3402" s="444">
        <f t="shared" ca="1" si="168"/>
        <v>22421606594.226784</v>
      </c>
      <c r="J3402" s="444">
        <f t="array" ref="J3402">IFERROR(INDEX('Retirement Calculator'!J:J,MATCH('Isaac 401k'!N3402,'Retirement Calculator'!A:A,0),0),0)</f>
        <v>0</v>
      </c>
      <c r="K3402" s="444">
        <f t="shared" ca="1" si="166"/>
        <v>93423360.809278265</v>
      </c>
      <c r="L3402" s="444">
        <f t="shared" ca="1" si="167"/>
        <v>22515029955.03606</v>
      </c>
      <c r="M3402" s="460">
        <f t="shared" si="169"/>
        <v>0.05</v>
      </c>
      <c r="N3402" s="464">
        <f t="shared" si="170"/>
        <v>154589</v>
      </c>
    </row>
    <row r="3403" spans="7:14" ht="11.25" customHeight="1" x14ac:dyDescent="0.3">
      <c r="G3403" s="459"/>
      <c r="H3403" s="459">
        <v>3396</v>
      </c>
      <c r="I3403" s="444">
        <f t="shared" ca="1" si="168"/>
        <v>22515029955.03606</v>
      </c>
      <c r="J3403" s="444">
        <f t="array" ref="J3403">IFERROR(INDEX('Retirement Calculator'!J:J,MATCH('Isaac 401k'!N3403,'Retirement Calculator'!A:A,0),0),0)</f>
        <v>0</v>
      </c>
      <c r="K3403" s="444">
        <f t="shared" ca="1" si="166"/>
        <v>93812624.812650248</v>
      </c>
      <c r="L3403" s="444">
        <f t="shared" ca="1" si="167"/>
        <v>22608842579.848709</v>
      </c>
      <c r="M3403" s="460">
        <f t="shared" si="169"/>
        <v>0.05</v>
      </c>
      <c r="N3403" s="464">
        <f t="shared" si="170"/>
        <v>154619</v>
      </c>
    </row>
    <row r="3404" spans="7:14" ht="11.25" customHeight="1" x14ac:dyDescent="0.3">
      <c r="G3404" s="459"/>
      <c r="H3404" s="459">
        <v>3397</v>
      </c>
      <c r="I3404" s="444">
        <f t="shared" ca="1" si="168"/>
        <v>22608842579.848709</v>
      </c>
      <c r="J3404" s="444">
        <f t="array" ref="J3404">IFERROR(INDEX('Retirement Calculator'!J:J,MATCH('Isaac 401k'!N3404,'Retirement Calculator'!A:A,0),0),0)</f>
        <v>0</v>
      </c>
      <c r="K3404" s="444">
        <f t="shared" ca="1" si="166"/>
        <v>94203510.749369621</v>
      </c>
      <c r="L3404" s="444">
        <f t="shared" ca="1" si="167"/>
        <v>22703046090.59808</v>
      </c>
      <c r="M3404" s="460">
        <f t="shared" si="169"/>
        <v>0.05</v>
      </c>
      <c r="N3404" s="464">
        <f t="shared" si="170"/>
        <v>154650</v>
      </c>
    </row>
    <row r="3405" spans="7:14" ht="11.25" customHeight="1" x14ac:dyDescent="0.3">
      <c r="G3405" s="459"/>
      <c r="H3405" s="459">
        <v>3398</v>
      </c>
      <c r="I3405" s="444">
        <f t="shared" ca="1" si="168"/>
        <v>22703046090.59808</v>
      </c>
      <c r="J3405" s="444">
        <f t="array" ref="J3405">IFERROR(INDEX('Retirement Calculator'!J:J,MATCH('Isaac 401k'!N3405,'Retirement Calculator'!A:A,0),0),0)</f>
        <v>0</v>
      </c>
      <c r="K3405" s="444">
        <f t="shared" ca="1" si="166"/>
        <v>94596025.377491996</v>
      </c>
      <c r="L3405" s="444">
        <f t="shared" ca="1" si="167"/>
        <v>22797642115.975571</v>
      </c>
      <c r="M3405" s="460">
        <f t="shared" si="169"/>
        <v>0.05</v>
      </c>
      <c r="N3405" s="464">
        <f t="shared" si="170"/>
        <v>154680</v>
      </c>
    </row>
    <row r="3406" spans="7:14" ht="11.25" customHeight="1" x14ac:dyDescent="0.3">
      <c r="G3406" s="459"/>
      <c r="H3406" s="459">
        <v>3399</v>
      </c>
      <c r="I3406" s="444">
        <f t="shared" ca="1" si="168"/>
        <v>22797642115.975571</v>
      </c>
      <c r="J3406" s="444">
        <f t="array" ref="J3406">IFERROR(INDEX('Retirement Calculator'!J:J,MATCH('Isaac 401k'!N3406,'Retirement Calculator'!A:A,0),0),0)</f>
        <v>0</v>
      </c>
      <c r="K3406" s="444">
        <f t="shared" ca="1" si="166"/>
        <v>94990175.483231544</v>
      </c>
      <c r="L3406" s="444">
        <f t="shared" ca="1" si="167"/>
        <v>22892632291.458801</v>
      </c>
      <c r="M3406" s="460">
        <f t="shared" si="169"/>
        <v>0.05</v>
      </c>
      <c r="N3406" s="464">
        <f t="shared" si="170"/>
        <v>154711</v>
      </c>
    </row>
    <row r="3407" spans="7:14" ht="11.25" customHeight="1" x14ac:dyDescent="0.3">
      <c r="G3407" s="459"/>
      <c r="H3407" s="459">
        <v>3400</v>
      </c>
      <c r="I3407" s="444">
        <f t="shared" ca="1" si="168"/>
        <v>22892632291.458801</v>
      </c>
      <c r="J3407" s="444">
        <f t="array" ref="J3407">IFERROR(INDEX('Retirement Calculator'!J:J,MATCH('Isaac 401k'!N3407,'Retirement Calculator'!A:A,0),0),0)</f>
        <v>0</v>
      </c>
      <c r="K3407" s="444">
        <f t="shared" ca="1" si="166"/>
        <v>95385967.881078333</v>
      </c>
      <c r="L3407" s="444">
        <f t="shared" ca="1" si="167"/>
        <v>22988018259.339878</v>
      </c>
      <c r="M3407" s="460">
        <f t="shared" si="169"/>
        <v>0.05</v>
      </c>
      <c r="N3407" s="464">
        <f t="shared" si="170"/>
        <v>154742</v>
      </c>
    </row>
    <row r="3408" spans="7:14" ht="11.25" customHeight="1" x14ac:dyDescent="0.3">
      <c r="G3408" s="459"/>
      <c r="H3408" s="459">
        <v>3401</v>
      </c>
      <c r="I3408" s="444">
        <f t="shared" ca="1" si="168"/>
        <v>22988018259.339878</v>
      </c>
      <c r="J3408" s="444">
        <f t="array" ref="J3408">IFERROR(INDEX('Retirement Calculator'!J:J,MATCH('Isaac 401k'!N3408,'Retirement Calculator'!A:A,0),0),0)</f>
        <v>0</v>
      </c>
      <c r="K3408" s="444">
        <f t="shared" ca="1" si="166"/>
        <v>95783409.413916156</v>
      </c>
      <c r="L3408" s="444">
        <f t="shared" ca="1" si="167"/>
        <v>23083801668.753796</v>
      </c>
      <c r="M3408" s="460">
        <f t="shared" si="169"/>
        <v>0.05</v>
      </c>
      <c r="N3408" s="464">
        <f t="shared" si="170"/>
        <v>154772</v>
      </c>
    </row>
    <row r="3409" spans="7:14" ht="11.25" customHeight="1" x14ac:dyDescent="0.3">
      <c r="G3409" s="459"/>
      <c r="H3409" s="459">
        <v>3402</v>
      </c>
      <c r="I3409" s="444">
        <f t="shared" ca="1" si="168"/>
        <v>23083801668.753796</v>
      </c>
      <c r="J3409" s="444">
        <f t="array" ref="J3409">IFERROR(INDEX('Retirement Calculator'!J:J,MATCH('Isaac 401k'!N3409,'Retirement Calculator'!A:A,0),0),0)</f>
        <v>0</v>
      </c>
      <c r="K3409" s="444">
        <f t="shared" ca="1" si="166"/>
        <v>96182506.95314081</v>
      </c>
      <c r="L3409" s="444">
        <f t="shared" ca="1" si="167"/>
        <v>23179984175.706936</v>
      </c>
      <c r="M3409" s="460">
        <f t="shared" si="169"/>
        <v>0.05</v>
      </c>
      <c r="N3409" s="464">
        <f t="shared" si="170"/>
        <v>154803</v>
      </c>
    </row>
    <row r="3410" spans="7:14" ht="11.25" customHeight="1" x14ac:dyDescent="0.3">
      <c r="G3410" s="459"/>
      <c r="H3410" s="459">
        <v>3403</v>
      </c>
      <c r="I3410" s="444">
        <f t="shared" ca="1" si="168"/>
        <v>23179984175.706936</v>
      </c>
      <c r="J3410" s="444">
        <f t="array" ref="J3410">IFERROR(INDEX('Retirement Calculator'!J:J,MATCH('Isaac 401k'!N3410,'Retirement Calculator'!A:A,0),0),0)</f>
        <v>0</v>
      </c>
      <c r="K3410" s="444">
        <f t="shared" ca="1" si="166"/>
        <v>96583267.398778901</v>
      </c>
      <c r="L3410" s="444">
        <f t="shared" ca="1" si="167"/>
        <v>23276567443.105713</v>
      </c>
      <c r="M3410" s="460">
        <f t="shared" si="169"/>
        <v>0.05</v>
      </c>
      <c r="N3410" s="464">
        <f t="shared" si="170"/>
        <v>154833</v>
      </c>
    </row>
    <row r="3411" spans="7:14" ht="11.25" customHeight="1" x14ac:dyDescent="0.3">
      <c r="G3411" s="459"/>
      <c r="H3411" s="459">
        <v>3404</v>
      </c>
      <c r="I3411" s="444">
        <f t="shared" ca="1" si="168"/>
        <v>23276567443.105713</v>
      </c>
      <c r="J3411" s="444">
        <f t="array" ref="J3411">IFERROR(INDEX('Retirement Calculator'!J:J,MATCH('Isaac 401k'!N3411,'Retirement Calculator'!A:A,0),0),0)</f>
        <v>0</v>
      </c>
      <c r="K3411" s="444">
        <f t="shared" ca="1" si="166"/>
        <v>96985697.679607138</v>
      </c>
      <c r="L3411" s="444">
        <f t="shared" ca="1" si="167"/>
        <v>23373553140.78532</v>
      </c>
      <c r="M3411" s="460">
        <f t="shared" si="169"/>
        <v>0.05</v>
      </c>
      <c r="N3411" s="464">
        <f t="shared" si="170"/>
        <v>154864</v>
      </c>
    </row>
    <row r="3412" spans="7:14" ht="11.25" customHeight="1" x14ac:dyDescent="0.3">
      <c r="G3412" s="459"/>
      <c r="H3412" s="459">
        <v>3405</v>
      </c>
      <c r="I3412" s="444">
        <f t="shared" ca="1" si="168"/>
        <v>23373553140.78532</v>
      </c>
      <c r="J3412" s="444">
        <f t="array" ref="J3412">IFERROR(INDEX('Retirement Calculator'!J:J,MATCH('Isaac 401k'!N3412,'Retirement Calculator'!A:A,0),0),0)</f>
        <v>0</v>
      </c>
      <c r="K3412" s="444">
        <f t="shared" ca="1" si="166"/>
        <v>97389804.753272161</v>
      </c>
      <c r="L3412" s="444">
        <f t="shared" ca="1" si="167"/>
        <v>23470942945.538593</v>
      </c>
      <c r="M3412" s="460">
        <f t="shared" si="169"/>
        <v>0.05</v>
      </c>
      <c r="N3412" s="464">
        <f t="shared" si="170"/>
        <v>154895</v>
      </c>
    </row>
    <row r="3413" spans="7:14" ht="11.25" customHeight="1" x14ac:dyDescent="0.3">
      <c r="G3413" s="459"/>
      <c r="H3413" s="459">
        <v>3406</v>
      </c>
      <c r="I3413" s="444">
        <f t="shared" ca="1" si="168"/>
        <v>23470942945.538593</v>
      </c>
      <c r="J3413" s="444">
        <f t="array" ref="J3413">IFERROR(INDEX('Retirement Calculator'!J:J,MATCH('Isaac 401k'!N3413,'Retirement Calculator'!A:A,0),0),0)</f>
        <v>0</v>
      </c>
      <c r="K3413" s="444">
        <f t="shared" ca="1" si="166"/>
        <v>97795595.606410801</v>
      </c>
      <c r="L3413" s="444">
        <f t="shared" ca="1" si="167"/>
        <v>23568738541.145004</v>
      </c>
      <c r="M3413" s="460">
        <f t="shared" si="169"/>
        <v>0.05</v>
      </c>
      <c r="N3413" s="464">
        <f t="shared" si="170"/>
        <v>154924</v>
      </c>
    </row>
    <row r="3414" spans="7:14" ht="11.25" customHeight="1" x14ac:dyDescent="0.3">
      <c r="G3414" s="459"/>
      <c r="H3414" s="459">
        <v>3407</v>
      </c>
      <c r="I3414" s="444">
        <f t="shared" ca="1" si="168"/>
        <v>23568738541.145004</v>
      </c>
      <c r="J3414" s="444">
        <f t="array" ref="J3414">IFERROR(INDEX('Retirement Calculator'!J:J,MATCH('Isaac 401k'!N3414,'Retirement Calculator'!A:A,0),0),0)</f>
        <v>0</v>
      </c>
      <c r="K3414" s="444">
        <f t="shared" ca="1" si="166"/>
        <v>98203077.254770845</v>
      </c>
      <c r="L3414" s="444">
        <f t="shared" ca="1" si="167"/>
        <v>23666941618.399776</v>
      </c>
      <c r="M3414" s="460">
        <f t="shared" si="169"/>
        <v>0.05</v>
      </c>
      <c r="N3414" s="464">
        <f t="shared" si="170"/>
        <v>154955</v>
      </c>
    </row>
    <row r="3415" spans="7:14" ht="11.25" customHeight="1" x14ac:dyDescent="0.3">
      <c r="G3415" s="459"/>
      <c r="H3415" s="459">
        <v>3408</v>
      </c>
      <c r="I3415" s="444">
        <f t="shared" ca="1" si="168"/>
        <v>23666941618.399776</v>
      </c>
      <c r="J3415" s="444">
        <f t="array" ref="J3415">IFERROR(INDEX('Retirement Calculator'!J:J,MATCH('Isaac 401k'!N3415,'Retirement Calculator'!A:A,0),0),0)</f>
        <v>0</v>
      </c>
      <c r="K3415" s="444">
        <f t="shared" ca="1" si="166"/>
        <v>98612256.743332401</v>
      </c>
      <c r="L3415" s="444">
        <f t="shared" ca="1" si="167"/>
        <v>23765553875.143108</v>
      </c>
      <c r="M3415" s="460">
        <f t="shared" si="169"/>
        <v>0.05</v>
      </c>
      <c r="N3415" s="464">
        <f t="shared" si="170"/>
        <v>154985</v>
      </c>
    </row>
    <row r="3416" spans="7:14" ht="11.25" customHeight="1" x14ac:dyDescent="0.3">
      <c r="G3416" s="459"/>
      <c r="H3416" s="459">
        <v>3409</v>
      </c>
      <c r="I3416" s="444">
        <f t="shared" ca="1" si="168"/>
        <v>23765553875.143108</v>
      </c>
      <c r="J3416" s="444">
        <f t="array" ref="J3416">IFERROR(INDEX('Retirement Calculator'!J:J,MATCH('Isaac 401k'!N3416,'Retirement Calculator'!A:A,0),0),0)</f>
        <v>0</v>
      </c>
      <c r="K3416" s="444">
        <f t="shared" ca="1" si="166"/>
        <v>99023141.146429613</v>
      </c>
      <c r="L3416" s="444">
        <f t="shared" ca="1" si="167"/>
        <v>23864577016.289539</v>
      </c>
      <c r="M3416" s="460">
        <f t="shared" si="169"/>
        <v>0.05</v>
      </c>
      <c r="N3416" s="464">
        <f t="shared" si="170"/>
        <v>155016</v>
      </c>
    </row>
    <row r="3417" spans="7:14" ht="11.25" customHeight="1" x14ac:dyDescent="0.3">
      <c r="G3417" s="459"/>
      <c r="H3417" s="459">
        <v>3410</v>
      </c>
      <c r="I3417" s="444">
        <f t="shared" ca="1" si="168"/>
        <v>23864577016.289539</v>
      </c>
      <c r="J3417" s="444">
        <f t="array" ref="J3417">IFERROR(INDEX('Retirement Calculator'!J:J,MATCH('Isaac 401k'!N3417,'Retirement Calculator'!A:A,0),0),0)</f>
        <v>0</v>
      </c>
      <c r="K3417" s="444">
        <f t="shared" ca="1" si="166"/>
        <v>99435737.567873076</v>
      </c>
      <c r="L3417" s="444">
        <f t="shared" ca="1" si="167"/>
        <v>23964012753.857414</v>
      </c>
      <c r="M3417" s="460">
        <f t="shared" si="169"/>
        <v>0.05</v>
      </c>
      <c r="N3417" s="464">
        <f t="shared" si="170"/>
        <v>155046</v>
      </c>
    </row>
    <row r="3418" spans="7:14" ht="11.25" customHeight="1" x14ac:dyDescent="0.3">
      <c r="G3418" s="459"/>
      <c r="H3418" s="459">
        <v>3411</v>
      </c>
      <c r="I3418" s="444">
        <f t="shared" ca="1" si="168"/>
        <v>23964012753.857414</v>
      </c>
      <c r="J3418" s="444">
        <f t="array" ref="J3418">IFERROR(INDEX('Retirement Calculator'!J:J,MATCH('Isaac 401k'!N3418,'Retirement Calculator'!A:A,0),0),0)</f>
        <v>0</v>
      </c>
      <c r="K3418" s="444">
        <f t="shared" ca="1" si="166"/>
        <v>99850053.141072556</v>
      </c>
      <c r="L3418" s="444">
        <f t="shared" ca="1" si="167"/>
        <v>24063862806.998486</v>
      </c>
      <c r="M3418" s="460">
        <f t="shared" si="169"/>
        <v>0.05</v>
      </c>
      <c r="N3418" s="464">
        <f t="shared" si="170"/>
        <v>155077</v>
      </c>
    </row>
    <row r="3419" spans="7:14" ht="11.25" customHeight="1" x14ac:dyDescent="0.3">
      <c r="G3419" s="459"/>
      <c r="H3419" s="459">
        <v>3412</v>
      </c>
      <c r="I3419" s="444">
        <f t="shared" ca="1" si="168"/>
        <v>24063862806.998486</v>
      </c>
      <c r="J3419" s="444">
        <f t="array" ref="J3419">IFERROR(INDEX('Retirement Calculator'!J:J,MATCH('Isaac 401k'!N3419,'Retirement Calculator'!A:A,0),0),0)</f>
        <v>0</v>
      </c>
      <c r="K3419" s="444">
        <f t="shared" ca="1" si="166"/>
        <v>100266095.02916035</v>
      </c>
      <c r="L3419" s="444">
        <f t="shared" ca="1" si="167"/>
        <v>24164128902.027645</v>
      </c>
      <c r="M3419" s="460">
        <f t="shared" si="169"/>
        <v>0.05</v>
      </c>
      <c r="N3419" s="464">
        <f t="shared" si="170"/>
        <v>155108</v>
      </c>
    </row>
    <row r="3420" spans="7:14" ht="11.25" customHeight="1" x14ac:dyDescent="0.3">
      <c r="G3420" s="459"/>
      <c r="H3420" s="459">
        <v>3413</v>
      </c>
      <c r="I3420" s="444">
        <f t="shared" ca="1" si="168"/>
        <v>24164128902.027645</v>
      </c>
      <c r="J3420" s="444">
        <f t="array" ref="J3420">IFERROR(INDEX('Retirement Calculator'!J:J,MATCH('Isaac 401k'!N3420,'Retirement Calculator'!A:A,0),0),0)</f>
        <v>0</v>
      </c>
      <c r="K3420" s="444">
        <f t="shared" ca="1" si="166"/>
        <v>100683870.42511518</v>
      </c>
      <c r="L3420" s="444">
        <f t="shared" ca="1" si="167"/>
        <v>24264812772.452759</v>
      </c>
      <c r="M3420" s="460">
        <f t="shared" si="169"/>
        <v>0.05</v>
      </c>
      <c r="N3420" s="464">
        <f t="shared" si="170"/>
        <v>155138</v>
      </c>
    </row>
    <row r="3421" spans="7:14" ht="11.25" customHeight="1" x14ac:dyDescent="0.3">
      <c r="G3421" s="459"/>
      <c r="H3421" s="459">
        <v>3414</v>
      </c>
      <c r="I3421" s="444">
        <f t="shared" ca="1" si="168"/>
        <v>24264812772.452759</v>
      </c>
      <c r="J3421" s="444">
        <f t="array" ref="J3421">IFERROR(INDEX('Retirement Calculator'!J:J,MATCH('Isaac 401k'!N3421,'Retirement Calculator'!A:A,0),0),0)</f>
        <v>0</v>
      </c>
      <c r="K3421" s="444">
        <f t="shared" ca="1" si="166"/>
        <v>101103386.5518865</v>
      </c>
      <c r="L3421" s="444">
        <f t="shared" ca="1" si="167"/>
        <v>24365916159.004646</v>
      </c>
      <c r="M3421" s="460">
        <f t="shared" si="169"/>
        <v>0.05</v>
      </c>
      <c r="N3421" s="464">
        <f t="shared" si="170"/>
        <v>155169</v>
      </c>
    </row>
    <row r="3422" spans="7:14" ht="11.25" customHeight="1" x14ac:dyDescent="0.3">
      <c r="G3422" s="459"/>
      <c r="H3422" s="459">
        <v>3415</v>
      </c>
      <c r="I3422" s="444">
        <f t="shared" ca="1" si="168"/>
        <v>24365916159.004646</v>
      </c>
      <c r="J3422" s="444">
        <f t="array" ref="J3422">IFERROR(INDEX('Retirement Calculator'!J:J,MATCH('Isaac 401k'!N3422,'Retirement Calculator'!A:A,0),0),0)</f>
        <v>0</v>
      </c>
      <c r="K3422" s="444">
        <f t="shared" ca="1" si="166"/>
        <v>101524650.66251937</v>
      </c>
      <c r="L3422" s="444">
        <f t="shared" ca="1" si="167"/>
        <v>24467440809.667164</v>
      </c>
      <c r="M3422" s="460">
        <f t="shared" si="169"/>
        <v>0.05</v>
      </c>
      <c r="N3422" s="464">
        <f t="shared" si="170"/>
        <v>155199</v>
      </c>
    </row>
    <row r="3423" spans="7:14" ht="11.25" customHeight="1" x14ac:dyDescent="0.3">
      <c r="G3423" s="459"/>
      <c r="H3423" s="459">
        <v>3416</v>
      </c>
      <c r="I3423" s="444">
        <f t="shared" ca="1" si="168"/>
        <v>24467440809.667164</v>
      </c>
      <c r="J3423" s="444">
        <f t="array" ref="J3423">IFERROR(INDEX('Retirement Calculator'!J:J,MATCH('Isaac 401k'!N3423,'Retirement Calculator'!A:A,0),0),0)</f>
        <v>0</v>
      </c>
      <c r="K3423" s="444">
        <f t="shared" ca="1" si="166"/>
        <v>101947670.04027985</v>
      </c>
      <c r="L3423" s="444">
        <f t="shared" ca="1" si="167"/>
        <v>24569388479.707443</v>
      </c>
      <c r="M3423" s="460">
        <f t="shared" si="169"/>
        <v>0.05</v>
      </c>
      <c r="N3423" s="464">
        <f t="shared" si="170"/>
        <v>155230</v>
      </c>
    </row>
    <row r="3424" spans="7:14" ht="11.25" customHeight="1" x14ac:dyDescent="0.3">
      <c r="G3424" s="459"/>
      <c r="H3424" s="459">
        <v>3417</v>
      </c>
      <c r="I3424" s="444">
        <f t="shared" ca="1" si="168"/>
        <v>24569388479.707443</v>
      </c>
      <c r="J3424" s="444">
        <f t="array" ref="J3424">IFERROR(INDEX('Retirement Calculator'!J:J,MATCH('Isaac 401k'!N3424,'Retirement Calculator'!A:A,0),0),0)</f>
        <v>0</v>
      </c>
      <c r="K3424" s="444">
        <f t="shared" ca="1" si="166"/>
        <v>102372451.99878101</v>
      </c>
      <c r="L3424" s="444">
        <f t="shared" ca="1" si="167"/>
        <v>24671760931.706223</v>
      </c>
      <c r="M3424" s="460">
        <f t="shared" si="169"/>
        <v>0.05</v>
      </c>
      <c r="N3424" s="464">
        <f t="shared" si="170"/>
        <v>155261</v>
      </c>
    </row>
    <row r="3425" spans="7:14" ht="11.25" customHeight="1" x14ac:dyDescent="0.3">
      <c r="G3425" s="459"/>
      <c r="H3425" s="459">
        <v>3418</v>
      </c>
      <c r="I3425" s="444">
        <f t="shared" ca="1" si="168"/>
        <v>24671760931.706223</v>
      </c>
      <c r="J3425" s="444">
        <f t="array" ref="J3425">IFERROR(INDEX('Retirement Calculator'!J:J,MATCH('Isaac 401k'!N3425,'Retirement Calculator'!A:A,0),0),0)</f>
        <v>0</v>
      </c>
      <c r="K3425" s="444">
        <f t="shared" ca="1" si="166"/>
        <v>102799003.88210925</v>
      </c>
      <c r="L3425" s="444">
        <f t="shared" ca="1" si="167"/>
        <v>24774559935.588333</v>
      </c>
      <c r="M3425" s="460">
        <f t="shared" si="169"/>
        <v>0.05</v>
      </c>
      <c r="N3425" s="464">
        <f t="shared" si="170"/>
        <v>155289</v>
      </c>
    </row>
    <row r="3426" spans="7:14" ht="11.25" customHeight="1" x14ac:dyDescent="0.3">
      <c r="G3426" s="459"/>
      <c r="H3426" s="459">
        <v>3419</v>
      </c>
      <c r="I3426" s="444">
        <f t="shared" ca="1" si="168"/>
        <v>24774559935.588333</v>
      </c>
      <c r="J3426" s="444">
        <f t="array" ref="J3426">IFERROR(INDEX('Retirement Calculator'!J:J,MATCH('Isaac 401k'!N3426,'Retirement Calculator'!A:A,0),0),0)</f>
        <v>0</v>
      </c>
      <c r="K3426" s="444">
        <f t="shared" ca="1" si="166"/>
        <v>103227333.06495139</v>
      </c>
      <c r="L3426" s="444">
        <f t="shared" ca="1" si="167"/>
        <v>24877787268.653286</v>
      </c>
      <c r="M3426" s="460">
        <f t="shared" si="169"/>
        <v>0.05</v>
      </c>
      <c r="N3426" s="464">
        <f t="shared" si="170"/>
        <v>155320</v>
      </c>
    </row>
    <row r="3427" spans="7:14" ht="11.25" customHeight="1" x14ac:dyDescent="0.3">
      <c r="G3427" s="459"/>
      <c r="H3427" s="459">
        <v>3420</v>
      </c>
      <c r="I3427" s="444">
        <f t="shared" ca="1" si="168"/>
        <v>24877787268.653286</v>
      </c>
      <c r="J3427" s="444">
        <f t="array" ref="J3427">IFERROR(INDEX('Retirement Calculator'!J:J,MATCH('Isaac 401k'!N3427,'Retirement Calculator'!A:A,0),0),0)</f>
        <v>0</v>
      </c>
      <c r="K3427" s="444">
        <f t="shared" ca="1" si="166"/>
        <v>103657446.95272203</v>
      </c>
      <c r="L3427" s="444">
        <f t="shared" ca="1" si="167"/>
        <v>24981444715.606007</v>
      </c>
      <c r="M3427" s="460">
        <f t="shared" si="169"/>
        <v>0.05</v>
      </c>
      <c r="N3427" s="464">
        <f t="shared" si="170"/>
        <v>155350</v>
      </c>
    </row>
    <row r="3428" spans="7:14" ht="11.25" customHeight="1" x14ac:dyDescent="0.3">
      <c r="G3428" s="459"/>
      <c r="H3428" s="459">
        <v>3421</v>
      </c>
      <c r="I3428" s="444">
        <f t="shared" ca="1" si="168"/>
        <v>24981444715.606007</v>
      </c>
      <c r="J3428" s="444">
        <f t="array" ref="J3428">IFERROR(INDEX('Retirement Calculator'!J:J,MATCH('Isaac 401k'!N3428,'Retirement Calculator'!A:A,0),0),0)</f>
        <v>0</v>
      </c>
      <c r="K3428" s="444">
        <f t="shared" ca="1" si="166"/>
        <v>104089352.98169169</v>
      </c>
      <c r="L3428" s="444">
        <f t="shared" ca="1" si="167"/>
        <v>25085534068.5877</v>
      </c>
      <c r="M3428" s="460">
        <f t="shared" si="169"/>
        <v>0.05</v>
      </c>
      <c r="N3428" s="464">
        <f t="shared" si="170"/>
        <v>155381</v>
      </c>
    </row>
    <row r="3429" spans="7:14" ht="11.25" customHeight="1" x14ac:dyDescent="0.3">
      <c r="G3429" s="459"/>
      <c r="H3429" s="459">
        <v>3422</v>
      </c>
      <c r="I3429" s="444">
        <f t="shared" ca="1" si="168"/>
        <v>25085534068.5877</v>
      </c>
      <c r="J3429" s="444">
        <f t="array" ref="J3429">IFERROR(INDEX('Retirement Calculator'!J:J,MATCH('Isaac 401k'!N3429,'Retirement Calculator'!A:A,0),0),0)</f>
        <v>0</v>
      </c>
      <c r="K3429" s="444">
        <f t="shared" ca="1" si="166"/>
        <v>104523058.61911541</v>
      </c>
      <c r="L3429" s="444">
        <f t="shared" ca="1" si="167"/>
        <v>25190057127.206814</v>
      </c>
      <c r="M3429" s="460">
        <f t="shared" si="169"/>
        <v>0.05</v>
      </c>
      <c r="N3429" s="464">
        <f t="shared" si="170"/>
        <v>155411</v>
      </c>
    </row>
    <row r="3430" spans="7:14" ht="11.25" customHeight="1" x14ac:dyDescent="0.3">
      <c r="G3430" s="459"/>
      <c r="H3430" s="459">
        <v>3423</v>
      </c>
      <c r="I3430" s="444">
        <f t="shared" ca="1" si="168"/>
        <v>25190057127.206814</v>
      </c>
      <c r="J3430" s="444">
        <f t="array" ref="J3430">IFERROR(INDEX('Retirement Calculator'!J:J,MATCH('Isaac 401k'!N3430,'Retirement Calculator'!A:A,0),0),0)</f>
        <v>0</v>
      </c>
      <c r="K3430" s="444">
        <f t="shared" ca="1" si="166"/>
        <v>104958571.36336172</v>
      </c>
      <c r="L3430" s="444">
        <f t="shared" ca="1" si="167"/>
        <v>25295015698.570175</v>
      </c>
      <c r="M3430" s="460">
        <f t="shared" si="169"/>
        <v>0.05</v>
      </c>
      <c r="N3430" s="464">
        <f t="shared" si="170"/>
        <v>155442</v>
      </c>
    </row>
    <row r="3431" spans="7:14" ht="11.25" customHeight="1" x14ac:dyDescent="0.3">
      <c r="G3431" s="459"/>
      <c r="H3431" s="459">
        <v>3424</v>
      </c>
      <c r="I3431" s="444">
        <f t="shared" ca="1" si="168"/>
        <v>25295015698.570175</v>
      </c>
      <c r="J3431" s="444">
        <f t="array" ref="J3431">IFERROR(INDEX('Retirement Calculator'!J:J,MATCH('Isaac 401k'!N3431,'Retirement Calculator'!A:A,0),0),0)</f>
        <v>0</v>
      </c>
      <c r="K3431" s="444">
        <f t="shared" ca="1" si="166"/>
        <v>105395898.7440424</v>
      </c>
      <c r="L3431" s="444">
        <f t="shared" ca="1" si="167"/>
        <v>25400411597.314217</v>
      </c>
      <c r="M3431" s="460">
        <f t="shared" si="169"/>
        <v>0.05</v>
      </c>
      <c r="N3431" s="464">
        <f t="shared" si="170"/>
        <v>155473</v>
      </c>
    </row>
    <row r="3432" spans="7:14" ht="11.25" customHeight="1" x14ac:dyDescent="0.3">
      <c r="G3432" s="459"/>
      <c r="H3432" s="459">
        <v>3425</v>
      </c>
      <c r="I3432" s="444">
        <f t="shared" ca="1" si="168"/>
        <v>25400411597.314217</v>
      </c>
      <c r="J3432" s="444">
        <f t="array" ref="J3432">IFERROR(INDEX('Retirement Calculator'!J:J,MATCH('Isaac 401k'!N3432,'Retirement Calculator'!A:A,0),0),0)</f>
        <v>0</v>
      </c>
      <c r="K3432" s="444">
        <f t="shared" ca="1" si="166"/>
        <v>105835048.32214257</v>
      </c>
      <c r="L3432" s="444">
        <f t="shared" ca="1" si="167"/>
        <v>25506246645.63636</v>
      </c>
      <c r="M3432" s="460">
        <f t="shared" si="169"/>
        <v>0.05</v>
      </c>
      <c r="N3432" s="464">
        <f t="shared" si="170"/>
        <v>155503</v>
      </c>
    </row>
    <row r="3433" spans="7:14" ht="11.25" customHeight="1" x14ac:dyDescent="0.3">
      <c r="G3433" s="459"/>
      <c r="H3433" s="459">
        <v>3426</v>
      </c>
      <c r="I3433" s="444">
        <f t="shared" ca="1" si="168"/>
        <v>25506246645.63636</v>
      </c>
      <c r="J3433" s="444">
        <f t="array" ref="J3433">IFERROR(INDEX('Retirement Calculator'!J:J,MATCH('Isaac 401k'!N3433,'Retirement Calculator'!A:A,0),0),0)</f>
        <v>0</v>
      </c>
      <c r="K3433" s="444">
        <f t="shared" ca="1" si="166"/>
        <v>106276027.6901515</v>
      </c>
      <c r="L3433" s="444">
        <f t="shared" ca="1" si="167"/>
        <v>25612522673.326511</v>
      </c>
      <c r="M3433" s="460">
        <f t="shared" si="169"/>
        <v>0.05</v>
      </c>
      <c r="N3433" s="464">
        <f t="shared" si="170"/>
        <v>155534</v>
      </c>
    </row>
    <row r="3434" spans="7:14" ht="11.25" customHeight="1" x14ac:dyDescent="0.3">
      <c r="G3434" s="459"/>
      <c r="H3434" s="459">
        <v>3427</v>
      </c>
      <c r="I3434" s="444">
        <f t="shared" ca="1" si="168"/>
        <v>25612522673.326511</v>
      </c>
      <c r="J3434" s="444">
        <f t="array" ref="J3434">IFERROR(INDEX('Retirement Calculator'!J:J,MATCH('Isaac 401k'!N3434,'Retirement Calculator'!A:A,0),0),0)</f>
        <v>0</v>
      </c>
      <c r="K3434" s="444">
        <f t="shared" ca="1" si="166"/>
        <v>106718844.47219379</v>
      </c>
      <c r="L3434" s="444">
        <f t="shared" ca="1" si="167"/>
        <v>25719241517.798706</v>
      </c>
      <c r="M3434" s="460">
        <f t="shared" si="169"/>
        <v>0.05</v>
      </c>
      <c r="N3434" s="464">
        <f t="shared" si="170"/>
        <v>155564</v>
      </c>
    </row>
    <row r="3435" spans="7:14" ht="11.25" customHeight="1" x14ac:dyDescent="0.3">
      <c r="G3435" s="459"/>
      <c r="H3435" s="459">
        <v>3428</v>
      </c>
      <c r="I3435" s="444">
        <f t="shared" ca="1" si="168"/>
        <v>25719241517.798706</v>
      </c>
      <c r="J3435" s="444">
        <f t="array" ref="J3435">IFERROR(INDEX('Retirement Calculator'!J:J,MATCH('Isaac 401k'!N3435,'Retirement Calculator'!A:A,0),0),0)</f>
        <v>0</v>
      </c>
      <c r="K3435" s="444">
        <f t="shared" ca="1" si="166"/>
        <v>107163506.32416128</v>
      </c>
      <c r="L3435" s="444">
        <f t="shared" ca="1" si="167"/>
        <v>25826405024.122868</v>
      </c>
      <c r="M3435" s="460">
        <f t="shared" si="169"/>
        <v>0.05</v>
      </c>
      <c r="N3435" s="464">
        <f t="shared" si="170"/>
        <v>155595</v>
      </c>
    </row>
    <row r="3436" spans="7:14" ht="11.25" customHeight="1" x14ac:dyDescent="0.3">
      <c r="G3436" s="459"/>
      <c r="H3436" s="459">
        <v>3429</v>
      </c>
      <c r="I3436" s="444">
        <f t="shared" ca="1" si="168"/>
        <v>25826405024.122868</v>
      </c>
      <c r="J3436" s="444">
        <f t="array" ref="J3436">IFERROR(INDEX('Retirement Calculator'!J:J,MATCH('Isaac 401k'!N3436,'Retirement Calculator'!A:A,0),0),0)</f>
        <v>0</v>
      </c>
      <c r="K3436" s="444">
        <f t="shared" ca="1" si="166"/>
        <v>107610020.93384528</v>
      </c>
      <c r="L3436" s="444">
        <f t="shared" ca="1" si="167"/>
        <v>25934015045.056713</v>
      </c>
      <c r="M3436" s="460">
        <f t="shared" si="169"/>
        <v>0.05</v>
      </c>
      <c r="N3436" s="464">
        <f t="shared" si="170"/>
        <v>155626</v>
      </c>
    </row>
    <row r="3437" spans="7:14" ht="11.25" customHeight="1" x14ac:dyDescent="0.3">
      <c r="G3437" s="459"/>
      <c r="H3437" s="459">
        <v>3430</v>
      </c>
      <c r="I3437" s="444">
        <f t="shared" ca="1" si="168"/>
        <v>25934015045.056713</v>
      </c>
      <c r="J3437" s="444">
        <f t="array" ref="J3437">IFERROR(INDEX('Retirement Calculator'!J:J,MATCH('Isaac 401k'!N3437,'Retirement Calculator'!A:A,0),0),0)</f>
        <v>0</v>
      </c>
      <c r="K3437" s="444">
        <f t="shared" ca="1" si="166"/>
        <v>108058396.02106963</v>
      </c>
      <c r="L3437" s="444">
        <f t="shared" ca="1" si="167"/>
        <v>26042073441.077782</v>
      </c>
      <c r="M3437" s="460">
        <f t="shared" si="169"/>
        <v>0.05</v>
      </c>
      <c r="N3437" s="464">
        <f t="shared" si="170"/>
        <v>155654</v>
      </c>
    </row>
    <row r="3438" spans="7:14" ht="11.25" customHeight="1" x14ac:dyDescent="0.3">
      <c r="G3438" s="459"/>
      <c r="H3438" s="459">
        <v>3431</v>
      </c>
      <c r="I3438" s="444">
        <f t="shared" ca="1" si="168"/>
        <v>26042073441.077782</v>
      </c>
      <c r="J3438" s="444">
        <f t="array" ref="J3438">IFERROR(INDEX('Retirement Calculator'!J:J,MATCH('Isaac 401k'!N3438,'Retirement Calculator'!A:A,0),0),0)</f>
        <v>0</v>
      </c>
      <c r="K3438" s="444">
        <f t="shared" ca="1" si="166"/>
        <v>108508639.33782409</v>
      </c>
      <c r="L3438" s="444">
        <f t="shared" ca="1" si="167"/>
        <v>26150582080.415607</v>
      </c>
      <c r="M3438" s="460">
        <f t="shared" si="169"/>
        <v>0.05</v>
      </c>
      <c r="N3438" s="464">
        <f t="shared" si="170"/>
        <v>155685</v>
      </c>
    </row>
    <row r="3439" spans="7:14" ht="11.25" customHeight="1" x14ac:dyDescent="0.3">
      <c r="G3439" s="459"/>
      <c r="H3439" s="459">
        <v>3432</v>
      </c>
      <c r="I3439" s="444">
        <f t="shared" ca="1" si="168"/>
        <v>26150582080.415607</v>
      </c>
      <c r="J3439" s="444">
        <f t="array" ref="J3439">IFERROR(INDEX('Retirement Calculator'!J:J,MATCH('Isaac 401k'!N3439,'Retirement Calculator'!A:A,0),0),0)</f>
        <v>0</v>
      </c>
      <c r="K3439" s="444">
        <f t="shared" ca="1" si="166"/>
        <v>108960758.66839837</v>
      </c>
      <c r="L3439" s="444">
        <f t="shared" ca="1" si="167"/>
        <v>26259542839.084007</v>
      </c>
      <c r="M3439" s="460">
        <f t="shared" si="169"/>
        <v>0.05</v>
      </c>
      <c r="N3439" s="464">
        <f t="shared" si="170"/>
        <v>155715</v>
      </c>
    </row>
    <row r="3440" spans="7:14" ht="11.25" customHeight="1" x14ac:dyDescent="0.3">
      <c r="G3440" s="459"/>
      <c r="H3440" s="459">
        <v>3433</v>
      </c>
      <c r="I3440" s="444">
        <f t="shared" ca="1" si="168"/>
        <v>26259542839.084007</v>
      </c>
      <c r="J3440" s="444">
        <f t="array" ref="J3440">IFERROR(INDEX('Retirement Calculator'!J:J,MATCH('Isaac 401k'!N3440,'Retirement Calculator'!A:A,0),0),0)</f>
        <v>0</v>
      </c>
      <c r="K3440" s="444">
        <f t="shared" ca="1" si="166"/>
        <v>109414761.82951669</v>
      </c>
      <c r="L3440" s="444">
        <f t="shared" ca="1" si="167"/>
        <v>26368957600.913525</v>
      </c>
      <c r="M3440" s="460">
        <f t="shared" si="169"/>
        <v>0.05</v>
      </c>
      <c r="N3440" s="464">
        <f t="shared" si="170"/>
        <v>155746</v>
      </c>
    </row>
    <row r="3441" spans="7:14" ht="11.25" customHeight="1" x14ac:dyDescent="0.3">
      <c r="G3441" s="459"/>
      <c r="H3441" s="459">
        <v>3434</v>
      </c>
      <c r="I3441" s="444">
        <f t="shared" ca="1" si="168"/>
        <v>26368957600.913525</v>
      </c>
      <c r="J3441" s="444">
        <f t="array" ref="J3441">IFERROR(INDEX('Retirement Calculator'!J:J,MATCH('Isaac 401k'!N3441,'Retirement Calculator'!A:A,0),0),0)</f>
        <v>0</v>
      </c>
      <c r="K3441" s="444">
        <f t="shared" ca="1" si="166"/>
        <v>109870656.67047302</v>
      </c>
      <c r="L3441" s="444">
        <f t="shared" ca="1" si="167"/>
        <v>26478828257.583996</v>
      </c>
      <c r="M3441" s="460">
        <f t="shared" si="169"/>
        <v>0.05</v>
      </c>
      <c r="N3441" s="464">
        <f t="shared" si="170"/>
        <v>155776</v>
      </c>
    </row>
    <row r="3442" spans="7:14" ht="11.25" customHeight="1" x14ac:dyDescent="0.3">
      <c r="G3442" s="459"/>
      <c r="H3442" s="459">
        <v>3435</v>
      </c>
      <c r="I3442" s="444">
        <f t="shared" ca="1" si="168"/>
        <v>26478828257.583996</v>
      </c>
      <c r="J3442" s="444">
        <f t="array" ref="J3442">IFERROR(INDEX('Retirement Calculator'!J:J,MATCH('Isaac 401k'!N3442,'Retirement Calculator'!A:A,0),0),0)</f>
        <v>0</v>
      </c>
      <c r="K3442" s="444">
        <f t="shared" ca="1" si="166"/>
        <v>110328451.07326664</v>
      </c>
      <c r="L3442" s="444">
        <f t="shared" ca="1" si="167"/>
        <v>26589156708.657261</v>
      </c>
      <c r="M3442" s="460">
        <f t="shared" si="169"/>
        <v>0.05</v>
      </c>
      <c r="N3442" s="464">
        <f t="shared" si="170"/>
        <v>155807</v>
      </c>
    </row>
    <row r="3443" spans="7:14" ht="11.25" customHeight="1" x14ac:dyDescent="0.3">
      <c r="G3443" s="459"/>
      <c r="H3443" s="459">
        <v>3436</v>
      </c>
      <c r="I3443" s="444">
        <f t="shared" ca="1" si="168"/>
        <v>26589156708.657261</v>
      </c>
      <c r="J3443" s="444">
        <f t="array" ref="J3443">IFERROR(INDEX('Retirement Calculator'!J:J,MATCH('Isaac 401k'!N3443,'Retirement Calculator'!A:A,0),0),0)</f>
        <v>0</v>
      </c>
      <c r="K3443" s="444">
        <f t="shared" ca="1" si="166"/>
        <v>110788152.95273858</v>
      </c>
      <c r="L3443" s="444">
        <f t="shared" ca="1" si="167"/>
        <v>26699944861.610001</v>
      </c>
      <c r="M3443" s="460">
        <f t="shared" si="169"/>
        <v>0.05</v>
      </c>
      <c r="N3443" s="464">
        <f t="shared" si="170"/>
        <v>155838</v>
      </c>
    </row>
    <row r="3444" spans="7:14" ht="11.25" customHeight="1" x14ac:dyDescent="0.3">
      <c r="G3444" s="459"/>
      <c r="H3444" s="459">
        <v>3437</v>
      </c>
      <c r="I3444" s="444">
        <f t="shared" ca="1" si="168"/>
        <v>26699944861.610001</v>
      </c>
      <c r="J3444" s="444">
        <f t="array" ref="J3444">IFERROR(INDEX('Retirement Calculator'!J:J,MATCH('Isaac 401k'!N3444,'Retirement Calculator'!A:A,0),0),0)</f>
        <v>0</v>
      </c>
      <c r="K3444" s="444">
        <f t="shared" ca="1" si="166"/>
        <v>111249770.25670834</v>
      </c>
      <c r="L3444" s="444">
        <f t="shared" ca="1" si="167"/>
        <v>26811194631.866711</v>
      </c>
      <c r="M3444" s="460">
        <f t="shared" si="169"/>
        <v>0.05</v>
      </c>
      <c r="N3444" s="464">
        <f t="shared" si="170"/>
        <v>155868</v>
      </c>
    </row>
    <row r="3445" spans="7:14" ht="11.25" customHeight="1" x14ac:dyDescent="0.3">
      <c r="G3445" s="459"/>
      <c r="H3445" s="459">
        <v>3438</v>
      </c>
      <c r="I3445" s="444">
        <f t="shared" ca="1" si="168"/>
        <v>26811194631.866711</v>
      </c>
      <c r="J3445" s="444">
        <f t="array" ref="J3445">IFERROR(INDEX('Retirement Calculator'!J:J,MATCH('Isaac 401k'!N3445,'Retirement Calculator'!A:A,0),0),0)</f>
        <v>0</v>
      </c>
      <c r="K3445" s="444">
        <f t="shared" ca="1" si="166"/>
        <v>111713310.9661113</v>
      </c>
      <c r="L3445" s="444">
        <f t="shared" ca="1" si="167"/>
        <v>26922907942.832821</v>
      </c>
      <c r="M3445" s="460">
        <f t="shared" si="169"/>
        <v>0.05</v>
      </c>
      <c r="N3445" s="464">
        <f t="shared" si="170"/>
        <v>155899</v>
      </c>
    </row>
    <row r="3446" spans="7:14" ht="11.25" customHeight="1" x14ac:dyDescent="0.3">
      <c r="G3446" s="459"/>
      <c r="H3446" s="459">
        <v>3439</v>
      </c>
      <c r="I3446" s="444">
        <f t="shared" ca="1" si="168"/>
        <v>26922907942.832821</v>
      </c>
      <c r="J3446" s="444">
        <f t="array" ref="J3446">IFERROR(INDEX('Retirement Calculator'!J:J,MATCH('Isaac 401k'!N3446,'Retirement Calculator'!A:A,0),0),0)</f>
        <v>0</v>
      </c>
      <c r="K3446" s="444">
        <f t="shared" ca="1" si="166"/>
        <v>112178783.09513673</v>
      </c>
      <c r="L3446" s="444">
        <f t="shared" ca="1" si="167"/>
        <v>27035086725.927959</v>
      </c>
      <c r="M3446" s="460">
        <f t="shared" si="169"/>
        <v>0.05</v>
      </c>
      <c r="N3446" s="464">
        <f t="shared" si="170"/>
        <v>155929</v>
      </c>
    </row>
    <row r="3447" spans="7:14" ht="11.25" customHeight="1" x14ac:dyDescent="0.3">
      <c r="G3447" s="459"/>
      <c r="H3447" s="459">
        <v>3440</v>
      </c>
      <c r="I3447" s="444">
        <f t="shared" ca="1" si="168"/>
        <v>27035086725.927959</v>
      </c>
      <c r="J3447" s="444">
        <f t="array" ref="J3447">IFERROR(INDEX('Retirement Calculator'!J:J,MATCH('Isaac 401k'!N3447,'Retirement Calculator'!A:A,0),0),0)</f>
        <v>0</v>
      </c>
      <c r="K3447" s="444">
        <f t="shared" ca="1" si="166"/>
        <v>112646194.69136648</v>
      </c>
      <c r="L3447" s="444">
        <f t="shared" ca="1" si="167"/>
        <v>27147732920.619328</v>
      </c>
      <c r="M3447" s="460">
        <f t="shared" si="169"/>
        <v>0.05</v>
      </c>
      <c r="N3447" s="464">
        <f t="shared" si="170"/>
        <v>155960</v>
      </c>
    </row>
    <row r="3448" spans="7:14" ht="11.25" customHeight="1" x14ac:dyDescent="0.3">
      <c r="G3448" s="459"/>
      <c r="H3448" s="459">
        <v>3441</v>
      </c>
      <c r="I3448" s="444">
        <f t="shared" ca="1" si="168"/>
        <v>27147732920.619328</v>
      </c>
      <c r="J3448" s="444">
        <f t="array" ref="J3448">IFERROR(INDEX('Retirement Calculator'!J:J,MATCH('Isaac 401k'!N3448,'Retirement Calculator'!A:A,0),0),0)</f>
        <v>0</v>
      </c>
      <c r="K3448" s="444">
        <f t="shared" ca="1" si="166"/>
        <v>113115553.83591387</v>
      </c>
      <c r="L3448" s="444">
        <f t="shared" ca="1" si="167"/>
        <v>27260848474.455242</v>
      </c>
      <c r="M3448" s="460">
        <f t="shared" si="169"/>
        <v>0.05</v>
      </c>
      <c r="N3448" s="464">
        <f t="shared" si="170"/>
        <v>155991</v>
      </c>
    </row>
    <row r="3449" spans="7:14" ht="11.25" customHeight="1" x14ac:dyDescent="0.3">
      <c r="G3449" s="459"/>
      <c r="H3449" s="459">
        <v>3442</v>
      </c>
      <c r="I3449" s="444">
        <f t="shared" ca="1" si="168"/>
        <v>27260848474.455242</v>
      </c>
      <c r="J3449" s="444">
        <f t="array" ref="J3449">IFERROR(INDEX('Retirement Calculator'!J:J,MATCH('Isaac 401k'!N3449,'Retirement Calculator'!A:A,0),0),0)</f>
        <v>0</v>
      </c>
      <c r="K3449" s="444">
        <f t="shared" ca="1" si="166"/>
        <v>113586868.64356351</v>
      </c>
      <c r="L3449" s="444">
        <f t="shared" ca="1" si="167"/>
        <v>27374435343.098804</v>
      </c>
      <c r="M3449" s="460">
        <f t="shared" si="169"/>
        <v>0.05</v>
      </c>
      <c r="N3449" s="464">
        <f t="shared" si="170"/>
        <v>156019</v>
      </c>
    </row>
    <row r="3450" spans="7:14" ht="11.25" customHeight="1" x14ac:dyDescent="0.3">
      <c r="G3450" s="459"/>
      <c r="H3450" s="459">
        <v>3443</v>
      </c>
      <c r="I3450" s="444">
        <f t="shared" ca="1" si="168"/>
        <v>27374435343.098804</v>
      </c>
      <c r="J3450" s="444">
        <f t="array" ref="J3450">IFERROR(INDEX('Retirement Calculator'!J:J,MATCH('Isaac 401k'!N3450,'Retirement Calculator'!A:A,0),0),0)</f>
        <v>0</v>
      </c>
      <c r="K3450" s="444">
        <f t="shared" ca="1" si="166"/>
        <v>114060147.26291166</v>
      </c>
      <c r="L3450" s="444">
        <f t="shared" ca="1" si="167"/>
        <v>27488495490.361717</v>
      </c>
      <c r="M3450" s="460">
        <f t="shared" si="169"/>
        <v>0.05</v>
      </c>
      <c r="N3450" s="464">
        <f t="shared" si="170"/>
        <v>156050</v>
      </c>
    </row>
    <row r="3451" spans="7:14" ht="11.25" customHeight="1" x14ac:dyDescent="0.3">
      <c r="G3451" s="459"/>
      <c r="H3451" s="459">
        <v>3444</v>
      </c>
      <c r="I3451" s="444">
        <f t="shared" ca="1" si="168"/>
        <v>27488495490.361717</v>
      </c>
      <c r="J3451" s="444">
        <f t="array" ref="J3451">IFERROR(INDEX('Retirement Calculator'!J:J,MATCH('Isaac 401k'!N3451,'Retirement Calculator'!A:A,0),0),0)</f>
        <v>0</v>
      </c>
      <c r="K3451" s="444">
        <f t="shared" ca="1" si="166"/>
        <v>114535397.87650716</v>
      </c>
      <c r="L3451" s="444">
        <f t="shared" ca="1" si="167"/>
        <v>27603030888.238224</v>
      </c>
      <c r="M3451" s="460">
        <f t="shared" si="169"/>
        <v>0.05</v>
      </c>
      <c r="N3451" s="464">
        <f t="shared" si="170"/>
        <v>156080</v>
      </c>
    </row>
    <row r="3452" spans="7:14" ht="11.25" customHeight="1" x14ac:dyDescent="0.3">
      <c r="G3452" s="459"/>
      <c r="H3452" s="459">
        <v>3445</v>
      </c>
      <c r="I3452" s="444">
        <f t="shared" ca="1" si="168"/>
        <v>27603030888.238224</v>
      </c>
      <c r="J3452" s="444">
        <f t="array" ref="J3452">IFERROR(INDEX('Retirement Calculator'!J:J,MATCH('Isaac 401k'!N3452,'Retirement Calculator'!A:A,0),0),0)</f>
        <v>0</v>
      </c>
      <c r="K3452" s="444">
        <f t="shared" ca="1" si="166"/>
        <v>115012628.70099261</v>
      </c>
      <c r="L3452" s="444">
        <f t="shared" ca="1" si="167"/>
        <v>27718043516.939217</v>
      </c>
      <c r="M3452" s="460">
        <f t="shared" si="169"/>
        <v>0.05</v>
      </c>
      <c r="N3452" s="464">
        <f t="shared" si="170"/>
        <v>156111</v>
      </c>
    </row>
    <row r="3453" spans="7:14" ht="11.25" customHeight="1" x14ac:dyDescent="0.3">
      <c r="G3453" s="459"/>
      <c r="H3453" s="459">
        <v>3446</v>
      </c>
      <c r="I3453" s="444">
        <f t="shared" ca="1" si="168"/>
        <v>27718043516.939217</v>
      </c>
      <c r="J3453" s="444">
        <f t="array" ref="J3453">IFERROR(INDEX('Retirement Calculator'!J:J,MATCH('Isaac 401k'!N3453,'Retirement Calculator'!A:A,0),0),0)</f>
        <v>0</v>
      </c>
      <c r="K3453" s="444">
        <f t="shared" ca="1" si="166"/>
        <v>115491847.98724674</v>
      </c>
      <c r="L3453" s="444">
        <f t="shared" ca="1" si="167"/>
        <v>27833535364.926464</v>
      </c>
      <c r="M3453" s="460">
        <f t="shared" si="169"/>
        <v>0.05</v>
      </c>
      <c r="N3453" s="464">
        <f t="shared" si="170"/>
        <v>156141</v>
      </c>
    </row>
    <row r="3454" spans="7:14" ht="11.25" customHeight="1" x14ac:dyDescent="0.3">
      <c r="G3454" s="459"/>
      <c r="H3454" s="459">
        <v>3447</v>
      </c>
      <c r="I3454" s="444">
        <f t="shared" ca="1" si="168"/>
        <v>27833535364.926464</v>
      </c>
      <c r="J3454" s="444">
        <f t="array" ref="J3454">IFERROR(INDEX('Retirement Calculator'!J:J,MATCH('Isaac 401k'!N3454,'Retirement Calculator'!A:A,0),0),0)</f>
        <v>0</v>
      </c>
      <c r="K3454" s="444">
        <f t="shared" ca="1" si="166"/>
        <v>115973064.02052693</v>
      </c>
      <c r="L3454" s="444">
        <f t="shared" ca="1" si="167"/>
        <v>27949508428.946991</v>
      </c>
      <c r="M3454" s="460">
        <f t="shared" si="169"/>
        <v>0.05</v>
      </c>
      <c r="N3454" s="464">
        <f t="shared" si="170"/>
        <v>156172</v>
      </c>
    </row>
    <row r="3455" spans="7:14" ht="11.25" customHeight="1" x14ac:dyDescent="0.3">
      <c r="G3455" s="459"/>
      <c r="H3455" s="459">
        <v>3448</v>
      </c>
      <c r="I3455" s="444">
        <f t="shared" ca="1" si="168"/>
        <v>27949508428.946991</v>
      </c>
      <c r="J3455" s="444">
        <f t="array" ref="J3455">IFERROR(INDEX('Retirement Calculator'!J:J,MATCH('Isaac 401k'!N3455,'Retirement Calculator'!A:A,0),0),0)</f>
        <v>0</v>
      </c>
      <c r="K3455" s="444">
        <f t="shared" ca="1" si="166"/>
        <v>116456285.12061246</v>
      </c>
      <c r="L3455" s="444">
        <f t="shared" ca="1" si="167"/>
        <v>28065964714.067604</v>
      </c>
      <c r="M3455" s="460">
        <f t="shared" si="169"/>
        <v>0.05</v>
      </c>
      <c r="N3455" s="464">
        <f t="shared" si="170"/>
        <v>156203</v>
      </c>
    </row>
    <row r="3456" spans="7:14" ht="11.25" customHeight="1" x14ac:dyDescent="0.3">
      <c r="G3456" s="459"/>
      <c r="H3456" s="459">
        <v>3449</v>
      </c>
      <c r="I3456" s="444">
        <f t="shared" ca="1" si="168"/>
        <v>28065964714.067604</v>
      </c>
      <c r="J3456" s="444">
        <f t="array" ref="J3456">IFERROR(INDEX('Retirement Calculator'!J:J,MATCH('Isaac 401k'!N3456,'Retirement Calculator'!A:A,0),0),0)</f>
        <v>0</v>
      </c>
      <c r="K3456" s="444">
        <f t="shared" ca="1" si="166"/>
        <v>116941519.64194833</v>
      </c>
      <c r="L3456" s="444">
        <f t="shared" ca="1" si="167"/>
        <v>28182906233.709553</v>
      </c>
      <c r="M3456" s="460">
        <f t="shared" si="169"/>
        <v>0.05</v>
      </c>
      <c r="N3456" s="464">
        <f t="shared" si="170"/>
        <v>156233</v>
      </c>
    </row>
    <row r="3457" spans="7:14" ht="11.25" customHeight="1" x14ac:dyDescent="0.3">
      <c r="G3457" s="459"/>
      <c r="H3457" s="459">
        <v>3450</v>
      </c>
      <c r="I3457" s="444">
        <f t="shared" ca="1" si="168"/>
        <v>28182906233.709553</v>
      </c>
      <c r="J3457" s="444">
        <f t="array" ref="J3457">IFERROR(INDEX('Retirement Calculator'!J:J,MATCH('Isaac 401k'!N3457,'Retirement Calculator'!A:A,0),0),0)</f>
        <v>0</v>
      </c>
      <c r="K3457" s="444">
        <f t="shared" ca="1" si="166"/>
        <v>117428775.9737898</v>
      </c>
      <c r="L3457" s="444">
        <f t="shared" ca="1" si="167"/>
        <v>28300335009.683342</v>
      </c>
      <c r="M3457" s="460">
        <f t="shared" si="169"/>
        <v>0.05</v>
      </c>
      <c r="N3457" s="464">
        <f t="shared" si="170"/>
        <v>156264</v>
      </c>
    </row>
    <row r="3458" spans="7:14" ht="11.25" customHeight="1" x14ac:dyDescent="0.3">
      <c r="G3458" s="459"/>
      <c r="H3458" s="459">
        <v>3451</v>
      </c>
      <c r="I3458" s="444">
        <f t="shared" ca="1" si="168"/>
        <v>28300335009.683342</v>
      </c>
      <c r="J3458" s="444">
        <f t="array" ref="J3458">IFERROR(INDEX('Retirement Calculator'!J:J,MATCH('Isaac 401k'!N3458,'Retirement Calculator'!A:A,0),0),0)</f>
        <v>0</v>
      </c>
      <c r="K3458" s="444">
        <f t="shared" ca="1" si="166"/>
        <v>117918062.54034726</v>
      </c>
      <c r="L3458" s="444">
        <f t="shared" ca="1" si="167"/>
        <v>28418253072.22369</v>
      </c>
      <c r="M3458" s="460">
        <f t="shared" si="169"/>
        <v>0.05</v>
      </c>
      <c r="N3458" s="464">
        <f t="shared" si="170"/>
        <v>156294</v>
      </c>
    </row>
    <row r="3459" spans="7:14" ht="11.25" customHeight="1" x14ac:dyDescent="0.3">
      <c r="G3459" s="459"/>
      <c r="H3459" s="459">
        <v>3452</v>
      </c>
      <c r="I3459" s="444">
        <f t="shared" ca="1" si="168"/>
        <v>28418253072.22369</v>
      </c>
      <c r="J3459" s="444">
        <f t="array" ref="J3459">IFERROR(INDEX('Retirement Calculator'!J:J,MATCH('Isaac 401k'!N3459,'Retirement Calculator'!A:A,0),0),0)</f>
        <v>0</v>
      </c>
      <c r="K3459" s="444">
        <f t="shared" ca="1" si="166"/>
        <v>118409387.80093202</v>
      </c>
      <c r="L3459" s="444">
        <f t="shared" ca="1" si="167"/>
        <v>28536662460.024624</v>
      </c>
      <c r="M3459" s="460">
        <f t="shared" si="169"/>
        <v>0.05</v>
      </c>
      <c r="N3459" s="464">
        <f t="shared" si="170"/>
        <v>156325</v>
      </c>
    </row>
    <row r="3460" spans="7:14" ht="11.25" customHeight="1" x14ac:dyDescent="0.3">
      <c r="G3460" s="459"/>
      <c r="H3460" s="459">
        <v>3453</v>
      </c>
      <c r="I3460" s="444">
        <f t="shared" ca="1" si="168"/>
        <v>28536662460.024624</v>
      </c>
      <c r="J3460" s="444">
        <f t="array" ref="J3460">IFERROR(INDEX('Retirement Calculator'!J:J,MATCH('Isaac 401k'!N3460,'Retirement Calculator'!A:A,0),0),0)</f>
        <v>0</v>
      </c>
      <c r="K3460" s="444">
        <f t="shared" ca="1" si="166"/>
        <v>118902760.25010261</v>
      </c>
      <c r="L3460" s="444">
        <f t="shared" ca="1" si="167"/>
        <v>28655565220.274727</v>
      </c>
      <c r="M3460" s="460">
        <f t="shared" si="169"/>
        <v>0.05</v>
      </c>
      <c r="N3460" s="464">
        <f t="shared" si="170"/>
        <v>156356</v>
      </c>
    </row>
    <row r="3461" spans="7:14" ht="11.25" customHeight="1" x14ac:dyDescent="0.3">
      <c r="G3461" s="459"/>
      <c r="H3461" s="459">
        <v>3454</v>
      </c>
      <c r="I3461" s="444">
        <f t="shared" ca="1" si="168"/>
        <v>28655565220.274727</v>
      </c>
      <c r="J3461" s="444">
        <f t="array" ref="J3461">IFERROR(INDEX('Retirement Calculator'!J:J,MATCH('Isaac 401k'!N3461,'Retirement Calculator'!A:A,0),0),0)</f>
        <v>0</v>
      </c>
      <c r="K3461" s="444">
        <f t="shared" ca="1" si="166"/>
        <v>119398188.41781135</v>
      </c>
      <c r="L3461" s="444">
        <f t="shared" ca="1" si="167"/>
        <v>28774963408.692539</v>
      </c>
      <c r="M3461" s="460">
        <f t="shared" si="169"/>
        <v>0.05</v>
      </c>
      <c r="N3461" s="464">
        <f t="shared" si="170"/>
        <v>156385</v>
      </c>
    </row>
    <row r="3462" spans="7:14" ht="11.25" customHeight="1" x14ac:dyDescent="0.3">
      <c r="G3462" s="459"/>
      <c r="H3462" s="459">
        <v>3455</v>
      </c>
      <c r="I3462" s="444">
        <f t="shared" ca="1" si="168"/>
        <v>28774963408.692539</v>
      </c>
      <c r="J3462" s="444">
        <f t="array" ref="J3462">IFERROR(INDEX('Retirement Calculator'!J:J,MATCH('Isaac 401k'!N3462,'Retirement Calculator'!A:A,0),0),0)</f>
        <v>0</v>
      </c>
      <c r="K3462" s="444">
        <f t="shared" ca="1" si="166"/>
        <v>119895680.86955225</v>
      </c>
      <c r="L3462" s="444">
        <f t="shared" ca="1" si="167"/>
        <v>28894859089.562092</v>
      </c>
      <c r="M3462" s="460">
        <f t="shared" si="169"/>
        <v>0.05</v>
      </c>
      <c r="N3462" s="464">
        <f t="shared" si="170"/>
        <v>156416</v>
      </c>
    </row>
    <row r="3463" spans="7:14" ht="11.25" customHeight="1" x14ac:dyDescent="0.3">
      <c r="G3463" s="459"/>
      <c r="H3463" s="459">
        <v>3456</v>
      </c>
      <c r="I3463" s="444">
        <f t="shared" ca="1" si="168"/>
        <v>28894859089.562092</v>
      </c>
      <c r="J3463" s="444">
        <f t="array" ref="J3463">IFERROR(INDEX('Retirement Calculator'!J:J,MATCH('Isaac 401k'!N3463,'Retirement Calculator'!A:A,0),0),0)</f>
        <v>0</v>
      </c>
      <c r="K3463" s="444">
        <f t="shared" ca="1" si="166"/>
        <v>120395246.20650871</v>
      </c>
      <c r="L3463" s="444">
        <f t="shared" ca="1" si="167"/>
        <v>29015254335.7686</v>
      </c>
      <c r="M3463" s="460">
        <f t="shared" si="169"/>
        <v>0.05</v>
      </c>
      <c r="N3463" s="464">
        <f t="shared" si="170"/>
        <v>156446</v>
      </c>
    </row>
    <row r="3464" spans="7:14" ht="11.25" customHeight="1" x14ac:dyDescent="0.3">
      <c r="G3464" s="459"/>
      <c r="H3464" s="459">
        <v>3457</v>
      </c>
      <c r="I3464" s="444">
        <f t="shared" ca="1" si="168"/>
        <v>29015254335.7686</v>
      </c>
      <c r="J3464" s="444">
        <f t="array" ref="J3464">IFERROR(INDEX('Retirement Calculator'!J:J,MATCH('Isaac 401k'!N3464,'Retirement Calculator'!A:A,0),0),0)</f>
        <v>0</v>
      </c>
      <c r="K3464" s="444">
        <f t="shared" ca="1" si="166"/>
        <v>120896893.0657025</v>
      </c>
      <c r="L3464" s="444">
        <f t="shared" ca="1" si="167"/>
        <v>29136151228.834305</v>
      </c>
      <c r="M3464" s="460">
        <f t="shared" si="169"/>
        <v>0.05</v>
      </c>
      <c r="N3464" s="464">
        <f t="shared" si="170"/>
        <v>156477</v>
      </c>
    </row>
    <row r="3465" spans="7:14" ht="11.25" customHeight="1" x14ac:dyDescent="0.3">
      <c r="G3465" s="459"/>
      <c r="H3465" s="459">
        <v>3458</v>
      </c>
      <c r="I3465" s="444">
        <f t="shared" ca="1" si="168"/>
        <v>29136151228.834305</v>
      </c>
      <c r="J3465" s="444">
        <f t="array" ref="J3465">IFERROR(INDEX('Retirement Calculator'!J:J,MATCH('Isaac 401k'!N3465,'Retirement Calculator'!A:A,0),0),0)</f>
        <v>0</v>
      </c>
      <c r="K3465" s="444">
        <f t="shared" ca="1" si="166"/>
        <v>121400630.12014294</v>
      </c>
      <c r="L3465" s="444">
        <f t="shared" ca="1" si="167"/>
        <v>29257551858.954449</v>
      </c>
      <c r="M3465" s="460">
        <f t="shared" si="169"/>
        <v>0.05</v>
      </c>
      <c r="N3465" s="464">
        <f t="shared" si="170"/>
        <v>156507</v>
      </c>
    </row>
    <row r="3466" spans="7:14" ht="11.25" customHeight="1" x14ac:dyDescent="0.3">
      <c r="G3466" s="459"/>
      <c r="H3466" s="459">
        <v>3459</v>
      </c>
      <c r="I3466" s="444">
        <f t="shared" ca="1" si="168"/>
        <v>29257551858.954449</v>
      </c>
      <c r="J3466" s="444">
        <f t="array" ref="J3466">IFERROR(INDEX('Retirement Calculator'!J:J,MATCH('Isaac 401k'!N3466,'Retirement Calculator'!A:A,0),0),0)</f>
        <v>0</v>
      </c>
      <c r="K3466" s="444">
        <f t="shared" ca="1" si="166"/>
        <v>121906466.07897687</v>
      </c>
      <c r="L3466" s="444">
        <f t="shared" ca="1" si="167"/>
        <v>29379458325.033424</v>
      </c>
      <c r="M3466" s="460">
        <f t="shared" si="169"/>
        <v>0.05</v>
      </c>
      <c r="N3466" s="464">
        <f t="shared" si="170"/>
        <v>156538</v>
      </c>
    </row>
    <row r="3467" spans="7:14" ht="11.25" customHeight="1" x14ac:dyDescent="0.3">
      <c r="G3467" s="459"/>
      <c r="H3467" s="459">
        <v>3460</v>
      </c>
      <c r="I3467" s="444">
        <f t="shared" ca="1" si="168"/>
        <v>29379458325.033424</v>
      </c>
      <c r="J3467" s="444">
        <f t="array" ref="J3467">IFERROR(INDEX('Retirement Calculator'!J:J,MATCH('Isaac 401k'!N3467,'Retirement Calculator'!A:A,0),0),0)</f>
        <v>0</v>
      </c>
      <c r="K3467" s="444">
        <f t="shared" ca="1" si="166"/>
        <v>122414409.68763927</v>
      </c>
      <c r="L3467" s="444">
        <f t="shared" ca="1" si="167"/>
        <v>29501872734.721066</v>
      </c>
      <c r="M3467" s="460">
        <f t="shared" si="169"/>
        <v>0.05</v>
      </c>
      <c r="N3467" s="464">
        <f t="shared" si="170"/>
        <v>156569</v>
      </c>
    </row>
    <row r="3468" spans="7:14" ht="11.25" customHeight="1" x14ac:dyDescent="0.3">
      <c r="G3468" s="459"/>
      <c r="H3468" s="459">
        <v>3461</v>
      </c>
      <c r="I3468" s="444">
        <f t="shared" ca="1" si="168"/>
        <v>29501872734.721066</v>
      </c>
      <c r="J3468" s="444">
        <f t="array" ref="J3468">IFERROR(INDEX('Retirement Calculator'!J:J,MATCH('Isaac 401k'!N3468,'Retirement Calculator'!A:A,0),0),0)</f>
        <v>0</v>
      </c>
      <c r="K3468" s="444">
        <f t="shared" ca="1" si="166"/>
        <v>122924469.72800444</v>
      </c>
      <c r="L3468" s="444">
        <f t="shared" ca="1" si="167"/>
        <v>29624797204.44907</v>
      </c>
      <c r="M3468" s="460">
        <f t="shared" si="169"/>
        <v>0.05</v>
      </c>
      <c r="N3468" s="464">
        <f t="shared" si="170"/>
        <v>156599</v>
      </c>
    </row>
    <row r="3469" spans="7:14" ht="11.25" customHeight="1" x14ac:dyDescent="0.3">
      <c r="G3469" s="459"/>
      <c r="H3469" s="459">
        <v>3462</v>
      </c>
      <c r="I3469" s="444">
        <f t="shared" ca="1" si="168"/>
        <v>29624797204.44907</v>
      </c>
      <c r="J3469" s="444">
        <f t="array" ref="J3469">IFERROR(INDEX('Retirement Calculator'!J:J,MATCH('Isaac 401k'!N3469,'Retirement Calculator'!A:A,0),0),0)</f>
        <v>0</v>
      </c>
      <c r="K3469" s="444">
        <f t="shared" ca="1" si="166"/>
        <v>123436655.01853779</v>
      </c>
      <c r="L3469" s="444">
        <f t="shared" ca="1" si="167"/>
        <v>29748233859.467609</v>
      </c>
      <c r="M3469" s="460">
        <f t="shared" si="169"/>
        <v>0.05</v>
      </c>
      <c r="N3469" s="464">
        <f t="shared" si="170"/>
        <v>156630</v>
      </c>
    </row>
    <row r="3470" spans="7:14" ht="11.25" customHeight="1" x14ac:dyDescent="0.3">
      <c r="G3470" s="459"/>
      <c r="H3470" s="459">
        <v>3463</v>
      </c>
      <c r="I3470" s="444">
        <f t="shared" ca="1" si="168"/>
        <v>29748233859.467609</v>
      </c>
      <c r="J3470" s="444">
        <f t="array" ref="J3470">IFERROR(INDEX('Retirement Calculator'!J:J,MATCH('Isaac 401k'!N3470,'Retirement Calculator'!A:A,0),0),0)</f>
        <v>0</v>
      </c>
      <c r="K3470" s="444">
        <f t="shared" ca="1" si="166"/>
        <v>123950974.41444835</v>
      </c>
      <c r="L3470" s="444">
        <f t="shared" ca="1" si="167"/>
        <v>29872184833.882057</v>
      </c>
      <c r="M3470" s="460">
        <f t="shared" si="169"/>
        <v>0.05</v>
      </c>
      <c r="N3470" s="464">
        <f t="shared" si="170"/>
        <v>156660</v>
      </c>
    </row>
    <row r="3471" spans="7:14" ht="11.25" customHeight="1" x14ac:dyDescent="0.3">
      <c r="G3471" s="459"/>
      <c r="H3471" s="459">
        <v>3464</v>
      </c>
      <c r="I3471" s="444">
        <f t="shared" ca="1" si="168"/>
        <v>29872184833.882057</v>
      </c>
      <c r="J3471" s="444">
        <f t="array" ref="J3471">IFERROR(INDEX('Retirement Calculator'!J:J,MATCH('Isaac 401k'!N3471,'Retirement Calculator'!A:A,0),0),0)</f>
        <v>0</v>
      </c>
      <c r="K3471" s="444">
        <f t="shared" ca="1" si="166"/>
        <v>124467436.80784191</v>
      </c>
      <c r="L3471" s="444">
        <f t="shared" ca="1" si="167"/>
        <v>29996652270.689899</v>
      </c>
      <c r="M3471" s="460">
        <f t="shared" si="169"/>
        <v>0.05</v>
      </c>
      <c r="N3471" s="464">
        <f t="shared" si="170"/>
        <v>156691</v>
      </c>
    </row>
    <row r="3472" spans="7:14" ht="11.25" customHeight="1" x14ac:dyDescent="0.3">
      <c r="G3472" s="459"/>
      <c r="H3472" s="459">
        <v>3465</v>
      </c>
      <c r="I3472" s="444">
        <f t="shared" ca="1" si="168"/>
        <v>29996652270.689899</v>
      </c>
      <c r="J3472" s="444">
        <f t="array" ref="J3472">IFERROR(INDEX('Retirement Calculator'!J:J,MATCH('Isaac 401k'!N3472,'Retirement Calculator'!A:A,0),0),0)</f>
        <v>0</v>
      </c>
      <c r="K3472" s="444">
        <f t="shared" ca="1" si="166"/>
        <v>124986051.12787457</v>
      </c>
      <c r="L3472" s="444">
        <f t="shared" ca="1" si="167"/>
        <v>30121638321.817776</v>
      </c>
      <c r="M3472" s="460">
        <f t="shared" si="169"/>
        <v>0.05</v>
      </c>
      <c r="N3472" s="464">
        <f t="shared" si="170"/>
        <v>156722</v>
      </c>
    </row>
    <row r="3473" spans="7:14" ht="11.25" customHeight="1" x14ac:dyDescent="0.3">
      <c r="G3473" s="459"/>
      <c r="H3473" s="459">
        <v>3466</v>
      </c>
      <c r="I3473" s="444">
        <f t="shared" ca="1" si="168"/>
        <v>30121638321.817776</v>
      </c>
      <c r="J3473" s="444">
        <f t="array" ref="J3473">IFERROR(INDEX('Retirement Calculator'!J:J,MATCH('Isaac 401k'!N3473,'Retirement Calculator'!A:A,0),0),0)</f>
        <v>0</v>
      </c>
      <c r="K3473" s="444">
        <f t="shared" ca="1" si="166"/>
        <v>125506826.34090739</v>
      </c>
      <c r="L3473" s="444">
        <f t="shared" ca="1" si="167"/>
        <v>30247145148.158684</v>
      </c>
      <c r="M3473" s="460">
        <f t="shared" si="169"/>
        <v>0.05</v>
      </c>
      <c r="N3473" s="464">
        <f t="shared" si="170"/>
        <v>156750</v>
      </c>
    </row>
    <row r="3474" spans="7:14" ht="11.25" customHeight="1" x14ac:dyDescent="0.3">
      <c r="G3474" s="459"/>
      <c r="H3474" s="459">
        <v>3467</v>
      </c>
      <c r="I3474" s="444">
        <f t="shared" ca="1" si="168"/>
        <v>30247145148.158684</v>
      </c>
      <c r="J3474" s="444">
        <f t="array" ref="J3474">IFERROR(INDEX('Retirement Calculator'!J:J,MATCH('Isaac 401k'!N3474,'Retirement Calculator'!A:A,0),0),0)</f>
        <v>0</v>
      </c>
      <c r="K3474" s="444">
        <f t="shared" ca="1" si="166"/>
        <v>126029771.45066118</v>
      </c>
      <c r="L3474" s="444">
        <f t="shared" ca="1" si="167"/>
        <v>30373174919.609344</v>
      </c>
      <c r="M3474" s="460">
        <f t="shared" si="169"/>
        <v>0.05</v>
      </c>
      <c r="N3474" s="464">
        <f t="shared" si="170"/>
        <v>156781</v>
      </c>
    </row>
    <row r="3475" spans="7:14" ht="11.25" customHeight="1" x14ac:dyDescent="0.3">
      <c r="G3475" s="459"/>
      <c r="H3475" s="459">
        <v>3468</v>
      </c>
      <c r="I3475" s="444">
        <f t="shared" ca="1" si="168"/>
        <v>30373174919.609344</v>
      </c>
      <c r="J3475" s="444">
        <f t="array" ref="J3475">IFERROR(INDEX('Retirement Calculator'!J:J,MATCH('Isaac 401k'!N3475,'Retirement Calculator'!A:A,0),0),0)</f>
        <v>0</v>
      </c>
      <c r="K3475" s="444">
        <f t="shared" ca="1" si="166"/>
        <v>126554895.49837227</v>
      </c>
      <c r="L3475" s="444">
        <f t="shared" ca="1" si="167"/>
        <v>30499729815.107716</v>
      </c>
      <c r="M3475" s="460">
        <f t="shared" si="169"/>
        <v>0.05</v>
      </c>
      <c r="N3475" s="464">
        <f t="shared" si="170"/>
        <v>156811</v>
      </c>
    </row>
    <row r="3476" spans="7:14" ht="11.25" customHeight="1" x14ac:dyDescent="0.3">
      <c r="G3476" s="459"/>
      <c r="H3476" s="459">
        <v>3469</v>
      </c>
      <c r="I3476" s="444">
        <f t="shared" ca="1" si="168"/>
        <v>30499729815.107716</v>
      </c>
      <c r="J3476" s="444">
        <f t="array" ref="J3476">IFERROR(INDEX('Retirement Calculator'!J:J,MATCH('Isaac 401k'!N3476,'Retirement Calculator'!A:A,0),0),0)</f>
        <v>0</v>
      </c>
      <c r="K3476" s="444">
        <f t="shared" ca="1" si="166"/>
        <v>127082207.56294879</v>
      </c>
      <c r="L3476" s="444">
        <f t="shared" ca="1" si="167"/>
        <v>30626812022.670666</v>
      </c>
      <c r="M3476" s="460">
        <f t="shared" si="169"/>
        <v>0.05</v>
      </c>
      <c r="N3476" s="464">
        <f t="shared" si="170"/>
        <v>156842</v>
      </c>
    </row>
    <row r="3477" spans="7:14" ht="11.25" customHeight="1" x14ac:dyDescent="0.3">
      <c r="G3477" s="459"/>
      <c r="H3477" s="459">
        <v>3470</v>
      </c>
      <c r="I3477" s="444">
        <f t="shared" ca="1" si="168"/>
        <v>30626812022.670666</v>
      </c>
      <c r="J3477" s="444">
        <f t="array" ref="J3477">IFERROR(INDEX('Retirement Calculator'!J:J,MATCH('Isaac 401k'!N3477,'Retirement Calculator'!A:A,0),0),0)</f>
        <v>0</v>
      </c>
      <c r="K3477" s="444">
        <f t="shared" ca="1" si="166"/>
        <v>127611716.76112777</v>
      </c>
      <c r="L3477" s="444">
        <f t="shared" ca="1" si="167"/>
        <v>30754423739.431793</v>
      </c>
      <c r="M3477" s="460">
        <f t="shared" si="169"/>
        <v>0.05</v>
      </c>
      <c r="N3477" s="464">
        <f t="shared" si="170"/>
        <v>156872</v>
      </c>
    </row>
    <row r="3478" spans="7:14" ht="11.25" customHeight="1" x14ac:dyDescent="0.3">
      <c r="G3478" s="459"/>
      <c r="H3478" s="459">
        <v>3471</v>
      </c>
      <c r="I3478" s="444">
        <f t="shared" ca="1" si="168"/>
        <v>30754423739.431793</v>
      </c>
      <c r="J3478" s="444">
        <f t="array" ref="J3478">IFERROR(INDEX('Retirement Calculator'!J:J,MATCH('Isaac 401k'!N3478,'Retirement Calculator'!A:A,0),0),0)</f>
        <v>0</v>
      </c>
      <c r="K3478" s="444">
        <f t="shared" ca="1" si="166"/>
        <v>128143432.24763247</v>
      </c>
      <c r="L3478" s="444">
        <f t="shared" ca="1" si="167"/>
        <v>30882567171.679424</v>
      </c>
      <c r="M3478" s="460">
        <f t="shared" si="169"/>
        <v>0.05</v>
      </c>
      <c r="N3478" s="464">
        <f t="shared" si="170"/>
        <v>156903</v>
      </c>
    </row>
    <row r="3479" spans="7:14" ht="11.25" customHeight="1" x14ac:dyDescent="0.3">
      <c r="G3479" s="459"/>
      <c r="H3479" s="459">
        <v>3472</v>
      </c>
      <c r="I3479" s="444">
        <f t="shared" ca="1" si="168"/>
        <v>30882567171.679424</v>
      </c>
      <c r="J3479" s="444">
        <f t="array" ref="J3479">IFERROR(INDEX('Retirement Calculator'!J:J,MATCH('Isaac 401k'!N3479,'Retirement Calculator'!A:A,0),0),0)</f>
        <v>0</v>
      </c>
      <c r="K3479" s="444">
        <f t="shared" ca="1" si="166"/>
        <v>128677363.21533091</v>
      </c>
      <c r="L3479" s="444">
        <f t="shared" ca="1" si="167"/>
        <v>31011244534.894756</v>
      </c>
      <c r="M3479" s="460">
        <f t="shared" si="169"/>
        <v>0.05</v>
      </c>
      <c r="N3479" s="464">
        <f t="shared" si="170"/>
        <v>156934</v>
      </c>
    </row>
    <row r="3480" spans="7:14" ht="11.25" customHeight="1" x14ac:dyDescent="0.3">
      <c r="G3480" s="459"/>
      <c r="H3480" s="459">
        <v>3473</v>
      </c>
      <c r="I3480" s="444">
        <f t="shared" ca="1" si="168"/>
        <v>31011244534.894756</v>
      </c>
      <c r="J3480" s="444">
        <f t="array" ref="J3480">IFERROR(INDEX('Retirement Calculator'!J:J,MATCH('Isaac 401k'!N3480,'Retirement Calculator'!A:A,0),0),0)</f>
        <v>0</v>
      </c>
      <c r="K3480" s="444">
        <f t="shared" ca="1" si="166"/>
        <v>129213518.89539482</v>
      </c>
      <c r="L3480" s="444">
        <f t="shared" ca="1" si="167"/>
        <v>31140458053.79015</v>
      </c>
      <c r="M3480" s="460">
        <f t="shared" si="169"/>
        <v>0.05</v>
      </c>
      <c r="N3480" s="464">
        <f t="shared" si="170"/>
        <v>156964</v>
      </c>
    </row>
    <row r="3481" spans="7:14" ht="11.25" customHeight="1" x14ac:dyDescent="0.3">
      <c r="G3481" s="459"/>
      <c r="H3481" s="459">
        <v>3474</v>
      </c>
      <c r="I3481" s="444">
        <f t="shared" ca="1" si="168"/>
        <v>31140458053.79015</v>
      </c>
      <c r="J3481" s="444">
        <f t="array" ref="J3481">IFERROR(INDEX('Retirement Calculator'!J:J,MATCH('Isaac 401k'!N3481,'Retirement Calculator'!A:A,0),0),0)</f>
        <v>0</v>
      </c>
      <c r="K3481" s="444">
        <f t="shared" ca="1" si="166"/>
        <v>129751908.55745895</v>
      </c>
      <c r="L3481" s="444">
        <f t="shared" ca="1" si="167"/>
        <v>31270209962.34761</v>
      </c>
      <c r="M3481" s="460">
        <f t="shared" si="169"/>
        <v>0.05</v>
      </c>
      <c r="N3481" s="464">
        <f t="shared" si="170"/>
        <v>156995</v>
      </c>
    </row>
    <row r="3482" spans="7:14" ht="11.25" customHeight="1" x14ac:dyDescent="0.3">
      <c r="G3482" s="459"/>
      <c r="H3482" s="459">
        <v>3475</v>
      </c>
      <c r="I3482" s="444">
        <f t="shared" ca="1" si="168"/>
        <v>31270209962.34761</v>
      </c>
      <c r="J3482" s="444">
        <f t="array" ref="J3482">IFERROR(INDEX('Retirement Calculator'!J:J,MATCH('Isaac 401k'!N3482,'Retirement Calculator'!A:A,0),0),0)</f>
        <v>0</v>
      </c>
      <c r="K3482" s="444">
        <f t="shared" ca="1" si="166"/>
        <v>130292541.50978169</v>
      </c>
      <c r="L3482" s="444">
        <f t="shared" ca="1" si="167"/>
        <v>31400502503.857391</v>
      </c>
      <c r="M3482" s="460">
        <f t="shared" si="169"/>
        <v>0.05</v>
      </c>
      <c r="N3482" s="464">
        <f t="shared" si="170"/>
        <v>157025</v>
      </c>
    </row>
    <row r="3483" spans="7:14" ht="11.25" customHeight="1" x14ac:dyDescent="0.3">
      <c r="G3483" s="459"/>
      <c r="H3483" s="459">
        <v>3476</v>
      </c>
      <c r="I3483" s="444">
        <f t="shared" ca="1" si="168"/>
        <v>31400502503.857391</v>
      </c>
      <c r="J3483" s="444">
        <f t="array" ref="J3483">IFERROR(INDEX('Retirement Calculator'!J:J,MATCH('Isaac 401k'!N3483,'Retirement Calculator'!A:A,0),0),0)</f>
        <v>0</v>
      </c>
      <c r="K3483" s="444">
        <f t="shared" ca="1" si="166"/>
        <v>130835427.09940581</v>
      </c>
      <c r="L3483" s="444">
        <f t="shared" ca="1" si="167"/>
        <v>31531337930.956799</v>
      </c>
      <c r="M3483" s="460">
        <f t="shared" si="169"/>
        <v>0.05</v>
      </c>
      <c r="N3483" s="464">
        <f t="shared" si="170"/>
        <v>157056</v>
      </c>
    </row>
    <row r="3484" spans="7:14" ht="11.25" customHeight="1" x14ac:dyDescent="0.3">
      <c r="G3484" s="459"/>
      <c r="H3484" s="459">
        <v>3477</v>
      </c>
      <c r="I3484" s="444">
        <f t="shared" ca="1" si="168"/>
        <v>31531337930.956799</v>
      </c>
      <c r="J3484" s="444">
        <f t="array" ref="J3484">IFERROR(INDEX('Retirement Calculator'!J:J,MATCH('Isaac 401k'!N3484,'Retirement Calculator'!A:A,0),0),0)</f>
        <v>0</v>
      </c>
      <c r="K3484" s="444">
        <f t="shared" ca="1" si="166"/>
        <v>131380574.71231999</v>
      </c>
      <c r="L3484" s="444">
        <f t="shared" ca="1" si="167"/>
        <v>31662718505.669117</v>
      </c>
      <c r="M3484" s="460">
        <f t="shared" si="169"/>
        <v>0.05</v>
      </c>
      <c r="N3484" s="464">
        <f t="shared" si="170"/>
        <v>157087</v>
      </c>
    </row>
    <row r="3485" spans="7:14" ht="11.25" customHeight="1" x14ac:dyDescent="0.3">
      <c r="G3485" s="459"/>
      <c r="H3485" s="459">
        <v>3478</v>
      </c>
      <c r="I3485" s="444">
        <f t="shared" ca="1" si="168"/>
        <v>31662718505.669117</v>
      </c>
      <c r="J3485" s="444">
        <f t="array" ref="J3485">IFERROR(INDEX('Retirement Calculator'!J:J,MATCH('Isaac 401k'!N3485,'Retirement Calculator'!A:A,0),0),0)</f>
        <v>0</v>
      </c>
      <c r="K3485" s="444">
        <f t="shared" ca="1" si="166"/>
        <v>131927993.77362131</v>
      </c>
      <c r="L3485" s="444">
        <f t="shared" ca="1" si="167"/>
        <v>31794646499.442738</v>
      </c>
      <c r="M3485" s="460">
        <f t="shared" si="169"/>
        <v>0.05</v>
      </c>
      <c r="N3485" s="464">
        <f t="shared" si="170"/>
        <v>157115</v>
      </c>
    </row>
    <row r="3486" spans="7:14" ht="11.25" customHeight="1" x14ac:dyDescent="0.3">
      <c r="G3486" s="459"/>
      <c r="H3486" s="459">
        <v>3479</v>
      </c>
      <c r="I3486" s="444">
        <f t="shared" ca="1" si="168"/>
        <v>31794646499.442738</v>
      </c>
      <c r="J3486" s="444">
        <f t="array" ref="J3486">IFERROR(INDEX('Retirement Calculator'!J:J,MATCH('Isaac 401k'!N3486,'Retirement Calculator'!A:A,0),0),0)</f>
        <v>0</v>
      </c>
      <c r="K3486" s="444">
        <f t="shared" ca="1" si="166"/>
        <v>132477693.74767806</v>
      </c>
      <c r="L3486" s="444">
        <f t="shared" ca="1" si="167"/>
        <v>31927124193.190414</v>
      </c>
      <c r="M3486" s="460">
        <f t="shared" si="169"/>
        <v>0.05</v>
      </c>
      <c r="N3486" s="464">
        <f t="shared" si="170"/>
        <v>157146</v>
      </c>
    </row>
    <row r="3487" spans="7:14" ht="11.25" customHeight="1" x14ac:dyDescent="0.3">
      <c r="G3487" s="459"/>
      <c r="H3487" s="459">
        <v>3480</v>
      </c>
      <c r="I3487" s="444">
        <f t="shared" ca="1" si="168"/>
        <v>31927124193.190414</v>
      </c>
      <c r="J3487" s="444">
        <f t="array" ref="J3487">IFERROR(INDEX('Retirement Calculator'!J:J,MATCH('Isaac 401k'!N3487,'Retirement Calculator'!A:A,0),0),0)</f>
        <v>0</v>
      </c>
      <c r="K3487" s="444">
        <f t="shared" ca="1" si="166"/>
        <v>133029684.1382934</v>
      </c>
      <c r="L3487" s="444">
        <f t="shared" ca="1" si="167"/>
        <v>32060153877.328709</v>
      </c>
      <c r="M3487" s="460">
        <f t="shared" si="169"/>
        <v>0.05</v>
      </c>
      <c r="N3487" s="464">
        <f t="shared" si="170"/>
        <v>157176</v>
      </c>
    </row>
    <row r="3488" spans="7:14" ht="11.25" customHeight="1" x14ac:dyDescent="0.3">
      <c r="G3488" s="459"/>
      <c r="H3488" s="459">
        <v>3481</v>
      </c>
      <c r="I3488" s="444">
        <f t="shared" ca="1" si="168"/>
        <v>32060153877.328709</v>
      </c>
      <c r="J3488" s="444">
        <f t="array" ref="J3488">IFERROR(INDEX('Retirement Calculator'!J:J,MATCH('Isaac 401k'!N3488,'Retirement Calculator'!A:A,0),0),0)</f>
        <v>0</v>
      </c>
      <c r="K3488" s="444">
        <f t="shared" ca="1" si="166"/>
        <v>133583974.48886962</v>
      </c>
      <c r="L3488" s="444">
        <f t="shared" ca="1" si="167"/>
        <v>32193737851.817577</v>
      </c>
      <c r="M3488" s="460">
        <f t="shared" si="169"/>
        <v>0.05</v>
      </c>
      <c r="N3488" s="464">
        <f t="shared" si="170"/>
        <v>157207</v>
      </c>
    </row>
    <row r="3489" spans="7:14" ht="11.25" customHeight="1" x14ac:dyDescent="0.3">
      <c r="G3489" s="459"/>
      <c r="H3489" s="459">
        <v>3482</v>
      </c>
      <c r="I3489" s="444">
        <f t="shared" ca="1" si="168"/>
        <v>32193737851.817577</v>
      </c>
      <c r="J3489" s="444">
        <f t="array" ref="J3489">IFERROR(INDEX('Retirement Calculator'!J:J,MATCH('Isaac 401k'!N3489,'Retirement Calculator'!A:A,0),0),0)</f>
        <v>0</v>
      </c>
      <c r="K3489" s="444">
        <f t="shared" ca="1" si="166"/>
        <v>134140574.38257323</v>
      </c>
      <c r="L3489" s="444">
        <f t="shared" ca="1" si="167"/>
        <v>32327878426.20015</v>
      </c>
      <c r="M3489" s="460">
        <f t="shared" si="169"/>
        <v>0.05</v>
      </c>
      <c r="N3489" s="464">
        <f t="shared" si="170"/>
        <v>157237</v>
      </c>
    </row>
    <row r="3490" spans="7:14" ht="11.25" customHeight="1" x14ac:dyDescent="0.3">
      <c r="G3490" s="459"/>
      <c r="H3490" s="459">
        <v>3483</v>
      </c>
      <c r="I3490" s="444">
        <f t="shared" ca="1" si="168"/>
        <v>32327878426.20015</v>
      </c>
      <c r="J3490" s="444">
        <f t="array" ref="J3490">IFERROR(INDEX('Retirement Calculator'!J:J,MATCH('Isaac 401k'!N3490,'Retirement Calculator'!A:A,0),0),0)</f>
        <v>0</v>
      </c>
      <c r="K3490" s="444">
        <f t="shared" ca="1" si="166"/>
        <v>134699493.44250062</v>
      </c>
      <c r="L3490" s="444">
        <f t="shared" ca="1" si="167"/>
        <v>32462577919.642651</v>
      </c>
      <c r="M3490" s="460">
        <f t="shared" si="169"/>
        <v>0.05</v>
      </c>
      <c r="N3490" s="464">
        <f t="shared" si="170"/>
        <v>157268</v>
      </c>
    </row>
    <row r="3491" spans="7:14" ht="11.25" customHeight="1" x14ac:dyDescent="0.3">
      <c r="G3491" s="459"/>
      <c r="H3491" s="459">
        <v>3484</v>
      </c>
      <c r="I3491" s="444">
        <f t="shared" ca="1" si="168"/>
        <v>32462577919.642651</v>
      </c>
      <c r="J3491" s="444">
        <f t="array" ref="J3491">IFERROR(INDEX('Retirement Calculator'!J:J,MATCH('Isaac 401k'!N3491,'Retirement Calculator'!A:A,0),0),0)</f>
        <v>0</v>
      </c>
      <c r="K3491" s="444">
        <f t="shared" ca="1" si="166"/>
        <v>135260741.33184439</v>
      </c>
      <c r="L3491" s="444">
        <f t="shared" ca="1" si="167"/>
        <v>32597838660.974495</v>
      </c>
      <c r="M3491" s="460">
        <f t="shared" si="169"/>
        <v>0.05</v>
      </c>
      <c r="N3491" s="464">
        <f t="shared" si="170"/>
        <v>157299</v>
      </c>
    </row>
    <row r="3492" spans="7:14" ht="11.25" customHeight="1" x14ac:dyDescent="0.3">
      <c r="G3492" s="459"/>
      <c r="H3492" s="459">
        <v>3485</v>
      </c>
      <c r="I3492" s="444">
        <f t="shared" ca="1" si="168"/>
        <v>32597838660.974495</v>
      </c>
      <c r="J3492" s="444">
        <f t="array" ref="J3492">IFERROR(INDEX('Retirement Calculator'!J:J,MATCH('Isaac 401k'!N3492,'Retirement Calculator'!A:A,0),0),0)</f>
        <v>0</v>
      </c>
      <c r="K3492" s="444">
        <f t="shared" ca="1" si="166"/>
        <v>135824327.75406042</v>
      </c>
      <c r="L3492" s="444">
        <f t="shared" ca="1" si="167"/>
        <v>32733662988.728554</v>
      </c>
      <c r="M3492" s="460">
        <f t="shared" si="169"/>
        <v>0.05</v>
      </c>
      <c r="N3492" s="464">
        <f t="shared" si="170"/>
        <v>157329</v>
      </c>
    </row>
    <row r="3493" spans="7:14" ht="11.25" customHeight="1" x14ac:dyDescent="0.3">
      <c r="G3493" s="459"/>
      <c r="H3493" s="459">
        <v>3486</v>
      </c>
      <c r="I3493" s="444">
        <f t="shared" ca="1" si="168"/>
        <v>32733662988.728554</v>
      </c>
      <c r="J3493" s="444">
        <f t="array" ref="J3493">IFERROR(INDEX('Retirement Calculator'!J:J,MATCH('Isaac 401k'!N3493,'Retirement Calculator'!A:A,0),0),0)</f>
        <v>0</v>
      </c>
      <c r="K3493" s="444">
        <f t="shared" ca="1" si="166"/>
        <v>136390262.45303565</v>
      </c>
      <c r="L3493" s="444">
        <f t="shared" ca="1" si="167"/>
        <v>32870053251.181591</v>
      </c>
      <c r="M3493" s="460">
        <f t="shared" si="169"/>
        <v>0.05</v>
      </c>
      <c r="N3493" s="464">
        <f t="shared" si="170"/>
        <v>157360</v>
      </c>
    </row>
    <row r="3494" spans="7:14" ht="11.25" customHeight="1" x14ac:dyDescent="0.3">
      <c r="G3494" s="459"/>
      <c r="H3494" s="459">
        <v>3487</v>
      </c>
      <c r="I3494" s="444">
        <f t="shared" ca="1" si="168"/>
        <v>32870053251.181591</v>
      </c>
      <c r="J3494" s="444">
        <f t="array" ref="J3494">IFERROR(INDEX('Retirement Calculator'!J:J,MATCH('Isaac 401k'!N3494,'Retirement Calculator'!A:A,0),0),0)</f>
        <v>0</v>
      </c>
      <c r="K3494" s="444">
        <f t="shared" ca="1" si="166"/>
        <v>136958555.2132566</v>
      </c>
      <c r="L3494" s="444">
        <f t="shared" ca="1" si="167"/>
        <v>33007011806.394848</v>
      </c>
      <c r="M3494" s="460">
        <f t="shared" si="169"/>
        <v>0.05</v>
      </c>
      <c r="N3494" s="464">
        <f t="shared" si="170"/>
        <v>157390</v>
      </c>
    </row>
    <row r="3495" spans="7:14" ht="11.25" customHeight="1" x14ac:dyDescent="0.3">
      <c r="G3495" s="459"/>
      <c r="H3495" s="459">
        <v>3488</v>
      </c>
      <c r="I3495" s="444">
        <f t="shared" ca="1" si="168"/>
        <v>33007011806.394848</v>
      </c>
      <c r="J3495" s="444">
        <f t="array" ref="J3495">IFERROR(INDEX('Retirement Calculator'!J:J,MATCH('Isaac 401k'!N3495,'Retirement Calculator'!A:A,0),0),0)</f>
        <v>0</v>
      </c>
      <c r="K3495" s="444">
        <f t="shared" ca="1" si="166"/>
        <v>137529215.85997853</v>
      </c>
      <c r="L3495" s="444">
        <f t="shared" ca="1" si="167"/>
        <v>33144541022.254826</v>
      </c>
      <c r="M3495" s="460">
        <f t="shared" si="169"/>
        <v>0.05</v>
      </c>
      <c r="N3495" s="464">
        <f t="shared" si="170"/>
        <v>157421</v>
      </c>
    </row>
    <row r="3496" spans="7:14" ht="11.25" customHeight="1" x14ac:dyDescent="0.3">
      <c r="G3496" s="459"/>
      <c r="H3496" s="459">
        <v>3489</v>
      </c>
      <c r="I3496" s="444">
        <f t="shared" ca="1" si="168"/>
        <v>33144541022.254826</v>
      </c>
      <c r="J3496" s="444">
        <f t="array" ref="J3496">IFERROR(INDEX('Retirement Calculator'!J:J,MATCH('Isaac 401k'!N3496,'Retirement Calculator'!A:A,0),0),0)</f>
        <v>0</v>
      </c>
      <c r="K3496" s="444">
        <f t="shared" ca="1" si="166"/>
        <v>138102254.25939509</v>
      </c>
      <c r="L3496" s="444">
        <f t="shared" ca="1" si="167"/>
        <v>33282643276.514221</v>
      </c>
      <c r="M3496" s="460">
        <f t="shared" si="169"/>
        <v>0.05</v>
      </c>
      <c r="N3496" s="464">
        <f t="shared" si="170"/>
        <v>157452</v>
      </c>
    </row>
    <row r="3497" spans="7:14" ht="11.25" customHeight="1" x14ac:dyDescent="0.3">
      <c r="G3497" s="459"/>
      <c r="H3497" s="459">
        <v>3490</v>
      </c>
      <c r="I3497" s="444">
        <f t="shared" ca="1" si="168"/>
        <v>33282643276.514221</v>
      </c>
      <c r="J3497" s="444">
        <f t="array" ref="J3497">IFERROR(INDEX('Retirement Calculator'!J:J,MATCH('Isaac 401k'!N3497,'Retirement Calculator'!A:A,0),0),0)</f>
        <v>0</v>
      </c>
      <c r="K3497" s="444">
        <f t="shared" ca="1" si="166"/>
        <v>138677680.31880924</v>
      </c>
      <c r="L3497" s="444">
        <f t="shared" ca="1" si="167"/>
        <v>33421320956.833031</v>
      </c>
      <c r="M3497" s="460">
        <f t="shared" si="169"/>
        <v>0.05</v>
      </c>
      <c r="N3497" s="464">
        <f t="shared" si="170"/>
        <v>157480</v>
      </c>
    </row>
    <row r="3498" spans="7:14" ht="11.25" customHeight="1" x14ac:dyDescent="0.3">
      <c r="G3498" s="459"/>
      <c r="H3498" s="459">
        <v>3491</v>
      </c>
      <c r="I3498" s="444">
        <f t="shared" ca="1" si="168"/>
        <v>33421320956.833031</v>
      </c>
      <c r="J3498" s="444">
        <f t="array" ref="J3498">IFERROR(INDEX('Retirement Calculator'!J:J,MATCH('Isaac 401k'!N3498,'Retirement Calculator'!A:A,0),0),0)</f>
        <v>0</v>
      </c>
      <c r="K3498" s="444">
        <f t="shared" ca="1" si="166"/>
        <v>139255503.98680428</v>
      </c>
      <c r="L3498" s="444">
        <f t="shared" ca="1" si="167"/>
        <v>33560576460.819836</v>
      </c>
      <c r="M3498" s="460">
        <f t="shared" si="169"/>
        <v>0.05</v>
      </c>
      <c r="N3498" s="464">
        <f t="shared" si="170"/>
        <v>157511</v>
      </c>
    </row>
    <row r="3499" spans="7:14" ht="11.25" customHeight="1" x14ac:dyDescent="0.3">
      <c r="G3499" s="459"/>
      <c r="H3499" s="459">
        <v>3492</v>
      </c>
      <c r="I3499" s="444">
        <f t="shared" ca="1" si="168"/>
        <v>33560576460.819836</v>
      </c>
      <c r="J3499" s="444">
        <f t="array" ref="J3499">IFERROR(INDEX('Retirement Calculator'!J:J,MATCH('Isaac 401k'!N3499,'Retirement Calculator'!A:A,0),0),0)</f>
        <v>0</v>
      </c>
      <c r="K3499" s="444">
        <f t="shared" ca="1" si="166"/>
        <v>139835735.253416</v>
      </c>
      <c r="L3499" s="444">
        <f t="shared" ca="1" si="167"/>
        <v>33700412196.07325</v>
      </c>
      <c r="M3499" s="460">
        <f t="shared" si="169"/>
        <v>0.05</v>
      </c>
      <c r="N3499" s="464">
        <f t="shared" si="170"/>
        <v>157541</v>
      </c>
    </row>
    <row r="3500" spans="7:14" ht="11.25" customHeight="1" x14ac:dyDescent="0.3">
      <c r="G3500" s="459"/>
      <c r="H3500" s="459">
        <v>3493</v>
      </c>
      <c r="I3500" s="444">
        <f t="shared" ca="1" si="168"/>
        <v>33700412196.07325</v>
      </c>
      <c r="J3500" s="444">
        <f t="array" ref="J3500">IFERROR(INDEX('Retirement Calculator'!J:J,MATCH('Isaac 401k'!N3500,'Retirement Calculator'!A:A,0),0),0)</f>
        <v>0</v>
      </c>
      <c r="K3500" s="444">
        <f t="shared" ca="1" si="166"/>
        <v>140418384.15030521</v>
      </c>
      <c r="L3500" s="444">
        <f t="shared" ca="1" si="167"/>
        <v>33840830580.223557</v>
      </c>
      <c r="M3500" s="460">
        <f t="shared" si="169"/>
        <v>0.05</v>
      </c>
      <c r="N3500" s="464">
        <f t="shared" si="170"/>
        <v>157572</v>
      </c>
    </row>
    <row r="3501" spans="7:14" ht="11.25" customHeight="1" x14ac:dyDescent="0.3">
      <c r="G3501" s="459"/>
      <c r="H3501" s="459">
        <v>3494</v>
      </c>
      <c r="I3501" s="444">
        <f t="shared" ca="1" si="168"/>
        <v>33840830580.223557</v>
      </c>
      <c r="J3501" s="444">
        <f t="array" ref="J3501">IFERROR(INDEX('Retirement Calculator'!J:J,MATCH('Isaac 401k'!N3501,'Retirement Calculator'!A:A,0),0),0)</f>
        <v>0</v>
      </c>
      <c r="K3501" s="444">
        <f t="shared" ca="1" si="166"/>
        <v>141003460.75093147</v>
      </c>
      <c r="L3501" s="444">
        <f t="shared" ca="1" si="167"/>
        <v>33981834040.974487</v>
      </c>
      <c r="M3501" s="460">
        <f t="shared" si="169"/>
        <v>0.05</v>
      </c>
      <c r="N3501" s="464">
        <f t="shared" si="170"/>
        <v>157602</v>
      </c>
    </row>
    <row r="3502" spans="7:14" ht="11.25" customHeight="1" x14ac:dyDescent="0.3">
      <c r="G3502" s="459"/>
      <c r="H3502" s="459">
        <v>3495</v>
      </c>
      <c r="I3502" s="444">
        <f t="shared" ca="1" si="168"/>
        <v>33981834040.974487</v>
      </c>
      <c r="J3502" s="444">
        <f t="array" ref="J3502">IFERROR(INDEX('Retirement Calculator'!J:J,MATCH('Isaac 401k'!N3502,'Retirement Calculator'!A:A,0),0),0)</f>
        <v>0</v>
      </c>
      <c r="K3502" s="444">
        <f t="shared" ca="1" si="166"/>
        <v>141590975.17072701</v>
      </c>
      <c r="L3502" s="444">
        <f t="shared" ca="1" si="167"/>
        <v>34123425016.145214</v>
      </c>
      <c r="M3502" s="460">
        <f t="shared" si="169"/>
        <v>0.05</v>
      </c>
      <c r="N3502" s="464">
        <f t="shared" si="170"/>
        <v>157633</v>
      </c>
    </row>
    <row r="3503" spans="7:14" ht="11.25" customHeight="1" x14ac:dyDescent="0.3">
      <c r="G3503" s="459"/>
      <c r="H3503" s="459">
        <v>3496</v>
      </c>
      <c r="I3503" s="444">
        <f t="shared" ca="1" si="168"/>
        <v>34123425016.145214</v>
      </c>
      <c r="J3503" s="444">
        <f t="array" ref="J3503">IFERROR(INDEX('Retirement Calculator'!J:J,MATCH('Isaac 401k'!N3503,'Retirement Calculator'!A:A,0),0),0)</f>
        <v>0</v>
      </c>
      <c r="K3503" s="444">
        <f t="shared" ca="1" si="166"/>
        <v>142180937.56727171</v>
      </c>
      <c r="L3503" s="444">
        <f t="shared" ca="1" si="167"/>
        <v>34265605953.712486</v>
      </c>
      <c r="M3503" s="460">
        <f t="shared" si="169"/>
        <v>0.05</v>
      </c>
      <c r="N3503" s="464">
        <f t="shared" si="170"/>
        <v>157664</v>
      </c>
    </row>
    <row r="3504" spans="7:14" ht="11.25" customHeight="1" x14ac:dyDescent="0.3">
      <c r="G3504" s="459"/>
      <c r="H3504" s="459">
        <v>3497</v>
      </c>
      <c r="I3504" s="444">
        <f t="shared" ca="1" si="168"/>
        <v>34265605953.712486</v>
      </c>
      <c r="J3504" s="444">
        <f t="array" ref="J3504">IFERROR(INDEX('Retirement Calculator'!J:J,MATCH('Isaac 401k'!N3504,'Retirement Calculator'!A:A,0),0),0)</f>
        <v>0</v>
      </c>
      <c r="K3504" s="444">
        <f t="shared" ca="1" si="166"/>
        <v>142773358.14046869</v>
      </c>
      <c r="L3504" s="444">
        <f t="shared" ca="1" si="167"/>
        <v>34408379311.852959</v>
      </c>
      <c r="M3504" s="460">
        <f t="shared" si="169"/>
        <v>0.05</v>
      </c>
      <c r="N3504" s="464">
        <f t="shared" si="170"/>
        <v>157694</v>
      </c>
    </row>
    <row r="3505" spans="7:14" ht="11.25" customHeight="1" x14ac:dyDescent="0.3">
      <c r="G3505" s="459"/>
      <c r="H3505" s="459">
        <v>3498</v>
      </c>
      <c r="I3505" s="444">
        <f t="shared" ca="1" si="168"/>
        <v>34408379311.852959</v>
      </c>
      <c r="J3505" s="444">
        <f t="array" ref="J3505">IFERROR(INDEX('Retirement Calculator'!J:J,MATCH('Isaac 401k'!N3505,'Retirement Calculator'!A:A,0),0),0)</f>
        <v>0</v>
      </c>
      <c r="K3505" s="444">
        <f t="shared" ca="1" si="166"/>
        <v>143368247.13272065</v>
      </c>
      <c r="L3505" s="444">
        <f t="shared" ca="1" si="167"/>
        <v>34551747558.98568</v>
      </c>
      <c r="M3505" s="460">
        <f t="shared" si="169"/>
        <v>0.05</v>
      </c>
      <c r="N3505" s="464">
        <f t="shared" si="170"/>
        <v>157725</v>
      </c>
    </row>
    <row r="3506" spans="7:14" ht="11.25" customHeight="1" x14ac:dyDescent="0.3">
      <c r="G3506" s="459"/>
      <c r="H3506" s="459">
        <v>3499</v>
      </c>
      <c r="I3506" s="444">
        <f t="shared" ca="1" si="168"/>
        <v>34551747558.98568</v>
      </c>
      <c r="J3506" s="444">
        <f t="array" ref="J3506">IFERROR(INDEX('Retirement Calculator'!J:J,MATCH('Isaac 401k'!N3506,'Retirement Calculator'!A:A,0),0),0)</f>
        <v>0</v>
      </c>
      <c r="K3506" s="444">
        <f t="shared" ca="1" si="166"/>
        <v>143965614.82910699</v>
      </c>
      <c r="L3506" s="444">
        <f t="shared" ca="1" si="167"/>
        <v>34695713173.814789</v>
      </c>
      <c r="M3506" s="460">
        <f t="shared" si="169"/>
        <v>0.05</v>
      </c>
      <c r="N3506" s="464">
        <f t="shared" si="170"/>
        <v>157755</v>
      </c>
    </row>
    <row r="3507" spans="7:14" ht="11.25" customHeight="1" x14ac:dyDescent="0.3">
      <c r="G3507" s="459"/>
      <c r="H3507" s="459">
        <v>3500</v>
      </c>
      <c r="I3507" s="444">
        <f t="shared" ca="1" si="168"/>
        <v>34695713173.814789</v>
      </c>
      <c r="J3507" s="444">
        <f t="array" ref="J3507">IFERROR(INDEX('Retirement Calculator'!J:J,MATCH('Isaac 401k'!N3507,'Retirement Calculator'!A:A,0),0),0)</f>
        <v>0</v>
      </c>
      <c r="K3507" s="444">
        <f t="shared" ca="1" si="166"/>
        <v>144565471.55756161</v>
      </c>
      <c r="L3507" s="444">
        <f t="shared" ca="1" si="167"/>
        <v>34840278645.372353</v>
      </c>
      <c r="M3507" s="460">
        <f t="shared" si="169"/>
        <v>0.05</v>
      </c>
      <c r="N3507" s="464">
        <f t="shared" si="170"/>
        <v>157786</v>
      </c>
    </row>
    <row r="3508" spans="7:14" ht="11.25" customHeight="1" x14ac:dyDescent="0.3">
      <c r="G3508" s="459"/>
      <c r="H3508" s="459">
        <v>3501</v>
      </c>
      <c r="I3508" s="444">
        <f t="shared" ca="1" si="168"/>
        <v>34840278645.372353</v>
      </c>
      <c r="J3508" s="444">
        <f t="array" ref="J3508">IFERROR(INDEX('Retirement Calculator'!J:J,MATCH('Isaac 401k'!N3508,'Retirement Calculator'!A:A,0),0),0)</f>
        <v>0</v>
      </c>
      <c r="K3508" s="444">
        <f t="shared" ca="1" si="166"/>
        <v>145167827.68905148</v>
      </c>
      <c r="L3508" s="444">
        <f t="shared" ca="1" si="167"/>
        <v>34985446473.061401</v>
      </c>
      <c r="M3508" s="460">
        <f t="shared" si="169"/>
        <v>0.05</v>
      </c>
      <c r="N3508" s="464">
        <f t="shared" si="170"/>
        <v>157817</v>
      </c>
    </row>
    <row r="3509" spans="7:14" ht="11.25" customHeight="1" x14ac:dyDescent="0.3">
      <c r="G3509" s="459"/>
      <c r="H3509" s="459">
        <v>3502</v>
      </c>
      <c r="I3509" s="444">
        <f t="shared" ca="1" si="168"/>
        <v>34985446473.061401</v>
      </c>
      <c r="J3509" s="444">
        <f t="array" ref="J3509">IFERROR(INDEX('Retirement Calculator'!J:J,MATCH('Isaac 401k'!N3509,'Retirement Calculator'!A:A,0),0),0)</f>
        <v>0</v>
      </c>
      <c r="K3509" s="444">
        <f t="shared" ca="1" si="166"/>
        <v>145772693.63775584</v>
      </c>
      <c r="L3509" s="444">
        <f t="shared" ca="1" si="167"/>
        <v>35131219166.699158</v>
      </c>
      <c r="M3509" s="460">
        <f t="shared" si="169"/>
        <v>0.05</v>
      </c>
      <c r="N3509" s="464">
        <f t="shared" si="170"/>
        <v>157846</v>
      </c>
    </row>
    <row r="3510" spans="7:14" ht="11.25" customHeight="1" x14ac:dyDescent="0.3">
      <c r="G3510" s="459"/>
      <c r="H3510" s="459">
        <v>3503</v>
      </c>
      <c r="I3510" s="444">
        <f t="shared" ca="1" si="168"/>
        <v>35131219166.699158</v>
      </c>
      <c r="J3510" s="444">
        <f t="array" ref="J3510">IFERROR(INDEX('Retirement Calculator'!J:J,MATCH('Isaac 401k'!N3510,'Retirement Calculator'!A:A,0),0),0)</f>
        <v>0</v>
      </c>
      <c r="K3510" s="444">
        <f t="shared" ca="1" si="166"/>
        <v>146380079.8612465</v>
      </c>
      <c r="L3510" s="444">
        <f t="shared" ca="1" si="167"/>
        <v>35277599246.560402</v>
      </c>
      <c r="M3510" s="460">
        <f t="shared" si="169"/>
        <v>0.05</v>
      </c>
      <c r="N3510" s="464">
        <f t="shared" si="170"/>
        <v>157877</v>
      </c>
    </row>
    <row r="3511" spans="7:14" ht="11.25" customHeight="1" x14ac:dyDescent="0.3">
      <c r="G3511" s="459"/>
      <c r="H3511" s="459">
        <v>3504</v>
      </c>
      <c r="I3511" s="444">
        <f t="shared" ca="1" si="168"/>
        <v>35277599246.560402</v>
      </c>
      <c r="J3511" s="444">
        <f t="array" ref="J3511">IFERROR(INDEX('Retirement Calculator'!J:J,MATCH('Isaac 401k'!N3511,'Retirement Calculator'!A:A,0),0),0)</f>
        <v>0</v>
      </c>
      <c r="K3511" s="444">
        <f t="shared" ca="1" si="166"/>
        <v>146989996.86066833</v>
      </c>
      <c r="L3511" s="444">
        <f t="shared" ca="1" si="167"/>
        <v>35424589243.421074</v>
      </c>
      <c r="M3511" s="460">
        <f t="shared" si="169"/>
        <v>0.05</v>
      </c>
      <c r="N3511" s="464">
        <f t="shared" si="170"/>
        <v>157907</v>
      </c>
    </row>
    <row r="3512" spans="7:14" ht="11.25" customHeight="1" x14ac:dyDescent="0.3">
      <c r="G3512" s="459"/>
      <c r="H3512" s="459">
        <v>3505</v>
      </c>
      <c r="I3512" s="444">
        <f t="shared" ca="1" si="168"/>
        <v>35424589243.421074</v>
      </c>
      <c r="J3512" s="444">
        <f t="array" ref="J3512">IFERROR(INDEX('Retirement Calculator'!J:J,MATCH('Isaac 401k'!N3512,'Retirement Calculator'!A:A,0),0),0)</f>
        <v>0</v>
      </c>
      <c r="K3512" s="444">
        <f t="shared" ca="1" si="166"/>
        <v>147602455.18092114</v>
      </c>
      <c r="L3512" s="444">
        <f t="shared" ca="1" si="167"/>
        <v>35572191698.601997</v>
      </c>
      <c r="M3512" s="460">
        <f t="shared" si="169"/>
        <v>0.05</v>
      </c>
      <c r="N3512" s="464">
        <f t="shared" si="170"/>
        <v>157938</v>
      </c>
    </row>
    <row r="3513" spans="7:14" ht="11.25" customHeight="1" x14ac:dyDescent="0.3">
      <c r="G3513" s="459"/>
      <c r="H3513" s="459">
        <v>3506</v>
      </c>
      <c r="I3513" s="444">
        <f t="shared" ca="1" si="168"/>
        <v>35572191698.601997</v>
      </c>
      <c r="J3513" s="444">
        <f t="array" ref="J3513">IFERROR(INDEX('Retirement Calculator'!J:J,MATCH('Isaac 401k'!N3513,'Retirement Calculator'!A:A,0),0),0)</f>
        <v>0</v>
      </c>
      <c r="K3513" s="444">
        <f t="shared" ca="1" si="166"/>
        <v>148217465.41084164</v>
      </c>
      <c r="L3513" s="444">
        <f t="shared" ca="1" si="167"/>
        <v>35720409164.01284</v>
      </c>
      <c r="M3513" s="460">
        <f t="shared" si="169"/>
        <v>0.05</v>
      </c>
      <c r="N3513" s="464">
        <f t="shared" si="170"/>
        <v>157968</v>
      </c>
    </row>
    <row r="3514" spans="7:14" ht="11.25" customHeight="1" x14ac:dyDescent="0.3">
      <c r="G3514" s="459"/>
      <c r="H3514" s="459">
        <v>3507</v>
      </c>
      <c r="I3514" s="444">
        <f t="shared" ca="1" si="168"/>
        <v>35720409164.01284</v>
      </c>
      <c r="J3514" s="444">
        <f t="array" ref="J3514">IFERROR(INDEX('Retirement Calculator'!J:J,MATCH('Isaac 401k'!N3514,'Retirement Calculator'!A:A,0),0),0)</f>
        <v>0</v>
      </c>
      <c r="K3514" s="444">
        <f t="shared" ca="1" si="166"/>
        <v>148835038.18338683</v>
      </c>
      <c r="L3514" s="444">
        <f t="shared" ca="1" si="167"/>
        <v>35869244202.196228</v>
      </c>
      <c r="M3514" s="460">
        <f t="shared" si="169"/>
        <v>0.05</v>
      </c>
      <c r="N3514" s="464">
        <f t="shared" si="170"/>
        <v>157999</v>
      </c>
    </row>
    <row r="3515" spans="7:14" ht="11.25" customHeight="1" x14ac:dyDescent="0.3">
      <c r="G3515" s="459"/>
      <c r="H3515" s="459">
        <v>3508</v>
      </c>
      <c r="I3515" s="444">
        <f t="shared" ca="1" si="168"/>
        <v>35869244202.196228</v>
      </c>
      <c r="J3515" s="444">
        <f t="array" ref="J3515">IFERROR(INDEX('Retirement Calculator'!J:J,MATCH('Isaac 401k'!N3515,'Retirement Calculator'!A:A,0),0),0)</f>
        <v>0</v>
      </c>
      <c r="K3515" s="444">
        <f t="shared" ca="1" si="166"/>
        <v>149455184.17581761</v>
      </c>
      <c r="L3515" s="444">
        <f t="shared" ca="1" si="167"/>
        <v>36018699386.372047</v>
      </c>
      <c r="M3515" s="460">
        <f t="shared" si="169"/>
        <v>0.05</v>
      </c>
      <c r="N3515" s="464">
        <f t="shared" si="170"/>
        <v>158030</v>
      </c>
    </row>
    <row r="3516" spans="7:14" ht="11.25" customHeight="1" x14ac:dyDescent="0.3">
      <c r="G3516" s="459"/>
      <c r="H3516" s="459">
        <v>3509</v>
      </c>
      <c r="I3516" s="444">
        <f t="shared" ca="1" si="168"/>
        <v>36018699386.372047</v>
      </c>
      <c r="J3516" s="444">
        <f t="array" ref="J3516">IFERROR(INDEX('Retirement Calculator'!J:J,MATCH('Isaac 401k'!N3516,'Retirement Calculator'!A:A,0),0),0)</f>
        <v>0</v>
      </c>
      <c r="K3516" s="444">
        <f t="shared" ca="1" si="166"/>
        <v>150077914.10988352</v>
      </c>
      <c r="L3516" s="444">
        <f t="shared" ca="1" si="167"/>
        <v>36168777300.481934</v>
      </c>
      <c r="M3516" s="460">
        <f t="shared" si="169"/>
        <v>0.05</v>
      </c>
      <c r="N3516" s="464">
        <f t="shared" si="170"/>
        <v>158060</v>
      </c>
    </row>
    <row r="3517" spans="7:14" ht="11.25" customHeight="1" x14ac:dyDescent="0.3">
      <c r="G3517" s="459"/>
      <c r="H3517" s="459">
        <v>3510</v>
      </c>
      <c r="I3517" s="444">
        <f t="shared" ca="1" si="168"/>
        <v>36168777300.481934</v>
      </c>
      <c r="J3517" s="444">
        <f t="array" ref="J3517">IFERROR(INDEX('Retirement Calculator'!J:J,MATCH('Isaac 401k'!N3517,'Retirement Calculator'!A:A,0),0),0)</f>
        <v>0</v>
      </c>
      <c r="K3517" s="444">
        <f t="shared" ca="1" si="166"/>
        <v>150703238.75200805</v>
      </c>
      <c r="L3517" s="444">
        <f t="shared" ca="1" si="167"/>
        <v>36319480539.23394</v>
      </c>
      <c r="M3517" s="460">
        <f t="shared" si="169"/>
        <v>0.05</v>
      </c>
      <c r="N3517" s="464">
        <f t="shared" si="170"/>
        <v>158091</v>
      </c>
    </row>
    <row r="3518" spans="7:14" ht="11.25" customHeight="1" x14ac:dyDescent="0.3">
      <c r="G3518" s="459"/>
      <c r="H3518" s="459">
        <v>3511</v>
      </c>
      <c r="I3518" s="444">
        <f t="shared" ca="1" si="168"/>
        <v>36319480539.23394</v>
      </c>
      <c r="J3518" s="444">
        <f t="array" ref="J3518">IFERROR(INDEX('Retirement Calculator'!J:J,MATCH('Isaac 401k'!N3518,'Retirement Calculator'!A:A,0),0),0)</f>
        <v>0</v>
      </c>
      <c r="K3518" s="444">
        <f t="shared" ca="1" si="166"/>
        <v>151331168.91347474</v>
      </c>
      <c r="L3518" s="444">
        <f t="shared" ca="1" si="167"/>
        <v>36470811708.147415</v>
      </c>
      <c r="M3518" s="460">
        <f t="shared" si="169"/>
        <v>0.05</v>
      </c>
      <c r="N3518" s="464">
        <f t="shared" si="170"/>
        <v>158121</v>
      </c>
    </row>
    <row r="3519" spans="7:14" ht="11.25" customHeight="1" x14ac:dyDescent="0.3">
      <c r="G3519" s="459"/>
      <c r="H3519" s="459">
        <v>3512</v>
      </c>
      <c r="I3519" s="444">
        <f t="shared" ca="1" si="168"/>
        <v>36470811708.147415</v>
      </c>
      <c r="J3519" s="444">
        <f t="array" ref="J3519">IFERROR(INDEX('Retirement Calculator'!J:J,MATCH('Isaac 401k'!N3519,'Retirement Calculator'!A:A,0),0),0)</f>
        <v>0</v>
      </c>
      <c r="K3519" s="444">
        <f t="shared" ca="1" si="166"/>
        <v>151961715.45061421</v>
      </c>
      <c r="L3519" s="444">
        <f t="shared" ca="1" si="167"/>
        <v>36622773423.59803</v>
      </c>
      <c r="M3519" s="460">
        <f t="shared" si="169"/>
        <v>0.05</v>
      </c>
      <c r="N3519" s="464">
        <f t="shared" si="170"/>
        <v>158152</v>
      </c>
    </row>
    <row r="3520" spans="7:14" ht="11.25" customHeight="1" x14ac:dyDescent="0.3">
      <c r="G3520" s="459"/>
      <c r="H3520" s="459">
        <v>3513</v>
      </c>
      <c r="I3520" s="444">
        <f t="shared" ca="1" si="168"/>
        <v>36622773423.59803</v>
      </c>
      <c r="J3520" s="444">
        <f t="array" ref="J3520">IFERROR(INDEX('Retirement Calculator'!J:J,MATCH('Isaac 401k'!N3520,'Retirement Calculator'!A:A,0),0),0)</f>
        <v>0</v>
      </c>
      <c r="K3520" s="444">
        <f t="shared" ca="1" si="166"/>
        <v>152594889.26499179</v>
      </c>
      <c r="L3520" s="444">
        <f t="shared" ca="1" si="167"/>
        <v>36775368312.863022</v>
      </c>
      <c r="M3520" s="460">
        <f t="shared" si="169"/>
        <v>0.05</v>
      </c>
      <c r="N3520" s="464">
        <f t="shared" si="170"/>
        <v>158183</v>
      </c>
    </row>
    <row r="3521" spans="7:14" ht="11.25" customHeight="1" x14ac:dyDescent="0.3">
      <c r="G3521" s="459"/>
      <c r="H3521" s="459">
        <v>3514</v>
      </c>
      <c r="I3521" s="444">
        <f t="shared" ca="1" si="168"/>
        <v>36775368312.863022</v>
      </c>
      <c r="J3521" s="444">
        <f t="array" ref="J3521">IFERROR(INDEX('Retirement Calculator'!J:J,MATCH('Isaac 401k'!N3521,'Retirement Calculator'!A:A,0),0),0)</f>
        <v>0</v>
      </c>
      <c r="K3521" s="444">
        <f t="shared" ca="1" si="166"/>
        <v>153230701.30359593</v>
      </c>
      <c r="L3521" s="444">
        <f t="shared" ca="1" si="167"/>
        <v>36928599014.166618</v>
      </c>
      <c r="M3521" s="460">
        <f t="shared" si="169"/>
        <v>0.05</v>
      </c>
      <c r="N3521" s="464">
        <f t="shared" si="170"/>
        <v>158211</v>
      </c>
    </row>
    <row r="3522" spans="7:14" ht="11.25" customHeight="1" x14ac:dyDescent="0.3">
      <c r="G3522" s="459"/>
      <c r="H3522" s="459">
        <v>3515</v>
      </c>
      <c r="I3522" s="444">
        <f t="shared" ca="1" si="168"/>
        <v>36928599014.166618</v>
      </c>
      <c r="J3522" s="444">
        <f t="array" ref="J3522">IFERROR(INDEX('Retirement Calculator'!J:J,MATCH('Isaac 401k'!N3522,'Retirement Calculator'!A:A,0),0),0)</f>
        <v>0</v>
      </c>
      <c r="K3522" s="444">
        <f t="shared" ca="1" si="166"/>
        <v>153869162.55902758</v>
      </c>
      <c r="L3522" s="444">
        <f t="shared" ca="1" si="167"/>
        <v>37082468176.725647</v>
      </c>
      <c r="M3522" s="460">
        <f t="shared" si="169"/>
        <v>0.05</v>
      </c>
      <c r="N3522" s="464">
        <f t="shared" si="170"/>
        <v>158242</v>
      </c>
    </row>
    <row r="3523" spans="7:14" ht="11.25" customHeight="1" x14ac:dyDescent="0.3">
      <c r="G3523" s="459"/>
      <c r="H3523" s="459">
        <v>3516</v>
      </c>
      <c r="I3523" s="444">
        <f t="shared" ca="1" si="168"/>
        <v>37082468176.725647</v>
      </c>
      <c r="J3523" s="444">
        <f t="array" ref="J3523">IFERROR(INDEX('Retirement Calculator'!J:J,MATCH('Isaac 401k'!N3523,'Retirement Calculator'!A:A,0),0),0)</f>
        <v>0</v>
      </c>
      <c r="K3523" s="444">
        <f t="shared" ca="1" si="166"/>
        <v>154510284.0696902</v>
      </c>
      <c r="L3523" s="444">
        <f t="shared" ca="1" si="167"/>
        <v>37236978460.795334</v>
      </c>
      <c r="M3523" s="460">
        <f t="shared" si="169"/>
        <v>0.05</v>
      </c>
      <c r="N3523" s="464">
        <f t="shared" si="170"/>
        <v>158272</v>
      </c>
    </row>
    <row r="3524" spans="7:14" ht="11.25" customHeight="1" x14ac:dyDescent="0.3">
      <c r="G3524" s="459"/>
      <c r="H3524" s="459">
        <v>3517</v>
      </c>
      <c r="I3524" s="444">
        <f t="shared" ca="1" si="168"/>
        <v>37236978460.795334</v>
      </c>
      <c r="J3524" s="444">
        <f t="array" ref="J3524">IFERROR(INDEX('Retirement Calculator'!J:J,MATCH('Isaac 401k'!N3524,'Retirement Calculator'!A:A,0),0),0)</f>
        <v>0</v>
      </c>
      <c r="K3524" s="444">
        <f t="shared" ca="1" si="166"/>
        <v>155154076.91998056</v>
      </c>
      <c r="L3524" s="444">
        <f t="shared" ca="1" si="167"/>
        <v>37392132537.715317</v>
      </c>
      <c r="M3524" s="460">
        <f t="shared" si="169"/>
        <v>0.05</v>
      </c>
      <c r="N3524" s="464">
        <f t="shared" si="170"/>
        <v>158303</v>
      </c>
    </row>
    <row r="3525" spans="7:14" ht="11.25" customHeight="1" x14ac:dyDescent="0.3">
      <c r="G3525" s="459"/>
      <c r="H3525" s="459">
        <v>3518</v>
      </c>
      <c r="I3525" s="444">
        <f t="shared" ca="1" si="168"/>
        <v>37392132537.715317</v>
      </c>
      <c r="J3525" s="444">
        <f t="array" ref="J3525">IFERROR(INDEX('Retirement Calculator'!J:J,MATCH('Isaac 401k'!N3525,'Retirement Calculator'!A:A,0),0),0)</f>
        <v>0</v>
      </c>
      <c r="K3525" s="444">
        <f t="shared" ca="1" si="166"/>
        <v>155800552.24048048</v>
      </c>
      <c r="L3525" s="444">
        <f t="shared" ca="1" si="167"/>
        <v>37547933089.955795</v>
      </c>
      <c r="M3525" s="460">
        <f t="shared" si="169"/>
        <v>0.05</v>
      </c>
      <c r="N3525" s="464">
        <f t="shared" si="170"/>
        <v>158333</v>
      </c>
    </row>
    <row r="3526" spans="7:14" ht="11.25" customHeight="1" x14ac:dyDescent="0.3">
      <c r="G3526" s="459"/>
      <c r="H3526" s="459">
        <v>3519</v>
      </c>
      <c r="I3526" s="444">
        <f t="shared" ca="1" si="168"/>
        <v>37547933089.955795</v>
      </c>
      <c r="J3526" s="444">
        <f t="array" ref="J3526">IFERROR(INDEX('Retirement Calculator'!J:J,MATCH('Isaac 401k'!N3526,'Retirement Calculator'!A:A,0),0),0)</f>
        <v>0</v>
      </c>
      <c r="K3526" s="444">
        <f t="shared" ca="1" si="166"/>
        <v>156449721.20814914</v>
      </c>
      <c r="L3526" s="444">
        <f t="shared" ca="1" si="167"/>
        <v>37704382811.163948</v>
      </c>
      <c r="M3526" s="460">
        <f t="shared" si="169"/>
        <v>0.05</v>
      </c>
      <c r="N3526" s="464">
        <f t="shared" si="170"/>
        <v>158364</v>
      </c>
    </row>
    <row r="3527" spans="7:14" ht="11.25" customHeight="1" x14ac:dyDescent="0.3">
      <c r="G3527" s="459"/>
      <c r="H3527" s="459">
        <v>3520</v>
      </c>
      <c r="I3527" s="444">
        <f t="shared" ca="1" si="168"/>
        <v>37704382811.163948</v>
      </c>
      <c r="J3527" s="444">
        <f t="array" ref="J3527">IFERROR(INDEX('Retirement Calculator'!J:J,MATCH('Isaac 401k'!N3527,'Retirement Calculator'!A:A,0),0),0)</f>
        <v>0</v>
      </c>
      <c r="K3527" s="444">
        <f t="shared" ca="1" si="166"/>
        <v>157101595.04651645</v>
      </c>
      <c r="L3527" s="444">
        <f t="shared" ca="1" si="167"/>
        <v>37861484406.210464</v>
      </c>
      <c r="M3527" s="460">
        <f t="shared" si="169"/>
        <v>0.05</v>
      </c>
      <c r="N3527" s="464">
        <f t="shared" si="170"/>
        <v>158395</v>
      </c>
    </row>
    <row r="3528" spans="7:14" ht="11.25" customHeight="1" x14ac:dyDescent="0.3">
      <c r="G3528" s="459"/>
      <c r="H3528" s="459">
        <v>3521</v>
      </c>
      <c r="I3528" s="444">
        <f t="shared" ca="1" si="168"/>
        <v>37861484406.210464</v>
      </c>
      <c r="J3528" s="444">
        <f t="array" ref="J3528">IFERROR(INDEX('Retirement Calculator'!J:J,MATCH('Isaac 401k'!N3528,'Retirement Calculator'!A:A,0),0),0)</f>
        <v>0</v>
      </c>
      <c r="K3528" s="444">
        <f t="shared" ca="1" si="166"/>
        <v>157756185.02587694</v>
      </c>
      <c r="L3528" s="444">
        <f t="shared" ca="1" si="167"/>
        <v>38019240591.236343</v>
      </c>
      <c r="M3528" s="460">
        <f t="shared" si="169"/>
        <v>0.05</v>
      </c>
      <c r="N3528" s="464">
        <f t="shared" si="170"/>
        <v>158425</v>
      </c>
    </row>
    <row r="3529" spans="7:14" ht="11.25" customHeight="1" x14ac:dyDescent="0.3">
      <c r="G3529" s="459"/>
      <c r="H3529" s="459">
        <v>3522</v>
      </c>
      <c r="I3529" s="444">
        <f t="shared" ca="1" si="168"/>
        <v>38019240591.236343</v>
      </c>
      <c r="J3529" s="444">
        <f t="array" ref="J3529">IFERROR(INDEX('Retirement Calculator'!J:J,MATCH('Isaac 401k'!N3529,'Retirement Calculator'!A:A,0),0),0)</f>
        <v>0</v>
      </c>
      <c r="K3529" s="444">
        <f t="shared" ca="1" si="166"/>
        <v>158413502.46348476</v>
      </c>
      <c r="L3529" s="444">
        <f t="shared" ca="1" si="167"/>
        <v>38177654093.699829</v>
      </c>
      <c r="M3529" s="460">
        <f t="shared" si="169"/>
        <v>0.05</v>
      </c>
      <c r="N3529" s="464">
        <f t="shared" si="170"/>
        <v>158456</v>
      </c>
    </row>
    <row r="3530" spans="7:14" ht="11.25" customHeight="1" x14ac:dyDescent="0.3">
      <c r="G3530" s="459"/>
      <c r="H3530" s="459">
        <v>3523</v>
      </c>
      <c r="I3530" s="444">
        <f t="shared" ca="1" si="168"/>
        <v>38177654093.699829</v>
      </c>
      <c r="J3530" s="444">
        <f t="array" ref="J3530">IFERROR(INDEX('Retirement Calculator'!J:J,MATCH('Isaac 401k'!N3530,'Retirement Calculator'!A:A,0),0),0)</f>
        <v>0</v>
      </c>
      <c r="K3530" s="444">
        <f t="shared" ca="1" si="166"/>
        <v>159073558.72374928</v>
      </c>
      <c r="L3530" s="444">
        <f t="shared" ca="1" si="167"/>
        <v>38336727652.423576</v>
      </c>
      <c r="M3530" s="460">
        <f t="shared" si="169"/>
        <v>0.05</v>
      </c>
      <c r="N3530" s="464">
        <f t="shared" si="170"/>
        <v>158486</v>
      </c>
    </row>
    <row r="3531" spans="7:14" ht="11.25" customHeight="1" x14ac:dyDescent="0.3">
      <c r="G3531" s="459"/>
      <c r="H3531" s="459">
        <v>3524</v>
      </c>
      <c r="I3531" s="444">
        <f t="shared" ca="1" si="168"/>
        <v>38336727652.423576</v>
      </c>
      <c r="J3531" s="444">
        <f t="array" ref="J3531">IFERROR(INDEX('Retirement Calculator'!J:J,MATCH('Isaac 401k'!N3531,'Retirement Calculator'!A:A,0),0),0)</f>
        <v>0</v>
      </c>
      <c r="K3531" s="444">
        <f t="shared" ca="1" si="166"/>
        <v>159736365.21843156</v>
      </c>
      <c r="L3531" s="444">
        <f t="shared" ca="1" si="167"/>
        <v>38496464017.642006</v>
      </c>
      <c r="M3531" s="460">
        <f t="shared" si="169"/>
        <v>0.05</v>
      </c>
      <c r="N3531" s="464">
        <f t="shared" si="170"/>
        <v>158517</v>
      </c>
    </row>
    <row r="3532" spans="7:14" ht="11.25" customHeight="1" x14ac:dyDescent="0.3">
      <c r="G3532" s="459"/>
      <c r="H3532" s="459">
        <v>3525</v>
      </c>
      <c r="I3532" s="444">
        <f t="shared" ca="1" si="168"/>
        <v>38496464017.642006</v>
      </c>
      <c r="J3532" s="444">
        <f t="array" ref="J3532">IFERROR(INDEX('Retirement Calculator'!J:J,MATCH('Isaac 401k'!N3532,'Retirement Calculator'!A:A,0),0),0)</f>
        <v>0</v>
      </c>
      <c r="K3532" s="444">
        <f t="shared" ca="1" si="166"/>
        <v>160401933.4068417</v>
      </c>
      <c r="L3532" s="444">
        <f t="shared" ca="1" si="167"/>
        <v>38656865951.048851</v>
      </c>
      <c r="M3532" s="460">
        <f t="shared" si="169"/>
        <v>0.05</v>
      </c>
      <c r="N3532" s="464">
        <f t="shared" si="170"/>
        <v>158548</v>
      </c>
    </row>
    <row r="3533" spans="7:14" ht="11.25" customHeight="1" x14ac:dyDescent="0.3">
      <c r="G3533" s="459"/>
      <c r="H3533" s="459">
        <v>3526</v>
      </c>
      <c r="I3533" s="444">
        <f t="shared" ca="1" si="168"/>
        <v>38656865951.048851</v>
      </c>
      <c r="J3533" s="444">
        <f t="array" ref="J3533">IFERROR(INDEX('Retirement Calculator'!J:J,MATCH('Isaac 401k'!N3533,'Retirement Calculator'!A:A,0),0),0)</f>
        <v>0</v>
      </c>
      <c r="K3533" s="444">
        <f t="shared" ca="1" si="166"/>
        <v>161070274.79603687</v>
      </c>
      <c r="L3533" s="444">
        <f t="shared" ca="1" si="167"/>
        <v>38817936225.844887</v>
      </c>
      <c r="M3533" s="460">
        <f t="shared" si="169"/>
        <v>0.05</v>
      </c>
      <c r="N3533" s="464">
        <f t="shared" si="170"/>
        <v>158576</v>
      </c>
    </row>
    <row r="3534" spans="7:14" ht="11.25" customHeight="1" x14ac:dyDescent="0.3">
      <c r="G3534" s="459"/>
      <c r="H3534" s="459">
        <v>3527</v>
      </c>
      <c r="I3534" s="444">
        <f t="shared" ca="1" si="168"/>
        <v>38817936225.844887</v>
      </c>
      <c r="J3534" s="444">
        <f t="array" ref="J3534">IFERROR(INDEX('Retirement Calculator'!J:J,MATCH('Isaac 401k'!N3534,'Retirement Calculator'!A:A,0),0),0)</f>
        <v>0</v>
      </c>
      <c r="K3534" s="444">
        <f t="shared" ca="1" si="166"/>
        <v>161741400.94102037</v>
      </c>
      <c r="L3534" s="444">
        <f t="shared" ca="1" si="167"/>
        <v>38979677626.785904</v>
      </c>
      <c r="M3534" s="460">
        <f t="shared" si="169"/>
        <v>0.05</v>
      </c>
      <c r="N3534" s="464">
        <f t="shared" si="170"/>
        <v>158607</v>
      </c>
    </row>
    <row r="3535" spans="7:14" ht="11.25" customHeight="1" x14ac:dyDescent="0.3">
      <c r="G3535" s="459"/>
      <c r="H3535" s="459">
        <v>3528</v>
      </c>
      <c r="I3535" s="444">
        <f t="shared" ca="1" si="168"/>
        <v>38979677626.785904</v>
      </c>
      <c r="J3535" s="444">
        <f t="array" ref="J3535">IFERROR(INDEX('Retirement Calculator'!J:J,MATCH('Isaac 401k'!N3535,'Retirement Calculator'!A:A,0),0),0)</f>
        <v>0</v>
      </c>
      <c r="K3535" s="444">
        <f t="shared" ca="1" si="166"/>
        <v>162415323.44494125</v>
      </c>
      <c r="L3535" s="444">
        <f t="shared" ca="1" si="167"/>
        <v>39142092950.230843</v>
      </c>
      <c r="M3535" s="460">
        <f t="shared" si="169"/>
        <v>0.05</v>
      </c>
      <c r="N3535" s="464">
        <f t="shared" si="170"/>
        <v>158637</v>
      </c>
    </row>
    <row r="3536" spans="7:14" ht="11.25" customHeight="1" x14ac:dyDescent="0.3">
      <c r="G3536" s="459"/>
      <c r="H3536" s="459">
        <v>3529</v>
      </c>
      <c r="I3536" s="444">
        <f t="shared" ca="1" si="168"/>
        <v>39142092950.230843</v>
      </c>
      <c r="J3536" s="444">
        <f t="array" ref="J3536">IFERROR(INDEX('Retirement Calculator'!J:J,MATCH('Isaac 401k'!N3536,'Retirement Calculator'!A:A,0),0),0)</f>
        <v>0</v>
      </c>
      <c r="K3536" s="444">
        <f t="shared" ca="1" si="166"/>
        <v>163092053.95929518</v>
      </c>
      <c r="L3536" s="444">
        <f t="shared" ca="1" si="167"/>
        <v>39305185004.19014</v>
      </c>
      <c r="M3536" s="460">
        <f t="shared" si="169"/>
        <v>0.05</v>
      </c>
      <c r="N3536" s="464">
        <f t="shared" si="170"/>
        <v>158668</v>
      </c>
    </row>
    <row r="3537" spans="7:14" ht="11.25" customHeight="1" x14ac:dyDescent="0.3">
      <c r="G3537" s="459"/>
      <c r="H3537" s="459">
        <v>3530</v>
      </c>
      <c r="I3537" s="444">
        <f t="shared" ca="1" si="168"/>
        <v>39305185004.19014</v>
      </c>
      <c r="J3537" s="444">
        <f t="array" ref="J3537">IFERROR(INDEX('Retirement Calculator'!J:J,MATCH('Isaac 401k'!N3537,'Retirement Calculator'!A:A,0),0),0)</f>
        <v>0</v>
      </c>
      <c r="K3537" s="444">
        <f t="shared" ca="1" si="166"/>
        <v>163771604.18412557</v>
      </c>
      <c r="L3537" s="444">
        <f t="shared" ca="1" si="167"/>
        <v>39468956608.374268</v>
      </c>
      <c r="M3537" s="460">
        <f t="shared" si="169"/>
        <v>0.05</v>
      </c>
      <c r="N3537" s="464">
        <f t="shared" si="170"/>
        <v>158698</v>
      </c>
    </row>
    <row r="3538" spans="7:14" ht="11.25" customHeight="1" x14ac:dyDescent="0.3">
      <c r="G3538" s="459"/>
      <c r="H3538" s="459">
        <v>3531</v>
      </c>
      <c r="I3538" s="444">
        <f t="shared" ca="1" si="168"/>
        <v>39468956608.374268</v>
      </c>
      <c r="J3538" s="444">
        <f t="array" ref="J3538">IFERROR(INDEX('Retirement Calculator'!J:J,MATCH('Isaac 401k'!N3538,'Retirement Calculator'!A:A,0),0),0)</f>
        <v>0</v>
      </c>
      <c r="K3538" s="444">
        <f t="shared" ca="1" si="166"/>
        <v>164453985.86822611</v>
      </c>
      <c r="L3538" s="444">
        <f t="shared" ca="1" si="167"/>
        <v>39633410594.242493</v>
      </c>
      <c r="M3538" s="460">
        <f t="shared" si="169"/>
        <v>0.05</v>
      </c>
      <c r="N3538" s="464">
        <f t="shared" si="170"/>
        <v>158729</v>
      </c>
    </row>
    <row r="3539" spans="7:14" ht="11.25" customHeight="1" x14ac:dyDescent="0.3">
      <c r="G3539" s="459"/>
      <c r="H3539" s="459">
        <v>3532</v>
      </c>
      <c r="I3539" s="444">
        <f t="shared" ca="1" si="168"/>
        <v>39633410594.242493</v>
      </c>
      <c r="J3539" s="444">
        <f t="array" ref="J3539">IFERROR(INDEX('Retirement Calculator'!J:J,MATCH('Isaac 401k'!N3539,'Retirement Calculator'!A:A,0),0),0)</f>
        <v>0</v>
      </c>
      <c r="K3539" s="444">
        <f t="shared" ca="1" si="166"/>
        <v>165139210.80934373</v>
      </c>
      <c r="L3539" s="444">
        <f t="shared" ca="1" si="167"/>
        <v>39798549805.051834</v>
      </c>
      <c r="M3539" s="460">
        <f t="shared" si="169"/>
        <v>0.05</v>
      </c>
      <c r="N3539" s="464">
        <f t="shared" si="170"/>
        <v>158760</v>
      </c>
    </row>
    <row r="3540" spans="7:14" ht="11.25" customHeight="1" x14ac:dyDescent="0.3">
      <c r="G3540" s="459"/>
      <c r="H3540" s="459">
        <v>3533</v>
      </c>
      <c r="I3540" s="444">
        <f t="shared" ca="1" si="168"/>
        <v>39798549805.051834</v>
      </c>
      <c r="J3540" s="444">
        <f t="array" ref="J3540">IFERROR(INDEX('Retirement Calculator'!J:J,MATCH('Isaac 401k'!N3540,'Retirement Calculator'!A:A,0),0),0)</f>
        <v>0</v>
      </c>
      <c r="K3540" s="444">
        <f t="shared" ca="1" si="166"/>
        <v>165827290.85438263</v>
      </c>
      <c r="L3540" s="444">
        <f t="shared" ca="1" si="167"/>
        <v>39964377095.906219</v>
      </c>
      <c r="M3540" s="460">
        <f t="shared" si="169"/>
        <v>0.05</v>
      </c>
      <c r="N3540" s="464">
        <f t="shared" si="170"/>
        <v>158790</v>
      </c>
    </row>
    <row r="3541" spans="7:14" ht="11.25" customHeight="1" x14ac:dyDescent="0.3">
      <c r="G3541" s="459"/>
      <c r="H3541" s="459">
        <v>3534</v>
      </c>
      <c r="I3541" s="444">
        <f t="shared" ca="1" si="168"/>
        <v>39964377095.906219</v>
      </c>
      <c r="J3541" s="444">
        <f t="array" ref="J3541">IFERROR(INDEX('Retirement Calculator'!J:J,MATCH('Isaac 401k'!N3541,'Retirement Calculator'!A:A,0),0),0)</f>
        <v>0</v>
      </c>
      <c r="K3541" s="444">
        <f t="shared" ca="1" si="166"/>
        <v>166518237.89960924</v>
      </c>
      <c r="L3541" s="444">
        <f t="shared" ca="1" si="167"/>
        <v>40130895333.805832</v>
      </c>
      <c r="M3541" s="460">
        <f t="shared" si="169"/>
        <v>0.05</v>
      </c>
      <c r="N3541" s="464">
        <f t="shared" si="170"/>
        <v>158821</v>
      </c>
    </row>
    <row r="3542" spans="7:14" ht="11.25" customHeight="1" x14ac:dyDescent="0.3">
      <c r="G3542" s="459"/>
      <c r="H3542" s="459">
        <v>3535</v>
      </c>
      <c r="I3542" s="444">
        <f t="shared" ca="1" si="168"/>
        <v>40130895333.805832</v>
      </c>
      <c r="J3542" s="444">
        <f t="array" ref="J3542">IFERROR(INDEX('Retirement Calculator'!J:J,MATCH('Isaac 401k'!N3542,'Retirement Calculator'!A:A,0),0),0)</f>
        <v>0</v>
      </c>
      <c r="K3542" s="444">
        <f t="shared" ca="1" si="166"/>
        <v>167212063.89085764</v>
      </c>
      <c r="L3542" s="444">
        <f t="shared" ca="1" si="167"/>
        <v>40298107397.696686</v>
      </c>
      <c r="M3542" s="460">
        <f t="shared" si="169"/>
        <v>0.05</v>
      </c>
      <c r="N3542" s="464">
        <f t="shared" si="170"/>
        <v>158851</v>
      </c>
    </row>
    <row r="3543" spans="7:14" ht="11.25" customHeight="1" x14ac:dyDescent="0.3">
      <c r="G3543" s="459"/>
      <c r="H3543" s="459">
        <v>3536</v>
      </c>
      <c r="I3543" s="444">
        <f t="shared" ca="1" si="168"/>
        <v>40298107397.696686</v>
      </c>
      <c r="J3543" s="444">
        <f t="array" ref="J3543">IFERROR(INDEX('Retirement Calculator'!J:J,MATCH('Isaac 401k'!N3543,'Retirement Calculator'!A:A,0),0),0)</f>
        <v>0</v>
      </c>
      <c r="K3543" s="444">
        <f t="shared" ca="1" si="166"/>
        <v>167908780.82373619</v>
      </c>
      <c r="L3543" s="444">
        <f t="shared" ca="1" si="167"/>
        <v>40466016178.520424</v>
      </c>
      <c r="M3543" s="460">
        <f t="shared" si="169"/>
        <v>0.05</v>
      </c>
      <c r="N3543" s="464">
        <f t="shared" si="170"/>
        <v>158882</v>
      </c>
    </row>
    <row r="3544" spans="7:14" ht="11.25" customHeight="1" x14ac:dyDescent="0.3">
      <c r="G3544" s="459"/>
      <c r="H3544" s="459">
        <v>3537</v>
      </c>
      <c r="I3544" s="444">
        <f t="shared" ca="1" si="168"/>
        <v>40466016178.520424</v>
      </c>
      <c r="J3544" s="444">
        <f t="array" ref="J3544">IFERROR(INDEX('Retirement Calculator'!J:J,MATCH('Isaac 401k'!N3544,'Retirement Calculator'!A:A,0),0),0)</f>
        <v>0</v>
      </c>
      <c r="K3544" s="444">
        <f t="shared" ca="1" si="166"/>
        <v>168608400.74383509</v>
      </c>
      <c r="L3544" s="444">
        <f t="shared" ca="1" si="167"/>
        <v>40634624579.264259</v>
      </c>
      <c r="M3544" s="460">
        <f t="shared" si="169"/>
        <v>0.05</v>
      </c>
      <c r="N3544" s="464">
        <f t="shared" si="170"/>
        <v>158913</v>
      </c>
    </row>
    <row r="3545" spans="7:14" ht="11.25" customHeight="1" x14ac:dyDescent="0.3">
      <c r="G3545" s="459"/>
      <c r="H3545" s="459">
        <v>3538</v>
      </c>
      <c r="I3545" s="444">
        <f t="shared" ca="1" si="168"/>
        <v>40634624579.264259</v>
      </c>
      <c r="J3545" s="444">
        <f t="array" ref="J3545">IFERROR(INDEX('Retirement Calculator'!J:J,MATCH('Isaac 401k'!N3545,'Retirement Calculator'!A:A,0),0),0)</f>
        <v>0</v>
      </c>
      <c r="K3545" s="444">
        <f t="shared" ca="1" si="166"/>
        <v>169310935.74693441</v>
      </c>
      <c r="L3545" s="444">
        <f t="shared" ca="1" si="167"/>
        <v>40803935515.011192</v>
      </c>
      <c r="M3545" s="460">
        <f t="shared" si="169"/>
        <v>0.05</v>
      </c>
      <c r="N3545" s="464">
        <f t="shared" si="170"/>
        <v>158941</v>
      </c>
    </row>
    <row r="3546" spans="7:14" ht="11.25" customHeight="1" x14ac:dyDescent="0.3">
      <c r="G3546" s="459"/>
      <c r="H3546" s="459">
        <v>3539</v>
      </c>
      <c r="I3546" s="444">
        <f t="shared" ca="1" si="168"/>
        <v>40803935515.011192</v>
      </c>
      <c r="J3546" s="444">
        <f t="array" ref="J3546">IFERROR(INDEX('Retirement Calculator'!J:J,MATCH('Isaac 401k'!N3546,'Retirement Calculator'!A:A,0),0),0)</f>
        <v>0</v>
      </c>
      <c r="K3546" s="444">
        <f t="shared" ca="1" si="166"/>
        <v>170016397.9792133</v>
      </c>
      <c r="L3546" s="444">
        <f t="shared" ca="1" si="167"/>
        <v>40973951912.990402</v>
      </c>
      <c r="M3546" s="460">
        <f t="shared" si="169"/>
        <v>0.05</v>
      </c>
      <c r="N3546" s="464">
        <f t="shared" si="170"/>
        <v>158972</v>
      </c>
    </row>
    <row r="3547" spans="7:14" ht="11.25" customHeight="1" x14ac:dyDescent="0.3">
      <c r="G3547" s="459"/>
      <c r="H3547" s="459">
        <v>3540</v>
      </c>
      <c r="I3547" s="444">
        <f t="shared" ca="1" si="168"/>
        <v>40973951912.990402</v>
      </c>
      <c r="J3547" s="444">
        <f t="array" ref="J3547">IFERROR(INDEX('Retirement Calculator'!J:J,MATCH('Isaac 401k'!N3547,'Retirement Calculator'!A:A,0),0),0)</f>
        <v>0</v>
      </c>
      <c r="K3547" s="444">
        <f t="shared" ca="1" si="166"/>
        <v>170724799.63745999</v>
      </c>
      <c r="L3547" s="444">
        <f t="shared" ca="1" si="167"/>
        <v>41144676712.627861</v>
      </c>
      <c r="M3547" s="460">
        <f t="shared" si="169"/>
        <v>0.05</v>
      </c>
      <c r="N3547" s="464">
        <f t="shared" si="170"/>
        <v>159002</v>
      </c>
    </row>
    <row r="3548" spans="7:14" ht="11.25" customHeight="1" x14ac:dyDescent="0.3">
      <c r="G3548" s="459"/>
      <c r="H3548" s="459">
        <v>3541</v>
      </c>
      <c r="I3548" s="444">
        <f t="shared" ca="1" si="168"/>
        <v>41144676712.627861</v>
      </c>
      <c r="J3548" s="444">
        <f t="array" ref="J3548">IFERROR(INDEX('Retirement Calculator'!J:J,MATCH('Isaac 401k'!N3548,'Retirement Calculator'!A:A,0),0),0)</f>
        <v>0</v>
      </c>
      <c r="K3548" s="444">
        <f t="shared" ca="1" si="166"/>
        <v>171436152.96928275</v>
      </c>
      <c r="L3548" s="444">
        <f t="shared" ca="1" si="167"/>
        <v>41316112865.597145</v>
      </c>
      <c r="M3548" s="460">
        <f t="shared" si="169"/>
        <v>0.05</v>
      </c>
      <c r="N3548" s="464">
        <f t="shared" si="170"/>
        <v>159033</v>
      </c>
    </row>
    <row r="3549" spans="7:14" ht="11.25" customHeight="1" x14ac:dyDescent="0.3">
      <c r="G3549" s="459"/>
      <c r="H3549" s="459">
        <v>3542</v>
      </c>
      <c r="I3549" s="444">
        <f t="shared" ca="1" si="168"/>
        <v>41316112865.597145</v>
      </c>
      <c r="J3549" s="444">
        <f t="array" ref="J3549">IFERROR(INDEX('Retirement Calculator'!J:J,MATCH('Isaac 401k'!N3549,'Retirement Calculator'!A:A,0),0),0)</f>
        <v>0</v>
      </c>
      <c r="K3549" s="444">
        <f t="shared" ca="1" si="166"/>
        <v>172150470.27332145</v>
      </c>
      <c r="L3549" s="444">
        <f t="shared" ca="1" si="167"/>
        <v>41488263335.870468</v>
      </c>
      <c r="M3549" s="460">
        <f t="shared" si="169"/>
        <v>0.05</v>
      </c>
      <c r="N3549" s="464">
        <f t="shared" si="170"/>
        <v>159063</v>
      </c>
    </row>
    <row r="3550" spans="7:14" ht="11.25" customHeight="1" x14ac:dyDescent="0.3">
      <c r="G3550" s="459"/>
      <c r="H3550" s="459">
        <v>3543</v>
      </c>
      <c r="I3550" s="444">
        <f t="shared" ca="1" si="168"/>
        <v>41488263335.870468</v>
      </c>
      <c r="J3550" s="444">
        <f t="array" ref="J3550">IFERROR(INDEX('Retirement Calculator'!J:J,MATCH('Isaac 401k'!N3550,'Retirement Calculator'!A:A,0),0),0)</f>
        <v>0</v>
      </c>
      <c r="K3550" s="444">
        <f t="shared" ca="1" si="166"/>
        <v>172867763.89946029</v>
      </c>
      <c r="L3550" s="444">
        <f t="shared" ca="1" si="167"/>
        <v>41661131099.769928</v>
      </c>
      <c r="M3550" s="460">
        <f t="shared" si="169"/>
        <v>0.05</v>
      </c>
      <c r="N3550" s="464">
        <f t="shared" si="170"/>
        <v>159094</v>
      </c>
    </row>
    <row r="3551" spans="7:14" ht="11.25" customHeight="1" x14ac:dyDescent="0.3">
      <c r="G3551" s="459"/>
      <c r="H3551" s="459">
        <v>3544</v>
      </c>
      <c r="I3551" s="444">
        <f t="shared" ca="1" si="168"/>
        <v>41661131099.769928</v>
      </c>
      <c r="J3551" s="444">
        <f t="array" ref="J3551">IFERROR(INDEX('Retirement Calculator'!J:J,MATCH('Isaac 401k'!N3551,'Retirement Calculator'!A:A,0),0),0)</f>
        <v>0</v>
      </c>
      <c r="K3551" s="444">
        <f t="shared" ca="1" si="166"/>
        <v>173588046.24904138</v>
      </c>
      <c r="L3551" s="444">
        <f t="shared" ca="1" si="167"/>
        <v>41834719146.018967</v>
      </c>
      <c r="M3551" s="460">
        <f t="shared" si="169"/>
        <v>0.05</v>
      </c>
      <c r="N3551" s="464">
        <f t="shared" si="170"/>
        <v>159125</v>
      </c>
    </row>
    <row r="3552" spans="7:14" ht="11.25" customHeight="1" x14ac:dyDescent="0.3">
      <c r="G3552" s="459"/>
      <c r="H3552" s="459">
        <v>3545</v>
      </c>
      <c r="I3552" s="444">
        <f t="shared" ca="1" si="168"/>
        <v>41834719146.018967</v>
      </c>
      <c r="J3552" s="444">
        <f t="array" ref="J3552">IFERROR(INDEX('Retirement Calculator'!J:J,MATCH('Isaac 401k'!N3552,'Retirement Calculator'!A:A,0),0),0)</f>
        <v>0</v>
      </c>
      <c r="K3552" s="444">
        <f t="shared" ca="1" si="166"/>
        <v>174311329.77507901</v>
      </c>
      <c r="L3552" s="444">
        <f t="shared" ca="1" si="167"/>
        <v>42009030475.794044</v>
      </c>
      <c r="M3552" s="460">
        <f t="shared" si="169"/>
        <v>0.05</v>
      </c>
      <c r="N3552" s="464">
        <f t="shared" si="170"/>
        <v>159155</v>
      </c>
    </row>
    <row r="3553" spans="7:14" ht="11.25" customHeight="1" x14ac:dyDescent="0.3">
      <c r="G3553" s="459"/>
      <c r="H3553" s="459">
        <v>3546</v>
      </c>
      <c r="I3553" s="444">
        <f t="shared" ca="1" si="168"/>
        <v>42009030475.794044</v>
      </c>
      <c r="J3553" s="444">
        <f t="array" ref="J3553">IFERROR(INDEX('Retirement Calculator'!J:J,MATCH('Isaac 401k'!N3553,'Retirement Calculator'!A:A,0),0),0)</f>
        <v>0</v>
      </c>
      <c r="K3553" s="444">
        <f t="shared" ca="1" si="166"/>
        <v>175037626.98247519</v>
      </c>
      <c r="L3553" s="444">
        <f t="shared" ca="1" si="167"/>
        <v>42184068102.77652</v>
      </c>
      <c r="M3553" s="460">
        <f t="shared" si="169"/>
        <v>0.05</v>
      </c>
      <c r="N3553" s="464">
        <f t="shared" si="170"/>
        <v>159186</v>
      </c>
    </row>
    <row r="3554" spans="7:14" ht="11.25" customHeight="1" x14ac:dyDescent="0.3">
      <c r="G3554" s="459"/>
      <c r="H3554" s="459">
        <v>3547</v>
      </c>
      <c r="I3554" s="444">
        <f t="shared" ca="1" si="168"/>
        <v>42184068102.77652</v>
      </c>
      <c r="J3554" s="444">
        <f t="array" ref="J3554">IFERROR(INDEX('Retirement Calculator'!J:J,MATCH('Isaac 401k'!N3554,'Retirement Calculator'!A:A,0),0),0)</f>
        <v>0</v>
      </c>
      <c r="K3554" s="444">
        <f t="shared" ca="1" si="166"/>
        <v>175766950.4282355</v>
      </c>
      <c r="L3554" s="444">
        <f t="shared" ca="1" si="167"/>
        <v>42359835053.204758</v>
      </c>
      <c r="M3554" s="460">
        <f t="shared" si="169"/>
        <v>0.05</v>
      </c>
      <c r="N3554" s="464">
        <f t="shared" si="170"/>
        <v>159216</v>
      </c>
    </row>
    <row r="3555" spans="7:14" ht="11.25" customHeight="1" x14ac:dyDescent="0.3">
      <c r="G3555" s="459"/>
      <c r="H3555" s="459">
        <v>3548</v>
      </c>
      <c r="I3555" s="444">
        <f t="shared" ca="1" si="168"/>
        <v>42359835053.204758</v>
      </c>
      <c r="J3555" s="444">
        <f t="array" ref="J3555">IFERROR(INDEX('Retirement Calculator'!J:J,MATCH('Isaac 401k'!N3555,'Retirement Calculator'!A:A,0),0),0)</f>
        <v>0</v>
      </c>
      <c r="K3555" s="444">
        <f t="shared" ca="1" si="166"/>
        <v>176499312.72168648</v>
      </c>
      <c r="L3555" s="444">
        <f t="shared" ca="1" si="167"/>
        <v>42536334365.926445</v>
      </c>
      <c r="M3555" s="460">
        <f t="shared" si="169"/>
        <v>0.05</v>
      </c>
      <c r="N3555" s="464">
        <f t="shared" si="170"/>
        <v>159247</v>
      </c>
    </row>
    <row r="3556" spans="7:14" ht="11.25" customHeight="1" x14ac:dyDescent="0.3">
      <c r="G3556" s="459"/>
      <c r="H3556" s="459">
        <v>3549</v>
      </c>
      <c r="I3556" s="444">
        <f t="shared" ca="1" si="168"/>
        <v>42536334365.926445</v>
      </c>
      <c r="J3556" s="444">
        <f t="array" ref="J3556">IFERROR(INDEX('Retirement Calculator'!J:J,MATCH('Isaac 401k'!N3556,'Retirement Calculator'!A:A,0),0),0)</f>
        <v>0</v>
      </c>
      <c r="K3556" s="444">
        <f t="shared" ca="1" si="166"/>
        <v>177234726.52469352</v>
      </c>
      <c r="L3556" s="444">
        <f t="shared" ca="1" si="167"/>
        <v>42713569092.451141</v>
      </c>
      <c r="M3556" s="460">
        <f t="shared" si="169"/>
        <v>0.05</v>
      </c>
      <c r="N3556" s="464">
        <f t="shared" si="170"/>
        <v>159278</v>
      </c>
    </row>
    <row r="3557" spans="7:14" ht="11.25" customHeight="1" x14ac:dyDescent="0.3">
      <c r="G3557" s="459"/>
      <c r="H3557" s="459">
        <v>3550</v>
      </c>
      <c r="I3557" s="444">
        <f t="shared" ca="1" si="168"/>
        <v>42713569092.451141</v>
      </c>
      <c r="J3557" s="444">
        <f t="array" ref="J3557">IFERROR(INDEX('Retirement Calculator'!J:J,MATCH('Isaac 401k'!N3557,'Retirement Calculator'!A:A,0),0),0)</f>
        <v>0</v>
      </c>
      <c r="K3557" s="444">
        <f t="shared" ca="1" si="166"/>
        <v>177973204.55187976</v>
      </c>
      <c r="L3557" s="444">
        <f t="shared" ca="1" si="167"/>
        <v>42891542297.003021</v>
      </c>
      <c r="M3557" s="460">
        <f t="shared" si="169"/>
        <v>0.05</v>
      </c>
      <c r="N3557" s="464">
        <f t="shared" si="170"/>
        <v>159307</v>
      </c>
    </row>
    <row r="3558" spans="7:14" ht="11.25" customHeight="1" x14ac:dyDescent="0.3">
      <c r="G3558" s="459"/>
      <c r="H3558" s="459">
        <v>3551</v>
      </c>
      <c r="I3558" s="444">
        <f t="shared" ca="1" si="168"/>
        <v>42891542297.003021</v>
      </c>
      <c r="J3558" s="444">
        <f t="array" ref="J3558">IFERROR(INDEX('Retirement Calculator'!J:J,MATCH('Isaac 401k'!N3558,'Retirement Calculator'!A:A,0),0),0)</f>
        <v>0</v>
      </c>
      <c r="K3558" s="444">
        <f t="shared" ca="1" si="166"/>
        <v>178714759.57084593</v>
      </c>
      <c r="L3558" s="444">
        <f t="shared" ca="1" si="167"/>
        <v>43070257056.573868</v>
      </c>
      <c r="M3558" s="460">
        <f t="shared" si="169"/>
        <v>0.05</v>
      </c>
      <c r="N3558" s="464">
        <f t="shared" si="170"/>
        <v>159338</v>
      </c>
    </row>
    <row r="3559" spans="7:14" ht="11.25" customHeight="1" x14ac:dyDescent="0.3">
      <c r="G3559" s="459"/>
      <c r="H3559" s="459">
        <v>3552</v>
      </c>
      <c r="I3559" s="444">
        <f t="shared" ca="1" si="168"/>
        <v>43070257056.573868</v>
      </c>
      <c r="J3559" s="444">
        <f t="array" ref="J3559">IFERROR(INDEX('Retirement Calculator'!J:J,MATCH('Isaac 401k'!N3559,'Retirement Calculator'!A:A,0),0),0)</f>
        <v>0</v>
      </c>
      <c r="K3559" s="444">
        <f t="shared" ca="1" si="166"/>
        <v>179459404.40239111</v>
      </c>
      <c r="L3559" s="444">
        <f t="shared" ca="1" si="167"/>
        <v>43249716460.976257</v>
      </c>
      <c r="M3559" s="460">
        <f t="shared" si="169"/>
        <v>0.05</v>
      </c>
      <c r="N3559" s="464">
        <f t="shared" si="170"/>
        <v>159368</v>
      </c>
    </row>
    <row r="3560" spans="7:14" ht="11.25" customHeight="1" x14ac:dyDescent="0.3">
      <c r="G3560" s="459"/>
      <c r="H3560" s="459">
        <v>3553</v>
      </c>
      <c r="I3560" s="444">
        <f t="shared" ca="1" si="168"/>
        <v>43249716460.976257</v>
      </c>
      <c r="J3560" s="444">
        <f t="array" ref="J3560">IFERROR(INDEX('Retirement Calculator'!J:J,MATCH('Isaac 401k'!N3560,'Retirement Calculator'!A:A,0),0),0)</f>
        <v>0</v>
      </c>
      <c r="K3560" s="444">
        <f t="shared" ca="1" si="166"/>
        <v>180207151.92073441</v>
      </c>
      <c r="L3560" s="444">
        <f t="shared" ca="1" si="167"/>
        <v>43429923612.896988</v>
      </c>
      <c r="M3560" s="460">
        <f t="shared" si="169"/>
        <v>0.05</v>
      </c>
      <c r="N3560" s="464">
        <f t="shared" si="170"/>
        <v>159399</v>
      </c>
    </row>
    <row r="3561" spans="7:14" ht="11.25" customHeight="1" x14ac:dyDescent="0.3">
      <c r="G3561" s="459"/>
      <c r="H3561" s="459">
        <v>3554</v>
      </c>
      <c r="I3561" s="444">
        <f t="shared" ca="1" si="168"/>
        <v>43429923612.896988</v>
      </c>
      <c r="J3561" s="444">
        <f t="array" ref="J3561">IFERROR(INDEX('Retirement Calculator'!J:J,MATCH('Isaac 401k'!N3561,'Retirement Calculator'!A:A,0),0),0)</f>
        <v>0</v>
      </c>
      <c r="K3561" s="444">
        <f t="shared" ca="1" si="166"/>
        <v>180958015.05373746</v>
      </c>
      <c r="L3561" s="444">
        <f t="shared" ca="1" si="167"/>
        <v>43610881627.950722</v>
      </c>
      <c r="M3561" s="460">
        <f t="shared" si="169"/>
        <v>0.05</v>
      </c>
      <c r="N3561" s="464">
        <f t="shared" si="170"/>
        <v>159429</v>
      </c>
    </row>
    <row r="3562" spans="7:14" ht="11.25" customHeight="1" x14ac:dyDescent="0.3">
      <c r="G3562" s="459"/>
      <c r="H3562" s="459">
        <v>3555</v>
      </c>
      <c r="I3562" s="444">
        <f t="shared" ca="1" si="168"/>
        <v>43610881627.950722</v>
      </c>
      <c r="J3562" s="444">
        <f t="array" ref="J3562">IFERROR(INDEX('Retirement Calculator'!J:J,MATCH('Isaac 401k'!N3562,'Retirement Calculator'!A:A,0),0),0)</f>
        <v>0</v>
      </c>
      <c r="K3562" s="444">
        <f t="shared" ca="1" si="166"/>
        <v>181712006.78312799</v>
      </c>
      <c r="L3562" s="444">
        <f t="shared" ca="1" si="167"/>
        <v>43792593634.733849</v>
      </c>
      <c r="M3562" s="460">
        <f t="shared" si="169"/>
        <v>0.05</v>
      </c>
      <c r="N3562" s="464">
        <f t="shared" si="170"/>
        <v>159460</v>
      </c>
    </row>
    <row r="3563" spans="7:14" ht="11.25" customHeight="1" x14ac:dyDescent="0.3">
      <c r="G3563" s="459"/>
      <c r="H3563" s="459">
        <v>3556</v>
      </c>
      <c r="I3563" s="444">
        <f t="shared" ca="1" si="168"/>
        <v>43792593634.733849</v>
      </c>
      <c r="J3563" s="444">
        <f t="array" ref="J3563">IFERROR(INDEX('Retirement Calculator'!J:J,MATCH('Isaac 401k'!N3563,'Retirement Calculator'!A:A,0),0),0)</f>
        <v>0</v>
      </c>
      <c r="K3563" s="444">
        <f t="shared" ca="1" si="166"/>
        <v>182469140.14472437</v>
      </c>
      <c r="L3563" s="444">
        <f t="shared" ca="1" si="167"/>
        <v>43975062774.878571</v>
      </c>
      <c r="M3563" s="460">
        <f t="shared" si="169"/>
        <v>0.05</v>
      </c>
      <c r="N3563" s="464">
        <f t="shared" si="170"/>
        <v>159491</v>
      </c>
    </row>
    <row r="3564" spans="7:14" ht="11.25" customHeight="1" x14ac:dyDescent="0.3">
      <c r="G3564" s="459"/>
      <c r="H3564" s="459">
        <v>3557</v>
      </c>
      <c r="I3564" s="444">
        <f t="shared" ca="1" si="168"/>
        <v>43975062774.878571</v>
      </c>
      <c r="J3564" s="444">
        <f t="array" ref="J3564">IFERROR(INDEX('Retirement Calculator'!J:J,MATCH('Isaac 401k'!N3564,'Retirement Calculator'!A:A,0),0),0)</f>
        <v>0</v>
      </c>
      <c r="K3564" s="444">
        <f t="shared" ca="1" si="166"/>
        <v>183229428.2286607</v>
      </c>
      <c r="L3564" s="444">
        <f t="shared" ca="1" si="167"/>
        <v>44158292203.107231</v>
      </c>
      <c r="M3564" s="460">
        <f t="shared" si="169"/>
        <v>0.05</v>
      </c>
      <c r="N3564" s="464">
        <f t="shared" si="170"/>
        <v>159521</v>
      </c>
    </row>
    <row r="3565" spans="7:14" ht="11.25" customHeight="1" x14ac:dyDescent="0.3">
      <c r="G3565" s="459"/>
      <c r="H3565" s="459">
        <v>3558</v>
      </c>
      <c r="I3565" s="444">
        <f t="shared" ca="1" si="168"/>
        <v>44158292203.107231</v>
      </c>
      <c r="J3565" s="444">
        <f t="array" ref="J3565">IFERROR(INDEX('Retirement Calculator'!J:J,MATCH('Isaac 401k'!N3565,'Retirement Calculator'!A:A,0),0),0)</f>
        <v>0</v>
      </c>
      <c r="K3565" s="444">
        <f t="shared" ca="1" si="166"/>
        <v>183992884.17961347</v>
      </c>
      <c r="L3565" s="444">
        <f t="shared" ca="1" si="167"/>
        <v>44342285087.286842</v>
      </c>
      <c r="M3565" s="460">
        <f t="shared" si="169"/>
        <v>0.05</v>
      </c>
      <c r="N3565" s="464">
        <f t="shared" si="170"/>
        <v>159552</v>
      </c>
    </row>
    <row r="3566" spans="7:14" ht="11.25" customHeight="1" x14ac:dyDescent="0.3">
      <c r="G3566" s="459"/>
      <c r="H3566" s="459">
        <v>3559</v>
      </c>
      <c r="I3566" s="444">
        <f t="shared" ca="1" si="168"/>
        <v>44342285087.286842</v>
      </c>
      <c r="J3566" s="444">
        <f t="array" ref="J3566">IFERROR(INDEX('Retirement Calculator'!J:J,MATCH('Isaac 401k'!N3566,'Retirement Calculator'!A:A,0),0),0)</f>
        <v>0</v>
      </c>
      <c r="K3566" s="444">
        <f t="shared" ca="1" si="166"/>
        <v>184759521.19702852</v>
      </c>
      <c r="L3566" s="444">
        <f t="shared" ca="1" si="167"/>
        <v>44527044608.483871</v>
      </c>
      <c r="M3566" s="460">
        <f t="shared" si="169"/>
        <v>0.05</v>
      </c>
      <c r="N3566" s="464">
        <f t="shared" si="170"/>
        <v>159582</v>
      </c>
    </row>
    <row r="3567" spans="7:14" ht="11.25" customHeight="1" x14ac:dyDescent="0.3">
      <c r="G3567" s="459"/>
      <c r="H3567" s="459">
        <v>3560</v>
      </c>
      <c r="I3567" s="444">
        <f t="shared" ca="1" si="168"/>
        <v>44527044608.483871</v>
      </c>
      <c r="J3567" s="444">
        <f t="array" ref="J3567">IFERROR(INDEX('Retirement Calculator'!J:J,MATCH('Isaac 401k'!N3567,'Retirement Calculator'!A:A,0),0),0)</f>
        <v>0</v>
      </c>
      <c r="K3567" s="444">
        <f t="shared" ca="1" si="166"/>
        <v>185529352.53534946</v>
      </c>
      <c r="L3567" s="444">
        <f t="shared" ca="1" si="167"/>
        <v>44712573961.019218</v>
      </c>
      <c r="M3567" s="460">
        <f t="shared" si="169"/>
        <v>0.05</v>
      </c>
      <c r="N3567" s="464">
        <f t="shared" si="170"/>
        <v>159613</v>
      </c>
    </row>
    <row r="3568" spans="7:14" ht="11.25" customHeight="1" x14ac:dyDescent="0.3">
      <c r="G3568" s="459"/>
      <c r="H3568" s="459">
        <v>3561</v>
      </c>
      <c r="I3568" s="444">
        <f t="shared" ca="1" si="168"/>
        <v>44712573961.019218</v>
      </c>
      <c r="J3568" s="444">
        <f t="array" ref="J3568">IFERROR(INDEX('Retirement Calculator'!J:J,MATCH('Isaac 401k'!N3568,'Retirement Calculator'!A:A,0),0),0)</f>
        <v>0</v>
      </c>
      <c r="K3568" s="444">
        <f t="shared" ca="1" si="166"/>
        <v>186302391.50424674</v>
      </c>
      <c r="L3568" s="444">
        <f t="shared" ca="1" si="167"/>
        <v>44898876352.523468</v>
      </c>
      <c r="M3568" s="460">
        <f t="shared" si="169"/>
        <v>0.05</v>
      </c>
      <c r="N3568" s="464">
        <f t="shared" si="170"/>
        <v>159644</v>
      </c>
    </row>
    <row r="3569" spans="7:14" ht="11.25" customHeight="1" x14ac:dyDescent="0.3">
      <c r="G3569" s="459"/>
      <c r="H3569" s="459">
        <v>3562</v>
      </c>
      <c r="I3569" s="444">
        <f t="shared" ca="1" si="168"/>
        <v>44898876352.523468</v>
      </c>
      <c r="J3569" s="444">
        <f t="array" ref="J3569">IFERROR(INDEX('Retirement Calculator'!J:J,MATCH('Isaac 401k'!N3569,'Retirement Calculator'!A:A,0),0),0)</f>
        <v>0</v>
      </c>
      <c r="K3569" s="444">
        <f t="shared" ca="1" si="166"/>
        <v>187078651.46884778</v>
      </c>
      <c r="L3569" s="444">
        <f t="shared" ca="1" si="167"/>
        <v>45085955003.992317</v>
      </c>
      <c r="M3569" s="460">
        <f t="shared" si="169"/>
        <v>0.05</v>
      </c>
      <c r="N3569" s="464">
        <f t="shared" si="170"/>
        <v>159672</v>
      </c>
    </row>
    <row r="3570" spans="7:14" ht="11.25" customHeight="1" x14ac:dyDescent="0.3">
      <c r="G3570" s="459"/>
      <c r="H3570" s="459">
        <v>3563</v>
      </c>
      <c r="I3570" s="444">
        <f t="shared" ca="1" si="168"/>
        <v>45085955003.992317</v>
      </c>
      <c r="J3570" s="444">
        <f t="array" ref="J3570">IFERROR(INDEX('Retirement Calculator'!J:J,MATCH('Isaac 401k'!N3570,'Retirement Calculator'!A:A,0),0),0)</f>
        <v>0</v>
      </c>
      <c r="K3570" s="444">
        <f t="shared" ca="1" si="166"/>
        <v>187858145.84996799</v>
      </c>
      <c r="L3570" s="444">
        <f t="shared" ca="1" si="167"/>
        <v>45273813149.842285</v>
      </c>
      <c r="M3570" s="460">
        <f t="shared" si="169"/>
        <v>0.05</v>
      </c>
      <c r="N3570" s="464">
        <f t="shared" si="170"/>
        <v>159703</v>
      </c>
    </row>
    <row r="3571" spans="7:14" ht="11.25" customHeight="1" x14ac:dyDescent="0.3">
      <c r="G3571" s="459"/>
      <c r="H3571" s="459">
        <v>3564</v>
      </c>
      <c r="I3571" s="444">
        <f t="shared" ca="1" si="168"/>
        <v>45273813149.842285</v>
      </c>
      <c r="J3571" s="444">
        <f t="array" ref="J3571">IFERROR(INDEX('Retirement Calculator'!J:J,MATCH('Isaac 401k'!N3571,'Retirement Calculator'!A:A,0),0),0)</f>
        <v>0</v>
      </c>
      <c r="K3571" s="444">
        <f t="shared" ca="1" si="166"/>
        <v>188640888.12434286</v>
      </c>
      <c r="L3571" s="444">
        <f t="shared" ca="1" si="167"/>
        <v>45462454037.966629</v>
      </c>
      <c r="M3571" s="460">
        <f t="shared" si="169"/>
        <v>0.05</v>
      </c>
      <c r="N3571" s="464">
        <f t="shared" si="170"/>
        <v>159733</v>
      </c>
    </row>
    <row r="3572" spans="7:14" ht="11.25" customHeight="1" x14ac:dyDescent="0.3">
      <c r="G3572" s="459"/>
      <c r="H3572" s="459">
        <v>3565</v>
      </c>
      <c r="I3572" s="444">
        <f t="shared" ca="1" si="168"/>
        <v>45462454037.966629</v>
      </c>
      <c r="J3572" s="444">
        <f t="array" ref="J3572">IFERROR(INDEX('Retirement Calculator'!J:J,MATCH('Isaac 401k'!N3572,'Retirement Calculator'!A:A,0),0),0)</f>
        <v>0</v>
      </c>
      <c r="K3572" s="444">
        <f t="shared" ca="1" si="166"/>
        <v>189426891.82486096</v>
      </c>
      <c r="L3572" s="444">
        <f t="shared" ca="1" si="167"/>
        <v>45651880929.791489</v>
      </c>
      <c r="M3572" s="460">
        <f t="shared" si="169"/>
        <v>0.05</v>
      </c>
      <c r="N3572" s="464">
        <f t="shared" si="170"/>
        <v>159764</v>
      </c>
    </row>
    <row r="3573" spans="7:14" ht="11.25" customHeight="1" x14ac:dyDescent="0.3">
      <c r="G3573" s="459"/>
      <c r="H3573" s="459">
        <v>3566</v>
      </c>
      <c r="I3573" s="444">
        <f t="shared" ca="1" si="168"/>
        <v>45651880929.791489</v>
      </c>
      <c r="J3573" s="444">
        <f t="array" ref="J3573">IFERROR(INDEX('Retirement Calculator'!J:J,MATCH('Isaac 401k'!N3573,'Retirement Calculator'!A:A,0),0),0)</f>
        <v>0</v>
      </c>
      <c r="K3573" s="444">
        <f t="shared" ca="1" si="166"/>
        <v>190216170.54079786</v>
      </c>
      <c r="L3573" s="444">
        <f t="shared" ca="1" si="167"/>
        <v>45842097100.332283</v>
      </c>
      <c r="M3573" s="460">
        <f t="shared" si="169"/>
        <v>0.05</v>
      </c>
      <c r="N3573" s="464">
        <f t="shared" si="170"/>
        <v>159794</v>
      </c>
    </row>
    <row r="3574" spans="7:14" ht="11.25" customHeight="1" x14ac:dyDescent="0.3">
      <c r="G3574" s="459"/>
      <c r="H3574" s="459">
        <v>3567</v>
      </c>
      <c r="I3574" s="444">
        <f t="shared" ca="1" si="168"/>
        <v>45842097100.332283</v>
      </c>
      <c r="J3574" s="444">
        <f t="array" ref="J3574">IFERROR(INDEX('Retirement Calculator'!J:J,MATCH('Isaac 401k'!N3574,'Retirement Calculator'!A:A,0),0),0)</f>
        <v>0</v>
      </c>
      <c r="K3574" s="444">
        <f t="shared" ca="1" si="166"/>
        <v>191008737.91805118</v>
      </c>
      <c r="L3574" s="444">
        <f t="shared" ca="1" si="167"/>
        <v>46033105838.250336</v>
      </c>
      <c r="M3574" s="460">
        <f t="shared" si="169"/>
        <v>0.05</v>
      </c>
      <c r="N3574" s="464">
        <f t="shared" si="170"/>
        <v>159825</v>
      </c>
    </row>
    <row r="3575" spans="7:14" ht="11.25" customHeight="1" x14ac:dyDescent="0.3">
      <c r="G3575" s="459"/>
      <c r="H3575" s="459">
        <v>3568</v>
      </c>
      <c r="I3575" s="444">
        <f t="shared" ca="1" si="168"/>
        <v>46033105838.250336</v>
      </c>
      <c r="J3575" s="444">
        <f t="array" ref="J3575">IFERROR(INDEX('Retirement Calculator'!J:J,MATCH('Isaac 401k'!N3575,'Retirement Calculator'!A:A,0),0),0)</f>
        <v>0</v>
      </c>
      <c r="K3575" s="444">
        <f t="shared" ca="1" si="166"/>
        <v>191804607.65937638</v>
      </c>
      <c r="L3575" s="444">
        <f t="shared" ca="1" si="167"/>
        <v>46224910445.909714</v>
      </c>
      <c r="M3575" s="460">
        <f t="shared" si="169"/>
        <v>0.05</v>
      </c>
      <c r="N3575" s="464">
        <f t="shared" si="170"/>
        <v>159856</v>
      </c>
    </row>
    <row r="3576" spans="7:14" ht="11.25" customHeight="1" x14ac:dyDescent="0.3">
      <c r="G3576" s="459"/>
      <c r="H3576" s="459">
        <v>3569</v>
      </c>
      <c r="I3576" s="444">
        <f t="shared" ca="1" si="168"/>
        <v>46224910445.909714</v>
      </c>
      <c r="J3576" s="444">
        <f t="array" ref="J3576">IFERROR(INDEX('Retirement Calculator'!J:J,MATCH('Isaac 401k'!N3576,'Retirement Calculator'!A:A,0),0),0)</f>
        <v>0</v>
      </c>
      <c r="K3576" s="444">
        <f t="shared" ca="1" si="166"/>
        <v>192603793.52462381</v>
      </c>
      <c r="L3576" s="444">
        <f t="shared" ca="1" si="167"/>
        <v>46417514239.434334</v>
      </c>
      <c r="M3576" s="460">
        <f t="shared" si="169"/>
        <v>0.05</v>
      </c>
      <c r="N3576" s="464">
        <f t="shared" si="170"/>
        <v>159886</v>
      </c>
    </row>
    <row r="3577" spans="7:14" ht="11.25" customHeight="1" x14ac:dyDescent="0.3">
      <c r="G3577" s="459"/>
      <c r="H3577" s="459">
        <v>3570</v>
      </c>
      <c r="I3577" s="444">
        <f t="shared" ca="1" si="168"/>
        <v>46417514239.434334</v>
      </c>
      <c r="J3577" s="444">
        <f t="array" ref="J3577">IFERROR(INDEX('Retirement Calculator'!J:J,MATCH('Isaac 401k'!N3577,'Retirement Calculator'!A:A,0),0),0)</f>
        <v>0</v>
      </c>
      <c r="K3577" s="444">
        <f t="shared" ca="1" si="166"/>
        <v>193406309.3309764</v>
      </c>
      <c r="L3577" s="444">
        <f t="shared" ca="1" si="167"/>
        <v>46610920548.765312</v>
      </c>
      <c r="M3577" s="460">
        <f t="shared" si="169"/>
        <v>0.05</v>
      </c>
      <c r="N3577" s="464">
        <f t="shared" si="170"/>
        <v>159917</v>
      </c>
    </row>
    <row r="3578" spans="7:14" ht="11.25" customHeight="1" x14ac:dyDescent="0.3">
      <c r="G3578" s="459"/>
      <c r="H3578" s="459">
        <v>3571</v>
      </c>
      <c r="I3578" s="444">
        <f t="shared" ca="1" si="168"/>
        <v>46610920548.765312</v>
      </c>
      <c r="J3578" s="444">
        <f t="array" ref="J3578">IFERROR(INDEX('Retirement Calculator'!J:J,MATCH('Isaac 401k'!N3578,'Retirement Calculator'!A:A,0),0),0)</f>
        <v>0</v>
      </c>
      <c r="K3578" s="444">
        <f t="shared" ref="K3578:K3832" ca="1" si="171">IPMT(M3578/12,1,12,-I3578+J3578,,0)</f>
        <v>194212168.95318881</v>
      </c>
      <c r="L3578" s="444">
        <f t="shared" ref="L3578:L3832" ca="1" si="172">I3578-J3578+K3578</f>
        <v>46805132717.718498</v>
      </c>
      <c r="M3578" s="460">
        <f t="shared" si="169"/>
        <v>0.05</v>
      </c>
      <c r="N3578" s="464">
        <f t="shared" si="170"/>
        <v>159947</v>
      </c>
    </row>
    <row r="3579" spans="7:14" ht="11.25" customHeight="1" x14ac:dyDescent="0.3">
      <c r="G3579" s="459"/>
      <c r="H3579" s="459">
        <v>3572</v>
      </c>
      <c r="I3579" s="444">
        <f t="shared" ref="I3579:I3833" ca="1" si="173">L3578</f>
        <v>46805132717.718498</v>
      </c>
      <c r="J3579" s="444">
        <f t="array" ref="J3579">IFERROR(INDEX('Retirement Calculator'!J:J,MATCH('Isaac 401k'!N3579,'Retirement Calculator'!A:A,0),0),0)</f>
        <v>0</v>
      </c>
      <c r="K3579" s="444">
        <f t="shared" ca="1" si="171"/>
        <v>195021386.32382709</v>
      </c>
      <c r="L3579" s="444">
        <f t="shared" ca="1" si="172"/>
        <v>47000154104.042328</v>
      </c>
      <c r="M3579" s="460">
        <f t="shared" ref="M3579:M3833" si="174">M3578</f>
        <v>0.05</v>
      </c>
      <c r="N3579" s="464">
        <f t="shared" ref="N3579:N3833" si="175">EDATE(N3578,1)</f>
        <v>159978</v>
      </c>
    </row>
    <row r="3580" spans="7:14" ht="11.25" customHeight="1" x14ac:dyDescent="0.3">
      <c r="G3580" s="459"/>
      <c r="H3580" s="459">
        <v>3573</v>
      </c>
      <c r="I3580" s="444">
        <f t="shared" ca="1" si="173"/>
        <v>47000154104.042328</v>
      </c>
      <c r="J3580" s="444">
        <f t="array" ref="J3580">IFERROR(INDEX('Retirement Calculator'!J:J,MATCH('Isaac 401k'!N3580,'Retirement Calculator'!A:A,0),0),0)</f>
        <v>0</v>
      </c>
      <c r="K3580" s="444">
        <f t="shared" ca="1" si="171"/>
        <v>195833975.43350971</v>
      </c>
      <c r="L3580" s="444">
        <f t="shared" ca="1" si="172"/>
        <v>47195988079.475838</v>
      </c>
      <c r="M3580" s="460">
        <f t="shared" si="174"/>
        <v>0.05</v>
      </c>
      <c r="N3580" s="464">
        <f t="shared" si="175"/>
        <v>160009</v>
      </c>
    </row>
    <row r="3581" spans="7:14" ht="11.25" customHeight="1" x14ac:dyDescent="0.3">
      <c r="G3581" s="459"/>
      <c r="H3581" s="459">
        <v>3574</v>
      </c>
      <c r="I3581" s="444">
        <f t="shared" ca="1" si="173"/>
        <v>47195988079.475838</v>
      </c>
      <c r="J3581" s="444">
        <f t="array" ref="J3581">IFERROR(INDEX('Retirement Calculator'!J:J,MATCH('Isaac 401k'!N3581,'Retirement Calculator'!A:A,0),0),0)</f>
        <v>0</v>
      </c>
      <c r="K3581" s="444">
        <f t="shared" ca="1" si="171"/>
        <v>196649950.33114931</v>
      </c>
      <c r="L3581" s="444">
        <f t="shared" ca="1" si="172"/>
        <v>47392638029.806984</v>
      </c>
      <c r="M3581" s="460">
        <f t="shared" si="174"/>
        <v>0.05</v>
      </c>
      <c r="N3581" s="464">
        <f t="shared" si="175"/>
        <v>160037</v>
      </c>
    </row>
    <row r="3582" spans="7:14" ht="11.25" customHeight="1" x14ac:dyDescent="0.3">
      <c r="G3582" s="459"/>
      <c r="H3582" s="459">
        <v>3575</v>
      </c>
      <c r="I3582" s="444">
        <f t="shared" ca="1" si="173"/>
        <v>47392638029.806984</v>
      </c>
      <c r="J3582" s="444">
        <f t="array" ref="J3582">IFERROR(INDEX('Retirement Calculator'!J:J,MATCH('Isaac 401k'!N3582,'Retirement Calculator'!A:A,0),0),0)</f>
        <v>0</v>
      </c>
      <c r="K3582" s="444">
        <f t="shared" ca="1" si="171"/>
        <v>197469325.12419575</v>
      </c>
      <c r="L3582" s="444">
        <f t="shared" ca="1" si="172"/>
        <v>47590107354.931183</v>
      </c>
      <c r="M3582" s="460">
        <f t="shared" si="174"/>
        <v>0.05</v>
      </c>
      <c r="N3582" s="464">
        <f t="shared" si="175"/>
        <v>160068</v>
      </c>
    </row>
    <row r="3583" spans="7:14" ht="11.25" customHeight="1" x14ac:dyDescent="0.3">
      <c r="G3583" s="459"/>
      <c r="H3583" s="459">
        <v>3576</v>
      </c>
      <c r="I3583" s="444">
        <f t="shared" ca="1" si="173"/>
        <v>47590107354.931183</v>
      </c>
      <c r="J3583" s="444">
        <f t="array" ref="J3583">IFERROR(INDEX('Retirement Calculator'!J:J,MATCH('Isaac 401k'!N3583,'Retirement Calculator'!A:A,0),0),0)</f>
        <v>0</v>
      </c>
      <c r="K3583" s="444">
        <f t="shared" ca="1" si="171"/>
        <v>198292113.97887993</v>
      </c>
      <c r="L3583" s="444">
        <f t="shared" ca="1" si="172"/>
        <v>47788399468.910065</v>
      </c>
      <c r="M3583" s="460">
        <f t="shared" si="174"/>
        <v>0.05</v>
      </c>
      <c r="N3583" s="464">
        <f t="shared" si="175"/>
        <v>160098</v>
      </c>
    </row>
    <row r="3584" spans="7:14" ht="11.25" customHeight="1" x14ac:dyDescent="0.3">
      <c r="G3584" s="459"/>
      <c r="H3584" s="459">
        <v>3577</v>
      </c>
      <c r="I3584" s="444">
        <f t="shared" ca="1" si="173"/>
        <v>47788399468.910065</v>
      </c>
      <c r="J3584" s="444">
        <f t="array" ref="J3584">IFERROR(INDEX('Retirement Calculator'!J:J,MATCH('Isaac 401k'!N3584,'Retirement Calculator'!A:A,0),0),0)</f>
        <v>0</v>
      </c>
      <c r="K3584" s="444">
        <f t="shared" ca="1" si="171"/>
        <v>199118331.1204586</v>
      </c>
      <c r="L3584" s="444">
        <f t="shared" ca="1" si="172"/>
        <v>47987517800.030525</v>
      </c>
      <c r="M3584" s="460">
        <f t="shared" si="174"/>
        <v>0.05</v>
      </c>
      <c r="N3584" s="464">
        <f t="shared" si="175"/>
        <v>160129</v>
      </c>
    </row>
    <row r="3585" spans="7:14" ht="11.25" customHeight="1" x14ac:dyDescent="0.3">
      <c r="G3585" s="459"/>
      <c r="H3585" s="459">
        <v>3578</v>
      </c>
      <c r="I3585" s="444">
        <f t="shared" ca="1" si="173"/>
        <v>47987517800.030525</v>
      </c>
      <c r="J3585" s="444">
        <f t="array" ref="J3585">IFERROR(INDEX('Retirement Calculator'!J:J,MATCH('Isaac 401k'!N3585,'Retirement Calculator'!A:A,0),0),0)</f>
        <v>0</v>
      </c>
      <c r="K3585" s="444">
        <f t="shared" ca="1" si="171"/>
        <v>199947990.83346051</v>
      </c>
      <c r="L3585" s="444">
        <f t="shared" ca="1" si="172"/>
        <v>48187465790.863983</v>
      </c>
      <c r="M3585" s="460">
        <f t="shared" si="174"/>
        <v>0.05</v>
      </c>
      <c r="N3585" s="464">
        <f t="shared" si="175"/>
        <v>160159</v>
      </c>
    </row>
    <row r="3586" spans="7:14" ht="11.25" customHeight="1" x14ac:dyDescent="0.3">
      <c r="G3586" s="459"/>
      <c r="H3586" s="459">
        <v>3579</v>
      </c>
      <c r="I3586" s="444">
        <f t="shared" ca="1" si="173"/>
        <v>48187465790.863983</v>
      </c>
      <c r="J3586" s="444">
        <f t="array" ref="J3586">IFERROR(INDEX('Retirement Calculator'!J:J,MATCH('Isaac 401k'!N3586,'Retirement Calculator'!A:A,0),0),0)</f>
        <v>0</v>
      </c>
      <c r="K3586" s="444">
        <f t="shared" ca="1" si="171"/>
        <v>200781107.46193326</v>
      </c>
      <c r="L3586" s="444">
        <f t="shared" ca="1" si="172"/>
        <v>48388246898.32592</v>
      </c>
      <c r="M3586" s="460">
        <f t="shared" si="174"/>
        <v>0.05</v>
      </c>
      <c r="N3586" s="464">
        <f t="shared" si="175"/>
        <v>160190</v>
      </c>
    </row>
    <row r="3587" spans="7:14" ht="11.25" customHeight="1" x14ac:dyDescent="0.3">
      <c r="G3587" s="459"/>
      <c r="H3587" s="459">
        <v>3580</v>
      </c>
      <c r="I3587" s="444">
        <f t="shared" ca="1" si="173"/>
        <v>48388246898.32592</v>
      </c>
      <c r="J3587" s="444">
        <f t="array" ref="J3587">IFERROR(INDEX('Retirement Calculator'!J:J,MATCH('Isaac 401k'!N3587,'Retirement Calculator'!A:A,0),0),0)</f>
        <v>0</v>
      </c>
      <c r="K3587" s="444">
        <f t="shared" ca="1" si="171"/>
        <v>201617695.40969133</v>
      </c>
      <c r="L3587" s="444">
        <f t="shared" ca="1" si="172"/>
        <v>48589864593.735611</v>
      </c>
      <c r="M3587" s="460">
        <f t="shared" si="174"/>
        <v>0.05</v>
      </c>
      <c r="N3587" s="464">
        <f t="shared" si="175"/>
        <v>160221</v>
      </c>
    </row>
    <row r="3588" spans="7:14" ht="11.25" customHeight="1" x14ac:dyDescent="0.3">
      <c r="G3588" s="459"/>
      <c r="H3588" s="459">
        <v>3581</v>
      </c>
      <c r="I3588" s="444">
        <f t="shared" ca="1" si="173"/>
        <v>48589864593.735611</v>
      </c>
      <c r="J3588" s="444">
        <f t="array" ref="J3588">IFERROR(INDEX('Retirement Calculator'!J:J,MATCH('Isaac 401k'!N3588,'Retirement Calculator'!A:A,0),0),0)</f>
        <v>0</v>
      </c>
      <c r="K3588" s="444">
        <f t="shared" ca="1" si="171"/>
        <v>202457769.14056504</v>
      </c>
      <c r="L3588" s="444">
        <f t="shared" ca="1" si="172"/>
        <v>48792322362.876175</v>
      </c>
      <c r="M3588" s="460">
        <f t="shared" si="174"/>
        <v>0.05</v>
      </c>
      <c r="N3588" s="464">
        <f t="shared" si="175"/>
        <v>160251</v>
      </c>
    </row>
    <row r="3589" spans="7:14" ht="11.25" customHeight="1" x14ac:dyDescent="0.3">
      <c r="G3589" s="459"/>
      <c r="H3589" s="459">
        <v>3582</v>
      </c>
      <c r="I3589" s="444">
        <f t="shared" ca="1" si="173"/>
        <v>48792322362.876175</v>
      </c>
      <c r="J3589" s="444">
        <f t="array" ref="J3589">IFERROR(INDEX('Retirement Calculator'!J:J,MATCH('Isaac 401k'!N3589,'Retirement Calculator'!A:A,0),0),0)</f>
        <v>0</v>
      </c>
      <c r="K3589" s="444">
        <f t="shared" ca="1" si="171"/>
        <v>203301343.17865074</v>
      </c>
      <c r="L3589" s="444">
        <f t="shared" ca="1" si="172"/>
        <v>48995623706.054825</v>
      </c>
      <c r="M3589" s="460">
        <f t="shared" si="174"/>
        <v>0.05</v>
      </c>
      <c r="N3589" s="464">
        <f t="shared" si="175"/>
        <v>160282</v>
      </c>
    </row>
    <row r="3590" spans="7:14" ht="11.25" customHeight="1" x14ac:dyDescent="0.3">
      <c r="G3590" s="459"/>
      <c r="H3590" s="459">
        <v>3583</v>
      </c>
      <c r="I3590" s="444">
        <f t="shared" ca="1" si="173"/>
        <v>48995623706.054825</v>
      </c>
      <c r="J3590" s="444">
        <f t="array" ref="J3590">IFERROR(INDEX('Retirement Calculator'!J:J,MATCH('Isaac 401k'!N3590,'Retirement Calculator'!A:A,0),0),0)</f>
        <v>0</v>
      </c>
      <c r="K3590" s="444">
        <f t="shared" ca="1" si="171"/>
        <v>204148432.10856175</v>
      </c>
      <c r="L3590" s="444">
        <f t="shared" ca="1" si="172"/>
        <v>49199772138.163383</v>
      </c>
      <c r="M3590" s="460">
        <f t="shared" si="174"/>
        <v>0.05</v>
      </c>
      <c r="N3590" s="464">
        <f t="shared" si="175"/>
        <v>160312</v>
      </c>
    </row>
    <row r="3591" spans="7:14" ht="11.25" customHeight="1" x14ac:dyDescent="0.3">
      <c r="G3591" s="459"/>
      <c r="H3591" s="459">
        <v>3584</v>
      </c>
      <c r="I3591" s="444">
        <f t="shared" ca="1" si="173"/>
        <v>49199772138.163383</v>
      </c>
      <c r="J3591" s="444">
        <f t="array" ref="J3591">IFERROR(INDEX('Retirement Calculator'!J:J,MATCH('Isaac 401k'!N3591,'Retirement Calculator'!A:A,0),0),0)</f>
        <v>0</v>
      </c>
      <c r="K3591" s="444">
        <f t="shared" ca="1" si="171"/>
        <v>204999050.57568076</v>
      </c>
      <c r="L3591" s="444">
        <f t="shared" ca="1" si="172"/>
        <v>49404771188.739067</v>
      </c>
      <c r="M3591" s="460">
        <f t="shared" si="174"/>
        <v>0.05</v>
      </c>
      <c r="N3591" s="464">
        <f t="shared" si="175"/>
        <v>160343</v>
      </c>
    </row>
    <row r="3592" spans="7:14" ht="11.25" customHeight="1" x14ac:dyDescent="0.3">
      <c r="G3592" s="459"/>
      <c r="H3592" s="459">
        <v>3585</v>
      </c>
      <c r="I3592" s="444">
        <f t="shared" ca="1" si="173"/>
        <v>49404771188.739067</v>
      </c>
      <c r="J3592" s="444">
        <f t="array" ref="J3592">IFERROR(INDEX('Retirement Calculator'!J:J,MATCH('Isaac 401k'!N3592,'Retirement Calculator'!A:A,0),0),0)</f>
        <v>0</v>
      </c>
      <c r="K3592" s="444">
        <f t="shared" ca="1" si="171"/>
        <v>205853213.28641278</v>
      </c>
      <c r="L3592" s="444">
        <f t="shared" ca="1" si="172"/>
        <v>49610624402.025482</v>
      </c>
      <c r="M3592" s="460">
        <f t="shared" si="174"/>
        <v>0.05</v>
      </c>
      <c r="N3592" s="464">
        <f t="shared" si="175"/>
        <v>160374</v>
      </c>
    </row>
    <row r="3593" spans="7:14" ht="11.25" customHeight="1" x14ac:dyDescent="0.3">
      <c r="G3593" s="459"/>
      <c r="H3593" s="459">
        <v>3586</v>
      </c>
      <c r="I3593" s="444">
        <f t="shared" ca="1" si="173"/>
        <v>49610624402.025482</v>
      </c>
      <c r="J3593" s="444">
        <f t="array" ref="J3593">IFERROR(INDEX('Retirement Calculator'!J:J,MATCH('Isaac 401k'!N3593,'Retirement Calculator'!A:A,0),0),0)</f>
        <v>0</v>
      </c>
      <c r="K3593" s="444">
        <f t="shared" ca="1" si="171"/>
        <v>206710935.00843951</v>
      </c>
      <c r="L3593" s="444">
        <f t="shared" ca="1" si="172"/>
        <v>49817335337.03392</v>
      </c>
      <c r="M3593" s="460">
        <f t="shared" si="174"/>
        <v>0.05</v>
      </c>
      <c r="N3593" s="464">
        <f t="shared" si="175"/>
        <v>160402</v>
      </c>
    </row>
    <row r="3594" spans="7:14" ht="11.25" customHeight="1" x14ac:dyDescent="0.3">
      <c r="G3594" s="459"/>
      <c r="H3594" s="459">
        <v>3587</v>
      </c>
      <c r="I3594" s="444">
        <f t="shared" ca="1" si="173"/>
        <v>49817335337.03392</v>
      </c>
      <c r="J3594" s="444">
        <f t="array" ref="J3594">IFERROR(INDEX('Retirement Calculator'!J:J,MATCH('Isaac 401k'!N3594,'Retirement Calculator'!A:A,0),0),0)</f>
        <v>0</v>
      </c>
      <c r="K3594" s="444">
        <f t="shared" ca="1" si="171"/>
        <v>207572230.57097468</v>
      </c>
      <c r="L3594" s="444">
        <f t="shared" ca="1" si="172"/>
        <v>50024907567.604897</v>
      </c>
      <c r="M3594" s="460">
        <f t="shared" si="174"/>
        <v>0.05</v>
      </c>
      <c r="N3594" s="464">
        <f t="shared" si="175"/>
        <v>160433</v>
      </c>
    </row>
    <row r="3595" spans="7:14" ht="11.25" customHeight="1" x14ac:dyDescent="0.3">
      <c r="G3595" s="459"/>
      <c r="H3595" s="459">
        <v>3588</v>
      </c>
      <c r="I3595" s="444">
        <f t="shared" ca="1" si="173"/>
        <v>50024907567.604897</v>
      </c>
      <c r="J3595" s="444">
        <f t="array" ref="J3595">IFERROR(INDEX('Retirement Calculator'!J:J,MATCH('Isaac 401k'!N3595,'Retirement Calculator'!A:A,0),0),0)</f>
        <v>0</v>
      </c>
      <c r="K3595" s="444">
        <f t="shared" ca="1" si="171"/>
        <v>208437114.86502039</v>
      </c>
      <c r="L3595" s="444">
        <f t="shared" ca="1" si="172"/>
        <v>50233344682.469917</v>
      </c>
      <c r="M3595" s="460">
        <f t="shared" si="174"/>
        <v>0.05</v>
      </c>
      <c r="N3595" s="464">
        <f t="shared" si="175"/>
        <v>160463</v>
      </c>
    </row>
    <row r="3596" spans="7:14" ht="11.25" customHeight="1" x14ac:dyDescent="0.3">
      <c r="G3596" s="459"/>
      <c r="H3596" s="459">
        <v>3589</v>
      </c>
      <c r="I3596" s="444">
        <f t="shared" ca="1" si="173"/>
        <v>50233344682.469917</v>
      </c>
      <c r="J3596" s="444">
        <f t="array" ref="J3596">IFERROR(INDEX('Retirement Calculator'!J:J,MATCH('Isaac 401k'!N3596,'Retirement Calculator'!A:A,0),0),0)</f>
        <v>0</v>
      </c>
      <c r="K3596" s="444">
        <f t="shared" ca="1" si="171"/>
        <v>209305602.84362465</v>
      </c>
      <c r="L3596" s="444">
        <f t="shared" ca="1" si="172"/>
        <v>50442650285.313545</v>
      </c>
      <c r="M3596" s="460">
        <f t="shared" si="174"/>
        <v>0.05</v>
      </c>
      <c r="N3596" s="464">
        <f t="shared" si="175"/>
        <v>160494</v>
      </c>
    </row>
    <row r="3597" spans="7:14" ht="11.25" customHeight="1" x14ac:dyDescent="0.3">
      <c r="G3597" s="459"/>
      <c r="H3597" s="459">
        <v>3590</v>
      </c>
      <c r="I3597" s="444">
        <f t="shared" ca="1" si="173"/>
        <v>50442650285.313545</v>
      </c>
      <c r="J3597" s="444">
        <f t="array" ref="J3597">IFERROR(INDEX('Retirement Calculator'!J:J,MATCH('Isaac 401k'!N3597,'Retirement Calculator'!A:A,0),0),0)</f>
        <v>0</v>
      </c>
      <c r="K3597" s="444">
        <f t="shared" ca="1" si="171"/>
        <v>210177709.52213976</v>
      </c>
      <c r="L3597" s="444">
        <f t="shared" ca="1" si="172"/>
        <v>50652827994.835686</v>
      </c>
      <c r="M3597" s="460">
        <f t="shared" si="174"/>
        <v>0.05</v>
      </c>
      <c r="N3597" s="464">
        <f t="shared" si="175"/>
        <v>160524</v>
      </c>
    </row>
    <row r="3598" spans="7:14" ht="11.25" customHeight="1" x14ac:dyDescent="0.3">
      <c r="G3598" s="459"/>
      <c r="H3598" s="459">
        <v>3591</v>
      </c>
      <c r="I3598" s="444">
        <f t="shared" ca="1" si="173"/>
        <v>50652827994.835686</v>
      </c>
      <c r="J3598" s="444">
        <f t="array" ref="J3598">IFERROR(INDEX('Retirement Calculator'!J:J,MATCH('Isaac 401k'!N3598,'Retirement Calculator'!A:A,0),0),0)</f>
        <v>0</v>
      </c>
      <c r="K3598" s="444">
        <f t="shared" ca="1" si="171"/>
        <v>211053449.97848201</v>
      </c>
      <c r="L3598" s="444">
        <f t="shared" ca="1" si="172"/>
        <v>50863881444.814171</v>
      </c>
      <c r="M3598" s="460">
        <f t="shared" si="174"/>
        <v>0.05</v>
      </c>
      <c r="N3598" s="464">
        <f t="shared" si="175"/>
        <v>160555</v>
      </c>
    </row>
    <row r="3599" spans="7:14" ht="11.25" customHeight="1" x14ac:dyDescent="0.3">
      <c r="G3599" s="459"/>
      <c r="H3599" s="459">
        <v>3592</v>
      </c>
      <c r="I3599" s="444">
        <f t="shared" ca="1" si="173"/>
        <v>50863881444.814171</v>
      </c>
      <c r="J3599" s="444">
        <f t="array" ref="J3599">IFERROR(INDEX('Retirement Calculator'!J:J,MATCH('Isaac 401k'!N3599,'Retirement Calculator'!A:A,0),0),0)</f>
        <v>0</v>
      </c>
      <c r="K3599" s="444">
        <f t="shared" ca="1" si="171"/>
        <v>211932839.35339236</v>
      </c>
      <c r="L3599" s="444">
        <f t="shared" ca="1" si="172"/>
        <v>51075814284.167564</v>
      </c>
      <c r="M3599" s="460">
        <f t="shared" si="174"/>
        <v>0.05</v>
      </c>
      <c r="N3599" s="464">
        <f t="shared" si="175"/>
        <v>160586</v>
      </c>
    </row>
    <row r="3600" spans="7:14" ht="11.25" customHeight="1" x14ac:dyDescent="0.3">
      <c r="G3600" s="459"/>
      <c r="H3600" s="459">
        <v>3593</v>
      </c>
      <c r="I3600" s="444">
        <f t="shared" ca="1" si="173"/>
        <v>51075814284.167564</v>
      </c>
      <c r="J3600" s="444">
        <f t="array" ref="J3600">IFERROR(INDEX('Retirement Calculator'!J:J,MATCH('Isaac 401k'!N3600,'Retirement Calculator'!A:A,0),0),0)</f>
        <v>0</v>
      </c>
      <c r="K3600" s="444">
        <f t="shared" ca="1" si="171"/>
        <v>212815892.85069817</v>
      </c>
      <c r="L3600" s="444">
        <f t="shared" ca="1" si="172"/>
        <v>51288630177.018265</v>
      </c>
      <c r="M3600" s="460">
        <f t="shared" si="174"/>
        <v>0.05</v>
      </c>
      <c r="N3600" s="464">
        <f t="shared" si="175"/>
        <v>160616</v>
      </c>
    </row>
    <row r="3601" spans="7:14" ht="11.25" customHeight="1" x14ac:dyDescent="0.3">
      <c r="G3601" s="459"/>
      <c r="H3601" s="459">
        <v>3594</v>
      </c>
      <c r="I3601" s="444">
        <f t="shared" ca="1" si="173"/>
        <v>51288630177.018265</v>
      </c>
      <c r="J3601" s="444">
        <f t="array" ref="J3601">IFERROR(INDEX('Retirement Calculator'!J:J,MATCH('Isaac 401k'!N3601,'Retirement Calculator'!A:A,0),0),0)</f>
        <v>0</v>
      </c>
      <c r="K3601" s="444">
        <f t="shared" ca="1" si="171"/>
        <v>213702625.7375761</v>
      </c>
      <c r="L3601" s="444">
        <f t="shared" ca="1" si="172"/>
        <v>51502332802.755844</v>
      </c>
      <c r="M3601" s="460">
        <f t="shared" si="174"/>
        <v>0.05</v>
      </c>
      <c r="N3601" s="464">
        <f t="shared" si="175"/>
        <v>160647</v>
      </c>
    </row>
    <row r="3602" spans="7:14" ht="11.25" customHeight="1" x14ac:dyDescent="0.3">
      <c r="G3602" s="459"/>
      <c r="H3602" s="459">
        <v>3595</v>
      </c>
      <c r="I3602" s="444">
        <f t="shared" ca="1" si="173"/>
        <v>51502332802.755844</v>
      </c>
      <c r="J3602" s="444">
        <f t="array" ref="J3602">IFERROR(INDEX('Retirement Calculator'!J:J,MATCH('Isaac 401k'!N3602,'Retirement Calculator'!A:A,0),0),0)</f>
        <v>0</v>
      </c>
      <c r="K3602" s="444">
        <f t="shared" ca="1" si="171"/>
        <v>214593053.34481603</v>
      </c>
      <c r="L3602" s="444">
        <f t="shared" ca="1" si="172"/>
        <v>51716925856.100662</v>
      </c>
      <c r="M3602" s="460">
        <f t="shared" si="174"/>
        <v>0.05</v>
      </c>
      <c r="N3602" s="464">
        <f t="shared" si="175"/>
        <v>160677</v>
      </c>
    </row>
    <row r="3603" spans="7:14" ht="11.25" customHeight="1" x14ac:dyDescent="0.3">
      <c r="G3603" s="459"/>
      <c r="H3603" s="459">
        <v>3596</v>
      </c>
      <c r="I3603" s="444">
        <f t="shared" ca="1" si="173"/>
        <v>51716925856.100662</v>
      </c>
      <c r="J3603" s="444">
        <f t="array" ref="J3603">IFERROR(INDEX('Retirement Calculator'!J:J,MATCH('Isaac 401k'!N3603,'Retirement Calculator'!A:A,0),0),0)</f>
        <v>0</v>
      </c>
      <c r="K3603" s="444">
        <f t="shared" ca="1" si="171"/>
        <v>215487191.0670861</v>
      </c>
      <c r="L3603" s="444">
        <f t="shared" ca="1" si="172"/>
        <v>51932413047.167747</v>
      </c>
      <c r="M3603" s="460">
        <f t="shared" si="174"/>
        <v>0.05</v>
      </c>
      <c r="N3603" s="464">
        <f t="shared" si="175"/>
        <v>160708</v>
      </c>
    </row>
    <row r="3604" spans="7:14" ht="11.25" customHeight="1" x14ac:dyDescent="0.3">
      <c r="G3604" s="459"/>
      <c r="H3604" s="459">
        <v>3597</v>
      </c>
      <c r="I3604" s="444">
        <f t="shared" ca="1" si="173"/>
        <v>51932413047.167747</v>
      </c>
      <c r="J3604" s="444">
        <f t="array" ref="J3604">IFERROR(INDEX('Retirement Calculator'!J:J,MATCH('Isaac 401k'!N3604,'Retirement Calculator'!A:A,0),0),0)</f>
        <v>0</v>
      </c>
      <c r="K3604" s="444">
        <f t="shared" ca="1" si="171"/>
        <v>216385054.36319894</v>
      </c>
      <c r="L3604" s="444">
        <f t="shared" ca="1" si="172"/>
        <v>52148798101.530945</v>
      </c>
      <c r="M3604" s="460">
        <f t="shared" si="174"/>
        <v>0.05</v>
      </c>
      <c r="N3604" s="464">
        <f t="shared" si="175"/>
        <v>160739</v>
      </c>
    </row>
    <row r="3605" spans="7:14" ht="11.25" customHeight="1" x14ac:dyDescent="0.3">
      <c r="G3605" s="459"/>
      <c r="H3605" s="459">
        <v>3598</v>
      </c>
      <c r="I3605" s="444">
        <f t="shared" ca="1" si="173"/>
        <v>52148798101.530945</v>
      </c>
      <c r="J3605" s="444">
        <f t="array" ref="J3605">IFERROR(INDEX('Retirement Calculator'!J:J,MATCH('Isaac 401k'!N3605,'Retirement Calculator'!A:A,0),0),0)</f>
        <v>0</v>
      </c>
      <c r="K3605" s="444">
        <f t="shared" ca="1" si="171"/>
        <v>217286658.75637892</v>
      </c>
      <c r="L3605" s="444">
        <f t="shared" ca="1" si="172"/>
        <v>52366084760.287323</v>
      </c>
      <c r="M3605" s="460">
        <f t="shared" si="174"/>
        <v>0.05</v>
      </c>
      <c r="N3605" s="464">
        <f t="shared" si="175"/>
        <v>160768</v>
      </c>
    </row>
    <row r="3606" spans="7:14" ht="11.25" customHeight="1" x14ac:dyDescent="0.3">
      <c r="G3606" s="459"/>
      <c r="H3606" s="459">
        <v>3599</v>
      </c>
      <c r="I3606" s="444">
        <f t="shared" ca="1" si="173"/>
        <v>52366084760.287323</v>
      </c>
      <c r="J3606" s="444">
        <f t="array" ref="J3606">IFERROR(INDEX('Retirement Calculator'!J:J,MATCH('Isaac 401k'!N3606,'Retirement Calculator'!A:A,0),0),0)</f>
        <v>0</v>
      </c>
      <c r="K3606" s="444">
        <f t="shared" ca="1" si="171"/>
        <v>218192019.8345305</v>
      </c>
      <c r="L3606" s="444">
        <f t="shared" ca="1" si="172"/>
        <v>52584276780.121857</v>
      </c>
      <c r="M3606" s="460">
        <f t="shared" si="174"/>
        <v>0.05</v>
      </c>
      <c r="N3606" s="464">
        <f t="shared" si="175"/>
        <v>160799</v>
      </c>
    </row>
    <row r="3607" spans="7:14" ht="11.25" customHeight="1" x14ac:dyDescent="0.3">
      <c r="G3607" s="459"/>
      <c r="H3607" s="459">
        <v>3600</v>
      </c>
      <c r="I3607" s="444">
        <f t="shared" ca="1" si="173"/>
        <v>52584276780.121857</v>
      </c>
      <c r="J3607" s="444">
        <f t="array" ref="J3607">IFERROR(INDEX('Retirement Calculator'!J:J,MATCH('Isaac 401k'!N3607,'Retirement Calculator'!A:A,0),0),0)</f>
        <v>0</v>
      </c>
      <c r="K3607" s="444">
        <f t="shared" ca="1" si="171"/>
        <v>219101153.25050774</v>
      </c>
      <c r="L3607" s="444">
        <f t="shared" ca="1" si="172"/>
        <v>52803377933.372368</v>
      </c>
      <c r="M3607" s="460">
        <f t="shared" si="174"/>
        <v>0.05</v>
      </c>
      <c r="N3607" s="464">
        <f t="shared" si="175"/>
        <v>160829</v>
      </c>
    </row>
    <row r="3608" spans="7:14" ht="11.25" customHeight="1" x14ac:dyDescent="0.3">
      <c r="G3608" s="459"/>
      <c r="H3608" s="459">
        <v>3601</v>
      </c>
      <c r="I3608" s="444">
        <f t="shared" ca="1" si="173"/>
        <v>52803377933.372368</v>
      </c>
      <c r="J3608" s="444">
        <f t="array" ref="J3608">IFERROR(INDEX('Retirement Calculator'!J:J,MATCH('Isaac 401k'!N3608,'Retirement Calculator'!A:A,0),0),0)</f>
        <v>0</v>
      </c>
      <c r="K3608" s="444">
        <f t="shared" ca="1" si="171"/>
        <v>220014074.72238487</v>
      </c>
      <c r="L3608" s="444">
        <f t="shared" ca="1" si="172"/>
        <v>53023392008.094749</v>
      </c>
      <c r="M3608" s="460">
        <f t="shared" si="174"/>
        <v>0.05</v>
      </c>
      <c r="N3608" s="464">
        <f t="shared" si="175"/>
        <v>160860</v>
      </c>
    </row>
    <row r="3609" spans="7:14" ht="11.25" customHeight="1" x14ac:dyDescent="0.3">
      <c r="G3609" s="459"/>
      <c r="H3609" s="459">
        <v>3602</v>
      </c>
      <c r="I3609" s="444">
        <f t="shared" ca="1" si="173"/>
        <v>53023392008.094749</v>
      </c>
      <c r="J3609" s="444">
        <f t="array" ref="J3609">IFERROR(INDEX('Retirement Calculator'!J:J,MATCH('Isaac 401k'!N3609,'Retirement Calculator'!A:A,0),0),0)</f>
        <v>0</v>
      </c>
      <c r="K3609" s="444">
        <f t="shared" ca="1" si="171"/>
        <v>220930800.03372812</v>
      </c>
      <c r="L3609" s="444">
        <f t="shared" ca="1" si="172"/>
        <v>53244322808.128479</v>
      </c>
      <c r="M3609" s="460">
        <f t="shared" si="174"/>
        <v>0.05</v>
      </c>
      <c r="N3609" s="464">
        <f t="shared" si="175"/>
        <v>160890</v>
      </c>
    </row>
    <row r="3610" spans="7:14" ht="11.25" customHeight="1" x14ac:dyDescent="0.3">
      <c r="G3610" s="459"/>
      <c r="H3610" s="459">
        <v>3603</v>
      </c>
      <c r="I3610" s="444">
        <f t="shared" ca="1" si="173"/>
        <v>53244322808.128479</v>
      </c>
      <c r="J3610" s="444">
        <f t="array" ref="J3610">IFERROR(INDEX('Retirement Calculator'!J:J,MATCH('Isaac 401k'!N3610,'Retirement Calculator'!A:A,0),0),0)</f>
        <v>0</v>
      </c>
      <c r="K3610" s="444">
        <f t="shared" ca="1" si="171"/>
        <v>221851345.03386867</v>
      </c>
      <c r="L3610" s="444">
        <f t="shared" ca="1" si="172"/>
        <v>53466174153.162346</v>
      </c>
      <c r="M3610" s="460">
        <f t="shared" si="174"/>
        <v>0.05</v>
      </c>
      <c r="N3610" s="464">
        <f t="shared" si="175"/>
        <v>160921</v>
      </c>
    </row>
    <row r="3611" spans="7:14" ht="11.25" customHeight="1" x14ac:dyDescent="0.3">
      <c r="G3611" s="459"/>
      <c r="H3611" s="459">
        <v>3604</v>
      </c>
      <c r="I3611" s="444">
        <f t="shared" ca="1" si="173"/>
        <v>53466174153.162346</v>
      </c>
      <c r="J3611" s="444">
        <f t="array" ref="J3611">IFERROR(INDEX('Retirement Calculator'!J:J,MATCH('Isaac 401k'!N3611,'Retirement Calculator'!A:A,0),0),0)</f>
        <v>0</v>
      </c>
      <c r="K3611" s="444">
        <f t="shared" ca="1" si="171"/>
        <v>222775725.63817644</v>
      </c>
      <c r="L3611" s="444">
        <f t="shared" ca="1" si="172"/>
        <v>53688949878.800522</v>
      </c>
      <c r="M3611" s="460">
        <f t="shared" si="174"/>
        <v>0.05</v>
      </c>
      <c r="N3611" s="464">
        <f t="shared" si="175"/>
        <v>160952</v>
      </c>
    </row>
    <row r="3612" spans="7:14" ht="11.25" customHeight="1" x14ac:dyDescent="0.3">
      <c r="G3612" s="459"/>
      <c r="H3612" s="459">
        <v>3605</v>
      </c>
      <c r="I3612" s="444">
        <f t="shared" ca="1" si="173"/>
        <v>53688949878.800522</v>
      </c>
      <c r="J3612" s="444">
        <f t="array" ref="J3612">IFERROR(INDEX('Retirement Calculator'!J:J,MATCH('Isaac 401k'!N3612,'Retirement Calculator'!A:A,0),0),0)</f>
        <v>0</v>
      </c>
      <c r="K3612" s="444">
        <f t="shared" ca="1" si="171"/>
        <v>223703957.82833549</v>
      </c>
      <c r="L3612" s="444">
        <f t="shared" ca="1" si="172"/>
        <v>53912653836.62886</v>
      </c>
      <c r="M3612" s="460">
        <f t="shared" si="174"/>
        <v>0.05</v>
      </c>
      <c r="N3612" s="464">
        <f t="shared" si="175"/>
        <v>160982</v>
      </c>
    </row>
    <row r="3613" spans="7:14" ht="11.25" customHeight="1" x14ac:dyDescent="0.3">
      <c r="G3613" s="459"/>
      <c r="H3613" s="459">
        <v>3606</v>
      </c>
      <c r="I3613" s="444">
        <f t="shared" ca="1" si="173"/>
        <v>53912653836.62886</v>
      </c>
      <c r="J3613" s="444">
        <f t="array" ref="J3613">IFERROR(INDEX('Retirement Calculator'!J:J,MATCH('Isaac 401k'!N3613,'Retirement Calculator'!A:A,0),0),0)</f>
        <v>0</v>
      </c>
      <c r="K3613" s="444">
        <f t="shared" ca="1" si="171"/>
        <v>224636057.65262026</v>
      </c>
      <c r="L3613" s="444">
        <f t="shared" ca="1" si="172"/>
        <v>54137289894.281479</v>
      </c>
      <c r="M3613" s="460">
        <f t="shared" si="174"/>
        <v>0.05</v>
      </c>
      <c r="N3613" s="464">
        <f t="shared" si="175"/>
        <v>161013</v>
      </c>
    </row>
    <row r="3614" spans="7:14" ht="11.25" customHeight="1" x14ac:dyDescent="0.3">
      <c r="G3614" s="459"/>
      <c r="H3614" s="459">
        <v>3607</v>
      </c>
      <c r="I3614" s="444">
        <f t="shared" ca="1" si="173"/>
        <v>54137289894.281479</v>
      </c>
      <c r="J3614" s="444">
        <f t="array" ref="J3614">IFERROR(INDEX('Retirement Calculator'!J:J,MATCH('Isaac 401k'!N3614,'Retirement Calculator'!A:A,0),0),0)</f>
        <v>0</v>
      </c>
      <c r="K3614" s="444">
        <f t="shared" ca="1" si="171"/>
        <v>225572041.22617283</v>
      </c>
      <c r="L3614" s="444">
        <f t="shared" ca="1" si="172"/>
        <v>54362861935.507652</v>
      </c>
      <c r="M3614" s="460">
        <f t="shared" si="174"/>
        <v>0.05</v>
      </c>
      <c r="N3614" s="464">
        <f t="shared" si="175"/>
        <v>161043</v>
      </c>
    </row>
    <row r="3615" spans="7:14" ht="11.25" customHeight="1" x14ac:dyDescent="0.3">
      <c r="G3615" s="459"/>
      <c r="H3615" s="459">
        <v>3608</v>
      </c>
      <c r="I3615" s="444">
        <f t="shared" ca="1" si="173"/>
        <v>54362861935.507652</v>
      </c>
      <c r="J3615" s="444">
        <f t="array" ref="J3615">IFERROR(INDEX('Retirement Calculator'!J:J,MATCH('Isaac 401k'!N3615,'Retirement Calculator'!A:A,0),0),0)</f>
        <v>0</v>
      </c>
      <c r="K3615" s="444">
        <f t="shared" ca="1" si="171"/>
        <v>226511924.73128188</v>
      </c>
      <c r="L3615" s="444">
        <f t="shared" ca="1" si="172"/>
        <v>54589373860.238937</v>
      </c>
      <c r="M3615" s="460">
        <f t="shared" si="174"/>
        <v>0.05</v>
      </c>
      <c r="N3615" s="464">
        <f t="shared" si="175"/>
        <v>161074</v>
      </c>
    </row>
    <row r="3616" spans="7:14" ht="11.25" customHeight="1" x14ac:dyDescent="0.3">
      <c r="G3616" s="459"/>
      <c r="H3616" s="459">
        <v>3609</v>
      </c>
      <c r="I3616" s="444">
        <f t="shared" ca="1" si="173"/>
        <v>54589373860.238937</v>
      </c>
      <c r="J3616" s="444">
        <f t="array" ref="J3616">IFERROR(INDEX('Retirement Calculator'!J:J,MATCH('Isaac 401k'!N3616,'Retirement Calculator'!A:A,0),0),0)</f>
        <v>0</v>
      </c>
      <c r="K3616" s="444">
        <f t="shared" ca="1" si="171"/>
        <v>227455724.41766223</v>
      </c>
      <c r="L3616" s="444">
        <f t="shared" ca="1" si="172"/>
        <v>54816829584.656601</v>
      </c>
      <c r="M3616" s="460">
        <f t="shared" si="174"/>
        <v>0.05</v>
      </c>
      <c r="N3616" s="464">
        <f t="shared" si="175"/>
        <v>161105</v>
      </c>
    </row>
    <row r="3617" spans="7:14" ht="11.25" customHeight="1" x14ac:dyDescent="0.3">
      <c r="G3617" s="459"/>
      <c r="H3617" s="459">
        <v>3610</v>
      </c>
      <c r="I3617" s="444">
        <f t="shared" ca="1" si="173"/>
        <v>54816829584.656601</v>
      </c>
      <c r="J3617" s="444">
        <f t="array" ref="J3617">IFERROR(INDEX('Retirement Calculator'!J:J,MATCH('Isaac 401k'!N3617,'Retirement Calculator'!A:A,0),0),0)</f>
        <v>0</v>
      </c>
      <c r="K3617" s="444">
        <f t="shared" ca="1" si="171"/>
        <v>228403456.60273585</v>
      </c>
      <c r="L3617" s="444">
        <f t="shared" ca="1" si="172"/>
        <v>55045233041.259338</v>
      </c>
      <c r="M3617" s="460">
        <f t="shared" si="174"/>
        <v>0.05</v>
      </c>
      <c r="N3617" s="464">
        <f t="shared" si="175"/>
        <v>161133</v>
      </c>
    </row>
    <row r="3618" spans="7:14" ht="11.25" customHeight="1" x14ac:dyDescent="0.3">
      <c r="G3618" s="459"/>
      <c r="H3618" s="459">
        <v>3611</v>
      </c>
      <c r="I3618" s="444">
        <f t="shared" ca="1" si="173"/>
        <v>55045233041.259338</v>
      </c>
      <c r="J3618" s="444">
        <f t="array" ref="J3618">IFERROR(INDEX('Retirement Calculator'!J:J,MATCH('Isaac 401k'!N3618,'Retirement Calculator'!A:A,0),0),0)</f>
        <v>0</v>
      </c>
      <c r="K3618" s="444">
        <f t="shared" ca="1" si="171"/>
        <v>229355137.67191395</v>
      </c>
      <c r="L3618" s="444">
        <f t="shared" ca="1" si="172"/>
        <v>55274588178.931252</v>
      </c>
      <c r="M3618" s="460">
        <f t="shared" si="174"/>
        <v>0.05</v>
      </c>
      <c r="N3618" s="464">
        <f t="shared" si="175"/>
        <v>161164</v>
      </c>
    </row>
    <row r="3619" spans="7:14" ht="11.25" customHeight="1" x14ac:dyDescent="0.3">
      <c r="G3619" s="459"/>
      <c r="H3619" s="459">
        <v>3612</v>
      </c>
      <c r="I3619" s="444">
        <f t="shared" ca="1" si="173"/>
        <v>55274588178.931252</v>
      </c>
      <c r="J3619" s="444">
        <f t="array" ref="J3619">IFERROR(INDEX('Retirement Calculator'!J:J,MATCH('Isaac 401k'!N3619,'Retirement Calculator'!A:A,0),0),0)</f>
        <v>0</v>
      </c>
      <c r="K3619" s="444">
        <f t="shared" ca="1" si="171"/>
        <v>230310784.07888019</v>
      </c>
      <c r="L3619" s="444">
        <f t="shared" ca="1" si="172"/>
        <v>55504898963.010132</v>
      </c>
      <c r="M3619" s="460">
        <f t="shared" si="174"/>
        <v>0.05</v>
      </c>
      <c r="N3619" s="464">
        <f t="shared" si="175"/>
        <v>161194</v>
      </c>
    </row>
    <row r="3620" spans="7:14" ht="11.25" customHeight="1" x14ac:dyDescent="0.3">
      <c r="G3620" s="459"/>
      <c r="H3620" s="459">
        <v>3613</v>
      </c>
      <c r="I3620" s="444">
        <f t="shared" ca="1" si="173"/>
        <v>55504898963.010132</v>
      </c>
      <c r="J3620" s="444">
        <f t="array" ref="J3620">IFERROR(INDEX('Retirement Calculator'!J:J,MATCH('Isaac 401k'!N3620,'Retirement Calculator'!A:A,0),0),0)</f>
        <v>0</v>
      </c>
      <c r="K3620" s="444">
        <f t="shared" ca="1" si="171"/>
        <v>231270412.34587559</v>
      </c>
      <c r="L3620" s="444">
        <f t="shared" ca="1" si="172"/>
        <v>55736169375.35601</v>
      </c>
      <c r="M3620" s="460">
        <f t="shared" si="174"/>
        <v>0.05</v>
      </c>
      <c r="N3620" s="464">
        <f t="shared" si="175"/>
        <v>161225</v>
      </c>
    </row>
    <row r="3621" spans="7:14" ht="11.25" customHeight="1" x14ac:dyDescent="0.3">
      <c r="G3621" s="459"/>
      <c r="H3621" s="459">
        <v>3614</v>
      </c>
      <c r="I3621" s="444">
        <f t="shared" ca="1" si="173"/>
        <v>55736169375.35601</v>
      </c>
      <c r="J3621" s="444">
        <f t="array" ref="J3621">IFERROR(INDEX('Retirement Calculator'!J:J,MATCH('Isaac 401k'!N3621,'Retirement Calculator'!A:A,0),0),0)</f>
        <v>0</v>
      </c>
      <c r="K3621" s="444">
        <f t="shared" ca="1" si="171"/>
        <v>232234039.06398335</v>
      </c>
      <c r="L3621" s="444">
        <f t="shared" ca="1" si="172"/>
        <v>55968403414.419991</v>
      </c>
      <c r="M3621" s="460">
        <f t="shared" si="174"/>
        <v>0.05</v>
      </c>
      <c r="N3621" s="464">
        <f t="shared" si="175"/>
        <v>161255</v>
      </c>
    </row>
    <row r="3622" spans="7:14" ht="11.25" customHeight="1" x14ac:dyDescent="0.3">
      <c r="G3622" s="459"/>
      <c r="H3622" s="459">
        <v>3615</v>
      </c>
      <c r="I3622" s="444">
        <f t="shared" ca="1" si="173"/>
        <v>55968403414.419991</v>
      </c>
      <c r="J3622" s="444">
        <f t="array" ref="J3622">IFERROR(INDEX('Retirement Calculator'!J:J,MATCH('Isaac 401k'!N3622,'Retirement Calculator'!A:A,0),0),0)</f>
        <v>0</v>
      </c>
      <c r="K3622" s="444">
        <f t="shared" ca="1" si="171"/>
        <v>233201680.89341661</v>
      </c>
      <c r="L3622" s="444">
        <f t="shared" ca="1" si="172"/>
        <v>56201605095.313408</v>
      </c>
      <c r="M3622" s="460">
        <f t="shared" si="174"/>
        <v>0.05</v>
      </c>
      <c r="N3622" s="464">
        <f t="shared" si="175"/>
        <v>161286</v>
      </c>
    </row>
    <row r="3623" spans="7:14" ht="11.25" customHeight="1" x14ac:dyDescent="0.3">
      <c r="G3623" s="459"/>
      <c r="H3623" s="459">
        <v>3616</v>
      </c>
      <c r="I3623" s="444">
        <f t="shared" ca="1" si="173"/>
        <v>56201605095.313408</v>
      </c>
      <c r="J3623" s="444">
        <f t="array" ref="J3623">IFERROR(INDEX('Retirement Calculator'!J:J,MATCH('Isaac 401k'!N3623,'Retirement Calculator'!A:A,0),0),0)</f>
        <v>0</v>
      </c>
      <c r="K3623" s="444">
        <f t="shared" ca="1" si="171"/>
        <v>234173354.56380585</v>
      </c>
      <c r="L3623" s="444">
        <f t="shared" ca="1" si="172"/>
        <v>56435778449.877213</v>
      </c>
      <c r="M3623" s="460">
        <f t="shared" si="174"/>
        <v>0.05</v>
      </c>
      <c r="N3623" s="464">
        <f t="shared" si="175"/>
        <v>161317</v>
      </c>
    </row>
    <row r="3624" spans="7:14" ht="11.25" customHeight="1" x14ac:dyDescent="0.3">
      <c r="G3624" s="459"/>
      <c r="H3624" s="459">
        <v>3617</v>
      </c>
      <c r="I3624" s="444">
        <f t="shared" ca="1" si="173"/>
        <v>56435778449.877213</v>
      </c>
      <c r="J3624" s="444">
        <f t="array" ref="J3624">IFERROR(INDEX('Retirement Calculator'!J:J,MATCH('Isaac 401k'!N3624,'Retirement Calculator'!A:A,0),0),0)</f>
        <v>0</v>
      </c>
      <c r="K3624" s="444">
        <f t="shared" ca="1" si="171"/>
        <v>235149076.87448838</v>
      </c>
      <c r="L3624" s="444">
        <f t="shared" ca="1" si="172"/>
        <v>56670927526.751701</v>
      </c>
      <c r="M3624" s="460">
        <f t="shared" si="174"/>
        <v>0.05</v>
      </c>
      <c r="N3624" s="464">
        <f t="shared" si="175"/>
        <v>161347</v>
      </c>
    </row>
    <row r="3625" spans="7:14" ht="11.25" customHeight="1" x14ac:dyDescent="0.3">
      <c r="G3625" s="459"/>
      <c r="H3625" s="459">
        <v>3618</v>
      </c>
      <c r="I3625" s="444">
        <f t="shared" ca="1" si="173"/>
        <v>56670927526.751701</v>
      </c>
      <c r="J3625" s="444">
        <f t="array" ref="J3625">IFERROR(INDEX('Retirement Calculator'!J:J,MATCH('Isaac 401k'!N3625,'Retirement Calculator'!A:A,0),0),0)</f>
        <v>0</v>
      </c>
      <c r="K3625" s="444">
        <f t="shared" ca="1" si="171"/>
        <v>236128864.69479874</v>
      </c>
      <c r="L3625" s="444">
        <f t="shared" ca="1" si="172"/>
        <v>56907056391.446503</v>
      </c>
      <c r="M3625" s="460">
        <f t="shared" si="174"/>
        <v>0.05</v>
      </c>
      <c r="N3625" s="464">
        <f t="shared" si="175"/>
        <v>161378</v>
      </c>
    </row>
    <row r="3626" spans="7:14" ht="11.25" customHeight="1" x14ac:dyDescent="0.3">
      <c r="G3626" s="459"/>
      <c r="H3626" s="459">
        <v>3619</v>
      </c>
      <c r="I3626" s="444">
        <f t="shared" ca="1" si="173"/>
        <v>56907056391.446503</v>
      </c>
      <c r="J3626" s="444">
        <f t="array" ref="J3626">IFERROR(INDEX('Retirement Calculator'!J:J,MATCH('Isaac 401k'!N3626,'Retirement Calculator'!A:A,0),0),0)</f>
        <v>0</v>
      </c>
      <c r="K3626" s="444">
        <f t="shared" ca="1" si="171"/>
        <v>237112734.96436045</v>
      </c>
      <c r="L3626" s="444">
        <f t="shared" ca="1" si="172"/>
        <v>57144169126.410866</v>
      </c>
      <c r="M3626" s="460">
        <f t="shared" si="174"/>
        <v>0.05</v>
      </c>
      <c r="N3626" s="464">
        <f t="shared" si="175"/>
        <v>161408</v>
      </c>
    </row>
    <row r="3627" spans="7:14" ht="11.25" customHeight="1" x14ac:dyDescent="0.3">
      <c r="G3627" s="459"/>
      <c r="H3627" s="459">
        <v>3620</v>
      </c>
      <c r="I3627" s="444">
        <f t="shared" ca="1" si="173"/>
        <v>57144169126.410866</v>
      </c>
      <c r="J3627" s="444">
        <f t="array" ref="J3627">IFERROR(INDEX('Retirement Calculator'!J:J,MATCH('Isaac 401k'!N3627,'Retirement Calculator'!A:A,0),0),0)</f>
        <v>0</v>
      </c>
      <c r="K3627" s="444">
        <f t="shared" ca="1" si="171"/>
        <v>238100704.6933786</v>
      </c>
      <c r="L3627" s="444">
        <f t="shared" ca="1" si="172"/>
        <v>57382269831.104248</v>
      </c>
      <c r="M3627" s="460">
        <f t="shared" si="174"/>
        <v>0.05</v>
      </c>
      <c r="N3627" s="464">
        <f t="shared" si="175"/>
        <v>161439</v>
      </c>
    </row>
    <row r="3628" spans="7:14" ht="11.25" customHeight="1" x14ac:dyDescent="0.3">
      <c r="G3628" s="459"/>
      <c r="H3628" s="459">
        <v>3621</v>
      </c>
      <c r="I3628" s="444">
        <f t="shared" ca="1" si="173"/>
        <v>57382269831.104248</v>
      </c>
      <c r="J3628" s="444">
        <f t="array" ref="J3628">IFERROR(INDEX('Retirement Calculator'!J:J,MATCH('Isaac 401k'!N3628,'Retirement Calculator'!A:A,0),0),0)</f>
        <v>0</v>
      </c>
      <c r="K3628" s="444">
        <f t="shared" ca="1" si="171"/>
        <v>239092790.96293437</v>
      </c>
      <c r="L3628" s="444">
        <f t="shared" ca="1" si="172"/>
        <v>57621362622.067184</v>
      </c>
      <c r="M3628" s="460">
        <f t="shared" si="174"/>
        <v>0.05</v>
      </c>
      <c r="N3628" s="464">
        <f t="shared" si="175"/>
        <v>161470</v>
      </c>
    </row>
    <row r="3629" spans="7:14" ht="11.25" customHeight="1" x14ac:dyDescent="0.3">
      <c r="G3629" s="459"/>
      <c r="H3629" s="459">
        <v>3622</v>
      </c>
      <c r="I3629" s="444">
        <f t="shared" ca="1" si="173"/>
        <v>57621362622.067184</v>
      </c>
      <c r="J3629" s="444">
        <f t="array" ref="J3629">IFERROR(INDEX('Retirement Calculator'!J:J,MATCH('Isaac 401k'!N3629,'Retirement Calculator'!A:A,0),0),0)</f>
        <v>0</v>
      </c>
      <c r="K3629" s="444">
        <f t="shared" ca="1" si="171"/>
        <v>240089010.92527995</v>
      </c>
      <c r="L3629" s="444">
        <f t="shared" ca="1" si="172"/>
        <v>57861451632.992462</v>
      </c>
      <c r="M3629" s="460">
        <f t="shared" si="174"/>
        <v>0.05</v>
      </c>
      <c r="N3629" s="464">
        <f t="shared" si="175"/>
        <v>161498</v>
      </c>
    </row>
    <row r="3630" spans="7:14" ht="11.25" customHeight="1" x14ac:dyDescent="0.3">
      <c r="G3630" s="459"/>
      <c r="H3630" s="459">
        <v>3623</v>
      </c>
      <c r="I3630" s="444">
        <f t="shared" ca="1" si="173"/>
        <v>57861451632.992462</v>
      </c>
      <c r="J3630" s="444">
        <f t="array" ref="J3630">IFERROR(INDEX('Retirement Calculator'!J:J,MATCH('Isaac 401k'!N3630,'Retirement Calculator'!A:A,0),0),0)</f>
        <v>0</v>
      </c>
      <c r="K3630" s="444">
        <f t="shared" ca="1" si="171"/>
        <v>241089381.80413523</v>
      </c>
      <c r="L3630" s="444">
        <f t="shared" ca="1" si="172"/>
        <v>58102541014.7966</v>
      </c>
      <c r="M3630" s="460">
        <f t="shared" si="174"/>
        <v>0.05</v>
      </c>
      <c r="N3630" s="464">
        <f t="shared" si="175"/>
        <v>161529</v>
      </c>
    </row>
    <row r="3631" spans="7:14" ht="11.25" customHeight="1" x14ac:dyDescent="0.3">
      <c r="G3631" s="459"/>
      <c r="H3631" s="459">
        <v>3624</v>
      </c>
      <c r="I3631" s="444">
        <f t="shared" ca="1" si="173"/>
        <v>58102541014.7966</v>
      </c>
      <c r="J3631" s="444">
        <f t="array" ref="J3631">IFERROR(INDEX('Retirement Calculator'!J:J,MATCH('Isaac 401k'!N3631,'Retirement Calculator'!A:A,0),0),0)</f>
        <v>0</v>
      </c>
      <c r="K3631" s="444">
        <f t="shared" ca="1" si="171"/>
        <v>242093920.89498582</v>
      </c>
      <c r="L3631" s="444">
        <f t="shared" ca="1" si="172"/>
        <v>58344634935.691589</v>
      </c>
      <c r="M3631" s="460">
        <f t="shared" si="174"/>
        <v>0.05</v>
      </c>
      <c r="N3631" s="464">
        <f t="shared" si="175"/>
        <v>161559</v>
      </c>
    </row>
    <row r="3632" spans="7:14" ht="11.25" customHeight="1" x14ac:dyDescent="0.3">
      <c r="G3632" s="459"/>
      <c r="H3632" s="459">
        <v>3625</v>
      </c>
      <c r="I3632" s="444">
        <f t="shared" ca="1" si="173"/>
        <v>58344634935.691589</v>
      </c>
      <c r="J3632" s="444">
        <f t="array" ref="J3632">IFERROR(INDEX('Retirement Calculator'!J:J,MATCH('Isaac 401k'!N3632,'Retirement Calculator'!A:A,0),0),0)</f>
        <v>0</v>
      </c>
      <c r="K3632" s="444">
        <f t="shared" ca="1" si="171"/>
        <v>243102645.56538165</v>
      </c>
      <c r="L3632" s="444">
        <f t="shared" ca="1" si="172"/>
        <v>58587737581.256973</v>
      </c>
      <c r="M3632" s="460">
        <f t="shared" si="174"/>
        <v>0.05</v>
      </c>
      <c r="N3632" s="464">
        <f t="shared" si="175"/>
        <v>161590</v>
      </c>
    </row>
    <row r="3633" spans="7:14" ht="11.25" customHeight="1" x14ac:dyDescent="0.3">
      <c r="G3633" s="459"/>
      <c r="H3633" s="459">
        <v>3626</v>
      </c>
      <c r="I3633" s="444">
        <f t="shared" ca="1" si="173"/>
        <v>58587737581.256973</v>
      </c>
      <c r="J3633" s="444">
        <f t="array" ref="J3633">IFERROR(INDEX('Retirement Calculator'!J:J,MATCH('Isaac 401k'!N3633,'Retirement Calculator'!A:A,0),0),0)</f>
        <v>0</v>
      </c>
      <c r="K3633" s="444">
        <f t="shared" ca="1" si="171"/>
        <v>244115573.25523737</v>
      </c>
      <c r="L3633" s="444">
        <f t="shared" ca="1" si="172"/>
        <v>58831853154.512207</v>
      </c>
      <c r="M3633" s="460">
        <f t="shared" si="174"/>
        <v>0.05</v>
      </c>
      <c r="N3633" s="464">
        <f t="shared" si="175"/>
        <v>161620</v>
      </c>
    </row>
    <row r="3634" spans="7:14" ht="11.25" customHeight="1" x14ac:dyDescent="0.3">
      <c r="G3634" s="459"/>
      <c r="H3634" s="459">
        <v>3627</v>
      </c>
      <c r="I3634" s="444">
        <f t="shared" ca="1" si="173"/>
        <v>58831853154.512207</v>
      </c>
      <c r="J3634" s="444">
        <f t="array" ref="J3634">IFERROR(INDEX('Retirement Calculator'!J:J,MATCH('Isaac 401k'!N3634,'Retirement Calculator'!A:A,0),0),0)</f>
        <v>0</v>
      </c>
      <c r="K3634" s="444">
        <f t="shared" ca="1" si="171"/>
        <v>245132721.4771342</v>
      </c>
      <c r="L3634" s="444">
        <f t="shared" ca="1" si="172"/>
        <v>59076985875.989342</v>
      </c>
      <c r="M3634" s="460">
        <f t="shared" si="174"/>
        <v>0.05</v>
      </c>
      <c r="N3634" s="464">
        <f t="shared" si="175"/>
        <v>161651</v>
      </c>
    </row>
    <row r="3635" spans="7:14" ht="11.25" customHeight="1" x14ac:dyDescent="0.3">
      <c r="G3635" s="459"/>
      <c r="H3635" s="459">
        <v>3628</v>
      </c>
      <c r="I3635" s="444">
        <f t="shared" ca="1" si="173"/>
        <v>59076985875.989342</v>
      </c>
      <c r="J3635" s="444">
        <f t="array" ref="J3635">IFERROR(INDEX('Retirement Calculator'!J:J,MATCH('Isaac 401k'!N3635,'Retirement Calculator'!A:A,0),0),0)</f>
        <v>0</v>
      </c>
      <c r="K3635" s="444">
        <f t="shared" ca="1" si="171"/>
        <v>246154107.81662223</v>
      </c>
      <c r="L3635" s="444">
        <f t="shared" ca="1" si="172"/>
        <v>59323139983.805962</v>
      </c>
      <c r="M3635" s="460">
        <f t="shared" si="174"/>
        <v>0.05</v>
      </c>
      <c r="N3635" s="464">
        <f t="shared" si="175"/>
        <v>161682</v>
      </c>
    </row>
    <row r="3636" spans="7:14" ht="11.25" customHeight="1" x14ac:dyDescent="0.3">
      <c r="G3636" s="459"/>
      <c r="H3636" s="459">
        <v>3629</v>
      </c>
      <c r="I3636" s="444">
        <f t="shared" ca="1" si="173"/>
        <v>59323139983.805962</v>
      </c>
      <c r="J3636" s="444">
        <f t="array" ref="J3636">IFERROR(INDEX('Retirement Calculator'!J:J,MATCH('Isaac 401k'!N3636,'Retirement Calculator'!A:A,0),0),0)</f>
        <v>0</v>
      </c>
      <c r="K3636" s="444">
        <f t="shared" ca="1" si="171"/>
        <v>247179749.93252483</v>
      </c>
      <c r="L3636" s="444">
        <f t="shared" ca="1" si="172"/>
        <v>59570319733.738487</v>
      </c>
      <c r="M3636" s="460">
        <f t="shared" si="174"/>
        <v>0.05</v>
      </c>
      <c r="N3636" s="464">
        <f t="shared" si="175"/>
        <v>161712</v>
      </c>
    </row>
    <row r="3637" spans="7:14" ht="11.25" customHeight="1" x14ac:dyDescent="0.3">
      <c r="G3637" s="459"/>
      <c r="H3637" s="459">
        <v>3630</v>
      </c>
      <c r="I3637" s="444">
        <f t="shared" ca="1" si="173"/>
        <v>59570319733.738487</v>
      </c>
      <c r="J3637" s="444">
        <f t="array" ref="J3637">IFERROR(INDEX('Retirement Calculator'!J:J,MATCH('Isaac 401k'!N3637,'Retirement Calculator'!A:A,0),0),0)</f>
        <v>0</v>
      </c>
      <c r="K3637" s="444">
        <f t="shared" ca="1" si="171"/>
        <v>248209665.5572437</v>
      </c>
      <c r="L3637" s="444">
        <f t="shared" ca="1" si="172"/>
        <v>59818529399.295731</v>
      </c>
      <c r="M3637" s="460">
        <f t="shared" si="174"/>
        <v>0.05</v>
      </c>
      <c r="N3637" s="464">
        <f t="shared" si="175"/>
        <v>161743</v>
      </c>
    </row>
    <row r="3638" spans="7:14" ht="11.25" customHeight="1" x14ac:dyDescent="0.3">
      <c r="G3638" s="459"/>
      <c r="H3638" s="459">
        <v>3631</v>
      </c>
      <c r="I3638" s="444">
        <f t="shared" ca="1" si="173"/>
        <v>59818529399.295731</v>
      </c>
      <c r="J3638" s="444">
        <f t="array" ref="J3638">IFERROR(INDEX('Retirement Calculator'!J:J,MATCH('Isaac 401k'!N3638,'Retirement Calculator'!A:A,0),0),0)</f>
        <v>0</v>
      </c>
      <c r="K3638" s="444">
        <f t="shared" ca="1" si="171"/>
        <v>249243872.49706554</v>
      </c>
      <c r="L3638" s="444">
        <f t="shared" ca="1" si="172"/>
        <v>60067773271.792793</v>
      </c>
      <c r="M3638" s="460">
        <f t="shared" si="174"/>
        <v>0.05</v>
      </c>
      <c r="N3638" s="464">
        <f t="shared" si="175"/>
        <v>161773</v>
      </c>
    </row>
    <row r="3639" spans="7:14" ht="11.25" customHeight="1" x14ac:dyDescent="0.3">
      <c r="G3639" s="459"/>
      <c r="H3639" s="459">
        <v>3632</v>
      </c>
      <c r="I3639" s="444">
        <f t="shared" ca="1" si="173"/>
        <v>60067773271.792793</v>
      </c>
      <c r="J3639" s="444">
        <f t="array" ref="J3639">IFERROR(INDEX('Retirement Calculator'!J:J,MATCH('Isaac 401k'!N3639,'Retirement Calculator'!A:A,0),0),0)</f>
        <v>0</v>
      </c>
      <c r="K3639" s="444">
        <f t="shared" ca="1" si="171"/>
        <v>250282388.63247001</v>
      </c>
      <c r="L3639" s="444">
        <f t="shared" ca="1" si="172"/>
        <v>60318055660.425262</v>
      </c>
      <c r="M3639" s="460">
        <f t="shared" si="174"/>
        <v>0.05</v>
      </c>
      <c r="N3639" s="464">
        <f t="shared" si="175"/>
        <v>161804</v>
      </c>
    </row>
    <row r="3640" spans="7:14" ht="11.25" customHeight="1" x14ac:dyDescent="0.3">
      <c r="G3640" s="459"/>
      <c r="H3640" s="459">
        <v>3633</v>
      </c>
      <c r="I3640" s="444">
        <f t="shared" ca="1" si="173"/>
        <v>60318055660.425262</v>
      </c>
      <c r="J3640" s="444">
        <f t="array" ref="J3640">IFERROR(INDEX('Retirement Calculator'!J:J,MATCH('Isaac 401k'!N3640,'Retirement Calculator'!A:A,0),0),0)</f>
        <v>0</v>
      </c>
      <c r="K3640" s="444">
        <f t="shared" ca="1" si="171"/>
        <v>251325231.91843858</v>
      </c>
      <c r="L3640" s="444">
        <f t="shared" ca="1" si="172"/>
        <v>60569380892.343704</v>
      </c>
      <c r="M3640" s="460">
        <f t="shared" si="174"/>
        <v>0.05</v>
      </c>
      <c r="N3640" s="464">
        <f t="shared" si="175"/>
        <v>161835</v>
      </c>
    </row>
    <row r="3641" spans="7:14" ht="11.25" customHeight="1" x14ac:dyDescent="0.3">
      <c r="G3641" s="459"/>
      <c r="H3641" s="459">
        <v>3634</v>
      </c>
      <c r="I3641" s="444">
        <f t="shared" ca="1" si="173"/>
        <v>60569380892.343704</v>
      </c>
      <c r="J3641" s="444">
        <f t="array" ref="J3641">IFERROR(INDEX('Retirement Calculator'!J:J,MATCH('Isaac 401k'!N3641,'Retirement Calculator'!A:A,0),0),0)</f>
        <v>0</v>
      </c>
      <c r="K3641" s="444">
        <f t="shared" ca="1" si="171"/>
        <v>252372420.38476542</v>
      </c>
      <c r="L3641" s="444">
        <f t="shared" ca="1" si="172"/>
        <v>60821753312.72847</v>
      </c>
      <c r="M3641" s="460">
        <f t="shared" si="174"/>
        <v>0.05</v>
      </c>
      <c r="N3641" s="464">
        <f t="shared" si="175"/>
        <v>161863</v>
      </c>
    </row>
    <row r="3642" spans="7:14" ht="11.25" customHeight="1" x14ac:dyDescent="0.3">
      <c r="G3642" s="459"/>
      <c r="H3642" s="459">
        <v>3635</v>
      </c>
      <c r="I3642" s="444">
        <f t="shared" ca="1" si="173"/>
        <v>60821753312.72847</v>
      </c>
      <c r="J3642" s="444">
        <f t="array" ref="J3642">IFERROR(INDEX('Retirement Calculator'!J:J,MATCH('Isaac 401k'!N3642,'Retirement Calculator'!A:A,0),0),0)</f>
        <v>0</v>
      </c>
      <c r="K3642" s="444">
        <f t="shared" ca="1" si="171"/>
        <v>253423972.13636866</v>
      </c>
      <c r="L3642" s="444">
        <f t="shared" ca="1" si="172"/>
        <v>61075177284.864838</v>
      </c>
      <c r="M3642" s="460">
        <f t="shared" si="174"/>
        <v>0.05</v>
      </c>
      <c r="N3642" s="464">
        <f t="shared" si="175"/>
        <v>161894</v>
      </c>
    </row>
    <row r="3643" spans="7:14" ht="11.25" customHeight="1" x14ac:dyDescent="0.3">
      <c r="G3643" s="459"/>
      <c r="H3643" s="459">
        <v>3636</v>
      </c>
      <c r="I3643" s="444">
        <f t="shared" ca="1" si="173"/>
        <v>61075177284.864838</v>
      </c>
      <c r="J3643" s="444">
        <f t="array" ref="J3643">IFERROR(INDEX('Retirement Calculator'!J:J,MATCH('Isaac 401k'!N3643,'Retirement Calculator'!A:A,0),0),0)</f>
        <v>0</v>
      </c>
      <c r="K3643" s="444">
        <f t="shared" ca="1" si="171"/>
        <v>254479905.35360351</v>
      </c>
      <c r="L3643" s="444">
        <f t="shared" ca="1" si="172"/>
        <v>61329657190.218445</v>
      </c>
      <c r="M3643" s="460">
        <f t="shared" si="174"/>
        <v>0.05</v>
      </c>
      <c r="N3643" s="464">
        <f t="shared" si="175"/>
        <v>161924</v>
      </c>
    </row>
    <row r="3644" spans="7:14" ht="11.25" customHeight="1" x14ac:dyDescent="0.3">
      <c r="G3644" s="459"/>
      <c r="H3644" s="459">
        <v>3637</v>
      </c>
      <c r="I3644" s="444">
        <f t="shared" ca="1" si="173"/>
        <v>61329657190.218445</v>
      </c>
      <c r="J3644" s="444">
        <f t="array" ref="J3644">IFERROR(INDEX('Retirement Calculator'!J:J,MATCH('Isaac 401k'!N3644,'Retirement Calculator'!A:A,0),0),0)</f>
        <v>0</v>
      </c>
      <c r="K3644" s="444">
        <f t="shared" ca="1" si="171"/>
        <v>255540238.29257682</v>
      </c>
      <c r="L3644" s="444">
        <f t="shared" ca="1" si="172"/>
        <v>61585197428.511024</v>
      </c>
      <c r="M3644" s="460">
        <f t="shared" si="174"/>
        <v>0.05</v>
      </c>
      <c r="N3644" s="464">
        <f t="shared" si="175"/>
        <v>161955</v>
      </c>
    </row>
    <row r="3645" spans="7:14" ht="11.25" customHeight="1" x14ac:dyDescent="0.3">
      <c r="G3645" s="459"/>
      <c r="H3645" s="459">
        <v>3638</v>
      </c>
      <c r="I3645" s="444">
        <f t="shared" ca="1" si="173"/>
        <v>61585197428.511024</v>
      </c>
      <c r="J3645" s="444">
        <f t="array" ref="J3645">IFERROR(INDEX('Retirement Calculator'!J:J,MATCH('Isaac 401k'!N3645,'Retirement Calculator'!A:A,0),0),0)</f>
        <v>0</v>
      </c>
      <c r="K3645" s="444">
        <f t="shared" ca="1" si="171"/>
        <v>256604989.28546259</v>
      </c>
      <c r="L3645" s="444">
        <f t="shared" ca="1" si="172"/>
        <v>61841802417.796486</v>
      </c>
      <c r="M3645" s="460">
        <f t="shared" si="174"/>
        <v>0.05</v>
      </c>
      <c r="N3645" s="464">
        <f t="shared" si="175"/>
        <v>161985</v>
      </c>
    </row>
    <row r="3646" spans="7:14" ht="11.25" customHeight="1" x14ac:dyDescent="0.3">
      <c r="G3646" s="459"/>
      <c r="H3646" s="459">
        <v>3639</v>
      </c>
      <c r="I3646" s="444">
        <f t="shared" ca="1" si="173"/>
        <v>61841802417.796486</v>
      </c>
      <c r="J3646" s="444">
        <f t="array" ref="J3646">IFERROR(INDEX('Retirement Calculator'!J:J,MATCH('Isaac 401k'!N3646,'Retirement Calculator'!A:A,0),0),0)</f>
        <v>0</v>
      </c>
      <c r="K3646" s="444">
        <f t="shared" ca="1" si="171"/>
        <v>257674176.74081871</v>
      </c>
      <c r="L3646" s="444">
        <f t="shared" ca="1" si="172"/>
        <v>62099476594.537308</v>
      </c>
      <c r="M3646" s="460">
        <f t="shared" si="174"/>
        <v>0.05</v>
      </c>
      <c r="N3646" s="464">
        <f t="shared" si="175"/>
        <v>162016</v>
      </c>
    </row>
    <row r="3647" spans="7:14" ht="11.25" customHeight="1" x14ac:dyDescent="0.3">
      <c r="G3647" s="459"/>
      <c r="H3647" s="459">
        <v>3640</v>
      </c>
      <c r="I3647" s="444">
        <f t="shared" ca="1" si="173"/>
        <v>62099476594.537308</v>
      </c>
      <c r="J3647" s="444">
        <f t="array" ref="J3647">IFERROR(INDEX('Retirement Calculator'!J:J,MATCH('Isaac 401k'!N3647,'Retirement Calculator'!A:A,0),0),0)</f>
        <v>0</v>
      </c>
      <c r="K3647" s="444">
        <f t="shared" ca="1" si="171"/>
        <v>258747819.14390549</v>
      </c>
      <c r="L3647" s="444">
        <f t="shared" ca="1" si="172"/>
        <v>62358224413.681213</v>
      </c>
      <c r="M3647" s="460">
        <f t="shared" si="174"/>
        <v>0.05</v>
      </c>
      <c r="N3647" s="464">
        <f t="shared" si="175"/>
        <v>162047</v>
      </c>
    </row>
    <row r="3648" spans="7:14" ht="11.25" customHeight="1" x14ac:dyDescent="0.3">
      <c r="G3648" s="459"/>
      <c r="H3648" s="459">
        <v>3641</v>
      </c>
      <c r="I3648" s="444">
        <f t="shared" ca="1" si="173"/>
        <v>62358224413.681213</v>
      </c>
      <c r="J3648" s="444">
        <f t="array" ref="J3648">IFERROR(INDEX('Retirement Calculator'!J:J,MATCH('Isaac 401k'!N3648,'Retirement Calculator'!A:A,0),0),0)</f>
        <v>0</v>
      </c>
      <c r="K3648" s="444">
        <f t="shared" ca="1" si="171"/>
        <v>259825935.05700505</v>
      </c>
      <c r="L3648" s="444">
        <f t="shared" ca="1" si="172"/>
        <v>62618050348.73822</v>
      </c>
      <c r="M3648" s="460">
        <f t="shared" si="174"/>
        <v>0.05</v>
      </c>
      <c r="N3648" s="464">
        <f t="shared" si="175"/>
        <v>162077</v>
      </c>
    </row>
    <row r="3649" spans="7:14" ht="11.25" customHeight="1" x14ac:dyDescent="0.3">
      <c r="G3649" s="459"/>
      <c r="H3649" s="459">
        <v>3642</v>
      </c>
      <c r="I3649" s="444">
        <f t="shared" ca="1" si="173"/>
        <v>62618050348.73822</v>
      </c>
      <c r="J3649" s="444">
        <f t="array" ref="J3649">IFERROR(INDEX('Retirement Calculator'!J:J,MATCH('Isaac 401k'!N3649,'Retirement Calculator'!A:A,0),0),0)</f>
        <v>0</v>
      </c>
      <c r="K3649" s="444">
        <f t="shared" ca="1" si="171"/>
        <v>260908543.1197426</v>
      </c>
      <c r="L3649" s="444">
        <f t="shared" ca="1" si="172"/>
        <v>62878958891.857964</v>
      </c>
      <c r="M3649" s="460">
        <f t="shared" si="174"/>
        <v>0.05</v>
      </c>
      <c r="N3649" s="464">
        <f t="shared" si="175"/>
        <v>162108</v>
      </c>
    </row>
    <row r="3650" spans="7:14" ht="11.25" customHeight="1" x14ac:dyDescent="0.3">
      <c r="G3650" s="459"/>
      <c r="H3650" s="459">
        <v>3643</v>
      </c>
      <c r="I3650" s="444">
        <f t="shared" ca="1" si="173"/>
        <v>62878958891.857964</v>
      </c>
      <c r="J3650" s="444">
        <f t="array" ref="J3650">IFERROR(INDEX('Retirement Calculator'!J:J,MATCH('Isaac 401k'!N3650,'Retirement Calculator'!A:A,0),0),0)</f>
        <v>0</v>
      </c>
      <c r="K3650" s="444">
        <f t="shared" ca="1" si="171"/>
        <v>261995662.04940817</v>
      </c>
      <c r="L3650" s="444">
        <f t="shared" ca="1" si="172"/>
        <v>63140954553.907372</v>
      </c>
      <c r="M3650" s="460">
        <f t="shared" si="174"/>
        <v>0.05</v>
      </c>
      <c r="N3650" s="464">
        <f t="shared" si="175"/>
        <v>162138</v>
      </c>
    </row>
    <row r="3651" spans="7:14" ht="11.25" customHeight="1" x14ac:dyDescent="0.3">
      <c r="G3651" s="459"/>
      <c r="H3651" s="459">
        <v>3644</v>
      </c>
      <c r="I3651" s="444">
        <f t="shared" ca="1" si="173"/>
        <v>63140954553.907372</v>
      </c>
      <c r="J3651" s="444">
        <f t="array" ref="J3651">IFERROR(INDEX('Retirement Calculator'!J:J,MATCH('Isaac 401k'!N3651,'Retirement Calculator'!A:A,0),0),0)</f>
        <v>0</v>
      </c>
      <c r="K3651" s="444">
        <f t="shared" ca="1" si="171"/>
        <v>263087310.64128071</v>
      </c>
      <c r="L3651" s="444">
        <f t="shared" ca="1" si="172"/>
        <v>63404041864.548653</v>
      </c>
      <c r="M3651" s="460">
        <f t="shared" si="174"/>
        <v>0.05</v>
      </c>
      <c r="N3651" s="464">
        <f t="shared" si="175"/>
        <v>162169</v>
      </c>
    </row>
    <row r="3652" spans="7:14" ht="11.25" customHeight="1" x14ac:dyDescent="0.3">
      <c r="G3652" s="459"/>
      <c r="H3652" s="459">
        <v>3645</v>
      </c>
      <c r="I3652" s="444">
        <f t="shared" ca="1" si="173"/>
        <v>63404041864.548653</v>
      </c>
      <c r="J3652" s="444">
        <f t="array" ref="J3652">IFERROR(INDEX('Retirement Calculator'!J:J,MATCH('Isaac 401k'!N3652,'Retirement Calculator'!A:A,0),0),0)</f>
        <v>0</v>
      </c>
      <c r="K3652" s="444">
        <f t="shared" ca="1" si="171"/>
        <v>264183507.76895273</v>
      </c>
      <c r="L3652" s="444">
        <f t="shared" ca="1" si="172"/>
        <v>63668225372.317604</v>
      </c>
      <c r="M3652" s="460">
        <f t="shared" si="174"/>
        <v>0.05</v>
      </c>
      <c r="N3652" s="464">
        <f t="shared" si="175"/>
        <v>162200</v>
      </c>
    </row>
    <row r="3653" spans="7:14" ht="11.25" customHeight="1" x14ac:dyDescent="0.3">
      <c r="G3653" s="459"/>
      <c r="H3653" s="459">
        <v>3646</v>
      </c>
      <c r="I3653" s="444">
        <f t="shared" ca="1" si="173"/>
        <v>63668225372.317604</v>
      </c>
      <c r="J3653" s="444">
        <f t="array" ref="J3653">IFERROR(INDEX('Retirement Calculator'!J:J,MATCH('Isaac 401k'!N3653,'Retirement Calculator'!A:A,0),0),0)</f>
        <v>0</v>
      </c>
      <c r="K3653" s="444">
        <f t="shared" ca="1" si="171"/>
        <v>265284272.38465667</v>
      </c>
      <c r="L3653" s="444">
        <f t="shared" ca="1" si="172"/>
        <v>63933509644.702263</v>
      </c>
      <c r="M3653" s="460">
        <f t="shared" si="174"/>
        <v>0.05</v>
      </c>
      <c r="N3653" s="464">
        <f t="shared" si="175"/>
        <v>162229</v>
      </c>
    </row>
    <row r="3654" spans="7:14" ht="11.25" customHeight="1" x14ac:dyDescent="0.3">
      <c r="G3654" s="459"/>
      <c r="H3654" s="459">
        <v>3647</v>
      </c>
      <c r="I3654" s="444">
        <f t="shared" ca="1" si="173"/>
        <v>63933509644.702263</v>
      </c>
      <c r="J3654" s="444">
        <f t="array" ref="J3654">IFERROR(INDEX('Retirement Calculator'!J:J,MATCH('Isaac 401k'!N3654,'Retirement Calculator'!A:A,0),0),0)</f>
        <v>0</v>
      </c>
      <c r="K3654" s="444">
        <f t="shared" ca="1" si="171"/>
        <v>266389623.51959276</v>
      </c>
      <c r="L3654" s="444">
        <f t="shared" ca="1" si="172"/>
        <v>64199899268.221855</v>
      </c>
      <c r="M3654" s="460">
        <f t="shared" si="174"/>
        <v>0.05</v>
      </c>
      <c r="N3654" s="464">
        <f t="shared" si="175"/>
        <v>162260</v>
      </c>
    </row>
    <row r="3655" spans="7:14" ht="11.25" customHeight="1" x14ac:dyDescent="0.3">
      <c r="G3655" s="459"/>
      <c r="H3655" s="459">
        <v>3648</v>
      </c>
      <c r="I3655" s="444">
        <f t="shared" ca="1" si="173"/>
        <v>64199899268.221855</v>
      </c>
      <c r="J3655" s="444">
        <f t="array" ref="J3655">IFERROR(INDEX('Retirement Calculator'!J:J,MATCH('Isaac 401k'!N3655,'Retirement Calculator'!A:A,0),0),0)</f>
        <v>0</v>
      </c>
      <c r="K3655" s="444">
        <f t="shared" ca="1" si="171"/>
        <v>267499580.28425768</v>
      </c>
      <c r="L3655" s="444">
        <f t="shared" ca="1" si="172"/>
        <v>64467398848.506111</v>
      </c>
      <c r="M3655" s="460">
        <f t="shared" si="174"/>
        <v>0.05</v>
      </c>
      <c r="N3655" s="464">
        <f t="shared" si="175"/>
        <v>162290</v>
      </c>
    </row>
    <row r="3656" spans="7:14" ht="11.25" customHeight="1" x14ac:dyDescent="0.3">
      <c r="G3656" s="459"/>
      <c r="H3656" s="459">
        <v>3649</v>
      </c>
      <c r="I3656" s="444">
        <f t="shared" ca="1" si="173"/>
        <v>64467398848.506111</v>
      </c>
      <c r="J3656" s="444">
        <f t="array" ref="J3656">IFERROR(INDEX('Retirement Calculator'!J:J,MATCH('Isaac 401k'!N3656,'Retirement Calculator'!A:A,0),0),0)</f>
        <v>0</v>
      </c>
      <c r="K3656" s="444">
        <f t="shared" ca="1" si="171"/>
        <v>268614161.86877549</v>
      </c>
      <c r="L3656" s="444">
        <f t="shared" ca="1" si="172"/>
        <v>64736013010.374886</v>
      </c>
      <c r="M3656" s="460">
        <f t="shared" si="174"/>
        <v>0.05</v>
      </c>
      <c r="N3656" s="464">
        <f t="shared" si="175"/>
        <v>162321</v>
      </c>
    </row>
    <row r="3657" spans="7:14" ht="11.25" customHeight="1" x14ac:dyDescent="0.3">
      <c r="G3657" s="459"/>
      <c r="H3657" s="459">
        <v>3650</v>
      </c>
      <c r="I3657" s="444">
        <f t="shared" ca="1" si="173"/>
        <v>64736013010.374886</v>
      </c>
      <c r="J3657" s="444">
        <f t="array" ref="J3657">IFERROR(INDEX('Retirement Calculator'!J:J,MATCH('Isaac 401k'!N3657,'Retirement Calculator'!A:A,0),0),0)</f>
        <v>0</v>
      </c>
      <c r="K3657" s="444">
        <f t="shared" ca="1" si="171"/>
        <v>269733387.54322869</v>
      </c>
      <c r="L3657" s="444">
        <f t="shared" ca="1" si="172"/>
        <v>65005746397.918114</v>
      </c>
      <c r="M3657" s="460">
        <f t="shared" si="174"/>
        <v>0.05</v>
      </c>
      <c r="N3657" s="464">
        <f t="shared" si="175"/>
        <v>162351</v>
      </c>
    </row>
    <row r="3658" spans="7:14" ht="11.25" customHeight="1" x14ac:dyDescent="0.3">
      <c r="G3658" s="459"/>
      <c r="H3658" s="459">
        <v>3651</v>
      </c>
      <c r="I3658" s="444">
        <f t="shared" ca="1" si="173"/>
        <v>65005746397.918114</v>
      </c>
      <c r="J3658" s="444">
        <f t="array" ref="J3658">IFERROR(INDEX('Retirement Calculator'!J:J,MATCH('Isaac 401k'!N3658,'Retirement Calculator'!A:A,0),0),0)</f>
        <v>0</v>
      </c>
      <c r="K3658" s="444">
        <f t="shared" ca="1" si="171"/>
        <v>270857276.65799218</v>
      </c>
      <c r="L3658" s="444">
        <f t="shared" ca="1" si="172"/>
        <v>65276603674.576103</v>
      </c>
      <c r="M3658" s="460">
        <f t="shared" si="174"/>
        <v>0.05</v>
      </c>
      <c r="N3658" s="464">
        <f t="shared" si="175"/>
        <v>162382</v>
      </c>
    </row>
    <row r="3659" spans="7:14" ht="11.25" customHeight="1" x14ac:dyDescent="0.3">
      <c r="G3659" s="459"/>
      <c r="H3659" s="459">
        <v>3652</v>
      </c>
      <c r="I3659" s="444">
        <f t="shared" ca="1" si="173"/>
        <v>65276603674.576103</v>
      </c>
      <c r="J3659" s="444">
        <f t="array" ref="J3659">IFERROR(INDEX('Retirement Calculator'!J:J,MATCH('Isaac 401k'!N3659,'Retirement Calculator'!A:A,0),0),0)</f>
        <v>0</v>
      </c>
      <c r="K3659" s="444">
        <f t="shared" ca="1" si="171"/>
        <v>271985848.64406711</v>
      </c>
      <c r="L3659" s="444">
        <f t="shared" ca="1" si="172"/>
        <v>65548589523.220169</v>
      </c>
      <c r="M3659" s="460">
        <f t="shared" si="174"/>
        <v>0.05</v>
      </c>
      <c r="N3659" s="464">
        <f t="shared" si="175"/>
        <v>162413</v>
      </c>
    </row>
    <row r="3660" spans="7:14" ht="11.25" customHeight="1" x14ac:dyDescent="0.3">
      <c r="G3660" s="459"/>
      <c r="H3660" s="459">
        <v>3653</v>
      </c>
      <c r="I3660" s="444">
        <f t="shared" ca="1" si="173"/>
        <v>65548589523.220169</v>
      </c>
      <c r="J3660" s="444">
        <f t="array" ref="J3660">IFERROR(INDEX('Retirement Calculator'!J:J,MATCH('Isaac 401k'!N3660,'Retirement Calculator'!A:A,0),0),0)</f>
        <v>0</v>
      </c>
      <c r="K3660" s="444">
        <f t="shared" ca="1" si="171"/>
        <v>273119123.01341736</v>
      </c>
      <c r="L3660" s="444">
        <f t="shared" ca="1" si="172"/>
        <v>65821708646.233589</v>
      </c>
      <c r="M3660" s="460">
        <f t="shared" si="174"/>
        <v>0.05</v>
      </c>
      <c r="N3660" s="464">
        <f t="shared" si="175"/>
        <v>162443</v>
      </c>
    </row>
    <row r="3661" spans="7:14" ht="11.25" customHeight="1" x14ac:dyDescent="0.3">
      <c r="G3661" s="459"/>
      <c r="H3661" s="459">
        <v>3654</v>
      </c>
      <c r="I3661" s="444">
        <f t="shared" ca="1" si="173"/>
        <v>65821708646.233589</v>
      </c>
      <c r="J3661" s="444">
        <f t="array" ref="J3661">IFERROR(INDEX('Retirement Calculator'!J:J,MATCH('Isaac 401k'!N3661,'Retirement Calculator'!A:A,0),0),0)</f>
        <v>0</v>
      </c>
      <c r="K3661" s="444">
        <f t="shared" ca="1" si="171"/>
        <v>274257119.35930663</v>
      </c>
      <c r="L3661" s="444">
        <f t="shared" ca="1" si="172"/>
        <v>66095965765.592896</v>
      </c>
      <c r="M3661" s="460">
        <f t="shared" si="174"/>
        <v>0.05</v>
      </c>
      <c r="N3661" s="464">
        <f t="shared" si="175"/>
        <v>162474</v>
      </c>
    </row>
    <row r="3662" spans="7:14" ht="11.25" customHeight="1" x14ac:dyDescent="0.3">
      <c r="G3662" s="459"/>
      <c r="H3662" s="459">
        <v>3655</v>
      </c>
      <c r="I3662" s="444">
        <f t="shared" ca="1" si="173"/>
        <v>66095965765.592896</v>
      </c>
      <c r="J3662" s="444">
        <f t="array" ref="J3662">IFERROR(INDEX('Retirement Calculator'!J:J,MATCH('Isaac 401k'!N3662,'Retirement Calculator'!A:A,0),0),0)</f>
        <v>0</v>
      </c>
      <c r="K3662" s="444">
        <f t="shared" ca="1" si="171"/>
        <v>275399857.35663706</v>
      </c>
      <c r="L3662" s="444">
        <f t="shared" ca="1" si="172"/>
        <v>66371365622.949532</v>
      </c>
      <c r="M3662" s="460">
        <f t="shared" si="174"/>
        <v>0.05</v>
      </c>
      <c r="N3662" s="464">
        <f t="shared" si="175"/>
        <v>162504</v>
      </c>
    </row>
    <row r="3663" spans="7:14" ht="11.25" customHeight="1" x14ac:dyDescent="0.3">
      <c r="G3663" s="459"/>
      <c r="H3663" s="459">
        <v>3656</v>
      </c>
      <c r="I3663" s="444">
        <f t="shared" ca="1" si="173"/>
        <v>66371365622.949532</v>
      </c>
      <c r="J3663" s="444">
        <f t="array" ref="J3663">IFERROR(INDEX('Retirement Calculator'!J:J,MATCH('Isaac 401k'!N3663,'Retirement Calculator'!A:A,0),0),0)</f>
        <v>0</v>
      </c>
      <c r="K3663" s="444">
        <f t="shared" ca="1" si="171"/>
        <v>276547356.7622897</v>
      </c>
      <c r="L3663" s="444">
        <f t="shared" ca="1" si="172"/>
        <v>66647912979.711823</v>
      </c>
      <c r="M3663" s="460">
        <f t="shared" si="174"/>
        <v>0.05</v>
      </c>
      <c r="N3663" s="464">
        <f t="shared" si="175"/>
        <v>162535</v>
      </c>
    </row>
    <row r="3664" spans="7:14" ht="11.25" customHeight="1" x14ac:dyDescent="0.3">
      <c r="G3664" s="459"/>
      <c r="H3664" s="459">
        <v>3657</v>
      </c>
      <c r="I3664" s="444">
        <f t="shared" ca="1" si="173"/>
        <v>66647912979.711823</v>
      </c>
      <c r="J3664" s="444">
        <f t="array" ref="J3664">IFERROR(INDEX('Retirement Calculator'!J:J,MATCH('Isaac 401k'!N3664,'Retirement Calculator'!A:A,0),0),0)</f>
        <v>0</v>
      </c>
      <c r="K3664" s="444">
        <f t="shared" ca="1" si="171"/>
        <v>277699637.41546589</v>
      </c>
      <c r="L3664" s="444">
        <f t="shared" ca="1" si="172"/>
        <v>66925612617.127289</v>
      </c>
      <c r="M3664" s="460">
        <f t="shared" si="174"/>
        <v>0.05</v>
      </c>
      <c r="N3664" s="464">
        <f t="shared" si="175"/>
        <v>162566</v>
      </c>
    </row>
    <row r="3665" spans="7:14" ht="11.25" customHeight="1" x14ac:dyDescent="0.3">
      <c r="G3665" s="459"/>
      <c r="H3665" s="459">
        <v>3658</v>
      </c>
      <c r="I3665" s="444">
        <f t="shared" ca="1" si="173"/>
        <v>66925612617.127289</v>
      </c>
      <c r="J3665" s="444">
        <f t="array" ref="J3665">IFERROR(INDEX('Retirement Calculator'!J:J,MATCH('Isaac 401k'!N3665,'Retirement Calculator'!A:A,0),0),0)</f>
        <v>0</v>
      </c>
      <c r="K3665" s="444">
        <f t="shared" ca="1" si="171"/>
        <v>278856719.23803037</v>
      </c>
      <c r="L3665" s="444">
        <f t="shared" ca="1" si="172"/>
        <v>67204469336.365318</v>
      </c>
      <c r="M3665" s="460">
        <f t="shared" si="174"/>
        <v>0.05</v>
      </c>
      <c r="N3665" s="464">
        <f t="shared" si="175"/>
        <v>162594</v>
      </c>
    </row>
    <row r="3666" spans="7:14" ht="11.25" customHeight="1" x14ac:dyDescent="0.3">
      <c r="G3666" s="459"/>
      <c r="H3666" s="459">
        <v>3659</v>
      </c>
      <c r="I3666" s="444">
        <f t="shared" ca="1" si="173"/>
        <v>67204469336.365318</v>
      </c>
      <c r="J3666" s="444">
        <f t="array" ref="J3666">IFERROR(INDEX('Retirement Calculator'!J:J,MATCH('Isaac 401k'!N3666,'Retirement Calculator'!A:A,0),0),0)</f>
        <v>0</v>
      </c>
      <c r="K3666" s="444">
        <f t="shared" ca="1" si="171"/>
        <v>280018622.23485547</v>
      </c>
      <c r="L3666" s="444">
        <f t="shared" ca="1" si="172"/>
        <v>67484487958.600174</v>
      </c>
      <c r="M3666" s="460">
        <f t="shared" si="174"/>
        <v>0.05</v>
      </c>
      <c r="N3666" s="464">
        <f t="shared" si="175"/>
        <v>162625</v>
      </c>
    </row>
    <row r="3667" spans="7:14" ht="11.25" customHeight="1" x14ac:dyDescent="0.3">
      <c r="G3667" s="459"/>
      <c r="H3667" s="459">
        <v>3660</v>
      </c>
      <c r="I3667" s="444">
        <f t="shared" ca="1" si="173"/>
        <v>67484487958.600174</v>
      </c>
      <c r="J3667" s="444">
        <f t="array" ref="J3667">IFERROR(INDEX('Retirement Calculator'!J:J,MATCH('Isaac 401k'!N3667,'Retirement Calculator'!A:A,0),0),0)</f>
        <v>0</v>
      </c>
      <c r="K3667" s="444">
        <f t="shared" ca="1" si="171"/>
        <v>281185366.49416739</v>
      </c>
      <c r="L3667" s="444">
        <f t="shared" ca="1" si="172"/>
        <v>67765673325.094345</v>
      </c>
      <c r="M3667" s="460">
        <f t="shared" si="174"/>
        <v>0.05</v>
      </c>
      <c r="N3667" s="464">
        <f t="shared" si="175"/>
        <v>162655</v>
      </c>
    </row>
    <row r="3668" spans="7:14" ht="11.25" customHeight="1" x14ac:dyDescent="0.3">
      <c r="G3668" s="459"/>
      <c r="H3668" s="459">
        <v>3661</v>
      </c>
      <c r="I3668" s="444">
        <f t="shared" ca="1" si="173"/>
        <v>67765673325.094345</v>
      </c>
      <c r="J3668" s="444">
        <f t="array" ref="J3668">IFERROR(INDEX('Retirement Calculator'!J:J,MATCH('Isaac 401k'!N3668,'Retirement Calculator'!A:A,0),0),0)</f>
        <v>0</v>
      </c>
      <c r="K3668" s="444">
        <f t="shared" ca="1" si="171"/>
        <v>282356972.18789309</v>
      </c>
      <c r="L3668" s="444">
        <f t="shared" ca="1" si="172"/>
        <v>68048030297.282242</v>
      </c>
      <c r="M3668" s="460">
        <f t="shared" si="174"/>
        <v>0.05</v>
      </c>
      <c r="N3668" s="464">
        <f t="shared" si="175"/>
        <v>162686</v>
      </c>
    </row>
    <row r="3669" spans="7:14" ht="11.25" customHeight="1" x14ac:dyDescent="0.3">
      <c r="G3669" s="459"/>
      <c r="H3669" s="459">
        <v>3662</v>
      </c>
      <c r="I3669" s="444">
        <f t="shared" ca="1" si="173"/>
        <v>68048030297.282242</v>
      </c>
      <c r="J3669" s="444">
        <f t="array" ref="J3669">IFERROR(INDEX('Retirement Calculator'!J:J,MATCH('Isaac 401k'!N3669,'Retirement Calculator'!A:A,0),0),0)</f>
        <v>0</v>
      </c>
      <c r="K3669" s="444">
        <f t="shared" ca="1" si="171"/>
        <v>283533459.57200938</v>
      </c>
      <c r="L3669" s="444">
        <f t="shared" ca="1" si="172"/>
        <v>68331563756.854248</v>
      </c>
      <c r="M3669" s="460">
        <f t="shared" si="174"/>
        <v>0.05</v>
      </c>
      <c r="N3669" s="464">
        <f t="shared" si="175"/>
        <v>162716</v>
      </c>
    </row>
    <row r="3670" spans="7:14" ht="11.25" customHeight="1" x14ac:dyDescent="0.3">
      <c r="G3670" s="459"/>
      <c r="H3670" s="459">
        <v>3663</v>
      </c>
      <c r="I3670" s="444">
        <f t="shared" ca="1" si="173"/>
        <v>68331563756.854248</v>
      </c>
      <c r="J3670" s="444">
        <f t="array" ref="J3670">IFERROR(INDEX('Retirement Calculator'!J:J,MATCH('Isaac 401k'!N3670,'Retirement Calculator'!A:A,0),0),0)</f>
        <v>0</v>
      </c>
      <c r="K3670" s="444">
        <f t="shared" ca="1" si="171"/>
        <v>284714848.9868927</v>
      </c>
      <c r="L3670" s="444">
        <f t="shared" ca="1" si="172"/>
        <v>68616278605.841141</v>
      </c>
      <c r="M3670" s="460">
        <f t="shared" si="174"/>
        <v>0.05</v>
      </c>
      <c r="N3670" s="464">
        <f t="shared" si="175"/>
        <v>162747</v>
      </c>
    </row>
    <row r="3671" spans="7:14" ht="11.25" customHeight="1" x14ac:dyDescent="0.3">
      <c r="G3671" s="459"/>
      <c r="H3671" s="459">
        <v>3664</v>
      </c>
      <c r="I3671" s="444">
        <f t="shared" ca="1" si="173"/>
        <v>68616278605.841141</v>
      </c>
      <c r="J3671" s="444">
        <f t="array" ref="J3671">IFERROR(INDEX('Retirement Calculator'!J:J,MATCH('Isaac 401k'!N3671,'Retirement Calculator'!A:A,0),0),0)</f>
        <v>0</v>
      </c>
      <c r="K3671" s="444">
        <f t="shared" ca="1" si="171"/>
        <v>285901160.85767144</v>
      </c>
      <c r="L3671" s="444">
        <f t="shared" ca="1" si="172"/>
        <v>68902179766.698807</v>
      </c>
      <c r="M3671" s="460">
        <f t="shared" si="174"/>
        <v>0.05</v>
      </c>
      <c r="N3671" s="464">
        <f t="shared" si="175"/>
        <v>162778</v>
      </c>
    </row>
    <row r="3672" spans="7:14" ht="11.25" customHeight="1" x14ac:dyDescent="0.3">
      <c r="G3672" s="459"/>
      <c r="H3672" s="459">
        <v>3665</v>
      </c>
      <c r="I3672" s="444">
        <f t="shared" ca="1" si="173"/>
        <v>68902179766.698807</v>
      </c>
      <c r="J3672" s="444">
        <f t="array" ref="J3672">IFERROR(INDEX('Retirement Calculator'!J:J,MATCH('Isaac 401k'!N3672,'Retirement Calculator'!A:A,0),0),0)</f>
        <v>0</v>
      </c>
      <c r="K3672" s="444">
        <f t="shared" ca="1" si="171"/>
        <v>287092415.69457835</v>
      </c>
      <c r="L3672" s="444">
        <f t="shared" ca="1" si="172"/>
        <v>69189272182.393387</v>
      </c>
      <c r="M3672" s="460">
        <f t="shared" si="174"/>
        <v>0.05</v>
      </c>
      <c r="N3672" s="464">
        <f t="shared" si="175"/>
        <v>162808</v>
      </c>
    </row>
    <row r="3673" spans="7:14" ht="11.25" customHeight="1" x14ac:dyDescent="0.3">
      <c r="G3673" s="459"/>
      <c r="H3673" s="459">
        <v>3666</v>
      </c>
      <c r="I3673" s="444">
        <f t="shared" ca="1" si="173"/>
        <v>69189272182.393387</v>
      </c>
      <c r="J3673" s="444">
        <f t="array" ref="J3673">IFERROR(INDEX('Retirement Calculator'!J:J,MATCH('Isaac 401k'!N3673,'Retirement Calculator'!A:A,0),0),0)</f>
        <v>0</v>
      </c>
      <c r="K3673" s="444">
        <f t="shared" ca="1" si="171"/>
        <v>288288634.09330577</v>
      </c>
      <c r="L3673" s="444">
        <f t="shared" ca="1" si="172"/>
        <v>69477560816.486694</v>
      </c>
      <c r="M3673" s="460">
        <f t="shared" si="174"/>
        <v>0.05</v>
      </c>
      <c r="N3673" s="464">
        <f t="shared" si="175"/>
        <v>162839</v>
      </c>
    </row>
    <row r="3674" spans="7:14" ht="11.25" customHeight="1" x14ac:dyDescent="0.3">
      <c r="G3674" s="459"/>
      <c r="H3674" s="459">
        <v>3667</v>
      </c>
      <c r="I3674" s="444">
        <f t="shared" ca="1" si="173"/>
        <v>69477560816.486694</v>
      </c>
      <c r="J3674" s="444">
        <f t="array" ref="J3674">IFERROR(INDEX('Retirement Calculator'!J:J,MATCH('Isaac 401k'!N3674,'Retirement Calculator'!A:A,0),0),0)</f>
        <v>0</v>
      </c>
      <c r="K3674" s="444">
        <f t="shared" ca="1" si="171"/>
        <v>289489836.73536122</v>
      </c>
      <c r="L3674" s="444">
        <f t="shared" ca="1" si="172"/>
        <v>69767050653.222061</v>
      </c>
      <c r="M3674" s="460">
        <f t="shared" si="174"/>
        <v>0.05</v>
      </c>
      <c r="N3674" s="464">
        <f t="shared" si="175"/>
        <v>162869</v>
      </c>
    </row>
    <row r="3675" spans="7:14" ht="11.25" customHeight="1" x14ac:dyDescent="0.3">
      <c r="G3675" s="459"/>
      <c r="H3675" s="459">
        <v>3668</v>
      </c>
      <c r="I3675" s="444">
        <f t="shared" ca="1" si="173"/>
        <v>69767050653.222061</v>
      </c>
      <c r="J3675" s="444">
        <f t="array" ref="J3675">IFERROR(INDEX('Retirement Calculator'!J:J,MATCH('Isaac 401k'!N3675,'Retirement Calculator'!A:A,0),0),0)</f>
        <v>0</v>
      </c>
      <c r="K3675" s="444">
        <f t="shared" ca="1" si="171"/>
        <v>290696044.38842523</v>
      </c>
      <c r="L3675" s="444">
        <f t="shared" ca="1" si="172"/>
        <v>70057746697.610489</v>
      </c>
      <c r="M3675" s="460">
        <f t="shared" si="174"/>
        <v>0.05</v>
      </c>
      <c r="N3675" s="464">
        <f t="shared" si="175"/>
        <v>162900</v>
      </c>
    </row>
    <row r="3676" spans="7:14" ht="11.25" customHeight="1" x14ac:dyDescent="0.3">
      <c r="G3676" s="459"/>
      <c r="H3676" s="459">
        <v>3669</v>
      </c>
      <c r="I3676" s="444">
        <f t="shared" ca="1" si="173"/>
        <v>70057746697.610489</v>
      </c>
      <c r="J3676" s="444">
        <f t="array" ref="J3676">IFERROR(INDEX('Retirement Calculator'!J:J,MATCH('Isaac 401k'!N3676,'Retirement Calculator'!A:A,0),0),0)</f>
        <v>0</v>
      </c>
      <c r="K3676" s="444">
        <f t="shared" ca="1" si="171"/>
        <v>291907277.90671039</v>
      </c>
      <c r="L3676" s="444">
        <f t="shared" ca="1" si="172"/>
        <v>70349653975.517197</v>
      </c>
      <c r="M3676" s="460">
        <f t="shared" si="174"/>
        <v>0.05</v>
      </c>
      <c r="N3676" s="464">
        <f t="shared" si="175"/>
        <v>162931</v>
      </c>
    </row>
    <row r="3677" spans="7:14" ht="11.25" customHeight="1" x14ac:dyDescent="0.3">
      <c r="G3677" s="459"/>
      <c r="H3677" s="459">
        <v>3670</v>
      </c>
      <c r="I3677" s="444">
        <f t="shared" ca="1" si="173"/>
        <v>70349653975.517197</v>
      </c>
      <c r="J3677" s="444">
        <f t="array" ref="J3677">IFERROR(INDEX('Retirement Calculator'!J:J,MATCH('Isaac 401k'!N3677,'Retirement Calculator'!A:A,0),0),0)</f>
        <v>0</v>
      </c>
      <c r="K3677" s="444">
        <f t="shared" ca="1" si="171"/>
        <v>293123558.23132163</v>
      </c>
      <c r="L3677" s="444">
        <f t="shared" ca="1" si="172"/>
        <v>70642777533.74852</v>
      </c>
      <c r="M3677" s="460">
        <f t="shared" si="174"/>
        <v>0.05</v>
      </c>
      <c r="N3677" s="464">
        <f t="shared" si="175"/>
        <v>162959</v>
      </c>
    </row>
    <row r="3678" spans="7:14" ht="11.25" customHeight="1" x14ac:dyDescent="0.3">
      <c r="G3678" s="459"/>
      <c r="H3678" s="459">
        <v>3671</v>
      </c>
      <c r="I3678" s="444">
        <f t="shared" ca="1" si="173"/>
        <v>70642777533.74852</v>
      </c>
      <c r="J3678" s="444">
        <f t="array" ref="J3678">IFERROR(INDEX('Retirement Calculator'!J:J,MATCH('Isaac 401k'!N3678,'Retirement Calculator'!A:A,0),0),0)</f>
        <v>0</v>
      </c>
      <c r="K3678" s="444">
        <f t="shared" ca="1" si="171"/>
        <v>294344906.3906188</v>
      </c>
      <c r="L3678" s="444">
        <f t="shared" ca="1" si="172"/>
        <v>70937122440.139145</v>
      </c>
      <c r="M3678" s="460">
        <f t="shared" si="174"/>
        <v>0.05</v>
      </c>
      <c r="N3678" s="464">
        <f t="shared" si="175"/>
        <v>162990</v>
      </c>
    </row>
    <row r="3679" spans="7:14" ht="11.25" customHeight="1" x14ac:dyDescent="0.3">
      <c r="G3679" s="459"/>
      <c r="H3679" s="459">
        <v>3672</v>
      </c>
      <c r="I3679" s="444">
        <f t="shared" ca="1" si="173"/>
        <v>70937122440.139145</v>
      </c>
      <c r="J3679" s="444">
        <f t="array" ref="J3679">IFERROR(INDEX('Retirement Calculator'!J:J,MATCH('Isaac 401k'!N3679,'Retirement Calculator'!A:A,0),0),0)</f>
        <v>0</v>
      </c>
      <c r="K3679" s="444">
        <f t="shared" ca="1" si="171"/>
        <v>295571343.50057977</v>
      </c>
      <c r="L3679" s="444">
        <f t="shared" ca="1" si="172"/>
        <v>71232693783.639725</v>
      </c>
      <c r="M3679" s="460">
        <f t="shared" si="174"/>
        <v>0.05</v>
      </c>
      <c r="N3679" s="464">
        <f t="shared" si="175"/>
        <v>163020</v>
      </c>
    </row>
    <row r="3680" spans="7:14" ht="11.25" customHeight="1" x14ac:dyDescent="0.3">
      <c r="G3680" s="459"/>
      <c r="H3680" s="459">
        <v>3673</v>
      </c>
      <c r="I3680" s="444">
        <f t="shared" ca="1" si="173"/>
        <v>71232693783.639725</v>
      </c>
      <c r="J3680" s="444">
        <f t="array" ref="J3680">IFERROR(INDEX('Retirement Calculator'!J:J,MATCH('Isaac 401k'!N3680,'Retirement Calculator'!A:A,0),0),0)</f>
        <v>0</v>
      </c>
      <c r="K3680" s="444">
        <f t="shared" ca="1" si="171"/>
        <v>296802890.76516551</v>
      </c>
      <c r="L3680" s="444">
        <f t="shared" ca="1" si="172"/>
        <v>71529496674.404892</v>
      </c>
      <c r="M3680" s="460">
        <f t="shared" si="174"/>
        <v>0.05</v>
      </c>
      <c r="N3680" s="464">
        <f t="shared" si="175"/>
        <v>163051</v>
      </c>
    </row>
    <row r="3681" spans="7:14" ht="11.25" customHeight="1" x14ac:dyDescent="0.3">
      <c r="G3681" s="459"/>
      <c r="H3681" s="459">
        <v>3674</v>
      </c>
      <c r="I3681" s="444">
        <f t="shared" ca="1" si="173"/>
        <v>71529496674.404892</v>
      </c>
      <c r="J3681" s="444">
        <f t="array" ref="J3681">IFERROR(INDEX('Retirement Calculator'!J:J,MATCH('Isaac 401k'!N3681,'Retirement Calculator'!A:A,0),0),0)</f>
        <v>0</v>
      </c>
      <c r="K3681" s="444">
        <f t="shared" ca="1" si="171"/>
        <v>298039569.47668707</v>
      </c>
      <c r="L3681" s="444">
        <f t="shared" ca="1" si="172"/>
        <v>71827536243.881577</v>
      </c>
      <c r="M3681" s="460">
        <f t="shared" si="174"/>
        <v>0.05</v>
      </c>
      <c r="N3681" s="464">
        <f t="shared" si="175"/>
        <v>163081</v>
      </c>
    </row>
    <row r="3682" spans="7:14" ht="11.25" customHeight="1" x14ac:dyDescent="0.3">
      <c r="G3682" s="459"/>
      <c r="H3682" s="459">
        <v>3675</v>
      </c>
      <c r="I3682" s="444">
        <f t="shared" ca="1" si="173"/>
        <v>71827536243.881577</v>
      </c>
      <c r="J3682" s="444">
        <f t="array" ref="J3682">IFERROR(INDEX('Retirement Calculator'!J:J,MATCH('Isaac 401k'!N3682,'Retirement Calculator'!A:A,0),0),0)</f>
        <v>0</v>
      </c>
      <c r="K3682" s="444">
        <f t="shared" ca="1" si="171"/>
        <v>299281401.01617324</v>
      </c>
      <c r="L3682" s="444">
        <f t="shared" ca="1" si="172"/>
        <v>72126817644.897751</v>
      </c>
      <c r="M3682" s="460">
        <f t="shared" si="174"/>
        <v>0.05</v>
      </c>
      <c r="N3682" s="464">
        <f t="shared" si="175"/>
        <v>163112</v>
      </c>
    </row>
    <row r="3683" spans="7:14" ht="11.25" customHeight="1" x14ac:dyDescent="0.3">
      <c r="G3683" s="459"/>
      <c r="H3683" s="459">
        <v>3676</v>
      </c>
      <c r="I3683" s="444">
        <f t="shared" ca="1" si="173"/>
        <v>72126817644.897751</v>
      </c>
      <c r="J3683" s="444">
        <f t="array" ref="J3683">IFERROR(INDEX('Retirement Calculator'!J:J,MATCH('Isaac 401k'!N3683,'Retirement Calculator'!A:A,0),0),0)</f>
        <v>0</v>
      </c>
      <c r="K3683" s="444">
        <f t="shared" ca="1" si="171"/>
        <v>300528406.85374063</v>
      </c>
      <c r="L3683" s="444">
        <f t="shared" ca="1" si="172"/>
        <v>72427346051.751495</v>
      </c>
      <c r="M3683" s="460">
        <f t="shared" si="174"/>
        <v>0.05</v>
      </c>
      <c r="N3683" s="464">
        <f t="shared" si="175"/>
        <v>163143</v>
      </c>
    </row>
    <row r="3684" spans="7:14" ht="11.25" customHeight="1" x14ac:dyDescent="0.3">
      <c r="G3684" s="459"/>
      <c r="H3684" s="459">
        <v>3677</v>
      </c>
      <c r="I3684" s="444">
        <f t="shared" ca="1" si="173"/>
        <v>72427346051.751495</v>
      </c>
      <c r="J3684" s="444">
        <f t="array" ref="J3684">IFERROR(INDEX('Retirement Calculator'!J:J,MATCH('Isaac 401k'!N3684,'Retirement Calculator'!A:A,0),0),0)</f>
        <v>0</v>
      </c>
      <c r="K3684" s="444">
        <f t="shared" ca="1" si="171"/>
        <v>301780608.54896456</v>
      </c>
      <c r="L3684" s="444">
        <f t="shared" ca="1" si="172"/>
        <v>72729126660.300461</v>
      </c>
      <c r="M3684" s="460">
        <f t="shared" si="174"/>
        <v>0.05</v>
      </c>
      <c r="N3684" s="464">
        <f t="shared" si="175"/>
        <v>163173</v>
      </c>
    </row>
    <row r="3685" spans="7:14" ht="11.25" customHeight="1" x14ac:dyDescent="0.3">
      <c r="G3685" s="459"/>
      <c r="H3685" s="459">
        <v>3678</v>
      </c>
      <c r="I3685" s="444">
        <f t="shared" ca="1" si="173"/>
        <v>72729126660.300461</v>
      </c>
      <c r="J3685" s="444">
        <f t="array" ref="J3685">IFERROR(INDEX('Retirement Calculator'!J:J,MATCH('Isaac 401k'!N3685,'Retirement Calculator'!A:A,0),0),0)</f>
        <v>0</v>
      </c>
      <c r="K3685" s="444">
        <f t="shared" ca="1" si="171"/>
        <v>303038027.75125194</v>
      </c>
      <c r="L3685" s="444">
        <f t="shared" ca="1" si="172"/>
        <v>73032164688.051712</v>
      </c>
      <c r="M3685" s="460">
        <f t="shared" si="174"/>
        <v>0.05</v>
      </c>
      <c r="N3685" s="464">
        <f t="shared" si="175"/>
        <v>163204</v>
      </c>
    </row>
    <row r="3686" spans="7:14" ht="11.25" customHeight="1" x14ac:dyDescent="0.3">
      <c r="G3686" s="459"/>
      <c r="H3686" s="459">
        <v>3679</v>
      </c>
      <c r="I3686" s="444">
        <f t="shared" ca="1" si="173"/>
        <v>73032164688.051712</v>
      </c>
      <c r="J3686" s="444">
        <f t="array" ref="J3686">IFERROR(INDEX('Retirement Calculator'!J:J,MATCH('Isaac 401k'!N3686,'Retirement Calculator'!A:A,0),0),0)</f>
        <v>0</v>
      </c>
      <c r="K3686" s="444">
        <f t="shared" ca="1" si="171"/>
        <v>304300686.20021546</v>
      </c>
      <c r="L3686" s="444">
        <f t="shared" ca="1" si="172"/>
        <v>73336465374.251923</v>
      </c>
      <c r="M3686" s="460">
        <f t="shared" si="174"/>
        <v>0.05</v>
      </c>
      <c r="N3686" s="464">
        <f t="shared" si="175"/>
        <v>163234</v>
      </c>
    </row>
    <row r="3687" spans="7:14" ht="11.25" customHeight="1" x14ac:dyDescent="0.3">
      <c r="G3687" s="459"/>
      <c r="H3687" s="459">
        <v>3680</v>
      </c>
      <c r="I3687" s="444">
        <f t="shared" ca="1" si="173"/>
        <v>73336465374.251923</v>
      </c>
      <c r="J3687" s="444">
        <f t="array" ref="J3687">IFERROR(INDEX('Retirement Calculator'!J:J,MATCH('Isaac 401k'!N3687,'Retirement Calculator'!A:A,0),0),0)</f>
        <v>0</v>
      </c>
      <c r="K3687" s="444">
        <f t="shared" ca="1" si="171"/>
        <v>305568605.72604966</v>
      </c>
      <c r="L3687" s="444">
        <f t="shared" ca="1" si="172"/>
        <v>73642033979.977966</v>
      </c>
      <c r="M3687" s="460">
        <f t="shared" si="174"/>
        <v>0.05</v>
      </c>
      <c r="N3687" s="464">
        <f t="shared" si="175"/>
        <v>163265</v>
      </c>
    </row>
    <row r="3688" spans="7:14" ht="11.25" customHeight="1" x14ac:dyDescent="0.3">
      <c r="G3688" s="459"/>
      <c r="H3688" s="459">
        <v>3681</v>
      </c>
      <c r="I3688" s="444">
        <f t="shared" ca="1" si="173"/>
        <v>73642033979.977966</v>
      </c>
      <c r="J3688" s="444">
        <f t="array" ref="J3688">IFERROR(INDEX('Retirement Calculator'!J:J,MATCH('Isaac 401k'!N3688,'Retirement Calculator'!A:A,0),0),0)</f>
        <v>0</v>
      </c>
      <c r="K3688" s="444">
        <f t="shared" ca="1" si="171"/>
        <v>306841808.24990821</v>
      </c>
      <c r="L3688" s="444">
        <f t="shared" ca="1" si="172"/>
        <v>73948875788.227875</v>
      </c>
      <c r="M3688" s="460">
        <f t="shared" si="174"/>
        <v>0.05</v>
      </c>
      <c r="N3688" s="464">
        <f t="shared" si="175"/>
        <v>163296</v>
      </c>
    </row>
    <row r="3689" spans="7:14" ht="11.25" customHeight="1" x14ac:dyDescent="0.3">
      <c r="G3689" s="459"/>
      <c r="H3689" s="459">
        <v>3682</v>
      </c>
      <c r="I3689" s="444">
        <f t="shared" ca="1" si="173"/>
        <v>73948875788.227875</v>
      </c>
      <c r="J3689" s="444">
        <f t="array" ref="J3689">IFERROR(INDEX('Retirement Calculator'!J:J,MATCH('Isaac 401k'!N3689,'Retirement Calculator'!A:A,0),0),0)</f>
        <v>0</v>
      </c>
      <c r="K3689" s="444">
        <f t="shared" ca="1" si="171"/>
        <v>308120315.7842828</v>
      </c>
      <c r="L3689" s="444">
        <f t="shared" ca="1" si="172"/>
        <v>74256996104.012161</v>
      </c>
      <c r="M3689" s="460">
        <f t="shared" si="174"/>
        <v>0.05</v>
      </c>
      <c r="N3689" s="464">
        <f t="shared" si="175"/>
        <v>163324</v>
      </c>
    </row>
    <row r="3690" spans="7:14" ht="11.25" customHeight="1" x14ac:dyDescent="0.3">
      <c r="G3690" s="459"/>
      <c r="H3690" s="459">
        <v>3683</v>
      </c>
      <c r="I3690" s="444">
        <f t="shared" ca="1" si="173"/>
        <v>74256996104.012161</v>
      </c>
      <c r="J3690" s="444">
        <f t="array" ref="J3690">IFERROR(INDEX('Retirement Calculator'!J:J,MATCH('Isaac 401k'!N3690,'Retirement Calculator'!A:A,0),0),0)</f>
        <v>0</v>
      </c>
      <c r="K3690" s="444">
        <f t="shared" ca="1" si="171"/>
        <v>309404150.433384</v>
      </c>
      <c r="L3690" s="444">
        <f t="shared" ca="1" si="172"/>
        <v>74566400254.445541</v>
      </c>
      <c r="M3690" s="460">
        <f t="shared" si="174"/>
        <v>0.05</v>
      </c>
      <c r="N3690" s="464">
        <f t="shared" si="175"/>
        <v>163355</v>
      </c>
    </row>
    <row r="3691" spans="7:14" ht="11.25" customHeight="1" x14ac:dyDescent="0.3">
      <c r="G3691" s="459"/>
      <c r="H3691" s="459">
        <v>3684</v>
      </c>
      <c r="I3691" s="444">
        <f t="shared" ca="1" si="173"/>
        <v>74566400254.445541</v>
      </c>
      <c r="J3691" s="444">
        <f t="array" ref="J3691">IFERROR(INDEX('Retirement Calculator'!J:J,MATCH('Isaac 401k'!N3691,'Retirement Calculator'!A:A,0),0),0)</f>
        <v>0</v>
      </c>
      <c r="K3691" s="444">
        <f t="shared" ca="1" si="171"/>
        <v>310693334.3935231</v>
      </c>
      <c r="L3691" s="444">
        <f t="shared" ca="1" si="172"/>
        <v>74877093588.839066</v>
      </c>
      <c r="M3691" s="460">
        <f t="shared" si="174"/>
        <v>0.05</v>
      </c>
      <c r="N3691" s="464">
        <f t="shared" si="175"/>
        <v>163385</v>
      </c>
    </row>
    <row r="3692" spans="7:14" ht="11.25" customHeight="1" x14ac:dyDescent="0.3">
      <c r="G3692" s="459"/>
      <c r="H3692" s="459">
        <v>3685</v>
      </c>
      <c r="I3692" s="444">
        <f t="shared" ca="1" si="173"/>
        <v>74877093588.839066</v>
      </c>
      <c r="J3692" s="444">
        <f t="array" ref="J3692">IFERROR(INDEX('Retirement Calculator'!J:J,MATCH('Isaac 401k'!N3692,'Retirement Calculator'!A:A,0),0),0)</f>
        <v>0</v>
      </c>
      <c r="K3692" s="444">
        <f t="shared" ca="1" si="171"/>
        <v>311987889.9534961</v>
      </c>
      <c r="L3692" s="444">
        <f t="shared" ca="1" si="172"/>
        <v>75189081478.792557</v>
      </c>
      <c r="M3692" s="460">
        <f t="shared" si="174"/>
        <v>0.05</v>
      </c>
      <c r="N3692" s="464">
        <f t="shared" si="175"/>
        <v>163416</v>
      </c>
    </row>
    <row r="3693" spans="7:14" ht="11.25" customHeight="1" x14ac:dyDescent="0.3">
      <c r="G3693" s="459"/>
      <c r="H3693" s="459">
        <v>3686</v>
      </c>
      <c r="I3693" s="444">
        <f t="shared" ca="1" si="173"/>
        <v>75189081478.792557</v>
      </c>
      <c r="J3693" s="444">
        <f t="array" ref="J3693">IFERROR(INDEX('Retirement Calculator'!J:J,MATCH('Isaac 401k'!N3693,'Retirement Calculator'!A:A,0),0),0)</f>
        <v>0</v>
      </c>
      <c r="K3693" s="444">
        <f t="shared" ca="1" si="171"/>
        <v>313287839.49496901</v>
      </c>
      <c r="L3693" s="444">
        <f t="shared" ca="1" si="172"/>
        <v>75502369318.287521</v>
      </c>
      <c r="M3693" s="460">
        <f t="shared" si="174"/>
        <v>0.05</v>
      </c>
      <c r="N3693" s="464">
        <f t="shared" si="175"/>
        <v>163446</v>
      </c>
    </row>
    <row r="3694" spans="7:14" ht="11.25" customHeight="1" x14ac:dyDescent="0.3">
      <c r="G3694" s="459"/>
      <c r="H3694" s="459">
        <v>3687</v>
      </c>
      <c r="I3694" s="444">
        <f t="shared" ca="1" si="173"/>
        <v>75502369318.287521</v>
      </c>
      <c r="J3694" s="444">
        <f t="array" ref="J3694">IFERROR(INDEX('Retirement Calculator'!J:J,MATCH('Isaac 401k'!N3694,'Retirement Calculator'!A:A,0),0),0)</f>
        <v>0</v>
      </c>
      <c r="K3694" s="444">
        <f t="shared" ca="1" si="171"/>
        <v>314593205.49286467</v>
      </c>
      <c r="L3694" s="444">
        <f t="shared" ca="1" si="172"/>
        <v>75816962523.78038</v>
      </c>
      <c r="M3694" s="460">
        <f t="shared" si="174"/>
        <v>0.05</v>
      </c>
      <c r="N3694" s="464">
        <f t="shared" si="175"/>
        <v>163477</v>
      </c>
    </row>
    <row r="3695" spans="7:14" ht="11.25" customHeight="1" x14ac:dyDescent="0.3">
      <c r="G3695" s="459"/>
      <c r="H3695" s="459">
        <v>3688</v>
      </c>
      <c r="I3695" s="444">
        <f t="shared" ca="1" si="173"/>
        <v>75816962523.78038</v>
      </c>
      <c r="J3695" s="444">
        <f t="array" ref="J3695">IFERROR(INDEX('Retirement Calculator'!J:J,MATCH('Isaac 401k'!N3695,'Retirement Calculator'!A:A,0),0),0)</f>
        <v>0</v>
      </c>
      <c r="K3695" s="444">
        <f t="shared" ca="1" si="171"/>
        <v>315904010.5157516</v>
      </c>
      <c r="L3695" s="444">
        <f t="shared" ca="1" si="172"/>
        <v>76132866534.296127</v>
      </c>
      <c r="M3695" s="460">
        <f t="shared" si="174"/>
        <v>0.05</v>
      </c>
      <c r="N3695" s="464">
        <f t="shared" si="175"/>
        <v>163508</v>
      </c>
    </row>
    <row r="3696" spans="7:14" ht="11.25" customHeight="1" x14ac:dyDescent="0.3">
      <c r="G3696" s="459"/>
      <c r="H3696" s="459">
        <v>3689</v>
      </c>
      <c r="I3696" s="444">
        <f t="shared" ca="1" si="173"/>
        <v>76132866534.296127</v>
      </c>
      <c r="J3696" s="444">
        <f t="array" ref="J3696">IFERROR(INDEX('Retirement Calculator'!J:J,MATCH('Isaac 401k'!N3696,'Retirement Calculator'!A:A,0),0),0)</f>
        <v>0</v>
      </c>
      <c r="K3696" s="444">
        <f t="shared" ca="1" si="171"/>
        <v>317220277.22623384</v>
      </c>
      <c r="L3696" s="444">
        <f t="shared" ca="1" si="172"/>
        <v>76450086811.522354</v>
      </c>
      <c r="M3696" s="460">
        <f t="shared" si="174"/>
        <v>0.05</v>
      </c>
      <c r="N3696" s="464">
        <f t="shared" si="175"/>
        <v>163538</v>
      </c>
    </row>
    <row r="3697" spans="7:14" ht="11.25" customHeight="1" x14ac:dyDescent="0.3">
      <c r="G3697" s="459"/>
      <c r="H3697" s="459">
        <v>3690</v>
      </c>
      <c r="I3697" s="444">
        <f t="shared" ca="1" si="173"/>
        <v>76450086811.522354</v>
      </c>
      <c r="J3697" s="444">
        <f t="array" ref="J3697">IFERROR(INDEX('Retirement Calculator'!J:J,MATCH('Isaac 401k'!N3697,'Retirement Calculator'!A:A,0),0),0)</f>
        <v>0</v>
      </c>
      <c r="K3697" s="444">
        <f t="shared" ca="1" si="171"/>
        <v>318542028.38134313</v>
      </c>
      <c r="L3697" s="444">
        <f t="shared" ca="1" si="172"/>
        <v>76768628839.903702</v>
      </c>
      <c r="M3697" s="460">
        <f t="shared" si="174"/>
        <v>0.05</v>
      </c>
      <c r="N3697" s="464">
        <f t="shared" si="175"/>
        <v>163569</v>
      </c>
    </row>
    <row r="3698" spans="7:14" ht="11.25" customHeight="1" x14ac:dyDescent="0.3">
      <c r="G3698" s="459"/>
      <c r="H3698" s="459">
        <v>3691</v>
      </c>
      <c r="I3698" s="444">
        <f t="shared" ca="1" si="173"/>
        <v>76768628839.903702</v>
      </c>
      <c r="J3698" s="444">
        <f t="array" ref="J3698">IFERROR(INDEX('Retirement Calculator'!J:J,MATCH('Isaac 401k'!N3698,'Retirement Calculator'!A:A,0),0),0)</f>
        <v>0</v>
      </c>
      <c r="K3698" s="444">
        <f t="shared" ca="1" si="171"/>
        <v>319869286.83293211</v>
      </c>
      <c r="L3698" s="444">
        <f t="shared" ca="1" si="172"/>
        <v>77088498126.736633</v>
      </c>
      <c r="M3698" s="460">
        <f t="shared" si="174"/>
        <v>0.05</v>
      </c>
      <c r="N3698" s="464">
        <f t="shared" si="175"/>
        <v>163599</v>
      </c>
    </row>
    <row r="3699" spans="7:14" ht="11.25" customHeight="1" x14ac:dyDescent="0.3">
      <c r="G3699" s="459"/>
      <c r="H3699" s="459">
        <v>3692</v>
      </c>
      <c r="I3699" s="444">
        <f t="shared" ca="1" si="173"/>
        <v>77088498126.736633</v>
      </c>
      <c r="J3699" s="444">
        <f t="array" ref="J3699">IFERROR(INDEX('Retirement Calculator'!J:J,MATCH('Isaac 401k'!N3699,'Retirement Calculator'!A:A,0),0),0)</f>
        <v>0</v>
      </c>
      <c r="K3699" s="444">
        <f t="shared" ca="1" si="171"/>
        <v>321202075.52806932</v>
      </c>
      <c r="L3699" s="444">
        <f t="shared" ca="1" si="172"/>
        <v>77409700202.264709</v>
      </c>
      <c r="M3699" s="460">
        <f t="shared" si="174"/>
        <v>0.05</v>
      </c>
      <c r="N3699" s="464">
        <f t="shared" si="175"/>
        <v>163630</v>
      </c>
    </row>
    <row r="3700" spans="7:14" ht="11.25" customHeight="1" x14ac:dyDescent="0.3">
      <c r="G3700" s="459"/>
      <c r="H3700" s="459">
        <v>3693</v>
      </c>
      <c r="I3700" s="444">
        <f t="shared" ca="1" si="173"/>
        <v>77409700202.264709</v>
      </c>
      <c r="J3700" s="444">
        <f t="array" ref="J3700">IFERROR(INDEX('Retirement Calculator'!J:J,MATCH('Isaac 401k'!N3700,'Retirement Calculator'!A:A,0),0),0)</f>
        <v>0</v>
      </c>
      <c r="K3700" s="444">
        <f t="shared" ca="1" si="171"/>
        <v>322540417.50943631</v>
      </c>
      <c r="L3700" s="444">
        <f t="shared" ca="1" si="172"/>
        <v>77732240619.774139</v>
      </c>
      <c r="M3700" s="460">
        <f t="shared" si="174"/>
        <v>0.05</v>
      </c>
      <c r="N3700" s="464">
        <f t="shared" si="175"/>
        <v>163661</v>
      </c>
    </row>
    <row r="3701" spans="7:14" ht="11.25" customHeight="1" x14ac:dyDescent="0.3">
      <c r="G3701" s="459"/>
      <c r="H3701" s="459">
        <v>3694</v>
      </c>
      <c r="I3701" s="444">
        <f t="shared" ca="1" si="173"/>
        <v>77732240619.774139</v>
      </c>
      <c r="J3701" s="444">
        <f t="array" ref="J3701">IFERROR(INDEX('Retirement Calculator'!J:J,MATCH('Isaac 401k'!N3701,'Retirement Calculator'!A:A,0),0),0)</f>
        <v>0</v>
      </c>
      <c r="K3701" s="444">
        <f t="shared" ca="1" si="171"/>
        <v>323884335.91572559</v>
      </c>
      <c r="L3701" s="444">
        <f t="shared" ca="1" si="172"/>
        <v>78056124955.689865</v>
      </c>
      <c r="M3701" s="460">
        <f t="shared" si="174"/>
        <v>0.05</v>
      </c>
      <c r="N3701" s="464">
        <f t="shared" si="175"/>
        <v>163690</v>
      </c>
    </row>
    <row r="3702" spans="7:14" ht="11.25" customHeight="1" x14ac:dyDescent="0.3">
      <c r="G3702" s="459"/>
      <c r="H3702" s="459">
        <v>3695</v>
      </c>
      <c r="I3702" s="444">
        <f t="shared" ca="1" si="173"/>
        <v>78056124955.689865</v>
      </c>
      <c r="J3702" s="444">
        <f t="array" ref="J3702">IFERROR(INDEX('Retirement Calculator'!J:J,MATCH('Isaac 401k'!N3702,'Retirement Calculator'!A:A,0),0),0)</f>
        <v>0</v>
      </c>
      <c r="K3702" s="444">
        <f t="shared" ca="1" si="171"/>
        <v>325233853.98204112</v>
      </c>
      <c r="L3702" s="444">
        <f t="shared" ca="1" si="172"/>
        <v>78381358809.671906</v>
      </c>
      <c r="M3702" s="460">
        <f t="shared" si="174"/>
        <v>0.05</v>
      </c>
      <c r="N3702" s="464">
        <f t="shared" si="175"/>
        <v>163721</v>
      </c>
    </row>
    <row r="3703" spans="7:14" ht="11.25" customHeight="1" x14ac:dyDescent="0.3">
      <c r="G3703" s="459"/>
      <c r="H3703" s="459">
        <v>3696</v>
      </c>
      <c r="I3703" s="444">
        <f t="shared" ca="1" si="173"/>
        <v>78381358809.671906</v>
      </c>
      <c r="J3703" s="444">
        <f t="array" ref="J3703">IFERROR(INDEX('Retirement Calculator'!J:J,MATCH('Isaac 401k'!N3703,'Retirement Calculator'!A:A,0),0),0)</f>
        <v>0</v>
      </c>
      <c r="K3703" s="444">
        <f t="shared" ca="1" si="171"/>
        <v>326588995.04029959</v>
      </c>
      <c r="L3703" s="444">
        <f t="shared" ca="1" si="172"/>
        <v>78707947804.712204</v>
      </c>
      <c r="M3703" s="460">
        <f t="shared" si="174"/>
        <v>0.05</v>
      </c>
      <c r="N3703" s="464">
        <f t="shared" si="175"/>
        <v>163751</v>
      </c>
    </row>
    <row r="3704" spans="7:14" ht="11.25" customHeight="1" x14ac:dyDescent="0.3">
      <c r="G3704" s="459"/>
      <c r="H3704" s="459">
        <v>3697</v>
      </c>
      <c r="I3704" s="444">
        <f t="shared" ca="1" si="173"/>
        <v>78707947804.712204</v>
      </c>
      <c r="J3704" s="444">
        <f t="array" ref="J3704">IFERROR(INDEX('Retirement Calculator'!J:J,MATCH('Isaac 401k'!N3704,'Retirement Calculator'!A:A,0),0),0)</f>
        <v>0</v>
      </c>
      <c r="K3704" s="444">
        <f t="shared" ca="1" si="171"/>
        <v>327949782.51963419</v>
      </c>
      <c r="L3704" s="444">
        <f t="shared" ca="1" si="172"/>
        <v>79035897587.231842</v>
      </c>
      <c r="M3704" s="460">
        <f t="shared" si="174"/>
        <v>0.05</v>
      </c>
      <c r="N3704" s="464">
        <f t="shared" si="175"/>
        <v>163782</v>
      </c>
    </row>
    <row r="3705" spans="7:14" ht="11.25" customHeight="1" x14ac:dyDescent="0.3">
      <c r="G3705" s="459"/>
      <c r="H3705" s="459">
        <v>3698</v>
      </c>
      <c r="I3705" s="444">
        <f t="shared" ca="1" si="173"/>
        <v>79035897587.231842</v>
      </c>
      <c r="J3705" s="444">
        <f t="array" ref="J3705">IFERROR(INDEX('Retirement Calculator'!J:J,MATCH('Isaac 401k'!N3705,'Retirement Calculator'!A:A,0),0),0)</f>
        <v>0</v>
      </c>
      <c r="K3705" s="444">
        <f t="shared" ca="1" si="171"/>
        <v>329316239.94679934</v>
      </c>
      <c r="L3705" s="444">
        <f t="shared" ca="1" si="172"/>
        <v>79365213827.178635</v>
      </c>
      <c r="M3705" s="460">
        <f t="shared" si="174"/>
        <v>0.05</v>
      </c>
      <c r="N3705" s="464">
        <f t="shared" si="175"/>
        <v>163812</v>
      </c>
    </row>
    <row r="3706" spans="7:14" ht="11.25" customHeight="1" x14ac:dyDescent="0.3">
      <c r="G3706" s="459"/>
      <c r="H3706" s="459">
        <v>3699</v>
      </c>
      <c r="I3706" s="444">
        <f t="shared" ca="1" si="173"/>
        <v>79365213827.178635</v>
      </c>
      <c r="J3706" s="444">
        <f t="array" ref="J3706">IFERROR(INDEX('Retirement Calculator'!J:J,MATCH('Isaac 401k'!N3706,'Retirement Calculator'!A:A,0),0),0)</f>
        <v>0</v>
      </c>
      <c r="K3706" s="444">
        <f t="shared" ca="1" si="171"/>
        <v>330688390.94657767</v>
      </c>
      <c r="L3706" s="444">
        <f t="shared" ca="1" si="172"/>
        <v>79695902218.125214</v>
      </c>
      <c r="M3706" s="460">
        <f t="shared" si="174"/>
        <v>0.05</v>
      </c>
      <c r="N3706" s="464">
        <f t="shared" si="175"/>
        <v>163843</v>
      </c>
    </row>
    <row r="3707" spans="7:14" ht="11.25" customHeight="1" x14ac:dyDescent="0.3">
      <c r="G3707" s="459"/>
      <c r="H3707" s="459">
        <v>3700</v>
      </c>
      <c r="I3707" s="444">
        <f t="shared" ca="1" si="173"/>
        <v>79695902218.125214</v>
      </c>
      <c r="J3707" s="444">
        <f t="array" ref="J3707">IFERROR(INDEX('Retirement Calculator'!J:J,MATCH('Isaac 401k'!N3707,'Retirement Calculator'!A:A,0),0),0)</f>
        <v>0</v>
      </c>
      <c r="K3707" s="444">
        <f t="shared" ca="1" si="171"/>
        <v>332066259.24218839</v>
      </c>
      <c r="L3707" s="444">
        <f t="shared" ca="1" si="172"/>
        <v>80027968477.367401</v>
      </c>
      <c r="M3707" s="460">
        <f t="shared" si="174"/>
        <v>0.05</v>
      </c>
      <c r="N3707" s="464">
        <f t="shared" si="175"/>
        <v>163874</v>
      </c>
    </row>
    <row r="3708" spans="7:14" ht="11.25" customHeight="1" x14ac:dyDescent="0.3">
      <c r="G3708" s="459"/>
      <c r="H3708" s="459">
        <v>3701</v>
      </c>
      <c r="I3708" s="444">
        <f t="shared" ca="1" si="173"/>
        <v>80027968477.367401</v>
      </c>
      <c r="J3708" s="444">
        <f t="array" ref="J3708">IFERROR(INDEX('Retirement Calculator'!J:J,MATCH('Isaac 401k'!N3708,'Retirement Calculator'!A:A,0),0),0)</f>
        <v>0</v>
      </c>
      <c r="K3708" s="444">
        <f t="shared" ca="1" si="171"/>
        <v>333449868.65569752</v>
      </c>
      <c r="L3708" s="444">
        <f t="shared" ca="1" si="172"/>
        <v>80361418346.023102</v>
      </c>
      <c r="M3708" s="460">
        <f t="shared" si="174"/>
        <v>0.05</v>
      </c>
      <c r="N3708" s="464">
        <f t="shared" si="175"/>
        <v>163904</v>
      </c>
    </row>
    <row r="3709" spans="7:14" ht="11.25" customHeight="1" x14ac:dyDescent="0.3">
      <c r="G3709" s="459"/>
      <c r="H3709" s="459">
        <v>3702</v>
      </c>
      <c r="I3709" s="444">
        <f t="shared" ca="1" si="173"/>
        <v>80361418346.023102</v>
      </c>
      <c r="J3709" s="444">
        <f t="array" ref="J3709">IFERROR(INDEX('Retirement Calculator'!J:J,MATCH('Isaac 401k'!N3709,'Retirement Calculator'!A:A,0),0),0)</f>
        <v>0</v>
      </c>
      <c r="K3709" s="444">
        <f t="shared" ca="1" si="171"/>
        <v>334839243.10842961</v>
      </c>
      <c r="L3709" s="444">
        <f t="shared" ca="1" si="172"/>
        <v>80696257589.131531</v>
      </c>
      <c r="M3709" s="460">
        <f t="shared" si="174"/>
        <v>0.05</v>
      </c>
      <c r="N3709" s="464">
        <f t="shared" si="175"/>
        <v>163935</v>
      </c>
    </row>
    <row r="3710" spans="7:14" ht="11.25" customHeight="1" x14ac:dyDescent="0.3">
      <c r="G3710" s="459"/>
      <c r="H3710" s="459">
        <v>3703</v>
      </c>
      <c r="I3710" s="444">
        <f t="shared" ca="1" si="173"/>
        <v>80696257589.131531</v>
      </c>
      <c r="J3710" s="444">
        <f t="array" ref="J3710">IFERROR(INDEX('Retirement Calculator'!J:J,MATCH('Isaac 401k'!N3710,'Retirement Calculator'!A:A,0),0),0)</f>
        <v>0</v>
      </c>
      <c r="K3710" s="444">
        <f t="shared" ca="1" si="171"/>
        <v>336234406.6213814</v>
      </c>
      <c r="L3710" s="444">
        <f t="shared" ca="1" si="172"/>
        <v>81032491995.752914</v>
      </c>
      <c r="M3710" s="460">
        <f t="shared" si="174"/>
        <v>0.05</v>
      </c>
      <c r="N3710" s="464">
        <f t="shared" si="175"/>
        <v>163965</v>
      </c>
    </row>
    <row r="3711" spans="7:14" ht="11.25" customHeight="1" x14ac:dyDescent="0.3">
      <c r="G3711" s="459"/>
      <c r="H3711" s="459">
        <v>3704</v>
      </c>
      <c r="I3711" s="444">
        <f t="shared" ca="1" si="173"/>
        <v>81032491995.752914</v>
      </c>
      <c r="J3711" s="444">
        <f t="array" ref="J3711">IFERROR(INDEX('Retirement Calculator'!J:J,MATCH('Isaac 401k'!N3711,'Retirement Calculator'!A:A,0),0),0)</f>
        <v>0</v>
      </c>
      <c r="K3711" s="444">
        <f t="shared" ca="1" si="171"/>
        <v>337635383.31563711</v>
      </c>
      <c r="L3711" s="444">
        <f t="shared" ca="1" si="172"/>
        <v>81370127379.068558</v>
      </c>
      <c r="M3711" s="460">
        <f t="shared" si="174"/>
        <v>0.05</v>
      </c>
      <c r="N3711" s="464">
        <f t="shared" si="175"/>
        <v>163996</v>
      </c>
    </row>
    <row r="3712" spans="7:14" ht="11.25" customHeight="1" x14ac:dyDescent="0.3">
      <c r="G3712" s="459"/>
      <c r="H3712" s="459">
        <v>3705</v>
      </c>
      <c r="I3712" s="444">
        <f t="shared" ca="1" si="173"/>
        <v>81370127379.068558</v>
      </c>
      <c r="J3712" s="444">
        <f t="array" ref="J3712">IFERROR(INDEX('Retirement Calculator'!J:J,MATCH('Isaac 401k'!N3712,'Retirement Calculator'!A:A,0),0),0)</f>
        <v>0</v>
      </c>
      <c r="K3712" s="444">
        <f t="shared" ca="1" si="171"/>
        <v>339042197.41278565</v>
      </c>
      <c r="L3712" s="444">
        <f t="shared" ca="1" si="172"/>
        <v>81709169576.481339</v>
      </c>
      <c r="M3712" s="460">
        <f t="shared" si="174"/>
        <v>0.05</v>
      </c>
      <c r="N3712" s="464">
        <f t="shared" si="175"/>
        <v>164027</v>
      </c>
    </row>
    <row r="3713" spans="7:14" ht="11.25" customHeight="1" x14ac:dyDescent="0.3">
      <c r="G3713" s="459"/>
      <c r="H3713" s="459">
        <v>3706</v>
      </c>
      <c r="I3713" s="444">
        <f t="shared" ca="1" si="173"/>
        <v>81709169576.481339</v>
      </c>
      <c r="J3713" s="444">
        <f t="array" ref="J3713">IFERROR(INDEX('Retirement Calculator'!J:J,MATCH('Isaac 401k'!N3713,'Retirement Calculator'!A:A,0),0),0)</f>
        <v>0</v>
      </c>
      <c r="K3713" s="444">
        <f t="shared" ca="1" si="171"/>
        <v>340454873.23533893</v>
      </c>
      <c r="L3713" s="444">
        <f t="shared" ca="1" si="172"/>
        <v>82049624449.716675</v>
      </c>
      <c r="M3713" s="460">
        <f t="shared" si="174"/>
        <v>0.05</v>
      </c>
      <c r="N3713" s="464">
        <f t="shared" si="175"/>
        <v>164055</v>
      </c>
    </row>
    <row r="3714" spans="7:14" ht="11.25" customHeight="1" x14ac:dyDescent="0.3">
      <c r="G3714" s="459"/>
      <c r="H3714" s="459">
        <v>3707</v>
      </c>
      <c r="I3714" s="444">
        <f t="shared" ca="1" si="173"/>
        <v>82049624449.716675</v>
      </c>
      <c r="J3714" s="444">
        <f t="array" ref="J3714">IFERROR(INDEX('Retirement Calculator'!J:J,MATCH('Isaac 401k'!N3714,'Retirement Calculator'!A:A,0),0),0)</f>
        <v>0</v>
      </c>
      <c r="K3714" s="444">
        <f t="shared" ca="1" si="171"/>
        <v>341873435.20715278</v>
      </c>
      <c r="L3714" s="444">
        <f t="shared" ca="1" si="172"/>
        <v>82391497884.923828</v>
      </c>
      <c r="M3714" s="460">
        <f t="shared" si="174"/>
        <v>0.05</v>
      </c>
      <c r="N3714" s="464">
        <f t="shared" si="175"/>
        <v>164086</v>
      </c>
    </row>
    <row r="3715" spans="7:14" ht="11.25" customHeight="1" x14ac:dyDescent="0.3">
      <c r="G3715" s="459"/>
      <c r="H3715" s="459">
        <v>3708</v>
      </c>
      <c r="I3715" s="444">
        <f t="shared" ca="1" si="173"/>
        <v>82391497884.923828</v>
      </c>
      <c r="J3715" s="444">
        <f t="array" ref="J3715">IFERROR(INDEX('Retirement Calculator'!J:J,MATCH('Isaac 401k'!N3715,'Retirement Calculator'!A:A,0),0),0)</f>
        <v>0</v>
      </c>
      <c r="K3715" s="444">
        <f t="shared" ca="1" si="171"/>
        <v>343297907.85384929</v>
      </c>
      <c r="L3715" s="444">
        <f t="shared" ca="1" si="172"/>
        <v>82734795792.777679</v>
      </c>
      <c r="M3715" s="460">
        <f t="shared" si="174"/>
        <v>0.05</v>
      </c>
      <c r="N3715" s="464">
        <f t="shared" si="175"/>
        <v>164116</v>
      </c>
    </row>
    <row r="3716" spans="7:14" ht="11.25" customHeight="1" x14ac:dyDescent="0.3">
      <c r="G3716" s="459"/>
      <c r="H3716" s="459">
        <v>3709</v>
      </c>
      <c r="I3716" s="444">
        <f t="shared" ca="1" si="173"/>
        <v>82734795792.777679</v>
      </c>
      <c r="J3716" s="444">
        <f t="array" ref="J3716">IFERROR(INDEX('Retirement Calculator'!J:J,MATCH('Isaac 401k'!N3716,'Retirement Calculator'!A:A,0),0),0)</f>
        <v>0</v>
      </c>
      <c r="K3716" s="444">
        <f t="shared" ca="1" si="171"/>
        <v>344728315.8032403</v>
      </c>
      <c r="L3716" s="444">
        <f t="shared" ca="1" si="172"/>
        <v>83079524108.580917</v>
      </c>
      <c r="M3716" s="460">
        <f t="shared" si="174"/>
        <v>0.05</v>
      </c>
      <c r="N3716" s="464">
        <f t="shared" si="175"/>
        <v>164147</v>
      </c>
    </row>
    <row r="3717" spans="7:14" ht="11.25" customHeight="1" x14ac:dyDescent="0.3">
      <c r="G3717" s="459"/>
      <c r="H3717" s="459">
        <v>3710</v>
      </c>
      <c r="I3717" s="444">
        <f t="shared" ca="1" si="173"/>
        <v>83079524108.580917</v>
      </c>
      <c r="J3717" s="444">
        <f t="array" ref="J3717">IFERROR(INDEX('Retirement Calculator'!J:J,MATCH('Isaac 401k'!N3717,'Retirement Calculator'!A:A,0),0),0)</f>
        <v>0</v>
      </c>
      <c r="K3717" s="444">
        <f t="shared" ca="1" si="171"/>
        <v>346164683.78575385</v>
      </c>
      <c r="L3717" s="444">
        <f t="shared" ca="1" si="172"/>
        <v>83425688792.366669</v>
      </c>
      <c r="M3717" s="460">
        <f t="shared" si="174"/>
        <v>0.05</v>
      </c>
      <c r="N3717" s="464">
        <f t="shared" si="175"/>
        <v>164177</v>
      </c>
    </row>
    <row r="3718" spans="7:14" ht="11.25" customHeight="1" x14ac:dyDescent="0.3">
      <c r="G3718" s="459"/>
      <c r="H3718" s="459">
        <v>3711</v>
      </c>
      <c r="I3718" s="444">
        <f t="shared" ca="1" si="173"/>
        <v>83425688792.366669</v>
      </c>
      <c r="J3718" s="444">
        <f t="array" ref="J3718">IFERROR(INDEX('Retirement Calculator'!J:J,MATCH('Isaac 401k'!N3718,'Retirement Calculator'!A:A,0),0),0)</f>
        <v>0</v>
      </c>
      <c r="K3718" s="444">
        <f t="shared" ca="1" si="171"/>
        <v>347607036.63486111</v>
      </c>
      <c r="L3718" s="444">
        <f t="shared" ca="1" si="172"/>
        <v>83773295829.001526</v>
      </c>
      <c r="M3718" s="460">
        <f t="shared" si="174"/>
        <v>0.05</v>
      </c>
      <c r="N3718" s="464">
        <f t="shared" si="175"/>
        <v>164208</v>
      </c>
    </row>
    <row r="3719" spans="7:14" ht="11.25" customHeight="1" x14ac:dyDescent="0.3">
      <c r="G3719" s="459"/>
      <c r="H3719" s="459">
        <v>3712</v>
      </c>
      <c r="I3719" s="444">
        <f t="shared" ca="1" si="173"/>
        <v>83773295829.001526</v>
      </c>
      <c r="J3719" s="444">
        <f t="array" ref="J3719">IFERROR(INDEX('Retirement Calculator'!J:J,MATCH('Isaac 401k'!N3719,'Retirement Calculator'!A:A,0),0),0)</f>
        <v>0</v>
      </c>
      <c r="K3719" s="444">
        <f t="shared" ca="1" si="171"/>
        <v>349055399.28750634</v>
      </c>
      <c r="L3719" s="444">
        <f t="shared" ca="1" si="172"/>
        <v>84122351228.289032</v>
      </c>
      <c r="M3719" s="460">
        <f t="shared" si="174"/>
        <v>0.05</v>
      </c>
      <c r="N3719" s="464">
        <f t="shared" si="175"/>
        <v>164239</v>
      </c>
    </row>
    <row r="3720" spans="7:14" ht="11.25" customHeight="1" x14ac:dyDescent="0.3">
      <c r="G3720" s="459"/>
      <c r="H3720" s="459">
        <v>3713</v>
      </c>
      <c r="I3720" s="444">
        <f t="shared" ca="1" si="173"/>
        <v>84122351228.289032</v>
      </c>
      <c r="J3720" s="444">
        <f t="array" ref="J3720">IFERROR(INDEX('Retirement Calculator'!J:J,MATCH('Isaac 401k'!N3720,'Retirement Calculator'!A:A,0),0),0)</f>
        <v>0</v>
      </c>
      <c r="K3720" s="444">
        <f t="shared" ca="1" si="171"/>
        <v>350509796.78453761</v>
      </c>
      <c r="L3720" s="444">
        <f t="shared" ca="1" si="172"/>
        <v>84472861025.073563</v>
      </c>
      <c r="M3720" s="460">
        <f t="shared" si="174"/>
        <v>0.05</v>
      </c>
      <c r="N3720" s="464">
        <f t="shared" si="175"/>
        <v>164269</v>
      </c>
    </row>
    <row r="3721" spans="7:14" ht="11.25" customHeight="1" x14ac:dyDescent="0.3">
      <c r="G3721" s="459"/>
      <c r="H3721" s="459">
        <v>3714</v>
      </c>
      <c r="I3721" s="444">
        <f t="shared" ca="1" si="173"/>
        <v>84472861025.073563</v>
      </c>
      <c r="J3721" s="444">
        <f t="array" ref="J3721">IFERROR(INDEX('Retirement Calculator'!J:J,MATCH('Isaac 401k'!N3721,'Retirement Calculator'!A:A,0),0),0)</f>
        <v>0</v>
      </c>
      <c r="K3721" s="444">
        <f t="shared" ca="1" si="171"/>
        <v>351970254.27113986</v>
      </c>
      <c r="L3721" s="444">
        <f t="shared" ca="1" si="172"/>
        <v>84824831279.344696</v>
      </c>
      <c r="M3721" s="460">
        <f t="shared" si="174"/>
        <v>0.05</v>
      </c>
      <c r="N3721" s="464">
        <f t="shared" si="175"/>
        <v>164300</v>
      </c>
    </row>
    <row r="3722" spans="7:14" ht="11.25" customHeight="1" x14ac:dyDescent="0.3">
      <c r="G3722" s="459"/>
      <c r="H3722" s="459">
        <v>3715</v>
      </c>
      <c r="I3722" s="444">
        <f t="shared" ca="1" si="173"/>
        <v>84824831279.344696</v>
      </c>
      <c r="J3722" s="444">
        <f t="array" ref="J3722">IFERROR(INDEX('Retirement Calculator'!J:J,MATCH('Isaac 401k'!N3722,'Retirement Calculator'!A:A,0),0),0)</f>
        <v>0</v>
      </c>
      <c r="K3722" s="444">
        <f t="shared" ca="1" si="171"/>
        <v>353436796.99726957</v>
      </c>
      <c r="L3722" s="444">
        <f t="shared" ca="1" si="172"/>
        <v>85178268076.341965</v>
      </c>
      <c r="M3722" s="460">
        <f t="shared" si="174"/>
        <v>0.05</v>
      </c>
      <c r="N3722" s="464">
        <f t="shared" si="175"/>
        <v>164330</v>
      </c>
    </row>
    <row r="3723" spans="7:14" ht="11.25" customHeight="1" x14ac:dyDescent="0.3">
      <c r="G3723" s="459"/>
      <c r="H3723" s="459">
        <v>3716</v>
      </c>
      <c r="I3723" s="444">
        <f t="shared" ca="1" si="173"/>
        <v>85178268076.341965</v>
      </c>
      <c r="J3723" s="444">
        <f t="array" ref="J3723">IFERROR(INDEX('Retirement Calculator'!J:J,MATCH('Isaac 401k'!N3723,'Retirement Calculator'!A:A,0),0),0)</f>
        <v>0</v>
      </c>
      <c r="K3723" s="444">
        <f t="shared" ca="1" si="171"/>
        <v>354909450.31809151</v>
      </c>
      <c r="L3723" s="444">
        <f t="shared" ca="1" si="172"/>
        <v>85533177526.660049</v>
      </c>
      <c r="M3723" s="460">
        <f t="shared" si="174"/>
        <v>0.05</v>
      </c>
      <c r="N3723" s="464">
        <f t="shared" si="175"/>
        <v>164361</v>
      </c>
    </row>
    <row r="3724" spans="7:14" ht="11.25" customHeight="1" x14ac:dyDescent="0.3">
      <c r="G3724" s="459"/>
      <c r="H3724" s="459">
        <v>3717</v>
      </c>
      <c r="I3724" s="444">
        <f t="shared" ca="1" si="173"/>
        <v>85533177526.660049</v>
      </c>
      <c r="J3724" s="444">
        <f t="array" ref="J3724">IFERROR(INDEX('Retirement Calculator'!J:J,MATCH('Isaac 401k'!N3724,'Retirement Calculator'!A:A,0),0),0)</f>
        <v>0</v>
      </c>
      <c r="K3724" s="444">
        <f t="shared" ca="1" si="171"/>
        <v>356388239.69441688</v>
      </c>
      <c r="L3724" s="444">
        <f t="shared" ca="1" si="172"/>
        <v>85889565766.354462</v>
      </c>
      <c r="M3724" s="460">
        <f t="shared" si="174"/>
        <v>0.05</v>
      </c>
      <c r="N3724" s="464">
        <f t="shared" si="175"/>
        <v>164392</v>
      </c>
    </row>
    <row r="3725" spans="7:14" ht="11.25" customHeight="1" x14ac:dyDescent="0.3">
      <c r="G3725" s="459"/>
      <c r="H3725" s="459">
        <v>3718</v>
      </c>
      <c r="I3725" s="444">
        <f t="shared" ca="1" si="173"/>
        <v>85889565766.354462</v>
      </c>
      <c r="J3725" s="444">
        <f t="array" ref="J3725">IFERROR(INDEX('Retirement Calculator'!J:J,MATCH('Isaac 401k'!N3725,'Retirement Calculator'!A:A,0),0),0)</f>
        <v>0</v>
      </c>
      <c r="K3725" s="444">
        <f t="shared" ca="1" si="171"/>
        <v>357873190.69314361</v>
      </c>
      <c r="L3725" s="444">
        <f t="shared" ca="1" si="172"/>
        <v>86247438957.047607</v>
      </c>
      <c r="M3725" s="460">
        <f t="shared" si="174"/>
        <v>0.05</v>
      </c>
      <c r="N3725" s="464">
        <f t="shared" si="175"/>
        <v>164420</v>
      </c>
    </row>
    <row r="3726" spans="7:14" ht="11.25" customHeight="1" x14ac:dyDescent="0.3">
      <c r="G3726" s="459"/>
      <c r="H3726" s="459">
        <v>3719</v>
      </c>
      <c r="I3726" s="444">
        <f t="shared" ca="1" si="173"/>
        <v>86247438957.047607</v>
      </c>
      <c r="J3726" s="444">
        <f t="array" ref="J3726">IFERROR(INDEX('Retirement Calculator'!J:J,MATCH('Isaac 401k'!N3726,'Retirement Calculator'!A:A,0),0),0)</f>
        <v>0</v>
      </c>
      <c r="K3726" s="444">
        <f t="shared" ca="1" si="171"/>
        <v>359364328.98769838</v>
      </c>
      <c r="L3726" s="444">
        <f t="shared" ca="1" si="172"/>
        <v>86606803286.035309</v>
      </c>
      <c r="M3726" s="460">
        <f t="shared" si="174"/>
        <v>0.05</v>
      </c>
      <c r="N3726" s="464">
        <f t="shared" si="175"/>
        <v>164451</v>
      </c>
    </row>
    <row r="3727" spans="7:14" ht="11.25" customHeight="1" x14ac:dyDescent="0.3">
      <c r="G3727" s="459"/>
      <c r="H3727" s="459">
        <v>3720</v>
      </c>
      <c r="I3727" s="444">
        <f t="shared" ca="1" si="173"/>
        <v>86606803286.035309</v>
      </c>
      <c r="J3727" s="444">
        <f t="array" ref="J3727">IFERROR(INDEX('Retirement Calculator'!J:J,MATCH('Isaac 401k'!N3727,'Retirement Calculator'!A:A,0),0),0)</f>
        <v>0</v>
      </c>
      <c r="K3727" s="444">
        <f t="shared" ca="1" si="171"/>
        <v>360861680.35848045</v>
      </c>
      <c r="L3727" s="444">
        <f t="shared" ca="1" si="172"/>
        <v>86967664966.393784</v>
      </c>
      <c r="M3727" s="460">
        <f t="shared" si="174"/>
        <v>0.05</v>
      </c>
      <c r="N3727" s="464">
        <f t="shared" si="175"/>
        <v>164481</v>
      </c>
    </row>
    <row r="3728" spans="7:14" ht="11.25" customHeight="1" x14ac:dyDescent="0.3">
      <c r="G3728" s="459"/>
      <c r="H3728" s="459">
        <v>3721</v>
      </c>
      <c r="I3728" s="444">
        <f t="shared" ca="1" si="173"/>
        <v>86967664966.393784</v>
      </c>
      <c r="J3728" s="444">
        <f t="array" ref="J3728">IFERROR(INDEX('Retirement Calculator'!J:J,MATCH('Isaac 401k'!N3728,'Retirement Calculator'!A:A,0),0),0)</f>
        <v>0</v>
      </c>
      <c r="K3728" s="444">
        <f t="shared" ca="1" si="171"/>
        <v>362365270.6933074</v>
      </c>
      <c r="L3728" s="444">
        <f t="shared" ca="1" si="172"/>
        <v>87330030237.087097</v>
      </c>
      <c r="M3728" s="460">
        <f t="shared" si="174"/>
        <v>0.05</v>
      </c>
      <c r="N3728" s="464">
        <f t="shared" si="175"/>
        <v>164512</v>
      </c>
    </row>
    <row r="3729" spans="7:14" ht="11.25" customHeight="1" x14ac:dyDescent="0.3">
      <c r="G3729" s="459"/>
      <c r="H3729" s="459">
        <v>3722</v>
      </c>
      <c r="I3729" s="444">
        <f t="shared" ca="1" si="173"/>
        <v>87330030237.087097</v>
      </c>
      <c r="J3729" s="444">
        <f t="array" ref="J3729">IFERROR(INDEX('Retirement Calculator'!J:J,MATCH('Isaac 401k'!N3729,'Retirement Calculator'!A:A,0),0),0)</f>
        <v>0</v>
      </c>
      <c r="K3729" s="444">
        <f t="shared" ca="1" si="171"/>
        <v>363875125.98786288</v>
      </c>
      <c r="L3729" s="444">
        <f t="shared" ca="1" si="172"/>
        <v>87693905363.074966</v>
      </c>
      <c r="M3729" s="460">
        <f t="shared" si="174"/>
        <v>0.05</v>
      </c>
      <c r="N3729" s="464">
        <f t="shared" si="175"/>
        <v>164542</v>
      </c>
    </row>
    <row r="3730" spans="7:14" ht="11.25" customHeight="1" x14ac:dyDescent="0.3">
      <c r="G3730" s="459"/>
      <c r="H3730" s="459">
        <v>3723</v>
      </c>
      <c r="I3730" s="444">
        <f t="shared" ca="1" si="173"/>
        <v>87693905363.074966</v>
      </c>
      <c r="J3730" s="444">
        <f t="array" ref="J3730">IFERROR(INDEX('Retirement Calculator'!J:J,MATCH('Isaac 401k'!N3730,'Retirement Calculator'!A:A,0),0),0)</f>
        <v>0</v>
      </c>
      <c r="K3730" s="444">
        <f t="shared" ca="1" si="171"/>
        <v>365391272.34614569</v>
      </c>
      <c r="L3730" s="444">
        <f t="shared" ca="1" si="172"/>
        <v>88059296635.421112</v>
      </c>
      <c r="M3730" s="460">
        <f t="shared" si="174"/>
        <v>0.05</v>
      </c>
      <c r="N3730" s="464">
        <f t="shared" si="175"/>
        <v>164573</v>
      </c>
    </row>
    <row r="3731" spans="7:14" ht="11.25" customHeight="1" x14ac:dyDescent="0.3">
      <c r="G3731" s="459"/>
      <c r="H3731" s="459">
        <v>3724</v>
      </c>
      <c r="I3731" s="444">
        <f t="shared" ca="1" si="173"/>
        <v>88059296635.421112</v>
      </c>
      <c r="J3731" s="444">
        <f t="array" ref="J3731">IFERROR(INDEX('Retirement Calculator'!J:J,MATCH('Isaac 401k'!N3731,'Retirement Calculator'!A:A,0),0),0)</f>
        <v>0</v>
      </c>
      <c r="K3731" s="444">
        <f t="shared" ca="1" si="171"/>
        <v>366913735.98092127</v>
      </c>
      <c r="L3731" s="444">
        <f t="shared" ca="1" si="172"/>
        <v>88426210371.402039</v>
      </c>
      <c r="M3731" s="460">
        <f t="shared" si="174"/>
        <v>0.05</v>
      </c>
      <c r="N3731" s="464">
        <f t="shared" si="175"/>
        <v>164604</v>
      </c>
    </row>
    <row r="3732" spans="7:14" ht="11.25" customHeight="1" x14ac:dyDescent="0.3">
      <c r="G3732" s="459"/>
      <c r="H3732" s="459">
        <v>3725</v>
      </c>
      <c r="I3732" s="444">
        <f t="shared" ca="1" si="173"/>
        <v>88426210371.402039</v>
      </c>
      <c r="J3732" s="444">
        <f t="array" ref="J3732">IFERROR(INDEX('Retirement Calculator'!J:J,MATCH('Isaac 401k'!N3732,'Retirement Calculator'!A:A,0),0),0)</f>
        <v>0</v>
      </c>
      <c r="K3732" s="444">
        <f t="shared" ca="1" si="171"/>
        <v>368442543.21417516</v>
      </c>
      <c r="L3732" s="444">
        <f t="shared" ca="1" si="172"/>
        <v>88794652914.616211</v>
      </c>
      <c r="M3732" s="460">
        <f t="shared" si="174"/>
        <v>0.05</v>
      </c>
      <c r="N3732" s="464">
        <f t="shared" si="175"/>
        <v>164634</v>
      </c>
    </row>
    <row r="3733" spans="7:14" ht="11.25" customHeight="1" x14ac:dyDescent="0.3">
      <c r="G3733" s="459"/>
      <c r="H3733" s="459">
        <v>3726</v>
      </c>
      <c r="I3733" s="444">
        <f t="shared" ca="1" si="173"/>
        <v>88794652914.616211</v>
      </c>
      <c r="J3733" s="444">
        <f t="array" ref="J3733">IFERROR(INDEX('Retirement Calculator'!J:J,MATCH('Isaac 401k'!N3733,'Retirement Calculator'!A:A,0),0),0)</f>
        <v>0</v>
      </c>
      <c r="K3733" s="444">
        <f t="shared" ca="1" si="171"/>
        <v>369977720.47756755</v>
      </c>
      <c r="L3733" s="444">
        <f t="shared" ca="1" si="172"/>
        <v>89164630635.093781</v>
      </c>
      <c r="M3733" s="460">
        <f t="shared" si="174"/>
        <v>0.05</v>
      </c>
      <c r="N3733" s="464">
        <f t="shared" si="175"/>
        <v>164665</v>
      </c>
    </row>
    <row r="3734" spans="7:14" ht="11.25" customHeight="1" x14ac:dyDescent="0.3">
      <c r="G3734" s="459"/>
      <c r="H3734" s="459">
        <v>3727</v>
      </c>
      <c r="I3734" s="444">
        <f t="shared" ca="1" si="173"/>
        <v>89164630635.093781</v>
      </c>
      <c r="J3734" s="444">
        <f t="array" ref="J3734">IFERROR(INDEX('Retirement Calculator'!J:J,MATCH('Isaac 401k'!N3734,'Retirement Calculator'!A:A,0),0),0)</f>
        <v>0</v>
      </c>
      <c r="K3734" s="444">
        <f t="shared" ca="1" si="171"/>
        <v>371519294.31289077</v>
      </c>
      <c r="L3734" s="444">
        <f t="shared" ca="1" si="172"/>
        <v>89536149929.406677</v>
      </c>
      <c r="M3734" s="460">
        <f t="shared" si="174"/>
        <v>0.05</v>
      </c>
      <c r="N3734" s="464">
        <f t="shared" si="175"/>
        <v>164695</v>
      </c>
    </row>
    <row r="3735" spans="7:14" ht="11.25" customHeight="1" x14ac:dyDescent="0.3">
      <c r="G3735" s="459"/>
      <c r="H3735" s="459">
        <v>3728</v>
      </c>
      <c r="I3735" s="444">
        <f t="shared" ca="1" si="173"/>
        <v>89536149929.406677</v>
      </c>
      <c r="J3735" s="444">
        <f t="array" ref="J3735">IFERROR(INDEX('Retirement Calculator'!J:J,MATCH('Isaac 401k'!N3735,'Retirement Calculator'!A:A,0),0),0)</f>
        <v>0</v>
      </c>
      <c r="K3735" s="444">
        <f t="shared" ca="1" si="171"/>
        <v>373067291.37252784</v>
      </c>
      <c r="L3735" s="444">
        <f t="shared" ca="1" si="172"/>
        <v>89909217220.779205</v>
      </c>
      <c r="M3735" s="460">
        <f t="shared" si="174"/>
        <v>0.05</v>
      </c>
      <c r="N3735" s="464">
        <f t="shared" si="175"/>
        <v>164726</v>
      </c>
    </row>
    <row r="3736" spans="7:14" ht="11.25" customHeight="1" x14ac:dyDescent="0.3">
      <c r="G3736" s="459"/>
      <c r="H3736" s="459">
        <v>3729</v>
      </c>
      <c r="I3736" s="444">
        <f t="shared" ca="1" si="173"/>
        <v>89909217220.779205</v>
      </c>
      <c r="J3736" s="444">
        <f t="array" ref="J3736">IFERROR(INDEX('Retirement Calculator'!J:J,MATCH('Isaac 401k'!N3736,'Retirement Calculator'!A:A,0),0),0)</f>
        <v>0</v>
      </c>
      <c r="K3736" s="444">
        <f t="shared" ca="1" si="171"/>
        <v>374621738.41991335</v>
      </c>
      <c r="L3736" s="444">
        <f t="shared" ca="1" si="172"/>
        <v>90283838959.199112</v>
      </c>
      <c r="M3736" s="460">
        <f t="shared" si="174"/>
        <v>0.05</v>
      </c>
      <c r="N3736" s="464">
        <f t="shared" si="175"/>
        <v>164757</v>
      </c>
    </row>
    <row r="3737" spans="7:14" ht="11.25" customHeight="1" x14ac:dyDescent="0.3">
      <c r="G3737" s="459"/>
      <c r="H3737" s="459">
        <v>3730</v>
      </c>
      <c r="I3737" s="444">
        <f t="shared" ca="1" si="173"/>
        <v>90283838959.199112</v>
      </c>
      <c r="J3737" s="444">
        <f t="array" ref="J3737">IFERROR(INDEX('Retirement Calculator'!J:J,MATCH('Isaac 401k'!N3737,'Retirement Calculator'!A:A,0),0),0)</f>
        <v>0</v>
      </c>
      <c r="K3737" s="444">
        <f t="shared" ca="1" si="171"/>
        <v>376182662.32999629</v>
      </c>
      <c r="L3737" s="444">
        <f t="shared" ca="1" si="172"/>
        <v>90660021621.529114</v>
      </c>
      <c r="M3737" s="460">
        <f t="shared" si="174"/>
        <v>0.05</v>
      </c>
      <c r="N3737" s="464">
        <f t="shared" si="175"/>
        <v>164785</v>
      </c>
    </row>
    <row r="3738" spans="7:14" ht="11.25" customHeight="1" x14ac:dyDescent="0.3">
      <c r="G3738" s="459"/>
      <c r="H3738" s="459">
        <v>3731</v>
      </c>
      <c r="I3738" s="444">
        <f t="shared" ca="1" si="173"/>
        <v>90660021621.529114</v>
      </c>
      <c r="J3738" s="444">
        <f t="array" ref="J3738">IFERROR(INDEX('Retirement Calculator'!J:J,MATCH('Isaac 401k'!N3738,'Retirement Calculator'!A:A,0),0),0)</f>
        <v>0</v>
      </c>
      <c r="K3738" s="444">
        <f t="shared" ca="1" si="171"/>
        <v>377750090.08970463</v>
      </c>
      <c r="L3738" s="444">
        <f t="shared" ca="1" si="172"/>
        <v>91037771711.61882</v>
      </c>
      <c r="M3738" s="460">
        <f t="shared" si="174"/>
        <v>0.05</v>
      </c>
      <c r="N3738" s="464">
        <f t="shared" si="175"/>
        <v>164816</v>
      </c>
    </row>
    <row r="3739" spans="7:14" ht="11.25" customHeight="1" x14ac:dyDescent="0.3">
      <c r="G3739" s="459"/>
      <c r="H3739" s="459">
        <v>3732</v>
      </c>
      <c r="I3739" s="444">
        <f t="shared" ca="1" si="173"/>
        <v>91037771711.61882</v>
      </c>
      <c r="J3739" s="444">
        <f t="array" ref="J3739">IFERROR(INDEX('Retirement Calculator'!J:J,MATCH('Isaac 401k'!N3739,'Retirement Calculator'!A:A,0),0),0)</f>
        <v>0</v>
      </c>
      <c r="K3739" s="444">
        <f t="shared" ca="1" si="171"/>
        <v>379324048.79841173</v>
      </c>
      <c r="L3739" s="444">
        <f t="shared" ca="1" si="172"/>
        <v>91417095760.417236</v>
      </c>
      <c r="M3739" s="460">
        <f t="shared" si="174"/>
        <v>0.05</v>
      </c>
      <c r="N3739" s="464">
        <f t="shared" si="175"/>
        <v>164846</v>
      </c>
    </row>
    <row r="3740" spans="7:14" ht="11.25" customHeight="1" x14ac:dyDescent="0.3">
      <c r="G3740" s="459"/>
      <c r="H3740" s="459">
        <v>3733</v>
      </c>
      <c r="I3740" s="444">
        <f t="shared" ca="1" si="173"/>
        <v>91417095760.417236</v>
      </c>
      <c r="J3740" s="444">
        <f t="array" ref="J3740">IFERROR(INDEX('Retirement Calculator'!J:J,MATCH('Isaac 401k'!N3740,'Retirement Calculator'!A:A,0),0),0)</f>
        <v>0</v>
      </c>
      <c r="K3740" s="444">
        <f t="shared" ca="1" si="171"/>
        <v>380904565.66840518</v>
      </c>
      <c r="L3740" s="444">
        <f t="shared" ca="1" si="172"/>
        <v>91798000326.085648</v>
      </c>
      <c r="M3740" s="460">
        <f t="shared" si="174"/>
        <v>0.05</v>
      </c>
      <c r="N3740" s="464">
        <f t="shared" si="175"/>
        <v>164877</v>
      </c>
    </row>
    <row r="3741" spans="7:14" ht="11.25" customHeight="1" x14ac:dyDescent="0.3">
      <c r="G3741" s="459"/>
      <c r="H3741" s="459">
        <v>3734</v>
      </c>
      <c r="I3741" s="444">
        <f t="shared" ca="1" si="173"/>
        <v>91798000326.085648</v>
      </c>
      <c r="J3741" s="444">
        <f t="array" ref="J3741">IFERROR(INDEX('Retirement Calculator'!J:J,MATCH('Isaac 401k'!N3741,'Retirement Calculator'!A:A,0),0),0)</f>
        <v>0</v>
      </c>
      <c r="K3741" s="444">
        <f t="shared" ca="1" si="171"/>
        <v>382491668.02535689</v>
      </c>
      <c r="L3741" s="444">
        <f t="shared" ca="1" si="172"/>
        <v>92180491994.111008</v>
      </c>
      <c r="M3741" s="460">
        <f t="shared" si="174"/>
        <v>0.05</v>
      </c>
      <c r="N3741" s="464">
        <f t="shared" si="175"/>
        <v>164907</v>
      </c>
    </row>
    <row r="3742" spans="7:14" ht="11.25" customHeight="1" x14ac:dyDescent="0.3">
      <c r="G3742" s="459"/>
      <c r="H3742" s="459">
        <v>3735</v>
      </c>
      <c r="I3742" s="444">
        <f t="shared" ca="1" si="173"/>
        <v>92180491994.111008</v>
      </c>
      <c r="J3742" s="444">
        <f t="array" ref="J3742">IFERROR(INDEX('Retirement Calculator'!J:J,MATCH('Isaac 401k'!N3742,'Retirement Calculator'!A:A,0),0),0)</f>
        <v>0</v>
      </c>
      <c r="K3742" s="444">
        <f t="shared" ca="1" si="171"/>
        <v>384085383.30879587</v>
      </c>
      <c r="L3742" s="444">
        <f t="shared" ca="1" si="172"/>
        <v>92564577377.4198</v>
      </c>
      <c r="M3742" s="460">
        <f t="shared" si="174"/>
        <v>0.05</v>
      </c>
      <c r="N3742" s="464">
        <f t="shared" si="175"/>
        <v>164938</v>
      </c>
    </row>
    <row r="3743" spans="7:14" ht="11.25" customHeight="1" x14ac:dyDescent="0.3">
      <c r="G3743" s="459"/>
      <c r="H3743" s="459">
        <v>3736</v>
      </c>
      <c r="I3743" s="444">
        <f t="shared" ca="1" si="173"/>
        <v>92564577377.4198</v>
      </c>
      <c r="J3743" s="444">
        <f t="array" ref="J3743">IFERROR(INDEX('Retirement Calculator'!J:J,MATCH('Isaac 401k'!N3743,'Retirement Calculator'!A:A,0),0),0)</f>
        <v>0</v>
      </c>
      <c r="K3743" s="444">
        <f t="shared" ca="1" si="171"/>
        <v>385685739.07258248</v>
      </c>
      <c r="L3743" s="444">
        <f t="shared" ca="1" si="172"/>
        <v>92950263116.492386</v>
      </c>
      <c r="M3743" s="460">
        <f t="shared" si="174"/>
        <v>0.05</v>
      </c>
      <c r="N3743" s="464">
        <f t="shared" si="175"/>
        <v>164969</v>
      </c>
    </row>
    <row r="3744" spans="7:14" ht="11.25" customHeight="1" x14ac:dyDescent="0.3">
      <c r="G3744" s="459"/>
      <c r="H3744" s="459">
        <v>3737</v>
      </c>
      <c r="I3744" s="444">
        <f t="shared" ca="1" si="173"/>
        <v>92950263116.492386</v>
      </c>
      <c r="J3744" s="444">
        <f t="array" ref="J3744">IFERROR(INDEX('Retirement Calculator'!J:J,MATCH('Isaac 401k'!N3744,'Retirement Calculator'!A:A,0),0),0)</f>
        <v>0</v>
      </c>
      <c r="K3744" s="444">
        <f t="shared" ca="1" si="171"/>
        <v>387292762.98538494</v>
      </c>
      <c r="L3744" s="444">
        <f t="shared" ca="1" si="172"/>
        <v>93337555879.477768</v>
      </c>
      <c r="M3744" s="460">
        <f t="shared" si="174"/>
        <v>0.05</v>
      </c>
      <c r="N3744" s="464">
        <f t="shared" si="175"/>
        <v>164999</v>
      </c>
    </row>
    <row r="3745" spans="7:14" ht="11.25" customHeight="1" x14ac:dyDescent="0.3">
      <c r="G3745" s="459"/>
      <c r="H3745" s="459">
        <v>3738</v>
      </c>
      <c r="I3745" s="444">
        <f t="shared" ca="1" si="173"/>
        <v>93337555879.477768</v>
      </c>
      <c r="J3745" s="444">
        <f t="array" ref="J3745">IFERROR(INDEX('Retirement Calculator'!J:J,MATCH('Isaac 401k'!N3745,'Retirement Calculator'!A:A,0),0),0)</f>
        <v>0</v>
      </c>
      <c r="K3745" s="444">
        <f t="shared" ca="1" si="171"/>
        <v>388906482.83115739</v>
      </c>
      <c r="L3745" s="444">
        <f t="shared" ca="1" si="172"/>
        <v>93726462362.308929</v>
      </c>
      <c r="M3745" s="460">
        <f t="shared" si="174"/>
        <v>0.05</v>
      </c>
      <c r="N3745" s="464">
        <f t="shared" si="175"/>
        <v>165030</v>
      </c>
    </row>
    <row r="3746" spans="7:14" ht="11.25" customHeight="1" x14ac:dyDescent="0.3">
      <c r="G3746" s="459"/>
      <c r="H3746" s="459">
        <v>3739</v>
      </c>
      <c r="I3746" s="444">
        <f t="shared" ca="1" si="173"/>
        <v>93726462362.308929</v>
      </c>
      <c r="J3746" s="444">
        <f t="array" ref="J3746">IFERROR(INDEX('Retirement Calculator'!J:J,MATCH('Isaac 401k'!N3746,'Retirement Calculator'!A:A,0),0),0)</f>
        <v>0</v>
      </c>
      <c r="K3746" s="444">
        <f t="shared" ca="1" si="171"/>
        <v>390526926.50962055</v>
      </c>
      <c r="L3746" s="444">
        <f t="shared" ca="1" si="172"/>
        <v>94116989288.818542</v>
      </c>
      <c r="M3746" s="460">
        <f t="shared" si="174"/>
        <v>0.05</v>
      </c>
      <c r="N3746" s="464">
        <f t="shared" si="175"/>
        <v>165060</v>
      </c>
    </row>
    <row r="3747" spans="7:14" ht="11.25" customHeight="1" x14ac:dyDescent="0.3">
      <c r="G3747" s="459"/>
      <c r="H3747" s="459">
        <v>3740</v>
      </c>
      <c r="I3747" s="444">
        <f t="shared" ca="1" si="173"/>
        <v>94116989288.818542</v>
      </c>
      <c r="J3747" s="444">
        <f t="array" ref="J3747">IFERROR(INDEX('Retirement Calculator'!J:J,MATCH('Isaac 401k'!N3747,'Retirement Calculator'!A:A,0),0),0)</f>
        <v>0</v>
      </c>
      <c r="K3747" s="444">
        <f t="shared" ca="1" si="171"/>
        <v>392154122.03674394</v>
      </c>
      <c r="L3747" s="444">
        <f t="shared" ca="1" si="172"/>
        <v>94509143410.855286</v>
      </c>
      <c r="M3747" s="460">
        <f t="shared" si="174"/>
        <v>0.05</v>
      </c>
      <c r="N3747" s="464">
        <f t="shared" si="175"/>
        <v>165091</v>
      </c>
    </row>
    <row r="3748" spans="7:14" ht="11.25" customHeight="1" x14ac:dyDescent="0.3">
      <c r="G3748" s="459"/>
      <c r="H3748" s="459">
        <v>3741</v>
      </c>
      <c r="I3748" s="444">
        <f t="shared" ca="1" si="173"/>
        <v>94509143410.855286</v>
      </c>
      <c r="J3748" s="444">
        <f t="array" ref="J3748">IFERROR(INDEX('Retirement Calculator'!J:J,MATCH('Isaac 401k'!N3748,'Retirement Calculator'!A:A,0),0),0)</f>
        <v>0</v>
      </c>
      <c r="K3748" s="444">
        <f t="shared" ca="1" si="171"/>
        <v>393788097.54523033</v>
      </c>
      <c r="L3748" s="444">
        <f t="shared" ca="1" si="172"/>
        <v>94902931508.400513</v>
      </c>
      <c r="M3748" s="460">
        <f t="shared" si="174"/>
        <v>0.05</v>
      </c>
      <c r="N3748" s="464">
        <f t="shared" si="175"/>
        <v>165122</v>
      </c>
    </row>
    <row r="3749" spans="7:14" ht="11.25" customHeight="1" x14ac:dyDescent="0.3">
      <c r="G3749" s="459"/>
      <c r="H3749" s="459">
        <v>3742</v>
      </c>
      <c r="I3749" s="444">
        <f t="shared" ca="1" si="173"/>
        <v>94902931508.400513</v>
      </c>
      <c r="J3749" s="444">
        <f t="array" ref="J3749">IFERROR(INDEX('Retirement Calculator'!J:J,MATCH('Isaac 401k'!N3749,'Retirement Calculator'!A:A,0),0),0)</f>
        <v>0</v>
      </c>
      <c r="K3749" s="444">
        <f t="shared" ca="1" si="171"/>
        <v>395428881.28500211</v>
      </c>
      <c r="L3749" s="444">
        <f t="shared" ca="1" si="172"/>
        <v>95298360389.685516</v>
      </c>
      <c r="M3749" s="460">
        <f t="shared" si="174"/>
        <v>0.05</v>
      </c>
      <c r="N3749" s="464">
        <f t="shared" si="175"/>
        <v>165151</v>
      </c>
    </row>
    <row r="3750" spans="7:14" ht="11.25" customHeight="1" x14ac:dyDescent="0.3">
      <c r="G3750" s="459"/>
      <c r="H3750" s="459">
        <v>3743</v>
      </c>
      <c r="I3750" s="444">
        <f t="shared" ca="1" si="173"/>
        <v>95298360389.685516</v>
      </c>
      <c r="J3750" s="444">
        <f t="array" ref="J3750">IFERROR(INDEX('Retirement Calculator'!J:J,MATCH('Isaac 401k'!N3750,'Retirement Calculator'!A:A,0),0),0)</f>
        <v>0</v>
      </c>
      <c r="K3750" s="444">
        <f t="shared" ca="1" si="171"/>
        <v>397076501.62368965</v>
      </c>
      <c r="L3750" s="444">
        <f t="shared" ca="1" si="172"/>
        <v>95695436891.309204</v>
      </c>
      <c r="M3750" s="460">
        <f t="shared" si="174"/>
        <v>0.05</v>
      </c>
      <c r="N3750" s="464">
        <f t="shared" si="175"/>
        <v>165182</v>
      </c>
    </row>
    <row r="3751" spans="7:14" ht="11.25" customHeight="1" x14ac:dyDescent="0.3">
      <c r="G3751" s="459"/>
      <c r="H3751" s="459">
        <v>3744</v>
      </c>
      <c r="I3751" s="444">
        <f t="shared" ca="1" si="173"/>
        <v>95695436891.309204</v>
      </c>
      <c r="J3751" s="444">
        <f t="array" ref="J3751">IFERROR(INDEX('Retirement Calculator'!J:J,MATCH('Isaac 401k'!N3751,'Retirement Calculator'!A:A,0),0),0)</f>
        <v>0</v>
      </c>
      <c r="K3751" s="444">
        <f t="shared" ca="1" si="171"/>
        <v>398730987.0471217</v>
      </c>
      <c r="L3751" s="444">
        <f t="shared" ca="1" si="172"/>
        <v>96094167878.356323</v>
      </c>
      <c r="M3751" s="460">
        <f t="shared" si="174"/>
        <v>0.05</v>
      </c>
      <c r="N3751" s="464">
        <f t="shared" si="175"/>
        <v>165212</v>
      </c>
    </row>
    <row r="3752" spans="7:14" ht="11.25" customHeight="1" x14ac:dyDescent="0.3">
      <c r="G3752" s="459"/>
      <c r="H3752" s="459">
        <v>3745</v>
      </c>
      <c r="I3752" s="444">
        <f t="shared" ca="1" si="173"/>
        <v>96094167878.356323</v>
      </c>
      <c r="J3752" s="444">
        <f t="array" ref="J3752">IFERROR(INDEX('Retirement Calculator'!J:J,MATCH('Isaac 401k'!N3752,'Retirement Calculator'!A:A,0),0),0)</f>
        <v>0</v>
      </c>
      <c r="K3752" s="444">
        <f t="shared" ca="1" si="171"/>
        <v>400392366.15981799</v>
      </c>
      <c r="L3752" s="444">
        <f t="shared" ca="1" si="172"/>
        <v>96494560244.516144</v>
      </c>
      <c r="M3752" s="460">
        <f t="shared" si="174"/>
        <v>0.05</v>
      </c>
      <c r="N3752" s="464">
        <f t="shared" si="175"/>
        <v>165243</v>
      </c>
    </row>
    <row r="3753" spans="7:14" ht="11.25" customHeight="1" x14ac:dyDescent="0.3">
      <c r="G3753" s="459"/>
      <c r="H3753" s="459">
        <v>3746</v>
      </c>
      <c r="I3753" s="444">
        <f t="shared" ca="1" si="173"/>
        <v>96494560244.516144</v>
      </c>
      <c r="J3753" s="444">
        <f t="array" ref="J3753">IFERROR(INDEX('Retirement Calculator'!J:J,MATCH('Isaac 401k'!N3753,'Retirement Calculator'!A:A,0),0),0)</f>
        <v>0</v>
      </c>
      <c r="K3753" s="444">
        <f t="shared" ca="1" si="171"/>
        <v>402060667.68548393</v>
      </c>
      <c r="L3753" s="444">
        <f t="shared" ca="1" si="172"/>
        <v>96896620912.20163</v>
      </c>
      <c r="M3753" s="460">
        <f t="shared" si="174"/>
        <v>0.05</v>
      </c>
      <c r="N3753" s="464">
        <f t="shared" si="175"/>
        <v>165273</v>
      </c>
    </row>
    <row r="3754" spans="7:14" ht="11.25" customHeight="1" x14ac:dyDescent="0.3">
      <c r="G3754" s="459"/>
      <c r="H3754" s="459">
        <v>3747</v>
      </c>
      <c r="I3754" s="444">
        <f t="shared" ca="1" si="173"/>
        <v>96896620912.20163</v>
      </c>
      <c r="J3754" s="444">
        <f t="array" ref="J3754">IFERROR(INDEX('Retirement Calculator'!J:J,MATCH('Isaac 401k'!N3754,'Retirement Calculator'!A:A,0),0),0)</f>
        <v>0</v>
      </c>
      <c r="K3754" s="444">
        <f t="shared" ca="1" si="171"/>
        <v>403735920.46750677</v>
      </c>
      <c r="L3754" s="444">
        <f t="shared" ca="1" si="172"/>
        <v>97300356832.669144</v>
      </c>
      <c r="M3754" s="460">
        <f t="shared" si="174"/>
        <v>0.05</v>
      </c>
      <c r="N3754" s="464">
        <f t="shared" si="175"/>
        <v>165304</v>
      </c>
    </row>
    <row r="3755" spans="7:14" ht="11.25" customHeight="1" x14ac:dyDescent="0.3">
      <c r="G3755" s="459"/>
      <c r="H3755" s="459">
        <v>3748</v>
      </c>
      <c r="I3755" s="444">
        <f t="shared" ca="1" si="173"/>
        <v>97300356832.669144</v>
      </c>
      <c r="J3755" s="444">
        <f t="array" ref="J3755">IFERROR(INDEX('Retirement Calculator'!J:J,MATCH('Isaac 401k'!N3755,'Retirement Calculator'!A:A,0),0),0)</f>
        <v>0</v>
      </c>
      <c r="K3755" s="444">
        <f t="shared" ca="1" si="171"/>
        <v>405418153.46945477</v>
      </c>
      <c r="L3755" s="444">
        <f t="shared" ca="1" si="172"/>
        <v>97705774986.138596</v>
      </c>
      <c r="M3755" s="460">
        <f t="shared" si="174"/>
        <v>0.05</v>
      </c>
      <c r="N3755" s="464">
        <f t="shared" si="175"/>
        <v>165335</v>
      </c>
    </row>
    <row r="3756" spans="7:14" ht="11.25" customHeight="1" x14ac:dyDescent="0.3">
      <c r="G3756" s="459"/>
      <c r="H3756" s="459">
        <v>3749</v>
      </c>
      <c r="I3756" s="444">
        <f t="shared" ca="1" si="173"/>
        <v>97705774986.138596</v>
      </c>
      <c r="J3756" s="444">
        <f t="array" ref="J3756">IFERROR(INDEX('Retirement Calculator'!J:J,MATCH('Isaac 401k'!N3756,'Retirement Calculator'!A:A,0),0),0)</f>
        <v>0</v>
      </c>
      <c r="K3756" s="444">
        <f t="shared" ca="1" si="171"/>
        <v>407107395.77557749</v>
      </c>
      <c r="L3756" s="444">
        <f t="shared" ca="1" si="172"/>
        <v>98112882381.914169</v>
      </c>
      <c r="M3756" s="460">
        <f t="shared" si="174"/>
        <v>0.05</v>
      </c>
      <c r="N3756" s="464">
        <f t="shared" si="175"/>
        <v>165365</v>
      </c>
    </row>
    <row r="3757" spans="7:14" ht="11.25" customHeight="1" x14ac:dyDescent="0.3">
      <c r="G3757" s="459"/>
      <c r="H3757" s="459">
        <v>3750</v>
      </c>
      <c r="I3757" s="444">
        <f t="shared" ca="1" si="173"/>
        <v>98112882381.914169</v>
      </c>
      <c r="J3757" s="444">
        <f t="array" ref="J3757">IFERROR(INDEX('Retirement Calculator'!J:J,MATCH('Isaac 401k'!N3757,'Retirement Calculator'!A:A,0),0),0)</f>
        <v>0</v>
      </c>
      <c r="K3757" s="444">
        <f t="shared" ca="1" si="171"/>
        <v>408803676.59130901</v>
      </c>
      <c r="L3757" s="444">
        <f t="shared" ca="1" si="172"/>
        <v>98521686058.505478</v>
      </c>
      <c r="M3757" s="460">
        <f t="shared" si="174"/>
        <v>0.05</v>
      </c>
      <c r="N3757" s="464">
        <f t="shared" si="175"/>
        <v>165396</v>
      </c>
    </row>
    <row r="3758" spans="7:14" ht="11.25" customHeight="1" x14ac:dyDescent="0.3">
      <c r="G3758" s="459"/>
      <c r="H3758" s="459">
        <v>3751</v>
      </c>
      <c r="I3758" s="444">
        <f t="shared" ca="1" si="173"/>
        <v>98521686058.505478</v>
      </c>
      <c r="J3758" s="444">
        <f t="array" ref="J3758">IFERROR(INDEX('Retirement Calculator'!J:J,MATCH('Isaac 401k'!N3758,'Retirement Calculator'!A:A,0),0),0)</f>
        <v>0</v>
      </c>
      <c r="K3758" s="444">
        <f t="shared" ca="1" si="171"/>
        <v>410507025.2437728</v>
      </c>
      <c r="L3758" s="444">
        <f t="shared" ca="1" si="172"/>
        <v>98932193083.749252</v>
      </c>
      <c r="M3758" s="460">
        <f t="shared" si="174"/>
        <v>0.05</v>
      </c>
      <c r="N3758" s="464">
        <f t="shared" si="175"/>
        <v>165426</v>
      </c>
    </row>
    <row r="3759" spans="7:14" ht="11.25" customHeight="1" x14ac:dyDescent="0.3">
      <c r="G3759" s="459"/>
      <c r="H3759" s="459">
        <v>3752</v>
      </c>
      <c r="I3759" s="444">
        <f t="shared" ca="1" si="173"/>
        <v>98932193083.749252</v>
      </c>
      <c r="J3759" s="444">
        <f t="array" ref="J3759">IFERROR(INDEX('Retirement Calculator'!J:J,MATCH('Isaac 401k'!N3759,'Retirement Calculator'!A:A,0),0),0)</f>
        <v>0</v>
      </c>
      <c r="K3759" s="444">
        <f t="shared" ca="1" si="171"/>
        <v>412217471.18228853</v>
      </c>
      <c r="L3759" s="444">
        <f t="shared" ca="1" si="172"/>
        <v>99344410554.931534</v>
      </c>
      <c r="M3759" s="460">
        <f t="shared" si="174"/>
        <v>0.05</v>
      </c>
      <c r="N3759" s="464">
        <f t="shared" si="175"/>
        <v>165457</v>
      </c>
    </row>
    <row r="3760" spans="7:14" ht="11.25" customHeight="1" x14ac:dyDescent="0.3">
      <c r="G3760" s="459"/>
      <c r="H3760" s="459">
        <v>3753</v>
      </c>
      <c r="I3760" s="444">
        <f t="shared" ca="1" si="173"/>
        <v>99344410554.931534</v>
      </c>
      <c r="J3760" s="444">
        <f t="array" ref="J3760">IFERROR(INDEX('Retirement Calculator'!J:J,MATCH('Isaac 401k'!N3760,'Retirement Calculator'!A:A,0),0),0)</f>
        <v>0</v>
      </c>
      <c r="K3760" s="444">
        <f t="shared" ca="1" si="171"/>
        <v>413935043.97888136</v>
      </c>
      <c r="L3760" s="444">
        <f t="shared" ca="1" si="172"/>
        <v>99758345598.910416</v>
      </c>
      <c r="M3760" s="460">
        <f t="shared" si="174"/>
        <v>0.05</v>
      </c>
      <c r="N3760" s="464">
        <f t="shared" si="175"/>
        <v>165488</v>
      </c>
    </row>
    <row r="3761" spans="7:14" ht="11.25" customHeight="1" x14ac:dyDescent="0.3">
      <c r="G3761" s="459"/>
      <c r="H3761" s="459">
        <v>3754</v>
      </c>
      <c r="I3761" s="444">
        <f t="shared" ca="1" si="173"/>
        <v>99758345598.910416</v>
      </c>
      <c r="J3761" s="444">
        <f t="array" ref="J3761">IFERROR(INDEX('Retirement Calculator'!J:J,MATCH('Isaac 401k'!N3761,'Retirement Calculator'!A:A,0),0),0)</f>
        <v>0</v>
      </c>
      <c r="K3761" s="444">
        <f t="shared" ca="1" si="171"/>
        <v>415659773.32879341</v>
      </c>
      <c r="L3761" s="444">
        <f t="shared" ca="1" si="172"/>
        <v>100174005372.23921</v>
      </c>
      <c r="M3761" s="460">
        <f t="shared" si="174"/>
        <v>0.05</v>
      </c>
      <c r="N3761" s="464">
        <f t="shared" si="175"/>
        <v>165516</v>
      </c>
    </row>
    <row r="3762" spans="7:14" ht="11.25" customHeight="1" x14ac:dyDescent="0.3">
      <c r="G3762" s="459"/>
      <c r="H3762" s="459">
        <v>3755</v>
      </c>
      <c r="I3762" s="444">
        <f t="shared" ca="1" si="173"/>
        <v>100174005372.23921</v>
      </c>
      <c r="J3762" s="444">
        <f t="array" ref="J3762">IFERROR(INDEX('Retirement Calculator'!J:J,MATCH('Isaac 401k'!N3762,'Retirement Calculator'!A:A,0),0),0)</f>
        <v>0</v>
      </c>
      <c r="K3762" s="444">
        <f t="shared" ca="1" si="171"/>
        <v>417391689.05099672</v>
      </c>
      <c r="L3762" s="444">
        <f t="shared" ca="1" si="172"/>
        <v>100591397061.29021</v>
      </c>
      <c r="M3762" s="460">
        <f t="shared" si="174"/>
        <v>0.05</v>
      </c>
      <c r="N3762" s="464">
        <f t="shared" si="175"/>
        <v>165547</v>
      </c>
    </row>
    <row r="3763" spans="7:14" ht="11.25" customHeight="1" x14ac:dyDescent="0.3">
      <c r="G3763" s="459"/>
      <c r="H3763" s="459">
        <v>3756</v>
      </c>
      <c r="I3763" s="444">
        <f t="shared" ca="1" si="173"/>
        <v>100591397061.29021</v>
      </c>
      <c r="J3763" s="444">
        <f t="array" ref="J3763">IFERROR(INDEX('Retirement Calculator'!J:J,MATCH('Isaac 401k'!N3763,'Retirement Calculator'!A:A,0),0),0)</f>
        <v>0</v>
      </c>
      <c r="K3763" s="444">
        <f t="shared" ca="1" si="171"/>
        <v>419130821.08870918</v>
      </c>
      <c r="L3763" s="444">
        <f t="shared" ca="1" si="172"/>
        <v>101010527882.37892</v>
      </c>
      <c r="M3763" s="460">
        <f t="shared" si="174"/>
        <v>0.05</v>
      </c>
      <c r="N3763" s="464">
        <f t="shared" si="175"/>
        <v>165577</v>
      </c>
    </row>
    <row r="3764" spans="7:14" ht="11.25" customHeight="1" x14ac:dyDescent="0.3">
      <c r="G3764" s="459"/>
      <c r="H3764" s="459">
        <v>3757</v>
      </c>
      <c r="I3764" s="444">
        <f t="shared" ca="1" si="173"/>
        <v>101010527882.37892</v>
      </c>
      <c r="J3764" s="444">
        <f t="array" ref="J3764">IFERROR(INDEX('Retirement Calculator'!J:J,MATCH('Isaac 401k'!N3764,'Retirement Calculator'!A:A,0),0),0)</f>
        <v>0</v>
      </c>
      <c r="K3764" s="444">
        <f t="shared" ca="1" si="171"/>
        <v>420877199.50991219</v>
      </c>
      <c r="L3764" s="444">
        <f t="shared" ca="1" si="172"/>
        <v>101431405081.88884</v>
      </c>
      <c r="M3764" s="460">
        <f t="shared" si="174"/>
        <v>0.05</v>
      </c>
      <c r="N3764" s="464">
        <f t="shared" si="175"/>
        <v>165608</v>
      </c>
    </row>
    <row r="3765" spans="7:14" ht="11.25" customHeight="1" x14ac:dyDescent="0.3">
      <c r="G3765" s="459"/>
      <c r="H3765" s="459">
        <v>3758</v>
      </c>
      <c r="I3765" s="444">
        <f t="shared" ca="1" si="173"/>
        <v>101431405081.88884</v>
      </c>
      <c r="J3765" s="444">
        <f t="array" ref="J3765">IFERROR(INDEX('Retirement Calculator'!J:J,MATCH('Isaac 401k'!N3765,'Retirement Calculator'!A:A,0),0),0)</f>
        <v>0</v>
      </c>
      <c r="K3765" s="444">
        <f t="shared" ca="1" si="171"/>
        <v>422630854.50787014</v>
      </c>
      <c r="L3765" s="444">
        <f t="shared" ca="1" si="172"/>
        <v>101854035936.39671</v>
      </c>
      <c r="M3765" s="460">
        <f t="shared" si="174"/>
        <v>0.05</v>
      </c>
      <c r="N3765" s="464">
        <f t="shared" si="175"/>
        <v>165638</v>
      </c>
    </row>
    <row r="3766" spans="7:14" ht="11.25" customHeight="1" x14ac:dyDescent="0.3">
      <c r="G3766" s="459"/>
      <c r="H3766" s="459">
        <v>3759</v>
      </c>
      <c r="I3766" s="444">
        <f t="shared" ca="1" si="173"/>
        <v>101854035936.39671</v>
      </c>
      <c r="J3766" s="444">
        <f t="array" ref="J3766">IFERROR(INDEX('Retirement Calculator'!J:J,MATCH('Isaac 401k'!N3766,'Retirement Calculator'!A:A,0),0),0)</f>
        <v>0</v>
      </c>
      <c r="K3766" s="444">
        <f t="shared" ca="1" si="171"/>
        <v>424391816.40165299</v>
      </c>
      <c r="L3766" s="444">
        <f t="shared" ca="1" si="172"/>
        <v>102278427752.79837</v>
      </c>
      <c r="M3766" s="460">
        <f t="shared" si="174"/>
        <v>0.05</v>
      </c>
      <c r="N3766" s="464">
        <f t="shared" si="175"/>
        <v>165669</v>
      </c>
    </row>
    <row r="3767" spans="7:14" ht="11.25" customHeight="1" x14ac:dyDescent="0.3">
      <c r="G3767" s="459"/>
      <c r="H3767" s="459">
        <v>3760</v>
      </c>
      <c r="I3767" s="444">
        <f t="shared" ca="1" si="173"/>
        <v>102278427752.79837</v>
      </c>
      <c r="J3767" s="444">
        <f t="array" ref="J3767">IFERROR(INDEX('Retirement Calculator'!J:J,MATCH('Isaac 401k'!N3767,'Retirement Calculator'!A:A,0),0),0)</f>
        <v>0</v>
      </c>
      <c r="K3767" s="444">
        <f t="shared" ca="1" si="171"/>
        <v>426160115.63665986</v>
      </c>
      <c r="L3767" s="444">
        <f t="shared" ca="1" si="172"/>
        <v>102704587868.43503</v>
      </c>
      <c r="M3767" s="460">
        <f t="shared" si="174"/>
        <v>0.05</v>
      </c>
      <c r="N3767" s="464">
        <f t="shared" si="175"/>
        <v>165700</v>
      </c>
    </row>
    <row r="3768" spans="7:14" ht="11.25" customHeight="1" x14ac:dyDescent="0.3">
      <c r="G3768" s="459"/>
      <c r="H3768" s="459">
        <v>3761</v>
      </c>
      <c r="I3768" s="444">
        <f t="shared" ca="1" si="173"/>
        <v>102704587868.43503</v>
      </c>
      <c r="J3768" s="444">
        <f t="array" ref="J3768">IFERROR(INDEX('Retirement Calculator'!J:J,MATCH('Isaac 401k'!N3768,'Retirement Calculator'!A:A,0),0),0)</f>
        <v>0</v>
      </c>
      <c r="K3768" s="444">
        <f t="shared" ca="1" si="171"/>
        <v>427935782.78514594</v>
      </c>
      <c r="L3768" s="444">
        <f t="shared" ca="1" si="172"/>
        <v>103132523651.22017</v>
      </c>
      <c r="M3768" s="460">
        <f t="shared" si="174"/>
        <v>0.05</v>
      </c>
      <c r="N3768" s="464">
        <f t="shared" si="175"/>
        <v>165730</v>
      </c>
    </row>
    <row r="3769" spans="7:14" ht="11.25" customHeight="1" x14ac:dyDescent="0.3">
      <c r="G3769" s="459"/>
      <c r="H3769" s="459">
        <v>3762</v>
      </c>
      <c r="I3769" s="444">
        <f t="shared" ca="1" si="173"/>
        <v>103132523651.22017</v>
      </c>
      <c r="J3769" s="444">
        <f t="array" ref="J3769">IFERROR(INDEX('Retirement Calculator'!J:J,MATCH('Isaac 401k'!N3769,'Retirement Calculator'!A:A,0),0),0)</f>
        <v>0</v>
      </c>
      <c r="K3769" s="444">
        <f t="shared" ca="1" si="171"/>
        <v>429718848.54675072</v>
      </c>
      <c r="L3769" s="444">
        <f t="shared" ca="1" si="172"/>
        <v>103562242499.76692</v>
      </c>
      <c r="M3769" s="460">
        <f t="shared" si="174"/>
        <v>0.05</v>
      </c>
      <c r="N3769" s="464">
        <f t="shared" si="175"/>
        <v>165761</v>
      </c>
    </row>
    <row r="3770" spans="7:14" ht="11.25" customHeight="1" x14ac:dyDescent="0.3">
      <c r="G3770" s="459"/>
      <c r="H3770" s="459">
        <v>3763</v>
      </c>
      <c r="I3770" s="444">
        <f t="shared" ca="1" si="173"/>
        <v>103562242499.76692</v>
      </c>
      <c r="J3770" s="444">
        <f t="array" ref="J3770">IFERROR(INDEX('Retirement Calculator'!J:J,MATCH('Isaac 401k'!N3770,'Retirement Calculator'!A:A,0),0),0)</f>
        <v>0</v>
      </c>
      <c r="K3770" s="444">
        <f t="shared" ca="1" si="171"/>
        <v>431509343.74902886</v>
      </c>
      <c r="L3770" s="444">
        <f t="shared" ca="1" si="172"/>
        <v>103993751843.51595</v>
      </c>
      <c r="M3770" s="460">
        <f t="shared" si="174"/>
        <v>0.05</v>
      </c>
      <c r="N3770" s="464">
        <f t="shared" si="175"/>
        <v>165791</v>
      </c>
    </row>
    <row r="3771" spans="7:14" ht="11.25" customHeight="1" x14ac:dyDescent="0.3">
      <c r="G3771" s="459"/>
      <c r="H3771" s="459">
        <v>3764</v>
      </c>
      <c r="I3771" s="444">
        <f t="shared" ca="1" si="173"/>
        <v>103993751843.51595</v>
      </c>
      <c r="J3771" s="444">
        <f t="array" ref="J3771">IFERROR(INDEX('Retirement Calculator'!J:J,MATCH('Isaac 401k'!N3771,'Retirement Calculator'!A:A,0),0),0)</f>
        <v>0</v>
      </c>
      <c r="K3771" s="444">
        <f t="shared" ca="1" si="171"/>
        <v>433307299.34798312</v>
      </c>
      <c r="L3771" s="444">
        <f t="shared" ca="1" si="172"/>
        <v>104427059142.86392</v>
      </c>
      <c r="M3771" s="460">
        <f t="shared" si="174"/>
        <v>0.05</v>
      </c>
      <c r="N3771" s="464">
        <f t="shared" si="175"/>
        <v>165822</v>
      </c>
    </row>
    <row r="3772" spans="7:14" ht="11.25" customHeight="1" x14ac:dyDescent="0.3">
      <c r="G3772" s="459"/>
      <c r="H3772" s="459">
        <v>3765</v>
      </c>
      <c r="I3772" s="444">
        <f t="shared" ca="1" si="173"/>
        <v>104427059142.86392</v>
      </c>
      <c r="J3772" s="444">
        <f t="array" ref="J3772">IFERROR(INDEX('Retirement Calculator'!J:J,MATCH('Isaac 401k'!N3772,'Retirement Calculator'!A:A,0),0),0)</f>
        <v>0</v>
      </c>
      <c r="K3772" s="444">
        <f t="shared" ca="1" si="171"/>
        <v>435112746.42859966</v>
      </c>
      <c r="L3772" s="444">
        <f t="shared" ca="1" si="172"/>
        <v>104862171889.29253</v>
      </c>
      <c r="M3772" s="460">
        <f t="shared" si="174"/>
        <v>0.05</v>
      </c>
      <c r="N3772" s="464">
        <f t="shared" si="175"/>
        <v>165853</v>
      </c>
    </row>
    <row r="3773" spans="7:14" ht="11.25" customHeight="1" x14ac:dyDescent="0.3">
      <c r="G3773" s="459"/>
      <c r="H3773" s="459">
        <v>3766</v>
      </c>
      <c r="I3773" s="444">
        <f t="shared" ca="1" si="173"/>
        <v>104862171889.29253</v>
      </c>
      <c r="J3773" s="444">
        <f t="array" ref="J3773">IFERROR(INDEX('Retirement Calculator'!J:J,MATCH('Isaac 401k'!N3773,'Retirement Calculator'!A:A,0),0),0)</f>
        <v>0</v>
      </c>
      <c r="K3773" s="444">
        <f t="shared" ca="1" si="171"/>
        <v>436925716.20538551</v>
      </c>
      <c r="L3773" s="444">
        <f t="shared" ca="1" si="172"/>
        <v>105299097605.49791</v>
      </c>
      <c r="M3773" s="460">
        <f t="shared" si="174"/>
        <v>0.05</v>
      </c>
      <c r="N3773" s="464">
        <f t="shared" si="175"/>
        <v>165881</v>
      </c>
    </row>
    <row r="3774" spans="7:14" ht="11.25" customHeight="1" x14ac:dyDescent="0.3">
      <c r="G3774" s="459"/>
      <c r="H3774" s="459">
        <v>3767</v>
      </c>
      <c r="I3774" s="444">
        <f t="shared" ca="1" si="173"/>
        <v>105299097605.49791</v>
      </c>
      <c r="J3774" s="444">
        <f t="array" ref="J3774">IFERROR(INDEX('Retirement Calculator'!J:J,MATCH('Isaac 401k'!N3774,'Retirement Calculator'!A:A,0),0),0)</f>
        <v>0</v>
      </c>
      <c r="K3774" s="444">
        <f t="shared" ca="1" si="171"/>
        <v>438746240.02290797</v>
      </c>
      <c r="L3774" s="444">
        <f t="shared" ca="1" si="172"/>
        <v>105737843845.52081</v>
      </c>
      <c r="M3774" s="460">
        <f t="shared" si="174"/>
        <v>0.05</v>
      </c>
      <c r="N3774" s="464">
        <f t="shared" si="175"/>
        <v>165912</v>
      </c>
    </row>
    <row r="3775" spans="7:14" ht="11.25" customHeight="1" x14ac:dyDescent="0.3">
      <c r="G3775" s="459"/>
      <c r="H3775" s="459">
        <v>3768</v>
      </c>
      <c r="I3775" s="444">
        <f t="shared" ca="1" si="173"/>
        <v>105737843845.52081</v>
      </c>
      <c r="J3775" s="444">
        <f t="array" ref="J3775">IFERROR(INDEX('Retirement Calculator'!J:J,MATCH('Isaac 401k'!N3775,'Retirement Calculator'!A:A,0),0),0)</f>
        <v>0</v>
      </c>
      <c r="K3775" s="444">
        <f t="shared" ca="1" si="171"/>
        <v>440574349.35633671</v>
      </c>
      <c r="L3775" s="444">
        <f t="shared" ca="1" si="172"/>
        <v>106178418194.87715</v>
      </c>
      <c r="M3775" s="460">
        <f t="shared" si="174"/>
        <v>0.05</v>
      </c>
      <c r="N3775" s="464">
        <f t="shared" si="175"/>
        <v>165942</v>
      </c>
    </row>
    <row r="3776" spans="7:14" ht="11.25" customHeight="1" x14ac:dyDescent="0.3">
      <c r="G3776" s="459"/>
      <c r="H3776" s="459">
        <v>3769</v>
      </c>
      <c r="I3776" s="444">
        <f t="shared" ca="1" si="173"/>
        <v>106178418194.87715</v>
      </c>
      <c r="J3776" s="444">
        <f t="array" ref="J3776">IFERROR(INDEX('Retirement Calculator'!J:J,MATCH('Isaac 401k'!N3776,'Retirement Calculator'!A:A,0),0),0)</f>
        <v>0</v>
      </c>
      <c r="K3776" s="444">
        <f t="shared" ca="1" si="171"/>
        <v>442410075.81198812</v>
      </c>
      <c r="L3776" s="444">
        <f t="shared" ca="1" si="172"/>
        <v>106620828270.68913</v>
      </c>
      <c r="M3776" s="460">
        <f t="shared" si="174"/>
        <v>0.05</v>
      </c>
      <c r="N3776" s="464">
        <f t="shared" si="175"/>
        <v>165973</v>
      </c>
    </row>
    <row r="3777" spans="7:14" ht="11.25" customHeight="1" x14ac:dyDescent="0.3">
      <c r="G3777" s="459"/>
      <c r="H3777" s="459">
        <v>3770</v>
      </c>
      <c r="I3777" s="444">
        <f t="shared" ca="1" si="173"/>
        <v>106620828270.68913</v>
      </c>
      <c r="J3777" s="444">
        <f t="array" ref="J3777">IFERROR(INDEX('Retirement Calculator'!J:J,MATCH('Isaac 401k'!N3777,'Retirement Calculator'!A:A,0),0),0)</f>
        <v>0</v>
      </c>
      <c r="K3777" s="444">
        <f t="shared" ca="1" si="171"/>
        <v>444253451.12787139</v>
      </c>
      <c r="L3777" s="444">
        <f t="shared" ca="1" si="172"/>
        <v>107065081721.817</v>
      </c>
      <c r="M3777" s="460">
        <f t="shared" si="174"/>
        <v>0.05</v>
      </c>
      <c r="N3777" s="464">
        <f t="shared" si="175"/>
        <v>166003</v>
      </c>
    </row>
    <row r="3778" spans="7:14" ht="11.25" customHeight="1" x14ac:dyDescent="0.3">
      <c r="G3778" s="459"/>
      <c r="H3778" s="459">
        <v>3771</v>
      </c>
      <c r="I3778" s="444">
        <f t="shared" ca="1" si="173"/>
        <v>107065081721.817</v>
      </c>
      <c r="J3778" s="444">
        <f t="array" ref="J3778">IFERROR(INDEX('Retirement Calculator'!J:J,MATCH('Isaac 401k'!N3778,'Retirement Calculator'!A:A,0),0),0)</f>
        <v>0</v>
      </c>
      <c r="K3778" s="444">
        <f t="shared" ca="1" si="171"/>
        <v>446104507.17423743</v>
      </c>
      <c r="L3778" s="444">
        <f t="shared" ca="1" si="172"/>
        <v>107511186228.99124</v>
      </c>
      <c r="M3778" s="460">
        <f t="shared" si="174"/>
        <v>0.05</v>
      </c>
      <c r="N3778" s="464">
        <f t="shared" si="175"/>
        <v>166034</v>
      </c>
    </row>
    <row r="3779" spans="7:14" ht="11.25" customHeight="1" x14ac:dyDescent="0.3">
      <c r="G3779" s="459"/>
      <c r="H3779" s="459">
        <v>3772</v>
      </c>
      <c r="I3779" s="444">
        <f t="shared" ca="1" si="173"/>
        <v>107511186228.99124</v>
      </c>
      <c r="J3779" s="444">
        <f t="array" ref="J3779">IFERROR(INDEX('Retirement Calculator'!J:J,MATCH('Isaac 401k'!N3779,'Retirement Calculator'!A:A,0),0),0)</f>
        <v>0</v>
      </c>
      <c r="K3779" s="444">
        <f t="shared" ca="1" si="171"/>
        <v>447963275.95413023</v>
      </c>
      <c r="L3779" s="444">
        <f t="shared" ca="1" si="172"/>
        <v>107959149504.94537</v>
      </c>
      <c r="M3779" s="460">
        <f t="shared" si="174"/>
        <v>0.05</v>
      </c>
      <c r="N3779" s="464">
        <f t="shared" si="175"/>
        <v>166065</v>
      </c>
    </row>
    <row r="3780" spans="7:14" ht="11.25" customHeight="1" x14ac:dyDescent="0.3">
      <c r="G3780" s="459"/>
      <c r="H3780" s="459">
        <v>3773</v>
      </c>
      <c r="I3780" s="444">
        <f t="shared" ca="1" si="173"/>
        <v>107959149504.94537</v>
      </c>
      <c r="J3780" s="444">
        <f t="array" ref="J3780">IFERROR(INDEX('Retirement Calculator'!J:J,MATCH('Isaac 401k'!N3780,'Retirement Calculator'!A:A,0),0),0)</f>
        <v>0</v>
      </c>
      <c r="K3780" s="444">
        <f t="shared" ca="1" si="171"/>
        <v>449829789.60393906</v>
      </c>
      <c r="L3780" s="444">
        <f t="shared" ca="1" si="172"/>
        <v>108408979294.54932</v>
      </c>
      <c r="M3780" s="460">
        <f t="shared" si="174"/>
        <v>0.05</v>
      </c>
      <c r="N3780" s="464">
        <f t="shared" si="175"/>
        <v>166095</v>
      </c>
    </row>
    <row r="3781" spans="7:14" ht="11.25" customHeight="1" x14ac:dyDescent="0.3">
      <c r="G3781" s="459"/>
      <c r="H3781" s="459">
        <v>3774</v>
      </c>
      <c r="I3781" s="444">
        <f t="shared" ca="1" si="173"/>
        <v>108408979294.54932</v>
      </c>
      <c r="J3781" s="444">
        <f t="array" ref="J3781">IFERROR(INDEX('Retirement Calculator'!J:J,MATCH('Isaac 401k'!N3781,'Retirement Calculator'!A:A,0),0),0)</f>
        <v>0</v>
      </c>
      <c r="K3781" s="444">
        <f t="shared" ca="1" si="171"/>
        <v>451704080.39395547</v>
      </c>
      <c r="L3781" s="444">
        <f t="shared" ca="1" si="172"/>
        <v>108860683374.94327</v>
      </c>
      <c r="M3781" s="460">
        <f t="shared" si="174"/>
        <v>0.05</v>
      </c>
      <c r="N3781" s="464">
        <f t="shared" si="175"/>
        <v>166126</v>
      </c>
    </row>
    <row r="3782" spans="7:14" ht="11.25" customHeight="1" x14ac:dyDescent="0.3">
      <c r="G3782" s="459"/>
      <c r="H3782" s="459">
        <v>3775</v>
      </c>
      <c r="I3782" s="444">
        <f t="shared" ca="1" si="173"/>
        <v>108860683374.94327</v>
      </c>
      <c r="J3782" s="444">
        <f t="array" ref="J3782">IFERROR(INDEX('Retirement Calculator'!J:J,MATCH('Isaac 401k'!N3782,'Retirement Calculator'!A:A,0),0),0)</f>
        <v>0</v>
      </c>
      <c r="K3782" s="444">
        <f t="shared" ca="1" si="171"/>
        <v>453586180.72893035</v>
      </c>
      <c r="L3782" s="444">
        <f t="shared" ca="1" si="172"/>
        <v>109314269555.6722</v>
      </c>
      <c r="M3782" s="460">
        <f t="shared" si="174"/>
        <v>0.05</v>
      </c>
      <c r="N3782" s="464">
        <f t="shared" si="175"/>
        <v>166156</v>
      </c>
    </row>
    <row r="3783" spans="7:14" ht="11.25" customHeight="1" x14ac:dyDescent="0.3">
      <c r="G3783" s="459"/>
      <c r="H3783" s="459">
        <v>3776</v>
      </c>
      <c r="I3783" s="444">
        <f t="shared" ca="1" si="173"/>
        <v>109314269555.6722</v>
      </c>
      <c r="J3783" s="444">
        <f t="array" ref="J3783">IFERROR(INDEX('Retirement Calculator'!J:J,MATCH('Isaac 401k'!N3783,'Retirement Calculator'!A:A,0),0),0)</f>
        <v>0</v>
      </c>
      <c r="K3783" s="444">
        <f t="shared" ca="1" si="171"/>
        <v>455476123.1486342</v>
      </c>
      <c r="L3783" s="444">
        <f t="shared" ca="1" si="172"/>
        <v>109769745678.82083</v>
      </c>
      <c r="M3783" s="460">
        <f t="shared" si="174"/>
        <v>0.05</v>
      </c>
      <c r="N3783" s="464">
        <f t="shared" si="175"/>
        <v>166187</v>
      </c>
    </row>
    <row r="3784" spans="7:14" ht="11.25" customHeight="1" x14ac:dyDescent="0.3">
      <c r="G3784" s="459"/>
      <c r="H3784" s="459">
        <v>3777</v>
      </c>
      <c r="I3784" s="444">
        <f t="shared" ca="1" si="173"/>
        <v>109769745678.82083</v>
      </c>
      <c r="J3784" s="444">
        <f t="array" ref="J3784">IFERROR(INDEX('Retirement Calculator'!J:J,MATCH('Isaac 401k'!N3784,'Retirement Calculator'!A:A,0),0),0)</f>
        <v>0</v>
      </c>
      <c r="K3784" s="444">
        <f t="shared" ca="1" si="171"/>
        <v>457373940.3284201</v>
      </c>
      <c r="L3784" s="444">
        <f t="shared" ca="1" si="172"/>
        <v>110227119619.14925</v>
      </c>
      <c r="M3784" s="460">
        <f t="shared" si="174"/>
        <v>0.05</v>
      </c>
      <c r="N3784" s="464">
        <f t="shared" si="175"/>
        <v>166218</v>
      </c>
    </row>
    <row r="3785" spans="7:14" ht="11.25" customHeight="1" x14ac:dyDescent="0.3">
      <c r="G3785" s="459"/>
      <c r="H3785" s="459">
        <v>3778</v>
      </c>
      <c r="I3785" s="444">
        <f t="shared" ca="1" si="173"/>
        <v>110227119619.14925</v>
      </c>
      <c r="J3785" s="444">
        <f t="array" ref="J3785">IFERROR(INDEX('Retirement Calculator'!J:J,MATCH('Isaac 401k'!N3785,'Retirement Calculator'!A:A,0),0),0)</f>
        <v>0</v>
      </c>
      <c r="K3785" s="444">
        <f t="shared" ca="1" si="171"/>
        <v>459279665.07978845</v>
      </c>
      <c r="L3785" s="444">
        <f t="shared" ca="1" si="172"/>
        <v>110686399284.22903</v>
      </c>
      <c r="M3785" s="460">
        <f t="shared" si="174"/>
        <v>0.05</v>
      </c>
      <c r="N3785" s="464">
        <f t="shared" si="175"/>
        <v>166246</v>
      </c>
    </row>
    <row r="3786" spans="7:14" ht="11.25" customHeight="1" x14ac:dyDescent="0.3">
      <c r="G3786" s="459"/>
      <c r="H3786" s="459">
        <v>3779</v>
      </c>
      <c r="I3786" s="444">
        <f t="shared" ca="1" si="173"/>
        <v>110686399284.22903</v>
      </c>
      <c r="J3786" s="444">
        <f t="array" ref="J3786">IFERROR(INDEX('Retirement Calculator'!J:J,MATCH('Isaac 401k'!N3786,'Retirement Calculator'!A:A,0),0),0)</f>
        <v>0</v>
      </c>
      <c r="K3786" s="444">
        <f t="shared" ca="1" si="171"/>
        <v>461193330.35095429</v>
      </c>
      <c r="L3786" s="444">
        <f t="shared" ca="1" si="172"/>
        <v>111147592614.57999</v>
      </c>
      <c r="M3786" s="460">
        <f t="shared" si="174"/>
        <v>0.05</v>
      </c>
      <c r="N3786" s="464">
        <f t="shared" si="175"/>
        <v>166277</v>
      </c>
    </row>
    <row r="3787" spans="7:14" ht="11.25" customHeight="1" x14ac:dyDescent="0.3">
      <c r="G3787" s="459"/>
      <c r="H3787" s="459">
        <v>3780</v>
      </c>
      <c r="I3787" s="444">
        <f t="shared" ca="1" si="173"/>
        <v>111147592614.57999</v>
      </c>
      <c r="J3787" s="444">
        <f t="array" ref="J3787">IFERROR(INDEX('Retirement Calculator'!J:J,MATCH('Isaac 401k'!N3787,'Retirement Calculator'!A:A,0),0),0)</f>
        <v>0</v>
      </c>
      <c r="K3787" s="444">
        <f t="shared" ca="1" si="171"/>
        <v>463114969.22741652</v>
      </c>
      <c r="L3787" s="444">
        <f t="shared" ca="1" si="172"/>
        <v>111610707583.8074</v>
      </c>
      <c r="M3787" s="460">
        <f t="shared" si="174"/>
        <v>0.05</v>
      </c>
      <c r="N3787" s="464">
        <f t="shared" si="175"/>
        <v>166307</v>
      </c>
    </row>
    <row r="3788" spans="7:14" ht="11.25" customHeight="1" x14ac:dyDescent="0.3">
      <c r="G3788" s="459"/>
      <c r="H3788" s="459">
        <v>3781</v>
      </c>
      <c r="I3788" s="444">
        <f t="shared" ca="1" si="173"/>
        <v>111610707583.8074</v>
      </c>
      <c r="J3788" s="444">
        <f t="array" ref="J3788">IFERROR(INDEX('Retirement Calculator'!J:J,MATCH('Isaac 401k'!N3788,'Retirement Calculator'!A:A,0),0),0)</f>
        <v>0</v>
      </c>
      <c r="K3788" s="444">
        <f t="shared" ca="1" si="171"/>
        <v>465044614.93253088</v>
      </c>
      <c r="L3788" s="444">
        <f t="shared" ca="1" si="172"/>
        <v>112075752198.73993</v>
      </c>
      <c r="M3788" s="460">
        <f t="shared" si="174"/>
        <v>0.05</v>
      </c>
      <c r="N3788" s="464">
        <f t="shared" si="175"/>
        <v>166338</v>
      </c>
    </row>
    <row r="3789" spans="7:14" ht="11.25" customHeight="1" x14ac:dyDescent="0.3">
      <c r="G3789" s="459"/>
      <c r="H3789" s="459">
        <v>3782</v>
      </c>
      <c r="I3789" s="444">
        <f t="shared" ca="1" si="173"/>
        <v>112075752198.73993</v>
      </c>
      <c r="J3789" s="444">
        <f t="array" ref="J3789">IFERROR(INDEX('Retirement Calculator'!J:J,MATCH('Isaac 401k'!N3789,'Retirement Calculator'!A:A,0),0),0)</f>
        <v>0</v>
      </c>
      <c r="K3789" s="444">
        <f t="shared" ca="1" si="171"/>
        <v>466982300.82808304</v>
      </c>
      <c r="L3789" s="444">
        <f t="shared" ca="1" si="172"/>
        <v>112542734499.56801</v>
      </c>
      <c r="M3789" s="460">
        <f t="shared" si="174"/>
        <v>0.05</v>
      </c>
      <c r="N3789" s="464">
        <f t="shared" si="175"/>
        <v>166368</v>
      </c>
    </row>
    <row r="3790" spans="7:14" ht="11.25" customHeight="1" x14ac:dyDescent="0.3">
      <c r="G3790" s="459"/>
      <c r="H3790" s="459">
        <v>3783</v>
      </c>
      <c r="I3790" s="444">
        <f t="shared" ca="1" si="173"/>
        <v>112542734499.56801</v>
      </c>
      <c r="J3790" s="444">
        <f t="array" ref="J3790">IFERROR(INDEX('Retirement Calculator'!J:J,MATCH('Isaac 401k'!N3790,'Retirement Calculator'!A:A,0),0),0)</f>
        <v>0</v>
      </c>
      <c r="K3790" s="444">
        <f t="shared" ca="1" si="171"/>
        <v>468928060.41486669</v>
      </c>
      <c r="L3790" s="444">
        <f t="shared" ca="1" si="172"/>
        <v>113011662559.98288</v>
      </c>
      <c r="M3790" s="460">
        <f t="shared" si="174"/>
        <v>0.05</v>
      </c>
      <c r="N3790" s="464">
        <f t="shared" si="175"/>
        <v>166399</v>
      </c>
    </row>
    <row r="3791" spans="7:14" ht="11.25" customHeight="1" x14ac:dyDescent="0.3">
      <c r="G3791" s="459"/>
      <c r="H3791" s="459">
        <v>3784</v>
      </c>
      <c r="I3791" s="444">
        <f t="shared" ca="1" si="173"/>
        <v>113011662559.98288</v>
      </c>
      <c r="J3791" s="444">
        <f t="array" ref="J3791">IFERROR(INDEX('Retirement Calculator'!J:J,MATCH('Isaac 401k'!N3791,'Retirement Calculator'!A:A,0),0),0)</f>
        <v>0</v>
      </c>
      <c r="K3791" s="444">
        <f t="shared" ca="1" si="171"/>
        <v>470881927.33326197</v>
      </c>
      <c r="L3791" s="444">
        <f t="shared" ca="1" si="172"/>
        <v>113482544487.31615</v>
      </c>
      <c r="M3791" s="460">
        <f t="shared" si="174"/>
        <v>0.05</v>
      </c>
      <c r="N3791" s="464">
        <f t="shared" si="175"/>
        <v>166430</v>
      </c>
    </row>
    <row r="3792" spans="7:14" ht="11.25" customHeight="1" x14ac:dyDescent="0.3">
      <c r="G3792" s="459"/>
      <c r="H3792" s="459">
        <v>3785</v>
      </c>
      <c r="I3792" s="444">
        <f t="shared" ca="1" si="173"/>
        <v>113482544487.31615</v>
      </c>
      <c r="J3792" s="444">
        <f t="array" ref="J3792">IFERROR(INDEX('Retirement Calculator'!J:J,MATCH('Isaac 401k'!N3792,'Retirement Calculator'!A:A,0),0),0)</f>
        <v>0</v>
      </c>
      <c r="K3792" s="444">
        <f t="shared" ca="1" si="171"/>
        <v>472843935.36381727</v>
      </c>
      <c r="L3792" s="444">
        <f t="shared" ca="1" si="172"/>
        <v>113955388422.67996</v>
      </c>
      <c r="M3792" s="460">
        <f t="shared" si="174"/>
        <v>0.05</v>
      </c>
      <c r="N3792" s="464">
        <f t="shared" si="175"/>
        <v>166460</v>
      </c>
    </row>
    <row r="3793" spans="7:14" ht="11.25" customHeight="1" x14ac:dyDescent="0.3">
      <c r="G3793" s="459"/>
      <c r="H3793" s="459">
        <v>3786</v>
      </c>
      <c r="I3793" s="444">
        <f t="shared" ca="1" si="173"/>
        <v>113955388422.67996</v>
      </c>
      <c r="J3793" s="444">
        <f t="array" ref="J3793">IFERROR(INDEX('Retirement Calculator'!J:J,MATCH('Isaac 401k'!N3793,'Retirement Calculator'!A:A,0),0),0)</f>
        <v>0</v>
      </c>
      <c r="K3793" s="444">
        <f t="shared" ca="1" si="171"/>
        <v>474814118.42783314</v>
      </c>
      <c r="L3793" s="444">
        <f t="shared" ca="1" si="172"/>
        <v>114430202541.10779</v>
      </c>
      <c r="M3793" s="460">
        <f t="shared" si="174"/>
        <v>0.05</v>
      </c>
      <c r="N3793" s="464">
        <f t="shared" si="175"/>
        <v>166491</v>
      </c>
    </row>
    <row r="3794" spans="7:14" ht="11.25" customHeight="1" x14ac:dyDescent="0.3">
      <c r="G3794" s="459"/>
      <c r="H3794" s="459">
        <v>3787</v>
      </c>
      <c r="I3794" s="444">
        <f t="shared" ca="1" si="173"/>
        <v>114430202541.10779</v>
      </c>
      <c r="J3794" s="444">
        <f t="array" ref="J3794">IFERROR(INDEX('Retirement Calculator'!J:J,MATCH('Isaac 401k'!N3794,'Retirement Calculator'!A:A,0),0),0)</f>
        <v>0</v>
      </c>
      <c r="K3794" s="444">
        <f t="shared" ca="1" si="171"/>
        <v>476792510.58794916</v>
      </c>
      <c r="L3794" s="444">
        <f t="shared" ca="1" si="172"/>
        <v>114906995051.69574</v>
      </c>
      <c r="M3794" s="460">
        <f t="shared" si="174"/>
        <v>0.05</v>
      </c>
      <c r="N3794" s="464">
        <f t="shared" si="175"/>
        <v>166521</v>
      </c>
    </row>
    <row r="3795" spans="7:14" ht="11.25" customHeight="1" x14ac:dyDescent="0.3">
      <c r="G3795" s="459"/>
      <c r="H3795" s="459">
        <v>3788</v>
      </c>
      <c r="I3795" s="444">
        <f t="shared" ca="1" si="173"/>
        <v>114906995051.69574</v>
      </c>
      <c r="J3795" s="444">
        <f t="array" ref="J3795">IFERROR(INDEX('Retirement Calculator'!J:J,MATCH('Isaac 401k'!N3795,'Retirement Calculator'!A:A,0),0),0)</f>
        <v>0</v>
      </c>
      <c r="K3795" s="444">
        <f t="shared" ca="1" si="171"/>
        <v>478779146.04873222</v>
      </c>
      <c r="L3795" s="444">
        <f t="shared" ca="1" si="172"/>
        <v>115385774197.74448</v>
      </c>
      <c r="M3795" s="460">
        <f t="shared" si="174"/>
        <v>0.05</v>
      </c>
      <c r="N3795" s="464">
        <f t="shared" si="175"/>
        <v>166552</v>
      </c>
    </row>
    <row r="3796" spans="7:14" ht="11.25" customHeight="1" x14ac:dyDescent="0.3">
      <c r="G3796" s="459"/>
      <c r="H3796" s="459">
        <v>3789</v>
      </c>
      <c r="I3796" s="444">
        <f t="shared" ca="1" si="173"/>
        <v>115385774197.74448</v>
      </c>
      <c r="J3796" s="444">
        <f t="array" ref="J3796">IFERROR(INDEX('Retirement Calculator'!J:J,MATCH('Isaac 401k'!N3796,'Retirement Calculator'!A:A,0),0),0)</f>
        <v>0</v>
      </c>
      <c r="K3796" s="444">
        <f t="shared" ca="1" si="171"/>
        <v>480774059.15726858</v>
      </c>
      <c r="L3796" s="444">
        <f t="shared" ca="1" si="172"/>
        <v>115866548256.90175</v>
      </c>
      <c r="M3796" s="460">
        <f t="shared" si="174"/>
        <v>0.05</v>
      </c>
      <c r="N3796" s="464">
        <f t="shared" si="175"/>
        <v>166583</v>
      </c>
    </row>
    <row r="3797" spans="7:14" ht="11.25" customHeight="1" x14ac:dyDescent="0.3">
      <c r="G3797" s="459"/>
      <c r="H3797" s="459">
        <v>3790</v>
      </c>
      <c r="I3797" s="444">
        <f t="shared" ca="1" si="173"/>
        <v>115866548256.90175</v>
      </c>
      <c r="J3797" s="444">
        <f t="array" ref="J3797">IFERROR(INDEX('Retirement Calculator'!J:J,MATCH('Isaac 401k'!N3797,'Retirement Calculator'!A:A,0),0),0)</f>
        <v>0</v>
      </c>
      <c r="K3797" s="444">
        <f t="shared" ca="1" si="171"/>
        <v>482777284.40375727</v>
      </c>
      <c r="L3797" s="444">
        <f t="shared" ca="1" si="172"/>
        <v>116349325541.30551</v>
      </c>
      <c r="M3797" s="460">
        <f t="shared" si="174"/>
        <v>0.05</v>
      </c>
      <c r="N3797" s="464">
        <f t="shared" si="175"/>
        <v>166612</v>
      </c>
    </row>
    <row r="3798" spans="7:14" ht="11.25" customHeight="1" x14ac:dyDescent="0.3">
      <c r="G3798" s="459"/>
      <c r="H3798" s="459">
        <v>3791</v>
      </c>
      <c r="I3798" s="444">
        <f t="shared" ca="1" si="173"/>
        <v>116349325541.30551</v>
      </c>
      <c r="J3798" s="444">
        <f t="array" ref="J3798">IFERROR(INDEX('Retirement Calculator'!J:J,MATCH('Isaac 401k'!N3798,'Retirement Calculator'!A:A,0),0),0)</f>
        <v>0</v>
      </c>
      <c r="K3798" s="444">
        <f t="shared" ca="1" si="171"/>
        <v>484788856.42210627</v>
      </c>
      <c r="L3798" s="444">
        <f t="shared" ca="1" si="172"/>
        <v>116834114397.72762</v>
      </c>
      <c r="M3798" s="460">
        <f t="shared" si="174"/>
        <v>0.05</v>
      </c>
      <c r="N3798" s="464">
        <f t="shared" si="175"/>
        <v>166643</v>
      </c>
    </row>
    <row r="3799" spans="7:14" ht="11.25" customHeight="1" x14ac:dyDescent="0.3">
      <c r="G3799" s="459"/>
      <c r="H3799" s="459">
        <v>3792</v>
      </c>
      <c r="I3799" s="444">
        <f t="shared" ca="1" si="173"/>
        <v>116834114397.72762</v>
      </c>
      <c r="J3799" s="444">
        <f t="array" ref="J3799">IFERROR(INDEX('Retirement Calculator'!J:J,MATCH('Isaac 401k'!N3799,'Retirement Calculator'!A:A,0),0),0)</f>
        <v>0</v>
      </c>
      <c r="K3799" s="444">
        <f t="shared" ca="1" si="171"/>
        <v>486808809.99053174</v>
      </c>
      <c r="L3799" s="444">
        <f t="shared" ca="1" si="172"/>
        <v>117320923207.71814</v>
      </c>
      <c r="M3799" s="460">
        <f t="shared" si="174"/>
        <v>0.05</v>
      </c>
      <c r="N3799" s="464">
        <f t="shared" si="175"/>
        <v>166673</v>
      </c>
    </row>
    <row r="3800" spans="7:14" ht="11.25" customHeight="1" x14ac:dyDescent="0.3">
      <c r="G3800" s="459"/>
      <c r="H3800" s="459">
        <v>3793</v>
      </c>
      <c r="I3800" s="444">
        <f t="shared" ca="1" si="173"/>
        <v>117320923207.71814</v>
      </c>
      <c r="J3800" s="444">
        <f t="array" ref="J3800">IFERROR(INDEX('Retirement Calculator'!J:J,MATCH('Isaac 401k'!N3800,'Retirement Calculator'!A:A,0),0),0)</f>
        <v>0</v>
      </c>
      <c r="K3800" s="444">
        <f t="shared" ca="1" si="171"/>
        <v>488837180.03215885</v>
      </c>
      <c r="L3800" s="444">
        <f t="shared" ca="1" si="172"/>
        <v>117809760387.75031</v>
      </c>
      <c r="M3800" s="460">
        <f t="shared" si="174"/>
        <v>0.05</v>
      </c>
      <c r="N3800" s="464">
        <f t="shared" si="175"/>
        <v>166704</v>
      </c>
    </row>
    <row r="3801" spans="7:14" ht="11.25" customHeight="1" x14ac:dyDescent="0.3">
      <c r="G3801" s="459"/>
      <c r="H3801" s="459">
        <v>3794</v>
      </c>
      <c r="I3801" s="444">
        <f t="shared" ca="1" si="173"/>
        <v>117809760387.75031</v>
      </c>
      <c r="J3801" s="444">
        <f t="array" ref="J3801">IFERROR(INDEX('Retirement Calculator'!J:J,MATCH('Isaac 401k'!N3801,'Retirement Calculator'!A:A,0),0),0)</f>
        <v>0</v>
      </c>
      <c r="K3801" s="444">
        <f t="shared" ca="1" si="171"/>
        <v>490874001.61562628</v>
      </c>
      <c r="L3801" s="444">
        <f t="shared" ca="1" si="172"/>
        <v>118300634389.36594</v>
      </c>
      <c r="M3801" s="460">
        <f t="shared" si="174"/>
        <v>0.05</v>
      </c>
      <c r="N3801" s="464">
        <f t="shared" si="175"/>
        <v>166734</v>
      </c>
    </row>
    <row r="3802" spans="7:14" ht="11.25" customHeight="1" x14ac:dyDescent="0.3">
      <c r="G3802" s="459"/>
      <c r="H3802" s="459">
        <v>3795</v>
      </c>
      <c r="I3802" s="444">
        <f t="shared" ca="1" si="173"/>
        <v>118300634389.36594</v>
      </c>
      <c r="J3802" s="444">
        <f t="array" ref="J3802">IFERROR(INDEX('Retirement Calculator'!J:J,MATCH('Isaac 401k'!N3802,'Retirement Calculator'!A:A,0),0),0)</f>
        <v>0</v>
      </c>
      <c r="K3802" s="444">
        <f t="shared" ca="1" si="171"/>
        <v>492919309.95569134</v>
      </c>
      <c r="L3802" s="444">
        <f t="shared" ca="1" si="172"/>
        <v>118793553699.32162</v>
      </c>
      <c r="M3802" s="460">
        <f t="shared" si="174"/>
        <v>0.05</v>
      </c>
      <c r="N3802" s="464">
        <f t="shared" si="175"/>
        <v>166765</v>
      </c>
    </row>
    <row r="3803" spans="7:14" ht="11.25" customHeight="1" x14ac:dyDescent="0.3">
      <c r="G3803" s="459"/>
      <c r="H3803" s="459">
        <v>3796</v>
      </c>
      <c r="I3803" s="444">
        <f t="shared" ca="1" si="173"/>
        <v>118793553699.32162</v>
      </c>
      <c r="J3803" s="444">
        <f t="array" ref="J3803">IFERROR(INDEX('Retirement Calculator'!J:J,MATCH('Isaac 401k'!N3803,'Retirement Calculator'!A:A,0),0),0)</f>
        <v>0</v>
      </c>
      <c r="K3803" s="444">
        <f t="shared" ca="1" si="171"/>
        <v>494973140.41384012</v>
      </c>
      <c r="L3803" s="444">
        <f t="shared" ca="1" si="172"/>
        <v>119288526839.73546</v>
      </c>
      <c r="M3803" s="460">
        <f t="shared" si="174"/>
        <v>0.05</v>
      </c>
      <c r="N3803" s="464">
        <f t="shared" si="175"/>
        <v>166796</v>
      </c>
    </row>
    <row r="3804" spans="7:14" ht="11.25" customHeight="1" x14ac:dyDescent="0.3">
      <c r="G3804" s="459"/>
      <c r="H3804" s="459">
        <v>3797</v>
      </c>
      <c r="I3804" s="444">
        <f t="shared" ca="1" si="173"/>
        <v>119288526839.73546</v>
      </c>
      <c r="J3804" s="444">
        <f t="array" ref="J3804">IFERROR(INDEX('Retirement Calculator'!J:J,MATCH('Isaac 401k'!N3804,'Retirement Calculator'!A:A,0),0),0)</f>
        <v>0</v>
      </c>
      <c r="K3804" s="444">
        <f t="shared" ca="1" si="171"/>
        <v>497035528.49889773</v>
      </c>
      <c r="L3804" s="444">
        <f t="shared" ca="1" si="172"/>
        <v>119785562368.23436</v>
      </c>
      <c r="M3804" s="460">
        <f t="shared" si="174"/>
        <v>0.05</v>
      </c>
      <c r="N3804" s="464">
        <f t="shared" si="175"/>
        <v>166826</v>
      </c>
    </row>
    <row r="3805" spans="7:14" ht="11.25" customHeight="1" x14ac:dyDescent="0.3">
      <c r="G3805" s="459"/>
      <c r="H3805" s="459">
        <v>3798</v>
      </c>
      <c r="I3805" s="444">
        <f t="shared" ca="1" si="173"/>
        <v>119785562368.23436</v>
      </c>
      <c r="J3805" s="444">
        <f t="array" ref="J3805">IFERROR(INDEX('Retirement Calculator'!J:J,MATCH('Isaac 401k'!N3805,'Retirement Calculator'!A:A,0),0),0)</f>
        <v>0</v>
      </c>
      <c r="K3805" s="444">
        <f t="shared" ca="1" si="171"/>
        <v>499106509.86764318</v>
      </c>
      <c r="L3805" s="444">
        <f t="shared" ca="1" si="172"/>
        <v>120284668878.10201</v>
      </c>
      <c r="M3805" s="460">
        <f t="shared" si="174"/>
        <v>0.05</v>
      </c>
      <c r="N3805" s="464">
        <f t="shared" si="175"/>
        <v>166857</v>
      </c>
    </row>
    <row r="3806" spans="7:14" ht="11.25" customHeight="1" x14ac:dyDescent="0.3">
      <c r="G3806" s="459"/>
      <c r="H3806" s="459">
        <v>3799</v>
      </c>
      <c r="I3806" s="444">
        <f t="shared" ca="1" si="173"/>
        <v>120284668878.10201</v>
      </c>
      <c r="J3806" s="444">
        <f t="array" ref="J3806">IFERROR(INDEX('Retirement Calculator'!J:J,MATCH('Isaac 401k'!N3806,'Retirement Calculator'!A:A,0),0),0)</f>
        <v>0</v>
      </c>
      <c r="K3806" s="444">
        <f t="shared" ca="1" si="171"/>
        <v>501186120.32542503</v>
      </c>
      <c r="L3806" s="444">
        <f t="shared" ca="1" si="172"/>
        <v>120785854998.42743</v>
      </c>
      <c r="M3806" s="460">
        <f t="shared" si="174"/>
        <v>0.05</v>
      </c>
      <c r="N3806" s="464">
        <f t="shared" si="175"/>
        <v>166887</v>
      </c>
    </row>
    <row r="3807" spans="7:14" ht="11.25" customHeight="1" x14ac:dyDescent="0.3">
      <c r="G3807" s="459"/>
      <c r="H3807" s="459">
        <v>3800</v>
      </c>
      <c r="I3807" s="444">
        <f t="shared" ca="1" si="173"/>
        <v>120785854998.42743</v>
      </c>
      <c r="J3807" s="444">
        <f t="array" ref="J3807">IFERROR(INDEX('Retirement Calculator'!J:J,MATCH('Isaac 401k'!N3807,'Retirement Calculator'!A:A,0),0),0)</f>
        <v>0</v>
      </c>
      <c r="K3807" s="444">
        <f t="shared" ca="1" si="171"/>
        <v>503274395.82678097</v>
      </c>
      <c r="L3807" s="444">
        <f t="shared" ca="1" si="172"/>
        <v>121289129394.25421</v>
      </c>
      <c r="M3807" s="460">
        <f t="shared" si="174"/>
        <v>0.05</v>
      </c>
      <c r="N3807" s="464">
        <f t="shared" si="175"/>
        <v>166918</v>
      </c>
    </row>
    <row r="3808" spans="7:14" ht="11.25" customHeight="1" x14ac:dyDescent="0.3">
      <c r="G3808" s="459"/>
      <c r="H3808" s="459">
        <v>3801</v>
      </c>
      <c r="I3808" s="444">
        <f t="shared" ca="1" si="173"/>
        <v>121289129394.25421</v>
      </c>
      <c r="J3808" s="444">
        <f t="array" ref="J3808">IFERROR(INDEX('Retirement Calculator'!J:J,MATCH('Isaac 401k'!N3808,'Retirement Calculator'!A:A,0),0),0)</f>
        <v>0</v>
      </c>
      <c r="K3808" s="444">
        <f t="shared" ca="1" si="171"/>
        <v>505371372.47605914</v>
      </c>
      <c r="L3808" s="444">
        <f t="shared" ca="1" si="172"/>
        <v>121794500766.73027</v>
      </c>
      <c r="M3808" s="460">
        <f t="shared" si="174"/>
        <v>0.05</v>
      </c>
      <c r="N3808" s="464">
        <f t="shared" si="175"/>
        <v>166949</v>
      </c>
    </row>
    <row r="3809" spans="7:14" ht="11.25" customHeight="1" x14ac:dyDescent="0.3">
      <c r="G3809" s="459"/>
      <c r="H3809" s="459">
        <v>3802</v>
      </c>
      <c r="I3809" s="444">
        <f t="shared" ca="1" si="173"/>
        <v>121794500766.73027</v>
      </c>
      <c r="J3809" s="444">
        <f t="array" ref="J3809">IFERROR(INDEX('Retirement Calculator'!J:J,MATCH('Isaac 401k'!N3809,'Retirement Calculator'!A:A,0),0),0)</f>
        <v>0</v>
      </c>
      <c r="K3809" s="444">
        <f t="shared" ca="1" si="171"/>
        <v>507477086.52804279</v>
      </c>
      <c r="L3809" s="444">
        <f t="shared" ca="1" si="172"/>
        <v>122301977853.25832</v>
      </c>
      <c r="M3809" s="460">
        <f t="shared" si="174"/>
        <v>0.05</v>
      </c>
      <c r="N3809" s="464">
        <f t="shared" si="175"/>
        <v>166977</v>
      </c>
    </row>
    <row r="3810" spans="7:14" ht="11.25" customHeight="1" x14ac:dyDescent="0.3">
      <c r="G3810" s="459"/>
      <c r="H3810" s="459">
        <v>3803</v>
      </c>
      <c r="I3810" s="444">
        <f t="shared" ca="1" si="173"/>
        <v>122301977853.25832</v>
      </c>
      <c r="J3810" s="444">
        <f t="array" ref="J3810">IFERROR(INDEX('Retirement Calculator'!J:J,MATCH('Isaac 401k'!N3810,'Retirement Calculator'!A:A,0),0),0)</f>
        <v>0</v>
      </c>
      <c r="K3810" s="444">
        <f t="shared" ca="1" si="171"/>
        <v>509591574.38857627</v>
      </c>
      <c r="L3810" s="444">
        <f t="shared" ca="1" si="172"/>
        <v>122811569427.6469</v>
      </c>
      <c r="M3810" s="460">
        <f t="shared" si="174"/>
        <v>0.05</v>
      </c>
      <c r="N3810" s="464">
        <f t="shared" si="175"/>
        <v>167008</v>
      </c>
    </row>
    <row r="3811" spans="7:14" ht="11.25" customHeight="1" x14ac:dyDescent="0.3">
      <c r="G3811" s="459"/>
      <c r="H3811" s="459">
        <v>3804</v>
      </c>
      <c r="I3811" s="444">
        <f t="shared" ca="1" si="173"/>
        <v>122811569427.6469</v>
      </c>
      <c r="J3811" s="444">
        <f t="array" ref="J3811">IFERROR(INDEX('Retirement Calculator'!J:J,MATCH('Isaac 401k'!N3811,'Retirement Calculator'!A:A,0),0),0)</f>
        <v>0</v>
      </c>
      <c r="K3811" s="444">
        <f t="shared" ca="1" si="171"/>
        <v>511714872.61519539</v>
      </c>
      <c r="L3811" s="444">
        <f t="shared" ca="1" si="172"/>
        <v>123323284300.26208</v>
      </c>
      <c r="M3811" s="460">
        <f t="shared" si="174"/>
        <v>0.05</v>
      </c>
      <c r="N3811" s="464">
        <f t="shared" si="175"/>
        <v>167038</v>
      </c>
    </row>
    <row r="3812" spans="7:14" ht="11.25" customHeight="1" x14ac:dyDescent="0.3">
      <c r="G3812" s="459"/>
      <c r="H3812" s="459">
        <v>3805</v>
      </c>
      <c r="I3812" s="444">
        <f t="shared" ca="1" si="173"/>
        <v>123323284300.26208</v>
      </c>
      <c r="J3812" s="444">
        <f t="array" ref="J3812">IFERROR(INDEX('Retirement Calculator'!J:J,MATCH('Isaac 401k'!N3812,'Retirement Calculator'!A:A,0),0),0)</f>
        <v>0</v>
      </c>
      <c r="K3812" s="444">
        <f t="shared" ca="1" si="171"/>
        <v>513847017.91775864</v>
      </c>
      <c r="L3812" s="444">
        <f t="shared" ca="1" si="172"/>
        <v>123837131318.17984</v>
      </c>
      <c r="M3812" s="460">
        <f t="shared" si="174"/>
        <v>0.05</v>
      </c>
      <c r="N3812" s="464">
        <f t="shared" si="175"/>
        <v>167069</v>
      </c>
    </row>
    <row r="3813" spans="7:14" ht="11.25" customHeight="1" x14ac:dyDescent="0.3">
      <c r="G3813" s="459"/>
      <c r="H3813" s="459">
        <v>3806</v>
      </c>
      <c r="I3813" s="444">
        <f t="shared" ca="1" si="173"/>
        <v>123837131318.17984</v>
      </c>
      <c r="J3813" s="444">
        <f t="array" ref="J3813">IFERROR(INDEX('Retirement Calculator'!J:J,MATCH('Isaac 401k'!N3813,'Retirement Calculator'!A:A,0),0),0)</f>
        <v>0</v>
      </c>
      <c r="K3813" s="444">
        <f t="shared" ca="1" si="171"/>
        <v>515988047.15908259</v>
      </c>
      <c r="L3813" s="444">
        <f t="shared" ca="1" si="172"/>
        <v>124353119365.33893</v>
      </c>
      <c r="M3813" s="460">
        <f t="shared" si="174"/>
        <v>0.05</v>
      </c>
      <c r="N3813" s="464">
        <f t="shared" si="175"/>
        <v>167099</v>
      </c>
    </row>
    <row r="3814" spans="7:14" ht="11.25" customHeight="1" x14ac:dyDescent="0.3">
      <c r="G3814" s="459"/>
      <c r="H3814" s="459">
        <v>3807</v>
      </c>
      <c r="I3814" s="444">
        <f t="shared" ca="1" si="173"/>
        <v>124353119365.33893</v>
      </c>
      <c r="J3814" s="444">
        <f t="array" ref="J3814">IFERROR(INDEX('Retirement Calculator'!J:J,MATCH('Isaac 401k'!N3814,'Retirement Calculator'!A:A,0),0),0)</f>
        <v>0</v>
      </c>
      <c r="K3814" s="444">
        <f t="shared" ca="1" si="171"/>
        <v>518137997.3555789</v>
      </c>
      <c r="L3814" s="444">
        <f t="shared" ca="1" si="172"/>
        <v>124871257362.6945</v>
      </c>
      <c r="M3814" s="460">
        <f t="shared" si="174"/>
        <v>0.05</v>
      </c>
      <c r="N3814" s="464">
        <f t="shared" si="175"/>
        <v>167130</v>
      </c>
    </row>
    <row r="3815" spans="7:14" ht="11.25" customHeight="1" x14ac:dyDescent="0.3">
      <c r="G3815" s="459"/>
      <c r="H3815" s="459">
        <v>3808</v>
      </c>
      <c r="I3815" s="444">
        <f t="shared" ca="1" si="173"/>
        <v>124871257362.6945</v>
      </c>
      <c r="J3815" s="444">
        <f t="array" ref="J3815">IFERROR(INDEX('Retirement Calculator'!J:J,MATCH('Isaac 401k'!N3815,'Retirement Calculator'!A:A,0),0),0)</f>
        <v>0</v>
      </c>
      <c r="K3815" s="444">
        <f t="shared" ca="1" si="171"/>
        <v>520296905.67789382</v>
      </c>
      <c r="L3815" s="444">
        <f t="shared" ca="1" si="172"/>
        <v>125391554268.37239</v>
      </c>
      <c r="M3815" s="460">
        <f t="shared" si="174"/>
        <v>0.05</v>
      </c>
      <c r="N3815" s="464">
        <f t="shared" si="175"/>
        <v>167161</v>
      </c>
    </row>
    <row r="3816" spans="7:14" ht="11.25" customHeight="1" x14ac:dyDescent="0.3">
      <c r="G3816" s="459"/>
      <c r="H3816" s="459">
        <v>3809</v>
      </c>
      <c r="I3816" s="444">
        <f t="shared" ca="1" si="173"/>
        <v>125391554268.37239</v>
      </c>
      <c r="J3816" s="444">
        <f t="array" ref="J3816">IFERROR(INDEX('Retirement Calculator'!J:J,MATCH('Isaac 401k'!N3816,'Retirement Calculator'!A:A,0),0),0)</f>
        <v>0</v>
      </c>
      <c r="K3816" s="444">
        <f t="shared" ca="1" si="171"/>
        <v>522464809.45155162</v>
      </c>
      <c r="L3816" s="444">
        <f t="shared" ca="1" si="172"/>
        <v>125914019077.82394</v>
      </c>
      <c r="M3816" s="460">
        <f t="shared" si="174"/>
        <v>0.05</v>
      </c>
      <c r="N3816" s="464">
        <f t="shared" si="175"/>
        <v>167191</v>
      </c>
    </row>
    <row r="3817" spans="7:14" ht="11.25" customHeight="1" x14ac:dyDescent="0.3">
      <c r="G3817" s="459"/>
      <c r="H3817" s="459">
        <v>3810</v>
      </c>
      <c r="I3817" s="444">
        <f t="shared" ca="1" si="173"/>
        <v>125914019077.82394</v>
      </c>
      <c r="J3817" s="444">
        <f t="array" ref="J3817">IFERROR(INDEX('Retirement Calculator'!J:J,MATCH('Isaac 401k'!N3817,'Retirement Calculator'!A:A,0),0),0)</f>
        <v>0</v>
      </c>
      <c r="K3817" s="444">
        <f t="shared" ca="1" si="171"/>
        <v>524641746.15759969</v>
      </c>
      <c r="L3817" s="444">
        <f t="shared" ca="1" si="172"/>
        <v>126438660823.98154</v>
      </c>
      <c r="M3817" s="460">
        <f t="shared" si="174"/>
        <v>0.05</v>
      </c>
      <c r="N3817" s="464">
        <f t="shared" si="175"/>
        <v>167222</v>
      </c>
    </row>
    <row r="3818" spans="7:14" ht="11.25" customHeight="1" x14ac:dyDescent="0.3">
      <c r="G3818" s="459"/>
      <c r="H3818" s="459">
        <v>3811</v>
      </c>
      <c r="I3818" s="444">
        <f t="shared" ca="1" si="173"/>
        <v>126438660823.98154</v>
      </c>
      <c r="J3818" s="444">
        <f t="array" ref="J3818">IFERROR(INDEX('Retirement Calculator'!J:J,MATCH('Isaac 401k'!N3818,'Retirement Calculator'!A:A,0),0),0)</f>
        <v>0</v>
      </c>
      <c r="K3818" s="444">
        <f t="shared" ca="1" si="171"/>
        <v>526827753.43325639</v>
      </c>
      <c r="L3818" s="444">
        <f t="shared" ca="1" si="172"/>
        <v>126965488577.41479</v>
      </c>
      <c r="M3818" s="460">
        <f t="shared" si="174"/>
        <v>0.05</v>
      </c>
      <c r="N3818" s="464">
        <f t="shared" si="175"/>
        <v>167252</v>
      </c>
    </row>
    <row r="3819" spans="7:14" ht="11.25" customHeight="1" x14ac:dyDescent="0.3">
      <c r="G3819" s="459"/>
      <c r="H3819" s="459">
        <v>3812</v>
      </c>
      <c r="I3819" s="444">
        <f t="shared" ca="1" si="173"/>
        <v>126965488577.41479</v>
      </c>
      <c r="J3819" s="444">
        <f t="array" ref="J3819">IFERROR(INDEX('Retirement Calculator'!J:J,MATCH('Isaac 401k'!N3819,'Retirement Calculator'!A:A,0),0),0)</f>
        <v>0</v>
      </c>
      <c r="K3819" s="444">
        <f t="shared" ca="1" si="171"/>
        <v>529022869.07256162</v>
      </c>
      <c r="L3819" s="444">
        <f t="shared" ca="1" si="172"/>
        <v>127494511446.48735</v>
      </c>
      <c r="M3819" s="460">
        <f t="shared" si="174"/>
        <v>0.05</v>
      </c>
      <c r="N3819" s="464">
        <f t="shared" si="175"/>
        <v>167283</v>
      </c>
    </row>
    <row r="3820" spans="7:14" ht="11.25" customHeight="1" x14ac:dyDescent="0.3">
      <c r="G3820" s="459"/>
      <c r="H3820" s="459">
        <v>3813</v>
      </c>
      <c r="I3820" s="444">
        <f t="shared" ca="1" si="173"/>
        <v>127494511446.48735</v>
      </c>
      <c r="J3820" s="444">
        <f t="array" ref="J3820">IFERROR(INDEX('Retirement Calculator'!J:J,MATCH('Isaac 401k'!N3820,'Retirement Calculator'!A:A,0),0),0)</f>
        <v>0</v>
      </c>
      <c r="K3820" s="444">
        <f t="shared" ca="1" si="171"/>
        <v>531227131.02703065</v>
      </c>
      <c r="L3820" s="444">
        <f t="shared" ca="1" si="172"/>
        <v>128025738577.51437</v>
      </c>
      <c r="M3820" s="460">
        <f t="shared" si="174"/>
        <v>0.05</v>
      </c>
      <c r="N3820" s="464">
        <f t="shared" si="175"/>
        <v>167314</v>
      </c>
    </row>
    <row r="3821" spans="7:14" ht="11.25" customHeight="1" x14ac:dyDescent="0.3">
      <c r="G3821" s="459"/>
      <c r="H3821" s="459">
        <v>3814</v>
      </c>
      <c r="I3821" s="444">
        <f t="shared" ca="1" si="173"/>
        <v>128025738577.51437</v>
      </c>
      <c r="J3821" s="444">
        <f t="array" ref="J3821">IFERROR(INDEX('Retirement Calculator'!J:J,MATCH('Isaac 401k'!N3821,'Retirement Calculator'!A:A,0),0),0)</f>
        <v>0</v>
      </c>
      <c r="K3821" s="444">
        <f t="shared" ca="1" si="171"/>
        <v>533440577.40630996</v>
      </c>
      <c r="L3821" s="444">
        <f t="shared" ca="1" si="172"/>
        <v>128559179154.92068</v>
      </c>
      <c r="M3821" s="460">
        <f t="shared" si="174"/>
        <v>0.05</v>
      </c>
      <c r="N3821" s="464">
        <f t="shared" si="175"/>
        <v>167342</v>
      </c>
    </row>
    <row r="3822" spans="7:14" ht="11.25" customHeight="1" x14ac:dyDescent="0.3">
      <c r="G3822" s="459"/>
      <c r="H3822" s="459">
        <v>3815</v>
      </c>
      <c r="I3822" s="444">
        <f t="shared" ca="1" si="173"/>
        <v>128559179154.92068</v>
      </c>
      <c r="J3822" s="444">
        <f t="array" ref="J3822">IFERROR(INDEX('Retirement Calculator'!J:J,MATCH('Isaac 401k'!N3822,'Retirement Calculator'!A:A,0),0),0)</f>
        <v>0</v>
      </c>
      <c r="K3822" s="444">
        <f t="shared" ca="1" si="171"/>
        <v>535663246.47883618</v>
      </c>
      <c r="L3822" s="444">
        <f t="shared" ca="1" si="172"/>
        <v>129094842401.39952</v>
      </c>
      <c r="M3822" s="460">
        <f t="shared" si="174"/>
        <v>0.05</v>
      </c>
      <c r="N3822" s="464">
        <f t="shared" si="175"/>
        <v>167373</v>
      </c>
    </row>
    <row r="3823" spans="7:14" ht="11.25" customHeight="1" x14ac:dyDescent="0.3">
      <c r="G3823" s="459"/>
      <c r="H3823" s="459">
        <v>3816</v>
      </c>
      <c r="I3823" s="444">
        <f t="shared" ca="1" si="173"/>
        <v>129094842401.39952</v>
      </c>
      <c r="J3823" s="444">
        <f t="array" ref="J3823">IFERROR(INDEX('Retirement Calculator'!J:J,MATCH('Isaac 401k'!N3823,'Retirement Calculator'!A:A,0),0),0)</f>
        <v>0</v>
      </c>
      <c r="K3823" s="444">
        <f t="shared" ca="1" si="171"/>
        <v>537895176.67249799</v>
      </c>
      <c r="L3823" s="444">
        <f t="shared" ca="1" si="172"/>
        <v>129632737578.07202</v>
      </c>
      <c r="M3823" s="460">
        <f t="shared" si="174"/>
        <v>0.05</v>
      </c>
      <c r="N3823" s="464">
        <f t="shared" si="175"/>
        <v>167403</v>
      </c>
    </row>
    <row r="3824" spans="7:14" ht="11.25" customHeight="1" x14ac:dyDescent="0.3">
      <c r="G3824" s="459"/>
      <c r="H3824" s="459">
        <v>3817</v>
      </c>
      <c r="I3824" s="444">
        <f t="shared" ca="1" si="173"/>
        <v>129632737578.07202</v>
      </c>
      <c r="J3824" s="444">
        <f t="array" ref="J3824">IFERROR(INDEX('Retirement Calculator'!J:J,MATCH('Isaac 401k'!N3824,'Retirement Calculator'!A:A,0),0),0)</f>
        <v>0</v>
      </c>
      <c r="K3824" s="444">
        <f t="shared" ca="1" si="171"/>
        <v>540136406.5753001</v>
      </c>
      <c r="L3824" s="444">
        <f t="shared" ca="1" si="172"/>
        <v>130172873984.64732</v>
      </c>
      <c r="M3824" s="460">
        <f t="shared" si="174"/>
        <v>0.05</v>
      </c>
      <c r="N3824" s="464">
        <f t="shared" si="175"/>
        <v>167434</v>
      </c>
    </row>
    <row r="3825" spans="7:14" ht="11.25" customHeight="1" x14ac:dyDescent="0.3">
      <c r="G3825" s="459"/>
      <c r="H3825" s="459">
        <v>3818</v>
      </c>
      <c r="I3825" s="444">
        <f t="shared" ca="1" si="173"/>
        <v>130172873984.64732</v>
      </c>
      <c r="J3825" s="444">
        <f t="array" ref="J3825">IFERROR(INDEX('Retirement Calculator'!J:J,MATCH('Isaac 401k'!N3825,'Retirement Calculator'!A:A,0),0),0)</f>
        <v>0</v>
      </c>
      <c r="K3825" s="444">
        <f t="shared" ca="1" si="171"/>
        <v>542386974.93603039</v>
      </c>
      <c r="L3825" s="444">
        <f t="shared" ca="1" si="172"/>
        <v>130715260959.58336</v>
      </c>
      <c r="M3825" s="460">
        <f t="shared" si="174"/>
        <v>0.05</v>
      </c>
      <c r="N3825" s="464">
        <f t="shared" si="175"/>
        <v>167464</v>
      </c>
    </row>
    <row r="3826" spans="7:14" ht="11.25" customHeight="1" x14ac:dyDescent="0.3">
      <c r="G3826" s="459"/>
      <c r="H3826" s="459">
        <v>3819</v>
      </c>
      <c r="I3826" s="444">
        <f t="shared" ca="1" si="173"/>
        <v>130715260959.58336</v>
      </c>
      <c r="J3826" s="444">
        <f t="array" ref="J3826">IFERROR(INDEX('Retirement Calculator'!J:J,MATCH('Isaac 401k'!N3826,'Retirement Calculator'!A:A,0),0),0)</f>
        <v>0</v>
      </c>
      <c r="K3826" s="444">
        <f t="shared" ca="1" si="171"/>
        <v>544646920.6649307</v>
      </c>
      <c r="L3826" s="444">
        <f t="shared" ca="1" si="172"/>
        <v>131259907880.24829</v>
      </c>
      <c r="M3826" s="460">
        <f t="shared" si="174"/>
        <v>0.05</v>
      </c>
      <c r="N3826" s="464">
        <f t="shared" si="175"/>
        <v>167495</v>
      </c>
    </row>
    <row r="3827" spans="7:14" ht="11.25" customHeight="1" x14ac:dyDescent="0.3">
      <c r="G3827" s="459"/>
      <c r="H3827" s="459">
        <v>3820</v>
      </c>
      <c r="I3827" s="444">
        <f t="shared" ca="1" si="173"/>
        <v>131259907880.24829</v>
      </c>
      <c r="J3827" s="444">
        <f t="array" ref="J3827">IFERROR(INDEX('Retirement Calculator'!J:J,MATCH('Isaac 401k'!N3827,'Retirement Calculator'!A:A,0),0),0)</f>
        <v>0</v>
      </c>
      <c r="K3827" s="444">
        <f t="shared" ca="1" si="171"/>
        <v>546916282.83436799</v>
      </c>
      <c r="L3827" s="444">
        <f t="shared" ca="1" si="172"/>
        <v>131806824163.08266</v>
      </c>
      <c r="M3827" s="460">
        <f t="shared" si="174"/>
        <v>0.05</v>
      </c>
      <c r="N3827" s="464">
        <f t="shared" si="175"/>
        <v>167526</v>
      </c>
    </row>
    <row r="3828" spans="7:14" ht="11.25" customHeight="1" x14ac:dyDescent="0.3">
      <c r="G3828" s="459"/>
      <c r="H3828" s="459">
        <v>3821</v>
      </c>
      <c r="I3828" s="444">
        <f t="shared" ca="1" si="173"/>
        <v>131806824163.08266</v>
      </c>
      <c r="J3828" s="444">
        <f t="array" ref="J3828">IFERROR(INDEX('Retirement Calculator'!J:J,MATCH('Isaac 401k'!N3828,'Retirement Calculator'!A:A,0),0),0)</f>
        <v>0</v>
      </c>
      <c r="K3828" s="444">
        <f t="shared" ca="1" si="171"/>
        <v>549195100.67951107</v>
      </c>
      <c r="L3828" s="444">
        <f t="shared" ca="1" si="172"/>
        <v>132356019263.76216</v>
      </c>
      <c r="M3828" s="460">
        <f t="shared" si="174"/>
        <v>0.05</v>
      </c>
      <c r="N3828" s="464">
        <f t="shared" si="175"/>
        <v>167556</v>
      </c>
    </row>
    <row r="3829" spans="7:14" ht="11.25" customHeight="1" x14ac:dyDescent="0.3">
      <c r="G3829" s="459"/>
      <c r="H3829" s="459">
        <v>3822</v>
      </c>
      <c r="I3829" s="444">
        <f t="shared" ca="1" si="173"/>
        <v>132356019263.76216</v>
      </c>
      <c r="J3829" s="444">
        <f t="array" ref="J3829">IFERROR(INDEX('Retirement Calculator'!J:J,MATCH('Isaac 401k'!N3829,'Retirement Calculator'!A:A,0),0),0)</f>
        <v>0</v>
      </c>
      <c r="K3829" s="444">
        <f t="shared" ca="1" si="171"/>
        <v>551483413.59900904</v>
      </c>
      <c r="L3829" s="444">
        <f t="shared" ca="1" si="172"/>
        <v>132907502677.36118</v>
      </c>
      <c r="M3829" s="460">
        <f t="shared" si="174"/>
        <v>0.05</v>
      </c>
      <c r="N3829" s="464">
        <f t="shared" si="175"/>
        <v>167587</v>
      </c>
    </row>
    <row r="3830" spans="7:14" ht="11.25" customHeight="1" x14ac:dyDescent="0.3">
      <c r="G3830" s="459"/>
      <c r="H3830" s="459">
        <v>3823</v>
      </c>
      <c r="I3830" s="444">
        <f t="shared" ca="1" si="173"/>
        <v>132907502677.36118</v>
      </c>
      <c r="J3830" s="444">
        <f t="array" ref="J3830">IFERROR(INDEX('Retirement Calculator'!J:J,MATCH('Isaac 401k'!N3830,'Retirement Calculator'!A:A,0),0),0)</f>
        <v>0</v>
      </c>
      <c r="K3830" s="444">
        <f t="shared" ca="1" si="171"/>
        <v>553781261.15567148</v>
      </c>
      <c r="L3830" s="444">
        <f t="shared" ca="1" si="172"/>
        <v>133461283938.51685</v>
      </c>
      <c r="M3830" s="460">
        <f t="shared" si="174"/>
        <v>0.05</v>
      </c>
      <c r="N3830" s="464">
        <f t="shared" si="175"/>
        <v>167617</v>
      </c>
    </row>
    <row r="3831" spans="7:14" ht="11.25" customHeight="1" x14ac:dyDescent="0.3">
      <c r="G3831" s="459"/>
      <c r="H3831" s="459">
        <v>3824</v>
      </c>
      <c r="I3831" s="444">
        <f t="shared" ca="1" si="173"/>
        <v>133461283938.51685</v>
      </c>
      <c r="J3831" s="444">
        <f t="array" ref="J3831">IFERROR(INDEX('Retirement Calculator'!J:J,MATCH('Isaac 401k'!N3831,'Retirement Calculator'!A:A,0),0),0)</f>
        <v>0</v>
      </c>
      <c r="K3831" s="444">
        <f t="shared" ca="1" si="171"/>
        <v>556088683.07715356</v>
      </c>
      <c r="L3831" s="444">
        <f t="shared" ca="1" si="172"/>
        <v>134017372621.59399</v>
      </c>
      <c r="M3831" s="460">
        <f t="shared" si="174"/>
        <v>0.05</v>
      </c>
      <c r="N3831" s="464">
        <f t="shared" si="175"/>
        <v>167648</v>
      </c>
    </row>
    <row r="3832" spans="7:14" ht="11.25" customHeight="1" x14ac:dyDescent="0.3">
      <c r="G3832" s="459"/>
      <c r="H3832" s="459">
        <v>3825</v>
      </c>
      <c r="I3832" s="444">
        <f t="shared" ca="1" si="173"/>
        <v>134017372621.59399</v>
      </c>
      <c r="J3832" s="444">
        <f t="array" ref="J3832">IFERROR(INDEX('Retirement Calculator'!J:J,MATCH('Isaac 401k'!N3832,'Retirement Calculator'!A:A,0),0),0)</f>
        <v>0</v>
      </c>
      <c r="K3832" s="444">
        <f t="shared" ca="1" si="171"/>
        <v>558405719.25664163</v>
      </c>
      <c r="L3832" s="444">
        <f t="shared" ca="1" si="172"/>
        <v>134575778340.85063</v>
      </c>
      <c r="M3832" s="460">
        <f t="shared" si="174"/>
        <v>0.05</v>
      </c>
      <c r="N3832" s="464">
        <f t="shared" si="175"/>
        <v>167679</v>
      </c>
    </row>
    <row r="3833" spans="7:14" ht="11.25" customHeight="1" x14ac:dyDescent="0.3">
      <c r="G3833" s="459"/>
      <c r="H3833" s="459">
        <v>3826</v>
      </c>
      <c r="I3833" s="444">
        <f t="shared" ca="1" si="173"/>
        <v>134575778340.85063</v>
      </c>
      <c r="J3833" s="444">
        <f t="array" ref="J3833">IFERROR(INDEX('Retirement Calculator'!J:J,MATCH('Isaac 401k'!N3833,'Retirement Calculator'!A:A,0),0),0)</f>
        <v>0</v>
      </c>
      <c r="K3833" s="444">
        <f t="shared" ref="K3833:K4087" ca="1" si="176">IPMT(M3833/12,1,12,-I3833+J3833,,0)</f>
        <v>560732409.75354433</v>
      </c>
      <c r="L3833" s="444">
        <f t="shared" ref="L3833:L4087" ca="1" si="177">I3833-J3833+K3833</f>
        <v>135136510750.60417</v>
      </c>
      <c r="M3833" s="460">
        <f t="shared" si="174"/>
        <v>0.05</v>
      </c>
      <c r="N3833" s="464">
        <f t="shared" si="175"/>
        <v>167707</v>
      </c>
    </row>
    <row r="3834" spans="7:14" ht="11.25" customHeight="1" x14ac:dyDescent="0.3">
      <c r="G3834" s="459"/>
      <c r="H3834" s="459">
        <v>3827</v>
      </c>
      <c r="I3834" s="444">
        <f t="shared" ref="I3834:I4088" ca="1" si="178">L3833</f>
        <v>135136510750.60417</v>
      </c>
      <c r="J3834" s="444">
        <f t="array" ref="J3834">IFERROR(INDEX('Retirement Calculator'!J:J,MATCH('Isaac 401k'!N3834,'Retirement Calculator'!A:A,0),0),0)</f>
        <v>0</v>
      </c>
      <c r="K3834" s="444">
        <f t="shared" ca="1" si="176"/>
        <v>563068794.79418409</v>
      </c>
      <c r="L3834" s="444">
        <f t="shared" ca="1" si="177"/>
        <v>135699579545.39836</v>
      </c>
      <c r="M3834" s="460">
        <f t="shared" ref="M3834:M4088" si="179">M3833</f>
        <v>0.05</v>
      </c>
      <c r="N3834" s="464">
        <f t="shared" ref="N3834:N4088" si="180">EDATE(N3833,1)</f>
        <v>167738</v>
      </c>
    </row>
    <row r="3835" spans="7:14" ht="11.25" customHeight="1" x14ac:dyDescent="0.3">
      <c r="G3835" s="459"/>
      <c r="H3835" s="459">
        <v>3828</v>
      </c>
      <c r="I3835" s="444">
        <f t="shared" ca="1" si="178"/>
        <v>135699579545.39836</v>
      </c>
      <c r="J3835" s="444">
        <f t="array" ref="J3835">IFERROR(INDEX('Retirement Calculator'!J:J,MATCH('Isaac 401k'!N3835,'Retirement Calculator'!A:A,0),0),0)</f>
        <v>0</v>
      </c>
      <c r="K3835" s="444">
        <f t="shared" ca="1" si="176"/>
        <v>565414914.77249312</v>
      </c>
      <c r="L3835" s="444">
        <f t="shared" ca="1" si="177"/>
        <v>136264994460.17085</v>
      </c>
      <c r="M3835" s="460">
        <f t="shared" si="179"/>
        <v>0.05</v>
      </c>
      <c r="N3835" s="464">
        <f t="shared" si="180"/>
        <v>167768</v>
      </c>
    </row>
    <row r="3836" spans="7:14" ht="11.25" customHeight="1" x14ac:dyDescent="0.3">
      <c r="G3836" s="459"/>
      <c r="H3836" s="459">
        <v>3829</v>
      </c>
      <c r="I3836" s="444">
        <f t="shared" ca="1" si="178"/>
        <v>136264994460.17085</v>
      </c>
      <c r="J3836" s="444">
        <f t="array" ref="J3836">IFERROR(INDEX('Retirement Calculator'!J:J,MATCH('Isaac 401k'!N3836,'Retirement Calculator'!A:A,0),0),0)</f>
        <v>0</v>
      </c>
      <c r="K3836" s="444">
        <f t="shared" ca="1" si="176"/>
        <v>567770810.25071192</v>
      </c>
      <c r="L3836" s="444">
        <f t="shared" ca="1" si="177"/>
        <v>136832765270.42157</v>
      </c>
      <c r="M3836" s="460">
        <f t="shared" si="179"/>
        <v>0.05</v>
      </c>
      <c r="N3836" s="464">
        <f t="shared" si="180"/>
        <v>167799</v>
      </c>
    </row>
    <row r="3837" spans="7:14" ht="11.25" customHeight="1" x14ac:dyDescent="0.3">
      <c r="G3837" s="459"/>
      <c r="H3837" s="459">
        <v>3830</v>
      </c>
      <c r="I3837" s="444">
        <f t="shared" ca="1" si="178"/>
        <v>136832765270.42157</v>
      </c>
      <c r="J3837" s="444">
        <f t="array" ref="J3837">IFERROR(INDEX('Retirement Calculator'!J:J,MATCH('Isaac 401k'!N3837,'Retirement Calculator'!A:A,0),0),0)</f>
        <v>0</v>
      </c>
      <c r="K3837" s="444">
        <f t="shared" ca="1" si="176"/>
        <v>570136521.96008992</v>
      </c>
      <c r="L3837" s="444">
        <f t="shared" ca="1" si="177"/>
        <v>137402901792.38165</v>
      </c>
      <c r="M3837" s="460">
        <f t="shared" si="179"/>
        <v>0.05</v>
      </c>
      <c r="N3837" s="464">
        <f t="shared" si="180"/>
        <v>167829</v>
      </c>
    </row>
    <row r="3838" spans="7:14" ht="11.25" customHeight="1" x14ac:dyDescent="0.3">
      <c r="G3838" s="459"/>
      <c r="H3838" s="459">
        <v>3831</v>
      </c>
      <c r="I3838" s="444">
        <f t="shared" ca="1" si="178"/>
        <v>137402901792.38165</v>
      </c>
      <c r="J3838" s="444">
        <f t="array" ref="J3838">IFERROR(INDEX('Retirement Calculator'!J:J,MATCH('Isaac 401k'!N3838,'Retirement Calculator'!A:A,0),0),0)</f>
        <v>0</v>
      </c>
      <c r="K3838" s="444">
        <f t="shared" ca="1" si="176"/>
        <v>572512090.80159032</v>
      </c>
      <c r="L3838" s="444">
        <f t="shared" ca="1" si="177"/>
        <v>137975413883.18326</v>
      </c>
      <c r="M3838" s="460">
        <f t="shared" si="179"/>
        <v>0.05</v>
      </c>
      <c r="N3838" s="464">
        <f t="shared" si="180"/>
        <v>167860</v>
      </c>
    </row>
    <row r="3839" spans="7:14" ht="11.25" customHeight="1" x14ac:dyDescent="0.3">
      <c r="G3839" s="459"/>
      <c r="H3839" s="459">
        <v>3832</v>
      </c>
      <c r="I3839" s="444">
        <f t="shared" ca="1" si="178"/>
        <v>137975413883.18326</v>
      </c>
      <c r="J3839" s="444">
        <f t="array" ref="J3839">IFERROR(INDEX('Retirement Calculator'!J:J,MATCH('Isaac 401k'!N3839,'Retirement Calculator'!A:A,0),0),0)</f>
        <v>0</v>
      </c>
      <c r="K3839" s="444">
        <f t="shared" ca="1" si="176"/>
        <v>574897557.84659696</v>
      </c>
      <c r="L3839" s="444">
        <f t="shared" ca="1" si="177"/>
        <v>138550311441.02985</v>
      </c>
      <c r="M3839" s="460">
        <f t="shared" si="179"/>
        <v>0.05</v>
      </c>
      <c r="N3839" s="464">
        <f t="shared" si="180"/>
        <v>167891</v>
      </c>
    </row>
    <row r="3840" spans="7:14" ht="11.25" customHeight="1" x14ac:dyDescent="0.3">
      <c r="G3840" s="459"/>
      <c r="H3840" s="459">
        <v>3833</v>
      </c>
      <c r="I3840" s="444">
        <f t="shared" ca="1" si="178"/>
        <v>138550311441.02985</v>
      </c>
      <c r="J3840" s="444">
        <f t="array" ref="J3840">IFERROR(INDEX('Retirement Calculator'!J:J,MATCH('Isaac 401k'!N3840,'Retirement Calculator'!A:A,0),0),0)</f>
        <v>0</v>
      </c>
      <c r="K3840" s="444">
        <f t="shared" ca="1" si="176"/>
        <v>577292964.33762431</v>
      </c>
      <c r="L3840" s="444">
        <f t="shared" ca="1" si="177"/>
        <v>139127604405.36746</v>
      </c>
      <c r="M3840" s="460">
        <f t="shared" si="179"/>
        <v>0.05</v>
      </c>
      <c r="N3840" s="464">
        <f t="shared" si="180"/>
        <v>167921</v>
      </c>
    </row>
    <row r="3841" spans="7:14" ht="11.25" customHeight="1" x14ac:dyDescent="0.3">
      <c r="G3841" s="459"/>
      <c r="H3841" s="459">
        <v>3834</v>
      </c>
      <c r="I3841" s="444">
        <f t="shared" ca="1" si="178"/>
        <v>139127604405.36746</v>
      </c>
      <c r="J3841" s="444">
        <f t="array" ref="J3841">IFERROR(INDEX('Retirement Calculator'!J:J,MATCH('Isaac 401k'!N3841,'Retirement Calculator'!A:A,0),0),0)</f>
        <v>0</v>
      </c>
      <c r="K3841" s="444">
        <f t="shared" ca="1" si="176"/>
        <v>579698351.68903112</v>
      </c>
      <c r="L3841" s="444">
        <f t="shared" ca="1" si="177"/>
        <v>139707302757.05649</v>
      </c>
      <c r="M3841" s="460">
        <f t="shared" si="179"/>
        <v>0.05</v>
      </c>
      <c r="N3841" s="464">
        <f t="shared" si="180"/>
        <v>167952</v>
      </c>
    </row>
    <row r="3842" spans="7:14" ht="11.25" customHeight="1" x14ac:dyDescent="0.3">
      <c r="G3842" s="459"/>
      <c r="H3842" s="459">
        <v>3835</v>
      </c>
      <c r="I3842" s="444">
        <f t="shared" ca="1" si="178"/>
        <v>139707302757.05649</v>
      </c>
      <c r="J3842" s="444">
        <f t="array" ref="J3842">IFERROR(INDEX('Retirement Calculator'!J:J,MATCH('Isaac 401k'!N3842,'Retirement Calculator'!A:A,0),0),0)</f>
        <v>0</v>
      </c>
      <c r="K3842" s="444">
        <f t="shared" ca="1" si="176"/>
        <v>582113761.48773539</v>
      </c>
      <c r="L3842" s="444">
        <f t="shared" ca="1" si="177"/>
        <v>140289416518.54422</v>
      </c>
      <c r="M3842" s="460">
        <f t="shared" si="179"/>
        <v>0.05</v>
      </c>
      <c r="N3842" s="464">
        <f t="shared" si="180"/>
        <v>167982</v>
      </c>
    </row>
    <row r="3843" spans="7:14" ht="11.25" customHeight="1" x14ac:dyDescent="0.3">
      <c r="G3843" s="459"/>
      <c r="H3843" s="459">
        <v>3836</v>
      </c>
      <c r="I3843" s="444">
        <f t="shared" ca="1" si="178"/>
        <v>140289416518.54422</v>
      </c>
      <c r="J3843" s="444">
        <f t="array" ref="J3843">IFERROR(INDEX('Retirement Calculator'!J:J,MATCH('Isaac 401k'!N3843,'Retirement Calculator'!A:A,0),0),0)</f>
        <v>0</v>
      </c>
      <c r="K3843" s="444">
        <f t="shared" ca="1" si="176"/>
        <v>584539235.49393427</v>
      </c>
      <c r="L3843" s="444">
        <f t="shared" ca="1" si="177"/>
        <v>140873955754.03815</v>
      </c>
      <c r="M3843" s="460">
        <f t="shared" si="179"/>
        <v>0.05</v>
      </c>
      <c r="N3843" s="464">
        <f t="shared" si="180"/>
        <v>168013</v>
      </c>
    </row>
    <row r="3844" spans="7:14" ht="11.25" customHeight="1" x14ac:dyDescent="0.3">
      <c r="G3844" s="459"/>
      <c r="H3844" s="459">
        <v>3837</v>
      </c>
      <c r="I3844" s="444">
        <f t="shared" ca="1" si="178"/>
        <v>140873955754.03815</v>
      </c>
      <c r="J3844" s="444">
        <f t="array" ref="J3844">IFERROR(INDEX('Retirement Calculator'!J:J,MATCH('Isaac 401k'!N3844,'Retirement Calculator'!A:A,0),0),0)</f>
        <v>0</v>
      </c>
      <c r="K3844" s="444">
        <f t="shared" ca="1" si="176"/>
        <v>586974815.64182556</v>
      </c>
      <c r="L3844" s="444">
        <f t="shared" ca="1" si="177"/>
        <v>141460930569.67996</v>
      </c>
      <c r="M3844" s="460">
        <f t="shared" si="179"/>
        <v>0.05</v>
      </c>
      <c r="N3844" s="464">
        <f t="shared" si="180"/>
        <v>168044</v>
      </c>
    </row>
    <row r="3845" spans="7:14" ht="11.25" customHeight="1" x14ac:dyDescent="0.3">
      <c r="G3845" s="459"/>
      <c r="H3845" s="459">
        <v>3838</v>
      </c>
      <c r="I3845" s="444">
        <f t="shared" ca="1" si="178"/>
        <v>141460930569.67996</v>
      </c>
      <c r="J3845" s="444">
        <f t="array" ref="J3845">IFERROR(INDEX('Retirement Calculator'!J:J,MATCH('Isaac 401k'!N3845,'Retirement Calculator'!A:A,0),0),0)</f>
        <v>0</v>
      </c>
      <c r="K3845" s="444">
        <f t="shared" ca="1" si="176"/>
        <v>589420544.04033315</v>
      </c>
      <c r="L3845" s="444">
        <f t="shared" ca="1" si="177"/>
        <v>142050351113.72031</v>
      </c>
      <c r="M3845" s="460">
        <f t="shared" si="179"/>
        <v>0.05</v>
      </c>
      <c r="N3845" s="464">
        <f t="shared" si="180"/>
        <v>168073</v>
      </c>
    </row>
    <row r="3846" spans="7:14" ht="11.25" customHeight="1" x14ac:dyDescent="0.3">
      <c r="G3846" s="459"/>
      <c r="H3846" s="459">
        <v>3839</v>
      </c>
      <c r="I3846" s="444">
        <f t="shared" ca="1" si="178"/>
        <v>142050351113.72031</v>
      </c>
      <c r="J3846" s="444">
        <f t="array" ref="J3846">IFERROR(INDEX('Retirement Calculator'!J:J,MATCH('Isaac 401k'!N3846,'Retirement Calculator'!A:A,0),0),0)</f>
        <v>0</v>
      </c>
      <c r="K3846" s="444">
        <f t="shared" ca="1" si="176"/>
        <v>591876462.97383463</v>
      </c>
      <c r="L3846" s="444">
        <f t="shared" ca="1" si="177"/>
        <v>142642227576.69415</v>
      </c>
      <c r="M3846" s="460">
        <f t="shared" si="179"/>
        <v>0.05</v>
      </c>
      <c r="N3846" s="464">
        <f t="shared" si="180"/>
        <v>168104</v>
      </c>
    </row>
    <row r="3847" spans="7:14" ht="11.25" customHeight="1" x14ac:dyDescent="0.3">
      <c r="G3847" s="459"/>
      <c r="H3847" s="459">
        <v>3840</v>
      </c>
      <c r="I3847" s="444">
        <f t="shared" ca="1" si="178"/>
        <v>142642227576.69415</v>
      </c>
      <c r="J3847" s="444">
        <f t="array" ref="J3847">IFERROR(INDEX('Retirement Calculator'!J:J,MATCH('Isaac 401k'!N3847,'Retirement Calculator'!A:A,0),0),0)</f>
        <v>0</v>
      </c>
      <c r="K3847" s="444">
        <f t="shared" ca="1" si="176"/>
        <v>594342614.90289235</v>
      </c>
      <c r="L3847" s="444">
        <f t="shared" ca="1" si="177"/>
        <v>143236570191.59705</v>
      </c>
      <c r="M3847" s="460">
        <f t="shared" si="179"/>
        <v>0.05</v>
      </c>
      <c r="N3847" s="464">
        <f t="shared" si="180"/>
        <v>168134</v>
      </c>
    </row>
    <row r="3848" spans="7:14" ht="11.25" customHeight="1" x14ac:dyDescent="0.3">
      <c r="G3848" s="459"/>
      <c r="H3848" s="459">
        <v>3841</v>
      </c>
      <c r="I3848" s="444">
        <f t="shared" ca="1" si="178"/>
        <v>143236570191.59705</v>
      </c>
      <c r="J3848" s="444">
        <f t="array" ref="J3848">IFERROR(INDEX('Retirement Calculator'!J:J,MATCH('Isaac 401k'!N3848,'Retirement Calculator'!A:A,0),0),0)</f>
        <v>0</v>
      </c>
      <c r="K3848" s="444">
        <f t="shared" ca="1" si="176"/>
        <v>596819042.46498764</v>
      </c>
      <c r="L3848" s="444">
        <f t="shared" ca="1" si="177"/>
        <v>143833389234.06204</v>
      </c>
      <c r="M3848" s="460">
        <f t="shared" si="179"/>
        <v>0.05</v>
      </c>
      <c r="N3848" s="464">
        <f t="shared" si="180"/>
        <v>168165</v>
      </c>
    </row>
    <row r="3849" spans="7:14" ht="11.25" customHeight="1" x14ac:dyDescent="0.3">
      <c r="G3849" s="459"/>
      <c r="H3849" s="459">
        <v>3842</v>
      </c>
      <c r="I3849" s="444">
        <f t="shared" ca="1" si="178"/>
        <v>143833389234.06204</v>
      </c>
      <c r="J3849" s="444">
        <f t="array" ref="J3849">IFERROR(INDEX('Retirement Calculator'!J:J,MATCH('Isaac 401k'!N3849,'Retirement Calculator'!A:A,0),0),0)</f>
        <v>0</v>
      </c>
      <c r="K3849" s="444">
        <f t="shared" ca="1" si="176"/>
        <v>599305788.47525847</v>
      </c>
      <c r="L3849" s="444">
        <f t="shared" ca="1" si="177"/>
        <v>144432695022.53729</v>
      </c>
      <c r="M3849" s="460">
        <f t="shared" si="179"/>
        <v>0.05</v>
      </c>
      <c r="N3849" s="464">
        <f t="shared" si="180"/>
        <v>168195</v>
      </c>
    </row>
    <row r="3850" spans="7:14" ht="11.25" customHeight="1" x14ac:dyDescent="0.3">
      <c r="G3850" s="459"/>
      <c r="H3850" s="459">
        <v>3843</v>
      </c>
      <c r="I3850" s="444">
        <f t="shared" ca="1" si="178"/>
        <v>144432695022.53729</v>
      </c>
      <c r="J3850" s="444">
        <f t="array" ref="J3850">IFERROR(INDEX('Retirement Calculator'!J:J,MATCH('Isaac 401k'!N3850,'Retirement Calculator'!A:A,0),0),0)</f>
        <v>0</v>
      </c>
      <c r="K3850" s="444">
        <f t="shared" ca="1" si="176"/>
        <v>601802895.9272387</v>
      </c>
      <c r="L3850" s="444">
        <f t="shared" ca="1" si="177"/>
        <v>145034497918.46454</v>
      </c>
      <c r="M3850" s="460">
        <f t="shared" si="179"/>
        <v>0.05</v>
      </c>
      <c r="N3850" s="464">
        <f t="shared" si="180"/>
        <v>168226</v>
      </c>
    </row>
    <row r="3851" spans="7:14" ht="11.25" customHeight="1" x14ac:dyDescent="0.3">
      <c r="G3851" s="459"/>
      <c r="H3851" s="459">
        <v>3844</v>
      </c>
      <c r="I3851" s="444">
        <f t="shared" ca="1" si="178"/>
        <v>145034497918.46454</v>
      </c>
      <c r="J3851" s="444">
        <f t="array" ref="J3851">IFERROR(INDEX('Retirement Calculator'!J:J,MATCH('Isaac 401k'!N3851,'Retirement Calculator'!A:A,0),0),0)</f>
        <v>0</v>
      </c>
      <c r="K3851" s="444">
        <f t="shared" ca="1" si="176"/>
        <v>604310407.99360228</v>
      </c>
      <c r="L3851" s="444">
        <f t="shared" ca="1" si="177"/>
        <v>145638808326.45813</v>
      </c>
      <c r="M3851" s="460">
        <f t="shared" si="179"/>
        <v>0.05</v>
      </c>
      <c r="N3851" s="464">
        <f t="shared" si="180"/>
        <v>168257</v>
      </c>
    </row>
    <row r="3852" spans="7:14" ht="11.25" customHeight="1" x14ac:dyDescent="0.3">
      <c r="G3852" s="459"/>
      <c r="H3852" s="459">
        <v>3845</v>
      </c>
      <c r="I3852" s="444">
        <f t="shared" ca="1" si="178"/>
        <v>145638808326.45813</v>
      </c>
      <c r="J3852" s="444">
        <f t="array" ref="J3852">IFERROR(INDEX('Retirement Calculator'!J:J,MATCH('Isaac 401k'!N3852,'Retirement Calculator'!A:A,0),0),0)</f>
        <v>0</v>
      </c>
      <c r="K3852" s="444">
        <f t="shared" ca="1" si="176"/>
        <v>606828368.02690887</v>
      </c>
      <c r="L3852" s="444">
        <f t="shared" ca="1" si="177"/>
        <v>146245636694.48505</v>
      </c>
      <c r="M3852" s="460">
        <f t="shared" si="179"/>
        <v>0.05</v>
      </c>
      <c r="N3852" s="464">
        <f t="shared" si="180"/>
        <v>168287</v>
      </c>
    </row>
    <row r="3853" spans="7:14" ht="11.25" customHeight="1" x14ac:dyDescent="0.3">
      <c r="G3853" s="459"/>
      <c r="H3853" s="459">
        <v>3846</v>
      </c>
      <c r="I3853" s="444">
        <f t="shared" ca="1" si="178"/>
        <v>146245636694.48505</v>
      </c>
      <c r="J3853" s="444">
        <f t="array" ref="J3853">IFERROR(INDEX('Retirement Calculator'!J:J,MATCH('Isaac 401k'!N3853,'Retirement Calculator'!A:A,0),0),0)</f>
        <v>0</v>
      </c>
      <c r="K3853" s="444">
        <f t="shared" ca="1" si="176"/>
        <v>609356819.56035435</v>
      </c>
      <c r="L3853" s="444">
        <f t="shared" ca="1" si="177"/>
        <v>146854993514.04541</v>
      </c>
      <c r="M3853" s="460">
        <f t="shared" si="179"/>
        <v>0.05</v>
      </c>
      <c r="N3853" s="464">
        <f t="shared" si="180"/>
        <v>168318</v>
      </c>
    </row>
    <row r="3854" spans="7:14" ht="11.25" customHeight="1" x14ac:dyDescent="0.3">
      <c r="G3854" s="459"/>
      <c r="H3854" s="459">
        <v>3847</v>
      </c>
      <c r="I3854" s="444">
        <f t="shared" ca="1" si="178"/>
        <v>146854993514.04541</v>
      </c>
      <c r="J3854" s="444">
        <f t="array" ref="J3854">IFERROR(INDEX('Retirement Calculator'!J:J,MATCH('Isaac 401k'!N3854,'Retirement Calculator'!A:A,0),0),0)</f>
        <v>0</v>
      </c>
      <c r="K3854" s="444">
        <f t="shared" ca="1" si="176"/>
        <v>611895806.30852258</v>
      </c>
      <c r="L3854" s="444">
        <f t="shared" ca="1" si="177"/>
        <v>147466889320.35394</v>
      </c>
      <c r="M3854" s="460">
        <f t="shared" si="179"/>
        <v>0.05</v>
      </c>
      <c r="N3854" s="464">
        <f t="shared" si="180"/>
        <v>168348</v>
      </c>
    </row>
    <row r="3855" spans="7:14" ht="11.25" customHeight="1" x14ac:dyDescent="0.3">
      <c r="G3855" s="459"/>
      <c r="H3855" s="459">
        <v>3848</v>
      </c>
      <c r="I3855" s="444">
        <f t="shared" ca="1" si="178"/>
        <v>147466889320.35394</v>
      </c>
      <c r="J3855" s="444">
        <f t="array" ref="J3855">IFERROR(INDEX('Retirement Calculator'!J:J,MATCH('Isaac 401k'!N3855,'Retirement Calculator'!A:A,0),0),0)</f>
        <v>0</v>
      </c>
      <c r="K3855" s="444">
        <f t="shared" ca="1" si="176"/>
        <v>614445372.16814137</v>
      </c>
      <c r="L3855" s="444">
        <f t="shared" ca="1" si="177"/>
        <v>148081334692.52209</v>
      </c>
      <c r="M3855" s="460">
        <f t="shared" si="179"/>
        <v>0.05</v>
      </c>
      <c r="N3855" s="464">
        <f t="shared" si="180"/>
        <v>168379</v>
      </c>
    </row>
    <row r="3856" spans="7:14" ht="11.25" customHeight="1" x14ac:dyDescent="0.3">
      <c r="G3856" s="459"/>
      <c r="H3856" s="459">
        <v>3849</v>
      </c>
      <c r="I3856" s="444">
        <f t="shared" ca="1" si="178"/>
        <v>148081334692.52209</v>
      </c>
      <c r="J3856" s="444">
        <f t="array" ref="J3856">IFERROR(INDEX('Retirement Calculator'!J:J,MATCH('Isaac 401k'!N3856,'Retirement Calculator'!A:A,0),0),0)</f>
        <v>0</v>
      </c>
      <c r="K3856" s="444">
        <f t="shared" ca="1" si="176"/>
        <v>617005561.21884203</v>
      </c>
      <c r="L3856" s="444">
        <f t="shared" ca="1" si="177"/>
        <v>148698340253.74094</v>
      </c>
      <c r="M3856" s="460">
        <f t="shared" si="179"/>
        <v>0.05</v>
      </c>
      <c r="N3856" s="464">
        <f t="shared" si="180"/>
        <v>168410</v>
      </c>
    </row>
    <row r="3857" spans="7:14" ht="11.25" customHeight="1" x14ac:dyDescent="0.3">
      <c r="G3857" s="459"/>
      <c r="H3857" s="459">
        <v>3850</v>
      </c>
      <c r="I3857" s="444">
        <f t="shared" ca="1" si="178"/>
        <v>148698340253.74094</v>
      </c>
      <c r="J3857" s="444">
        <f t="array" ref="J3857">IFERROR(INDEX('Retirement Calculator'!J:J,MATCH('Isaac 401k'!N3857,'Retirement Calculator'!A:A,0),0),0)</f>
        <v>0</v>
      </c>
      <c r="K3857" s="444">
        <f t="shared" ca="1" si="176"/>
        <v>619576417.72392058</v>
      </c>
      <c r="L3857" s="444">
        <f t="shared" ca="1" si="177"/>
        <v>149317916671.46484</v>
      </c>
      <c r="M3857" s="460">
        <f t="shared" si="179"/>
        <v>0.05</v>
      </c>
      <c r="N3857" s="464">
        <f t="shared" si="180"/>
        <v>168438</v>
      </c>
    </row>
    <row r="3858" spans="7:14" ht="11.25" customHeight="1" x14ac:dyDescent="0.3">
      <c r="G3858" s="459"/>
      <c r="H3858" s="459">
        <v>3851</v>
      </c>
      <c r="I3858" s="444">
        <f t="shared" ca="1" si="178"/>
        <v>149317916671.46484</v>
      </c>
      <c r="J3858" s="444">
        <f t="array" ref="J3858">IFERROR(INDEX('Retirement Calculator'!J:J,MATCH('Isaac 401k'!N3858,'Retirement Calculator'!A:A,0),0),0)</f>
        <v>0</v>
      </c>
      <c r="K3858" s="444">
        <f t="shared" ca="1" si="176"/>
        <v>622157986.13110352</v>
      </c>
      <c r="L3858" s="444">
        <f t="shared" ca="1" si="177"/>
        <v>149940074657.59595</v>
      </c>
      <c r="M3858" s="460">
        <f t="shared" si="179"/>
        <v>0.05</v>
      </c>
      <c r="N3858" s="464">
        <f t="shared" si="180"/>
        <v>168469</v>
      </c>
    </row>
    <row r="3859" spans="7:14" ht="11.25" customHeight="1" x14ac:dyDescent="0.3">
      <c r="G3859" s="459"/>
      <c r="H3859" s="459">
        <v>3852</v>
      </c>
      <c r="I3859" s="444">
        <f t="shared" ca="1" si="178"/>
        <v>149940074657.59595</v>
      </c>
      <c r="J3859" s="444">
        <f t="array" ref="J3859">IFERROR(INDEX('Retirement Calculator'!J:J,MATCH('Isaac 401k'!N3859,'Retirement Calculator'!A:A,0),0),0)</f>
        <v>0</v>
      </c>
      <c r="K3859" s="444">
        <f t="shared" ca="1" si="176"/>
        <v>624750311.07331645</v>
      </c>
      <c r="L3859" s="444">
        <f t="shared" ca="1" si="177"/>
        <v>150564824968.66925</v>
      </c>
      <c r="M3859" s="460">
        <f t="shared" si="179"/>
        <v>0.05</v>
      </c>
      <c r="N3859" s="464">
        <f t="shared" si="180"/>
        <v>168499</v>
      </c>
    </row>
    <row r="3860" spans="7:14" ht="11.25" customHeight="1" x14ac:dyDescent="0.3">
      <c r="G3860" s="459"/>
      <c r="H3860" s="459">
        <v>3853</v>
      </c>
      <c r="I3860" s="444">
        <f t="shared" ca="1" si="178"/>
        <v>150564824968.66925</v>
      </c>
      <c r="J3860" s="444">
        <f t="array" ref="J3860">IFERROR(INDEX('Retirement Calculator'!J:J,MATCH('Isaac 401k'!N3860,'Retirement Calculator'!A:A,0),0),0)</f>
        <v>0</v>
      </c>
      <c r="K3860" s="444">
        <f t="shared" ca="1" si="176"/>
        <v>627353437.36945522</v>
      </c>
      <c r="L3860" s="444">
        <f t="shared" ca="1" si="177"/>
        <v>151192178406.0387</v>
      </c>
      <c r="M3860" s="460">
        <f t="shared" si="179"/>
        <v>0.05</v>
      </c>
      <c r="N3860" s="464">
        <f t="shared" si="180"/>
        <v>168530</v>
      </c>
    </row>
    <row r="3861" spans="7:14" ht="11.25" customHeight="1" x14ac:dyDescent="0.3">
      <c r="G3861" s="459"/>
      <c r="H3861" s="459">
        <v>3854</v>
      </c>
      <c r="I3861" s="444">
        <f t="shared" ca="1" si="178"/>
        <v>151192178406.0387</v>
      </c>
      <c r="J3861" s="444">
        <f t="array" ref="J3861">IFERROR(INDEX('Retirement Calculator'!J:J,MATCH('Isaac 401k'!N3861,'Retirement Calculator'!A:A,0),0),0)</f>
        <v>0</v>
      </c>
      <c r="K3861" s="444">
        <f t="shared" ca="1" si="176"/>
        <v>629967410.02516127</v>
      </c>
      <c r="L3861" s="444">
        <f t="shared" ca="1" si="177"/>
        <v>151822145816.06384</v>
      </c>
      <c r="M3861" s="460">
        <f t="shared" si="179"/>
        <v>0.05</v>
      </c>
      <c r="N3861" s="464">
        <f t="shared" si="180"/>
        <v>168560</v>
      </c>
    </row>
    <row r="3862" spans="7:14" ht="11.25" customHeight="1" x14ac:dyDescent="0.3">
      <c r="G3862" s="459"/>
      <c r="H3862" s="459">
        <v>3855</v>
      </c>
      <c r="I3862" s="444">
        <f t="shared" ca="1" si="178"/>
        <v>151822145816.06384</v>
      </c>
      <c r="J3862" s="444">
        <f t="array" ref="J3862">IFERROR(INDEX('Retirement Calculator'!J:J,MATCH('Isaac 401k'!N3862,'Retirement Calculator'!A:A,0),0),0)</f>
        <v>0</v>
      </c>
      <c r="K3862" s="444">
        <f t="shared" ca="1" si="176"/>
        <v>632592274.23359931</v>
      </c>
      <c r="L3862" s="444">
        <f t="shared" ca="1" si="177"/>
        <v>152454738090.29745</v>
      </c>
      <c r="M3862" s="460">
        <f t="shared" si="179"/>
        <v>0.05</v>
      </c>
      <c r="N3862" s="464">
        <f t="shared" si="180"/>
        <v>168591</v>
      </c>
    </row>
    <row r="3863" spans="7:14" ht="11.25" customHeight="1" x14ac:dyDescent="0.3">
      <c r="G3863" s="459"/>
      <c r="H3863" s="459">
        <v>3856</v>
      </c>
      <c r="I3863" s="444">
        <f t="shared" ca="1" si="178"/>
        <v>152454738090.29745</v>
      </c>
      <c r="J3863" s="444">
        <f t="array" ref="J3863">IFERROR(INDEX('Retirement Calculator'!J:J,MATCH('Isaac 401k'!N3863,'Retirement Calculator'!A:A,0),0),0)</f>
        <v>0</v>
      </c>
      <c r="K3863" s="444">
        <f t="shared" ca="1" si="176"/>
        <v>635228075.37623942</v>
      </c>
      <c r="L3863" s="444">
        <f t="shared" ca="1" si="177"/>
        <v>153089966165.67371</v>
      </c>
      <c r="M3863" s="460">
        <f t="shared" si="179"/>
        <v>0.05</v>
      </c>
      <c r="N3863" s="464">
        <f t="shared" si="180"/>
        <v>168622</v>
      </c>
    </row>
    <row r="3864" spans="7:14" ht="11.25" customHeight="1" x14ac:dyDescent="0.3">
      <c r="G3864" s="459"/>
      <c r="H3864" s="459">
        <v>3857</v>
      </c>
      <c r="I3864" s="444">
        <f t="shared" ca="1" si="178"/>
        <v>153089966165.67371</v>
      </c>
      <c r="J3864" s="444">
        <f t="array" ref="J3864">IFERROR(INDEX('Retirement Calculator'!J:J,MATCH('Isaac 401k'!N3864,'Retirement Calculator'!A:A,0),0),0)</f>
        <v>0</v>
      </c>
      <c r="K3864" s="444">
        <f t="shared" ca="1" si="176"/>
        <v>637874859.02364039</v>
      </c>
      <c r="L3864" s="444">
        <f t="shared" ca="1" si="177"/>
        <v>153727841024.69736</v>
      </c>
      <c r="M3864" s="460">
        <f t="shared" si="179"/>
        <v>0.05</v>
      </c>
      <c r="N3864" s="464">
        <f t="shared" si="180"/>
        <v>168652</v>
      </c>
    </row>
    <row r="3865" spans="7:14" ht="11.25" customHeight="1" x14ac:dyDescent="0.3">
      <c r="G3865" s="459"/>
      <c r="H3865" s="459">
        <v>3858</v>
      </c>
      <c r="I3865" s="444">
        <f t="shared" ca="1" si="178"/>
        <v>153727841024.69736</v>
      </c>
      <c r="J3865" s="444">
        <f t="array" ref="J3865">IFERROR(INDEX('Retirement Calculator'!J:J,MATCH('Isaac 401k'!N3865,'Retirement Calculator'!A:A,0),0),0)</f>
        <v>0</v>
      </c>
      <c r="K3865" s="444">
        <f t="shared" ca="1" si="176"/>
        <v>640532670.936239</v>
      </c>
      <c r="L3865" s="444">
        <f t="shared" ca="1" si="177"/>
        <v>154368373695.63361</v>
      </c>
      <c r="M3865" s="460">
        <f t="shared" si="179"/>
        <v>0.05</v>
      </c>
      <c r="N3865" s="464">
        <f t="shared" si="180"/>
        <v>168683</v>
      </c>
    </row>
    <row r="3866" spans="7:14" ht="11.25" customHeight="1" x14ac:dyDescent="0.3">
      <c r="G3866" s="459"/>
      <c r="H3866" s="459">
        <v>3859</v>
      </c>
      <c r="I3866" s="444">
        <f t="shared" ca="1" si="178"/>
        <v>154368373695.63361</v>
      </c>
      <c r="J3866" s="444">
        <f t="array" ref="J3866">IFERROR(INDEX('Retirement Calculator'!J:J,MATCH('Isaac 401k'!N3866,'Retirement Calculator'!A:A,0),0),0)</f>
        <v>0</v>
      </c>
      <c r="K3866" s="444">
        <f t="shared" ca="1" si="176"/>
        <v>643201557.06514001</v>
      </c>
      <c r="L3866" s="444">
        <f t="shared" ca="1" si="177"/>
        <v>155011575252.69876</v>
      </c>
      <c r="M3866" s="460">
        <f t="shared" si="179"/>
        <v>0.05</v>
      </c>
      <c r="N3866" s="464">
        <f t="shared" si="180"/>
        <v>168713</v>
      </c>
    </row>
    <row r="3867" spans="7:14" ht="11.25" customHeight="1" x14ac:dyDescent="0.3">
      <c r="G3867" s="459"/>
      <c r="H3867" s="459">
        <v>3860</v>
      </c>
      <c r="I3867" s="444">
        <f t="shared" ca="1" si="178"/>
        <v>155011575252.69876</v>
      </c>
      <c r="J3867" s="444">
        <f t="array" ref="J3867">IFERROR(INDEX('Retirement Calculator'!J:J,MATCH('Isaac 401k'!N3867,'Retirement Calculator'!A:A,0),0),0)</f>
        <v>0</v>
      </c>
      <c r="K3867" s="444">
        <f t="shared" ca="1" si="176"/>
        <v>645881563.55291152</v>
      </c>
      <c r="L3867" s="444">
        <f t="shared" ca="1" si="177"/>
        <v>155657456816.25168</v>
      </c>
      <c r="M3867" s="460">
        <f t="shared" si="179"/>
        <v>0.05</v>
      </c>
      <c r="N3867" s="464">
        <f t="shared" si="180"/>
        <v>168744</v>
      </c>
    </row>
    <row r="3868" spans="7:14" ht="11.25" customHeight="1" x14ac:dyDescent="0.3">
      <c r="G3868" s="459"/>
      <c r="H3868" s="459">
        <v>3861</v>
      </c>
      <c r="I3868" s="444">
        <f t="shared" ca="1" si="178"/>
        <v>155657456816.25168</v>
      </c>
      <c r="J3868" s="444">
        <f t="array" ref="J3868">IFERROR(INDEX('Retirement Calculator'!J:J,MATCH('Isaac 401k'!N3868,'Retirement Calculator'!A:A,0),0),0)</f>
        <v>0</v>
      </c>
      <c r="K3868" s="444">
        <f t="shared" ca="1" si="176"/>
        <v>648572736.73438203</v>
      </c>
      <c r="L3868" s="444">
        <f t="shared" ca="1" si="177"/>
        <v>156306029552.98605</v>
      </c>
      <c r="M3868" s="460">
        <f t="shared" si="179"/>
        <v>0.05</v>
      </c>
      <c r="N3868" s="464">
        <f t="shared" si="180"/>
        <v>168775</v>
      </c>
    </row>
    <row r="3869" spans="7:14" ht="11.25" customHeight="1" x14ac:dyDescent="0.3">
      <c r="G3869" s="459"/>
      <c r="H3869" s="459">
        <v>3862</v>
      </c>
      <c r="I3869" s="444">
        <f t="shared" ca="1" si="178"/>
        <v>156306029552.98605</v>
      </c>
      <c r="J3869" s="444">
        <f t="array" ref="J3869">IFERROR(INDEX('Retirement Calculator'!J:J,MATCH('Isaac 401k'!N3869,'Retirement Calculator'!A:A,0),0),0)</f>
        <v>0</v>
      </c>
      <c r="K3869" s="444">
        <f t="shared" ca="1" si="176"/>
        <v>651275123.13744187</v>
      </c>
      <c r="L3869" s="444">
        <f t="shared" ca="1" si="177"/>
        <v>156957304676.1235</v>
      </c>
      <c r="M3869" s="460">
        <f t="shared" si="179"/>
        <v>0.05</v>
      </c>
      <c r="N3869" s="464">
        <f t="shared" si="180"/>
        <v>168803</v>
      </c>
    </row>
    <row r="3870" spans="7:14" ht="11.25" customHeight="1" x14ac:dyDescent="0.3">
      <c r="G3870" s="459"/>
      <c r="H3870" s="459">
        <v>3863</v>
      </c>
      <c r="I3870" s="444">
        <f t="shared" ca="1" si="178"/>
        <v>156957304676.1235</v>
      </c>
      <c r="J3870" s="444">
        <f t="array" ref="J3870">IFERROR(INDEX('Retirement Calculator'!J:J,MATCH('Isaac 401k'!N3870,'Retirement Calculator'!A:A,0),0),0)</f>
        <v>0</v>
      </c>
      <c r="K3870" s="444">
        <f t="shared" ca="1" si="176"/>
        <v>653988769.48384798</v>
      </c>
      <c r="L3870" s="444">
        <f t="shared" ca="1" si="177"/>
        <v>157611293445.60736</v>
      </c>
      <c r="M3870" s="460">
        <f t="shared" si="179"/>
        <v>0.05</v>
      </c>
      <c r="N3870" s="464">
        <f t="shared" si="180"/>
        <v>168834</v>
      </c>
    </row>
    <row r="3871" spans="7:14" ht="11.25" customHeight="1" x14ac:dyDescent="0.3">
      <c r="G3871" s="459"/>
      <c r="H3871" s="459">
        <v>3864</v>
      </c>
      <c r="I3871" s="444">
        <f t="shared" ca="1" si="178"/>
        <v>157611293445.60736</v>
      </c>
      <c r="J3871" s="444">
        <f t="array" ref="J3871">IFERROR(INDEX('Retirement Calculator'!J:J,MATCH('Isaac 401k'!N3871,'Retirement Calculator'!A:A,0),0),0)</f>
        <v>0</v>
      </c>
      <c r="K3871" s="444">
        <f t="shared" ca="1" si="176"/>
        <v>656713722.69003069</v>
      </c>
      <c r="L3871" s="444">
        <f t="shared" ca="1" si="177"/>
        <v>158268007168.29739</v>
      </c>
      <c r="M3871" s="460">
        <f t="shared" si="179"/>
        <v>0.05</v>
      </c>
      <c r="N3871" s="464">
        <f t="shared" si="180"/>
        <v>168864</v>
      </c>
    </row>
    <row r="3872" spans="7:14" ht="11.25" customHeight="1" x14ac:dyDescent="0.3">
      <c r="G3872" s="459"/>
      <c r="H3872" s="459">
        <v>3865</v>
      </c>
      <c r="I3872" s="444">
        <f t="shared" ca="1" si="178"/>
        <v>158268007168.29739</v>
      </c>
      <c r="J3872" s="444">
        <f t="array" ref="J3872">IFERROR(INDEX('Retirement Calculator'!J:J,MATCH('Isaac 401k'!N3872,'Retirement Calculator'!A:A,0),0),0)</f>
        <v>0</v>
      </c>
      <c r="K3872" s="444">
        <f t="shared" ca="1" si="176"/>
        <v>659450029.86790586</v>
      </c>
      <c r="L3872" s="444">
        <f t="shared" ca="1" si="177"/>
        <v>158927457198.16531</v>
      </c>
      <c r="M3872" s="460">
        <f t="shared" si="179"/>
        <v>0.05</v>
      </c>
      <c r="N3872" s="464">
        <f t="shared" si="180"/>
        <v>168895</v>
      </c>
    </row>
    <row r="3873" spans="7:14" ht="11.25" customHeight="1" x14ac:dyDescent="0.3">
      <c r="G3873" s="459"/>
      <c r="H3873" s="459">
        <v>3866</v>
      </c>
      <c r="I3873" s="444">
        <f t="shared" ca="1" si="178"/>
        <v>158927457198.16531</v>
      </c>
      <c r="J3873" s="444">
        <f t="array" ref="J3873">IFERROR(INDEX('Retirement Calculator'!J:J,MATCH('Isaac 401k'!N3873,'Retirement Calculator'!A:A,0),0),0)</f>
        <v>0</v>
      </c>
      <c r="K3873" s="444">
        <f t="shared" ca="1" si="176"/>
        <v>662197738.32568884</v>
      </c>
      <c r="L3873" s="444">
        <f t="shared" ca="1" si="177"/>
        <v>159589654936.491</v>
      </c>
      <c r="M3873" s="460">
        <f t="shared" si="179"/>
        <v>0.05</v>
      </c>
      <c r="N3873" s="464">
        <f t="shared" si="180"/>
        <v>168925</v>
      </c>
    </row>
    <row r="3874" spans="7:14" ht="11.25" customHeight="1" x14ac:dyDescent="0.3">
      <c r="G3874" s="459"/>
      <c r="H3874" s="459">
        <v>3867</v>
      </c>
      <c r="I3874" s="444">
        <f t="shared" ca="1" si="178"/>
        <v>159589654936.491</v>
      </c>
      <c r="J3874" s="444">
        <f t="array" ref="J3874">IFERROR(INDEX('Retirement Calculator'!J:J,MATCH('Isaac 401k'!N3874,'Retirement Calculator'!A:A,0),0),0)</f>
        <v>0</v>
      </c>
      <c r="K3874" s="444">
        <f t="shared" ca="1" si="176"/>
        <v>664956895.56871247</v>
      </c>
      <c r="L3874" s="444">
        <f t="shared" ca="1" si="177"/>
        <v>160254611832.05972</v>
      </c>
      <c r="M3874" s="460">
        <f t="shared" si="179"/>
        <v>0.05</v>
      </c>
      <c r="N3874" s="464">
        <f t="shared" si="180"/>
        <v>168956</v>
      </c>
    </row>
    <row r="3875" spans="7:14" ht="11.25" customHeight="1" x14ac:dyDescent="0.3">
      <c r="G3875" s="459"/>
      <c r="H3875" s="459">
        <v>3868</v>
      </c>
      <c r="I3875" s="444">
        <f t="shared" ca="1" si="178"/>
        <v>160254611832.05972</v>
      </c>
      <c r="J3875" s="444">
        <f t="array" ref="J3875">IFERROR(INDEX('Retirement Calculator'!J:J,MATCH('Isaac 401k'!N3875,'Retirement Calculator'!A:A,0),0),0)</f>
        <v>0</v>
      </c>
      <c r="K3875" s="444">
        <f t="shared" ca="1" si="176"/>
        <v>667727549.30024886</v>
      </c>
      <c r="L3875" s="444">
        <f t="shared" ca="1" si="177"/>
        <v>160922339381.35999</v>
      </c>
      <c r="M3875" s="460">
        <f t="shared" si="179"/>
        <v>0.05</v>
      </c>
      <c r="N3875" s="464">
        <f t="shared" si="180"/>
        <v>168987</v>
      </c>
    </row>
    <row r="3876" spans="7:14" ht="11.25" customHeight="1" x14ac:dyDescent="0.3">
      <c r="G3876" s="459"/>
      <c r="H3876" s="459">
        <v>3869</v>
      </c>
      <c r="I3876" s="444">
        <f t="shared" ca="1" si="178"/>
        <v>160922339381.35999</v>
      </c>
      <c r="J3876" s="444">
        <f t="array" ref="J3876">IFERROR(INDEX('Retirement Calculator'!J:J,MATCH('Isaac 401k'!N3876,'Retirement Calculator'!A:A,0),0),0)</f>
        <v>0</v>
      </c>
      <c r="K3876" s="444">
        <f t="shared" ca="1" si="176"/>
        <v>670509747.42233324</v>
      </c>
      <c r="L3876" s="444">
        <f t="shared" ca="1" si="177"/>
        <v>161592849128.78232</v>
      </c>
      <c r="M3876" s="460">
        <f t="shared" si="179"/>
        <v>0.05</v>
      </c>
      <c r="N3876" s="464">
        <f t="shared" si="180"/>
        <v>169017</v>
      </c>
    </row>
    <row r="3877" spans="7:14" ht="11.25" customHeight="1" x14ac:dyDescent="0.3">
      <c r="G3877" s="459"/>
      <c r="H3877" s="459">
        <v>3870</v>
      </c>
      <c r="I3877" s="444">
        <f t="shared" ca="1" si="178"/>
        <v>161592849128.78232</v>
      </c>
      <c r="J3877" s="444">
        <f t="array" ref="J3877">IFERROR(INDEX('Retirement Calculator'!J:J,MATCH('Isaac 401k'!N3877,'Retirement Calculator'!A:A,0),0),0)</f>
        <v>0</v>
      </c>
      <c r="K3877" s="444">
        <f t="shared" ca="1" si="176"/>
        <v>673303538.03659296</v>
      </c>
      <c r="L3877" s="444">
        <f t="shared" ca="1" si="177"/>
        <v>162266152666.81891</v>
      </c>
      <c r="M3877" s="460">
        <f t="shared" si="179"/>
        <v>0.05</v>
      </c>
      <c r="N3877" s="464">
        <f t="shared" si="180"/>
        <v>169048</v>
      </c>
    </row>
    <row r="3878" spans="7:14" ht="11.25" customHeight="1" x14ac:dyDescent="0.3">
      <c r="G3878" s="459"/>
      <c r="H3878" s="459">
        <v>3871</v>
      </c>
      <c r="I3878" s="444">
        <f t="shared" ca="1" si="178"/>
        <v>162266152666.81891</v>
      </c>
      <c r="J3878" s="444">
        <f t="array" ref="J3878">IFERROR(INDEX('Retirement Calculator'!J:J,MATCH('Isaac 401k'!N3878,'Retirement Calculator'!A:A,0),0),0)</f>
        <v>0</v>
      </c>
      <c r="K3878" s="444">
        <f t="shared" ca="1" si="176"/>
        <v>676108969.44507873</v>
      </c>
      <c r="L3878" s="444">
        <f t="shared" ca="1" si="177"/>
        <v>162942261636.26398</v>
      </c>
      <c r="M3878" s="460">
        <f t="shared" si="179"/>
        <v>0.05</v>
      </c>
      <c r="N3878" s="464">
        <f t="shared" si="180"/>
        <v>169078</v>
      </c>
    </row>
    <row r="3879" spans="7:14" ht="11.25" customHeight="1" x14ac:dyDescent="0.3">
      <c r="G3879" s="459"/>
      <c r="H3879" s="459">
        <v>3872</v>
      </c>
      <c r="I3879" s="444">
        <f t="shared" ca="1" si="178"/>
        <v>162942261636.26398</v>
      </c>
      <c r="J3879" s="444">
        <f t="array" ref="J3879">IFERROR(INDEX('Retirement Calculator'!J:J,MATCH('Isaac 401k'!N3879,'Retirement Calculator'!A:A,0),0),0)</f>
        <v>0</v>
      </c>
      <c r="K3879" s="444">
        <f t="shared" ca="1" si="176"/>
        <v>678926090.15109992</v>
      </c>
      <c r="L3879" s="444">
        <f t="shared" ca="1" si="177"/>
        <v>163621187726.41507</v>
      </c>
      <c r="M3879" s="460">
        <f t="shared" si="179"/>
        <v>0.05</v>
      </c>
      <c r="N3879" s="464">
        <f t="shared" si="180"/>
        <v>169109</v>
      </c>
    </row>
    <row r="3880" spans="7:14" ht="11.25" customHeight="1" x14ac:dyDescent="0.3">
      <c r="G3880" s="459"/>
      <c r="H3880" s="459">
        <v>3873</v>
      </c>
      <c r="I3880" s="444">
        <f t="shared" ca="1" si="178"/>
        <v>163621187726.41507</v>
      </c>
      <c r="J3880" s="444">
        <f t="array" ref="J3880">IFERROR(INDEX('Retirement Calculator'!J:J,MATCH('Isaac 401k'!N3880,'Retirement Calculator'!A:A,0),0),0)</f>
        <v>0</v>
      </c>
      <c r="K3880" s="444">
        <f t="shared" ca="1" si="176"/>
        <v>681754948.86006284</v>
      </c>
      <c r="L3880" s="444">
        <f t="shared" ca="1" si="177"/>
        <v>164302942675.27515</v>
      </c>
      <c r="M3880" s="460">
        <f t="shared" si="179"/>
        <v>0.05</v>
      </c>
      <c r="N3880" s="464">
        <f t="shared" si="180"/>
        <v>169140</v>
      </c>
    </row>
    <row r="3881" spans="7:14" ht="11.25" customHeight="1" x14ac:dyDescent="0.3">
      <c r="G3881" s="459"/>
      <c r="H3881" s="459">
        <v>3874</v>
      </c>
      <c r="I3881" s="444">
        <f t="shared" ca="1" si="178"/>
        <v>164302942675.27515</v>
      </c>
      <c r="J3881" s="444">
        <f t="array" ref="J3881">IFERROR(INDEX('Retirement Calculator'!J:J,MATCH('Isaac 401k'!N3881,'Retirement Calculator'!A:A,0),0),0)</f>
        <v>0</v>
      </c>
      <c r="K3881" s="444">
        <f t="shared" ca="1" si="176"/>
        <v>684595594.48031306</v>
      </c>
      <c r="L3881" s="444">
        <f t="shared" ca="1" si="177"/>
        <v>164987538269.75546</v>
      </c>
      <c r="M3881" s="460">
        <f t="shared" si="179"/>
        <v>0.05</v>
      </c>
      <c r="N3881" s="464">
        <f t="shared" si="180"/>
        <v>169168</v>
      </c>
    </row>
    <row r="3882" spans="7:14" ht="11.25" customHeight="1" x14ac:dyDescent="0.3">
      <c r="G3882" s="459"/>
      <c r="H3882" s="459">
        <v>3875</v>
      </c>
      <c r="I3882" s="444">
        <f t="shared" ca="1" si="178"/>
        <v>164987538269.75546</v>
      </c>
      <c r="J3882" s="444">
        <f t="array" ref="J3882">IFERROR(INDEX('Retirement Calculator'!J:J,MATCH('Isaac 401k'!N3882,'Retirement Calculator'!A:A,0),0),0)</f>
        <v>0</v>
      </c>
      <c r="K3882" s="444">
        <f t="shared" ca="1" si="176"/>
        <v>687448076.12398112</v>
      </c>
      <c r="L3882" s="444">
        <f t="shared" ca="1" si="177"/>
        <v>165674986345.87946</v>
      </c>
      <c r="M3882" s="460">
        <f t="shared" si="179"/>
        <v>0.05</v>
      </c>
      <c r="N3882" s="464">
        <f t="shared" si="180"/>
        <v>169199</v>
      </c>
    </row>
    <row r="3883" spans="7:14" ht="11.25" customHeight="1" x14ac:dyDescent="0.3">
      <c r="G3883" s="459"/>
      <c r="H3883" s="459">
        <v>3876</v>
      </c>
      <c r="I3883" s="444">
        <f t="shared" ca="1" si="178"/>
        <v>165674986345.87946</v>
      </c>
      <c r="J3883" s="444">
        <f t="array" ref="J3883">IFERROR(INDEX('Retirement Calculator'!J:J,MATCH('Isaac 401k'!N3883,'Retirement Calculator'!A:A,0),0),0)</f>
        <v>0</v>
      </c>
      <c r="K3883" s="444">
        <f t="shared" ca="1" si="176"/>
        <v>690312443.107831</v>
      </c>
      <c r="L3883" s="444">
        <f t="shared" ca="1" si="177"/>
        <v>166365298788.98727</v>
      </c>
      <c r="M3883" s="460">
        <f t="shared" si="179"/>
        <v>0.05</v>
      </c>
      <c r="N3883" s="464">
        <f t="shared" si="180"/>
        <v>169229</v>
      </c>
    </row>
    <row r="3884" spans="7:14" ht="11.25" customHeight="1" x14ac:dyDescent="0.3">
      <c r="G3884" s="459"/>
      <c r="H3884" s="459">
        <v>3877</v>
      </c>
      <c r="I3884" s="444">
        <f t="shared" ca="1" si="178"/>
        <v>166365298788.98727</v>
      </c>
      <c r="J3884" s="444">
        <f t="array" ref="J3884">IFERROR(INDEX('Retirement Calculator'!J:J,MATCH('Isaac 401k'!N3884,'Retirement Calculator'!A:A,0),0),0)</f>
        <v>0</v>
      </c>
      <c r="K3884" s="444">
        <f t="shared" ca="1" si="176"/>
        <v>693188744.9541136</v>
      </c>
      <c r="L3884" s="444">
        <f t="shared" ca="1" si="177"/>
        <v>167058487533.94138</v>
      </c>
      <c r="M3884" s="460">
        <f t="shared" si="179"/>
        <v>0.05</v>
      </c>
      <c r="N3884" s="464">
        <f t="shared" si="180"/>
        <v>169260</v>
      </c>
    </row>
    <row r="3885" spans="7:14" ht="11.25" customHeight="1" x14ac:dyDescent="0.3">
      <c r="G3885" s="459"/>
      <c r="H3885" s="459">
        <v>3878</v>
      </c>
      <c r="I3885" s="444">
        <f t="shared" ca="1" si="178"/>
        <v>167058487533.94138</v>
      </c>
      <c r="J3885" s="444">
        <f t="array" ref="J3885">IFERROR(INDEX('Retirement Calculator'!J:J,MATCH('Isaac 401k'!N3885,'Retirement Calculator'!A:A,0),0),0)</f>
        <v>0</v>
      </c>
      <c r="K3885" s="444">
        <f t="shared" ca="1" si="176"/>
        <v>696077031.39142239</v>
      </c>
      <c r="L3885" s="444">
        <f t="shared" ca="1" si="177"/>
        <v>167754564565.33279</v>
      </c>
      <c r="M3885" s="460">
        <f t="shared" si="179"/>
        <v>0.05</v>
      </c>
      <c r="N3885" s="464">
        <f t="shared" si="180"/>
        <v>169290</v>
      </c>
    </row>
    <row r="3886" spans="7:14" ht="11.25" customHeight="1" x14ac:dyDescent="0.3">
      <c r="G3886" s="459"/>
      <c r="H3886" s="459">
        <v>3879</v>
      </c>
      <c r="I3886" s="444">
        <f t="shared" ca="1" si="178"/>
        <v>167754564565.33279</v>
      </c>
      <c r="J3886" s="444">
        <f t="array" ref="J3886">IFERROR(INDEX('Retirement Calculator'!J:J,MATCH('Isaac 401k'!N3886,'Retirement Calculator'!A:A,0),0),0)</f>
        <v>0</v>
      </c>
      <c r="K3886" s="444">
        <f t="shared" ca="1" si="176"/>
        <v>698977352.35555327</v>
      </c>
      <c r="L3886" s="444">
        <f t="shared" ca="1" si="177"/>
        <v>168453541917.68835</v>
      </c>
      <c r="M3886" s="460">
        <f t="shared" si="179"/>
        <v>0.05</v>
      </c>
      <c r="N3886" s="464">
        <f t="shared" si="180"/>
        <v>169321</v>
      </c>
    </row>
    <row r="3887" spans="7:14" ht="11.25" customHeight="1" x14ac:dyDescent="0.3">
      <c r="G3887" s="459"/>
      <c r="H3887" s="459">
        <v>3880</v>
      </c>
      <c r="I3887" s="444">
        <f t="shared" ca="1" si="178"/>
        <v>168453541917.68835</v>
      </c>
      <c r="J3887" s="444">
        <f t="array" ref="J3887">IFERROR(INDEX('Retirement Calculator'!J:J,MATCH('Isaac 401k'!N3887,'Retirement Calculator'!A:A,0),0),0)</f>
        <v>0</v>
      </c>
      <c r="K3887" s="444">
        <f t="shared" ca="1" si="176"/>
        <v>701889757.99036813</v>
      </c>
      <c r="L3887" s="444">
        <f t="shared" ca="1" si="177"/>
        <v>169155431675.67871</v>
      </c>
      <c r="M3887" s="460">
        <f t="shared" si="179"/>
        <v>0.05</v>
      </c>
      <c r="N3887" s="464">
        <f t="shared" si="180"/>
        <v>169352</v>
      </c>
    </row>
    <row r="3888" spans="7:14" ht="11.25" customHeight="1" x14ac:dyDescent="0.3">
      <c r="G3888" s="459"/>
      <c r="H3888" s="459">
        <v>3881</v>
      </c>
      <c r="I3888" s="444">
        <f t="shared" ca="1" si="178"/>
        <v>169155431675.67871</v>
      </c>
      <c r="J3888" s="444">
        <f t="array" ref="J3888">IFERROR(INDEX('Retirement Calculator'!J:J,MATCH('Isaac 401k'!N3888,'Retirement Calculator'!A:A,0),0),0)</f>
        <v>0</v>
      </c>
      <c r="K3888" s="444">
        <f t="shared" ca="1" si="176"/>
        <v>704814298.64866126</v>
      </c>
      <c r="L3888" s="444">
        <f t="shared" ca="1" si="177"/>
        <v>169860245974.32736</v>
      </c>
      <c r="M3888" s="460">
        <f t="shared" si="179"/>
        <v>0.05</v>
      </c>
      <c r="N3888" s="464">
        <f t="shared" si="180"/>
        <v>169382</v>
      </c>
    </row>
    <row r="3889" spans="7:14" ht="11.25" customHeight="1" x14ac:dyDescent="0.3">
      <c r="G3889" s="459"/>
      <c r="H3889" s="459">
        <v>3882</v>
      </c>
      <c r="I3889" s="444">
        <f t="shared" ca="1" si="178"/>
        <v>169860245974.32736</v>
      </c>
      <c r="J3889" s="444">
        <f t="array" ref="J3889">IFERROR(INDEX('Retirement Calculator'!J:J,MATCH('Isaac 401k'!N3889,'Retirement Calculator'!A:A,0),0),0)</f>
        <v>0</v>
      </c>
      <c r="K3889" s="444">
        <f t="shared" ca="1" si="176"/>
        <v>707751024.89303064</v>
      </c>
      <c r="L3889" s="444">
        <f t="shared" ca="1" si="177"/>
        <v>170567996999.2204</v>
      </c>
      <c r="M3889" s="460">
        <f t="shared" si="179"/>
        <v>0.05</v>
      </c>
      <c r="N3889" s="464">
        <f t="shared" si="180"/>
        <v>169413</v>
      </c>
    </row>
    <row r="3890" spans="7:14" ht="11.25" customHeight="1" x14ac:dyDescent="0.3">
      <c r="G3890" s="459"/>
      <c r="H3890" s="459">
        <v>3883</v>
      </c>
      <c r="I3890" s="444">
        <f t="shared" ca="1" si="178"/>
        <v>170567996999.2204</v>
      </c>
      <c r="J3890" s="444">
        <f t="array" ref="J3890">IFERROR(INDEX('Retirement Calculator'!J:J,MATCH('Isaac 401k'!N3890,'Retirement Calculator'!A:A,0),0),0)</f>
        <v>0</v>
      </c>
      <c r="K3890" s="444">
        <f t="shared" ca="1" si="176"/>
        <v>710699987.49675167</v>
      </c>
      <c r="L3890" s="444">
        <f t="shared" ca="1" si="177"/>
        <v>171278696986.71716</v>
      </c>
      <c r="M3890" s="460">
        <f t="shared" si="179"/>
        <v>0.05</v>
      </c>
      <c r="N3890" s="464">
        <f t="shared" si="180"/>
        <v>169443</v>
      </c>
    </row>
    <row r="3891" spans="7:14" ht="11.25" customHeight="1" x14ac:dyDescent="0.3">
      <c r="G3891" s="459"/>
      <c r="H3891" s="459">
        <v>3884</v>
      </c>
      <c r="I3891" s="444">
        <f t="shared" ca="1" si="178"/>
        <v>171278696986.71716</v>
      </c>
      <c r="J3891" s="444">
        <f t="array" ref="J3891">IFERROR(INDEX('Retirement Calculator'!J:J,MATCH('Isaac 401k'!N3891,'Retirement Calculator'!A:A,0),0),0)</f>
        <v>0</v>
      </c>
      <c r="K3891" s="444">
        <f t="shared" ca="1" si="176"/>
        <v>713661237.44465482</v>
      </c>
      <c r="L3891" s="444">
        <f t="shared" ca="1" si="177"/>
        <v>171992358224.1618</v>
      </c>
      <c r="M3891" s="460">
        <f t="shared" si="179"/>
        <v>0.05</v>
      </c>
      <c r="N3891" s="464">
        <f t="shared" si="180"/>
        <v>169474</v>
      </c>
    </row>
    <row r="3892" spans="7:14" ht="11.25" customHeight="1" x14ac:dyDescent="0.3">
      <c r="G3892" s="459"/>
      <c r="H3892" s="459">
        <v>3885</v>
      </c>
      <c r="I3892" s="444">
        <f t="shared" ca="1" si="178"/>
        <v>171992358224.1618</v>
      </c>
      <c r="J3892" s="444">
        <f t="array" ref="J3892">IFERROR(INDEX('Retirement Calculator'!J:J,MATCH('Isaac 401k'!N3892,'Retirement Calculator'!A:A,0),0),0)</f>
        <v>0</v>
      </c>
      <c r="K3892" s="444">
        <f t="shared" ca="1" si="176"/>
        <v>716634825.93400753</v>
      </c>
      <c r="L3892" s="444">
        <f t="shared" ca="1" si="177"/>
        <v>172708993050.09583</v>
      </c>
      <c r="M3892" s="460">
        <f t="shared" si="179"/>
        <v>0.05</v>
      </c>
      <c r="N3892" s="464">
        <f t="shared" si="180"/>
        <v>169505</v>
      </c>
    </row>
    <row r="3893" spans="7:14" ht="11.25" customHeight="1" x14ac:dyDescent="0.3">
      <c r="G3893" s="459"/>
      <c r="H3893" s="459">
        <v>3886</v>
      </c>
      <c r="I3893" s="444">
        <f t="shared" ca="1" si="178"/>
        <v>172708993050.09583</v>
      </c>
      <c r="J3893" s="444">
        <f t="array" ref="J3893">IFERROR(INDEX('Retirement Calculator'!J:J,MATCH('Isaac 401k'!N3893,'Retirement Calculator'!A:A,0),0),0)</f>
        <v>0</v>
      </c>
      <c r="K3893" s="444">
        <f t="shared" ca="1" si="176"/>
        <v>719620804.37539923</v>
      </c>
      <c r="L3893" s="444">
        <f t="shared" ca="1" si="177"/>
        <v>173428613854.47122</v>
      </c>
      <c r="M3893" s="460">
        <f t="shared" si="179"/>
        <v>0.05</v>
      </c>
      <c r="N3893" s="464">
        <f t="shared" si="180"/>
        <v>169534</v>
      </c>
    </row>
    <row r="3894" spans="7:14" ht="11.25" customHeight="1" x14ac:dyDescent="0.3">
      <c r="G3894" s="459"/>
      <c r="H3894" s="459">
        <v>3887</v>
      </c>
      <c r="I3894" s="444">
        <f t="shared" ca="1" si="178"/>
        <v>173428613854.47122</v>
      </c>
      <c r="J3894" s="444">
        <f t="array" ref="J3894">IFERROR(INDEX('Retirement Calculator'!J:J,MATCH('Isaac 401k'!N3894,'Retirement Calculator'!A:A,0),0),0)</f>
        <v>0</v>
      </c>
      <c r="K3894" s="444">
        <f t="shared" ca="1" si="176"/>
        <v>722619224.39363003</v>
      </c>
      <c r="L3894" s="444">
        <f t="shared" ca="1" si="177"/>
        <v>174151233078.86484</v>
      </c>
      <c r="M3894" s="460">
        <f t="shared" si="179"/>
        <v>0.05</v>
      </c>
      <c r="N3894" s="464">
        <f t="shared" si="180"/>
        <v>169565</v>
      </c>
    </row>
    <row r="3895" spans="7:14" ht="11.25" customHeight="1" x14ac:dyDescent="0.3">
      <c r="G3895" s="459"/>
      <c r="H3895" s="459">
        <v>3888</v>
      </c>
      <c r="I3895" s="444">
        <f t="shared" ca="1" si="178"/>
        <v>174151233078.86484</v>
      </c>
      <c r="J3895" s="444">
        <f t="array" ref="J3895">IFERROR(INDEX('Retirement Calculator'!J:J,MATCH('Isaac 401k'!N3895,'Retirement Calculator'!A:A,0),0),0)</f>
        <v>0</v>
      </c>
      <c r="K3895" s="444">
        <f t="shared" ca="1" si="176"/>
        <v>725630137.82860351</v>
      </c>
      <c r="L3895" s="444">
        <f t="shared" ca="1" si="177"/>
        <v>174876863216.69345</v>
      </c>
      <c r="M3895" s="460">
        <f t="shared" si="179"/>
        <v>0.05</v>
      </c>
      <c r="N3895" s="464">
        <f t="shared" si="180"/>
        <v>169595</v>
      </c>
    </row>
    <row r="3896" spans="7:14" ht="11.25" customHeight="1" x14ac:dyDescent="0.3">
      <c r="G3896" s="459"/>
      <c r="H3896" s="459">
        <v>3889</v>
      </c>
      <c r="I3896" s="444">
        <f t="shared" ca="1" si="178"/>
        <v>174876863216.69345</v>
      </c>
      <c r="J3896" s="444">
        <f t="array" ref="J3896">IFERROR(INDEX('Retirement Calculator'!J:J,MATCH('Isaac 401k'!N3896,'Retirement Calculator'!A:A,0),0),0)</f>
        <v>0</v>
      </c>
      <c r="K3896" s="444">
        <f t="shared" ca="1" si="176"/>
        <v>728653596.73622274</v>
      </c>
      <c r="L3896" s="444">
        <f t="shared" ca="1" si="177"/>
        <v>175605516813.42969</v>
      </c>
      <c r="M3896" s="460">
        <f t="shared" si="179"/>
        <v>0.05</v>
      </c>
      <c r="N3896" s="464">
        <f t="shared" si="180"/>
        <v>169626</v>
      </c>
    </row>
    <row r="3897" spans="7:14" ht="11.25" customHeight="1" x14ac:dyDescent="0.3">
      <c r="G3897" s="459"/>
      <c r="H3897" s="459">
        <v>3890</v>
      </c>
      <c r="I3897" s="444">
        <f t="shared" ca="1" si="178"/>
        <v>175605516813.42969</v>
      </c>
      <c r="J3897" s="444">
        <f t="array" ref="J3897">IFERROR(INDEX('Retirement Calculator'!J:J,MATCH('Isaac 401k'!N3897,'Retirement Calculator'!A:A,0),0),0)</f>
        <v>0</v>
      </c>
      <c r="K3897" s="444">
        <f t="shared" ca="1" si="176"/>
        <v>731689653.38929033</v>
      </c>
      <c r="L3897" s="444">
        <f t="shared" ca="1" si="177"/>
        <v>176337206466.81897</v>
      </c>
      <c r="M3897" s="460">
        <f t="shared" si="179"/>
        <v>0.05</v>
      </c>
      <c r="N3897" s="464">
        <f t="shared" si="180"/>
        <v>169656</v>
      </c>
    </row>
    <row r="3898" spans="7:14" ht="11.25" customHeight="1" x14ac:dyDescent="0.3">
      <c r="G3898" s="459"/>
      <c r="H3898" s="459">
        <v>3891</v>
      </c>
      <c r="I3898" s="444">
        <f t="shared" ca="1" si="178"/>
        <v>176337206466.81897</v>
      </c>
      <c r="J3898" s="444">
        <f t="array" ref="J3898">IFERROR(INDEX('Retirement Calculator'!J:J,MATCH('Isaac 401k'!N3898,'Retirement Calculator'!A:A,0),0),0)</f>
        <v>0</v>
      </c>
      <c r="K3898" s="444">
        <f t="shared" ca="1" si="176"/>
        <v>734738360.27841234</v>
      </c>
      <c r="L3898" s="444">
        <f t="shared" ca="1" si="177"/>
        <v>177071944827.09738</v>
      </c>
      <c r="M3898" s="460">
        <f t="shared" si="179"/>
        <v>0.05</v>
      </c>
      <c r="N3898" s="464">
        <f t="shared" si="180"/>
        <v>169687</v>
      </c>
    </row>
    <row r="3899" spans="7:14" ht="11.25" customHeight="1" x14ac:dyDescent="0.3">
      <c r="G3899" s="459"/>
      <c r="H3899" s="459">
        <v>3892</v>
      </c>
      <c r="I3899" s="444">
        <f t="shared" ca="1" si="178"/>
        <v>177071944827.09738</v>
      </c>
      <c r="J3899" s="444">
        <f t="array" ref="J3899">IFERROR(INDEX('Retirement Calculator'!J:J,MATCH('Isaac 401k'!N3899,'Retirement Calculator'!A:A,0),0),0)</f>
        <v>0</v>
      </c>
      <c r="K3899" s="444">
        <f t="shared" ca="1" si="176"/>
        <v>737799770.11290574</v>
      </c>
      <c r="L3899" s="444">
        <f t="shared" ca="1" si="177"/>
        <v>177809744597.2103</v>
      </c>
      <c r="M3899" s="460">
        <f t="shared" si="179"/>
        <v>0.05</v>
      </c>
      <c r="N3899" s="464">
        <f t="shared" si="180"/>
        <v>169718</v>
      </c>
    </row>
    <row r="3900" spans="7:14" ht="11.25" customHeight="1" x14ac:dyDescent="0.3">
      <c r="G3900" s="459"/>
      <c r="H3900" s="459">
        <v>3893</v>
      </c>
      <c r="I3900" s="444">
        <f t="shared" ca="1" si="178"/>
        <v>177809744597.2103</v>
      </c>
      <c r="J3900" s="444">
        <f t="array" ref="J3900">IFERROR(INDEX('Retirement Calculator'!J:J,MATCH('Isaac 401k'!N3900,'Retirement Calculator'!A:A,0),0),0)</f>
        <v>0</v>
      </c>
      <c r="K3900" s="444">
        <f t="shared" ca="1" si="176"/>
        <v>740873935.82170951</v>
      </c>
      <c r="L3900" s="444">
        <f t="shared" ca="1" si="177"/>
        <v>178550618533.03201</v>
      </c>
      <c r="M3900" s="460">
        <f t="shared" si="179"/>
        <v>0.05</v>
      </c>
      <c r="N3900" s="464">
        <f t="shared" si="180"/>
        <v>169748</v>
      </c>
    </row>
    <row r="3901" spans="7:14" ht="11.25" customHeight="1" x14ac:dyDescent="0.3">
      <c r="G3901" s="459"/>
      <c r="H3901" s="459">
        <v>3894</v>
      </c>
      <c r="I3901" s="444">
        <f t="shared" ca="1" si="178"/>
        <v>178550618533.03201</v>
      </c>
      <c r="J3901" s="444">
        <f t="array" ref="J3901">IFERROR(INDEX('Retirement Calculator'!J:J,MATCH('Isaac 401k'!N3901,'Retirement Calculator'!A:A,0),0),0)</f>
        <v>0</v>
      </c>
      <c r="K3901" s="444">
        <f t="shared" ca="1" si="176"/>
        <v>743960910.55430007</v>
      </c>
      <c r="L3901" s="444">
        <f t="shared" ca="1" si="177"/>
        <v>179294579443.5863</v>
      </c>
      <c r="M3901" s="460">
        <f t="shared" si="179"/>
        <v>0.05</v>
      </c>
      <c r="N3901" s="464">
        <f t="shared" si="180"/>
        <v>169779</v>
      </c>
    </row>
    <row r="3902" spans="7:14" ht="11.25" customHeight="1" x14ac:dyDescent="0.3">
      <c r="G3902" s="459"/>
      <c r="H3902" s="459">
        <v>3895</v>
      </c>
      <c r="I3902" s="444">
        <f t="shared" ca="1" si="178"/>
        <v>179294579443.5863</v>
      </c>
      <c r="J3902" s="444">
        <f t="array" ref="J3902">IFERROR(INDEX('Retirement Calculator'!J:J,MATCH('Isaac 401k'!N3902,'Retirement Calculator'!A:A,0),0),0)</f>
        <v>0</v>
      </c>
      <c r="K3902" s="444">
        <f t="shared" ca="1" si="176"/>
        <v>747060747.68160963</v>
      </c>
      <c r="L3902" s="444">
        <f t="shared" ca="1" si="177"/>
        <v>180041640191.26791</v>
      </c>
      <c r="M3902" s="460">
        <f t="shared" si="179"/>
        <v>0.05</v>
      </c>
      <c r="N3902" s="464">
        <f t="shared" si="180"/>
        <v>169809</v>
      </c>
    </row>
    <row r="3903" spans="7:14" ht="11.25" customHeight="1" x14ac:dyDescent="0.3">
      <c r="G3903" s="459"/>
      <c r="H3903" s="459">
        <v>3896</v>
      </c>
      <c r="I3903" s="444">
        <f t="shared" ca="1" si="178"/>
        <v>180041640191.26791</v>
      </c>
      <c r="J3903" s="444">
        <f t="array" ref="J3903">IFERROR(INDEX('Retirement Calculator'!J:J,MATCH('Isaac 401k'!N3903,'Retirement Calculator'!A:A,0),0),0)</f>
        <v>0</v>
      </c>
      <c r="K3903" s="444">
        <f t="shared" ca="1" si="176"/>
        <v>750173500.79694963</v>
      </c>
      <c r="L3903" s="444">
        <f t="shared" ca="1" si="177"/>
        <v>180791813692.06485</v>
      </c>
      <c r="M3903" s="460">
        <f t="shared" si="179"/>
        <v>0.05</v>
      </c>
      <c r="N3903" s="464">
        <f t="shared" si="180"/>
        <v>169840</v>
      </c>
    </row>
    <row r="3904" spans="7:14" ht="11.25" customHeight="1" x14ac:dyDescent="0.3">
      <c r="G3904" s="459"/>
      <c r="H3904" s="459">
        <v>3897</v>
      </c>
      <c r="I3904" s="444">
        <f t="shared" ca="1" si="178"/>
        <v>180791813692.06485</v>
      </c>
      <c r="J3904" s="444">
        <f t="array" ref="J3904">IFERROR(INDEX('Retirement Calculator'!J:J,MATCH('Isaac 401k'!N3904,'Retirement Calculator'!A:A,0),0),0)</f>
        <v>0</v>
      </c>
      <c r="K3904" s="444">
        <f t="shared" ca="1" si="176"/>
        <v>753299223.71693683</v>
      </c>
      <c r="L3904" s="444">
        <f t="shared" ca="1" si="177"/>
        <v>181545112915.7818</v>
      </c>
      <c r="M3904" s="460">
        <f t="shared" si="179"/>
        <v>0.05</v>
      </c>
      <c r="N3904" s="464">
        <f t="shared" si="180"/>
        <v>169871</v>
      </c>
    </row>
    <row r="3905" spans="7:14" ht="11.25" customHeight="1" x14ac:dyDescent="0.3">
      <c r="G3905" s="459"/>
      <c r="H3905" s="459">
        <v>3898</v>
      </c>
      <c r="I3905" s="444">
        <f t="shared" ca="1" si="178"/>
        <v>181545112915.7818</v>
      </c>
      <c r="J3905" s="444">
        <f t="array" ref="J3905">IFERROR(INDEX('Retirement Calculator'!J:J,MATCH('Isaac 401k'!N3905,'Retirement Calculator'!A:A,0),0),0)</f>
        <v>0</v>
      </c>
      <c r="K3905" s="444">
        <f t="shared" ca="1" si="176"/>
        <v>756437970.48242414</v>
      </c>
      <c r="L3905" s="444">
        <f t="shared" ca="1" si="177"/>
        <v>182301550886.26422</v>
      </c>
      <c r="M3905" s="460">
        <f t="shared" si="179"/>
        <v>0.05</v>
      </c>
      <c r="N3905" s="464">
        <f t="shared" si="180"/>
        <v>169899</v>
      </c>
    </row>
    <row r="3906" spans="7:14" ht="11.25" customHeight="1" x14ac:dyDescent="0.3">
      <c r="G3906" s="459"/>
      <c r="H3906" s="459">
        <v>3899</v>
      </c>
      <c r="I3906" s="444">
        <f t="shared" ca="1" si="178"/>
        <v>182301550886.26422</v>
      </c>
      <c r="J3906" s="444">
        <f t="array" ref="J3906">IFERROR(INDEX('Retirement Calculator'!J:J,MATCH('Isaac 401k'!N3906,'Retirement Calculator'!A:A,0),0),0)</f>
        <v>0</v>
      </c>
      <c r="K3906" s="444">
        <f t="shared" ca="1" si="176"/>
        <v>759589795.35943425</v>
      </c>
      <c r="L3906" s="444">
        <f t="shared" ca="1" si="177"/>
        <v>183061140681.62366</v>
      </c>
      <c r="M3906" s="460">
        <f t="shared" si="179"/>
        <v>0.05</v>
      </c>
      <c r="N3906" s="464">
        <f t="shared" si="180"/>
        <v>169930</v>
      </c>
    </row>
    <row r="3907" spans="7:14" ht="11.25" customHeight="1" x14ac:dyDescent="0.3">
      <c r="G3907" s="459"/>
      <c r="H3907" s="459">
        <v>3900</v>
      </c>
      <c r="I3907" s="444">
        <f t="shared" ca="1" si="178"/>
        <v>183061140681.62366</v>
      </c>
      <c r="J3907" s="444">
        <f t="array" ref="J3907">IFERROR(INDEX('Retirement Calculator'!J:J,MATCH('Isaac 401k'!N3907,'Retirement Calculator'!A:A,0),0),0)</f>
        <v>0</v>
      </c>
      <c r="K3907" s="444">
        <f t="shared" ca="1" si="176"/>
        <v>762754752.84009862</v>
      </c>
      <c r="L3907" s="444">
        <f t="shared" ca="1" si="177"/>
        <v>183823895434.46375</v>
      </c>
      <c r="M3907" s="460">
        <f t="shared" si="179"/>
        <v>0.05</v>
      </c>
      <c r="N3907" s="464">
        <f t="shared" si="180"/>
        <v>169960</v>
      </c>
    </row>
    <row r="3908" spans="7:14" ht="11.25" customHeight="1" x14ac:dyDescent="0.3">
      <c r="G3908" s="459"/>
      <c r="H3908" s="459">
        <v>3901</v>
      </c>
      <c r="I3908" s="444">
        <f t="shared" ca="1" si="178"/>
        <v>183823895434.46375</v>
      </c>
      <c r="J3908" s="444">
        <f t="array" ref="J3908">IFERROR(INDEX('Retirement Calculator'!J:J,MATCH('Isaac 401k'!N3908,'Retirement Calculator'!A:A,0),0),0)</f>
        <v>0</v>
      </c>
      <c r="K3908" s="444">
        <f t="shared" ca="1" si="176"/>
        <v>765932897.64359891</v>
      </c>
      <c r="L3908" s="444">
        <f t="shared" ca="1" si="177"/>
        <v>184589828332.10733</v>
      </c>
      <c r="M3908" s="460">
        <f t="shared" si="179"/>
        <v>0.05</v>
      </c>
      <c r="N3908" s="464">
        <f t="shared" si="180"/>
        <v>169991</v>
      </c>
    </row>
    <row r="3909" spans="7:14" ht="11.25" customHeight="1" x14ac:dyDescent="0.3">
      <c r="G3909" s="459"/>
      <c r="H3909" s="459">
        <v>3902</v>
      </c>
      <c r="I3909" s="444">
        <f t="shared" ca="1" si="178"/>
        <v>184589828332.10733</v>
      </c>
      <c r="J3909" s="444">
        <f t="array" ref="J3909">IFERROR(INDEX('Retirement Calculator'!J:J,MATCH('Isaac 401k'!N3909,'Retirement Calculator'!A:A,0),0),0)</f>
        <v>0</v>
      </c>
      <c r="K3909" s="444">
        <f t="shared" ca="1" si="176"/>
        <v>769124284.71711385</v>
      </c>
      <c r="L3909" s="444">
        <f t="shared" ca="1" si="177"/>
        <v>185358952616.82443</v>
      </c>
      <c r="M3909" s="460">
        <f t="shared" si="179"/>
        <v>0.05</v>
      </c>
      <c r="N3909" s="464">
        <f t="shared" si="180"/>
        <v>170021</v>
      </c>
    </row>
    <row r="3910" spans="7:14" ht="11.25" customHeight="1" x14ac:dyDescent="0.3">
      <c r="G3910" s="459"/>
      <c r="H3910" s="459">
        <v>3903</v>
      </c>
      <c r="I3910" s="444">
        <f t="shared" ca="1" si="178"/>
        <v>185358952616.82443</v>
      </c>
      <c r="J3910" s="444">
        <f t="array" ref="J3910">IFERROR(INDEX('Retirement Calculator'!J:J,MATCH('Isaac 401k'!N3910,'Retirement Calculator'!A:A,0),0),0)</f>
        <v>0</v>
      </c>
      <c r="K3910" s="444">
        <f t="shared" ca="1" si="176"/>
        <v>772328969.23676848</v>
      </c>
      <c r="L3910" s="444">
        <f t="shared" ca="1" si="177"/>
        <v>186131281586.06119</v>
      </c>
      <c r="M3910" s="460">
        <f t="shared" si="179"/>
        <v>0.05</v>
      </c>
      <c r="N3910" s="464">
        <f t="shared" si="180"/>
        <v>170052</v>
      </c>
    </row>
    <row r="3911" spans="7:14" ht="11.25" customHeight="1" x14ac:dyDescent="0.3">
      <c r="G3911" s="459"/>
      <c r="H3911" s="459">
        <v>3904</v>
      </c>
      <c r="I3911" s="444">
        <f t="shared" ca="1" si="178"/>
        <v>186131281586.06119</v>
      </c>
      <c r="J3911" s="444">
        <f t="array" ref="J3911">IFERROR(INDEX('Retirement Calculator'!J:J,MATCH('Isaac 401k'!N3911,'Retirement Calculator'!A:A,0),0),0)</f>
        <v>0</v>
      </c>
      <c r="K3911" s="444">
        <f t="shared" ca="1" si="176"/>
        <v>775547006.60858822</v>
      </c>
      <c r="L3911" s="444">
        <f t="shared" ca="1" si="177"/>
        <v>186906828592.66977</v>
      </c>
      <c r="M3911" s="460">
        <f t="shared" si="179"/>
        <v>0.05</v>
      </c>
      <c r="N3911" s="464">
        <f t="shared" si="180"/>
        <v>170083</v>
      </c>
    </row>
    <row r="3912" spans="7:14" ht="11.25" customHeight="1" x14ac:dyDescent="0.3">
      <c r="G3912" s="459"/>
      <c r="H3912" s="459">
        <v>3905</v>
      </c>
      <c r="I3912" s="444">
        <f t="shared" ca="1" si="178"/>
        <v>186906828592.66977</v>
      </c>
      <c r="J3912" s="444">
        <f t="array" ref="J3912">IFERROR(INDEX('Retirement Calculator'!J:J,MATCH('Isaac 401k'!N3912,'Retirement Calculator'!A:A,0),0),0)</f>
        <v>0</v>
      </c>
      <c r="K3912" s="444">
        <f t="shared" ca="1" si="176"/>
        <v>778778452.46945739</v>
      </c>
      <c r="L3912" s="444">
        <f t="shared" ca="1" si="177"/>
        <v>187685607045.13922</v>
      </c>
      <c r="M3912" s="460">
        <f t="shared" si="179"/>
        <v>0.05</v>
      </c>
      <c r="N3912" s="464">
        <f t="shared" si="180"/>
        <v>170113</v>
      </c>
    </row>
    <row r="3913" spans="7:14" ht="11.25" customHeight="1" x14ac:dyDescent="0.3">
      <c r="G3913" s="459"/>
      <c r="H3913" s="459">
        <v>3906</v>
      </c>
      <c r="I3913" s="444">
        <f t="shared" ca="1" si="178"/>
        <v>187685607045.13922</v>
      </c>
      <c r="J3913" s="444">
        <f t="array" ref="J3913">IFERROR(INDEX('Retirement Calculator'!J:J,MATCH('Isaac 401k'!N3913,'Retirement Calculator'!A:A,0),0),0)</f>
        <v>0</v>
      </c>
      <c r="K3913" s="444">
        <f t="shared" ca="1" si="176"/>
        <v>782023362.68808007</v>
      </c>
      <c r="L3913" s="444">
        <f t="shared" ca="1" si="177"/>
        <v>188467630407.8273</v>
      </c>
      <c r="M3913" s="460">
        <f t="shared" si="179"/>
        <v>0.05</v>
      </c>
      <c r="N3913" s="464">
        <f t="shared" si="180"/>
        <v>170144</v>
      </c>
    </row>
    <row r="3914" spans="7:14" ht="11.25" customHeight="1" x14ac:dyDescent="0.3">
      <c r="G3914" s="459"/>
      <c r="H3914" s="459">
        <v>3907</v>
      </c>
      <c r="I3914" s="444">
        <f t="shared" ca="1" si="178"/>
        <v>188467630407.8273</v>
      </c>
      <c r="J3914" s="444">
        <f t="array" ref="J3914">IFERROR(INDEX('Retirement Calculator'!J:J,MATCH('Isaac 401k'!N3914,'Retirement Calculator'!A:A,0),0),0)</f>
        <v>0</v>
      </c>
      <c r="K3914" s="444">
        <f t="shared" ca="1" si="176"/>
        <v>785281793.36594713</v>
      </c>
      <c r="L3914" s="444">
        <f t="shared" ca="1" si="177"/>
        <v>189252912201.19324</v>
      </c>
      <c r="M3914" s="460">
        <f t="shared" si="179"/>
        <v>0.05</v>
      </c>
      <c r="N3914" s="464">
        <f t="shared" si="180"/>
        <v>170174</v>
      </c>
    </row>
    <row r="3915" spans="7:14" ht="11.25" customHeight="1" x14ac:dyDescent="0.3">
      <c r="G3915" s="459"/>
      <c r="H3915" s="459">
        <v>3908</v>
      </c>
      <c r="I3915" s="444">
        <f t="shared" ca="1" si="178"/>
        <v>189252912201.19324</v>
      </c>
      <c r="J3915" s="444">
        <f t="array" ref="J3915">IFERROR(INDEX('Retirement Calculator'!J:J,MATCH('Isaac 401k'!N3915,'Retirement Calculator'!A:A,0),0),0)</f>
        <v>0</v>
      </c>
      <c r="K3915" s="444">
        <f t="shared" ca="1" si="176"/>
        <v>788553800.83830512</v>
      </c>
      <c r="L3915" s="444">
        <f t="shared" ca="1" si="177"/>
        <v>190041466002.03156</v>
      </c>
      <c r="M3915" s="460">
        <f t="shared" si="179"/>
        <v>0.05</v>
      </c>
      <c r="N3915" s="464">
        <f t="shared" si="180"/>
        <v>170205</v>
      </c>
    </row>
    <row r="3916" spans="7:14" ht="11.25" customHeight="1" x14ac:dyDescent="0.3">
      <c r="G3916" s="459"/>
      <c r="H3916" s="459">
        <v>3909</v>
      </c>
      <c r="I3916" s="444">
        <f t="shared" ca="1" si="178"/>
        <v>190041466002.03156</v>
      </c>
      <c r="J3916" s="444">
        <f t="array" ref="J3916">IFERROR(INDEX('Retirement Calculator'!J:J,MATCH('Isaac 401k'!N3916,'Retirement Calculator'!A:A,0),0),0)</f>
        <v>0</v>
      </c>
      <c r="K3916" s="444">
        <f t="shared" ca="1" si="176"/>
        <v>791839441.67513144</v>
      </c>
      <c r="L3916" s="444">
        <f t="shared" ca="1" si="177"/>
        <v>190833305443.7067</v>
      </c>
      <c r="M3916" s="460">
        <f t="shared" si="179"/>
        <v>0.05</v>
      </c>
      <c r="N3916" s="464">
        <f t="shared" si="180"/>
        <v>170236</v>
      </c>
    </row>
    <row r="3917" spans="7:14" ht="11.25" customHeight="1" x14ac:dyDescent="0.3">
      <c r="G3917" s="459"/>
      <c r="H3917" s="459">
        <v>3910</v>
      </c>
      <c r="I3917" s="444">
        <f t="shared" ca="1" si="178"/>
        <v>190833305443.7067</v>
      </c>
      <c r="J3917" s="444">
        <f t="array" ref="J3917">IFERROR(INDEX('Retirement Calculator'!J:J,MATCH('Isaac 401k'!N3917,'Retirement Calculator'!A:A,0),0),0)</f>
        <v>0</v>
      </c>
      <c r="K3917" s="444">
        <f t="shared" ca="1" si="176"/>
        <v>795138772.68211126</v>
      </c>
      <c r="L3917" s="444">
        <f t="shared" ca="1" si="177"/>
        <v>191628444216.38879</v>
      </c>
      <c r="M3917" s="460">
        <f t="shared" si="179"/>
        <v>0.05</v>
      </c>
      <c r="N3917" s="464">
        <f t="shared" si="180"/>
        <v>170264</v>
      </c>
    </row>
    <row r="3918" spans="7:14" ht="11.25" customHeight="1" x14ac:dyDescent="0.3">
      <c r="G3918" s="459"/>
      <c r="H3918" s="459">
        <v>3911</v>
      </c>
      <c r="I3918" s="444">
        <f t="shared" ca="1" si="178"/>
        <v>191628444216.38879</v>
      </c>
      <c r="J3918" s="444">
        <f t="array" ref="J3918">IFERROR(INDEX('Retirement Calculator'!J:J,MATCH('Isaac 401k'!N3918,'Retirement Calculator'!A:A,0),0),0)</f>
        <v>0</v>
      </c>
      <c r="K3918" s="444">
        <f t="shared" ca="1" si="176"/>
        <v>798451850.90161991</v>
      </c>
      <c r="L3918" s="444">
        <f t="shared" ca="1" si="177"/>
        <v>192426896067.29041</v>
      </c>
      <c r="M3918" s="460">
        <f t="shared" si="179"/>
        <v>0.05</v>
      </c>
      <c r="N3918" s="464">
        <f t="shared" si="180"/>
        <v>170295</v>
      </c>
    </row>
    <row r="3919" spans="7:14" ht="11.25" customHeight="1" x14ac:dyDescent="0.3">
      <c r="G3919" s="459"/>
      <c r="H3919" s="459">
        <v>3912</v>
      </c>
      <c r="I3919" s="444">
        <f t="shared" ca="1" si="178"/>
        <v>192426896067.29041</v>
      </c>
      <c r="J3919" s="444">
        <f t="array" ref="J3919">IFERROR(INDEX('Retirement Calculator'!J:J,MATCH('Isaac 401k'!N3919,'Retirement Calculator'!A:A,0),0),0)</f>
        <v>0</v>
      </c>
      <c r="K3919" s="444">
        <f t="shared" ca="1" si="176"/>
        <v>801778733.61371005</v>
      </c>
      <c r="L3919" s="444">
        <f t="shared" ca="1" si="177"/>
        <v>193228674800.90411</v>
      </c>
      <c r="M3919" s="460">
        <f t="shared" si="179"/>
        <v>0.05</v>
      </c>
      <c r="N3919" s="464">
        <f t="shared" si="180"/>
        <v>170325</v>
      </c>
    </row>
    <row r="3920" spans="7:14" ht="11.25" customHeight="1" x14ac:dyDescent="0.3">
      <c r="G3920" s="459"/>
      <c r="H3920" s="459">
        <v>3913</v>
      </c>
      <c r="I3920" s="444">
        <f t="shared" ca="1" si="178"/>
        <v>193228674800.90411</v>
      </c>
      <c r="J3920" s="444">
        <f t="array" ref="J3920">IFERROR(INDEX('Retirement Calculator'!J:J,MATCH('Isaac 401k'!N3920,'Retirement Calculator'!A:A,0),0),0)</f>
        <v>0</v>
      </c>
      <c r="K3920" s="444">
        <f t="shared" ca="1" si="176"/>
        <v>805119478.33710051</v>
      </c>
      <c r="L3920" s="444">
        <f t="shared" ca="1" si="177"/>
        <v>194033794279.24121</v>
      </c>
      <c r="M3920" s="460">
        <f t="shared" si="179"/>
        <v>0.05</v>
      </c>
      <c r="N3920" s="464">
        <f t="shared" si="180"/>
        <v>170356</v>
      </c>
    </row>
    <row r="3921" spans="7:14" ht="11.25" customHeight="1" x14ac:dyDescent="0.3">
      <c r="G3921" s="459"/>
      <c r="H3921" s="459">
        <v>3914</v>
      </c>
      <c r="I3921" s="444">
        <f t="shared" ca="1" si="178"/>
        <v>194033794279.24121</v>
      </c>
      <c r="J3921" s="444">
        <f t="array" ref="J3921">IFERROR(INDEX('Retirement Calculator'!J:J,MATCH('Isaac 401k'!N3921,'Retirement Calculator'!A:A,0),0),0)</f>
        <v>0</v>
      </c>
      <c r="K3921" s="444">
        <f t="shared" ca="1" si="176"/>
        <v>808474142.8301717</v>
      </c>
      <c r="L3921" s="444">
        <f t="shared" ca="1" si="177"/>
        <v>194842268422.07138</v>
      </c>
      <c r="M3921" s="460">
        <f t="shared" si="179"/>
        <v>0.05</v>
      </c>
      <c r="N3921" s="464">
        <f t="shared" si="180"/>
        <v>170386</v>
      </c>
    </row>
    <row r="3922" spans="7:14" ht="11.25" customHeight="1" x14ac:dyDescent="0.3">
      <c r="G3922" s="459"/>
      <c r="H3922" s="459">
        <v>3915</v>
      </c>
      <c r="I3922" s="444">
        <f t="shared" ca="1" si="178"/>
        <v>194842268422.07138</v>
      </c>
      <c r="J3922" s="444">
        <f t="array" ref="J3922">IFERROR(INDEX('Retirement Calculator'!J:J,MATCH('Isaac 401k'!N3922,'Retirement Calculator'!A:A,0),0),0)</f>
        <v>0</v>
      </c>
      <c r="K3922" s="444">
        <f t="shared" ca="1" si="176"/>
        <v>811842785.09196413</v>
      </c>
      <c r="L3922" s="444">
        <f t="shared" ca="1" si="177"/>
        <v>195654111207.16333</v>
      </c>
      <c r="M3922" s="460">
        <f t="shared" si="179"/>
        <v>0.05</v>
      </c>
      <c r="N3922" s="464">
        <f t="shared" si="180"/>
        <v>170417</v>
      </c>
    </row>
    <row r="3923" spans="7:14" ht="11.25" customHeight="1" x14ac:dyDescent="0.3">
      <c r="G3923" s="459"/>
      <c r="H3923" s="459">
        <v>3916</v>
      </c>
      <c r="I3923" s="444">
        <f t="shared" ca="1" si="178"/>
        <v>195654111207.16333</v>
      </c>
      <c r="J3923" s="444">
        <f t="array" ref="J3923">IFERROR(INDEX('Retirement Calculator'!J:J,MATCH('Isaac 401k'!N3923,'Retirement Calculator'!A:A,0),0),0)</f>
        <v>0</v>
      </c>
      <c r="K3923" s="444">
        <f t="shared" ca="1" si="176"/>
        <v>815225463.36318052</v>
      </c>
      <c r="L3923" s="444">
        <f t="shared" ca="1" si="177"/>
        <v>196469336670.52652</v>
      </c>
      <c r="M3923" s="460">
        <f t="shared" si="179"/>
        <v>0.05</v>
      </c>
      <c r="N3923" s="464">
        <f t="shared" si="180"/>
        <v>170448</v>
      </c>
    </row>
    <row r="3924" spans="7:14" ht="11.25" customHeight="1" x14ac:dyDescent="0.3">
      <c r="G3924" s="459"/>
      <c r="H3924" s="459">
        <v>3917</v>
      </c>
      <c r="I3924" s="444">
        <f t="shared" ca="1" si="178"/>
        <v>196469336670.52652</v>
      </c>
      <c r="J3924" s="444">
        <f t="array" ref="J3924">IFERROR(INDEX('Retirement Calculator'!J:J,MATCH('Isaac 401k'!N3924,'Retirement Calculator'!A:A,0),0),0)</f>
        <v>0</v>
      </c>
      <c r="K3924" s="444">
        <f t="shared" ca="1" si="176"/>
        <v>818622236.12719381</v>
      </c>
      <c r="L3924" s="444">
        <f t="shared" ca="1" si="177"/>
        <v>197287958906.65372</v>
      </c>
      <c r="M3924" s="460">
        <f t="shared" si="179"/>
        <v>0.05</v>
      </c>
      <c r="N3924" s="464">
        <f t="shared" si="180"/>
        <v>170478</v>
      </c>
    </row>
    <row r="3925" spans="7:14" ht="11.25" customHeight="1" x14ac:dyDescent="0.3">
      <c r="G3925" s="459"/>
      <c r="H3925" s="459">
        <v>3918</v>
      </c>
      <c r="I3925" s="444">
        <f t="shared" ca="1" si="178"/>
        <v>197287958906.65372</v>
      </c>
      <c r="J3925" s="444">
        <f t="array" ref="J3925">IFERROR(INDEX('Retirement Calculator'!J:J,MATCH('Isaac 401k'!N3925,'Retirement Calculator'!A:A,0),0),0)</f>
        <v>0</v>
      </c>
      <c r="K3925" s="444">
        <f t="shared" ca="1" si="176"/>
        <v>822033162.11105716</v>
      </c>
      <c r="L3925" s="444">
        <f t="shared" ca="1" si="177"/>
        <v>198109992068.76477</v>
      </c>
      <c r="M3925" s="460">
        <f t="shared" si="179"/>
        <v>0.05</v>
      </c>
      <c r="N3925" s="464">
        <f t="shared" si="180"/>
        <v>170509</v>
      </c>
    </row>
    <row r="3926" spans="7:14" ht="11.25" customHeight="1" x14ac:dyDescent="0.3">
      <c r="G3926" s="459"/>
      <c r="H3926" s="459">
        <v>3919</v>
      </c>
      <c r="I3926" s="444">
        <f t="shared" ca="1" si="178"/>
        <v>198109992068.76477</v>
      </c>
      <c r="J3926" s="444">
        <f t="array" ref="J3926">IFERROR(INDEX('Retirement Calculator'!J:J,MATCH('Isaac 401k'!N3926,'Retirement Calculator'!A:A,0),0),0)</f>
        <v>0</v>
      </c>
      <c r="K3926" s="444">
        <f t="shared" ca="1" si="176"/>
        <v>825458300.28651989</v>
      </c>
      <c r="L3926" s="444">
        <f t="shared" ca="1" si="177"/>
        <v>198935450369.0513</v>
      </c>
      <c r="M3926" s="460">
        <f t="shared" si="179"/>
        <v>0.05</v>
      </c>
      <c r="N3926" s="464">
        <f t="shared" si="180"/>
        <v>170539</v>
      </c>
    </row>
    <row r="3927" spans="7:14" ht="11.25" customHeight="1" x14ac:dyDescent="0.3">
      <c r="G3927" s="459"/>
      <c r="H3927" s="459">
        <v>3920</v>
      </c>
      <c r="I3927" s="444">
        <f t="shared" ca="1" si="178"/>
        <v>198935450369.0513</v>
      </c>
      <c r="J3927" s="444">
        <f t="array" ref="J3927">IFERROR(INDEX('Retirement Calculator'!J:J,MATCH('Isaac 401k'!N3927,'Retirement Calculator'!A:A,0),0),0)</f>
        <v>0</v>
      </c>
      <c r="K3927" s="444">
        <f t="shared" ca="1" si="176"/>
        <v>828897709.87104702</v>
      </c>
      <c r="L3927" s="444">
        <f t="shared" ca="1" si="177"/>
        <v>199764348078.92233</v>
      </c>
      <c r="M3927" s="460">
        <f t="shared" si="179"/>
        <v>0.05</v>
      </c>
      <c r="N3927" s="464">
        <f t="shared" si="180"/>
        <v>170570</v>
      </c>
    </row>
    <row r="3928" spans="7:14" ht="11.25" customHeight="1" x14ac:dyDescent="0.3">
      <c r="G3928" s="459"/>
      <c r="H3928" s="459">
        <v>3921</v>
      </c>
      <c r="I3928" s="444">
        <f t="shared" ca="1" si="178"/>
        <v>199764348078.92233</v>
      </c>
      <c r="J3928" s="444">
        <f t="array" ref="J3928">IFERROR(INDEX('Retirement Calculator'!J:J,MATCH('Isaac 401k'!N3928,'Retirement Calculator'!A:A,0),0),0)</f>
        <v>0</v>
      </c>
      <c r="K3928" s="444">
        <f t="shared" ca="1" si="176"/>
        <v>832351450.328843</v>
      </c>
      <c r="L3928" s="444">
        <f t="shared" ca="1" si="177"/>
        <v>200596699529.25119</v>
      </c>
      <c r="M3928" s="460">
        <f t="shared" si="179"/>
        <v>0.05</v>
      </c>
      <c r="N3928" s="464">
        <f t="shared" si="180"/>
        <v>170601</v>
      </c>
    </row>
    <row r="3929" spans="7:14" ht="11.25" customHeight="1" x14ac:dyDescent="0.3">
      <c r="G3929" s="459"/>
      <c r="H3929" s="459">
        <v>3922</v>
      </c>
      <c r="I3929" s="444">
        <f t="shared" ca="1" si="178"/>
        <v>200596699529.25119</v>
      </c>
      <c r="J3929" s="444">
        <f t="array" ref="J3929">IFERROR(INDEX('Retirement Calculator'!J:J,MATCH('Isaac 401k'!N3929,'Retirement Calculator'!A:A,0),0),0)</f>
        <v>0</v>
      </c>
      <c r="K3929" s="444">
        <f t="shared" ca="1" si="176"/>
        <v>835819581.37187994</v>
      </c>
      <c r="L3929" s="444">
        <f t="shared" ca="1" si="177"/>
        <v>201432519110.62308</v>
      </c>
      <c r="M3929" s="460">
        <f t="shared" si="179"/>
        <v>0.05</v>
      </c>
      <c r="N3929" s="464">
        <f t="shared" si="180"/>
        <v>170629</v>
      </c>
    </row>
    <row r="3930" spans="7:14" ht="11.25" customHeight="1" x14ac:dyDescent="0.3">
      <c r="G3930" s="459"/>
      <c r="H3930" s="459">
        <v>3923</v>
      </c>
      <c r="I3930" s="444">
        <f t="shared" ca="1" si="178"/>
        <v>201432519110.62308</v>
      </c>
      <c r="J3930" s="444">
        <f t="array" ref="J3930">IFERROR(INDEX('Retirement Calculator'!J:J,MATCH('Isaac 401k'!N3930,'Retirement Calculator'!A:A,0),0),0)</f>
        <v>0</v>
      </c>
      <c r="K3930" s="444">
        <f t="shared" ca="1" si="176"/>
        <v>839302162.96092951</v>
      </c>
      <c r="L3930" s="444">
        <f t="shared" ca="1" si="177"/>
        <v>202271821273.58401</v>
      </c>
      <c r="M3930" s="460">
        <f t="shared" si="179"/>
        <v>0.05</v>
      </c>
      <c r="N3930" s="464">
        <f t="shared" si="180"/>
        <v>170660</v>
      </c>
    </row>
    <row r="3931" spans="7:14" ht="11.25" customHeight="1" x14ac:dyDescent="0.3">
      <c r="G3931" s="459"/>
      <c r="H3931" s="459">
        <v>3924</v>
      </c>
      <c r="I3931" s="444">
        <f t="shared" ca="1" si="178"/>
        <v>202271821273.58401</v>
      </c>
      <c r="J3931" s="444">
        <f t="array" ref="J3931">IFERROR(INDEX('Retirement Calculator'!J:J,MATCH('Isaac 401k'!N3931,'Retirement Calculator'!A:A,0),0),0)</f>
        <v>0</v>
      </c>
      <c r="K3931" s="444">
        <f t="shared" ca="1" si="176"/>
        <v>842799255.30660009</v>
      </c>
      <c r="L3931" s="444">
        <f t="shared" ca="1" si="177"/>
        <v>203114620528.89063</v>
      </c>
      <c r="M3931" s="460">
        <f t="shared" si="179"/>
        <v>0.05</v>
      </c>
      <c r="N3931" s="464">
        <f t="shared" si="180"/>
        <v>170690</v>
      </c>
    </row>
    <row r="3932" spans="7:14" ht="11.25" customHeight="1" x14ac:dyDescent="0.3">
      <c r="G3932" s="459"/>
      <c r="H3932" s="459">
        <v>3925</v>
      </c>
      <c r="I3932" s="444">
        <f t="shared" ca="1" si="178"/>
        <v>203114620528.89063</v>
      </c>
      <c r="J3932" s="444">
        <f t="array" ref="J3932">IFERROR(INDEX('Retirement Calculator'!J:J,MATCH('Isaac 401k'!N3932,'Retirement Calculator'!A:A,0),0),0)</f>
        <v>0</v>
      </c>
      <c r="K3932" s="444">
        <f t="shared" ca="1" si="176"/>
        <v>846310918.87037754</v>
      </c>
      <c r="L3932" s="444">
        <f t="shared" ca="1" si="177"/>
        <v>203960931447.76102</v>
      </c>
      <c r="M3932" s="460">
        <f t="shared" si="179"/>
        <v>0.05</v>
      </c>
      <c r="N3932" s="464">
        <f t="shared" si="180"/>
        <v>170721</v>
      </c>
    </row>
    <row r="3933" spans="7:14" ht="11.25" customHeight="1" x14ac:dyDescent="0.3">
      <c r="G3933" s="459"/>
      <c r="H3933" s="459">
        <v>3926</v>
      </c>
      <c r="I3933" s="444">
        <f t="shared" ca="1" si="178"/>
        <v>203960931447.76102</v>
      </c>
      <c r="J3933" s="444">
        <f t="array" ref="J3933">IFERROR(INDEX('Retirement Calculator'!J:J,MATCH('Isaac 401k'!N3933,'Retirement Calculator'!A:A,0),0),0)</f>
        <v>0</v>
      </c>
      <c r="K3933" s="444">
        <f t="shared" ca="1" si="176"/>
        <v>849837214.36567092</v>
      </c>
      <c r="L3933" s="444">
        <f t="shared" ca="1" si="177"/>
        <v>204810768662.12668</v>
      </c>
      <c r="M3933" s="460">
        <f t="shared" si="179"/>
        <v>0.05</v>
      </c>
      <c r="N3933" s="464">
        <f t="shared" si="180"/>
        <v>170751</v>
      </c>
    </row>
    <row r="3934" spans="7:14" ht="11.25" customHeight="1" x14ac:dyDescent="0.3">
      <c r="G3934" s="459"/>
      <c r="H3934" s="459">
        <v>3927</v>
      </c>
      <c r="I3934" s="444">
        <f t="shared" ca="1" si="178"/>
        <v>204810768662.12668</v>
      </c>
      <c r="J3934" s="444">
        <f t="array" ref="J3934">IFERROR(INDEX('Retirement Calculator'!J:J,MATCH('Isaac 401k'!N3934,'Retirement Calculator'!A:A,0),0),0)</f>
        <v>0</v>
      </c>
      <c r="K3934" s="444">
        <f t="shared" ca="1" si="176"/>
        <v>853378202.75886118</v>
      </c>
      <c r="L3934" s="444">
        <f t="shared" ca="1" si="177"/>
        <v>205664146864.88553</v>
      </c>
      <c r="M3934" s="460">
        <f t="shared" si="179"/>
        <v>0.05</v>
      </c>
      <c r="N3934" s="464">
        <f t="shared" si="180"/>
        <v>170782</v>
      </c>
    </row>
    <row r="3935" spans="7:14" ht="11.25" customHeight="1" x14ac:dyDescent="0.3">
      <c r="G3935" s="459"/>
      <c r="H3935" s="459">
        <v>3928</v>
      </c>
      <c r="I3935" s="444">
        <f t="shared" ca="1" si="178"/>
        <v>205664146864.88553</v>
      </c>
      <c r="J3935" s="444">
        <f t="array" ref="J3935">IFERROR(INDEX('Retirement Calculator'!J:J,MATCH('Isaac 401k'!N3935,'Retirement Calculator'!A:A,0),0),0)</f>
        <v>0</v>
      </c>
      <c r="K3935" s="444">
        <f t="shared" ca="1" si="176"/>
        <v>856933945.27035642</v>
      </c>
      <c r="L3935" s="444">
        <f t="shared" ca="1" si="177"/>
        <v>206521080810.15588</v>
      </c>
      <c r="M3935" s="460">
        <f t="shared" si="179"/>
        <v>0.05</v>
      </c>
      <c r="N3935" s="464">
        <f t="shared" si="180"/>
        <v>170813</v>
      </c>
    </row>
    <row r="3936" spans="7:14" ht="11.25" customHeight="1" x14ac:dyDescent="0.3">
      <c r="G3936" s="459"/>
      <c r="H3936" s="459">
        <v>3929</v>
      </c>
      <c r="I3936" s="444">
        <f t="shared" ca="1" si="178"/>
        <v>206521080810.15588</v>
      </c>
      <c r="J3936" s="444">
        <f t="array" ref="J3936">IFERROR(INDEX('Retirement Calculator'!J:J,MATCH('Isaac 401k'!N3936,'Retirement Calculator'!A:A,0),0),0)</f>
        <v>0</v>
      </c>
      <c r="K3936" s="444">
        <f t="shared" ca="1" si="176"/>
        <v>860504503.37564945</v>
      </c>
      <c r="L3936" s="444">
        <f t="shared" ca="1" si="177"/>
        <v>207381585313.53152</v>
      </c>
      <c r="M3936" s="460">
        <f t="shared" si="179"/>
        <v>0.05</v>
      </c>
      <c r="N3936" s="464">
        <f t="shared" si="180"/>
        <v>170843</v>
      </c>
    </row>
    <row r="3937" spans="7:14" ht="11.25" customHeight="1" x14ac:dyDescent="0.3">
      <c r="G3937" s="459"/>
      <c r="H3937" s="459">
        <v>3930</v>
      </c>
      <c r="I3937" s="444">
        <f t="shared" ca="1" si="178"/>
        <v>207381585313.53152</v>
      </c>
      <c r="J3937" s="444">
        <f t="array" ref="J3937">IFERROR(INDEX('Retirement Calculator'!J:J,MATCH('Isaac 401k'!N3937,'Retirement Calculator'!A:A,0),0),0)</f>
        <v>0</v>
      </c>
      <c r="K3937" s="444">
        <f t="shared" ca="1" si="176"/>
        <v>864089938.80638134</v>
      </c>
      <c r="L3937" s="444">
        <f t="shared" ca="1" si="177"/>
        <v>208245675252.33792</v>
      </c>
      <c r="M3937" s="460">
        <f t="shared" si="179"/>
        <v>0.05</v>
      </c>
      <c r="N3937" s="464">
        <f t="shared" si="180"/>
        <v>170874</v>
      </c>
    </row>
    <row r="3938" spans="7:14" ht="11.25" customHeight="1" x14ac:dyDescent="0.3">
      <c r="G3938" s="459"/>
      <c r="H3938" s="459">
        <v>3931</v>
      </c>
      <c r="I3938" s="444">
        <f t="shared" ca="1" si="178"/>
        <v>208245675252.33792</v>
      </c>
      <c r="J3938" s="444">
        <f t="array" ref="J3938">IFERROR(INDEX('Retirement Calculator'!J:J,MATCH('Isaac 401k'!N3938,'Retirement Calculator'!A:A,0),0),0)</f>
        <v>0</v>
      </c>
      <c r="K3938" s="444">
        <f t="shared" ca="1" si="176"/>
        <v>867690313.55140793</v>
      </c>
      <c r="L3938" s="444">
        <f t="shared" ca="1" si="177"/>
        <v>209113365565.88934</v>
      </c>
      <c r="M3938" s="460">
        <f t="shared" si="179"/>
        <v>0.05</v>
      </c>
      <c r="N3938" s="464">
        <f t="shared" si="180"/>
        <v>170904</v>
      </c>
    </row>
    <row r="3939" spans="7:14" ht="11.25" customHeight="1" x14ac:dyDescent="0.3">
      <c r="G3939" s="459"/>
      <c r="H3939" s="459">
        <v>3932</v>
      </c>
      <c r="I3939" s="444">
        <f t="shared" ca="1" si="178"/>
        <v>209113365565.88934</v>
      </c>
      <c r="J3939" s="444">
        <f t="array" ref="J3939">IFERROR(INDEX('Retirement Calculator'!J:J,MATCH('Isaac 401k'!N3939,'Retirement Calculator'!A:A,0),0),0)</f>
        <v>0</v>
      </c>
      <c r="K3939" s="444">
        <f t="shared" ca="1" si="176"/>
        <v>871305689.85787225</v>
      </c>
      <c r="L3939" s="444">
        <f t="shared" ca="1" si="177"/>
        <v>209984671255.74722</v>
      </c>
      <c r="M3939" s="460">
        <f t="shared" si="179"/>
        <v>0.05</v>
      </c>
      <c r="N3939" s="464">
        <f t="shared" si="180"/>
        <v>170935</v>
      </c>
    </row>
    <row r="3940" spans="7:14" ht="11.25" customHeight="1" x14ac:dyDescent="0.3">
      <c r="G3940" s="459"/>
      <c r="H3940" s="459">
        <v>3933</v>
      </c>
      <c r="I3940" s="444">
        <f t="shared" ca="1" si="178"/>
        <v>209984671255.74722</v>
      </c>
      <c r="J3940" s="444">
        <f t="array" ref="J3940">IFERROR(INDEX('Retirement Calculator'!J:J,MATCH('Isaac 401k'!N3940,'Retirement Calculator'!A:A,0),0),0)</f>
        <v>0</v>
      </c>
      <c r="K3940" s="444">
        <f t="shared" ca="1" si="176"/>
        <v>874936130.23228014</v>
      </c>
      <c r="L3940" s="444">
        <f t="shared" ca="1" si="177"/>
        <v>210859607385.97949</v>
      </c>
      <c r="M3940" s="460">
        <f t="shared" si="179"/>
        <v>0.05</v>
      </c>
      <c r="N3940" s="464">
        <f t="shared" si="180"/>
        <v>170966</v>
      </c>
    </row>
    <row r="3941" spans="7:14" ht="11.25" customHeight="1" x14ac:dyDescent="0.3">
      <c r="G3941" s="459"/>
      <c r="H3941" s="459">
        <v>3934</v>
      </c>
      <c r="I3941" s="444">
        <f t="shared" ca="1" si="178"/>
        <v>210859607385.97949</v>
      </c>
      <c r="J3941" s="444">
        <f t="array" ref="J3941">IFERROR(INDEX('Retirement Calculator'!J:J,MATCH('Isaac 401k'!N3941,'Retirement Calculator'!A:A,0),0),0)</f>
        <v>0</v>
      </c>
      <c r="K3941" s="444">
        <f t="shared" ca="1" si="176"/>
        <v>878581697.44158125</v>
      </c>
      <c r="L3941" s="444">
        <f t="shared" ca="1" si="177"/>
        <v>211738189083.42108</v>
      </c>
      <c r="M3941" s="460">
        <f t="shared" si="179"/>
        <v>0.05</v>
      </c>
      <c r="N3941" s="464">
        <f t="shared" si="180"/>
        <v>170995</v>
      </c>
    </row>
    <row r="3942" spans="7:14" ht="11.25" customHeight="1" x14ac:dyDescent="0.3">
      <c r="G3942" s="459"/>
      <c r="H3942" s="459">
        <v>3935</v>
      </c>
      <c r="I3942" s="444">
        <f t="shared" ca="1" si="178"/>
        <v>211738189083.42108</v>
      </c>
      <c r="J3942" s="444">
        <f t="array" ref="J3942">IFERROR(INDEX('Retirement Calculator'!J:J,MATCH('Isaac 401k'!N3942,'Retirement Calculator'!A:A,0),0),0)</f>
        <v>0</v>
      </c>
      <c r="K3942" s="444">
        <f t="shared" ca="1" si="176"/>
        <v>882242454.51425445</v>
      </c>
      <c r="L3942" s="444">
        <f t="shared" ca="1" si="177"/>
        <v>212620431537.93533</v>
      </c>
      <c r="M3942" s="460">
        <f t="shared" si="179"/>
        <v>0.05</v>
      </c>
      <c r="N3942" s="464">
        <f t="shared" si="180"/>
        <v>171026</v>
      </c>
    </row>
    <row r="3943" spans="7:14" ht="11.25" customHeight="1" x14ac:dyDescent="0.3">
      <c r="G3943" s="459"/>
      <c r="H3943" s="459">
        <v>3936</v>
      </c>
      <c r="I3943" s="444">
        <f t="shared" ca="1" si="178"/>
        <v>212620431537.93533</v>
      </c>
      <c r="J3943" s="444">
        <f t="array" ref="J3943">IFERROR(INDEX('Retirement Calculator'!J:J,MATCH('Isaac 401k'!N3943,'Retirement Calculator'!A:A,0),0),0)</f>
        <v>0</v>
      </c>
      <c r="K3943" s="444">
        <f t="shared" ca="1" si="176"/>
        <v>885918464.74139726</v>
      </c>
      <c r="L3943" s="444">
        <f t="shared" ca="1" si="177"/>
        <v>213506350002.67673</v>
      </c>
      <c r="M3943" s="460">
        <f t="shared" si="179"/>
        <v>0.05</v>
      </c>
      <c r="N3943" s="464">
        <f t="shared" si="180"/>
        <v>171056</v>
      </c>
    </row>
    <row r="3944" spans="7:14" ht="11.25" customHeight="1" x14ac:dyDescent="0.3">
      <c r="G3944" s="459"/>
      <c r="H3944" s="459">
        <v>3937</v>
      </c>
      <c r="I3944" s="444">
        <f t="shared" ca="1" si="178"/>
        <v>213506350002.67673</v>
      </c>
      <c r="J3944" s="444">
        <f t="array" ref="J3944">IFERROR(INDEX('Retirement Calculator'!J:J,MATCH('Isaac 401k'!N3944,'Retirement Calculator'!A:A,0),0),0)</f>
        <v>0</v>
      </c>
      <c r="K3944" s="444">
        <f t="shared" ca="1" si="176"/>
        <v>889609791.67781973</v>
      </c>
      <c r="L3944" s="444">
        <f t="shared" ca="1" si="177"/>
        <v>214395959794.35455</v>
      </c>
      <c r="M3944" s="460">
        <f t="shared" si="179"/>
        <v>0.05</v>
      </c>
      <c r="N3944" s="464">
        <f t="shared" si="180"/>
        <v>171087</v>
      </c>
    </row>
    <row r="3945" spans="7:14" ht="11.25" customHeight="1" x14ac:dyDescent="0.3">
      <c r="G3945" s="459"/>
      <c r="H3945" s="459">
        <v>3938</v>
      </c>
      <c r="I3945" s="444">
        <f t="shared" ca="1" si="178"/>
        <v>214395959794.35455</v>
      </c>
      <c r="J3945" s="444">
        <f t="array" ref="J3945">IFERROR(INDEX('Retirement Calculator'!J:J,MATCH('Isaac 401k'!N3945,'Retirement Calculator'!A:A,0),0),0)</f>
        <v>0</v>
      </c>
      <c r="K3945" s="444">
        <f t="shared" ca="1" si="176"/>
        <v>893316499.14314401</v>
      </c>
      <c r="L3945" s="444">
        <f t="shared" ca="1" si="177"/>
        <v>215289276293.49771</v>
      </c>
      <c r="M3945" s="460">
        <f t="shared" si="179"/>
        <v>0.05</v>
      </c>
      <c r="N3945" s="464">
        <f t="shared" si="180"/>
        <v>171117</v>
      </c>
    </row>
    <row r="3946" spans="7:14" ht="11.25" customHeight="1" x14ac:dyDescent="0.3">
      <c r="G3946" s="459"/>
      <c r="H3946" s="459">
        <v>3939</v>
      </c>
      <c r="I3946" s="444">
        <f t="shared" ca="1" si="178"/>
        <v>215289276293.49771</v>
      </c>
      <c r="J3946" s="444">
        <f t="array" ref="J3946">IFERROR(INDEX('Retirement Calculator'!J:J,MATCH('Isaac 401k'!N3946,'Retirement Calculator'!A:A,0),0),0)</f>
        <v>0</v>
      </c>
      <c r="K3946" s="444">
        <f t="shared" ca="1" si="176"/>
        <v>897038651.22290695</v>
      </c>
      <c r="L3946" s="444">
        <f t="shared" ca="1" si="177"/>
        <v>216186314944.72061</v>
      </c>
      <c r="M3946" s="460">
        <f t="shared" si="179"/>
        <v>0.05</v>
      </c>
      <c r="N3946" s="464">
        <f t="shared" si="180"/>
        <v>171148</v>
      </c>
    </row>
    <row r="3947" spans="7:14" ht="11.25" customHeight="1" x14ac:dyDescent="0.3">
      <c r="G3947" s="459"/>
      <c r="H3947" s="459">
        <v>3940</v>
      </c>
      <c r="I3947" s="444">
        <f t="shared" ca="1" si="178"/>
        <v>216186314944.72061</v>
      </c>
      <c r="J3947" s="444">
        <f t="array" ref="J3947">IFERROR(INDEX('Retirement Calculator'!J:J,MATCH('Isaac 401k'!N3947,'Retirement Calculator'!A:A,0),0),0)</f>
        <v>0</v>
      </c>
      <c r="K3947" s="444">
        <f t="shared" ca="1" si="176"/>
        <v>900776312.26966918</v>
      </c>
      <c r="L3947" s="444">
        <f t="shared" ca="1" si="177"/>
        <v>217087091256.9903</v>
      </c>
      <c r="M3947" s="460">
        <f t="shared" si="179"/>
        <v>0.05</v>
      </c>
      <c r="N3947" s="464">
        <f t="shared" si="180"/>
        <v>171179</v>
      </c>
    </row>
    <row r="3948" spans="7:14" ht="11.25" customHeight="1" x14ac:dyDescent="0.3">
      <c r="G3948" s="459"/>
      <c r="H3948" s="459">
        <v>3941</v>
      </c>
      <c r="I3948" s="444">
        <f t="shared" ca="1" si="178"/>
        <v>217087091256.9903</v>
      </c>
      <c r="J3948" s="444">
        <f t="array" ref="J3948">IFERROR(INDEX('Retirement Calculator'!J:J,MATCH('Isaac 401k'!N3948,'Retirement Calculator'!A:A,0),0),0)</f>
        <v>0</v>
      </c>
      <c r="K3948" s="444">
        <f t="shared" ca="1" si="176"/>
        <v>904529546.90412629</v>
      </c>
      <c r="L3948" s="444">
        <f t="shared" ca="1" si="177"/>
        <v>217991620803.89441</v>
      </c>
      <c r="M3948" s="460">
        <f t="shared" si="179"/>
        <v>0.05</v>
      </c>
      <c r="N3948" s="464">
        <f t="shared" si="180"/>
        <v>171209</v>
      </c>
    </row>
    <row r="3949" spans="7:14" ht="11.25" customHeight="1" x14ac:dyDescent="0.3">
      <c r="G3949" s="459"/>
      <c r="H3949" s="459">
        <v>3942</v>
      </c>
      <c r="I3949" s="444">
        <f t="shared" ca="1" si="178"/>
        <v>217991620803.89441</v>
      </c>
      <c r="J3949" s="444">
        <f t="array" ref="J3949">IFERROR(INDEX('Retirement Calculator'!J:J,MATCH('Isaac 401k'!N3949,'Retirement Calculator'!A:A,0),0),0)</f>
        <v>0</v>
      </c>
      <c r="K3949" s="444">
        <f t="shared" ca="1" si="176"/>
        <v>908298420.01622677</v>
      </c>
      <c r="L3949" s="444">
        <f t="shared" ca="1" si="177"/>
        <v>218899919223.91064</v>
      </c>
      <c r="M3949" s="460">
        <f t="shared" si="179"/>
        <v>0.05</v>
      </c>
      <c r="N3949" s="464">
        <f t="shared" si="180"/>
        <v>171240</v>
      </c>
    </row>
    <row r="3950" spans="7:14" ht="11.25" customHeight="1" x14ac:dyDescent="0.3">
      <c r="G3950" s="459"/>
      <c r="H3950" s="459">
        <v>3943</v>
      </c>
      <c r="I3950" s="444">
        <f t="shared" ca="1" si="178"/>
        <v>218899919223.91064</v>
      </c>
      <c r="J3950" s="444">
        <f t="array" ref="J3950">IFERROR(INDEX('Retirement Calculator'!J:J,MATCH('Isaac 401k'!N3950,'Retirement Calculator'!A:A,0),0),0)</f>
        <v>0</v>
      </c>
      <c r="K3950" s="444">
        <f t="shared" ca="1" si="176"/>
        <v>912082996.76629436</v>
      </c>
      <c r="L3950" s="444">
        <f t="shared" ca="1" si="177"/>
        <v>219812002220.67694</v>
      </c>
      <c r="M3950" s="460">
        <f t="shared" si="179"/>
        <v>0.05</v>
      </c>
      <c r="N3950" s="464">
        <f t="shared" si="180"/>
        <v>171270</v>
      </c>
    </row>
    <row r="3951" spans="7:14" ht="11.25" customHeight="1" x14ac:dyDescent="0.3">
      <c r="G3951" s="459"/>
      <c r="H3951" s="459">
        <v>3944</v>
      </c>
      <c r="I3951" s="444">
        <f t="shared" ca="1" si="178"/>
        <v>219812002220.67694</v>
      </c>
      <c r="J3951" s="444">
        <f t="array" ref="J3951">IFERROR(INDEX('Retirement Calculator'!J:J,MATCH('Isaac 401k'!N3951,'Retirement Calculator'!A:A,0),0),0)</f>
        <v>0</v>
      </c>
      <c r="K3951" s="444">
        <f t="shared" ca="1" si="176"/>
        <v>915883342.58615398</v>
      </c>
      <c r="L3951" s="444">
        <f t="shared" ca="1" si="177"/>
        <v>220727885563.26309</v>
      </c>
      <c r="M3951" s="460">
        <f t="shared" si="179"/>
        <v>0.05</v>
      </c>
      <c r="N3951" s="464">
        <f t="shared" si="180"/>
        <v>171301</v>
      </c>
    </row>
    <row r="3952" spans="7:14" ht="11.25" customHeight="1" x14ac:dyDescent="0.3">
      <c r="G3952" s="459"/>
      <c r="H3952" s="459">
        <v>3945</v>
      </c>
      <c r="I3952" s="444">
        <f t="shared" ca="1" si="178"/>
        <v>220727885563.26309</v>
      </c>
      <c r="J3952" s="444">
        <f t="array" ref="J3952">IFERROR(INDEX('Retirement Calculator'!J:J,MATCH('Isaac 401k'!N3952,'Retirement Calculator'!A:A,0),0),0)</f>
        <v>0</v>
      </c>
      <c r="K3952" s="444">
        <f t="shared" ca="1" si="176"/>
        <v>919699523.18026268</v>
      </c>
      <c r="L3952" s="444">
        <f t="shared" ca="1" si="177"/>
        <v>221647585086.44336</v>
      </c>
      <c r="M3952" s="460">
        <f t="shared" si="179"/>
        <v>0.05</v>
      </c>
      <c r="N3952" s="464">
        <f t="shared" si="180"/>
        <v>171332</v>
      </c>
    </row>
    <row r="3953" spans="7:14" ht="11.25" customHeight="1" x14ac:dyDescent="0.3">
      <c r="G3953" s="459"/>
      <c r="H3953" s="459">
        <v>3946</v>
      </c>
      <c r="I3953" s="444">
        <f t="shared" ca="1" si="178"/>
        <v>221647585086.44336</v>
      </c>
      <c r="J3953" s="444">
        <f t="array" ref="J3953">IFERROR(INDEX('Retirement Calculator'!J:J,MATCH('Isaac 401k'!N3953,'Retirement Calculator'!A:A,0),0),0)</f>
        <v>0</v>
      </c>
      <c r="K3953" s="444">
        <f t="shared" ca="1" si="176"/>
        <v>923531604.52684736</v>
      </c>
      <c r="L3953" s="444">
        <f t="shared" ca="1" si="177"/>
        <v>222571116690.97021</v>
      </c>
      <c r="M3953" s="460">
        <f t="shared" si="179"/>
        <v>0.05</v>
      </c>
      <c r="N3953" s="464">
        <f t="shared" si="180"/>
        <v>171360</v>
      </c>
    </row>
    <row r="3954" spans="7:14" ht="11.25" customHeight="1" x14ac:dyDescent="0.3">
      <c r="G3954" s="459"/>
      <c r="H3954" s="459">
        <v>3947</v>
      </c>
      <c r="I3954" s="444">
        <f t="shared" ca="1" si="178"/>
        <v>222571116690.97021</v>
      </c>
      <c r="J3954" s="444">
        <f t="array" ref="J3954">IFERROR(INDEX('Retirement Calculator'!J:J,MATCH('Isaac 401k'!N3954,'Retirement Calculator'!A:A,0),0),0)</f>
        <v>0</v>
      </c>
      <c r="K3954" s="444">
        <f t="shared" ca="1" si="176"/>
        <v>927379652.87904263</v>
      </c>
      <c r="L3954" s="444">
        <f t="shared" ca="1" si="177"/>
        <v>223498496343.84924</v>
      </c>
      <c r="M3954" s="460">
        <f t="shared" si="179"/>
        <v>0.05</v>
      </c>
      <c r="N3954" s="464">
        <f t="shared" si="180"/>
        <v>171391</v>
      </c>
    </row>
    <row r="3955" spans="7:14" ht="11.25" customHeight="1" x14ac:dyDescent="0.3">
      <c r="G3955" s="459"/>
      <c r="H3955" s="459">
        <v>3948</v>
      </c>
      <c r="I3955" s="444">
        <f t="shared" ca="1" si="178"/>
        <v>223498496343.84924</v>
      </c>
      <c r="J3955" s="444">
        <f t="array" ref="J3955">IFERROR(INDEX('Retirement Calculator'!J:J,MATCH('Isaac 401k'!N3955,'Retirement Calculator'!A:A,0),0),0)</f>
        <v>0</v>
      </c>
      <c r="K3955" s="444">
        <f t="shared" ca="1" si="176"/>
        <v>931243734.76603842</v>
      </c>
      <c r="L3955" s="444">
        <f t="shared" ca="1" si="177"/>
        <v>224429740078.6153</v>
      </c>
      <c r="M3955" s="460">
        <f t="shared" si="179"/>
        <v>0.05</v>
      </c>
      <c r="N3955" s="464">
        <f t="shared" si="180"/>
        <v>171421</v>
      </c>
    </row>
    <row r="3956" spans="7:14" ht="11.25" customHeight="1" x14ac:dyDescent="0.3">
      <c r="G3956" s="459"/>
      <c r="H3956" s="459">
        <v>3949</v>
      </c>
      <c r="I3956" s="444">
        <f t="shared" ca="1" si="178"/>
        <v>224429740078.6153</v>
      </c>
      <c r="J3956" s="444">
        <f t="array" ref="J3956">IFERROR(INDEX('Retirement Calculator'!J:J,MATCH('Isaac 401k'!N3956,'Retirement Calculator'!A:A,0),0),0)</f>
        <v>0</v>
      </c>
      <c r="K3956" s="444">
        <f t="shared" ca="1" si="176"/>
        <v>935123916.99423039</v>
      </c>
      <c r="L3956" s="444">
        <f t="shared" ca="1" si="177"/>
        <v>225364863995.60953</v>
      </c>
      <c r="M3956" s="460">
        <f t="shared" si="179"/>
        <v>0.05</v>
      </c>
      <c r="N3956" s="464">
        <f t="shared" si="180"/>
        <v>171452</v>
      </c>
    </row>
    <row r="3957" spans="7:14" ht="11.25" customHeight="1" x14ac:dyDescent="0.3">
      <c r="G3957" s="459"/>
      <c r="H3957" s="459">
        <v>3950</v>
      </c>
      <c r="I3957" s="444">
        <f t="shared" ca="1" si="178"/>
        <v>225364863995.60953</v>
      </c>
      <c r="J3957" s="444">
        <f t="array" ref="J3957">IFERROR(INDEX('Retirement Calculator'!J:J,MATCH('Isaac 401k'!N3957,'Retirement Calculator'!A:A,0),0),0)</f>
        <v>0</v>
      </c>
      <c r="K3957" s="444">
        <f t="shared" ca="1" si="176"/>
        <v>939020266.64837301</v>
      </c>
      <c r="L3957" s="444">
        <f t="shared" ca="1" si="177"/>
        <v>226303884262.2579</v>
      </c>
      <c r="M3957" s="460">
        <f t="shared" si="179"/>
        <v>0.05</v>
      </c>
      <c r="N3957" s="464">
        <f t="shared" si="180"/>
        <v>171482</v>
      </c>
    </row>
    <row r="3958" spans="7:14" ht="11.25" customHeight="1" x14ac:dyDescent="0.3">
      <c r="G3958" s="459"/>
      <c r="H3958" s="459">
        <v>3951</v>
      </c>
      <c r="I3958" s="444">
        <f t="shared" ca="1" si="178"/>
        <v>226303884262.2579</v>
      </c>
      <c r="J3958" s="444">
        <f t="array" ref="J3958">IFERROR(INDEX('Retirement Calculator'!J:J,MATCH('Isaac 401k'!N3958,'Retirement Calculator'!A:A,0),0),0)</f>
        <v>0</v>
      </c>
      <c r="K3958" s="444">
        <f t="shared" ca="1" si="176"/>
        <v>942932851.09274125</v>
      </c>
      <c r="L3958" s="444">
        <f t="shared" ca="1" si="177"/>
        <v>227246817113.35065</v>
      </c>
      <c r="M3958" s="460">
        <f t="shared" si="179"/>
        <v>0.05</v>
      </c>
      <c r="N3958" s="464">
        <f t="shared" si="180"/>
        <v>171513</v>
      </c>
    </row>
    <row r="3959" spans="7:14" ht="11.25" customHeight="1" x14ac:dyDescent="0.3">
      <c r="G3959" s="459"/>
      <c r="H3959" s="459">
        <v>3952</v>
      </c>
      <c r="I3959" s="444">
        <f t="shared" ca="1" si="178"/>
        <v>227246817113.35065</v>
      </c>
      <c r="J3959" s="444">
        <f t="array" ref="J3959">IFERROR(INDEX('Retirement Calculator'!J:J,MATCH('Isaac 401k'!N3959,'Retirement Calculator'!A:A,0),0),0)</f>
        <v>0</v>
      </c>
      <c r="K3959" s="444">
        <f t="shared" ca="1" si="176"/>
        <v>946861737.97229433</v>
      </c>
      <c r="L3959" s="444">
        <f t="shared" ca="1" si="177"/>
        <v>228193678851.32294</v>
      </c>
      <c r="M3959" s="460">
        <f t="shared" si="179"/>
        <v>0.05</v>
      </c>
      <c r="N3959" s="464">
        <f t="shared" si="180"/>
        <v>171544</v>
      </c>
    </row>
    <row r="3960" spans="7:14" ht="11.25" customHeight="1" x14ac:dyDescent="0.3">
      <c r="G3960" s="459"/>
      <c r="H3960" s="459">
        <v>3953</v>
      </c>
      <c r="I3960" s="444">
        <f t="shared" ca="1" si="178"/>
        <v>228193678851.32294</v>
      </c>
      <c r="J3960" s="444">
        <f t="array" ref="J3960">IFERROR(INDEX('Retirement Calculator'!J:J,MATCH('Isaac 401k'!N3960,'Retirement Calculator'!A:A,0),0),0)</f>
        <v>0</v>
      </c>
      <c r="K3960" s="444">
        <f t="shared" ca="1" si="176"/>
        <v>950806995.21384573</v>
      </c>
      <c r="L3960" s="444">
        <f t="shared" ca="1" si="177"/>
        <v>229144485846.53677</v>
      </c>
      <c r="M3960" s="460">
        <f t="shared" si="179"/>
        <v>0.05</v>
      </c>
      <c r="N3960" s="464">
        <f t="shared" si="180"/>
        <v>171574</v>
      </c>
    </row>
    <row r="3961" spans="7:14" ht="11.25" customHeight="1" x14ac:dyDescent="0.3">
      <c r="G3961" s="459"/>
      <c r="H3961" s="459">
        <v>3954</v>
      </c>
      <c r="I3961" s="444">
        <f t="shared" ca="1" si="178"/>
        <v>229144485846.53677</v>
      </c>
      <c r="J3961" s="444">
        <f t="array" ref="J3961">IFERROR(INDEX('Retirement Calculator'!J:J,MATCH('Isaac 401k'!N3961,'Retirement Calculator'!A:A,0),0),0)</f>
        <v>0</v>
      </c>
      <c r="K3961" s="444">
        <f t="shared" ca="1" si="176"/>
        <v>954768691.0272367</v>
      </c>
      <c r="L3961" s="444">
        <f t="shared" ca="1" si="177"/>
        <v>230099254537.564</v>
      </c>
      <c r="M3961" s="460">
        <f t="shared" si="179"/>
        <v>0.05</v>
      </c>
      <c r="N3961" s="464">
        <f t="shared" si="180"/>
        <v>171605</v>
      </c>
    </row>
    <row r="3962" spans="7:14" ht="11.25" customHeight="1" x14ac:dyDescent="0.3">
      <c r="G3962" s="459"/>
      <c r="H3962" s="459">
        <v>3955</v>
      </c>
      <c r="I3962" s="444">
        <f t="shared" ca="1" si="178"/>
        <v>230099254537.564</v>
      </c>
      <c r="J3962" s="444">
        <f t="array" ref="J3962">IFERROR(INDEX('Retirement Calculator'!J:J,MATCH('Isaac 401k'!N3962,'Retirement Calculator'!A:A,0),0),0)</f>
        <v>0</v>
      </c>
      <c r="K3962" s="444">
        <f t="shared" ca="1" si="176"/>
        <v>958746893.90651667</v>
      </c>
      <c r="L3962" s="444">
        <f t="shared" ca="1" si="177"/>
        <v>231058001431.47052</v>
      </c>
      <c r="M3962" s="460">
        <f t="shared" si="179"/>
        <v>0.05</v>
      </c>
      <c r="N3962" s="464">
        <f t="shared" si="180"/>
        <v>171635</v>
      </c>
    </row>
    <row r="3963" spans="7:14" ht="11.25" customHeight="1" x14ac:dyDescent="0.3">
      <c r="G3963" s="459"/>
      <c r="H3963" s="459">
        <v>3956</v>
      </c>
      <c r="I3963" s="444">
        <f t="shared" ca="1" si="178"/>
        <v>231058001431.47052</v>
      </c>
      <c r="J3963" s="444">
        <f t="array" ref="J3963">IFERROR(INDEX('Retirement Calculator'!J:J,MATCH('Isaac 401k'!N3963,'Retirement Calculator'!A:A,0),0),0)</f>
        <v>0</v>
      </c>
      <c r="K3963" s="444">
        <f t="shared" ca="1" si="176"/>
        <v>962741672.631127</v>
      </c>
      <c r="L3963" s="444">
        <f t="shared" ca="1" si="177"/>
        <v>232020743104.10165</v>
      </c>
      <c r="M3963" s="460">
        <f t="shared" si="179"/>
        <v>0.05</v>
      </c>
      <c r="N3963" s="464">
        <f t="shared" si="180"/>
        <v>171666</v>
      </c>
    </row>
    <row r="3964" spans="7:14" ht="11.25" customHeight="1" x14ac:dyDescent="0.3">
      <c r="G3964" s="459"/>
      <c r="H3964" s="459">
        <v>3957</v>
      </c>
      <c r="I3964" s="444">
        <f t="shared" ca="1" si="178"/>
        <v>232020743104.10165</v>
      </c>
      <c r="J3964" s="444">
        <f t="array" ref="J3964">IFERROR(INDEX('Retirement Calculator'!J:J,MATCH('Isaac 401k'!N3964,'Retirement Calculator'!A:A,0),0),0)</f>
        <v>0</v>
      </c>
      <c r="K3964" s="444">
        <f t="shared" ca="1" si="176"/>
        <v>966753096.2670902</v>
      </c>
      <c r="L3964" s="444">
        <f t="shared" ca="1" si="177"/>
        <v>232987496200.36874</v>
      </c>
      <c r="M3964" s="460">
        <f t="shared" si="179"/>
        <v>0.05</v>
      </c>
      <c r="N3964" s="464">
        <f t="shared" si="180"/>
        <v>171697</v>
      </c>
    </row>
    <row r="3965" spans="7:14" ht="11.25" customHeight="1" x14ac:dyDescent="0.3">
      <c r="G3965" s="459"/>
      <c r="H3965" s="459">
        <v>3958</v>
      </c>
      <c r="I3965" s="444">
        <f t="shared" ca="1" si="178"/>
        <v>232987496200.36874</v>
      </c>
      <c r="J3965" s="444">
        <f t="array" ref="J3965">IFERROR(INDEX('Retirement Calculator'!J:J,MATCH('Isaac 401k'!N3965,'Retirement Calculator'!A:A,0),0),0)</f>
        <v>0</v>
      </c>
      <c r="K3965" s="444">
        <f t="shared" ca="1" si="176"/>
        <v>970781234.16820312</v>
      </c>
      <c r="L3965" s="444">
        <f t="shared" ca="1" si="177"/>
        <v>233958277434.53696</v>
      </c>
      <c r="M3965" s="460">
        <f t="shared" si="179"/>
        <v>0.05</v>
      </c>
      <c r="N3965" s="464">
        <f t="shared" si="180"/>
        <v>171725</v>
      </c>
    </row>
    <row r="3966" spans="7:14" ht="11.25" customHeight="1" x14ac:dyDescent="0.3">
      <c r="G3966" s="459"/>
      <c r="H3966" s="459">
        <v>3959</v>
      </c>
      <c r="I3966" s="444">
        <f t="shared" ca="1" si="178"/>
        <v>233958277434.53696</v>
      </c>
      <c r="J3966" s="444">
        <f t="array" ref="J3966">IFERROR(INDEX('Retirement Calculator'!J:J,MATCH('Isaac 401k'!N3966,'Retirement Calculator'!A:A,0),0),0)</f>
        <v>0</v>
      </c>
      <c r="K3966" s="444">
        <f t="shared" ca="1" si="176"/>
        <v>974826155.97723722</v>
      </c>
      <c r="L3966" s="444">
        <f t="shared" ca="1" si="177"/>
        <v>234933103590.51419</v>
      </c>
      <c r="M3966" s="460">
        <f t="shared" si="179"/>
        <v>0.05</v>
      </c>
      <c r="N3966" s="464">
        <f t="shared" si="180"/>
        <v>171756</v>
      </c>
    </row>
    <row r="3967" spans="7:14" ht="11.25" customHeight="1" x14ac:dyDescent="0.3">
      <c r="G3967" s="459"/>
      <c r="H3967" s="459">
        <v>3960</v>
      </c>
      <c r="I3967" s="444">
        <f t="shared" ca="1" si="178"/>
        <v>234933103590.51419</v>
      </c>
      <c r="J3967" s="444">
        <f t="array" ref="J3967">IFERROR(INDEX('Retirement Calculator'!J:J,MATCH('Isaac 401k'!N3967,'Retirement Calculator'!A:A,0),0),0)</f>
        <v>0</v>
      </c>
      <c r="K3967" s="444">
        <f t="shared" ca="1" si="176"/>
        <v>978887931.62714231</v>
      </c>
      <c r="L3967" s="444">
        <f t="shared" ca="1" si="177"/>
        <v>235911991522.14133</v>
      </c>
      <c r="M3967" s="460">
        <f t="shared" si="179"/>
        <v>0.05</v>
      </c>
      <c r="N3967" s="464">
        <f t="shared" si="180"/>
        <v>171786</v>
      </c>
    </row>
    <row r="3968" spans="7:14" ht="11.25" customHeight="1" x14ac:dyDescent="0.3">
      <c r="G3968" s="459"/>
      <c r="H3968" s="459">
        <v>3961</v>
      </c>
      <c r="I3968" s="444">
        <f t="shared" ca="1" si="178"/>
        <v>235911991522.14133</v>
      </c>
      <c r="J3968" s="444">
        <f t="array" ref="J3968">IFERROR(INDEX('Retirement Calculator'!J:J,MATCH('Isaac 401k'!N3968,'Retirement Calculator'!A:A,0),0),0)</f>
        <v>0</v>
      </c>
      <c r="K3968" s="444">
        <f t="shared" ca="1" si="176"/>
        <v>982966631.34225535</v>
      </c>
      <c r="L3968" s="444">
        <f t="shared" ca="1" si="177"/>
        <v>236894958153.48358</v>
      </c>
      <c r="M3968" s="460">
        <f t="shared" si="179"/>
        <v>0.05</v>
      </c>
      <c r="N3968" s="464">
        <f t="shared" si="180"/>
        <v>171817</v>
      </c>
    </row>
    <row r="3969" spans="7:14" ht="11.25" customHeight="1" x14ac:dyDescent="0.3">
      <c r="G3969" s="459"/>
      <c r="H3969" s="459">
        <v>3962</v>
      </c>
      <c r="I3969" s="444">
        <f t="shared" ca="1" si="178"/>
        <v>236894958153.48358</v>
      </c>
      <c r="J3969" s="444">
        <f t="array" ref="J3969">IFERROR(INDEX('Retirement Calculator'!J:J,MATCH('Isaac 401k'!N3969,'Retirement Calculator'!A:A,0),0),0)</f>
        <v>0</v>
      </c>
      <c r="K3969" s="444">
        <f t="shared" ca="1" si="176"/>
        <v>987062325.63951492</v>
      </c>
      <c r="L3969" s="444">
        <f t="shared" ca="1" si="177"/>
        <v>237882020479.12311</v>
      </c>
      <c r="M3969" s="460">
        <f t="shared" si="179"/>
        <v>0.05</v>
      </c>
      <c r="N3969" s="464">
        <f t="shared" si="180"/>
        <v>171847</v>
      </c>
    </row>
    <row r="3970" spans="7:14" ht="11.25" customHeight="1" x14ac:dyDescent="0.3">
      <c r="G3970" s="459"/>
      <c r="H3970" s="459">
        <v>3963</v>
      </c>
      <c r="I3970" s="444">
        <f t="shared" ca="1" si="178"/>
        <v>237882020479.12311</v>
      </c>
      <c r="J3970" s="444">
        <f t="array" ref="J3970">IFERROR(INDEX('Retirement Calculator'!J:J,MATCH('Isaac 401k'!N3970,'Retirement Calculator'!A:A,0),0),0)</f>
        <v>0</v>
      </c>
      <c r="K3970" s="444">
        <f t="shared" ca="1" si="176"/>
        <v>991175085.32967961</v>
      </c>
      <c r="L3970" s="444">
        <f t="shared" ca="1" si="177"/>
        <v>238873195564.45279</v>
      </c>
      <c r="M3970" s="460">
        <f t="shared" si="179"/>
        <v>0.05</v>
      </c>
      <c r="N3970" s="464">
        <f t="shared" si="180"/>
        <v>171878</v>
      </c>
    </row>
    <row r="3971" spans="7:14" ht="11.25" customHeight="1" x14ac:dyDescent="0.3">
      <c r="G3971" s="459"/>
      <c r="H3971" s="459">
        <v>3964</v>
      </c>
      <c r="I3971" s="444">
        <f t="shared" ca="1" si="178"/>
        <v>238873195564.45279</v>
      </c>
      <c r="J3971" s="444">
        <f t="array" ref="J3971">IFERROR(INDEX('Retirement Calculator'!J:J,MATCH('Isaac 401k'!N3971,'Retirement Calculator'!A:A,0),0),0)</f>
        <v>0</v>
      </c>
      <c r="K3971" s="444">
        <f t="shared" ca="1" si="176"/>
        <v>995304981.51855338</v>
      </c>
      <c r="L3971" s="444">
        <f t="shared" ca="1" si="177"/>
        <v>239868500545.97134</v>
      </c>
      <c r="M3971" s="460">
        <f t="shared" si="179"/>
        <v>0.05</v>
      </c>
      <c r="N3971" s="464">
        <f t="shared" si="180"/>
        <v>171909</v>
      </c>
    </row>
    <row r="3972" spans="7:14" ht="11.25" customHeight="1" x14ac:dyDescent="0.3">
      <c r="G3972" s="459"/>
      <c r="H3972" s="459">
        <v>3965</v>
      </c>
      <c r="I3972" s="444">
        <f t="shared" ca="1" si="178"/>
        <v>239868500545.97134</v>
      </c>
      <c r="J3972" s="444">
        <f t="array" ref="J3972">IFERROR(INDEX('Retirement Calculator'!J:J,MATCH('Isaac 401k'!N3972,'Retirement Calculator'!A:A,0),0),0)</f>
        <v>0</v>
      </c>
      <c r="K3972" s="444">
        <f t="shared" ca="1" si="176"/>
        <v>999452085.60821378</v>
      </c>
      <c r="L3972" s="444">
        <f t="shared" ca="1" si="177"/>
        <v>240867952631.57956</v>
      </c>
      <c r="M3972" s="460">
        <f t="shared" si="179"/>
        <v>0.05</v>
      </c>
      <c r="N3972" s="464">
        <f t="shared" si="180"/>
        <v>171939</v>
      </c>
    </row>
    <row r="3973" spans="7:14" ht="11.25" customHeight="1" x14ac:dyDescent="0.3">
      <c r="G3973" s="459"/>
      <c r="H3973" s="459">
        <v>3966</v>
      </c>
      <c r="I3973" s="444">
        <f t="shared" ca="1" si="178"/>
        <v>240867952631.57956</v>
      </c>
      <c r="J3973" s="444">
        <f t="array" ref="J3973">IFERROR(INDEX('Retirement Calculator'!J:J,MATCH('Isaac 401k'!N3973,'Retirement Calculator'!A:A,0),0),0)</f>
        <v>0</v>
      </c>
      <c r="K3973" s="444">
        <f t="shared" ca="1" si="176"/>
        <v>1003616469.2982481</v>
      </c>
      <c r="L3973" s="444">
        <f t="shared" ca="1" si="177"/>
        <v>241871569100.87781</v>
      </c>
      <c r="M3973" s="460">
        <f t="shared" si="179"/>
        <v>0.05</v>
      </c>
      <c r="N3973" s="464">
        <f t="shared" si="180"/>
        <v>171970</v>
      </c>
    </row>
    <row r="3974" spans="7:14" ht="11.25" customHeight="1" x14ac:dyDescent="0.3">
      <c r="G3974" s="459"/>
      <c r="H3974" s="459">
        <v>3967</v>
      </c>
      <c r="I3974" s="444">
        <f t="shared" ca="1" si="178"/>
        <v>241871569100.87781</v>
      </c>
      <c r="J3974" s="444">
        <f t="array" ref="J3974">IFERROR(INDEX('Retirement Calculator'!J:J,MATCH('Isaac 401k'!N3974,'Retirement Calculator'!A:A,0),0),0)</f>
        <v>0</v>
      </c>
      <c r="K3974" s="444">
        <f t="shared" ca="1" si="176"/>
        <v>1007798204.586991</v>
      </c>
      <c r="L3974" s="444">
        <f t="shared" ca="1" si="177"/>
        <v>242879367305.46481</v>
      </c>
      <c r="M3974" s="460">
        <f t="shared" si="179"/>
        <v>0.05</v>
      </c>
      <c r="N3974" s="464">
        <f t="shared" si="180"/>
        <v>172000</v>
      </c>
    </row>
    <row r="3975" spans="7:14" ht="11.25" customHeight="1" x14ac:dyDescent="0.3">
      <c r="G3975" s="459"/>
      <c r="H3975" s="459">
        <v>3968</v>
      </c>
      <c r="I3975" s="444">
        <f t="shared" ca="1" si="178"/>
        <v>242879367305.46481</v>
      </c>
      <c r="J3975" s="444">
        <f t="array" ref="J3975">IFERROR(INDEX('Retirement Calculator'!J:J,MATCH('Isaac 401k'!N3975,'Retirement Calculator'!A:A,0),0),0)</f>
        <v>0</v>
      </c>
      <c r="K3975" s="444">
        <f t="shared" ca="1" si="176"/>
        <v>1011997363.77277</v>
      </c>
      <c r="L3975" s="444">
        <f t="shared" ca="1" si="177"/>
        <v>243891364669.23758</v>
      </c>
      <c r="M3975" s="460">
        <f t="shared" si="179"/>
        <v>0.05</v>
      </c>
      <c r="N3975" s="464">
        <f t="shared" si="180"/>
        <v>172031</v>
      </c>
    </row>
    <row r="3976" spans="7:14" ht="11.25" customHeight="1" x14ac:dyDescent="0.3">
      <c r="G3976" s="459"/>
      <c r="H3976" s="459">
        <v>3969</v>
      </c>
      <c r="I3976" s="444">
        <f t="shared" ca="1" si="178"/>
        <v>243891364669.23758</v>
      </c>
      <c r="J3976" s="444">
        <f t="array" ref="J3976">IFERROR(INDEX('Retirement Calculator'!J:J,MATCH('Isaac 401k'!N3976,'Retirement Calculator'!A:A,0),0),0)</f>
        <v>0</v>
      </c>
      <c r="K3976" s="444">
        <f t="shared" ca="1" si="176"/>
        <v>1016214019.4551567</v>
      </c>
      <c r="L3976" s="444">
        <f t="shared" ca="1" si="177"/>
        <v>244907578688.69275</v>
      </c>
      <c r="M3976" s="460">
        <f t="shared" si="179"/>
        <v>0.05</v>
      </c>
      <c r="N3976" s="464">
        <f t="shared" si="180"/>
        <v>172062</v>
      </c>
    </row>
    <row r="3977" spans="7:14" ht="11.25" customHeight="1" x14ac:dyDescent="0.3">
      <c r="G3977" s="459"/>
      <c r="H3977" s="459">
        <v>3970</v>
      </c>
      <c r="I3977" s="444">
        <f t="shared" ca="1" si="178"/>
        <v>244907578688.69275</v>
      </c>
      <c r="J3977" s="444">
        <f t="array" ref="J3977">IFERROR(INDEX('Retirement Calculator'!J:J,MATCH('Isaac 401k'!N3977,'Retirement Calculator'!A:A,0),0),0)</f>
        <v>0</v>
      </c>
      <c r="K3977" s="444">
        <f t="shared" ca="1" si="176"/>
        <v>1020448244.5362197</v>
      </c>
      <c r="L3977" s="444">
        <f t="shared" ca="1" si="177"/>
        <v>245928026933.22897</v>
      </c>
      <c r="M3977" s="460">
        <f t="shared" si="179"/>
        <v>0.05</v>
      </c>
      <c r="N3977" s="464">
        <f t="shared" si="180"/>
        <v>172090</v>
      </c>
    </row>
    <row r="3978" spans="7:14" ht="11.25" customHeight="1" x14ac:dyDescent="0.3">
      <c r="G3978" s="459"/>
      <c r="H3978" s="459">
        <v>3971</v>
      </c>
      <c r="I3978" s="444">
        <f t="shared" ca="1" si="178"/>
        <v>245928026933.22897</v>
      </c>
      <c r="J3978" s="444">
        <f t="array" ref="J3978">IFERROR(INDEX('Retirement Calculator'!J:J,MATCH('Isaac 401k'!N3978,'Retirement Calculator'!A:A,0),0),0)</f>
        <v>0</v>
      </c>
      <c r="K3978" s="444">
        <f t="shared" ca="1" si="176"/>
        <v>1024700112.2217875</v>
      </c>
      <c r="L3978" s="444">
        <f t="shared" ca="1" si="177"/>
        <v>246952727045.45078</v>
      </c>
      <c r="M3978" s="460">
        <f t="shared" si="179"/>
        <v>0.05</v>
      </c>
      <c r="N3978" s="464">
        <f t="shared" si="180"/>
        <v>172121</v>
      </c>
    </row>
    <row r="3979" spans="7:14" ht="11.25" customHeight="1" x14ac:dyDescent="0.3">
      <c r="G3979" s="459"/>
      <c r="H3979" s="459">
        <v>3972</v>
      </c>
      <c r="I3979" s="444">
        <f t="shared" ca="1" si="178"/>
        <v>246952727045.45078</v>
      </c>
      <c r="J3979" s="444">
        <f t="array" ref="J3979">IFERROR(INDEX('Retirement Calculator'!J:J,MATCH('Isaac 401k'!N3979,'Retirement Calculator'!A:A,0),0),0)</f>
        <v>0</v>
      </c>
      <c r="K3979" s="444">
        <f t="shared" ca="1" si="176"/>
        <v>1028969696.0227115</v>
      </c>
      <c r="L3979" s="444">
        <f t="shared" ca="1" si="177"/>
        <v>247981696741.47348</v>
      </c>
      <c r="M3979" s="460">
        <f t="shared" si="179"/>
        <v>0.05</v>
      </c>
      <c r="N3979" s="464">
        <f t="shared" si="180"/>
        <v>172151</v>
      </c>
    </row>
    <row r="3980" spans="7:14" ht="11.25" customHeight="1" x14ac:dyDescent="0.3">
      <c r="G3980" s="459"/>
      <c r="H3980" s="459">
        <v>3973</v>
      </c>
      <c r="I3980" s="444">
        <f t="shared" ca="1" si="178"/>
        <v>247981696741.47348</v>
      </c>
      <c r="J3980" s="444">
        <f t="array" ref="J3980">IFERROR(INDEX('Retirement Calculator'!J:J,MATCH('Isaac 401k'!N3980,'Retirement Calculator'!A:A,0),0),0)</f>
        <v>0</v>
      </c>
      <c r="K3980" s="444">
        <f t="shared" ca="1" si="176"/>
        <v>1033257069.7561394</v>
      </c>
      <c r="L3980" s="444">
        <f t="shared" ca="1" si="177"/>
        <v>249014953811.22961</v>
      </c>
      <c r="M3980" s="460">
        <f t="shared" si="179"/>
        <v>0.05</v>
      </c>
      <c r="N3980" s="464">
        <f t="shared" si="180"/>
        <v>172182</v>
      </c>
    </row>
    <row r="3981" spans="7:14" ht="11.25" customHeight="1" x14ac:dyDescent="0.3">
      <c r="G3981" s="459"/>
      <c r="H3981" s="459">
        <v>3974</v>
      </c>
      <c r="I3981" s="444">
        <f t="shared" ca="1" si="178"/>
        <v>249014953811.22961</v>
      </c>
      <c r="J3981" s="444">
        <f t="array" ref="J3981">IFERROR(INDEX('Retirement Calculator'!J:J,MATCH('Isaac 401k'!N3981,'Retirement Calculator'!A:A,0),0),0)</f>
        <v>0</v>
      </c>
      <c r="K3981" s="444">
        <f t="shared" ca="1" si="176"/>
        <v>1037562307.54679</v>
      </c>
      <c r="L3981" s="444">
        <f t="shared" ca="1" si="177"/>
        <v>250052516118.7764</v>
      </c>
      <c r="M3981" s="460">
        <f t="shared" si="179"/>
        <v>0.05</v>
      </c>
      <c r="N3981" s="464">
        <f t="shared" si="180"/>
        <v>172212</v>
      </c>
    </row>
    <row r="3982" spans="7:14" ht="11.25" customHeight="1" x14ac:dyDescent="0.3">
      <c r="G3982" s="459"/>
      <c r="H3982" s="459">
        <v>3975</v>
      </c>
      <c r="I3982" s="444">
        <f t="shared" ca="1" si="178"/>
        <v>250052516118.7764</v>
      </c>
      <c r="J3982" s="444">
        <f t="array" ref="J3982">IFERROR(INDEX('Retirement Calculator'!J:J,MATCH('Isaac 401k'!N3982,'Retirement Calculator'!A:A,0),0),0)</f>
        <v>0</v>
      </c>
      <c r="K3982" s="444">
        <f t="shared" ca="1" si="176"/>
        <v>1041885483.8282351</v>
      </c>
      <c r="L3982" s="444">
        <f t="shared" ca="1" si="177"/>
        <v>251094401602.60464</v>
      </c>
      <c r="M3982" s="460">
        <f t="shared" si="179"/>
        <v>0.05</v>
      </c>
      <c r="N3982" s="464">
        <f t="shared" si="180"/>
        <v>172243</v>
      </c>
    </row>
    <row r="3983" spans="7:14" ht="11.25" customHeight="1" x14ac:dyDescent="0.3">
      <c r="G3983" s="459"/>
      <c r="H3983" s="459">
        <v>3976</v>
      </c>
      <c r="I3983" s="444">
        <f t="shared" ca="1" si="178"/>
        <v>251094401602.60464</v>
      </c>
      <c r="J3983" s="444">
        <f t="array" ref="J3983">IFERROR(INDEX('Retirement Calculator'!J:J,MATCH('Isaac 401k'!N3983,'Retirement Calculator'!A:A,0),0),0)</f>
        <v>0</v>
      </c>
      <c r="K3983" s="444">
        <f t="shared" ca="1" si="176"/>
        <v>1046226673.3441862</v>
      </c>
      <c r="L3983" s="444">
        <f t="shared" ca="1" si="177"/>
        <v>252140628275.94882</v>
      </c>
      <c r="M3983" s="460">
        <f t="shared" si="179"/>
        <v>0.05</v>
      </c>
      <c r="N3983" s="464">
        <f t="shared" si="180"/>
        <v>172274</v>
      </c>
    </row>
    <row r="3984" spans="7:14" ht="11.25" customHeight="1" x14ac:dyDescent="0.3">
      <c r="G3984" s="459"/>
      <c r="H3984" s="459">
        <v>3977</v>
      </c>
      <c r="I3984" s="444">
        <f t="shared" ca="1" si="178"/>
        <v>252140628275.94882</v>
      </c>
      <c r="J3984" s="444">
        <f t="array" ref="J3984">IFERROR(INDEX('Retirement Calculator'!J:J,MATCH('Isaac 401k'!N3984,'Retirement Calculator'!A:A,0),0),0)</f>
        <v>0</v>
      </c>
      <c r="K3984" s="444">
        <f t="shared" ca="1" si="176"/>
        <v>1050585951.1497868</v>
      </c>
      <c r="L3984" s="444">
        <f t="shared" ca="1" si="177"/>
        <v>253191214227.0986</v>
      </c>
      <c r="M3984" s="460">
        <f t="shared" si="179"/>
        <v>0.05</v>
      </c>
      <c r="N3984" s="464">
        <f t="shared" si="180"/>
        <v>172304</v>
      </c>
    </row>
    <row r="3985" spans="7:14" ht="11.25" customHeight="1" x14ac:dyDescent="0.3">
      <c r="G3985" s="459"/>
      <c r="H3985" s="459">
        <v>3978</v>
      </c>
      <c r="I3985" s="444">
        <f t="shared" ca="1" si="178"/>
        <v>253191214227.0986</v>
      </c>
      <c r="J3985" s="444">
        <f t="array" ref="J3985">IFERROR(INDEX('Retirement Calculator'!J:J,MATCH('Isaac 401k'!N3985,'Retirement Calculator'!A:A,0),0),0)</f>
        <v>0</v>
      </c>
      <c r="K3985" s="444">
        <f t="shared" ca="1" si="176"/>
        <v>1054963392.6129109</v>
      </c>
      <c r="L3985" s="444">
        <f t="shared" ca="1" si="177"/>
        <v>254246177619.71152</v>
      </c>
      <c r="M3985" s="460">
        <f t="shared" si="179"/>
        <v>0.05</v>
      </c>
      <c r="N3985" s="464">
        <f t="shared" si="180"/>
        <v>172335</v>
      </c>
    </row>
    <row r="3986" spans="7:14" ht="11.25" customHeight="1" x14ac:dyDescent="0.3">
      <c r="G3986" s="459"/>
      <c r="H3986" s="459">
        <v>3979</v>
      </c>
      <c r="I3986" s="444">
        <f t="shared" ca="1" si="178"/>
        <v>254246177619.71152</v>
      </c>
      <c r="J3986" s="444">
        <f t="array" ref="J3986">IFERROR(INDEX('Retirement Calculator'!J:J,MATCH('Isaac 401k'!N3986,'Retirement Calculator'!A:A,0),0),0)</f>
        <v>0</v>
      </c>
      <c r="K3986" s="444">
        <f t="shared" ca="1" si="176"/>
        <v>1059359073.4154646</v>
      </c>
      <c r="L3986" s="444">
        <f t="shared" ca="1" si="177"/>
        <v>255305536693.12698</v>
      </c>
      <c r="M3986" s="460">
        <f t="shared" si="179"/>
        <v>0.05</v>
      </c>
      <c r="N3986" s="464">
        <f t="shared" si="180"/>
        <v>172365</v>
      </c>
    </row>
    <row r="3987" spans="7:14" ht="11.25" customHeight="1" x14ac:dyDescent="0.3">
      <c r="G3987" s="459"/>
      <c r="H3987" s="459">
        <v>3980</v>
      </c>
      <c r="I3987" s="444">
        <f t="shared" ca="1" si="178"/>
        <v>255305536693.12698</v>
      </c>
      <c r="J3987" s="444">
        <f t="array" ref="J3987">IFERROR(INDEX('Retirement Calculator'!J:J,MATCH('Isaac 401k'!N3987,'Retirement Calculator'!A:A,0),0),0)</f>
        <v>0</v>
      </c>
      <c r="K3987" s="444">
        <f t="shared" ca="1" si="176"/>
        <v>1063773069.5546956</v>
      </c>
      <c r="L3987" s="444">
        <f t="shared" ca="1" si="177"/>
        <v>256369309762.68167</v>
      </c>
      <c r="M3987" s="460">
        <f t="shared" si="179"/>
        <v>0.05</v>
      </c>
      <c r="N3987" s="464">
        <f t="shared" si="180"/>
        <v>172396</v>
      </c>
    </row>
    <row r="3988" spans="7:14" ht="11.25" customHeight="1" x14ac:dyDescent="0.3">
      <c r="G3988" s="459"/>
      <c r="H3988" s="459">
        <v>3981</v>
      </c>
      <c r="I3988" s="444">
        <f t="shared" ca="1" si="178"/>
        <v>256369309762.68167</v>
      </c>
      <c r="J3988" s="444">
        <f t="array" ref="J3988">IFERROR(INDEX('Retirement Calculator'!J:J,MATCH('Isaac 401k'!N3988,'Retirement Calculator'!A:A,0),0),0)</f>
        <v>0</v>
      </c>
      <c r="K3988" s="444">
        <f t="shared" ca="1" si="176"/>
        <v>1068205457.344507</v>
      </c>
      <c r="L3988" s="444">
        <f t="shared" ca="1" si="177"/>
        <v>257437515220.02618</v>
      </c>
      <c r="M3988" s="460">
        <f t="shared" si="179"/>
        <v>0.05</v>
      </c>
      <c r="N3988" s="464">
        <f t="shared" si="180"/>
        <v>172427</v>
      </c>
    </row>
    <row r="3989" spans="7:14" ht="11.25" customHeight="1" x14ac:dyDescent="0.3">
      <c r="G3989" s="459"/>
      <c r="H3989" s="459">
        <v>3982</v>
      </c>
      <c r="I3989" s="444">
        <f t="shared" ca="1" si="178"/>
        <v>257437515220.02618</v>
      </c>
      <c r="J3989" s="444">
        <f t="array" ref="J3989">IFERROR(INDEX('Retirement Calculator'!J:J,MATCH('Isaac 401k'!N3989,'Retirement Calculator'!A:A,0),0),0)</f>
        <v>0</v>
      </c>
      <c r="K3989" s="444">
        <f t="shared" ca="1" si="176"/>
        <v>1072656313.4167757</v>
      </c>
      <c r="L3989" s="444">
        <f t="shared" ca="1" si="177"/>
        <v>258510171533.44296</v>
      </c>
      <c r="M3989" s="460">
        <f t="shared" si="179"/>
        <v>0.05</v>
      </c>
      <c r="N3989" s="464">
        <f t="shared" si="180"/>
        <v>172456</v>
      </c>
    </row>
    <row r="3990" spans="7:14" ht="11.25" customHeight="1" x14ac:dyDescent="0.3">
      <c r="G3990" s="459"/>
      <c r="H3990" s="459">
        <v>3983</v>
      </c>
      <c r="I3990" s="444">
        <f t="shared" ca="1" si="178"/>
        <v>258510171533.44296</v>
      </c>
      <c r="J3990" s="444">
        <f t="array" ref="J3990">IFERROR(INDEX('Retirement Calculator'!J:J,MATCH('Isaac 401k'!N3990,'Retirement Calculator'!A:A,0),0),0)</f>
        <v>0</v>
      </c>
      <c r="K3990" s="444">
        <f t="shared" ca="1" si="176"/>
        <v>1077125714.7226789</v>
      </c>
      <c r="L3990" s="444">
        <f t="shared" ca="1" si="177"/>
        <v>259587297248.16565</v>
      </c>
      <c r="M3990" s="460">
        <f t="shared" si="179"/>
        <v>0.05</v>
      </c>
      <c r="N3990" s="464">
        <f t="shared" si="180"/>
        <v>172487</v>
      </c>
    </row>
    <row r="3991" spans="7:14" ht="11.25" customHeight="1" x14ac:dyDescent="0.3">
      <c r="G3991" s="459"/>
      <c r="H3991" s="459">
        <v>3984</v>
      </c>
      <c r="I3991" s="444">
        <f t="shared" ca="1" si="178"/>
        <v>259587297248.16565</v>
      </c>
      <c r="J3991" s="444">
        <f t="array" ref="J3991">IFERROR(INDEX('Retirement Calculator'!J:J,MATCH('Isaac 401k'!N3991,'Retirement Calculator'!A:A,0),0),0)</f>
        <v>0</v>
      </c>
      <c r="K3991" s="444">
        <f t="shared" ca="1" si="176"/>
        <v>1081613738.5340238</v>
      </c>
      <c r="L3991" s="444">
        <f t="shared" ca="1" si="177"/>
        <v>260668910986.69968</v>
      </c>
      <c r="M3991" s="460">
        <f t="shared" si="179"/>
        <v>0.05</v>
      </c>
      <c r="N3991" s="464">
        <f t="shared" si="180"/>
        <v>172517</v>
      </c>
    </row>
    <row r="3992" spans="7:14" ht="11.25" customHeight="1" x14ac:dyDescent="0.3">
      <c r="G3992" s="459"/>
      <c r="H3992" s="459">
        <v>3985</v>
      </c>
      <c r="I3992" s="444">
        <f t="shared" ca="1" si="178"/>
        <v>260668910986.69968</v>
      </c>
      <c r="J3992" s="444">
        <f t="array" ref="J3992">IFERROR(INDEX('Retirement Calculator'!J:J,MATCH('Isaac 401k'!N3992,'Retirement Calculator'!A:A,0),0),0)</f>
        <v>0</v>
      </c>
      <c r="K3992" s="444">
        <f t="shared" ca="1" si="176"/>
        <v>1086120462.444582</v>
      </c>
      <c r="L3992" s="444">
        <f t="shared" ca="1" si="177"/>
        <v>261755031449.14426</v>
      </c>
      <c r="M3992" s="460">
        <f t="shared" si="179"/>
        <v>0.05</v>
      </c>
      <c r="N3992" s="464">
        <f t="shared" si="180"/>
        <v>172548</v>
      </c>
    </row>
    <row r="3993" spans="7:14" ht="11.25" customHeight="1" x14ac:dyDescent="0.3">
      <c r="G3993" s="459"/>
      <c r="H3993" s="459">
        <v>3986</v>
      </c>
      <c r="I3993" s="444">
        <f t="shared" ca="1" si="178"/>
        <v>261755031449.14426</v>
      </c>
      <c r="J3993" s="444">
        <f t="array" ref="J3993">IFERROR(INDEX('Retirement Calculator'!J:J,MATCH('Isaac 401k'!N3993,'Retirement Calculator'!A:A,0),0),0)</f>
        <v>0</v>
      </c>
      <c r="K3993" s="444">
        <f t="shared" ca="1" si="176"/>
        <v>1090645964.3714345</v>
      </c>
      <c r="L3993" s="444">
        <f t="shared" ca="1" si="177"/>
        <v>262845677413.51569</v>
      </c>
      <c r="M3993" s="460">
        <f t="shared" si="179"/>
        <v>0.05</v>
      </c>
      <c r="N3993" s="464">
        <f t="shared" si="180"/>
        <v>172578</v>
      </c>
    </row>
    <row r="3994" spans="7:14" ht="11.25" customHeight="1" x14ac:dyDescent="0.3">
      <c r="G3994" s="459"/>
      <c r="H3994" s="459">
        <v>3987</v>
      </c>
      <c r="I3994" s="444">
        <f t="shared" ca="1" si="178"/>
        <v>262845677413.51569</v>
      </c>
      <c r="J3994" s="444">
        <f t="array" ref="J3994">IFERROR(INDEX('Retirement Calculator'!J:J,MATCH('Isaac 401k'!N3994,'Retirement Calculator'!A:A,0),0),0)</f>
        <v>0</v>
      </c>
      <c r="K3994" s="444">
        <f t="shared" ca="1" si="176"/>
        <v>1095190322.5563154</v>
      </c>
      <c r="L3994" s="444">
        <f t="shared" ca="1" si="177"/>
        <v>263940867736.07199</v>
      </c>
      <c r="M3994" s="460">
        <f t="shared" si="179"/>
        <v>0.05</v>
      </c>
      <c r="N3994" s="464">
        <f t="shared" si="180"/>
        <v>172609</v>
      </c>
    </row>
    <row r="3995" spans="7:14" ht="11.25" customHeight="1" x14ac:dyDescent="0.3">
      <c r="G3995" s="459"/>
      <c r="H3995" s="459">
        <v>3988</v>
      </c>
      <c r="I3995" s="444">
        <f t="shared" ca="1" si="178"/>
        <v>263940867736.07199</v>
      </c>
      <c r="J3995" s="444">
        <f t="array" ref="J3995">IFERROR(INDEX('Retirement Calculator'!J:J,MATCH('Isaac 401k'!N3995,'Retirement Calculator'!A:A,0),0),0)</f>
        <v>0</v>
      </c>
      <c r="K3995" s="444">
        <f t="shared" ca="1" si="176"/>
        <v>1099753615.5669665</v>
      </c>
      <c r="L3995" s="444">
        <f t="shared" ca="1" si="177"/>
        <v>265040621351.63895</v>
      </c>
      <c r="M3995" s="460">
        <f t="shared" si="179"/>
        <v>0.05</v>
      </c>
      <c r="N3995" s="464">
        <f t="shared" si="180"/>
        <v>172640</v>
      </c>
    </row>
    <row r="3996" spans="7:14" ht="11.25" customHeight="1" x14ac:dyDescent="0.3">
      <c r="G3996" s="459"/>
      <c r="H3996" s="459">
        <v>3989</v>
      </c>
      <c r="I3996" s="444">
        <f t="shared" ca="1" si="178"/>
        <v>265040621351.63895</v>
      </c>
      <c r="J3996" s="444">
        <f t="array" ref="J3996">IFERROR(INDEX('Retirement Calculator'!J:J,MATCH('Isaac 401k'!N3996,'Retirement Calculator'!A:A,0),0),0)</f>
        <v>0</v>
      </c>
      <c r="K3996" s="444">
        <f t="shared" ca="1" si="176"/>
        <v>1104335922.2984958</v>
      </c>
      <c r="L3996" s="444">
        <f t="shared" ca="1" si="177"/>
        <v>266144957273.93744</v>
      </c>
      <c r="M3996" s="460">
        <f t="shared" si="179"/>
        <v>0.05</v>
      </c>
      <c r="N3996" s="464">
        <f t="shared" si="180"/>
        <v>172670</v>
      </c>
    </row>
    <row r="3997" spans="7:14" ht="11.25" customHeight="1" x14ac:dyDescent="0.3">
      <c r="G3997" s="459"/>
      <c r="H3997" s="459">
        <v>3990</v>
      </c>
      <c r="I3997" s="444">
        <f t="shared" ca="1" si="178"/>
        <v>266144957273.93744</v>
      </c>
      <c r="J3997" s="444">
        <f t="array" ref="J3997">IFERROR(INDEX('Retirement Calculator'!J:J,MATCH('Isaac 401k'!N3997,'Retirement Calculator'!A:A,0),0),0)</f>
        <v>0</v>
      </c>
      <c r="K3997" s="444">
        <f t="shared" ca="1" si="176"/>
        <v>1108937321.9747396</v>
      </c>
      <c r="L3997" s="444">
        <f t="shared" ca="1" si="177"/>
        <v>267253894595.91217</v>
      </c>
      <c r="M3997" s="460">
        <f t="shared" si="179"/>
        <v>0.05</v>
      </c>
      <c r="N3997" s="464">
        <f t="shared" si="180"/>
        <v>172701</v>
      </c>
    </row>
    <row r="3998" spans="7:14" ht="11.25" customHeight="1" x14ac:dyDescent="0.3">
      <c r="G3998" s="459"/>
      <c r="H3998" s="459">
        <v>3991</v>
      </c>
      <c r="I3998" s="444">
        <f t="shared" ca="1" si="178"/>
        <v>267253894595.91217</v>
      </c>
      <c r="J3998" s="444">
        <f t="array" ref="J3998">IFERROR(INDEX('Retirement Calculator'!J:J,MATCH('Isaac 401k'!N3998,'Retirement Calculator'!A:A,0),0),0)</f>
        <v>0</v>
      </c>
      <c r="K3998" s="444">
        <f t="shared" ca="1" si="176"/>
        <v>1113557894.1496339</v>
      </c>
      <c r="L3998" s="444">
        <f t="shared" ca="1" si="177"/>
        <v>268367452490.0618</v>
      </c>
      <c r="M3998" s="460">
        <f t="shared" si="179"/>
        <v>0.05</v>
      </c>
      <c r="N3998" s="464">
        <f t="shared" si="180"/>
        <v>172731</v>
      </c>
    </row>
    <row r="3999" spans="7:14" ht="11.25" customHeight="1" x14ac:dyDescent="0.3">
      <c r="G3999" s="459"/>
      <c r="H3999" s="459">
        <v>3992</v>
      </c>
      <c r="I3999" s="444">
        <f t="shared" ca="1" si="178"/>
        <v>268367452490.0618</v>
      </c>
      <c r="J3999" s="444">
        <f t="array" ref="J3999">IFERROR(INDEX('Retirement Calculator'!J:J,MATCH('Isaac 401k'!N3999,'Retirement Calculator'!A:A,0),0),0)</f>
        <v>0</v>
      </c>
      <c r="K3999" s="444">
        <f t="shared" ca="1" si="176"/>
        <v>1118197718.7085907</v>
      </c>
      <c r="L3999" s="444">
        <f t="shared" ca="1" si="177"/>
        <v>269485650208.77039</v>
      </c>
      <c r="M3999" s="460">
        <f t="shared" si="179"/>
        <v>0.05</v>
      </c>
      <c r="N3999" s="464">
        <f t="shared" si="180"/>
        <v>172762</v>
      </c>
    </row>
    <row r="4000" spans="7:14" ht="11.25" customHeight="1" x14ac:dyDescent="0.3">
      <c r="G4000" s="459"/>
      <c r="H4000" s="459">
        <v>3993</v>
      </c>
      <c r="I4000" s="444">
        <f t="shared" ca="1" si="178"/>
        <v>269485650208.77039</v>
      </c>
      <c r="J4000" s="444">
        <f t="array" ref="J4000">IFERROR(INDEX('Retirement Calculator'!J:J,MATCH('Isaac 401k'!N4000,'Retirement Calculator'!A:A,0),0),0)</f>
        <v>0</v>
      </c>
      <c r="K4000" s="444">
        <f t="shared" ca="1" si="176"/>
        <v>1122856875.8698766</v>
      </c>
      <c r="L4000" s="444">
        <f t="shared" ca="1" si="177"/>
        <v>270608507084.64026</v>
      </c>
      <c r="M4000" s="460">
        <f t="shared" si="179"/>
        <v>0.05</v>
      </c>
      <c r="N4000" s="464">
        <f t="shared" si="180"/>
        <v>172793</v>
      </c>
    </row>
    <row r="4001" spans="7:14" ht="11.25" customHeight="1" x14ac:dyDescent="0.3">
      <c r="G4001" s="459"/>
      <c r="H4001" s="459">
        <v>3994</v>
      </c>
      <c r="I4001" s="444">
        <f t="shared" ca="1" si="178"/>
        <v>270608507084.64026</v>
      </c>
      <c r="J4001" s="444">
        <f t="array" ref="J4001">IFERROR(INDEX('Retirement Calculator'!J:J,MATCH('Isaac 401k'!N4001,'Retirement Calculator'!A:A,0),0),0)</f>
        <v>0</v>
      </c>
      <c r="K4001" s="444">
        <f t="shared" ca="1" si="176"/>
        <v>1127535446.1860013</v>
      </c>
      <c r="L4001" s="444">
        <f t="shared" ca="1" si="177"/>
        <v>271736042530.82626</v>
      </c>
      <c r="M4001" s="460">
        <f t="shared" si="179"/>
        <v>0.05</v>
      </c>
      <c r="N4001" s="464">
        <f t="shared" si="180"/>
        <v>172821</v>
      </c>
    </row>
    <row r="4002" spans="7:14" ht="11.25" customHeight="1" x14ac:dyDescent="0.3">
      <c r="G4002" s="459"/>
      <c r="H4002" s="459">
        <v>3995</v>
      </c>
      <c r="I4002" s="444">
        <f t="shared" ca="1" si="178"/>
        <v>271736042530.82626</v>
      </c>
      <c r="J4002" s="444">
        <f t="array" ref="J4002">IFERROR(INDEX('Retirement Calculator'!J:J,MATCH('Isaac 401k'!N4002,'Retirement Calculator'!A:A,0),0),0)</f>
        <v>0</v>
      </c>
      <c r="K4002" s="444">
        <f t="shared" ca="1" si="176"/>
        <v>1132233510.5451095</v>
      </c>
      <c r="L4002" s="444">
        <f t="shared" ca="1" si="177"/>
        <v>272868276041.37137</v>
      </c>
      <c r="M4002" s="460">
        <f t="shared" si="179"/>
        <v>0.05</v>
      </c>
      <c r="N4002" s="464">
        <f t="shared" si="180"/>
        <v>172852</v>
      </c>
    </row>
    <row r="4003" spans="7:14" ht="11.25" customHeight="1" x14ac:dyDescent="0.3">
      <c r="G4003" s="459"/>
      <c r="H4003" s="459">
        <v>3996</v>
      </c>
      <c r="I4003" s="444">
        <f t="shared" ca="1" si="178"/>
        <v>272868276041.37137</v>
      </c>
      <c r="J4003" s="444">
        <f t="array" ref="J4003">IFERROR(INDEX('Retirement Calculator'!J:J,MATCH('Isaac 401k'!N4003,'Retirement Calculator'!A:A,0),0),0)</f>
        <v>0</v>
      </c>
      <c r="K4003" s="444">
        <f t="shared" ca="1" si="176"/>
        <v>1136951150.1723807</v>
      </c>
      <c r="L4003" s="444">
        <f t="shared" ca="1" si="177"/>
        <v>274005227191.54376</v>
      </c>
      <c r="M4003" s="460">
        <f t="shared" si="179"/>
        <v>0.05</v>
      </c>
      <c r="N4003" s="464">
        <f t="shared" si="180"/>
        <v>172882</v>
      </c>
    </row>
    <row r="4004" spans="7:14" ht="11.25" customHeight="1" x14ac:dyDescent="0.3">
      <c r="G4004" s="459"/>
      <c r="H4004" s="459">
        <v>3997</v>
      </c>
      <c r="I4004" s="444">
        <f t="shared" ca="1" si="178"/>
        <v>274005227191.54376</v>
      </c>
      <c r="J4004" s="444">
        <f t="array" ref="J4004">IFERROR(INDEX('Retirement Calculator'!J:J,MATCH('Isaac 401k'!N4004,'Retirement Calculator'!A:A,0),0),0)</f>
        <v>0</v>
      </c>
      <c r="K4004" s="444">
        <f t="shared" ca="1" si="176"/>
        <v>1141688446.6314323</v>
      </c>
      <c r="L4004" s="444">
        <f t="shared" ca="1" si="177"/>
        <v>275146915638.17517</v>
      </c>
      <c r="M4004" s="460">
        <f t="shared" si="179"/>
        <v>0.05</v>
      </c>
      <c r="N4004" s="464">
        <f t="shared" si="180"/>
        <v>172913</v>
      </c>
    </row>
    <row r="4005" spans="7:14" ht="11.25" customHeight="1" x14ac:dyDescent="0.3">
      <c r="G4005" s="459"/>
      <c r="H4005" s="459">
        <v>3998</v>
      </c>
      <c r="I4005" s="444">
        <f t="shared" ca="1" si="178"/>
        <v>275146915638.17517</v>
      </c>
      <c r="J4005" s="444">
        <f t="array" ref="J4005">IFERROR(INDEX('Retirement Calculator'!J:J,MATCH('Isaac 401k'!N4005,'Retirement Calculator'!A:A,0),0),0)</f>
        <v>0</v>
      </c>
      <c r="K4005" s="444">
        <f t="shared" ca="1" si="176"/>
        <v>1146445481.8257298</v>
      </c>
      <c r="L4005" s="444">
        <f t="shared" ca="1" si="177"/>
        <v>276293361120.00092</v>
      </c>
      <c r="M4005" s="460">
        <f t="shared" si="179"/>
        <v>0.05</v>
      </c>
      <c r="N4005" s="464">
        <f t="shared" si="180"/>
        <v>172943</v>
      </c>
    </row>
    <row r="4006" spans="7:14" ht="11.25" customHeight="1" x14ac:dyDescent="0.3">
      <c r="G4006" s="459"/>
      <c r="H4006" s="459">
        <v>3999</v>
      </c>
      <c r="I4006" s="444">
        <f t="shared" ca="1" si="178"/>
        <v>276293361120.00092</v>
      </c>
      <c r="J4006" s="444">
        <f t="array" ref="J4006">IFERROR(INDEX('Retirement Calculator'!J:J,MATCH('Isaac 401k'!N4006,'Retirement Calculator'!A:A,0),0),0)</f>
        <v>0</v>
      </c>
      <c r="K4006" s="444">
        <f t="shared" ca="1" si="176"/>
        <v>1151222338.0000038</v>
      </c>
      <c r="L4006" s="444">
        <f t="shared" ca="1" si="177"/>
        <v>277444583458.00092</v>
      </c>
      <c r="M4006" s="460">
        <f t="shared" si="179"/>
        <v>0.05</v>
      </c>
      <c r="N4006" s="464">
        <f t="shared" si="180"/>
        <v>172974</v>
      </c>
    </row>
    <row r="4007" spans="7:14" ht="11.25" customHeight="1" x14ac:dyDescent="0.3">
      <c r="G4007" s="459"/>
      <c r="H4007" s="459">
        <v>4000</v>
      </c>
      <c r="I4007" s="444">
        <f t="shared" ca="1" si="178"/>
        <v>277444583458.00092</v>
      </c>
      <c r="J4007" s="444">
        <f t="array" ref="J4007">IFERROR(INDEX('Retirement Calculator'!J:J,MATCH('Isaac 401k'!N4007,'Retirement Calculator'!A:A,0),0),0)</f>
        <v>0</v>
      </c>
      <c r="K4007" s="444">
        <f t="shared" ca="1" si="176"/>
        <v>1156019097.7416704</v>
      </c>
      <c r="L4007" s="444">
        <f t="shared" ca="1" si="177"/>
        <v>278600602555.74261</v>
      </c>
      <c r="M4007" s="460">
        <f t="shared" si="179"/>
        <v>0.05</v>
      </c>
      <c r="N4007" s="464">
        <f t="shared" si="180"/>
        <v>173005</v>
      </c>
    </row>
    <row r="4008" spans="7:14" ht="11.25" customHeight="1" x14ac:dyDescent="0.3">
      <c r="G4008" s="459"/>
      <c r="H4008" s="459">
        <v>4001</v>
      </c>
      <c r="I4008" s="444">
        <f t="shared" ca="1" si="178"/>
        <v>278600602555.74261</v>
      </c>
      <c r="J4008" s="444">
        <f t="array" ref="J4008">IFERROR(INDEX('Retirement Calculator'!J:J,MATCH('Isaac 401k'!N4008,'Retirement Calculator'!A:A,0),0),0)</f>
        <v>0</v>
      </c>
      <c r="K4008" s="444">
        <f t="shared" ca="1" si="176"/>
        <v>1160835843.9822609</v>
      </c>
      <c r="L4008" s="444">
        <f t="shared" ca="1" si="177"/>
        <v>279761438399.72485</v>
      </c>
      <c r="M4008" s="460">
        <f t="shared" si="179"/>
        <v>0.05</v>
      </c>
      <c r="N4008" s="464">
        <f t="shared" si="180"/>
        <v>173035</v>
      </c>
    </row>
    <row r="4009" spans="7:14" ht="11.25" customHeight="1" x14ac:dyDescent="0.3">
      <c r="G4009" s="459"/>
      <c r="H4009" s="459">
        <v>4002</v>
      </c>
      <c r="I4009" s="444">
        <f t="shared" ca="1" si="178"/>
        <v>279761438399.72485</v>
      </c>
      <c r="J4009" s="444">
        <f t="array" ref="J4009">IFERROR(INDEX('Retirement Calculator'!J:J,MATCH('Isaac 401k'!N4009,'Retirement Calculator'!A:A,0),0),0)</f>
        <v>0</v>
      </c>
      <c r="K4009" s="444">
        <f t="shared" ca="1" si="176"/>
        <v>1165672659.9988534</v>
      </c>
      <c r="L4009" s="444">
        <f t="shared" ca="1" si="177"/>
        <v>280927111059.72369</v>
      </c>
      <c r="M4009" s="460">
        <f t="shared" si="179"/>
        <v>0.05</v>
      </c>
      <c r="N4009" s="464">
        <f t="shared" si="180"/>
        <v>173066</v>
      </c>
    </row>
    <row r="4010" spans="7:14" ht="11.25" customHeight="1" x14ac:dyDescent="0.3">
      <c r="G4010" s="459"/>
      <c r="H4010" s="459">
        <v>4003</v>
      </c>
      <c r="I4010" s="444">
        <f t="shared" ca="1" si="178"/>
        <v>280927111059.72369</v>
      </c>
      <c r="J4010" s="444">
        <f t="array" ref="J4010">IFERROR(INDEX('Retirement Calculator'!J:J,MATCH('Isaac 401k'!N4010,'Retirement Calculator'!A:A,0),0),0)</f>
        <v>0</v>
      </c>
      <c r="K4010" s="444">
        <f t="shared" ca="1" si="176"/>
        <v>1170529629.4155154</v>
      </c>
      <c r="L4010" s="444">
        <f t="shared" ca="1" si="177"/>
        <v>282097640689.13922</v>
      </c>
      <c r="M4010" s="460">
        <f t="shared" si="179"/>
        <v>0.05</v>
      </c>
      <c r="N4010" s="464">
        <f t="shared" si="180"/>
        <v>173096</v>
      </c>
    </row>
    <row r="4011" spans="7:14" ht="11.25" customHeight="1" x14ac:dyDescent="0.3">
      <c r="G4011" s="459"/>
      <c r="H4011" s="459">
        <v>4004</v>
      </c>
      <c r="I4011" s="444">
        <f t="shared" ca="1" si="178"/>
        <v>282097640689.13922</v>
      </c>
      <c r="J4011" s="444">
        <f t="array" ref="J4011">IFERROR(INDEX('Retirement Calculator'!J:J,MATCH('Isaac 401k'!N4011,'Retirement Calculator'!A:A,0),0),0)</f>
        <v>0</v>
      </c>
      <c r="K4011" s="444">
        <f t="shared" ca="1" si="176"/>
        <v>1175406836.2047467</v>
      </c>
      <c r="L4011" s="444">
        <f t="shared" ca="1" si="177"/>
        <v>283273047525.34399</v>
      </c>
      <c r="M4011" s="460">
        <f t="shared" si="179"/>
        <v>0.05</v>
      </c>
      <c r="N4011" s="464">
        <f t="shared" si="180"/>
        <v>173127</v>
      </c>
    </row>
    <row r="4012" spans="7:14" ht="11.25" customHeight="1" x14ac:dyDescent="0.3">
      <c r="G4012" s="459"/>
      <c r="H4012" s="459">
        <v>4005</v>
      </c>
      <c r="I4012" s="444">
        <f t="shared" ca="1" si="178"/>
        <v>283273047525.34399</v>
      </c>
      <c r="J4012" s="444">
        <f t="array" ref="J4012">IFERROR(INDEX('Retirement Calculator'!J:J,MATCH('Isaac 401k'!N4012,'Retirement Calculator'!A:A,0),0),0)</f>
        <v>0</v>
      </c>
      <c r="K4012" s="444">
        <f t="shared" ca="1" si="176"/>
        <v>1180304364.6889334</v>
      </c>
      <c r="L4012" s="444">
        <f t="shared" ca="1" si="177"/>
        <v>284453351890.0329</v>
      </c>
      <c r="M4012" s="460">
        <f t="shared" si="179"/>
        <v>0.05</v>
      </c>
      <c r="N4012" s="464">
        <f t="shared" si="180"/>
        <v>173158</v>
      </c>
    </row>
    <row r="4013" spans="7:14" ht="11.25" customHeight="1" x14ac:dyDescent="0.3">
      <c r="G4013" s="459"/>
      <c r="H4013" s="459">
        <v>4006</v>
      </c>
      <c r="I4013" s="444">
        <f t="shared" ca="1" si="178"/>
        <v>284453351890.0329</v>
      </c>
      <c r="J4013" s="444">
        <f t="array" ref="J4013">IFERROR(INDEX('Retirement Calculator'!J:J,MATCH('Isaac 401k'!N4013,'Retirement Calculator'!A:A,0),0),0)</f>
        <v>0</v>
      </c>
      <c r="K4013" s="444">
        <f t="shared" ca="1" si="176"/>
        <v>1185222299.5418038</v>
      </c>
      <c r="L4013" s="444">
        <f t="shared" ca="1" si="177"/>
        <v>285638574189.57471</v>
      </c>
      <c r="M4013" s="460">
        <f t="shared" si="179"/>
        <v>0.05</v>
      </c>
      <c r="N4013" s="464">
        <f t="shared" si="180"/>
        <v>173186</v>
      </c>
    </row>
    <row r="4014" spans="7:14" ht="11.25" customHeight="1" x14ac:dyDescent="0.3">
      <c r="G4014" s="459"/>
      <c r="H4014" s="459">
        <v>4007</v>
      </c>
      <c r="I4014" s="444">
        <f t="shared" ca="1" si="178"/>
        <v>285638574189.57471</v>
      </c>
      <c r="J4014" s="444">
        <f t="array" ref="J4014">IFERROR(INDEX('Retirement Calculator'!J:J,MATCH('Isaac 401k'!N4014,'Retirement Calculator'!A:A,0),0),0)</f>
        <v>0</v>
      </c>
      <c r="K4014" s="444">
        <f t="shared" ca="1" si="176"/>
        <v>1190160725.7898946</v>
      </c>
      <c r="L4014" s="444">
        <f t="shared" ca="1" si="177"/>
        <v>286828734915.36462</v>
      </c>
      <c r="M4014" s="460">
        <f t="shared" si="179"/>
        <v>0.05</v>
      </c>
      <c r="N4014" s="464">
        <f t="shared" si="180"/>
        <v>173217</v>
      </c>
    </row>
    <row r="4015" spans="7:14" ht="11.25" customHeight="1" x14ac:dyDescent="0.3">
      <c r="G4015" s="459"/>
      <c r="H4015" s="459">
        <v>4008</v>
      </c>
      <c r="I4015" s="444">
        <f t="shared" ca="1" si="178"/>
        <v>286828734915.36462</v>
      </c>
      <c r="J4015" s="444">
        <f t="array" ref="J4015">IFERROR(INDEX('Retirement Calculator'!J:J,MATCH('Isaac 401k'!N4015,'Retirement Calculator'!A:A,0),0),0)</f>
        <v>0</v>
      </c>
      <c r="K4015" s="444">
        <f t="shared" ca="1" si="176"/>
        <v>1195119728.8140192</v>
      </c>
      <c r="L4015" s="444">
        <f t="shared" ca="1" si="177"/>
        <v>288023854644.17865</v>
      </c>
      <c r="M4015" s="460">
        <f t="shared" si="179"/>
        <v>0.05</v>
      </c>
      <c r="N4015" s="464">
        <f t="shared" si="180"/>
        <v>173247</v>
      </c>
    </row>
    <row r="4016" spans="7:14" ht="11.25" customHeight="1" x14ac:dyDescent="0.3">
      <c r="G4016" s="459"/>
      <c r="H4016" s="459">
        <v>4009</v>
      </c>
      <c r="I4016" s="444">
        <f t="shared" ca="1" si="178"/>
        <v>288023854644.17865</v>
      </c>
      <c r="J4016" s="444">
        <f t="array" ref="J4016">IFERROR(INDEX('Retirement Calculator'!J:J,MATCH('Isaac 401k'!N4016,'Retirement Calculator'!A:A,0),0),0)</f>
        <v>0</v>
      </c>
      <c r="K4016" s="444">
        <f t="shared" ca="1" si="176"/>
        <v>1200099394.3507442</v>
      </c>
      <c r="L4016" s="444">
        <f t="shared" ca="1" si="177"/>
        <v>289223954038.52942</v>
      </c>
      <c r="M4016" s="460">
        <f t="shared" si="179"/>
        <v>0.05</v>
      </c>
      <c r="N4016" s="464">
        <f t="shared" si="180"/>
        <v>173278</v>
      </c>
    </row>
    <row r="4017" spans="7:14" ht="11.25" customHeight="1" x14ac:dyDescent="0.3">
      <c r="G4017" s="459"/>
      <c r="H4017" s="459">
        <v>4010</v>
      </c>
      <c r="I4017" s="444">
        <f t="shared" ca="1" si="178"/>
        <v>289223954038.52942</v>
      </c>
      <c r="J4017" s="444">
        <f t="array" ref="J4017">IFERROR(INDEX('Retirement Calculator'!J:J,MATCH('Isaac 401k'!N4017,'Retirement Calculator'!A:A,0),0),0)</f>
        <v>0</v>
      </c>
      <c r="K4017" s="444">
        <f t="shared" ca="1" si="176"/>
        <v>1205099808.4938726</v>
      </c>
      <c r="L4017" s="444">
        <f t="shared" ca="1" si="177"/>
        <v>290429053847.02332</v>
      </c>
      <c r="M4017" s="460">
        <f t="shared" si="179"/>
        <v>0.05</v>
      </c>
      <c r="N4017" s="464">
        <f t="shared" si="180"/>
        <v>173308</v>
      </c>
    </row>
    <row r="4018" spans="7:14" ht="11.25" customHeight="1" x14ac:dyDescent="0.3">
      <c r="G4018" s="459"/>
      <c r="H4018" s="459">
        <v>4011</v>
      </c>
      <c r="I4018" s="444">
        <f t="shared" ca="1" si="178"/>
        <v>290429053847.02332</v>
      </c>
      <c r="J4018" s="444">
        <f t="array" ref="J4018">IFERROR(INDEX('Retirement Calculator'!J:J,MATCH('Isaac 401k'!N4018,'Retirement Calculator'!A:A,0),0),0)</f>
        <v>0</v>
      </c>
      <c r="K4018" s="444">
        <f t="shared" ca="1" si="176"/>
        <v>1210121057.6959305</v>
      </c>
      <c r="L4018" s="444">
        <f t="shared" ca="1" si="177"/>
        <v>291639174904.71924</v>
      </c>
      <c r="M4018" s="460">
        <f t="shared" si="179"/>
        <v>0.05</v>
      </c>
      <c r="N4018" s="464">
        <f t="shared" si="180"/>
        <v>173339</v>
      </c>
    </row>
    <row r="4019" spans="7:14" ht="11.25" customHeight="1" x14ac:dyDescent="0.3">
      <c r="G4019" s="459"/>
      <c r="H4019" s="459">
        <v>4012</v>
      </c>
      <c r="I4019" s="444">
        <f t="shared" ca="1" si="178"/>
        <v>291639174904.71924</v>
      </c>
      <c r="J4019" s="444">
        <f t="array" ref="J4019">IFERROR(INDEX('Retirement Calculator'!J:J,MATCH('Isaac 401k'!N4019,'Retirement Calculator'!A:A,0),0),0)</f>
        <v>0</v>
      </c>
      <c r="K4019" s="444">
        <f t="shared" ca="1" si="176"/>
        <v>1215163228.7696636</v>
      </c>
      <c r="L4019" s="444">
        <f t="shared" ca="1" si="177"/>
        <v>292854338133.48889</v>
      </c>
      <c r="M4019" s="460">
        <f t="shared" si="179"/>
        <v>0.05</v>
      </c>
      <c r="N4019" s="464">
        <f t="shared" si="180"/>
        <v>173370</v>
      </c>
    </row>
    <row r="4020" spans="7:14" ht="11.25" customHeight="1" x14ac:dyDescent="0.3">
      <c r="G4020" s="459"/>
      <c r="H4020" s="459">
        <v>4013</v>
      </c>
      <c r="I4020" s="444">
        <f t="shared" ca="1" si="178"/>
        <v>292854338133.48889</v>
      </c>
      <c r="J4020" s="444">
        <f t="array" ref="J4020">IFERROR(INDEX('Retirement Calculator'!J:J,MATCH('Isaac 401k'!N4020,'Retirement Calculator'!A:A,0),0),0)</f>
        <v>0</v>
      </c>
      <c r="K4020" s="444">
        <f t="shared" ca="1" si="176"/>
        <v>1220226408.8895371</v>
      </c>
      <c r="L4020" s="444">
        <f t="shared" ca="1" si="177"/>
        <v>294074564542.37842</v>
      </c>
      <c r="M4020" s="460">
        <f t="shared" si="179"/>
        <v>0.05</v>
      </c>
      <c r="N4020" s="464">
        <f t="shared" si="180"/>
        <v>173400</v>
      </c>
    </row>
    <row r="4021" spans="7:14" ht="11.25" customHeight="1" x14ac:dyDescent="0.3">
      <c r="G4021" s="459"/>
      <c r="H4021" s="459">
        <v>4014</v>
      </c>
      <c r="I4021" s="444">
        <f t="shared" ca="1" si="178"/>
        <v>294074564542.37842</v>
      </c>
      <c r="J4021" s="444">
        <f t="array" ref="J4021">IFERROR(INDEX('Retirement Calculator'!J:J,MATCH('Isaac 401k'!N4021,'Retirement Calculator'!A:A,0),0),0)</f>
        <v>0</v>
      </c>
      <c r="K4021" s="444">
        <f t="shared" ca="1" si="176"/>
        <v>1225310685.5932434</v>
      </c>
      <c r="L4021" s="444">
        <f t="shared" ca="1" si="177"/>
        <v>295299875227.97168</v>
      </c>
      <c r="M4021" s="460">
        <f t="shared" si="179"/>
        <v>0.05</v>
      </c>
      <c r="N4021" s="464">
        <f t="shared" si="180"/>
        <v>173431</v>
      </c>
    </row>
    <row r="4022" spans="7:14" ht="11.25" customHeight="1" x14ac:dyDescent="0.3">
      <c r="G4022" s="459"/>
      <c r="H4022" s="459">
        <v>4015</v>
      </c>
      <c r="I4022" s="444">
        <f t="shared" ca="1" si="178"/>
        <v>295299875227.97168</v>
      </c>
      <c r="J4022" s="444">
        <f t="array" ref="J4022">IFERROR(INDEX('Retirement Calculator'!J:J,MATCH('Isaac 401k'!N4022,'Retirement Calculator'!A:A,0),0),0)</f>
        <v>0</v>
      </c>
      <c r="K4022" s="444">
        <f t="shared" ca="1" si="176"/>
        <v>1230416146.7832153</v>
      </c>
      <c r="L4022" s="444">
        <f t="shared" ca="1" si="177"/>
        <v>296530291374.75488</v>
      </c>
      <c r="M4022" s="460">
        <f t="shared" si="179"/>
        <v>0.05</v>
      </c>
      <c r="N4022" s="464">
        <f t="shared" si="180"/>
        <v>173461</v>
      </c>
    </row>
    <row r="4023" spans="7:14" ht="11.25" customHeight="1" x14ac:dyDescent="0.3">
      <c r="G4023" s="459"/>
      <c r="H4023" s="459">
        <v>4016</v>
      </c>
      <c r="I4023" s="444">
        <f t="shared" ca="1" si="178"/>
        <v>296530291374.75488</v>
      </c>
      <c r="J4023" s="444">
        <f t="array" ref="J4023">IFERROR(INDEX('Retirement Calculator'!J:J,MATCH('Isaac 401k'!N4023,'Retirement Calculator'!A:A,0),0),0)</f>
        <v>0</v>
      </c>
      <c r="K4023" s="444">
        <f t="shared" ca="1" si="176"/>
        <v>1235542880.7281454</v>
      </c>
      <c r="L4023" s="444">
        <f t="shared" ca="1" si="177"/>
        <v>297765834255.48303</v>
      </c>
      <c r="M4023" s="460">
        <f t="shared" si="179"/>
        <v>0.05</v>
      </c>
      <c r="N4023" s="464">
        <f t="shared" si="180"/>
        <v>173492</v>
      </c>
    </row>
    <row r="4024" spans="7:14" ht="11.25" customHeight="1" x14ac:dyDescent="0.3">
      <c r="G4024" s="459"/>
      <c r="H4024" s="459">
        <v>4017</v>
      </c>
      <c r="I4024" s="444">
        <f t="shared" ca="1" si="178"/>
        <v>297765834255.48303</v>
      </c>
      <c r="J4024" s="444">
        <f t="array" ref="J4024">IFERROR(INDEX('Retirement Calculator'!J:J,MATCH('Isaac 401k'!N4024,'Retirement Calculator'!A:A,0),0),0)</f>
        <v>0</v>
      </c>
      <c r="K4024" s="444">
        <f t="shared" ca="1" si="176"/>
        <v>1240690976.0645127</v>
      </c>
      <c r="L4024" s="444">
        <f t="shared" ca="1" si="177"/>
        <v>299006525231.54755</v>
      </c>
      <c r="M4024" s="460">
        <f t="shared" si="179"/>
        <v>0.05</v>
      </c>
      <c r="N4024" s="464">
        <f t="shared" si="180"/>
        <v>173523</v>
      </c>
    </row>
    <row r="4025" spans="7:14" ht="11.25" customHeight="1" x14ac:dyDescent="0.3">
      <c r="G4025" s="459"/>
      <c r="H4025" s="459">
        <v>4018</v>
      </c>
      <c r="I4025" s="444">
        <f t="shared" ca="1" si="178"/>
        <v>299006525231.54755</v>
      </c>
      <c r="J4025" s="444">
        <f t="array" ref="J4025">IFERROR(INDEX('Retirement Calculator'!J:J,MATCH('Isaac 401k'!N4025,'Retirement Calculator'!A:A,0),0),0)</f>
        <v>0</v>
      </c>
      <c r="K4025" s="444">
        <f t="shared" ca="1" si="176"/>
        <v>1245860521.7981148</v>
      </c>
      <c r="L4025" s="444">
        <f t="shared" ca="1" si="177"/>
        <v>300252385753.34564</v>
      </c>
      <c r="M4025" s="460">
        <f t="shared" si="179"/>
        <v>0.05</v>
      </c>
      <c r="N4025" s="464">
        <f t="shared" si="180"/>
        <v>173551</v>
      </c>
    </row>
    <row r="4026" spans="7:14" ht="11.25" customHeight="1" x14ac:dyDescent="0.3">
      <c r="G4026" s="459"/>
      <c r="H4026" s="459">
        <v>4019</v>
      </c>
      <c r="I4026" s="444">
        <f t="shared" ca="1" si="178"/>
        <v>300252385753.34564</v>
      </c>
      <c r="J4026" s="444">
        <f t="array" ref="J4026">IFERROR(INDEX('Retirement Calculator'!J:J,MATCH('Isaac 401k'!N4026,'Retirement Calculator'!A:A,0),0),0)</f>
        <v>0</v>
      </c>
      <c r="K4026" s="444">
        <f t="shared" ca="1" si="176"/>
        <v>1251051607.3056068</v>
      </c>
      <c r="L4026" s="444">
        <f t="shared" ca="1" si="177"/>
        <v>301503437360.65125</v>
      </c>
      <c r="M4026" s="460">
        <f t="shared" si="179"/>
        <v>0.05</v>
      </c>
      <c r="N4026" s="464">
        <f t="shared" si="180"/>
        <v>173582</v>
      </c>
    </row>
    <row r="4027" spans="7:14" ht="11.25" customHeight="1" x14ac:dyDescent="0.3">
      <c r="G4027" s="459"/>
      <c r="H4027" s="459">
        <v>4020</v>
      </c>
      <c r="I4027" s="444">
        <f t="shared" ca="1" si="178"/>
        <v>301503437360.65125</v>
      </c>
      <c r="J4027" s="444">
        <f t="array" ref="J4027">IFERROR(INDEX('Retirement Calculator'!J:J,MATCH('Isaac 401k'!N4027,'Retirement Calculator'!A:A,0),0),0)</f>
        <v>0</v>
      </c>
      <c r="K4027" s="444">
        <f t="shared" ca="1" si="176"/>
        <v>1256264322.3360469</v>
      </c>
      <c r="L4027" s="444">
        <f t="shared" ca="1" si="177"/>
        <v>302759701682.9873</v>
      </c>
      <c r="M4027" s="460">
        <f t="shared" si="179"/>
        <v>0.05</v>
      </c>
      <c r="N4027" s="464">
        <f t="shared" si="180"/>
        <v>173612</v>
      </c>
    </row>
    <row r="4028" spans="7:14" ht="11.25" customHeight="1" x14ac:dyDescent="0.3">
      <c r="G4028" s="459"/>
      <c r="H4028" s="459">
        <v>4021</v>
      </c>
      <c r="I4028" s="444">
        <f t="shared" ca="1" si="178"/>
        <v>302759701682.9873</v>
      </c>
      <c r="J4028" s="444">
        <f t="array" ref="J4028">IFERROR(INDEX('Retirement Calculator'!J:J,MATCH('Isaac 401k'!N4028,'Retirement Calculator'!A:A,0),0),0)</f>
        <v>0</v>
      </c>
      <c r="K4028" s="444">
        <f t="shared" ca="1" si="176"/>
        <v>1261498757.0124471</v>
      </c>
      <c r="L4028" s="444">
        <f t="shared" ca="1" si="177"/>
        <v>304021200439.99976</v>
      </c>
      <c r="M4028" s="460">
        <f t="shared" si="179"/>
        <v>0.05</v>
      </c>
      <c r="N4028" s="464">
        <f t="shared" si="180"/>
        <v>173643</v>
      </c>
    </row>
    <row r="4029" spans="7:14" ht="11.25" customHeight="1" x14ac:dyDescent="0.3">
      <c r="G4029" s="459"/>
      <c r="H4029" s="459">
        <v>4022</v>
      </c>
      <c r="I4029" s="444">
        <f t="shared" ca="1" si="178"/>
        <v>304021200439.99976</v>
      </c>
      <c r="J4029" s="444">
        <f t="array" ref="J4029">IFERROR(INDEX('Retirement Calculator'!J:J,MATCH('Isaac 401k'!N4029,'Retirement Calculator'!A:A,0),0),0)</f>
        <v>0</v>
      </c>
      <c r="K4029" s="444">
        <f t="shared" ca="1" si="176"/>
        <v>1266755001.8333323</v>
      </c>
      <c r="L4029" s="444">
        <f t="shared" ca="1" si="177"/>
        <v>305287955441.83307</v>
      </c>
      <c r="M4029" s="460">
        <f t="shared" si="179"/>
        <v>0.05</v>
      </c>
      <c r="N4029" s="464">
        <f t="shared" si="180"/>
        <v>173673</v>
      </c>
    </row>
    <row r="4030" spans="7:14" ht="11.25" customHeight="1" x14ac:dyDescent="0.3">
      <c r="G4030" s="459"/>
      <c r="H4030" s="459">
        <v>4023</v>
      </c>
      <c r="I4030" s="444">
        <f t="shared" ca="1" si="178"/>
        <v>305287955441.83307</v>
      </c>
      <c r="J4030" s="444">
        <f t="array" ref="J4030">IFERROR(INDEX('Retirement Calculator'!J:J,MATCH('Isaac 401k'!N4030,'Retirement Calculator'!A:A,0),0),0)</f>
        <v>0</v>
      </c>
      <c r="K4030" s="444">
        <f t="shared" ca="1" si="176"/>
        <v>1272033147.6743045</v>
      </c>
      <c r="L4030" s="444">
        <f t="shared" ca="1" si="177"/>
        <v>306559988589.50739</v>
      </c>
      <c r="M4030" s="460">
        <f t="shared" si="179"/>
        <v>0.05</v>
      </c>
      <c r="N4030" s="464">
        <f t="shared" si="180"/>
        <v>173704</v>
      </c>
    </row>
    <row r="4031" spans="7:14" ht="11.25" customHeight="1" x14ac:dyDescent="0.3">
      <c r="G4031" s="459"/>
      <c r="H4031" s="459">
        <v>4024</v>
      </c>
      <c r="I4031" s="444">
        <f t="shared" ca="1" si="178"/>
        <v>306559988589.50739</v>
      </c>
      <c r="J4031" s="444">
        <f t="array" ref="J4031">IFERROR(INDEX('Retirement Calculator'!J:J,MATCH('Isaac 401k'!N4031,'Retirement Calculator'!A:A,0),0),0)</f>
        <v>0</v>
      </c>
      <c r="K4031" s="444">
        <f t="shared" ca="1" si="176"/>
        <v>1277333285.7896142</v>
      </c>
      <c r="L4031" s="444">
        <f t="shared" ca="1" si="177"/>
        <v>307837321875.297</v>
      </c>
      <c r="M4031" s="460">
        <f t="shared" si="179"/>
        <v>0.05</v>
      </c>
      <c r="N4031" s="464">
        <f t="shared" si="180"/>
        <v>173735</v>
      </c>
    </row>
    <row r="4032" spans="7:14" ht="11.25" customHeight="1" x14ac:dyDescent="0.3">
      <c r="G4032" s="459"/>
      <c r="H4032" s="459">
        <v>4025</v>
      </c>
      <c r="I4032" s="444">
        <f t="shared" ca="1" si="178"/>
        <v>307837321875.297</v>
      </c>
      <c r="J4032" s="444">
        <f t="array" ref="J4032">IFERROR(INDEX('Retirement Calculator'!J:J,MATCH('Isaac 401k'!N4032,'Retirement Calculator'!A:A,0),0),0)</f>
        <v>0</v>
      </c>
      <c r="K4032" s="444">
        <f t="shared" ca="1" si="176"/>
        <v>1282655507.8137374</v>
      </c>
      <c r="L4032" s="444">
        <f t="shared" ca="1" si="177"/>
        <v>309119977383.11072</v>
      </c>
      <c r="M4032" s="460">
        <f t="shared" si="179"/>
        <v>0.05</v>
      </c>
      <c r="N4032" s="464">
        <f t="shared" si="180"/>
        <v>173765</v>
      </c>
    </row>
    <row r="4033" spans="7:14" ht="11.25" customHeight="1" x14ac:dyDescent="0.3">
      <c r="G4033" s="459"/>
      <c r="H4033" s="459">
        <v>4026</v>
      </c>
      <c r="I4033" s="444">
        <f t="shared" ca="1" si="178"/>
        <v>309119977383.11072</v>
      </c>
      <c r="J4033" s="444">
        <f t="array" ref="J4033">IFERROR(INDEX('Retirement Calculator'!J:J,MATCH('Isaac 401k'!N4033,'Retirement Calculator'!A:A,0),0),0)</f>
        <v>0</v>
      </c>
      <c r="K4033" s="444">
        <f t="shared" ca="1" si="176"/>
        <v>1287999905.7629614</v>
      </c>
      <c r="L4033" s="444">
        <f t="shared" ca="1" si="177"/>
        <v>310407977288.87366</v>
      </c>
      <c r="M4033" s="460">
        <f t="shared" si="179"/>
        <v>0.05</v>
      </c>
      <c r="N4033" s="464">
        <f t="shared" si="180"/>
        <v>173796</v>
      </c>
    </row>
    <row r="4034" spans="7:14" ht="11.25" customHeight="1" x14ac:dyDescent="0.3">
      <c r="G4034" s="459"/>
      <c r="H4034" s="459">
        <v>4027</v>
      </c>
      <c r="I4034" s="444">
        <f t="shared" ca="1" si="178"/>
        <v>310407977288.87366</v>
      </c>
      <c r="J4034" s="444">
        <f t="array" ref="J4034">IFERROR(INDEX('Retirement Calculator'!J:J,MATCH('Isaac 401k'!N4034,'Retirement Calculator'!A:A,0),0),0)</f>
        <v>0</v>
      </c>
      <c r="K4034" s="444">
        <f t="shared" ca="1" si="176"/>
        <v>1293366572.0369735</v>
      </c>
      <c r="L4034" s="444">
        <f t="shared" ca="1" si="177"/>
        <v>311701343860.91064</v>
      </c>
      <c r="M4034" s="460">
        <f t="shared" si="179"/>
        <v>0.05</v>
      </c>
      <c r="N4034" s="464">
        <f t="shared" si="180"/>
        <v>173826</v>
      </c>
    </row>
    <row r="4035" spans="7:14" ht="11.25" customHeight="1" x14ac:dyDescent="0.3">
      <c r="G4035" s="459"/>
      <c r="H4035" s="459">
        <v>4028</v>
      </c>
      <c r="I4035" s="444">
        <f t="shared" ca="1" si="178"/>
        <v>311701343860.91064</v>
      </c>
      <c r="J4035" s="444">
        <f t="array" ref="J4035">IFERROR(INDEX('Retirement Calculator'!J:J,MATCH('Isaac 401k'!N4035,'Retirement Calculator'!A:A,0),0),0)</f>
        <v>0</v>
      </c>
      <c r="K4035" s="444">
        <f t="shared" ca="1" si="176"/>
        <v>1298755599.4204609</v>
      </c>
      <c r="L4035" s="444">
        <f t="shared" ca="1" si="177"/>
        <v>313000099460.33112</v>
      </c>
      <c r="M4035" s="460">
        <f t="shared" si="179"/>
        <v>0.05</v>
      </c>
      <c r="N4035" s="464">
        <f t="shared" si="180"/>
        <v>173857</v>
      </c>
    </row>
    <row r="4036" spans="7:14" ht="11.25" customHeight="1" x14ac:dyDescent="0.3">
      <c r="G4036" s="459"/>
      <c r="H4036" s="459">
        <v>4029</v>
      </c>
      <c r="I4036" s="444">
        <f t="shared" ca="1" si="178"/>
        <v>313000099460.33112</v>
      </c>
      <c r="J4036" s="444">
        <f t="array" ref="J4036">IFERROR(INDEX('Retirement Calculator'!J:J,MATCH('Isaac 401k'!N4036,'Retirement Calculator'!A:A,0),0),0)</f>
        <v>0</v>
      </c>
      <c r="K4036" s="444">
        <f t="shared" ca="1" si="176"/>
        <v>1304167081.084713</v>
      </c>
      <c r="L4036" s="444">
        <f t="shared" ca="1" si="177"/>
        <v>314304266541.41583</v>
      </c>
      <c r="M4036" s="460">
        <f t="shared" si="179"/>
        <v>0.05</v>
      </c>
      <c r="N4036" s="464">
        <f t="shared" si="180"/>
        <v>173888</v>
      </c>
    </row>
    <row r="4037" spans="7:14" ht="11.25" customHeight="1" x14ac:dyDescent="0.3">
      <c r="G4037" s="459"/>
      <c r="H4037" s="459">
        <v>4030</v>
      </c>
      <c r="I4037" s="444">
        <f t="shared" ca="1" si="178"/>
        <v>314304266541.41583</v>
      </c>
      <c r="J4037" s="444">
        <f t="array" ref="J4037">IFERROR(INDEX('Retirement Calculator'!J:J,MATCH('Isaac 401k'!N4037,'Retirement Calculator'!A:A,0),0),0)</f>
        <v>0</v>
      </c>
      <c r="K4037" s="444">
        <f t="shared" ca="1" si="176"/>
        <v>1309601110.5892327</v>
      </c>
      <c r="L4037" s="444">
        <f t="shared" ca="1" si="177"/>
        <v>315613867652.00507</v>
      </c>
      <c r="M4037" s="460">
        <f t="shared" si="179"/>
        <v>0.05</v>
      </c>
      <c r="N4037" s="464">
        <f t="shared" si="180"/>
        <v>173917</v>
      </c>
    </row>
    <row r="4038" spans="7:14" ht="11.25" customHeight="1" x14ac:dyDescent="0.3">
      <c r="G4038" s="459"/>
      <c r="H4038" s="459">
        <v>4031</v>
      </c>
      <c r="I4038" s="444">
        <f t="shared" ca="1" si="178"/>
        <v>315613867652.00507</v>
      </c>
      <c r="J4038" s="444">
        <f t="array" ref="J4038">IFERROR(INDEX('Retirement Calculator'!J:J,MATCH('Isaac 401k'!N4038,'Retirement Calculator'!A:A,0),0),0)</f>
        <v>0</v>
      </c>
      <c r="K4038" s="444">
        <f t="shared" ca="1" si="176"/>
        <v>1315057781.8833544</v>
      </c>
      <c r="L4038" s="444">
        <f t="shared" ca="1" si="177"/>
        <v>316928925433.88843</v>
      </c>
      <c r="M4038" s="460">
        <f t="shared" si="179"/>
        <v>0.05</v>
      </c>
      <c r="N4038" s="464">
        <f t="shared" si="180"/>
        <v>173948</v>
      </c>
    </row>
    <row r="4039" spans="7:14" ht="11.25" customHeight="1" x14ac:dyDescent="0.3">
      <c r="G4039" s="459"/>
      <c r="H4039" s="459">
        <v>4032</v>
      </c>
      <c r="I4039" s="444">
        <f t="shared" ca="1" si="178"/>
        <v>316928925433.88843</v>
      </c>
      <c r="J4039" s="444">
        <f t="array" ref="J4039">IFERROR(INDEX('Retirement Calculator'!J:J,MATCH('Isaac 401k'!N4039,'Retirement Calculator'!A:A,0),0),0)</f>
        <v>0</v>
      </c>
      <c r="K4039" s="444">
        <f t="shared" ca="1" si="176"/>
        <v>1320537189.3078685</v>
      </c>
      <c r="L4039" s="444">
        <f t="shared" ca="1" si="177"/>
        <v>318249462623.19629</v>
      </c>
      <c r="M4039" s="460">
        <f t="shared" si="179"/>
        <v>0.05</v>
      </c>
      <c r="N4039" s="464">
        <f t="shared" si="180"/>
        <v>173978</v>
      </c>
    </row>
    <row r="4040" spans="7:14" ht="11.25" customHeight="1" x14ac:dyDescent="0.3">
      <c r="G4040" s="459"/>
      <c r="H4040" s="459">
        <v>4033</v>
      </c>
      <c r="I4040" s="444">
        <f t="shared" ca="1" si="178"/>
        <v>318249462623.19629</v>
      </c>
      <c r="J4040" s="444">
        <f t="array" ref="J4040">IFERROR(INDEX('Retirement Calculator'!J:J,MATCH('Isaac 401k'!N4040,'Retirement Calculator'!A:A,0),0),0)</f>
        <v>0</v>
      </c>
      <c r="K4040" s="444">
        <f t="shared" ca="1" si="176"/>
        <v>1326039427.5966511</v>
      </c>
      <c r="L4040" s="444">
        <f t="shared" ca="1" si="177"/>
        <v>319575502050.79297</v>
      </c>
      <c r="M4040" s="460">
        <f t="shared" si="179"/>
        <v>0.05</v>
      </c>
      <c r="N4040" s="464">
        <f t="shared" si="180"/>
        <v>174009</v>
      </c>
    </row>
    <row r="4041" spans="7:14" ht="11.25" customHeight="1" x14ac:dyDescent="0.3">
      <c r="G4041" s="459"/>
      <c r="H4041" s="459">
        <v>4034</v>
      </c>
      <c r="I4041" s="444">
        <f t="shared" ca="1" si="178"/>
        <v>319575502050.79297</v>
      </c>
      <c r="J4041" s="444">
        <f t="array" ref="J4041">IFERROR(INDEX('Retirement Calculator'!J:J,MATCH('Isaac 401k'!N4041,'Retirement Calculator'!A:A,0),0),0)</f>
        <v>0</v>
      </c>
      <c r="K4041" s="444">
        <f t="shared" ca="1" si="176"/>
        <v>1331564591.878304</v>
      </c>
      <c r="L4041" s="444">
        <f t="shared" ca="1" si="177"/>
        <v>320907066642.67126</v>
      </c>
      <c r="M4041" s="460">
        <f t="shared" si="179"/>
        <v>0.05</v>
      </c>
      <c r="N4041" s="464">
        <f t="shared" si="180"/>
        <v>174039</v>
      </c>
    </row>
    <row r="4042" spans="7:14" ht="11.25" customHeight="1" x14ac:dyDescent="0.3">
      <c r="G4042" s="459"/>
      <c r="H4042" s="459">
        <v>4035</v>
      </c>
      <c r="I4042" s="444">
        <f t="shared" ca="1" si="178"/>
        <v>320907066642.67126</v>
      </c>
      <c r="J4042" s="444">
        <f t="array" ref="J4042">IFERROR(INDEX('Retirement Calculator'!J:J,MATCH('Isaac 401k'!N4042,'Retirement Calculator'!A:A,0),0),0)</f>
        <v>0</v>
      </c>
      <c r="K4042" s="444">
        <f t="shared" ca="1" si="176"/>
        <v>1337112777.6777968</v>
      </c>
      <c r="L4042" s="444">
        <f t="shared" ca="1" si="177"/>
        <v>322244179420.34906</v>
      </c>
      <c r="M4042" s="460">
        <f t="shared" si="179"/>
        <v>0.05</v>
      </c>
      <c r="N4042" s="464">
        <f t="shared" si="180"/>
        <v>174070</v>
      </c>
    </row>
    <row r="4043" spans="7:14" ht="11.25" customHeight="1" x14ac:dyDescent="0.3">
      <c r="G4043" s="459"/>
      <c r="H4043" s="459">
        <v>4036</v>
      </c>
      <c r="I4043" s="444">
        <f t="shared" ca="1" si="178"/>
        <v>322244179420.34906</v>
      </c>
      <c r="J4043" s="444">
        <f t="array" ref="J4043">IFERROR(INDEX('Retirement Calculator'!J:J,MATCH('Isaac 401k'!N4043,'Retirement Calculator'!A:A,0),0),0)</f>
        <v>0</v>
      </c>
      <c r="K4043" s="444">
        <f t="shared" ca="1" si="176"/>
        <v>1342684080.9181211</v>
      </c>
      <c r="L4043" s="444">
        <f t="shared" ca="1" si="177"/>
        <v>323586863501.26715</v>
      </c>
      <c r="M4043" s="460">
        <f t="shared" si="179"/>
        <v>0.05</v>
      </c>
      <c r="N4043" s="464">
        <f t="shared" si="180"/>
        <v>174101</v>
      </c>
    </row>
    <row r="4044" spans="7:14" ht="11.25" customHeight="1" x14ac:dyDescent="0.3">
      <c r="G4044" s="459"/>
      <c r="H4044" s="459">
        <v>4037</v>
      </c>
      <c r="I4044" s="444">
        <f t="shared" ca="1" si="178"/>
        <v>323586863501.26715</v>
      </c>
      <c r="J4044" s="444">
        <f t="array" ref="J4044">IFERROR(INDEX('Retirement Calculator'!J:J,MATCH('Isaac 401k'!N4044,'Retirement Calculator'!A:A,0),0),0)</f>
        <v>0</v>
      </c>
      <c r="K4044" s="444">
        <f t="shared" ca="1" si="176"/>
        <v>1348278597.9219465</v>
      </c>
      <c r="L4044" s="444">
        <f t="shared" ca="1" si="177"/>
        <v>324935142099.18909</v>
      </c>
      <c r="M4044" s="460">
        <f t="shared" si="179"/>
        <v>0.05</v>
      </c>
      <c r="N4044" s="464">
        <f t="shared" si="180"/>
        <v>174131</v>
      </c>
    </row>
    <row r="4045" spans="7:14" ht="11.25" customHeight="1" x14ac:dyDescent="0.3">
      <c r="G4045" s="459"/>
      <c r="H4045" s="459">
        <v>4038</v>
      </c>
      <c r="I4045" s="444">
        <f t="shared" ca="1" si="178"/>
        <v>324935142099.18909</v>
      </c>
      <c r="J4045" s="444">
        <f t="array" ref="J4045">IFERROR(INDEX('Retirement Calculator'!J:J,MATCH('Isaac 401k'!N4045,'Retirement Calculator'!A:A,0),0),0)</f>
        <v>0</v>
      </c>
      <c r="K4045" s="444">
        <f t="shared" ca="1" si="176"/>
        <v>1353896425.4132879</v>
      </c>
      <c r="L4045" s="444">
        <f t="shared" ca="1" si="177"/>
        <v>326289038524.60236</v>
      </c>
      <c r="M4045" s="460">
        <f t="shared" si="179"/>
        <v>0.05</v>
      </c>
      <c r="N4045" s="464">
        <f t="shared" si="180"/>
        <v>174162</v>
      </c>
    </row>
    <row r="4046" spans="7:14" ht="11.25" customHeight="1" x14ac:dyDescent="0.3">
      <c r="G4046" s="459"/>
      <c r="H4046" s="459">
        <v>4039</v>
      </c>
      <c r="I4046" s="444">
        <f t="shared" ca="1" si="178"/>
        <v>326289038524.60236</v>
      </c>
      <c r="J4046" s="444">
        <f t="array" ref="J4046">IFERROR(INDEX('Retirement Calculator'!J:J,MATCH('Isaac 401k'!N4046,'Retirement Calculator'!A:A,0),0),0)</f>
        <v>0</v>
      </c>
      <c r="K4046" s="444">
        <f t="shared" ca="1" si="176"/>
        <v>1359537660.5191765</v>
      </c>
      <c r="L4046" s="444">
        <f t="shared" ca="1" si="177"/>
        <v>327648576185.12152</v>
      </c>
      <c r="M4046" s="460">
        <f t="shared" si="179"/>
        <v>0.05</v>
      </c>
      <c r="N4046" s="464">
        <f t="shared" si="180"/>
        <v>174192</v>
      </c>
    </row>
    <row r="4047" spans="7:14" ht="11.25" customHeight="1" x14ac:dyDescent="0.3">
      <c r="G4047" s="459"/>
      <c r="H4047" s="459">
        <v>4040</v>
      </c>
      <c r="I4047" s="444">
        <f t="shared" ca="1" si="178"/>
        <v>327648576185.12152</v>
      </c>
      <c r="J4047" s="444">
        <f t="array" ref="J4047">IFERROR(INDEX('Retirement Calculator'!J:J,MATCH('Isaac 401k'!N4047,'Retirement Calculator'!A:A,0),0),0)</f>
        <v>0</v>
      </c>
      <c r="K4047" s="444">
        <f t="shared" ca="1" si="176"/>
        <v>1365202400.7713397</v>
      </c>
      <c r="L4047" s="444">
        <f t="shared" ca="1" si="177"/>
        <v>329013778585.89288</v>
      </c>
      <c r="M4047" s="460">
        <f t="shared" si="179"/>
        <v>0.05</v>
      </c>
      <c r="N4047" s="464">
        <f t="shared" si="180"/>
        <v>174223</v>
      </c>
    </row>
    <row r="4048" spans="7:14" ht="11.25" customHeight="1" x14ac:dyDescent="0.3">
      <c r="G4048" s="459"/>
      <c r="H4048" s="459">
        <v>4041</v>
      </c>
      <c r="I4048" s="444">
        <f t="shared" ca="1" si="178"/>
        <v>329013778585.89288</v>
      </c>
      <c r="J4048" s="444">
        <f t="array" ref="J4048">IFERROR(INDEX('Retirement Calculator'!J:J,MATCH('Isaac 401k'!N4048,'Retirement Calculator'!A:A,0),0),0)</f>
        <v>0</v>
      </c>
      <c r="K4048" s="444">
        <f t="shared" ca="1" si="176"/>
        <v>1370890744.107887</v>
      </c>
      <c r="L4048" s="444">
        <f t="shared" ca="1" si="177"/>
        <v>330384669330.00079</v>
      </c>
      <c r="M4048" s="460">
        <f t="shared" si="179"/>
        <v>0.05</v>
      </c>
      <c r="N4048" s="464">
        <f t="shared" si="180"/>
        <v>174254</v>
      </c>
    </row>
    <row r="4049" spans="7:14" ht="11.25" customHeight="1" x14ac:dyDescent="0.3">
      <c r="G4049" s="459"/>
      <c r="H4049" s="459">
        <v>4042</v>
      </c>
      <c r="I4049" s="444">
        <f t="shared" ca="1" si="178"/>
        <v>330384669330.00079</v>
      </c>
      <c r="J4049" s="444">
        <f t="array" ref="J4049">IFERROR(INDEX('Retirement Calculator'!J:J,MATCH('Isaac 401k'!N4049,'Retirement Calculator'!A:A,0),0),0)</f>
        <v>0</v>
      </c>
      <c r="K4049" s="444">
        <f t="shared" ca="1" si="176"/>
        <v>1376602788.8750033</v>
      </c>
      <c r="L4049" s="444">
        <f t="shared" ca="1" si="177"/>
        <v>331761272118.87579</v>
      </c>
      <c r="M4049" s="460">
        <f t="shared" si="179"/>
        <v>0.05</v>
      </c>
      <c r="N4049" s="464">
        <f t="shared" si="180"/>
        <v>174282</v>
      </c>
    </row>
    <row r="4050" spans="7:14" ht="11.25" customHeight="1" x14ac:dyDescent="0.3">
      <c r="G4050" s="459"/>
      <c r="H4050" s="459">
        <v>4043</v>
      </c>
      <c r="I4050" s="444">
        <f t="shared" ca="1" si="178"/>
        <v>331761272118.87579</v>
      </c>
      <c r="J4050" s="444">
        <f t="array" ref="J4050">IFERROR(INDEX('Retirement Calculator'!J:J,MATCH('Isaac 401k'!N4050,'Retirement Calculator'!A:A,0),0),0)</f>
        <v>0</v>
      </c>
      <c r="K4050" s="444">
        <f t="shared" ca="1" si="176"/>
        <v>1382338633.828649</v>
      </c>
      <c r="L4050" s="444">
        <f t="shared" ca="1" si="177"/>
        <v>333143610752.70447</v>
      </c>
      <c r="M4050" s="460">
        <f t="shared" si="179"/>
        <v>0.05</v>
      </c>
      <c r="N4050" s="464">
        <f t="shared" si="180"/>
        <v>174313</v>
      </c>
    </row>
    <row r="4051" spans="7:14" ht="11.25" customHeight="1" x14ac:dyDescent="0.3">
      <c r="G4051" s="459"/>
      <c r="H4051" s="459">
        <v>4044</v>
      </c>
      <c r="I4051" s="444">
        <f t="shared" ca="1" si="178"/>
        <v>333143610752.70447</v>
      </c>
      <c r="J4051" s="444">
        <f t="array" ref="J4051">IFERROR(INDEX('Retirement Calculator'!J:J,MATCH('Isaac 401k'!N4051,'Retirement Calculator'!A:A,0),0),0)</f>
        <v>0</v>
      </c>
      <c r="K4051" s="444">
        <f t="shared" ca="1" si="176"/>
        <v>1388098378.1362686</v>
      </c>
      <c r="L4051" s="444">
        <f t="shared" ca="1" si="177"/>
        <v>334531709130.84076</v>
      </c>
      <c r="M4051" s="460">
        <f t="shared" si="179"/>
        <v>0.05</v>
      </c>
      <c r="N4051" s="464">
        <f t="shared" si="180"/>
        <v>174343</v>
      </c>
    </row>
    <row r="4052" spans="7:14" ht="11.25" customHeight="1" x14ac:dyDescent="0.3">
      <c r="G4052" s="459"/>
      <c r="H4052" s="459">
        <v>4045</v>
      </c>
      <c r="I4052" s="444">
        <f t="shared" ca="1" si="178"/>
        <v>334531709130.84076</v>
      </c>
      <c r="J4052" s="444">
        <f t="array" ref="J4052">IFERROR(INDEX('Retirement Calculator'!J:J,MATCH('Isaac 401k'!N4052,'Retirement Calculator'!A:A,0),0),0)</f>
        <v>0</v>
      </c>
      <c r="K4052" s="444">
        <f t="shared" ca="1" si="176"/>
        <v>1393882121.3785031</v>
      </c>
      <c r="L4052" s="444">
        <f t="shared" ca="1" si="177"/>
        <v>335925591252.21924</v>
      </c>
      <c r="M4052" s="460">
        <f t="shared" si="179"/>
        <v>0.05</v>
      </c>
      <c r="N4052" s="464">
        <f t="shared" si="180"/>
        <v>174374</v>
      </c>
    </row>
    <row r="4053" spans="7:14" ht="11.25" customHeight="1" x14ac:dyDescent="0.3">
      <c r="G4053" s="459"/>
      <c r="H4053" s="459">
        <v>4046</v>
      </c>
      <c r="I4053" s="444">
        <f t="shared" ca="1" si="178"/>
        <v>335925591252.21924</v>
      </c>
      <c r="J4053" s="444">
        <f t="array" ref="J4053">IFERROR(INDEX('Retirement Calculator'!J:J,MATCH('Isaac 401k'!N4053,'Retirement Calculator'!A:A,0),0),0)</f>
        <v>0</v>
      </c>
      <c r="K4053" s="444">
        <f t="shared" ca="1" si="176"/>
        <v>1399689963.5509136</v>
      </c>
      <c r="L4053" s="444">
        <f t="shared" ca="1" si="177"/>
        <v>337325281215.77014</v>
      </c>
      <c r="M4053" s="460">
        <f t="shared" si="179"/>
        <v>0.05</v>
      </c>
      <c r="N4053" s="464">
        <f t="shared" si="180"/>
        <v>174404</v>
      </c>
    </row>
    <row r="4054" spans="7:14" ht="11.25" customHeight="1" x14ac:dyDescent="0.3">
      <c r="G4054" s="459"/>
      <c r="H4054" s="459">
        <v>4047</v>
      </c>
      <c r="I4054" s="444">
        <f t="shared" ca="1" si="178"/>
        <v>337325281215.77014</v>
      </c>
      <c r="J4054" s="444">
        <f t="array" ref="J4054">IFERROR(INDEX('Retirement Calculator'!J:J,MATCH('Isaac 401k'!N4054,'Retirement Calculator'!A:A,0),0),0)</f>
        <v>0</v>
      </c>
      <c r="K4054" s="444">
        <f t="shared" ca="1" si="176"/>
        <v>1405522005.0657089</v>
      </c>
      <c r="L4054" s="444">
        <f t="shared" ca="1" si="177"/>
        <v>338730803220.83588</v>
      </c>
      <c r="M4054" s="460">
        <f t="shared" si="179"/>
        <v>0.05</v>
      </c>
      <c r="N4054" s="464">
        <f t="shared" si="180"/>
        <v>174435</v>
      </c>
    </row>
    <row r="4055" spans="7:14" ht="11.25" customHeight="1" x14ac:dyDescent="0.3">
      <c r="G4055" s="459"/>
      <c r="H4055" s="459">
        <v>4048</v>
      </c>
      <c r="I4055" s="444">
        <f t="shared" ca="1" si="178"/>
        <v>338730803220.83588</v>
      </c>
      <c r="J4055" s="444">
        <f t="array" ref="J4055">IFERROR(INDEX('Retirement Calculator'!J:J,MATCH('Isaac 401k'!N4055,'Retirement Calculator'!A:A,0),0),0)</f>
        <v>0</v>
      </c>
      <c r="K4055" s="444">
        <f t="shared" ca="1" si="176"/>
        <v>1411378346.7534828</v>
      </c>
      <c r="L4055" s="444">
        <f t="shared" ca="1" si="177"/>
        <v>340142181567.58936</v>
      </c>
      <c r="M4055" s="460">
        <f t="shared" si="179"/>
        <v>0.05</v>
      </c>
      <c r="N4055" s="464">
        <f t="shared" si="180"/>
        <v>174466</v>
      </c>
    </row>
    <row r="4056" spans="7:14" ht="11.25" customHeight="1" x14ac:dyDescent="0.3">
      <c r="G4056" s="459"/>
      <c r="H4056" s="459">
        <v>4049</v>
      </c>
      <c r="I4056" s="444">
        <f t="shared" ca="1" si="178"/>
        <v>340142181567.58936</v>
      </c>
      <c r="J4056" s="444">
        <f t="array" ref="J4056">IFERROR(INDEX('Retirement Calculator'!J:J,MATCH('Isaac 401k'!N4056,'Retirement Calculator'!A:A,0),0),0)</f>
        <v>0</v>
      </c>
      <c r="K4056" s="444">
        <f t="shared" ca="1" si="176"/>
        <v>1417259089.8649557</v>
      </c>
      <c r="L4056" s="444">
        <f t="shared" ca="1" si="177"/>
        <v>341559440657.45428</v>
      </c>
      <c r="M4056" s="460">
        <f t="shared" si="179"/>
        <v>0.05</v>
      </c>
      <c r="N4056" s="464">
        <f t="shared" si="180"/>
        <v>174496</v>
      </c>
    </row>
    <row r="4057" spans="7:14" ht="11.25" customHeight="1" x14ac:dyDescent="0.3">
      <c r="G4057" s="459"/>
      <c r="H4057" s="459">
        <v>4050</v>
      </c>
      <c r="I4057" s="444">
        <f t="shared" ca="1" si="178"/>
        <v>341559440657.45428</v>
      </c>
      <c r="J4057" s="444">
        <f t="array" ref="J4057">IFERROR(INDEX('Retirement Calculator'!J:J,MATCH('Isaac 401k'!N4057,'Retirement Calculator'!A:A,0),0),0)</f>
        <v>0</v>
      </c>
      <c r="K4057" s="444">
        <f t="shared" ca="1" si="176"/>
        <v>1423164336.0727262</v>
      </c>
      <c r="L4057" s="444">
        <f t="shared" ca="1" si="177"/>
        <v>342982604993.52704</v>
      </c>
      <c r="M4057" s="460">
        <f t="shared" si="179"/>
        <v>0.05</v>
      </c>
      <c r="N4057" s="464">
        <f t="shared" si="180"/>
        <v>174527</v>
      </c>
    </row>
    <row r="4058" spans="7:14" ht="11.25" customHeight="1" x14ac:dyDescent="0.3">
      <c r="G4058" s="459"/>
      <c r="H4058" s="459">
        <v>4051</v>
      </c>
      <c r="I4058" s="444">
        <f t="shared" ca="1" si="178"/>
        <v>342982604993.52704</v>
      </c>
      <c r="J4058" s="444">
        <f t="array" ref="J4058">IFERROR(INDEX('Retirement Calculator'!J:J,MATCH('Isaac 401k'!N4058,'Retirement Calculator'!A:A,0),0),0)</f>
        <v>0</v>
      </c>
      <c r="K4058" s="444">
        <f t="shared" ca="1" si="176"/>
        <v>1429094187.4730294</v>
      </c>
      <c r="L4058" s="444">
        <f t="shared" ca="1" si="177"/>
        <v>344411699181.00006</v>
      </c>
      <c r="M4058" s="460">
        <f t="shared" si="179"/>
        <v>0.05</v>
      </c>
      <c r="N4058" s="464">
        <f t="shared" si="180"/>
        <v>174557</v>
      </c>
    </row>
    <row r="4059" spans="7:14" ht="11.25" customHeight="1" x14ac:dyDescent="0.3">
      <c r="G4059" s="459"/>
      <c r="H4059" s="459">
        <v>4052</v>
      </c>
      <c r="I4059" s="444">
        <f t="shared" ca="1" si="178"/>
        <v>344411699181.00006</v>
      </c>
      <c r="J4059" s="444">
        <f t="array" ref="J4059">IFERROR(INDEX('Retirement Calculator'!J:J,MATCH('Isaac 401k'!N4059,'Retirement Calculator'!A:A,0),0),0)</f>
        <v>0</v>
      </c>
      <c r="K4059" s="444">
        <f t="shared" ca="1" si="176"/>
        <v>1435048746.5875003</v>
      </c>
      <c r="L4059" s="444">
        <f t="shared" ca="1" si="177"/>
        <v>345846747927.58759</v>
      </c>
      <c r="M4059" s="460">
        <f t="shared" si="179"/>
        <v>0.05</v>
      </c>
      <c r="N4059" s="464">
        <f t="shared" si="180"/>
        <v>174588</v>
      </c>
    </row>
    <row r="4060" spans="7:14" ht="11.25" customHeight="1" x14ac:dyDescent="0.3">
      <c r="G4060" s="459"/>
      <c r="H4060" s="459">
        <v>4053</v>
      </c>
      <c r="I4060" s="444">
        <f t="shared" ca="1" si="178"/>
        <v>345846747927.58759</v>
      </c>
      <c r="J4060" s="444">
        <f t="array" ref="J4060">IFERROR(INDEX('Retirement Calculator'!J:J,MATCH('Isaac 401k'!N4060,'Retirement Calculator'!A:A,0),0),0)</f>
        <v>0</v>
      </c>
      <c r="K4060" s="444">
        <f t="shared" ca="1" si="176"/>
        <v>1441028116.3649483</v>
      </c>
      <c r="L4060" s="444">
        <f t="shared" ca="1" si="177"/>
        <v>347287776043.95251</v>
      </c>
      <c r="M4060" s="460">
        <f t="shared" si="179"/>
        <v>0.05</v>
      </c>
      <c r="N4060" s="464">
        <f t="shared" si="180"/>
        <v>174619</v>
      </c>
    </row>
    <row r="4061" spans="7:14" ht="11.25" customHeight="1" x14ac:dyDescent="0.3">
      <c r="G4061" s="459"/>
      <c r="H4061" s="459">
        <v>4054</v>
      </c>
      <c r="I4061" s="444">
        <f t="shared" ca="1" si="178"/>
        <v>347287776043.95251</v>
      </c>
      <c r="J4061" s="444">
        <f t="array" ref="J4061">IFERROR(INDEX('Retirement Calculator'!J:J,MATCH('Isaac 401k'!N4061,'Retirement Calculator'!A:A,0),0),0)</f>
        <v>0</v>
      </c>
      <c r="K4061" s="444">
        <f t="shared" ca="1" si="176"/>
        <v>1447032400.1831355</v>
      </c>
      <c r="L4061" s="444">
        <f t="shared" ca="1" si="177"/>
        <v>348734808444.13562</v>
      </c>
      <c r="M4061" s="460">
        <f t="shared" si="179"/>
        <v>0.05</v>
      </c>
      <c r="N4061" s="464">
        <f t="shared" si="180"/>
        <v>174647</v>
      </c>
    </row>
    <row r="4062" spans="7:14" ht="11.25" customHeight="1" x14ac:dyDescent="0.3">
      <c r="G4062" s="459"/>
      <c r="H4062" s="459">
        <v>4055</v>
      </c>
      <c r="I4062" s="444">
        <f t="shared" ca="1" si="178"/>
        <v>348734808444.13562</v>
      </c>
      <c r="J4062" s="444">
        <f t="array" ref="J4062">IFERROR(INDEX('Retirement Calculator'!J:J,MATCH('Isaac 401k'!N4062,'Retirement Calculator'!A:A,0),0),0)</f>
        <v>0</v>
      </c>
      <c r="K4062" s="444">
        <f t="shared" ca="1" si="176"/>
        <v>1453061701.850565</v>
      </c>
      <c r="L4062" s="444">
        <f t="shared" ca="1" si="177"/>
        <v>350187870145.98621</v>
      </c>
      <c r="M4062" s="460">
        <f t="shared" si="179"/>
        <v>0.05</v>
      </c>
      <c r="N4062" s="464">
        <f t="shared" si="180"/>
        <v>174678</v>
      </c>
    </row>
    <row r="4063" spans="7:14" ht="11.25" customHeight="1" x14ac:dyDescent="0.3">
      <c r="G4063" s="459"/>
      <c r="H4063" s="459">
        <v>4056</v>
      </c>
      <c r="I4063" s="444">
        <f t="shared" ca="1" si="178"/>
        <v>350187870145.98621</v>
      </c>
      <c r="J4063" s="444">
        <f t="array" ref="J4063">IFERROR(INDEX('Retirement Calculator'!J:J,MATCH('Isaac 401k'!N4063,'Retirement Calculator'!A:A,0),0),0)</f>
        <v>0</v>
      </c>
      <c r="K4063" s="444">
        <f t="shared" ca="1" si="176"/>
        <v>1459116125.6082759</v>
      </c>
      <c r="L4063" s="444">
        <f t="shared" ca="1" si="177"/>
        <v>351646986271.59448</v>
      </c>
      <c r="M4063" s="460">
        <f t="shared" si="179"/>
        <v>0.05</v>
      </c>
      <c r="N4063" s="464">
        <f t="shared" si="180"/>
        <v>174708</v>
      </c>
    </row>
    <row r="4064" spans="7:14" ht="11.25" customHeight="1" x14ac:dyDescent="0.3">
      <c r="G4064" s="459"/>
      <c r="H4064" s="459">
        <v>4057</v>
      </c>
      <c r="I4064" s="444">
        <f t="shared" ca="1" si="178"/>
        <v>351646986271.59448</v>
      </c>
      <c r="J4064" s="444">
        <f t="array" ref="J4064">IFERROR(INDEX('Retirement Calculator'!J:J,MATCH('Isaac 401k'!N4064,'Retirement Calculator'!A:A,0),0),0)</f>
        <v>0</v>
      </c>
      <c r="K4064" s="444">
        <f t="shared" ca="1" si="176"/>
        <v>1465195776.1316438</v>
      </c>
      <c r="L4064" s="444">
        <f t="shared" ca="1" si="177"/>
        <v>353112182047.72614</v>
      </c>
      <c r="M4064" s="460">
        <f t="shared" si="179"/>
        <v>0.05</v>
      </c>
      <c r="N4064" s="464">
        <f t="shared" si="180"/>
        <v>174739</v>
      </c>
    </row>
    <row r="4065" spans="7:14" ht="11.25" customHeight="1" x14ac:dyDescent="0.3">
      <c r="G4065" s="459"/>
      <c r="H4065" s="459">
        <v>4058</v>
      </c>
      <c r="I4065" s="444">
        <f t="shared" ca="1" si="178"/>
        <v>353112182047.72614</v>
      </c>
      <c r="J4065" s="444">
        <f t="array" ref="J4065">IFERROR(INDEX('Retirement Calculator'!J:J,MATCH('Isaac 401k'!N4065,'Retirement Calculator'!A:A,0),0),0)</f>
        <v>0</v>
      </c>
      <c r="K4065" s="444">
        <f t="shared" ca="1" si="176"/>
        <v>1471300758.5321922</v>
      </c>
      <c r="L4065" s="444">
        <f t="shared" ca="1" si="177"/>
        <v>354583482806.2583</v>
      </c>
      <c r="M4065" s="460">
        <f t="shared" si="179"/>
        <v>0.05</v>
      </c>
      <c r="N4065" s="464">
        <f t="shared" si="180"/>
        <v>174769</v>
      </c>
    </row>
    <row r="4066" spans="7:14" ht="11.25" customHeight="1" x14ac:dyDescent="0.3">
      <c r="G4066" s="459"/>
      <c r="H4066" s="459">
        <v>4059</v>
      </c>
      <c r="I4066" s="444">
        <f t="shared" ca="1" si="178"/>
        <v>354583482806.2583</v>
      </c>
      <c r="J4066" s="444">
        <f t="array" ref="J4066">IFERROR(INDEX('Retirement Calculator'!J:J,MATCH('Isaac 401k'!N4066,'Retirement Calculator'!A:A,0),0),0)</f>
        <v>0</v>
      </c>
      <c r="K4066" s="444">
        <f t="shared" ca="1" si="176"/>
        <v>1477431178.3594096</v>
      </c>
      <c r="L4066" s="444">
        <f t="shared" ca="1" si="177"/>
        <v>356060913984.61774</v>
      </c>
      <c r="M4066" s="460">
        <f t="shared" si="179"/>
        <v>0.05</v>
      </c>
      <c r="N4066" s="464">
        <f t="shared" si="180"/>
        <v>174800</v>
      </c>
    </row>
    <row r="4067" spans="7:14" ht="11.25" customHeight="1" x14ac:dyDescent="0.3">
      <c r="G4067" s="459"/>
      <c r="H4067" s="459">
        <v>4060</v>
      </c>
      <c r="I4067" s="444">
        <f t="shared" ca="1" si="178"/>
        <v>356060913984.61774</v>
      </c>
      <c r="J4067" s="444">
        <f t="array" ref="J4067">IFERROR(INDEX('Retirement Calculator'!J:J,MATCH('Isaac 401k'!N4067,'Retirement Calculator'!A:A,0),0),0)</f>
        <v>0</v>
      </c>
      <c r="K4067" s="444">
        <f t="shared" ca="1" si="176"/>
        <v>1483587141.6025739</v>
      </c>
      <c r="L4067" s="444">
        <f t="shared" ca="1" si="177"/>
        <v>357544501126.22034</v>
      </c>
      <c r="M4067" s="460">
        <f t="shared" si="179"/>
        <v>0.05</v>
      </c>
      <c r="N4067" s="464">
        <f t="shared" si="180"/>
        <v>174831</v>
      </c>
    </row>
    <row r="4068" spans="7:14" ht="11.25" customHeight="1" x14ac:dyDescent="0.3">
      <c r="G4068" s="459"/>
      <c r="H4068" s="459">
        <v>4061</v>
      </c>
      <c r="I4068" s="444">
        <f t="shared" ca="1" si="178"/>
        <v>357544501126.22034</v>
      </c>
      <c r="J4068" s="444">
        <f t="array" ref="J4068">IFERROR(INDEX('Retirement Calculator'!J:J,MATCH('Isaac 401k'!N4068,'Retirement Calculator'!A:A,0),0),0)</f>
        <v>0</v>
      </c>
      <c r="K4068" s="444">
        <f t="shared" ca="1" si="176"/>
        <v>1489768754.6925848</v>
      </c>
      <c r="L4068" s="444">
        <f t="shared" ca="1" si="177"/>
        <v>359034269880.9129</v>
      </c>
      <c r="M4068" s="460">
        <f t="shared" si="179"/>
        <v>0.05</v>
      </c>
      <c r="N4068" s="464">
        <f t="shared" si="180"/>
        <v>174861</v>
      </c>
    </row>
    <row r="4069" spans="7:14" ht="11.25" customHeight="1" x14ac:dyDescent="0.3">
      <c r="G4069" s="459"/>
      <c r="H4069" s="459">
        <v>4062</v>
      </c>
      <c r="I4069" s="444">
        <f t="shared" ca="1" si="178"/>
        <v>359034269880.9129</v>
      </c>
      <c r="J4069" s="444">
        <f t="array" ref="J4069">IFERROR(INDEX('Retirement Calculator'!J:J,MATCH('Isaac 401k'!N4069,'Retirement Calculator'!A:A,0),0),0)</f>
        <v>0</v>
      </c>
      <c r="K4069" s="444">
        <f t="shared" ca="1" si="176"/>
        <v>1495976124.5038037</v>
      </c>
      <c r="L4069" s="444">
        <f t="shared" ca="1" si="177"/>
        <v>360530246005.41669</v>
      </c>
      <c r="M4069" s="460">
        <f t="shared" si="179"/>
        <v>0.05</v>
      </c>
      <c r="N4069" s="464">
        <f t="shared" si="180"/>
        <v>174892</v>
      </c>
    </row>
    <row r="4070" spans="7:14" ht="11.25" customHeight="1" x14ac:dyDescent="0.3">
      <c r="G4070" s="459"/>
      <c r="H4070" s="459">
        <v>4063</v>
      </c>
      <c r="I4070" s="444">
        <f t="shared" ca="1" si="178"/>
        <v>360530246005.41669</v>
      </c>
      <c r="J4070" s="444">
        <f t="array" ref="J4070">IFERROR(INDEX('Retirement Calculator'!J:J,MATCH('Isaac 401k'!N4070,'Retirement Calculator'!A:A,0),0),0)</f>
        <v>0</v>
      </c>
      <c r="K4070" s="444">
        <f t="shared" ca="1" si="176"/>
        <v>1502209358.3559029</v>
      </c>
      <c r="L4070" s="444">
        <f t="shared" ca="1" si="177"/>
        <v>362032455363.77258</v>
      </c>
      <c r="M4070" s="460">
        <f t="shared" si="179"/>
        <v>0.05</v>
      </c>
      <c r="N4070" s="464">
        <f t="shared" si="180"/>
        <v>174922</v>
      </c>
    </row>
    <row r="4071" spans="7:14" ht="11.25" customHeight="1" x14ac:dyDescent="0.3">
      <c r="G4071" s="459"/>
      <c r="H4071" s="459">
        <v>4064</v>
      </c>
      <c r="I4071" s="444">
        <f t="shared" ca="1" si="178"/>
        <v>362032455363.77258</v>
      </c>
      <c r="J4071" s="444">
        <f t="array" ref="J4071">IFERROR(INDEX('Retirement Calculator'!J:J,MATCH('Isaac 401k'!N4071,'Retirement Calculator'!A:A,0),0),0)</f>
        <v>0</v>
      </c>
      <c r="K4071" s="444">
        <f t="shared" ca="1" si="176"/>
        <v>1508468564.0157192</v>
      </c>
      <c r="L4071" s="444">
        <f t="shared" ca="1" si="177"/>
        <v>363540923927.78833</v>
      </c>
      <c r="M4071" s="460">
        <f t="shared" si="179"/>
        <v>0.05</v>
      </c>
      <c r="N4071" s="464">
        <f t="shared" si="180"/>
        <v>174953</v>
      </c>
    </row>
    <row r="4072" spans="7:14" ht="11.25" customHeight="1" x14ac:dyDescent="0.3">
      <c r="G4072" s="459"/>
      <c r="H4072" s="459">
        <v>4065</v>
      </c>
      <c r="I4072" s="444">
        <f t="shared" ca="1" si="178"/>
        <v>363540923927.78833</v>
      </c>
      <c r="J4072" s="444">
        <f t="array" ref="J4072">IFERROR(INDEX('Retirement Calculator'!J:J,MATCH('Isaac 401k'!N4072,'Retirement Calculator'!A:A,0),0),0)</f>
        <v>0</v>
      </c>
      <c r="K4072" s="444">
        <f t="shared" ca="1" si="176"/>
        <v>1514753849.6991181</v>
      </c>
      <c r="L4072" s="444">
        <f t="shared" ca="1" si="177"/>
        <v>365055677777.48743</v>
      </c>
      <c r="M4072" s="460">
        <f t="shared" si="179"/>
        <v>0.05</v>
      </c>
      <c r="N4072" s="464">
        <f t="shared" si="180"/>
        <v>174984</v>
      </c>
    </row>
    <row r="4073" spans="7:14" ht="11.25" customHeight="1" x14ac:dyDescent="0.3">
      <c r="G4073" s="459"/>
      <c r="H4073" s="459">
        <v>4066</v>
      </c>
      <c r="I4073" s="444">
        <f t="shared" ca="1" si="178"/>
        <v>365055677777.48743</v>
      </c>
      <c r="J4073" s="444">
        <f t="array" ref="J4073">IFERROR(INDEX('Retirement Calculator'!J:J,MATCH('Isaac 401k'!N4073,'Retirement Calculator'!A:A,0),0),0)</f>
        <v>0</v>
      </c>
      <c r="K4073" s="444">
        <f t="shared" ca="1" si="176"/>
        <v>1521065324.0728643</v>
      </c>
      <c r="L4073" s="444">
        <f t="shared" ca="1" si="177"/>
        <v>366576743101.5603</v>
      </c>
      <c r="M4073" s="460">
        <f t="shared" si="179"/>
        <v>0.05</v>
      </c>
      <c r="N4073" s="464">
        <f t="shared" si="180"/>
        <v>175012</v>
      </c>
    </row>
    <row r="4074" spans="7:14" ht="11.25" customHeight="1" x14ac:dyDescent="0.3">
      <c r="G4074" s="459"/>
      <c r="H4074" s="459">
        <v>4067</v>
      </c>
      <c r="I4074" s="444">
        <f t="shared" ca="1" si="178"/>
        <v>366576743101.5603</v>
      </c>
      <c r="J4074" s="444">
        <f t="array" ref="J4074">IFERROR(INDEX('Retirement Calculator'!J:J,MATCH('Isaac 401k'!N4074,'Retirement Calculator'!A:A,0),0),0)</f>
        <v>0</v>
      </c>
      <c r="K4074" s="444">
        <f t="shared" ca="1" si="176"/>
        <v>1527403096.2565012</v>
      </c>
      <c r="L4074" s="444">
        <f t="shared" ca="1" si="177"/>
        <v>368104146197.81683</v>
      </c>
      <c r="M4074" s="460">
        <f t="shared" si="179"/>
        <v>0.05</v>
      </c>
      <c r="N4074" s="464">
        <f t="shared" si="180"/>
        <v>175043</v>
      </c>
    </row>
    <row r="4075" spans="7:14" ht="11.25" customHeight="1" x14ac:dyDescent="0.3">
      <c r="G4075" s="459"/>
      <c r="H4075" s="459">
        <v>4068</v>
      </c>
      <c r="I4075" s="444">
        <f t="shared" ca="1" si="178"/>
        <v>368104146197.81683</v>
      </c>
      <c r="J4075" s="444">
        <f t="array" ref="J4075">IFERROR(INDEX('Retirement Calculator'!J:J,MATCH('Isaac 401k'!N4075,'Retirement Calculator'!A:A,0),0),0)</f>
        <v>0</v>
      </c>
      <c r="K4075" s="444">
        <f t="shared" ca="1" si="176"/>
        <v>1533767275.8242369</v>
      </c>
      <c r="L4075" s="444">
        <f t="shared" ca="1" si="177"/>
        <v>369637913473.64105</v>
      </c>
      <c r="M4075" s="460">
        <f t="shared" si="179"/>
        <v>0.05</v>
      </c>
      <c r="N4075" s="464">
        <f t="shared" si="180"/>
        <v>175073</v>
      </c>
    </row>
    <row r="4076" spans="7:14" ht="11.25" customHeight="1" x14ac:dyDescent="0.3">
      <c r="G4076" s="459"/>
      <c r="H4076" s="459">
        <v>4069</v>
      </c>
      <c r="I4076" s="444">
        <f t="shared" ca="1" si="178"/>
        <v>369637913473.64105</v>
      </c>
      <c r="J4076" s="444">
        <f t="array" ref="J4076">IFERROR(INDEX('Retirement Calculator'!J:J,MATCH('Isaac 401k'!N4076,'Retirement Calculator'!A:A,0),0),0)</f>
        <v>0</v>
      </c>
      <c r="K4076" s="444">
        <f t="shared" ca="1" si="176"/>
        <v>1540157972.8068378</v>
      </c>
      <c r="L4076" s="444">
        <f t="shared" ca="1" si="177"/>
        <v>371178071446.44788</v>
      </c>
      <c r="M4076" s="460">
        <f t="shared" si="179"/>
        <v>0.05</v>
      </c>
      <c r="N4076" s="464">
        <f t="shared" si="180"/>
        <v>175104</v>
      </c>
    </row>
    <row r="4077" spans="7:14" ht="11.25" customHeight="1" x14ac:dyDescent="0.3">
      <c r="G4077" s="459"/>
      <c r="H4077" s="459">
        <v>4070</v>
      </c>
      <c r="I4077" s="444">
        <f t="shared" ca="1" si="178"/>
        <v>371178071446.44788</v>
      </c>
      <c r="J4077" s="444">
        <f t="array" ref="J4077">IFERROR(INDEX('Retirement Calculator'!J:J,MATCH('Isaac 401k'!N4077,'Retirement Calculator'!A:A,0),0),0)</f>
        <v>0</v>
      </c>
      <c r="K4077" s="444">
        <f t="shared" ca="1" si="176"/>
        <v>1546575297.6935327</v>
      </c>
      <c r="L4077" s="444">
        <f t="shared" ca="1" si="177"/>
        <v>372724646744.14142</v>
      </c>
      <c r="M4077" s="460">
        <f t="shared" si="179"/>
        <v>0.05</v>
      </c>
      <c r="N4077" s="464">
        <f t="shared" si="180"/>
        <v>175134</v>
      </c>
    </row>
    <row r="4078" spans="7:14" ht="11.25" customHeight="1" x14ac:dyDescent="0.3">
      <c r="G4078" s="459"/>
      <c r="H4078" s="459">
        <v>4071</v>
      </c>
      <c r="I4078" s="444">
        <f t="shared" ca="1" si="178"/>
        <v>372724646744.14142</v>
      </c>
      <c r="J4078" s="444">
        <f t="array" ref="J4078">IFERROR(INDEX('Retirement Calculator'!J:J,MATCH('Isaac 401k'!N4078,'Retirement Calculator'!A:A,0),0),0)</f>
        <v>0</v>
      </c>
      <c r="K4078" s="444">
        <f t="shared" ca="1" si="176"/>
        <v>1553019361.4339225</v>
      </c>
      <c r="L4078" s="444">
        <f t="shared" ca="1" si="177"/>
        <v>374277666105.57532</v>
      </c>
      <c r="M4078" s="460">
        <f t="shared" si="179"/>
        <v>0.05</v>
      </c>
      <c r="N4078" s="464">
        <f t="shared" si="180"/>
        <v>175165</v>
      </c>
    </row>
    <row r="4079" spans="7:14" ht="11.25" customHeight="1" x14ac:dyDescent="0.3">
      <c r="G4079" s="459"/>
      <c r="H4079" s="459">
        <v>4072</v>
      </c>
      <c r="I4079" s="444">
        <f t="shared" ca="1" si="178"/>
        <v>374277666105.57532</v>
      </c>
      <c r="J4079" s="444">
        <f t="array" ref="J4079">IFERROR(INDEX('Retirement Calculator'!J:J,MATCH('Isaac 401k'!N4079,'Retirement Calculator'!A:A,0),0),0)</f>
        <v>0</v>
      </c>
      <c r="K4079" s="444">
        <f t="shared" ca="1" si="176"/>
        <v>1559490275.4398971</v>
      </c>
      <c r="L4079" s="444">
        <f t="shared" ca="1" si="177"/>
        <v>375837156381.0152</v>
      </c>
      <c r="M4079" s="460">
        <f t="shared" si="179"/>
        <v>0.05</v>
      </c>
      <c r="N4079" s="464">
        <f t="shared" si="180"/>
        <v>175196</v>
      </c>
    </row>
    <row r="4080" spans="7:14" ht="11.25" customHeight="1" x14ac:dyDescent="0.3">
      <c r="G4080" s="459"/>
      <c r="H4080" s="459">
        <v>4073</v>
      </c>
      <c r="I4080" s="444">
        <f t="shared" ca="1" si="178"/>
        <v>375837156381.0152</v>
      </c>
      <c r="J4080" s="444">
        <f t="array" ref="J4080">IFERROR(INDEX('Retirement Calculator'!J:J,MATCH('Isaac 401k'!N4080,'Retirement Calculator'!A:A,0),0),0)</f>
        <v>0</v>
      </c>
      <c r="K4080" s="444">
        <f t="shared" ca="1" si="176"/>
        <v>1565988151.5875633</v>
      </c>
      <c r="L4080" s="444">
        <f t="shared" ca="1" si="177"/>
        <v>377403144532.60278</v>
      </c>
      <c r="M4080" s="460">
        <f t="shared" si="179"/>
        <v>0.05</v>
      </c>
      <c r="N4080" s="464">
        <f t="shared" si="180"/>
        <v>175226</v>
      </c>
    </row>
    <row r="4081" spans="7:14" ht="11.25" customHeight="1" x14ac:dyDescent="0.3">
      <c r="G4081" s="459"/>
      <c r="H4081" s="459">
        <v>4074</v>
      </c>
      <c r="I4081" s="444">
        <f t="shared" ca="1" si="178"/>
        <v>377403144532.60278</v>
      </c>
      <c r="J4081" s="444">
        <f t="array" ref="J4081">IFERROR(INDEX('Retirement Calculator'!J:J,MATCH('Isaac 401k'!N4081,'Retirement Calculator'!A:A,0),0),0)</f>
        <v>0</v>
      </c>
      <c r="K4081" s="444">
        <f t="shared" ca="1" si="176"/>
        <v>1572513102.2191782</v>
      </c>
      <c r="L4081" s="444">
        <f t="shared" ca="1" si="177"/>
        <v>378975657634.82196</v>
      </c>
      <c r="M4081" s="460">
        <f t="shared" si="179"/>
        <v>0.05</v>
      </c>
      <c r="N4081" s="464">
        <f t="shared" si="180"/>
        <v>175257</v>
      </c>
    </row>
    <row r="4082" spans="7:14" ht="11.25" customHeight="1" x14ac:dyDescent="0.3">
      <c r="G4082" s="459"/>
      <c r="H4082" s="459">
        <v>4075</v>
      </c>
      <c r="I4082" s="444">
        <f t="shared" ca="1" si="178"/>
        <v>378975657634.82196</v>
      </c>
      <c r="J4082" s="444">
        <f t="array" ref="J4082">IFERROR(INDEX('Retirement Calculator'!J:J,MATCH('Isaac 401k'!N4082,'Retirement Calculator'!A:A,0),0),0)</f>
        <v>0</v>
      </c>
      <c r="K4082" s="444">
        <f t="shared" ca="1" si="176"/>
        <v>1579065240.1450915</v>
      </c>
      <c r="L4082" s="444">
        <f t="shared" ca="1" si="177"/>
        <v>380554722874.96704</v>
      </c>
      <c r="M4082" s="460">
        <f t="shared" si="179"/>
        <v>0.05</v>
      </c>
      <c r="N4082" s="464">
        <f t="shared" si="180"/>
        <v>175287</v>
      </c>
    </row>
    <row r="4083" spans="7:14" ht="11.25" customHeight="1" x14ac:dyDescent="0.3">
      <c r="G4083" s="459"/>
      <c r="H4083" s="459">
        <v>4076</v>
      </c>
      <c r="I4083" s="444">
        <f t="shared" ca="1" si="178"/>
        <v>380554722874.96704</v>
      </c>
      <c r="J4083" s="444">
        <f t="array" ref="J4083">IFERROR(INDEX('Retirement Calculator'!J:J,MATCH('Isaac 401k'!N4083,'Retirement Calculator'!A:A,0),0),0)</f>
        <v>0</v>
      </c>
      <c r="K4083" s="444">
        <f t="shared" ca="1" si="176"/>
        <v>1585644678.6456959</v>
      </c>
      <c r="L4083" s="444">
        <f t="shared" ca="1" si="177"/>
        <v>382140367553.61273</v>
      </c>
      <c r="M4083" s="460">
        <f t="shared" si="179"/>
        <v>0.05</v>
      </c>
      <c r="N4083" s="464">
        <f t="shared" si="180"/>
        <v>175318</v>
      </c>
    </row>
    <row r="4084" spans="7:14" ht="11.25" customHeight="1" x14ac:dyDescent="0.3">
      <c r="G4084" s="459"/>
      <c r="H4084" s="459">
        <v>4077</v>
      </c>
      <c r="I4084" s="444">
        <f t="shared" ca="1" si="178"/>
        <v>382140367553.61273</v>
      </c>
      <c r="J4084" s="444">
        <f t="array" ref="J4084">IFERROR(INDEX('Retirement Calculator'!J:J,MATCH('Isaac 401k'!N4084,'Retirement Calculator'!A:A,0),0),0)</f>
        <v>0</v>
      </c>
      <c r="K4084" s="444">
        <f t="shared" ca="1" si="176"/>
        <v>1592251531.4733863</v>
      </c>
      <c r="L4084" s="444">
        <f t="shared" ca="1" si="177"/>
        <v>383732619085.08612</v>
      </c>
      <c r="M4084" s="460">
        <f t="shared" si="179"/>
        <v>0.05</v>
      </c>
      <c r="N4084" s="464">
        <f t="shared" si="180"/>
        <v>175349</v>
      </c>
    </row>
    <row r="4085" spans="7:14" ht="11.25" customHeight="1" x14ac:dyDescent="0.3">
      <c r="G4085" s="459"/>
      <c r="H4085" s="459">
        <v>4078</v>
      </c>
      <c r="I4085" s="444">
        <f t="shared" ca="1" si="178"/>
        <v>383732619085.08612</v>
      </c>
      <c r="J4085" s="444">
        <f t="array" ref="J4085">IFERROR(INDEX('Retirement Calculator'!J:J,MATCH('Isaac 401k'!N4085,'Retirement Calculator'!A:A,0),0),0)</f>
        <v>0</v>
      </c>
      <c r="K4085" s="444">
        <f t="shared" ca="1" si="176"/>
        <v>1598885912.8545256</v>
      </c>
      <c r="L4085" s="444">
        <f t="shared" ca="1" si="177"/>
        <v>385331504997.94067</v>
      </c>
      <c r="M4085" s="460">
        <f t="shared" si="179"/>
        <v>0.05</v>
      </c>
      <c r="N4085" s="464">
        <f t="shared" si="180"/>
        <v>175378</v>
      </c>
    </row>
    <row r="4086" spans="7:14" ht="11.25" customHeight="1" x14ac:dyDescent="0.3">
      <c r="G4086" s="459"/>
      <c r="H4086" s="459">
        <v>4079</v>
      </c>
      <c r="I4086" s="444">
        <f t="shared" ca="1" si="178"/>
        <v>385331504997.94067</v>
      </c>
      <c r="J4086" s="444">
        <f t="array" ref="J4086">IFERROR(INDEX('Retirement Calculator'!J:J,MATCH('Isaac 401k'!N4086,'Retirement Calculator'!A:A,0),0),0)</f>
        <v>0</v>
      </c>
      <c r="K4086" s="444">
        <f t="shared" ca="1" si="176"/>
        <v>1605547937.4914196</v>
      </c>
      <c r="L4086" s="444">
        <f t="shared" ca="1" si="177"/>
        <v>386937052935.43207</v>
      </c>
      <c r="M4086" s="460">
        <f t="shared" si="179"/>
        <v>0.05</v>
      </c>
      <c r="N4086" s="464">
        <f t="shared" si="180"/>
        <v>175409</v>
      </c>
    </row>
    <row r="4087" spans="7:14" ht="11.25" customHeight="1" x14ac:dyDescent="0.3">
      <c r="G4087" s="459"/>
      <c r="H4087" s="459">
        <v>4080</v>
      </c>
      <c r="I4087" s="444">
        <f t="shared" ca="1" si="178"/>
        <v>386937052935.43207</v>
      </c>
      <c r="J4087" s="444">
        <f t="array" ref="J4087">IFERROR(INDEX('Retirement Calculator'!J:J,MATCH('Isaac 401k'!N4087,'Retirement Calculator'!A:A,0),0),0)</f>
        <v>0</v>
      </c>
      <c r="K4087" s="444">
        <f t="shared" ca="1" si="176"/>
        <v>1612237720.5643003</v>
      </c>
      <c r="L4087" s="444">
        <f t="shared" ca="1" si="177"/>
        <v>388549290655.99634</v>
      </c>
      <c r="M4087" s="460">
        <f t="shared" si="179"/>
        <v>0.05</v>
      </c>
      <c r="N4087" s="464">
        <f t="shared" si="180"/>
        <v>175439</v>
      </c>
    </row>
    <row r="4088" spans="7:14" ht="11.25" customHeight="1" x14ac:dyDescent="0.3">
      <c r="G4088" s="459"/>
      <c r="H4088" s="459">
        <v>4081</v>
      </c>
      <c r="I4088" s="444">
        <f t="shared" ca="1" si="178"/>
        <v>388549290655.99634</v>
      </c>
      <c r="J4088" s="444">
        <f t="array" ref="J4088">IFERROR(INDEX('Retirement Calculator'!J:J,MATCH('Isaac 401k'!N4088,'Retirement Calculator'!A:A,0),0),0)</f>
        <v>0</v>
      </c>
      <c r="K4088" s="444">
        <f t="shared" ref="K4088:K4342" ca="1" si="181">IPMT(M4088/12,1,12,-I4088+J4088,,0)</f>
        <v>1618955377.7333181</v>
      </c>
      <c r="L4088" s="444">
        <f t="shared" ref="L4088:L4342" ca="1" si="182">I4088-J4088+K4088</f>
        <v>390168246033.72968</v>
      </c>
      <c r="M4088" s="460">
        <f t="shared" si="179"/>
        <v>0.05</v>
      </c>
      <c r="N4088" s="464">
        <f t="shared" si="180"/>
        <v>175470</v>
      </c>
    </row>
    <row r="4089" spans="7:14" ht="11.25" customHeight="1" x14ac:dyDescent="0.3">
      <c r="G4089" s="459"/>
      <c r="H4089" s="459">
        <v>4082</v>
      </c>
      <c r="I4089" s="444">
        <f t="shared" ref="I4089:I4343" ca="1" si="183">L4088</f>
        <v>390168246033.72968</v>
      </c>
      <c r="J4089" s="444">
        <f t="array" ref="J4089">IFERROR(INDEX('Retirement Calculator'!J:J,MATCH('Isaac 401k'!N4089,'Retirement Calculator'!A:A,0),0),0)</f>
        <v>0</v>
      </c>
      <c r="K4089" s="444">
        <f t="shared" ca="1" si="181"/>
        <v>1625701025.1405404</v>
      </c>
      <c r="L4089" s="444">
        <f t="shared" ca="1" si="182"/>
        <v>391793947058.87024</v>
      </c>
      <c r="M4089" s="460">
        <f t="shared" ref="M4089:M4343" si="184">M4088</f>
        <v>0.05</v>
      </c>
      <c r="N4089" s="464">
        <f t="shared" ref="N4089:N4343" si="185">EDATE(N4088,1)</f>
        <v>175500</v>
      </c>
    </row>
    <row r="4090" spans="7:14" ht="11.25" customHeight="1" x14ac:dyDescent="0.3">
      <c r="G4090" s="459"/>
      <c r="H4090" s="459">
        <v>4083</v>
      </c>
      <c r="I4090" s="444">
        <f t="shared" ca="1" si="183"/>
        <v>391793947058.87024</v>
      </c>
      <c r="J4090" s="444">
        <f t="array" ref="J4090">IFERROR(INDEX('Retirement Calculator'!J:J,MATCH('Isaac 401k'!N4090,'Retirement Calculator'!A:A,0),0),0)</f>
        <v>0</v>
      </c>
      <c r="K4090" s="444">
        <f t="shared" ca="1" si="181"/>
        <v>1632474779.4119594</v>
      </c>
      <c r="L4090" s="444">
        <f t="shared" ca="1" si="182"/>
        <v>393426421838.28223</v>
      </c>
      <c r="M4090" s="460">
        <f t="shared" si="184"/>
        <v>0.05</v>
      </c>
      <c r="N4090" s="464">
        <f t="shared" si="185"/>
        <v>175531</v>
      </c>
    </row>
    <row r="4091" spans="7:14" ht="11.25" customHeight="1" x14ac:dyDescent="0.3">
      <c r="G4091" s="459"/>
      <c r="H4091" s="459">
        <v>4084</v>
      </c>
      <c r="I4091" s="444">
        <f t="shared" ca="1" si="183"/>
        <v>393426421838.28223</v>
      </c>
      <c r="J4091" s="444">
        <f t="array" ref="J4091">IFERROR(INDEX('Retirement Calculator'!J:J,MATCH('Isaac 401k'!N4091,'Retirement Calculator'!A:A,0),0),0)</f>
        <v>0</v>
      </c>
      <c r="K4091" s="444">
        <f t="shared" ca="1" si="181"/>
        <v>1639276757.6595092</v>
      </c>
      <c r="L4091" s="444">
        <f t="shared" ca="1" si="182"/>
        <v>395065698595.94171</v>
      </c>
      <c r="M4091" s="460">
        <f t="shared" si="184"/>
        <v>0.05</v>
      </c>
      <c r="N4091" s="464">
        <f t="shared" si="185"/>
        <v>175562</v>
      </c>
    </row>
    <row r="4092" spans="7:14" ht="11.25" customHeight="1" x14ac:dyDescent="0.3">
      <c r="G4092" s="459"/>
      <c r="H4092" s="459">
        <v>4085</v>
      </c>
      <c r="I4092" s="444">
        <f t="shared" ca="1" si="183"/>
        <v>395065698595.94171</v>
      </c>
      <c r="J4092" s="444">
        <f t="array" ref="J4092">IFERROR(INDEX('Retirement Calculator'!J:J,MATCH('Isaac 401k'!N4092,'Retirement Calculator'!A:A,0),0),0)</f>
        <v>0</v>
      </c>
      <c r="K4092" s="444">
        <f t="shared" ca="1" si="181"/>
        <v>1646107077.4830904</v>
      </c>
      <c r="L4092" s="444">
        <f t="shared" ca="1" si="182"/>
        <v>396711805673.4248</v>
      </c>
      <c r="M4092" s="460">
        <f t="shared" si="184"/>
        <v>0.05</v>
      </c>
      <c r="N4092" s="464">
        <f t="shared" si="185"/>
        <v>175592</v>
      </c>
    </row>
    <row r="4093" spans="7:14" ht="11.25" customHeight="1" x14ac:dyDescent="0.3">
      <c r="G4093" s="459"/>
      <c r="H4093" s="459">
        <v>4086</v>
      </c>
      <c r="I4093" s="444">
        <f t="shared" ca="1" si="183"/>
        <v>396711805673.4248</v>
      </c>
      <c r="J4093" s="444">
        <f t="array" ref="J4093">IFERROR(INDEX('Retirement Calculator'!J:J,MATCH('Isaac 401k'!N4093,'Retirement Calculator'!A:A,0),0),0)</f>
        <v>0</v>
      </c>
      <c r="K4093" s="444">
        <f t="shared" ca="1" si="181"/>
        <v>1652965856.9726033</v>
      </c>
      <c r="L4093" s="444">
        <f t="shared" ca="1" si="182"/>
        <v>398364771530.3974</v>
      </c>
      <c r="M4093" s="460">
        <f t="shared" si="184"/>
        <v>0.05</v>
      </c>
      <c r="N4093" s="464">
        <f t="shared" si="185"/>
        <v>175623</v>
      </c>
    </row>
    <row r="4094" spans="7:14" ht="11.25" customHeight="1" x14ac:dyDescent="0.3">
      <c r="G4094" s="459"/>
      <c r="H4094" s="459">
        <v>4087</v>
      </c>
      <c r="I4094" s="444">
        <f t="shared" ca="1" si="183"/>
        <v>398364771530.3974</v>
      </c>
      <c r="J4094" s="444">
        <f t="array" ref="J4094">IFERROR(INDEX('Retirement Calculator'!J:J,MATCH('Isaac 401k'!N4094,'Retirement Calculator'!A:A,0),0),0)</f>
        <v>0</v>
      </c>
      <c r="K4094" s="444">
        <f t="shared" ca="1" si="181"/>
        <v>1659853214.7099891</v>
      </c>
      <c r="L4094" s="444">
        <f t="shared" ca="1" si="182"/>
        <v>400024624745.10736</v>
      </c>
      <c r="M4094" s="460">
        <f t="shared" si="184"/>
        <v>0.05</v>
      </c>
      <c r="N4094" s="464">
        <f t="shared" si="185"/>
        <v>175653</v>
      </c>
    </row>
    <row r="4095" spans="7:14" ht="11.25" customHeight="1" x14ac:dyDescent="0.3">
      <c r="G4095" s="459"/>
      <c r="H4095" s="459">
        <v>4088</v>
      </c>
      <c r="I4095" s="444">
        <f t="shared" ca="1" si="183"/>
        <v>400024624745.10736</v>
      </c>
      <c r="J4095" s="444">
        <f t="array" ref="J4095">IFERROR(INDEX('Retirement Calculator'!J:J,MATCH('Isaac 401k'!N4095,'Retirement Calculator'!A:A,0),0),0)</f>
        <v>0</v>
      </c>
      <c r="K4095" s="444">
        <f t="shared" ca="1" si="181"/>
        <v>1666769269.7712808</v>
      </c>
      <c r="L4095" s="444">
        <f t="shared" ca="1" si="182"/>
        <v>401691394014.87866</v>
      </c>
      <c r="M4095" s="460">
        <f t="shared" si="184"/>
        <v>0.05</v>
      </c>
      <c r="N4095" s="464">
        <f t="shared" si="185"/>
        <v>175684</v>
      </c>
    </row>
    <row r="4096" spans="7:14" ht="11.25" customHeight="1" x14ac:dyDescent="0.3">
      <c r="G4096" s="459"/>
      <c r="H4096" s="459">
        <v>4089</v>
      </c>
      <c r="I4096" s="444">
        <f t="shared" ca="1" si="183"/>
        <v>401691394014.87866</v>
      </c>
      <c r="J4096" s="444">
        <f t="array" ref="J4096">IFERROR(INDEX('Retirement Calculator'!J:J,MATCH('Isaac 401k'!N4096,'Retirement Calculator'!A:A,0),0),0)</f>
        <v>0</v>
      </c>
      <c r="K4096" s="444">
        <f t="shared" ca="1" si="181"/>
        <v>1673714141.7286611</v>
      </c>
      <c r="L4096" s="444">
        <f t="shared" ca="1" si="182"/>
        <v>403365108156.6073</v>
      </c>
      <c r="M4096" s="460">
        <f t="shared" si="184"/>
        <v>0.05</v>
      </c>
      <c r="N4096" s="464">
        <f t="shared" si="185"/>
        <v>175715</v>
      </c>
    </row>
    <row r="4097" spans="7:14" ht="11.25" customHeight="1" x14ac:dyDescent="0.3">
      <c r="G4097" s="459"/>
      <c r="H4097" s="459">
        <v>4090</v>
      </c>
      <c r="I4097" s="444">
        <f t="shared" ca="1" si="183"/>
        <v>403365108156.6073</v>
      </c>
      <c r="J4097" s="444">
        <f t="array" ref="J4097">IFERROR(INDEX('Retirement Calculator'!J:J,MATCH('Isaac 401k'!N4097,'Retirement Calculator'!A:A,0),0),0)</f>
        <v>0</v>
      </c>
      <c r="K4097" s="444">
        <f t="shared" ca="1" si="181"/>
        <v>1680687950.6525304</v>
      </c>
      <c r="L4097" s="444">
        <f t="shared" ca="1" si="182"/>
        <v>405045796107.25983</v>
      </c>
      <c r="M4097" s="460">
        <f t="shared" si="184"/>
        <v>0.05</v>
      </c>
      <c r="N4097" s="464">
        <f t="shared" si="185"/>
        <v>175743</v>
      </c>
    </row>
    <row r="4098" spans="7:14" ht="11.25" customHeight="1" x14ac:dyDescent="0.3">
      <c r="G4098" s="459"/>
      <c r="H4098" s="459">
        <v>4091</v>
      </c>
      <c r="I4098" s="444">
        <f t="shared" ca="1" si="183"/>
        <v>405045796107.25983</v>
      </c>
      <c r="J4098" s="444">
        <f t="array" ref="J4098">IFERROR(INDEX('Retirement Calculator'!J:J,MATCH('Isaac 401k'!N4098,'Retirement Calculator'!A:A,0),0),0)</f>
        <v>0</v>
      </c>
      <c r="K4098" s="444">
        <f t="shared" ca="1" si="181"/>
        <v>1687690817.1135826</v>
      </c>
      <c r="L4098" s="444">
        <f t="shared" ca="1" si="182"/>
        <v>406733486924.37341</v>
      </c>
      <c r="M4098" s="460">
        <f t="shared" si="184"/>
        <v>0.05</v>
      </c>
      <c r="N4098" s="464">
        <f t="shared" si="185"/>
        <v>175774</v>
      </c>
    </row>
    <row r="4099" spans="7:14" ht="11.25" customHeight="1" x14ac:dyDescent="0.3">
      <c r="G4099" s="459"/>
      <c r="H4099" s="459">
        <v>4092</v>
      </c>
      <c r="I4099" s="444">
        <f t="shared" ca="1" si="183"/>
        <v>406733486924.37341</v>
      </c>
      <c r="J4099" s="444">
        <f t="array" ref="J4099">IFERROR(INDEX('Retirement Calculator'!J:J,MATCH('Isaac 401k'!N4099,'Retirement Calculator'!A:A,0),0),0)</f>
        <v>0</v>
      </c>
      <c r="K4099" s="444">
        <f t="shared" ca="1" si="181"/>
        <v>1694722862.1848893</v>
      </c>
      <c r="L4099" s="444">
        <f t="shared" ca="1" si="182"/>
        <v>408428209786.55829</v>
      </c>
      <c r="M4099" s="460">
        <f t="shared" si="184"/>
        <v>0.05</v>
      </c>
      <c r="N4099" s="464">
        <f t="shared" si="185"/>
        <v>175804</v>
      </c>
    </row>
    <row r="4100" spans="7:14" ht="11.25" customHeight="1" x14ac:dyDescent="0.3">
      <c r="G4100" s="459"/>
      <c r="H4100" s="459">
        <v>4093</v>
      </c>
      <c r="I4100" s="444">
        <f t="shared" ca="1" si="183"/>
        <v>408428209786.55829</v>
      </c>
      <c r="J4100" s="444">
        <f t="array" ref="J4100">IFERROR(INDEX('Retirement Calculator'!J:J,MATCH('Isaac 401k'!N4100,'Retirement Calculator'!A:A,0),0),0)</f>
        <v>0</v>
      </c>
      <c r="K4100" s="444">
        <f t="shared" ca="1" si="181"/>
        <v>1701784207.4439929</v>
      </c>
      <c r="L4100" s="444">
        <f t="shared" ca="1" si="182"/>
        <v>410129993994.00226</v>
      </c>
      <c r="M4100" s="460">
        <f t="shared" si="184"/>
        <v>0.05</v>
      </c>
      <c r="N4100" s="464">
        <f t="shared" si="185"/>
        <v>175835</v>
      </c>
    </row>
    <row r="4101" spans="7:14" ht="11.25" customHeight="1" x14ac:dyDescent="0.3">
      <c r="G4101" s="459"/>
      <c r="H4101" s="459">
        <v>4094</v>
      </c>
      <c r="I4101" s="444">
        <f t="shared" ca="1" si="183"/>
        <v>410129993994.00226</v>
      </c>
      <c r="J4101" s="444">
        <f t="array" ref="J4101">IFERROR(INDEX('Retirement Calculator'!J:J,MATCH('Isaac 401k'!N4101,'Retirement Calculator'!A:A,0),0),0)</f>
        <v>0</v>
      </c>
      <c r="K4101" s="444">
        <f t="shared" ca="1" si="181"/>
        <v>1708874974.9750094</v>
      </c>
      <c r="L4101" s="444">
        <f t="shared" ca="1" si="182"/>
        <v>411838868968.97729</v>
      </c>
      <c r="M4101" s="460">
        <f t="shared" si="184"/>
        <v>0.05</v>
      </c>
      <c r="N4101" s="464">
        <f t="shared" si="185"/>
        <v>175865</v>
      </c>
    </row>
    <row r="4102" spans="7:14" ht="11.25" customHeight="1" x14ac:dyDescent="0.3">
      <c r="G4102" s="459"/>
      <c r="H4102" s="459">
        <v>4095</v>
      </c>
      <c r="I4102" s="444">
        <f t="shared" ca="1" si="183"/>
        <v>411838868968.97729</v>
      </c>
      <c r="J4102" s="444">
        <f t="array" ref="J4102">IFERROR(INDEX('Retirement Calculator'!J:J,MATCH('Isaac 401k'!N4102,'Retirement Calculator'!A:A,0),0),0)</f>
        <v>0</v>
      </c>
      <c r="K4102" s="444">
        <f t="shared" ca="1" si="181"/>
        <v>1715995287.3707387</v>
      </c>
      <c r="L4102" s="444">
        <f t="shared" ca="1" si="182"/>
        <v>413554864256.34802</v>
      </c>
      <c r="M4102" s="460">
        <f t="shared" si="184"/>
        <v>0.05</v>
      </c>
      <c r="N4102" s="464">
        <f t="shared" si="185"/>
        <v>175896</v>
      </c>
    </row>
    <row r="4103" spans="7:14" ht="11.25" customHeight="1" x14ac:dyDescent="0.3">
      <c r="G4103" s="459"/>
      <c r="H4103" s="459">
        <v>4096</v>
      </c>
      <c r="I4103" s="444">
        <f t="shared" ca="1" si="183"/>
        <v>413554864256.34802</v>
      </c>
      <c r="J4103" s="444">
        <f t="array" ref="J4103">IFERROR(INDEX('Retirement Calculator'!J:J,MATCH('Isaac 401k'!N4103,'Retirement Calculator'!A:A,0),0),0)</f>
        <v>0</v>
      </c>
      <c r="K4103" s="444">
        <f t="shared" ca="1" si="181"/>
        <v>1723145267.7347834</v>
      </c>
      <c r="L4103" s="444">
        <f t="shared" ca="1" si="182"/>
        <v>415278009524.08282</v>
      </c>
      <c r="M4103" s="460">
        <f t="shared" si="184"/>
        <v>0.05</v>
      </c>
      <c r="N4103" s="464">
        <f t="shared" si="185"/>
        <v>175927</v>
      </c>
    </row>
    <row r="4104" spans="7:14" ht="11.25" customHeight="1" x14ac:dyDescent="0.3">
      <c r="G4104" s="459"/>
      <c r="H4104" s="459">
        <v>4097</v>
      </c>
      <c r="I4104" s="444">
        <f t="shared" ca="1" si="183"/>
        <v>415278009524.08282</v>
      </c>
      <c r="J4104" s="444">
        <f t="array" ref="J4104">IFERROR(INDEX('Retirement Calculator'!J:J,MATCH('Isaac 401k'!N4104,'Retirement Calculator'!A:A,0),0),0)</f>
        <v>0</v>
      </c>
      <c r="K4104" s="444">
        <f t="shared" ca="1" si="181"/>
        <v>1730325039.6836784</v>
      </c>
      <c r="L4104" s="444">
        <f t="shared" ca="1" si="182"/>
        <v>417008334563.76648</v>
      </c>
      <c r="M4104" s="460">
        <f t="shared" si="184"/>
        <v>0.05</v>
      </c>
      <c r="N4104" s="464">
        <f t="shared" si="185"/>
        <v>175957</v>
      </c>
    </row>
    <row r="4105" spans="7:14" ht="11.25" customHeight="1" x14ac:dyDescent="0.3">
      <c r="G4105" s="459"/>
      <c r="H4105" s="459">
        <v>4098</v>
      </c>
      <c r="I4105" s="444">
        <f t="shared" ca="1" si="183"/>
        <v>417008334563.76648</v>
      </c>
      <c r="J4105" s="444">
        <f t="array" ref="J4105">IFERROR(INDEX('Retirement Calculator'!J:J,MATCH('Isaac 401k'!N4105,'Retirement Calculator'!A:A,0),0),0)</f>
        <v>0</v>
      </c>
      <c r="K4105" s="444">
        <f t="shared" ca="1" si="181"/>
        <v>1737534727.3490269</v>
      </c>
      <c r="L4105" s="444">
        <f t="shared" ca="1" si="182"/>
        <v>418745869291.11548</v>
      </c>
      <c r="M4105" s="460">
        <f t="shared" si="184"/>
        <v>0.05</v>
      </c>
      <c r="N4105" s="464">
        <f t="shared" si="185"/>
        <v>175988</v>
      </c>
    </row>
    <row r="4106" spans="7:14" ht="11.25" customHeight="1" x14ac:dyDescent="0.3">
      <c r="G4106" s="459"/>
      <c r="H4106" s="459">
        <v>4099</v>
      </c>
      <c r="I4106" s="444">
        <f t="shared" ca="1" si="183"/>
        <v>418745869291.11548</v>
      </c>
      <c r="J4106" s="444">
        <f t="array" ref="J4106">IFERROR(INDEX('Retirement Calculator'!J:J,MATCH('Isaac 401k'!N4106,'Retirement Calculator'!A:A,0),0),0)</f>
        <v>0</v>
      </c>
      <c r="K4106" s="444">
        <f t="shared" ca="1" si="181"/>
        <v>1744774455.3796477</v>
      </c>
      <c r="L4106" s="444">
        <f t="shared" ca="1" si="182"/>
        <v>420490643746.49512</v>
      </c>
      <c r="M4106" s="460">
        <f t="shared" si="184"/>
        <v>0.05</v>
      </c>
      <c r="N4106" s="464">
        <f t="shared" si="185"/>
        <v>176018</v>
      </c>
    </row>
    <row r="4107" spans="7:14" ht="11.25" customHeight="1" x14ac:dyDescent="0.3">
      <c r="G4107" s="459"/>
      <c r="H4107" s="459">
        <v>4100</v>
      </c>
      <c r="I4107" s="444">
        <f t="shared" ca="1" si="183"/>
        <v>420490643746.49512</v>
      </c>
      <c r="J4107" s="444">
        <f t="array" ref="J4107">IFERROR(INDEX('Retirement Calculator'!J:J,MATCH('Isaac 401k'!N4107,'Retirement Calculator'!A:A,0),0),0)</f>
        <v>0</v>
      </c>
      <c r="K4107" s="444">
        <f t="shared" ca="1" si="181"/>
        <v>1752044348.9437296</v>
      </c>
      <c r="L4107" s="444">
        <f t="shared" ca="1" si="182"/>
        <v>422242688095.43884</v>
      </c>
      <c r="M4107" s="460">
        <f t="shared" si="184"/>
        <v>0.05</v>
      </c>
      <c r="N4107" s="464">
        <f t="shared" si="185"/>
        <v>176049</v>
      </c>
    </row>
    <row r="4108" spans="7:14" ht="11.25" customHeight="1" x14ac:dyDescent="0.3">
      <c r="G4108" s="459"/>
      <c r="H4108" s="459">
        <v>4101</v>
      </c>
      <c r="I4108" s="444">
        <f t="shared" ca="1" si="183"/>
        <v>422242688095.43884</v>
      </c>
      <c r="J4108" s="444">
        <f t="array" ref="J4108">IFERROR(INDEX('Retirement Calculator'!J:J,MATCH('Isaac 401k'!N4108,'Retirement Calculator'!A:A,0),0),0)</f>
        <v>0</v>
      </c>
      <c r="K4108" s="444">
        <f t="shared" ca="1" si="181"/>
        <v>1759344533.7309952</v>
      </c>
      <c r="L4108" s="444">
        <f t="shared" ca="1" si="182"/>
        <v>424002032629.16986</v>
      </c>
      <c r="M4108" s="460">
        <f t="shared" si="184"/>
        <v>0.05</v>
      </c>
      <c r="N4108" s="464">
        <f t="shared" si="185"/>
        <v>176080</v>
      </c>
    </row>
    <row r="4109" spans="7:14" ht="11.25" customHeight="1" x14ac:dyDescent="0.3">
      <c r="G4109" s="459"/>
      <c r="H4109" s="459">
        <v>4102</v>
      </c>
      <c r="I4109" s="444">
        <f t="shared" ca="1" si="183"/>
        <v>424002032629.16986</v>
      </c>
      <c r="J4109" s="444">
        <f t="array" ref="J4109">IFERROR(INDEX('Retirement Calculator'!J:J,MATCH('Isaac 401k'!N4109,'Retirement Calculator'!A:A,0),0),0)</f>
        <v>0</v>
      </c>
      <c r="K4109" s="444">
        <f t="shared" ca="1" si="181"/>
        <v>1766675135.9548743</v>
      </c>
      <c r="L4109" s="444">
        <f t="shared" ca="1" si="182"/>
        <v>425768707765.12476</v>
      </c>
      <c r="M4109" s="460">
        <f t="shared" si="184"/>
        <v>0.05</v>
      </c>
      <c r="N4109" s="464">
        <f t="shared" si="185"/>
        <v>176108</v>
      </c>
    </row>
    <row r="4110" spans="7:14" ht="11.25" customHeight="1" x14ac:dyDescent="0.3">
      <c r="G4110" s="459"/>
      <c r="H4110" s="459">
        <v>4103</v>
      </c>
      <c r="I4110" s="444">
        <f t="shared" ca="1" si="183"/>
        <v>425768707765.12476</v>
      </c>
      <c r="J4110" s="444">
        <f t="array" ref="J4110">IFERROR(INDEX('Retirement Calculator'!J:J,MATCH('Isaac 401k'!N4110,'Retirement Calculator'!A:A,0),0),0)</f>
        <v>0</v>
      </c>
      <c r="K4110" s="444">
        <f t="shared" ca="1" si="181"/>
        <v>1774036282.3546865</v>
      </c>
      <c r="L4110" s="444">
        <f t="shared" ca="1" si="182"/>
        <v>427542744047.47943</v>
      </c>
      <c r="M4110" s="460">
        <f t="shared" si="184"/>
        <v>0.05</v>
      </c>
      <c r="N4110" s="464">
        <f t="shared" si="185"/>
        <v>176139</v>
      </c>
    </row>
    <row r="4111" spans="7:14" ht="11.25" customHeight="1" x14ac:dyDescent="0.3">
      <c r="G4111" s="459"/>
      <c r="H4111" s="459">
        <v>4104</v>
      </c>
      <c r="I4111" s="444">
        <f t="shared" ca="1" si="183"/>
        <v>427542744047.47943</v>
      </c>
      <c r="J4111" s="444">
        <f t="array" ref="J4111">IFERROR(INDEX('Retirement Calculator'!J:J,MATCH('Isaac 401k'!N4111,'Retirement Calculator'!A:A,0),0),0)</f>
        <v>0</v>
      </c>
      <c r="K4111" s="444">
        <f t="shared" ca="1" si="181"/>
        <v>1781428100.1978309</v>
      </c>
      <c r="L4111" s="444">
        <f t="shared" ca="1" si="182"/>
        <v>429324172147.67725</v>
      </c>
      <c r="M4111" s="460">
        <f t="shared" si="184"/>
        <v>0.05</v>
      </c>
      <c r="N4111" s="464">
        <f t="shared" si="185"/>
        <v>176169</v>
      </c>
    </row>
    <row r="4112" spans="7:14" ht="11.25" customHeight="1" x14ac:dyDescent="0.3">
      <c r="G4112" s="459"/>
      <c r="H4112" s="459">
        <v>4105</v>
      </c>
      <c r="I4112" s="444">
        <f t="shared" ca="1" si="183"/>
        <v>429324172147.67725</v>
      </c>
      <c r="J4112" s="444">
        <f t="array" ref="J4112">IFERROR(INDEX('Retirement Calculator'!J:J,MATCH('Isaac 401k'!N4112,'Retirement Calculator'!A:A,0),0),0)</f>
        <v>0</v>
      </c>
      <c r="K4112" s="444">
        <f t="shared" ca="1" si="181"/>
        <v>1788850717.2819884</v>
      </c>
      <c r="L4112" s="444">
        <f t="shared" ca="1" si="182"/>
        <v>431113022864.95923</v>
      </c>
      <c r="M4112" s="460">
        <f t="shared" si="184"/>
        <v>0.05</v>
      </c>
      <c r="N4112" s="464">
        <f t="shared" si="185"/>
        <v>176200</v>
      </c>
    </row>
    <row r="4113" spans="7:14" ht="11.25" customHeight="1" x14ac:dyDescent="0.3">
      <c r="G4113" s="459"/>
      <c r="H4113" s="459">
        <v>4106</v>
      </c>
      <c r="I4113" s="444">
        <f t="shared" ca="1" si="183"/>
        <v>431113022864.95923</v>
      </c>
      <c r="J4113" s="444">
        <f t="array" ref="J4113">IFERROR(INDEX('Retirement Calculator'!J:J,MATCH('Isaac 401k'!N4113,'Retirement Calculator'!A:A,0),0),0)</f>
        <v>0</v>
      </c>
      <c r="K4113" s="444">
        <f t="shared" ca="1" si="181"/>
        <v>1796304261.93733</v>
      </c>
      <c r="L4113" s="444">
        <f t="shared" ca="1" si="182"/>
        <v>432909327126.89655</v>
      </c>
      <c r="M4113" s="460">
        <f t="shared" si="184"/>
        <v>0.05</v>
      </c>
      <c r="N4113" s="464">
        <f t="shared" si="185"/>
        <v>176230</v>
      </c>
    </row>
    <row r="4114" spans="7:14" ht="11.25" customHeight="1" x14ac:dyDescent="0.3">
      <c r="G4114" s="459"/>
      <c r="H4114" s="459">
        <v>4107</v>
      </c>
      <c r="I4114" s="444">
        <f t="shared" ca="1" si="183"/>
        <v>432909327126.89655</v>
      </c>
      <c r="J4114" s="444">
        <f t="array" ref="J4114">IFERROR(INDEX('Retirement Calculator'!J:J,MATCH('Isaac 401k'!N4114,'Retirement Calculator'!A:A,0),0),0)</f>
        <v>0</v>
      </c>
      <c r="K4114" s="444">
        <f t="shared" ca="1" si="181"/>
        <v>1803788863.0287356</v>
      </c>
      <c r="L4114" s="444">
        <f t="shared" ca="1" si="182"/>
        <v>434713115989.92529</v>
      </c>
      <c r="M4114" s="460">
        <f t="shared" si="184"/>
        <v>0.05</v>
      </c>
      <c r="N4114" s="464">
        <f t="shared" si="185"/>
        <v>176261</v>
      </c>
    </row>
    <row r="4115" spans="7:14" ht="11.25" customHeight="1" x14ac:dyDescent="0.3">
      <c r="G4115" s="459"/>
      <c r="H4115" s="459">
        <v>4108</v>
      </c>
      <c r="I4115" s="444">
        <f t="shared" ca="1" si="183"/>
        <v>434713115989.92529</v>
      </c>
      <c r="J4115" s="444">
        <f t="array" ref="J4115">IFERROR(INDEX('Retirement Calculator'!J:J,MATCH('Isaac 401k'!N4115,'Retirement Calculator'!A:A,0),0),0)</f>
        <v>0</v>
      </c>
      <c r="K4115" s="444">
        <f t="shared" ca="1" si="181"/>
        <v>1811304649.9580224</v>
      </c>
      <c r="L4115" s="444">
        <f t="shared" ca="1" si="182"/>
        <v>436524420639.8833</v>
      </c>
      <c r="M4115" s="460">
        <f t="shared" si="184"/>
        <v>0.05</v>
      </c>
      <c r="N4115" s="464">
        <f t="shared" si="185"/>
        <v>176292</v>
      </c>
    </row>
    <row r="4116" spans="7:14" ht="11.25" customHeight="1" x14ac:dyDescent="0.3">
      <c r="G4116" s="459"/>
      <c r="H4116" s="459">
        <v>4109</v>
      </c>
      <c r="I4116" s="444">
        <f t="shared" ca="1" si="183"/>
        <v>436524420639.8833</v>
      </c>
      <c r="J4116" s="444">
        <f t="array" ref="J4116">IFERROR(INDEX('Retirement Calculator'!J:J,MATCH('Isaac 401k'!N4116,'Retirement Calculator'!A:A,0),0),0)</f>
        <v>0</v>
      </c>
      <c r="K4116" s="444">
        <f t="shared" ca="1" si="181"/>
        <v>1818851752.6661804</v>
      </c>
      <c r="L4116" s="444">
        <f t="shared" ca="1" si="182"/>
        <v>438343272392.5495</v>
      </c>
      <c r="M4116" s="460">
        <f t="shared" si="184"/>
        <v>0.05</v>
      </c>
      <c r="N4116" s="464">
        <f t="shared" si="185"/>
        <v>176322</v>
      </c>
    </row>
    <row r="4117" spans="7:14" ht="11.25" customHeight="1" x14ac:dyDescent="0.3">
      <c r="G4117" s="459"/>
      <c r="H4117" s="459">
        <v>4110</v>
      </c>
      <c r="I4117" s="444">
        <f t="shared" ca="1" si="183"/>
        <v>438343272392.5495</v>
      </c>
      <c r="J4117" s="444">
        <f t="array" ref="J4117">IFERROR(INDEX('Retirement Calculator'!J:J,MATCH('Isaac 401k'!N4117,'Retirement Calculator'!A:A,0),0),0)</f>
        <v>0</v>
      </c>
      <c r="K4117" s="444">
        <f t="shared" ca="1" si="181"/>
        <v>1826430301.635623</v>
      </c>
      <c r="L4117" s="444">
        <f t="shared" ca="1" si="182"/>
        <v>440169702694.18512</v>
      </c>
      <c r="M4117" s="460">
        <f t="shared" si="184"/>
        <v>0.05</v>
      </c>
      <c r="N4117" s="464">
        <f t="shared" si="185"/>
        <v>176353</v>
      </c>
    </row>
    <row r="4118" spans="7:14" ht="11.25" customHeight="1" x14ac:dyDescent="0.3">
      <c r="G4118" s="459"/>
      <c r="H4118" s="459">
        <v>4111</v>
      </c>
      <c r="I4118" s="444">
        <f t="shared" ca="1" si="183"/>
        <v>440169702694.18512</v>
      </c>
      <c r="J4118" s="444">
        <f t="array" ref="J4118">IFERROR(INDEX('Retirement Calculator'!J:J,MATCH('Isaac 401k'!N4118,'Retirement Calculator'!A:A,0),0),0)</f>
        <v>0</v>
      </c>
      <c r="K4118" s="444">
        <f t="shared" ca="1" si="181"/>
        <v>1834040427.8924379</v>
      </c>
      <c r="L4118" s="444">
        <f t="shared" ca="1" si="182"/>
        <v>442003743122.07758</v>
      </c>
      <c r="M4118" s="460">
        <f t="shared" si="184"/>
        <v>0.05</v>
      </c>
      <c r="N4118" s="464">
        <f t="shared" si="185"/>
        <v>176383</v>
      </c>
    </row>
    <row r="4119" spans="7:14" ht="11.25" customHeight="1" x14ac:dyDescent="0.3">
      <c r="G4119" s="459"/>
      <c r="H4119" s="459">
        <v>4112</v>
      </c>
      <c r="I4119" s="444">
        <f t="shared" ca="1" si="183"/>
        <v>442003743122.07758</v>
      </c>
      <c r="J4119" s="444">
        <f t="array" ref="J4119">IFERROR(INDEX('Retirement Calculator'!J:J,MATCH('Isaac 401k'!N4119,'Retirement Calculator'!A:A,0),0),0)</f>
        <v>0</v>
      </c>
      <c r="K4119" s="444">
        <f t="shared" ca="1" si="181"/>
        <v>1841682263.0086565</v>
      </c>
      <c r="L4119" s="444">
        <f t="shared" ca="1" si="182"/>
        <v>443845425385.08624</v>
      </c>
      <c r="M4119" s="460">
        <f t="shared" si="184"/>
        <v>0.05</v>
      </c>
      <c r="N4119" s="464">
        <f t="shared" si="185"/>
        <v>176414</v>
      </c>
    </row>
    <row r="4120" spans="7:14" ht="11.25" customHeight="1" x14ac:dyDescent="0.3">
      <c r="G4120" s="459"/>
      <c r="H4120" s="459">
        <v>4113</v>
      </c>
      <c r="I4120" s="444">
        <f t="shared" ca="1" si="183"/>
        <v>443845425385.08624</v>
      </c>
      <c r="J4120" s="444">
        <f t="array" ref="J4120">IFERROR(INDEX('Retirement Calculator'!J:J,MATCH('Isaac 401k'!N4120,'Retirement Calculator'!A:A,0),0),0)</f>
        <v>0</v>
      </c>
      <c r="K4120" s="444">
        <f t="shared" ca="1" si="181"/>
        <v>1849355939.104526</v>
      </c>
      <c r="L4120" s="444">
        <f t="shared" ca="1" si="182"/>
        <v>445694781324.1908</v>
      </c>
      <c r="M4120" s="460">
        <f t="shared" si="184"/>
        <v>0.05</v>
      </c>
      <c r="N4120" s="464">
        <f t="shared" si="185"/>
        <v>176445</v>
      </c>
    </row>
    <row r="4121" spans="7:14" ht="11.25" customHeight="1" x14ac:dyDescent="0.3">
      <c r="G4121" s="459"/>
      <c r="H4121" s="459">
        <v>4114</v>
      </c>
      <c r="I4121" s="444">
        <f t="shared" ca="1" si="183"/>
        <v>445694781324.1908</v>
      </c>
      <c r="J4121" s="444">
        <f t="array" ref="J4121">IFERROR(INDEX('Retirement Calculator'!J:J,MATCH('Isaac 401k'!N4121,'Retirement Calculator'!A:A,0),0),0)</f>
        <v>0</v>
      </c>
      <c r="K4121" s="444">
        <f t="shared" ca="1" si="181"/>
        <v>1857061588.850795</v>
      </c>
      <c r="L4121" s="444">
        <f t="shared" ca="1" si="182"/>
        <v>447551842913.04156</v>
      </c>
      <c r="M4121" s="460">
        <f t="shared" si="184"/>
        <v>0.05</v>
      </c>
      <c r="N4121" s="464">
        <f t="shared" si="185"/>
        <v>176473</v>
      </c>
    </row>
    <row r="4122" spans="7:14" ht="11.25" customHeight="1" x14ac:dyDescent="0.3">
      <c r="G4122" s="459"/>
      <c r="H4122" s="459">
        <v>4115</v>
      </c>
      <c r="I4122" s="444">
        <f t="shared" ca="1" si="183"/>
        <v>447551842913.04156</v>
      </c>
      <c r="J4122" s="444">
        <f t="array" ref="J4122">IFERROR(INDEX('Retirement Calculator'!J:J,MATCH('Isaac 401k'!N4122,'Retirement Calculator'!A:A,0),0),0)</f>
        <v>0</v>
      </c>
      <c r="K4122" s="444">
        <f t="shared" ca="1" si="181"/>
        <v>1864799345.4710062</v>
      </c>
      <c r="L4122" s="444">
        <f t="shared" ca="1" si="182"/>
        <v>449416642258.51257</v>
      </c>
      <c r="M4122" s="460">
        <f t="shared" si="184"/>
        <v>0.05</v>
      </c>
      <c r="N4122" s="464">
        <f t="shared" si="185"/>
        <v>176504</v>
      </c>
    </row>
    <row r="4123" spans="7:14" ht="11.25" customHeight="1" x14ac:dyDescent="0.3">
      <c r="G4123" s="459"/>
      <c r="H4123" s="459">
        <v>4116</v>
      </c>
      <c r="I4123" s="444">
        <f t="shared" ca="1" si="183"/>
        <v>449416642258.51257</v>
      </c>
      <c r="J4123" s="444">
        <f t="array" ref="J4123">IFERROR(INDEX('Retirement Calculator'!J:J,MATCH('Isaac 401k'!N4123,'Retirement Calculator'!A:A,0),0),0)</f>
        <v>0</v>
      </c>
      <c r="K4123" s="444">
        <f t="shared" ca="1" si="181"/>
        <v>1872569342.7438023</v>
      </c>
      <c r="L4123" s="444">
        <f t="shared" ca="1" si="182"/>
        <v>451289211601.25635</v>
      </c>
      <c r="M4123" s="460">
        <f t="shared" si="184"/>
        <v>0.05</v>
      </c>
      <c r="N4123" s="464">
        <f t="shared" si="185"/>
        <v>176534</v>
      </c>
    </row>
    <row r="4124" spans="7:14" ht="11.25" customHeight="1" x14ac:dyDescent="0.3">
      <c r="G4124" s="459"/>
      <c r="H4124" s="459">
        <v>4117</v>
      </c>
      <c r="I4124" s="444">
        <f t="shared" ca="1" si="183"/>
        <v>451289211601.25635</v>
      </c>
      <c r="J4124" s="444">
        <f t="array" ref="J4124">IFERROR(INDEX('Retirement Calculator'!J:J,MATCH('Isaac 401k'!N4124,'Retirement Calculator'!A:A,0),0),0)</f>
        <v>0</v>
      </c>
      <c r="K4124" s="444">
        <f t="shared" ca="1" si="181"/>
        <v>1880371715.0052345</v>
      </c>
      <c r="L4124" s="444">
        <f t="shared" ca="1" si="182"/>
        <v>453169583316.2616</v>
      </c>
      <c r="M4124" s="460">
        <f t="shared" si="184"/>
        <v>0.05</v>
      </c>
      <c r="N4124" s="464">
        <f t="shared" si="185"/>
        <v>176565</v>
      </c>
    </row>
    <row r="4125" spans="7:14" ht="11.25" customHeight="1" x14ac:dyDescent="0.3">
      <c r="G4125" s="459"/>
      <c r="H4125" s="459">
        <v>4118</v>
      </c>
      <c r="I4125" s="444">
        <f t="shared" ca="1" si="183"/>
        <v>453169583316.2616</v>
      </c>
      <c r="J4125" s="444">
        <f t="array" ref="J4125">IFERROR(INDEX('Retirement Calculator'!J:J,MATCH('Isaac 401k'!N4125,'Retirement Calculator'!A:A,0),0),0)</f>
        <v>0</v>
      </c>
      <c r="K4125" s="444">
        <f t="shared" ca="1" si="181"/>
        <v>1888206597.1510897</v>
      </c>
      <c r="L4125" s="444">
        <f t="shared" ca="1" si="182"/>
        <v>455057789913.41266</v>
      </c>
      <c r="M4125" s="460">
        <f t="shared" si="184"/>
        <v>0.05</v>
      </c>
      <c r="N4125" s="464">
        <f t="shared" si="185"/>
        <v>176595</v>
      </c>
    </row>
    <row r="4126" spans="7:14" ht="11.25" customHeight="1" x14ac:dyDescent="0.3">
      <c r="G4126" s="459"/>
      <c r="H4126" s="459">
        <v>4119</v>
      </c>
      <c r="I4126" s="444">
        <f t="shared" ca="1" si="183"/>
        <v>455057789913.41266</v>
      </c>
      <c r="J4126" s="444">
        <f t="array" ref="J4126">IFERROR(INDEX('Retirement Calculator'!J:J,MATCH('Isaac 401k'!N4126,'Retirement Calculator'!A:A,0),0),0)</f>
        <v>0</v>
      </c>
      <c r="K4126" s="444">
        <f t="shared" ca="1" si="181"/>
        <v>1896074124.6392193</v>
      </c>
      <c r="L4126" s="444">
        <f t="shared" ca="1" si="182"/>
        <v>456953864038.05188</v>
      </c>
      <c r="M4126" s="460">
        <f t="shared" si="184"/>
        <v>0.05</v>
      </c>
      <c r="N4126" s="464">
        <f t="shared" si="185"/>
        <v>176626</v>
      </c>
    </row>
    <row r="4127" spans="7:14" ht="11.25" customHeight="1" x14ac:dyDescent="0.3">
      <c r="G4127" s="459"/>
      <c r="H4127" s="459">
        <v>4120</v>
      </c>
      <c r="I4127" s="444">
        <f t="shared" ca="1" si="183"/>
        <v>456953864038.05188</v>
      </c>
      <c r="J4127" s="444">
        <f t="array" ref="J4127">IFERROR(INDEX('Retirement Calculator'!J:J,MATCH('Isaac 401k'!N4127,'Retirement Calculator'!A:A,0),0),0)</f>
        <v>0</v>
      </c>
      <c r="K4127" s="444">
        <f t="shared" ca="1" si="181"/>
        <v>1903974433.4918828</v>
      </c>
      <c r="L4127" s="444">
        <f t="shared" ca="1" si="182"/>
        <v>458857838471.54376</v>
      </c>
      <c r="M4127" s="460">
        <f t="shared" si="184"/>
        <v>0.05</v>
      </c>
      <c r="N4127" s="464">
        <f t="shared" si="185"/>
        <v>176657</v>
      </c>
    </row>
    <row r="4128" spans="7:14" ht="11.25" customHeight="1" x14ac:dyDescent="0.3">
      <c r="G4128" s="459"/>
      <c r="H4128" s="459">
        <v>4121</v>
      </c>
      <c r="I4128" s="444">
        <f t="shared" ca="1" si="183"/>
        <v>458857838471.54376</v>
      </c>
      <c r="J4128" s="444">
        <f t="array" ref="J4128">IFERROR(INDEX('Retirement Calculator'!J:J,MATCH('Isaac 401k'!N4128,'Retirement Calculator'!A:A,0),0),0)</f>
        <v>0</v>
      </c>
      <c r="K4128" s="444">
        <f t="shared" ca="1" si="181"/>
        <v>1911907660.2980988</v>
      </c>
      <c r="L4128" s="444">
        <f t="shared" ca="1" si="182"/>
        <v>460769746131.84186</v>
      </c>
      <c r="M4128" s="460">
        <f t="shared" si="184"/>
        <v>0.05</v>
      </c>
      <c r="N4128" s="464">
        <f t="shared" si="185"/>
        <v>176687</v>
      </c>
    </row>
    <row r="4129" spans="7:14" ht="11.25" customHeight="1" x14ac:dyDescent="0.3">
      <c r="G4129" s="459"/>
      <c r="H4129" s="459">
        <v>4122</v>
      </c>
      <c r="I4129" s="444">
        <f t="shared" ca="1" si="183"/>
        <v>460769746131.84186</v>
      </c>
      <c r="J4129" s="444">
        <f t="array" ref="J4129">IFERROR(INDEX('Retirement Calculator'!J:J,MATCH('Isaac 401k'!N4129,'Retirement Calculator'!A:A,0),0),0)</f>
        <v>0</v>
      </c>
      <c r="K4129" s="444">
        <f t="shared" ca="1" si="181"/>
        <v>1919873942.2160077</v>
      </c>
      <c r="L4129" s="444">
        <f t="shared" ca="1" si="182"/>
        <v>462689620074.05786</v>
      </c>
      <c r="M4129" s="460">
        <f t="shared" si="184"/>
        <v>0.05</v>
      </c>
      <c r="N4129" s="464">
        <f t="shared" si="185"/>
        <v>176718</v>
      </c>
    </row>
    <row r="4130" spans="7:14" ht="11.25" customHeight="1" x14ac:dyDescent="0.3">
      <c r="G4130" s="459"/>
      <c r="H4130" s="459">
        <v>4123</v>
      </c>
      <c r="I4130" s="444">
        <f t="shared" ca="1" si="183"/>
        <v>462689620074.05786</v>
      </c>
      <c r="J4130" s="444">
        <f t="array" ref="J4130">IFERROR(INDEX('Retirement Calculator'!J:J,MATCH('Isaac 401k'!N4130,'Retirement Calculator'!A:A,0),0),0)</f>
        <v>0</v>
      </c>
      <c r="K4130" s="444">
        <f t="shared" ca="1" si="181"/>
        <v>1927873416.9752409</v>
      </c>
      <c r="L4130" s="444">
        <f t="shared" ca="1" si="182"/>
        <v>464617493491.03308</v>
      </c>
      <c r="M4130" s="460">
        <f t="shared" si="184"/>
        <v>0.05</v>
      </c>
      <c r="N4130" s="464">
        <f t="shared" si="185"/>
        <v>176748</v>
      </c>
    </row>
    <row r="4131" spans="7:14" ht="11.25" customHeight="1" x14ac:dyDescent="0.3">
      <c r="G4131" s="459"/>
      <c r="H4131" s="459">
        <v>4124</v>
      </c>
      <c r="I4131" s="444">
        <f t="shared" ca="1" si="183"/>
        <v>464617493491.03308</v>
      </c>
      <c r="J4131" s="444">
        <f t="array" ref="J4131">IFERROR(INDEX('Retirement Calculator'!J:J,MATCH('Isaac 401k'!N4131,'Retirement Calculator'!A:A,0),0),0)</f>
        <v>0</v>
      </c>
      <c r="K4131" s="444">
        <f t="shared" ca="1" si="181"/>
        <v>1935906222.8793044</v>
      </c>
      <c r="L4131" s="444">
        <f t="shared" ca="1" si="182"/>
        <v>466553399713.91241</v>
      </c>
      <c r="M4131" s="460">
        <f t="shared" si="184"/>
        <v>0.05</v>
      </c>
      <c r="N4131" s="464">
        <f t="shared" si="185"/>
        <v>176779</v>
      </c>
    </row>
    <row r="4132" spans="7:14" ht="11.25" customHeight="1" x14ac:dyDescent="0.3">
      <c r="G4132" s="459"/>
      <c r="H4132" s="459">
        <v>4125</v>
      </c>
      <c r="I4132" s="444">
        <f t="shared" ca="1" si="183"/>
        <v>466553399713.91241</v>
      </c>
      <c r="J4132" s="444">
        <f t="array" ref="J4132">IFERROR(INDEX('Retirement Calculator'!J:J,MATCH('Isaac 401k'!N4132,'Retirement Calculator'!A:A,0),0),0)</f>
        <v>0</v>
      </c>
      <c r="K4132" s="444">
        <f t="shared" ca="1" si="181"/>
        <v>1943972498.8079686</v>
      </c>
      <c r="L4132" s="444">
        <f t="shared" ca="1" si="182"/>
        <v>468497372212.7204</v>
      </c>
      <c r="M4132" s="460">
        <f t="shared" si="184"/>
        <v>0.05</v>
      </c>
      <c r="N4132" s="464">
        <f t="shared" si="185"/>
        <v>176810</v>
      </c>
    </row>
    <row r="4133" spans="7:14" ht="11.25" customHeight="1" x14ac:dyDescent="0.3">
      <c r="G4133" s="459"/>
      <c r="H4133" s="459">
        <v>4126</v>
      </c>
      <c r="I4133" s="444">
        <f t="shared" ca="1" si="183"/>
        <v>468497372212.7204</v>
      </c>
      <c r="J4133" s="444">
        <f t="array" ref="J4133">IFERROR(INDEX('Retirement Calculator'!J:J,MATCH('Isaac 401k'!N4133,'Retirement Calculator'!A:A,0),0),0)</f>
        <v>0</v>
      </c>
      <c r="K4133" s="444">
        <f t="shared" ca="1" si="181"/>
        <v>1952072384.2196684</v>
      </c>
      <c r="L4133" s="444">
        <f t="shared" ca="1" si="182"/>
        <v>470449444596.94006</v>
      </c>
      <c r="M4133" s="460">
        <f t="shared" si="184"/>
        <v>0.05</v>
      </c>
      <c r="N4133" s="464">
        <f t="shared" si="185"/>
        <v>176839</v>
      </c>
    </row>
    <row r="4134" spans="7:14" ht="11.25" customHeight="1" x14ac:dyDescent="0.3">
      <c r="G4134" s="459"/>
      <c r="H4134" s="459">
        <v>4127</v>
      </c>
      <c r="I4134" s="444">
        <f t="shared" ca="1" si="183"/>
        <v>470449444596.94006</v>
      </c>
      <c r="J4134" s="444">
        <f t="array" ref="J4134">IFERROR(INDEX('Retirement Calculator'!J:J,MATCH('Isaac 401k'!N4134,'Retirement Calculator'!A:A,0),0),0)</f>
        <v>0</v>
      </c>
      <c r="K4134" s="444">
        <f t="shared" ca="1" si="181"/>
        <v>1960206019.1539166</v>
      </c>
      <c r="L4134" s="444">
        <f t="shared" ca="1" si="182"/>
        <v>472409650616.09399</v>
      </c>
      <c r="M4134" s="460">
        <f t="shared" si="184"/>
        <v>0.05</v>
      </c>
      <c r="N4134" s="464">
        <f t="shared" si="185"/>
        <v>176870</v>
      </c>
    </row>
    <row r="4135" spans="7:14" ht="11.25" customHeight="1" x14ac:dyDescent="0.3">
      <c r="G4135" s="459"/>
      <c r="H4135" s="459">
        <v>4128</v>
      </c>
      <c r="I4135" s="444">
        <f t="shared" ca="1" si="183"/>
        <v>472409650616.09399</v>
      </c>
      <c r="J4135" s="444">
        <f t="array" ref="J4135">IFERROR(INDEX('Retirement Calculator'!J:J,MATCH('Isaac 401k'!N4135,'Retirement Calculator'!A:A,0),0),0)</f>
        <v>0</v>
      </c>
      <c r="K4135" s="444">
        <f t="shared" ca="1" si="181"/>
        <v>1968373544.2337248</v>
      </c>
      <c r="L4135" s="444">
        <f t="shared" ca="1" si="182"/>
        <v>474378024160.3277</v>
      </c>
      <c r="M4135" s="460">
        <f t="shared" si="184"/>
        <v>0.05</v>
      </c>
      <c r="N4135" s="464">
        <f t="shared" si="185"/>
        <v>176900</v>
      </c>
    </row>
    <row r="4136" spans="7:14" ht="11.25" customHeight="1" x14ac:dyDescent="0.3">
      <c r="G4136" s="459"/>
      <c r="H4136" s="459">
        <v>4129</v>
      </c>
      <c r="I4136" s="444">
        <f t="shared" ca="1" si="183"/>
        <v>474378024160.3277</v>
      </c>
      <c r="J4136" s="444">
        <f t="array" ref="J4136">IFERROR(INDEX('Retirement Calculator'!J:J,MATCH('Isaac 401k'!N4136,'Retirement Calculator'!A:A,0),0),0)</f>
        <v>0</v>
      </c>
      <c r="K4136" s="444">
        <f t="shared" ca="1" si="181"/>
        <v>1976575100.6680319</v>
      </c>
      <c r="L4136" s="444">
        <f t="shared" ca="1" si="182"/>
        <v>476354599260.99573</v>
      </c>
      <c r="M4136" s="460">
        <f t="shared" si="184"/>
        <v>0.05</v>
      </c>
      <c r="N4136" s="464">
        <f t="shared" si="185"/>
        <v>176931</v>
      </c>
    </row>
    <row r="4137" spans="7:14" ht="11.25" customHeight="1" x14ac:dyDescent="0.3">
      <c r="G4137" s="459"/>
      <c r="H4137" s="459">
        <v>4130</v>
      </c>
      <c r="I4137" s="444">
        <f t="shared" ca="1" si="183"/>
        <v>476354599260.99573</v>
      </c>
      <c r="J4137" s="444">
        <f t="array" ref="J4137">IFERROR(INDEX('Retirement Calculator'!J:J,MATCH('Isaac 401k'!N4137,'Retirement Calculator'!A:A,0),0),0)</f>
        <v>0</v>
      </c>
      <c r="K4137" s="444">
        <f t="shared" ca="1" si="181"/>
        <v>1984810830.2541487</v>
      </c>
      <c r="L4137" s="444">
        <f t="shared" ca="1" si="182"/>
        <v>478339410091.24988</v>
      </c>
      <c r="M4137" s="460">
        <f t="shared" si="184"/>
        <v>0.05</v>
      </c>
      <c r="N4137" s="464">
        <f t="shared" si="185"/>
        <v>176961</v>
      </c>
    </row>
    <row r="4138" spans="7:14" ht="11.25" customHeight="1" x14ac:dyDescent="0.3">
      <c r="G4138" s="459"/>
      <c r="H4138" s="459">
        <v>4131</v>
      </c>
      <c r="I4138" s="444">
        <f t="shared" ca="1" si="183"/>
        <v>478339410091.24988</v>
      </c>
      <c r="J4138" s="444">
        <f t="array" ref="J4138">IFERROR(INDEX('Retirement Calculator'!J:J,MATCH('Isaac 401k'!N4138,'Retirement Calculator'!A:A,0),0),0)</f>
        <v>0</v>
      </c>
      <c r="K4138" s="444">
        <f t="shared" ca="1" si="181"/>
        <v>1993080875.3802078</v>
      </c>
      <c r="L4138" s="444">
        <f t="shared" ca="1" si="182"/>
        <v>480332490966.63007</v>
      </c>
      <c r="M4138" s="460">
        <f t="shared" si="184"/>
        <v>0.05</v>
      </c>
      <c r="N4138" s="464">
        <f t="shared" si="185"/>
        <v>176992</v>
      </c>
    </row>
    <row r="4139" spans="7:14" ht="11.25" customHeight="1" x14ac:dyDescent="0.3">
      <c r="G4139" s="459"/>
      <c r="H4139" s="459">
        <v>4132</v>
      </c>
      <c r="I4139" s="444">
        <f t="shared" ca="1" si="183"/>
        <v>480332490966.63007</v>
      </c>
      <c r="J4139" s="444">
        <f t="array" ref="J4139">IFERROR(INDEX('Retirement Calculator'!J:J,MATCH('Isaac 401k'!N4139,'Retirement Calculator'!A:A,0),0),0)</f>
        <v>0</v>
      </c>
      <c r="K4139" s="444">
        <f t="shared" ca="1" si="181"/>
        <v>2001385379.0276256</v>
      </c>
      <c r="L4139" s="444">
        <f t="shared" ca="1" si="182"/>
        <v>482333876345.65771</v>
      </c>
      <c r="M4139" s="460">
        <f t="shared" si="184"/>
        <v>0.05</v>
      </c>
      <c r="N4139" s="464">
        <f t="shared" si="185"/>
        <v>177023</v>
      </c>
    </row>
    <row r="4140" spans="7:14" ht="11.25" customHeight="1" x14ac:dyDescent="0.3">
      <c r="G4140" s="459"/>
      <c r="H4140" s="459">
        <v>4133</v>
      </c>
      <c r="I4140" s="444">
        <f t="shared" ca="1" si="183"/>
        <v>482333876345.65771</v>
      </c>
      <c r="J4140" s="444">
        <f t="array" ref="J4140">IFERROR(INDEX('Retirement Calculator'!J:J,MATCH('Isaac 401k'!N4140,'Retirement Calculator'!A:A,0),0),0)</f>
        <v>0</v>
      </c>
      <c r="K4140" s="444">
        <f t="shared" ca="1" si="181"/>
        <v>2009724484.7735739</v>
      </c>
      <c r="L4140" s="444">
        <f t="shared" ca="1" si="182"/>
        <v>484343600830.43127</v>
      </c>
      <c r="M4140" s="460">
        <f t="shared" si="184"/>
        <v>0.05</v>
      </c>
      <c r="N4140" s="464">
        <f t="shared" si="185"/>
        <v>177053</v>
      </c>
    </row>
    <row r="4141" spans="7:14" ht="11.25" customHeight="1" x14ac:dyDescent="0.3">
      <c r="G4141" s="459"/>
      <c r="H4141" s="459">
        <v>4134</v>
      </c>
      <c r="I4141" s="444">
        <f t="shared" ca="1" si="183"/>
        <v>484343600830.43127</v>
      </c>
      <c r="J4141" s="444">
        <f t="array" ref="J4141">IFERROR(INDEX('Retirement Calculator'!J:J,MATCH('Isaac 401k'!N4141,'Retirement Calculator'!A:A,0),0),0)</f>
        <v>0</v>
      </c>
      <c r="K4141" s="444">
        <f t="shared" ca="1" si="181"/>
        <v>2018098336.7934639</v>
      </c>
      <c r="L4141" s="444">
        <f t="shared" ca="1" si="182"/>
        <v>486361699167.22473</v>
      </c>
      <c r="M4141" s="460">
        <f t="shared" si="184"/>
        <v>0.05</v>
      </c>
      <c r="N4141" s="464">
        <f t="shared" si="185"/>
        <v>177084</v>
      </c>
    </row>
    <row r="4142" spans="7:14" ht="11.25" customHeight="1" x14ac:dyDescent="0.3">
      <c r="G4142" s="459"/>
      <c r="H4142" s="459">
        <v>4135</v>
      </c>
      <c r="I4142" s="444">
        <f t="shared" ca="1" si="183"/>
        <v>486361699167.22473</v>
      </c>
      <c r="J4142" s="444">
        <f t="array" ref="J4142">IFERROR(INDEX('Retirement Calculator'!J:J,MATCH('Isaac 401k'!N4142,'Retirement Calculator'!A:A,0),0),0)</f>
        <v>0</v>
      </c>
      <c r="K4142" s="444">
        <f t="shared" ca="1" si="181"/>
        <v>2026507079.8634365</v>
      </c>
      <c r="L4142" s="444">
        <f t="shared" ca="1" si="182"/>
        <v>488388206247.0882</v>
      </c>
      <c r="M4142" s="460">
        <f t="shared" si="184"/>
        <v>0.05</v>
      </c>
      <c r="N4142" s="464">
        <f t="shared" si="185"/>
        <v>177114</v>
      </c>
    </row>
    <row r="4143" spans="7:14" ht="11.25" customHeight="1" x14ac:dyDescent="0.3">
      <c r="G4143" s="459"/>
      <c r="H4143" s="459">
        <v>4136</v>
      </c>
      <c r="I4143" s="444">
        <f t="shared" ca="1" si="183"/>
        <v>488388206247.0882</v>
      </c>
      <c r="J4143" s="444">
        <f t="array" ref="J4143">IFERROR(INDEX('Retirement Calculator'!J:J,MATCH('Isaac 401k'!N4143,'Retirement Calculator'!A:A,0),0),0)</f>
        <v>0</v>
      </c>
      <c r="K4143" s="444">
        <f t="shared" ca="1" si="181"/>
        <v>2034950859.3628674</v>
      </c>
      <c r="L4143" s="444">
        <f t="shared" ca="1" si="182"/>
        <v>490423157106.45105</v>
      </c>
      <c r="M4143" s="460">
        <f t="shared" si="184"/>
        <v>0.05</v>
      </c>
      <c r="N4143" s="464">
        <f t="shared" si="185"/>
        <v>177145</v>
      </c>
    </row>
    <row r="4144" spans="7:14" ht="11.25" customHeight="1" x14ac:dyDescent="0.3">
      <c r="G4144" s="459"/>
      <c r="H4144" s="459">
        <v>4137</v>
      </c>
      <c r="I4144" s="444">
        <f t="shared" ca="1" si="183"/>
        <v>490423157106.45105</v>
      </c>
      <c r="J4144" s="444">
        <f t="array" ref="J4144">IFERROR(INDEX('Retirement Calculator'!J:J,MATCH('Isaac 401k'!N4144,'Retirement Calculator'!A:A,0),0),0)</f>
        <v>0</v>
      </c>
      <c r="K4144" s="444">
        <f t="shared" ca="1" si="181"/>
        <v>2043429821.2768795</v>
      </c>
      <c r="L4144" s="444">
        <f t="shared" ca="1" si="182"/>
        <v>492466586927.72791</v>
      </c>
      <c r="M4144" s="460">
        <f t="shared" si="184"/>
        <v>0.05</v>
      </c>
      <c r="N4144" s="464">
        <f t="shared" si="185"/>
        <v>177176</v>
      </c>
    </row>
    <row r="4145" spans="7:14" ht="11.25" customHeight="1" x14ac:dyDescent="0.3">
      <c r="G4145" s="459"/>
      <c r="H4145" s="459">
        <v>4138</v>
      </c>
      <c r="I4145" s="444">
        <f t="shared" ca="1" si="183"/>
        <v>492466586927.72791</v>
      </c>
      <c r="J4145" s="444">
        <f t="array" ref="J4145">IFERROR(INDEX('Retirement Calculator'!J:J,MATCH('Isaac 401k'!N4145,'Retirement Calculator'!A:A,0),0),0)</f>
        <v>0</v>
      </c>
      <c r="K4145" s="444">
        <f t="shared" ca="1" si="181"/>
        <v>2051944112.1988666</v>
      </c>
      <c r="L4145" s="444">
        <f t="shared" ca="1" si="182"/>
        <v>494518531039.92676</v>
      </c>
      <c r="M4145" s="460">
        <f t="shared" si="184"/>
        <v>0.05</v>
      </c>
      <c r="N4145" s="464">
        <f t="shared" si="185"/>
        <v>177204</v>
      </c>
    </row>
    <row r="4146" spans="7:14" ht="11.25" customHeight="1" x14ac:dyDescent="0.3">
      <c r="G4146" s="459"/>
      <c r="H4146" s="459">
        <v>4139</v>
      </c>
      <c r="I4146" s="444">
        <f t="shared" ca="1" si="183"/>
        <v>494518531039.92676</v>
      </c>
      <c r="J4146" s="444">
        <f t="array" ref="J4146">IFERROR(INDEX('Retirement Calculator'!J:J,MATCH('Isaac 401k'!N4146,'Retirement Calculator'!A:A,0),0),0)</f>
        <v>0</v>
      </c>
      <c r="K4146" s="444">
        <f t="shared" ca="1" si="181"/>
        <v>2060493879.3330283</v>
      </c>
      <c r="L4146" s="444">
        <f t="shared" ca="1" si="182"/>
        <v>496579024919.25977</v>
      </c>
      <c r="M4146" s="460">
        <f t="shared" si="184"/>
        <v>0.05</v>
      </c>
      <c r="N4146" s="464">
        <f t="shared" si="185"/>
        <v>177235</v>
      </c>
    </row>
    <row r="4147" spans="7:14" ht="11.25" customHeight="1" x14ac:dyDescent="0.3">
      <c r="G4147" s="459"/>
      <c r="H4147" s="459">
        <v>4140</v>
      </c>
      <c r="I4147" s="444">
        <f t="shared" ca="1" si="183"/>
        <v>496579024919.25977</v>
      </c>
      <c r="J4147" s="444">
        <f t="array" ref="J4147">IFERROR(INDEX('Retirement Calculator'!J:J,MATCH('Isaac 401k'!N4147,'Retirement Calculator'!A:A,0),0),0)</f>
        <v>0</v>
      </c>
      <c r="K4147" s="444">
        <f t="shared" ca="1" si="181"/>
        <v>2069079270.4969156</v>
      </c>
      <c r="L4147" s="444">
        <f t="shared" ca="1" si="182"/>
        <v>498648104189.75665</v>
      </c>
      <c r="M4147" s="460">
        <f t="shared" si="184"/>
        <v>0.05</v>
      </c>
      <c r="N4147" s="464">
        <f t="shared" si="185"/>
        <v>177265</v>
      </c>
    </row>
    <row r="4148" spans="7:14" ht="11.25" customHeight="1" x14ac:dyDescent="0.3">
      <c r="G4148" s="459"/>
      <c r="H4148" s="459">
        <v>4141</v>
      </c>
      <c r="I4148" s="444">
        <f t="shared" ca="1" si="183"/>
        <v>498648104189.75665</v>
      </c>
      <c r="J4148" s="444">
        <f t="array" ref="J4148">IFERROR(INDEX('Retirement Calculator'!J:J,MATCH('Isaac 401k'!N4148,'Retirement Calculator'!A:A,0),0),0)</f>
        <v>0</v>
      </c>
      <c r="K4148" s="444">
        <f t="shared" ca="1" si="181"/>
        <v>2077700434.1239862</v>
      </c>
      <c r="L4148" s="444">
        <f t="shared" ca="1" si="182"/>
        <v>500725804623.88062</v>
      </c>
      <c r="M4148" s="460">
        <f t="shared" si="184"/>
        <v>0.05</v>
      </c>
      <c r="N4148" s="464">
        <f t="shared" si="185"/>
        <v>177296</v>
      </c>
    </row>
    <row r="4149" spans="7:14" ht="11.25" customHeight="1" x14ac:dyDescent="0.3">
      <c r="G4149" s="459"/>
      <c r="H4149" s="459">
        <v>4142</v>
      </c>
      <c r="I4149" s="444">
        <f t="shared" ca="1" si="183"/>
        <v>500725804623.88062</v>
      </c>
      <c r="J4149" s="444">
        <f t="array" ref="J4149">IFERROR(INDEX('Retirement Calculator'!J:J,MATCH('Isaac 401k'!N4149,'Retirement Calculator'!A:A,0),0),0)</f>
        <v>0</v>
      </c>
      <c r="K4149" s="444">
        <f t="shared" ca="1" si="181"/>
        <v>2086357519.2661693</v>
      </c>
      <c r="L4149" s="444">
        <f t="shared" ca="1" si="182"/>
        <v>502812162143.14679</v>
      </c>
      <c r="M4149" s="460">
        <f t="shared" si="184"/>
        <v>0.05</v>
      </c>
      <c r="N4149" s="464">
        <f t="shared" si="185"/>
        <v>177326</v>
      </c>
    </row>
    <row r="4150" spans="7:14" ht="11.25" customHeight="1" x14ac:dyDescent="0.3">
      <c r="G4150" s="459"/>
      <c r="H4150" s="459">
        <v>4143</v>
      </c>
      <c r="I4150" s="444">
        <f t="shared" ca="1" si="183"/>
        <v>502812162143.14679</v>
      </c>
      <c r="J4150" s="444">
        <f t="array" ref="J4150">IFERROR(INDEX('Retirement Calculator'!J:J,MATCH('Isaac 401k'!N4150,'Retirement Calculator'!A:A,0),0),0)</f>
        <v>0</v>
      </c>
      <c r="K4150" s="444">
        <f t="shared" ca="1" si="181"/>
        <v>2095050675.5964446</v>
      </c>
      <c r="L4150" s="444">
        <f t="shared" ca="1" si="182"/>
        <v>504907212818.74323</v>
      </c>
      <c r="M4150" s="460">
        <f t="shared" si="184"/>
        <v>0.05</v>
      </c>
      <c r="N4150" s="464">
        <f t="shared" si="185"/>
        <v>177357</v>
      </c>
    </row>
    <row r="4151" spans="7:14" ht="11.25" customHeight="1" x14ac:dyDescent="0.3">
      <c r="G4151" s="459"/>
      <c r="H4151" s="459">
        <v>4144</v>
      </c>
      <c r="I4151" s="444">
        <f t="shared" ca="1" si="183"/>
        <v>504907212818.74323</v>
      </c>
      <c r="J4151" s="444">
        <f t="array" ref="J4151">IFERROR(INDEX('Retirement Calculator'!J:J,MATCH('Isaac 401k'!N4151,'Retirement Calculator'!A:A,0),0),0)</f>
        <v>0</v>
      </c>
      <c r="K4151" s="444">
        <f t="shared" ca="1" si="181"/>
        <v>2103780053.4114301</v>
      </c>
      <c r="L4151" s="444">
        <f t="shared" ca="1" si="182"/>
        <v>507010992872.15466</v>
      </c>
      <c r="M4151" s="460">
        <f t="shared" si="184"/>
        <v>0.05</v>
      </c>
      <c r="N4151" s="464">
        <f t="shared" si="185"/>
        <v>177388</v>
      </c>
    </row>
    <row r="4152" spans="7:14" ht="11.25" customHeight="1" x14ac:dyDescent="0.3">
      <c r="G4152" s="459"/>
      <c r="H4152" s="459">
        <v>4145</v>
      </c>
      <c r="I4152" s="444">
        <f t="shared" ca="1" si="183"/>
        <v>507010992872.15466</v>
      </c>
      <c r="J4152" s="444">
        <f t="array" ref="J4152">IFERROR(INDEX('Retirement Calculator'!J:J,MATCH('Isaac 401k'!N4152,'Retirement Calculator'!A:A,0),0),0)</f>
        <v>0</v>
      </c>
      <c r="K4152" s="444">
        <f t="shared" ca="1" si="181"/>
        <v>2112545803.6339774</v>
      </c>
      <c r="L4152" s="444">
        <f t="shared" ca="1" si="182"/>
        <v>509123538675.78864</v>
      </c>
      <c r="M4152" s="460">
        <f t="shared" si="184"/>
        <v>0.05</v>
      </c>
      <c r="N4152" s="464">
        <f t="shared" si="185"/>
        <v>177418</v>
      </c>
    </row>
    <row r="4153" spans="7:14" ht="11.25" customHeight="1" x14ac:dyDescent="0.3">
      <c r="G4153" s="459"/>
      <c r="H4153" s="459">
        <v>4146</v>
      </c>
      <c r="I4153" s="444">
        <f t="shared" ca="1" si="183"/>
        <v>509123538675.78864</v>
      </c>
      <c r="J4153" s="444">
        <f t="array" ref="J4153">IFERROR(INDEX('Retirement Calculator'!J:J,MATCH('Isaac 401k'!N4153,'Retirement Calculator'!A:A,0),0),0)</f>
        <v>0</v>
      </c>
      <c r="K4153" s="444">
        <f t="shared" ca="1" si="181"/>
        <v>2121348077.8157856</v>
      </c>
      <c r="L4153" s="444">
        <f t="shared" ca="1" si="182"/>
        <v>511244886753.60443</v>
      </c>
      <c r="M4153" s="460">
        <f t="shared" si="184"/>
        <v>0.05</v>
      </c>
      <c r="N4153" s="464">
        <f t="shared" si="185"/>
        <v>177449</v>
      </c>
    </row>
    <row r="4154" spans="7:14" ht="11.25" customHeight="1" x14ac:dyDescent="0.3">
      <c r="G4154" s="459"/>
      <c r="H4154" s="459">
        <v>4147</v>
      </c>
      <c r="I4154" s="444">
        <f t="shared" ca="1" si="183"/>
        <v>511244886753.60443</v>
      </c>
      <c r="J4154" s="444">
        <f t="array" ref="J4154">IFERROR(INDEX('Retirement Calculator'!J:J,MATCH('Isaac 401k'!N4154,'Retirement Calculator'!A:A,0),0),0)</f>
        <v>0</v>
      </c>
      <c r="K4154" s="444">
        <f t="shared" ca="1" si="181"/>
        <v>2130187028.1400182</v>
      </c>
      <c r="L4154" s="444">
        <f t="shared" ca="1" si="182"/>
        <v>513375073781.74445</v>
      </c>
      <c r="M4154" s="460">
        <f t="shared" si="184"/>
        <v>0.05</v>
      </c>
      <c r="N4154" s="464">
        <f t="shared" si="185"/>
        <v>177479</v>
      </c>
    </row>
    <row r="4155" spans="7:14" ht="11.25" customHeight="1" x14ac:dyDescent="0.3">
      <c r="G4155" s="459"/>
      <c r="H4155" s="459">
        <v>4148</v>
      </c>
      <c r="I4155" s="444">
        <f t="shared" ca="1" si="183"/>
        <v>513375073781.74445</v>
      </c>
      <c r="J4155" s="444">
        <f t="array" ref="J4155">IFERROR(INDEX('Retirement Calculator'!J:J,MATCH('Isaac 401k'!N4155,'Retirement Calculator'!A:A,0),0),0)</f>
        <v>0</v>
      </c>
      <c r="K4155" s="444">
        <f t="shared" ca="1" si="181"/>
        <v>2139062807.4239352</v>
      </c>
      <c r="L4155" s="444">
        <f t="shared" ca="1" si="182"/>
        <v>515514136589.1684</v>
      </c>
      <c r="M4155" s="460">
        <f t="shared" si="184"/>
        <v>0.05</v>
      </c>
      <c r="N4155" s="464">
        <f t="shared" si="185"/>
        <v>177510</v>
      </c>
    </row>
    <row r="4156" spans="7:14" ht="11.25" customHeight="1" x14ac:dyDescent="0.3">
      <c r="G4156" s="459"/>
      <c r="H4156" s="459">
        <v>4149</v>
      </c>
      <c r="I4156" s="444">
        <f t="shared" ca="1" si="183"/>
        <v>515514136589.1684</v>
      </c>
      <c r="J4156" s="444">
        <f t="array" ref="J4156">IFERROR(INDEX('Retirement Calculator'!J:J,MATCH('Isaac 401k'!N4156,'Retirement Calculator'!A:A,0),0),0)</f>
        <v>0</v>
      </c>
      <c r="K4156" s="444">
        <f t="shared" ca="1" si="181"/>
        <v>2147975569.1215348</v>
      </c>
      <c r="L4156" s="444">
        <f t="shared" ca="1" si="182"/>
        <v>517662112158.28992</v>
      </c>
      <c r="M4156" s="460">
        <f t="shared" si="184"/>
        <v>0.05</v>
      </c>
      <c r="N4156" s="464">
        <f t="shared" si="185"/>
        <v>177541</v>
      </c>
    </row>
    <row r="4157" spans="7:14" ht="11.25" customHeight="1" x14ac:dyDescent="0.3">
      <c r="G4157" s="459"/>
      <c r="H4157" s="459">
        <v>4150</v>
      </c>
      <c r="I4157" s="444">
        <f t="shared" ca="1" si="183"/>
        <v>517662112158.28992</v>
      </c>
      <c r="J4157" s="444">
        <f t="array" ref="J4157">IFERROR(INDEX('Retirement Calculator'!J:J,MATCH('Isaac 401k'!N4157,'Retirement Calculator'!A:A,0),0),0)</f>
        <v>0</v>
      </c>
      <c r="K4157" s="444">
        <f t="shared" ca="1" si="181"/>
        <v>2156925467.3262081</v>
      </c>
      <c r="L4157" s="444">
        <f t="shared" ca="1" si="182"/>
        <v>519819037625.61615</v>
      </c>
      <c r="M4157" s="460">
        <f t="shared" si="184"/>
        <v>0.05</v>
      </c>
      <c r="N4157" s="464">
        <f t="shared" si="185"/>
        <v>177569</v>
      </c>
    </row>
    <row r="4158" spans="7:14" ht="11.25" customHeight="1" x14ac:dyDescent="0.3">
      <c r="G4158" s="459"/>
      <c r="H4158" s="459">
        <v>4151</v>
      </c>
      <c r="I4158" s="444">
        <f t="shared" ca="1" si="183"/>
        <v>519819037625.61615</v>
      </c>
      <c r="J4158" s="444">
        <f t="array" ref="J4158">IFERROR(INDEX('Retirement Calculator'!J:J,MATCH('Isaac 401k'!N4158,'Retirement Calculator'!A:A,0),0),0)</f>
        <v>0</v>
      </c>
      <c r="K4158" s="444">
        <f t="shared" ca="1" si="181"/>
        <v>2165912656.7734008</v>
      </c>
      <c r="L4158" s="444">
        <f t="shared" ca="1" si="182"/>
        <v>521984950282.38953</v>
      </c>
      <c r="M4158" s="460">
        <f t="shared" si="184"/>
        <v>0.05</v>
      </c>
      <c r="N4158" s="464">
        <f t="shared" si="185"/>
        <v>177600</v>
      </c>
    </row>
    <row r="4159" spans="7:14" ht="11.25" customHeight="1" x14ac:dyDescent="0.3">
      <c r="G4159" s="459"/>
      <c r="H4159" s="459">
        <v>4152</v>
      </c>
      <c r="I4159" s="444">
        <f t="shared" ca="1" si="183"/>
        <v>521984950282.38953</v>
      </c>
      <c r="J4159" s="444">
        <f t="array" ref="J4159">IFERROR(INDEX('Retirement Calculator'!J:J,MATCH('Isaac 401k'!N4159,'Retirement Calculator'!A:A,0),0),0)</f>
        <v>0</v>
      </c>
      <c r="K4159" s="444">
        <f t="shared" ca="1" si="181"/>
        <v>2174937292.8432899</v>
      </c>
      <c r="L4159" s="444">
        <f t="shared" ca="1" si="182"/>
        <v>524159887575.23279</v>
      </c>
      <c r="M4159" s="460">
        <f t="shared" si="184"/>
        <v>0.05</v>
      </c>
      <c r="N4159" s="464">
        <f t="shared" si="185"/>
        <v>177630</v>
      </c>
    </row>
    <row r="4160" spans="7:14" ht="11.25" customHeight="1" x14ac:dyDescent="0.3">
      <c r="G4160" s="459"/>
      <c r="H4160" s="459">
        <v>4153</v>
      </c>
      <c r="I4160" s="444">
        <f t="shared" ca="1" si="183"/>
        <v>524159887575.23279</v>
      </c>
      <c r="J4160" s="444">
        <f t="array" ref="J4160">IFERROR(INDEX('Retirement Calculator'!J:J,MATCH('Isaac 401k'!N4160,'Retirement Calculator'!A:A,0),0),0)</f>
        <v>0</v>
      </c>
      <c r="K4160" s="444">
        <f t="shared" ca="1" si="181"/>
        <v>2183999531.5634699</v>
      </c>
      <c r="L4160" s="444">
        <f t="shared" ca="1" si="182"/>
        <v>526343887106.79626</v>
      </c>
      <c r="M4160" s="460">
        <f t="shared" si="184"/>
        <v>0.05</v>
      </c>
      <c r="N4160" s="464">
        <f t="shared" si="185"/>
        <v>177661</v>
      </c>
    </row>
    <row r="4161" spans="7:14" ht="11.25" customHeight="1" x14ac:dyDescent="0.3">
      <c r="G4161" s="459"/>
      <c r="H4161" s="459">
        <v>4154</v>
      </c>
      <c r="I4161" s="444">
        <f t="shared" ca="1" si="183"/>
        <v>526343887106.79626</v>
      </c>
      <c r="J4161" s="444">
        <f t="array" ref="J4161">IFERROR(INDEX('Retirement Calculator'!J:J,MATCH('Isaac 401k'!N4161,'Retirement Calculator'!A:A,0),0),0)</f>
        <v>0</v>
      </c>
      <c r="K4161" s="444">
        <f t="shared" ca="1" si="181"/>
        <v>2193099529.6116509</v>
      </c>
      <c r="L4161" s="444">
        <f t="shared" ca="1" si="182"/>
        <v>528536986636.4079</v>
      </c>
      <c r="M4161" s="460">
        <f t="shared" si="184"/>
        <v>0.05</v>
      </c>
      <c r="N4161" s="464">
        <f t="shared" si="185"/>
        <v>177691</v>
      </c>
    </row>
    <row r="4162" spans="7:14" ht="11.25" customHeight="1" x14ac:dyDescent="0.3">
      <c r="G4162" s="459"/>
      <c r="H4162" s="459">
        <v>4155</v>
      </c>
      <c r="I4162" s="444">
        <f t="shared" ca="1" si="183"/>
        <v>528536986636.4079</v>
      </c>
      <c r="J4162" s="444">
        <f t="array" ref="J4162">IFERROR(INDEX('Retirement Calculator'!J:J,MATCH('Isaac 401k'!N4162,'Retirement Calculator'!A:A,0),0),0)</f>
        <v>0</v>
      </c>
      <c r="K4162" s="444">
        <f t="shared" ca="1" si="181"/>
        <v>2202237444.3183661</v>
      </c>
      <c r="L4162" s="444">
        <f t="shared" ca="1" si="182"/>
        <v>530739224080.72626</v>
      </c>
      <c r="M4162" s="460">
        <f t="shared" si="184"/>
        <v>0.05</v>
      </c>
      <c r="N4162" s="464">
        <f t="shared" si="185"/>
        <v>177722</v>
      </c>
    </row>
    <row r="4163" spans="7:14" ht="11.25" customHeight="1" x14ac:dyDescent="0.3">
      <c r="G4163" s="459"/>
      <c r="H4163" s="459">
        <v>4156</v>
      </c>
      <c r="I4163" s="444">
        <f t="shared" ca="1" si="183"/>
        <v>530739224080.72626</v>
      </c>
      <c r="J4163" s="444">
        <f t="array" ref="J4163">IFERROR(INDEX('Retirement Calculator'!J:J,MATCH('Isaac 401k'!N4163,'Retirement Calculator'!A:A,0),0),0)</f>
        <v>0</v>
      </c>
      <c r="K4163" s="444">
        <f t="shared" ca="1" si="181"/>
        <v>2211413433.6696925</v>
      </c>
      <c r="L4163" s="444">
        <f t="shared" ca="1" si="182"/>
        <v>532950637514.39594</v>
      </c>
      <c r="M4163" s="460">
        <f t="shared" si="184"/>
        <v>0.05</v>
      </c>
      <c r="N4163" s="464">
        <f t="shared" si="185"/>
        <v>177753</v>
      </c>
    </row>
    <row r="4164" spans="7:14" ht="11.25" customHeight="1" x14ac:dyDescent="0.3">
      <c r="G4164" s="459"/>
      <c r="H4164" s="459">
        <v>4157</v>
      </c>
      <c r="I4164" s="444">
        <f t="shared" ca="1" si="183"/>
        <v>532950637514.39594</v>
      </c>
      <c r="J4164" s="444">
        <f t="array" ref="J4164">IFERROR(INDEX('Retirement Calculator'!J:J,MATCH('Isaac 401k'!N4164,'Retirement Calculator'!A:A,0),0),0)</f>
        <v>0</v>
      </c>
      <c r="K4164" s="444">
        <f t="shared" ca="1" si="181"/>
        <v>2220627656.3099833</v>
      </c>
      <c r="L4164" s="444">
        <f t="shared" ca="1" si="182"/>
        <v>535171265170.70593</v>
      </c>
      <c r="M4164" s="460">
        <f t="shared" si="184"/>
        <v>0.05</v>
      </c>
      <c r="N4164" s="464">
        <f t="shared" si="185"/>
        <v>177783</v>
      </c>
    </row>
    <row r="4165" spans="7:14" ht="11.25" customHeight="1" x14ac:dyDescent="0.3">
      <c r="G4165" s="459"/>
      <c r="H4165" s="459">
        <v>4158</v>
      </c>
      <c r="I4165" s="444">
        <f t="shared" ca="1" si="183"/>
        <v>535171265170.70593</v>
      </c>
      <c r="J4165" s="444">
        <f t="array" ref="J4165">IFERROR(INDEX('Retirement Calculator'!J:J,MATCH('Isaac 401k'!N4165,'Retirement Calculator'!A:A,0),0),0)</f>
        <v>0</v>
      </c>
      <c r="K4165" s="444">
        <f t="shared" ca="1" si="181"/>
        <v>2229880271.5446076</v>
      </c>
      <c r="L4165" s="444">
        <f t="shared" ca="1" si="182"/>
        <v>537401145442.25055</v>
      </c>
      <c r="M4165" s="460">
        <f t="shared" si="184"/>
        <v>0.05</v>
      </c>
      <c r="N4165" s="464">
        <f t="shared" si="185"/>
        <v>177814</v>
      </c>
    </row>
    <row r="4166" spans="7:14" ht="11.25" customHeight="1" x14ac:dyDescent="0.3">
      <c r="G4166" s="459"/>
      <c r="H4166" s="459">
        <v>4159</v>
      </c>
      <c r="I4166" s="444">
        <f t="shared" ca="1" si="183"/>
        <v>537401145442.25055</v>
      </c>
      <c r="J4166" s="444">
        <f t="array" ref="J4166">IFERROR(INDEX('Retirement Calculator'!J:J,MATCH('Isaac 401k'!N4166,'Retirement Calculator'!A:A,0),0),0)</f>
        <v>0</v>
      </c>
      <c r="K4166" s="444">
        <f t="shared" ca="1" si="181"/>
        <v>2239171439.3427105</v>
      </c>
      <c r="L4166" s="444">
        <f t="shared" ca="1" si="182"/>
        <v>539640316881.59326</v>
      </c>
      <c r="M4166" s="460">
        <f t="shared" si="184"/>
        <v>0.05</v>
      </c>
      <c r="N4166" s="464">
        <f t="shared" si="185"/>
        <v>177844</v>
      </c>
    </row>
    <row r="4167" spans="7:14" ht="11.25" customHeight="1" x14ac:dyDescent="0.3">
      <c r="G4167" s="459"/>
      <c r="H4167" s="459">
        <v>4160</v>
      </c>
      <c r="I4167" s="444">
        <f t="shared" ca="1" si="183"/>
        <v>539640316881.59326</v>
      </c>
      <c r="J4167" s="444">
        <f t="array" ref="J4167">IFERROR(INDEX('Retirement Calculator'!J:J,MATCH('Isaac 401k'!N4167,'Retirement Calculator'!A:A,0),0),0)</f>
        <v>0</v>
      </c>
      <c r="K4167" s="444">
        <f t="shared" ca="1" si="181"/>
        <v>2248501320.3399715</v>
      </c>
      <c r="L4167" s="444">
        <f t="shared" ca="1" si="182"/>
        <v>541888818201.93323</v>
      </c>
      <c r="M4167" s="460">
        <f t="shared" si="184"/>
        <v>0.05</v>
      </c>
      <c r="N4167" s="464">
        <f t="shared" si="185"/>
        <v>177875</v>
      </c>
    </row>
    <row r="4168" spans="7:14" ht="11.25" customHeight="1" x14ac:dyDescent="0.3">
      <c r="G4168" s="459"/>
      <c r="H4168" s="459">
        <v>4161</v>
      </c>
      <c r="I4168" s="444">
        <f t="shared" ca="1" si="183"/>
        <v>541888818201.93323</v>
      </c>
      <c r="J4168" s="444">
        <f t="array" ref="J4168">IFERROR(INDEX('Retirement Calculator'!J:J,MATCH('Isaac 401k'!N4168,'Retirement Calculator'!A:A,0),0),0)</f>
        <v>0</v>
      </c>
      <c r="K4168" s="444">
        <f t="shared" ca="1" si="181"/>
        <v>2257870075.8413882</v>
      </c>
      <c r="L4168" s="444">
        <f t="shared" ca="1" si="182"/>
        <v>544146688277.7746</v>
      </c>
      <c r="M4168" s="460">
        <f t="shared" si="184"/>
        <v>0.05</v>
      </c>
      <c r="N4168" s="464">
        <f t="shared" si="185"/>
        <v>177906</v>
      </c>
    </row>
    <row r="4169" spans="7:14" ht="11.25" customHeight="1" x14ac:dyDescent="0.3">
      <c r="G4169" s="459"/>
      <c r="H4169" s="459">
        <v>4162</v>
      </c>
      <c r="I4169" s="444">
        <f t="shared" ca="1" si="183"/>
        <v>544146688277.7746</v>
      </c>
      <c r="J4169" s="444">
        <f t="array" ref="J4169">IFERROR(INDEX('Retirement Calculator'!J:J,MATCH('Isaac 401k'!N4169,'Retirement Calculator'!A:A,0),0),0)</f>
        <v>0</v>
      </c>
      <c r="K4169" s="444">
        <f t="shared" ca="1" si="181"/>
        <v>2267277867.8240609</v>
      </c>
      <c r="L4169" s="444">
        <f t="shared" ca="1" si="182"/>
        <v>546413966145.59863</v>
      </c>
      <c r="M4169" s="460">
        <f t="shared" si="184"/>
        <v>0.05</v>
      </c>
      <c r="N4169" s="464">
        <f t="shared" si="185"/>
        <v>177934</v>
      </c>
    </row>
    <row r="4170" spans="7:14" ht="11.25" customHeight="1" x14ac:dyDescent="0.3">
      <c r="G4170" s="459"/>
      <c r="H4170" s="459">
        <v>4163</v>
      </c>
      <c r="I4170" s="444">
        <f t="shared" ca="1" si="183"/>
        <v>546413966145.59863</v>
      </c>
      <c r="J4170" s="444">
        <f t="array" ref="J4170">IFERROR(INDEX('Retirement Calculator'!J:J,MATCH('Isaac 401k'!N4170,'Retirement Calculator'!A:A,0),0),0)</f>
        <v>0</v>
      </c>
      <c r="K4170" s="444">
        <f t="shared" ca="1" si="181"/>
        <v>2276724858.9399943</v>
      </c>
      <c r="L4170" s="444">
        <f t="shared" ca="1" si="182"/>
        <v>548690691004.53864</v>
      </c>
      <c r="M4170" s="460">
        <f t="shared" si="184"/>
        <v>0.05</v>
      </c>
      <c r="N4170" s="464">
        <f t="shared" si="185"/>
        <v>177965</v>
      </c>
    </row>
    <row r="4171" spans="7:14" ht="11.25" customHeight="1" x14ac:dyDescent="0.3">
      <c r="G4171" s="459"/>
      <c r="H4171" s="459">
        <v>4164</v>
      </c>
      <c r="I4171" s="444">
        <f t="shared" ca="1" si="183"/>
        <v>548690691004.53864</v>
      </c>
      <c r="J4171" s="444">
        <f t="array" ref="J4171">IFERROR(INDEX('Retirement Calculator'!J:J,MATCH('Isaac 401k'!N4171,'Retirement Calculator'!A:A,0),0),0)</f>
        <v>0</v>
      </c>
      <c r="K4171" s="444">
        <f t="shared" ca="1" si="181"/>
        <v>2286211212.5189109</v>
      </c>
      <c r="L4171" s="444">
        <f t="shared" ca="1" si="182"/>
        <v>550976902217.0575</v>
      </c>
      <c r="M4171" s="460">
        <f t="shared" si="184"/>
        <v>0.05</v>
      </c>
      <c r="N4171" s="464">
        <f t="shared" si="185"/>
        <v>177995</v>
      </c>
    </row>
    <row r="4172" spans="7:14" ht="11.25" customHeight="1" x14ac:dyDescent="0.3">
      <c r="G4172" s="459"/>
      <c r="H4172" s="459">
        <v>4165</v>
      </c>
      <c r="I4172" s="444">
        <f t="shared" ca="1" si="183"/>
        <v>550976902217.0575</v>
      </c>
      <c r="J4172" s="444">
        <f t="array" ref="J4172">IFERROR(INDEX('Retirement Calculator'!J:J,MATCH('Isaac 401k'!N4172,'Retirement Calculator'!A:A,0),0),0)</f>
        <v>0</v>
      </c>
      <c r="K4172" s="444">
        <f t="shared" ca="1" si="181"/>
        <v>2295737092.5710731</v>
      </c>
      <c r="L4172" s="444">
        <f t="shared" ca="1" si="182"/>
        <v>553272639309.62854</v>
      </c>
      <c r="M4172" s="460">
        <f t="shared" si="184"/>
        <v>0.05</v>
      </c>
      <c r="N4172" s="464">
        <f t="shared" si="185"/>
        <v>178026</v>
      </c>
    </row>
    <row r="4173" spans="7:14" ht="11.25" customHeight="1" x14ac:dyDescent="0.3">
      <c r="G4173" s="459"/>
      <c r="H4173" s="459">
        <v>4166</v>
      </c>
      <c r="I4173" s="444">
        <f t="shared" ca="1" si="183"/>
        <v>553272639309.62854</v>
      </c>
      <c r="J4173" s="444">
        <f t="array" ref="J4173">IFERROR(INDEX('Retirement Calculator'!J:J,MATCH('Isaac 401k'!N4173,'Retirement Calculator'!A:A,0),0),0)</f>
        <v>0</v>
      </c>
      <c r="K4173" s="444">
        <f t="shared" ca="1" si="181"/>
        <v>2305302663.7901187</v>
      </c>
      <c r="L4173" s="444">
        <f t="shared" ca="1" si="182"/>
        <v>555577941973.4187</v>
      </c>
      <c r="M4173" s="460">
        <f t="shared" si="184"/>
        <v>0.05</v>
      </c>
      <c r="N4173" s="464">
        <f t="shared" si="185"/>
        <v>178056</v>
      </c>
    </row>
    <row r="4174" spans="7:14" ht="11.25" customHeight="1" x14ac:dyDescent="0.3">
      <c r="G4174" s="459"/>
      <c r="H4174" s="459">
        <v>4167</v>
      </c>
      <c r="I4174" s="444">
        <f t="shared" ca="1" si="183"/>
        <v>555577941973.4187</v>
      </c>
      <c r="J4174" s="444">
        <f t="array" ref="J4174">IFERROR(INDEX('Retirement Calculator'!J:J,MATCH('Isaac 401k'!N4174,'Retirement Calculator'!A:A,0),0),0)</f>
        <v>0</v>
      </c>
      <c r="K4174" s="444">
        <f t="shared" ca="1" si="181"/>
        <v>2314908091.5559111</v>
      </c>
      <c r="L4174" s="444">
        <f t="shared" ca="1" si="182"/>
        <v>557892850064.97461</v>
      </c>
      <c r="M4174" s="460">
        <f t="shared" si="184"/>
        <v>0.05</v>
      </c>
      <c r="N4174" s="464">
        <f t="shared" si="185"/>
        <v>178087</v>
      </c>
    </row>
    <row r="4175" spans="7:14" ht="11.25" customHeight="1" x14ac:dyDescent="0.3">
      <c r="G4175" s="459"/>
      <c r="H4175" s="459">
        <v>4168</v>
      </c>
      <c r="I4175" s="444">
        <f t="shared" ca="1" si="183"/>
        <v>557892850064.97461</v>
      </c>
      <c r="J4175" s="444">
        <f t="array" ref="J4175">IFERROR(INDEX('Retirement Calculator'!J:J,MATCH('Isaac 401k'!N4175,'Retirement Calculator'!A:A,0),0),0)</f>
        <v>0</v>
      </c>
      <c r="K4175" s="444">
        <f t="shared" ca="1" si="181"/>
        <v>2324553541.9373941</v>
      </c>
      <c r="L4175" s="444">
        <f t="shared" ca="1" si="182"/>
        <v>560217403606.91199</v>
      </c>
      <c r="M4175" s="460">
        <f t="shared" si="184"/>
        <v>0.05</v>
      </c>
      <c r="N4175" s="464">
        <f t="shared" si="185"/>
        <v>178118</v>
      </c>
    </row>
    <row r="4176" spans="7:14" ht="11.25" customHeight="1" x14ac:dyDescent="0.3">
      <c r="G4176" s="459"/>
      <c r="H4176" s="459">
        <v>4169</v>
      </c>
      <c r="I4176" s="444">
        <f t="shared" ca="1" si="183"/>
        <v>560217403606.91199</v>
      </c>
      <c r="J4176" s="444">
        <f t="array" ref="J4176">IFERROR(INDEX('Retirement Calculator'!J:J,MATCH('Isaac 401k'!N4176,'Retirement Calculator'!A:A,0),0),0)</f>
        <v>0</v>
      </c>
      <c r="K4176" s="444">
        <f t="shared" ca="1" si="181"/>
        <v>2334239181.6954665</v>
      </c>
      <c r="L4176" s="444">
        <f t="shared" ca="1" si="182"/>
        <v>562551642788.60742</v>
      </c>
      <c r="M4176" s="460">
        <f t="shared" si="184"/>
        <v>0.05</v>
      </c>
      <c r="N4176" s="464">
        <f t="shared" si="185"/>
        <v>178148</v>
      </c>
    </row>
    <row r="4177" spans="7:14" ht="11.25" customHeight="1" x14ac:dyDescent="0.3">
      <c r="G4177" s="459"/>
      <c r="H4177" s="459">
        <v>4170</v>
      </c>
      <c r="I4177" s="444">
        <f t="shared" ca="1" si="183"/>
        <v>562551642788.60742</v>
      </c>
      <c r="J4177" s="444">
        <f t="array" ref="J4177">IFERROR(INDEX('Retirement Calculator'!J:J,MATCH('Isaac 401k'!N4177,'Retirement Calculator'!A:A,0),0),0)</f>
        <v>0</v>
      </c>
      <c r="K4177" s="444">
        <f t="shared" ca="1" si="181"/>
        <v>2343965178.2858644</v>
      </c>
      <c r="L4177" s="444">
        <f t="shared" ca="1" si="182"/>
        <v>564895607966.89331</v>
      </c>
      <c r="M4177" s="460">
        <f t="shared" si="184"/>
        <v>0.05</v>
      </c>
      <c r="N4177" s="464">
        <f t="shared" si="185"/>
        <v>178179</v>
      </c>
    </row>
    <row r="4178" spans="7:14" ht="11.25" customHeight="1" x14ac:dyDescent="0.3">
      <c r="G4178" s="459"/>
      <c r="H4178" s="459">
        <v>4171</v>
      </c>
      <c r="I4178" s="444">
        <f t="shared" ca="1" si="183"/>
        <v>564895607966.89331</v>
      </c>
      <c r="J4178" s="444">
        <f t="array" ref="J4178">IFERROR(INDEX('Retirement Calculator'!J:J,MATCH('Isaac 401k'!N4178,'Retirement Calculator'!A:A,0),0),0)</f>
        <v>0</v>
      </c>
      <c r="K4178" s="444">
        <f t="shared" ca="1" si="181"/>
        <v>2353731699.8620553</v>
      </c>
      <c r="L4178" s="444">
        <f t="shared" ca="1" si="182"/>
        <v>567249339666.75537</v>
      </c>
      <c r="M4178" s="460">
        <f t="shared" si="184"/>
        <v>0.05</v>
      </c>
      <c r="N4178" s="464">
        <f t="shared" si="185"/>
        <v>178209</v>
      </c>
    </row>
    <row r="4179" spans="7:14" ht="11.25" customHeight="1" x14ac:dyDescent="0.3">
      <c r="G4179" s="459"/>
      <c r="H4179" s="459">
        <v>4172</v>
      </c>
      <c r="I4179" s="444">
        <f t="shared" ca="1" si="183"/>
        <v>567249339666.75537</v>
      </c>
      <c r="J4179" s="444">
        <f t="array" ref="J4179">IFERROR(INDEX('Retirement Calculator'!J:J,MATCH('Isaac 401k'!N4179,'Retirement Calculator'!A:A,0),0),0)</f>
        <v>0</v>
      </c>
      <c r="K4179" s="444">
        <f t="shared" ca="1" si="181"/>
        <v>2363538915.2781472</v>
      </c>
      <c r="L4179" s="444">
        <f t="shared" ca="1" si="182"/>
        <v>569612878582.03357</v>
      </c>
      <c r="M4179" s="460">
        <f t="shared" si="184"/>
        <v>0.05</v>
      </c>
      <c r="N4179" s="464">
        <f t="shared" si="185"/>
        <v>178240</v>
      </c>
    </row>
    <row r="4180" spans="7:14" ht="11.25" customHeight="1" x14ac:dyDescent="0.3">
      <c r="G4180" s="459"/>
      <c r="H4180" s="459">
        <v>4173</v>
      </c>
      <c r="I4180" s="444">
        <f t="shared" ca="1" si="183"/>
        <v>569612878582.03357</v>
      </c>
      <c r="J4180" s="444">
        <f t="array" ref="J4180">IFERROR(INDEX('Retirement Calculator'!J:J,MATCH('Isaac 401k'!N4180,'Retirement Calculator'!A:A,0),0),0)</f>
        <v>0</v>
      </c>
      <c r="K4180" s="444">
        <f t="shared" ca="1" si="181"/>
        <v>2373386994.0918064</v>
      </c>
      <c r="L4180" s="444">
        <f t="shared" ca="1" si="182"/>
        <v>571986265576.12537</v>
      </c>
      <c r="M4180" s="460">
        <f t="shared" si="184"/>
        <v>0.05</v>
      </c>
      <c r="N4180" s="464">
        <f t="shared" si="185"/>
        <v>178271</v>
      </c>
    </row>
    <row r="4181" spans="7:14" ht="11.25" customHeight="1" x14ac:dyDescent="0.3">
      <c r="G4181" s="459"/>
      <c r="H4181" s="459">
        <v>4174</v>
      </c>
      <c r="I4181" s="444">
        <f t="shared" ca="1" si="183"/>
        <v>571986265576.12537</v>
      </c>
      <c r="J4181" s="444">
        <f t="array" ref="J4181">IFERROR(INDEX('Retirement Calculator'!J:J,MATCH('Isaac 401k'!N4181,'Retirement Calculator'!A:A,0),0),0)</f>
        <v>0</v>
      </c>
      <c r="K4181" s="444">
        <f t="shared" ca="1" si="181"/>
        <v>2383276106.5671892</v>
      </c>
      <c r="L4181" s="444">
        <f t="shared" ca="1" si="182"/>
        <v>574369541682.6925</v>
      </c>
      <c r="M4181" s="460">
        <f t="shared" si="184"/>
        <v>0.05</v>
      </c>
      <c r="N4181" s="464">
        <f t="shared" si="185"/>
        <v>178300</v>
      </c>
    </row>
    <row r="4182" spans="7:14" ht="11.25" customHeight="1" x14ac:dyDescent="0.3">
      <c r="G4182" s="459"/>
      <c r="H4182" s="459">
        <v>4175</v>
      </c>
      <c r="I4182" s="444">
        <f t="shared" ca="1" si="183"/>
        <v>574369541682.6925</v>
      </c>
      <c r="J4182" s="444">
        <f t="array" ref="J4182">IFERROR(INDEX('Retirement Calculator'!J:J,MATCH('Isaac 401k'!N4182,'Retirement Calculator'!A:A,0),0),0)</f>
        <v>0</v>
      </c>
      <c r="K4182" s="444">
        <f t="shared" ca="1" si="181"/>
        <v>2393206423.6778855</v>
      </c>
      <c r="L4182" s="444">
        <f t="shared" ca="1" si="182"/>
        <v>576762748106.37036</v>
      </c>
      <c r="M4182" s="460">
        <f t="shared" si="184"/>
        <v>0.05</v>
      </c>
      <c r="N4182" s="464">
        <f t="shared" si="185"/>
        <v>178331</v>
      </c>
    </row>
    <row r="4183" spans="7:14" ht="11.25" customHeight="1" x14ac:dyDescent="0.3">
      <c r="G4183" s="459"/>
      <c r="H4183" s="459">
        <v>4176</v>
      </c>
      <c r="I4183" s="444">
        <f t="shared" ca="1" si="183"/>
        <v>576762748106.37036</v>
      </c>
      <c r="J4183" s="444">
        <f t="array" ref="J4183">IFERROR(INDEX('Retirement Calculator'!J:J,MATCH('Isaac 401k'!N4183,'Retirement Calculator'!A:A,0),0),0)</f>
        <v>0</v>
      </c>
      <c r="K4183" s="444">
        <f t="shared" ca="1" si="181"/>
        <v>2403178117.1098766</v>
      </c>
      <c r="L4183" s="444">
        <f t="shared" ca="1" si="182"/>
        <v>579165926223.48022</v>
      </c>
      <c r="M4183" s="460">
        <f t="shared" si="184"/>
        <v>0.05</v>
      </c>
      <c r="N4183" s="464">
        <f t="shared" si="185"/>
        <v>178361</v>
      </c>
    </row>
    <row r="4184" spans="7:14" ht="11.25" customHeight="1" x14ac:dyDescent="0.3">
      <c r="G4184" s="459"/>
      <c r="H4184" s="459">
        <v>4177</v>
      </c>
      <c r="I4184" s="444">
        <f t="shared" ca="1" si="183"/>
        <v>579165926223.48022</v>
      </c>
      <c r="J4184" s="444">
        <f t="array" ref="J4184">IFERROR(INDEX('Retirement Calculator'!J:J,MATCH('Isaac 401k'!N4184,'Retirement Calculator'!A:A,0),0),0)</f>
        <v>0</v>
      </c>
      <c r="K4184" s="444">
        <f t="shared" ca="1" si="181"/>
        <v>2413191359.2645011</v>
      </c>
      <c r="L4184" s="444">
        <f t="shared" ca="1" si="182"/>
        <v>581579117582.74475</v>
      </c>
      <c r="M4184" s="460">
        <f t="shared" si="184"/>
        <v>0.05</v>
      </c>
      <c r="N4184" s="464">
        <f t="shared" si="185"/>
        <v>178392</v>
      </c>
    </row>
    <row r="4185" spans="7:14" ht="11.25" customHeight="1" x14ac:dyDescent="0.3">
      <c r="G4185" s="459"/>
      <c r="H4185" s="459">
        <v>4178</v>
      </c>
      <c r="I4185" s="444">
        <f t="shared" ca="1" si="183"/>
        <v>581579117582.74475</v>
      </c>
      <c r="J4185" s="444">
        <f t="array" ref="J4185">IFERROR(INDEX('Retirement Calculator'!J:J,MATCH('Isaac 401k'!N4185,'Retirement Calculator'!A:A,0),0),0)</f>
        <v>0</v>
      </c>
      <c r="K4185" s="444">
        <f t="shared" ca="1" si="181"/>
        <v>2423246323.2614365</v>
      </c>
      <c r="L4185" s="444">
        <f t="shared" ca="1" si="182"/>
        <v>584002363906.00623</v>
      </c>
      <c r="M4185" s="460">
        <f t="shared" si="184"/>
        <v>0.05</v>
      </c>
      <c r="N4185" s="464">
        <f t="shared" si="185"/>
        <v>178422</v>
      </c>
    </row>
    <row r="4186" spans="7:14" ht="11.25" customHeight="1" x14ac:dyDescent="0.3">
      <c r="G4186" s="459"/>
      <c r="H4186" s="459">
        <v>4179</v>
      </c>
      <c r="I4186" s="444">
        <f t="shared" ca="1" si="183"/>
        <v>584002363906.00623</v>
      </c>
      <c r="J4186" s="444">
        <f t="array" ref="J4186">IFERROR(INDEX('Retirement Calculator'!J:J,MATCH('Isaac 401k'!N4186,'Retirement Calculator'!A:A,0),0),0)</f>
        <v>0</v>
      </c>
      <c r="K4186" s="444">
        <f t="shared" ca="1" si="181"/>
        <v>2433343182.9416924</v>
      </c>
      <c r="L4186" s="444">
        <f t="shared" ca="1" si="182"/>
        <v>586435707088.94788</v>
      </c>
      <c r="M4186" s="460">
        <f t="shared" si="184"/>
        <v>0.05</v>
      </c>
      <c r="N4186" s="464">
        <f t="shared" si="185"/>
        <v>178453</v>
      </c>
    </row>
    <row r="4187" spans="7:14" ht="11.25" customHeight="1" x14ac:dyDescent="0.3">
      <c r="G4187" s="459"/>
      <c r="H4187" s="459">
        <v>4180</v>
      </c>
      <c r="I4187" s="444">
        <f t="shared" ca="1" si="183"/>
        <v>586435707088.94788</v>
      </c>
      <c r="J4187" s="444">
        <f t="array" ref="J4187">IFERROR(INDEX('Retirement Calculator'!J:J,MATCH('Isaac 401k'!N4187,'Retirement Calculator'!A:A,0),0),0)</f>
        <v>0</v>
      </c>
      <c r="K4187" s="444">
        <f t="shared" ca="1" si="181"/>
        <v>2443482112.870616</v>
      </c>
      <c r="L4187" s="444">
        <f t="shared" ca="1" si="182"/>
        <v>588879189201.81848</v>
      </c>
      <c r="M4187" s="460">
        <f t="shared" si="184"/>
        <v>0.05</v>
      </c>
      <c r="N4187" s="464">
        <f t="shared" si="185"/>
        <v>178484</v>
      </c>
    </row>
    <row r="4188" spans="7:14" ht="11.25" customHeight="1" x14ac:dyDescent="0.3">
      <c r="G4188" s="459"/>
      <c r="H4188" s="459">
        <v>4181</v>
      </c>
      <c r="I4188" s="444">
        <f t="shared" ca="1" si="183"/>
        <v>588879189201.81848</v>
      </c>
      <c r="J4188" s="444">
        <f t="array" ref="J4188">IFERROR(INDEX('Retirement Calculator'!J:J,MATCH('Isaac 401k'!N4188,'Retirement Calculator'!A:A,0),0),0)</f>
        <v>0</v>
      </c>
      <c r="K4188" s="444">
        <f t="shared" ca="1" si="181"/>
        <v>2453663288.3409104</v>
      </c>
      <c r="L4188" s="444">
        <f t="shared" ca="1" si="182"/>
        <v>591332852490.15942</v>
      </c>
      <c r="M4188" s="460">
        <f t="shared" si="184"/>
        <v>0.05</v>
      </c>
      <c r="N4188" s="464">
        <f t="shared" si="185"/>
        <v>178514</v>
      </c>
    </row>
    <row r="4189" spans="7:14" ht="11.25" customHeight="1" x14ac:dyDescent="0.3">
      <c r="G4189" s="459"/>
      <c r="H4189" s="459">
        <v>4182</v>
      </c>
      <c r="I4189" s="444">
        <f t="shared" ca="1" si="183"/>
        <v>591332852490.15942</v>
      </c>
      <c r="J4189" s="444">
        <f t="array" ref="J4189">IFERROR(INDEX('Retirement Calculator'!J:J,MATCH('Isaac 401k'!N4189,'Retirement Calculator'!A:A,0),0),0)</f>
        <v>0</v>
      </c>
      <c r="K4189" s="444">
        <f t="shared" ca="1" si="181"/>
        <v>2463886885.3756642</v>
      </c>
      <c r="L4189" s="444">
        <f t="shared" ca="1" si="182"/>
        <v>593796739375.53503</v>
      </c>
      <c r="M4189" s="460">
        <f t="shared" si="184"/>
        <v>0.05</v>
      </c>
      <c r="N4189" s="464">
        <f t="shared" si="185"/>
        <v>178545</v>
      </c>
    </row>
    <row r="4190" spans="7:14" ht="11.25" customHeight="1" x14ac:dyDescent="0.3">
      <c r="G4190" s="459"/>
      <c r="H4190" s="459">
        <v>4183</v>
      </c>
      <c r="I4190" s="444">
        <f t="shared" ca="1" si="183"/>
        <v>593796739375.53503</v>
      </c>
      <c r="J4190" s="444">
        <f t="array" ref="J4190">IFERROR(INDEX('Retirement Calculator'!J:J,MATCH('Isaac 401k'!N4190,'Retirement Calculator'!A:A,0),0),0)</f>
        <v>0</v>
      </c>
      <c r="K4190" s="444">
        <f t="shared" ca="1" si="181"/>
        <v>2474153080.7313957</v>
      </c>
      <c r="L4190" s="444">
        <f t="shared" ca="1" si="182"/>
        <v>596270892456.26648</v>
      </c>
      <c r="M4190" s="460">
        <f t="shared" si="184"/>
        <v>0.05</v>
      </c>
      <c r="N4190" s="464">
        <f t="shared" si="185"/>
        <v>178575</v>
      </c>
    </row>
    <row r="4191" spans="7:14" ht="11.25" customHeight="1" x14ac:dyDescent="0.3">
      <c r="G4191" s="459"/>
      <c r="H4191" s="459">
        <v>4184</v>
      </c>
      <c r="I4191" s="444">
        <f t="shared" ca="1" si="183"/>
        <v>596270892456.26648</v>
      </c>
      <c r="J4191" s="444">
        <f t="array" ref="J4191">IFERROR(INDEX('Retirement Calculator'!J:J,MATCH('Isaac 401k'!N4191,'Retirement Calculator'!A:A,0),0),0)</f>
        <v>0</v>
      </c>
      <c r="K4191" s="444">
        <f t="shared" ca="1" si="181"/>
        <v>2484462051.9011102</v>
      </c>
      <c r="L4191" s="444">
        <f t="shared" ca="1" si="182"/>
        <v>598755354508.1676</v>
      </c>
      <c r="M4191" s="460">
        <f t="shared" si="184"/>
        <v>0.05</v>
      </c>
      <c r="N4191" s="464">
        <f t="shared" si="185"/>
        <v>178606</v>
      </c>
    </row>
    <row r="4192" spans="7:14" ht="11.25" customHeight="1" x14ac:dyDescent="0.3">
      <c r="G4192" s="459"/>
      <c r="H4192" s="459">
        <v>4185</v>
      </c>
      <c r="I4192" s="444">
        <f t="shared" ca="1" si="183"/>
        <v>598755354508.1676</v>
      </c>
      <c r="J4192" s="444">
        <f t="array" ref="J4192">IFERROR(INDEX('Retirement Calculator'!J:J,MATCH('Isaac 401k'!N4192,'Retirement Calculator'!A:A,0),0),0)</f>
        <v>0</v>
      </c>
      <c r="K4192" s="444">
        <f t="shared" ca="1" si="181"/>
        <v>2494813977.1173649</v>
      </c>
      <c r="L4192" s="444">
        <f t="shared" ca="1" si="182"/>
        <v>601250168485.28491</v>
      </c>
      <c r="M4192" s="460">
        <f t="shared" si="184"/>
        <v>0.05</v>
      </c>
      <c r="N4192" s="464">
        <f t="shared" si="185"/>
        <v>178637</v>
      </c>
    </row>
    <row r="4193" spans="7:14" ht="11.25" customHeight="1" x14ac:dyDescent="0.3">
      <c r="G4193" s="459"/>
      <c r="H4193" s="459">
        <v>4186</v>
      </c>
      <c r="I4193" s="444">
        <f t="shared" ca="1" si="183"/>
        <v>601250168485.28491</v>
      </c>
      <c r="J4193" s="444">
        <f t="array" ref="J4193">IFERROR(INDEX('Retirement Calculator'!J:J,MATCH('Isaac 401k'!N4193,'Retirement Calculator'!A:A,0),0),0)</f>
        <v>0</v>
      </c>
      <c r="K4193" s="444">
        <f t="shared" ca="1" si="181"/>
        <v>2505209035.3553538</v>
      </c>
      <c r="L4193" s="444">
        <f t="shared" ca="1" si="182"/>
        <v>603755377520.64026</v>
      </c>
      <c r="M4193" s="460">
        <f t="shared" si="184"/>
        <v>0.05</v>
      </c>
      <c r="N4193" s="464">
        <f t="shared" si="185"/>
        <v>178665</v>
      </c>
    </row>
    <row r="4194" spans="7:14" ht="11.25" customHeight="1" x14ac:dyDescent="0.3">
      <c r="G4194" s="459"/>
      <c r="H4194" s="459">
        <v>4187</v>
      </c>
      <c r="I4194" s="444">
        <f t="shared" ca="1" si="183"/>
        <v>603755377520.64026</v>
      </c>
      <c r="J4194" s="444">
        <f t="array" ref="J4194">IFERROR(INDEX('Retirement Calculator'!J:J,MATCH('Isaac 401k'!N4194,'Retirement Calculator'!A:A,0),0),0)</f>
        <v>0</v>
      </c>
      <c r="K4194" s="444">
        <f t="shared" ca="1" si="181"/>
        <v>2515647406.3360009</v>
      </c>
      <c r="L4194" s="444">
        <f t="shared" ca="1" si="182"/>
        <v>606271024926.97632</v>
      </c>
      <c r="M4194" s="460">
        <f t="shared" si="184"/>
        <v>0.05</v>
      </c>
      <c r="N4194" s="464">
        <f t="shared" si="185"/>
        <v>178696</v>
      </c>
    </row>
    <row r="4195" spans="7:14" ht="11.25" customHeight="1" x14ac:dyDescent="0.3">
      <c r="G4195" s="459"/>
      <c r="H4195" s="459">
        <v>4188</v>
      </c>
      <c r="I4195" s="444">
        <f t="shared" ca="1" si="183"/>
        <v>606271024926.97632</v>
      </c>
      <c r="J4195" s="444">
        <f t="array" ref="J4195">IFERROR(INDEX('Retirement Calculator'!J:J,MATCH('Isaac 401k'!N4195,'Retirement Calculator'!A:A,0),0),0)</f>
        <v>0</v>
      </c>
      <c r="K4195" s="444">
        <f t="shared" ca="1" si="181"/>
        <v>2526129270.529068</v>
      </c>
      <c r="L4195" s="444">
        <f t="shared" ca="1" si="182"/>
        <v>608797154197.50537</v>
      </c>
      <c r="M4195" s="460">
        <f t="shared" si="184"/>
        <v>0.05</v>
      </c>
      <c r="N4195" s="464">
        <f t="shared" si="185"/>
        <v>178726</v>
      </c>
    </row>
    <row r="4196" spans="7:14" ht="11.25" customHeight="1" x14ac:dyDescent="0.3">
      <c r="G4196" s="459"/>
      <c r="H4196" s="459">
        <v>4189</v>
      </c>
      <c r="I4196" s="444">
        <f t="shared" ca="1" si="183"/>
        <v>608797154197.50537</v>
      </c>
      <c r="J4196" s="444">
        <f t="array" ref="J4196">IFERROR(INDEX('Retirement Calculator'!J:J,MATCH('Isaac 401k'!N4196,'Retirement Calculator'!A:A,0),0),0)</f>
        <v>0</v>
      </c>
      <c r="K4196" s="444">
        <f t="shared" ca="1" si="181"/>
        <v>2536654809.1562724</v>
      </c>
      <c r="L4196" s="444">
        <f t="shared" ca="1" si="182"/>
        <v>611333809006.66162</v>
      </c>
      <c r="M4196" s="460">
        <f t="shared" si="184"/>
        <v>0.05</v>
      </c>
      <c r="N4196" s="464">
        <f t="shared" si="185"/>
        <v>178757</v>
      </c>
    </row>
    <row r="4197" spans="7:14" ht="11.25" customHeight="1" x14ac:dyDescent="0.3">
      <c r="G4197" s="459"/>
      <c r="H4197" s="459">
        <v>4190</v>
      </c>
      <c r="I4197" s="444">
        <f t="shared" ca="1" si="183"/>
        <v>611333809006.66162</v>
      </c>
      <c r="J4197" s="444">
        <f t="array" ref="J4197">IFERROR(INDEX('Retirement Calculator'!J:J,MATCH('Isaac 401k'!N4197,'Retirement Calculator'!A:A,0),0),0)</f>
        <v>0</v>
      </c>
      <c r="K4197" s="444">
        <f t="shared" ca="1" si="181"/>
        <v>2547224204.1944232</v>
      </c>
      <c r="L4197" s="444">
        <f t="shared" ca="1" si="182"/>
        <v>613881033210.85608</v>
      </c>
      <c r="M4197" s="460">
        <f t="shared" si="184"/>
        <v>0.05</v>
      </c>
      <c r="N4197" s="464">
        <f t="shared" si="185"/>
        <v>178787</v>
      </c>
    </row>
    <row r="4198" spans="7:14" ht="11.25" customHeight="1" x14ac:dyDescent="0.3">
      <c r="G4198" s="459"/>
      <c r="H4198" s="459">
        <v>4191</v>
      </c>
      <c r="I4198" s="444">
        <f t="shared" ca="1" si="183"/>
        <v>613881033210.85608</v>
      </c>
      <c r="J4198" s="444">
        <f t="array" ref="J4198">IFERROR(INDEX('Retirement Calculator'!J:J,MATCH('Isaac 401k'!N4198,'Retirement Calculator'!A:A,0),0),0)</f>
        <v>0</v>
      </c>
      <c r="K4198" s="444">
        <f t="shared" ca="1" si="181"/>
        <v>2557837638.3785667</v>
      </c>
      <c r="L4198" s="444">
        <f t="shared" ca="1" si="182"/>
        <v>616438870849.23462</v>
      </c>
      <c r="M4198" s="460">
        <f t="shared" si="184"/>
        <v>0.05</v>
      </c>
      <c r="N4198" s="464">
        <f t="shared" si="185"/>
        <v>178818</v>
      </c>
    </row>
    <row r="4199" spans="7:14" ht="11.25" customHeight="1" x14ac:dyDescent="0.3">
      <c r="G4199" s="459"/>
      <c r="H4199" s="459">
        <v>4192</v>
      </c>
      <c r="I4199" s="444">
        <f t="shared" ca="1" si="183"/>
        <v>616438870849.23462</v>
      </c>
      <c r="J4199" s="444">
        <f t="array" ref="J4199">IFERROR(INDEX('Retirement Calculator'!J:J,MATCH('Isaac 401k'!N4199,'Retirement Calculator'!A:A,0),0),0)</f>
        <v>0</v>
      </c>
      <c r="K4199" s="444">
        <f t="shared" ca="1" si="181"/>
        <v>2568495295.2051444</v>
      </c>
      <c r="L4199" s="444">
        <f t="shared" ca="1" si="182"/>
        <v>619007366144.43982</v>
      </c>
      <c r="M4199" s="460">
        <f t="shared" si="184"/>
        <v>0.05</v>
      </c>
      <c r="N4199" s="464">
        <f t="shared" si="185"/>
        <v>178849</v>
      </c>
    </row>
    <row r="4200" spans="7:14" ht="11.25" customHeight="1" x14ac:dyDescent="0.3">
      <c r="G4200" s="459"/>
      <c r="H4200" s="459">
        <v>4193</v>
      </c>
      <c r="I4200" s="444">
        <f t="shared" ca="1" si="183"/>
        <v>619007366144.43982</v>
      </c>
      <c r="J4200" s="444">
        <f t="array" ref="J4200">IFERROR(INDEX('Retirement Calculator'!J:J,MATCH('Isaac 401k'!N4200,'Retirement Calculator'!A:A,0),0),0)</f>
        <v>0</v>
      </c>
      <c r="K4200" s="444">
        <f t="shared" ca="1" si="181"/>
        <v>2579197358.9351659</v>
      </c>
      <c r="L4200" s="444">
        <f t="shared" ca="1" si="182"/>
        <v>621586563503.375</v>
      </c>
      <c r="M4200" s="460">
        <f t="shared" si="184"/>
        <v>0.05</v>
      </c>
      <c r="N4200" s="464">
        <f t="shared" si="185"/>
        <v>178879</v>
      </c>
    </row>
    <row r="4201" spans="7:14" ht="11.25" customHeight="1" x14ac:dyDescent="0.3">
      <c r="G4201" s="459"/>
      <c r="H4201" s="459">
        <v>4194</v>
      </c>
      <c r="I4201" s="444">
        <f t="shared" ca="1" si="183"/>
        <v>621586563503.375</v>
      </c>
      <c r="J4201" s="444">
        <f t="array" ref="J4201">IFERROR(INDEX('Retirement Calculator'!J:J,MATCH('Isaac 401k'!N4201,'Retirement Calculator'!A:A,0),0),0)</f>
        <v>0</v>
      </c>
      <c r="K4201" s="444">
        <f t="shared" ca="1" si="181"/>
        <v>2589944014.5973959</v>
      </c>
      <c r="L4201" s="444">
        <f t="shared" ca="1" si="182"/>
        <v>624176507517.97241</v>
      </c>
      <c r="M4201" s="460">
        <f t="shared" si="184"/>
        <v>0.05</v>
      </c>
      <c r="N4201" s="464">
        <f t="shared" si="185"/>
        <v>178910</v>
      </c>
    </row>
    <row r="4202" spans="7:14" ht="11.25" customHeight="1" x14ac:dyDescent="0.3">
      <c r="G4202" s="459"/>
      <c r="H4202" s="459">
        <v>4195</v>
      </c>
      <c r="I4202" s="444">
        <f t="shared" ca="1" si="183"/>
        <v>624176507517.97241</v>
      </c>
      <c r="J4202" s="444">
        <f t="array" ref="J4202">IFERROR(INDEX('Retirement Calculator'!J:J,MATCH('Isaac 401k'!N4202,'Retirement Calculator'!A:A,0),0),0)</f>
        <v>0</v>
      </c>
      <c r="K4202" s="444">
        <f t="shared" ca="1" si="181"/>
        <v>2600735447.9915519</v>
      </c>
      <c r="L4202" s="444">
        <f t="shared" ca="1" si="182"/>
        <v>626777242965.96399</v>
      </c>
      <c r="M4202" s="460">
        <f t="shared" si="184"/>
        <v>0.05</v>
      </c>
      <c r="N4202" s="464">
        <f t="shared" si="185"/>
        <v>178940</v>
      </c>
    </row>
    <row r="4203" spans="7:14" ht="11.25" customHeight="1" x14ac:dyDescent="0.3">
      <c r="G4203" s="459"/>
      <c r="H4203" s="459">
        <v>4196</v>
      </c>
      <c r="I4203" s="444">
        <f t="shared" ca="1" si="183"/>
        <v>626777242965.96399</v>
      </c>
      <c r="J4203" s="444">
        <f t="array" ref="J4203">IFERROR(INDEX('Retirement Calculator'!J:J,MATCH('Isaac 401k'!N4203,'Retirement Calculator'!A:A,0),0),0)</f>
        <v>0</v>
      </c>
      <c r="K4203" s="444">
        <f t="shared" ca="1" si="181"/>
        <v>2611571845.6915164</v>
      </c>
      <c r="L4203" s="444">
        <f t="shared" ca="1" si="182"/>
        <v>629388814811.65552</v>
      </c>
      <c r="M4203" s="460">
        <f t="shared" si="184"/>
        <v>0.05</v>
      </c>
      <c r="N4203" s="464">
        <f t="shared" si="185"/>
        <v>178971</v>
      </c>
    </row>
    <row r="4204" spans="7:14" ht="11.25" customHeight="1" x14ac:dyDescent="0.3">
      <c r="G4204" s="459"/>
      <c r="H4204" s="459">
        <v>4197</v>
      </c>
      <c r="I4204" s="444">
        <f t="shared" ca="1" si="183"/>
        <v>629388814811.65552</v>
      </c>
      <c r="J4204" s="444">
        <f t="array" ref="J4204">IFERROR(INDEX('Retirement Calculator'!J:J,MATCH('Isaac 401k'!N4204,'Retirement Calculator'!A:A,0),0),0)</f>
        <v>0</v>
      </c>
      <c r="K4204" s="444">
        <f t="shared" ca="1" si="181"/>
        <v>2622453395.0485644</v>
      </c>
      <c r="L4204" s="444">
        <f t="shared" ca="1" si="182"/>
        <v>632011268206.7041</v>
      </c>
      <c r="M4204" s="460">
        <f t="shared" si="184"/>
        <v>0.05</v>
      </c>
      <c r="N4204" s="464">
        <f t="shared" si="185"/>
        <v>179002</v>
      </c>
    </row>
    <row r="4205" spans="7:14" ht="11.25" customHeight="1" x14ac:dyDescent="0.3">
      <c r="G4205" s="459"/>
      <c r="H4205" s="459">
        <v>4198</v>
      </c>
      <c r="I4205" s="444">
        <f t="shared" ca="1" si="183"/>
        <v>632011268206.7041</v>
      </c>
      <c r="J4205" s="444">
        <f t="array" ref="J4205">IFERROR(INDEX('Retirement Calculator'!J:J,MATCH('Isaac 401k'!N4205,'Retirement Calculator'!A:A,0),0),0)</f>
        <v>0</v>
      </c>
      <c r="K4205" s="444">
        <f t="shared" ca="1" si="181"/>
        <v>2633380284.1946006</v>
      </c>
      <c r="L4205" s="444">
        <f t="shared" ca="1" si="182"/>
        <v>634644648490.89868</v>
      </c>
      <c r="M4205" s="460">
        <f t="shared" si="184"/>
        <v>0.05</v>
      </c>
      <c r="N4205" s="464">
        <f t="shared" si="185"/>
        <v>179030</v>
      </c>
    </row>
    <row r="4206" spans="7:14" ht="11.25" customHeight="1" x14ac:dyDescent="0.3">
      <c r="G4206" s="459"/>
      <c r="H4206" s="459">
        <v>4199</v>
      </c>
      <c r="I4206" s="444">
        <f t="shared" ca="1" si="183"/>
        <v>634644648490.89868</v>
      </c>
      <c r="J4206" s="444">
        <f t="array" ref="J4206">IFERROR(INDEX('Retirement Calculator'!J:J,MATCH('Isaac 401k'!N4206,'Retirement Calculator'!A:A,0),0),0)</f>
        <v>0</v>
      </c>
      <c r="K4206" s="444">
        <f t="shared" ca="1" si="181"/>
        <v>2644352702.0454111</v>
      </c>
      <c r="L4206" s="444">
        <f t="shared" ca="1" si="182"/>
        <v>637289001192.94409</v>
      </c>
      <c r="M4206" s="460">
        <f t="shared" si="184"/>
        <v>0.05</v>
      </c>
      <c r="N4206" s="464">
        <f t="shared" si="185"/>
        <v>179061</v>
      </c>
    </row>
    <row r="4207" spans="7:14" ht="11.25" customHeight="1" x14ac:dyDescent="0.3">
      <c r="G4207" s="459"/>
      <c r="H4207" s="459">
        <v>4200</v>
      </c>
      <c r="I4207" s="444">
        <f t="shared" ca="1" si="183"/>
        <v>637289001192.94409</v>
      </c>
      <c r="J4207" s="444">
        <f t="array" ref="J4207">IFERROR(INDEX('Retirement Calculator'!J:J,MATCH('Isaac 401k'!N4207,'Retirement Calculator'!A:A,0),0),0)</f>
        <v>0</v>
      </c>
      <c r="K4207" s="444">
        <f t="shared" ca="1" si="181"/>
        <v>2655370838.3039336</v>
      </c>
      <c r="L4207" s="444">
        <f t="shared" ca="1" si="182"/>
        <v>639944372031.24805</v>
      </c>
      <c r="M4207" s="460">
        <f t="shared" si="184"/>
        <v>0.05</v>
      </c>
      <c r="N4207" s="464">
        <f t="shared" si="185"/>
        <v>179091</v>
      </c>
    </row>
    <row r="4208" spans="7:14" ht="11.25" customHeight="1" x14ac:dyDescent="0.3">
      <c r="G4208" s="459"/>
      <c r="H4208" s="459">
        <v>4201</v>
      </c>
      <c r="I4208" s="444">
        <f t="shared" ca="1" si="183"/>
        <v>639944372031.24805</v>
      </c>
      <c r="J4208" s="444">
        <f t="array" ref="J4208">IFERROR(INDEX('Retirement Calculator'!J:J,MATCH('Isaac 401k'!N4208,'Retirement Calculator'!A:A,0),0),0)</f>
        <v>0</v>
      </c>
      <c r="K4208" s="444">
        <f t="shared" ca="1" si="181"/>
        <v>2666434883.4635334</v>
      </c>
      <c r="L4208" s="444">
        <f t="shared" ca="1" si="182"/>
        <v>642610806914.71155</v>
      </c>
      <c r="M4208" s="460">
        <f t="shared" si="184"/>
        <v>0.05</v>
      </c>
      <c r="N4208" s="464">
        <f t="shared" si="185"/>
        <v>179122</v>
      </c>
    </row>
    <row r="4209" spans="7:14" ht="11.25" customHeight="1" x14ac:dyDescent="0.3">
      <c r="G4209" s="459"/>
      <c r="H4209" s="459">
        <v>4202</v>
      </c>
      <c r="I4209" s="444">
        <f t="shared" ca="1" si="183"/>
        <v>642610806914.71155</v>
      </c>
      <c r="J4209" s="444">
        <f t="array" ref="J4209">IFERROR(INDEX('Retirement Calculator'!J:J,MATCH('Isaac 401k'!N4209,'Retirement Calculator'!A:A,0),0),0)</f>
        <v>0</v>
      </c>
      <c r="K4209" s="444">
        <f t="shared" ca="1" si="181"/>
        <v>2677545028.8112979</v>
      </c>
      <c r="L4209" s="444">
        <f t="shared" ca="1" si="182"/>
        <v>645288351943.52283</v>
      </c>
      <c r="M4209" s="460">
        <f t="shared" si="184"/>
        <v>0.05</v>
      </c>
      <c r="N4209" s="464">
        <f t="shared" si="185"/>
        <v>179152</v>
      </c>
    </row>
    <row r="4210" spans="7:14" ht="11.25" customHeight="1" x14ac:dyDescent="0.3">
      <c r="G4210" s="459"/>
      <c r="H4210" s="459">
        <v>4203</v>
      </c>
      <c r="I4210" s="444">
        <f t="shared" ca="1" si="183"/>
        <v>645288351943.52283</v>
      </c>
      <c r="J4210" s="444">
        <f t="array" ref="J4210">IFERROR(INDEX('Retirement Calculator'!J:J,MATCH('Isaac 401k'!N4210,'Retirement Calculator'!A:A,0),0),0)</f>
        <v>0</v>
      </c>
      <c r="K4210" s="444">
        <f t="shared" ca="1" si="181"/>
        <v>2688701466.431345</v>
      </c>
      <c r="L4210" s="444">
        <f t="shared" ca="1" si="182"/>
        <v>647977053409.95422</v>
      </c>
      <c r="M4210" s="460">
        <f t="shared" si="184"/>
        <v>0.05</v>
      </c>
      <c r="N4210" s="464">
        <f t="shared" si="185"/>
        <v>179183</v>
      </c>
    </row>
    <row r="4211" spans="7:14" ht="11.25" customHeight="1" x14ac:dyDescent="0.3">
      <c r="G4211" s="459"/>
      <c r="H4211" s="459">
        <v>4204</v>
      </c>
      <c r="I4211" s="444">
        <f t="shared" ca="1" si="183"/>
        <v>647977053409.95422</v>
      </c>
      <c r="J4211" s="444">
        <f t="array" ref="J4211">IFERROR(INDEX('Retirement Calculator'!J:J,MATCH('Isaac 401k'!N4211,'Retirement Calculator'!A:A,0),0),0)</f>
        <v>0</v>
      </c>
      <c r="K4211" s="444">
        <f t="shared" ca="1" si="181"/>
        <v>2699904389.2081428</v>
      </c>
      <c r="L4211" s="444">
        <f t="shared" ca="1" si="182"/>
        <v>650676957799.16235</v>
      </c>
      <c r="M4211" s="460">
        <f t="shared" si="184"/>
        <v>0.05</v>
      </c>
      <c r="N4211" s="464">
        <f t="shared" si="185"/>
        <v>179214</v>
      </c>
    </row>
    <row r="4212" spans="7:14" ht="11.25" customHeight="1" x14ac:dyDescent="0.3">
      <c r="G4212" s="459"/>
      <c r="H4212" s="459">
        <v>4205</v>
      </c>
      <c r="I4212" s="444">
        <f t="shared" ca="1" si="183"/>
        <v>650676957799.16235</v>
      </c>
      <c r="J4212" s="444">
        <f t="array" ref="J4212">IFERROR(INDEX('Retirement Calculator'!J:J,MATCH('Isaac 401k'!N4212,'Retirement Calculator'!A:A,0),0),0)</f>
        <v>0</v>
      </c>
      <c r="K4212" s="444">
        <f t="shared" ca="1" si="181"/>
        <v>2711153990.829843</v>
      </c>
      <c r="L4212" s="444">
        <f t="shared" ca="1" si="182"/>
        <v>653388111789.99219</v>
      </c>
      <c r="M4212" s="460">
        <f t="shared" si="184"/>
        <v>0.05</v>
      </c>
      <c r="N4212" s="464">
        <f t="shared" si="185"/>
        <v>179244</v>
      </c>
    </row>
    <row r="4213" spans="7:14" ht="11.25" customHeight="1" x14ac:dyDescent="0.3">
      <c r="G4213" s="459"/>
      <c r="H4213" s="459">
        <v>4206</v>
      </c>
      <c r="I4213" s="444">
        <f t="shared" ca="1" si="183"/>
        <v>653388111789.99219</v>
      </c>
      <c r="J4213" s="444">
        <f t="array" ref="J4213">IFERROR(INDEX('Retirement Calculator'!J:J,MATCH('Isaac 401k'!N4213,'Retirement Calculator'!A:A,0),0),0)</f>
        <v>0</v>
      </c>
      <c r="K4213" s="444">
        <f t="shared" ca="1" si="181"/>
        <v>2722450465.7916341</v>
      </c>
      <c r="L4213" s="444">
        <f t="shared" ca="1" si="182"/>
        <v>656110562255.78381</v>
      </c>
      <c r="M4213" s="460">
        <f t="shared" si="184"/>
        <v>0.05</v>
      </c>
      <c r="N4213" s="464">
        <f t="shared" si="185"/>
        <v>179275</v>
      </c>
    </row>
    <row r="4214" spans="7:14" ht="11.25" customHeight="1" x14ac:dyDescent="0.3">
      <c r="G4214" s="459"/>
      <c r="H4214" s="459">
        <v>4207</v>
      </c>
      <c r="I4214" s="444">
        <f t="shared" ca="1" si="183"/>
        <v>656110562255.78381</v>
      </c>
      <c r="J4214" s="444">
        <f t="array" ref="J4214">IFERROR(INDEX('Retirement Calculator'!J:J,MATCH('Isaac 401k'!N4214,'Retirement Calculator'!A:A,0),0),0)</f>
        <v>0</v>
      </c>
      <c r="K4214" s="444">
        <f t="shared" ca="1" si="181"/>
        <v>2733794009.3990993</v>
      </c>
      <c r="L4214" s="444">
        <f t="shared" ca="1" si="182"/>
        <v>658844356265.18286</v>
      </c>
      <c r="M4214" s="460">
        <f t="shared" si="184"/>
        <v>0.05</v>
      </c>
      <c r="N4214" s="464">
        <f t="shared" si="185"/>
        <v>179305</v>
      </c>
    </row>
    <row r="4215" spans="7:14" ht="11.25" customHeight="1" x14ac:dyDescent="0.3">
      <c r="G4215" s="459"/>
      <c r="H4215" s="459">
        <v>4208</v>
      </c>
      <c r="I4215" s="444">
        <f t="shared" ca="1" si="183"/>
        <v>658844356265.18286</v>
      </c>
      <c r="J4215" s="444">
        <f t="array" ref="J4215">IFERROR(INDEX('Retirement Calculator'!J:J,MATCH('Isaac 401k'!N4215,'Retirement Calculator'!A:A,0),0),0)</f>
        <v>0</v>
      </c>
      <c r="K4215" s="444">
        <f t="shared" ca="1" si="181"/>
        <v>2745184817.771595</v>
      </c>
      <c r="L4215" s="444">
        <f t="shared" ca="1" si="182"/>
        <v>661589541082.95447</v>
      </c>
      <c r="M4215" s="460">
        <f t="shared" si="184"/>
        <v>0.05</v>
      </c>
      <c r="N4215" s="464">
        <f t="shared" si="185"/>
        <v>179336</v>
      </c>
    </row>
    <row r="4216" spans="7:14" ht="11.25" customHeight="1" x14ac:dyDescent="0.3">
      <c r="G4216" s="459"/>
      <c r="H4216" s="459">
        <v>4209</v>
      </c>
      <c r="I4216" s="444">
        <f t="shared" ca="1" si="183"/>
        <v>661589541082.95447</v>
      </c>
      <c r="J4216" s="444">
        <f t="array" ref="J4216">IFERROR(INDEX('Retirement Calculator'!J:J,MATCH('Isaac 401k'!N4216,'Retirement Calculator'!A:A,0),0),0)</f>
        <v>0</v>
      </c>
      <c r="K4216" s="444">
        <f t="shared" ca="1" si="181"/>
        <v>2756623087.8456435</v>
      </c>
      <c r="L4216" s="444">
        <f t="shared" ca="1" si="182"/>
        <v>664346164170.80017</v>
      </c>
      <c r="M4216" s="460">
        <f t="shared" si="184"/>
        <v>0.05</v>
      </c>
      <c r="N4216" s="464">
        <f t="shared" si="185"/>
        <v>179367</v>
      </c>
    </row>
    <row r="4217" spans="7:14" ht="11.25" customHeight="1" x14ac:dyDescent="0.3">
      <c r="G4217" s="459"/>
      <c r="H4217" s="459">
        <v>4210</v>
      </c>
      <c r="I4217" s="444">
        <f t="shared" ca="1" si="183"/>
        <v>664346164170.80017</v>
      </c>
      <c r="J4217" s="444">
        <f t="array" ref="J4217">IFERROR(INDEX('Retirement Calculator'!J:J,MATCH('Isaac 401k'!N4217,'Retirement Calculator'!A:A,0),0),0)</f>
        <v>0</v>
      </c>
      <c r="K4217" s="444">
        <f t="shared" ca="1" si="181"/>
        <v>2768109017.378334</v>
      </c>
      <c r="L4217" s="444">
        <f t="shared" ca="1" si="182"/>
        <v>667114273188.17847</v>
      </c>
      <c r="M4217" s="460">
        <f t="shared" si="184"/>
        <v>0.05</v>
      </c>
      <c r="N4217" s="464">
        <f t="shared" si="185"/>
        <v>179395</v>
      </c>
    </row>
    <row r="4218" spans="7:14" ht="11.25" customHeight="1" x14ac:dyDescent="0.3">
      <c r="G4218" s="459"/>
      <c r="H4218" s="459">
        <v>4211</v>
      </c>
      <c r="I4218" s="444">
        <f t="shared" ca="1" si="183"/>
        <v>667114273188.17847</v>
      </c>
      <c r="J4218" s="444">
        <f t="array" ref="J4218">IFERROR(INDEX('Retirement Calculator'!J:J,MATCH('Isaac 401k'!N4218,'Retirement Calculator'!A:A,0),0),0)</f>
        <v>0</v>
      </c>
      <c r="K4218" s="444">
        <f t="shared" ca="1" si="181"/>
        <v>2779642804.9507437</v>
      </c>
      <c r="L4218" s="444">
        <f t="shared" ca="1" si="182"/>
        <v>669893915993.12915</v>
      </c>
      <c r="M4218" s="460">
        <f t="shared" si="184"/>
        <v>0.05</v>
      </c>
      <c r="N4218" s="464">
        <f t="shared" si="185"/>
        <v>179426</v>
      </c>
    </row>
    <row r="4219" spans="7:14" ht="11.25" customHeight="1" x14ac:dyDescent="0.3">
      <c r="G4219" s="459"/>
      <c r="H4219" s="459">
        <v>4212</v>
      </c>
      <c r="I4219" s="444">
        <f t="shared" ca="1" si="183"/>
        <v>669893915993.12915</v>
      </c>
      <c r="J4219" s="444">
        <f t="array" ref="J4219">IFERROR(INDEX('Retirement Calculator'!J:J,MATCH('Isaac 401k'!N4219,'Retirement Calculator'!A:A,0),0),0)</f>
        <v>0</v>
      </c>
      <c r="K4219" s="444">
        <f t="shared" ca="1" si="181"/>
        <v>2791224649.9713717</v>
      </c>
      <c r="L4219" s="444">
        <f t="shared" ca="1" si="182"/>
        <v>672685140643.10046</v>
      </c>
      <c r="M4219" s="460">
        <f t="shared" si="184"/>
        <v>0.05</v>
      </c>
      <c r="N4219" s="464">
        <f t="shared" si="185"/>
        <v>179456</v>
      </c>
    </row>
    <row r="4220" spans="7:14" ht="11.25" customHeight="1" x14ac:dyDescent="0.3">
      <c r="G4220" s="459"/>
      <c r="H4220" s="459">
        <v>4213</v>
      </c>
      <c r="I4220" s="444">
        <f t="shared" ca="1" si="183"/>
        <v>672685140643.10046</v>
      </c>
      <c r="J4220" s="444">
        <f t="array" ref="J4220">IFERROR(INDEX('Retirement Calculator'!J:J,MATCH('Isaac 401k'!N4220,'Retirement Calculator'!A:A,0),0),0)</f>
        <v>0</v>
      </c>
      <c r="K4220" s="444">
        <f t="shared" ca="1" si="181"/>
        <v>2802854752.6795855</v>
      </c>
      <c r="L4220" s="444">
        <f t="shared" ca="1" si="182"/>
        <v>675487995395.78003</v>
      </c>
      <c r="M4220" s="460">
        <f t="shared" si="184"/>
        <v>0.05</v>
      </c>
      <c r="N4220" s="464">
        <f t="shared" si="185"/>
        <v>179487</v>
      </c>
    </row>
    <row r="4221" spans="7:14" ht="11.25" customHeight="1" x14ac:dyDescent="0.3">
      <c r="G4221" s="459"/>
      <c r="H4221" s="459">
        <v>4214</v>
      </c>
      <c r="I4221" s="444">
        <f t="shared" ca="1" si="183"/>
        <v>675487995395.78003</v>
      </c>
      <c r="J4221" s="444">
        <f t="array" ref="J4221">IFERROR(INDEX('Retirement Calculator'!J:J,MATCH('Isaac 401k'!N4221,'Retirement Calculator'!A:A,0),0),0)</f>
        <v>0</v>
      </c>
      <c r="K4221" s="444">
        <f t="shared" ca="1" si="181"/>
        <v>2814533314.1490836</v>
      </c>
      <c r="L4221" s="444">
        <f t="shared" ca="1" si="182"/>
        <v>678302528709.92908</v>
      </c>
      <c r="M4221" s="460">
        <f t="shared" si="184"/>
        <v>0.05</v>
      </c>
      <c r="N4221" s="464">
        <f t="shared" si="185"/>
        <v>179517</v>
      </c>
    </row>
    <row r="4222" spans="7:14" ht="11.25" customHeight="1" x14ac:dyDescent="0.3">
      <c r="G4222" s="459"/>
      <c r="H4222" s="459">
        <v>4215</v>
      </c>
      <c r="I4222" s="444">
        <f t="shared" ca="1" si="183"/>
        <v>678302528709.92908</v>
      </c>
      <c r="J4222" s="444">
        <f t="array" ref="J4222">IFERROR(INDEX('Retirement Calculator'!J:J,MATCH('Isaac 401k'!N4222,'Retirement Calculator'!A:A,0),0),0)</f>
        <v>0</v>
      </c>
      <c r="K4222" s="444">
        <f t="shared" ca="1" si="181"/>
        <v>2826260536.2913713</v>
      </c>
      <c r="L4222" s="444">
        <f t="shared" ca="1" si="182"/>
        <v>681128789246.22046</v>
      </c>
      <c r="M4222" s="460">
        <f t="shared" si="184"/>
        <v>0.05</v>
      </c>
      <c r="N4222" s="464">
        <f t="shared" si="185"/>
        <v>179548</v>
      </c>
    </row>
    <row r="4223" spans="7:14" ht="11.25" customHeight="1" x14ac:dyDescent="0.3">
      <c r="G4223" s="459"/>
      <c r="H4223" s="459">
        <v>4216</v>
      </c>
      <c r="I4223" s="444">
        <f t="shared" ca="1" si="183"/>
        <v>681128789246.22046</v>
      </c>
      <c r="J4223" s="444">
        <f t="array" ref="J4223">IFERROR(INDEX('Retirement Calculator'!J:J,MATCH('Isaac 401k'!N4223,'Retirement Calculator'!A:A,0),0),0)</f>
        <v>0</v>
      </c>
      <c r="K4223" s="444">
        <f t="shared" ca="1" si="181"/>
        <v>2838036621.859252</v>
      </c>
      <c r="L4223" s="444">
        <f t="shared" ca="1" si="182"/>
        <v>683966825868.07971</v>
      </c>
      <c r="M4223" s="460">
        <f t="shared" si="184"/>
        <v>0.05</v>
      </c>
      <c r="N4223" s="464">
        <f t="shared" si="185"/>
        <v>179579</v>
      </c>
    </row>
    <row r="4224" spans="7:14" ht="11.25" customHeight="1" x14ac:dyDescent="0.3">
      <c r="G4224" s="459"/>
      <c r="H4224" s="459">
        <v>4217</v>
      </c>
      <c r="I4224" s="444">
        <f t="shared" ca="1" si="183"/>
        <v>683966825868.07971</v>
      </c>
      <c r="J4224" s="444">
        <f t="array" ref="J4224">IFERROR(INDEX('Retirement Calculator'!J:J,MATCH('Isaac 401k'!N4224,'Retirement Calculator'!A:A,0),0),0)</f>
        <v>0</v>
      </c>
      <c r="K4224" s="444">
        <f t="shared" ca="1" si="181"/>
        <v>2849861774.4503322</v>
      </c>
      <c r="L4224" s="444">
        <f t="shared" ca="1" si="182"/>
        <v>686816687642.53003</v>
      </c>
      <c r="M4224" s="460">
        <f t="shared" si="184"/>
        <v>0.05</v>
      </c>
      <c r="N4224" s="464">
        <f t="shared" si="185"/>
        <v>179609</v>
      </c>
    </row>
    <row r="4225" spans="7:14" ht="11.25" customHeight="1" x14ac:dyDescent="0.3">
      <c r="G4225" s="459"/>
      <c r="H4225" s="459">
        <v>4218</v>
      </c>
      <c r="I4225" s="444">
        <f t="shared" ca="1" si="183"/>
        <v>686816687642.53003</v>
      </c>
      <c r="J4225" s="444">
        <f t="array" ref="J4225">IFERROR(INDEX('Retirement Calculator'!J:J,MATCH('Isaac 401k'!N4225,'Retirement Calculator'!A:A,0),0),0)</f>
        <v>0</v>
      </c>
      <c r="K4225" s="444">
        <f t="shared" ca="1" si="181"/>
        <v>2861736198.5105419</v>
      </c>
      <c r="L4225" s="444">
        <f t="shared" ca="1" si="182"/>
        <v>689678423841.04053</v>
      </c>
      <c r="M4225" s="460">
        <f t="shared" si="184"/>
        <v>0.05</v>
      </c>
      <c r="N4225" s="464">
        <f t="shared" si="185"/>
        <v>179640</v>
      </c>
    </row>
    <row r="4226" spans="7:14" ht="11.25" customHeight="1" x14ac:dyDescent="0.3">
      <c r="G4226" s="459"/>
      <c r="H4226" s="459">
        <v>4219</v>
      </c>
      <c r="I4226" s="444">
        <f t="shared" ca="1" si="183"/>
        <v>689678423841.04053</v>
      </c>
      <c r="J4226" s="444">
        <f t="array" ref="J4226">IFERROR(INDEX('Retirement Calculator'!J:J,MATCH('Isaac 401k'!N4226,'Retirement Calculator'!A:A,0),0),0)</f>
        <v>0</v>
      </c>
      <c r="K4226" s="444">
        <f t="shared" ca="1" si="181"/>
        <v>2873660099.3376689</v>
      </c>
      <c r="L4226" s="444">
        <f t="shared" ca="1" si="182"/>
        <v>692552083940.37817</v>
      </c>
      <c r="M4226" s="460">
        <f t="shared" si="184"/>
        <v>0.05</v>
      </c>
      <c r="N4226" s="464">
        <f t="shared" si="185"/>
        <v>179670</v>
      </c>
    </row>
    <row r="4227" spans="7:14" ht="11.25" customHeight="1" x14ac:dyDescent="0.3">
      <c r="G4227" s="459"/>
      <c r="H4227" s="459">
        <v>4220</v>
      </c>
      <c r="I4227" s="444">
        <f t="shared" ca="1" si="183"/>
        <v>692552083940.37817</v>
      </c>
      <c r="J4227" s="444">
        <f t="array" ref="J4227">IFERROR(INDEX('Retirement Calculator'!J:J,MATCH('Isaac 401k'!N4227,'Retirement Calculator'!A:A,0),0),0)</f>
        <v>0</v>
      </c>
      <c r="K4227" s="444">
        <f t="shared" ca="1" si="181"/>
        <v>2885633683.084909</v>
      </c>
      <c r="L4227" s="444">
        <f t="shared" ca="1" si="182"/>
        <v>695437717623.46313</v>
      </c>
      <c r="M4227" s="460">
        <f t="shared" si="184"/>
        <v>0.05</v>
      </c>
      <c r="N4227" s="464">
        <f t="shared" si="185"/>
        <v>179701</v>
      </c>
    </row>
    <row r="4228" spans="7:14" ht="11.25" customHeight="1" x14ac:dyDescent="0.3">
      <c r="G4228" s="459"/>
      <c r="H4228" s="459">
        <v>4221</v>
      </c>
      <c r="I4228" s="444">
        <f t="shared" ca="1" si="183"/>
        <v>695437717623.46313</v>
      </c>
      <c r="J4228" s="444">
        <f t="array" ref="J4228">IFERROR(INDEX('Retirement Calculator'!J:J,MATCH('Isaac 401k'!N4228,'Retirement Calculator'!A:A,0),0),0)</f>
        <v>0</v>
      </c>
      <c r="K4228" s="444">
        <f t="shared" ca="1" si="181"/>
        <v>2897657156.7644296</v>
      </c>
      <c r="L4228" s="444">
        <f t="shared" ca="1" si="182"/>
        <v>698335374780.22754</v>
      </c>
      <c r="M4228" s="460">
        <f t="shared" si="184"/>
        <v>0.05</v>
      </c>
      <c r="N4228" s="464">
        <f t="shared" si="185"/>
        <v>179732</v>
      </c>
    </row>
    <row r="4229" spans="7:14" ht="11.25" customHeight="1" x14ac:dyDescent="0.3">
      <c r="G4229" s="459"/>
      <c r="H4229" s="459">
        <v>4222</v>
      </c>
      <c r="I4229" s="444">
        <f t="shared" ca="1" si="183"/>
        <v>698335374780.22754</v>
      </c>
      <c r="J4229" s="444">
        <f t="array" ref="J4229">IFERROR(INDEX('Retirement Calculator'!J:J,MATCH('Isaac 401k'!N4229,'Retirement Calculator'!A:A,0),0),0)</f>
        <v>0</v>
      </c>
      <c r="K4229" s="444">
        <f t="shared" ca="1" si="181"/>
        <v>2909730728.250948</v>
      </c>
      <c r="L4229" s="444">
        <f t="shared" ca="1" si="182"/>
        <v>701245105508.47852</v>
      </c>
      <c r="M4229" s="460">
        <f t="shared" si="184"/>
        <v>0.05</v>
      </c>
      <c r="N4229" s="464">
        <f t="shared" si="185"/>
        <v>179761</v>
      </c>
    </row>
    <row r="4230" spans="7:14" ht="11.25" customHeight="1" x14ac:dyDescent="0.3">
      <c r="G4230" s="459"/>
      <c r="H4230" s="459">
        <v>4223</v>
      </c>
      <c r="I4230" s="444">
        <f t="shared" ca="1" si="183"/>
        <v>701245105508.47852</v>
      </c>
      <c r="J4230" s="444">
        <f t="array" ref="J4230">IFERROR(INDEX('Retirement Calculator'!J:J,MATCH('Isaac 401k'!N4230,'Retirement Calculator'!A:A,0),0),0)</f>
        <v>0</v>
      </c>
      <c r="K4230" s="444">
        <f t="shared" ca="1" si="181"/>
        <v>2921854606.285327</v>
      </c>
      <c r="L4230" s="444">
        <f t="shared" ca="1" si="182"/>
        <v>704166960114.76379</v>
      </c>
      <c r="M4230" s="460">
        <f t="shared" si="184"/>
        <v>0.05</v>
      </c>
      <c r="N4230" s="464">
        <f t="shared" si="185"/>
        <v>179792</v>
      </c>
    </row>
    <row r="4231" spans="7:14" ht="11.25" customHeight="1" x14ac:dyDescent="0.3">
      <c r="G4231" s="459"/>
      <c r="H4231" s="459">
        <v>4224</v>
      </c>
      <c r="I4231" s="444">
        <f t="shared" ca="1" si="183"/>
        <v>704166960114.76379</v>
      </c>
      <c r="J4231" s="444">
        <f t="array" ref="J4231">IFERROR(INDEX('Retirement Calculator'!J:J,MATCH('Isaac 401k'!N4231,'Retirement Calculator'!A:A,0),0),0)</f>
        <v>0</v>
      </c>
      <c r="K4231" s="444">
        <f t="shared" ca="1" si="181"/>
        <v>2934029000.4781823</v>
      </c>
      <c r="L4231" s="444">
        <f t="shared" ca="1" si="182"/>
        <v>707100989115.24194</v>
      </c>
      <c r="M4231" s="460">
        <f t="shared" si="184"/>
        <v>0.05</v>
      </c>
      <c r="N4231" s="464">
        <f t="shared" si="185"/>
        <v>179822</v>
      </c>
    </row>
    <row r="4232" spans="7:14" ht="11.25" customHeight="1" x14ac:dyDescent="0.3">
      <c r="G4232" s="459"/>
      <c r="H4232" s="459">
        <v>4225</v>
      </c>
      <c r="I4232" s="444">
        <f t="shared" ca="1" si="183"/>
        <v>707100989115.24194</v>
      </c>
      <c r="J4232" s="444">
        <f t="array" ref="J4232">IFERROR(INDEX('Retirement Calculator'!J:J,MATCH('Isaac 401k'!N4232,'Retirement Calculator'!A:A,0),0),0)</f>
        <v>0</v>
      </c>
      <c r="K4232" s="444">
        <f t="shared" ca="1" si="181"/>
        <v>2946254121.313508</v>
      </c>
      <c r="L4232" s="444">
        <f t="shared" ca="1" si="182"/>
        <v>710047243236.55542</v>
      </c>
      <c r="M4232" s="460">
        <f t="shared" si="184"/>
        <v>0.05</v>
      </c>
      <c r="N4232" s="464">
        <f t="shared" si="185"/>
        <v>179853</v>
      </c>
    </row>
    <row r="4233" spans="7:14" ht="11.25" customHeight="1" x14ac:dyDescent="0.3">
      <c r="G4233" s="459"/>
      <c r="H4233" s="459">
        <v>4226</v>
      </c>
      <c r="I4233" s="444">
        <f t="shared" ca="1" si="183"/>
        <v>710047243236.55542</v>
      </c>
      <c r="J4233" s="444">
        <f t="array" ref="J4233">IFERROR(INDEX('Retirement Calculator'!J:J,MATCH('Isaac 401k'!N4233,'Retirement Calculator'!A:A,0),0),0)</f>
        <v>0</v>
      </c>
      <c r="K4233" s="444">
        <f t="shared" ca="1" si="181"/>
        <v>2958530180.1523142</v>
      </c>
      <c r="L4233" s="444">
        <f t="shared" ca="1" si="182"/>
        <v>713005773416.70776</v>
      </c>
      <c r="M4233" s="460">
        <f t="shared" si="184"/>
        <v>0.05</v>
      </c>
      <c r="N4233" s="464">
        <f t="shared" si="185"/>
        <v>179883</v>
      </c>
    </row>
    <row r="4234" spans="7:14" ht="11.25" customHeight="1" x14ac:dyDescent="0.3">
      <c r="G4234" s="459"/>
      <c r="H4234" s="459">
        <v>4227</v>
      </c>
      <c r="I4234" s="444">
        <f t="shared" ca="1" si="183"/>
        <v>713005773416.70776</v>
      </c>
      <c r="J4234" s="444">
        <f t="array" ref="J4234">IFERROR(INDEX('Retirement Calculator'!J:J,MATCH('Isaac 401k'!N4234,'Retirement Calculator'!A:A,0),0),0)</f>
        <v>0</v>
      </c>
      <c r="K4234" s="444">
        <f t="shared" ca="1" si="181"/>
        <v>2970857389.2362823</v>
      </c>
      <c r="L4234" s="444">
        <f t="shared" ca="1" si="182"/>
        <v>715976630805.94409</v>
      </c>
      <c r="M4234" s="460">
        <f t="shared" si="184"/>
        <v>0.05</v>
      </c>
      <c r="N4234" s="464">
        <f t="shared" si="185"/>
        <v>179914</v>
      </c>
    </row>
    <row r="4235" spans="7:14" ht="11.25" customHeight="1" x14ac:dyDescent="0.3">
      <c r="G4235" s="459"/>
      <c r="H4235" s="459">
        <v>4228</v>
      </c>
      <c r="I4235" s="444">
        <f t="shared" ca="1" si="183"/>
        <v>715976630805.94409</v>
      </c>
      <c r="J4235" s="444">
        <f t="array" ref="J4235">IFERROR(INDEX('Retirement Calculator'!J:J,MATCH('Isaac 401k'!N4235,'Retirement Calculator'!A:A,0),0),0)</f>
        <v>0</v>
      </c>
      <c r="K4235" s="444">
        <f t="shared" ca="1" si="181"/>
        <v>2983235961.6914339</v>
      </c>
      <c r="L4235" s="444">
        <f t="shared" ca="1" si="182"/>
        <v>718959866767.6355</v>
      </c>
      <c r="M4235" s="460">
        <f t="shared" si="184"/>
        <v>0.05</v>
      </c>
      <c r="N4235" s="464">
        <f t="shared" si="185"/>
        <v>179945</v>
      </c>
    </row>
    <row r="4236" spans="7:14" ht="11.25" customHeight="1" x14ac:dyDescent="0.3">
      <c r="G4236" s="459"/>
      <c r="H4236" s="459">
        <v>4229</v>
      </c>
      <c r="I4236" s="444">
        <f t="shared" ca="1" si="183"/>
        <v>718959866767.6355</v>
      </c>
      <c r="J4236" s="444">
        <f t="array" ref="J4236">IFERROR(INDEX('Retirement Calculator'!J:J,MATCH('Isaac 401k'!N4236,'Retirement Calculator'!A:A,0),0),0)</f>
        <v>0</v>
      </c>
      <c r="K4236" s="444">
        <f t="shared" ca="1" si="181"/>
        <v>2995666111.5318146</v>
      </c>
      <c r="L4236" s="444">
        <f t="shared" ca="1" si="182"/>
        <v>721955532879.16736</v>
      </c>
      <c r="M4236" s="460">
        <f t="shared" si="184"/>
        <v>0.05</v>
      </c>
      <c r="N4236" s="464">
        <f t="shared" si="185"/>
        <v>179975</v>
      </c>
    </row>
    <row r="4237" spans="7:14" ht="11.25" customHeight="1" x14ac:dyDescent="0.3">
      <c r="G4237" s="459"/>
      <c r="H4237" s="459">
        <v>4230</v>
      </c>
      <c r="I4237" s="444">
        <f t="shared" ca="1" si="183"/>
        <v>721955532879.16736</v>
      </c>
      <c r="J4237" s="444">
        <f t="array" ref="J4237">IFERROR(INDEX('Retirement Calculator'!J:J,MATCH('Isaac 401k'!N4237,'Retirement Calculator'!A:A,0),0),0)</f>
        <v>0</v>
      </c>
      <c r="K4237" s="444">
        <f t="shared" ca="1" si="181"/>
        <v>3008148053.6631975</v>
      </c>
      <c r="L4237" s="444">
        <f t="shared" ca="1" si="182"/>
        <v>724963680932.83057</v>
      </c>
      <c r="M4237" s="460">
        <f t="shared" si="184"/>
        <v>0.05</v>
      </c>
      <c r="N4237" s="464">
        <f t="shared" si="185"/>
        <v>180006</v>
      </c>
    </row>
    <row r="4238" spans="7:14" ht="11.25" customHeight="1" x14ac:dyDescent="0.3">
      <c r="G4238" s="459"/>
      <c r="H4238" s="459">
        <v>4231</v>
      </c>
      <c r="I4238" s="444">
        <f t="shared" ca="1" si="183"/>
        <v>724963680932.83057</v>
      </c>
      <c r="J4238" s="444">
        <f t="array" ref="J4238">IFERROR(INDEX('Retirement Calculator'!J:J,MATCH('Isaac 401k'!N4238,'Retirement Calculator'!A:A,0),0),0)</f>
        <v>0</v>
      </c>
      <c r="K4238" s="444">
        <f t="shared" ca="1" si="181"/>
        <v>3020682003.8867941</v>
      </c>
      <c r="L4238" s="444">
        <f t="shared" ca="1" si="182"/>
        <v>727984362936.71741</v>
      </c>
      <c r="M4238" s="460">
        <f t="shared" si="184"/>
        <v>0.05</v>
      </c>
      <c r="N4238" s="464">
        <f t="shared" si="185"/>
        <v>180036</v>
      </c>
    </row>
    <row r="4239" spans="7:14" ht="11.25" customHeight="1" x14ac:dyDescent="0.3">
      <c r="G4239" s="459"/>
      <c r="H4239" s="459">
        <v>4232</v>
      </c>
      <c r="I4239" s="444">
        <f t="shared" ca="1" si="183"/>
        <v>727984362936.71741</v>
      </c>
      <c r="J4239" s="444">
        <f t="array" ref="J4239">IFERROR(INDEX('Retirement Calculator'!J:J,MATCH('Isaac 401k'!N4239,'Retirement Calculator'!A:A,0),0),0)</f>
        <v>0</v>
      </c>
      <c r="K4239" s="444">
        <f t="shared" ca="1" si="181"/>
        <v>3033268178.9029894</v>
      </c>
      <c r="L4239" s="444">
        <f t="shared" ca="1" si="182"/>
        <v>731017631115.62036</v>
      </c>
      <c r="M4239" s="460">
        <f t="shared" si="184"/>
        <v>0.05</v>
      </c>
      <c r="N4239" s="464">
        <f t="shared" si="185"/>
        <v>180067</v>
      </c>
    </row>
    <row r="4240" spans="7:14" ht="11.25" customHeight="1" x14ac:dyDescent="0.3">
      <c r="G4240" s="459"/>
      <c r="H4240" s="459">
        <v>4233</v>
      </c>
      <c r="I4240" s="444">
        <f t="shared" ca="1" si="183"/>
        <v>731017631115.62036</v>
      </c>
      <c r="J4240" s="444">
        <f t="array" ref="J4240">IFERROR(INDEX('Retirement Calculator'!J:J,MATCH('Isaac 401k'!N4240,'Retirement Calculator'!A:A,0),0),0)</f>
        <v>0</v>
      </c>
      <c r="K4240" s="444">
        <f t="shared" ca="1" si="181"/>
        <v>3045906796.3150849</v>
      </c>
      <c r="L4240" s="444">
        <f t="shared" ca="1" si="182"/>
        <v>734063537911.93542</v>
      </c>
      <c r="M4240" s="460">
        <f t="shared" si="184"/>
        <v>0.05</v>
      </c>
      <c r="N4240" s="464">
        <f t="shared" si="185"/>
        <v>180098</v>
      </c>
    </row>
    <row r="4241" spans="7:14" ht="11.25" customHeight="1" x14ac:dyDescent="0.3">
      <c r="G4241" s="459"/>
      <c r="H4241" s="459">
        <v>4234</v>
      </c>
      <c r="I4241" s="444">
        <f t="shared" ca="1" si="183"/>
        <v>734063537911.93542</v>
      </c>
      <c r="J4241" s="444">
        <f t="array" ref="J4241">IFERROR(INDEX('Retirement Calculator'!J:J,MATCH('Isaac 401k'!N4241,'Retirement Calculator'!A:A,0),0),0)</f>
        <v>0</v>
      </c>
      <c r="K4241" s="444">
        <f t="shared" ca="1" si="181"/>
        <v>3058598074.6330643</v>
      </c>
      <c r="L4241" s="444">
        <f t="shared" ca="1" si="182"/>
        <v>737122135986.56848</v>
      </c>
      <c r="M4241" s="460">
        <f t="shared" si="184"/>
        <v>0.05</v>
      </c>
      <c r="N4241" s="464">
        <f t="shared" si="185"/>
        <v>180126</v>
      </c>
    </row>
    <row r="4242" spans="7:14" ht="11.25" customHeight="1" x14ac:dyDescent="0.3">
      <c r="G4242" s="459"/>
      <c r="H4242" s="459">
        <v>4235</v>
      </c>
      <c r="I4242" s="444">
        <f t="shared" ca="1" si="183"/>
        <v>737122135986.56848</v>
      </c>
      <c r="J4242" s="444">
        <f t="array" ref="J4242">IFERROR(INDEX('Retirement Calculator'!J:J,MATCH('Isaac 401k'!N4242,'Retirement Calculator'!A:A,0),0),0)</f>
        <v>0</v>
      </c>
      <c r="K4242" s="444">
        <f t="shared" ca="1" si="181"/>
        <v>3071342233.2773685</v>
      </c>
      <c r="L4242" s="444">
        <f t="shared" ca="1" si="182"/>
        <v>740193478219.84583</v>
      </c>
      <c r="M4242" s="460">
        <f t="shared" si="184"/>
        <v>0.05</v>
      </c>
      <c r="N4242" s="464">
        <f t="shared" si="185"/>
        <v>180157</v>
      </c>
    </row>
    <row r="4243" spans="7:14" ht="11.25" customHeight="1" x14ac:dyDescent="0.3">
      <c r="G4243" s="459"/>
      <c r="H4243" s="459">
        <v>4236</v>
      </c>
      <c r="I4243" s="444">
        <f t="shared" ca="1" si="183"/>
        <v>740193478219.84583</v>
      </c>
      <c r="J4243" s="444">
        <f t="array" ref="J4243">IFERROR(INDEX('Retirement Calculator'!J:J,MATCH('Isaac 401k'!N4243,'Retirement Calculator'!A:A,0),0),0)</f>
        <v>0</v>
      </c>
      <c r="K4243" s="444">
        <f t="shared" ca="1" si="181"/>
        <v>3084139492.5826907</v>
      </c>
      <c r="L4243" s="444">
        <f t="shared" ca="1" si="182"/>
        <v>743277617712.42847</v>
      </c>
      <c r="M4243" s="460">
        <f t="shared" si="184"/>
        <v>0.05</v>
      </c>
      <c r="N4243" s="464">
        <f t="shared" si="185"/>
        <v>180187</v>
      </c>
    </row>
    <row r="4244" spans="7:14" ht="11.25" customHeight="1" x14ac:dyDescent="0.3">
      <c r="G4244" s="459"/>
      <c r="H4244" s="459">
        <v>4237</v>
      </c>
      <c r="I4244" s="444">
        <f t="shared" ca="1" si="183"/>
        <v>743277617712.42847</v>
      </c>
      <c r="J4244" s="444">
        <f t="array" ref="J4244">IFERROR(INDEX('Retirement Calculator'!J:J,MATCH('Isaac 401k'!N4244,'Retirement Calculator'!A:A,0),0),0)</f>
        <v>0</v>
      </c>
      <c r="K4244" s="444">
        <f t="shared" ca="1" si="181"/>
        <v>3096990073.8017855</v>
      </c>
      <c r="L4244" s="444">
        <f t="shared" ca="1" si="182"/>
        <v>746374607786.23022</v>
      </c>
      <c r="M4244" s="460">
        <f t="shared" si="184"/>
        <v>0.05</v>
      </c>
      <c r="N4244" s="464">
        <f t="shared" si="185"/>
        <v>180218</v>
      </c>
    </row>
    <row r="4245" spans="7:14" ht="11.25" customHeight="1" x14ac:dyDescent="0.3">
      <c r="G4245" s="459"/>
      <c r="H4245" s="459">
        <v>4238</v>
      </c>
      <c r="I4245" s="444">
        <f t="shared" ca="1" si="183"/>
        <v>746374607786.23022</v>
      </c>
      <c r="J4245" s="444">
        <f t="array" ref="J4245">IFERROR(INDEX('Retirement Calculator'!J:J,MATCH('Isaac 401k'!N4245,'Retirement Calculator'!A:A,0),0),0)</f>
        <v>0</v>
      </c>
      <c r="K4245" s="444">
        <f t="shared" ca="1" si="181"/>
        <v>3109894199.1092925</v>
      </c>
      <c r="L4245" s="444">
        <f t="shared" ca="1" si="182"/>
        <v>749484501985.33948</v>
      </c>
      <c r="M4245" s="460">
        <f t="shared" si="184"/>
        <v>0.05</v>
      </c>
      <c r="N4245" s="464">
        <f t="shared" si="185"/>
        <v>180248</v>
      </c>
    </row>
    <row r="4246" spans="7:14" ht="11.25" customHeight="1" x14ac:dyDescent="0.3">
      <c r="G4246" s="459"/>
      <c r="H4246" s="459">
        <v>4239</v>
      </c>
      <c r="I4246" s="444">
        <f t="shared" ca="1" si="183"/>
        <v>749484501985.33948</v>
      </c>
      <c r="J4246" s="444">
        <f t="array" ref="J4246">IFERROR(INDEX('Retirement Calculator'!J:J,MATCH('Isaac 401k'!N4246,'Retirement Calculator'!A:A,0),0),0)</f>
        <v>0</v>
      </c>
      <c r="K4246" s="444">
        <f t="shared" ca="1" si="181"/>
        <v>3122852091.6055813</v>
      </c>
      <c r="L4246" s="444">
        <f t="shared" ca="1" si="182"/>
        <v>752607354076.94507</v>
      </c>
      <c r="M4246" s="460">
        <f t="shared" si="184"/>
        <v>0.05</v>
      </c>
      <c r="N4246" s="464">
        <f t="shared" si="185"/>
        <v>180279</v>
      </c>
    </row>
    <row r="4247" spans="7:14" ht="11.25" customHeight="1" x14ac:dyDescent="0.3">
      <c r="G4247" s="459"/>
      <c r="H4247" s="459">
        <v>4240</v>
      </c>
      <c r="I4247" s="444">
        <f t="shared" ca="1" si="183"/>
        <v>752607354076.94507</v>
      </c>
      <c r="J4247" s="444">
        <f t="array" ref="J4247">IFERROR(INDEX('Retirement Calculator'!J:J,MATCH('Isaac 401k'!N4247,'Retirement Calculator'!A:A,0),0),0)</f>
        <v>0</v>
      </c>
      <c r="K4247" s="444">
        <f t="shared" ca="1" si="181"/>
        <v>3135863975.3206043</v>
      </c>
      <c r="L4247" s="444">
        <f t="shared" ca="1" si="182"/>
        <v>755743218052.26563</v>
      </c>
      <c r="M4247" s="460">
        <f t="shared" si="184"/>
        <v>0.05</v>
      </c>
      <c r="N4247" s="464">
        <f t="shared" si="185"/>
        <v>180310</v>
      </c>
    </row>
    <row r="4248" spans="7:14" ht="11.25" customHeight="1" x14ac:dyDescent="0.3">
      <c r="G4248" s="459"/>
      <c r="H4248" s="459">
        <v>4241</v>
      </c>
      <c r="I4248" s="444">
        <f t="shared" ca="1" si="183"/>
        <v>755743218052.26563</v>
      </c>
      <c r="J4248" s="444">
        <f t="array" ref="J4248">IFERROR(INDEX('Retirement Calculator'!J:J,MATCH('Isaac 401k'!N4248,'Retirement Calculator'!A:A,0),0),0)</f>
        <v>0</v>
      </c>
      <c r="K4248" s="444">
        <f t="shared" ca="1" si="181"/>
        <v>3148930075.2177734</v>
      </c>
      <c r="L4248" s="444">
        <f t="shared" ca="1" si="182"/>
        <v>758892148127.4834</v>
      </c>
      <c r="M4248" s="460">
        <f t="shared" si="184"/>
        <v>0.05</v>
      </c>
      <c r="N4248" s="464">
        <f t="shared" si="185"/>
        <v>180340</v>
      </c>
    </row>
    <row r="4249" spans="7:14" ht="11.25" customHeight="1" x14ac:dyDescent="0.3">
      <c r="G4249" s="459"/>
      <c r="H4249" s="459">
        <v>4242</v>
      </c>
      <c r="I4249" s="444">
        <f t="shared" ca="1" si="183"/>
        <v>758892148127.4834</v>
      </c>
      <c r="J4249" s="444">
        <f t="array" ref="J4249">IFERROR(INDEX('Retirement Calculator'!J:J,MATCH('Isaac 401k'!N4249,'Retirement Calculator'!A:A,0),0),0)</f>
        <v>0</v>
      </c>
      <c r="K4249" s="444">
        <f t="shared" ca="1" si="181"/>
        <v>3162050617.1978474</v>
      </c>
      <c r="L4249" s="444">
        <f t="shared" ca="1" si="182"/>
        <v>762054198744.68127</v>
      </c>
      <c r="M4249" s="460">
        <f t="shared" si="184"/>
        <v>0.05</v>
      </c>
      <c r="N4249" s="464">
        <f t="shared" si="185"/>
        <v>180371</v>
      </c>
    </row>
    <row r="4250" spans="7:14" ht="11.25" customHeight="1" x14ac:dyDescent="0.3">
      <c r="G4250" s="459"/>
      <c r="H4250" s="459">
        <v>4243</v>
      </c>
      <c r="I4250" s="444">
        <f t="shared" ca="1" si="183"/>
        <v>762054198744.68127</v>
      </c>
      <c r="J4250" s="444">
        <f t="array" ref="J4250">IFERROR(INDEX('Retirement Calculator'!J:J,MATCH('Isaac 401k'!N4250,'Retirement Calculator'!A:A,0),0),0)</f>
        <v>0</v>
      </c>
      <c r="K4250" s="444">
        <f t="shared" ca="1" si="181"/>
        <v>3175225828.1028385</v>
      </c>
      <c r="L4250" s="444">
        <f t="shared" ca="1" si="182"/>
        <v>765229424572.78406</v>
      </c>
      <c r="M4250" s="460">
        <f t="shared" si="184"/>
        <v>0.05</v>
      </c>
      <c r="N4250" s="464">
        <f t="shared" si="185"/>
        <v>180401</v>
      </c>
    </row>
    <row r="4251" spans="7:14" ht="11.25" customHeight="1" x14ac:dyDescent="0.3">
      <c r="G4251" s="459"/>
      <c r="H4251" s="459">
        <v>4244</v>
      </c>
      <c r="I4251" s="444">
        <f t="shared" ca="1" si="183"/>
        <v>765229424572.78406</v>
      </c>
      <c r="J4251" s="444">
        <f t="array" ref="J4251">IFERROR(INDEX('Retirement Calculator'!J:J,MATCH('Isaac 401k'!N4251,'Retirement Calculator'!A:A,0),0),0)</f>
        <v>0</v>
      </c>
      <c r="K4251" s="444">
        <f t="shared" ca="1" si="181"/>
        <v>3188455935.7199335</v>
      </c>
      <c r="L4251" s="444">
        <f t="shared" ca="1" si="182"/>
        <v>768417880508.50403</v>
      </c>
      <c r="M4251" s="460">
        <f t="shared" si="184"/>
        <v>0.05</v>
      </c>
      <c r="N4251" s="464">
        <f t="shared" si="185"/>
        <v>180432</v>
      </c>
    </row>
    <row r="4252" spans="7:14" ht="11.25" customHeight="1" x14ac:dyDescent="0.3">
      <c r="G4252" s="459"/>
      <c r="H4252" s="459">
        <v>4245</v>
      </c>
      <c r="I4252" s="444">
        <f t="shared" ca="1" si="183"/>
        <v>768417880508.50403</v>
      </c>
      <c r="J4252" s="444">
        <f t="array" ref="J4252">IFERROR(INDEX('Retirement Calculator'!J:J,MATCH('Isaac 401k'!N4252,'Retirement Calculator'!A:A,0),0),0)</f>
        <v>0</v>
      </c>
      <c r="K4252" s="444">
        <f t="shared" ca="1" si="181"/>
        <v>3201741168.7854333</v>
      </c>
      <c r="L4252" s="444">
        <f t="shared" ca="1" si="182"/>
        <v>771619621677.28943</v>
      </c>
      <c r="M4252" s="460">
        <f t="shared" si="184"/>
        <v>0.05</v>
      </c>
      <c r="N4252" s="464">
        <f t="shared" si="185"/>
        <v>180463</v>
      </c>
    </row>
    <row r="4253" spans="7:14" ht="11.25" customHeight="1" x14ac:dyDescent="0.3">
      <c r="G4253" s="459"/>
      <c r="H4253" s="459">
        <v>4246</v>
      </c>
      <c r="I4253" s="444">
        <f t="shared" ca="1" si="183"/>
        <v>771619621677.28943</v>
      </c>
      <c r="J4253" s="444">
        <f t="array" ref="J4253">IFERROR(INDEX('Retirement Calculator'!J:J,MATCH('Isaac 401k'!N4253,'Retirement Calculator'!A:A,0),0),0)</f>
        <v>0</v>
      </c>
      <c r="K4253" s="444">
        <f t="shared" ca="1" si="181"/>
        <v>3215081756.9887061</v>
      </c>
      <c r="L4253" s="444">
        <f t="shared" ca="1" si="182"/>
        <v>774834703434.27808</v>
      </c>
      <c r="M4253" s="460">
        <f t="shared" si="184"/>
        <v>0.05</v>
      </c>
      <c r="N4253" s="464">
        <f t="shared" si="185"/>
        <v>180491</v>
      </c>
    </row>
    <row r="4254" spans="7:14" ht="11.25" customHeight="1" x14ac:dyDescent="0.3">
      <c r="G4254" s="459"/>
      <c r="H4254" s="459">
        <v>4247</v>
      </c>
      <c r="I4254" s="444">
        <f t="shared" ca="1" si="183"/>
        <v>774834703434.27808</v>
      </c>
      <c r="J4254" s="444">
        <f t="array" ref="J4254">IFERROR(INDEX('Retirement Calculator'!J:J,MATCH('Isaac 401k'!N4254,'Retirement Calculator'!A:A,0),0),0)</f>
        <v>0</v>
      </c>
      <c r="K4254" s="444">
        <f t="shared" ca="1" si="181"/>
        <v>3228477930.9761586</v>
      </c>
      <c r="L4254" s="444">
        <f t="shared" ca="1" si="182"/>
        <v>778063181365.25427</v>
      </c>
      <c r="M4254" s="460">
        <f t="shared" si="184"/>
        <v>0.05</v>
      </c>
      <c r="N4254" s="464">
        <f t="shared" si="185"/>
        <v>180522</v>
      </c>
    </row>
    <row r="4255" spans="7:14" ht="11.25" customHeight="1" x14ac:dyDescent="0.3">
      <c r="G4255" s="459"/>
      <c r="H4255" s="459">
        <v>4248</v>
      </c>
      <c r="I4255" s="444">
        <f t="shared" ca="1" si="183"/>
        <v>778063181365.25427</v>
      </c>
      <c r="J4255" s="444">
        <f t="array" ref="J4255">IFERROR(INDEX('Retirement Calculator'!J:J,MATCH('Isaac 401k'!N4255,'Retirement Calculator'!A:A,0),0),0)</f>
        <v>0</v>
      </c>
      <c r="K4255" s="444">
        <f t="shared" ca="1" si="181"/>
        <v>3241929922.355226</v>
      </c>
      <c r="L4255" s="444">
        <f t="shared" ca="1" si="182"/>
        <v>781305111287.6095</v>
      </c>
      <c r="M4255" s="460">
        <f t="shared" si="184"/>
        <v>0.05</v>
      </c>
      <c r="N4255" s="464">
        <f t="shared" si="185"/>
        <v>180552</v>
      </c>
    </row>
    <row r="4256" spans="7:14" ht="11.25" customHeight="1" x14ac:dyDescent="0.3">
      <c r="G4256" s="459"/>
      <c r="H4256" s="459">
        <v>4249</v>
      </c>
      <c r="I4256" s="444">
        <f t="shared" ca="1" si="183"/>
        <v>781305111287.6095</v>
      </c>
      <c r="J4256" s="444">
        <f t="array" ref="J4256">IFERROR(INDEX('Retirement Calculator'!J:J,MATCH('Isaac 401k'!N4256,'Retirement Calculator'!A:A,0),0),0)</f>
        <v>0</v>
      </c>
      <c r="K4256" s="444">
        <f t="shared" ca="1" si="181"/>
        <v>3255437963.6983728</v>
      </c>
      <c r="L4256" s="444">
        <f t="shared" ca="1" si="182"/>
        <v>784560549251.30786</v>
      </c>
      <c r="M4256" s="460">
        <f t="shared" si="184"/>
        <v>0.05</v>
      </c>
      <c r="N4256" s="464">
        <f t="shared" si="185"/>
        <v>180583</v>
      </c>
    </row>
    <row r="4257" spans="7:14" ht="11.25" customHeight="1" x14ac:dyDescent="0.3">
      <c r="G4257" s="459"/>
      <c r="H4257" s="459">
        <v>4250</v>
      </c>
      <c r="I4257" s="444">
        <f t="shared" ca="1" si="183"/>
        <v>784560549251.30786</v>
      </c>
      <c r="J4257" s="444">
        <f t="array" ref="J4257">IFERROR(INDEX('Retirement Calculator'!J:J,MATCH('Isaac 401k'!N4257,'Retirement Calculator'!A:A,0),0),0)</f>
        <v>0</v>
      </c>
      <c r="K4257" s="444">
        <f t="shared" ca="1" si="181"/>
        <v>3269002288.5471163</v>
      </c>
      <c r="L4257" s="444">
        <f t="shared" ca="1" si="182"/>
        <v>787829551539.85498</v>
      </c>
      <c r="M4257" s="460">
        <f t="shared" si="184"/>
        <v>0.05</v>
      </c>
      <c r="N4257" s="464">
        <f t="shared" si="185"/>
        <v>180613</v>
      </c>
    </row>
    <row r="4258" spans="7:14" ht="11.25" customHeight="1" x14ac:dyDescent="0.3">
      <c r="G4258" s="459"/>
      <c r="H4258" s="459">
        <v>4251</v>
      </c>
      <c r="I4258" s="444">
        <f t="shared" ca="1" si="183"/>
        <v>787829551539.85498</v>
      </c>
      <c r="J4258" s="444">
        <f t="array" ref="J4258">IFERROR(INDEX('Retirement Calculator'!J:J,MATCH('Isaac 401k'!N4258,'Retirement Calculator'!A:A,0),0),0)</f>
        <v>0</v>
      </c>
      <c r="K4258" s="444">
        <f t="shared" ca="1" si="181"/>
        <v>3282623131.4160624</v>
      </c>
      <c r="L4258" s="444">
        <f t="shared" ca="1" si="182"/>
        <v>791112174671.271</v>
      </c>
      <c r="M4258" s="460">
        <f t="shared" si="184"/>
        <v>0.05</v>
      </c>
      <c r="N4258" s="464">
        <f t="shared" si="185"/>
        <v>180644</v>
      </c>
    </row>
    <row r="4259" spans="7:14" ht="11.25" customHeight="1" x14ac:dyDescent="0.3">
      <c r="G4259" s="459"/>
      <c r="H4259" s="459">
        <v>4252</v>
      </c>
      <c r="I4259" s="444">
        <f t="shared" ca="1" si="183"/>
        <v>791112174671.271</v>
      </c>
      <c r="J4259" s="444">
        <f t="array" ref="J4259">IFERROR(INDEX('Retirement Calculator'!J:J,MATCH('Isaac 401k'!N4259,'Retirement Calculator'!A:A,0),0),0)</f>
        <v>0</v>
      </c>
      <c r="K4259" s="444">
        <f t="shared" ca="1" si="181"/>
        <v>3296300727.7969623</v>
      </c>
      <c r="L4259" s="444">
        <f t="shared" ca="1" si="182"/>
        <v>794408475399.06799</v>
      </c>
      <c r="M4259" s="460">
        <f t="shared" si="184"/>
        <v>0.05</v>
      </c>
      <c r="N4259" s="464">
        <f t="shared" si="185"/>
        <v>180675</v>
      </c>
    </row>
    <row r="4260" spans="7:14" ht="11.25" customHeight="1" x14ac:dyDescent="0.3">
      <c r="G4260" s="459"/>
      <c r="H4260" s="459">
        <v>4253</v>
      </c>
      <c r="I4260" s="444">
        <f t="shared" ca="1" si="183"/>
        <v>794408475399.06799</v>
      </c>
      <c r="J4260" s="444">
        <f t="array" ref="J4260">IFERROR(INDEX('Retirement Calculator'!J:J,MATCH('Isaac 401k'!N4260,'Retirement Calculator'!A:A,0),0),0)</f>
        <v>0</v>
      </c>
      <c r="K4260" s="444">
        <f t="shared" ca="1" si="181"/>
        <v>3310035314.1627831</v>
      </c>
      <c r="L4260" s="444">
        <f t="shared" ca="1" si="182"/>
        <v>797718510713.23083</v>
      </c>
      <c r="M4260" s="460">
        <f t="shared" si="184"/>
        <v>0.05</v>
      </c>
      <c r="N4260" s="464">
        <f t="shared" si="185"/>
        <v>180705</v>
      </c>
    </row>
    <row r="4261" spans="7:14" ht="11.25" customHeight="1" x14ac:dyDescent="0.3">
      <c r="G4261" s="459"/>
      <c r="H4261" s="459">
        <v>4254</v>
      </c>
      <c r="I4261" s="444">
        <f t="shared" ca="1" si="183"/>
        <v>797718510713.23083</v>
      </c>
      <c r="J4261" s="444">
        <f t="array" ref="J4261">IFERROR(INDEX('Retirement Calculator'!J:J,MATCH('Isaac 401k'!N4261,'Retirement Calculator'!A:A,0),0),0)</f>
        <v>0</v>
      </c>
      <c r="K4261" s="444">
        <f t="shared" ca="1" si="181"/>
        <v>3323827127.9717951</v>
      </c>
      <c r="L4261" s="444">
        <f t="shared" ca="1" si="182"/>
        <v>801042337841.20264</v>
      </c>
      <c r="M4261" s="460">
        <f t="shared" si="184"/>
        <v>0.05</v>
      </c>
      <c r="N4261" s="464">
        <f t="shared" si="185"/>
        <v>180736</v>
      </c>
    </row>
    <row r="4262" spans="7:14" ht="11.25" customHeight="1" x14ac:dyDescent="0.3">
      <c r="G4262" s="459"/>
      <c r="H4262" s="459">
        <v>4255</v>
      </c>
      <c r="I4262" s="444">
        <f t="shared" ca="1" si="183"/>
        <v>801042337841.20264</v>
      </c>
      <c r="J4262" s="444">
        <f t="array" ref="J4262">IFERROR(INDEX('Retirement Calculator'!J:J,MATCH('Isaac 401k'!N4262,'Retirement Calculator'!A:A,0),0),0)</f>
        <v>0</v>
      </c>
      <c r="K4262" s="444">
        <f t="shared" ca="1" si="181"/>
        <v>3337676407.6716776</v>
      </c>
      <c r="L4262" s="444">
        <f t="shared" ca="1" si="182"/>
        <v>804380014248.87427</v>
      </c>
      <c r="M4262" s="460">
        <f t="shared" si="184"/>
        <v>0.05</v>
      </c>
      <c r="N4262" s="464">
        <f t="shared" si="185"/>
        <v>180766</v>
      </c>
    </row>
    <row r="4263" spans="7:14" ht="11.25" customHeight="1" x14ac:dyDescent="0.3">
      <c r="G4263" s="459"/>
      <c r="H4263" s="459">
        <v>4256</v>
      </c>
      <c r="I4263" s="444">
        <f t="shared" ca="1" si="183"/>
        <v>804380014248.87427</v>
      </c>
      <c r="J4263" s="444">
        <f t="array" ref="J4263">IFERROR(INDEX('Retirement Calculator'!J:J,MATCH('Isaac 401k'!N4263,'Retirement Calculator'!A:A,0),0),0)</f>
        <v>0</v>
      </c>
      <c r="K4263" s="444">
        <f t="shared" ca="1" si="181"/>
        <v>3351583392.7036428</v>
      </c>
      <c r="L4263" s="444">
        <f t="shared" ca="1" si="182"/>
        <v>807731597641.57788</v>
      </c>
      <c r="M4263" s="460">
        <f t="shared" si="184"/>
        <v>0.05</v>
      </c>
      <c r="N4263" s="464">
        <f t="shared" si="185"/>
        <v>180797</v>
      </c>
    </row>
    <row r="4264" spans="7:14" ht="11.25" customHeight="1" x14ac:dyDescent="0.3">
      <c r="G4264" s="459"/>
      <c r="H4264" s="459">
        <v>4257</v>
      </c>
      <c r="I4264" s="444">
        <f t="shared" ca="1" si="183"/>
        <v>807731597641.57788</v>
      </c>
      <c r="J4264" s="444">
        <f t="array" ref="J4264">IFERROR(INDEX('Retirement Calculator'!J:J,MATCH('Isaac 401k'!N4264,'Retirement Calculator'!A:A,0),0),0)</f>
        <v>0</v>
      </c>
      <c r="K4264" s="444">
        <f t="shared" ca="1" si="181"/>
        <v>3365548323.5065746</v>
      </c>
      <c r="L4264" s="444">
        <f t="shared" ca="1" si="182"/>
        <v>811097145965.08447</v>
      </c>
      <c r="M4264" s="460">
        <f t="shared" si="184"/>
        <v>0.05</v>
      </c>
      <c r="N4264" s="464">
        <f t="shared" si="185"/>
        <v>180828</v>
      </c>
    </row>
    <row r="4265" spans="7:14" ht="11.25" customHeight="1" x14ac:dyDescent="0.3">
      <c r="G4265" s="459"/>
      <c r="H4265" s="459">
        <v>4258</v>
      </c>
      <c r="I4265" s="444">
        <f t="shared" ca="1" si="183"/>
        <v>811097145965.08447</v>
      </c>
      <c r="J4265" s="444">
        <f t="array" ref="J4265">IFERROR(INDEX('Retirement Calculator'!J:J,MATCH('Isaac 401k'!N4265,'Retirement Calculator'!A:A,0),0),0)</f>
        <v>0</v>
      </c>
      <c r="K4265" s="444">
        <f t="shared" ca="1" si="181"/>
        <v>3379571441.5211854</v>
      </c>
      <c r="L4265" s="444">
        <f t="shared" ca="1" si="182"/>
        <v>814476717406.60571</v>
      </c>
      <c r="M4265" s="460">
        <f t="shared" si="184"/>
        <v>0.05</v>
      </c>
      <c r="N4265" s="464">
        <f t="shared" si="185"/>
        <v>180856</v>
      </c>
    </row>
    <row r="4266" spans="7:14" ht="11.25" customHeight="1" x14ac:dyDescent="0.3">
      <c r="G4266" s="459"/>
      <c r="H4266" s="459">
        <v>4259</v>
      </c>
      <c r="I4266" s="444">
        <f t="shared" ca="1" si="183"/>
        <v>814476717406.60571</v>
      </c>
      <c r="J4266" s="444">
        <f t="array" ref="J4266">IFERROR(INDEX('Retirement Calculator'!J:J,MATCH('Isaac 401k'!N4266,'Retirement Calculator'!A:A,0),0),0)</f>
        <v>0</v>
      </c>
      <c r="K4266" s="444">
        <f t="shared" ca="1" si="181"/>
        <v>3393652989.1941905</v>
      </c>
      <c r="L4266" s="444">
        <f t="shared" ca="1" si="182"/>
        <v>817870370395.79993</v>
      </c>
      <c r="M4266" s="460">
        <f t="shared" si="184"/>
        <v>0.05</v>
      </c>
      <c r="N4266" s="464">
        <f t="shared" si="185"/>
        <v>180887</v>
      </c>
    </row>
    <row r="4267" spans="7:14" ht="11.25" customHeight="1" x14ac:dyDescent="0.3">
      <c r="G4267" s="459"/>
      <c r="H4267" s="459">
        <v>4260</v>
      </c>
      <c r="I4267" s="444">
        <f t="shared" ca="1" si="183"/>
        <v>817870370395.79993</v>
      </c>
      <c r="J4267" s="444">
        <f t="array" ref="J4267">IFERROR(INDEX('Retirement Calculator'!J:J,MATCH('Isaac 401k'!N4267,'Retirement Calculator'!A:A,0),0),0)</f>
        <v>0</v>
      </c>
      <c r="K4267" s="444">
        <f t="shared" ca="1" si="181"/>
        <v>3407793209.9824996</v>
      </c>
      <c r="L4267" s="444">
        <f t="shared" ca="1" si="182"/>
        <v>821278163605.78247</v>
      </c>
      <c r="M4267" s="460">
        <f t="shared" si="184"/>
        <v>0.05</v>
      </c>
      <c r="N4267" s="464">
        <f t="shared" si="185"/>
        <v>180917</v>
      </c>
    </row>
    <row r="4268" spans="7:14" ht="11.25" customHeight="1" x14ac:dyDescent="0.3">
      <c r="G4268" s="459"/>
      <c r="H4268" s="459">
        <v>4261</v>
      </c>
      <c r="I4268" s="444">
        <f t="shared" ca="1" si="183"/>
        <v>821278163605.78247</v>
      </c>
      <c r="J4268" s="444">
        <f t="array" ref="J4268">IFERROR(INDEX('Retirement Calculator'!J:J,MATCH('Isaac 401k'!N4268,'Retirement Calculator'!A:A,0),0),0)</f>
        <v>0</v>
      </c>
      <c r="K4268" s="444">
        <f t="shared" ca="1" si="181"/>
        <v>3421992348.3574271</v>
      </c>
      <c r="L4268" s="444">
        <f t="shared" ca="1" si="182"/>
        <v>824700155954.13989</v>
      </c>
      <c r="M4268" s="460">
        <f t="shared" si="184"/>
        <v>0.05</v>
      </c>
      <c r="N4268" s="464">
        <f t="shared" si="185"/>
        <v>180948</v>
      </c>
    </row>
    <row r="4269" spans="7:14" ht="11.25" customHeight="1" x14ac:dyDescent="0.3">
      <c r="G4269" s="459"/>
      <c r="H4269" s="459">
        <v>4262</v>
      </c>
      <c r="I4269" s="444">
        <f t="shared" ca="1" si="183"/>
        <v>824700155954.13989</v>
      </c>
      <c r="J4269" s="444">
        <f t="array" ref="J4269">IFERROR(INDEX('Retirement Calculator'!J:J,MATCH('Isaac 401k'!N4269,'Retirement Calculator'!A:A,0),0),0)</f>
        <v>0</v>
      </c>
      <c r="K4269" s="444">
        <f t="shared" ca="1" si="181"/>
        <v>3436250649.8089161</v>
      </c>
      <c r="L4269" s="444">
        <f t="shared" ca="1" si="182"/>
        <v>828136406603.94885</v>
      </c>
      <c r="M4269" s="460">
        <f t="shared" si="184"/>
        <v>0.05</v>
      </c>
      <c r="N4269" s="464">
        <f t="shared" si="185"/>
        <v>180978</v>
      </c>
    </row>
    <row r="4270" spans="7:14" ht="11.25" customHeight="1" x14ac:dyDescent="0.3">
      <c r="G4270" s="459"/>
      <c r="H4270" s="459">
        <v>4263</v>
      </c>
      <c r="I4270" s="444">
        <f t="shared" ca="1" si="183"/>
        <v>828136406603.94885</v>
      </c>
      <c r="J4270" s="444">
        <f t="array" ref="J4270">IFERROR(INDEX('Retirement Calculator'!J:J,MATCH('Isaac 401k'!N4270,'Retirement Calculator'!A:A,0),0),0)</f>
        <v>0</v>
      </c>
      <c r="K4270" s="444">
        <f t="shared" ca="1" si="181"/>
        <v>3450568360.8497868</v>
      </c>
      <c r="L4270" s="444">
        <f t="shared" ca="1" si="182"/>
        <v>831586974964.79858</v>
      </c>
      <c r="M4270" s="460">
        <f t="shared" si="184"/>
        <v>0.05</v>
      </c>
      <c r="N4270" s="464">
        <f t="shared" si="185"/>
        <v>181009</v>
      </c>
    </row>
    <row r="4271" spans="7:14" ht="11.25" customHeight="1" x14ac:dyDescent="0.3">
      <c r="G4271" s="459"/>
      <c r="H4271" s="459">
        <v>4264</v>
      </c>
      <c r="I4271" s="444">
        <f t="shared" ca="1" si="183"/>
        <v>831586974964.79858</v>
      </c>
      <c r="J4271" s="444">
        <f t="array" ref="J4271">IFERROR(INDEX('Retirement Calculator'!J:J,MATCH('Isaac 401k'!N4271,'Retirement Calculator'!A:A,0),0),0)</f>
        <v>0</v>
      </c>
      <c r="K4271" s="444">
        <f t="shared" ca="1" si="181"/>
        <v>3464945729.0199943</v>
      </c>
      <c r="L4271" s="444">
        <f t="shared" ca="1" si="182"/>
        <v>835051920693.8186</v>
      </c>
      <c r="M4271" s="460">
        <f t="shared" si="184"/>
        <v>0.05</v>
      </c>
      <c r="N4271" s="464">
        <f t="shared" si="185"/>
        <v>181040</v>
      </c>
    </row>
    <row r="4272" spans="7:14" ht="11.25" customHeight="1" x14ac:dyDescent="0.3">
      <c r="G4272" s="459"/>
      <c r="H4272" s="459">
        <v>4265</v>
      </c>
      <c r="I4272" s="444">
        <f t="shared" ca="1" si="183"/>
        <v>835051920693.8186</v>
      </c>
      <c r="J4272" s="444">
        <f t="array" ref="J4272">IFERROR(INDEX('Retirement Calculator'!J:J,MATCH('Isaac 401k'!N4272,'Retirement Calculator'!A:A,0),0),0)</f>
        <v>0</v>
      </c>
      <c r="K4272" s="444">
        <f t="shared" ca="1" si="181"/>
        <v>3479383002.8909106</v>
      </c>
      <c r="L4272" s="444">
        <f t="shared" ca="1" si="182"/>
        <v>838531303696.70947</v>
      </c>
      <c r="M4272" s="460">
        <f t="shared" si="184"/>
        <v>0.05</v>
      </c>
      <c r="N4272" s="464">
        <f t="shared" si="185"/>
        <v>181070</v>
      </c>
    </row>
    <row r="4273" spans="7:14" ht="11.25" customHeight="1" x14ac:dyDescent="0.3">
      <c r="G4273" s="459"/>
      <c r="H4273" s="459">
        <v>4266</v>
      </c>
      <c r="I4273" s="444">
        <f t="shared" ca="1" si="183"/>
        <v>838531303696.70947</v>
      </c>
      <c r="J4273" s="444">
        <f t="array" ref="J4273">IFERROR(INDEX('Retirement Calculator'!J:J,MATCH('Isaac 401k'!N4273,'Retirement Calculator'!A:A,0),0),0)</f>
        <v>0</v>
      </c>
      <c r="K4273" s="444">
        <f t="shared" ca="1" si="181"/>
        <v>3493880432.0696225</v>
      </c>
      <c r="L4273" s="444">
        <f t="shared" ca="1" si="182"/>
        <v>842025184128.77905</v>
      </c>
      <c r="M4273" s="460">
        <f t="shared" si="184"/>
        <v>0.05</v>
      </c>
      <c r="N4273" s="464">
        <f t="shared" si="185"/>
        <v>181101</v>
      </c>
    </row>
    <row r="4274" spans="7:14" ht="11.25" customHeight="1" x14ac:dyDescent="0.3">
      <c r="G4274" s="459"/>
      <c r="H4274" s="459">
        <v>4267</v>
      </c>
      <c r="I4274" s="444">
        <f t="shared" ca="1" si="183"/>
        <v>842025184128.77905</v>
      </c>
      <c r="J4274" s="444">
        <f t="array" ref="J4274">IFERROR(INDEX('Retirement Calculator'!J:J,MATCH('Isaac 401k'!N4274,'Retirement Calculator'!A:A,0),0),0)</f>
        <v>0</v>
      </c>
      <c r="K4274" s="444">
        <f t="shared" ca="1" si="181"/>
        <v>3508438267.2032461</v>
      </c>
      <c r="L4274" s="444">
        <f t="shared" ca="1" si="182"/>
        <v>845533622395.9823</v>
      </c>
      <c r="M4274" s="460">
        <f t="shared" si="184"/>
        <v>0.05</v>
      </c>
      <c r="N4274" s="464">
        <f t="shared" si="185"/>
        <v>181131</v>
      </c>
    </row>
    <row r="4275" spans="7:14" ht="11.25" customHeight="1" x14ac:dyDescent="0.3">
      <c r="G4275" s="459"/>
      <c r="H4275" s="459">
        <v>4268</v>
      </c>
      <c r="I4275" s="444">
        <f t="shared" ca="1" si="183"/>
        <v>845533622395.9823</v>
      </c>
      <c r="J4275" s="444">
        <f t="array" ref="J4275">IFERROR(INDEX('Retirement Calculator'!J:J,MATCH('Isaac 401k'!N4275,'Retirement Calculator'!A:A,0),0),0)</f>
        <v>0</v>
      </c>
      <c r="K4275" s="444">
        <f t="shared" ca="1" si="181"/>
        <v>3523056759.9832597</v>
      </c>
      <c r="L4275" s="444">
        <f t="shared" ca="1" si="182"/>
        <v>849056679155.96558</v>
      </c>
      <c r="M4275" s="460">
        <f t="shared" si="184"/>
        <v>0.05</v>
      </c>
      <c r="N4275" s="464">
        <f t="shared" si="185"/>
        <v>181162</v>
      </c>
    </row>
    <row r="4276" spans="7:14" ht="11.25" customHeight="1" x14ac:dyDescent="0.3">
      <c r="G4276" s="459"/>
      <c r="H4276" s="459">
        <v>4269</v>
      </c>
      <c r="I4276" s="444">
        <f t="shared" ca="1" si="183"/>
        <v>849056679155.96558</v>
      </c>
      <c r="J4276" s="444">
        <f t="array" ref="J4276">IFERROR(INDEX('Retirement Calculator'!J:J,MATCH('Isaac 401k'!N4276,'Retirement Calculator'!A:A,0),0),0)</f>
        <v>0</v>
      </c>
      <c r="K4276" s="444">
        <f t="shared" ca="1" si="181"/>
        <v>3537736163.1498566</v>
      </c>
      <c r="L4276" s="444">
        <f t="shared" ca="1" si="182"/>
        <v>852594415319.11548</v>
      </c>
      <c r="M4276" s="460">
        <f t="shared" si="184"/>
        <v>0.05</v>
      </c>
      <c r="N4276" s="464">
        <f t="shared" si="185"/>
        <v>181193</v>
      </c>
    </row>
    <row r="4277" spans="7:14" ht="11.25" customHeight="1" x14ac:dyDescent="0.3">
      <c r="G4277" s="459"/>
      <c r="H4277" s="459">
        <v>4270</v>
      </c>
      <c r="I4277" s="444">
        <f t="shared" ca="1" si="183"/>
        <v>852594415319.11548</v>
      </c>
      <c r="J4277" s="444">
        <f t="array" ref="J4277">IFERROR(INDEX('Retirement Calculator'!J:J,MATCH('Isaac 401k'!N4277,'Retirement Calculator'!A:A,0),0),0)</f>
        <v>0</v>
      </c>
      <c r="K4277" s="444">
        <f t="shared" ca="1" si="181"/>
        <v>3552476730.4963145</v>
      </c>
      <c r="L4277" s="444">
        <f t="shared" ca="1" si="182"/>
        <v>856146892049.61182</v>
      </c>
      <c r="M4277" s="460">
        <f t="shared" si="184"/>
        <v>0.05</v>
      </c>
      <c r="N4277" s="464">
        <f t="shared" si="185"/>
        <v>181222</v>
      </c>
    </row>
    <row r="4278" spans="7:14" ht="11.25" customHeight="1" x14ac:dyDescent="0.3">
      <c r="G4278" s="459"/>
      <c r="H4278" s="459">
        <v>4271</v>
      </c>
      <c r="I4278" s="444">
        <f t="shared" ca="1" si="183"/>
        <v>856146892049.61182</v>
      </c>
      <c r="J4278" s="444">
        <f t="array" ref="J4278">IFERROR(INDEX('Retirement Calculator'!J:J,MATCH('Isaac 401k'!N4278,'Retirement Calculator'!A:A,0),0),0)</f>
        <v>0</v>
      </c>
      <c r="K4278" s="444">
        <f t="shared" ca="1" si="181"/>
        <v>3567278716.8733826</v>
      </c>
      <c r="L4278" s="444">
        <f t="shared" ca="1" si="182"/>
        <v>859714170766.48523</v>
      </c>
      <c r="M4278" s="460">
        <f t="shared" si="184"/>
        <v>0.05</v>
      </c>
      <c r="N4278" s="464">
        <f t="shared" si="185"/>
        <v>181253</v>
      </c>
    </row>
    <row r="4279" spans="7:14" ht="11.25" customHeight="1" x14ac:dyDescent="0.3">
      <c r="G4279" s="459"/>
      <c r="H4279" s="459">
        <v>4272</v>
      </c>
      <c r="I4279" s="444">
        <f t="shared" ca="1" si="183"/>
        <v>859714170766.48523</v>
      </c>
      <c r="J4279" s="444">
        <f t="array" ref="J4279">IFERROR(INDEX('Retirement Calculator'!J:J,MATCH('Isaac 401k'!N4279,'Retirement Calculator'!A:A,0),0),0)</f>
        <v>0</v>
      </c>
      <c r="K4279" s="444">
        <f t="shared" ca="1" si="181"/>
        <v>3582142378.1936884</v>
      </c>
      <c r="L4279" s="444">
        <f t="shared" ca="1" si="182"/>
        <v>863296313144.67896</v>
      </c>
      <c r="M4279" s="460">
        <f t="shared" si="184"/>
        <v>0.05</v>
      </c>
      <c r="N4279" s="464">
        <f t="shared" si="185"/>
        <v>181283</v>
      </c>
    </row>
    <row r="4280" spans="7:14" ht="11.25" customHeight="1" x14ac:dyDescent="0.3">
      <c r="G4280" s="459"/>
      <c r="H4280" s="459">
        <v>4273</v>
      </c>
      <c r="I4280" s="444">
        <f t="shared" ca="1" si="183"/>
        <v>863296313144.67896</v>
      </c>
      <c r="J4280" s="444">
        <f t="array" ref="J4280">IFERROR(INDEX('Retirement Calculator'!J:J,MATCH('Isaac 401k'!N4280,'Retirement Calculator'!A:A,0),0),0)</f>
        <v>0</v>
      </c>
      <c r="K4280" s="444">
        <f t="shared" ca="1" si="181"/>
        <v>3597067971.4361625</v>
      </c>
      <c r="L4280" s="444">
        <f t="shared" ca="1" si="182"/>
        <v>866893381116.11511</v>
      </c>
      <c r="M4280" s="460">
        <f t="shared" si="184"/>
        <v>0.05</v>
      </c>
      <c r="N4280" s="464">
        <f t="shared" si="185"/>
        <v>181314</v>
      </c>
    </row>
    <row r="4281" spans="7:14" ht="11.25" customHeight="1" x14ac:dyDescent="0.3">
      <c r="G4281" s="459"/>
      <c r="H4281" s="459">
        <v>4274</v>
      </c>
      <c r="I4281" s="444">
        <f t="shared" ca="1" si="183"/>
        <v>866893381116.11511</v>
      </c>
      <c r="J4281" s="444">
        <f t="array" ref="J4281">IFERROR(INDEX('Retirement Calculator'!J:J,MATCH('Isaac 401k'!N4281,'Retirement Calculator'!A:A,0),0),0)</f>
        <v>0</v>
      </c>
      <c r="K4281" s="444">
        <f t="shared" ca="1" si="181"/>
        <v>3612055754.6504788</v>
      </c>
      <c r="L4281" s="444">
        <f t="shared" ca="1" si="182"/>
        <v>870505436870.76563</v>
      </c>
      <c r="M4281" s="460">
        <f t="shared" si="184"/>
        <v>0.05</v>
      </c>
      <c r="N4281" s="464">
        <f t="shared" si="185"/>
        <v>181344</v>
      </c>
    </row>
    <row r="4282" spans="7:14" ht="11.25" customHeight="1" x14ac:dyDescent="0.3">
      <c r="G4282" s="459"/>
      <c r="H4282" s="459">
        <v>4275</v>
      </c>
      <c r="I4282" s="444">
        <f t="shared" ca="1" si="183"/>
        <v>870505436870.76563</v>
      </c>
      <c r="J4282" s="444">
        <f t="array" ref="J4282">IFERROR(INDEX('Retirement Calculator'!J:J,MATCH('Isaac 401k'!N4282,'Retirement Calculator'!A:A,0),0),0)</f>
        <v>0</v>
      </c>
      <c r="K4282" s="444">
        <f t="shared" ca="1" si="181"/>
        <v>3627105986.9615231</v>
      </c>
      <c r="L4282" s="444">
        <f t="shared" ca="1" si="182"/>
        <v>874132542857.72717</v>
      </c>
      <c r="M4282" s="460">
        <f t="shared" si="184"/>
        <v>0.05</v>
      </c>
      <c r="N4282" s="464">
        <f t="shared" si="185"/>
        <v>181375</v>
      </c>
    </row>
    <row r="4283" spans="7:14" ht="11.25" customHeight="1" x14ac:dyDescent="0.3">
      <c r="G4283" s="459"/>
      <c r="H4283" s="459">
        <v>4276</v>
      </c>
      <c r="I4283" s="444">
        <f t="shared" ca="1" si="183"/>
        <v>874132542857.72717</v>
      </c>
      <c r="J4283" s="444">
        <f t="array" ref="J4283">IFERROR(INDEX('Retirement Calculator'!J:J,MATCH('Isaac 401k'!N4283,'Retirement Calculator'!A:A,0),0),0)</f>
        <v>0</v>
      </c>
      <c r="K4283" s="444">
        <f t="shared" ca="1" si="181"/>
        <v>3642218928.5738635</v>
      </c>
      <c r="L4283" s="444">
        <f t="shared" ca="1" si="182"/>
        <v>877774761786.30103</v>
      </c>
      <c r="M4283" s="460">
        <f t="shared" si="184"/>
        <v>0.05</v>
      </c>
      <c r="N4283" s="464">
        <f t="shared" si="185"/>
        <v>181406</v>
      </c>
    </row>
    <row r="4284" spans="7:14" ht="11.25" customHeight="1" x14ac:dyDescent="0.3">
      <c r="G4284" s="459"/>
      <c r="H4284" s="459">
        <v>4277</v>
      </c>
      <c r="I4284" s="444">
        <f t="shared" ca="1" si="183"/>
        <v>877774761786.30103</v>
      </c>
      <c r="J4284" s="444">
        <f t="array" ref="J4284">IFERROR(INDEX('Retirement Calculator'!J:J,MATCH('Isaac 401k'!N4284,'Retirement Calculator'!A:A,0),0),0)</f>
        <v>0</v>
      </c>
      <c r="K4284" s="444">
        <f t="shared" ca="1" si="181"/>
        <v>3657394840.7762542</v>
      </c>
      <c r="L4284" s="444">
        <f t="shared" ca="1" si="182"/>
        <v>881432156627.07727</v>
      </c>
      <c r="M4284" s="460">
        <f t="shared" si="184"/>
        <v>0.05</v>
      </c>
      <c r="N4284" s="464">
        <f t="shared" si="185"/>
        <v>181436</v>
      </c>
    </row>
    <row r="4285" spans="7:14" ht="11.25" customHeight="1" x14ac:dyDescent="0.3">
      <c r="G4285" s="459"/>
      <c r="H4285" s="459">
        <v>4278</v>
      </c>
      <c r="I4285" s="444">
        <f t="shared" ca="1" si="183"/>
        <v>881432156627.07727</v>
      </c>
      <c r="J4285" s="444">
        <f t="array" ref="J4285">IFERROR(INDEX('Retirement Calculator'!J:J,MATCH('Isaac 401k'!N4285,'Retirement Calculator'!A:A,0),0),0)</f>
        <v>0</v>
      </c>
      <c r="K4285" s="444">
        <f t="shared" ca="1" si="181"/>
        <v>3672633985.9461551</v>
      </c>
      <c r="L4285" s="444">
        <f t="shared" ca="1" si="182"/>
        <v>885104790613.02344</v>
      </c>
      <c r="M4285" s="460">
        <f t="shared" si="184"/>
        <v>0.05</v>
      </c>
      <c r="N4285" s="464">
        <f t="shared" si="185"/>
        <v>181467</v>
      </c>
    </row>
    <row r="4286" spans="7:14" ht="11.25" customHeight="1" x14ac:dyDescent="0.3">
      <c r="G4286" s="459"/>
      <c r="H4286" s="459">
        <v>4279</v>
      </c>
      <c r="I4286" s="444">
        <f t="shared" ca="1" si="183"/>
        <v>885104790613.02344</v>
      </c>
      <c r="J4286" s="444">
        <f t="array" ref="J4286">IFERROR(INDEX('Retirement Calculator'!J:J,MATCH('Isaac 401k'!N4286,'Retirement Calculator'!A:A,0),0),0)</f>
        <v>0</v>
      </c>
      <c r="K4286" s="444">
        <f t="shared" ca="1" si="181"/>
        <v>3687936627.5542641</v>
      </c>
      <c r="L4286" s="444">
        <f t="shared" ca="1" si="182"/>
        <v>888792727240.57776</v>
      </c>
      <c r="M4286" s="460">
        <f t="shared" si="184"/>
        <v>0.05</v>
      </c>
      <c r="N4286" s="464">
        <f t="shared" si="185"/>
        <v>181497</v>
      </c>
    </row>
    <row r="4287" spans="7:14" ht="11.25" customHeight="1" x14ac:dyDescent="0.3">
      <c r="G4287" s="459"/>
      <c r="H4287" s="459">
        <v>4280</v>
      </c>
      <c r="I4287" s="444">
        <f t="shared" ca="1" si="183"/>
        <v>888792727240.57776</v>
      </c>
      <c r="J4287" s="444">
        <f t="array" ref="J4287">IFERROR(INDEX('Retirement Calculator'!J:J,MATCH('Isaac 401k'!N4287,'Retirement Calculator'!A:A,0),0),0)</f>
        <v>0</v>
      </c>
      <c r="K4287" s="444">
        <f t="shared" ca="1" si="181"/>
        <v>3703303030.1690741</v>
      </c>
      <c r="L4287" s="444">
        <f t="shared" ca="1" si="182"/>
        <v>892496030270.74683</v>
      </c>
      <c r="M4287" s="460">
        <f t="shared" si="184"/>
        <v>0.05</v>
      </c>
      <c r="N4287" s="464">
        <f t="shared" si="185"/>
        <v>181528</v>
      </c>
    </row>
    <row r="4288" spans="7:14" ht="11.25" customHeight="1" x14ac:dyDescent="0.3">
      <c r="G4288" s="459"/>
      <c r="H4288" s="459">
        <v>4281</v>
      </c>
      <c r="I4288" s="444">
        <f t="shared" ca="1" si="183"/>
        <v>892496030270.74683</v>
      </c>
      <c r="J4288" s="444">
        <f t="array" ref="J4288">IFERROR(INDEX('Retirement Calculator'!J:J,MATCH('Isaac 401k'!N4288,'Retirement Calculator'!A:A,0),0),0)</f>
        <v>0</v>
      </c>
      <c r="K4288" s="444">
        <f t="shared" ca="1" si="181"/>
        <v>3718733459.4614444</v>
      </c>
      <c r="L4288" s="444">
        <f t="shared" ca="1" si="182"/>
        <v>896214763730.20825</v>
      </c>
      <c r="M4288" s="460">
        <f t="shared" si="184"/>
        <v>0.05</v>
      </c>
      <c r="N4288" s="464">
        <f t="shared" si="185"/>
        <v>181559</v>
      </c>
    </row>
    <row r="4289" spans="7:14" ht="11.25" customHeight="1" x14ac:dyDescent="0.3">
      <c r="G4289" s="459"/>
      <c r="H4289" s="459">
        <v>4282</v>
      </c>
      <c r="I4289" s="444">
        <f t="shared" ca="1" si="183"/>
        <v>896214763730.20825</v>
      </c>
      <c r="J4289" s="444">
        <f t="array" ref="J4289">IFERROR(INDEX('Retirement Calculator'!J:J,MATCH('Isaac 401k'!N4289,'Retirement Calculator'!A:A,0),0),0)</f>
        <v>0</v>
      </c>
      <c r="K4289" s="444">
        <f t="shared" ca="1" si="181"/>
        <v>3734228182.2092009</v>
      </c>
      <c r="L4289" s="444">
        <f t="shared" ca="1" si="182"/>
        <v>899948991912.41748</v>
      </c>
      <c r="M4289" s="460">
        <f t="shared" si="184"/>
        <v>0.05</v>
      </c>
      <c r="N4289" s="464">
        <f t="shared" si="185"/>
        <v>181587</v>
      </c>
    </row>
    <row r="4290" spans="7:14" ht="11.25" customHeight="1" x14ac:dyDescent="0.3">
      <c r="G4290" s="459"/>
      <c r="H4290" s="459">
        <v>4283</v>
      </c>
      <c r="I4290" s="444">
        <f t="shared" ca="1" si="183"/>
        <v>899948991912.41748</v>
      </c>
      <c r="J4290" s="444">
        <f t="array" ref="J4290">IFERROR(INDEX('Retirement Calculator'!J:J,MATCH('Isaac 401k'!N4290,'Retirement Calculator'!A:A,0),0),0)</f>
        <v>0</v>
      </c>
      <c r="K4290" s="444">
        <f t="shared" ca="1" si="181"/>
        <v>3749787466.3017392</v>
      </c>
      <c r="L4290" s="444">
        <f t="shared" ca="1" si="182"/>
        <v>903698779378.71924</v>
      </c>
      <c r="M4290" s="460">
        <f t="shared" si="184"/>
        <v>0.05</v>
      </c>
      <c r="N4290" s="464">
        <f t="shared" si="185"/>
        <v>181618</v>
      </c>
    </row>
    <row r="4291" spans="7:14" ht="11.25" customHeight="1" x14ac:dyDescent="0.3">
      <c r="G4291" s="459"/>
      <c r="H4291" s="459">
        <v>4284</v>
      </c>
      <c r="I4291" s="444">
        <f t="shared" ca="1" si="183"/>
        <v>903698779378.71924</v>
      </c>
      <c r="J4291" s="444">
        <f t="array" ref="J4291">IFERROR(INDEX('Retirement Calculator'!J:J,MATCH('Isaac 401k'!N4291,'Retirement Calculator'!A:A,0),0),0)</f>
        <v>0</v>
      </c>
      <c r="K4291" s="444">
        <f t="shared" ca="1" si="181"/>
        <v>3765411580.7446632</v>
      </c>
      <c r="L4291" s="444">
        <f t="shared" ca="1" si="182"/>
        <v>907464190959.46387</v>
      </c>
      <c r="M4291" s="460">
        <f t="shared" si="184"/>
        <v>0.05</v>
      </c>
      <c r="N4291" s="464">
        <f t="shared" si="185"/>
        <v>181648</v>
      </c>
    </row>
    <row r="4292" spans="7:14" ht="11.25" customHeight="1" x14ac:dyDescent="0.3">
      <c r="G4292" s="459"/>
      <c r="H4292" s="459">
        <v>4285</v>
      </c>
      <c r="I4292" s="444">
        <f t="shared" ca="1" si="183"/>
        <v>907464190959.46387</v>
      </c>
      <c r="J4292" s="444">
        <f t="array" ref="J4292">IFERROR(INDEX('Retirement Calculator'!J:J,MATCH('Isaac 401k'!N4292,'Retirement Calculator'!A:A,0),0),0)</f>
        <v>0</v>
      </c>
      <c r="K4292" s="444">
        <f t="shared" ca="1" si="181"/>
        <v>3781100795.6644325</v>
      </c>
      <c r="L4292" s="444">
        <f t="shared" ca="1" si="182"/>
        <v>911245291755.1283</v>
      </c>
      <c r="M4292" s="460">
        <f t="shared" si="184"/>
        <v>0.05</v>
      </c>
      <c r="N4292" s="464">
        <f t="shared" si="185"/>
        <v>181679</v>
      </c>
    </row>
    <row r="4293" spans="7:14" ht="11.25" customHeight="1" x14ac:dyDescent="0.3">
      <c r="G4293" s="459"/>
      <c r="H4293" s="459">
        <v>4286</v>
      </c>
      <c r="I4293" s="444">
        <f t="shared" ca="1" si="183"/>
        <v>911245291755.1283</v>
      </c>
      <c r="J4293" s="444">
        <f t="array" ref="J4293">IFERROR(INDEX('Retirement Calculator'!J:J,MATCH('Isaac 401k'!N4293,'Retirement Calculator'!A:A,0),0),0)</f>
        <v>0</v>
      </c>
      <c r="K4293" s="444">
        <f t="shared" ca="1" si="181"/>
        <v>3796855382.3130345</v>
      </c>
      <c r="L4293" s="444">
        <f t="shared" ca="1" si="182"/>
        <v>915042147137.44128</v>
      </c>
      <c r="M4293" s="460">
        <f t="shared" si="184"/>
        <v>0.05</v>
      </c>
      <c r="N4293" s="464">
        <f t="shared" si="185"/>
        <v>181709</v>
      </c>
    </row>
    <row r="4294" spans="7:14" ht="11.25" customHeight="1" x14ac:dyDescent="0.3">
      <c r="G4294" s="459"/>
      <c r="H4294" s="459">
        <v>4287</v>
      </c>
      <c r="I4294" s="444">
        <f t="shared" ca="1" si="183"/>
        <v>915042147137.44128</v>
      </c>
      <c r="J4294" s="444">
        <f t="array" ref="J4294">IFERROR(INDEX('Retirement Calculator'!J:J,MATCH('Isaac 401k'!N4294,'Retirement Calculator'!A:A,0),0),0)</f>
        <v>0</v>
      </c>
      <c r="K4294" s="444">
        <f t="shared" ca="1" si="181"/>
        <v>3812675613.0726714</v>
      </c>
      <c r="L4294" s="444">
        <f t="shared" ca="1" si="182"/>
        <v>918854822750.51392</v>
      </c>
      <c r="M4294" s="460">
        <f t="shared" si="184"/>
        <v>0.05</v>
      </c>
      <c r="N4294" s="464">
        <f t="shared" si="185"/>
        <v>181740</v>
      </c>
    </row>
    <row r="4295" spans="7:14" ht="11.25" customHeight="1" x14ac:dyDescent="0.3">
      <c r="G4295" s="459"/>
      <c r="H4295" s="459">
        <v>4288</v>
      </c>
      <c r="I4295" s="444">
        <f t="shared" ca="1" si="183"/>
        <v>918854822750.51392</v>
      </c>
      <c r="J4295" s="444">
        <f t="array" ref="J4295">IFERROR(INDEX('Retirement Calculator'!J:J,MATCH('Isaac 401k'!N4295,'Retirement Calculator'!A:A,0),0),0)</f>
        <v>0</v>
      </c>
      <c r="K4295" s="444">
        <f t="shared" ca="1" si="181"/>
        <v>3828561761.4604745</v>
      </c>
      <c r="L4295" s="444">
        <f t="shared" ca="1" si="182"/>
        <v>922683384511.97437</v>
      </c>
      <c r="M4295" s="460">
        <f t="shared" si="184"/>
        <v>0.05</v>
      </c>
      <c r="N4295" s="464">
        <f t="shared" si="185"/>
        <v>181771</v>
      </c>
    </row>
    <row r="4296" spans="7:14" ht="11.25" customHeight="1" x14ac:dyDescent="0.3">
      <c r="G4296" s="459"/>
      <c r="H4296" s="459">
        <v>4289</v>
      </c>
      <c r="I4296" s="444">
        <f t="shared" ca="1" si="183"/>
        <v>922683384511.97437</v>
      </c>
      <c r="J4296" s="444">
        <f t="array" ref="J4296">IFERROR(INDEX('Retirement Calculator'!J:J,MATCH('Isaac 401k'!N4296,'Retirement Calculator'!A:A,0),0),0)</f>
        <v>0</v>
      </c>
      <c r="K4296" s="444">
        <f t="shared" ca="1" si="181"/>
        <v>3844514102.1332264</v>
      </c>
      <c r="L4296" s="444">
        <f t="shared" ca="1" si="182"/>
        <v>926527898614.10754</v>
      </c>
      <c r="M4296" s="460">
        <f t="shared" si="184"/>
        <v>0.05</v>
      </c>
      <c r="N4296" s="464">
        <f t="shared" si="185"/>
        <v>181801</v>
      </c>
    </row>
    <row r="4297" spans="7:14" ht="11.25" customHeight="1" x14ac:dyDescent="0.3">
      <c r="G4297" s="459"/>
      <c r="H4297" s="459">
        <v>4290</v>
      </c>
      <c r="I4297" s="444">
        <f t="shared" ca="1" si="183"/>
        <v>926527898614.10754</v>
      </c>
      <c r="J4297" s="444">
        <f t="array" ref="J4297">IFERROR(INDEX('Retirement Calculator'!J:J,MATCH('Isaac 401k'!N4297,'Retirement Calculator'!A:A,0),0),0)</f>
        <v>0</v>
      </c>
      <c r="K4297" s="444">
        <f t="shared" ca="1" si="181"/>
        <v>3860532910.8921146</v>
      </c>
      <c r="L4297" s="444">
        <f t="shared" ca="1" si="182"/>
        <v>930388431524.99963</v>
      </c>
      <c r="M4297" s="460">
        <f t="shared" si="184"/>
        <v>0.05</v>
      </c>
      <c r="N4297" s="464">
        <f t="shared" si="185"/>
        <v>181832</v>
      </c>
    </row>
    <row r="4298" spans="7:14" ht="11.25" customHeight="1" x14ac:dyDescent="0.3">
      <c r="G4298" s="459"/>
      <c r="H4298" s="459">
        <v>4291</v>
      </c>
      <c r="I4298" s="444">
        <f t="shared" ca="1" si="183"/>
        <v>930388431524.99963</v>
      </c>
      <c r="J4298" s="444">
        <f t="array" ref="J4298">IFERROR(INDEX('Retirement Calculator'!J:J,MATCH('Isaac 401k'!N4298,'Retirement Calculator'!A:A,0),0),0)</f>
        <v>0</v>
      </c>
      <c r="K4298" s="444">
        <f t="shared" ca="1" si="181"/>
        <v>3876618464.6874986</v>
      </c>
      <c r="L4298" s="444">
        <f t="shared" ca="1" si="182"/>
        <v>934265049989.68713</v>
      </c>
      <c r="M4298" s="460">
        <f t="shared" si="184"/>
        <v>0.05</v>
      </c>
      <c r="N4298" s="464">
        <f t="shared" si="185"/>
        <v>181862</v>
      </c>
    </row>
    <row r="4299" spans="7:14" ht="11.25" customHeight="1" x14ac:dyDescent="0.3">
      <c r="G4299" s="459"/>
      <c r="H4299" s="459">
        <v>4292</v>
      </c>
      <c r="I4299" s="444">
        <f t="shared" ca="1" si="183"/>
        <v>934265049989.68713</v>
      </c>
      <c r="J4299" s="444">
        <f t="array" ref="J4299">IFERROR(INDEX('Retirement Calculator'!J:J,MATCH('Isaac 401k'!N4299,'Retirement Calculator'!A:A,0),0),0)</f>
        <v>0</v>
      </c>
      <c r="K4299" s="444">
        <f t="shared" ca="1" si="181"/>
        <v>3892771041.6236963</v>
      </c>
      <c r="L4299" s="444">
        <f t="shared" ca="1" si="182"/>
        <v>938157821031.31079</v>
      </c>
      <c r="M4299" s="460">
        <f t="shared" si="184"/>
        <v>0.05</v>
      </c>
      <c r="N4299" s="464">
        <f t="shared" si="185"/>
        <v>181893</v>
      </c>
    </row>
    <row r="4300" spans="7:14" ht="11.25" customHeight="1" x14ac:dyDescent="0.3">
      <c r="G4300" s="459"/>
      <c r="H4300" s="459">
        <v>4293</v>
      </c>
      <c r="I4300" s="444">
        <f t="shared" ca="1" si="183"/>
        <v>938157821031.31079</v>
      </c>
      <c r="J4300" s="444">
        <f t="array" ref="J4300">IFERROR(INDEX('Retirement Calculator'!J:J,MATCH('Isaac 401k'!N4300,'Retirement Calculator'!A:A,0),0),0)</f>
        <v>0</v>
      </c>
      <c r="K4300" s="444">
        <f t="shared" ca="1" si="181"/>
        <v>3908990920.9637947</v>
      </c>
      <c r="L4300" s="444">
        <f t="shared" ca="1" si="182"/>
        <v>942066811952.27454</v>
      </c>
      <c r="M4300" s="460">
        <f t="shared" si="184"/>
        <v>0.05</v>
      </c>
      <c r="N4300" s="464">
        <f t="shared" si="185"/>
        <v>181924</v>
      </c>
    </row>
    <row r="4301" spans="7:14" ht="11.25" customHeight="1" x14ac:dyDescent="0.3">
      <c r="G4301" s="459"/>
      <c r="H4301" s="459">
        <v>4294</v>
      </c>
      <c r="I4301" s="444">
        <f t="shared" ca="1" si="183"/>
        <v>942066811952.27454</v>
      </c>
      <c r="J4301" s="444">
        <f t="array" ref="J4301">IFERROR(INDEX('Retirement Calculator'!J:J,MATCH('Isaac 401k'!N4301,'Retirement Calculator'!A:A,0),0),0)</f>
        <v>0</v>
      </c>
      <c r="K4301" s="444">
        <f t="shared" ca="1" si="181"/>
        <v>3925278383.1344771</v>
      </c>
      <c r="L4301" s="444">
        <f t="shared" ca="1" si="182"/>
        <v>945992090335.40906</v>
      </c>
      <c r="M4301" s="460">
        <f t="shared" si="184"/>
        <v>0.05</v>
      </c>
      <c r="N4301" s="464">
        <f t="shared" si="185"/>
        <v>181952</v>
      </c>
    </row>
    <row r="4302" spans="7:14" ht="11.25" customHeight="1" x14ac:dyDescent="0.3">
      <c r="G4302" s="459"/>
      <c r="H4302" s="459">
        <v>4295</v>
      </c>
      <c r="I4302" s="444">
        <f t="shared" ca="1" si="183"/>
        <v>945992090335.40906</v>
      </c>
      <c r="J4302" s="444">
        <f t="array" ref="J4302">IFERROR(INDEX('Retirement Calculator'!J:J,MATCH('Isaac 401k'!N4302,'Retirement Calculator'!A:A,0),0),0)</f>
        <v>0</v>
      </c>
      <c r="K4302" s="444">
        <f t="shared" ca="1" si="181"/>
        <v>3941633709.7308707</v>
      </c>
      <c r="L4302" s="444">
        <f t="shared" ca="1" si="182"/>
        <v>949933724045.13989</v>
      </c>
      <c r="M4302" s="460">
        <f t="shared" si="184"/>
        <v>0.05</v>
      </c>
      <c r="N4302" s="464">
        <f t="shared" si="185"/>
        <v>181983</v>
      </c>
    </row>
    <row r="4303" spans="7:14" ht="11.25" customHeight="1" x14ac:dyDescent="0.3">
      <c r="G4303" s="459"/>
      <c r="H4303" s="459">
        <v>4296</v>
      </c>
      <c r="I4303" s="444">
        <f t="shared" ca="1" si="183"/>
        <v>949933724045.13989</v>
      </c>
      <c r="J4303" s="444">
        <f t="array" ref="J4303">IFERROR(INDEX('Retirement Calculator'!J:J,MATCH('Isaac 401k'!N4303,'Retirement Calculator'!A:A,0),0),0)</f>
        <v>0</v>
      </c>
      <c r="K4303" s="444">
        <f t="shared" ca="1" si="181"/>
        <v>3958057183.5214162</v>
      </c>
      <c r="L4303" s="444">
        <f t="shared" ca="1" si="182"/>
        <v>953891781228.66125</v>
      </c>
      <c r="M4303" s="460">
        <f t="shared" si="184"/>
        <v>0.05</v>
      </c>
      <c r="N4303" s="464">
        <f t="shared" si="185"/>
        <v>182013</v>
      </c>
    </row>
    <row r="4304" spans="7:14" ht="11.25" customHeight="1" x14ac:dyDescent="0.3">
      <c r="G4304" s="459"/>
      <c r="H4304" s="459">
        <v>4297</v>
      </c>
      <c r="I4304" s="444">
        <f t="shared" ca="1" si="183"/>
        <v>953891781228.66125</v>
      </c>
      <c r="J4304" s="444">
        <f t="array" ref="J4304">IFERROR(INDEX('Retirement Calculator'!J:J,MATCH('Isaac 401k'!N4304,'Retirement Calculator'!A:A,0),0),0)</f>
        <v>0</v>
      </c>
      <c r="K4304" s="444">
        <f t="shared" ca="1" si="181"/>
        <v>3974549088.452755</v>
      </c>
      <c r="L4304" s="444">
        <f t="shared" ca="1" si="182"/>
        <v>957866330317.11401</v>
      </c>
      <c r="M4304" s="460">
        <f t="shared" si="184"/>
        <v>0.05</v>
      </c>
      <c r="N4304" s="464">
        <f t="shared" si="185"/>
        <v>182044</v>
      </c>
    </row>
    <row r="4305" spans="7:14" ht="11.25" customHeight="1" x14ac:dyDescent="0.3">
      <c r="G4305" s="459"/>
      <c r="H4305" s="459">
        <v>4298</v>
      </c>
      <c r="I4305" s="444">
        <f t="shared" ca="1" si="183"/>
        <v>957866330317.11401</v>
      </c>
      <c r="J4305" s="444">
        <f t="array" ref="J4305">IFERROR(INDEX('Retirement Calculator'!J:J,MATCH('Isaac 401k'!N4305,'Retirement Calculator'!A:A,0),0),0)</f>
        <v>0</v>
      </c>
      <c r="K4305" s="444">
        <f t="shared" ca="1" si="181"/>
        <v>3991109709.6546412</v>
      </c>
      <c r="L4305" s="444">
        <f t="shared" ca="1" si="182"/>
        <v>961857440026.76868</v>
      </c>
      <c r="M4305" s="460">
        <f t="shared" si="184"/>
        <v>0.05</v>
      </c>
      <c r="N4305" s="464">
        <f t="shared" si="185"/>
        <v>182074</v>
      </c>
    </row>
    <row r="4306" spans="7:14" ht="11.25" customHeight="1" x14ac:dyDescent="0.3">
      <c r="G4306" s="459"/>
      <c r="H4306" s="459">
        <v>4299</v>
      </c>
      <c r="I4306" s="444">
        <f t="shared" ca="1" si="183"/>
        <v>961857440026.76868</v>
      </c>
      <c r="J4306" s="444">
        <f t="array" ref="J4306">IFERROR(INDEX('Retirement Calculator'!J:J,MATCH('Isaac 401k'!N4306,'Retirement Calculator'!A:A,0),0),0)</f>
        <v>0</v>
      </c>
      <c r="K4306" s="444">
        <f t="shared" ca="1" si="181"/>
        <v>4007739333.4448695</v>
      </c>
      <c r="L4306" s="444">
        <f t="shared" ca="1" si="182"/>
        <v>965865179360.2135</v>
      </c>
      <c r="M4306" s="460">
        <f t="shared" si="184"/>
        <v>0.05</v>
      </c>
      <c r="N4306" s="464">
        <f t="shared" si="185"/>
        <v>182105</v>
      </c>
    </row>
    <row r="4307" spans="7:14" ht="11.25" customHeight="1" x14ac:dyDescent="0.3">
      <c r="G4307" s="459"/>
      <c r="H4307" s="459">
        <v>4300</v>
      </c>
      <c r="I4307" s="444">
        <f t="shared" ca="1" si="183"/>
        <v>965865179360.2135</v>
      </c>
      <c r="J4307" s="444">
        <f t="array" ref="J4307">IFERROR(INDEX('Retirement Calculator'!J:J,MATCH('Isaac 401k'!N4307,'Retirement Calculator'!A:A,0),0),0)</f>
        <v>0</v>
      </c>
      <c r="K4307" s="444">
        <f t="shared" ca="1" si="181"/>
        <v>4024438247.3342228</v>
      </c>
      <c r="L4307" s="444">
        <f t="shared" ca="1" si="182"/>
        <v>969889617607.54773</v>
      </c>
      <c r="M4307" s="460">
        <f t="shared" si="184"/>
        <v>0.05</v>
      </c>
      <c r="N4307" s="464">
        <f t="shared" si="185"/>
        <v>182136</v>
      </c>
    </row>
    <row r="4308" spans="7:14" ht="11.25" customHeight="1" x14ac:dyDescent="0.3">
      <c r="G4308" s="459"/>
      <c r="H4308" s="459">
        <v>4301</v>
      </c>
      <c r="I4308" s="444">
        <f t="shared" ca="1" si="183"/>
        <v>969889617607.54773</v>
      </c>
      <c r="J4308" s="444">
        <f t="array" ref="J4308">IFERROR(INDEX('Retirement Calculator'!J:J,MATCH('Isaac 401k'!N4308,'Retirement Calculator'!A:A,0),0),0)</f>
        <v>0</v>
      </c>
      <c r="K4308" s="444">
        <f t="shared" ca="1" si="181"/>
        <v>4041206740.0314488</v>
      </c>
      <c r="L4308" s="444">
        <f t="shared" ca="1" si="182"/>
        <v>973930824347.57922</v>
      </c>
      <c r="M4308" s="460">
        <f t="shared" si="184"/>
        <v>0.05</v>
      </c>
      <c r="N4308" s="464">
        <f t="shared" si="185"/>
        <v>182166</v>
      </c>
    </row>
    <row r="4309" spans="7:14" ht="11.25" customHeight="1" x14ac:dyDescent="0.3">
      <c r="G4309" s="459"/>
      <c r="H4309" s="459">
        <v>4302</v>
      </c>
      <c r="I4309" s="444">
        <f t="shared" ca="1" si="183"/>
        <v>973930824347.57922</v>
      </c>
      <c r="J4309" s="444">
        <f t="array" ref="J4309">IFERROR(INDEX('Retirement Calculator'!J:J,MATCH('Isaac 401k'!N4309,'Retirement Calculator'!A:A,0),0),0)</f>
        <v>0</v>
      </c>
      <c r="K4309" s="444">
        <f t="shared" ca="1" si="181"/>
        <v>4058045101.4482474</v>
      </c>
      <c r="L4309" s="444">
        <f t="shared" ca="1" si="182"/>
        <v>977988869449.02747</v>
      </c>
      <c r="M4309" s="460">
        <f t="shared" si="184"/>
        <v>0.05</v>
      </c>
      <c r="N4309" s="464">
        <f t="shared" si="185"/>
        <v>182197</v>
      </c>
    </row>
    <row r="4310" spans="7:14" ht="11.25" customHeight="1" x14ac:dyDescent="0.3">
      <c r="G4310" s="459"/>
      <c r="H4310" s="459">
        <v>4303</v>
      </c>
      <c r="I4310" s="444">
        <f t="shared" ca="1" si="183"/>
        <v>977988869449.02747</v>
      </c>
      <c r="J4310" s="444">
        <f t="array" ref="J4310">IFERROR(INDEX('Retirement Calculator'!J:J,MATCH('Isaac 401k'!N4310,'Retirement Calculator'!A:A,0),0),0)</f>
        <v>0</v>
      </c>
      <c r="K4310" s="444">
        <f t="shared" ca="1" si="181"/>
        <v>4074953622.7042804</v>
      </c>
      <c r="L4310" s="444">
        <f t="shared" ca="1" si="182"/>
        <v>982063823071.73169</v>
      </c>
      <c r="M4310" s="460">
        <f t="shared" si="184"/>
        <v>0.05</v>
      </c>
      <c r="N4310" s="464">
        <f t="shared" si="185"/>
        <v>182227</v>
      </c>
    </row>
    <row r="4311" spans="7:14" ht="11.25" customHeight="1" x14ac:dyDescent="0.3">
      <c r="G4311" s="459"/>
      <c r="H4311" s="459">
        <v>4304</v>
      </c>
      <c r="I4311" s="444">
        <f t="shared" ca="1" si="183"/>
        <v>982063823071.73169</v>
      </c>
      <c r="J4311" s="444">
        <f t="array" ref="J4311">IFERROR(INDEX('Retirement Calculator'!J:J,MATCH('Isaac 401k'!N4311,'Retirement Calculator'!A:A,0),0),0)</f>
        <v>0</v>
      </c>
      <c r="K4311" s="444">
        <f t="shared" ca="1" si="181"/>
        <v>4091932596.132216</v>
      </c>
      <c r="L4311" s="444">
        <f t="shared" ca="1" si="182"/>
        <v>986155755667.86389</v>
      </c>
      <c r="M4311" s="460">
        <f t="shared" si="184"/>
        <v>0.05</v>
      </c>
      <c r="N4311" s="464">
        <f t="shared" si="185"/>
        <v>182258</v>
      </c>
    </row>
    <row r="4312" spans="7:14" ht="11.25" customHeight="1" x14ac:dyDescent="0.3">
      <c r="G4312" s="459"/>
      <c r="H4312" s="459">
        <v>4305</v>
      </c>
      <c r="I4312" s="444">
        <f t="shared" ca="1" si="183"/>
        <v>986155755667.86389</v>
      </c>
      <c r="J4312" s="444">
        <f t="array" ref="J4312">IFERROR(INDEX('Retirement Calculator'!J:J,MATCH('Isaac 401k'!N4312,'Retirement Calculator'!A:A,0),0),0)</f>
        <v>0</v>
      </c>
      <c r="K4312" s="444">
        <f t="shared" ca="1" si="181"/>
        <v>4108982315.2827663</v>
      </c>
      <c r="L4312" s="444">
        <f t="shared" ca="1" si="182"/>
        <v>990264737983.14661</v>
      </c>
      <c r="M4312" s="460">
        <f t="shared" si="184"/>
        <v>0.05</v>
      </c>
      <c r="N4312" s="464">
        <f t="shared" si="185"/>
        <v>182289</v>
      </c>
    </row>
    <row r="4313" spans="7:14" ht="11.25" customHeight="1" x14ac:dyDescent="0.3">
      <c r="G4313" s="459"/>
      <c r="H4313" s="459">
        <v>4306</v>
      </c>
      <c r="I4313" s="444">
        <f t="shared" ca="1" si="183"/>
        <v>990264737983.14661</v>
      </c>
      <c r="J4313" s="444">
        <f t="array" ref="J4313">IFERROR(INDEX('Retirement Calculator'!J:J,MATCH('Isaac 401k'!N4313,'Retirement Calculator'!A:A,0),0),0)</f>
        <v>0</v>
      </c>
      <c r="K4313" s="444">
        <f t="shared" ca="1" si="181"/>
        <v>4126103074.9297776</v>
      </c>
      <c r="L4313" s="444">
        <f t="shared" ca="1" si="182"/>
        <v>994390841058.07642</v>
      </c>
      <c r="M4313" s="460">
        <f t="shared" si="184"/>
        <v>0.05</v>
      </c>
      <c r="N4313" s="464">
        <f t="shared" si="185"/>
        <v>182317</v>
      </c>
    </row>
    <row r="4314" spans="7:14" ht="11.25" customHeight="1" x14ac:dyDescent="0.3">
      <c r="G4314" s="459"/>
      <c r="H4314" s="459">
        <v>4307</v>
      </c>
      <c r="I4314" s="444">
        <f t="shared" ca="1" si="183"/>
        <v>994390841058.07642</v>
      </c>
      <c r="J4314" s="444">
        <f t="array" ref="J4314">IFERROR(INDEX('Retirement Calculator'!J:J,MATCH('Isaac 401k'!N4314,'Retirement Calculator'!A:A,0),0),0)</f>
        <v>0</v>
      </c>
      <c r="K4314" s="444">
        <f t="shared" ca="1" si="181"/>
        <v>4143295171.0753183</v>
      </c>
      <c r="L4314" s="444">
        <f t="shared" ca="1" si="182"/>
        <v>998534136229.15173</v>
      </c>
      <c r="M4314" s="460">
        <f t="shared" si="184"/>
        <v>0.05</v>
      </c>
      <c r="N4314" s="464">
        <f t="shared" si="185"/>
        <v>182348</v>
      </c>
    </row>
    <row r="4315" spans="7:14" ht="11.25" customHeight="1" x14ac:dyDescent="0.3">
      <c r="G4315" s="459"/>
      <c r="H4315" s="459">
        <v>4308</v>
      </c>
      <c r="I4315" s="444">
        <f t="shared" ca="1" si="183"/>
        <v>998534136229.15173</v>
      </c>
      <c r="J4315" s="444">
        <f t="array" ref="J4315">IFERROR(INDEX('Retirement Calculator'!J:J,MATCH('Isaac 401k'!N4315,'Retirement Calculator'!A:A,0),0),0)</f>
        <v>0</v>
      </c>
      <c r="K4315" s="444">
        <f t="shared" ca="1" si="181"/>
        <v>4160558900.9547992</v>
      </c>
      <c r="L4315" s="444">
        <f t="shared" ca="1" si="182"/>
        <v>1002694695130.1066</v>
      </c>
      <c r="M4315" s="460">
        <f t="shared" si="184"/>
        <v>0.05</v>
      </c>
      <c r="N4315" s="464">
        <f t="shared" si="185"/>
        <v>182378</v>
      </c>
    </row>
    <row r="4316" spans="7:14" ht="11.25" customHeight="1" x14ac:dyDescent="0.3">
      <c r="G4316" s="459"/>
      <c r="H4316" s="459">
        <v>4309</v>
      </c>
      <c r="I4316" s="444">
        <f t="shared" ca="1" si="183"/>
        <v>1002694695130.1066</v>
      </c>
      <c r="J4316" s="444">
        <f t="array" ref="J4316">IFERROR(INDEX('Retirement Calculator'!J:J,MATCH('Isaac 401k'!N4316,'Retirement Calculator'!A:A,0),0),0)</f>
        <v>0</v>
      </c>
      <c r="K4316" s="444">
        <f t="shared" ca="1" si="181"/>
        <v>4177894563.0421104</v>
      </c>
      <c r="L4316" s="444">
        <f t="shared" ca="1" si="182"/>
        <v>1006872589693.1487</v>
      </c>
      <c r="M4316" s="460">
        <f t="shared" si="184"/>
        <v>0.05</v>
      </c>
      <c r="N4316" s="464">
        <f t="shared" si="185"/>
        <v>182409</v>
      </c>
    </row>
    <row r="4317" spans="7:14" ht="11.25" customHeight="1" x14ac:dyDescent="0.3">
      <c r="G4317" s="459"/>
      <c r="H4317" s="459">
        <v>4310</v>
      </c>
      <c r="I4317" s="444">
        <f t="shared" ca="1" si="183"/>
        <v>1006872589693.1487</v>
      </c>
      <c r="J4317" s="444">
        <f t="array" ref="J4317">IFERROR(INDEX('Retirement Calculator'!J:J,MATCH('Isaac 401k'!N4317,'Retirement Calculator'!A:A,0),0),0)</f>
        <v>0</v>
      </c>
      <c r="K4317" s="444">
        <f t="shared" ca="1" si="181"/>
        <v>4195302457.0547857</v>
      </c>
      <c r="L4317" s="444">
        <f t="shared" ca="1" si="182"/>
        <v>1011067892150.2035</v>
      </c>
      <c r="M4317" s="460">
        <f t="shared" si="184"/>
        <v>0.05</v>
      </c>
      <c r="N4317" s="464">
        <f t="shared" si="185"/>
        <v>182439</v>
      </c>
    </row>
    <row r="4318" spans="7:14" ht="11.25" customHeight="1" x14ac:dyDescent="0.3">
      <c r="G4318" s="459"/>
      <c r="H4318" s="459">
        <v>4311</v>
      </c>
      <c r="I4318" s="444">
        <f t="shared" ca="1" si="183"/>
        <v>1011067892150.2035</v>
      </c>
      <c r="J4318" s="444">
        <f t="array" ref="J4318">IFERROR(INDEX('Retirement Calculator'!J:J,MATCH('Isaac 401k'!N4318,'Retirement Calculator'!A:A,0),0),0)</f>
        <v>0</v>
      </c>
      <c r="K4318" s="444">
        <f t="shared" ca="1" si="181"/>
        <v>4212782883.9591813</v>
      </c>
      <c r="L4318" s="444">
        <f t="shared" ca="1" si="182"/>
        <v>1015280675034.1627</v>
      </c>
      <c r="M4318" s="460">
        <f t="shared" si="184"/>
        <v>0.05</v>
      </c>
      <c r="N4318" s="464">
        <f t="shared" si="185"/>
        <v>182470</v>
      </c>
    </row>
    <row r="4319" spans="7:14" ht="11.25" customHeight="1" x14ac:dyDescent="0.3">
      <c r="G4319" s="459"/>
      <c r="H4319" s="459">
        <v>4312</v>
      </c>
      <c r="I4319" s="444">
        <f t="shared" ca="1" si="183"/>
        <v>1015280675034.1627</v>
      </c>
      <c r="J4319" s="444">
        <f t="array" ref="J4319">IFERROR(INDEX('Retirement Calculator'!J:J,MATCH('Isaac 401k'!N4319,'Retirement Calculator'!A:A,0),0),0)</f>
        <v>0</v>
      </c>
      <c r="K4319" s="444">
        <f t="shared" ca="1" si="181"/>
        <v>4230336145.975678</v>
      </c>
      <c r="L4319" s="444">
        <f t="shared" ca="1" si="182"/>
        <v>1019511011180.1384</v>
      </c>
      <c r="M4319" s="460">
        <f t="shared" si="184"/>
        <v>0.05</v>
      </c>
      <c r="N4319" s="464">
        <f t="shared" si="185"/>
        <v>182501</v>
      </c>
    </row>
    <row r="4320" spans="7:14" ht="11.25" customHeight="1" x14ac:dyDescent="0.3">
      <c r="G4320" s="459"/>
      <c r="H4320" s="459">
        <v>4313</v>
      </c>
      <c r="I4320" s="444">
        <f t="shared" ca="1" si="183"/>
        <v>1019511011180.1384</v>
      </c>
      <c r="J4320" s="444">
        <f t="array" ref="J4320">IFERROR(INDEX('Retirement Calculator'!J:J,MATCH('Isaac 401k'!N4320,'Retirement Calculator'!A:A,0),0),0)</f>
        <v>0</v>
      </c>
      <c r="K4320" s="444">
        <f t="shared" ca="1" si="181"/>
        <v>4247962546.58391</v>
      </c>
      <c r="L4320" s="444">
        <f t="shared" ca="1" si="182"/>
        <v>1023758973726.7223</v>
      </c>
      <c r="M4320" s="460">
        <f t="shared" si="184"/>
        <v>0.05</v>
      </c>
      <c r="N4320" s="464">
        <f t="shared" si="185"/>
        <v>182531</v>
      </c>
    </row>
    <row r="4321" spans="7:14" ht="11.25" customHeight="1" x14ac:dyDescent="0.3">
      <c r="G4321" s="459"/>
      <c r="H4321" s="459">
        <v>4314</v>
      </c>
      <c r="I4321" s="444">
        <f t="shared" ca="1" si="183"/>
        <v>1023758973726.7223</v>
      </c>
      <c r="J4321" s="444">
        <f t="array" ref="J4321">IFERROR(INDEX('Retirement Calculator'!J:J,MATCH('Isaac 401k'!N4321,'Retirement Calculator'!A:A,0),0),0)</f>
        <v>0</v>
      </c>
      <c r="K4321" s="444">
        <f t="shared" ca="1" si="181"/>
        <v>4265662390.5280089</v>
      </c>
      <c r="L4321" s="444">
        <f t="shared" ca="1" si="182"/>
        <v>1028024636117.2502</v>
      </c>
      <c r="M4321" s="460">
        <f t="shared" si="184"/>
        <v>0.05</v>
      </c>
      <c r="N4321" s="464">
        <f t="shared" si="185"/>
        <v>182562</v>
      </c>
    </row>
    <row r="4322" spans="7:14" ht="11.25" customHeight="1" x14ac:dyDescent="0.3">
      <c r="G4322" s="459"/>
      <c r="H4322" s="459">
        <v>4315</v>
      </c>
      <c r="I4322" s="444">
        <f t="shared" ca="1" si="183"/>
        <v>1028024636117.2502</v>
      </c>
      <c r="J4322" s="444">
        <f t="array" ref="J4322">IFERROR(INDEX('Retirement Calculator'!J:J,MATCH('Isaac 401k'!N4322,'Retirement Calculator'!A:A,0),0),0)</f>
        <v>0</v>
      </c>
      <c r="K4322" s="444">
        <f t="shared" ca="1" si="181"/>
        <v>4283435983.821876</v>
      </c>
      <c r="L4322" s="444">
        <f t="shared" ca="1" si="182"/>
        <v>1032308072101.0721</v>
      </c>
      <c r="M4322" s="460">
        <f t="shared" si="184"/>
        <v>0.05</v>
      </c>
      <c r="N4322" s="464">
        <f t="shared" si="185"/>
        <v>182592</v>
      </c>
    </row>
    <row r="4323" spans="7:14" ht="11.25" customHeight="1" x14ac:dyDescent="0.3">
      <c r="G4323" s="459"/>
      <c r="H4323" s="459">
        <v>4316</v>
      </c>
      <c r="I4323" s="444">
        <f t="shared" ca="1" si="183"/>
        <v>1032308072101.0721</v>
      </c>
      <c r="J4323" s="444">
        <f t="array" ref="J4323">IFERROR(INDEX('Retirement Calculator'!J:J,MATCH('Isaac 401k'!N4323,'Retirement Calculator'!A:A,0),0),0)</f>
        <v>0</v>
      </c>
      <c r="K4323" s="444">
        <f t="shared" ca="1" si="181"/>
        <v>4301283633.754467</v>
      </c>
      <c r="L4323" s="444">
        <f t="shared" ca="1" si="182"/>
        <v>1036609355734.8267</v>
      </c>
      <c r="M4323" s="460">
        <f t="shared" si="184"/>
        <v>0.05</v>
      </c>
      <c r="N4323" s="464">
        <f t="shared" si="185"/>
        <v>182623</v>
      </c>
    </row>
    <row r="4324" spans="7:14" ht="11.25" customHeight="1" x14ac:dyDescent="0.3">
      <c r="G4324" s="459"/>
      <c r="H4324" s="459">
        <v>4317</v>
      </c>
      <c r="I4324" s="444">
        <f t="shared" ca="1" si="183"/>
        <v>1036609355734.8267</v>
      </c>
      <c r="J4324" s="444">
        <f t="array" ref="J4324">IFERROR(INDEX('Retirement Calculator'!J:J,MATCH('Isaac 401k'!N4324,'Retirement Calculator'!A:A,0),0),0)</f>
        <v>0</v>
      </c>
      <c r="K4324" s="444">
        <f t="shared" ca="1" si="181"/>
        <v>4319205648.8951101</v>
      </c>
      <c r="L4324" s="444">
        <f t="shared" ca="1" si="182"/>
        <v>1040928561383.7218</v>
      </c>
      <c r="M4324" s="460">
        <f t="shared" si="184"/>
        <v>0.05</v>
      </c>
      <c r="N4324" s="464">
        <f t="shared" si="185"/>
        <v>182654</v>
      </c>
    </row>
    <row r="4325" spans="7:14" ht="11.25" customHeight="1" x14ac:dyDescent="0.3">
      <c r="G4325" s="459"/>
      <c r="H4325" s="459">
        <v>4318</v>
      </c>
      <c r="I4325" s="444">
        <f t="shared" ca="1" si="183"/>
        <v>1040928561383.7218</v>
      </c>
      <c r="J4325" s="444">
        <f t="array" ref="J4325">IFERROR(INDEX('Retirement Calculator'!J:J,MATCH('Isaac 401k'!N4325,'Retirement Calculator'!A:A,0),0),0)</f>
        <v>0</v>
      </c>
      <c r="K4325" s="444">
        <f t="shared" ca="1" si="181"/>
        <v>4337202339.0988407</v>
      </c>
      <c r="L4325" s="444">
        <f t="shared" ca="1" si="182"/>
        <v>1045265763722.8207</v>
      </c>
      <c r="M4325" s="460">
        <f t="shared" si="184"/>
        <v>0.05</v>
      </c>
      <c r="N4325" s="464">
        <f t="shared" si="185"/>
        <v>182683</v>
      </c>
    </row>
    <row r="4326" spans="7:14" ht="11.25" customHeight="1" x14ac:dyDescent="0.3">
      <c r="G4326" s="459"/>
      <c r="H4326" s="459">
        <v>4319</v>
      </c>
      <c r="I4326" s="444">
        <f t="shared" ca="1" si="183"/>
        <v>1045265763722.8207</v>
      </c>
      <c r="J4326" s="444">
        <f t="array" ref="J4326">IFERROR(INDEX('Retirement Calculator'!J:J,MATCH('Isaac 401k'!N4326,'Retirement Calculator'!A:A,0),0),0)</f>
        <v>0</v>
      </c>
      <c r="K4326" s="444">
        <f t="shared" ca="1" si="181"/>
        <v>4355274015.5117531</v>
      </c>
      <c r="L4326" s="444">
        <f t="shared" ca="1" si="182"/>
        <v>1049621037738.3324</v>
      </c>
      <c r="M4326" s="460">
        <f t="shared" si="184"/>
        <v>0.05</v>
      </c>
      <c r="N4326" s="464">
        <f t="shared" si="185"/>
        <v>182714</v>
      </c>
    </row>
    <row r="4327" spans="7:14" ht="11.25" customHeight="1" x14ac:dyDescent="0.3">
      <c r="G4327" s="459"/>
      <c r="H4327" s="459">
        <v>4320</v>
      </c>
      <c r="I4327" s="444">
        <f t="shared" ca="1" si="183"/>
        <v>1049621037738.3324</v>
      </c>
      <c r="J4327" s="444">
        <f t="array" ref="J4327">IFERROR(INDEX('Retirement Calculator'!J:J,MATCH('Isaac 401k'!N4327,'Retirement Calculator'!A:A,0),0),0)</f>
        <v>0</v>
      </c>
      <c r="K4327" s="444">
        <f t="shared" ca="1" si="181"/>
        <v>4373420990.5763845</v>
      </c>
      <c r="L4327" s="444">
        <f t="shared" ca="1" si="182"/>
        <v>1053994458728.9088</v>
      </c>
      <c r="M4327" s="460">
        <f t="shared" si="184"/>
        <v>0.05</v>
      </c>
      <c r="N4327" s="464">
        <f t="shared" si="185"/>
        <v>182744</v>
      </c>
    </row>
    <row r="4328" spans="7:14" ht="11.25" customHeight="1" x14ac:dyDescent="0.3">
      <c r="G4328" s="459"/>
      <c r="H4328" s="459">
        <v>4321</v>
      </c>
      <c r="I4328" s="444">
        <f t="shared" ca="1" si="183"/>
        <v>1053994458728.9088</v>
      </c>
      <c r="J4328" s="444">
        <f t="array" ref="J4328">IFERROR(INDEX('Retirement Calculator'!J:J,MATCH('Isaac 401k'!N4328,'Retirement Calculator'!A:A,0),0),0)</f>
        <v>0</v>
      </c>
      <c r="K4328" s="444">
        <f t="shared" ca="1" si="181"/>
        <v>4391643578.0371208</v>
      </c>
      <c r="L4328" s="444">
        <f t="shared" ca="1" si="182"/>
        <v>1058386102306.9459</v>
      </c>
      <c r="M4328" s="460">
        <f t="shared" si="184"/>
        <v>0.05</v>
      </c>
      <c r="N4328" s="464">
        <f t="shared" si="185"/>
        <v>182775</v>
      </c>
    </row>
    <row r="4329" spans="7:14" ht="11.25" customHeight="1" x14ac:dyDescent="0.3">
      <c r="G4329" s="459"/>
      <c r="H4329" s="459">
        <v>4322</v>
      </c>
      <c r="I4329" s="444">
        <f t="shared" ca="1" si="183"/>
        <v>1058386102306.9459</v>
      </c>
      <c r="J4329" s="444">
        <f t="array" ref="J4329">IFERROR(INDEX('Retirement Calculator'!J:J,MATCH('Isaac 401k'!N4329,'Retirement Calculator'!A:A,0),0),0)</f>
        <v>0</v>
      </c>
      <c r="K4329" s="444">
        <f t="shared" ca="1" si="181"/>
        <v>4409942092.9456081</v>
      </c>
      <c r="L4329" s="444">
        <f t="shared" ca="1" si="182"/>
        <v>1062796044399.8915</v>
      </c>
      <c r="M4329" s="460">
        <f t="shared" si="184"/>
        <v>0.05</v>
      </c>
      <c r="N4329" s="464">
        <f t="shared" si="185"/>
        <v>182805</v>
      </c>
    </row>
    <row r="4330" spans="7:14" ht="11.25" customHeight="1" x14ac:dyDescent="0.3">
      <c r="G4330" s="459"/>
      <c r="H4330" s="459">
        <v>4323</v>
      </c>
      <c r="I4330" s="444">
        <f t="shared" ca="1" si="183"/>
        <v>1062796044399.8915</v>
      </c>
      <c r="J4330" s="444">
        <f t="array" ref="J4330">IFERROR(INDEX('Retirement Calculator'!J:J,MATCH('Isaac 401k'!N4330,'Retirement Calculator'!A:A,0),0),0)</f>
        <v>0</v>
      </c>
      <c r="K4330" s="444">
        <f t="shared" ca="1" si="181"/>
        <v>4428316851.6662149</v>
      </c>
      <c r="L4330" s="444">
        <f t="shared" ca="1" si="182"/>
        <v>1067224361251.5577</v>
      </c>
      <c r="M4330" s="460">
        <f t="shared" si="184"/>
        <v>0.05</v>
      </c>
      <c r="N4330" s="464">
        <f t="shared" si="185"/>
        <v>182836</v>
      </c>
    </row>
    <row r="4331" spans="7:14" ht="11.25" customHeight="1" x14ac:dyDescent="0.3">
      <c r="G4331" s="459"/>
      <c r="H4331" s="459">
        <v>4324</v>
      </c>
      <c r="I4331" s="444">
        <f t="shared" ca="1" si="183"/>
        <v>1067224361251.5577</v>
      </c>
      <c r="J4331" s="444">
        <f t="array" ref="J4331">IFERROR(INDEX('Retirement Calculator'!J:J,MATCH('Isaac 401k'!N4331,'Retirement Calculator'!A:A,0),0),0)</f>
        <v>0</v>
      </c>
      <c r="K4331" s="444">
        <f t="shared" ca="1" si="181"/>
        <v>4446768171.8814898</v>
      </c>
      <c r="L4331" s="444">
        <f t="shared" ca="1" si="182"/>
        <v>1071671129423.4392</v>
      </c>
      <c r="M4331" s="460">
        <f t="shared" si="184"/>
        <v>0.05</v>
      </c>
      <c r="N4331" s="464">
        <f t="shared" si="185"/>
        <v>182867</v>
      </c>
    </row>
    <row r="4332" spans="7:14" ht="11.25" customHeight="1" x14ac:dyDescent="0.3">
      <c r="G4332" s="459"/>
      <c r="H4332" s="459">
        <v>4325</v>
      </c>
      <c r="I4332" s="444">
        <f t="shared" ca="1" si="183"/>
        <v>1071671129423.4392</v>
      </c>
      <c r="J4332" s="444">
        <f t="array" ref="J4332">IFERROR(INDEX('Retirement Calculator'!J:J,MATCH('Isaac 401k'!N4332,'Retirement Calculator'!A:A,0),0),0)</f>
        <v>0</v>
      </c>
      <c r="K4332" s="444">
        <f t="shared" ca="1" si="181"/>
        <v>4465296372.5976629</v>
      </c>
      <c r="L4332" s="444">
        <f t="shared" ca="1" si="182"/>
        <v>1076136425796.0369</v>
      </c>
      <c r="M4332" s="460">
        <f t="shared" si="184"/>
        <v>0.05</v>
      </c>
      <c r="N4332" s="464">
        <f t="shared" si="185"/>
        <v>182897</v>
      </c>
    </row>
    <row r="4333" spans="7:14" ht="11.25" customHeight="1" x14ac:dyDescent="0.3">
      <c r="G4333" s="459"/>
      <c r="H4333" s="459">
        <v>4326</v>
      </c>
      <c r="I4333" s="444">
        <f t="shared" ca="1" si="183"/>
        <v>1076136425796.0369</v>
      </c>
      <c r="J4333" s="444">
        <f t="array" ref="J4333">IFERROR(INDEX('Retirement Calculator'!J:J,MATCH('Isaac 401k'!N4333,'Retirement Calculator'!A:A,0),0),0)</f>
        <v>0</v>
      </c>
      <c r="K4333" s="444">
        <f t="shared" ca="1" si="181"/>
        <v>4483901774.1501532</v>
      </c>
      <c r="L4333" s="444">
        <f t="shared" ca="1" si="182"/>
        <v>1080620327570.187</v>
      </c>
      <c r="M4333" s="460">
        <f t="shared" si="184"/>
        <v>0.05</v>
      </c>
      <c r="N4333" s="464">
        <f t="shared" si="185"/>
        <v>182928</v>
      </c>
    </row>
    <row r="4334" spans="7:14" ht="11.25" customHeight="1" x14ac:dyDescent="0.3">
      <c r="G4334" s="459"/>
      <c r="H4334" s="459">
        <v>4327</v>
      </c>
      <c r="I4334" s="444">
        <f t="shared" ca="1" si="183"/>
        <v>1080620327570.187</v>
      </c>
      <c r="J4334" s="444">
        <f t="array" ref="J4334">IFERROR(INDEX('Retirement Calculator'!J:J,MATCH('Isaac 401k'!N4334,'Retirement Calculator'!A:A,0),0),0)</f>
        <v>0</v>
      </c>
      <c r="K4334" s="444">
        <f t="shared" ca="1" si="181"/>
        <v>4502584698.2091131</v>
      </c>
      <c r="L4334" s="444">
        <f t="shared" ca="1" si="182"/>
        <v>1085122912268.3961</v>
      </c>
      <c r="M4334" s="460">
        <f t="shared" si="184"/>
        <v>0.05</v>
      </c>
      <c r="N4334" s="464">
        <f t="shared" si="185"/>
        <v>182958</v>
      </c>
    </row>
    <row r="4335" spans="7:14" ht="11.25" customHeight="1" x14ac:dyDescent="0.3">
      <c r="G4335" s="459"/>
      <c r="H4335" s="459">
        <v>4328</v>
      </c>
      <c r="I4335" s="444">
        <f t="shared" ca="1" si="183"/>
        <v>1085122912268.3961</v>
      </c>
      <c r="J4335" s="444">
        <f t="array" ref="J4335">IFERROR(INDEX('Retirement Calculator'!J:J,MATCH('Isaac 401k'!N4335,'Retirement Calculator'!A:A,0),0),0)</f>
        <v>0</v>
      </c>
      <c r="K4335" s="444">
        <f t="shared" ca="1" si="181"/>
        <v>4521345467.7849836</v>
      </c>
      <c r="L4335" s="444">
        <f t="shared" ca="1" si="182"/>
        <v>1089644257736.1812</v>
      </c>
      <c r="M4335" s="460">
        <f t="shared" si="184"/>
        <v>0.05</v>
      </c>
      <c r="N4335" s="464">
        <f t="shared" si="185"/>
        <v>182989</v>
      </c>
    </row>
    <row r="4336" spans="7:14" ht="11.25" customHeight="1" x14ac:dyDescent="0.3">
      <c r="G4336" s="459"/>
      <c r="H4336" s="459">
        <v>4329</v>
      </c>
      <c r="I4336" s="444">
        <f t="shared" ca="1" si="183"/>
        <v>1089644257736.1812</v>
      </c>
      <c r="J4336" s="444">
        <f t="array" ref="J4336">IFERROR(INDEX('Retirement Calculator'!J:J,MATCH('Isaac 401k'!N4336,'Retirement Calculator'!A:A,0),0),0)</f>
        <v>0</v>
      </c>
      <c r="K4336" s="444">
        <f t="shared" ca="1" si="181"/>
        <v>4540184407.2340879</v>
      </c>
      <c r="L4336" s="444">
        <f t="shared" ca="1" si="182"/>
        <v>1094184442143.4153</v>
      </c>
      <c r="M4336" s="460">
        <f t="shared" si="184"/>
        <v>0.05</v>
      </c>
      <c r="N4336" s="464">
        <f t="shared" si="185"/>
        <v>183020</v>
      </c>
    </row>
    <row r="4337" spans="7:14" ht="11.25" customHeight="1" x14ac:dyDescent="0.3">
      <c r="G4337" s="459"/>
      <c r="H4337" s="459">
        <v>4330</v>
      </c>
      <c r="I4337" s="444">
        <f t="shared" ca="1" si="183"/>
        <v>1094184442143.4153</v>
      </c>
      <c r="J4337" s="444">
        <f t="array" ref="J4337">IFERROR(INDEX('Retirement Calculator'!J:J,MATCH('Isaac 401k'!N4337,'Retirement Calculator'!A:A,0),0),0)</f>
        <v>0</v>
      </c>
      <c r="K4337" s="444">
        <f t="shared" ca="1" si="181"/>
        <v>4559101842.2642307</v>
      </c>
      <c r="L4337" s="444">
        <f t="shared" ca="1" si="182"/>
        <v>1098743543985.6796</v>
      </c>
      <c r="M4337" s="460">
        <f t="shared" si="184"/>
        <v>0.05</v>
      </c>
      <c r="N4337" s="464">
        <f t="shared" si="185"/>
        <v>183048</v>
      </c>
    </row>
    <row r="4338" spans="7:14" ht="11.25" customHeight="1" x14ac:dyDescent="0.3">
      <c r="G4338" s="459"/>
      <c r="H4338" s="459">
        <v>4331</v>
      </c>
      <c r="I4338" s="444">
        <f t="shared" ca="1" si="183"/>
        <v>1098743543985.6796</v>
      </c>
      <c r="J4338" s="444">
        <f t="array" ref="J4338">IFERROR(INDEX('Retirement Calculator'!J:J,MATCH('Isaac 401k'!N4338,'Retirement Calculator'!A:A,0),0),0)</f>
        <v>0</v>
      </c>
      <c r="K4338" s="444">
        <f t="shared" ca="1" si="181"/>
        <v>4578098099.9403324</v>
      </c>
      <c r="L4338" s="444">
        <f t="shared" ca="1" si="182"/>
        <v>1103321642085.6199</v>
      </c>
      <c r="M4338" s="460">
        <f t="shared" si="184"/>
        <v>0.05</v>
      </c>
      <c r="N4338" s="464">
        <f t="shared" si="185"/>
        <v>183079</v>
      </c>
    </row>
    <row r="4339" spans="7:14" ht="11.25" customHeight="1" x14ac:dyDescent="0.3">
      <c r="G4339" s="459"/>
      <c r="H4339" s="459">
        <v>4332</v>
      </c>
      <c r="I4339" s="444">
        <f t="shared" ca="1" si="183"/>
        <v>1103321642085.6199</v>
      </c>
      <c r="J4339" s="444">
        <f t="array" ref="J4339">IFERROR(INDEX('Retirement Calculator'!J:J,MATCH('Isaac 401k'!N4339,'Retirement Calculator'!A:A,0),0),0)</f>
        <v>0</v>
      </c>
      <c r="K4339" s="444">
        <f t="shared" ca="1" si="181"/>
        <v>4597173508.6900826</v>
      </c>
      <c r="L4339" s="444">
        <f t="shared" ca="1" si="182"/>
        <v>1107918815594.3101</v>
      </c>
      <c r="M4339" s="460">
        <f t="shared" si="184"/>
        <v>0.05</v>
      </c>
      <c r="N4339" s="464">
        <f t="shared" si="185"/>
        <v>183109</v>
      </c>
    </row>
    <row r="4340" spans="7:14" ht="11.25" customHeight="1" x14ac:dyDescent="0.3">
      <c r="G4340" s="459"/>
      <c r="H4340" s="459">
        <v>4333</v>
      </c>
      <c r="I4340" s="444">
        <f t="shared" ca="1" si="183"/>
        <v>1107918815594.3101</v>
      </c>
      <c r="J4340" s="444">
        <f t="array" ref="J4340">IFERROR(INDEX('Retirement Calculator'!J:J,MATCH('Isaac 401k'!N4340,'Retirement Calculator'!A:A,0),0),0)</f>
        <v>0</v>
      </c>
      <c r="K4340" s="444">
        <f t="shared" ca="1" si="181"/>
        <v>4616328398.3096256</v>
      </c>
      <c r="L4340" s="444">
        <f t="shared" ca="1" si="182"/>
        <v>1112535143992.6196</v>
      </c>
      <c r="M4340" s="460">
        <f t="shared" si="184"/>
        <v>0.05</v>
      </c>
      <c r="N4340" s="464">
        <f t="shared" si="185"/>
        <v>183140</v>
      </c>
    </row>
    <row r="4341" spans="7:14" ht="11.25" customHeight="1" x14ac:dyDescent="0.3">
      <c r="G4341" s="459"/>
      <c r="H4341" s="459">
        <v>4334</v>
      </c>
      <c r="I4341" s="444">
        <f t="shared" ca="1" si="183"/>
        <v>1112535143992.6196</v>
      </c>
      <c r="J4341" s="444">
        <f t="array" ref="J4341">IFERROR(INDEX('Retirement Calculator'!J:J,MATCH('Isaac 401k'!N4341,'Retirement Calculator'!A:A,0),0),0)</f>
        <v>0</v>
      </c>
      <c r="K4341" s="444">
        <f t="shared" ca="1" si="181"/>
        <v>4635563099.9692488</v>
      </c>
      <c r="L4341" s="444">
        <f t="shared" ca="1" si="182"/>
        <v>1117170707092.5889</v>
      </c>
      <c r="M4341" s="460">
        <f t="shared" si="184"/>
        <v>0.05</v>
      </c>
      <c r="N4341" s="464">
        <f t="shared" si="185"/>
        <v>183170</v>
      </c>
    </row>
    <row r="4342" spans="7:14" ht="11.25" customHeight="1" x14ac:dyDescent="0.3">
      <c r="G4342" s="459"/>
      <c r="H4342" s="459">
        <v>4335</v>
      </c>
      <c r="I4342" s="444">
        <f t="shared" ca="1" si="183"/>
        <v>1117170707092.5889</v>
      </c>
      <c r="J4342" s="444">
        <f t="array" ref="J4342">IFERROR(INDEX('Retirement Calculator'!J:J,MATCH('Isaac 401k'!N4342,'Retirement Calculator'!A:A,0),0),0)</f>
        <v>0</v>
      </c>
      <c r="K4342" s="444">
        <f t="shared" ca="1" si="181"/>
        <v>4654877946.21912</v>
      </c>
      <c r="L4342" s="444">
        <f t="shared" ca="1" si="182"/>
        <v>1121825585038.8081</v>
      </c>
      <c r="M4342" s="460">
        <f t="shared" si="184"/>
        <v>0.05</v>
      </c>
      <c r="N4342" s="464">
        <f t="shared" si="185"/>
        <v>183201</v>
      </c>
    </row>
    <row r="4343" spans="7:14" ht="11.25" customHeight="1" x14ac:dyDescent="0.3">
      <c r="G4343" s="459"/>
      <c r="H4343" s="459">
        <v>4336</v>
      </c>
      <c r="I4343" s="444">
        <f t="shared" ca="1" si="183"/>
        <v>1121825585038.8081</v>
      </c>
      <c r="J4343" s="444">
        <f t="array" ref="J4343">IFERROR(INDEX('Retirement Calculator'!J:J,MATCH('Isaac 401k'!N4343,'Retirement Calculator'!A:A,0),0),0)</f>
        <v>0</v>
      </c>
      <c r="K4343" s="444">
        <f t="shared" ref="K4343:K4597" ca="1" si="186">IPMT(M4343/12,1,12,-I4343+J4343,,0)</f>
        <v>4674273270.9950333</v>
      </c>
      <c r="L4343" s="444">
        <f t="shared" ref="L4343:L4597" ca="1" si="187">I4343-J4343+K4343</f>
        <v>1126499858309.8032</v>
      </c>
      <c r="M4343" s="460">
        <f t="shared" si="184"/>
        <v>0.05</v>
      </c>
      <c r="N4343" s="464">
        <f t="shared" si="185"/>
        <v>183232</v>
      </c>
    </row>
    <row r="4344" spans="7:14" ht="11.25" customHeight="1" x14ac:dyDescent="0.3">
      <c r="G4344" s="459"/>
      <c r="H4344" s="459">
        <v>4337</v>
      </c>
      <c r="I4344" s="444">
        <f t="shared" ref="I4344:I4598" ca="1" si="188">L4343</f>
        <v>1126499858309.8032</v>
      </c>
      <c r="J4344" s="444">
        <f t="array" ref="J4344">IFERROR(INDEX('Retirement Calculator'!J:J,MATCH('Isaac 401k'!N4344,'Retirement Calculator'!A:A,0),0),0)</f>
        <v>0</v>
      </c>
      <c r="K4344" s="444">
        <f t="shared" ca="1" si="186"/>
        <v>4693749409.6241798</v>
      </c>
      <c r="L4344" s="444">
        <f t="shared" ca="1" si="187"/>
        <v>1131193607719.4275</v>
      </c>
      <c r="M4344" s="460">
        <f t="shared" ref="M4344:M4598" si="189">M4343</f>
        <v>0.05</v>
      </c>
      <c r="N4344" s="464">
        <f t="shared" ref="N4344:N4598" si="190">EDATE(N4343,1)</f>
        <v>183262</v>
      </c>
    </row>
    <row r="4345" spans="7:14" ht="11.25" customHeight="1" x14ac:dyDescent="0.3">
      <c r="G4345" s="459"/>
      <c r="H4345" s="459">
        <v>4338</v>
      </c>
      <c r="I4345" s="444">
        <f t="shared" ca="1" si="188"/>
        <v>1131193607719.4275</v>
      </c>
      <c r="J4345" s="444">
        <f t="array" ref="J4345">IFERROR(INDEX('Retirement Calculator'!J:J,MATCH('Isaac 401k'!N4345,'Retirement Calculator'!A:A,0),0),0)</f>
        <v>0</v>
      </c>
      <c r="K4345" s="444">
        <f t="shared" ca="1" si="186"/>
        <v>4713306698.8309479</v>
      </c>
      <c r="L4345" s="444">
        <f t="shared" ca="1" si="187"/>
        <v>1135906914418.2585</v>
      </c>
      <c r="M4345" s="460">
        <f t="shared" si="189"/>
        <v>0.05</v>
      </c>
      <c r="N4345" s="464">
        <f t="shared" si="190"/>
        <v>183293</v>
      </c>
    </row>
    <row r="4346" spans="7:14" ht="11.25" customHeight="1" x14ac:dyDescent="0.3">
      <c r="G4346" s="459"/>
      <c r="H4346" s="459">
        <v>4339</v>
      </c>
      <c r="I4346" s="444">
        <f t="shared" ca="1" si="188"/>
        <v>1135906914418.2585</v>
      </c>
      <c r="J4346" s="444">
        <f t="array" ref="J4346">IFERROR(INDEX('Retirement Calculator'!J:J,MATCH('Isaac 401k'!N4346,'Retirement Calculator'!A:A,0),0),0)</f>
        <v>0</v>
      </c>
      <c r="K4346" s="444">
        <f t="shared" ca="1" si="186"/>
        <v>4732945476.7427435</v>
      </c>
      <c r="L4346" s="444">
        <f t="shared" ca="1" si="187"/>
        <v>1140639859895.0012</v>
      </c>
      <c r="M4346" s="460">
        <f t="shared" si="189"/>
        <v>0.05</v>
      </c>
      <c r="N4346" s="464">
        <f t="shared" si="190"/>
        <v>183323</v>
      </c>
    </row>
    <row r="4347" spans="7:14" ht="11.25" customHeight="1" x14ac:dyDescent="0.3">
      <c r="G4347" s="459"/>
      <c r="H4347" s="459">
        <v>4340</v>
      </c>
      <c r="I4347" s="444">
        <f t="shared" ca="1" si="188"/>
        <v>1140639859895.0012</v>
      </c>
      <c r="J4347" s="444">
        <f t="array" ref="J4347">IFERROR(INDEX('Retirement Calculator'!J:J,MATCH('Isaac 401k'!N4347,'Retirement Calculator'!A:A,0),0),0)</f>
        <v>0</v>
      </c>
      <c r="K4347" s="444">
        <f t="shared" ca="1" si="186"/>
        <v>4752666082.8958387</v>
      </c>
      <c r="L4347" s="444">
        <f t="shared" ca="1" si="187"/>
        <v>1145392525977.897</v>
      </c>
      <c r="M4347" s="460">
        <f t="shared" si="189"/>
        <v>0.05</v>
      </c>
      <c r="N4347" s="464">
        <f t="shared" si="190"/>
        <v>183354</v>
      </c>
    </row>
    <row r="4348" spans="7:14" ht="11.25" customHeight="1" x14ac:dyDescent="0.3">
      <c r="G4348" s="459"/>
      <c r="H4348" s="459">
        <v>4341</v>
      </c>
      <c r="I4348" s="444">
        <f t="shared" ca="1" si="188"/>
        <v>1145392525977.897</v>
      </c>
      <c r="J4348" s="444">
        <f t="array" ref="J4348">IFERROR(INDEX('Retirement Calculator'!J:J,MATCH('Isaac 401k'!N4348,'Retirement Calculator'!A:A,0),0),0)</f>
        <v>0</v>
      </c>
      <c r="K4348" s="444">
        <f t="shared" ca="1" si="186"/>
        <v>4772468858.2412376</v>
      </c>
      <c r="L4348" s="444">
        <f t="shared" ca="1" si="187"/>
        <v>1150164994836.1382</v>
      </c>
      <c r="M4348" s="460">
        <f t="shared" si="189"/>
        <v>0.05</v>
      </c>
      <c r="N4348" s="464">
        <f t="shared" si="190"/>
        <v>183385</v>
      </c>
    </row>
    <row r="4349" spans="7:14" ht="11.25" customHeight="1" x14ac:dyDescent="0.3">
      <c r="G4349" s="459"/>
      <c r="H4349" s="459">
        <v>4342</v>
      </c>
      <c r="I4349" s="444">
        <f t="shared" ca="1" si="188"/>
        <v>1150164994836.1382</v>
      </c>
      <c r="J4349" s="444">
        <f t="array" ref="J4349">IFERROR(INDEX('Retirement Calculator'!J:J,MATCH('Isaac 401k'!N4349,'Retirement Calculator'!A:A,0),0),0)</f>
        <v>0</v>
      </c>
      <c r="K4349" s="444">
        <f t="shared" ca="1" si="186"/>
        <v>4792354145.1505756</v>
      </c>
      <c r="L4349" s="444">
        <f t="shared" ca="1" si="187"/>
        <v>1154957348981.2888</v>
      </c>
      <c r="M4349" s="460">
        <f t="shared" si="189"/>
        <v>0.05</v>
      </c>
      <c r="N4349" s="464">
        <f t="shared" si="190"/>
        <v>183413</v>
      </c>
    </row>
    <row r="4350" spans="7:14" ht="11.25" customHeight="1" x14ac:dyDescent="0.3">
      <c r="G4350" s="459"/>
      <c r="H4350" s="459">
        <v>4343</v>
      </c>
      <c r="I4350" s="444">
        <f t="shared" ca="1" si="188"/>
        <v>1154957348981.2888</v>
      </c>
      <c r="J4350" s="444">
        <f t="array" ref="J4350">IFERROR(INDEX('Retirement Calculator'!J:J,MATCH('Isaac 401k'!N4350,'Retirement Calculator'!A:A,0),0),0)</f>
        <v>0</v>
      </c>
      <c r="K4350" s="444">
        <f t="shared" ca="1" si="186"/>
        <v>4812322287.4220371</v>
      </c>
      <c r="L4350" s="444">
        <f t="shared" ca="1" si="187"/>
        <v>1159769671268.7109</v>
      </c>
      <c r="M4350" s="460">
        <f t="shared" si="189"/>
        <v>0.05</v>
      </c>
      <c r="N4350" s="464">
        <f t="shared" si="190"/>
        <v>183444</v>
      </c>
    </row>
    <row r="4351" spans="7:14" ht="11.25" customHeight="1" x14ac:dyDescent="0.3">
      <c r="G4351" s="459"/>
      <c r="H4351" s="459">
        <v>4344</v>
      </c>
      <c r="I4351" s="444">
        <f t="shared" ca="1" si="188"/>
        <v>1159769671268.7109</v>
      </c>
      <c r="J4351" s="444">
        <f t="array" ref="J4351">IFERROR(INDEX('Retirement Calculator'!J:J,MATCH('Isaac 401k'!N4351,'Retirement Calculator'!A:A,0),0),0)</f>
        <v>0</v>
      </c>
      <c r="K4351" s="444">
        <f t="shared" ca="1" si="186"/>
        <v>4832373630.2862959</v>
      </c>
      <c r="L4351" s="444">
        <f t="shared" ca="1" si="187"/>
        <v>1164602044898.9973</v>
      </c>
      <c r="M4351" s="460">
        <f t="shared" si="189"/>
        <v>0.05</v>
      </c>
      <c r="N4351" s="464">
        <f t="shared" si="190"/>
        <v>183474</v>
      </c>
    </row>
    <row r="4352" spans="7:14" ht="11.25" customHeight="1" x14ac:dyDescent="0.3">
      <c r="G4352" s="459"/>
      <c r="H4352" s="459">
        <v>4345</v>
      </c>
      <c r="I4352" s="444">
        <f t="shared" ca="1" si="188"/>
        <v>1164602044898.9973</v>
      </c>
      <c r="J4352" s="444">
        <f t="array" ref="J4352">IFERROR(INDEX('Retirement Calculator'!J:J,MATCH('Isaac 401k'!N4352,'Retirement Calculator'!A:A,0),0),0)</f>
        <v>0</v>
      </c>
      <c r="K4352" s="444">
        <f t="shared" ca="1" si="186"/>
        <v>4852508520.4124889</v>
      </c>
      <c r="L4352" s="444">
        <f t="shared" ca="1" si="187"/>
        <v>1169454553419.4099</v>
      </c>
      <c r="M4352" s="460">
        <f t="shared" si="189"/>
        <v>0.05</v>
      </c>
      <c r="N4352" s="464">
        <f t="shared" si="190"/>
        <v>183505</v>
      </c>
    </row>
    <row r="4353" spans="7:14" ht="11.25" customHeight="1" x14ac:dyDescent="0.3">
      <c r="G4353" s="459"/>
      <c r="H4353" s="459">
        <v>4346</v>
      </c>
      <c r="I4353" s="444">
        <f t="shared" ca="1" si="188"/>
        <v>1169454553419.4099</v>
      </c>
      <c r="J4353" s="444">
        <f t="array" ref="J4353">IFERROR(INDEX('Retirement Calculator'!J:J,MATCH('Isaac 401k'!N4353,'Retirement Calculator'!A:A,0),0),0)</f>
        <v>0</v>
      </c>
      <c r="K4353" s="444">
        <f t="shared" ca="1" si="186"/>
        <v>4872727305.9142075</v>
      </c>
      <c r="L4353" s="444">
        <f t="shared" ca="1" si="187"/>
        <v>1174327280725.3242</v>
      </c>
      <c r="M4353" s="460">
        <f t="shared" si="189"/>
        <v>0.05</v>
      </c>
      <c r="N4353" s="464">
        <f t="shared" si="190"/>
        <v>183535</v>
      </c>
    </row>
    <row r="4354" spans="7:14" ht="11.25" customHeight="1" x14ac:dyDescent="0.3">
      <c r="G4354" s="459"/>
      <c r="H4354" s="459">
        <v>4347</v>
      </c>
      <c r="I4354" s="444">
        <f t="shared" ca="1" si="188"/>
        <v>1174327280725.3242</v>
      </c>
      <c r="J4354" s="444">
        <f t="array" ref="J4354">IFERROR(INDEX('Retirement Calculator'!J:J,MATCH('Isaac 401k'!N4354,'Retirement Calculator'!A:A,0),0),0)</f>
        <v>0</v>
      </c>
      <c r="K4354" s="444">
        <f t="shared" ca="1" si="186"/>
        <v>4893030336.3555174</v>
      </c>
      <c r="L4354" s="444">
        <f t="shared" ca="1" si="187"/>
        <v>1179220311061.6797</v>
      </c>
      <c r="M4354" s="460">
        <f t="shared" si="189"/>
        <v>0.05</v>
      </c>
      <c r="N4354" s="464">
        <f t="shared" si="190"/>
        <v>183566</v>
      </c>
    </row>
    <row r="4355" spans="7:14" ht="11.25" customHeight="1" x14ac:dyDescent="0.3">
      <c r="G4355" s="459"/>
      <c r="H4355" s="459">
        <v>4348</v>
      </c>
      <c r="I4355" s="444">
        <f t="shared" ca="1" si="188"/>
        <v>1179220311061.6797</v>
      </c>
      <c r="J4355" s="444">
        <f t="array" ref="J4355">IFERROR(INDEX('Retirement Calculator'!J:J,MATCH('Isaac 401k'!N4355,'Retirement Calculator'!A:A,0),0),0)</f>
        <v>0</v>
      </c>
      <c r="K4355" s="444">
        <f t="shared" ca="1" si="186"/>
        <v>4913417962.756999</v>
      </c>
      <c r="L4355" s="444">
        <f t="shared" ca="1" si="187"/>
        <v>1184133729024.4368</v>
      </c>
      <c r="M4355" s="460">
        <f t="shared" si="189"/>
        <v>0.05</v>
      </c>
      <c r="N4355" s="464">
        <f t="shared" si="190"/>
        <v>183597</v>
      </c>
    </row>
    <row r="4356" spans="7:14" ht="11.25" customHeight="1" x14ac:dyDescent="0.3">
      <c r="G4356" s="459"/>
      <c r="H4356" s="459">
        <v>4349</v>
      </c>
      <c r="I4356" s="444">
        <f t="shared" ca="1" si="188"/>
        <v>1184133729024.4368</v>
      </c>
      <c r="J4356" s="444">
        <f t="array" ref="J4356">IFERROR(INDEX('Retirement Calculator'!J:J,MATCH('Isaac 401k'!N4356,'Retirement Calculator'!A:A,0),0),0)</f>
        <v>0</v>
      </c>
      <c r="K4356" s="444">
        <f t="shared" ca="1" si="186"/>
        <v>4933890537.60182</v>
      </c>
      <c r="L4356" s="444">
        <f t="shared" ca="1" si="187"/>
        <v>1189067619562.0386</v>
      </c>
      <c r="M4356" s="460">
        <f t="shared" si="189"/>
        <v>0.05</v>
      </c>
      <c r="N4356" s="464">
        <f t="shared" si="190"/>
        <v>183627</v>
      </c>
    </row>
    <row r="4357" spans="7:14" ht="11.25" customHeight="1" x14ac:dyDescent="0.3">
      <c r="G4357" s="459"/>
      <c r="H4357" s="459">
        <v>4350</v>
      </c>
      <c r="I4357" s="444">
        <f t="shared" ca="1" si="188"/>
        <v>1189067619562.0386</v>
      </c>
      <c r="J4357" s="444">
        <f t="array" ref="J4357">IFERROR(INDEX('Retirement Calculator'!J:J,MATCH('Isaac 401k'!N4357,'Retirement Calculator'!A:A,0),0),0)</f>
        <v>0</v>
      </c>
      <c r="K4357" s="444">
        <f t="shared" ca="1" si="186"/>
        <v>4954448414.8418274</v>
      </c>
      <c r="L4357" s="444">
        <f t="shared" ca="1" si="187"/>
        <v>1194022067976.8804</v>
      </c>
      <c r="M4357" s="460">
        <f t="shared" si="189"/>
        <v>0.05</v>
      </c>
      <c r="N4357" s="464">
        <f t="shared" si="190"/>
        <v>183658</v>
      </c>
    </row>
    <row r="4358" spans="7:14" ht="11.25" customHeight="1" x14ac:dyDescent="0.3">
      <c r="G4358" s="459"/>
      <c r="H4358" s="459">
        <v>4351</v>
      </c>
      <c r="I4358" s="444">
        <f t="shared" ca="1" si="188"/>
        <v>1194022067976.8804</v>
      </c>
      <c r="J4358" s="444">
        <f t="array" ref="J4358">IFERROR(INDEX('Retirement Calculator'!J:J,MATCH('Isaac 401k'!N4358,'Retirement Calculator'!A:A,0),0),0)</f>
        <v>0</v>
      </c>
      <c r="K4358" s="444">
        <f t="shared" ca="1" si="186"/>
        <v>4975091949.9036684</v>
      </c>
      <c r="L4358" s="444">
        <f t="shared" ca="1" si="187"/>
        <v>1198997159926.7839</v>
      </c>
      <c r="M4358" s="460">
        <f t="shared" si="189"/>
        <v>0.05</v>
      </c>
      <c r="N4358" s="464">
        <f t="shared" si="190"/>
        <v>183688</v>
      </c>
    </row>
    <row r="4359" spans="7:14" ht="11.25" customHeight="1" x14ac:dyDescent="0.3">
      <c r="G4359" s="459"/>
      <c r="H4359" s="459">
        <v>4352</v>
      </c>
      <c r="I4359" s="444">
        <f t="shared" ca="1" si="188"/>
        <v>1198997159926.7839</v>
      </c>
      <c r="J4359" s="444">
        <f t="array" ref="J4359">IFERROR(INDEX('Retirement Calculator'!J:J,MATCH('Isaac 401k'!N4359,'Retirement Calculator'!A:A,0),0),0)</f>
        <v>0</v>
      </c>
      <c r="K4359" s="444">
        <f t="shared" ca="1" si="186"/>
        <v>4995821499.6949329</v>
      </c>
      <c r="L4359" s="444">
        <f t="shared" ca="1" si="187"/>
        <v>1203992981426.4788</v>
      </c>
      <c r="M4359" s="460">
        <f t="shared" si="189"/>
        <v>0.05</v>
      </c>
      <c r="N4359" s="464">
        <f t="shared" si="190"/>
        <v>183719</v>
      </c>
    </row>
    <row r="4360" spans="7:14" ht="11.25" customHeight="1" x14ac:dyDescent="0.3">
      <c r="G4360" s="459"/>
      <c r="H4360" s="459">
        <v>4353</v>
      </c>
      <c r="I4360" s="444">
        <f t="shared" ca="1" si="188"/>
        <v>1203992981426.4788</v>
      </c>
      <c r="J4360" s="444">
        <f t="array" ref="J4360">IFERROR(INDEX('Retirement Calculator'!J:J,MATCH('Isaac 401k'!N4360,'Retirement Calculator'!A:A,0),0),0)</f>
        <v>0</v>
      </c>
      <c r="K4360" s="444">
        <f t="shared" ca="1" si="186"/>
        <v>5016637422.6103277</v>
      </c>
      <c r="L4360" s="444">
        <f t="shared" ca="1" si="187"/>
        <v>1209009618849.0891</v>
      </c>
      <c r="M4360" s="460">
        <f t="shared" si="189"/>
        <v>0.05</v>
      </c>
      <c r="N4360" s="464">
        <f t="shared" si="190"/>
        <v>183750</v>
      </c>
    </row>
    <row r="4361" spans="7:14" ht="11.25" customHeight="1" x14ac:dyDescent="0.3">
      <c r="G4361" s="459"/>
      <c r="H4361" s="459">
        <v>4354</v>
      </c>
      <c r="I4361" s="444">
        <f t="shared" ca="1" si="188"/>
        <v>1209009618849.0891</v>
      </c>
      <c r="J4361" s="444">
        <f t="array" ref="J4361">IFERROR(INDEX('Retirement Calculator'!J:J,MATCH('Isaac 401k'!N4361,'Retirement Calculator'!A:A,0),0),0)</f>
        <v>0</v>
      </c>
      <c r="K4361" s="444">
        <f t="shared" ca="1" si="186"/>
        <v>5037540078.5378714</v>
      </c>
      <c r="L4361" s="444">
        <f t="shared" ca="1" si="187"/>
        <v>1214047158927.627</v>
      </c>
      <c r="M4361" s="460">
        <f t="shared" si="189"/>
        <v>0.05</v>
      </c>
      <c r="N4361" s="464">
        <f t="shared" si="190"/>
        <v>183778</v>
      </c>
    </row>
    <row r="4362" spans="7:14" ht="11.25" customHeight="1" x14ac:dyDescent="0.3">
      <c r="G4362" s="459"/>
      <c r="H4362" s="459">
        <v>4355</v>
      </c>
      <c r="I4362" s="444">
        <f t="shared" ca="1" si="188"/>
        <v>1214047158927.627</v>
      </c>
      <c r="J4362" s="444">
        <f t="array" ref="J4362">IFERROR(INDEX('Retirement Calculator'!J:J,MATCH('Isaac 401k'!N4362,'Retirement Calculator'!A:A,0),0),0)</f>
        <v>0</v>
      </c>
      <c r="K4362" s="444">
        <f t="shared" ca="1" si="186"/>
        <v>5058529828.8651123</v>
      </c>
      <c r="L4362" s="444">
        <f t="shared" ca="1" si="187"/>
        <v>1219105688756.4922</v>
      </c>
      <c r="M4362" s="460">
        <f t="shared" si="189"/>
        <v>0.05</v>
      </c>
      <c r="N4362" s="464">
        <f t="shared" si="190"/>
        <v>183809</v>
      </c>
    </row>
    <row r="4363" spans="7:14" ht="11.25" customHeight="1" x14ac:dyDescent="0.3">
      <c r="G4363" s="459"/>
      <c r="H4363" s="459">
        <v>4356</v>
      </c>
      <c r="I4363" s="444">
        <f t="shared" ca="1" si="188"/>
        <v>1219105688756.4922</v>
      </c>
      <c r="J4363" s="444">
        <f t="array" ref="J4363">IFERROR(INDEX('Retirement Calculator'!J:J,MATCH('Isaac 401k'!N4363,'Retirement Calculator'!A:A,0),0),0)</f>
        <v>0</v>
      </c>
      <c r="K4363" s="444">
        <f t="shared" ca="1" si="186"/>
        <v>5079607036.485384</v>
      </c>
      <c r="L4363" s="444">
        <f t="shared" ca="1" si="187"/>
        <v>1224185295792.9775</v>
      </c>
      <c r="M4363" s="460">
        <f t="shared" si="189"/>
        <v>0.05</v>
      </c>
      <c r="N4363" s="464">
        <f t="shared" si="190"/>
        <v>183839</v>
      </c>
    </row>
    <row r="4364" spans="7:14" ht="11.25" customHeight="1" x14ac:dyDescent="0.3">
      <c r="G4364" s="459"/>
      <c r="H4364" s="459">
        <v>4357</v>
      </c>
      <c r="I4364" s="444">
        <f t="shared" ca="1" si="188"/>
        <v>1224185295792.9775</v>
      </c>
      <c r="J4364" s="444">
        <f t="array" ref="J4364">IFERROR(INDEX('Retirement Calculator'!J:J,MATCH('Isaac 401k'!N4364,'Retirement Calculator'!A:A,0),0),0)</f>
        <v>0</v>
      </c>
      <c r="K4364" s="444">
        <f t="shared" ca="1" si="186"/>
        <v>5100772065.8040733</v>
      </c>
      <c r="L4364" s="444">
        <f t="shared" ca="1" si="187"/>
        <v>1229286067858.7815</v>
      </c>
      <c r="M4364" s="460">
        <f t="shared" si="189"/>
        <v>0.05</v>
      </c>
      <c r="N4364" s="464">
        <f t="shared" si="190"/>
        <v>183870</v>
      </c>
    </row>
    <row r="4365" spans="7:14" ht="11.25" customHeight="1" x14ac:dyDescent="0.3">
      <c r="G4365" s="459"/>
      <c r="H4365" s="459">
        <v>4358</v>
      </c>
      <c r="I4365" s="444">
        <f t="shared" ca="1" si="188"/>
        <v>1229286067858.7815</v>
      </c>
      <c r="J4365" s="444">
        <f t="array" ref="J4365">IFERROR(INDEX('Retirement Calculator'!J:J,MATCH('Isaac 401k'!N4365,'Retirement Calculator'!A:A,0),0),0)</f>
        <v>0</v>
      </c>
      <c r="K4365" s="444">
        <f t="shared" ca="1" si="186"/>
        <v>5122025282.7449226</v>
      </c>
      <c r="L4365" s="444">
        <f t="shared" ca="1" si="187"/>
        <v>1234408093141.5264</v>
      </c>
      <c r="M4365" s="460">
        <f t="shared" si="189"/>
        <v>0.05</v>
      </c>
      <c r="N4365" s="464">
        <f t="shared" si="190"/>
        <v>183900</v>
      </c>
    </row>
    <row r="4366" spans="7:14" ht="11.25" customHeight="1" x14ac:dyDescent="0.3">
      <c r="G4366" s="459"/>
      <c r="H4366" s="459">
        <v>4359</v>
      </c>
      <c r="I4366" s="444">
        <f t="shared" ca="1" si="188"/>
        <v>1234408093141.5264</v>
      </c>
      <c r="J4366" s="444">
        <f t="array" ref="J4366">IFERROR(INDEX('Retirement Calculator'!J:J,MATCH('Isaac 401k'!N4366,'Retirement Calculator'!A:A,0),0),0)</f>
        <v>0</v>
      </c>
      <c r="K4366" s="444">
        <f t="shared" ca="1" si="186"/>
        <v>5143367054.7563601</v>
      </c>
      <c r="L4366" s="444">
        <f t="shared" ca="1" si="187"/>
        <v>1239551460196.2827</v>
      </c>
      <c r="M4366" s="460">
        <f t="shared" si="189"/>
        <v>0.05</v>
      </c>
      <c r="N4366" s="464">
        <f t="shared" si="190"/>
        <v>183931</v>
      </c>
    </row>
    <row r="4367" spans="7:14" ht="11.25" customHeight="1" x14ac:dyDescent="0.3">
      <c r="G4367" s="459"/>
      <c r="H4367" s="459">
        <v>4360</v>
      </c>
      <c r="I4367" s="444">
        <f t="shared" ca="1" si="188"/>
        <v>1239551460196.2827</v>
      </c>
      <c r="J4367" s="444">
        <f t="array" ref="J4367">IFERROR(INDEX('Retirement Calculator'!J:J,MATCH('Isaac 401k'!N4367,'Retirement Calculator'!A:A,0),0),0)</f>
        <v>0</v>
      </c>
      <c r="K4367" s="444">
        <f t="shared" ca="1" si="186"/>
        <v>5164797750.8178444</v>
      </c>
      <c r="L4367" s="444">
        <f t="shared" ca="1" si="187"/>
        <v>1244716257947.1006</v>
      </c>
      <c r="M4367" s="460">
        <f t="shared" si="189"/>
        <v>0.05</v>
      </c>
      <c r="N4367" s="464">
        <f t="shared" si="190"/>
        <v>183962</v>
      </c>
    </row>
    <row r="4368" spans="7:14" ht="11.25" customHeight="1" x14ac:dyDescent="0.3">
      <c r="G4368" s="459"/>
      <c r="H4368" s="459">
        <v>4361</v>
      </c>
      <c r="I4368" s="444">
        <f t="shared" ca="1" si="188"/>
        <v>1244716257947.1006</v>
      </c>
      <c r="J4368" s="444">
        <f t="array" ref="J4368">IFERROR(INDEX('Retirement Calculator'!J:J,MATCH('Isaac 401k'!N4368,'Retirement Calculator'!A:A,0),0),0)</f>
        <v>0</v>
      </c>
      <c r="K4368" s="444">
        <f t="shared" ca="1" si="186"/>
        <v>5186317741.4462528</v>
      </c>
      <c r="L4368" s="444">
        <f t="shared" ca="1" si="187"/>
        <v>1249902575688.5469</v>
      </c>
      <c r="M4368" s="460">
        <f t="shared" si="189"/>
        <v>0.05</v>
      </c>
      <c r="N4368" s="464">
        <f t="shared" si="190"/>
        <v>183992</v>
      </c>
    </row>
    <row r="4369" spans="7:14" ht="11.25" customHeight="1" x14ac:dyDescent="0.3">
      <c r="G4369" s="459"/>
      <c r="H4369" s="459">
        <v>4362</v>
      </c>
      <c r="I4369" s="444">
        <f t="shared" ca="1" si="188"/>
        <v>1249902575688.5469</v>
      </c>
      <c r="J4369" s="444">
        <f t="array" ref="J4369">IFERROR(INDEX('Retirement Calculator'!J:J,MATCH('Isaac 401k'!N4369,'Retirement Calculator'!A:A,0),0),0)</f>
        <v>0</v>
      </c>
      <c r="K4369" s="444">
        <f t="shared" ca="1" si="186"/>
        <v>5207927398.7022781</v>
      </c>
      <c r="L4369" s="444">
        <f t="shared" ca="1" si="187"/>
        <v>1255110503087.2493</v>
      </c>
      <c r="M4369" s="460">
        <f t="shared" si="189"/>
        <v>0.05</v>
      </c>
      <c r="N4369" s="464">
        <f t="shared" si="190"/>
        <v>184023</v>
      </c>
    </row>
    <row r="4370" spans="7:14" ht="11.25" customHeight="1" x14ac:dyDescent="0.3">
      <c r="G4370" s="459"/>
      <c r="H4370" s="459">
        <v>4363</v>
      </c>
      <c r="I4370" s="444">
        <f t="shared" ca="1" si="188"/>
        <v>1255110503087.2493</v>
      </c>
      <c r="J4370" s="444">
        <f t="array" ref="J4370">IFERROR(INDEX('Retirement Calculator'!J:J,MATCH('Isaac 401k'!N4370,'Retirement Calculator'!A:A,0),0),0)</f>
        <v>0</v>
      </c>
      <c r="K4370" s="444">
        <f t="shared" ca="1" si="186"/>
        <v>5229627096.1968718</v>
      </c>
      <c r="L4370" s="444">
        <f t="shared" ca="1" si="187"/>
        <v>1260340130183.446</v>
      </c>
      <c r="M4370" s="460">
        <f t="shared" si="189"/>
        <v>0.05</v>
      </c>
      <c r="N4370" s="464">
        <f t="shared" si="190"/>
        <v>184053</v>
      </c>
    </row>
    <row r="4371" spans="7:14" ht="11.25" customHeight="1" x14ac:dyDescent="0.3">
      <c r="G4371" s="459"/>
      <c r="H4371" s="459">
        <v>4364</v>
      </c>
      <c r="I4371" s="444">
        <f t="shared" ca="1" si="188"/>
        <v>1260340130183.446</v>
      </c>
      <c r="J4371" s="444">
        <f t="array" ref="J4371">IFERROR(INDEX('Retirement Calculator'!J:J,MATCH('Isaac 401k'!N4371,'Retirement Calculator'!A:A,0),0),0)</f>
        <v>0</v>
      </c>
      <c r="K4371" s="444">
        <f t="shared" ca="1" si="186"/>
        <v>5251417209.0976915</v>
      </c>
      <c r="L4371" s="444">
        <f t="shared" ca="1" si="187"/>
        <v>1265591547392.5437</v>
      </c>
      <c r="M4371" s="460">
        <f t="shared" si="189"/>
        <v>0.05</v>
      </c>
      <c r="N4371" s="464">
        <f t="shared" si="190"/>
        <v>184084</v>
      </c>
    </row>
    <row r="4372" spans="7:14" ht="11.25" customHeight="1" x14ac:dyDescent="0.3">
      <c r="G4372" s="459"/>
      <c r="H4372" s="459">
        <v>4365</v>
      </c>
      <c r="I4372" s="444">
        <f t="shared" ca="1" si="188"/>
        <v>1265591547392.5437</v>
      </c>
      <c r="J4372" s="444">
        <f t="array" ref="J4372">IFERROR(INDEX('Retirement Calculator'!J:J,MATCH('Isaac 401k'!N4372,'Retirement Calculator'!A:A,0),0),0)</f>
        <v>0</v>
      </c>
      <c r="K4372" s="444">
        <f t="shared" ca="1" si="186"/>
        <v>5273298114.1355991</v>
      </c>
      <c r="L4372" s="444">
        <f t="shared" ca="1" si="187"/>
        <v>1270864845506.6792</v>
      </c>
      <c r="M4372" s="460">
        <f t="shared" si="189"/>
        <v>0.05</v>
      </c>
      <c r="N4372" s="464">
        <f t="shared" si="190"/>
        <v>184115</v>
      </c>
    </row>
    <row r="4373" spans="7:14" ht="11.25" customHeight="1" x14ac:dyDescent="0.3">
      <c r="G4373" s="459"/>
      <c r="H4373" s="459">
        <v>4366</v>
      </c>
      <c r="I4373" s="444">
        <f t="shared" ca="1" si="188"/>
        <v>1270864845506.6792</v>
      </c>
      <c r="J4373" s="444">
        <f t="array" ref="J4373">IFERROR(INDEX('Retirement Calculator'!J:J,MATCH('Isaac 401k'!N4373,'Retirement Calculator'!A:A,0),0),0)</f>
        <v>0</v>
      </c>
      <c r="K4373" s="444">
        <f t="shared" ca="1" si="186"/>
        <v>5295270189.6111631</v>
      </c>
      <c r="L4373" s="444">
        <f t="shared" ca="1" si="187"/>
        <v>1276160115696.2903</v>
      </c>
      <c r="M4373" s="460">
        <f t="shared" si="189"/>
        <v>0.05</v>
      </c>
      <c r="N4373" s="464">
        <f t="shared" si="190"/>
        <v>184144</v>
      </c>
    </row>
    <row r="4374" spans="7:14" ht="11.25" customHeight="1" x14ac:dyDescent="0.3">
      <c r="G4374" s="459"/>
      <c r="H4374" s="459">
        <v>4367</v>
      </c>
      <c r="I4374" s="444">
        <f t="shared" ca="1" si="188"/>
        <v>1276160115696.2903</v>
      </c>
      <c r="J4374" s="444">
        <f t="array" ref="J4374">IFERROR(INDEX('Retirement Calculator'!J:J,MATCH('Isaac 401k'!N4374,'Retirement Calculator'!A:A,0),0),0)</f>
        <v>0</v>
      </c>
      <c r="K4374" s="444">
        <f t="shared" ca="1" si="186"/>
        <v>5317333815.4012098</v>
      </c>
      <c r="L4374" s="444">
        <f t="shared" ca="1" si="187"/>
        <v>1281477449511.6914</v>
      </c>
      <c r="M4374" s="460">
        <f t="shared" si="189"/>
        <v>0.05</v>
      </c>
      <c r="N4374" s="464">
        <f t="shared" si="190"/>
        <v>184175</v>
      </c>
    </row>
    <row r="4375" spans="7:14" ht="11.25" customHeight="1" x14ac:dyDescent="0.3">
      <c r="G4375" s="459"/>
      <c r="H4375" s="459">
        <v>4368</v>
      </c>
      <c r="I4375" s="444">
        <f t="shared" ca="1" si="188"/>
        <v>1281477449511.6914</v>
      </c>
      <c r="J4375" s="444">
        <f t="array" ref="J4375">IFERROR(INDEX('Retirement Calculator'!J:J,MATCH('Isaac 401k'!N4375,'Retirement Calculator'!A:A,0),0),0)</f>
        <v>0</v>
      </c>
      <c r="K4375" s="444">
        <f t="shared" ca="1" si="186"/>
        <v>5339489372.9653807</v>
      </c>
      <c r="L4375" s="444">
        <f t="shared" ca="1" si="187"/>
        <v>1286816938884.6567</v>
      </c>
      <c r="M4375" s="460">
        <f t="shared" si="189"/>
        <v>0.05</v>
      </c>
      <c r="N4375" s="464">
        <f t="shared" si="190"/>
        <v>184205</v>
      </c>
    </row>
    <row r="4376" spans="7:14" ht="11.25" customHeight="1" x14ac:dyDescent="0.3">
      <c r="G4376" s="459"/>
      <c r="H4376" s="459">
        <v>4369</v>
      </c>
      <c r="I4376" s="444">
        <f t="shared" ca="1" si="188"/>
        <v>1286816938884.6567</v>
      </c>
      <c r="J4376" s="444">
        <f t="array" ref="J4376">IFERROR(INDEX('Retirement Calculator'!J:J,MATCH('Isaac 401k'!N4376,'Retirement Calculator'!A:A,0),0),0)</f>
        <v>0</v>
      </c>
      <c r="K4376" s="444">
        <f t="shared" ca="1" si="186"/>
        <v>5361737245.3527365</v>
      </c>
      <c r="L4376" s="444">
        <f t="shared" ca="1" si="187"/>
        <v>1292178676130.0095</v>
      </c>
      <c r="M4376" s="460">
        <f t="shared" si="189"/>
        <v>0.05</v>
      </c>
      <c r="N4376" s="464">
        <f t="shared" si="190"/>
        <v>184236</v>
      </c>
    </row>
    <row r="4377" spans="7:14" ht="11.25" customHeight="1" x14ac:dyDescent="0.3">
      <c r="G4377" s="459"/>
      <c r="H4377" s="459">
        <v>4370</v>
      </c>
      <c r="I4377" s="444">
        <f t="shared" ca="1" si="188"/>
        <v>1292178676130.0095</v>
      </c>
      <c r="J4377" s="444">
        <f t="array" ref="J4377">IFERROR(INDEX('Retirement Calculator'!J:J,MATCH('Isaac 401k'!N4377,'Retirement Calculator'!A:A,0),0),0)</f>
        <v>0</v>
      </c>
      <c r="K4377" s="444">
        <f t="shared" ca="1" si="186"/>
        <v>5384077817.2083731</v>
      </c>
      <c r="L4377" s="444">
        <f t="shared" ca="1" si="187"/>
        <v>1297562753947.2178</v>
      </c>
      <c r="M4377" s="460">
        <f t="shared" si="189"/>
        <v>0.05</v>
      </c>
      <c r="N4377" s="464">
        <f t="shared" si="190"/>
        <v>184266</v>
      </c>
    </row>
    <row r="4378" spans="7:14" ht="11.25" customHeight="1" x14ac:dyDescent="0.3">
      <c r="G4378" s="459"/>
      <c r="H4378" s="459">
        <v>4371</v>
      </c>
      <c r="I4378" s="444">
        <f t="shared" ca="1" si="188"/>
        <v>1297562753947.2178</v>
      </c>
      <c r="J4378" s="444">
        <f t="array" ref="J4378">IFERROR(INDEX('Retirement Calculator'!J:J,MATCH('Isaac 401k'!N4378,'Retirement Calculator'!A:A,0),0),0)</f>
        <v>0</v>
      </c>
      <c r="K4378" s="444">
        <f t="shared" ca="1" si="186"/>
        <v>5406511474.7800741</v>
      </c>
      <c r="L4378" s="444">
        <f t="shared" ca="1" si="187"/>
        <v>1302969265421.9978</v>
      </c>
      <c r="M4378" s="460">
        <f t="shared" si="189"/>
        <v>0.05</v>
      </c>
      <c r="N4378" s="464">
        <f t="shared" si="190"/>
        <v>184297</v>
      </c>
    </row>
    <row r="4379" spans="7:14" ht="11.25" customHeight="1" x14ac:dyDescent="0.3">
      <c r="G4379" s="459"/>
      <c r="H4379" s="459">
        <v>4372</v>
      </c>
      <c r="I4379" s="444">
        <f t="shared" ca="1" si="188"/>
        <v>1302969265421.9978</v>
      </c>
      <c r="J4379" s="444">
        <f t="array" ref="J4379">IFERROR(INDEX('Retirement Calculator'!J:J,MATCH('Isaac 401k'!N4379,'Retirement Calculator'!A:A,0),0),0)</f>
        <v>0</v>
      </c>
      <c r="K4379" s="444">
        <f t="shared" ca="1" si="186"/>
        <v>5429038605.9249907</v>
      </c>
      <c r="L4379" s="444">
        <f t="shared" ca="1" si="187"/>
        <v>1308398304027.9229</v>
      </c>
      <c r="M4379" s="460">
        <f t="shared" si="189"/>
        <v>0.05</v>
      </c>
      <c r="N4379" s="464">
        <f t="shared" si="190"/>
        <v>184328</v>
      </c>
    </row>
    <row r="4380" spans="7:14" ht="11.25" customHeight="1" x14ac:dyDescent="0.3">
      <c r="G4380" s="459"/>
      <c r="H4380" s="459">
        <v>4373</v>
      </c>
      <c r="I4380" s="444">
        <f t="shared" ca="1" si="188"/>
        <v>1308398304027.9229</v>
      </c>
      <c r="J4380" s="444">
        <f t="array" ref="J4380">IFERROR(INDEX('Retirement Calculator'!J:J,MATCH('Isaac 401k'!N4380,'Retirement Calculator'!A:A,0),0),0)</f>
        <v>0</v>
      </c>
      <c r="K4380" s="444">
        <f t="shared" ca="1" si="186"/>
        <v>5451659600.1163454</v>
      </c>
      <c r="L4380" s="444">
        <f t="shared" ca="1" si="187"/>
        <v>1313849963628.0393</v>
      </c>
      <c r="M4380" s="460">
        <f t="shared" si="189"/>
        <v>0.05</v>
      </c>
      <c r="N4380" s="464">
        <f t="shared" si="190"/>
        <v>184358</v>
      </c>
    </row>
    <row r="4381" spans="7:14" ht="11.25" customHeight="1" x14ac:dyDescent="0.3">
      <c r="G4381" s="459"/>
      <c r="H4381" s="459">
        <v>4374</v>
      </c>
      <c r="I4381" s="444">
        <f t="shared" ca="1" si="188"/>
        <v>1313849963628.0393</v>
      </c>
      <c r="J4381" s="444">
        <f t="array" ref="J4381">IFERROR(INDEX('Retirement Calculator'!J:J,MATCH('Isaac 401k'!N4381,'Retirement Calculator'!A:A,0),0),0)</f>
        <v>0</v>
      </c>
      <c r="K4381" s="444">
        <f t="shared" ca="1" si="186"/>
        <v>5474374848.4501638</v>
      </c>
      <c r="L4381" s="444">
        <f t="shared" ca="1" si="187"/>
        <v>1319324338476.4895</v>
      </c>
      <c r="M4381" s="460">
        <f t="shared" si="189"/>
        <v>0.05</v>
      </c>
      <c r="N4381" s="464">
        <f t="shared" si="190"/>
        <v>184389</v>
      </c>
    </row>
    <row r="4382" spans="7:14" ht="11.25" customHeight="1" x14ac:dyDescent="0.3">
      <c r="G4382" s="459"/>
      <c r="H4382" s="459">
        <v>4375</v>
      </c>
      <c r="I4382" s="444">
        <f t="shared" ca="1" si="188"/>
        <v>1319324338476.4895</v>
      </c>
      <c r="J4382" s="444">
        <f t="array" ref="J4382">IFERROR(INDEX('Retirement Calculator'!J:J,MATCH('Isaac 401k'!N4382,'Retirement Calculator'!A:A,0),0),0)</f>
        <v>0</v>
      </c>
      <c r="K4382" s="444">
        <f t="shared" ca="1" si="186"/>
        <v>5497184743.6520395</v>
      </c>
      <c r="L4382" s="444">
        <f t="shared" ca="1" si="187"/>
        <v>1324821523220.1416</v>
      </c>
      <c r="M4382" s="460">
        <f t="shared" si="189"/>
        <v>0.05</v>
      </c>
      <c r="N4382" s="464">
        <f t="shared" si="190"/>
        <v>184419</v>
      </c>
    </row>
    <row r="4383" spans="7:14" ht="11.25" customHeight="1" x14ac:dyDescent="0.3">
      <c r="G4383" s="459"/>
      <c r="H4383" s="459">
        <v>4376</v>
      </c>
      <c r="I4383" s="444">
        <f t="shared" ca="1" si="188"/>
        <v>1324821523220.1416</v>
      </c>
      <c r="J4383" s="444">
        <f t="array" ref="J4383">IFERROR(INDEX('Retirement Calculator'!J:J,MATCH('Isaac 401k'!N4383,'Retirement Calculator'!A:A,0),0),0)</f>
        <v>0</v>
      </c>
      <c r="K4383" s="444">
        <f t="shared" ca="1" si="186"/>
        <v>5520089680.0839233</v>
      </c>
      <c r="L4383" s="444">
        <f t="shared" ca="1" si="187"/>
        <v>1330341612900.2256</v>
      </c>
      <c r="M4383" s="460">
        <f t="shared" si="189"/>
        <v>0.05</v>
      </c>
      <c r="N4383" s="464">
        <f t="shared" si="190"/>
        <v>184450</v>
      </c>
    </row>
    <row r="4384" spans="7:14" ht="11.25" customHeight="1" x14ac:dyDescent="0.3">
      <c r="G4384" s="459"/>
      <c r="H4384" s="459">
        <v>4377</v>
      </c>
      <c r="I4384" s="444">
        <f t="shared" ca="1" si="188"/>
        <v>1330341612900.2256</v>
      </c>
      <c r="J4384" s="444">
        <f t="array" ref="J4384">IFERROR(INDEX('Retirement Calculator'!J:J,MATCH('Isaac 401k'!N4384,'Retirement Calculator'!A:A,0),0),0)</f>
        <v>0</v>
      </c>
      <c r="K4384" s="444">
        <f t="shared" ca="1" si="186"/>
        <v>5543090053.7509403</v>
      </c>
      <c r="L4384" s="444">
        <f t="shared" ca="1" si="187"/>
        <v>1335884702953.9766</v>
      </c>
      <c r="M4384" s="460">
        <f t="shared" si="189"/>
        <v>0.05</v>
      </c>
      <c r="N4384" s="464">
        <f t="shared" si="190"/>
        <v>184481</v>
      </c>
    </row>
    <row r="4385" spans="7:14" ht="11.25" customHeight="1" x14ac:dyDescent="0.3">
      <c r="G4385" s="459"/>
      <c r="H4385" s="459">
        <v>4378</v>
      </c>
      <c r="I4385" s="444">
        <f t="shared" ca="1" si="188"/>
        <v>1335884702953.9766</v>
      </c>
      <c r="J4385" s="444">
        <f t="array" ref="J4385">IFERROR(INDEX('Retirement Calculator'!J:J,MATCH('Isaac 401k'!N4385,'Retirement Calculator'!A:A,0),0),0)</f>
        <v>0</v>
      </c>
      <c r="K4385" s="444">
        <f t="shared" ca="1" si="186"/>
        <v>5566186262.3082352</v>
      </c>
      <c r="L4385" s="444">
        <f t="shared" ca="1" si="187"/>
        <v>1341450889216.2849</v>
      </c>
      <c r="M4385" s="460">
        <f t="shared" si="189"/>
        <v>0.05</v>
      </c>
      <c r="N4385" s="464">
        <f t="shared" si="190"/>
        <v>184509</v>
      </c>
    </row>
    <row r="4386" spans="7:14" ht="11.25" customHeight="1" x14ac:dyDescent="0.3">
      <c r="G4386" s="459"/>
      <c r="H4386" s="459">
        <v>4379</v>
      </c>
      <c r="I4386" s="444">
        <f t="shared" ca="1" si="188"/>
        <v>1341450889216.2849</v>
      </c>
      <c r="J4386" s="444">
        <f t="array" ref="J4386">IFERROR(INDEX('Retirement Calculator'!J:J,MATCH('Isaac 401k'!N4386,'Retirement Calculator'!A:A,0),0),0)</f>
        <v>0</v>
      </c>
      <c r="K4386" s="444">
        <f t="shared" ca="1" si="186"/>
        <v>5589378705.0678539</v>
      </c>
      <c r="L4386" s="444">
        <f t="shared" ca="1" si="187"/>
        <v>1347040267921.3528</v>
      </c>
      <c r="M4386" s="460">
        <f t="shared" si="189"/>
        <v>0.05</v>
      </c>
      <c r="N4386" s="464">
        <f t="shared" si="190"/>
        <v>184540</v>
      </c>
    </row>
    <row r="4387" spans="7:14" ht="11.25" customHeight="1" x14ac:dyDescent="0.3">
      <c r="G4387" s="459"/>
      <c r="H4387" s="459">
        <v>4380</v>
      </c>
      <c r="I4387" s="444">
        <f t="shared" ca="1" si="188"/>
        <v>1347040267921.3528</v>
      </c>
      <c r="J4387" s="444">
        <f t="array" ref="J4387">IFERROR(INDEX('Retirement Calculator'!J:J,MATCH('Isaac 401k'!N4387,'Retirement Calculator'!A:A,0),0),0)</f>
        <v>0</v>
      </c>
      <c r="K4387" s="444">
        <f t="shared" ca="1" si="186"/>
        <v>5612667783.0056362</v>
      </c>
      <c r="L4387" s="444">
        <f t="shared" ca="1" si="187"/>
        <v>1352652935704.3584</v>
      </c>
      <c r="M4387" s="460">
        <f t="shared" si="189"/>
        <v>0.05</v>
      </c>
      <c r="N4387" s="464">
        <f t="shared" si="190"/>
        <v>184570</v>
      </c>
    </row>
    <row r="4388" spans="7:14" ht="11.25" customHeight="1" x14ac:dyDescent="0.3">
      <c r="G4388" s="459"/>
      <c r="H4388" s="459">
        <v>4381</v>
      </c>
      <c r="I4388" s="444">
        <f t="shared" ca="1" si="188"/>
        <v>1352652935704.3584</v>
      </c>
      <c r="J4388" s="444">
        <f t="array" ref="J4388">IFERROR(INDEX('Retirement Calculator'!J:J,MATCH('Isaac 401k'!N4388,'Retirement Calculator'!A:A,0),0),0)</f>
        <v>0</v>
      </c>
      <c r="K4388" s="444">
        <f t="shared" ca="1" si="186"/>
        <v>5636053898.7681599</v>
      </c>
      <c r="L4388" s="444">
        <f t="shared" ca="1" si="187"/>
        <v>1358288989603.1265</v>
      </c>
      <c r="M4388" s="460">
        <f t="shared" si="189"/>
        <v>0.05</v>
      </c>
      <c r="N4388" s="464">
        <f t="shared" si="190"/>
        <v>184601</v>
      </c>
    </row>
    <row r="4389" spans="7:14" ht="11.25" customHeight="1" x14ac:dyDescent="0.3">
      <c r="G4389" s="459"/>
      <c r="H4389" s="459">
        <v>4382</v>
      </c>
      <c r="I4389" s="444">
        <f t="shared" ca="1" si="188"/>
        <v>1358288989603.1265</v>
      </c>
      <c r="J4389" s="444">
        <f t="array" ref="J4389">IFERROR(INDEX('Retirement Calculator'!J:J,MATCH('Isaac 401k'!N4389,'Retirement Calculator'!A:A,0),0),0)</f>
        <v>0</v>
      </c>
      <c r="K4389" s="444">
        <f t="shared" ca="1" si="186"/>
        <v>5659537456.6796932</v>
      </c>
      <c r="L4389" s="444">
        <f t="shared" ca="1" si="187"/>
        <v>1363948527059.8062</v>
      </c>
      <c r="M4389" s="460">
        <f t="shared" si="189"/>
        <v>0.05</v>
      </c>
      <c r="N4389" s="464">
        <f t="shared" si="190"/>
        <v>184631</v>
      </c>
    </row>
    <row r="4390" spans="7:14" ht="11.25" customHeight="1" x14ac:dyDescent="0.3">
      <c r="G4390" s="459"/>
      <c r="H4390" s="459">
        <v>4383</v>
      </c>
      <c r="I4390" s="444">
        <f t="shared" ca="1" si="188"/>
        <v>1363948527059.8062</v>
      </c>
      <c r="J4390" s="444">
        <f t="array" ref="J4390">IFERROR(INDEX('Retirement Calculator'!J:J,MATCH('Isaac 401k'!N4390,'Retirement Calculator'!A:A,0),0),0)</f>
        <v>0</v>
      </c>
      <c r="K4390" s="444">
        <f t="shared" ca="1" si="186"/>
        <v>5683118862.7491922</v>
      </c>
      <c r="L4390" s="444">
        <f t="shared" ca="1" si="187"/>
        <v>1369631645922.5554</v>
      </c>
      <c r="M4390" s="460">
        <f t="shared" si="189"/>
        <v>0.05</v>
      </c>
      <c r="N4390" s="464">
        <f t="shared" si="190"/>
        <v>184662</v>
      </c>
    </row>
    <row r="4391" spans="7:14" ht="11.25" customHeight="1" x14ac:dyDescent="0.3">
      <c r="G4391" s="459"/>
      <c r="H4391" s="459">
        <v>4384</v>
      </c>
      <c r="I4391" s="444">
        <f t="shared" ca="1" si="188"/>
        <v>1369631645922.5554</v>
      </c>
      <c r="J4391" s="444">
        <f t="array" ref="J4391">IFERROR(INDEX('Retirement Calculator'!J:J,MATCH('Isaac 401k'!N4391,'Retirement Calculator'!A:A,0),0),0)</f>
        <v>0</v>
      </c>
      <c r="K4391" s="444">
        <f t="shared" ca="1" si="186"/>
        <v>5706798524.6773138</v>
      </c>
      <c r="L4391" s="444">
        <f t="shared" ca="1" si="187"/>
        <v>1375338444447.2327</v>
      </c>
      <c r="M4391" s="460">
        <f t="shared" si="189"/>
        <v>0.05</v>
      </c>
      <c r="N4391" s="464">
        <f t="shared" si="190"/>
        <v>184693</v>
      </c>
    </row>
    <row r="4392" spans="7:14" ht="11.25" customHeight="1" x14ac:dyDescent="0.3">
      <c r="G4392" s="459"/>
      <c r="H4392" s="459">
        <v>4385</v>
      </c>
      <c r="I4392" s="444">
        <f t="shared" ca="1" si="188"/>
        <v>1375338444447.2327</v>
      </c>
      <c r="J4392" s="444">
        <f t="array" ref="J4392">IFERROR(INDEX('Retirement Calculator'!J:J,MATCH('Isaac 401k'!N4392,'Retirement Calculator'!A:A,0),0),0)</f>
        <v>0</v>
      </c>
      <c r="K4392" s="444">
        <f t="shared" ca="1" si="186"/>
        <v>5730576851.8634691</v>
      </c>
      <c r="L4392" s="444">
        <f t="shared" ca="1" si="187"/>
        <v>1381069021299.0962</v>
      </c>
      <c r="M4392" s="460">
        <f t="shared" si="189"/>
        <v>0.05</v>
      </c>
      <c r="N4392" s="464">
        <f t="shared" si="190"/>
        <v>184723</v>
      </c>
    </row>
    <row r="4393" spans="7:14" ht="11.25" customHeight="1" x14ac:dyDescent="0.3">
      <c r="G4393" s="459"/>
      <c r="H4393" s="459">
        <v>4386</v>
      </c>
      <c r="I4393" s="444">
        <f t="shared" ca="1" si="188"/>
        <v>1381069021299.0962</v>
      </c>
      <c r="J4393" s="444">
        <f t="array" ref="J4393">IFERROR(INDEX('Retirement Calculator'!J:J,MATCH('Isaac 401k'!N4393,'Retirement Calculator'!A:A,0),0),0)</f>
        <v>0</v>
      </c>
      <c r="K4393" s="444">
        <f t="shared" ca="1" si="186"/>
        <v>5754454255.4129009</v>
      </c>
      <c r="L4393" s="444">
        <f t="shared" ca="1" si="187"/>
        <v>1386823475554.509</v>
      </c>
      <c r="M4393" s="460">
        <f t="shared" si="189"/>
        <v>0.05</v>
      </c>
      <c r="N4393" s="464">
        <f t="shared" si="190"/>
        <v>184754</v>
      </c>
    </row>
    <row r="4394" spans="7:14" ht="11.25" customHeight="1" x14ac:dyDescent="0.3">
      <c r="G4394" s="459"/>
      <c r="H4394" s="459">
        <v>4387</v>
      </c>
      <c r="I4394" s="444">
        <f t="shared" ca="1" si="188"/>
        <v>1386823475554.509</v>
      </c>
      <c r="J4394" s="444">
        <f t="array" ref="J4394">IFERROR(INDEX('Retirement Calculator'!J:J,MATCH('Isaac 401k'!N4394,'Retirement Calculator'!A:A,0),0),0)</f>
        <v>0</v>
      </c>
      <c r="K4394" s="444">
        <f t="shared" ca="1" si="186"/>
        <v>5778431148.1437874</v>
      </c>
      <c r="L4394" s="444">
        <f t="shared" ca="1" si="187"/>
        <v>1392601906702.6528</v>
      </c>
      <c r="M4394" s="460">
        <f t="shared" si="189"/>
        <v>0.05</v>
      </c>
      <c r="N4394" s="464">
        <f t="shared" si="190"/>
        <v>184784</v>
      </c>
    </row>
    <row r="4395" spans="7:14" ht="11.25" customHeight="1" x14ac:dyDescent="0.3">
      <c r="G4395" s="459"/>
      <c r="H4395" s="459">
        <v>4388</v>
      </c>
      <c r="I4395" s="444">
        <f t="shared" ca="1" si="188"/>
        <v>1392601906702.6528</v>
      </c>
      <c r="J4395" s="444">
        <f t="array" ref="J4395">IFERROR(INDEX('Retirement Calculator'!J:J,MATCH('Isaac 401k'!N4395,'Retirement Calculator'!A:A,0),0),0)</f>
        <v>0</v>
      </c>
      <c r="K4395" s="444">
        <f t="shared" ca="1" si="186"/>
        <v>5802507944.5943871</v>
      </c>
      <c r="L4395" s="444">
        <f t="shared" ca="1" si="187"/>
        <v>1398404414647.2473</v>
      </c>
      <c r="M4395" s="460">
        <f t="shared" si="189"/>
        <v>0.05</v>
      </c>
      <c r="N4395" s="464">
        <f t="shared" si="190"/>
        <v>184815</v>
      </c>
    </row>
    <row r="4396" spans="7:14" ht="11.25" customHeight="1" x14ac:dyDescent="0.3">
      <c r="G4396" s="459"/>
      <c r="H4396" s="459">
        <v>4389</v>
      </c>
      <c r="I4396" s="444">
        <f t="shared" ca="1" si="188"/>
        <v>1398404414647.2473</v>
      </c>
      <c r="J4396" s="444">
        <f t="array" ref="J4396">IFERROR(INDEX('Retirement Calculator'!J:J,MATCH('Isaac 401k'!N4396,'Retirement Calculator'!A:A,0),0),0)</f>
        <v>0</v>
      </c>
      <c r="K4396" s="444">
        <f t="shared" ca="1" si="186"/>
        <v>5826685061.0301971</v>
      </c>
      <c r="L4396" s="444">
        <f t="shared" ca="1" si="187"/>
        <v>1404231099708.2776</v>
      </c>
      <c r="M4396" s="460">
        <f t="shared" si="189"/>
        <v>0.05</v>
      </c>
      <c r="N4396" s="464">
        <f t="shared" si="190"/>
        <v>184846</v>
      </c>
    </row>
    <row r="4397" spans="7:14" ht="11.25" customHeight="1" x14ac:dyDescent="0.3">
      <c r="G4397" s="459"/>
      <c r="H4397" s="459">
        <v>4390</v>
      </c>
      <c r="I4397" s="444">
        <f t="shared" ca="1" si="188"/>
        <v>1404231099708.2776</v>
      </c>
      <c r="J4397" s="444">
        <f t="array" ref="J4397">IFERROR(INDEX('Retirement Calculator'!J:J,MATCH('Isaac 401k'!N4397,'Retirement Calculator'!A:A,0),0),0)</f>
        <v>0</v>
      </c>
      <c r="K4397" s="444">
        <f t="shared" ca="1" si="186"/>
        <v>5850962915.4511566</v>
      </c>
      <c r="L4397" s="444">
        <f t="shared" ca="1" si="187"/>
        <v>1410082062623.7288</v>
      </c>
      <c r="M4397" s="460">
        <f t="shared" si="189"/>
        <v>0.05</v>
      </c>
      <c r="N4397" s="464">
        <f t="shared" si="190"/>
        <v>184874</v>
      </c>
    </row>
    <row r="4398" spans="7:14" ht="11.25" customHeight="1" x14ac:dyDescent="0.3">
      <c r="G4398" s="459"/>
      <c r="H4398" s="459">
        <v>4391</v>
      </c>
      <c r="I4398" s="444">
        <f t="shared" ca="1" si="188"/>
        <v>1410082062623.7288</v>
      </c>
      <c r="J4398" s="444">
        <f t="array" ref="J4398">IFERROR(INDEX('Retirement Calculator'!J:J,MATCH('Isaac 401k'!N4398,'Retirement Calculator'!A:A,0),0),0)</f>
        <v>0</v>
      </c>
      <c r="K4398" s="444">
        <f t="shared" ca="1" si="186"/>
        <v>5875341927.5988693</v>
      </c>
      <c r="L4398" s="444">
        <f t="shared" ca="1" si="187"/>
        <v>1415957404551.3276</v>
      </c>
      <c r="M4398" s="460">
        <f t="shared" si="189"/>
        <v>0.05</v>
      </c>
      <c r="N4398" s="464">
        <f t="shared" si="190"/>
        <v>184905</v>
      </c>
    </row>
    <row r="4399" spans="7:14" ht="11.25" customHeight="1" x14ac:dyDescent="0.3">
      <c r="G4399" s="459"/>
      <c r="H4399" s="459">
        <v>4392</v>
      </c>
      <c r="I4399" s="444">
        <f t="shared" ca="1" si="188"/>
        <v>1415957404551.3276</v>
      </c>
      <c r="J4399" s="444">
        <f t="array" ref="J4399">IFERROR(INDEX('Retirement Calculator'!J:J,MATCH('Isaac 401k'!N4399,'Retirement Calculator'!A:A,0),0),0)</f>
        <v>0</v>
      </c>
      <c r="K4399" s="444">
        <f t="shared" ca="1" si="186"/>
        <v>5899822518.9638653</v>
      </c>
      <c r="L4399" s="444">
        <f t="shared" ca="1" si="187"/>
        <v>1421857227070.2915</v>
      </c>
      <c r="M4399" s="460">
        <f t="shared" si="189"/>
        <v>0.05</v>
      </c>
      <c r="N4399" s="464">
        <f t="shared" si="190"/>
        <v>184935</v>
      </c>
    </row>
    <row r="4400" spans="7:14" ht="11.25" customHeight="1" x14ac:dyDescent="0.3">
      <c r="G4400" s="459"/>
      <c r="H4400" s="459">
        <v>4393</v>
      </c>
      <c r="I4400" s="444">
        <f t="shared" ca="1" si="188"/>
        <v>1421857227070.2915</v>
      </c>
      <c r="J4400" s="444">
        <f t="array" ref="J4400">IFERROR(INDEX('Retirement Calculator'!J:J,MATCH('Isaac 401k'!N4400,'Retirement Calculator'!A:A,0),0),0)</f>
        <v>0</v>
      </c>
      <c r="K4400" s="444">
        <f t="shared" ca="1" si="186"/>
        <v>5924405112.792881</v>
      </c>
      <c r="L4400" s="444">
        <f t="shared" ca="1" si="187"/>
        <v>1427781632183.0845</v>
      </c>
      <c r="M4400" s="460">
        <f t="shared" si="189"/>
        <v>0.05</v>
      </c>
      <c r="N4400" s="464">
        <f t="shared" si="190"/>
        <v>184966</v>
      </c>
    </row>
    <row r="4401" spans="7:14" ht="11.25" customHeight="1" x14ac:dyDescent="0.3">
      <c r="G4401" s="459"/>
      <c r="H4401" s="459">
        <v>4394</v>
      </c>
      <c r="I4401" s="444">
        <f t="shared" ca="1" si="188"/>
        <v>1427781632183.0845</v>
      </c>
      <c r="J4401" s="444">
        <f t="array" ref="J4401">IFERROR(INDEX('Retirement Calculator'!J:J,MATCH('Isaac 401k'!N4401,'Retirement Calculator'!A:A,0),0),0)</f>
        <v>0</v>
      </c>
      <c r="K4401" s="444">
        <f t="shared" ca="1" si="186"/>
        <v>5949090134.0961857</v>
      </c>
      <c r="L4401" s="444">
        <f t="shared" ca="1" si="187"/>
        <v>1433730722317.1807</v>
      </c>
      <c r="M4401" s="460">
        <f t="shared" si="189"/>
        <v>0.05</v>
      </c>
      <c r="N4401" s="464">
        <f t="shared" si="190"/>
        <v>184996</v>
      </c>
    </row>
    <row r="4402" spans="7:14" ht="11.25" customHeight="1" x14ac:dyDescent="0.3">
      <c r="G4402" s="459"/>
      <c r="H4402" s="459">
        <v>4395</v>
      </c>
      <c r="I4402" s="444">
        <f t="shared" ca="1" si="188"/>
        <v>1433730722317.1807</v>
      </c>
      <c r="J4402" s="444">
        <f t="array" ref="J4402">IFERROR(INDEX('Retirement Calculator'!J:J,MATCH('Isaac 401k'!N4402,'Retirement Calculator'!A:A,0),0),0)</f>
        <v>0</v>
      </c>
      <c r="K4402" s="444">
        <f t="shared" ca="1" si="186"/>
        <v>5973878009.6549196</v>
      </c>
      <c r="L4402" s="444">
        <f t="shared" ca="1" si="187"/>
        <v>1439704600326.8357</v>
      </c>
      <c r="M4402" s="460">
        <f t="shared" si="189"/>
        <v>0.05</v>
      </c>
      <c r="N4402" s="464">
        <f t="shared" si="190"/>
        <v>185027</v>
      </c>
    </row>
    <row r="4403" spans="7:14" ht="11.25" customHeight="1" x14ac:dyDescent="0.3">
      <c r="G4403" s="459"/>
      <c r="H4403" s="459">
        <v>4396</v>
      </c>
      <c r="I4403" s="444">
        <f t="shared" ca="1" si="188"/>
        <v>1439704600326.8357</v>
      </c>
      <c r="J4403" s="444">
        <f t="array" ref="J4403">IFERROR(INDEX('Retirement Calculator'!J:J,MATCH('Isaac 401k'!N4403,'Retirement Calculator'!A:A,0),0),0)</f>
        <v>0</v>
      </c>
      <c r="K4403" s="444">
        <f t="shared" ca="1" si="186"/>
        <v>5998769168.0284824</v>
      </c>
      <c r="L4403" s="444">
        <f t="shared" ca="1" si="187"/>
        <v>1445703369494.8643</v>
      </c>
      <c r="M4403" s="460">
        <f t="shared" si="189"/>
        <v>0.05</v>
      </c>
      <c r="N4403" s="464">
        <f t="shared" si="190"/>
        <v>185058</v>
      </c>
    </row>
    <row r="4404" spans="7:14" ht="11.25" customHeight="1" x14ac:dyDescent="0.3">
      <c r="G4404" s="459"/>
      <c r="H4404" s="459">
        <v>4397</v>
      </c>
      <c r="I4404" s="444">
        <f t="shared" ca="1" si="188"/>
        <v>1445703369494.8643</v>
      </c>
      <c r="J4404" s="444">
        <f t="array" ref="J4404">IFERROR(INDEX('Retirement Calculator'!J:J,MATCH('Isaac 401k'!N4404,'Retirement Calculator'!A:A,0),0),0)</f>
        <v>0</v>
      </c>
      <c r="K4404" s="444">
        <f t="shared" ca="1" si="186"/>
        <v>6023764039.5619345</v>
      </c>
      <c r="L4404" s="444">
        <f t="shared" ca="1" si="187"/>
        <v>1451727133534.4263</v>
      </c>
      <c r="M4404" s="460">
        <f t="shared" si="189"/>
        <v>0.05</v>
      </c>
      <c r="N4404" s="464">
        <f t="shared" si="190"/>
        <v>185088</v>
      </c>
    </row>
    <row r="4405" spans="7:14" ht="11.25" customHeight="1" x14ac:dyDescent="0.3">
      <c r="G4405" s="459"/>
      <c r="H4405" s="459">
        <v>4398</v>
      </c>
      <c r="I4405" s="444">
        <f t="shared" ca="1" si="188"/>
        <v>1451727133534.4263</v>
      </c>
      <c r="J4405" s="444">
        <f t="array" ref="J4405">IFERROR(INDEX('Retirement Calculator'!J:J,MATCH('Isaac 401k'!N4405,'Retirement Calculator'!A:A,0),0),0)</f>
        <v>0</v>
      </c>
      <c r="K4405" s="444">
        <f t="shared" ca="1" si="186"/>
        <v>6048863056.3934431</v>
      </c>
      <c r="L4405" s="444">
        <f t="shared" ca="1" si="187"/>
        <v>1457775996590.8198</v>
      </c>
      <c r="M4405" s="460">
        <f t="shared" si="189"/>
        <v>0.05</v>
      </c>
      <c r="N4405" s="464">
        <f t="shared" si="190"/>
        <v>185119</v>
      </c>
    </row>
    <row r="4406" spans="7:14" ht="11.25" customHeight="1" x14ac:dyDescent="0.3">
      <c r="G4406" s="459"/>
      <c r="H4406" s="459">
        <v>4399</v>
      </c>
      <c r="I4406" s="444">
        <f t="shared" ca="1" si="188"/>
        <v>1457775996590.8198</v>
      </c>
      <c r="J4406" s="444">
        <f t="array" ref="J4406">IFERROR(INDEX('Retirement Calculator'!J:J,MATCH('Isaac 401k'!N4406,'Retirement Calculator'!A:A,0),0),0)</f>
        <v>0</v>
      </c>
      <c r="K4406" s="444">
        <f t="shared" ca="1" si="186"/>
        <v>6074066652.4617491</v>
      </c>
      <c r="L4406" s="444">
        <f t="shared" ca="1" si="187"/>
        <v>1463850063243.2815</v>
      </c>
      <c r="M4406" s="460">
        <f t="shared" si="189"/>
        <v>0.05</v>
      </c>
      <c r="N4406" s="464">
        <f t="shared" si="190"/>
        <v>185149</v>
      </c>
    </row>
    <row r="4407" spans="7:14" ht="11.25" customHeight="1" x14ac:dyDescent="0.3">
      <c r="G4407" s="459"/>
      <c r="H4407" s="459">
        <v>4400</v>
      </c>
      <c r="I4407" s="444">
        <f t="shared" ca="1" si="188"/>
        <v>1463850063243.2815</v>
      </c>
      <c r="J4407" s="444">
        <f t="array" ref="J4407">IFERROR(INDEX('Retirement Calculator'!J:J,MATCH('Isaac 401k'!N4407,'Retirement Calculator'!A:A,0),0),0)</f>
        <v>0</v>
      </c>
      <c r="K4407" s="444">
        <f t="shared" ca="1" si="186"/>
        <v>6099375263.5136728</v>
      </c>
      <c r="L4407" s="444">
        <f t="shared" ca="1" si="187"/>
        <v>1469949438506.7952</v>
      </c>
      <c r="M4407" s="460">
        <f t="shared" si="189"/>
        <v>0.05</v>
      </c>
      <c r="N4407" s="464">
        <f t="shared" si="190"/>
        <v>185180</v>
      </c>
    </row>
    <row r="4408" spans="7:14" ht="11.25" customHeight="1" x14ac:dyDescent="0.3">
      <c r="G4408" s="459"/>
      <c r="H4408" s="459">
        <v>4401</v>
      </c>
      <c r="I4408" s="444">
        <f t="shared" ca="1" si="188"/>
        <v>1469949438506.7952</v>
      </c>
      <c r="J4408" s="444">
        <f t="array" ref="J4408">IFERROR(INDEX('Retirement Calculator'!J:J,MATCH('Isaac 401k'!N4408,'Retirement Calculator'!A:A,0),0),0)</f>
        <v>0</v>
      </c>
      <c r="K4408" s="444">
        <f t="shared" ca="1" si="186"/>
        <v>6124789327.1116467</v>
      </c>
      <c r="L4408" s="444">
        <f t="shared" ca="1" si="187"/>
        <v>1476074227833.9067</v>
      </c>
      <c r="M4408" s="460">
        <f t="shared" si="189"/>
        <v>0.05</v>
      </c>
      <c r="N4408" s="464">
        <f t="shared" si="190"/>
        <v>185211</v>
      </c>
    </row>
    <row r="4409" spans="7:14" ht="11.25" customHeight="1" x14ac:dyDescent="0.3">
      <c r="G4409" s="459"/>
      <c r="H4409" s="459">
        <v>4402</v>
      </c>
      <c r="I4409" s="444">
        <f t="shared" ca="1" si="188"/>
        <v>1476074227833.9067</v>
      </c>
      <c r="J4409" s="444">
        <f t="array" ref="J4409">IFERROR(INDEX('Retirement Calculator'!J:J,MATCH('Isaac 401k'!N4409,'Retirement Calculator'!A:A,0),0),0)</f>
        <v>0</v>
      </c>
      <c r="K4409" s="444">
        <f t="shared" ca="1" si="186"/>
        <v>6150309282.6412783</v>
      </c>
      <c r="L4409" s="444">
        <f t="shared" ca="1" si="187"/>
        <v>1482224537116.5481</v>
      </c>
      <c r="M4409" s="460">
        <f t="shared" si="189"/>
        <v>0.05</v>
      </c>
      <c r="N4409" s="464">
        <f t="shared" si="190"/>
        <v>185239</v>
      </c>
    </row>
    <row r="4410" spans="7:14" ht="11.25" customHeight="1" x14ac:dyDescent="0.3">
      <c r="G4410" s="459"/>
      <c r="H4410" s="459">
        <v>4403</v>
      </c>
      <c r="I4410" s="444">
        <f t="shared" ca="1" si="188"/>
        <v>1482224537116.5481</v>
      </c>
      <c r="J4410" s="444">
        <f t="array" ref="J4410">IFERROR(INDEX('Retirement Calculator'!J:J,MATCH('Isaac 401k'!N4410,'Retirement Calculator'!A:A,0),0),0)</f>
        <v>0</v>
      </c>
      <c r="K4410" s="444">
        <f t="shared" ca="1" si="186"/>
        <v>6175935571.3189507</v>
      </c>
      <c r="L4410" s="444">
        <f t="shared" ca="1" si="187"/>
        <v>1488400472687.8669</v>
      </c>
      <c r="M4410" s="460">
        <f t="shared" si="189"/>
        <v>0.05</v>
      </c>
      <c r="N4410" s="464">
        <f t="shared" si="190"/>
        <v>185270</v>
      </c>
    </row>
    <row r="4411" spans="7:14" ht="11.25" customHeight="1" x14ac:dyDescent="0.3">
      <c r="G4411" s="459"/>
      <c r="H4411" s="459">
        <v>4404</v>
      </c>
      <c r="I4411" s="444">
        <f t="shared" ca="1" si="188"/>
        <v>1488400472687.8669</v>
      </c>
      <c r="J4411" s="444">
        <f t="array" ref="J4411">IFERROR(INDEX('Retirement Calculator'!J:J,MATCH('Isaac 401k'!N4411,'Retirement Calculator'!A:A,0),0),0)</f>
        <v>0</v>
      </c>
      <c r="K4411" s="444">
        <f t="shared" ca="1" si="186"/>
        <v>6201668636.1994457</v>
      </c>
      <c r="L4411" s="444">
        <f t="shared" ca="1" si="187"/>
        <v>1494602141324.0664</v>
      </c>
      <c r="M4411" s="460">
        <f t="shared" si="189"/>
        <v>0.05</v>
      </c>
      <c r="N4411" s="464">
        <f t="shared" si="190"/>
        <v>185300</v>
      </c>
    </row>
    <row r="4412" spans="7:14" ht="11.25" customHeight="1" x14ac:dyDescent="0.3">
      <c r="G4412" s="459"/>
      <c r="H4412" s="459">
        <v>4405</v>
      </c>
      <c r="I4412" s="444">
        <f t="shared" ca="1" si="188"/>
        <v>1494602141324.0664</v>
      </c>
      <c r="J4412" s="444">
        <f t="array" ref="J4412">IFERROR(INDEX('Retirement Calculator'!J:J,MATCH('Isaac 401k'!N4412,'Retirement Calculator'!A:A,0),0),0)</f>
        <v>0</v>
      </c>
      <c r="K4412" s="444">
        <f t="shared" ca="1" si="186"/>
        <v>6227508922.18361</v>
      </c>
      <c r="L4412" s="444">
        <f t="shared" ca="1" si="187"/>
        <v>1500829650246.25</v>
      </c>
      <c r="M4412" s="460">
        <f t="shared" si="189"/>
        <v>0.05</v>
      </c>
      <c r="N4412" s="464">
        <f t="shared" si="190"/>
        <v>185331</v>
      </c>
    </row>
    <row r="4413" spans="7:14" ht="11.25" customHeight="1" x14ac:dyDescent="0.3">
      <c r="G4413" s="459"/>
      <c r="H4413" s="459">
        <v>4406</v>
      </c>
      <c r="I4413" s="444">
        <f t="shared" ca="1" si="188"/>
        <v>1500829650246.25</v>
      </c>
      <c r="J4413" s="444">
        <f t="array" ref="J4413">IFERROR(INDEX('Retirement Calculator'!J:J,MATCH('Isaac 401k'!N4413,'Retirement Calculator'!A:A,0),0),0)</f>
        <v>0</v>
      </c>
      <c r="K4413" s="444">
        <f t="shared" ca="1" si="186"/>
        <v>6253456876.026042</v>
      </c>
      <c r="L4413" s="444">
        <f t="shared" ca="1" si="187"/>
        <v>1507083107122.2761</v>
      </c>
      <c r="M4413" s="460">
        <f t="shared" si="189"/>
        <v>0.05</v>
      </c>
      <c r="N4413" s="464">
        <f t="shared" si="190"/>
        <v>185361</v>
      </c>
    </row>
    <row r="4414" spans="7:14" ht="11.25" customHeight="1" x14ac:dyDescent="0.3">
      <c r="G4414" s="459"/>
      <c r="H4414" s="459">
        <v>4407</v>
      </c>
      <c r="I4414" s="444">
        <f t="shared" ca="1" si="188"/>
        <v>1507083107122.2761</v>
      </c>
      <c r="J4414" s="444">
        <f t="array" ref="J4414">IFERROR(INDEX('Retirement Calculator'!J:J,MATCH('Isaac 401k'!N4414,'Retirement Calculator'!A:A,0),0),0)</f>
        <v>0</v>
      </c>
      <c r="K4414" s="444">
        <f t="shared" ca="1" si="186"/>
        <v>6279512946.3428173</v>
      </c>
      <c r="L4414" s="444">
        <f t="shared" ca="1" si="187"/>
        <v>1513362620068.6189</v>
      </c>
      <c r="M4414" s="460">
        <f t="shared" si="189"/>
        <v>0.05</v>
      </c>
      <c r="N4414" s="464">
        <f t="shared" si="190"/>
        <v>185392</v>
      </c>
    </row>
    <row r="4415" spans="7:14" ht="11.25" customHeight="1" x14ac:dyDescent="0.3">
      <c r="G4415" s="459"/>
      <c r="H4415" s="459">
        <v>4408</v>
      </c>
      <c r="I4415" s="444">
        <f t="shared" ca="1" si="188"/>
        <v>1513362620068.6189</v>
      </c>
      <c r="J4415" s="444">
        <f t="array" ref="J4415">IFERROR(INDEX('Retirement Calculator'!J:J,MATCH('Isaac 401k'!N4415,'Retirement Calculator'!A:A,0),0),0)</f>
        <v>0</v>
      </c>
      <c r="K4415" s="444">
        <f t="shared" ca="1" si="186"/>
        <v>6305677583.6192455</v>
      </c>
      <c r="L4415" s="444">
        <f t="shared" ca="1" si="187"/>
        <v>1519668297652.238</v>
      </c>
      <c r="M4415" s="460">
        <f t="shared" si="189"/>
        <v>0.05</v>
      </c>
      <c r="N4415" s="464">
        <f t="shared" si="190"/>
        <v>185423</v>
      </c>
    </row>
    <row r="4416" spans="7:14" ht="11.25" customHeight="1" x14ac:dyDescent="0.3">
      <c r="G4416" s="459"/>
      <c r="H4416" s="459">
        <v>4409</v>
      </c>
      <c r="I4416" s="444">
        <f t="shared" ca="1" si="188"/>
        <v>1519668297652.238</v>
      </c>
      <c r="J4416" s="444">
        <f t="array" ref="J4416">IFERROR(INDEX('Retirement Calculator'!J:J,MATCH('Isaac 401k'!N4416,'Retirement Calculator'!A:A,0),0),0)</f>
        <v>0</v>
      </c>
      <c r="K4416" s="444">
        <f t="shared" ca="1" si="186"/>
        <v>6331951240.217658</v>
      </c>
      <c r="L4416" s="444">
        <f t="shared" ca="1" si="187"/>
        <v>1526000248892.4558</v>
      </c>
      <c r="M4416" s="460">
        <f t="shared" si="189"/>
        <v>0.05</v>
      </c>
      <c r="N4416" s="464">
        <f t="shared" si="190"/>
        <v>185453</v>
      </c>
    </row>
    <row r="4417" spans="7:14" ht="11.25" customHeight="1" x14ac:dyDescent="0.3">
      <c r="G4417" s="459"/>
      <c r="H4417" s="459">
        <v>4410</v>
      </c>
      <c r="I4417" s="444">
        <f t="shared" ca="1" si="188"/>
        <v>1526000248892.4558</v>
      </c>
      <c r="J4417" s="444">
        <f t="array" ref="J4417">IFERROR(INDEX('Retirement Calculator'!J:J,MATCH('Isaac 401k'!N4417,'Retirement Calculator'!A:A,0),0),0)</f>
        <v>0</v>
      </c>
      <c r="K4417" s="444">
        <f t="shared" ca="1" si="186"/>
        <v>6358334370.3852329</v>
      </c>
      <c r="L4417" s="444">
        <f t="shared" ca="1" si="187"/>
        <v>1532358583262.8411</v>
      </c>
      <c r="M4417" s="460">
        <f t="shared" si="189"/>
        <v>0.05</v>
      </c>
      <c r="N4417" s="464">
        <f t="shared" si="190"/>
        <v>185484</v>
      </c>
    </row>
    <row r="4418" spans="7:14" ht="11.25" customHeight="1" x14ac:dyDescent="0.3">
      <c r="G4418" s="459"/>
      <c r="H4418" s="459">
        <v>4411</v>
      </c>
      <c r="I4418" s="444">
        <f t="shared" ca="1" si="188"/>
        <v>1532358583262.8411</v>
      </c>
      <c r="J4418" s="444">
        <f t="array" ref="J4418">IFERROR(INDEX('Retirement Calculator'!J:J,MATCH('Isaac 401k'!N4418,'Retirement Calculator'!A:A,0),0),0)</f>
        <v>0</v>
      </c>
      <c r="K4418" s="444">
        <f t="shared" ca="1" si="186"/>
        <v>6384827430.261838</v>
      </c>
      <c r="L4418" s="444">
        <f t="shared" ca="1" si="187"/>
        <v>1538743410693.1028</v>
      </c>
      <c r="M4418" s="460">
        <f t="shared" si="189"/>
        <v>0.05</v>
      </c>
      <c r="N4418" s="464">
        <f t="shared" si="190"/>
        <v>185514</v>
      </c>
    </row>
    <row r="4419" spans="7:14" ht="11.25" customHeight="1" x14ac:dyDescent="0.3">
      <c r="G4419" s="459"/>
      <c r="H4419" s="459">
        <v>4412</v>
      </c>
      <c r="I4419" s="444">
        <f t="shared" ca="1" si="188"/>
        <v>1538743410693.1028</v>
      </c>
      <c r="J4419" s="444">
        <f t="array" ref="J4419">IFERROR(INDEX('Retirement Calculator'!J:J,MATCH('Isaac 401k'!N4419,'Retirement Calculator'!A:A,0),0),0)</f>
        <v>0</v>
      </c>
      <c r="K4419" s="444">
        <f t="shared" ca="1" si="186"/>
        <v>6411430877.887928</v>
      </c>
      <c r="L4419" s="444">
        <f t="shared" ca="1" si="187"/>
        <v>1545154841570.9907</v>
      </c>
      <c r="M4419" s="460">
        <f t="shared" si="189"/>
        <v>0.05</v>
      </c>
      <c r="N4419" s="464">
        <f t="shared" si="190"/>
        <v>185545</v>
      </c>
    </row>
    <row r="4420" spans="7:14" ht="11.25" customHeight="1" x14ac:dyDescent="0.3">
      <c r="G4420" s="459"/>
      <c r="H4420" s="459">
        <v>4413</v>
      </c>
      <c r="I4420" s="444">
        <f t="shared" ca="1" si="188"/>
        <v>1545154841570.9907</v>
      </c>
      <c r="J4420" s="444">
        <f t="array" ref="J4420">IFERROR(INDEX('Retirement Calculator'!J:J,MATCH('Isaac 401k'!N4420,'Retirement Calculator'!A:A,0),0),0)</f>
        <v>0</v>
      </c>
      <c r="K4420" s="444">
        <f t="shared" ca="1" si="186"/>
        <v>6438145173.2124615</v>
      </c>
      <c r="L4420" s="444">
        <f t="shared" ca="1" si="187"/>
        <v>1551592986744.2031</v>
      </c>
      <c r="M4420" s="460">
        <f t="shared" si="189"/>
        <v>0.05</v>
      </c>
      <c r="N4420" s="464">
        <f t="shared" si="190"/>
        <v>185576</v>
      </c>
    </row>
    <row r="4421" spans="7:14" ht="11.25" customHeight="1" x14ac:dyDescent="0.3">
      <c r="G4421" s="459"/>
      <c r="H4421" s="459">
        <v>4414</v>
      </c>
      <c r="I4421" s="444">
        <f t="shared" ca="1" si="188"/>
        <v>1551592986744.2031</v>
      </c>
      <c r="J4421" s="444">
        <f t="array" ref="J4421">IFERROR(INDEX('Retirement Calculator'!J:J,MATCH('Isaac 401k'!N4421,'Retirement Calculator'!A:A,0),0),0)</f>
        <v>0</v>
      </c>
      <c r="K4421" s="444">
        <f t="shared" ca="1" si="186"/>
        <v>6464970778.1008463</v>
      </c>
      <c r="L4421" s="444">
        <f t="shared" ca="1" si="187"/>
        <v>1558057957522.304</v>
      </c>
      <c r="M4421" s="460">
        <f t="shared" si="189"/>
        <v>0.05</v>
      </c>
      <c r="N4421" s="464">
        <f t="shared" si="190"/>
        <v>185605</v>
      </c>
    </row>
    <row r="4422" spans="7:14" ht="11.25" customHeight="1" x14ac:dyDescent="0.3">
      <c r="G4422" s="459"/>
      <c r="H4422" s="459">
        <v>4415</v>
      </c>
      <c r="I4422" s="444">
        <f t="shared" ca="1" si="188"/>
        <v>1558057957522.304</v>
      </c>
      <c r="J4422" s="444">
        <f t="array" ref="J4422">IFERROR(INDEX('Retirement Calculator'!J:J,MATCH('Isaac 401k'!N4422,'Retirement Calculator'!A:A,0),0),0)</f>
        <v>0</v>
      </c>
      <c r="K4422" s="444">
        <f t="shared" ca="1" si="186"/>
        <v>6491908156.3429327</v>
      </c>
      <c r="L4422" s="444">
        <f t="shared" ca="1" si="187"/>
        <v>1564549865678.647</v>
      </c>
      <c r="M4422" s="460">
        <f t="shared" si="189"/>
        <v>0.05</v>
      </c>
      <c r="N4422" s="464">
        <f t="shared" si="190"/>
        <v>185636</v>
      </c>
    </row>
    <row r="4423" spans="7:14" ht="11.25" customHeight="1" x14ac:dyDescent="0.3">
      <c r="G4423" s="459"/>
      <c r="H4423" s="459">
        <v>4416</v>
      </c>
      <c r="I4423" s="444">
        <f t="shared" ca="1" si="188"/>
        <v>1564549865678.647</v>
      </c>
      <c r="J4423" s="444">
        <f t="array" ref="J4423">IFERROR(INDEX('Retirement Calculator'!J:J,MATCH('Isaac 401k'!N4423,'Retirement Calculator'!A:A,0),0),0)</f>
        <v>0</v>
      </c>
      <c r="K4423" s="444">
        <f t="shared" ca="1" si="186"/>
        <v>6518957773.6610289</v>
      </c>
      <c r="L4423" s="444">
        <f t="shared" ca="1" si="187"/>
        <v>1571068823452.3081</v>
      </c>
      <c r="M4423" s="460">
        <f t="shared" si="189"/>
        <v>0.05</v>
      </c>
      <c r="N4423" s="464">
        <f t="shared" si="190"/>
        <v>185666</v>
      </c>
    </row>
    <row r="4424" spans="7:14" ht="11.25" customHeight="1" x14ac:dyDescent="0.3">
      <c r="G4424" s="459"/>
      <c r="H4424" s="459">
        <v>4417</v>
      </c>
      <c r="I4424" s="444">
        <f t="shared" ca="1" si="188"/>
        <v>1571068823452.3081</v>
      </c>
      <c r="J4424" s="444">
        <f t="array" ref="J4424">IFERROR(INDEX('Retirement Calculator'!J:J,MATCH('Isaac 401k'!N4424,'Retirement Calculator'!A:A,0),0),0)</f>
        <v>0</v>
      </c>
      <c r="K4424" s="444">
        <f t="shared" ca="1" si="186"/>
        <v>6546120097.7179508</v>
      </c>
      <c r="L4424" s="444">
        <f t="shared" ca="1" si="187"/>
        <v>1577614943550.0261</v>
      </c>
      <c r="M4424" s="460">
        <f t="shared" si="189"/>
        <v>0.05</v>
      </c>
      <c r="N4424" s="464">
        <f t="shared" si="190"/>
        <v>185697</v>
      </c>
    </row>
    <row r="4425" spans="7:14" ht="11.25" customHeight="1" x14ac:dyDescent="0.3">
      <c r="G4425" s="459"/>
      <c r="H4425" s="459">
        <v>4418</v>
      </c>
      <c r="I4425" s="444">
        <f t="shared" ca="1" si="188"/>
        <v>1577614943550.0261</v>
      </c>
      <c r="J4425" s="444">
        <f t="array" ref="J4425">IFERROR(INDEX('Retirement Calculator'!J:J,MATCH('Isaac 401k'!N4425,'Retirement Calculator'!A:A,0),0),0)</f>
        <v>0</v>
      </c>
      <c r="K4425" s="444">
        <f t="shared" ca="1" si="186"/>
        <v>6573395598.1251087</v>
      </c>
      <c r="L4425" s="444">
        <f t="shared" ca="1" si="187"/>
        <v>1584188339148.1511</v>
      </c>
      <c r="M4425" s="460">
        <f t="shared" si="189"/>
        <v>0.05</v>
      </c>
      <c r="N4425" s="464">
        <f t="shared" si="190"/>
        <v>185727</v>
      </c>
    </row>
    <row r="4426" spans="7:14" ht="11.25" customHeight="1" x14ac:dyDescent="0.3">
      <c r="G4426" s="459"/>
      <c r="H4426" s="459">
        <v>4419</v>
      </c>
      <c r="I4426" s="444">
        <f t="shared" ca="1" si="188"/>
        <v>1584188339148.1511</v>
      </c>
      <c r="J4426" s="444">
        <f t="array" ref="J4426">IFERROR(INDEX('Retirement Calculator'!J:J,MATCH('Isaac 401k'!N4426,'Retirement Calculator'!A:A,0),0),0)</f>
        <v>0</v>
      </c>
      <c r="K4426" s="444">
        <f t="shared" ca="1" si="186"/>
        <v>6600784746.4506292</v>
      </c>
      <c r="L4426" s="444">
        <f t="shared" ca="1" si="187"/>
        <v>1590789123894.6018</v>
      </c>
      <c r="M4426" s="460">
        <f t="shared" si="189"/>
        <v>0.05</v>
      </c>
      <c r="N4426" s="464">
        <f t="shared" si="190"/>
        <v>185758</v>
      </c>
    </row>
    <row r="4427" spans="7:14" ht="11.25" customHeight="1" x14ac:dyDescent="0.3">
      <c r="G4427" s="459"/>
      <c r="H4427" s="459">
        <v>4420</v>
      </c>
      <c r="I4427" s="444">
        <f t="shared" ca="1" si="188"/>
        <v>1590789123894.6018</v>
      </c>
      <c r="J4427" s="444">
        <f t="array" ref="J4427">IFERROR(INDEX('Retirement Calculator'!J:J,MATCH('Isaac 401k'!N4427,'Retirement Calculator'!A:A,0),0),0)</f>
        <v>0</v>
      </c>
      <c r="K4427" s="444">
        <f t="shared" ca="1" si="186"/>
        <v>6628288016.2275076</v>
      </c>
      <c r="L4427" s="444">
        <f t="shared" ca="1" si="187"/>
        <v>1597417411910.8293</v>
      </c>
      <c r="M4427" s="460">
        <f t="shared" si="189"/>
        <v>0.05</v>
      </c>
      <c r="N4427" s="464">
        <f t="shared" si="190"/>
        <v>185789</v>
      </c>
    </row>
    <row r="4428" spans="7:14" ht="11.25" customHeight="1" x14ac:dyDescent="0.3">
      <c r="G4428" s="459"/>
      <c r="H4428" s="459">
        <v>4421</v>
      </c>
      <c r="I4428" s="444">
        <f t="shared" ca="1" si="188"/>
        <v>1597417411910.8293</v>
      </c>
      <c r="J4428" s="444">
        <f t="array" ref="J4428">IFERROR(INDEX('Retirement Calculator'!J:J,MATCH('Isaac 401k'!N4428,'Retirement Calculator'!A:A,0),0),0)</f>
        <v>0</v>
      </c>
      <c r="K4428" s="444">
        <f t="shared" ca="1" si="186"/>
        <v>6655905882.9617891</v>
      </c>
      <c r="L4428" s="444">
        <f t="shared" ca="1" si="187"/>
        <v>1604073317793.791</v>
      </c>
      <c r="M4428" s="460">
        <f t="shared" si="189"/>
        <v>0.05</v>
      </c>
      <c r="N4428" s="464">
        <f t="shared" si="190"/>
        <v>185819</v>
      </c>
    </row>
    <row r="4429" spans="7:14" ht="11.25" customHeight="1" x14ac:dyDescent="0.3">
      <c r="G4429" s="459"/>
      <c r="H4429" s="459">
        <v>4422</v>
      </c>
      <c r="I4429" s="444">
        <f t="shared" ca="1" si="188"/>
        <v>1604073317793.791</v>
      </c>
      <c r="J4429" s="444">
        <f t="array" ref="J4429">IFERROR(INDEX('Retirement Calculator'!J:J,MATCH('Isaac 401k'!N4429,'Retirement Calculator'!A:A,0),0),0)</f>
        <v>0</v>
      </c>
      <c r="K4429" s="444">
        <f t="shared" ca="1" si="186"/>
        <v>6683638824.1407957</v>
      </c>
      <c r="L4429" s="444">
        <f t="shared" ca="1" si="187"/>
        <v>1610756956617.9319</v>
      </c>
      <c r="M4429" s="460">
        <f t="shared" si="189"/>
        <v>0.05</v>
      </c>
      <c r="N4429" s="464">
        <f t="shared" si="190"/>
        <v>185850</v>
      </c>
    </row>
    <row r="4430" spans="7:14" ht="11.25" customHeight="1" x14ac:dyDescent="0.3">
      <c r="G4430" s="459"/>
      <c r="H4430" s="459">
        <v>4423</v>
      </c>
      <c r="I4430" s="444">
        <f t="shared" ca="1" si="188"/>
        <v>1610756956617.9319</v>
      </c>
      <c r="J4430" s="444">
        <f t="array" ref="J4430">IFERROR(INDEX('Retirement Calculator'!J:J,MATCH('Isaac 401k'!N4430,'Retirement Calculator'!A:A,0),0),0)</f>
        <v>0</v>
      </c>
      <c r="K4430" s="444">
        <f t="shared" ca="1" si="186"/>
        <v>6711487319.2413826</v>
      </c>
      <c r="L4430" s="444">
        <f t="shared" ca="1" si="187"/>
        <v>1617468443937.1733</v>
      </c>
      <c r="M4430" s="460">
        <f t="shared" si="189"/>
        <v>0.05</v>
      </c>
      <c r="N4430" s="464">
        <f t="shared" si="190"/>
        <v>185880</v>
      </c>
    </row>
    <row r="4431" spans="7:14" ht="11.25" customHeight="1" x14ac:dyDescent="0.3">
      <c r="G4431" s="459"/>
      <c r="H4431" s="459">
        <v>4424</v>
      </c>
      <c r="I4431" s="444">
        <f t="shared" ca="1" si="188"/>
        <v>1617468443937.1733</v>
      </c>
      <c r="J4431" s="444">
        <f t="array" ref="J4431">IFERROR(INDEX('Retirement Calculator'!J:J,MATCH('Isaac 401k'!N4431,'Retirement Calculator'!A:A,0),0),0)</f>
        <v>0</v>
      </c>
      <c r="K4431" s="444">
        <f t="shared" ca="1" si="186"/>
        <v>6739451849.7382221</v>
      </c>
      <c r="L4431" s="444">
        <f t="shared" ca="1" si="187"/>
        <v>1624207895786.9116</v>
      </c>
      <c r="M4431" s="460">
        <f t="shared" si="189"/>
        <v>0.05</v>
      </c>
      <c r="N4431" s="464">
        <f t="shared" si="190"/>
        <v>185911</v>
      </c>
    </row>
    <row r="4432" spans="7:14" ht="11.25" customHeight="1" x14ac:dyDescent="0.3">
      <c r="G4432" s="459"/>
      <c r="H4432" s="459">
        <v>4425</v>
      </c>
      <c r="I4432" s="444">
        <f t="shared" ca="1" si="188"/>
        <v>1624207895786.9116</v>
      </c>
      <c r="J4432" s="444">
        <f t="array" ref="J4432">IFERROR(INDEX('Retirement Calculator'!J:J,MATCH('Isaac 401k'!N4432,'Retirement Calculator'!A:A,0),0),0)</f>
        <v>0</v>
      </c>
      <c r="K4432" s="444">
        <f t="shared" ca="1" si="186"/>
        <v>6767532899.1121321</v>
      </c>
      <c r="L4432" s="444">
        <f t="shared" ca="1" si="187"/>
        <v>1630975428686.0237</v>
      </c>
      <c r="M4432" s="460">
        <f t="shared" si="189"/>
        <v>0.05</v>
      </c>
      <c r="N4432" s="464">
        <f t="shared" si="190"/>
        <v>185942</v>
      </c>
    </row>
    <row r="4433" spans="7:14" ht="11.25" customHeight="1" x14ac:dyDescent="0.3">
      <c r="G4433" s="459"/>
      <c r="H4433" s="459">
        <v>4426</v>
      </c>
      <c r="I4433" s="444">
        <f t="shared" ca="1" si="188"/>
        <v>1630975428686.0237</v>
      </c>
      <c r="J4433" s="444">
        <f t="array" ref="J4433">IFERROR(INDEX('Retirement Calculator'!J:J,MATCH('Isaac 401k'!N4433,'Retirement Calculator'!A:A,0),0),0)</f>
        <v>0</v>
      </c>
      <c r="K4433" s="444">
        <f t="shared" ca="1" si="186"/>
        <v>6795730952.8584318</v>
      </c>
      <c r="L4433" s="444">
        <f t="shared" ca="1" si="187"/>
        <v>1637771159638.8821</v>
      </c>
      <c r="M4433" s="460">
        <f t="shared" si="189"/>
        <v>0.05</v>
      </c>
      <c r="N4433" s="464">
        <f t="shared" si="190"/>
        <v>185970</v>
      </c>
    </row>
    <row r="4434" spans="7:14" ht="11.25" customHeight="1" x14ac:dyDescent="0.3">
      <c r="G4434" s="459"/>
      <c r="H4434" s="459">
        <v>4427</v>
      </c>
      <c r="I4434" s="444">
        <f t="shared" ca="1" si="188"/>
        <v>1637771159638.8821</v>
      </c>
      <c r="J4434" s="444">
        <f t="array" ref="J4434">IFERROR(INDEX('Retirement Calculator'!J:J,MATCH('Isaac 401k'!N4434,'Retirement Calculator'!A:A,0),0),0)</f>
        <v>0</v>
      </c>
      <c r="K4434" s="444">
        <f t="shared" ca="1" si="186"/>
        <v>6824046498.4953423</v>
      </c>
      <c r="L4434" s="444">
        <f t="shared" ca="1" si="187"/>
        <v>1644595206137.3774</v>
      </c>
      <c r="M4434" s="460">
        <f t="shared" si="189"/>
        <v>0.05</v>
      </c>
      <c r="N4434" s="464">
        <f t="shared" si="190"/>
        <v>186001</v>
      </c>
    </row>
    <row r="4435" spans="7:14" ht="11.25" customHeight="1" x14ac:dyDescent="0.3">
      <c r="G4435" s="459"/>
      <c r="H4435" s="459">
        <v>4428</v>
      </c>
      <c r="I4435" s="444">
        <f t="shared" ca="1" si="188"/>
        <v>1644595206137.3774</v>
      </c>
      <c r="J4435" s="444">
        <f t="array" ref="J4435">IFERROR(INDEX('Retirement Calculator'!J:J,MATCH('Isaac 401k'!N4435,'Retirement Calculator'!A:A,0),0),0)</f>
        <v>0</v>
      </c>
      <c r="K4435" s="444">
        <f t="shared" ca="1" si="186"/>
        <v>6852480025.5724058</v>
      </c>
      <c r="L4435" s="444">
        <f t="shared" ca="1" si="187"/>
        <v>1651447686162.95</v>
      </c>
      <c r="M4435" s="460">
        <f t="shared" si="189"/>
        <v>0.05</v>
      </c>
      <c r="N4435" s="464">
        <f t="shared" si="190"/>
        <v>186031</v>
      </c>
    </row>
    <row r="4436" spans="7:14" ht="11.25" customHeight="1" x14ac:dyDescent="0.3">
      <c r="G4436" s="459"/>
      <c r="H4436" s="459">
        <v>4429</v>
      </c>
      <c r="I4436" s="444">
        <f t="shared" ca="1" si="188"/>
        <v>1651447686162.95</v>
      </c>
      <c r="J4436" s="444">
        <f t="array" ref="J4436">IFERROR(INDEX('Retirement Calculator'!J:J,MATCH('Isaac 401k'!N4436,'Retirement Calculator'!A:A,0),0),0)</f>
        <v>0</v>
      </c>
      <c r="K4436" s="444">
        <f t="shared" ca="1" si="186"/>
        <v>6881032025.6789579</v>
      </c>
      <c r="L4436" s="444">
        <f t="shared" ca="1" si="187"/>
        <v>1658328718188.6289</v>
      </c>
      <c r="M4436" s="460">
        <f t="shared" si="189"/>
        <v>0.05</v>
      </c>
      <c r="N4436" s="464">
        <f t="shared" si="190"/>
        <v>186062</v>
      </c>
    </row>
    <row r="4437" spans="7:14" ht="11.25" customHeight="1" x14ac:dyDescent="0.3">
      <c r="G4437" s="459"/>
      <c r="H4437" s="459">
        <v>4430</v>
      </c>
      <c r="I4437" s="444">
        <f t="shared" ca="1" si="188"/>
        <v>1658328718188.6289</v>
      </c>
      <c r="J4437" s="444">
        <f t="array" ref="J4437">IFERROR(INDEX('Retirement Calculator'!J:J,MATCH('Isaac 401k'!N4437,'Retirement Calculator'!A:A,0),0),0)</f>
        <v>0</v>
      </c>
      <c r="K4437" s="444">
        <f t="shared" ca="1" si="186"/>
        <v>6909702992.4526205</v>
      </c>
      <c r="L4437" s="444">
        <f t="shared" ca="1" si="187"/>
        <v>1665238421181.0815</v>
      </c>
      <c r="M4437" s="460">
        <f t="shared" si="189"/>
        <v>0.05</v>
      </c>
      <c r="N4437" s="464">
        <f t="shared" si="190"/>
        <v>186092</v>
      </c>
    </row>
    <row r="4438" spans="7:14" ht="11.25" customHeight="1" x14ac:dyDescent="0.3">
      <c r="G4438" s="459"/>
      <c r="H4438" s="459">
        <v>4431</v>
      </c>
      <c r="I4438" s="444">
        <f t="shared" ca="1" si="188"/>
        <v>1665238421181.0815</v>
      </c>
      <c r="J4438" s="444">
        <f t="array" ref="J4438">IFERROR(INDEX('Retirement Calculator'!J:J,MATCH('Isaac 401k'!N4438,'Retirement Calculator'!A:A,0),0),0)</f>
        <v>0</v>
      </c>
      <c r="K4438" s="444">
        <f t="shared" ca="1" si="186"/>
        <v>6938493421.5878401</v>
      </c>
      <c r="L4438" s="444">
        <f t="shared" ca="1" si="187"/>
        <v>1672176914602.6694</v>
      </c>
      <c r="M4438" s="460">
        <f t="shared" si="189"/>
        <v>0.05</v>
      </c>
      <c r="N4438" s="464">
        <f t="shared" si="190"/>
        <v>186123</v>
      </c>
    </row>
    <row r="4439" spans="7:14" ht="11.25" customHeight="1" x14ac:dyDescent="0.3">
      <c r="G4439" s="459"/>
      <c r="H4439" s="459">
        <v>4432</v>
      </c>
      <c r="I4439" s="444">
        <f t="shared" ca="1" si="188"/>
        <v>1672176914602.6694</v>
      </c>
      <c r="J4439" s="444">
        <f t="array" ref="J4439">IFERROR(INDEX('Retirement Calculator'!J:J,MATCH('Isaac 401k'!N4439,'Retirement Calculator'!A:A,0),0),0)</f>
        <v>0</v>
      </c>
      <c r="K4439" s="444">
        <f t="shared" ca="1" si="186"/>
        <v>6967403810.8444557</v>
      </c>
      <c r="L4439" s="444">
        <f t="shared" ca="1" si="187"/>
        <v>1679144318413.5139</v>
      </c>
      <c r="M4439" s="460">
        <f t="shared" si="189"/>
        <v>0.05</v>
      </c>
      <c r="N4439" s="464">
        <f t="shared" si="190"/>
        <v>186154</v>
      </c>
    </row>
    <row r="4440" spans="7:14" ht="11.25" customHeight="1" x14ac:dyDescent="0.3">
      <c r="G4440" s="459"/>
      <c r="H4440" s="459">
        <v>4433</v>
      </c>
      <c r="I4440" s="444">
        <f t="shared" ca="1" si="188"/>
        <v>1679144318413.5139</v>
      </c>
      <c r="J4440" s="444">
        <f t="array" ref="J4440">IFERROR(INDEX('Retirement Calculator'!J:J,MATCH('Isaac 401k'!N4440,'Retirement Calculator'!A:A,0),0),0)</f>
        <v>0</v>
      </c>
      <c r="K4440" s="444">
        <f t="shared" ca="1" si="186"/>
        <v>6996434660.0563078</v>
      </c>
      <c r="L4440" s="444">
        <f t="shared" ca="1" si="187"/>
        <v>1686140753073.5703</v>
      </c>
      <c r="M4440" s="460">
        <f t="shared" si="189"/>
        <v>0.05</v>
      </c>
      <c r="N4440" s="464">
        <f t="shared" si="190"/>
        <v>186184</v>
      </c>
    </row>
    <row r="4441" spans="7:14" ht="11.25" customHeight="1" x14ac:dyDescent="0.3">
      <c r="G4441" s="459"/>
      <c r="H4441" s="459">
        <v>4434</v>
      </c>
      <c r="I4441" s="444">
        <f t="shared" ca="1" si="188"/>
        <v>1686140753073.5703</v>
      </c>
      <c r="J4441" s="444">
        <f t="array" ref="J4441">IFERROR(INDEX('Retirement Calculator'!J:J,MATCH('Isaac 401k'!N4441,'Retirement Calculator'!A:A,0),0),0)</f>
        <v>0</v>
      </c>
      <c r="K4441" s="444">
        <f t="shared" ca="1" si="186"/>
        <v>7025586471.1398764</v>
      </c>
      <c r="L4441" s="444">
        <f t="shared" ca="1" si="187"/>
        <v>1693166339544.7102</v>
      </c>
      <c r="M4441" s="460">
        <f t="shared" si="189"/>
        <v>0.05</v>
      </c>
      <c r="N4441" s="464">
        <f t="shared" si="190"/>
        <v>186215</v>
      </c>
    </row>
    <row r="4442" spans="7:14" ht="11.25" customHeight="1" x14ac:dyDescent="0.3">
      <c r="G4442" s="459"/>
      <c r="H4442" s="459">
        <v>4435</v>
      </c>
      <c r="I4442" s="444">
        <f t="shared" ca="1" si="188"/>
        <v>1693166339544.7102</v>
      </c>
      <c r="J4442" s="444">
        <f t="array" ref="J4442">IFERROR(INDEX('Retirement Calculator'!J:J,MATCH('Isaac 401k'!N4442,'Retirement Calculator'!A:A,0),0),0)</f>
        <v>0</v>
      </c>
      <c r="K4442" s="444">
        <f t="shared" ca="1" si="186"/>
        <v>7054859748.1029587</v>
      </c>
      <c r="L4442" s="444">
        <f t="shared" ca="1" si="187"/>
        <v>1700221199292.8132</v>
      </c>
      <c r="M4442" s="460">
        <f t="shared" si="189"/>
        <v>0.05</v>
      </c>
      <c r="N4442" s="464">
        <f t="shared" si="190"/>
        <v>186245</v>
      </c>
    </row>
    <row r="4443" spans="7:14" ht="11.25" customHeight="1" x14ac:dyDescent="0.3">
      <c r="G4443" s="459"/>
      <c r="H4443" s="459">
        <v>4436</v>
      </c>
      <c r="I4443" s="444">
        <f t="shared" ca="1" si="188"/>
        <v>1700221199292.8132</v>
      </c>
      <c r="J4443" s="444">
        <f t="array" ref="J4443">IFERROR(INDEX('Retirement Calculator'!J:J,MATCH('Isaac 401k'!N4443,'Retirement Calculator'!A:A,0),0),0)</f>
        <v>0</v>
      </c>
      <c r="K4443" s="444">
        <f t="shared" ca="1" si="186"/>
        <v>7084254997.0533886</v>
      </c>
      <c r="L4443" s="444">
        <f t="shared" ca="1" si="187"/>
        <v>1707305454289.8667</v>
      </c>
      <c r="M4443" s="460">
        <f t="shared" si="189"/>
        <v>0.05</v>
      </c>
      <c r="N4443" s="464">
        <f t="shared" si="190"/>
        <v>186276</v>
      </c>
    </row>
    <row r="4444" spans="7:14" ht="11.25" customHeight="1" x14ac:dyDescent="0.3">
      <c r="G4444" s="459"/>
      <c r="H4444" s="459">
        <v>4437</v>
      </c>
      <c r="I4444" s="444">
        <f t="shared" ca="1" si="188"/>
        <v>1707305454289.8667</v>
      </c>
      <c r="J4444" s="444">
        <f t="array" ref="J4444">IFERROR(INDEX('Retirement Calculator'!J:J,MATCH('Isaac 401k'!N4444,'Retirement Calculator'!A:A,0),0),0)</f>
        <v>0</v>
      </c>
      <c r="K4444" s="444">
        <f t="shared" ca="1" si="186"/>
        <v>7113772726.207778</v>
      </c>
      <c r="L4444" s="444">
        <f t="shared" ca="1" si="187"/>
        <v>1714419227016.0745</v>
      </c>
      <c r="M4444" s="460">
        <f t="shared" si="189"/>
        <v>0.05</v>
      </c>
      <c r="N4444" s="464">
        <f t="shared" si="190"/>
        <v>186307</v>
      </c>
    </row>
    <row r="4445" spans="7:14" ht="11.25" customHeight="1" x14ac:dyDescent="0.3">
      <c r="G4445" s="459"/>
      <c r="H4445" s="459">
        <v>4438</v>
      </c>
      <c r="I4445" s="444">
        <f t="shared" ca="1" si="188"/>
        <v>1714419227016.0745</v>
      </c>
      <c r="J4445" s="444">
        <f t="array" ref="J4445">IFERROR(INDEX('Retirement Calculator'!J:J,MATCH('Isaac 401k'!N4445,'Retirement Calculator'!A:A,0),0),0)</f>
        <v>0</v>
      </c>
      <c r="K4445" s="444">
        <f t="shared" ca="1" si="186"/>
        <v>7143413445.9003105</v>
      </c>
      <c r="L4445" s="444">
        <f t="shared" ca="1" si="187"/>
        <v>1721562640461.9749</v>
      </c>
      <c r="M4445" s="460">
        <f t="shared" si="189"/>
        <v>0.05</v>
      </c>
      <c r="N4445" s="464">
        <f t="shared" si="190"/>
        <v>186335</v>
      </c>
    </row>
    <row r="4446" spans="7:14" ht="11.25" customHeight="1" x14ac:dyDescent="0.3">
      <c r="G4446" s="459"/>
      <c r="H4446" s="459">
        <v>4439</v>
      </c>
      <c r="I4446" s="444">
        <f t="shared" ca="1" si="188"/>
        <v>1721562640461.9749</v>
      </c>
      <c r="J4446" s="444">
        <f t="array" ref="J4446">IFERROR(INDEX('Retirement Calculator'!J:J,MATCH('Isaac 401k'!N4446,'Retirement Calculator'!A:A,0),0),0)</f>
        <v>0</v>
      </c>
      <c r="K4446" s="444">
        <f t="shared" ca="1" si="186"/>
        <v>7173177668.5915613</v>
      </c>
      <c r="L4446" s="444">
        <f t="shared" ca="1" si="187"/>
        <v>1728735818130.5664</v>
      </c>
      <c r="M4446" s="460">
        <f t="shared" si="189"/>
        <v>0.05</v>
      </c>
      <c r="N4446" s="464">
        <f t="shared" si="190"/>
        <v>186366</v>
      </c>
    </row>
    <row r="4447" spans="7:14" ht="11.25" customHeight="1" x14ac:dyDescent="0.3">
      <c r="G4447" s="459"/>
      <c r="H4447" s="459">
        <v>4440</v>
      </c>
      <c r="I4447" s="444">
        <f t="shared" ca="1" si="188"/>
        <v>1728735818130.5664</v>
      </c>
      <c r="J4447" s="444">
        <f t="array" ref="J4447">IFERROR(INDEX('Retirement Calculator'!J:J,MATCH('Isaac 401k'!N4447,'Retirement Calculator'!A:A,0),0),0)</f>
        <v>0</v>
      </c>
      <c r="K4447" s="444">
        <f t="shared" ca="1" si="186"/>
        <v>7203065908.8773613</v>
      </c>
      <c r="L4447" s="444">
        <f t="shared" ca="1" si="187"/>
        <v>1735938884039.4438</v>
      </c>
      <c r="M4447" s="460">
        <f t="shared" si="189"/>
        <v>0.05</v>
      </c>
      <c r="N4447" s="464">
        <f t="shared" si="190"/>
        <v>186396</v>
      </c>
    </row>
    <row r="4448" spans="7:14" ht="11.25" customHeight="1" x14ac:dyDescent="0.3">
      <c r="G4448" s="459"/>
      <c r="H4448" s="459">
        <v>4441</v>
      </c>
      <c r="I4448" s="444">
        <f t="shared" ca="1" si="188"/>
        <v>1735938884039.4438</v>
      </c>
      <c r="J4448" s="444">
        <f t="array" ref="J4448">IFERROR(INDEX('Retirement Calculator'!J:J,MATCH('Isaac 401k'!N4448,'Retirement Calculator'!A:A,0),0),0)</f>
        <v>0</v>
      </c>
      <c r="K4448" s="444">
        <f t="shared" ca="1" si="186"/>
        <v>7233078683.4976826</v>
      </c>
      <c r="L4448" s="444">
        <f t="shared" ca="1" si="187"/>
        <v>1743171962722.9417</v>
      </c>
      <c r="M4448" s="460">
        <f t="shared" si="189"/>
        <v>0.05</v>
      </c>
      <c r="N4448" s="464">
        <f t="shared" si="190"/>
        <v>186427</v>
      </c>
    </row>
    <row r="4449" spans="7:14" ht="11.25" customHeight="1" x14ac:dyDescent="0.3">
      <c r="G4449" s="459"/>
      <c r="H4449" s="459">
        <v>4442</v>
      </c>
      <c r="I4449" s="444">
        <f t="shared" ca="1" si="188"/>
        <v>1743171962722.9417</v>
      </c>
      <c r="J4449" s="444">
        <f t="array" ref="J4449">IFERROR(INDEX('Retirement Calculator'!J:J,MATCH('Isaac 401k'!N4449,'Retirement Calculator'!A:A,0),0),0)</f>
        <v>0</v>
      </c>
      <c r="K4449" s="444">
        <f t="shared" ca="1" si="186"/>
        <v>7263216511.3455896</v>
      </c>
      <c r="L4449" s="444">
        <f t="shared" ca="1" si="187"/>
        <v>1750435179234.2874</v>
      </c>
      <c r="M4449" s="460">
        <f t="shared" si="189"/>
        <v>0.05</v>
      </c>
      <c r="N4449" s="464">
        <f t="shared" si="190"/>
        <v>186457</v>
      </c>
    </row>
    <row r="4450" spans="7:14" ht="11.25" customHeight="1" x14ac:dyDescent="0.3">
      <c r="G4450" s="459"/>
      <c r="H4450" s="459">
        <v>4443</v>
      </c>
      <c r="I4450" s="444">
        <f t="shared" ca="1" si="188"/>
        <v>1750435179234.2874</v>
      </c>
      <c r="J4450" s="444">
        <f t="array" ref="J4450">IFERROR(INDEX('Retirement Calculator'!J:J,MATCH('Isaac 401k'!N4450,'Retirement Calculator'!A:A,0),0),0)</f>
        <v>0</v>
      </c>
      <c r="K4450" s="444">
        <f t="shared" ca="1" si="186"/>
        <v>7293479913.4761963</v>
      </c>
      <c r="L4450" s="444">
        <f t="shared" ca="1" si="187"/>
        <v>1757728659147.7637</v>
      </c>
      <c r="M4450" s="460">
        <f t="shared" si="189"/>
        <v>0.05</v>
      </c>
      <c r="N4450" s="464">
        <f t="shared" si="190"/>
        <v>186488</v>
      </c>
    </row>
    <row r="4451" spans="7:14" ht="11.25" customHeight="1" x14ac:dyDescent="0.3">
      <c r="G4451" s="459"/>
      <c r="H4451" s="459">
        <v>4444</v>
      </c>
      <c r="I4451" s="444">
        <f t="shared" ca="1" si="188"/>
        <v>1757728659147.7637</v>
      </c>
      <c r="J4451" s="444">
        <f t="array" ref="J4451">IFERROR(INDEX('Retirement Calculator'!J:J,MATCH('Isaac 401k'!N4451,'Retirement Calculator'!A:A,0),0),0)</f>
        <v>0</v>
      </c>
      <c r="K4451" s="444">
        <f t="shared" ca="1" si="186"/>
        <v>7323869413.1156816</v>
      </c>
      <c r="L4451" s="444">
        <f t="shared" ca="1" si="187"/>
        <v>1765052528560.8794</v>
      </c>
      <c r="M4451" s="460">
        <f t="shared" si="189"/>
        <v>0.05</v>
      </c>
      <c r="N4451" s="464">
        <f t="shared" si="190"/>
        <v>186519</v>
      </c>
    </row>
    <row r="4452" spans="7:14" ht="11.25" customHeight="1" x14ac:dyDescent="0.3">
      <c r="G4452" s="459"/>
      <c r="H4452" s="459">
        <v>4445</v>
      </c>
      <c r="I4452" s="444">
        <f t="shared" ca="1" si="188"/>
        <v>1765052528560.8794</v>
      </c>
      <c r="J4452" s="444">
        <f t="array" ref="J4452">IFERROR(INDEX('Retirement Calculator'!J:J,MATCH('Isaac 401k'!N4452,'Retirement Calculator'!A:A,0),0),0)</f>
        <v>0</v>
      </c>
      <c r="K4452" s="444">
        <f t="shared" ca="1" si="186"/>
        <v>7354385535.670331</v>
      </c>
      <c r="L4452" s="444">
        <f t="shared" ca="1" si="187"/>
        <v>1772406914096.5498</v>
      </c>
      <c r="M4452" s="460">
        <f t="shared" si="189"/>
        <v>0.05</v>
      </c>
      <c r="N4452" s="464">
        <f t="shared" si="190"/>
        <v>186549</v>
      </c>
    </row>
    <row r="4453" spans="7:14" ht="11.25" customHeight="1" x14ac:dyDescent="0.3">
      <c r="G4453" s="459"/>
      <c r="H4453" s="459">
        <v>4446</v>
      </c>
      <c r="I4453" s="444">
        <f t="shared" ca="1" si="188"/>
        <v>1772406914096.5498</v>
      </c>
      <c r="J4453" s="444">
        <f t="array" ref="J4453">IFERROR(INDEX('Retirement Calculator'!J:J,MATCH('Isaac 401k'!N4453,'Retirement Calculator'!A:A,0),0),0)</f>
        <v>0</v>
      </c>
      <c r="K4453" s="444">
        <f t="shared" ca="1" si="186"/>
        <v>7385028808.7356234</v>
      </c>
      <c r="L4453" s="444">
        <f t="shared" ca="1" si="187"/>
        <v>1779791942905.2854</v>
      </c>
      <c r="M4453" s="460">
        <f t="shared" si="189"/>
        <v>0.05</v>
      </c>
      <c r="N4453" s="464">
        <f t="shared" si="190"/>
        <v>186580</v>
      </c>
    </row>
    <row r="4454" spans="7:14" ht="11.25" customHeight="1" x14ac:dyDescent="0.3">
      <c r="G4454" s="459"/>
      <c r="H4454" s="459">
        <v>4447</v>
      </c>
      <c r="I4454" s="444">
        <f t="shared" ca="1" si="188"/>
        <v>1779791942905.2854</v>
      </c>
      <c r="J4454" s="444">
        <f t="array" ref="J4454">IFERROR(INDEX('Retirement Calculator'!J:J,MATCH('Isaac 401k'!N4454,'Retirement Calculator'!A:A,0),0),0)</f>
        <v>0</v>
      </c>
      <c r="K4454" s="444">
        <f t="shared" ca="1" si="186"/>
        <v>7415799762.1053553</v>
      </c>
      <c r="L4454" s="444">
        <f t="shared" ca="1" si="187"/>
        <v>1787207742667.3909</v>
      </c>
      <c r="M4454" s="460">
        <f t="shared" si="189"/>
        <v>0.05</v>
      </c>
      <c r="N4454" s="464">
        <f t="shared" si="190"/>
        <v>186610</v>
      </c>
    </row>
    <row r="4455" spans="7:14" ht="11.25" customHeight="1" x14ac:dyDescent="0.3">
      <c r="G4455" s="459"/>
      <c r="H4455" s="459">
        <v>4448</v>
      </c>
      <c r="I4455" s="444">
        <f t="shared" ca="1" si="188"/>
        <v>1787207742667.3909</v>
      </c>
      <c r="J4455" s="444">
        <f t="array" ref="J4455">IFERROR(INDEX('Retirement Calculator'!J:J,MATCH('Isaac 401k'!N4455,'Retirement Calculator'!A:A,0),0),0)</f>
        <v>0</v>
      </c>
      <c r="K4455" s="444">
        <f t="shared" ca="1" si="186"/>
        <v>7446698927.7807951</v>
      </c>
      <c r="L4455" s="444">
        <f t="shared" ca="1" si="187"/>
        <v>1794654441595.1716</v>
      </c>
      <c r="M4455" s="460">
        <f t="shared" si="189"/>
        <v>0.05</v>
      </c>
      <c r="N4455" s="464">
        <f t="shared" si="190"/>
        <v>186641</v>
      </c>
    </row>
    <row r="4456" spans="7:14" ht="11.25" customHeight="1" x14ac:dyDescent="0.3">
      <c r="G4456" s="459"/>
      <c r="H4456" s="459">
        <v>4449</v>
      </c>
      <c r="I4456" s="444">
        <f t="shared" ca="1" si="188"/>
        <v>1794654441595.1716</v>
      </c>
      <c r="J4456" s="444">
        <f t="array" ref="J4456">IFERROR(INDEX('Retirement Calculator'!J:J,MATCH('Isaac 401k'!N4456,'Retirement Calculator'!A:A,0),0),0)</f>
        <v>0</v>
      </c>
      <c r="K4456" s="444">
        <f t="shared" ca="1" si="186"/>
        <v>7477726839.9798813</v>
      </c>
      <c r="L4456" s="444">
        <f t="shared" ca="1" si="187"/>
        <v>1802132168435.1516</v>
      </c>
      <c r="M4456" s="460">
        <f t="shared" si="189"/>
        <v>0.05</v>
      </c>
      <c r="N4456" s="464">
        <f t="shared" si="190"/>
        <v>186672</v>
      </c>
    </row>
    <row r="4457" spans="7:14" ht="11.25" customHeight="1" x14ac:dyDescent="0.3">
      <c r="G4457" s="459"/>
      <c r="H4457" s="459">
        <v>4450</v>
      </c>
      <c r="I4457" s="444">
        <f t="shared" ca="1" si="188"/>
        <v>1802132168435.1516</v>
      </c>
      <c r="J4457" s="444">
        <f t="array" ref="J4457">IFERROR(INDEX('Retirement Calculator'!J:J,MATCH('Isaac 401k'!N4457,'Retirement Calculator'!A:A,0),0),0)</f>
        <v>0</v>
      </c>
      <c r="K4457" s="444">
        <f t="shared" ca="1" si="186"/>
        <v>7508884035.1464653</v>
      </c>
      <c r="L4457" s="444">
        <f t="shared" ca="1" si="187"/>
        <v>1809641052470.2981</v>
      </c>
      <c r="M4457" s="460">
        <f t="shared" si="189"/>
        <v>0.05</v>
      </c>
      <c r="N4457" s="464">
        <f t="shared" si="190"/>
        <v>186700</v>
      </c>
    </row>
    <row r="4458" spans="7:14" ht="11.25" customHeight="1" x14ac:dyDescent="0.3">
      <c r="G4458" s="459"/>
      <c r="H4458" s="459">
        <v>4451</v>
      </c>
      <c r="I4458" s="444">
        <f t="shared" ca="1" si="188"/>
        <v>1809641052470.2981</v>
      </c>
      <c r="J4458" s="444">
        <f t="array" ref="J4458">IFERROR(INDEX('Retirement Calculator'!J:J,MATCH('Isaac 401k'!N4458,'Retirement Calculator'!A:A,0),0),0)</f>
        <v>0</v>
      </c>
      <c r="K4458" s="444">
        <f t="shared" ca="1" si="186"/>
        <v>7540171051.9595757</v>
      </c>
      <c r="L4458" s="444">
        <f t="shared" ca="1" si="187"/>
        <v>1817181223522.2576</v>
      </c>
      <c r="M4458" s="460">
        <f t="shared" si="189"/>
        <v>0.05</v>
      </c>
      <c r="N4458" s="464">
        <f t="shared" si="190"/>
        <v>186731</v>
      </c>
    </row>
    <row r="4459" spans="7:14" ht="11.25" customHeight="1" x14ac:dyDescent="0.3">
      <c r="G4459" s="459"/>
      <c r="H4459" s="459">
        <v>4452</v>
      </c>
      <c r="I4459" s="444">
        <f t="shared" ca="1" si="188"/>
        <v>1817181223522.2576</v>
      </c>
      <c r="J4459" s="444">
        <f t="array" ref="J4459">IFERROR(INDEX('Retirement Calculator'!J:J,MATCH('Isaac 401k'!N4459,'Retirement Calculator'!A:A,0),0),0)</f>
        <v>0</v>
      </c>
      <c r="K4459" s="444">
        <f t="shared" ca="1" si="186"/>
        <v>7571588431.3427401</v>
      </c>
      <c r="L4459" s="444">
        <f t="shared" ca="1" si="187"/>
        <v>1824752811953.6003</v>
      </c>
      <c r="M4459" s="460">
        <f t="shared" si="189"/>
        <v>0.05</v>
      </c>
      <c r="N4459" s="464">
        <f t="shared" si="190"/>
        <v>186761</v>
      </c>
    </row>
    <row r="4460" spans="7:14" ht="11.25" customHeight="1" x14ac:dyDescent="0.3">
      <c r="G4460" s="459"/>
      <c r="H4460" s="459">
        <v>4453</v>
      </c>
      <c r="I4460" s="444">
        <f t="shared" ca="1" si="188"/>
        <v>1824752811953.6003</v>
      </c>
      <c r="J4460" s="444">
        <f t="array" ref="J4460">IFERROR(INDEX('Retirement Calculator'!J:J,MATCH('Isaac 401k'!N4460,'Retirement Calculator'!A:A,0),0),0)</f>
        <v>0</v>
      </c>
      <c r="K4460" s="444">
        <f t="shared" ca="1" si="186"/>
        <v>7603136716.4733353</v>
      </c>
      <c r="L4460" s="444">
        <f t="shared" ca="1" si="187"/>
        <v>1832355948670.0737</v>
      </c>
      <c r="M4460" s="460">
        <f t="shared" si="189"/>
        <v>0.05</v>
      </c>
      <c r="N4460" s="464">
        <f t="shared" si="190"/>
        <v>186792</v>
      </c>
    </row>
    <row r="4461" spans="7:14" ht="11.25" customHeight="1" x14ac:dyDescent="0.3">
      <c r="G4461" s="459"/>
      <c r="H4461" s="459">
        <v>4454</v>
      </c>
      <c r="I4461" s="444">
        <f t="shared" ca="1" si="188"/>
        <v>1832355948670.0737</v>
      </c>
      <c r="J4461" s="444">
        <f t="array" ref="J4461">IFERROR(INDEX('Retirement Calculator'!J:J,MATCH('Isaac 401k'!N4461,'Retirement Calculator'!A:A,0),0),0)</f>
        <v>0</v>
      </c>
      <c r="K4461" s="444">
        <f t="shared" ca="1" si="186"/>
        <v>7634816452.791975</v>
      </c>
      <c r="L4461" s="444">
        <f t="shared" ca="1" si="187"/>
        <v>1839990765122.8657</v>
      </c>
      <c r="M4461" s="460">
        <f t="shared" si="189"/>
        <v>0.05</v>
      </c>
      <c r="N4461" s="464">
        <f t="shared" si="190"/>
        <v>186822</v>
      </c>
    </row>
    <row r="4462" spans="7:14" ht="11.25" customHeight="1" x14ac:dyDescent="0.3">
      <c r="G4462" s="459"/>
      <c r="H4462" s="459">
        <v>4455</v>
      </c>
      <c r="I4462" s="444">
        <f t="shared" ca="1" si="188"/>
        <v>1839990765122.8657</v>
      </c>
      <c r="J4462" s="444">
        <f t="array" ref="J4462">IFERROR(INDEX('Retirement Calculator'!J:J,MATCH('Isaac 401k'!N4462,'Retirement Calculator'!A:A,0),0),0)</f>
        <v>0</v>
      </c>
      <c r="K4462" s="444">
        <f t="shared" ca="1" si="186"/>
        <v>7666628188.01194</v>
      </c>
      <c r="L4462" s="444">
        <f t="shared" ca="1" si="187"/>
        <v>1847657393310.8777</v>
      </c>
      <c r="M4462" s="460">
        <f t="shared" si="189"/>
        <v>0.05</v>
      </c>
      <c r="N4462" s="464">
        <f t="shared" si="190"/>
        <v>186853</v>
      </c>
    </row>
    <row r="4463" spans="7:14" ht="11.25" customHeight="1" x14ac:dyDescent="0.3">
      <c r="G4463" s="459"/>
      <c r="H4463" s="459">
        <v>4456</v>
      </c>
      <c r="I4463" s="444">
        <f t="shared" ca="1" si="188"/>
        <v>1847657393310.8777</v>
      </c>
      <c r="J4463" s="444">
        <f t="array" ref="J4463">IFERROR(INDEX('Retirement Calculator'!J:J,MATCH('Isaac 401k'!N4463,'Retirement Calculator'!A:A,0),0),0)</f>
        <v>0</v>
      </c>
      <c r="K4463" s="444">
        <f t="shared" ca="1" si="186"/>
        <v>7698572472.1286554</v>
      </c>
      <c r="L4463" s="444">
        <f t="shared" ca="1" si="187"/>
        <v>1855355965783.0063</v>
      </c>
      <c r="M4463" s="460">
        <f t="shared" si="189"/>
        <v>0.05</v>
      </c>
      <c r="N4463" s="464">
        <f t="shared" si="190"/>
        <v>186884</v>
      </c>
    </row>
    <row r="4464" spans="7:14" ht="11.25" customHeight="1" x14ac:dyDescent="0.3">
      <c r="G4464" s="459"/>
      <c r="H4464" s="459">
        <v>4457</v>
      </c>
      <c r="I4464" s="444">
        <f t="shared" ca="1" si="188"/>
        <v>1855355965783.0063</v>
      </c>
      <c r="J4464" s="444">
        <f t="array" ref="J4464">IFERROR(INDEX('Retirement Calculator'!J:J,MATCH('Isaac 401k'!N4464,'Retirement Calculator'!A:A,0),0),0)</f>
        <v>0</v>
      </c>
      <c r="K4464" s="444">
        <f t="shared" ca="1" si="186"/>
        <v>7730649857.4291916</v>
      </c>
      <c r="L4464" s="444">
        <f t="shared" ca="1" si="187"/>
        <v>1863086615640.4355</v>
      </c>
      <c r="M4464" s="460">
        <f t="shared" si="189"/>
        <v>0.05</v>
      </c>
      <c r="N4464" s="464">
        <f t="shared" si="190"/>
        <v>186914</v>
      </c>
    </row>
    <row r="4465" spans="7:14" ht="11.25" customHeight="1" x14ac:dyDescent="0.3">
      <c r="G4465" s="459"/>
      <c r="H4465" s="459">
        <v>4458</v>
      </c>
      <c r="I4465" s="444">
        <f t="shared" ca="1" si="188"/>
        <v>1863086615640.4355</v>
      </c>
      <c r="J4465" s="444">
        <f t="array" ref="J4465">IFERROR(INDEX('Retirement Calculator'!J:J,MATCH('Isaac 401k'!N4465,'Retirement Calculator'!A:A,0),0),0)</f>
        <v>0</v>
      </c>
      <c r="K4465" s="444">
        <f t="shared" ca="1" si="186"/>
        <v>7762860898.5018158</v>
      </c>
      <c r="L4465" s="444">
        <f t="shared" ca="1" si="187"/>
        <v>1870849476538.9373</v>
      </c>
      <c r="M4465" s="460">
        <f t="shared" si="189"/>
        <v>0.05</v>
      </c>
      <c r="N4465" s="464">
        <f t="shared" si="190"/>
        <v>186945</v>
      </c>
    </row>
    <row r="4466" spans="7:14" ht="11.25" customHeight="1" x14ac:dyDescent="0.3">
      <c r="G4466" s="459"/>
      <c r="H4466" s="459">
        <v>4459</v>
      </c>
      <c r="I4466" s="444">
        <f t="shared" ca="1" si="188"/>
        <v>1870849476538.9373</v>
      </c>
      <c r="J4466" s="444">
        <f t="array" ref="J4466">IFERROR(INDEX('Retirement Calculator'!J:J,MATCH('Isaac 401k'!N4466,'Retirement Calculator'!A:A,0),0),0)</f>
        <v>0</v>
      </c>
      <c r="K4466" s="444">
        <f t="shared" ca="1" si="186"/>
        <v>7795206152.245573</v>
      </c>
      <c r="L4466" s="444">
        <f t="shared" ca="1" si="187"/>
        <v>1878644682691.1829</v>
      </c>
      <c r="M4466" s="460">
        <f t="shared" si="189"/>
        <v>0.05</v>
      </c>
      <c r="N4466" s="464">
        <f t="shared" si="190"/>
        <v>186975</v>
      </c>
    </row>
    <row r="4467" spans="7:14" ht="11.25" customHeight="1" x14ac:dyDescent="0.3">
      <c r="G4467" s="459"/>
      <c r="H4467" s="459">
        <v>4460</v>
      </c>
      <c r="I4467" s="444">
        <f t="shared" ca="1" si="188"/>
        <v>1878644682691.1829</v>
      </c>
      <c r="J4467" s="444">
        <f t="array" ref="J4467">IFERROR(INDEX('Retirement Calculator'!J:J,MATCH('Isaac 401k'!N4467,'Retirement Calculator'!A:A,0),0),0)</f>
        <v>0</v>
      </c>
      <c r="K4467" s="444">
        <f t="shared" ca="1" si="186"/>
        <v>7827686177.8799276</v>
      </c>
      <c r="L4467" s="444">
        <f t="shared" ca="1" si="187"/>
        <v>1886472368869.0627</v>
      </c>
      <c r="M4467" s="460">
        <f t="shared" si="189"/>
        <v>0.05</v>
      </c>
      <c r="N4467" s="464">
        <f t="shared" si="190"/>
        <v>187006</v>
      </c>
    </row>
    <row r="4468" spans="7:14" ht="11.25" customHeight="1" x14ac:dyDescent="0.3">
      <c r="G4468" s="459"/>
      <c r="H4468" s="459">
        <v>4461</v>
      </c>
      <c r="I4468" s="444">
        <f t="shared" ca="1" si="188"/>
        <v>1886472368869.0627</v>
      </c>
      <c r="J4468" s="444">
        <f t="array" ref="J4468">IFERROR(INDEX('Retirement Calculator'!J:J,MATCH('Isaac 401k'!N4468,'Retirement Calculator'!A:A,0),0),0)</f>
        <v>0</v>
      </c>
      <c r="K4468" s="444">
        <f t="shared" ca="1" si="186"/>
        <v>7860301536.9544268</v>
      </c>
      <c r="L4468" s="444">
        <f t="shared" ca="1" si="187"/>
        <v>1894332670406.0171</v>
      </c>
      <c r="M4468" s="460">
        <f t="shared" si="189"/>
        <v>0.05</v>
      </c>
      <c r="N4468" s="464">
        <f t="shared" si="190"/>
        <v>187037</v>
      </c>
    </row>
    <row r="4469" spans="7:14" ht="11.25" customHeight="1" x14ac:dyDescent="0.3">
      <c r="G4469" s="459"/>
      <c r="H4469" s="459">
        <v>4462</v>
      </c>
      <c r="I4469" s="444">
        <f t="shared" ca="1" si="188"/>
        <v>1894332670406.0171</v>
      </c>
      <c r="J4469" s="444">
        <f t="array" ref="J4469">IFERROR(INDEX('Retirement Calculator'!J:J,MATCH('Isaac 401k'!N4469,'Retirement Calculator'!A:A,0),0),0)</f>
        <v>0</v>
      </c>
      <c r="K4469" s="444">
        <f t="shared" ca="1" si="186"/>
        <v>7893052793.3584042</v>
      </c>
      <c r="L4469" s="444">
        <f t="shared" ca="1" si="187"/>
        <v>1902225723199.3755</v>
      </c>
      <c r="M4469" s="460">
        <f t="shared" si="189"/>
        <v>0.05</v>
      </c>
      <c r="N4469" s="464">
        <f t="shared" si="190"/>
        <v>187066</v>
      </c>
    </row>
    <row r="4470" spans="7:14" ht="11.25" customHeight="1" x14ac:dyDescent="0.3">
      <c r="G4470" s="459"/>
      <c r="H4470" s="459">
        <v>4463</v>
      </c>
      <c r="I4470" s="444">
        <f t="shared" ca="1" si="188"/>
        <v>1902225723199.3755</v>
      </c>
      <c r="J4470" s="444">
        <f t="array" ref="J4470">IFERROR(INDEX('Retirement Calculator'!J:J,MATCH('Isaac 401k'!N4470,'Retirement Calculator'!A:A,0),0),0)</f>
        <v>0</v>
      </c>
      <c r="K4470" s="444">
        <f t="shared" ca="1" si="186"/>
        <v>7925940513.3307304</v>
      </c>
      <c r="L4470" s="444">
        <f t="shared" ca="1" si="187"/>
        <v>1910151663712.7063</v>
      </c>
      <c r="M4470" s="460">
        <f t="shared" si="189"/>
        <v>0.05</v>
      </c>
      <c r="N4470" s="464">
        <f t="shared" si="190"/>
        <v>187097</v>
      </c>
    </row>
    <row r="4471" spans="7:14" ht="11.25" customHeight="1" x14ac:dyDescent="0.3">
      <c r="G4471" s="459"/>
      <c r="H4471" s="459">
        <v>4464</v>
      </c>
      <c r="I4471" s="444">
        <f t="shared" ca="1" si="188"/>
        <v>1910151663712.7063</v>
      </c>
      <c r="J4471" s="444">
        <f t="array" ref="J4471">IFERROR(INDEX('Retirement Calculator'!J:J,MATCH('Isaac 401k'!N4471,'Retirement Calculator'!A:A,0),0),0)</f>
        <v>0</v>
      </c>
      <c r="K4471" s="444">
        <f t="shared" ca="1" si="186"/>
        <v>7958965265.4696093</v>
      </c>
      <c r="L4471" s="444">
        <f t="shared" ca="1" si="187"/>
        <v>1918110628978.176</v>
      </c>
      <c r="M4471" s="460">
        <f t="shared" si="189"/>
        <v>0.05</v>
      </c>
      <c r="N4471" s="464">
        <f t="shared" si="190"/>
        <v>187127</v>
      </c>
    </row>
    <row r="4472" spans="7:14" ht="11.25" customHeight="1" x14ac:dyDescent="0.3">
      <c r="G4472" s="459"/>
      <c r="H4472" s="459">
        <v>4465</v>
      </c>
      <c r="I4472" s="444">
        <f t="shared" ca="1" si="188"/>
        <v>1918110628978.176</v>
      </c>
      <c r="J4472" s="444">
        <f t="array" ref="J4472">IFERROR(INDEX('Retirement Calculator'!J:J,MATCH('Isaac 401k'!N4472,'Retirement Calculator'!A:A,0),0),0)</f>
        <v>0</v>
      </c>
      <c r="K4472" s="444">
        <f t="shared" ca="1" si="186"/>
        <v>7992127620.7423992</v>
      </c>
      <c r="L4472" s="444">
        <f t="shared" ca="1" si="187"/>
        <v>1926102756598.9185</v>
      </c>
      <c r="M4472" s="460">
        <f t="shared" si="189"/>
        <v>0.05</v>
      </c>
      <c r="N4472" s="464">
        <f t="shared" si="190"/>
        <v>187158</v>
      </c>
    </row>
    <row r="4473" spans="7:14" ht="11.25" customHeight="1" x14ac:dyDescent="0.3">
      <c r="G4473" s="459"/>
      <c r="H4473" s="459">
        <v>4466</v>
      </c>
      <c r="I4473" s="444">
        <f t="shared" ca="1" si="188"/>
        <v>1926102756598.9185</v>
      </c>
      <c r="J4473" s="444">
        <f t="array" ref="J4473">IFERROR(INDEX('Retirement Calculator'!J:J,MATCH('Isaac 401k'!N4473,'Retirement Calculator'!A:A,0),0),0)</f>
        <v>0</v>
      </c>
      <c r="K4473" s="444">
        <f t="shared" ca="1" si="186"/>
        <v>8025428152.495492</v>
      </c>
      <c r="L4473" s="444">
        <f t="shared" ca="1" si="187"/>
        <v>1934128184751.4141</v>
      </c>
      <c r="M4473" s="460">
        <f t="shared" si="189"/>
        <v>0.05</v>
      </c>
      <c r="N4473" s="464">
        <f t="shared" si="190"/>
        <v>187188</v>
      </c>
    </row>
    <row r="4474" spans="7:14" ht="11.25" customHeight="1" x14ac:dyDescent="0.3">
      <c r="G4474" s="459"/>
      <c r="H4474" s="459">
        <v>4467</v>
      </c>
      <c r="I4474" s="444">
        <f t="shared" ca="1" si="188"/>
        <v>1934128184751.4141</v>
      </c>
      <c r="J4474" s="444">
        <f t="array" ref="J4474">IFERROR(INDEX('Retirement Calculator'!J:J,MATCH('Isaac 401k'!N4474,'Retirement Calculator'!A:A,0),0),0)</f>
        <v>0</v>
      </c>
      <c r="K4474" s="444">
        <f t="shared" ca="1" si="186"/>
        <v>8058867436.4642248</v>
      </c>
      <c r="L4474" s="444">
        <f t="shared" ca="1" si="187"/>
        <v>1942187052187.8782</v>
      </c>
      <c r="M4474" s="460">
        <f t="shared" si="189"/>
        <v>0.05</v>
      </c>
      <c r="N4474" s="464">
        <f t="shared" si="190"/>
        <v>187219</v>
      </c>
    </row>
    <row r="4475" spans="7:14" ht="11.25" customHeight="1" x14ac:dyDescent="0.3">
      <c r="G4475" s="459"/>
      <c r="H4475" s="459">
        <v>4468</v>
      </c>
      <c r="I4475" s="444">
        <f t="shared" ca="1" si="188"/>
        <v>1942187052187.8782</v>
      </c>
      <c r="J4475" s="444">
        <f t="array" ref="J4475">IFERROR(INDEX('Retirement Calculator'!J:J,MATCH('Isaac 401k'!N4475,'Retirement Calculator'!A:A,0),0),0)</f>
        <v>0</v>
      </c>
      <c r="K4475" s="444">
        <f t="shared" ca="1" si="186"/>
        <v>8092446050.7828255</v>
      </c>
      <c r="L4475" s="444">
        <f t="shared" ca="1" si="187"/>
        <v>1950279498238.6609</v>
      </c>
      <c r="M4475" s="460">
        <f t="shared" si="189"/>
        <v>0.05</v>
      </c>
      <c r="N4475" s="464">
        <f t="shared" si="190"/>
        <v>187250</v>
      </c>
    </row>
    <row r="4476" spans="7:14" ht="11.25" customHeight="1" x14ac:dyDescent="0.3">
      <c r="G4476" s="459"/>
      <c r="H4476" s="459">
        <v>4469</v>
      </c>
      <c r="I4476" s="444">
        <f t="shared" ca="1" si="188"/>
        <v>1950279498238.6609</v>
      </c>
      <c r="J4476" s="444">
        <f t="array" ref="J4476">IFERROR(INDEX('Retirement Calculator'!J:J,MATCH('Isaac 401k'!N4476,'Retirement Calculator'!A:A,0),0),0)</f>
        <v>0</v>
      </c>
      <c r="K4476" s="444">
        <f t="shared" ca="1" si="186"/>
        <v>8126164575.9944201</v>
      </c>
      <c r="L4476" s="444">
        <f t="shared" ca="1" si="187"/>
        <v>1958405662814.6553</v>
      </c>
      <c r="M4476" s="460">
        <f t="shared" si="189"/>
        <v>0.05</v>
      </c>
      <c r="N4476" s="464">
        <f t="shared" si="190"/>
        <v>187280</v>
      </c>
    </row>
    <row r="4477" spans="7:14" ht="11.25" customHeight="1" x14ac:dyDescent="0.3">
      <c r="G4477" s="459"/>
      <c r="H4477" s="459">
        <v>4470</v>
      </c>
      <c r="I4477" s="444">
        <f t="shared" ca="1" si="188"/>
        <v>1958405662814.6553</v>
      </c>
      <c r="J4477" s="444">
        <f t="array" ref="J4477">IFERROR(INDEX('Retirement Calculator'!J:J,MATCH('Isaac 401k'!N4477,'Retirement Calculator'!A:A,0),0),0)</f>
        <v>0</v>
      </c>
      <c r="K4477" s="444">
        <f t="shared" ca="1" si="186"/>
        <v>8160023595.0610638</v>
      </c>
      <c r="L4477" s="444">
        <f t="shared" ca="1" si="187"/>
        <v>1966565686409.7163</v>
      </c>
      <c r="M4477" s="460">
        <f t="shared" si="189"/>
        <v>0.05</v>
      </c>
      <c r="N4477" s="464">
        <f t="shared" si="190"/>
        <v>187311</v>
      </c>
    </row>
    <row r="4478" spans="7:14" ht="11.25" customHeight="1" x14ac:dyDescent="0.3">
      <c r="G4478" s="459"/>
      <c r="H4478" s="459">
        <v>4471</v>
      </c>
      <c r="I4478" s="444">
        <f t="shared" ca="1" si="188"/>
        <v>1966565686409.7163</v>
      </c>
      <c r="J4478" s="444">
        <f t="array" ref="J4478">IFERROR(INDEX('Retirement Calculator'!J:J,MATCH('Isaac 401k'!N4478,'Retirement Calculator'!A:A,0),0),0)</f>
        <v>0</v>
      </c>
      <c r="K4478" s="444">
        <f t="shared" ca="1" si="186"/>
        <v>8194023693.3738174</v>
      </c>
      <c r="L4478" s="444">
        <f t="shared" ca="1" si="187"/>
        <v>1974759710103.0901</v>
      </c>
      <c r="M4478" s="460">
        <f t="shared" si="189"/>
        <v>0.05</v>
      </c>
      <c r="N4478" s="464">
        <f t="shared" si="190"/>
        <v>187341</v>
      </c>
    </row>
    <row r="4479" spans="7:14" ht="11.25" customHeight="1" x14ac:dyDescent="0.3">
      <c r="G4479" s="459"/>
      <c r="H4479" s="459">
        <v>4472</v>
      </c>
      <c r="I4479" s="444">
        <f t="shared" ca="1" si="188"/>
        <v>1974759710103.0901</v>
      </c>
      <c r="J4479" s="444">
        <f t="array" ref="J4479">IFERROR(INDEX('Retirement Calculator'!J:J,MATCH('Isaac 401k'!N4479,'Retirement Calculator'!A:A,0),0),0)</f>
        <v>0</v>
      </c>
      <c r="K4479" s="444">
        <f t="shared" ca="1" si="186"/>
        <v>8228165458.7628765</v>
      </c>
      <c r="L4479" s="444">
        <f t="shared" ca="1" si="187"/>
        <v>1982987875561.853</v>
      </c>
      <c r="M4479" s="460">
        <f t="shared" si="189"/>
        <v>0.05</v>
      </c>
      <c r="N4479" s="464">
        <f t="shared" si="190"/>
        <v>187372</v>
      </c>
    </row>
    <row r="4480" spans="7:14" ht="11.25" customHeight="1" x14ac:dyDescent="0.3">
      <c r="G4480" s="459"/>
      <c r="H4480" s="459">
        <v>4473</v>
      </c>
      <c r="I4480" s="444">
        <f t="shared" ca="1" si="188"/>
        <v>1982987875561.853</v>
      </c>
      <c r="J4480" s="444">
        <f t="array" ref="J4480">IFERROR(INDEX('Retirement Calculator'!J:J,MATCH('Isaac 401k'!N4480,'Retirement Calculator'!A:A,0),0),0)</f>
        <v>0</v>
      </c>
      <c r="K4480" s="444">
        <f t="shared" ca="1" si="186"/>
        <v>8262449481.5077219</v>
      </c>
      <c r="L4480" s="444">
        <f t="shared" ca="1" si="187"/>
        <v>1991250325043.3608</v>
      </c>
      <c r="M4480" s="460">
        <f t="shared" si="189"/>
        <v>0.05</v>
      </c>
      <c r="N4480" s="464">
        <f t="shared" si="190"/>
        <v>187403</v>
      </c>
    </row>
    <row r="4481" spans="7:14" ht="11.25" customHeight="1" x14ac:dyDescent="0.3">
      <c r="G4481" s="459"/>
      <c r="H4481" s="459">
        <v>4474</v>
      </c>
      <c r="I4481" s="444">
        <f t="shared" ca="1" si="188"/>
        <v>1991250325043.3608</v>
      </c>
      <c r="J4481" s="444">
        <f t="array" ref="J4481">IFERROR(INDEX('Retirement Calculator'!J:J,MATCH('Isaac 401k'!N4481,'Retirement Calculator'!A:A,0),0),0)</f>
        <v>0</v>
      </c>
      <c r="K4481" s="444">
        <f t="shared" ca="1" si="186"/>
        <v>8296876354.3473377</v>
      </c>
      <c r="L4481" s="444">
        <f t="shared" ca="1" si="187"/>
        <v>1999547201397.7083</v>
      </c>
      <c r="M4481" s="460">
        <f t="shared" si="189"/>
        <v>0.05</v>
      </c>
      <c r="N4481" s="464">
        <f t="shared" si="190"/>
        <v>187431</v>
      </c>
    </row>
    <row r="4482" spans="7:14" ht="11.25" customHeight="1" x14ac:dyDescent="0.3">
      <c r="G4482" s="459"/>
      <c r="H4482" s="459">
        <v>4475</v>
      </c>
      <c r="I4482" s="444">
        <f t="shared" ca="1" si="188"/>
        <v>1999547201397.7083</v>
      </c>
      <c r="J4482" s="444">
        <f t="array" ref="J4482">IFERROR(INDEX('Retirement Calculator'!J:J,MATCH('Isaac 401k'!N4482,'Retirement Calculator'!A:A,0),0),0)</f>
        <v>0</v>
      </c>
      <c r="K4482" s="444">
        <f t="shared" ca="1" si="186"/>
        <v>8331446672.4904509</v>
      </c>
      <c r="L4482" s="444">
        <f t="shared" ca="1" si="187"/>
        <v>2007878648070.1987</v>
      </c>
      <c r="M4482" s="460">
        <f t="shared" si="189"/>
        <v>0.05</v>
      </c>
      <c r="N4482" s="464">
        <f t="shared" si="190"/>
        <v>187462</v>
      </c>
    </row>
    <row r="4483" spans="7:14" ht="11.25" customHeight="1" x14ac:dyDescent="0.3">
      <c r="G4483" s="459"/>
      <c r="H4483" s="459">
        <v>4476</v>
      </c>
      <c r="I4483" s="444">
        <f t="shared" ca="1" si="188"/>
        <v>2007878648070.1987</v>
      </c>
      <c r="J4483" s="444">
        <f t="array" ref="J4483">IFERROR(INDEX('Retirement Calculator'!J:J,MATCH('Isaac 401k'!N4483,'Retirement Calculator'!A:A,0),0),0)</f>
        <v>0</v>
      </c>
      <c r="K4483" s="444">
        <f t="shared" ca="1" si="186"/>
        <v>8366161033.6258287</v>
      </c>
      <c r="L4483" s="444">
        <f t="shared" ca="1" si="187"/>
        <v>2016244809103.8245</v>
      </c>
      <c r="M4483" s="460">
        <f t="shared" si="189"/>
        <v>0.05</v>
      </c>
      <c r="N4483" s="464">
        <f t="shared" si="190"/>
        <v>187492</v>
      </c>
    </row>
    <row r="4484" spans="7:14" ht="11.25" customHeight="1" x14ac:dyDescent="0.3">
      <c r="G4484" s="459"/>
      <c r="H4484" s="459">
        <v>4477</v>
      </c>
      <c r="I4484" s="444">
        <f t="shared" ca="1" si="188"/>
        <v>2016244809103.8245</v>
      </c>
      <c r="J4484" s="444">
        <f t="array" ref="J4484">IFERROR(INDEX('Retirement Calculator'!J:J,MATCH('Isaac 401k'!N4484,'Retirement Calculator'!A:A,0),0),0)</f>
        <v>0</v>
      </c>
      <c r="K4484" s="444">
        <f t="shared" ca="1" si="186"/>
        <v>8401020037.9326019</v>
      </c>
      <c r="L4484" s="444">
        <f t="shared" ca="1" si="187"/>
        <v>2024645829141.7571</v>
      </c>
      <c r="M4484" s="460">
        <f t="shared" si="189"/>
        <v>0.05</v>
      </c>
      <c r="N4484" s="464">
        <f t="shared" si="190"/>
        <v>187523</v>
      </c>
    </row>
    <row r="4485" spans="7:14" ht="11.25" customHeight="1" x14ac:dyDescent="0.3">
      <c r="G4485" s="459"/>
      <c r="H4485" s="459">
        <v>4478</v>
      </c>
      <c r="I4485" s="444">
        <f t="shared" ca="1" si="188"/>
        <v>2024645829141.7571</v>
      </c>
      <c r="J4485" s="444">
        <f t="array" ref="J4485">IFERROR(INDEX('Retirement Calculator'!J:J,MATCH('Isaac 401k'!N4485,'Retirement Calculator'!A:A,0),0),0)</f>
        <v>0</v>
      </c>
      <c r="K4485" s="444">
        <f t="shared" ca="1" si="186"/>
        <v>8436024288.0906544</v>
      </c>
      <c r="L4485" s="444">
        <f t="shared" ca="1" si="187"/>
        <v>2033081853429.8477</v>
      </c>
      <c r="M4485" s="460">
        <f t="shared" si="189"/>
        <v>0.05</v>
      </c>
      <c r="N4485" s="464">
        <f t="shared" si="190"/>
        <v>187553</v>
      </c>
    </row>
    <row r="4486" spans="7:14" ht="11.25" customHeight="1" x14ac:dyDescent="0.3">
      <c r="G4486" s="459"/>
      <c r="H4486" s="459">
        <v>4479</v>
      </c>
      <c r="I4486" s="444">
        <f t="shared" ca="1" si="188"/>
        <v>2033081853429.8477</v>
      </c>
      <c r="J4486" s="444">
        <f t="array" ref="J4486">IFERROR(INDEX('Retirement Calculator'!J:J,MATCH('Isaac 401k'!N4486,'Retirement Calculator'!A:A,0),0),0)</f>
        <v>0</v>
      </c>
      <c r="K4486" s="444">
        <f t="shared" ca="1" si="186"/>
        <v>8471174389.2910328</v>
      </c>
      <c r="L4486" s="444">
        <f t="shared" ca="1" si="187"/>
        <v>2041553027819.1387</v>
      </c>
      <c r="M4486" s="460">
        <f t="shared" si="189"/>
        <v>0.05</v>
      </c>
      <c r="N4486" s="464">
        <f t="shared" si="190"/>
        <v>187584</v>
      </c>
    </row>
    <row r="4487" spans="7:14" ht="11.25" customHeight="1" x14ac:dyDescent="0.3">
      <c r="G4487" s="459"/>
      <c r="H4487" s="459">
        <v>4480</v>
      </c>
      <c r="I4487" s="444">
        <f t="shared" ca="1" si="188"/>
        <v>2041553027819.1387</v>
      </c>
      <c r="J4487" s="444">
        <f t="array" ref="J4487">IFERROR(INDEX('Retirement Calculator'!J:J,MATCH('Isaac 401k'!N4487,'Retirement Calculator'!A:A,0),0),0)</f>
        <v>0</v>
      </c>
      <c r="K4487" s="444">
        <f t="shared" ca="1" si="186"/>
        <v>8506470949.2464104</v>
      </c>
      <c r="L4487" s="444">
        <f t="shared" ca="1" si="187"/>
        <v>2050059498768.385</v>
      </c>
      <c r="M4487" s="460">
        <f t="shared" si="189"/>
        <v>0.05</v>
      </c>
      <c r="N4487" s="464">
        <f t="shared" si="190"/>
        <v>187615</v>
      </c>
    </row>
    <row r="4488" spans="7:14" ht="11.25" customHeight="1" x14ac:dyDescent="0.3">
      <c r="G4488" s="459"/>
      <c r="H4488" s="459">
        <v>4481</v>
      </c>
      <c r="I4488" s="444">
        <f t="shared" ca="1" si="188"/>
        <v>2050059498768.385</v>
      </c>
      <c r="J4488" s="444">
        <f t="array" ref="J4488">IFERROR(INDEX('Retirement Calculator'!J:J,MATCH('Isaac 401k'!N4488,'Retirement Calculator'!A:A,0),0),0)</f>
        <v>0</v>
      </c>
      <c r="K4488" s="444">
        <f t="shared" ca="1" si="186"/>
        <v>8541914578.2016039</v>
      </c>
      <c r="L4488" s="444">
        <f t="shared" ca="1" si="187"/>
        <v>2058601413346.5867</v>
      </c>
      <c r="M4488" s="460">
        <f t="shared" si="189"/>
        <v>0.05</v>
      </c>
      <c r="N4488" s="464">
        <f t="shared" si="190"/>
        <v>187645</v>
      </c>
    </row>
    <row r="4489" spans="7:14" ht="11.25" customHeight="1" x14ac:dyDescent="0.3">
      <c r="G4489" s="459"/>
      <c r="H4489" s="459">
        <v>4482</v>
      </c>
      <c r="I4489" s="444">
        <f t="shared" ca="1" si="188"/>
        <v>2058601413346.5867</v>
      </c>
      <c r="J4489" s="444">
        <f t="array" ref="J4489">IFERROR(INDEX('Retirement Calculator'!J:J,MATCH('Isaac 401k'!N4489,'Retirement Calculator'!A:A,0),0),0)</f>
        <v>0</v>
      </c>
      <c r="K4489" s="444">
        <f t="shared" ca="1" si="186"/>
        <v>8577505888.9441099</v>
      </c>
      <c r="L4489" s="444">
        <f t="shared" ca="1" si="187"/>
        <v>2067178919235.5308</v>
      </c>
      <c r="M4489" s="460">
        <f t="shared" si="189"/>
        <v>0.05</v>
      </c>
      <c r="N4489" s="464">
        <f t="shared" si="190"/>
        <v>187676</v>
      </c>
    </row>
    <row r="4490" spans="7:14" ht="11.25" customHeight="1" x14ac:dyDescent="0.3">
      <c r="G4490" s="459"/>
      <c r="H4490" s="459">
        <v>4483</v>
      </c>
      <c r="I4490" s="444">
        <f t="shared" ca="1" si="188"/>
        <v>2067178919235.5308</v>
      </c>
      <c r="J4490" s="444">
        <f t="array" ref="J4490">IFERROR(INDEX('Retirement Calculator'!J:J,MATCH('Isaac 401k'!N4490,'Retirement Calculator'!A:A,0),0),0)</f>
        <v>0</v>
      </c>
      <c r="K4490" s="444">
        <f t="shared" ca="1" si="186"/>
        <v>8613245496.8147106</v>
      </c>
      <c r="L4490" s="444">
        <f t="shared" ca="1" si="187"/>
        <v>2075792164732.3455</v>
      </c>
      <c r="M4490" s="460">
        <f t="shared" si="189"/>
        <v>0.05</v>
      </c>
      <c r="N4490" s="464">
        <f t="shared" si="190"/>
        <v>187706</v>
      </c>
    </row>
    <row r="4491" spans="7:14" ht="11.25" customHeight="1" x14ac:dyDescent="0.3">
      <c r="G4491" s="459"/>
      <c r="H4491" s="459">
        <v>4484</v>
      </c>
      <c r="I4491" s="444">
        <f t="shared" ca="1" si="188"/>
        <v>2075792164732.3455</v>
      </c>
      <c r="J4491" s="444">
        <f t="array" ref="J4491">IFERROR(INDEX('Retirement Calculator'!J:J,MATCH('Isaac 401k'!N4491,'Retirement Calculator'!A:A,0),0),0)</f>
        <v>0</v>
      </c>
      <c r="K4491" s="444">
        <f t="shared" ca="1" si="186"/>
        <v>8649134019.7181053</v>
      </c>
      <c r="L4491" s="444">
        <f t="shared" ca="1" si="187"/>
        <v>2084441298752.0635</v>
      </c>
      <c r="M4491" s="460">
        <f t="shared" si="189"/>
        <v>0.05</v>
      </c>
      <c r="N4491" s="464">
        <f t="shared" si="190"/>
        <v>187737</v>
      </c>
    </row>
    <row r="4492" spans="7:14" ht="11.25" customHeight="1" x14ac:dyDescent="0.3">
      <c r="G4492" s="459"/>
      <c r="H4492" s="459">
        <v>4485</v>
      </c>
      <c r="I4492" s="444">
        <f t="shared" ca="1" si="188"/>
        <v>2084441298752.0635</v>
      </c>
      <c r="J4492" s="444">
        <f t="array" ref="J4492">IFERROR(INDEX('Retirement Calculator'!J:J,MATCH('Isaac 401k'!N4492,'Retirement Calculator'!A:A,0),0),0)</f>
        <v>0</v>
      </c>
      <c r="K4492" s="444">
        <f t="shared" ca="1" si="186"/>
        <v>8685172078.1335983</v>
      </c>
      <c r="L4492" s="444">
        <f t="shared" ca="1" si="187"/>
        <v>2093126470830.197</v>
      </c>
      <c r="M4492" s="460">
        <f t="shared" si="189"/>
        <v>0.05</v>
      </c>
      <c r="N4492" s="464">
        <f t="shared" si="190"/>
        <v>187768</v>
      </c>
    </row>
    <row r="4493" spans="7:14" ht="11.25" customHeight="1" x14ac:dyDescent="0.3">
      <c r="G4493" s="459"/>
      <c r="H4493" s="459">
        <v>4486</v>
      </c>
      <c r="I4493" s="444">
        <f t="shared" ca="1" si="188"/>
        <v>2093126470830.197</v>
      </c>
      <c r="J4493" s="444">
        <f t="array" ref="J4493">IFERROR(INDEX('Retirement Calculator'!J:J,MATCH('Isaac 401k'!N4493,'Retirement Calculator'!A:A,0),0),0)</f>
        <v>0</v>
      </c>
      <c r="K4493" s="444">
        <f t="shared" ca="1" si="186"/>
        <v>8721360295.1258202</v>
      </c>
      <c r="L4493" s="444">
        <f t="shared" ca="1" si="187"/>
        <v>2101847831125.3228</v>
      </c>
      <c r="M4493" s="460">
        <f t="shared" si="189"/>
        <v>0.05</v>
      </c>
      <c r="N4493" s="464">
        <f t="shared" si="190"/>
        <v>187796</v>
      </c>
    </row>
    <row r="4494" spans="7:14" ht="11.25" customHeight="1" x14ac:dyDescent="0.3">
      <c r="G4494" s="459"/>
      <c r="H4494" s="459">
        <v>4487</v>
      </c>
      <c r="I4494" s="444">
        <f t="shared" ca="1" si="188"/>
        <v>2101847831125.3228</v>
      </c>
      <c r="J4494" s="444">
        <f t="array" ref="J4494">IFERROR(INDEX('Retirement Calculator'!J:J,MATCH('Isaac 401k'!N4494,'Retirement Calculator'!A:A,0),0),0)</f>
        <v>0</v>
      </c>
      <c r="K4494" s="444">
        <f t="shared" ca="1" si="186"/>
        <v>8757699296.3555107</v>
      </c>
      <c r="L4494" s="444">
        <f t="shared" ca="1" si="187"/>
        <v>2110605530421.6782</v>
      </c>
      <c r="M4494" s="460">
        <f t="shared" si="189"/>
        <v>0.05</v>
      </c>
      <c r="N4494" s="464">
        <f t="shared" si="190"/>
        <v>187827</v>
      </c>
    </row>
    <row r="4495" spans="7:14" ht="11.25" customHeight="1" x14ac:dyDescent="0.3">
      <c r="G4495" s="459"/>
      <c r="H4495" s="459">
        <v>4488</v>
      </c>
      <c r="I4495" s="444">
        <f t="shared" ca="1" si="188"/>
        <v>2110605530421.6782</v>
      </c>
      <c r="J4495" s="444">
        <f t="array" ref="J4495">IFERROR(INDEX('Retirement Calculator'!J:J,MATCH('Isaac 401k'!N4495,'Retirement Calculator'!A:A,0),0),0)</f>
        <v>0</v>
      </c>
      <c r="K4495" s="444">
        <f t="shared" ca="1" si="186"/>
        <v>8794189710.0903263</v>
      </c>
      <c r="L4495" s="444">
        <f t="shared" ca="1" si="187"/>
        <v>2119399720131.7686</v>
      </c>
      <c r="M4495" s="460">
        <f t="shared" si="189"/>
        <v>0.05</v>
      </c>
      <c r="N4495" s="464">
        <f t="shared" si="190"/>
        <v>187857</v>
      </c>
    </row>
    <row r="4496" spans="7:14" ht="11.25" customHeight="1" x14ac:dyDescent="0.3">
      <c r="G4496" s="459"/>
      <c r="H4496" s="459">
        <v>4489</v>
      </c>
      <c r="I4496" s="444">
        <f t="shared" ca="1" si="188"/>
        <v>2119399720131.7686</v>
      </c>
      <c r="J4496" s="444">
        <f t="array" ref="J4496">IFERROR(INDEX('Retirement Calculator'!J:J,MATCH('Isaac 401k'!N4496,'Retirement Calculator'!A:A,0),0),0)</f>
        <v>0</v>
      </c>
      <c r="K4496" s="444">
        <f t="shared" ca="1" si="186"/>
        <v>8830832167.2157021</v>
      </c>
      <c r="L4496" s="444">
        <f t="shared" ca="1" si="187"/>
        <v>2128230552298.9844</v>
      </c>
      <c r="M4496" s="460">
        <f t="shared" si="189"/>
        <v>0.05</v>
      </c>
      <c r="N4496" s="464">
        <f t="shared" si="190"/>
        <v>187888</v>
      </c>
    </row>
    <row r="4497" spans="7:14" ht="11.25" customHeight="1" x14ac:dyDescent="0.3">
      <c r="G4497" s="459"/>
      <c r="H4497" s="459">
        <v>4490</v>
      </c>
      <c r="I4497" s="444">
        <f t="shared" ca="1" si="188"/>
        <v>2128230552298.9844</v>
      </c>
      <c r="J4497" s="444">
        <f t="array" ref="J4497">IFERROR(INDEX('Retirement Calculator'!J:J,MATCH('Isaac 401k'!N4497,'Retirement Calculator'!A:A,0),0),0)</f>
        <v>0</v>
      </c>
      <c r="K4497" s="444">
        <f t="shared" ca="1" si="186"/>
        <v>8867627301.2457695</v>
      </c>
      <c r="L4497" s="444">
        <f t="shared" ca="1" si="187"/>
        <v>2137098179600.2302</v>
      </c>
      <c r="M4497" s="460">
        <f t="shared" si="189"/>
        <v>0.05</v>
      </c>
      <c r="N4497" s="464">
        <f t="shared" si="190"/>
        <v>187918</v>
      </c>
    </row>
    <row r="4498" spans="7:14" ht="11.25" customHeight="1" x14ac:dyDescent="0.3">
      <c r="G4498" s="459"/>
      <c r="H4498" s="459">
        <v>4491</v>
      </c>
      <c r="I4498" s="444">
        <f t="shared" ca="1" si="188"/>
        <v>2137098179600.2302</v>
      </c>
      <c r="J4498" s="444">
        <f t="array" ref="J4498">IFERROR(INDEX('Retirement Calculator'!J:J,MATCH('Isaac 401k'!N4498,'Retirement Calculator'!A:A,0),0),0)</f>
        <v>0</v>
      </c>
      <c r="K4498" s="444">
        <f t="shared" ca="1" si="186"/>
        <v>8904575748.3342934</v>
      </c>
      <c r="L4498" s="444">
        <f t="shared" ca="1" si="187"/>
        <v>2146002755348.5645</v>
      </c>
      <c r="M4498" s="460">
        <f t="shared" si="189"/>
        <v>0.05</v>
      </c>
      <c r="N4498" s="464">
        <f t="shared" si="190"/>
        <v>187949</v>
      </c>
    </row>
    <row r="4499" spans="7:14" ht="11.25" customHeight="1" x14ac:dyDescent="0.3">
      <c r="G4499" s="459"/>
      <c r="H4499" s="459">
        <v>4492</v>
      </c>
      <c r="I4499" s="444">
        <f t="shared" ca="1" si="188"/>
        <v>2146002755348.5645</v>
      </c>
      <c r="J4499" s="444">
        <f t="array" ref="J4499">IFERROR(INDEX('Retirement Calculator'!J:J,MATCH('Isaac 401k'!N4499,'Retirement Calculator'!A:A,0),0),0)</f>
        <v>0</v>
      </c>
      <c r="K4499" s="444">
        <f t="shared" ca="1" si="186"/>
        <v>8941678147.2856846</v>
      </c>
      <c r="L4499" s="444">
        <f t="shared" ca="1" si="187"/>
        <v>2154944433495.8501</v>
      </c>
      <c r="M4499" s="460">
        <f t="shared" si="189"/>
        <v>0.05</v>
      </c>
      <c r="N4499" s="464">
        <f t="shared" si="190"/>
        <v>187980</v>
      </c>
    </row>
    <row r="4500" spans="7:14" ht="11.25" customHeight="1" x14ac:dyDescent="0.3">
      <c r="G4500" s="459"/>
      <c r="H4500" s="459">
        <v>4493</v>
      </c>
      <c r="I4500" s="444">
        <f t="shared" ca="1" si="188"/>
        <v>2154944433495.8501</v>
      </c>
      <c r="J4500" s="444">
        <f t="array" ref="J4500">IFERROR(INDEX('Retirement Calculator'!J:J,MATCH('Isaac 401k'!N4500,'Retirement Calculator'!A:A,0),0),0)</f>
        <v>0</v>
      </c>
      <c r="K4500" s="444">
        <f t="shared" ca="1" si="186"/>
        <v>8978935139.56604</v>
      </c>
      <c r="L4500" s="444">
        <f t="shared" ca="1" si="187"/>
        <v>2163923368635.416</v>
      </c>
      <c r="M4500" s="460">
        <f t="shared" si="189"/>
        <v>0.05</v>
      </c>
      <c r="N4500" s="464">
        <f t="shared" si="190"/>
        <v>188010</v>
      </c>
    </row>
    <row r="4501" spans="7:14" ht="11.25" customHeight="1" x14ac:dyDescent="0.3">
      <c r="G4501" s="459"/>
      <c r="H4501" s="459">
        <v>4494</v>
      </c>
      <c r="I4501" s="444">
        <f t="shared" ca="1" si="188"/>
        <v>2163923368635.416</v>
      </c>
      <c r="J4501" s="444">
        <f t="array" ref="J4501">IFERROR(INDEX('Retirement Calculator'!J:J,MATCH('Isaac 401k'!N4501,'Retirement Calculator'!A:A,0),0),0)</f>
        <v>0</v>
      </c>
      <c r="K4501" s="444">
        <f t="shared" ca="1" si="186"/>
        <v>9016347369.3142338</v>
      </c>
      <c r="L4501" s="444">
        <f t="shared" ca="1" si="187"/>
        <v>2172939716004.7302</v>
      </c>
      <c r="M4501" s="460">
        <f t="shared" si="189"/>
        <v>0.05</v>
      </c>
      <c r="N4501" s="464">
        <f t="shared" si="190"/>
        <v>188041</v>
      </c>
    </row>
    <row r="4502" spans="7:14" ht="11.25" customHeight="1" x14ac:dyDescent="0.3">
      <c r="G4502" s="459"/>
      <c r="H4502" s="459">
        <v>4495</v>
      </c>
      <c r="I4502" s="444">
        <f t="shared" ca="1" si="188"/>
        <v>2172939716004.7302</v>
      </c>
      <c r="J4502" s="444">
        <f t="array" ref="J4502">IFERROR(INDEX('Retirement Calculator'!J:J,MATCH('Isaac 401k'!N4502,'Retirement Calculator'!A:A,0),0),0)</f>
        <v>0</v>
      </c>
      <c r="K4502" s="444">
        <f t="shared" ca="1" si="186"/>
        <v>9053915483.3530426</v>
      </c>
      <c r="L4502" s="444">
        <f t="shared" ca="1" si="187"/>
        <v>2181993631488.0833</v>
      </c>
      <c r="M4502" s="460">
        <f t="shared" si="189"/>
        <v>0.05</v>
      </c>
      <c r="N4502" s="464">
        <f t="shared" si="190"/>
        <v>188071</v>
      </c>
    </row>
    <row r="4503" spans="7:14" ht="11.25" customHeight="1" x14ac:dyDescent="0.3">
      <c r="G4503" s="459"/>
      <c r="H4503" s="459">
        <v>4496</v>
      </c>
      <c r="I4503" s="444">
        <f t="shared" ca="1" si="188"/>
        <v>2181993631488.0833</v>
      </c>
      <c r="J4503" s="444">
        <f t="array" ref="J4503">IFERROR(INDEX('Retirement Calculator'!J:J,MATCH('Isaac 401k'!N4503,'Retirement Calculator'!A:A,0),0),0)</f>
        <v>0</v>
      </c>
      <c r="K4503" s="444">
        <f t="shared" ca="1" si="186"/>
        <v>9091640131.200346</v>
      </c>
      <c r="L4503" s="444">
        <f t="shared" ca="1" si="187"/>
        <v>2191085271619.2837</v>
      </c>
      <c r="M4503" s="460">
        <f t="shared" si="189"/>
        <v>0.05</v>
      </c>
      <c r="N4503" s="464">
        <f t="shared" si="190"/>
        <v>188102</v>
      </c>
    </row>
    <row r="4504" spans="7:14" ht="11.25" customHeight="1" x14ac:dyDescent="0.3">
      <c r="G4504" s="459"/>
      <c r="H4504" s="459">
        <v>4497</v>
      </c>
      <c r="I4504" s="444">
        <f t="shared" ca="1" si="188"/>
        <v>2191085271619.2837</v>
      </c>
      <c r="J4504" s="444">
        <f t="array" ref="J4504">IFERROR(INDEX('Retirement Calculator'!J:J,MATCH('Isaac 401k'!N4504,'Retirement Calculator'!A:A,0),0),0)</f>
        <v>0</v>
      </c>
      <c r="K4504" s="444">
        <f t="shared" ca="1" si="186"/>
        <v>9129521965.0803471</v>
      </c>
      <c r="L4504" s="444">
        <f t="shared" ca="1" si="187"/>
        <v>2200214793584.3643</v>
      </c>
      <c r="M4504" s="460">
        <f t="shared" si="189"/>
        <v>0.05</v>
      </c>
      <c r="N4504" s="464">
        <f t="shared" si="190"/>
        <v>188133</v>
      </c>
    </row>
    <row r="4505" spans="7:14" ht="11.25" customHeight="1" x14ac:dyDescent="0.3">
      <c r="G4505" s="459"/>
      <c r="H4505" s="459">
        <v>4498</v>
      </c>
      <c r="I4505" s="444">
        <f t="shared" ca="1" si="188"/>
        <v>2200214793584.3643</v>
      </c>
      <c r="J4505" s="444">
        <f t="array" ref="J4505">IFERROR(INDEX('Retirement Calculator'!J:J,MATCH('Isaac 401k'!N4505,'Retirement Calculator'!A:A,0),0),0)</f>
        <v>0</v>
      </c>
      <c r="K4505" s="444">
        <f t="shared" ca="1" si="186"/>
        <v>9167561639.9348507</v>
      </c>
      <c r="L4505" s="444">
        <f t="shared" ca="1" si="187"/>
        <v>2209382355224.2993</v>
      </c>
      <c r="M4505" s="460">
        <f t="shared" si="189"/>
        <v>0.05</v>
      </c>
      <c r="N4505" s="464">
        <f t="shared" si="190"/>
        <v>188161</v>
      </c>
    </row>
    <row r="4506" spans="7:14" ht="11.25" customHeight="1" x14ac:dyDescent="0.3">
      <c r="G4506" s="459"/>
      <c r="H4506" s="459">
        <v>4499</v>
      </c>
      <c r="I4506" s="444">
        <f t="shared" ca="1" si="188"/>
        <v>2209382355224.2993</v>
      </c>
      <c r="J4506" s="444">
        <f t="array" ref="J4506">IFERROR(INDEX('Retirement Calculator'!J:J,MATCH('Isaac 401k'!N4506,'Retirement Calculator'!A:A,0),0),0)</f>
        <v>0</v>
      </c>
      <c r="K4506" s="444">
        <f t="shared" ca="1" si="186"/>
        <v>9205759813.4345798</v>
      </c>
      <c r="L4506" s="444">
        <f t="shared" ca="1" si="187"/>
        <v>2218588115037.7339</v>
      </c>
      <c r="M4506" s="460">
        <f t="shared" si="189"/>
        <v>0.05</v>
      </c>
      <c r="N4506" s="464">
        <f t="shared" si="190"/>
        <v>188192</v>
      </c>
    </row>
    <row r="4507" spans="7:14" ht="11.25" customHeight="1" x14ac:dyDescent="0.3">
      <c r="G4507" s="459"/>
      <c r="H4507" s="459">
        <v>4500</v>
      </c>
      <c r="I4507" s="444">
        <f t="shared" ca="1" si="188"/>
        <v>2218588115037.7339</v>
      </c>
      <c r="J4507" s="444">
        <f t="array" ref="J4507">IFERROR(INDEX('Retirement Calculator'!J:J,MATCH('Isaac 401k'!N4507,'Retirement Calculator'!A:A,0),0),0)</f>
        <v>0</v>
      </c>
      <c r="K4507" s="444">
        <f t="shared" ca="1" si="186"/>
        <v>9244117145.9905586</v>
      </c>
      <c r="L4507" s="444">
        <f t="shared" ca="1" si="187"/>
        <v>2227832232183.7246</v>
      </c>
      <c r="M4507" s="460">
        <f t="shared" si="189"/>
        <v>0.05</v>
      </c>
      <c r="N4507" s="464">
        <f t="shared" si="190"/>
        <v>188222</v>
      </c>
    </row>
    <row r="4508" spans="7:14" ht="11.25" customHeight="1" x14ac:dyDescent="0.3">
      <c r="G4508" s="459"/>
      <c r="H4508" s="459">
        <v>4501</v>
      </c>
      <c r="I4508" s="444">
        <f t="shared" ca="1" si="188"/>
        <v>2227832232183.7246</v>
      </c>
      <c r="J4508" s="444">
        <f t="array" ref="J4508">IFERROR(INDEX('Retirement Calculator'!J:J,MATCH('Isaac 401k'!N4508,'Retirement Calculator'!A:A,0),0),0)</f>
        <v>0</v>
      </c>
      <c r="K4508" s="444">
        <f t="shared" ca="1" si="186"/>
        <v>9282634300.7655182</v>
      </c>
      <c r="L4508" s="444">
        <f t="shared" ca="1" si="187"/>
        <v>2237114866484.4902</v>
      </c>
      <c r="M4508" s="460">
        <f t="shared" si="189"/>
        <v>0.05</v>
      </c>
      <c r="N4508" s="464">
        <f t="shared" si="190"/>
        <v>188253</v>
      </c>
    </row>
    <row r="4509" spans="7:14" ht="11.25" customHeight="1" x14ac:dyDescent="0.3">
      <c r="G4509" s="459"/>
      <c r="H4509" s="459">
        <v>4502</v>
      </c>
      <c r="I4509" s="444">
        <f t="shared" ca="1" si="188"/>
        <v>2237114866484.4902</v>
      </c>
      <c r="J4509" s="444">
        <f t="array" ref="J4509">IFERROR(INDEX('Retirement Calculator'!J:J,MATCH('Isaac 401k'!N4509,'Retirement Calculator'!A:A,0),0),0)</f>
        <v>0</v>
      </c>
      <c r="K4509" s="444">
        <f t="shared" ca="1" si="186"/>
        <v>9321311943.6853752</v>
      </c>
      <c r="L4509" s="444">
        <f t="shared" ca="1" si="187"/>
        <v>2246436178428.1758</v>
      </c>
      <c r="M4509" s="460">
        <f t="shared" si="189"/>
        <v>0.05</v>
      </c>
      <c r="N4509" s="464">
        <f t="shared" si="190"/>
        <v>188283</v>
      </c>
    </row>
    <row r="4510" spans="7:14" ht="11.25" customHeight="1" x14ac:dyDescent="0.3">
      <c r="G4510" s="459"/>
      <c r="H4510" s="459">
        <v>4503</v>
      </c>
      <c r="I4510" s="444">
        <f t="shared" ca="1" si="188"/>
        <v>2246436178428.1758</v>
      </c>
      <c r="J4510" s="444">
        <f t="array" ref="J4510">IFERROR(INDEX('Retirement Calculator'!J:J,MATCH('Isaac 401k'!N4510,'Retirement Calculator'!A:A,0),0),0)</f>
        <v>0</v>
      </c>
      <c r="K4510" s="444">
        <f t="shared" ca="1" si="186"/>
        <v>9360150743.4507332</v>
      </c>
      <c r="L4510" s="444">
        <f t="shared" ca="1" si="187"/>
        <v>2255796329171.6265</v>
      </c>
      <c r="M4510" s="460">
        <f t="shared" si="189"/>
        <v>0.05</v>
      </c>
      <c r="N4510" s="464">
        <f t="shared" si="190"/>
        <v>188314</v>
      </c>
    </row>
    <row r="4511" spans="7:14" ht="11.25" customHeight="1" x14ac:dyDescent="0.3">
      <c r="G4511" s="459"/>
      <c r="H4511" s="459">
        <v>4504</v>
      </c>
      <c r="I4511" s="444">
        <f t="shared" ca="1" si="188"/>
        <v>2255796329171.6265</v>
      </c>
      <c r="J4511" s="444">
        <f t="array" ref="J4511">IFERROR(INDEX('Retirement Calculator'!J:J,MATCH('Isaac 401k'!N4511,'Retirement Calculator'!A:A,0),0),0)</f>
        <v>0</v>
      </c>
      <c r="K4511" s="444">
        <f t="shared" ca="1" si="186"/>
        <v>9399151371.5484428</v>
      </c>
      <c r="L4511" s="444">
        <f t="shared" ca="1" si="187"/>
        <v>2265195480543.1748</v>
      </c>
      <c r="M4511" s="460">
        <f t="shared" si="189"/>
        <v>0.05</v>
      </c>
      <c r="N4511" s="464">
        <f t="shared" si="190"/>
        <v>188345</v>
      </c>
    </row>
    <row r="4512" spans="7:14" ht="11.25" customHeight="1" x14ac:dyDescent="0.3">
      <c r="G4512" s="459"/>
      <c r="H4512" s="459">
        <v>4505</v>
      </c>
      <c r="I4512" s="444">
        <f t="shared" ca="1" si="188"/>
        <v>2265195480543.1748</v>
      </c>
      <c r="J4512" s="444">
        <f t="array" ref="J4512">IFERROR(INDEX('Retirement Calculator'!J:J,MATCH('Isaac 401k'!N4512,'Retirement Calculator'!A:A,0),0),0)</f>
        <v>0</v>
      </c>
      <c r="K4512" s="444">
        <f t="shared" ca="1" si="186"/>
        <v>9438314502.2632275</v>
      </c>
      <c r="L4512" s="444">
        <f t="shared" ca="1" si="187"/>
        <v>2274633795045.438</v>
      </c>
      <c r="M4512" s="460">
        <f t="shared" si="189"/>
        <v>0.05</v>
      </c>
      <c r="N4512" s="464">
        <f t="shared" si="190"/>
        <v>188375</v>
      </c>
    </row>
    <row r="4513" spans="7:14" ht="11.25" customHeight="1" x14ac:dyDescent="0.3">
      <c r="G4513" s="459"/>
      <c r="H4513" s="459">
        <v>4506</v>
      </c>
      <c r="I4513" s="444">
        <f t="shared" ca="1" si="188"/>
        <v>2274633795045.438</v>
      </c>
      <c r="J4513" s="444">
        <f t="array" ref="J4513">IFERROR(INDEX('Retirement Calculator'!J:J,MATCH('Isaac 401k'!N4513,'Retirement Calculator'!A:A,0),0),0)</f>
        <v>0</v>
      </c>
      <c r="K4513" s="444">
        <f t="shared" ca="1" si="186"/>
        <v>9477640812.6893253</v>
      </c>
      <c r="L4513" s="444">
        <f t="shared" ca="1" si="187"/>
        <v>2284111435858.1274</v>
      </c>
      <c r="M4513" s="460">
        <f t="shared" si="189"/>
        <v>0.05</v>
      </c>
      <c r="N4513" s="464">
        <f t="shared" si="190"/>
        <v>188406</v>
      </c>
    </row>
    <row r="4514" spans="7:14" ht="11.25" customHeight="1" x14ac:dyDescent="0.3">
      <c r="G4514" s="459"/>
      <c r="H4514" s="459">
        <v>4507</v>
      </c>
      <c r="I4514" s="444">
        <f t="shared" ca="1" si="188"/>
        <v>2284111435858.1274</v>
      </c>
      <c r="J4514" s="444">
        <f t="array" ref="J4514">IFERROR(INDEX('Retirement Calculator'!J:J,MATCH('Isaac 401k'!N4514,'Retirement Calculator'!A:A,0),0),0)</f>
        <v>0</v>
      </c>
      <c r="K4514" s="444">
        <f t="shared" ca="1" si="186"/>
        <v>9517130982.742197</v>
      </c>
      <c r="L4514" s="444">
        <f t="shared" ca="1" si="187"/>
        <v>2293628566840.8696</v>
      </c>
      <c r="M4514" s="460">
        <f t="shared" si="189"/>
        <v>0.05</v>
      </c>
      <c r="N4514" s="464">
        <f t="shared" si="190"/>
        <v>188436</v>
      </c>
    </row>
    <row r="4515" spans="7:14" ht="11.25" customHeight="1" x14ac:dyDescent="0.3">
      <c r="G4515" s="459"/>
      <c r="H4515" s="459">
        <v>4508</v>
      </c>
      <c r="I4515" s="444">
        <f t="shared" ca="1" si="188"/>
        <v>2293628566840.8696</v>
      </c>
      <c r="J4515" s="444">
        <f t="array" ref="J4515">IFERROR(INDEX('Retirement Calculator'!J:J,MATCH('Isaac 401k'!N4515,'Retirement Calculator'!A:A,0),0),0)</f>
        <v>0</v>
      </c>
      <c r="K4515" s="444">
        <f t="shared" ca="1" si="186"/>
        <v>9556785695.17029</v>
      </c>
      <c r="L4515" s="444">
        <f t="shared" ca="1" si="187"/>
        <v>2303185352536.04</v>
      </c>
      <c r="M4515" s="460">
        <f t="shared" si="189"/>
        <v>0.05</v>
      </c>
      <c r="N4515" s="464">
        <f t="shared" si="190"/>
        <v>188467</v>
      </c>
    </row>
    <row r="4516" spans="7:14" ht="11.25" customHeight="1" x14ac:dyDescent="0.3">
      <c r="G4516" s="459"/>
      <c r="H4516" s="459">
        <v>4509</v>
      </c>
      <c r="I4516" s="444">
        <f t="shared" ca="1" si="188"/>
        <v>2303185352536.04</v>
      </c>
      <c r="J4516" s="444">
        <f t="array" ref="J4516">IFERROR(INDEX('Retirement Calculator'!J:J,MATCH('Isaac 401k'!N4516,'Retirement Calculator'!A:A,0),0),0)</f>
        <v>0</v>
      </c>
      <c r="K4516" s="444">
        <f t="shared" ca="1" si="186"/>
        <v>9596605635.5668335</v>
      </c>
      <c r="L4516" s="444">
        <f t="shared" ca="1" si="187"/>
        <v>2312781958171.6069</v>
      </c>
      <c r="M4516" s="460">
        <f t="shared" si="189"/>
        <v>0.05</v>
      </c>
      <c r="N4516" s="464">
        <f t="shared" si="190"/>
        <v>188498</v>
      </c>
    </row>
    <row r="4517" spans="7:14" ht="11.25" customHeight="1" x14ac:dyDescent="0.3">
      <c r="G4517" s="459"/>
      <c r="H4517" s="459">
        <v>4510</v>
      </c>
      <c r="I4517" s="444">
        <f t="shared" ca="1" si="188"/>
        <v>2312781958171.6069</v>
      </c>
      <c r="J4517" s="444">
        <f t="array" ref="J4517">IFERROR(INDEX('Retirement Calculator'!J:J,MATCH('Isaac 401k'!N4517,'Retirement Calculator'!A:A,0),0),0)</f>
        <v>0</v>
      </c>
      <c r="K4517" s="444">
        <f t="shared" ca="1" si="186"/>
        <v>9636591492.3816948</v>
      </c>
      <c r="L4517" s="444">
        <f t="shared" ca="1" si="187"/>
        <v>2322418549663.9888</v>
      </c>
      <c r="M4517" s="460">
        <f t="shared" si="189"/>
        <v>0.05</v>
      </c>
      <c r="N4517" s="464">
        <f t="shared" si="190"/>
        <v>188527</v>
      </c>
    </row>
    <row r="4518" spans="7:14" ht="11.25" customHeight="1" x14ac:dyDescent="0.3">
      <c r="G4518" s="459"/>
      <c r="H4518" s="459">
        <v>4511</v>
      </c>
      <c r="I4518" s="444">
        <f t="shared" ca="1" si="188"/>
        <v>2322418549663.9888</v>
      </c>
      <c r="J4518" s="444">
        <f t="array" ref="J4518">IFERROR(INDEX('Retirement Calculator'!J:J,MATCH('Isaac 401k'!N4518,'Retirement Calculator'!A:A,0),0),0)</f>
        <v>0</v>
      </c>
      <c r="K4518" s="444">
        <f t="shared" ca="1" si="186"/>
        <v>9676743956.9332867</v>
      </c>
      <c r="L4518" s="444">
        <f t="shared" ca="1" si="187"/>
        <v>2332095293620.9219</v>
      </c>
      <c r="M4518" s="460">
        <f t="shared" si="189"/>
        <v>0.05</v>
      </c>
      <c r="N4518" s="464">
        <f t="shared" si="190"/>
        <v>188558</v>
      </c>
    </row>
    <row r="4519" spans="7:14" ht="11.25" customHeight="1" x14ac:dyDescent="0.3">
      <c r="G4519" s="459"/>
      <c r="H4519" s="459">
        <v>4512</v>
      </c>
      <c r="I4519" s="444">
        <f t="shared" ca="1" si="188"/>
        <v>2332095293620.9219</v>
      </c>
      <c r="J4519" s="444">
        <f t="array" ref="J4519">IFERROR(INDEX('Retirement Calculator'!J:J,MATCH('Isaac 401k'!N4519,'Retirement Calculator'!A:A,0),0),0)</f>
        <v>0</v>
      </c>
      <c r="K4519" s="444">
        <f t="shared" ca="1" si="186"/>
        <v>9717063723.4205074</v>
      </c>
      <c r="L4519" s="444">
        <f t="shared" ca="1" si="187"/>
        <v>2341812357344.3423</v>
      </c>
      <c r="M4519" s="460">
        <f t="shared" si="189"/>
        <v>0.05</v>
      </c>
      <c r="N4519" s="464">
        <f t="shared" si="190"/>
        <v>188588</v>
      </c>
    </row>
    <row r="4520" spans="7:14" ht="11.25" customHeight="1" x14ac:dyDescent="0.3">
      <c r="G4520" s="459"/>
      <c r="H4520" s="459">
        <v>4513</v>
      </c>
      <c r="I4520" s="444">
        <f t="shared" ca="1" si="188"/>
        <v>2341812357344.3423</v>
      </c>
      <c r="J4520" s="444">
        <f t="array" ref="J4520">IFERROR(INDEX('Retirement Calculator'!J:J,MATCH('Isaac 401k'!N4520,'Retirement Calculator'!A:A,0),0),0)</f>
        <v>0</v>
      </c>
      <c r="K4520" s="444">
        <f t="shared" ca="1" si="186"/>
        <v>9757551488.9347591</v>
      </c>
      <c r="L4520" s="444">
        <f t="shared" ca="1" si="187"/>
        <v>2351569908833.2769</v>
      </c>
      <c r="M4520" s="460">
        <f t="shared" si="189"/>
        <v>0.05</v>
      </c>
      <c r="N4520" s="464">
        <f t="shared" si="190"/>
        <v>188619</v>
      </c>
    </row>
    <row r="4521" spans="7:14" ht="11.25" customHeight="1" x14ac:dyDescent="0.3">
      <c r="G4521" s="459"/>
      <c r="H4521" s="459">
        <v>4514</v>
      </c>
      <c r="I4521" s="444">
        <f t="shared" ca="1" si="188"/>
        <v>2351569908833.2769</v>
      </c>
      <c r="J4521" s="444">
        <f t="array" ref="J4521">IFERROR(INDEX('Retirement Calculator'!J:J,MATCH('Isaac 401k'!N4521,'Retirement Calculator'!A:A,0),0),0)</f>
        <v>0</v>
      </c>
      <c r="K4521" s="444">
        <f t="shared" ca="1" si="186"/>
        <v>9798207953.4719868</v>
      </c>
      <c r="L4521" s="444">
        <f t="shared" ca="1" si="187"/>
        <v>2361368116786.749</v>
      </c>
      <c r="M4521" s="460">
        <f t="shared" si="189"/>
        <v>0.05</v>
      </c>
      <c r="N4521" s="464">
        <f t="shared" si="190"/>
        <v>188649</v>
      </c>
    </row>
    <row r="4522" spans="7:14" ht="11.25" customHeight="1" x14ac:dyDescent="0.3">
      <c r="G4522" s="459"/>
      <c r="H4522" s="459">
        <v>4515</v>
      </c>
      <c r="I4522" s="444">
        <f t="shared" ca="1" si="188"/>
        <v>2361368116786.749</v>
      </c>
      <c r="J4522" s="444">
        <f t="array" ref="J4522">IFERROR(INDEX('Retirement Calculator'!J:J,MATCH('Isaac 401k'!N4522,'Retirement Calculator'!A:A,0),0),0)</f>
        <v>0</v>
      </c>
      <c r="K4522" s="444">
        <f t="shared" ca="1" si="186"/>
        <v>9839033819.944788</v>
      </c>
      <c r="L4522" s="444">
        <f t="shared" ca="1" si="187"/>
        <v>2371207150606.6938</v>
      </c>
      <c r="M4522" s="460">
        <f t="shared" si="189"/>
        <v>0.05</v>
      </c>
      <c r="N4522" s="464">
        <f t="shared" si="190"/>
        <v>188680</v>
      </c>
    </row>
    <row r="4523" spans="7:14" ht="11.25" customHeight="1" x14ac:dyDescent="0.3">
      <c r="G4523" s="459"/>
      <c r="H4523" s="459">
        <v>4516</v>
      </c>
      <c r="I4523" s="444">
        <f t="shared" ca="1" si="188"/>
        <v>2371207150606.6938</v>
      </c>
      <c r="J4523" s="444">
        <f t="array" ref="J4523">IFERROR(INDEX('Retirement Calculator'!J:J,MATCH('Isaac 401k'!N4523,'Retirement Calculator'!A:A,0),0),0)</f>
        <v>0</v>
      </c>
      <c r="K4523" s="444">
        <f t="shared" ca="1" si="186"/>
        <v>9880029794.1945572</v>
      </c>
      <c r="L4523" s="444">
        <f t="shared" ca="1" si="187"/>
        <v>2381087180400.8882</v>
      </c>
      <c r="M4523" s="460">
        <f t="shared" si="189"/>
        <v>0.05</v>
      </c>
      <c r="N4523" s="464">
        <f t="shared" si="190"/>
        <v>188711</v>
      </c>
    </row>
    <row r="4524" spans="7:14" ht="11.25" customHeight="1" x14ac:dyDescent="0.3">
      <c r="G4524" s="459"/>
      <c r="H4524" s="459">
        <v>4517</v>
      </c>
      <c r="I4524" s="444">
        <f t="shared" ca="1" si="188"/>
        <v>2381087180400.8882</v>
      </c>
      <c r="J4524" s="444">
        <f t="array" ref="J4524">IFERROR(INDEX('Retirement Calculator'!J:J,MATCH('Isaac 401k'!N4524,'Retirement Calculator'!A:A,0),0),0)</f>
        <v>0</v>
      </c>
      <c r="K4524" s="444">
        <f t="shared" ca="1" si="186"/>
        <v>9921196585.0037003</v>
      </c>
      <c r="L4524" s="444">
        <f t="shared" ca="1" si="187"/>
        <v>2391008376985.8921</v>
      </c>
      <c r="M4524" s="460">
        <f t="shared" si="189"/>
        <v>0.05</v>
      </c>
      <c r="N4524" s="464">
        <f t="shared" si="190"/>
        <v>188741</v>
      </c>
    </row>
    <row r="4525" spans="7:14" ht="11.25" customHeight="1" x14ac:dyDescent="0.3">
      <c r="G4525" s="459"/>
      <c r="H4525" s="459">
        <v>4518</v>
      </c>
      <c r="I4525" s="444">
        <f t="shared" ca="1" si="188"/>
        <v>2391008376985.8921</v>
      </c>
      <c r="J4525" s="444">
        <f t="array" ref="J4525">IFERROR(INDEX('Retirement Calculator'!J:J,MATCH('Isaac 401k'!N4525,'Retirement Calculator'!A:A,0),0),0)</f>
        <v>0</v>
      </c>
      <c r="K4525" s="444">
        <f t="shared" ca="1" si="186"/>
        <v>9962534904.1078835</v>
      </c>
      <c r="L4525" s="444">
        <f t="shared" ca="1" si="187"/>
        <v>2400970911890</v>
      </c>
      <c r="M4525" s="460">
        <f t="shared" si="189"/>
        <v>0.05</v>
      </c>
      <c r="N4525" s="464">
        <f t="shared" si="190"/>
        <v>188772</v>
      </c>
    </row>
    <row r="4526" spans="7:14" ht="11.25" customHeight="1" x14ac:dyDescent="0.3">
      <c r="G4526" s="459"/>
      <c r="H4526" s="459">
        <v>4519</v>
      </c>
      <c r="I4526" s="444">
        <f t="shared" ca="1" si="188"/>
        <v>2400970911890</v>
      </c>
      <c r="J4526" s="444">
        <f t="array" ref="J4526">IFERROR(INDEX('Retirement Calculator'!J:J,MATCH('Isaac 401k'!N4526,'Retirement Calculator'!A:A,0),0),0)</f>
        <v>0</v>
      </c>
      <c r="K4526" s="444">
        <f t="shared" ca="1" si="186"/>
        <v>10004045466.208334</v>
      </c>
      <c r="L4526" s="444">
        <f t="shared" ca="1" si="187"/>
        <v>2410974957356.2085</v>
      </c>
      <c r="M4526" s="460">
        <f t="shared" si="189"/>
        <v>0.05</v>
      </c>
      <c r="N4526" s="464">
        <f t="shared" si="190"/>
        <v>188802</v>
      </c>
    </row>
    <row r="4527" spans="7:14" ht="11.25" customHeight="1" x14ac:dyDescent="0.3">
      <c r="G4527" s="459"/>
      <c r="H4527" s="459">
        <v>4520</v>
      </c>
      <c r="I4527" s="444">
        <f t="shared" ca="1" si="188"/>
        <v>2410974957356.2085</v>
      </c>
      <c r="J4527" s="444">
        <f t="array" ref="J4527">IFERROR(INDEX('Retirement Calculator'!J:J,MATCH('Isaac 401k'!N4527,'Retirement Calculator'!A:A,0),0),0)</f>
        <v>0</v>
      </c>
      <c r="K4527" s="444">
        <f t="shared" ca="1" si="186"/>
        <v>10045728988.984201</v>
      </c>
      <c r="L4527" s="444">
        <f t="shared" ca="1" si="187"/>
        <v>2421020686345.1929</v>
      </c>
      <c r="M4527" s="460">
        <f t="shared" si="189"/>
        <v>0.05</v>
      </c>
      <c r="N4527" s="464">
        <f t="shared" si="190"/>
        <v>188833</v>
      </c>
    </row>
    <row r="4528" spans="7:14" ht="11.25" customHeight="1" x14ac:dyDescent="0.3">
      <c r="G4528" s="459"/>
      <c r="H4528" s="459">
        <v>4521</v>
      </c>
      <c r="I4528" s="444">
        <f t="shared" ca="1" si="188"/>
        <v>2421020686345.1929</v>
      </c>
      <c r="J4528" s="444">
        <f t="array" ref="J4528">IFERROR(INDEX('Retirement Calculator'!J:J,MATCH('Isaac 401k'!N4528,'Retirement Calculator'!A:A,0),0),0)</f>
        <v>0</v>
      </c>
      <c r="K4528" s="444">
        <f t="shared" ca="1" si="186"/>
        <v>10087586193.104971</v>
      </c>
      <c r="L4528" s="444">
        <f t="shared" ca="1" si="187"/>
        <v>2431108272538.2979</v>
      </c>
      <c r="M4528" s="460">
        <f t="shared" si="189"/>
        <v>0.05</v>
      </c>
      <c r="N4528" s="464">
        <f t="shared" si="190"/>
        <v>188864</v>
      </c>
    </row>
    <row r="4529" spans="7:14" ht="11.25" customHeight="1" x14ac:dyDescent="0.3">
      <c r="G4529" s="459"/>
      <c r="H4529" s="459">
        <v>4522</v>
      </c>
      <c r="I4529" s="444">
        <f t="shared" ca="1" si="188"/>
        <v>2431108272538.2979</v>
      </c>
      <c r="J4529" s="444">
        <f t="array" ref="J4529">IFERROR(INDEX('Retirement Calculator'!J:J,MATCH('Isaac 401k'!N4529,'Retirement Calculator'!A:A,0),0),0)</f>
        <v>0</v>
      </c>
      <c r="K4529" s="444">
        <f t="shared" ca="1" si="186"/>
        <v>10129617802.242908</v>
      </c>
      <c r="L4529" s="444">
        <f t="shared" ca="1" si="187"/>
        <v>2441237890340.5405</v>
      </c>
      <c r="M4529" s="460">
        <f t="shared" si="189"/>
        <v>0.05</v>
      </c>
      <c r="N4529" s="464">
        <f t="shared" si="190"/>
        <v>188892</v>
      </c>
    </row>
    <row r="4530" spans="7:14" ht="11.25" customHeight="1" x14ac:dyDescent="0.3">
      <c r="G4530" s="459"/>
      <c r="H4530" s="459">
        <v>4523</v>
      </c>
      <c r="I4530" s="444">
        <f t="shared" ca="1" si="188"/>
        <v>2441237890340.5405</v>
      </c>
      <c r="J4530" s="444">
        <f t="array" ref="J4530">IFERROR(INDEX('Retirement Calculator'!J:J,MATCH('Isaac 401k'!N4530,'Retirement Calculator'!A:A,0),0),0)</f>
        <v>0</v>
      </c>
      <c r="K4530" s="444">
        <f t="shared" ca="1" si="186"/>
        <v>10171824543.085585</v>
      </c>
      <c r="L4530" s="444">
        <f t="shared" ca="1" si="187"/>
        <v>2451409714883.626</v>
      </c>
      <c r="M4530" s="460">
        <f t="shared" si="189"/>
        <v>0.05</v>
      </c>
      <c r="N4530" s="464">
        <f t="shared" si="190"/>
        <v>188923</v>
      </c>
    </row>
    <row r="4531" spans="7:14" ht="11.25" customHeight="1" x14ac:dyDescent="0.3">
      <c r="G4531" s="459"/>
      <c r="H4531" s="459">
        <v>4524</v>
      </c>
      <c r="I4531" s="444">
        <f t="shared" ca="1" si="188"/>
        <v>2451409714883.626</v>
      </c>
      <c r="J4531" s="444">
        <f t="array" ref="J4531">IFERROR(INDEX('Retirement Calculator'!J:J,MATCH('Isaac 401k'!N4531,'Retirement Calculator'!A:A,0),0),0)</f>
        <v>0</v>
      </c>
      <c r="K4531" s="444">
        <f t="shared" ca="1" si="186"/>
        <v>10214207145.348442</v>
      </c>
      <c r="L4531" s="444">
        <f t="shared" ca="1" si="187"/>
        <v>2461623922028.9746</v>
      </c>
      <c r="M4531" s="460">
        <f t="shared" si="189"/>
        <v>0.05</v>
      </c>
      <c r="N4531" s="464">
        <f t="shared" si="190"/>
        <v>188953</v>
      </c>
    </row>
    <row r="4532" spans="7:14" ht="11.25" customHeight="1" x14ac:dyDescent="0.3">
      <c r="G4532" s="459"/>
      <c r="H4532" s="459">
        <v>4525</v>
      </c>
      <c r="I4532" s="444">
        <f t="shared" ca="1" si="188"/>
        <v>2461623922028.9746</v>
      </c>
      <c r="J4532" s="444">
        <f t="array" ref="J4532">IFERROR(INDEX('Retirement Calculator'!J:J,MATCH('Isaac 401k'!N4532,'Retirement Calculator'!A:A,0),0),0)</f>
        <v>0</v>
      </c>
      <c r="K4532" s="444">
        <f t="shared" ca="1" si="186"/>
        <v>10256766341.787394</v>
      </c>
      <c r="L4532" s="444">
        <f t="shared" ca="1" si="187"/>
        <v>2471880688370.7622</v>
      </c>
      <c r="M4532" s="460">
        <f t="shared" si="189"/>
        <v>0.05</v>
      </c>
      <c r="N4532" s="464">
        <f t="shared" si="190"/>
        <v>188984</v>
      </c>
    </row>
    <row r="4533" spans="7:14" ht="11.25" customHeight="1" x14ac:dyDescent="0.3">
      <c r="G4533" s="459"/>
      <c r="H4533" s="459">
        <v>4526</v>
      </c>
      <c r="I4533" s="444">
        <f t="shared" ca="1" si="188"/>
        <v>2471880688370.7622</v>
      </c>
      <c r="J4533" s="444">
        <f t="array" ref="J4533">IFERROR(INDEX('Retirement Calculator'!J:J,MATCH('Isaac 401k'!N4533,'Retirement Calculator'!A:A,0),0),0)</f>
        <v>0</v>
      </c>
      <c r="K4533" s="444">
        <f t="shared" ca="1" si="186"/>
        <v>10299502868.21151</v>
      </c>
      <c r="L4533" s="444">
        <f t="shared" ca="1" si="187"/>
        <v>2482180191238.9736</v>
      </c>
      <c r="M4533" s="460">
        <f t="shared" si="189"/>
        <v>0.05</v>
      </c>
      <c r="N4533" s="464">
        <f t="shared" si="190"/>
        <v>189014</v>
      </c>
    </row>
    <row r="4534" spans="7:14" ht="11.25" customHeight="1" x14ac:dyDescent="0.3">
      <c r="G4534" s="459"/>
      <c r="H4534" s="459">
        <v>4527</v>
      </c>
      <c r="I4534" s="444">
        <f t="shared" ca="1" si="188"/>
        <v>2482180191238.9736</v>
      </c>
      <c r="J4534" s="444">
        <f t="array" ref="J4534">IFERROR(INDEX('Retirement Calculator'!J:J,MATCH('Isaac 401k'!N4534,'Retirement Calculator'!A:A,0),0),0)</f>
        <v>0</v>
      </c>
      <c r="K4534" s="444">
        <f t="shared" ca="1" si="186"/>
        <v>10342417463.495724</v>
      </c>
      <c r="L4534" s="444">
        <f t="shared" ca="1" si="187"/>
        <v>2492522608702.4692</v>
      </c>
      <c r="M4534" s="460">
        <f t="shared" si="189"/>
        <v>0.05</v>
      </c>
      <c r="N4534" s="464">
        <f t="shared" si="190"/>
        <v>189045</v>
      </c>
    </row>
    <row r="4535" spans="7:14" ht="11.25" customHeight="1" x14ac:dyDescent="0.3">
      <c r="G4535" s="459"/>
      <c r="H4535" s="459">
        <v>4528</v>
      </c>
      <c r="I4535" s="444">
        <f t="shared" ca="1" si="188"/>
        <v>2492522608702.4692</v>
      </c>
      <c r="J4535" s="444">
        <f t="array" ref="J4535">IFERROR(INDEX('Retirement Calculator'!J:J,MATCH('Isaac 401k'!N4535,'Retirement Calculator'!A:A,0),0),0)</f>
        <v>0</v>
      </c>
      <c r="K4535" s="444">
        <f t="shared" ca="1" si="186"/>
        <v>10385510869.593622</v>
      </c>
      <c r="L4535" s="444">
        <f t="shared" ca="1" si="187"/>
        <v>2502908119572.063</v>
      </c>
      <c r="M4535" s="460">
        <f t="shared" si="189"/>
        <v>0.05</v>
      </c>
      <c r="N4535" s="464">
        <f t="shared" si="190"/>
        <v>189076</v>
      </c>
    </row>
    <row r="4536" spans="7:14" ht="11.25" customHeight="1" x14ac:dyDescent="0.3">
      <c r="G4536" s="459"/>
      <c r="H4536" s="459">
        <v>4529</v>
      </c>
      <c r="I4536" s="444">
        <f t="shared" ca="1" si="188"/>
        <v>2502908119572.063</v>
      </c>
      <c r="J4536" s="444">
        <f t="array" ref="J4536">IFERROR(INDEX('Retirement Calculator'!J:J,MATCH('Isaac 401k'!N4536,'Retirement Calculator'!A:A,0),0),0)</f>
        <v>0</v>
      </c>
      <c r="K4536" s="444">
        <f t="shared" ca="1" si="186"/>
        <v>10428783831.550262</v>
      </c>
      <c r="L4536" s="444">
        <f t="shared" ca="1" si="187"/>
        <v>2513336903403.6133</v>
      </c>
      <c r="M4536" s="460">
        <f t="shared" si="189"/>
        <v>0.05</v>
      </c>
      <c r="N4536" s="464">
        <f t="shared" si="190"/>
        <v>189106</v>
      </c>
    </row>
    <row r="4537" spans="7:14" ht="11.25" customHeight="1" x14ac:dyDescent="0.3">
      <c r="G4537" s="459"/>
      <c r="H4537" s="459">
        <v>4530</v>
      </c>
      <c r="I4537" s="444">
        <f t="shared" ca="1" si="188"/>
        <v>2513336903403.6133</v>
      </c>
      <c r="J4537" s="444">
        <f t="array" ref="J4537">IFERROR(INDEX('Retirement Calculator'!J:J,MATCH('Isaac 401k'!N4537,'Retirement Calculator'!A:A,0),0),0)</f>
        <v>0</v>
      </c>
      <c r="K4537" s="444">
        <f t="shared" ca="1" si="186"/>
        <v>10472237097.515055</v>
      </c>
      <c r="L4537" s="444">
        <f t="shared" ca="1" si="187"/>
        <v>2523809140501.1284</v>
      </c>
      <c r="M4537" s="460">
        <f t="shared" si="189"/>
        <v>0.05</v>
      </c>
      <c r="N4537" s="464">
        <f t="shared" si="190"/>
        <v>189137</v>
      </c>
    </row>
    <row r="4538" spans="7:14" ht="11.25" customHeight="1" x14ac:dyDescent="0.3">
      <c r="G4538" s="459"/>
      <c r="H4538" s="459">
        <v>4531</v>
      </c>
      <c r="I4538" s="444">
        <f t="shared" ca="1" si="188"/>
        <v>2523809140501.1284</v>
      </c>
      <c r="J4538" s="444">
        <f t="array" ref="J4538">IFERROR(INDEX('Retirement Calculator'!J:J,MATCH('Isaac 401k'!N4538,'Retirement Calculator'!A:A,0),0),0)</f>
        <v>0</v>
      </c>
      <c r="K4538" s="444">
        <f t="shared" ca="1" si="186"/>
        <v>10515871418.754702</v>
      </c>
      <c r="L4538" s="444">
        <f t="shared" ca="1" si="187"/>
        <v>2534325011919.8833</v>
      </c>
      <c r="M4538" s="460">
        <f t="shared" si="189"/>
        <v>0.05</v>
      </c>
      <c r="N4538" s="464">
        <f t="shared" si="190"/>
        <v>189167</v>
      </c>
    </row>
    <row r="4539" spans="7:14" ht="11.25" customHeight="1" x14ac:dyDescent="0.3">
      <c r="G4539" s="459"/>
      <c r="H4539" s="459">
        <v>4532</v>
      </c>
      <c r="I4539" s="444">
        <f t="shared" ca="1" si="188"/>
        <v>2534325011919.8833</v>
      </c>
      <c r="J4539" s="444">
        <f t="array" ref="J4539">IFERROR(INDEX('Retirement Calculator'!J:J,MATCH('Isaac 401k'!N4539,'Retirement Calculator'!A:A,0),0),0)</f>
        <v>0</v>
      </c>
      <c r="K4539" s="444">
        <f t="shared" ca="1" si="186"/>
        <v>10559687549.66618</v>
      </c>
      <c r="L4539" s="444">
        <f t="shared" ca="1" si="187"/>
        <v>2544884699469.5493</v>
      </c>
      <c r="M4539" s="460">
        <f t="shared" si="189"/>
        <v>0.05</v>
      </c>
      <c r="N4539" s="464">
        <f t="shared" si="190"/>
        <v>189198</v>
      </c>
    </row>
    <row r="4540" spans="7:14" ht="11.25" customHeight="1" x14ac:dyDescent="0.3">
      <c r="G4540" s="459"/>
      <c r="H4540" s="459">
        <v>4533</v>
      </c>
      <c r="I4540" s="444">
        <f t="shared" ca="1" si="188"/>
        <v>2544884699469.5493</v>
      </c>
      <c r="J4540" s="444">
        <f t="array" ref="J4540">IFERROR(INDEX('Retirement Calculator'!J:J,MATCH('Isaac 401k'!N4540,'Retirement Calculator'!A:A,0),0),0)</f>
        <v>0</v>
      </c>
      <c r="K4540" s="444">
        <f t="shared" ca="1" si="186"/>
        <v>10603686247.789789</v>
      </c>
      <c r="L4540" s="444">
        <f t="shared" ca="1" si="187"/>
        <v>2555488385717.3389</v>
      </c>
      <c r="M4540" s="460">
        <f t="shared" si="189"/>
        <v>0.05</v>
      </c>
      <c r="N4540" s="464">
        <f t="shared" si="190"/>
        <v>189229</v>
      </c>
    </row>
    <row r="4541" spans="7:14" ht="11.25" customHeight="1" x14ac:dyDescent="0.3">
      <c r="G4541" s="459"/>
      <c r="H4541" s="459">
        <v>4534</v>
      </c>
      <c r="I4541" s="444">
        <f t="shared" ca="1" si="188"/>
        <v>2555488385717.3389</v>
      </c>
      <c r="J4541" s="444">
        <f t="array" ref="J4541">IFERROR(INDEX('Retirement Calculator'!J:J,MATCH('Isaac 401k'!N4541,'Retirement Calculator'!A:A,0),0),0)</f>
        <v>0</v>
      </c>
      <c r="K4541" s="444">
        <f t="shared" ca="1" si="186"/>
        <v>10647868273.822245</v>
      </c>
      <c r="L4541" s="444">
        <f t="shared" ca="1" si="187"/>
        <v>2566136253991.1611</v>
      </c>
      <c r="M4541" s="460">
        <f t="shared" si="189"/>
        <v>0.05</v>
      </c>
      <c r="N4541" s="464">
        <f t="shared" si="190"/>
        <v>189257</v>
      </c>
    </row>
    <row r="4542" spans="7:14" ht="11.25" customHeight="1" x14ac:dyDescent="0.3">
      <c r="G4542" s="459"/>
      <c r="H4542" s="459">
        <v>4535</v>
      </c>
      <c r="I4542" s="444">
        <f t="shared" ca="1" si="188"/>
        <v>2566136253991.1611</v>
      </c>
      <c r="J4542" s="444">
        <f t="array" ref="J4542">IFERROR(INDEX('Retirement Calculator'!J:J,MATCH('Isaac 401k'!N4542,'Retirement Calculator'!A:A,0),0),0)</f>
        <v>0</v>
      </c>
      <c r="K4542" s="444">
        <f t="shared" ca="1" si="186"/>
        <v>10692234391.629837</v>
      </c>
      <c r="L4542" s="444">
        <f t="shared" ca="1" si="187"/>
        <v>2576828488382.791</v>
      </c>
      <c r="M4542" s="460">
        <f t="shared" si="189"/>
        <v>0.05</v>
      </c>
      <c r="N4542" s="464">
        <f t="shared" si="190"/>
        <v>189288</v>
      </c>
    </row>
    <row r="4543" spans="7:14" ht="11.25" customHeight="1" x14ac:dyDescent="0.3">
      <c r="G4543" s="459"/>
      <c r="H4543" s="459">
        <v>4536</v>
      </c>
      <c r="I4543" s="444">
        <f t="shared" ca="1" si="188"/>
        <v>2576828488382.791</v>
      </c>
      <c r="J4543" s="444">
        <f t="array" ref="J4543">IFERROR(INDEX('Retirement Calculator'!J:J,MATCH('Isaac 401k'!N4543,'Retirement Calculator'!A:A,0),0),0)</f>
        <v>0</v>
      </c>
      <c r="K4543" s="444">
        <f t="shared" ca="1" si="186"/>
        <v>10736785368.261629</v>
      </c>
      <c r="L4543" s="444">
        <f t="shared" ca="1" si="187"/>
        <v>2587565273751.0527</v>
      </c>
      <c r="M4543" s="460">
        <f t="shared" si="189"/>
        <v>0.05</v>
      </c>
      <c r="N4543" s="464">
        <f t="shared" si="190"/>
        <v>189318</v>
      </c>
    </row>
    <row r="4544" spans="7:14" ht="11.25" customHeight="1" x14ac:dyDescent="0.3">
      <c r="G4544" s="459"/>
      <c r="H4544" s="459">
        <v>4537</v>
      </c>
      <c r="I4544" s="444">
        <f t="shared" ca="1" si="188"/>
        <v>2587565273751.0527</v>
      </c>
      <c r="J4544" s="444">
        <f t="array" ref="J4544">IFERROR(INDEX('Retirement Calculator'!J:J,MATCH('Isaac 401k'!N4544,'Retirement Calculator'!A:A,0),0),0)</f>
        <v>0</v>
      </c>
      <c r="K4544" s="444">
        <f t="shared" ca="1" si="186"/>
        <v>10781521973.962719</v>
      </c>
      <c r="L4544" s="444">
        <f t="shared" ca="1" si="187"/>
        <v>2598346795725.0156</v>
      </c>
      <c r="M4544" s="460">
        <f t="shared" si="189"/>
        <v>0.05</v>
      </c>
      <c r="N4544" s="464">
        <f t="shared" si="190"/>
        <v>189349</v>
      </c>
    </row>
    <row r="4545" spans="7:14" ht="11.25" customHeight="1" x14ac:dyDescent="0.3">
      <c r="G4545" s="459"/>
      <c r="H4545" s="459">
        <v>4538</v>
      </c>
      <c r="I4545" s="444">
        <f t="shared" ca="1" si="188"/>
        <v>2598346795725.0156</v>
      </c>
      <c r="J4545" s="444">
        <f t="array" ref="J4545">IFERROR(INDEX('Retirement Calculator'!J:J,MATCH('Isaac 401k'!N4545,'Retirement Calculator'!A:A,0),0),0)</f>
        <v>0</v>
      </c>
      <c r="K4545" s="444">
        <f t="shared" ca="1" si="186"/>
        <v>10826444982.187565</v>
      </c>
      <c r="L4545" s="444">
        <f t="shared" ca="1" si="187"/>
        <v>2609173240707.2031</v>
      </c>
      <c r="M4545" s="460">
        <f t="shared" si="189"/>
        <v>0.05</v>
      </c>
      <c r="N4545" s="464">
        <f t="shared" si="190"/>
        <v>189379</v>
      </c>
    </row>
    <row r="4546" spans="7:14" ht="11.25" customHeight="1" x14ac:dyDescent="0.3">
      <c r="G4546" s="459"/>
      <c r="H4546" s="459">
        <v>4539</v>
      </c>
      <c r="I4546" s="444">
        <f t="shared" ca="1" si="188"/>
        <v>2609173240707.2031</v>
      </c>
      <c r="J4546" s="444">
        <f t="array" ref="J4546">IFERROR(INDEX('Retirement Calculator'!J:J,MATCH('Isaac 401k'!N4546,'Retirement Calculator'!A:A,0),0),0)</f>
        <v>0</v>
      </c>
      <c r="K4546" s="444">
        <f t="shared" ca="1" si="186"/>
        <v>10871555169.613346</v>
      </c>
      <c r="L4546" s="444">
        <f t="shared" ca="1" si="187"/>
        <v>2620044795876.8164</v>
      </c>
      <c r="M4546" s="460">
        <f t="shared" si="189"/>
        <v>0.05</v>
      </c>
      <c r="N4546" s="464">
        <f t="shared" si="190"/>
        <v>189410</v>
      </c>
    </row>
    <row r="4547" spans="7:14" ht="11.25" customHeight="1" x14ac:dyDescent="0.3">
      <c r="G4547" s="459"/>
      <c r="H4547" s="459">
        <v>4540</v>
      </c>
      <c r="I4547" s="444">
        <f t="shared" ca="1" si="188"/>
        <v>2620044795876.8164</v>
      </c>
      <c r="J4547" s="444">
        <f t="array" ref="J4547">IFERROR(INDEX('Retirement Calculator'!J:J,MATCH('Isaac 401k'!N4547,'Retirement Calculator'!A:A,0),0),0)</f>
        <v>0</v>
      </c>
      <c r="K4547" s="444">
        <f t="shared" ca="1" si="186"/>
        <v>10916853316.153402</v>
      </c>
      <c r="L4547" s="444">
        <f t="shared" ca="1" si="187"/>
        <v>2630961649192.9697</v>
      </c>
      <c r="M4547" s="460">
        <f t="shared" si="189"/>
        <v>0.05</v>
      </c>
      <c r="N4547" s="464">
        <f t="shared" si="190"/>
        <v>189441</v>
      </c>
    </row>
    <row r="4548" spans="7:14" ht="11.25" customHeight="1" x14ac:dyDescent="0.3">
      <c r="G4548" s="459"/>
      <c r="H4548" s="459">
        <v>4541</v>
      </c>
      <c r="I4548" s="444">
        <f t="shared" ca="1" si="188"/>
        <v>2630961649192.9697</v>
      </c>
      <c r="J4548" s="444">
        <f t="array" ref="J4548">IFERROR(INDEX('Retirement Calculator'!J:J,MATCH('Isaac 401k'!N4548,'Retirement Calculator'!A:A,0),0),0)</f>
        <v>0</v>
      </c>
      <c r="K4548" s="444">
        <f t="shared" ca="1" si="186"/>
        <v>10962340204.970707</v>
      </c>
      <c r="L4548" s="444">
        <f t="shared" ca="1" si="187"/>
        <v>2641923989397.9404</v>
      </c>
      <c r="M4548" s="460">
        <f t="shared" si="189"/>
        <v>0.05</v>
      </c>
      <c r="N4548" s="464">
        <f t="shared" si="190"/>
        <v>189471</v>
      </c>
    </row>
    <row r="4549" spans="7:14" ht="11.25" customHeight="1" x14ac:dyDescent="0.3">
      <c r="G4549" s="459"/>
      <c r="H4549" s="459">
        <v>4542</v>
      </c>
      <c r="I4549" s="444">
        <f t="shared" ca="1" si="188"/>
        <v>2641923989397.9404</v>
      </c>
      <c r="J4549" s="444">
        <f t="array" ref="J4549">IFERROR(INDEX('Retirement Calculator'!J:J,MATCH('Isaac 401k'!N4549,'Retirement Calculator'!A:A,0),0),0)</f>
        <v>0</v>
      </c>
      <c r="K4549" s="444">
        <f t="shared" ca="1" si="186"/>
        <v>11008016622.491419</v>
      </c>
      <c r="L4549" s="444">
        <f t="shared" ca="1" si="187"/>
        <v>2652932006020.4316</v>
      </c>
      <c r="M4549" s="460">
        <f t="shared" si="189"/>
        <v>0.05</v>
      </c>
      <c r="N4549" s="464">
        <f t="shared" si="190"/>
        <v>189502</v>
      </c>
    </row>
    <row r="4550" spans="7:14" ht="11.25" customHeight="1" x14ac:dyDescent="0.3">
      <c r="G4550" s="459"/>
      <c r="H4550" s="459">
        <v>4543</v>
      </c>
      <c r="I4550" s="444">
        <f t="shared" ca="1" si="188"/>
        <v>2652932006020.4316</v>
      </c>
      <c r="J4550" s="444">
        <f t="array" ref="J4550">IFERROR(INDEX('Retirement Calculator'!J:J,MATCH('Isaac 401k'!N4550,'Retirement Calculator'!A:A,0),0),0)</f>
        <v>0</v>
      </c>
      <c r="K4550" s="444">
        <f t="shared" ca="1" si="186"/>
        <v>11053883358.418465</v>
      </c>
      <c r="L4550" s="444">
        <f t="shared" ca="1" si="187"/>
        <v>2663985889378.8501</v>
      </c>
      <c r="M4550" s="460">
        <f t="shared" si="189"/>
        <v>0.05</v>
      </c>
      <c r="N4550" s="464">
        <f t="shared" si="190"/>
        <v>189532</v>
      </c>
    </row>
    <row r="4551" spans="7:14" ht="11.25" customHeight="1" x14ac:dyDescent="0.3">
      <c r="G4551" s="459"/>
      <c r="H4551" s="459">
        <v>4544</v>
      </c>
      <c r="I4551" s="444">
        <f t="shared" ca="1" si="188"/>
        <v>2663985889378.8501</v>
      </c>
      <c r="J4551" s="444">
        <f t="array" ref="J4551">IFERROR(INDEX('Retirement Calculator'!J:J,MATCH('Isaac 401k'!N4551,'Retirement Calculator'!A:A,0),0),0)</f>
        <v>0</v>
      </c>
      <c r="K4551" s="444">
        <f t="shared" ca="1" si="186"/>
        <v>11099941205.745209</v>
      </c>
      <c r="L4551" s="444">
        <f t="shared" ca="1" si="187"/>
        <v>2675085830584.5952</v>
      </c>
      <c r="M4551" s="460">
        <f t="shared" si="189"/>
        <v>0.05</v>
      </c>
      <c r="N4551" s="464">
        <f t="shared" si="190"/>
        <v>189563</v>
      </c>
    </row>
    <row r="4552" spans="7:14" ht="11.25" customHeight="1" x14ac:dyDescent="0.3">
      <c r="G4552" s="459"/>
      <c r="H4552" s="459">
        <v>4545</v>
      </c>
      <c r="I4552" s="444">
        <f t="shared" ca="1" si="188"/>
        <v>2675085830584.5952</v>
      </c>
      <c r="J4552" s="444">
        <f t="array" ref="J4552">IFERROR(INDEX('Retirement Calculator'!J:J,MATCH('Isaac 401k'!N4552,'Retirement Calculator'!A:A,0),0),0)</f>
        <v>0</v>
      </c>
      <c r="K4552" s="444">
        <f t="shared" ca="1" si="186"/>
        <v>11146190960.769146</v>
      </c>
      <c r="L4552" s="444">
        <f t="shared" ca="1" si="187"/>
        <v>2686232021545.3643</v>
      </c>
      <c r="M4552" s="460">
        <f t="shared" si="189"/>
        <v>0.05</v>
      </c>
      <c r="N4552" s="464">
        <f t="shared" si="190"/>
        <v>189594</v>
      </c>
    </row>
    <row r="4553" spans="7:14" ht="11.25" customHeight="1" x14ac:dyDescent="0.3">
      <c r="G4553" s="459"/>
      <c r="H4553" s="459">
        <v>4546</v>
      </c>
      <c r="I4553" s="444">
        <f t="shared" ca="1" si="188"/>
        <v>2686232021545.3643</v>
      </c>
      <c r="J4553" s="444">
        <f t="array" ref="J4553">IFERROR(INDEX('Retirement Calculator'!J:J,MATCH('Isaac 401k'!N4553,'Retirement Calculator'!A:A,0),0),0)</f>
        <v>0</v>
      </c>
      <c r="K4553" s="444">
        <f t="shared" ca="1" si="186"/>
        <v>11192633423.105684</v>
      </c>
      <c r="L4553" s="444">
        <f t="shared" ca="1" si="187"/>
        <v>2697424654968.4697</v>
      </c>
      <c r="M4553" s="460">
        <f t="shared" si="189"/>
        <v>0.05</v>
      </c>
      <c r="N4553" s="464">
        <f t="shared" si="190"/>
        <v>189622</v>
      </c>
    </row>
    <row r="4554" spans="7:14" ht="11.25" customHeight="1" x14ac:dyDescent="0.3">
      <c r="G4554" s="459"/>
      <c r="H4554" s="459">
        <v>4547</v>
      </c>
      <c r="I4554" s="444">
        <f t="shared" ca="1" si="188"/>
        <v>2697424654968.4697</v>
      </c>
      <c r="J4554" s="444">
        <f t="array" ref="J4554">IFERROR(INDEX('Retirement Calculator'!J:J,MATCH('Isaac 401k'!N4554,'Retirement Calculator'!A:A,0),0),0)</f>
        <v>0</v>
      </c>
      <c r="K4554" s="444">
        <f t="shared" ca="1" si="186"/>
        <v>11239269395.701958</v>
      </c>
      <c r="L4554" s="444">
        <f t="shared" ca="1" si="187"/>
        <v>2708663924364.1719</v>
      </c>
      <c r="M4554" s="460">
        <f t="shared" si="189"/>
        <v>0.05</v>
      </c>
      <c r="N4554" s="464">
        <f t="shared" si="190"/>
        <v>189653</v>
      </c>
    </row>
    <row r="4555" spans="7:14" ht="11.25" customHeight="1" x14ac:dyDescent="0.3">
      <c r="G4555" s="459"/>
      <c r="H4555" s="459">
        <v>4548</v>
      </c>
      <c r="I4555" s="444">
        <f t="shared" ca="1" si="188"/>
        <v>2708663924364.1719</v>
      </c>
      <c r="J4555" s="444">
        <f t="array" ref="J4555">IFERROR(INDEX('Retirement Calculator'!J:J,MATCH('Isaac 401k'!N4555,'Retirement Calculator'!A:A,0),0),0)</f>
        <v>0</v>
      </c>
      <c r="K4555" s="444">
        <f t="shared" ca="1" si="186"/>
        <v>11286099684.850716</v>
      </c>
      <c r="L4555" s="444">
        <f t="shared" ca="1" si="187"/>
        <v>2719950024049.0225</v>
      </c>
      <c r="M4555" s="460">
        <f t="shared" si="189"/>
        <v>0.05</v>
      </c>
      <c r="N4555" s="464">
        <f t="shared" si="190"/>
        <v>189683</v>
      </c>
    </row>
    <row r="4556" spans="7:14" ht="11.25" customHeight="1" x14ac:dyDescent="0.3">
      <c r="G4556" s="459"/>
      <c r="H4556" s="459">
        <v>4549</v>
      </c>
      <c r="I4556" s="444">
        <f t="shared" ca="1" si="188"/>
        <v>2719950024049.0225</v>
      </c>
      <c r="J4556" s="444">
        <f t="array" ref="J4556">IFERROR(INDEX('Retirement Calculator'!J:J,MATCH('Isaac 401k'!N4556,'Retirement Calculator'!A:A,0),0),0)</f>
        <v>0</v>
      </c>
      <c r="K4556" s="444">
        <f t="shared" ca="1" si="186"/>
        <v>11333125100.20426</v>
      </c>
      <c r="L4556" s="444">
        <f t="shared" ca="1" si="187"/>
        <v>2731283149149.2266</v>
      </c>
      <c r="M4556" s="460">
        <f t="shared" si="189"/>
        <v>0.05</v>
      </c>
      <c r="N4556" s="464">
        <f t="shared" si="190"/>
        <v>189714</v>
      </c>
    </row>
    <row r="4557" spans="7:14" ht="11.25" customHeight="1" x14ac:dyDescent="0.3">
      <c r="G4557" s="459"/>
      <c r="H4557" s="459">
        <v>4550</v>
      </c>
      <c r="I4557" s="444">
        <f t="shared" ca="1" si="188"/>
        <v>2731283149149.2266</v>
      </c>
      <c r="J4557" s="444">
        <f t="array" ref="J4557">IFERROR(INDEX('Retirement Calculator'!J:J,MATCH('Isaac 401k'!N4557,'Retirement Calculator'!A:A,0),0),0)</f>
        <v>0</v>
      </c>
      <c r="K4557" s="444">
        <f t="shared" ca="1" si="186"/>
        <v>11380346454.788445</v>
      </c>
      <c r="L4557" s="444">
        <f t="shared" ca="1" si="187"/>
        <v>2742663495604.0151</v>
      </c>
      <c r="M4557" s="460">
        <f t="shared" si="189"/>
        <v>0.05</v>
      </c>
      <c r="N4557" s="464">
        <f t="shared" si="190"/>
        <v>189744</v>
      </c>
    </row>
    <row r="4558" spans="7:14" ht="11.25" customHeight="1" x14ac:dyDescent="0.3">
      <c r="G4558" s="459"/>
      <c r="H4558" s="459">
        <v>4551</v>
      </c>
      <c r="I4558" s="444">
        <f t="shared" ca="1" si="188"/>
        <v>2742663495604.0151</v>
      </c>
      <c r="J4558" s="444">
        <f t="array" ref="J4558">IFERROR(INDEX('Retirement Calculator'!J:J,MATCH('Isaac 401k'!N4558,'Retirement Calculator'!A:A,0),0),0)</f>
        <v>0</v>
      </c>
      <c r="K4558" s="444">
        <f t="shared" ca="1" si="186"/>
        <v>11427764565.016729</v>
      </c>
      <c r="L4558" s="444">
        <f t="shared" ca="1" si="187"/>
        <v>2754091260169.0317</v>
      </c>
      <c r="M4558" s="460">
        <f t="shared" si="189"/>
        <v>0.05</v>
      </c>
      <c r="N4558" s="464">
        <f t="shared" si="190"/>
        <v>189775</v>
      </c>
    </row>
    <row r="4559" spans="7:14" ht="11.25" customHeight="1" x14ac:dyDescent="0.3">
      <c r="G4559" s="459"/>
      <c r="H4559" s="459">
        <v>4552</v>
      </c>
      <c r="I4559" s="444">
        <f t="shared" ca="1" si="188"/>
        <v>2754091260169.0317</v>
      </c>
      <c r="J4559" s="444">
        <f t="array" ref="J4559">IFERROR(INDEX('Retirement Calculator'!J:J,MATCH('Isaac 401k'!N4559,'Retirement Calculator'!A:A,0),0),0)</f>
        <v>0</v>
      </c>
      <c r="K4559" s="444">
        <f t="shared" ca="1" si="186"/>
        <v>11475380250.704298</v>
      </c>
      <c r="L4559" s="444">
        <f t="shared" ca="1" si="187"/>
        <v>2765566640419.7358</v>
      </c>
      <c r="M4559" s="460">
        <f t="shared" si="189"/>
        <v>0.05</v>
      </c>
      <c r="N4559" s="464">
        <f t="shared" si="190"/>
        <v>189806</v>
      </c>
    </row>
    <row r="4560" spans="7:14" ht="11.25" customHeight="1" x14ac:dyDescent="0.3">
      <c r="G4560" s="459"/>
      <c r="H4560" s="459">
        <v>4553</v>
      </c>
      <c r="I4560" s="444">
        <f t="shared" ca="1" si="188"/>
        <v>2765566640419.7358</v>
      </c>
      <c r="J4560" s="444">
        <f t="array" ref="J4560">IFERROR(INDEX('Retirement Calculator'!J:J,MATCH('Isaac 401k'!N4560,'Retirement Calculator'!A:A,0),0),0)</f>
        <v>0</v>
      </c>
      <c r="K4560" s="444">
        <f t="shared" ca="1" si="186"/>
        <v>11523194335.082233</v>
      </c>
      <c r="L4560" s="444">
        <f t="shared" ca="1" si="187"/>
        <v>2777089834754.8179</v>
      </c>
      <c r="M4560" s="460">
        <f t="shared" si="189"/>
        <v>0.05</v>
      </c>
      <c r="N4560" s="464">
        <f t="shared" si="190"/>
        <v>189836</v>
      </c>
    </row>
    <row r="4561" spans="7:14" ht="11.25" customHeight="1" x14ac:dyDescent="0.3">
      <c r="G4561" s="459"/>
      <c r="H4561" s="459">
        <v>4554</v>
      </c>
      <c r="I4561" s="444">
        <f t="shared" ca="1" si="188"/>
        <v>2777089834754.8179</v>
      </c>
      <c r="J4561" s="444">
        <f t="array" ref="J4561">IFERROR(INDEX('Retirement Calculator'!J:J,MATCH('Isaac 401k'!N4561,'Retirement Calculator'!A:A,0),0),0)</f>
        <v>0</v>
      </c>
      <c r="K4561" s="444">
        <f t="shared" ca="1" si="186"/>
        <v>11571207644.811741</v>
      </c>
      <c r="L4561" s="444">
        <f t="shared" ca="1" si="187"/>
        <v>2788661042399.6294</v>
      </c>
      <c r="M4561" s="460">
        <f t="shared" si="189"/>
        <v>0.05</v>
      </c>
      <c r="N4561" s="464">
        <f t="shared" si="190"/>
        <v>189867</v>
      </c>
    </row>
    <row r="4562" spans="7:14" ht="11.25" customHeight="1" x14ac:dyDescent="0.3">
      <c r="G4562" s="459"/>
      <c r="H4562" s="459">
        <v>4555</v>
      </c>
      <c r="I4562" s="444">
        <f t="shared" ca="1" si="188"/>
        <v>2788661042399.6294</v>
      </c>
      <c r="J4562" s="444">
        <f t="array" ref="J4562">IFERROR(INDEX('Retirement Calculator'!J:J,MATCH('Isaac 401k'!N4562,'Retirement Calculator'!A:A,0),0),0)</f>
        <v>0</v>
      </c>
      <c r="K4562" s="444">
        <f t="shared" ca="1" si="186"/>
        <v>11619421009.998455</v>
      </c>
      <c r="L4562" s="444">
        <f t="shared" ca="1" si="187"/>
        <v>2800280463409.6279</v>
      </c>
      <c r="M4562" s="460">
        <f t="shared" si="189"/>
        <v>0.05</v>
      </c>
      <c r="N4562" s="464">
        <f t="shared" si="190"/>
        <v>189897</v>
      </c>
    </row>
    <row r="4563" spans="7:14" ht="11.25" customHeight="1" x14ac:dyDescent="0.3">
      <c r="G4563" s="459"/>
      <c r="H4563" s="459">
        <v>4556</v>
      </c>
      <c r="I4563" s="444">
        <f t="shared" ca="1" si="188"/>
        <v>2800280463409.6279</v>
      </c>
      <c r="J4563" s="444">
        <f t="array" ref="J4563">IFERROR(INDEX('Retirement Calculator'!J:J,MATCH('Isaac 401k'!N4563,'Retirement Calculator'!A:A,0),0),0)</f>
        <v>0</v>
      </c>
      <c r="K4563" s="444">
        <f t="shared" ca="1" si="186"/>
        <v>11667835264.206783</v>
      </c>
      <c r="L4563" s="444">
        <f t="shared" ca="1" si="187"/>
        <v>2811948298673.8345</v>
      </c>
      <c r="M4563" s="460">
        <f t="shared" si="189"/>
        <v>0.05</v>
      </c>
      <c r="N4563" s="464">
        <f t="shared" si="190"/>
        <v>189928</v>
      </c>
    </row>
    <row r="4564" spans="7:14" ht="11.25" customHeight="1" x14ac:dyDescent="0.3">
      <c r="G4564" s="459"/>
      <c r="H4564" s="459">
        <v>4557</v>
      </c>
      <c r="I4564" s="444">
        <f t="shared" ca="1" si="188"/>
        <v>2811948298673.8345</v>
      </c>
      <c r="J4564" s="444">
        <f t="array" ref="J4564">IFERROR(INDEX('Retirement Calculator'!J:J,MATCH('Isaac 401k'!N4564,'Retirement Calculator'!A:A,0),0),0)</f>
        <v>0</v>
      </c>
      <c r="K4564" s="444">
        <f t="shared" ca="1" si="186"/>
        <v>11716451244.47431</v>
      </c>
      <c r="L4564" s="444">
        <f t="shared" ca="1" si="187"/>
        <v>2823664749918.3086</v>
      </c>
      <c r="M4564" s="460">
        <f t="shared" si="189"/>
        <v>0.05</v>
      </c>
      <c r="N4564" s="464">
        <f t="shared" si="190"/>
        <v>189959</v>
      </c>
    </row>
    <row r="4565" spans="7:14" ht="11.25" customHeight="1" x14ac:dyDescent="0.3">
      <c r="G4565" s="459"/>
      <c r="H4565" s="459">
        <v>4558</v>
      </c>
      <c r="I4565" s="444">
        <f t="shared" ca="1" si="188"/>
        <v>2823664749918.3086</v>
      </c>
      <c r="J4565" s="444">
        <f t="array" ref="J4565">IFERROR(INDEX('Retirement Calculator'!J:J,MATCH('Isaac 401k'!N4565,'Retirement Calculator'!A:A,0),0),0)</f>
        <v>0</v>
      </c>
      <c r="K4565" s="444">
        <f t="shared" ca="1" si="186"/>
        <v>11765269791.326286</v>
      </c>
      <c r="L4565" s="444">
        <f t="shared" ca="1" si="187"/>
        <v>2835430019709.6348</v>
      </c>
      <c r="M4565" s="460">
        <f t="shared" si="189"/>
        <v>0.05</v>
      </c>
      <c r="N4565" s="464">
        <f t="shared" si="190"/>
        <v>189988</v>
      </c>
    </row>
    <row r="4566" spans="7:14" ht="11.25" customHeight="1" x14ac:dyDescent="0.3">
      <c r="G4566" s="459"/>
      <c r="H4566" s="459">
        <v>4559</v>
      </c>
      <c r="I4566" s="444">
        <f t="shared" ca="1" si="188"/>
        <v>2835430019709.6348</v>
      </c>
      <c r="J4566" s="444">
        <f t="array" ref="J4566">IFERROR(INDEX('Retirement Calculator'!J:J,MATCH('Isaac 401k'!N4566,'Retirement Calculator'!A:A,0),0),0)</f>
        <v>0</v>
      </c>
      <c r="K4566" s="444">
        <f t="shared" ca="1" si="186"/>
        <v>11814291748.790144</v>
      </c>
      <c r="L4566" s="444">
        <f t="shared" ca="1" si="187"/>
        <v>2847244311458.4248</v>
      </c>
      <c r="M4566" s="460">
        <f t="shared" si="189"/>
        <v>0.05</v>
      </c>
      <c r="N4566" s="464">
        <f t="shared" si="190"/>
        <v>190019</v>
      </c>
    </row>
    <row r="4567" spans="7:14" ht="11.25" customHeight="1" x14ac:dyDescent="0.3">
      <c r="G4567" s="459"/>
      <c r="H4567" s="459">
        <v>4560</v>
      </c>
      <c r="I4567" s="444">
        <f t="shared" ca="1" si="188"/>
        <v>2847244311458.4248</v>
      </c>
      <c r="J4567" s="444">
        <f t="array" ref="J4567">IFERROR(INDEX('Retirement Calculator'!J:J,MATCH('Isaac 401k'!N4567,'Retirement Calculator'!A:A,0),0),0)</f>
        <v>0</v>
      </c>
      <c r="K4567" s="444">
        <f t="shared" ca="1" si="186"/>
        <v>11863517964.410103</v>
      </c>
      <c r="L4567" s="444">
        <f t="shared" ca="1" si="187"/>
        <v>2859107829422.835</v>
      </c>
      <c r="M4567" s="460">
        <f t="shared" si="189"/>
        <v>0.05</v>
      </c>
      <c r="N4567" s="464">
        <f t="shared" si="190"/>
        <v>190049</v>
      </c>
    </row>
    <row r="4568" spans="7:14" ht="11.25" customHeight="1" x14ac:dyDescent="0.3">
      <c r="G4568" s="459"/>
      <c r="H4568" s="459">
        <v>4561</v>
      </c>
      <c r="I4568" s="444">
        <f t="shared" ca="1" si="188"/>
        <v>2859107829422.835</v>
      </c>
      <c r="J4568" s="444">
        <f t="array" ref="J4568">IFERROR(INDEX('Retirement Calculator'!J:J,MATCH('Isaac 401k'!N4568,'Retirement Calculator'!A:A,0),0),0)</f>
        <v>0</v>
      </c>
      <c r="K4568" s="444">
        <f t="shared" ca="1" si="186"/>
        <v>11912949289.261812</v>
      </c>
      <c r="L4568" s="444">
        <f t="shared" ca="1" si="187"/>
        <v>2871020778712.0967</v>
      </c>
      <c r="M4568" s="460">
        <f t="shared" si="189"/>
        <v>0.05</v>
      </c>
      <c r="N4568" s="464">
        <f t="shared" si="190"/>
        <v>190080</v>
      </c>
    </row>
    <row r="4569" spans="7:14" ht="11.25" customHeight="1" x14ac:dyDescent="0.3">
      <c r="G4569" s="459"/>
      <c r="H4569" s="459">
        <v>4562</v>
      </c>
      <c r="I4569" s="444">
        <f t="shared" ca="1" si="188"/>
        <v>2871020778712.0967</v>
      </c>
      <c r="J4569" s="444">
        <f t="array" ref="J4569">IFERROR(INDEX('Retirement Calculator'!J:J,MATCH('Isaac 401k'!N4569,'Retirement Calculator'!A:A,0),0),0)</f>
        <v>0</v>
      </c>
      <c r="K4569" s="444">
        <f t="shared" ca="1" si="186"/>
        <v>11962586577.96707</v>
      </c>
      <c r="L4569" s="444">
        <f t="shared" ca="1" si="187"/>
        <v>2882983365290.064</v>
      </c>
      <c r="M4569" s="460">
        <f t="shared" si="189"/>
        <v>0.05</v>
      </c>
      <c r="N4569" s="464">
        <f t="shared" si="190"/>
        <v>190110</v>
      </c>
    </row>
    <row r="4570" spans="7:14" ht="11.25" customHeight="1" x14ac:dyDescent="0.3">
      <c r="G4570" s="459"/>
      <c r="H4570" s="459">
        <v>4563</v>
      </c>
      <c r="I4570" s="444">
        <f t="shared" ca="1" si="188"/>
        <v>2882983365290.064</v>
      </c>
      <c r="J4570" s="444">
        <f t="array" ref="J4570">IFERROR(INDEX('Retirement Calculator'!J:J,MATCH('Isaac 401k'!N4570,'Retirement Calculator'!A:A,0),0),0)</f>
        <v>0</v>
      </c>
      <c r="K4570" s="444">
        <f t="shared" ca="1" si="186"/>
        <v>12012430688.708599</v>
      </c>
      <c r="L4570" s="444">
        <f t="shared" ca="1" si="187"/>
        <v>2894995795978.7725</v>
      </c>
      <c r="M4570" s="460">
        <f t="shared" si="189"/>
        <v>0.05</v>
      </c>
      <c r="N4570" s="464">
        <f t="shared" si="190"/>
        <v>190141</v>
      </c>
    </row>
    <row r="4571" spans="7:14" ht="11.25" customHeight="1" x14ac:dyDescent="0.3">
      <c r="G4571" s="459"/>
      <c r="H4571" s="459">
        <v>4564</v>
      </c>
      <c r="I4571" s="444">
        <f t="shared" ca="1" si="188"/>
        <v>2894995795978.7725</v>
      </c>
      <c r="J4571" s="444">
        <f t="array" ref="J4571">IFERROR(INDEX('Retirement Calculator'!J:J,MATCH('Isaac 401k'!N4571,'Retirement Calculator'!A:A,0),0),0)</f>
        <v>0</v>
      </c>
      <c r="K4571" s="444">
        <f t="shared" ca="1" si="186"/>
        <v>12062482483.244884</v>
      </c>
      <c r="L4571" s="444">
        <f t="shared" ca="1" si="187"/>
        <v>2907058278462.0176</v>
      </c>
      <c r="M4571" s="460">
        <f t="shared" si="189"/>
        <v>0.05</v>
      </c>
      <c r="N4571" s="464">
        <f t="shared" si="190"/>
        <v>190172</v>
      </c>
    </row>
    <row r="4572" spans="7:14" ht="11.25" customHeight="1" x14ac:dyDescent="0.3">
      <c r="G4572" s="459"/>
      <c r="H4572" s="459">
        <v>4565</v>
      </c>
      <c r="I4572" s="444">
        <f t="shared" ca="1" si="188"/>
        <v>2907058278462.0176</v>
      </c>
      <c r="J4572" s="444">
        <f t="array" ref="J4572">IFERROR(INDEX('Retirement Calculator'!J:J,MATCH('Isaac 401k'!N4572,'Retirement Calculator'!A:A,0),0),0)</f>
        <v>0</v>
      </c>
      <c r="K4572" s="444">
        <f t="shared" ca="1" si="186"/>
        <v>12112742826.925074</v>
      </c>
      <c r="L4572" s="444">
        <f t="shared" ca="1" si="187"/>
        <v>2919171021288.9429</v>
      </c>
      <c r="M4572" s="460">
        <f t="shared" si="189"/>
        <v>0.05</v>
      </c>
      <c r="N4572" s="464">
        <f t="shared" si="190"/>
        <v>190202</v>
      </c>
    </row>
    <row r="4573" spans="7:14" ht="11.25" customHeight="1" x14ac:dyDescent="0.3">
      <c r="G4573" s="459"/>
      <c r="H4573" s="459">
        <v>4566</v>
      </c>
      <c r="I4573" s="444">
        <f t="shared" ca="1" si="188"/>
        <v>2919171021288.9429</v>
      </c>
      <c r="J4573" s="444">
        <f t="array" ref="J4573">IFERROR(INDEX('Retirement Calculator'!J:J,MATCH('Isaac 401k'!N4573,'Retirement Calculator'!A:A,0),0),0)</f>
        <v>0</v>
      </c>
      <c r="K4573" s="444">
        <f t="shared" ca="1" si="186"/>
        <v>12163212588.703928</v>
      </c>
      <c r="L4573" s="444">
        <f t="shared" ca="1" si="187"/>
        <v>2931334233877.647</v>
      </c>
      <c r="M4573" s="460">
        <f t="shared" si="189"/>
        <v>0.05</v>
      </c>
      <c r="N4573" s="464">
        <f t="shared" si="190"/>
        <v>190233</v>
      </c>
    </row>
    <row r="4574" spans="7:14" ht="11.25" customHeight="1" x14ac:dyDescent="0.3">
      <c r="G4574" s="459"/>
      <c r="H4574" s="459">
        <v>4567</v>
      </c>
      <c r="I4574" s="444">
        <f t="shared" ca="1" si="188"/>
        <v>2931334233877.647</v>
      </c>
      <c r="J4574" s="444">
        <f t="array" ref="J4574">IFERROR(INDEX('Retirement Calculator'!J:J,MATCH('Isaac 401k'!N4574,'Retirement Calculator'!A:A,0),0),0)</f>
        <v>0</v>
      </c>
      <c r="K4574" s="444">
        <f t="shared" ca="1" si="186"/>
        <v>12213892641.156862</v>
      </c>
      <c r="L4574" s="444">
        <f t="shared" ca="1" si="187"/>
        <v>2943548126518.8037</v>
      </c>
      <c r="M4574" s="460">
        <f t="shared" si="189"/>
        <v>0.05</v>
      </c>
      <c r="N4574" s="464">
        <f t="shared" si="190"/>
        <v>190263</v>
      </c>
    </row>
    <row r="4575" spans="7:14" ht="11.25" customHeight="1" x14ac:dyDescent="0.3">
      <c r="G4575" s="459"/>
      <c r="H4575" s="459">
        <v>4568</v>
      </c>
      <c r="I4575" s="444">
        <f t="shared" ca="1" si="188"/>
        <v>2943548126518.8037</v>
      </c>
      <c r="J4575" s="444">
        <f t="array" ref="J4575">IFERROR(INDEX('Retirement Calculator'!J:J,MATCH('Isaac 401k'!N4575,'Retirement Calculator'!A:A,0),0),0)</f>
        <v>0</v>
      </c>
      <c r="K4575" s="444">
        <f t="shared" ca="1" si="186"/>
        <v>12264783860.495016</v>
      </c>
      <c r="L4575" s="444">
        <f t="shared" ca="1" si="187"/>
        <v>2955812910379.2988</v>
      </c>
      <c r="M4575" s="460">
        <f t="shared" si="189"/>
        <v>0.05</v>
      </c>
      <c r="N4575" s="464">
        <f t="shared" si="190"/>
        <v>190294</v>
      </c>
    </row>
    <row r="4576" spans="7:14" ht="11.25" customHeight="1" x14ac:dyDescent="0.3">
      <c r="G4576" s="459"/>
      <c r="H4576" s="459">
        <v>4569</v>
      </c>
      <c r="I4576" s="444">
        <f t="shared" ca="1" si="188"/>
        <v>2955812910379.2988</v>
      </c>
      <c r="J4576" s="444">
        <f t="array" ref="J4576">IFERROR(INDEX('Retirement Calculator'!J:J,MATCH('Isaac 401k'!N4576,'Retirement Calculator'!A:A,0),0),0)</f>
        <v>0</v>
      </c>
      <c r="K4576" s="444">
        <f t="shared" ca="1" si="186"/>
        <v>12315887126.580412</v>
      </c>
      <c r="L4576" s="444">
        <f t="shared" ca="1" si="187"/>
        <v>2968128797505.8794</v>
      </c>
      <c r="M4576" s="460">
        <f t="shared" si="189"/>
        <v>0.05</v>
      </c>
      <c r="N4576" s="464">
        <f t="shared" si="190"/>
        <v>190325</v>
      </c>
    </row>
    <row r="4577" spans="7:14" ht="11.25" customHeight="1" x14ac:dyDescent="0.3">
      <c r="G4577" s="459"/>
      <c r="H4577" s="459">
        <v>4570</v>
      </c>
      <c r="I4577" s="444">
        <f t="shared" ca="1" si="188"/>
        <v>2968128797505.8794</v>
      </c>
      <c r="J4577" s="444">
        <f t="array" ref="J4577">IFERROR(INDEX('Retirement Calculator'!J:J,MATCH('Isaac 401k'!N4577,'Retirement Calculator'!A:A,0),0),0)</f>
        <v>0</v>
      </c>
      <c r="K4577" s="444">
        <f t="shared" ca="1" si="186"/>
        <v>12367203322.941164</v>
      </c>
      <c r="L4577" s="444">
        <f t="shared" ca="1" si="187"/>
        <v>2980496000828.8208</v>
      </c>
      <c r="M4577" s="460">
        <f t="shared" si="189"/>
        <v>0.05</v>
      </c>
      <c r="N4577" s="464">
        <f t="shared" si="190"/>
        <v>190353</v>
      </c>
    </row>
    <row r="4578" spans="7:14" ht="11.25" customHeight="1" x14ac:dyDescent="0.3">
      <c r="G4578" s="459"/>
      <c r="H4578" s="459">
        <v>4571</v>
      </c>
      <c r="I4578" s="444">
        <f t="shared" ca="1" si="188"/>
        <v>2980496000828.8208</v>
      </c>
      <c r="J4578" s="444">
        <f t="array" ref="J4578">IFERROR(INDEX('Retirement Calculator'!J:J,MATCH('Isaac 401k'!N4578,'Retirement Calculator'!A:A,0),0),0)</f>
        <v>0</v>
      </c>
      <c r="K4578" s="444">
        <f t="shared" ca="1" si="186"/>
        <v>12418733336.786753</v>
      </c>
      <c r="L4578" s="444">
        <f t="shared" ca="1" si="187"/>
        <v>2992914734165.6074</v>
      </c>
      <c r="M4578" s="460">
        <f t="shared" si="189"/>
        <v>0.05</v>
      </c>
      <c r="N4578" s="464">
        <f t="shared" si="190"/>
        <v>190384</v>
      </c>
    </row>
    <row r="4579" spans="7:14" ht="11.25" customHeight="1" x14ac:dyDescent="0.3">
      <c r="G4579" s="459"/>
      <c r="H4579" s="459">
        <v>4572</v>
      </c>
      <c r="I4579" s="444">
        <f t="shared" ca="1" si="188"/>
        <v>2992914734165.6074</v>
      </c>
      <c r="J4579" s="444">
        <f t="array" ref="J4579">IFERROR(INDEX('Retirement Calculator'!J:J,MATCH('Isaac 401k'!N4579,'Retirement Calculator'!A:A,0),0),0)</f>
        <v>0</v>
      </c>
      <c r="K4579" s="444">
        <f t="shared" ca="1" si="186"/>
        <v>12470478059.023365</v>
      </c>
      <c r="L4579" s="444">
        <f t="shared" ca="1" si="187"/>
        <v>3005385212224.6309</v>
      </c>
      <c r="M4579" s="460">
        <f t="shared" si="189"/>
        <v>0.05</v>
      </c>
      <c r="N4579" s="464">
        <f t="shared" si="190"/>
        <v>190414</v>
      </c>
    </row>
    <row r="4580" spans="7:14" ht="11.25" customHeight="1" x14ac:dyDescent="0.3">
      <c r="G4580" s="459"/>
      <c r="H4580" s="459">
        <v>4573</v>
      </c>
      <c r="I4580" s="444">
        <f t="shared" ca="1" si="188"/>
        <v>3005385212224.6309</v>
      </c>
      <c r="J4580" s="444">
        <f t="array" ref="J4580">IFERROR(INDEX('Retirement Calculator'!J:J,MATCH('Isaac 401k'!N4580,'Retirement Calculator'!A:A,0),0),0)</f>
        <v>0</v>
      </c>
      <c r="K4580" s="444">
        <f t="shared" ca="1" si="186"/>
        <v>12522438384.269295</v>
      </c>
      <c r="L4580" s="444">
        <f t="shared" ca="1" si="187"/>
        <v>3017907650608.9004</v>
      </c>
      <c r="M4580" s="460">
        <f t="shared" si="189"/>
        <v>0.05</v>
      </c>
      <c r="N4580" s="464">
        <f t="shared" si="190"/>
        <v>190445</v>
      </c>
    </row>
    <row r="4581" spans="7:14" ht="11.25" customHeight="1" x14ac:dyDescent="0.3">
      <c r="G4581" s="459"/>
      <c r="H4581" s="459">
        <v>4574</v>
      </c>
      <c r="I4581" s="444">
        <f t="shared" ca="1" si="188"/>
        <v>3017907650608.9004</v>
      </c>
      <c r="J4581" s="444">
        <f t="array" ref="J4581">IFERROR(INDEX('Retirement Calculator'!J:J,MATCH('Isaac 401k'!N4581,'Retirement Calculator'!A:A,0),0),0)</f>
        <v>0</v>
      </c>
      <c r="K4581" s="444">
        <f t="shared" ca="1" si="186"/>
        <v>12574615210.870419</v>
      </c>
      <c r="L4581" s="444">
        <f t="shared" ca="1" si="187"/>
        <v>3030482265819.771</v>
      </c>
      <c r="M4581" s="460">
        <f t="shared" si="189"/>
        <v>0.05</v>
      </c>
      <c r="N4581" s="464">
        <f t="shared" si="190"/>
        <v>190475</v>
      </c>
    </row>
    <row r="4582" spans="7:14" ht="11.25" customHeight="1" x14ac:dyDescent="0.3">
      <c r="G4582" s="459"/>
      <c r="H4582" s="459">
        <v>4575</v>
      </c>
      <c r="I4582" s="444">
        <f t="shared" ca="1" si="188"/>
        <v>3030482265819.771</v>
      </c>
      <c r="J4582" s="444">
        <f t="array" ref="J4582">IFERROR(INDEX('Retirement Calculator'!J:J,MATCH('Isaac 401k'!N4582,'Retirement Calculator'!A:A,0),0),0)</f>
        <v>0</v>
      </c>
      <c r="K4582" s="444">
        <f t="shared" ca="1" si="186"/>
        <v>12627009440.915712</v>
      </c>
      <c r="L4582" s="444">
        <f t="shared" ca="1" si="187"/>
        <v>3043109275260.6865</v>
      </c>
      <c r="M4582" s="460">
        <f t="shared" si="189"/>
        <v>0.05</v>
      </c>
      <c r="N4582" s="464">
        <f t="shared" si="190"/>
        <v>190506</v>
      </c>
    </row>
    <row r="4583" spans="7:14" ht="11.25" customHeight="1" x14ac:dyDescent="0.3">
      <c r="G4583" s="459"/>
      <c r="H4583" s="459">
        <v>4576</v>
      </c>
      <c r="I4583" s="444">
        <f t="shared" ca="1" si="188"/>
        <v>3043109275260.6865</v>
      </c>
      <c r="J4583" s="444">
        <f t="array" ref="J4583">IFERROR(INDEX('Retirement Calculator'!J:J,MATCH('Isaac 401k'!N4583,'Retirement Calculator'!A:A,0),0),0)</f>
        <v>0</v>
      </c>
      <c r="K4583" s="444">
        <f t="shared" ca="1" si="186"/>
        <v>12679621980.252861</v>
      </c>
      <c r="L4583" s="444">
        <f t="shared" ca="1" si="187"/>
        <v>3055788897240.9395</v>
      </c>
      <c r="M4583" s="460">
        <f t="shared" si="189"/>
        <v>0.05</v>
      </c>
      <c r="N4583" s="464">
        <f t="shared" si="190"/>
        <v>190537</v>
      </c>
    </row>
    <row r="4584" spans="7:14" ht="11.25" customHeight="1" x14ac:dyDescent="0.3">
      <c r="G4584" s="459"/>
      <c r="H4584" s="459">
        <v>4577</v>
      </c>
      <c r="I4584" s="444">
        <f t="shared" ca="1" si="188"/>
        <v>3055788897240.9395</v>
      </c>
      <c r="J4584" s="444">
        <f t="array" ref="J4584">IFERROR(INDEX('Retirement Calculator'!J:J,MATCH('Isaac 401k'!N4584,'Retirement Calculator'!A:A,0),0),0)</f>
        <v>0</v>
      </c>
      <c r="K4584" s="444">
        <f t="shared" ca="1" si="186"/>
        <v>12732453738.503914</v>
      </c>
      <c r="L4584" s="444">
        <f t="shared" ca="1" si="187"/>
        <v>3068521350979.4434</v>
      </c>
      <c r="M4584" s="460">
        <f t="shared" si="189"/>
        <v>0.05</v>
      </c>
      <c r="N4584" s="464">
        <f t="shared" si="190"/>
        <v>190567</v>
      </c>
    </row>
    <row r="4585" spans="7:14" ht="11.25" customHeight="1" x14ac:dyDescent="0.3">
      <c r="G4585" s="459"/>
      <c r="H4585" s="459">
        <v>4578</v>
      </c>
      <c r="I4585" s="444">
        <f t="shared" ca="1" si="188"/>
        <v>3068521350979.4434</v>
      </c>
      <c r="J4585" s="444">
        <f t="array" ref="J4585">IFERROR(INDEX('Retirement Calculator'!J:J,MATCH('Isaac 401k'!N4585,'Retirement Calculator'!A:A,0),0),0)</f>
        <v>0</v>
      </c>
      <c r="K4585" s="444">
        <f t="shared" ca="1" si="186"/>
        <v>12785505629.081015</v>
      </c>
      <c r="L4585" s="444">
        <f t="shared" ca="1" si="187"/>
        <v>3081306856608.5244</v>
      </c>
      <c r="M4585" s="460">
        <f t="shared" si="189"/>
        <v>0.05</v>
      </c>
      <c r="N4585" s="464">
        <f t="shared" si="190"/>
        <v>190598</v>
      </c>
    </row>
    <row r="4586" spans="7:14" ht="11.25" customHeight="1" x14ac:dyDescent="0.3">
      <c r="G4586" s="459"/>
      <c r="H4586" s="459">
        <v>4579</v>
      </c>
      <c r="I4586" s="444">
        <f t="shared" ca="1" si="188"/>
        <v>3081306856608.5244</v>
      </c>
      <c r="J4586" s="444">
        <f t="array" ref="J4586">IFERROR(INDEX('Retirement Calculator'!J:J,MATCH('Isaac 401k'!N4586,'Retirement Calculator'!A:A,0),0),0)</f>
        <v>0</v>
      </c>
      <c r="K4586" s="444">
        <f t="shared" ca="1" si="186"/>
        <v>12838778569.202185</v>
      </c>
      <c r="L4586" s="444">
        <f t="shared" ca="1" si="187"/>
        <v>3094145635177.7266</v>
      </c>
      <c r="M4586" s="460">
        <f t="shared" si="189"/>
        <v>0.05</v>
      </c>
      <c r="N4586" s="464">
        <f t="shared" si="190"/>
        <v>190628</v>
      </c>
    </row>
    <row r="4587" spans="7:14" ht="11.25" customHeight="1" x14ac:dyDescent="0.3">
      <c r="G4587" s="459"/>
      <c r="H4587" s="459">
        <v>4580</v>
      </c>
      <c r="I4587" s="444">
        <f t="shared" ca="1" si="188"/>
        <v>3094145635177.7266</v>
      </c>
      <c r="J4587" s="444">
        <f t="array" ref="J4587">IFERROR(INDEX('Retirement Calculator'!J:J,MATCH('Isaac 401k'!N4587,'Retirement Calculator'!A:A,0),0),0)</f>
        <v>0</v>
      </c>
      <c r="K4587" s="444">
        <f t="shared" ca="1" si="186"/>
        <v>12892273479.907194</v>
      </c>
      <c r="L4587" s="444">
        <f t="shared" ca="1" si="187"/>
        <v>3107037908657.6338</v>
      </c>
      <c r="M4587" s="460">
        <f t="shared" si="189"/>
        <v>0.05</v>
      </c>
      <c r="N4587" s="464">
        <f t="shared" si="190"/>
        <v>190659</v>
      </c>
    </row>
    <row r="4588" spans="7:14" ht="11.25" customHeight="1" x14ac:dyDescent="0.3">
      <c r="G4588" s="459"/>
      <c r="H4588" s="459">
        <v>4581</v>
      </c>
      <c r="I4588" s="444">
        <f t="shared" ca="1" si="188"/>
        <v>3107037908657.6338</v>
      </c>
      <c r="J4588" s="444">
        <f t="array" ref="J4588">IFERROR(INDEX('Retirement Calculator'!J:J,MATCH('Isaac 401k'!N4588,'Retirement Calculator'!A:A,0),0),0)</f>
        <v>0</v>
      </c>
      <c r="K4588" s="444">
        <f t="shared" ca="1" si="186"/>
        <v>12945991286.073475</v>
      </c>
      <c r="L4588" s="444">
        <f t="shared" ca="1" si="187"/>
        <v>3119983899943.707</v>
      </c>
      <c r="M4588" s="460">
        <f t="shared" si="189"/>
        <v>0.05</v>
      </c>
      <c r="N4588" s="464">
        <f t="shared" si="190"/>
        <v>190690</v>
      </c>
    </row>
    <row r="4589" spans="7:14" ht="11.25" customHeight="1" x14ac:dyDescent="0.3">
      <c r="G4589" s="459"/>
      <c r="H4589" s="459">
        <v>4582</v>
      </c>
      <c r="I4589" s="444">
        <f t="shared" ca="1" si="188"/>
        <v>3119983899943.707</v>
      </c>
      <c r="J4589" s="444">
        <f t="array" ref="J4589">IFERROR(INDEX('Retirement Calculator'!J:J,MATCH('Isaac 401k'!N4589,'Retirement Calculator'!A:A,0),0),0)</f>
        <v>0</v>
      </c>
      <c r="K4589" s="444">
        <f t="shared" ca="1" si="186"/>
        <v>12999932916.432112</v>
      </c>
      <c r="L4589" s="444">
        <f t="shared" ca="1" si="187"/>
        <v>3132983832860.1392</v>
      </c>
      <c r="M4589" s="460">
        <f t="shared" si="189"/>
        <v>0.05</v>
      </c>
      <c r="N4589" s="464">
        <f t="shared" si="190"/>
        <v>190718</v>
      </c>
    </row>
    <row r="4590" spans="7:14" ht="11.25" customHeight="1" x14ac:dyDescent="0.3">
      <c r="G4590" s="459"/>
      <c r="H4590" s="459">
        <v>4583</v>
      </c>
      <c r="I4590" s="444">
        <f t="shared" ca="1" si="188"/>
        <v>3132983832860.1392</v>
      </c>
      <c r="J4590" s="444">
        <f t="array" ref="J4590">IFERROR(INDEX('Retirement Calculator'!J:J,MATCH('Isaac 401k'!N4590,'Retirement Calculator'!A:A,0),0),0)</f>
        <v>0</v>
      </c>
      <c r="K4590" s="444">
        <f t="shared" ca="1" si="186"/>
        <v>13054099303.583914</v>
      </c>
      <c r="L4590" s="444">
        <f t="shared" ca="1" si="187"/>
        <v>3146037932163.7231</v>
      </c>
      <c r="M4590" s="460">
        <f t="shared" si="189"/>
        <v>0.05</v>
      </c>
      <c r="N4590" s="464">
        <f t="shared" si="190"/>
        <v>190749</v>
      </c>
    </row>
    <row r="4591" spans="7:14" ht="11.25" customHeight="1" x14ac:dyDescent="0.3">
      <c r="G4591" s="459"/>
      <c r="H4591" s="459">
        <v>4584</v>
      </c>
      <c r="I4591" s="444">
        <f t="shared" ca="1" si="188"/>
        <v>3146037932163.7231</v>
      </c>
      <c r="J4591" s="444">
        <f t="array" ref="J4591">IFERROR(INDEX('Retirement Calculator'!J:J,MATCH('Isaac 401k'!N4591,'Retirement Calculator'!A:A,0),0),0)</f>
        <v>0</v>
      </c>
      <c r="K4591" s="444">
        <f t="shared" ca="1" si="186"/>
        <v>13108491384.015512</v>
      </c>
      <c r="L4591" s="444">
        <f t="shared" ca="1" si="187"/>
        <v>3159146423547.7388</v>
      </c>
      <c r="M4591" s="460">
        <f t="shared" si="189"/>
        <v>0.05</v>
      </c>
      <c r="N4591" s="464">
        <f t="shared" si="190"/>
        <v>190779</v>
      </c>
    </row>
    <row r="4592" spans="7:14" ht="11.25" customHeight="1" x14ac:dyDescent="0.3">
      <c r="G4592" s="459"/>
      <c r="H4592" s="459">
        <v>4585</v>
      </c>
      <c r="I4592" s="444">
        <f t="shared" ca="1" si="188"/>
        <v>3159146423547.7388</v>
      </c>
      <c r="J4592" s="444">
        <f t="array" ref="J4592">IFERROR(INDEX('Retirement Calculator'!J:J,MATCH('Isaac 401k'!N4592,'Retirement Calculator'!A:A,0),0),0)</f>
        <v>0</v>
      </c>
      <c r="K4592" s="444">
        <f t="shared" ca="1" si="186"/>
        <v>13163110098.115578</v>
      </c>
      <c r="L4592" s="444">
        <f t="shared" ca="1" si="187"/>
        <v>3172309533645.8545</v>
      </c>
      <c r="M4592" s="460">
        <f t="shared" si="189"/>
        <v>0.05</v>
      </c>
      <c r="N4592" s="464">
        <f t="shared" si="190"/>
        <v>190810</v>
      </c>
    </row>
    <row r="4593" spans="7:14" ht="11.25" customHeight="1" x14ac:dyDescent="0.3">
      <c r="G4593" s="459"/>
      <c r="H4593" s="459">
        <v>4586</v>
      </c>
      <c r="I4593" s="444">
        <f t="shared" ca="1" si="188"/>
        <v>3172309533645.8545</v>
      </c>
      <c r="J4593" s="444">
        <f t="array" ref="J4593">IFERROR(INDEX('Retirement Calculator'!J:J,MATCH('Isaac 401k'!N4593,'Retirement Calculator'!A:A,0),0),0)</f>
        <v>0</v>
      </c>
      <c r="K4593" s="444">
        <f t="shared" ca="1" si="186"/>
        <v>13217956390.191061</v>
      </c>
      <c r="L4593" s="444">
        <f t="shared" ca="1" si="187"/>
        <v>3185527490036.0454</v>
      </c>
      <c r="M4593" s="460">
        <f t="shared" si="189"/>
        <v>0.05</v>
      </c>
      <c r="N4593" s="464">
        <f t="shared" si="190"/>
        <v>190840</v>
      </c>
    </row>
    <row r="4594" spans="7:14" ht="11.25" customHeight="1" x14ac:dyDescent="0.3">
      <c r="G4594" s="459"/>
      <c r="H4594" s="459">
        <v>4587</v>
      </c>
      <c r="I4594" s="444">
        <f t="shared" ca="1" si="188"/>
        <v>3185527490036.0454</v>
      </c>
      <c r="J4594" s="444">
        <f t="array" ref="J4594">IFERROR(INDEX('Retirement Calculator'!J:J,MATCH('Isaac 401k'!N4594,'Retirement Calculator'!A:A,0),0),0)</f>
        <v>0</v>
      </c>
      <c r="K4594" s="444">
        <f t="shared" ca="1" si="186"/>
        <v>13273031208.483522</v>
      </c>
      <c r="L4594" s="444">
        <f t="shared" ca="1" si="187"/>
        <v>3198800521244.5288</v>
      </c>
      <c r="M4594" s="460">
        <f t="shared" si="189"/>
        <v>0.05</v>
      </c>
      <c r="N4594" s="464">
        <f t="shared" si="190"/>
        <v>190871</v>
      </c>
    </row>
    <row r="4595" spans="7:14" ht="11.25" customHeight="1" x14ac:dyDescent="0.3">
      <c r="G4595" s="459"/>
      <c r="H4595" s="459">
        <v>4588</v>
      </c>
      <c r="I4595" s="444">
        <f t="shared" ca="1" si="188"/>
        <v>3198800521244.5288</v>
      </c>
      <c r="J4595" s="444">
        <f t="array" ref="J4595">IFERROR(INDEX('Retirement Calculator'!J:J,MATCH('Isaac 401k'!N4595,'Retirement Calculator'!A:A,0),0),0)</f>
        <v>0</v>
      </c>
      <c r="K4595" s="444">
        <f t="shared" ca="1" si="186"/>
        <v>13328335505.185537</v>
      </c>
      <c r="L4595" s="444">
        <f t="shared" ca="1" si="187"/>
        <v>3212128856749.7144</v>
      </c>
      <c r="M4595" s="460">
        <f t="shared" si="189"/>
        <v>0.05</v>
      </c>
      <c r="N4595" s="464">
        <f t="shared" si="190"/>
        <v>190902</v>
      </c>
    </row>
    <row r="4596" spans="7:14" ht="11.25" customHeight="1" x14ac:dyDescent="0.3">
      <c r="G4596" s="459"/>
      <c r="H4596" s="459">
        <v>4589</v>
      </c>
      <c r="I4596" s="444">
        <f t="shared" ca="1" si="188"/>
        <v>3212128856749.7144</v>
      </c>
      <c r="J4596" s="444">
        <f t="array" ref="J4596">IFERROR(INDEX('Retirement Calculator'!J:J,MATCH('Isaac 401k'!N4596,'Retirement Calculator'!A:A,0),0),0)</f>
        <v>0</v>
      </c>
      <c r="K4596" s="444">
        <f t="shared" ca="1" si="186"/>
        <v>13383870236.457144</v>
      </c>
      <c r="L4596" s="444">
        <f t="shared" ca="1" si="187"/>
        <v>3225512726986.1714</v>
      </c>
      <c r="M4596" s="460">
        <f t="shared" si="189"/>
        <v>0.05</v>
      </c>
      <c r="N4596" s="464">
        <f t="shared" si="190"/>
        <v>190932</v>
      </c>
    </row>
    <row r="4597" spans="7:14" ht="11.25" customHeight="1" x14ac:dyDescent="0.3">
      <c r="G4597" s="459"/>
      <c r="H4597" s="459">
        <v>4590</v>
      </c>
      <c r="I4597" s="444">
        <f t="shared" ca="1" si="188"/>
        <v>3225512726986.1714</v>
      </c>
      <c r="J4597" s="444">
        <f t="array" ref="J4597">IFERROR(INDEX('Retirement Calculator'!J:J,MATCH('Isaac 401k'!N4597,'Retirement Calculator'!A:A,0),0),0)</f>
        <v>0</v>
      </c>
      <c r="K4597" s="444">
        <f t="shared" ca="1" si="186"/>
        <v>13439636362.442381</v>
      </c>
      <c r="L4597" s="444">
        <f t="shared" ca="1" si="187"/>
        <v>3238952363348.6138</v>
      </c>
      <c r="M4597" s="460">
        <f t="shared" si="189"/>
        <v>0.05</v>
      </c>
      <c r="N4597" s="464">
        <f t="shared" si="190"/>
        <v>190963</v>
      </c>
    </row>
    <row r="4598" spans="7:14" ht="11.25" customHeight="1" x14ac:dyDescent="0.3">
      <c r="G4598" s="459"/>
      <c r="H4598" s="459">
        <v>4591</v>
      </c>
      <c r="I4598" s="444">
        <f t="shared" ca="1" si="188"/>
        <v>3238952363348.6138</v>
      </c>
      <c r="J4598" s="444">
        <f t="array" ref="J4598">IFERROR(INDEX('Retirement Calculator'!J:J,MATCH('Isaac 401k'!N4598,'Retirement Calculator'!A:A,0),0),0)</f>
        <v>0</v>
      </c>
      <c r="K4598" s="444">
        <f t="shared" ref="K4598:K4852" ca="1" si="191">IPMT(M4598/12,1,12,-I4598+J4598,,0)</f>
        <v>13495634847.285891</v>
      </c>
      <c r="L4598" s="444">
        <f t="shared" ref="L4598:L4852" ca="1" si="192">I4598-J4598+K4598</f>
        <v>3252447998195.8999</v>
      </c>
      <c r="M4598" s="460">
        <f t="shared" si="189"/>
        <v>0.05</v>
      </c>
      <c r="N4598" s="464">
        <f t="shared" si="190"/>
        <v>190993</v>
      </c>
    </row>
    <row r="4599" spans="7:14" ht="11.25" customHeight="1" x14ac:dyDescent="0.3">
      <c r="G4599" s="459"/>
      <c r="H4599" s="459">
        <v>4592</v>
      </c>
      <c r="I4599" s="444">
        <f t="shared" ref="I4599:I4853" ca="1" si="193">L4598</f>
        <v>3252447998195.8999</v>
      </c>
      <c r="J4599" s="444">
        <f t="array" ref="J4599">IFERROR(INDEX('Retirement Calculator'!J:J,MATCH('Isaac 401k'!N4599,'Retirement Calculator'!A:A,0),0),0)</f>
        <v>0</v>
      </c>
      <c r="K4599" s="444">
        <f t="shared" ca="1" si="191"/>
        <v>13551866659.149582</v>
      </c>
      <c r="L4599" s="444">
        <f t="shared" ca="1" si="192"/>
        <v>3265999864855.0493</v>
      </c>
      <c r="M4599" s="460">
        <f t="shared" ref="M4599:M4853" si="194">M4598</f>
        <v>0.05</v>
      </c>
      <c r="N4599" s="464">
        <f t="shared" ref="N4599:N4853" si="195">EDATE(N4598,1)</f>
        <v>191024</v>
      </c>
    </row>
    <row r="4600" spans="7:14" ht="11.25" customHeight="1" x14ac:dyDescent="0.3">
      <c r="G4600" s="459"/>
      <c r="H4600" s="459">
        <v>4593</v>
      </c>
      <c r="I4600" s="444">
        <f t="shared" ca="1" si="193"/>
        <v>3265999864855.0493</v>
      </c>
      <c r="J4600" s="444">
        <f t="array" ref="J4600">IFERROR(INDEX('Retirement Calculator'!J:J,MATCH('Isaac 401k'!N4600,'Retirement Calculator'!A:A,0),0),0)</f>
        <v>0</v>
      </c>
      <c r="K4600" s="444">
        <f t="shared" ca="1" si="191"/>
        <v>13608332770.229372</v>
      </c>
      <c r="L4600" s="444">
        <f t="shared" ca="1" si="192"/>
        <v>3279608197625.2788</v>
      </c>
      <c r="M4600" s="460">
        <f t="shared" si="194"/>
        <v>0.05</v>
      </c>
      <c r="N4600" s="464">
        <f t="shared" si="195"/>
        <v>191055</v>
      </c>
    </row>
    <row r="4601" spans="7:14" ht="11.25" customHeight="1" x14ac:dyDescent="0.3">
      <c r="G4601" s="459"/>
      <c r="H4601" s="459">
        <v>4594</v>
      </c>
      <c r="I4601" s="444">
        <f t="shared" ca="1" si="193"/>
        <v>3279608197625.2788</v>
      </c>
      <c r="J4601" s="444">
        <f t="array" ref="J4601">IFERROR(INDEX('Retirement Calculator'!J:J,MATCH('Isaac 401k'!N4601,'Retirement Calculator'!A:A,0),0),0)</f>
        <v>0</v>
      </c>
      <c r="K4601" s="444">
        <f t="shared" ca="1" si="191"/>
        <v>13665034156.771996</v>
      </c>
      <c r="L4601" s="444">
        <f t="shared" ca="1" si="192"/>
        <v>3293273231782.0508</v>
      </c>
      <c r="M4601" s="460">
        <f t="shared" si="194"/>
        <v>0.05</v>
      </c>
      <c r="N4601" s="464">
        <f t="shared" si="195"/>
        <v>191083</v>
      </c>
    </row>
    <row r="4602" spans="7:14" ht="11.25" customHeight="1" x14ac:dyDescent="0.3">
      <c r="G4602" s="459"/>
      <c r="H4602" s="459">
        <v>4595</v>
      </c>
      <c r="I4602" s="444">
        <f t="shared" ca="1" si="193"/>
        <v>3293273231782.0508</v>
      </c>
      <c r="J4602" s="444">
        <f t="array" ref="J4602">IFERROR(INDEX('Retirement Calculator'!J:J,MATCH('Isaac 401k'!N4602,'Retirement Calculator'!A:A,0),0),0)</f>
        <v>0</v>
      </c>
      <c r="K4602" s="444">
        <f t="shared" ca="1" si="191"/>
        <v>13721971799.091879</v>
      </c>
      <c r="L4602" s="444">
        <f t="shared" ca="1" si="192"/>
        <v>3306995203581.1426</v>
      </c>
      <c r="M4602" s="460">
        <f t="shared" si="194"/>
        <v>0.05</v>
      </c>
      <c r="N4602" s="464">
        <f t="shared" si="195"/>
        <v>191114</v>
      </c>
    </row>
    <row r="4603" spans="7:14" ht="11.25" customHeight="1" x14ac:dyDescent="0.3">
      <c r="G4603" s="459"/>
      <c r="H4603" s="459">
        <v>4596</v>
      </c>
      <c r="I4603" s="444">
        <f t="shared" ca="1" si="193"/>
        <v>3306995203581.1426</v>
      </c>
      <c r="J4603" s="444">
        <f t="array" ref="J4603">IFERROR(INDEX('Retirement Calculator'!J:J,MATCH('Isaac 401k'!N4603,'Retirement Calculator'!A:A,0),0),0)</f>
        <v>0</v>
      </c>
      <c r="K4603" s="444">
        <f t="shared" ca="1" si="191"/>
        <v>13779146681.588095</v>
      </c>
      <c r="L4603" s="444">
        <f t="shared" ca="1" si="192"/>
        <v>3320774350262.7305</v>
      </c>
      <c r="M4603" s="460">
        <f t="shared" si="194"/>
        <v>0.05</v>
      </c>
      <c r="N4603" s="464">
        <f t="shared" si="195"/>
        <v>191144</v>
      </c>
    </row>
    <row r="4604" spans="7:14" ht="11.25" customHeight="1" x14ac:dyDescent="0.3">
      <c r="G4604" s="459"/>
      <c r="H4604" s="459">
        <v>4597</v>
      </c>
      <c r="I4604" s="444">
        <f t="shared" ca="1" si="193"/>
        <v>3320774350262.7305</v>
      </c>
      <c r="J4604" s="444">
        <f t="array" ref="J4604">IFERROR(INDEX('Retirement Calculator'!J:J,MATCH('Isaac 401k'!N4604,'Retirement Calculator'!A:A,0),0),0)</f>
        <v>0</v>
      </c>
      <c r="K4604" s="444">
        <f t="shared" ca="1" si="191"/>
        <v>13836559792.761377</v>
      </c>
      <c r="L4604" s="444">
        <f t="shared" ca="1" si="192"/>
        <v>3334610910055.4917</v>
      </c>
      <c r="M4604" s="460">
        <f t="shared" si="194"/>
        <v>0.05</v>
      </c>
      <c r="N4604" s="464">
        <f t="shared" si="195"/>
        <v>191175</v>
      </c>
    </row>
    <row r="4605" spans="7:14" ht="11.25" customHeight="1" x14ac:dyDescent="0.3">
      <c r="G4605" s="459"/>
      <c r="H4605" s="459">
        <v>4598</v>
      </c>
      <c r="I4605" s="444">
        <f t="shared" ca="1" si="193"/>
        <v>3334610910055.4917</v>
      </c>
      <c r="J4605" s="444">
        <f t="array" ref="J4605">IFERROR(INDEX('Retirement Calculator'!J:J,MATCH('Isaac 401k'!N4605,'Retirement Calculator'!A:A,0),0),0)</f>
        <v>0</v>
      </c>
      <c r="K4605" s="444">
        <f t="shared" ca="1" si="191"/>
        <v>13894212125.231215</v>
      </c>
      <c r="L4605" s="444">
        <f t="shared" ca="1" si="192"/>
        <v>3348505122180.7231</v>
      </c>
      <c r="M4605" s="460">
        <f t="shared" si="194"/>
        <v>0.05</v>
      </c>
      <c r="N4605" s="464">
        <f t="shared" si="195"/>
        <v>191205</v>
      </c>
    </row>
    <row r="4606" spans="7:14" ht="11.25" customHeight="1" x14ac:dyDescent="0.3">
      <c r="G4606" s="459"/>
      <c r="H4606" s="459">
        <v>4599</v>
      </c>
      <c r="I4606" s="444">
        <f t="shared" ca="1" si="193"/>
        <v>3348505122180.7231</v>
      </c>
      <c r="J4606" s="444">
        <f t="array" ref="J4606">IFERROR(INDEX('Retirement Calculator'!J:J,MATCH('Isaac 401k'!N4606,'Retirement Calculator'!A:A,0),0),0)</f>
        <v>0</v>
      </c>
      <c r="K4606" s="444">
        <f t="shared" ca="1" si="191"/>
        <v>13952104675.753014</v>
      </c>
      <c r="L4606" s="444">
        <f t="shared" ca="1" si="192"/>
        <v>3362457226856.4761</v>
      </c>
      <c r="M4606" s="460">
        <f t="shared" si="194"/>
        <v>0.05</v>
      </c>
      <c r="N4606" s="464">
        <f t="shared" si="195"/>
        <v>191236</v>
      </c>
    </row>
    <row r="4607" spans="7:14" ht="11.25" customHeight="1" x14ac:dyDescent="0.3">
      <c r="G4607" s="459"/>
      <c r="H4607" s="459">
        <v>4600</v>
      </c>
      <c r="I4607" s="444">
        <f t="shared" ca="1" si="193"/>
        <v>3362457226856.4761</v>
      </c>
      <c r="J4607" s="444">
        <f t="array" ref="J4607">IFERROR(INDEX('Retirement Calculator'!J:J,MATCH('Isaac 401k'!N4607,'Retirement Calculator'!A:A,0),0),0)</f>
        <v>0</v>
      </c>
      <c r="K4607" s="444">
        <f t="shared" ca="1" si="191"/>
        <v>14010238445.235317</v>
      </c>
      <c r="L4607" s="444">
        <f t="shared" ca="1" si="192"/>
        <v>3376467465301.7114</v>
      </c>
      <c r="M4607" s="460">
        <f t="shared" si="194"/>
        <v>0.05</v>
      </c>
      <c r="N4607" s="464">
        <f t="shared" si="195"/>
        <v>191267</v>
      </c>
    </row>
    <row r="4608" spans="7:14" ht="11.25" customHeight="1" x14ac:dyDescent="0.3">
      <c r="G4608" s="459"/>
      <c r="H4608" s="459">
        <v>4601</v>
      </c>
      <c r="I4608" s="444">
        <f t="shared" ca="1" si="193"/>
        <v>3376467465301.7114</v>
      </c>
      <c r="J4608" s="444">
        <f t="array" ref="J4608">IFERROR(INDEX('Retirement Calculator'!J:J,MATCH('Isaac 401k'!N4608,'Retirement Calculator'!A:A,0),0),0)</f>
        <v>0</v>
      </c>
      <c r="K4608" s="444">
        <f t="shared" ca="1" si="191"/>
        <v>14068614438.757132</v>
      </c>
      <c r="L4608" s="444">
        <f t="shared" ca="1" si="192"/>
        <v>3390536079740.4688</v>
      </c>
      <c r="M4608" s="460">
        <f t="shared" si="194"/>
        <v>0.05</v>
      </c>
      <c r="N4608" s="464">
        <f t="shared" si="195"/>
        <v>191297</v>
      </c>
    </row>
    <row r="4609" spans="7:14" ht="11.25" customHeight="1" x14ac:dyDescent="0.3">
      <c r="G4609" s="459"/>
      <c r="H4609" s="459">
        <v>4602</v>
      </c>
      <c r="I4609" s="444">
        <f t="shared" ca="1" si="193"/>
        <v>3390536079740.4688</v>
      </c>
      <c r="J4609" s="444">
        <f t="array" ref="J4609">IFERROR(INDEX('Retirement Calculator'!J:J,MATCH('Isaac 401k'!N4609,'Retirement Calculator'!A:A,0),0),0)</f>
        <v>0</v>
      </c>
      <c r="K4609" s="444">
        <f t="shared" ca="1" si="191"/>
        <v>14127233665.585287</v>
      </c>
      <c r="L4609" s="444">
        <f t="shared" ca="1" si="192"/>
        <v>3404663313406.0542</v>
      </c>
      <c r="M4609" s="460">
        <f t="shared" si="194"/>
        <v>0.05</v>
      </c>
      <c r="N4609" s="464">
        <f t="shared" si="195"/>
        <v>191328</v>
      </c>
    </row>
    <row r="4610" spans="7:14" ht="11.25" customHeight="1" x14ac:dyDescent="0.3">
      <c r="G4610" s="459"/>
      <c r="H4610" s="459">
        <v>4603</v>
      </c>
      <c r="I4610" s="444">
        <f t="shared" ca="1" si="193"/>
        <v>3404663313406.0542</v>
      </c>
      <c r="J4610" s="444">
        <f t="array" ref="J4610">IFERROR(INDEX('Retirement Calculator'!J:J,MATCH('Isaac 401k'!N4610,'Retirement Calculator'!A:A,0),0),0)</f>
        <v>0</v>
      </c>
      <c r="K4610" s="444">
        <f t="shared" ca="1" si="191"/>
        <v>14186097139.191893</v>
      </c>
      <c r="L4610" s="444">
        <f t="shared" ca="1" si="192"/>
        <v>3418849410545.2461</v>
      </c>
      <c r="M4610" s="460">
        <f t="shared" si="194"/>
        <v>0.05</v>
      </c>
      <c r="N4610" s="464">
        <f t="shared" si="195"/>
        <v>191358</v>
      </c>
    </row>
    <row r="4611" spans="7:14" ht="11.25" customHeight="1" x14ac:dyDescent="0.3">
      <c r="G4611" s="459"/>
      <c r="H4611" s="459">
        <v>4604</v>
      </c>
      <c r="I4611" s="444">
        <f t="shared" ca="1" si="193"/>
        <v>3418849410545.2461</v>
      </c>
      <c r="J4611" s="444">
        <f t="array" ref="J4611">IFERROR(INDEX('Retirement Calculator'!J:J,MATCH('Isaac 401k'!N4611,'Retirement Calculator'!A:A,0),0),0)</f>
        <v>0</v>
      </c>
      <c r="K4611" s="444">
        <f t="shared" ca="1" si="191"/>
        <v>14245205877.271858</v>
      </c>
      <c r="L4611" s="444">
        <f t="shared" ca="1" si="192"/>
        <v>3433094616422.5181</v>
      </c>
      <c r="M4611" s="460">
        <f t="shared" si="194"/>
        <v>0.05</v>
      </c>
      <c r="N4611" s="464">
        <f t="shared" si="195"/>
        <v>191389</v>
      </c>
    </row>
    <row r="4612" spans="7:14" ht="11.25" customHeight="1" x14ac:dyDescent="0.3">
      <c r="G4612" s="459"/>
      <c r="H4612" s="459">
        <v>4605</v>
      </c>
      <c r="I4612" s="444">
        <f t="shared" ca="1" si="193"/>
        <v>3433094616422.5181</v>
      </c>
      <c r="J4612" s="444">
        <f t="array" ref="J4612">IFERROR(INDEX('Retirement Calculator'!J:J,MATCH('Isaac 401k'!N4612,'Retirement Calculator'!A:A,0),0),0)</f>
        <v>0</v>
      </c>
      <c r="K4612" s="444">
        <f t="shared" ca="1" si="191"/>
        <v>14304560901.760492</v>
      </c>
      <c r="L4612" s="444">
        <f t="shared" ca="1" si="192"/>
        <v>3447399177324.2783</v>
      </c>
      <c r="M4612" s="460">
        <f t="shared" si="194"/>
        <v>0.05</v>
      </c>
      <c r="N4612" s="464">
        <f t="shared" si="195"/>
        <v>191420</v>
      </c>
    </row>
    <row r="4613" spans="7:14" ht="11.25" customHeight="1" x14ac:dyDescent="0.3">
      <c r="G4613" s="459"/>
      <c r="H4613" s="459">
        <v>4606</v>
      </c>
      <c r="I4613" s="444">
        <f t="shared" ca="1" si="193"/>
        <v>3447399177324.2783</v>
      </c>
      <c r="J4613" s="444">
        <f t="array" ref="J4613">IFERROR(INDEX('Retirement Calculator'!J:J,MATCH('Isaac 401k'!N4613,'Retirement Calculator'!A:A,0),0),0)</f>
        <v>0</v>
      </c>
      <c r="K4613" s="444">
        <f t="shared" ca="1" si="191"/>
        <v>14364163238.85116</v>
      </c>
      <c r="L4613" s="444">
        <f t="shared" ca="1" si="192"/>
        <v>3461763340563.1294</v>
      </c>
      <c r="M4613" s="460">
        <f t="shared" si="194"/>
        <v>0.05</v>
      </c>
      <c r="N4613" s="464">
        <f t="shared" si="195"/>
        <v>191449</v>
      </c>
    </row>
    <row r="4614" spans="7:14" ht="11.25" customHeight="1" x14ac:dyDescent="0.3">
      <c r="G4614" s="459"/>
      <c r="H4614" s="459">
        <v>4607</v>
      </c>
      <c r="I4614" s="444">
        <f t="shared" ca="1" si="193"/>
        <v>3461763340563.1294</v>
      </c>
      <c r="J4614" s="444">
        <f t="array" ref="J4614">IFERROR(INDEX('Retirement Calculator'!J:J,MATCH('Isaac 401k'!N4614,'Retirement Calculator'!A:A,0),0),0)</f>
        <v>0</v>
      </c>
      <c r="K4614" s="444">
        <f t="shared" ca="1" si="191"/>
        <v>14424013919.013037</v>
      </c>
      <c r="L4614" s="444">
        <f t="shared" ca="1" si="192"/>
        <v>3476187354482.1426</v>
      </c>
      <c r="M4614" s="460">
        <f t="shared" si="194"/>
        <v>0.05</v>
      </c>
      <c r="N4614" s="464">
        <f t="shared" si="195"/>
        <v>191480</v>
      </c>
    </row>
    <row r="4615" spans="7:14" ht="11.25" customHeight="1" x14ac:dyDescent="0.3">
      <c r="G4615" s="459"/>
      <c r="H4615" s="459">
        <v>4608</v>
      </c>
      <c r="I4615" s="444">
        <f t="shared" ca="1" si="193"/>
        <v>3476187354482.1426</v>
      </c>
      <c r="J4615" s="444">
        <f t="array" ref="J4615">IFERROR(INDEX('Retirement Calculator'!J:J,MATCH('Isaac 401k'!N4615,'Retirement Calculator'!A:A,0),0),0)</f>
        <v>0</v>
      </c>
      <c r="K4615" s="444">
        <f t="shared" ca="1" si="191"/>
        <v>14484113977.008926</v>
      </c>
      <c r="L4615" s="444">
        <f t="shared" ca="1" si="192"/>
        <v>3490671468459.1514</v>
      </c>
      <c r="M4615" s="460">
        <f t="shared" si="194"/>
        <v>0.05</v>
      </c>
      <c r="N4615" s="464">
        <f t="shared" si="195"/>
        <v>191510</v>
      </c>
    </row>
    <row r="4616" spans="7:14" ht="11.25" customHeight="1" x14ac:dyDescent="0.3">
      <c r="G4616" s="459"/>
      <c r="H4616" s="459">
        <v>4609</v>
      </c>
      <c r="I4616" s="444">
        <f t="shared" ca="1" si="193"/>
        <v>3490671468459.1514</v>
      </c>
      <c r="J4616" s="444">
        <f t="array" ref="J4616">IFERROR(INDEX('Retirement Calculator'!J:J,MATCH('Isaac 401k'!N4616,'Retirement Calculator'!A:A,0),0),0)</f>
        <v>0</v>
      </c>
      <c r="K4616" s="444">
        <f t="shared" ca="1" si="191"/>
        <v>14544464451.91313</v>
      </c>
      <c r="L4616" s="444">
        <f t="shared" ca="1" si="192"/>
        <v>3505215932911.0645</v>
      </c>
      <c r="M4616" s="460">
        <f t="shared" si="194"/>
        <v>0.05</v>
      </c>
      <c r="N4616" s="464">
        <f t="shared" si="195"/>
        <v>191541</v>
      </c>
    </row>
    <row r="4617" spans="7:14" ht="11.25" customHeight="1" x14ac:dyDescent="0.3">
      <c r="G4617" s="459"/>
      <c r="H4617" s="459">
        <v>4610</v>
      </c>
      <c r="I4617" s="444">
        <f t="shared" ca="1" si="193"/>
        <v>3505215932911.0645</v>
      </c>
      <c r="J4617" s="444">
        <f t="array" ref="J4617">IFERROR(INDEX('Retirement Calculator'!J:J,MATCH('Isaac 401k'!N4617,'Retirement Calculator'!A:A,0),0),0)</f>
        <v>0</v>
      </c>
      <c r="K4617" s="444">
        <f t="shared" ca="1" si="191"/>
        <v>14605066387.129435</v>
      </c>
      <c r="L4617" s="444">
        <f t="shared" ca="1" si="192"/>
        <v>3519820999298.1938</v>
      </c>
      <c r="M4617" s="460">
        <f t="shared" si="194"/>
        <v>0.05</v>
      </c>
      <c r="N4617" s="464">
        <f t="shared" si="195"/>
        <v>191571</v>
      </c>
    </row>
    <row r="4618" spans="7:14" ht="11.25" customHeight="1" x14ac:dyDescent="0.3">
      <c r="G4618" s="459"/>
      <c r="H4618" s="459">
        <v>4611</v>
      </c>
      <c r="I4618" s="444">
        <f t="shared" ca="1" si="193"/>
        <v>3519820999298.1938</v>
      </c>
      <c r="J4618" s="444">
        <f t="array" ref="J4618">IFERROR(INDEX('Retirement Calculator'!J:J,MATCH('Isaac 401k'!N4618,'Retirement Calculator'!A:A,0),0),0)</f>
        <v>0</v>
      </c>
      <c r="K4618" s="444">
        <f t="shared" ca="1" si="191"/>
        <v>14665920830.409142</v>
      </c>
      <c r="L4618" s="444">
        <f t="shared" ca="1" si="192"/>
        <v>3534486920128.603</v>
      </c>
      <c r="M4618" s="460">
        <f t="shared" si="194"/>
        <v>0.05</v>
      </c>
      <c r="N4618" s="464">
        <f t="shared" si="195"/>
        <v>191602</v>
      </c>
    </row>
    <row r="4619" spans="7:14" ht="11.25" customHeight="1" x14ac:dyDescent="0.3">
      <c r="G4619" s="459"/>
      <c r="H4619" s="459">
        <v>4612</v>
      </c>
      <c r="I4619" s="444">
        <f t="shared" ca="1" si="193"/>
        <v>3534486920128.603</v>
      </c>
      <c r="J4619" s="444">
        <f t="array" ref="J4619">IFERROR(INDEX('Retirement Calculator'!J:J,MATCH('Isaac 401k'!N4619,'Retirement Calculator'!A:A,0),0),0)</f>
        <v>0</v>
      </c>
      <c r="K4619" s="444">
        <f t="shared" ca="1" si="191"/>
        <v>14727028833.869177</v>
      </c>
      <c r="L4619" s="444">
        <f t="shared" ca="1" si="192"/>
        <v>3549213948962.4722</v>
      </c>
      <c r="M4619" s="460">
        <f t="shared" si="194"/>
        <v>0.05</v>
      </c>
      <c r="N4619" s="464">
        <f t="shared" si="195"/>
        <v>191633</v>
      </c>
    </row>
    <row r="4620" spans="7:14" ht="11.25" customHeight="1" x14ac:dyDescent="0.3">
      <c r="G4620" s="459"/>
      <c r="H4620" s="459">
        <v>4613</v>
      </c>
      <c r="I4620" s="444">
        <f t="shared" ca="1" si="193"/>
        <v>3549213948962.4722</v>
      </c>
      <c r="J4620" s="444">
        <f t="array" ref="J4620">IFERROR(INDEX('Retirement Calculator'!J:J,MATCH('Isaac 401k'!N4620,'Retirement Calculator'!A:A,0),0),0)</f>
        <v>0</v>
      </c>
      <c r="K4620" s="444">
        <f t="shared" ca="1" si="191"/>
        <v>14788391454.0103</v>
      </c>
      <c r="L4620" s="444">
        <f t="shared" ca="1" si="192"/>
        <v>3564002340416.4824</v>
      </c>
      <c r="M4620" s="460">
        <f t="shared" si="194"/>
        <v>0.05</v>
      </c>
      <c r="N4620" s="464">
        <f t="shared" si="195"/>
        <v>191663</v>
      </c>
    </row>
    <row r="4621" spans="7:14" ht="11.25" customHeight="1" x14ac:dyDescent="0.3">
      <c r="G4621" s="459"/>
      <c r="H4621" s="459">
        <v>4614</v>
      </c>
      <c r="I4621" s="444">
        <f t="shared" ca="1" si="193"/>
        <v>3564002340416.4824</v>
      </c>
      <c r="J4621" s="444">
        <f t="array" ref="J4621">IFERROR(INDEX('Retirement Calculator'!J:J,MATCH('Isaac 401k'!N4621,'Retirement Calculator'!A:A,0),0),0)</f>
        <v>0</v>
      </c>
      <c r="K4621" s="444">
        <f t="shared" ca="1" si="191"/>
        <v>14850009751.735346</v>
      </c>
      <c r="L4621" s="444">
        <f t="shared" ca="1" si="192"/>
        <v>3578852350168.2178</v>
      </c>
      <c r="M4621" s="460">
        <f t="shared" si="194"/>
        <v>0.05</v>
      </c>
      <c r="N4621" s="464">
        <f t="shared" si="195"/>
        <v>191694</v>
      </c>
    </row>
    <row r="4622" spans="7:14" ht="11.25" customHeight="1" x14ac:dyDescent="0.3">
      <c r="G4622" s="459"/>
      <c r="H4622" s="459">
        <v>4615</v>
      </c>
      <c r="I4622" s="444">
        <f t="shared" ca="1" si="193"/>
        <v>3578852350168.2178</v>
      </c>
      <c r="J4622" s="444">
        <f t="array" ref="J4622">IFERROR(INDEX('Retirement Calculator'!J:J,MATCH('Isaac 401k'!N4622,'Retirement Calculator'!A:A,0),0),0)</f>
        <v>0</v>
      </c>
      <c r="K4622" s="444">
        <f t="shared" ca="1" si="191"/>
        <v>14911884792.367575</v>
      </c>
      <c r="L4622" s="444">
        <f t="shared" ca="1" si="192"/>
        <v>3593764234960.5854</v>
      </c>
      <c r="M4622" s="460">
        <f t="shared" si="194"/>
        <v>0.05</v>
      </c>
      <c r="N4622" s="464">
        <f t="shared" si="195"/>
        <v>191724</v>
      </c>
    </row>
    <row r="4623" spans="7:14" ht="11.25" customHeight="1" x14ac:dyDescent="0.3">
      <c r="G4623" s="459"/>
      <c r="H4623" s="459">
        <v>4616</v>
      </c>
      <c r="I4623" s="444">
        <f t="shared" ca="1" si="193"/>
        <v>3593764234960.5854</v>
      </c>
      <c r="J4623" s="444">
        <f t="array" ref="J4623">IFERROR(INDEX('Retirement Calculator'!J:J,MATCH('Isaac 401k'!N4623,'Retirement Calculator'!A:A,0),0),0)</f>
        <v>0</v>
      </c>
      <c r="K4623" s="444">
        <f t="shared" ca="1" si="191"/>
        <v>14974017645.669106</v>
      </c>
      <c r="L4623" s="444">
        <f t="shared" ca="1" si="192"/>
        <v>3608738252606.2544</v>
      </c>
      <c r="M4623" s="460">
        <f t="shared" si="194"/>
        <v>0.05</v>
      </c>
      <c r="N4623" s="464">
        <f t="shared" si="195"/>
        <v>191755</v>
      </c>
    </row>
    <row r="4624" spans="7:14" ht="11.25" customHeight="1" x14ac:dyDescent="0.3">
      <c r="G4624" s="459"/>
      <c r="H4624" s="459">
        <v>4617</v>
      </c>
      <c r="I4624" s="444">
        <f t="shared" ca="1" si="193"/>
        <v>3608738252606.2544</v>
      </c>
      <c r="J4624" s="444">
        <f t="array" ref="J4624">IFERROR(INDEX('Retirement Calculator'!J:J,MATCH('Isaac 401k'!N4624,'Retirement Calculator'!A:A,0),0),0)</f>
        <v>0</v>
      </c>
      <c r="K4624" s="444">
        <f t="shared" ca="1" si="191"/>
        <v>15036409385.859396</v>
      </c>
      <c r="L4624" s="444">
        <f t="shared" ca="1" si="192"/>
        <v>3623774661992.1138</v>
      </c>
      <c r="M4624" s="460">
        <f t="shared" si="194"/>
        <v>0.05</v>
      </c>
      <c r="N4624" s="464">
        <f t="shared" si="195"/>
        <v>191786</v>
      </c>
    </row>
    <row r="4625" spans="7:14" ht="11.25" customHeight="1" x14ac:dyDescent="0.3">
      <c r="G4625" s="459"/>
      <c r="H4625" s="459">
        <v>4618</v>
      </c>
      <c r="I4625" s="444">
        <f t="shared" ca="1" si="193"/>
        <v>3623774661992.1138</v>
      </c>
      <c r="J4625" s="444">
        <f t="array" ref="J4625">IFERROR(INDEX('Retirement Calculator'!J:J,MATCH('Isaac 401k'!N4625,'Retirement Calculator'!A:A,0),0),0)</f>
        <v>0</v>
      </c>
      <c r="K4625" s="444">
        <f t="shared" ca="1" si="191"/>
        <v>15099061091.633806</v>
      </c>
      <c r="L4625" s="444">
        <f t="shared" ca="1" si="192"/>
        <v>3638873723083.7476</v>
      </c>
      <c r="M4625" s="460">
        <f t="shared" si="194"/>
        <v>0.05</v>
      </c>
      <c r="N4625" s="464">
        <f t="shared" si="195"/>
        <v>191814</v>
      </c>
    </row>
    <row r="4626" spans="7:14" ht="11.25" customHeight="1" x14ac:dyDescent="0.3">
      <c r="G4626" s="459"/>
      <c r="H4626" s="459">
        <v>4619</v>
      </c>
      <c r="I4626" s="444">
        <f t="shared" ca="1" si="193"/>
        <v>3638873723083.7476</v>
      </c>
      <c r="J4626" s="444">
        <f t="array" ref="J4626">IFERROR(INDEX('Retirement Calculator'!J:J,MATCH('Isaac 401k'!N4626,'Retirement Calculator'!A:A,0),0),0)</f>
        <v>0</v>
      </c>
      <c r="K4626" s="444">
        <f t="shared" ca="1" si="191"/>
        <v>15161973846.182281</v>
      </c>
      <c r="L4626" s="444">
        <f t="shared" ca="1" si="192"/>
        <v>3654035696929.9297</v>
      </c>
      <c r="M4626" s="460">
        <f t="shared" si="194"/>
        <v>0.05</v>
      </c>
      <c r="N4626" s="464">
        <f t="shared" si="195"/>
        <v>191845</v>
      </c>
    </row>
    <row r="4627" spans="7:14" ht="11.25" customHeight="1" x14ac:dyDescent="0.3">
      <c r="G4627" s="459"/>
      <c r="H4627" s="459">
        <v>4620</v>
      </c>
      <c r="I4627" s="444">
        <f t="shared" ca="1" si="193"/>
        <v>3654035696929.9297</v>
      </c>
      <c r="J4627" s="444">
        <f t="array" ref="J4627">IFERROR(INDEX('Retirement Calculator'!J:J,MATCH('Isaac 401k'!N4627,'Retirement Calculator'!A:A,0),0),0)</f>
        <v>0</v>
      </c>
      <c r="K4627" s="444">
        <f t="shared" ca="1" si="191"/>
        <v>15225148737.20804</v>
      </c>
      <c r="L4627" s="444">
        <f t="shared" ca="1" si="192"/>
        <v>3669260845667.1377</v>
      </c>
      <c r="M4627" s="460">
        <f t="shared" si="194"/>
        <v>0.05</v>
      </c>
      <c r="N4627" s="464">
        <f t="shared" si="195"/>
        <v>191875</v>
      </c>
    </row>
    <row r="4628" spans="7:14" ht="11.25" customHeight="1" x14ac:dyDescent="0.3">
      <c r="G4628" s="459"/>
      <c r="H4628" s="459">
        <v>4621</v>
      </c>
      <c r="I4628" s="444">
        <f t="shared" ca="1" si="193"/>
        <v>3669260845667.1377</v>
      </c>
      <c r="J4628" s="444">
        <f t="array" ref="J4628">IFERROR(INDEX('Retirement Calculator'!J:J,MATCH('Isaac 401k'!N4628,'Retirement Calculator'!A:A,0),0),0)</f>
        <v>0</v>
      </c>
      <c r="K4628" s="444">
        <f t="shared" ca="1" si="191"/>
        <v>15288586856.946405</v>
      </c>
      <c r="L4628" s="444">
        <f t="shared" ca="1" si="192"/>
        <v>3684549432524.084</v>
      </c>
      <c r="M4628" s="460">
        <f t="shared" si="194"/>
        <v>0.05</v>
      </c>
      <c r="N4628" s="464">
        <f t="shared" si="195"/>
        <v>191906</v>
      </c>
    </row>
    <row r="4629" spans="7:14" ht="11.25" customHeight="1" x14ac:dyDescent="0.3">
      <c r="G4629" s="459"/>
      <c r="H4629" s="459">
        <v>4622</v>
      </c>
      <c r="I4629" s="444">
        <f t="shared" ca="1" si="193"/>
        <v>3684549432524.084</v>
      </c>
      <c r="J4629" s="444">
        <f t="array" ref="J4629">IFERROR(INDEX('Retirement Calculator'!J:J,MATCH('Isaac 401k'!N4629,'Retirement Calculator'!A:A,0),0),0)</f>
        <v>0</v>
      </c>
      <c r="K4629" s="444">
        <f t="shared" ca="1" si="191"/>
        <v>15352289302.183683</v>
      </c>
      <c r="L4629" s="444">
        <f t="shared" ca="1" si="192"/>
        <v>3699901721826.2676</v>
      </c>
      <c r="M4629" s="460">
        <f t="shared" si="194"/>
        <v>0.05</v>
      </c>
      <c r="N4629" s="464">
        <f t="shared" si="195"/>
        <v>191936</v>
      </c>
    </row>
    <row r="4630" spans="7:14" ht="11.25" customHeight="1" x14ac:dyDescent="0.3">
      <c r="G4630" s="459"/>
      <c r="H4630" s="459">
        <v>4623</v>
      </c>
      <c r="I4630" s="444">
        <f t="shared" ca="1" si="193"/>
        <v>3699901721826.2676</v>
      </c>
      <c r="J4630" s="444">
        <f t="array" ref="J4630">IFERROR(INDEX('Retirement Calculator'!J:J,MATCH('Isaac 401k'!N4630,'Retirement Calculator'!A:A,0),0),0)</f>
        <v>0</v>
      </c>
      <c r="K4630" s="444">
        <f t="shared" ca="1" si="191"/>
        <v>15416257174.276114</v>
      </c>
      <c r="L4630" s="444">
        <f t="shared" ca="1" si="192"/>
        <v>3715317979000.5435</v>
      </c>
      <c r="M4630" s="460">
        <f t="shared" si="194"/>
        <v>0.05</v>
      </c>
      <c r="N4630" s="464">
        <f t="shared" si="195"/>
        <v>191967</v>
      </c>
    </row>
    <row r="4631" spans="7:14" ht="11.25" customHeight="1" x14ac:dyDescent="0.3">
      <c r="G4631" s="459"/>
      <c r="H4631" s="459">
        <v>4624</v>
      </c>
      <c r="I4631" s="444">
        <f t="shared" ca="1" si="193"/>
        <v>3715317979000.5435</v>
      </c>
      <c r="J4631" s="444">
        <f t="array" ref="J4631">IFERROR(INDEX('Retirement Calculator'!J:J,MATCH('Isaac 401k'!N4631,'Retirement Calculator'!A:A,0),0),0)</f>
        <v>0</v>
      </c>
      <c r="K4631" s="444">
        <f t="shared" ca="1" si="191"/>
        <v>15480491579.16893</v>
      </c>
      <c r="L4631" s="444">
        <f t="shared" ca="1" si="192"/>
        <v>3730798470579.7124</v>
      </c>
      <c r="M4631" s="460">
        <f t="shared" si="194"/>
        <v>0.05</v>
      </c>
      <c r="N4631" s="464">
        <f t="shared" si="195"/>
        <v>191998</v>
      </c>
    </row>
    <row r="4632" spans="7:14" ht="11.25" customHeight="1" x14ac:dyDescent="0.3">
      <c r="G4632" s="459"/>
      <c r="H4632" s="459">
        <v>4625</v>
      </c>
      <c r="I4632" s="444">
        <f t="shared" ca="1" si="193"/>
        <v>3730798470579.7124</v>
      </c>
      <c r="J4632" s="444">
        <f t="array" ref="J4632">IFERROR(INDEX('Retirement Calculator'!J:J,MATCH('Isaac 401k'!N4632,'Retirement Calculator'!A:A,0),0),0)</f>
        <v>0</v>
      </c>
      <c r="K4632" s="444">
        <f t="shared" ca="1" si="191"/>
        <v>15544993627.415468</v>
      </c>
      <c r="L4632" s="444">
        <f t="shared" ca="1" si="192"/>
        <v>3746343464207.1279</v>
      </c>
      <c r="M4632" s="460">
        <f t="shared" si="194"/>
        <v>0.05</v>
      </c>
      <c r="N4632" s="464">
        <f t="shared" si="195"/>
        <v>192028</v>
      </c>
    </row>
    <row r="4633" spans="7:14" ht="11.25" customHeight="1" x14ac:dyDescent="0.3">
      <c r="G4633" s="459"/>
      <c r="H4633" s="459">
        <v>4626</v>
      </c>
      <c r="I4633" s="444">
        <f t="shared" ca="1" si="193"/>
        <v>3746343464207.1279</v>
      </c>
      <c r="J4633" s="444">
        <f t="array" ref="J4633">IFERROR(INDEX('Retirement Calculator'!J:J,MATCH('Isaac 401k'!N4633,'Retirement Calculator'!A:A,0),0),0)</f>
        <v>0</v>
      </c>
      <c r="K4633" s="444">
        <f t="shared" ca="1" si="191"/>
        <v>15609764434.196365</v>
      </c>
      <c r="L4633" s="444">
        <f t="shared" ca="1" si="192"/>
        <v>3761953228641.3242</v>
      </c>
      <c r="M4633" s="460">
        <f t="shared" si="194"/>
        <v>0.05</v>
      </c>
      <c r="N4633" s="464">
        <f t="shared" si="195"/>
        <v>192059</v>
      </c>
    </row>
    <row r="4634" spans="7:14" ht="11.25" customHeight="1" x14ac:dyDescent="0.3">
      <c r="G4634" s="459"/>
      <c r="H4634" s="459">
        <v>4627</v>
      </c>
      <c r="I4634" s="444">
        <f t="shared" ca="1" si="193"/>
        <v>3761953228641.3242</v>
      </c>
      <c r="J4634" s="444">
        <f t="array" ref="J4634">IFERROR(INDEX('Retirement Calculator'!J:J,MATCH('Isaac 401k'!N4634,'Retirement Calculator'!A:A,0),0),0)</f>
        <v>0</v>
      </c>
      <c r="K4634" s="444">
        <f t="shared" ca="1" si="191"/>
        <v>15674805119.33885</v>
      </c>
      <c r="L4634" s="444">
        <f t="shared" ca="1" si="192"/>
        <v>3777628033760.6631</v>
      </c>
      <c r="M4634" s="460">
        <f t="shared" si="194"/>
        <v>0.05</v>
      </c>
      <c r="N4634" s="464">
        <f t="shared" si="195"/>
        <v>192089</v>
      </c>
    </row>
    <row r="4635" spans="7:14" ht="11.25" customHeight="1" x14ac:dyDescent="0.3">
      <c r="G4635" s="459"/>
      <c r="H4635" s="459">
        <v>4628</v>
      </c>
      <c r="I4635" s="444">
        <f t="shared" ca="1" si="193"/>
        <v>3777628033760.6631</v>
      </c>
      <c r="J4635" s="444">
        <f t="array" ref="J4635">IFERROR(INDEX('Retirement Calculator'!J:J,MATCH('Isaac 401k'!N4635,'Retirement Calculator'!A:A,0),0),0)</f>
        <v>0</v>
      </c>
      <c r="K4635" s="444">
        <f t="shared" ca="1" si="191"/>
        <v>15740116807.336098</v>
      </c>
      <c r="L4635" s="444">
        <f t="shared" ca="1" si="192"/>
        <v>3793368150567.999</v>
      </c>
      <c r="M4635" s="460">
        <f t="shared" si="194"/>
        <v>0.05</v>
      </c>
      <c r="N4635" s="464">
        <f t="shared" si="195"/>
        <v>192120</v>
      </c>
    </row>
    <row r="4636" spans="7:14" ht="11.25" customHeight="1" x14ac:dyDescent="0.3">
      <c r="G4636" s="459"/>
      <c r="H4636" s="459">
        <v>4629</v>
      </c>
      <c r="I4636" s="444">
        <f t="shared" ca="1" si="193"/>
        <v>3793368150567.999</v>
      </c>
      <c r="J4636" s="444">
        <f t="array" ref="J4636">IFERROR(INDEX('Retirement Calculator'!J:J,MATCH('Isaac 401k'!N4636,'Retirement Calculator'!A:A,0),0),0)</f>
        <v>0</v>
      </c>
      <c r="K4636" s="444">
        <f t="shared" ca="1" si="191"/>
        <v>15805700627.366665</v>
      </c>
      <c r="L4636" s="444">
        <f t="shared" ca="1" si="192"/>
        <v>3809173851195.3657</v>
      </c>
      <c r="M4636" s="460">
        <f t="shared" si="194"/>
        <v>0.05</v>
      </c>
      <c r="N4636" s="464">
        <f t="shared" si="195"/>
        <v>192151</v>
      </c>
    </row>
    <row r="4637" spans="7:14" ht="11.25" customHeight="1" x14ac:dyDescent="0.3">
      <c r="G4637" s="459"/>
      <c r="H4637" s="459">
        <v>4630</v>
      </c>
      <c r="I4637" s="444">
        <f t="shared" ca="1" si="193"/>
        <v>3809173851195.3657</v>
      </c>
      <c r="J4637" s="444">
        <f t="array" ref="J4637">IFERROR(INDEX('Retirement Calculator'!J:J,MATCH('Isaac 401k'!N4637,'Retirement Calculator'!A:A,0),0),0)</f>
        <v>0</v>
      </c>
      <c r="K4637" s="444">
        <f t="shared" ca="1" si="191"/>
        <v>15871557713.314026</v>
      </c>
      <c r="L4637" s="444">
        <f t="shared" ca="1" si="192"/>
        <v>3825045408908.6797</v>
      </c>
      <c r="M4637" s="460">
        <f t="shared" si="194"/>
        <v>0.05</v>
      </c>
      <c r="N4637" s="464">
        <f t="shared" si="195"/>
        <v>192179</v>
      </c>
    </row>
    <row r="4638" spans="7:14" ht="11.25" customHeight="1" x14ac:dyDescent="0.3">
      <c r="G4638" s="459"/>
      <c r="H4638" s="459">
        <v>4631</v>
      </c>
      <c r="I4638" s="444">
        <f t="shared" ca="1" si="193"/>
        <v>3825045408908.6797</v>
      </c>
      <c r="J4638" s="444">
        <f t="array" ref="J4638">IFERROR(INDEX('Retirement Calculator'!J:J,MATCH('Isaac 401k'!N4638,'Retirement Calculator'!A:A,0),0),0)</f>
        <v>0</v>
      </c>
      <c r="K4638" s="444">
        <f t="shared" ca="1" si="191"/>
        <v>15937689203.786163</v>
      </c>
      <c r="L4638" s="444">
        <f t="shared" ca="1" si="192"/>
        <v>3840983098112.4658</v>
      </c>
      <c r="M4638" s="460">
        <f t="shared" si="194"/>
        <v>0.05</v>
      </c>
      <c r="N4638" s="464">
        <f t="shared" si="195"/>
        <v>192210</v>
      </c>
    </row>
    <row r="4639" spans="7:14" ht="11.25" customHeight="1" x14ac:dyDescent="0.3">
      <c r="G4639" s="459"/>
      <c r="H4639" s="459">
        <v>4632</v>
      </c>
      <c r="I4639" s="444">
        <f t="shared" ca="1" si="193"/>
        <v>3840983098112.4658</v>
      </c>
      <c r="J4639" s="444">
        <f t="array" ref="J4639">IFERROR(INDEX('Retirement Calculator'!J:J,MATCH('Isaac 401k'!N4639,'Retirement Calculator'!A:A,0),0),0)</f>
        <v>0</v>
      </c>
      <c r="K4639" s="444">
        <f t="shared" ca="1" si="191"/>
        <v>16004096242.135275</v>
      </c>
      <c r="L4639" s="444">
        <f t="shared" ca="1" si="192"/>
        <v>3856987194354.6011</v>
      </c>
      <c r="M4639" s="460">
        <f t="shared" si="194"/>
        <v>0.05</v>
      </c>
      <c r="N4639" s="464">
        <f t="shared" si="195"/>
        <v>192240</v>
      </c>
    </row>
    <row r="4640" spans="7:14" ht="11.25" customHeight="1" x14ac:dyDescent="0.3">
      <c r="G4640" s="459"/>
      <c r="H4640" s="459">
        <v>4633</v>
      </c>
      <c r="I4640" s="444">
        <f t="shared" ca="1" si="193"/>
        <v>3856987194354.6011</v>
      </c>
      <c r="J4640" s="444">
        <f t="array" ref="J4640">IFERROR(INDEX('Retirement Calculator'!J:J,MATCH('Isaac 401k'!N4640,'Retirement Calculator'!A:A,0),0),0)</f>
        <v>0</v>
      </c>
      <c r="K4640" s="444">
        <f t="shared" ca="1" si="191"/>
        <v>16070779976.477505</v>
      </c>
      <c r="L4640" s="444">
        <f t="shared" ca="1" si="192"/>
        <v>3873057974331.0786</v>
      </c>
      <c r="M4640" s="460">
        <f t="shared" si="194"/>
        <v>0.05</v>
      </c>
      <c r="N4640" s="464">
        <f t="shared" si="195"/>
        <v>192271</v>
      </c>
    </row>
    <row r="4641" spans="7:14" ht="11.25" customHeight="1" x14ac:dyDescent="0.3">
      <c r="G4641" s="459"/>
      <c r="H4641" s="459">
        <v>4634</v>
      </c>
      <c r="I4641" s="444">
        <f t="shared" ca="1" si="193"/>
        <v>3873057974331.0786</v>
      </c>
      <c r="J4641" s="444">
        <f t="array" ref="J4641">IFERROR(INDEX('Retirement Calculator'!J:J,MATCH('Isaac 401k'!N4641,'Retirement Calculator'!A:A,0),0),0)</f>
        <v>0</v>
      </c>
      <c r="K4641" s="444">
        <f t="shared" ca="1" si="191"/>
        <v>16137741559.712828</v>
      </c>
      <c r="L4641" s="444">
        <f t="shared" ca="1" si="192"/>
        <v>3889195715890.7915</v>
      </c>
      <c r="M4641" s="460">
        <f t="shared" si="194"/>
        <v>0.05</v>
      </c>
      <c r="N4641" s="464">
        <f t="shared" si="195"/>
        <v>192301</v>
      </c>
    </row>
    <row r="4642" spans="7:14" ht="11.25" customHeight="1" x14ac:dyDescent="0.3">
      <c r="G4642" s="459"/>
      <c r="H4642" s="459">
        <v>4635</v>
      </c>
      <c r="I4642" s="444">
        <f t="shared" ca="1" si="193"/>
        <v>3889195715890.7915</v>
      </c>
      <c r="J4642" s="444">
        <f t="array" ref="J4642">IFERROR(INDEX('Retirement Calculator'!J:J,MATCH('Isaac 401k'!N4642,'Retirement Calculator'!A:A,0),0),0)</f>
        <v>0</v>
      </c>
      <c r="K4642" s="444">
        <f t="shared" ca="1" si="191"/>
        <v>16204982149.544966</v>
      </c>
      <c r="L4642" s="444">
        <f t="shared" ca="1" si="192"/>
        <v>3905400698040.3364</v>
      </c>
      <c r="M4642" s="460">
        <f t="shared" si="194"/>
        <v>0.05</v>
      </c>
      <c r="N4642" s="464">
        <f t="shared" si="195"/>
        <v>192332</v>
      </c>
    </row>
    <row r="4643" spans="7:14" ht="11.25" customHeight="1" x14ac:dyDescent="0.3">
      <c r="G4643" s="459"/>
      <c r="H4643" s="459">
        <v>4636</v>
      </c>
      <c r="I4643" s="444">
        <f t="shared" ca="1" si="193"/>
        <v>3905400698040.3364</v>
      </c>
      <c r="J4643" s="444">
        <f t="array" ref="J4643">IFERROR(INDEX('Retirement Calculator'!J:J,MATCH('Isaac 401k'!N4643,'Retirement Calculator'!A:A,0),0),0)</f>
        <v>0</v>
      </c>
      <c r="K4643" s="444">
        <f t="shared" ca="1" si="191"/>
        <v>16272502908.501404</v>
      </c>
      <c r="L4643" s="444">
        <f t="shared" ca="1" si="192"/>
        <v>3921673200948.8379</v>
      </c>
      <c r="M4643" s="460">
        <f t="shared" si="194"/>
        <v>0.05</v>
      </c>
      <c r="N4643" s="464">
        <f t="shared" si="195"/>
        <v>192363</v>
      </c>
    </row>
    <row r="4644" spans="7:14" ht="11.25" customHeight="1" x14ac:dyDescent="0.3">
      <c r="G4644" s="459"/>
      <c r="H4644" s="459">
        <v>4637</v>
      </c>
      <c r="I4644" s="444">
        <f t="shared" ca="1" si="193"/>
        <v>3921673200948.8379</v>
      </c>
      <c r="J4644" s="444">
        <f t="array" ref="J4644">IFERROR(INDEX('Retirement Calculator'!J:J,MATCH('Isaac 401k'!N4644,'Retirement Calculator'!A:A,0),0),0)</f>
        <v>0</v>
      </c>
      <c r="K4644" s="444">
        <f t="shared" ca="1" si="191"/>
        <v>16340305003.953489</v>
      </c>
      <c r="L4644" s="444">
        <f t="shared" ca="1" si="192"/>
        <v>3938013505952.7915</v>
      </c>
      <c r="M4644" s="460">
        <f t="shared" si="194"/>
        <v>0.05</v>
      </c>
      <c r="N4644" s="464">
        <f t="shared" si="195"/>
        <v>192393</v>
      </c>
    </row>
    <row r="4645" spans="7:14" ht="11.25" customHeight="1" x14ac:dyDescent="0.3">
      <c r="G4645" s="459"/>
      <c r="H4645" s="459">
        <v>4638</v>
      </c>
      <c r="I4645" s="444">
        <f t="shared" ca="1" si="193"/>
        <v>3938013505952.7915</v>
      </c>
      <c r="J4645" s="444">
        <f t="array" ref="J4645">IFERROR(INDEX('Retirement Calculator'!J:J,MATCH('Isaac 401k'!N4645,'Retirement Calculator'!A:A,0),0),0)</f>
        <v>0</v>
      </c>
      <c r="K4645" s="444">
        <f t="shared" ca="1" si="191"/>
        <v>16408389608.136631</v>
      </c>
      <c r="L4645" s="444">
        <f t="shared" ca="1" si="192"/>
        <v>3954421895560.9282</v>
      </c>
      <c r="M4645" s="460">
        <f t="shared" si="194"/>
        <v>0.05</v>
      </c>
      <c r="N4645" s="464">
        <f t="shared" si="195"/>
        <v>192424</v>
      </c>
    </row>
    <row r="4646" spans="7:14" ht="11.25" customHeight="1" x14ac:dyDescent="0.3">
      <c r="G4646" s="459"/>
      <c r="H4646" s="459">
        <v>4639</v>
      </c>
      <c r="I4646" s="444">
        <f t="shared" ca="1" si="193"/>
        <v>3954421895560.9282</v>
      </c>
      <c r="J4646" s="444">
        <f t="array" ref="J4646">IFERROR(INDEX('Retirement Calculator'!J:J,MATCH('Isaac 401k'!N4646,'Retirement Calculator'!A:A,0),0),0)</f>
        <v>0</v>
      </c>
      <c r="K4646" s="444">
        <f t="shared" ca="1" si="191"/>
        <v>16476757898.170536</v>
      </c>
      <c r="L4646" s="444">
        <f t="shared" ca="1" si="192"/>
        <v>3970898653459.0986</v>
      </c>
      <c r="M4646" s="460">
        <f t="shared" si="194"/>
        <v>0.05</v>
      </c>
      <c r="N4646" s="464">
        <f t="shared" si="195"/>
        <v>192454</v>
      </c>
    </row>
    <row r="4647" spans="7:14" ht="11.25" customHeight="1" x14ac:dyDescent="0.3">
      <c r="G4647" s="459"/>
      <c r="H4647" s="459">
        <v>4640</v>
      </c>
      <c r="I4647" s="444">
        <f t="shared" ca="1" si="193"/>
        <v>3970898653459.0986</v>
      </c>
      <c r="J4647" s="444">
        <f t="array" ref="J4647">IFERROR(INDEX('Retirement Calculator'!J:J,MATCH('Isaac 401k'!N4647,'Retirement Calculator'!A:A,0),0),0)</f>
        <v>0</v>
      </c>
      <c r="K4647" s="444">
        <f t="shared" ca="1" si="191"/>
        <v>16545411056.079576</v>
      </c>
      <c r="L4647" s="444">
        <f t="shared" ca="1" si="192"/>
        <v>3987444064515.1782</v>
      </c>
      <c r="M4647" s="460">
        <f t="shared" si="194"/>
        <v>0.05</v>
      </c>
      <c r="N4647" s="464">
        <f t="shared" si="195"/>
        <v>192485</v>
      </c>
    </row>
    <row r="4648" spans="7:14" ht="11.25" customHeight="1" x14ac:dyDescent="0.3">
      <c r="G4648" s="459"/>
      <c r="H4648" s="459">
        <v>4641</v>
      </c>
      <c r="I4648" s="444">
        <f t="shared" ca="1" si="193"/>
        <v>3987444064515.1782</v>
      </c>
      <c r="J4648" s="444">
        <f t="array" ref="J4648">IFERROR(INDEX('Retirement Calculator'!J:J,MATCH('Isaac 401k'!N4648,'Retirement Calculator'!A:A,0),0),0)</f>
        <v>0</v>
      </c>
      <c r="K4648" s="444">
        <f t="shared" ca="1" si="191"/>
        <v>16614350268.813242</v>
      </c>
      <c r="L4648" s="444">
        <f t="shared" ca="1" si="192"/>
        <v>4004058414783.9917</v>
      </c>
      <c r="M4648" s="460">
        <f t="shared" si="194"/>
        <v>0.05</v>
      </c>
      <c r="N4648" s="464">
        <f t="shared" si="195"/>
        <v>192516</v>
      </c>
    </row>
    <row r="4649" spans="7:14" ht="11.25" customHeight="1" x14ac:dyDescent="0.3">
      <c r="G4649" s="459"/>
      <c r="H4649" s="459">
        <v>4642</v>
      </c>
      <c r="I4649" s="444">
        <f t="shared" ca="1" si="193"/>
        <v>4004058414783.9917</v>
      </c>
      <c r="J4649" s="444">
        <f t="array" ref="J4649">IFERROR(INDEX('Retirement Calculator'!J:J,MATCH('Isaac 401k'!N4649,'Retirement Calculator'!A:A,0),0),0)</f>
        <v>0</v>
      </c>
      <c r="K4649" s="444">
        <f t="shared" ca="1" si="191"/>
        <v>16683576728.26663</v>
      </c>
      <c r="L4649" s="444">
        <f t="shared" ca="1" si="192"/>
        <v>4020741991512.2583</v>
      </c>
      <c r="M4649" s="460">
        <f t="shared" si="194"/>
        <v>0.05</v>
      </c>
      <c r="N4649" s="464">
        <f t="shared" si="195"/>
        <v>192544</v>
      </c>
    </row>
    <row r="4650" spans="7:14" ht="11.25" customHeight="1" x14ac:dyDescent="0.3">
      <c r="G4650" s="459"/>
      <c r="H4650" s="459">
        <v>4643</v>
      </c>
      <c r="I4650" s="444">
        <f t="shared" ca="1" si="193"/>
        <v>4020741991512.2583</v>
      </c>
      <c r="J4650" s="444">
        <f t="array" ref="J4650">IFERROR(INDEX('Retirement Calculator'!J:J,MATCH('Isaac 401k'!N4650,'Retirement Calculator'!A:A,0),0),0)</f>
        <v>0</v>
      </c>
      <c r="K4650" s="444">
        <f t="shared" ca="1" si="191"/>
        <v>16753091631.301079</v>
      </c>
      <c r="L4650" s="444">
        <f t="shared" ca="1" si="192"/>
        <v>4037495083143.5596</v>
      </c>
      <c r="M4650" s="460">
        <f t="shared" si="194"/>
        <v>0.05</v>
      </c>
      <c r="N4650" s="464">
        <f t="shared" si="195"/>
        <v>192575</v>
      </c>
    </row>
    <row r="4651" spans="7:14" ht="11.25" customHeight="1" x14ac:dyDescent="0.3">
      <c r="G4651" s="459"/>
      <c r="H4651" s="459">
        <v>4644</v>
      </c>
      <c r="I4651" s="444">
        <f t="shared" ca="1" si="193"/>
        <v>4037495083143.5596</v>
      </c>
      <c r="J4651" s="444">
        <f t="array" ref="J4651">IFERROR(INDEX('Retirement Calculator'!J:J,MATCH('Isaac 401k'!N4651,'Retirement Calculator'!A:A,0),0),0)</f>
        <v>0</v>
      </c>
      <c r="K4651" s="444">
        <f t="shared" ca="1" si="191"/>
        <v>16822896179.76483</v>
      </c>
      <c r="L4651" s="444">
        <f t="shared" ca="1" si="192"/>
        <v>4054317979323.3242</v>
      </c>
      <c r="M4651" s="460">
        <f t="shared" si="194"/>
        <v>0.05</v>
      </c>
      <c r="N4651" s="464">
        <f t="shared" si="195"/>
        <v>192605</v>
      </c>
    </row>
    <row r="4652" spans="7:14" ht="11.25" customHeight="1" x14ac:dyDescent="0.3">
      <c r="G4652" s="459"/>
      <c r="H4652" s="459">
        <v>4645</v>
      </c>
      <c r="I4652" s="444">
        <f t="shared" ca="1" si="193"/>
        <v>4054317979323.3242</v>
      </c>
      <c r="J4652" s="444">
        <f t="array" ref="J4652">IFERROR(INDEX('Retirement Calculator'!J:J,MATCH('Isaac 401k'!N4652,'Retirement Calculator'!A:A,0),0),0)</f>
        <v>0</v>
      </c>
      <c r="K4652" s="444">
        <f t="shared" ca="1" si="191"/>
        <v>16892991580.513849</v>
      </c>
      <c r="L4652" s="444">
        <f t="shared" ca="1" si="192"/>
        <v>4071210970903.8379</v>
      </c>
      <c r="M4652" s="460">
        <f t="shared" si="194"/>
        <v>0.05</v>
      </c>
      <c r="N4652" s="464">
        <f t="shared" si="195"/>
        <v>192636</v>
      </c>
    </row>
    <row r="4653" spans="7:14" ht="11.25" customHeight="1" x14ac:dyDescent="0.3">
      <c r="G4653" s="459"/>
      <c r="H4653" s="459">
        <v>4646</v>
      </c>
      <c r="I4653" s="444">
        <f t="shared" ca="1" si="193"/>
        <v>4071210970903.8379</v>
      </c>
      <c r="J4653" s="444">
        <f t="array" ref="J4653">IFERROR(INDEX('Retirement Calculator'!J:J,MATCH('Isaac 401k'!N4653,'Retirement Calculator'!A:A,0),0),0)</f>
        <v>0</v>
      </c>
      <c r="K4653" s="444">
        <f t="shared" ca="1" si="191"/>
        <v>16963379045.432657</v>
      </c>
      <c r="L4653" s="444">
        <f t="shared" ca="1" si="192"/>
        <v>4088174349949.2705</v>
      </c>
      <c r="M4653" s="460">
        <f t="shared" si="194"/>
        <v>0.05</v>
      </c>
      <c r="N4653" s="464">
        <f t="shared" si="195"/>
        <v>192666</v>
      </c>
    </row>
    <row r="4654" spans="7:14" ht="11.25" customHeight="1" x14ac:dyDescent="0.3">
      <c r="G4654" s="459"/>
      <c r="H4654" s="459">
        <v>4647</v>
      </c>
      <c r="I4654" s="444">
        <f t="shared" ca="1" si="193"/>
        <v>4088174349949.2705</v>
      </c>
      <c r="J4654" s="444">
        <f t="array" ref="J4654">IFERROR(INDEX('Retirement Calculator'!J:J,MATCH('Isaac 401k'!N4654,'Retirement Calculator'!A:A,0),0),0)</f>
        <v>0</v>
      </c>
      <c r="K4654" s="444">
        <f t="shared" ca="1" si="191"/>
        <v>17034059791.455294</v>
      </c>
      <c r="L4654" s="444">
        <f t="shared" ca="1" si="192"/>
        <v>4105208409740.7256</v>
      </c>
      <c r="M4654" s="460">
        <f t="shared" si="194"/>
        <v>0.05</v>
      </c>
      <c r="N4654" s="464">
        <f t="shared" si="195"/>
        <v>192697</v>
      </c>
    </row>
    <row r="4655" spans="7:14" ht="11.25" customHeight="1" x14ac:dyDescent="0.3">
      <c r="G4655" s="459"/>
      <c r="H4655" s="459">
        <v>4648</v>
      </c>
      <c r="I4655" s="444">
        <f t="shared" ca="1" si="193"/>
        <v>4105208409740.7256</v>
      </c>
      <c r="J4655" s="444">
        <f t="array" ref="J4655">IFERROR(INDEX('Retirement Calculator'!J:J,MATCH('Isaac 401k'!N4655,'Retirement Calculator'!A:A,0),0),0)</f>
        <v>0</v>
      </c>
      <c r="K4655" s="444">
        <f t="shared" ca="1" si="191"/>
        <v>17105035040.586357</v>
      </c>
      <c r="L4655" s="444">
        <f t="shared" ca="1" si="192"/>
        <v>4122313444781.312</v>
      </c>
      <c r="M4655" s="460">
        <f t="shared" si="194"/>
        <v>0.05</v>
      </c>
      <c r="N4655" s="464">
        <f t="shared" si="195"/>
        <v>192728</v>
      </c>
    </row>
    <row r="4656" spans="7:14" ht="11.25" customHeight="1" x14ac:dyDescent="0.3">
      <c r="G4656" s="459"/>
      <c r="H4656" s="459">
        <v>4649</v>
      </c>
      <c r="I4656" s="444">
        <f t="shared" ca="1" si="193"/>
        <v>4122313444781.312</v>
      </c>
      <c r="J4656" s="444">
        <f t="array" ref="J4656">IFERROR(INDEX('Retirement Calculator'!J:J,MATCH('Isaac 401k'!N4656,'Retirement Calculator'!A:A,0),0),0)</f>
        <v>0</v>
      </c>
      <c r="K4656" s="444">
        <f t="shared" ca="1" si="191"/>
        <v>17176306019.922131</v>
      </c>
      <c r="L4656" s="444">
        <f t="shared" ca="1" si="192"/>
        <v>4139489750801.2344</v>
      </c>
      <c r="M4656" s="460">
        <f t="shared" si="194"/>
        <v>0.05</v>
      </c>
      <c r="N4656" s="464">
        <f t="shared" si="195"/>
        <v>192758</v>
      </c>
    </row>
    <row r="4657" spans="7:14" ht="11.25" customHeight="1" x14ac:dyDescent="0.3">
      <c r="G4657" s="459"/>
      <c r="H4657" s="459">
        <v>4650</v>
      </c>
      <c r="I4657" s="444">
        <f t="shared" ca="1" si="193"/>
        <v>4139489750801.2344</v>
      </c>
      <c r="J4657" s="444">
        <f t="array" ref="J4657">IFERROR(INDEX('Retirement Calculator'!J:J,MATCH('Isaac 401k'!N4657,'Retirement Calculator'!A:A,0),0),0)</f>
        <v>0</v>
      </c>
      <c r="K4657" s="444">
        <f t="shared" ca="1" si="191"/>
        <v>17247873961.67181</v>
      </c>
      <c r="L4657" s="444">
        <f t="shared" ca="1" si="192"/>
        <v>4156737624762.9063</v>
      </c>
      <c r="M4657" s="460">
        <f t="shared" si="194"/>
        <v>0.05</v>
      </c>
      <c r="N4657" s="464">
        <f t="shared" si="195"/>
        <v>192789</v>
      </c>
    </row>
    <row r="4658" spans="7:14" ht="11.25" customHeight="1" x14ac:dyDescent="0.3">
      <c r="G4658" s="459"/>
      <c r="H4658" s="459">
        <v>4651</v>
      </c>
      <c r="I4658" s="444">
        <f t="shared" ca="1" si="193"/>
        <v>4156737624762.9063</v>
      </c>
      <c r="J4658" s="444">
        <f t="array" ref="J4658">IFERROR(INDEX('Retirement Calculator'!J:J,MATCH('Isaac 401k'!N4658,'Retirement Calculator'!A:A,0),0),0)</f>
        <v>0</v>
      </c>
      <c r="K4658" s="444">
        <f t="shared" ca="1" si="191"/>
        <v>17319740103.178776</v>
      </c>
      <c r="L4658" s="444">
        <f t="shared" ca="1" si="192"/>
        <v>4174057364866.085</v>
      </c>
      <c r="M4658" s="460">
        <f t="shared" si="194"/>
        <v>0.05</v>
      </c>
      <c r="N4658" s="464">
        <f t="shared" si="195"/>
        <v>192819</v>
      </c>
    </row>
    <row r="4659" spans="7:14" ht="11.25" customHeight="1" x14ac:dyDescent="0.3">
      <c r="G4659" s="459"/>
      <c r="H4659" s="459">
        <v>4652</v>
      </c>
      <c r="I4659" s="444">
        <f t="shared" ca="1" si="193"/>
        <v>4174057364866.085</v>
      </c>
      <c r="J4659" s="444">
        <f t="array" ref="J4659">IFERROR(INDEX('Retirement Calculator'!J:J,MATCH('Isaac 401k'!N4659,'Retirement Calculator'!A:A,0),0),0)</f>
        <v>0</v>
      </c>
      <c r="K4659" s="444">
        <f t="shared" ca="1" si="191"/>
        <v>17391905686.942024</v>
      </c>
      <c r="L4659" s="444">
        <f t="shared" ca="1" si="192"/>
        <v>4191449270553.0269</v>
      </c>
      <c r="M4659" s="460">
        <f t="shared" si="194"/>
        <v>0.05</v>
      </c>
      <c r="N4659" s="464">
        <f t="shared" si="195"/>
        <v>192850</v>
      </c>
    </row>
    <row r="4660" spans="7:14" ht="11.25" customHeight="1" x14ac:dyDescent="0.3">
      <c r="G4660" s="459"/>
      <c r="H4660" s="459">
        <v>4653</v>
      </c>
      <c r="I4660" s="444">
        <f t="shared" ca="1" si="193"/>
        <v>4191449270553.0269</v>
      </c>
      <c r="J4660" s="444">
        <f t="array" ref="J4660">IFERROR(INDEX('Retirement Calculator'!J:J,MATCH('Isaac 401k'!N4660,'Retirement Calculator'!A:A,0),0),0)</f>
        <v>0</v>
      </c>
      <c r="K4660" s="444">
        <f t="shared" ca="1" si="191"/>
        <v>17464371960.637611</v>
      </c>
      <c r="L4660" s="444">
        <f t="shared" ca="1" si="192"/>
        <v>4208913642513.6646</v>
      </c>
      <c r="M4660" s="460">
        <f t="shared" si="194"/>
        <v>0.05</v>
      </c>
      <c r="N4660" s="464">
        <f t="shared" si="195"/>
        <v>192881</v>
      </c>
    </row>
    <row r="4661" spans="7:14" ht="11.25" customHeight="1" x14ac:dyDescent="0.3">
      <c r="G4661" s="459"/>
      <c r="H4661" s="459">
        <v>4654</v>
      </c>
      <c r="I4661" s="444">
        <f t="shared" ca="1" si="193"/>
        <v>4208913642513.6646</v>
      </c>
      <c r="J4661" s="444">
        <f t="array" ref="J4661">IFERROR(INDEX('Retirement Calculator'!J:J,MATCH('Isaac 401k'!N4661,'Retirement Calculator'!A:A,0),0),0)</f>
        <v>0</v>
      </c>
      <c r="K4661" s="444">
        <f t="shared" ca="1" si="191"/>
        <v>17537140177.14027</v>
      </c>
      <c r="L4661" s="444">
        <f t="shared" ca="1" si="192"/>
        <v>4226450782690.8047</v>
      </c>
      <c r="M4661" s="460">
        <f t="shared" si="194"/>
        <v>0.05</v>
      </c>
      <c r="N4661" s="464">
        <f t="shared" si="195"/>
        <v>192910</v>
      </c>
    </row>
    <row r="4662" spans="7:14" ht="11.25" customHeight="1" x14ac:dyDescent="0.3">
      <c r="G4662" s="459"/>
      <c r="H4662" s="459">
        <v>4655</v>
      </c>
      <c r="I4662" s="444">
        <f t="shared" ca="1" si="193"/>
        <v>4226450782690.8047</v>
      </c>
      <c r="J4662" s="444">
        <f t="array" ref="J4662">IFERROR(INDEX('Retirement Calculator'!J:J,MATCH('Isaac 401k'!N4662,'Retirement Calculator'!A:A,0),0),0)</f>
        <v>0</v>
      </c>
      <c r="K4662" s="444">
        <f t="shared" ca="1" si="191"/>
        <v>17610211594.545021</v>
      </c>
      <c r="L4662" s="444">
        <f t="shared" ca="1" si="192"/>
        <v>4244060994285.3496</v>
      </c>
      <c r="M4662" s="460">
        <f t="shared" si="194"/>
        <v>0.05</v>
      </c>
      <c r="N4662" s="464">
        <f t="shared" si="195"/>
        <v>192941</v>
      </c>
    </row>
    <row r="4663" spans="7:14" ht="11.25" customHeight="1" x14ac:dyDescent="0.3">
      <c r="G4663" s="459"/>
      <c r="H4663" s="459">
        <v>4656</v>
      </c>
      <c r="I4663" s="444">
        <f t="shared" ca="1" si="193"/>
        <v>4244060994285.3496</v>
      </c>
      <c r="J4663" s="444">
        <f t="array" ref="J4663">IFERROR(INDEX('Retirement Calculator'!J:J,MATCH('Isaac 401k'!N4663,'Retirement Calculator'!A:A,0),0),0)</f>
        <v>0</v>
      </c>
      <c r="K4663" s="444">
        <f t="shared" ca="1" si="191"/>
        <v>17683587476.188957</v>
      </c>
      <c r="L4663" s="444">
        <f t="shared" ca="1" si="192"/>
        <v>4261744581761.5386</v>
      </c>
      <c r="M4663" s="460">
        <f t="shared" si="194"/>
        <v>0.05</v>
      </c>
      <c r="N4663" s="464">
        <f t="shared" si="195"/>
        <v>192971</v>
      </c>
    </row>
    <row r="4664" spans="7:14" ht="11.25" customHeight="1" x14ac:dyDescent="0.3">
      <c r="G4664" s="459"/>
      <c r="H4664" s="459">
        <v>4657</v>
      </c>
      <c r="I4664" s="444">
        <f t="shared" ca="1" si="193"/>
        <v>4261744581761.5386</v>
      </c>
      <c r="J4664" s="444">
        <f t="array" ref="J4664">IFERROR(INDEX('Retirement Calculator'!J:J,MATCH('Isaac 401k'!N4664,'Retirement Calculator'!A:A,0),0),0)</f>
        <v>0</v>
      </c>
      <c r="K4664" s="444">
        <f t="shared" ca="1" si="191"/>
        <v>17757269090.673077</v>
      </c>
      <c r="L4664" s="444">
        <f t="shared" ca="1" si="192"/>
        <v>4279501850852.2114</v>
      </c>
      <c r="M4664" s="460">
        <f t="shared" si="194"/>
        <v>0.05</v>
      </c>
      <c r="N4664" s="464">
        <f t="shared" si="195"/>
        <v>193002</v>
      </c>
    </row>
    <row r="4665" spans="7:14" ht="11.25" customHeight="1" x14ac:dyDescent="0.3">
      <c r="G4665" s="459"/>
      <c r="H4665" s="459">
        <v>4658</v>
      </c>
      <c r="I4665" s="444">
        <f t="shared" ca="1" si="193"/>
        <v>4279501850852.2114</v>
      </c>
      <c r="J4665" s="444">
        <f t="array" ref="J4665">IFERROR(INDEX('Retirement Calculator'!J:J,MATCH('Isaac 401k'!N4665,'Retirement Calculator'!A:A,0),0),0)</f>
        <v>0</v>
      </c>
      <c r="K4665" s="444">
        <f t="shared" ca="1" si="191"/>
        <v>17831257711.884212</v>
      </c>
      <c r="L4665" s="444">
        <f t="shared" ca="1" si="192"/>
        <v>4297333108564.0957</v>
      </c>
      <c r="M4665" s="460">
        <f t="shared" si="194"/>
        <v>0.05</v>
      </c>
      <c r="N4665" s="464">
        <f t="shared" si="195"/>
        <v>193032</v>
      </c>
    </row>
    <row r="4666" spans="7:14" ht="11.25" customHeight="1" x14ac:dyDescent="0.3">
      <c r="G4666" s="459"/>
      <c r="H4666" s="459">
        <v>4659</v>
      </c>
      <c r="I4666" s="444">
        <f t="shared" ca="1" si="193"/>
        <v>4297333108564.0957</v>
      </c>
      <c r="J4666" s="444">
        <f t="array" ref="J4666">IFERROR(INDEX('Retirement Calculator'!J:J,MATCH('Isaac 401k'!N4666,'Retirement Calculator'!A:A,0),0),0)</f>
        <v>0</v>
      </c>
      <c r="K4666" s="444">
        <f t="shared" ca="1" si="191"/>
        <v>17905554619.017067</v>
      </c>
      <c r="L4666" s="444">
        <f t="shared" ca="1" si="192"/>
        <v>4315238663183.1128</v>
      </c>
      <c r="M4666" s="460">
        <f t="shared" si="194"/>
        <v>0.05</v>
      </c>
      <c r="N4666" s="464">
        <f t="shared" si="195"/>
        <v>193063</v>
      </c>
    </row>
    <row r="4667" spans="7:14" ht="11.25" customHeight="1" x14ac:dyDescent="0.3">
      <c r="G4667" s="459"/>
      <c r="H4667" s="459">
        <v>4660</v>
      </c>
      <c r="I4667" s="444">
        <f t="shared" ca="1" si="193"/>
        <v>4315238663183.1128</v>
      </c>
      <c r="J4667" s="444">
        <f t="array" ref="J4667">IFERROR(INDEX('Retirement Calculator'!J:J,MATCH('Isaac 401k'!N4667,'Retirement Calculator'!A:A,0),0),0)</f>
        <v>0</v>
      </c>
      <c r="K4667" s="444">
        <f t="shared" ca="1" si="191"/>
        <v>17980161096.596302</v>
      </c>
      <c r="L4667" s="444">
        <f t="shared" ca="1" si="192"/>
        <v>4333218824279.709</v>
      </c>
      <c r="M4667" s="460">
        <f t="shared" si="194"/>
        <v>0.05</v>
      </c>
      <c r="N4667" s="464">
        <f t="shared" si="195"/>
        <v>193094</v>
      </c>
    </row>
    <row r="4668" spans="7:14" ht="11.25" customHeight="1" x14ac:dyDescent="0.3">
      <c r="G4668" s="459"/>
      <c r="H4668" s="459">
        <v>4661</v>
      </c>
      <c r="I4668" s="444">
        <f t="shared" ca="1" si="193"/>
        <v>4333218824279.709</v>
      </c>
      <c r="J4668" s="444">
        <f t="array" ref="J4668">IFERROR(INDEX('Retirement Calculator'!J:J,MATCH('Isaac 401k'!N4668,'Retirement Calculator'!A:A,0),0),0)</f>
        <v>0</v>
      </c>
      <c r="K4668" s="444">
        <f t="shared" ca="1" si="191"/>
        <v>18055078434.498791</v>
      </c>
      <c r="L4668" s="444">
        <f t="shared" ca="1" si="192"/>
        <v>4351273902714.208</v>
      </c>
      <c r="M4668" s="460">
        <f t="shared" si="194"/>
        <v>0.05</v>
      </c>
      <c r="N4668" s="464">
        <f t="shared" si="195"/>
        <v>193124</v>
      </c>
    </row>
    <row r="4669" spans="7:14" ht="11.25" customHeight="1" x14ac:dyDescent="0.3">
      <c r="G4669" s="459"/>
      <c r="H4669" s="459">
        <v>4662</v>
      </c>
      <c r="I4669" s="444">
        <f t="shared" ca="1" si="193"/>
        <v>4351273902714.208</v>
      </c>
      <c r="J4669" s="444">
        <f t="array" ref="J4669">IFERROR(INDEX('Retirement Calculator'!J:J,MATCH('Isaac 401k'!N4669,'Retirement Calculator'!A:A,0),0),0)</f>
        <v>0</v>
      </c>
      <c r="K4669" s="444">
        <f t="shared" ca="1" si="191"/>
        <v>18130307927.975868</v>
      </c>
      <c r="L4669" s="444">
        <f t="shared" ca="1" si="192"/>
        <v>4369404210642.1841</v>
      </c>
      <c r="M4669" s="460">
        <f t="shared" si="194"/>
        <v>0.05</v>
      </c>
      <c r="N4669" s="464">
        <f t="shared" si="195"/>
        <v>193155</v>
      </c>
    </row>
    <row r="4670" spans="7:14" ht="11.25" customHeight="1" x14ac:dyDescent="0.3">
      <c r="G4670" s="459"/>
      <c r="H4670" s="459">
        <v>4663</v>
      </c>
      <c r="I4670" s="444">
        <f t="shared" ca="1" si="193"/>
        <v>4369404210642.1841</v>
      </c>
      <c r="J4670" s="444">
        <f t="array" ref="J4670">IFERROR(INDEX('Retirement Calculator'!J:J,MATCH('Isaac 401k'!N4670,'Retirement Calculator'!A:A,0),0),0)</f>
        <v>0</v>
      </c>
      <c r="K4670" s="444">
        <f t="shared" ca="1" si="191"/>
        <v>18205850877.675766</v>
      </c>
      <c r="L4670" s="444">
        <f t="shared" ca="1" si="192"/>
        <v>4387610061519.8599</v>
      </c>
      <c r="M4670" s="460">
        <f t="shared" si="194"/>
        <v>0.05</v>
      </c>
      <c r="N4670" s="464">
        <f t="shared" si="195"/>
        <v>193185</v>
      </c>
    </row>
    <row r="4671" spans="7:14" ht="11.25" customHeight="1" x14ac:dyDescent="0.3">
      <c r="G4671" s="459"/>
      <c r="H4671" s="459">
        <v>4664</v>
      </c>
      <c r="I4671" s="444">
        <f t="shared" ca="1" si="193"/>
        <v>4387610061519.8599</v>
      </c>
      <c r="J4671" s="444">
        <f t="array" ref="J4671">IFERROR(INDEX('Retirement Calculator'!J:J,MATCH('Isaac 401k'!N4671,'Retirement Calculator'!A:A,0),0),0)</f>
        <v>0</v>
      </c>
      <c r="K4671" s="444">
        <f t="shared" ca="1" si="191"/>
        <v>18281708589.666084</v>
      </c>
      <c r="L4671" s="444">
        <f t="shared" ca="1" si="192"/>
        <v>4405891770109.5264</v>
      </c>
      <c r="M4671" s="460">
        <f t="shared" si="194"/>
        <v>0.05</v>
      </c>
      <c r="N4671" s="464">
        <f t="shared" si="195"/>
        <v>193216</v>
      </c>
    </row>
    <row r="4672" spans="7:14" ht="11.25" customHeight="1" x14ac:dyDescent="0.3">
      <c r="G4672" s="459"/>
      <c r="H4672" s="459">
        <v>4665</v>
      </c>
      <c r="I4672" s="444">
        <f t="shared" ca="1" si="193"/>
        <v>4405891770109.5264</v>
      </c>
      <c r="J4672" s="444">
        <f t="array" ref="J4672">IFERROR(INDEX('Retirement Calculator'!J:J,MATCH('Isaac 401k'!N4672,'Retirement Calculator'!A:A,0),0),0)</f>
        <v>0</v>
      </c>
      <c r="K4672" s="444">
        <f t="shared" ca="1" si="191"/>
        <v>18357882375.45636</v>
      </c>
      <c r="L4672" s="444">
        <f t="shared" ca="1" si="192"/>
        <v>4424249652484.9824</v>
      </c>
      <c r="M4672" s="460">
        <f t="shared" si="194"/>
        <v>0.05</v>
      </c>
      <c r="N4672" s="464">
        <f t="shared" si="195"/>
        <v>193247</v>
      </c>
    </row>
    <row r="4673" spans="7:14" ht="11.25" customHeight="1" x14ac:dyDescent="0.3">
      <c r="G4673" s="459"/>
      <c r="H4673" s="459">
        <v>4666</v>
      </c>
      <c r="I4673" s="444">
        <f t="shared" ca="1" si="193"/>
        <v>4424249652484.9824</v>
      </c>
      <c r="J4673" s="444">
        <f t="array" ref="J4673">IFERROR(INDEX('Retirement Calculator'!J:J,MATCH('Isaac 401k'!N4673,'Retirement Calculator'!A:A,0),0),0)</f>
        <v>0</v>
      </c>
      <c r="K4673" s="444">
        <f t="shared" ca="1" si="191"/>
        <v>18434373552.02076</v>
      </c>
      <c r="L4673" s="444">
        <f t="shared" ca="1" si="192"/>
        <v>4442684026037.0029</v>
      </c>
      <c r="M4673" s="460">
        <f t="shared" si="194"/>
        <v>0.05</v>
      </c>
      <c r="N4673" s="464">
        <f t="shared" si="195"/>
        <v>193275</v>
      </c>
    </row>
    <row r="4674" spans="7:14" ht="11.25" customHeight="1" x14ac:dyDescent="0.3">
      <c r="G4674" s="459"/>
      <c r="H4674" s="459">
        <v>4667</v>
      </c>
      <c r="I4674" s="444">
        <f t="shared" ca="1" si="193"/>
        <v>4442684026037.0029</v>
      </c>
      <c r="J4674" s="444">
        <f t="array" ref="J4674">IFERROR(INDEX('Retirement Calculator'!J:J,MATCH('Isaac 401k'!N4674,'Retirement Calculator'!A:A,0),0),0)</f>
        <v>0</v>
      </c>
      <c r="K4674" s="444">
        <f t="shared" ca="1" si="191"/>
        <v>18511183441.820847</v>
      </c>
      <c r="L4674" s="444">
        <f t="shared" ca="1" si="192"/>
        <v>4461195209478.8242</v>
      </c>
      <c r="M4674" s="460">
        <f t="shared" si="194"/>
        <v>0.05</v>
      </c>
      <c r="N4674" s="464">
        <f t="shared" si="195"/>
        <v>193306</v>
      </c>
    </row>
    <row r="4675" spans="7:14" ht="11.25" customHeight="1" x14ac:dyDescent="0.3">
      <c r="G4675" s="459"/>
      <c r="H4675" s="459">
        <v>4668</v>
      </c>
      <c r="I4675" s="444">
        <f t="shared" ca="1" si="193"/>
        <v>4461195209478.8242</v>
      </c>
      <c r="J4675" s="444">
        <f t="array" ref="J4675">IFERROR(INDEX('Retirement Calculator'!J:J,MATCH('Isaac 401k'!N4675,'Retirement Calculator'!A:A,0),0),0)</f>
        <v>0</v>
      </c>
      <c r="K4675" s="444">
        <f t="shared" ca="1" si="191"/>
        <v>18588313372.828434</v>
      </c>
      <c r="L4675" s="444">
        <f t="shared" ca="1" si="192"/>
        <v>4479783522851.6523</v>
      </c>
      <c r="M4675" s="460">
        <f t="shared" si="194"/>
        <v>0.05</v>
      </c>
      <c r="N4675" s="464">
        <f t="shared" si="195"/>
        <v>193336</v>
      </c>
    </row>
    <row r="4676" spans="7:14" ht="11.25" customHeight="1" x14ac:dyDescent="0.3">
      <c r="G4676" s="459"/>
      <c r="H4676" s="459">
        <v>4669</v>
      </c>
      <c r="I4676" s="444">
        <f t="shared" ca="1" si="193"/>
        <v>4479783522851.6523</v>
      </c>
      <c r="J4676" s="444">
        <f t="array" ref="J4676">IFERROR(INDEX('Retirement Calculator'!J:J,MATCH('Isaac 401k'!N4676,'Retirement Calculator'!A:A,0),0),0)</f>
        <v>0</v>
      </c>
      <c r="K4676" s="444">
        <f t="shared" ca="1" si="191"/>
        <v>18665764678.54855</v>
      </c>
      <c r="L4676" s="444">
        <f t="shared" ca="1" si="192"/>
        <v>4498449287530.2012</v>
      </c>
      <c r="M4676" s="460">
        <f t="shared" si="194"/>
        <v>0.05</v>
      </c>
      <c r="N4676" s="464">
        <f t="shared" si="195"/>
        <v>193367</v>
      </c>
    </row>
    <row r="4677" spans="7:14" ht="11.25" customHeight="1" x14ac:dyDescent="0.3">
      <c r="G4677" s="459"/>
      <c r="H4677" s="459">
        <v>4670</v>
      </c>
      <c r="I4677" s="444">
        <f t="shared" ca="1" si="193"/>
        <v>4498449287530.2012</v>
      </c>
      <c r="J4677" s="444">
        <f t="array" ref="J4677">IFERROR(INDEX('Retirement Calculator'!J:J,MATCH('Isaac 401k'!N4677,'Retirement Calculator'!A:A,0),0),0)</f>
        <v>0</v>
      </c>
      <c r="K4677" s="444">
        <f t="shared" ca="1" si="191"/>
        <v>18743538698.042503</v>
      </c>
      <c r="L4677" s="444">
        <f t="shared" ca="1" si="192"/>
        <v>4517192826228.2441</v>
      </c>
      <c r="M4677" s="460">
        <f t="shared" si="194"/>
        <v>0.05</v>
      </c>
      <c r="N4677" s="464">
        <f t="shared" si="195"/>
        <v>193397</v>
      </c>
    </row>
    <row r="4678" spans="7:14" ht="11.25" customHeight="1" x14ac:dyDescent="0.3">
      <c r="G4678" s="459"/>
      <c r="H4678" s="459">
        <v>4671</v>
      </c>
      <c r="I4678" s="444">
        <f t="shared" ca="1" si="193"/>
        <v>4517192826228.2441</v>
      </c>
      <c r="J4678" s="444">
        <f t="array" ref="J4678">IFERROR(INDEX('Retirement Calculator'!J:J,MATCH('Isaac 401k'!N4678,'Retirement Calculator'!A:A,0),0),0)</f>
        <v>0</v>
      </c>
      <c r="K4678" s="444">
        <f t="shared" ca="1" si="191"/>
        <v>18821636775.951015</v>
      </c>
      <c r="L4678" s="444">
        <f t="shared" ca="1" si="192"/>
        <v>4536014463004.1953</v>
      </c>
      <c r="M4678" s="460">
        <f t="shared" si="194"/>
        <v>0.05</v>
      </c>
      <c r="N4678" s="464">
        <f t="shared" si="195"/>
        <v>193428</v>
      </c>
    </row>
    <row r="4679" spans="7:14" ht="11.25" customHeight="1" x14ac:dyDescent="0.3">
      <c r="G4679" s="459"/>
      <c r="H4679" s="459">
        <v>4672</v>
      </c>
      <c r="I4679" s="444">
        <f t="shared" ca="1" si="193"/>
        <v>4536014463004.1953</v>
      </c>
      <c r="J4679" s="444">
        <f t="array" ref="J4679">IFERROR(INDEX('Retirement Calculator'!J:J,MATCH('Isaac 401k'!N4679,'Retirement Calculator'!A:A,0),0),0)</f>
        <v>0</v>
      </c>
      <c r="K4679" s="444">
        <f t="shared" ca="1" si="191"/>
        <v>18900060262.517479</v>
      </c>
      <c r="L4679" s="444">
        <f t="shared" ca="1" si="192"/>
        <v>4554914523266.7129</v>
      </c>
      <c r="M4679" s="460">
        <f t="shared" si="194"/>
        <v>0.05</v>
      </c>
      <c r="N4679" s="464">
        <f t="shared" si="195"/>
        <v>193459</v>
      </c>
    </row>
    <row r="4680" spans="7:14" ht="11.25" customHeight="1" x14ac:dyDescent="0.3">
      <c r="G4680" s="459"/>
      <c r="H4680" s="459">
        <v>4673</v>
      </c>
      <c r="I4680" s="444">
        <f t="shared" ca="1" si="193"/>
        <v>4554914523266.7129</v>
      </c>
      <c r="J4680" s="444">
        <f t="array" ref="J4680">IFERROR(INDEX('Retirement Calculator'!J:J,MATCH('Isaac 401k'!N4680,'Retirement Calculator'!A:A,0),0),0)</f>
        <v>0</v>
      </c>
      <c r="K4680" s="444">
        <f t="shared" ca="1" si="191"/>
        <v>18978810513.611305</v>
      </c>
      <c r="L4680" s="444">
        <f t="shared" ca="1" si="192"/>
        <v>4573893333780.3242</v>
      </c>
      <c r="M4680" s="460">
        <f t="shared" si="194"/>
        <v>0.05</v>
      </c>
      <c r="N4680" s="464">
        <f t="shared" si="195"/>
        <v>193489</v>
      </c>
    </row>
    <row r="4681" spans="7:14" ht="11.25" customHeight="1" x14ac:dyDescent="0.3">
      <c r="G4681" s="459"/>
      <c r="H4681" s="459">
        <v>4674</v>
      </c>
      <c r="I4681" s="444">
        <f t="shared" ca="1" si="193"/>
        <v>4573893333780.3242</v>
      </c>
      <c r="J4681" s="444">
        <f t="array" ref="J4681">IFERROR(INDEX('Retirement Calculator'!J:J,MATCH('Isaac 401k'!N4681,'Retirement Calculator'!A:A,0),0),0)</f>
        <v>0</v>
      </c>
      <c r="K4681" s="444">
        <f t="shared" ca="1" si="191"/>
        <v>19057888890.75135</v>
      </c>
      <c r="L4681" s="444">
        <f t="shared" ca="1" si="192"/>
        <v>4592951222671.0752</v>
      </c>
      <c r="M4681" s="460">
        <f t="shared" si="194"/>
        <v>0.05</v>
      </c>
      <c r="N4681" s="464">
        <f t="shared" si="195"/>
        <v>193520</v>
      </c>
    </row>
    <row r="4682" spans="7:14" ht="11.25" customHeight="1" x14ac:dyDescent="0.3">
      <c r="G4682" s="459"/>
      <c r="H4682" s="459">
        <v>4675</v>
      </c>
      <c r="I4682" s="444">
        <f t="shared" ca="1" si="193"/>
        <v>4592951222671.0752</v>
      </c>
      <c r="J4682" s="444">
        <f t="array" ref="J4682">IFERROR(INDEX('Retirement Calculator'!J:J,MATCH('Isaac 401k'!N4682,'Retirement Calculator'!A:A,0),0),0)</f>
        <v>0</v>
      </c>
      <c r="K4682" s="444">
        <f t="shared" ca="1" si="191"/>
        <v>19137296761.129478</v>
      </c>
      <c r="L4682" s="444">
        <f t="shared" ca="1" si="192"/>
        <v>4612088519432.2051</v>
      </c>
      <c r="M4682" s="460">
        <f t="shared" si="194"/>
        <v>0.05</v>
      </c>
      <c r="N4682" s="464">
        <f t="shared" si="195"/>
        <v>193550</v>
      </c>
    </row>
    <row r="4683" spans="7:14" ht="11.25" customHeight="1" x14ac:dyDescent="0.3">
      <c r="G4683" s="459"/>
      <c r="H4683" s="459">
        <v>4676</v>
      </c>
      <c r="I4683" s="444">
        <f t="shared" ca="1" si="193"/>
        <v>4612088519432.2051</v>
      </c>
      <c r="J4683" s="444">
        <f t="array" ref="J4683">IFERROR(INDEX('Retirement Calculator'!J:J,MATCH('Isaac 401k'!N4683,'Retirement Calculator'!A:A,0),0),0)</f>
        <v>0</v>
      </c>
      <c r="K4683" s="444">
        <f t="shared" ca="1" si="191"/>
        <v>19217035497.634186</v>
      </c>
      <c r="L4683" s="444">
        <f t="shared" ca="1" si="192"/>
        <v>4631305554929.8389</v>
      </c>
      <c r="M4683" s="460">
        <f t="shared" si="194"/>
        <v>0.05</v>
      </c>
      <c r="N4683" s="464">
        <f t="shared" si="195"/>
        <v>193581</v>
      </c>
    </row>
    <row r="4684" spans="7:14" ht="11.25" customHeight="1" x14ac:dyDescent="0.3">
      <c r="G4684" s="459"/>
      <c r="H4684" s="459">
        <v>4677</v>
      </c>
      <c r="I4684" s="444">
        <f t="shared" ca="1" si="193"/>
        <v>4631305554929.8389</v>
      </c>
      <c r="J4684" s="444">
        <f t="array" ref="J4684">IFERROR(INDEX('Retirement Calculator'!J:J,MATCH('Isaac 401k'!N4684,'Retirement Calculator'!A:A,0),0),0)</f>
        <v>0</v>
      </c>
      <c r="K4684" s="444">
        <f t="shared" ca="1" si="191"/>
        <v>19297106478.874329</v>
      </c>
      <c r="L4684" s="444">
        <f t="shared" ca="1" si="192"/>
        <v>4650602661408.7129</v>
      </c>
      <c r="M4684" s="460">
        <f t="shared" si="194"/>
        <v>0.05</v>
      </c>
      <c r="N4684" s="464">
        <f t="shared" si="195"/>
        <v>193612</v>
      </c>
    </row>
    <row r="4685" spans="7:14" ht="11.25" customHeight="1" x14ac:dyDescent="0.3">
      <c r="G4685" s="459"/>
      <c r="H4685" s="459">
        <v>4678</v>
      </c>
      <c r="I4685" s="444">
        <f t="shared" ca="1" si="193"/>
        <v>4650602661408.7129</v>
      </c>
      <c r="J4685" s="444">
        <f t="array" ref="J4685">IFERROR(INDEX('Retirement Calculator'!J:J,MATCH('Isaac 401k'!N4685,'Retirement Calculator'!A:A,0),0),0)</f>
        <v>0</v>
      </c>
      <c r="K4685" s="444">
        <f t="shared" ca="1" si="191"/>
        <v>19377511089.202969</v>
      </c>
      <c r="L4685" s="444">
        <f t="shared" ca="1" si="192"/>
        <v>4669980172497.916</v>
      </c>
      <c r="M4685" s="460">
        <f t="shared" si="194"/>
        <v>0.05</v>
      </c>
      <c r="N4685" s="464">
        <f t="shared" si="195"/>
        <v>193640</v>
      </c>
    </row>
    <row r="4686" spans="7:14" ht="11.25" customHeight="1" x14ac:dyDescent="0.3">
      <c r="G4686" s="459"/>
      <c r="H4686" s="459">
        <v>4679</v>
      </c>
      <c r="I4686" s="444">
        <f t="shared" ca="1" si="193"/>
        <v>4669980172497.916</v>
      </c>
      <c r="J4686" s="444">
        <f t="array" ref="J4686">IFERROR(INDEX('Retirement Calculator'!J:J,MATCH('Isaac 401k'!N4686,'Retirement Calculator'!A:A,0),0),0)</f>
        <v>0</v>
      </c>
      <c r="K4686" s="444">
        <f t="shared" ca="1" si="191"/>
        <v>19458250718.741318</v>
      </c>
      <c r="L4686" s="444">
        <f t="shared" ca="1" si="192"/>
        <v>4689438423216.6572</v>
      </c>
      <c r="M4686" s="460">
        <f t="shared" si="194"/>
        <v>0.05</v>
      </c>
      <c r="N4686" s="464">
        <f t="shared" si="195"/>
        <v>193671</v>
      </c>
    </row>
    <row r="4687" spans="7:14" ht="11.25" customHeight="1" x14ac:dyDescent="0.3">
      <c r="G4687" s="459"/>
      <c r="H4687" s="459">
        <v>4680</v>
      </c>
      <c r="I4687" s="444">
        <f t="shared" ca="1" si="193"/>
        <v>4689438423216.6572</v>
      </c>
      <c r="J4687" s="444">
        <f t="array" ref="J4687">IFERROR(INDEX('Retirement Calculator'!J:J,MATCH('Isaac 401k'!N4687,'Retirement Calculator'!A:A,0),0),0)</f>
        <v>0</v>
      </c>
      <c r="K4687" s="444">
        <f t="shared" ca="1" si="191"/>
        <v>19539326763.402737</v>
      </c>
      <c r="L4687" s="444">
        <f t="shared" ca="1" si="192"/>
        <v>4708977749980.0596</v>
      </c>
      <c r="M4687" s="460">
        <f t="shared" si="194"/>
        <v>0.05</v>
      </c>
      <c r="N4687" s="464">
        <f t="shared" si="195"/>
        <v>193701</v>
      </c>
    </row>
    <row r="4688" spans="7:14" ht="11.25" customHeight="1" x14ac:dyDescent="0.3">
      <c r="G4688" s="459"/>
      <c r="H4688" s="459">
        <v>4681</v>
      </c>
      <c r="I4688" s="444">
        <f t="shared" ca="1" si="193"/>
        <v>4708977749980.0596</v>
      </c>
      <c r="J4688" s="444">
        <f t="array" ref="J4688">IFERROR(INDEX('Retirement Calculator'!J:J,MATCH('Isaac 401k'!N4688,'Retirement Calculator'!A:A,0),0),0)</f>
        <v>0</v>
      </c>
      <c r="K4688" s="444">
        <f t="shared" ca="1" si="191"/>
        <v>19620740624.916916</v>
      </c>
      <c r="L4688" s="444">
        <f t="shared" ca="1" si="192"/>
        <v>4728598490604.9766</v>
      </c>
      <c r="M4688" s="460">
        <f t="shared" si="194"/>
        <v>0.05</v>
      </c>
      <c r="N4688" s="464">
        <f t="shared" si="195"/>
        <v>193732</v>
      </c>
    </row>
    <row r="4689" spans="7:14" ht="11.25" customHeight="1" x14ac:dyDescent="0.3">
      <c r="G4689" s="459"/>
      <c r="H4689" s="459">
        <v>4682</v>
      </c>
      <c r="I4689" s="444">
        <f t="shared" ca="1" si="193"/>
        <v>4728598490604.9766</v>
      </c>
      <c r="J4689" s="444">
        <f t="array" ref="J4689">IFERROR(INDEX('Retirement Calculator'!J:J,MATCH('Isaac 401k'!N4689,'Retirement Calculator'!A:A,0),0),0)</f>
        <v>0</v>
      </c>
      <c r="K4689" s="444">
        <f t="shared" ca="1" si="191"/>
        <v>19702493710.854069</v>
      </c>
      <c r="L4689" s="444">
        <f t="shared" ca="1" si="192"/>
        <v>4748300984315.8311</v>
      </c>
      <c r="M4689" s="460">
        <f t="shared" si="194"/>
        <v>0.05</v>
      </c>
      <c r="N4689" s="464">
        <f t="shared" si="195"/>
        <v>193762</v>
      </c>
    </row>
    <row r="4690" spans="7:14" ht="11.25" customHeight="1" x14ac:dyDescent="0.3">
      <c r="G4690" s="459"/>
      <c r="H4690" s="459">
        <v>4683</v>
      </c>
      <c r="I4690" s="444">
        <f t="shared" ca="1" si="193"/>
        <v>4748300984315.8311</v>
      </c>
      <c r="J4690" s="444">
        <f t="array" ref="J4690">IFERROR(INDEX('Retirement Calculator'!J:J,MATCH('Isaac 401k'!N4690,'Retirement Calculator'!A:A,0),0),0)</f>
        <v>0</v>
      </c>
      <c r="K4690" s="444">
        <f t="shared" ca="1" si="191"/>
        <v>19784587434.649296</v>
      </c>
      <c r="L4690" s="444">
        <f t="shared" ca="1" si="192"/>
        <v>4768085571750.4805</v>
      </c>
      <c r="M4690" s="460">
        <f t="shared" si="194"/>
        <v>0.05</v>
      </c>
      <c r="N4690" s="464">
        <f t="shared" si="195"/>
        <v>193793</v>
      </c>
    </row>
    <row r="4691" spans="7:14" ht="11.25" customHeight="1" x14ac:dyDescent="0.3">
      <c r="G4691" s="459"/>
      <c r="H4691" s="459">
        <v>4684</v>
      </c>
      <c r="I4691" s="444">
        <f t="shared" ca="1" si="193"/>
        <v>4768085571750.4805</v>
      </c>
      <c r="J4691" s="444">
        <f t="array" ref="J4691">IFERROR(INDEX('Retirement Calculator'!J:J,MATCH('Isaac 401k'!N4691,'Retirement Calculator'!A:A,0),0),0)</f>
        <v>0</v>
      </c>
      <c r="K4691" s="444">
        <f t="shared" ca="1" si="191"/>
        <v>19867023215.627003</v>
      </c>
      <c r="L4691" s="444">
        <f t="shared" ca="1" si="192"/>
        <v>4787952594966.1074</v>
      </c>
      <c r="M4691" s="460">
        <f t="shared" si="194"/>
        <v>0.05</v>
      </c>
      <c r="N4691" s="464">
        <f t="shared" si="195"/>
        <v>193824</v>
      </c>
    </row>
    <row r="4692" spans="7:14" ht="11.25" customHeight="1" x14ac:dyDescent="0.3">
      <c r="G4692" s="459"/>
      <c r="H4692" s="459">
        <v>4685</v>
      </c>
      <c r="I4692" s="444">
        <f t="shared" ca="1" si="193"/>
        <v>4787952594966.1074</v>
      </c>
      <c r="J4692" s="444">
        <f t="array" ref="J4692">IFERROR(INDEX('Retirement Calculator'!J:J,MATCH('Isaac 401k'!N4692,'Retirement Calculator'!A:A,0),0),0)</f>
        <v>0</v>
      </c>
      <c r="K4692" s="444">
        <f t="shared" ca="1" si="191"/>
        <v>19949802479.025448</v>
      </c>
      <c r="L4692" s="444">
        <f t="shared" ca="1" si="192"/>
        <v>4807902397445.1328</v>
      </c>
      <c r="M4692" s="460">
        <f t="shared" si="194"/>
        <v>0.05</v>
      </c>
      <c r="N4692" s="464">
        <f t="shared" si="195"/>
        <v>193854</v>
      </c>
    </row>
    <row r="4693" spans="7:14" ht="11.25" customHeight="1" x14ac:dyDescent="0.3">
      <c r="G4693" s="459"/>
      <c r="H4693" s="459">
        <v>4686</v>
      </c>
      <c r="I4693" s="444">
        <f t="shared" ca="1" si="193"/>
        <v>4807902397445.1328</v>
      </c>
      <c r="J4693" s="444">
        <f t="array" ref="J4693">IFERROR(INDEX('Retirement Calculator'!J:J,MATCH('Isaac 401k'!N4693,'Retirement Calculator'!A:A,0),0),0)</f>
        <v>0</v>
      </c>
      <c r="K4693" s="444">
        <f t="shared" ca="1" si="191"/>
        <v>20032926656.021385</v>
      </c>
      <c r="L4693" s="444">
        <f t="shared" ca="1" si="192"/>
        <v>4827935324101.1543</v>
      </c>
      <c r="M4693" s="460">
        <f t="shared" si="194"/>
        <v>0.05</v>
      </c>
      <c r="N4693" s="464">
        <f t="shared" si="195"/>
        <v>193885</v>
      </c>
    </row>
    <row r="4694" spans="7:14" ht="11.25" customHeight="1" x14ac:dyDescent="0.3">
      <c r="G4694" s="459"/>
      <c r="H4694" s="459">
        <v>4687</v>
      </c>
      <c r="I4694" s="444">
        <f t="shared" ca="1" si="193"/>
        <v>4827935324101.1543</v>
      </c>
      <c r="J4694" s="444">
        <f t="array" ref="J4694">IFERROR(INDEX('Retirement Calculator'!J:J,MATCH('Isaac 401k'!N4694,'Retirement Calculator'!A:A,0),0),0)</f>
        <v>0</v>
      </c>
      <c r="K4694" s="444">
        <f t="shared" ca="1" si="191"/>
        <v>20116397183.75481</v>
      </c>
      <c r="L4694" s="444">
        <f t="shared" ca="1" si="192"/>
        <v>4848051721284.9092</v>
      </c>
      <c r="M4694" s="460">
        <f t="shared" si="194"/>
        <v>0.05</v>
      </c>
      <c r="N4694" s="464">
        <f t="shared" si="195"/>
        <v>193915</v>
      </c>
    </row>
    <row r="4695" spans="7:14" ht="11.25" customHeight="1" x14ac:dyDescent="0.3">
      <c r="G4695" s="459"/>
      <c r="H4695" s="459">
        <v>4688</v>
      </c>
      <c r="I4695" s="444">
        <f t="shared" ca="1" si="193"/>
        <v>4848051721284.9092</v>
      </c>
      <c r="J4695" s="444">
        <f t="array" ref="J4695">IFERROR(INDEX('Retirement Calculator'!J:J,MATCH('Isaac 401k'!N4695,'Retirement Calculator'!A:A,0),0),0)</f>
        <v>0</v>
      </c>
      <c r="K4695" s="444">
        <f t="shared" ca="1" si="191"/>
        <v>20200215505.353786</v>
      </c>
      <c r="L4695" s="444">
        <f t="shared" ca="1" si="192"/>
        <v>4868251936790.2627</v>
      </c>
      <c r="M4695" s="460">
        <f t="shared" si="194"/>
        <v>0.05</v>
      </c>
      <c r="N4695" s="464">
        <f t="shared" si="195"/>
        <v>193946</v>
      </c>
    </row>
    <row r="4696" spans="7:14" ht="11.25" customHeight="1" x14ac:dyDescent="0.3">
      <c r="G4696" s="459"/>
      <c r="H4696" s="459">
        <v>4689</v>
      </c>
      <c r="I4696" s="444">
        <f t="shared" ca="1" si="193"/>
        <v>4868251936790.2627</v>
      </c>
      <c r="J4696" s="444">
        <f t="array" ref="J4696">IFERROR(INDEX('Retirement Calculator'!J:J,MATCH('Isaac 401k'!N4696,'Retirement Calculator'!A:A,0),0),0)</f>
        <v>0</v>
      </c>
      <c r="K4696" s="444">
        <f t="shared" ca="1" si="191"/>
        <v>20284383069.959427</v>
      </c>
      <c r="L4696" s="444">
        <f t="shared" ca="1" si="192"/>
        <v>4888536319860.2217</v>
      </c>
      <c r="M4696" s="460">
        <f t="shared" si="194"/>
        <v>0.05</v>
      </c>
      <c r="N4696" s="464">
        <f t="shared" si="195"/>
        <v>193977</v>
      </c>
    </row>
    <row r="4697" spans="7:14" ht="11.25" customHeight="1" x14ac:dyDescent="0.3">
      <c r="G4697" s="459"/>
      <c r="H4697" s="459">
        <v>4690</v>
      </c>
      <c r="I4697" s="444">
        <f t="shared" ca="1" si="193"/>
        <v>4888536319860.2217</v>
      </c>
      <c r="J4697" s="444">
        <f t="array" ref="J4697">IFERROR(INDEX('Retirement Calculator'!J:J,MATCH('Isaac 401k'!N4697,'Retirement Calculator'!A:A,0),0),0)</f>
        <v>0</v>
      </c>
      <c r="K4697" s="444">
        <f t="shared" ca="1" si="191"/>
        <v>20368901332.750923</v>
      </c>
      <c r="L4697" s="444">
        <f t="shared" ca="1" si="192"/>
        <v>4908905221192.9727</v>
      </c>
      <c r="M4697" s="460">
        <f t="shared" si="194"/>
        <v>0.05</v>
      </c>
      <c r="N4697" s="464">
        <f t="shared" si="195"/>
        <v>194005</v>
      </c>
    </row>
    <row r="4698" spans="7:14" ht="11.25" customHeight="1" x14ac:dyDescent="0.3">
      <c r="G4698" s="459"/>
      <c r="H4698" s="459">
        <v>4691</v>
      </c>
      <c r="I4698" s="444">
        <f t="shared" ca="1" si="193"/>
        <v>4908905221192.9727</v>
      </c>
      <c r="J4698" s="444">
        <f t="array" ref="J4698">IFERROR(INDEX('Retirement Calculator'!J:J,MATCH('Isaac 401k'!N4698,'Retirement Calculator'!A:A,0),0),0)</f>
        <v>0</v>
      </c>
      <c r="K4698" s="444">
        <f t="shared" ca="1" si="191"/>
        <v>20453771754.970718</v>
      </c>
      <c r="L4698" s="444">
        <f t="shared" ca="1" si="192"/>
        <v>4929358992947.9434</v>
      </c>
      <c r="M4698" s="460">
        <f t="shared" si="194"/>
        <v>0.05</v>
      </c>
      <c r="N4698" s="464">
        <f t="shared" si="195"/>
        <v>194036</v>
      </c>
    </row>
    <row r="4699" spans="7:14" ht="11.25" customHeight="1" x14ac:dyDescent="0.3">
      <c r="G4699" s="459"/>
      <c r="H4699" s="459">
        <v>4692</v>
      </c>
      <c r="I4699" s="444">
        <f t="shared" ca="1" si="193"/>
        <v>4929358992947.9434</v>
      </c>
      <c r="J4699" s="444">
        <f t="array" ref="J4699">IFERROR(INDEX('Retirement Calculator'!J:J,MATCH('Isaac 401k'!N4699,'Retirement Calculator'!A:A,0),0),0)</f>
        <v>0</v>
      </c>
      <c r="K4699" s="444">
        <f t="shared" ca="1" si="191"/>
        <v>20538995803.949764</v>
      </c>
      <c r="L4699" s="444">
        <f t="shared" ca="1" si="192"/>
        <v>4949897988751.8936</v>
      </c>
      <c r="M4699" s="460">
        <f t="shared" si="194"/>
        <v>0.05</v>
      </c>
      <c r="N4699" s="464">
        <f t="shared" si="195"/>
        <v>194066</v>
      </c>
    </row>
    <row r="4700" spans="7:14" ht="11.25" customHeight="1" x14ac:dyDescent="0.3">
      <c r="G4700" s="459"/>
      <c r="H4700" s="459">
        <v>4693</v>
      </c>
      <c r="I4700" s="444">
        <f t="shared" ca="1" si="193"/>
        <v>4949897988751.8936</v>
      </c>
      <c r="J4700" s="444">
        <f t="array" ref="J4700">IFERROR(INDEX('Retirement Calculator'!J:J,MATCH('Isaac 401k'!N4700,'Retirement Calculator'!A:A,0),0),0)</f>
        <v>0</v>
      </c>
      <c r="K4700" s="444">
        <f t="shared" ca="1" si="191"/>
        <v>20624574953.132889</v>
      </c>
      <c r="L4700" s="444">
        <f t="shared" ca="1" si="192"/>
        <v>4970522563705.0264</v>
      </c>
      <c r="M4700" s="460">
        <f t="shared" si="194"/>
        <v>0.05</v>
      </c>
      <c r="N4700" s="464">
        <f t="shared" si="195"/>
        <v>194097</v>
      </c>
    </row>
    <row r="4701" spans="7:14" ht="11.25" customHeight="1" x14ac:dyDescent="0.3">
      <c r="G4701" s="459"/>
      <c r="H4701" s="459">
        <v>4694</v>
      </c>
      <c r="I4701" s="444">
        <f t="shared" ca="1" si="193"/>
        <v>4970522563705.0264</v>
      </c>
      <c r="J4701" s="444">
        <f t="array" ref="J4701">IFERROR(INDEX('Retirement Calculator'!J:J,MATCH('Isaac 401k'!N4701,'Retirement Calculator'!A:A,0),0),0)</f>
        <v>0</v>
      </c>
      <c r="K4701" s="444">
        <f t="shared" ca="1" si="191"/>
        <v>20710510682.104275</v>
      </c>
      <c r="L4701" s="444">
        <f t="shared" ca="1" si="192"/>
        <v>4991233074387.1309</v>
      </c>
      <c r="M4701" s="460">
        <f t="shared" si="194"/>
        <v>0.05</v>
      </c>
      <c r="N4701" s="464">
        <f t="shared" si="195"/>
        <v>194127</v>
      </c>
    </row>
    <row r="4702" spans="7:14" ht="11.25" customHeight="1" x14ac:dyDescent="0.3">
      <c r="G4702" s="459"/>
      <c r="H4702" s="459">
        <v>4695</v>
      </c>
      <c r="I4702" s="444">
        <f t="shared" ca="1" si="193"/>
        <v>4991233074387.1309</v>
      </c>
      <c r="J4702" s="444">
        <f t="array" ref="J4702">IFERROR(INDEX('Retirement Calculator'!J:J,MATCH('Isaac 401k'!N4702,'Retirement Calculator'!A:A,0),0),0)</f>
        <v>0</v>
      </c>
      <c r="K4702" s="444">
        <f t="shared" ca="1" si="191"/>
        <v>20796804476.613045</v>
      </c>
      <c r="L4702" s="444">
        <f t="shared" ca="1" si="192"/>
        <v>5012029878863.7441</v>
      </c>
      <c r="M4702" s="460">
        <f t="shared" si="194"/>
        <v>0.05</v>
      </c>
      <c r="N4702" s="464">
        <f t="shared" si="195"/>
        <v>194158</v>
      </c>
    </row>
    <row r="4703" spans="7:14" ht="11.25" customHeight="1" x14ac:dyDescent="0.3">
      <c r="G4703" s="459"/>
      <c r="H4703" s="459">
        <v>4696</v>
      </c>
      <c r="I4703" s="444">
        <f t="shared" ca="1" si="193"/>
        <v>5012029878863.7441</v>
      </c>
      <c r="J4703" s="444">
        <f t="array" ref="J4703">IFERROR(INDEX('Retirement Calculator'!J:J,MATCH('Isaac 401k'!N4703,'Retirement Calculator'!A:A,0),0),0)</f>
        <v>0</v>
      </c>
      <c r="K4703" s="444">
        <f t="shared" ca="1" si="191"/>
        <v>20883457828.598934</v>
      </c>
      <c r="L4703" s="444">
        <f t="shared" ca="1" si="192"/>
        <v>5032913336692.3428</v>
      </c>
      <c r="M4703" s="460">
        <f t="shared" si="194"/>
        <v>0.05</v>
      </c>
      <c r="N4703" s="464">
        <f t="shared" si="195"/>
        <v>194189</v>
      </c>
    </row>
    <row r="4704" spans="7:14" ht="11.25" customHeight="1" x14ac:dyDescent="0.3">
      <c r="G4704" s="459"/>
      <c r="H4704" s="459">
        <v>4697</v>
      </c>
      <c r="I4704" s="444">
        <f t="shared" ca="1" si="193"/>
        <v>5032913336692.3428</v>
      </c>
      <c r="J4704" s="444">
        <f t="array" ref="J4704">IFERROR(INDEX('Retirement Calculator'!J:J,MATCH('Isaac 401k'!N4704,'Retirement Calculator'!A:A,0),0),0)</f>
        <v>0</v>
      </c>
      <c r="K4704" s="444">
        <f t="shared" ca="1" si="191"/>
        <v>20970472236.218094</v>
      </c>
      <c r="L4704" s="444">
        <f t="shared" ca="1" si="192"/>
        <v>5053883808928.5605</v>
      </c>
      <c r="M4704" s="460">
        <f t="shared" si="194"/>
        <v>0.05</v>
      </c>
      <c r="N4704" s="464">
        <f t="shared" si="195"/>
        <v>194219</v>
      </c>
    </row>
    <row r="4705" spans="7:14" ht="11.25" customHeight="1" x14ac:dyDescent="0.3">
      <c r="G4705" s="459"/>
      <c r="H4705" s="459">
        <v>4698</v>
      </c>
      <c r="I4705" s="444">
        <f t="shared" ca="1" si="193"/>
        <v>5053883808928.5605</v>
      </c>
      <c r="J4705" s="444">
        <f t="array" ref="J4705">IFERROR(INDEX('Retirement Calculator'!J:J,MATCH('Isaac 401k'!N4705,'Retirement Calculator'!A:A,0),0),0)</f>
        <v>0</v>
      </c>
      <c r="K4705" s="444">
        <f t="shared" ca="1" si="191"/>
        <v>21057849203.869003</v>
      </c>
      <c r="L4705" s="444">
        <f t="shared" ca="1" si="192"/>
        <v>5074941658132.4297</v>
      </c>
      <c r="M4705" s="460">
        <f t="shared" si="194"/>
        <v>0.05</v>
      </c>
      <c r="N4705" s="464">
        <f t="shared" si="195"/>
        <v>194250</v>
      </c>
    </row>
    <row r="4706" spans="7:14" ht="11.25" customHeight="1" x14ac:dyDescent="0.3">
      <c r="G4706" s="459"/>
      <c r="H4706" s="459">
        <v>4699</v>
      </c>
      <c r="I4706" s="444">
        <f t="shared" ca="1" si="193"/>
        <v>5074941658132.4297</v>
      </c>
      <c r="J4706" s="444">
        <f t="array" ref="J4706">IFERROR(INDEX('Retirement Calculator'!J:J,MATCH('Isaac 401k'!N4706,'Retirement Calculator'!A:A,0),0),0)</f>
        <v>0</v>
      </c>
      <c r="K4706" s="444">
        <f t="shared" ca="1" si="191"/>
        <v>21145590242.218456</v>
      </c>
      <c r="L4706" s="444">
        <f t="shared" ca="1" si="192"/>
        <v>5096087248374.6484</v>
      </c>
      <c r="M4706" s="460">
        <f t="shared" si="194"/>
        <v>0.05</v>
      </c>
      <c r="N4706" s="464">
        <f t="shared" si="195"/>
        <v>194280</v>
      </c>
    </row>
    <row r="4707" spans="7:14" ht="11.25" customHeight="1" x14ac:dyDescent="0.3">
      <c r="G4707" s="459"/>
      <c r="H4707" s="459">
        <v>4700</v>
      </c>
      <c r="I4707" s="444">
        <f t="shared" ca="1" si="193"/>
        <v>5096087248374.6484</v>
      </c>
      <c r="J4707" s="444">
        <f t="array" ref="J4707">IFERROR(INDEX('Retirement Calculator'!J:J,MATCH('Isaac 401k'!N4707,'Retirement Calculator'!A:A,0),0),0)</f>
        <v>0</v>
      </c>
      <c r="K4707" s="444">
        <f t="shared" ca="1" si="191"/>
        <v>21233696868.227703</v>
      </c>
      <c r="L4707" s="444">
        <f t="shared" ca="1" si="192"/>
        <v>5117320945242.876</v>
      </c>
      <c r="M4707" s="460">
        <f t="shared" si="194"/>
        <v>0.05</v>
      </c>
      <c r="N4707" s="464">
        <f t="shared" si="195"/>
        <v>194311</v>
      </c>
    </row>
    <row r="4708" spans="7:14" ht="11.25" customHeight="1" x14ac:dyDescent="0.3">
      <c r="G4708" s="459"/>
      <c r="H4708" s="459">
        <v>4701</v>
      </c>
      <c r="I4708" s="444">
        <f t="shared" ca="1" si="193"/>
        <v>5117320945242.876</v>
      </c>
      <c r="J4708" s="444">
        <f t="array" ref="J4708">IFERROR(INDEX('Retirement Calculator'!J:J,MATCH('Isaac 401k'!N4708,'Retirement Calculator'!A:A,0),0),0)</f>
        <v>0</v>
      </c>
      <c r="K4708" s="444">
        <f t="shared" ca="1" si="191"/>
        <v>21322170605.17865</v>
      </c>
      <c r="L4708" s="444">
        <f t="shared" ca="1" si="192"/>
        <v>5138643115848.0547</v>
      </c>
      <c r="M4708" s="460">
        <f t="shared" si="194"/>
        <v>0.05</v>
      </c>
      <c r="N4708" s="464">
        <f t="shared" si="195"/>
        <v>194342</v>
      </c>
    </row>
    <row r="4709" spans="7:14" ht="11.25" customHeight="1" x14ac:dyDescent="0.3">
      <c r="G4709" s="459"/>
      <c r="H4709" s="459">
        <v>4702</v>
      </c>
      <c r="I4709" s="444">
        <f t="shared" ca="1" si="193"/>
        <v>5138643115848.0547</v>
      </c>
      <c r="J4709" s="444">
        <f t="array" ref="J4709">IFERROR(INDEX('Retirement Calculator'!J:J,MATCH('Isaac 401k'!N4709,'Retirement Calculator'!A:A,0),0),0)</f>
        <v>0</v>
      </c>
      <c r="K4709" s="444">
        <f t="shared" ca="1" si="191"/>
        <v>21411012982.700226</v>
      </c>
      <c r="L4709" s="444">
        <f t="shared" ca="1" si="192"/>
        <v>5160054128830.7549</v>
      </c>
      <c r="M4709" s="460">
        <f t="shared" si="194"/>
        <v>0.05</v>
      </c>
      <c r="N4709" s="464">
        <f t="shared" si="195"/>
        <v>194371</v>
      </c>
    </row>
    <row r="4710" spans="7:14" ht="11.25" customHeight="1" x14ac:dyDescent="0.3">
      <c r="G4710" s="459"/>
      <c r="H4710" s="459">
        <v>4703</v>
      </c>
      <c r="I4710" s="444">
        <f t="shared" ca="1" si="193"/>
        <v>5160054128830.7549</v>
      </c>
      <c r="J4710" s="444">
        <f t="array" ref="J4710">IFERROR(INDEX('Retirement Calculator'!J:J,MATCH('Isaac 401k'!N4710,'Retirement Calculator'!A:A,0),0),0)</f>
        <v>0</v>
      </c>
      <c r="K4710" s="444">
        <f t="shared" ca="1" si="191"/>
        <v>21500225536.794811</v>
      </c>
      <c r="L4710" s="444">
        <f t="shared" ca="1" si="192"/>
        <v>5181554354367.5498</v>
      </c>
      <c r="M4710" s="460">
        <f t="shared" si="194"/>
        <v>0.05</v>
      </c>
      <c r="N4710" s="464">
        <f t="shared" si="195"/>
        <v>194402</v>
      </c>
    </row>
    <row r="4711" spans="7:14" ht="11.25" customHeight="1" x14ac:dyDescent="0.3">
      <c r="G4711" s="459"/>
      <c r="H4711" s="459">
        <v>4704</v>
      </c>
      <c r="I4711" s="444">
        <f t="shared" ca="1" si="193"/>
        <v>5181554354367.5498</v>
      </c>
      <c r="J4711" s="444">
        <f t="array" ref="J4711">IFERROR(INDEX('Retirement Calculator'!J:J,MATCH('Isaac 401k'!N4711,'Retirement Calculator'!A:A,0),0),0)</f>
        <v>0</v>
      </c>
      <c r="K4711" s="444">
        <f t="shared" ca="1" si="191"/>
        <v>21589809809.864792</v>
      </c>
      <c r="L4711" s="444">
        <f t="shared" ca="1" si="192"/>
        <v>5203144164177.415</v>
      </c>
      <c r="M4711" s="460">
        <f t="shared" si="194"/>
        <v>0.05</v>
      </c>
      <c r="N4711" s="464">
        <f t="shared" si="195"/>
        <v>194432</v>
      </c>
    </row>
    <row r="4712" spans="7:14" ht="11.25" customHeight="1" x14ac:dyDescent="0.3">
      <c r="G4712" s="459"/>
      <c r="H4712" s="459">
        <v>4705</v>
      </c>
      <c r="I4712" s="444">
        <f t="shared" ca="1" si="193"/>
        <v>5203144164177.415</v>
      </c>
      <c r="J4712" s="444">
        <f t="array" ref="J4712">IFERROR(INDEX('Retirement Calculator'!J:J,MATCH('Isaac 401k'!N4712,'Retirement Calculator'!A:A,0),0),0)</f>
        <v>0</v>
      </c>
      <c r="K4712" s="444">
        <f t="shared" ca="1" si="191"/>
        <v>21679767350.739227</v>
      </c>
      <c r="L4712" s="444">
        <f t="shared" ca="1" si="192"/>
        <v>5224823931528.1543</v>
      </c>
      <c r="M4712" s="460">
        <f t="shared" si="194"/>
        <v>0.05</v>
      </c>
      <c r="N4712" s="464">
        <f t="shared" si="195"/>
        <v>194463</v>
      </c>
    </row>
    <row r="4713" spans="7:14" ht="11.25" customHeight="1" x14ac:dyDescent="0.3">
      <c r="G4713" s="459"/>
      <c r="H4713" s="459">
        <v>4706</v>
      </c>
      <c r="I4713" s="444">
        <f t="shared" ca="1" si="193"/>
        <v>5224823931528.1543</v>
      </c>
      <c r="J4713" s="444">
        <f t="array" ref="J4713">IFERROR(INDEX('Retirement Calculator'!J:J,MATCH('Isaac 401k'!N4713,'Retirement Calculator'!A:A,0),0),0)</f>
        <v>0</v>
      </c>
      <c r="K4713" s="444">
        <f t="shared" ca="1" si="191"/>
        <v>21770099714.700642</v>
      </c>
      <c r="L4713" s="444">
        <f t="shared" ca="1" si="192"/>
        <v>5246594031242.8545</v>
      </c>
      <c r="M4713" s="460">
        <f t="shared" si="194"/>
        <v>0.05</v>
      </c>
      <c r="N4713" s="464">
        <f t="shared" si="195"/>
        <v>194493</v>
      </c>
    </row>
    <row r="4714" spans="7:14" ht="11.25" customHeight="1" x14ac:dyDescent="0.3">
      <c r="G4714" s="459"/>
      <c r="H4714" s="459">
        <v>4707</v>
      </c>
      <c r="I4714" s="444">
        <f t="shared" ca="1" si="193"/>
        <v>5246594031242.8545</v>
      </c>
      <c r="J4714" s="444">
        <f t="array" ref="J4714">IFERROR(INDEX('Retirement Calculator'!J:J,MATCH('Isaac 401k'!N4714,'Retirement Calculator'!A:A,0),0),0)</f>
        <v>0</v>
      </c>
      <c r="K4714" s="444">
        <f t="shared" ca="1" si="191"/>
        <v>21860808463.511894</v>
      </c>
      <c r="L4714" s="444">
        <f t="shared" ca="1" si="192"/>
        <v>5268454839706.3662</v>
      </c>
      <c r="M4714" s="460">
        <f t="shared" si="194"/>
        <v>0.05</v>
      </c>
      <c r="N4714" s="464">
        <f t="shared" si="195"/>
        <v>194524</v>
      </c>
    </row>
    <row r="4715" spans="7:14" ht="11.25" customHeight="1" x14ac:dyDescent="0.3">
      <c r="G4715" s="459"/>
      <c r="H4715" s="459">
        <v>4708</v>
      </c>
      <c r="I4715" s="444">
        <f t="shared" ca="1" si="193"/>
        <v>5268454839706.3662</v>
      </c>
      <c r="J4715" s="444">
        <f t="array" ref="J4715">IFERROR(INDEX('Retirement Calculator'!J:J,MATCH('Isaac 401k'!N4715,'Retirement Calculator'!A:A,0),0),0)</f>
        <v>0</v>
      </c>
      <c r="K4715" s="444">
        <f t="shared" ca="1" si="191"/>
        <v>21951895165.443192</v>
      </c>
      <c r="L4715" s="444">
        <f t="shared" ca="1" si="192"/>
        <v>5290406734871.8096</v>
      </c>
      <c r="M4715" s="460">
        <f t="shared" si="194"/>
        <v>0.05</v>
      </c>
      <c r="N4715" s="464">
        <f t="shared" si="195"/>
        <v>194555</v>
      </c>
    </row>
    <row r="4716" spans="7:14" ht="11.25" customHeight="1" x14ac:dyDescent="0.3">
      <c r="G4716" s="459"/>
      <c r="H4716" s="459">
        <v>4709</v>
      </c>
      <c r="I4716" s="444">
        <f t="shared" ca="1" si="193"/>
        <v>5290406734871.8096</v>
      </c>
      <c r="J4716" s="444">
        <f t="array" ref="J4716">IFERROR(INDEX('Retirement Calculator'!J:J,MATCH('Isaac 401k'!N4716,'Retirement Calculator'!A:A,0),0),0)</f>
        <v>0</v>
      </c>
      <c r="K4716" s="444">
        <f t="shared" ca="1" si="191"/>
        <v>22043361395.299206</v>
      </c>
      <c r="L4716" s="444">
        <f t="shared" ca="1" si="192"/>
        <v>5312450096267.1084</v>
      </c>
      <c r="M4716" s="460">
        <f t="shared" si="194"/>
        <v>0.05</v>
      </c>
      <c r="N4716" s="464">
        <f t="shared" si="195"/>
        <v>194585</v>
      </c>
    </row>
    <row r="4717" spans="7:14" ht="11.25" customHeight="1" x14ac:dyDescent="0.3">
      <c r="G4717" s="459"/>
      <c r="H4717" s="459">
        <v>4710</v>
      </c>
      <c r="I4717" s="444">
        <f t="shared" ca="1" si="193"/>
        <v>5312450096267.1084</v>
      </c>
      <c r="J4717" s="444">
        <f t="array" ref="J4717">IFERROR(INDEX('Retirement Calculator'!J:J,MATCH('Isaac 401k'!N4717,'Retirement Calculator'!A:A,0),0),0)</f>
        <v>0</v>
      </c>
      <c r="K4717" s="444">
        <f t="shared" ca="1" si="191"/>
        <v>22135208734.446285</v>
      </c>
      <c r="L4717" s="444">
        <f t="shared" ca="1" si="192"/>
        <v>5334585305001.5547</v>
      </c>
      <c r="M4717" s="460">
        <f t="shared" si="194"/>
        <v>0.05</v>
      </c>
      <c r="N4717" s="464">
        <f t="shared" si="195"/>
        <v>194616</v>
      </c>
    </row>
    <row r="4718" spans="7:14" ht="11.25" customHeight="1" x14ac:dyDescent="0.3">
      <c r="G4718" s="459"/>
      <c r="H4718" s="459">
        <v>4711</v>
      </c>
      <c r="I4718" s="444">
        <f t="shared" ca="1" si="193"/>
        <v>5334585305001.5547</v>
      </c>
      <c r="J4718" s="444">
        <f t="array" ref="J4718">IFERROR(INDEX('Retirement Calculator'!J:J,MATCH('Isaac 401k'!N4718,'Retirement Calculator'!A:A,0),0),0)</f>
        <v>0</v>
      </c>
      <c r="K4718" s="444">
        <f t="shared" ca="1" si="191"/>
        <v>22227438770.839809</v>
      </c>
      <c r="L4718" s="444">
        <f t="shared" ca="1" si="192"/>
        <v>5356812743772.3945</v>
      </c>
      <c r="M4718" s="460">
        <f t="shared" si="194"/>
        <v>0.05</v>
      </c>
      <c r="N4718" s="464">
        <f t="shared" si="195"/>
        <v>194646</v>
      </c>
    </row>
    <row r="4719" spans="7:14" ht="11.25" customHeight="1" x14ac:dyDescent="0.3">
      <c r="G4719" s="459"/>
      <c r="H4719" s="459">
        <v>4712</v>
      </c>
      <c r="I4719" s="444">
        <f t="shared" ca="1" si="193"/>
        <v>5356812743772.3945</v>
      </c>
      <c r="J4719" s="444">
        <f t="array" ref="J4719">IFERROR(INDEX('Retirement Calculator'!J:J,MATCH('Isaac 401k'!N4719,'Retirement Calculator'!A:A,0),0),0)</f>
        <v>0</v>
      </c>
      <c r="K4719" s="444">
        <f t="shared" ca="1" si="191"/>
        <v>22320053099.051643</v>
      </c>
      <c r="L4719" s="444">
        <f t="shared" ca="1" si="192"/>
        <v>5379132796871.4463</v>
      </c>
      <c r="M4719" s="460">
        <f t="shared" si="194"/>
        <v>0.05</v>
      </c>
      <c r="N4719" s="464">
        <f t="shared" si="195"/>
        <v>194677</v>
      </c>
    </row>
    <row r="4720" spans="7:14" ht="11.25" customHeight="1" x14ac:dyDescent="0.3">
      <c r="G4720" s="459"/>
      <c r="H4720" s="459">
        <v>4713</v>
      </c>
      <c r="I4720" s="444">
        <f t="shared" ca="1" si="193"/>
        <v>5379132796871.4463</v>
      </c>
      <c r="J4720" s="444">
        <f t="array" ref="J4720">IFERROR(INDEX('Retirement Calculator'!J:J,MATCH('Isaac 401k'!N4720,'Retirement Calculator'!A:A,0),0),0)</f>
        <v>0</v>
      </c>
      <c r="K4720" s="444">
        <f t="shared" ca="1" si="191"/>
        <v>22413053320.297691</v>
      </c>
      <c r="L4720" s="444">
        <f t="shared" ca="1" si="192"/>
        <v>5401545850191.7441</v>
      </c>
      <c r="M4720" s="460">
        <f t="shared" si="194"/>
        <v>0.05</v>
      </c>
      <c r="N4720" s="464">
        <f t="shared" si="195"/>
        <v>194708</v>
      </c>
    </row>
    <row r="4721" spans="7:14" ht="11.25" customHeight="1" x14ac:dyDescent="0.3">
      <c r="G4721" s="459"/>
      <c r="H4721" s="459">
        <v>4714</v>
      </c>
      <c r="I4721" s="444">
        <f t="shared" ca="1" si="193"/>
        <v>5401545850191.7441</v>
      </c>
      <c r="J4721" s="444">
        <f t="array" ref="J4721">IFERROR(INDEX('Retirement Calculator'!J:J,MATCH('Isaac 401k'!N4721,'Retirement Calculator'!A:A,0),0),0)</f>
        <v>0</v>
      </c>
      <c r="K4721" s="444">
        <f t="shared" ca="1" si="191"/>
        <v>22506441042.465599</v>
      </c>
      <c r="L4721" s="444">
        <f t="shared" ca="1" si="192"/>
        <v>5424052291234.21</v>
      </c>
      <c r="M4721" s="460">
        <f t="shared" si="194"/>
        <v>0.05</v>
      </c>
      <c r="N4721" s="464">
        <f t="shared" si="195"/>
        <v>194736</v>
      </c>
    </row>
    <row r="4722" spans="7:14" ht="11.25" customHeight="1" x14ac:dyDescent="0.3">
      <c r="G4722" s="459"/>
      <c r="H4722" s="459">
        <v>4715</v>
      </c>
      <c r="I4722" s="444">
        <f t="shared" ca="1" si="193"/>
        <v>5424052291234.21</v>
      </c>
      <c r="J4722" s="444">
        <f t="array" ref="J4722">IFERROR(INDEX('Retirement Calculator'!J:J,MATCH('Isaac 401k'!N4722,'Retirement Calculator'!A:A,0),0),0)</f>
        <v>0</v>
      </c>
      <c r="K4722" s="444">
        <f t="shared" ca="1" si="191"/>
        <v>22600217880.14254</v>
      </c>
      <c r="L4722" s="444">
        <f t="shared" ca="1" si="192"/>
        <v>5446652509114.3525</v>
      </c>
      <c r="M4722" s="460">
        <f t="shared" si="194"/>
        <v>0.05</v>
      </c>
      <c r="N4722" s="464">
        <f t="shared" si="195"/>
        <v>194767</v>
      </c>
    </row>
    <row r="4723" spans="7:14" ht="11.25" customHeight="1" x14ac:dyDescent="0.3">
      <c r="G4723" s="459"/>
      <c r="H4723" s="459">
        <v>4716</v>
      </c>
      <c r="I4723" s="444">
        <f t="shared" ca="1" si="193"/>
        <v>5446652509114.3525</v>
      </c>
      <c r="J4723" s="444">
        <f t="array" ref="J4723">IFERROR(INDEX('Retirement Calculator'!J:J,MATCH('Isaac 401k'!N4723,'Retirement Calculator'!A:A,0),0),0)</f>
        <v>0</v>
      </c>
      <c r="K4723" s="444">
        <f t="shared" ca="1" si="191"/>
        <v>22694385454.643135</v>
      </c>
      <c r="L4723" s="444">
        <f t="shared" ca="1" si="192"/>
        <v>5469346894568.9961</v>
      </c>
      <c r="M4723" s="460">
        <f t="shared" si="194"/>
        <v>0.05</v>
      </c>
      <c r="N4723" s="464">
        <f t="shared" si="195"/>
        <v>194797</v>
      </c>
    </row>
    <row r="4724" spans="7:14" ht="11.25" customHeight="1" x14ac:dyDescent="0.3">
      <c r="G4724" s="459"/>
      <c r="H4724" s="459">
        <v>4717</v>
      </c>
      <c r="I4724" s="444">
        <f t="shared" ca="1" si="193"/>
        <v>5469346894568.9961</v>
      </c>
      <c r="J4724" s="444">
        <f t="array" ref="J4724">IFERROR(INDEX('Retirement Calculator'!J:J,MATCH('Isaac 401k'!N4724,'Retirement Calculator'!A:A,0),0),0)</f>
        <v>0</v>
      </c>
      <c r="K4724" s="444">
        <f t="shared" ca="1" si="191"/>
        <v>22788945394.037483</v>
      </c>
      <c r="L4724" s="444">
        <f t="shared" ca="1" si="192"/>
        <v>5492135839963.0332</v>
      </c>
      <c r="M4724" s="460">
        <f t="shared" si="194"/>
        <v>0.05</v>
      </c>
      <c r="N4724" s="464">
        <f t="shared" si="195"/>
        <v>194828</v>
      </c>
    </row>
    <row r="4725" spans="7:14" ht="11.25" customHeight="1" x14ac:dyDescent="0.3">
      <c r="G4725" s="459"/>
      <c r="H4725" s="459">
        <v>4718</v>
      </c>
      <c r="I4725" s="444">
        <f t="shared" ca="1" si="193"/>
        <v>5492135839963.0332</v>
      </c>
      <c r="J4725" s="444">
        <f t="array" ref="J4725">IFERROR(INDEX('Retirement Calculator'!J:J,MATCH('Isaac 401k'!N4725,'Retirement Calculator'!A:A,0),0),0)</f>
        <v>0</v>
      </c>
      <c r="K4725" s="444">
        <f t="shared" ca="1" si="191"/>
        <v>22883899333.179306</v>
      </c>
      <c r="L4725" s="444">
        <f t="shared" ca="1" si="192"/>
        <v>5515019739296.2129</v>
      </c>
      <c r="M4725" s="460">
        <f t="shared" si="194"/>
        <v>0.05</v>
      </c>
      <c r="N4725" s="464">
        <f t="shared" si="195"/>
        <v>194858</v>
      </c>
    </row>
    <row r="4726" spans="7:14" ht="11.25" customHeight="1" x14ac:dyDescent="0.3">
      <c r="G4726" s="459"/>
      <c r="H4726" s="459">
        <v>4719</v>
      </c>
      <c r="I4726" s="444">
        <f t="shared" ca="1" si="193"/>
        <v>5515019739296.2129</v>
      </c>
      <c r="J4726" s="444">
        <f t="array" ref="J4726">IFERROR(INDEX('Retirement Calculator'!J:J,MATCH('Isaac 401k'!N4726,'Retirement Calculator'!A:A,0),0),0)</f>
        <v>0</v>
      </c>
      <c r="K4726" s="444">
        <f t="shared" ca="1" si="191"/>
        <v>22979248913.734219</v>
      </c>
      <c r="L4726" s="444">
        <f t="shared" ca="1" si="192"/>
        <v>5537998988209.9473</v>
      </c>
      <c r="M4726" s="460">
        <f t="shared" si="194"/>
        <v>0.05</v>
      </c>
      <c r="N4726" s="464">
        <f t="shared" si="195"/>
        <v>194889</v>
      </c>
    </row>
    <row r="4727" spans="7:14" ht="11.25" customHeight="1" x14ac:dyDescent="0.3">
      <c r="G4727" s="459"/>
      <c r="H4727" s="459">
        <v>4720</v>
      </c>
      <c r="I4727" s="444">
        <f t="shared" ca="1" si="193"/>
        <v>5537998988209.9473</v>
      </c>
      <c r="J4727" s="444">
        <f t="array" ref="J4727">IFERROR(INDEX('Retirement Calculator'!J:J,MATCH('Isaac 401k'!N4727,'Retirement Calculator'!A:A,0),0),0)</f>
        <v>0</v>
      </c>
      <c r="K4727" s="444">
        <f t="shared" ca="1" si="191"/>
        <v>23074995784.208115</v>
      </c>
      <c r="L4727" s="444">
        <f t="shared" ca="1" si="192"/>
        <v>5561073983994.1553</v>
      </c>
      <c r="M4727" s="460">
        <f t="shared" si="194"/>
        <v>0.05</v>
      </c>
      <c r="N4727" s="464">
        <f t="shared" si="195"/>
        <v>194920</v>
      </c>
    </row>
    <row r="4728" spans="7:14" ht="11.25" customHeight="1" x14ac:dyDescent="0.3">
      <c r="G4728" s="459"/>
      <c r="H4728" s="459">
        <v>4721</v>
      </c>
      <c r="I4728" s="444">
        <f t="shared" ca="1" si="193"/>
        <v>5561073983994.1553</v>
      </c>
      <c r="J4728" s="444">
        <f t="array" ref="J4728">IFERROR(INDEX('Retirement Calculator'!J:J,MATCH('Isaac 401k'!N4728,'Retirement Calculator'!A:A,0),0),0)</f>
        <v>0</v>
      </c>
      <c r="K4728" s="444">
        <f t="shared" ca="1" si="191"/>
        <v>23171141599.975647</v>
      </c>
      <c r="L4728" s="444">
        <f t="shared" ca="1" si="192"/>
        <v>5584245125594.1309</v>
      </c>
      <c r="M4728" s="460">
        <f t="shared" si="194"/>
        <v>0.05</v>
      </c>
      <c r="N4728" s="464">
        <f t="shared" si="195"/>
        <v>194950</v>
      </c>
    </row>
    <row r="4729" spans="7:14" ht="11.25" customHeight="1" x14ac:dyDescent="0.3">
      <c r="G4729" s="459"/>
      <c r="H4729" s="459">
        <v>4722</v>
      </c>
      <c r="I4729" s="444">
        <f t="shared" ca="1" si="193"/>
        <v>5584245125594.1309</v>
      </c>
      <c r="J4729" s="444">
        <f t="array" ref="J4729">IFERROR(INDEX('Retirement Calculator'!J:J,MATCH('Isaac 401k'!N4729,'Retirement Calculator'!A:A,0),0),0)</f>
        <v>0</v>
      </c>
      <c r="K4729" s="444">
        <f t="shared" ca="1" si="191"/>
        <v>23267688023.30888</v>
      </c>
      <c r="L4729" s="444">
        <f t="shared" ca="1" si="192"/>
        <v>5607512813617.4395</v>
      </c>
      <c r="M4729" s="460">
        <f t="shared" si="194"/>
        <v>0.05</v>
      </c>
      <c r="N4729" s="464">
        <f t="shared" si="195"/>
        <v>194981</v>
      </c>
    </row>
    <row r="4730" spans="7:14" ht="11.25" customHeight="1" x14ac:dyDescent="0.3">
      <c r="G4730" s="459"/>
      <c r="H4730" s="459">
        <v>4723</v>
      </c>
      <c r="I4730" s="444">
        <f t="shared" ca="1" si="193"/>
        <v>5607512813617.4395</v>
      </c>
      <c r="J4730" s="444">
        <f t="array" ref="J4730">IFERROR(INDEX('Retirement Calculator'!J:J,MATCH('Isaac 401k'!N4730,'Retirement Calculator'!A:A,0),0),0)</f>
        <v>0</v>
      </c>
      <c r="K4730" s="444">
        <f t="shared" ca="1" si="191"/>
        <v>23364636723.405998</v>
      </c>
      <c r="L4730" s="444">
        <f t="shared" ca="1" si="192"/>
        <v>5630877450340.8457</v>
      </c>
      <c r="M4730" s="460">
        <f t="shared" si="194"/>
        <v>0.05</v>
      </c>
      <c r="N4730" s="464">
        <f t="shared" si="195"/>
        <v>195011</v>
      </c>
    </row>
    <row r="4731" spans="7:14" ht="11.25" customHeight="1" x14ac:dyDescent="0.3">
      <c r="G4731" s="459"/>
      <c r="H4731" s="459">
        <v>4724</v>
      </c>
      <c r="I4731" s="444">
        <f t="shared" ca="1" si="193"/>
        <v>5630877450340.8457</v>
      </c>
      <c r="J4731" s="444">
        <f t="array" ref="J4731">IFERROR(INDEX('Retirement Calculator'!J:J,MATCH('Isaac 401k'!N4731,'Retirement Calculator'!A:A,0),0),0)</f>
        <v>0</v>
      </c>
      <c r="K4731" s="444">
        <f t="shared" ca="1" si="191"/>
        <v>23461989376.420189</v>
      </c>
      <c r="L4731" s="444">
        <f t="shared" ca="1" si="192"/>
        <v>5654339439717.2656</v>
      </c>
      <c r="M4731" s="460">
        <f t="shared" si="194"/>
        <v>0.05</v>
      </c>
      <c r="N4731" s="464">
        <f t="shared" si="195"/>
        <v>195042</v>
      </c>
    </row>
    <row r="4732" spans="7:14" ht="11.25" customHeight="1" x14ac:dyDescent="0.3">
      <c r="G4732" s="459"/>
      <c r="H4732" s="459">
        <v>4725</v>
      </c>
      <c r="I4732" s="444">
        <f t="shared" ca="1" si="193"/>
        <v>5654339439717.2656</v>
      </c>
      <c r="J4732" s="444">
        <f t="array" ref="J4732">IFERROR(INDEX('Retirement Calculator'!J:J,MATCH('Isaac 401k'!N4732,'Retirement Calculator'!A:A,0),0),0)</f>
        <v>0</v>
      </c>
      <c r="K4732" s="444">
        <f t="shared" ca="1" si="191"/>
        <v>23559747665.488605</v>
      </c>
      <c r="L4732" s="444">
        <f t="shared" ca="1" si="192"/>
        <v>5677899187382.7539</v>
      </c>
      <c r="M4732" s="460">
        <f t="shared" si="194"/>
        <v>0.05</v>
      </c>
      <c r="N4732" s="464">
        <f t="shared" si="195"/>
        <v>195073</v>
      </c>
    </row>
    <row r="4733" spans="7:14" ht="11.25" customHeight="1" x14ac:dyDescent="0.3">
      <c r="G4733" s="459"/>
      <c r="H4733" s="459">
        <v>4726</v>
      </c>
      <c r="I4733" s="444">
        <f t="shared" ca="1" si="193"/>
        <v>5677899187382.7539</v>
      </c>
      <c r="J4733" s="444">
        <f t="array" ref="J4733">IFERROR(INDEX('Retirement Calculator'!J:J,MATCH('Isaac 401k'!N4733,'Retirement Calculator'!A:A,0),0),0)</f>
        <v>0</v>
      </c>
      <c r="K4733" s="444">
        <f t="shared" ca="1" si="191"/>
        <v>23657913280.761475</v>
      </c>
      <c r="L4733" s="444">
        <f t="shared" ca="1" si="192"/>
        <v>5701557100663.5156</v>
      </c>
      <c r="M4733" s="460">
        <f t="shared" si="194"/>
        <v>0.05</v>
      </c>
      <c r="N4733" s="464">
        <f t="shared" si="195"/>
        <v>195101</v>
      </c>
    </row>
    <row r="4734" spans="7:14" ht="11.25" customHeight="1" x14ac:dyDescent="0.3">
      <c r="G4734" s="459"/>
      <c r="H4734" s="459">
        <v>4727</v>
      </c>
      <c r="I4734" s="444">
        <f t="shared" ca="1" si="193"/>
        <v>5701557100663.5156</v>
      </c>
      <c r="J4734" s="444">
        <f t="array" ref="J4734">IFERROR(INDEX('Retirement Calculator'!J:J,MATCH('Isaac 401k'!N4734,'Retirement Calculator'!A:A,0),0),0)</f>
        <v>0</v>
      </c>
      <c r="K4734" s="444">
        <f t="shared" ca="1" si="191"/>
        <v>23756487919.431316</v>
      </c>
      <c r="L4734" s="444">
        <f t="shared" ca="1" si="192"/>
        <v>5725313588582.9473</v>
      </c>
      <c r="M4734" s="460">
        <f t="shared" si="194"/>
        <v>0.05</v>
      </c>
      <c r="N4734" s="464">
        <f t="shared" si="195"/>
        <v>195132</v>
      </c>
    </row>
    <row r="4735" spans="7:14" ht="11.25" customHeight="1" x14ac:dyDescent="0.3">
      <c r="G4735" s="459"/>
      <c r="H4735" s="459">
        <v>4728</v>
      </c>
      <c r="I4735" s="444">
        <f t="shared" ca="1" si="193"/>
        <v>5725313588582.9473</v>
      </c>
      <c r="J4735" s="444">
        <f t="array" ref="J4735">IFERROR(INDEX('Retirement Calculator'!J:J,MATCH('Isaac 401k'!N4735,'Retirement Calculator'!A:A,0),0),0)</f>
        <v>0</v>
      </c>
      <c r="K4735" s="444">
        <f t="shared" ca="1" si="191"/>
        <v>23855473285.76228</v>
      </c>
      <c r="L4735" s="444">
        <f t="shared" ca="1" si="192"/>
        <v>5749169061868.71</v>
      </c>
      <c r="M4735" s="460">
        <f t="shared" si="194"/>
        <v>0.05</v>
      </c>
      <c r="N4735" s="464">
        <f t="shared" si="195"/>
        <v>195162</v>
      </c>
    </row>
    <row r="4736" spans="7:14" ht="11.25" customHeight="1" x14ac:dyDescent="0.3">
      <c r="G4736" s="459"/>
      <c r="H4736" s="459">
        <v>4729</v>
      </c>
      <c r="I4736" s="444">
        <f t="shared" ca="1" si="193"/>
        <v>5749169061868.71</v>
      </c>
      <c r="J4736" s="444">
        <f t="array" ref="J4736">IFERROR(INDEX('Retirement Calculator'!J:J,MATCH('Isaac 401k'!N4736,'Retirement Calculator'!A:A,0),0),0)</f>
        <v>0</v>
      </c>
      <c r="K4736" s="444">
        <f t="shared" ca="1" si="191"/>
        <v>23954871091.119625</v>
      </c>
      <c r="L4736" s="444">
        <f t="shared" ca="1" si="192"/>
        <v>5773123932959.8291</v>
      </c>
      <c r="M4736" s="460">
        <f t="shared" si="194"/>
        <v>0.05</v>
      </c>
      <c r="N4736" s="464">
        <f t="shared" si="195"/>
        <v>195193</v>
      </c>
    </row>
    <row r="4737" spans="7:14" ht="11.25" customHeight="1" x14ac:dyDescent="0.3">
      <c r="G4737" s="459"/>
      <c r="H4737" s="459">
        <v>4730</v>
      </c>
      <c r="I4737" s="444">
        <f t="shared" ca="1" si="193"/>
        <v>5773123932959.8291</v>
      </c>
      <c r="J4737" s="444">
        <f t="array" ref="J4737">IFERROR(INDEX('Retirement Calculator'!J:J,MATCH('Isaac 401k'!N4737,'Retirement Calculator'!A:A,0),0),0)</f>
        <v>0</v>
      </c>
      <c r="K4737" s="444">
        <f t="shared" ca="1" si="191"/>
        <v>24054683053.999287</v>
      </c>
      <c r="L4737" s="444">
        <f t="shared" ca="1" si="192"/>
        <v>5797178616013.8281</v>
      </c>
      <c r="M4737" s="460">
        <f t="shared" si="194"/>
        <v>0.05</v>
      </c>
      <c r="N4737" s="464">
        <f t="shared" si="195"/>
        <v>195223</v>
      </c>
    </row>
    <row r="4738" spans="7:14" ht="11.25" customHeight="1" x14ac:dyDescent="0.3">
      <c r="G4738" s="459"/>
      <c r="H4738" s="459">
        <v>4731</v>
      </c>
      <c r="I4738" s="444">
        <f t="shared" ca="1" si="193"/>
        <v>5797178616013.8281</v>
      </c>
      <c r="J4738" s="444">
        <f t="array" ref="J4738">IFERROR(INDEX('Retirement Calculator'!J:J,MATCH('Isaac 401k'!N4738,'Retirement Calculator'!A:A,0),0),0)</f>
        <v>0</v>
      </c>
      <c r="K4738" s="444">
        <f t="shared" ca="1" si="191"/>
        <v>24154910900.057617</v>
      </c>
      <c r="L4738" s="444">
        <f t="shared" ca="1" si="192"/>
        <v>5821333526913.8857</v>
      </c>
      <c r="M4738" s="460">
        <f t="shared" si="194"/>
        <v>0.05</v>
      </c>
      <c r="N4738" s="464">
        <f t="shared" si="195"/>
        <v>195254</v>
      </c>
    </row>
    <row r="4739" spans="7:14" ht="11.25" customHeight="1" x14ac:dyDescent="0.3">
      <c r="G4739" s="459"/>
      <c r="H4739" s="459">
        <v>4732</v>
      </c>
      <c r="I4739" s="444">
        <f t="shared" ca="1" si="193"/>
        <v>5821333526913.8857</v>
      </c>
      <c r="J4739" s="444">
        <f t="array" ref="J4739">IFERROR(INDEX('Retirement Calculator'!J:J,MATCH('Isaac 401k'!N4739,'Retirement Calculator'!A:A,0),0),0)</f>
        <v>0</v>
      </c>
      <c r="K4739" s="444">
        <f t="shared" ca="1" si="191"/>
        <v>24255556362.14119</v>
      </c>
      <c r="L4739" s="444">
        <f t="shared" ca="1" si="192"/>
        <v>5845589083276.0273</v>
      </c>
      <c r="M4739" s="460">
        <f t="shared" si="194"/>
        <v>0.05</v>
      </c>
      <c r="N4739" s="464">
        <f t="shared" si="195"/>
        <v>195285</v>
      </c>
    </row>
    <row r="4740" spans="7:14" ht="11.25" customHeight="1" x14ac:dyDescent="0.3">
      <c r="G4740" s="459"/>
      <c r="H4740" s="459">
        <v>4733</v>
      </c>
      <c r="I4740" s="444">
        <f t="shared" ca="1" si="193"/>
        <v>5845589083276.0273</v>
      </c>
      <c r="J4740" s="444">
        <f t="array" ref="J4740">IFERROR(INDEX('Retirement Calculator'!J:J,MATCH('Isaac 401k'!N4740,'Retirement Calculator'!A:A,0),0),0)</f>
        <v>0</v>
      </c>
      <c r="K4740" s="444">
        <f t="shared" ca="1" si="191"/>
        <v>24356621180.31678</v>
      </c>
      <c r="L4740" s="444">
        <f t="shared" ca="1" si="192"/>
        <v>5869945704456.3438</v>
      </c>
      <c r="M4740" s="460">
        <f t="shared" si="194"/>
        <v>0.05</v>
      </c>
      <c r="N4740" s="464">
        <f t="shared" si="195"/>
        <v>195315</v>
      </c>
    </row>
    <row r="4741" spans="7:14" ht="11.25" customHeight="1" x14ac:dyDescent="0.3">
      <c r="G4741" s="459"/>
      <c r="H4741" s="459">
        <v>4734</v>
      </c>
      <c r="I4741" s="444">
        <f t="shared" ca="1" si="193"/>
        <v>5869945704456.3438</v>
      </c>
      <c r="J4741" s="444">
        <f t="array" ref="J4741">IFERROR(INDEX('Retirement Calculator'!J:J,MATCH('Isaac 401k'!N4741,'Retirement Calculator'!A:A,0),0),0)</f>
        <v>0</v>
      </c>
      <c r="K4741" s="444">
        <f t="shared" ca="1" si="191"/>
        <v>24458107101.901432</v>
      </c>
      <c r="L4741" s="444">
        <f t="shared" ca="1" si="192"/>
        <v>5894403811558.2451</v>
      </c>
      <c r="M4741" s="460">
        <f t="shared" si="194"/>
        <v>0.05</v>
      </c>
      <c r="N4741" s="464">
        <f t="shared" si="195"/>
        <v>195346</v>
      </c>
    </row>
    <row r="4742" spans="7:14" ht="11.25" customHeight="1" x14ac:dyDescent="0.3">
      <c r="G4742" s="459"/>
      <c r="H4742" s="459">
        <v>4735</v>
      </c>
      <c r="I4742" s="444">
        <f t="shared" ca="1" si="193"/>
        <v>5894403811558.2451</v>
      </c>
      <c r="J4742" s="444">
        <f t="array" ref="J4742">IFERROR(INDEX('Retirement Calculator'!J:J,MATCH('Isaac 401k'!N4742,'Retirement Calculator'!A:A,0),0),0)</f>
        <v>0</v>
      </c>
      <c r="K4742" s="444">
        <f t="shared" ca="1" si="191"/>
        <v>24560015881.492687</v>
      </c>
      <c r="L4742" s="444">
        <f t="shared" ca="1" si="192"/>
        <v>5918963827439.7383</v>
      </c>
      <c r="M4742" s="460">
        <f t="shared" si="194"/>
        <v>0.05</v>
      </c>
      <c r="N4742" s="464">
        <f t="shared" si="195"/>
        <v>195376</v>
      </c>
    </row>
    <row r="4743" spans="7:14" ht="11.25" customHeight="1" x14ac:dyDescent="0.3">
      <c r="G4743" s="459"/>
      <c r="H4743" s="459">
        <v>4736</v>
      </c>
      <c r="I4743" s="444">
        <f t="shared" ca="1" si="193"/>
        <v>5918963827439.7383</v>
      </c>
      <c r="J4743" s="444">
        <f t="array" ref="J4743">IFERROR(INDEX('Retirement Calculator'!J:J,MATCH('Isaac 401k'!N4743,'Retirement Calculator'!A:A,0),0),0)</f>
        <v>0</v>
      </c>
      <c r="K4743" s="444">
        <f t="shared" ca="1" si="191"/>
        <v>24662349280.998909</v>
      </c>
      <c r="L4743" s="444">
        <f t="shared" ca="1" si="192"/>
        <v>5943626176720.7373</v>
      </c>
      <c r="M4743" s="460">
        <f t="shared" si="194"/>
        <v>0.05</v>
      </c>
      <c r="N4743" s="464">
        <f t="shared" si="195"/>
        <v>195407</v>
      </c>
    </row>
    <row r="4744" spans="7:14" ht="11.25" customHeight="1" x14ac:dyDescent="0.3">
      <c r="G4744" s="459"/>
      <c r="H4744" s="459">
        <v>4737</v>
      </c>
      <c r="I4744" s="444">
        <f t="shared" ca="1" si="193"/>
        <v>5943626176720.7373</v>
      </c>
      <c r="J4744" s="444">
        <f t="array" ref="J4744">IFERROR(INDEX('Retirement Calculator'!J:J,MATCH('Isaac 401k'!N4744,'Retirement Calculator'!A:A,0),0),0)</f>
        <v>0</v>
      </c>
      <c r="K4744" s="444">
        <f t="shared" ca="1" si="191"/>
        <v>24765109069.669739</v>
      </c>
      <c r="L4744" s="444">
        <f t="shared" ca="1" si="192"/>
        <v>5968391285790.4072</v>
      </c>
      <c r="M4744" s="460">
        <f t="shared" si="194"/>
        <v>0.05</v>
      </c>
      <c r="N4744" s="464">
        <f t="shared" si="195"/>
        <v>195438</v>
      </c>
    </row>
    <row r="4745" spans="7:14" ht="11.25" customHeight="1" x14ac:dyDescent="0.3">
      <c r="G4745" s="459"/>
      <c r="H4745" s="459">
        <v>4738</v>
      </c>
      <c r="I4745" s="444">
        <f t="shared" ca="1" si="193"/>
        <v>5968391285790.4072</v>
      </c>
      <c r="J4745" s="444">
        <f t="array" ref="J4745">IFERROR(INDEX('Retirement Calculator'!J:J,MATCH('Isaac 401k'!N4745,'Retirement Calculator'!A:A,0),0),0)</f>
        <v>0</v>
      </c>
      <c r="K4745" s="444">
        <f t="shared" ca="1" si="191"/>
        <v>24868297024.126698</v>
      </c>
      <c r="L4745" s="444">
        <f t="shared" ca="1" si="192"/>
        <v>5993259582814.5342</v>
      </c>
      <c r="M4745" s="460">
        <f t="shared" si="194"/>
        <v>0.05</v>
      </c>
      <c r="N4745" s="464">
        <f t="shared" si="195"/>
        <v>195466</v>
      </c>
    </row>
    <row r="4746" spans="7:14" ht="11.25" customHeight="1" x14ac:dyDescent="0.3">
      <c r="G4746" s="459"/>
      <c r="H4746" s="459">
        <v>4739</v>
      </c>
      <c r="I4746" s="444">
        <f t="shared" ca="1" si="193"/>
        <v>5993259582814.5342</v>
      </c>
      <c r="J4746" s="444">
        <f t="array" ref="J4746">IFERROR(INDEX('Retirement Calculator'!J:J,MATCH('Isaac 401k'!N4746,'Retirement Calculator'!A:A,0),0),0)</f>
        <v>0</v>
      </c>
      <c r="K4746" s="444">
        <f t="shared" ca="1" si="191"/>
        <v>24971914928.39389</v>
      </c>
      <c r="L4746" s="444">
        <f t="shared" ca="1" si="192"/>
        <v>6018231497742.9277</v>
      </c>
      <c r="M4746" s="460">
        <f t="shared" si="194"/>
        <v>0.05</v>
      </c>
      <c r="N4746" s="464">
        <f t="shared" si="195"/>
        <v>195497</v>
      </c>
    </row>
    <row r="4747" spans="7:14" ht="11.25" customHeight="1" x14ac:dyDescent="0.3">
      <c r="G4747" s="459"/>
      <c r="H4747" s="459">
        <v>4740</v>
      </c>
      <c r="I4747" s="444">
        <f t="shared" ca="1" si="193"/>
        <v>6018231497742.9277</v>
      </c>
      <c r="J4747" s="444">
        <f t="array" ref="J4747">IFERROR(INDEX('Retirement Calculator'!J:J,MATCH('Isaac 401k'!N4747,'Retirement Calculator'!A:A,0),0),0)</f>
        <v>0</v>
      </c>
      <c r="K4747" s="444">
        <f t="shared" ca="1" si="191"/>
        <v>25075964573.928864</v>
      </c>
      <c r="L4747" s="444">
        <f t="shared" ca="1" si="192"/>
        <v>6043307462316.8564</v>
      </c>
      <c r="M4747" s="460">
        <f t="shared" si="194"/>
        <v>0.05</v>
      </c>
      <c r="N4747" s="464">
        <f t="shared" si="195"/>
        <v>195527</v>
      </c>
    </row>
    <row r="4748" spans="7:14" ht="11.25" customHeight="1" x14ac:dyDescent="0.3">
      <c r="G4748" s="459"/>
      <c r="H4748" s="459">
        <v>4741</v>
      </c>
      <c r="I4748" s="444">
        <f t="shared" ca="1" si="193"/>
        <v>6043307462316.8564</v>
      </c>
      <c r="J4748" s="444">
        <f t="array" ref="J4748">IFERROR(INDEX('Retirement Calculator'!J:J,MATCH('Isaac 401k'!N4748,'Retirement Calculator'!A:A,0),0),0)</f>
        <v>0</v>
      </c>
      <c r="K4748" s="444">
        <f t="shared" ca="1" si="191"/>
        <v>25180447759.653568</v>
      </c>
      <c r="L4748" s="444">
        <f t="shared" ca="1" si="192"/>
        <v>6068487910076.5098</v>
      </c>
      <c r="M4748" s="460">
        <f t="shared" si="194"/>
        <v>0.05</v>
      </c>
      <c r="N4748" s="464">
        <f t="shared" si="195"/>
        <v>195558</v>
      </c>
    </row>
    <row r="4749" spans="7:14" ht="11.25" customHeight="1" x14ac:dyDescent="0.3">
      <c r="G4749" s="459"/>
      <c r="H4749" s="459">
        <v>4742</v>
      </c>
      <c r="I4749" s="444">
        <f t="shared" ca="1" si="193"/>
        <v>6068487910076.5098</v>
      </c>
      <c r="J4749" s="444">
        <f t="array" ref="J4749">IFERROR(INDEX('Retirement Calculator'!J:J,MATCH('Isaac 401k'!N4749,'Retirement Calculator'!A:A,0),0),0)</f>
        <v>0</v>
      </c>
      <c r="K4749" s="444">
        <f t="shared" ca="1" si="191"/>
        <v>25285366291.985458</v>
      </c>
      <c r="L4749" s="444">
        <f t="shared" ca="1" si="192"/>
        <v>6093773276368.4951</v>
      </c>
      <c r="M4749" s="460">
        <f t="shared" si="194"/>
        <v>0.05</v>
      </c>
      <c r="N4749" s="464">
        <f t="shared" si="195"/>
        <v>195588</v>
      </c>
    </row>
    <row r="4750" spans="7:14" ht="11.25" customHeight="1" x14ac:dyDescent="0.3">
      <c r="G4750" s="459"/>
      <c r="H4750" s="459">
        <v>4743</v>
      </c>
      <c r="I4750" s="444">
        <f t="shared" ca="1" si="193"/>
        <v>6093773276368.4951</v>
      </c>
      <c r="J4750" s="444">
        <f t="array" ref="J4750">IFERROR(INDEX('Retirement Calculator'!J:J,MATCH('Isaac 401k'!N4750,'Retirement Calculator'!A:A,0),0),0)</f>
        <v>0</v>
      </c>
      <c r="K4750" s="444">
        <f t="shared" ca="1" si="191"/>
        <v>25390721984.868729</v>
      </c>
      <c r="L4750" s="444">
        <f t="shared" ca="1" si="192"/>
        <v>6119163998353.3643</v>
      </c>
      <c r="M4750" s="460">
        <f t="shared" si="194"/>
        <v>0.05</v>
      </c>
      <c r="N4750" s="464">
        <f t="shared" si="195"/>
        <v>195619</v>
      </c>
    </row>
    <row r="4751" spans="7:14" ht="11.25" customHeight="1" x14ac:dyDescent="0.3">
      <c r="G4751" s="459"/>
      <c r="H4751" s="459">
        <v>4744</v>
      </c>
      <c r="I4751" s="444">
        <f t="shared" ca="1" si="193"/>
        <v>6119163998353.3643</v>
      </c>
      <c r="J4751" s="444">
        <f t="array" ref="J4751">IFERROR(INDEX('Retirement Calculator'!J:J,MATCH('Isaac 401k'!N4751,'Retirement Calculator'!A:A,0),0),0)</f>
        <v>0</v>
      </c>
      <c r="K4751" s="444">
        <f t="shared" ca="1" si="191"/>
        <v>25496516659.805683</v>
      </c>
      <c r="L4751" s="444">
        <f t="shared" ca="1" si="192"/>
        <v>6144660515013.1699</v>
      </c>
      <c r="M4751" s="460">
        <f t="shared" si="194"/>
        <v>0.05</v>
      </c>
      <c r="N4751" s="464">
        <f t="shared" si="195"/>
        <v>195650</v>
      </c>
    </row>
    <row r="4752" spans="7:14" ht="11.25" customHeight="1" x14ac:dyDescent="0.3">
      <c r="G4752" s="459"/>
      <c r="H4752" s="459">
        <v>4745</v>
      </c>
      <c r="I4752" s="444">
        <f t="shared" ca="1" si="193"/>
        <v>6144660515013.1699</v>
      </c>
      <c r="J4752" s="444">
        <f t="array" ref="J4752">IFERROR(INDEX('Retirement Calculator'!J:J,MATCH('Isaac 401k'!N4752,'Retirement Calculator'!A:A,0),0),0)</f>
        <v>0</v>
      </c>
      <c r="K4752" s="444">
        <f t="shared" ca="1" si="191"/>
        <v>25602752145.888206</v>
      </c>
      <c r="L4752" s="444">
        <f t="shared" ca="1" si="192"/>
        <v>6170263267159.0586</v>
      </c>
      <c r="M4752" s="460">
        <f t="shared" si="194"/>
        <v>0.05</v>
      </c>
      <c r="N4752" s="464">
        <f t="shared" si="195"/>
        <v>195680</v>
      </c>
    </row>
    <row r="4753" spans="7:14" ht="11.25" customHeight="1" x14ac:dyDescent="0.3">
      <c r="G4753" s="459"/>
      <c r="H4753" s="459">
        <v>4746</v>
      </c>
      <c r="I4753" s="444">
        <f t="shared" ca="1" si="193"/>
        <v>6170263267159.0586</v>
      </c>
      <c r="J4753" s="444">
        <f t="array" ref="J4753">IFERROR(INDEX('Retirement Calculator'!J:J,MATCH('Isaac 401k'!N4753,'Retirement Calculator'!A:A,0),0),0)</f>
        <v>0</v>
      </c>
      <c r="K4753" s="444">
        <f t="shared" ca="1" si="191"/>
        <v>25709430279.829411</v>
      </c>
      <c r="L4753" s="444">
        <f t="shared" ca="1" si="192"/>
        <v>6195972697438.8877</v>
      </c>
      <c r="M4753" s="460">
        <f t="shared" si="194"/>
        <v>0.05</v>
      </c>
      <c r="N4753" s="464">
        <f t="shared" si="195"/>
        <v>195711</v>
      </c>
    </row>
    <row r="4754" spans="7:14" ht="11.25" customHeight="1" x14ac:dyDescent="0.3">
      <c r="G4754" s="459"/>
      <c r="H4754" s="459">
        <v>4747</v>
      </c>
      <c r="I4754" s="444">
        <f t="shared" ca="1" si="193"/>
        <v>6195972697438.8877</v>
      </c>
      <c r="J4754" s="444">
        <f t="array" ref="J4754">IFERROR(INDEX('Retirement Calculator'!J:J,MATCH('Isaac 401k'!N4754,'Retirement Calculator'!A:A,0),0),0)</f>
        <v>0</v>
      </c>
      <c r="K4754" s="444">
        <f t="shared" ca="1" si="191"/>
        <v>25816552905.995365</v>
      </c>
      <c r="L4754" s="444">
        <f t="shared" ca="1" si="192"/>
        <v>6221789250344.8828</v>
      </c>
      <c r="M4754" s="460">
        <f t="shared" si="194"/>
        <v>0.05</v>
      </c>
      <c r="N4754" s="464">
        <f t="shared" si="195"/>
        <v>195741</v>
      </c>
    </row>
    <row r="4755" spans="7:14" ht="11.25" customHeight="1" x14ac:dyDescent="0.3">
      <c r="G4755" s="459"/>
      <c r="H4755" s="459">
        <v>4748</v>
      </c>
      <c r="I4755" s="444">
        <f t="shared" ca="1" si="193"/>
        <v>6221789250344.8828</v>
      </c>
      <c r="J4755" s="444">
        <f t="array" ref="J4755">IFERROR(INDEX('Retirement Calculator'!J:J,MATCH('Isaac 401k'!N4755,'Retirement Calculator'!A:A,0),0),0)</f>
        <v>0</v>
      </c>
      <c r="K4755" s="444">
        <f t="shared" ca="1" si="191"/>
        <v>25924121876.437012</v>
      </c>
      <c r="L4755" s="444">
        <f t="shared" ca="1" si="192"/>
        <v>6247713372221.3203</v>
      </c>
      <c r="M4755" s="460">
        <f t="shared" si="194"/>
        <v>0.05</v>
      </c>
      <c r="N4755" s="464">
        <f t="shared" si="195"/>
        <v>195772</v>
      </c>
    </row>
    <row r="4756" spans="7:14" ht="11.25" customHeight="1" x14ac:dyDescent="0.3">
      <c r="G4756" s="459"/>
      <c r="H4756" s="459">
        <v>4749</v>
      </c>
      <c r="I4756" s="444">
        <f t="shared" ca="1" si="193"/>
        <v>6247713372221.3203</v>
      </c>
      <c r="J4756" s="444">
        <f t="array" ref="J4756">IFERROR(INDEX('Retirement Calculator'!J:J,MATCH('Isaac 401k'!N4756,'Retirement Calculator'!A:A,0),0),0)</f>
        <v>0</v>
      </c>
      <c r="K4756" s="444">
        <f t="shared" ca="1" si="191"/>
        <v>26032139050.922169</v>
      </c>
      <c r="L4756" s="444">
        <f t="shared" ca="1" si="192"/>
        <v>6273745511272.2422</v>
      </c>
      <c r="M4756" s="460">
        <f t="shared" si="194"/>
        <v>0.05</v>
      </c>
      <c r="N4756" s="464">
        <f t="shared" si="195"/>
        <v>195803</v>
      </c>
    </row>
    <row r="4757" spans="7:14" ht="11.25" customHeight="1" x14ac:dyDescent="0.3">
      <c r="G4757" s="459"/>
      <c r="H4757" s="459">
        <v>4750</v>
      </c>
      <c r="I4757" s="444">
        <f t="shared" ca="1" si="193"/>
        <v>6273745511272.2422</v>
      </c>
      <c r="J4757" s="444">
        <f t="array" ref="J4757">IFERROR(INDEX('Retirement Calculator'!J:J,MATCH('Isaac 401k'!N4757,'Retirement Calculator'!A:A,0),0),0)</f>
        <v>0</v>
      </c>
      <c r="K4757" s="444">
        <f t="shared" ca="1" si="191"/>
        <v>26140606296.967674</v>
      </c>
      <c r="L4757" s="444">
        <f t="shared" ca="1" si="192"/>
        <v>6299886117569.21</v>
      </c>
      <c r="M4757" s="460">
        <f t="shared" si="194"/>
        <v>0.05</v>
      </c>
      <c r="N4757" s="464">
        <f t="shared" si="195"/>
        <v>195832</v>
      </c>
    </row>
    <row r="4758" spans="7:14" ht="11.25" customHeight="1" x14ac:dyDescent="0.3">
      <c r="G4758" s="459"/>
      <c r="H4758" s="459">
        <v>4751</v>
      </c>
      <c r="I4758" s="444">
        <f t="shared" ca="1" si="193"/>
        <v>6299886117569.21</v>
      </c>
      <c r="J4758" s="444">
        <f t="array" ref="J4758">IFERROR(INDEX('Retirement Calculator'!J:J,MATCH('Isaac 401k'!N4758,'Retirement Calculator'!A:A,0),0),0)</f>
        <v>0</v>
      </c>
      <c r="K4758" s="444">
        <f t="shared" ca="1" si="191"/>
        <v>26249525489.871708</v>
      </c>
      <c r="L4758" s="444">
        <f t="shared" ca="1" si="192"/>
        <v>6326135643059.082</v>
      </c>
      <c r="M4758" s="460">
        <f t="shared" si="194"/>
        <v>0.05</v>
      </c>
      <c r="N4758" s="464">
        <f t="shared" si="195"/>
        <v>195863</v>
      </c>
    </row>
    <row r="4759" spans="7:14" ht="11.25" customHeight="1" x14ac:dyDescent="0.3">
      <c r="G4759" s="459"/>
      <c r="H4759" s="459">
        <v>4752</v>
      </c>
      <c r="I4759" s="444">
        <f t="shared" ca="1" si="193"/>
        <v>6326135643059.082</v>
      </c>
      <c r="J4759" s="444">
        <f t="array" ref="J4759">IFERROR(INDEX('Retirement Calculator'!J:J,MATCH('Isaac 401k'!N4759,'Retirement Calculator'!A:A,0),0),0)</f>
        <v>0</v>
      </c>
      <c r="K4759" s="444">
        <f t="shared" ca="1" si="191"/>
        <v>26358898512.746174</v>
      </c>
      <c r="L4759" s="444">
        <f t="shared" ca="1" si="192"/>
        <v>6352494541571.8281</v>
      </c>
      <c r="M4759" s="460">
        <f t="shared" si="194"/>
        <v>0.05</v>
      </c>
      <c r="N4759" s="464">
        <f t="shared" si="195"/>
        <v>195893</v>
      </c>
    </row>
    <row r="4760" spans="7:14" ht="11.25" customHeight="1" x14ac:dyDescent="0.3">
      <c r="G4760" s="459"/>
      <c r="H4760" s="459">
        <v>4753</v>
      </c>
      <c r="I4760" s="444">
        <f t="shared" ca="1" si="193"/>
        <v>6352494541571.8281</v>
      </c>
      <c r="J4760" s="444">
        <f t="array" ref="J4760">IFERROR(INDEX('Retirement Calculator'!J:J,MATCH('Isaac 401k'!N4760,'Retirement Calculator'!A:A,0),0),0)</f>
        <v>0</v>
      </c>
      <c r="K4760" s="444">
        <f t="shared" ca="1" si="191"/>
        <v>26468727256.549282</v>
      </c>
      <c r="L4760" s="444">
        <f t="shared" ca="1" si="192"/>
        <v>6378963268828.377</v>
      </c>
      <c r="M4760" s="460">
        <f t="shared" si="194"/>
        <v>0.05</v>
      </c>
      <c r="N4760" s="464">
        <f t="shared" si="195"/>
        <v>195924</v>
      </c>
    </row>
    <row r="4761" spans="7:14" ht="11.25" customHeight="1" x14ac:dyDescent="0.3">
      <c r="G4761" s="459"/>
      <c r="H4761" s="459">
        <v>4754</v>
      </c>
      <c r="I4761" s="444">
        <f t="shared" ca="1" si="193"/>
        <v>6378963268828.377</v>
      </c>
      <c r="J4761" s="444">
        <f t="array" ref="J4761">IFERROR(INDEX('Retirement Calculator'!J:J,MATCH('Isaac 401k'!N4761,'Retirement Calculator'!A:A,0),0),0)</f>
        <v>0</v>
      </c>
      <c r="K4761" s="444">
        <f t="shared" ca="1" si="191"/>
        <v>26579013620.118237</v>
      </c>
      <c r="L4761" s="444">
        <f t="shared" ca="1" si="192"/>
        <v>6405542282448.4951</v>
      </c>
      <c r="M4761" s="460">
        <f t="shared" si="194"/>
        <v>0.05</v>
      </c>
      <c r="N4761" s="464">
        <f t="shared" si="195"/>
        <v>195954</v>
      </c>
    </row>
    <row r="4762" spans="7:14" ht="11.25" customHeight="1" x14ac:dyDescent="0.3">
      <c r="G4762" s="459"/>
      <c r="H4762" s="459">
        <v>4755</v>
      </c>
      <c r="I4762" s="444">
        <f t="shared" ca="1" si="193"/>
        <v>6405542282448.4951</v>
      </c>
      <c r="J4762" s="444">
        <f t="array" ref="J4762">IFERROR(INDEX('Retirement Calculator'!J:J,MATCH('Isaac 401k'!N4762,'Retirement Calculator'!A:A,0),0),0)</f>
        <v>0</v>
      </c>
      <c r="K4762" s="444">
        <f t="shared" ca="1" si="191"/>
        <v>26689759510.202065</v>
      </c>
      <c r="L4762" s="444">
        <f t="shared" ca="1" si="192"/>
        <v>6432232041958.6973</v>
      </c>
      <c r="M4762" s="460">
        <f t="shared" si="194"/>
        <v>0.05</v>
      </c>
      <c r="N4762" s="464">
        <f t="shared" si="195"/>
        <v>195985</v>
      </c>
    </row>
    <row r="4763" spans="7:14" ht="11.25" customHeight="1" x14ac:dyDescent="0.3">
      <c r="G4763" s="459"/>
      <c r="H4763" s="459">
        <v>4756</v>
      </c>
      <c r="I4763" s="444">
        <f t="shared" ca="1" si="193"/>
        <v>6432232041958.6973</v>
      </c>
      <c r="J4763" s="444">
        <f t="array" ref="J4763">IFERROR(INDEX('Retirement Calculator'!J:J,MATCH('Isaac 401k'!N4763,'Retirement Calculator'!A:A,0),0),0)</f>
        <v>0</v>
      </c>
      <c r="K4763" s="444">
        <f t="shared" ca="1" si="191"/>
        <v>26800966841.494572</v>
      </c>
      <c r="L4763" s="444">
        <f t="shared" ca="1" si="192"/>
        <v>6459033008800.1914</v>
      </c>
      <c r="M4763" s="460">
        <f t="shared" si="194"/>
        <v>0.05</v>
      </c>
      <c r="N4763" s="464">
        <f t="shared" si="195"/>
        <v>196016</v>
      </c>
    </row>
    <row r="4764" spans="7:14" ht="11.25" customHeight="1" x14ac:dyDescent="0.3">
      <c r="G4764" s="459"/>
      <c r="H4764" s="459">
        <v>4757</v>
      </c>
      <c r="I4764" s="444">
        <f t="shared" ca="1" si="193"/>
        <v>6459033008800.1914</v>
      </c>
      <c r="J4764" s="444">
        <f t="array" ref="J4764">IFERROR(INDEX('Retirement Calculator'!J:J,MATCH('Isaac 401k'!N4764,'Retirement Calculator'!A:A,0),0),0)</f>
        <v>0</v>
      </c>
      <c r="K4764" s="444">
        <f t="shared" ca="1" si="191"/>
        <v>26912637536.667465</v>
      </c>
      <c r="L4764" s="444">
        <f t="shared" ca="1" si="192"/>
        <v>6485945646336.8584</v>
      </c>
      <c r="M4764" s="460">
        <f t="shared" si="194"/>
        <v>0.05</v>
      </c>
      <c r="N4764" s="464">
        <f t="shared" si="195"/>
        <v>196046</v>
      </c>
    </row>
    <row r="4765" spans="7:14" ht="11.25" customHeight="1" x14ac:dyDescent="0.3">
      <c r="G4765" s="459"/>
      <c r="H4765" s="459">
        <v>4758</v>
      </c>
      <c r="I4765" s="444">
        <f t="shared" ca="1" si="193"/>
        <v>6485945646336.8584</v>
      </c>
      <c r="J4765" s="444">
        <f t="array" ref="J4765">IFERROR(INDEX('Retirement Calculator'!J:J,MATCH('Isaac 401k'!N4765,'Retirement Calculator'!A:A,0),0),0)</f>
        <v>0</v>
      </c>
      <c r="K4765" s="444">
        <f t="shared" ca="1" si="191"/>
        <v>27024773526.403576</v>
      </c>
      <c r="L4765" s="444">
        <f t="shared" ca="1" si="192"/>
        <v>6512970419863.2617</v>
      </c>
      <c r="M4765" s="460">
        <f t="shared" si="194"/>
        <v>0.05</v>
      </c>
      <c r="N4765" s="464">
        <f t="shared" si="195"/>
        <v>196077</v>
      </c>
    </row>
    <row r="4766" spans="7:14" ht="11.25" customHeight="1" x14ac:dyDescent="0.3">
      <c r="G4766" s="459"/>
      <c r="H4766" s="459">
        <v>4759</v>
      </c>
      <c r="I4766" s="444">
        <f t="shared" ca="1" si="193"/>
        <v>6512970419863.2617</v>
      </c>
      <c r="J4766" s="444">
        <f t="array" ref="J4766">IFERROR(INDEX('Retirement Calculator'!J:J,MATCH('Isaac 401k'!N4766,'Retirement Calculator'!A:A,0),0),0)</f>
        <v>0</v>
      </c>
      <c r="K4766" s="444">
        <f t="shared" ca="1" si="191"/>
        <v>27137376749.430256</v>
      </c>
      <c r="L4766" s="444">
        <f t="shared" ca="1" si="192"/>
        <v>6540107796612.6924</v>
      </c>
      <c r="M4766" s="460">
        <f t="shared" si="194"/>
        <v>0.05</v>
      </c>
      <c r="N4766" s="464">
        <f t="shared" si="195"/>
        <v>196107</v>
      </c>
    </row>
    <row r="4767" spans="7:14" ht="11.25" customHeight="1" x14ac:dyDescent="0.3">
      <c r="G4767" s="459"/>
      <c r="H4767" s="459">
        <v>4760</v>
      </c>
      <c r="I4767" s="444">
        <f t="shared" ca="1" si="193"/>
        <v>6540107796612.6924</v>
      </c>
      <c r="J4767" s="444">
        <f t="array" ref="J4767">IFERROR(INDEX('Retirement Calculator'!J:J,MATCH('Isaac 401k'!N4767,'Retirement Calculator'!A:A,0),0),0)</f>
        <v>0</v>
      </c>
      <c r="K4767" s="444">
        <f t="shared" ca="1" si="191"/>
        <v>27250449152.552883</v>
      </c>
      <c r="L4767" s="444">
        <f t="shared" ca="1" si="192"/>
        <v>6567358245765.2451</v>
      </c>
      <c r="M4767" s="460">
        <f t="shared" si="194"/>
        <v>0.05</v>
      </c>
      <c r="N4767" s="464">
        <f t="shared" si="195"/>
        <v>196138</v>
      </c>
    </row>
    <row r="4768" spans="7:14" ht="11.25" customHeight="1" x14ac:dyDescent="0.3">
      <c r="G4768" s="459"/>
      <c r="H4768" s="459">
        <v>4761</v>
      </c>
      <c r="I4768" s="444">
        <f t="shared" ca="1" si="193"/>
        <v>6567358245765.2451</v>
      </c>
      <c r="J4768" s="444">
        <f t="array" ref="J4768">IFERROR(INDEX('Retirement Calculator'!J:J,MATCH('Isaac 401k'!N4768,'Retirement Calculator'!A:A,0),0),0)</f>
        <v>0</v>
      </c>
      <c r="K4768" s="444">
        <f t="shared" ca="1" si="191"/>
        <v>27363992690.688522</v>
      </c>
      <c r="L4768" s="444">
        <f t="shared" ca="1" si="192"/>
        <v>6594722238455.9336</v>
      </c>
      <c r="M4768" s="460">
        <f t="shared" si="194"/>
        <v>0.05</v>
      </c>
      <c r="N4768" s="464">
        <f t="shared" si="195"/>
        <v>196169</v>
      </c>
    </row>
    <row r="4769" spans="7:14" ht="11.25" customHeight="1" x14ac:dyDescent="0.3">
      <c r="G4769" s="459"/>
      <c r="H4769" s="459">
        <v>4762</v>
      </c>
      <c r="I4769" s="444">
        <f t="shared" ca="1" si="193"/>
        <v>6594722238455.9336</v>
      </c>
      <c r="J4769" s="444">
        <f t="array" ref="J4769">IFERROR(INDEX('Retirement Calculator'!J:J,MATCH('Isaac 401k'!N4769,'Retirement Calculator'!A:A,0),0),0)</f>
        <v>0</v>
      </c>
      <c r="K4769" s="444">
        <f t="shared" ca="1" si="191"/>
        <v>27478009326.899723</v>
      </c>
      <c r="L4769" s="444">
        <f t="shared" ca="1" si="192"/>
        <v>6622200247782.833</v>
      </c>
      <c r="M4769" s="460">
        <f t="shared" si="194"/>
        <v>0.05</v>
      </c>
      <c r="N4769" s="464">
        <f t="shared" si="195"/>
        <v>196197</v>
      </c>
    </row>
    <row r="4770" spans="7:14" ht="11.25" customHeight="1" x14ac:dyDescent="0.3">
      <c r="G4770" s="459"/>
      <c r="H4770" s="459">
        <v>4763</v>
      </c>
      <c r="I4770" s="444">
        <f t="shared" ca="1" si="193"/>
        <v>6622200247782.833</v>
      </c>
      <c r="J4770" s="444">
        <f t="array" ref="J4770">IFERROR(INDEX('Retirement Calculator'!J:J,MATCH('Isaac 401k'!N4770,'Retirement Calculator'!A:A,0),0),0)</f>
        <v>0</v>
      </c>
      <c r="K4770" s="444">
        <f t="shared" ca="1" si="191"/>
        <v>27592501032.428471</v>
      </c>
      <c r="L4770" s="444">
        <f t="shared" ca="1" si="192"/>
        <v>6649792748815.2617</v>
      </c>
      <c r="M4770" s="460">
        <f t="shared" si="194"/>
        <v>0.05</v>
      </c>
      <c r="N4770" s="464">
        <f t="shared" si="195"/>
        <v>196228</v>
      </c>
    </row>
    <row r="4771" spans="7:14" ht="11.25" customHeight="1" x14ac:dyDescent="0.3">
      <c r="G4771" s="459"/>
      <c r="H4771" s="459">
        <v>4764</v>
      </c>
      <c r="I4771" s="444">
        <f t="shared" ca="1" si="193"/>
        <v>6649792748815.2617</v>
      </c>
      <c r="J4771" s="444">
        <f t="array" ref="J4771">IFERROR(INDEX('Retirement Calculator'!J:J,MATCH('Isaac 401k'!N4771,'Retirement Calculator'!A:A,0),0),0)</f>
        <v>0</v>
      </c>
      <c r="K4771" s="444">
        <f t="shared" ca="1" si="191"/>
        <v>27707469786.730255</v>
      </c>
      <c r="L4771" s="444">
        <f t="shared" ca="1" si="192"/>
        <v>6677500218601.9922</v>
      </c>
      <c r="M4771" s="460">
        <f t="shared" si="194"/>
        <v>0.05</v>
      </c>
      <c r="N4771" s="464">
        <f t="shared" si="195"/>
        <v>196258</v>
      </c>
    </row>
    <row r="4772" spans="7:14" ht="11.25" customHeight="1" x14ac:dyDescent="0.3">
      <c r="G4772" s="459"/>
      <c r="H4772" s="459">
        <v>4765</v>
      </c>
      <c r="I4772" s="444">
        <f t="shared" ca="1" si="193"/>
        <v>6677500218601.9922</v>
      </c>
      <c r="J4772" s="444">
        <f t="array" ref="J4772">IFERROR(INDEX('Retirement Calculator'!J:J,MATCH('Isaac 401k'!N4772,'Retirement Calculator'!A:A,0),0),0)</f>
        <v>0</v>
      </c>
      <c r="K4772" s="444">
        <f t="shared" ca="1" si="191"/>
        <v>27822917577.508301</v>
      </c>
      <c r="L4772" s="444">
        <f t="shared" ca="1" si="192"/>
        <v>6705323136179.5</v>
      </c>
      <c r="M4772" s="460">
        <f t="shared" si="194"/>
        <v>0.05</v>
      </c>
      <c r="N4772" s="464">
        <f t="shared" si="195"/>
        <v>196289</v>
      </c>
    </row>
    <row r="4773" spans="7:14" ht="11.25" customHeight="1" x14ac:dyDescent="0.3">
      <c r="G4773" s="459"/>
      <c r="H4773" s="459">
        <v>4766</v>
      </c>
      <c r="I4773" s="444">
        <f t="shared" ca="1" si="193"/>
        <v>6705323136179.5</v>
      </c>
      <c r="J4773" s="444">
        <f t="array" ref="J4773">IFERROR(INDEX('Retirement Calculator'!J:J,MATCH('Isaac 401k'!N4773,'Retirement Calculator'!A:A,0),0),0)</f>
        <v>0</v>
      </c>
      <c r="K4773" s="444">
        <f t="shared" ca="1" si="191"/>
        <v>27938846400.747917</v>
      </c>
      <c r="L4773" s="444">
        <f t="shared" ca="1" si="192"/>
        <v>6733261982580.248</v>
      </c>
      <c r="M4773" s="460">
        <f t="shared" si="194"/>
        <v>0.05</v>
      </c>
      <c r="N4773" s="464">
        <f t="shared" si="195"/>
        <v>196319</v>
      </c>
    </row>
    <row r="4774" spans="7:14" ht="11.25" customHeight="1" x14ac:dyDescent="0.3">
      <c r="G4774" s="459"/>
      <c r="H4774" s="459">
        <v>4767</v>
      </c>
      <c r="I4774" s="444">
        <f t="shared" ca="1" si="193"/>
        <v>6733261982580.248</v>
      </c>
      <c r="J4774" s="444">
        <f t="array" ref="J4774">IFERROR(INDEX('Retirement Calculator'!J:J,MATCH('Isaac 401k'!N4774,'Retirement Calculator'!A:A,0),0),0)</f>
        <v>0</v>
      </c>
      <c r="K4774" s="444">
        <f t="shared" ca="1" si="191"/>
        <v>28055258260.751034</v>
      </c>
      <c r="L4774" s="444">
        <f t="shared" ca="1" si="192"/>
        <v>6761317240840.999</v>
      </c>
      <c r="M4774" s="460">
        <f t="shared" si="194"/>
        <v>0.05</v>
      </c>
      <c r="N4774" s="464">
        <f t="shared" si="195"/>
        <v>196350</v>
      </c>
    </row>
    <row r="4775" spans="7:14" ht="11.25" customHeight="1" x14ac:dyDescent="0.3">
      <c r="G4775" s="459"/>
      <c r="H4775" s="459">
        <v>4768</v>
      </c>
      <c r="I4775" s="444">
        <f t="shared" ca="1" si="193"/>
        <v>6761317240840.999</v>
      </c>
      <c r="J4775" s="444">
        <f t="array" ref="J4775">IFERROR(INDEX('Retirement Calculator'!J:J,MATCH('Isaac 401k'!N4775,'Retirement Calculator'!A:A,0),0),0)</f>
        <v>0</v>
      </c>
      <c r="K4775" s="444">
        <f t="shared" ca="1" si="191"/>
        <v>28172155170.17083</v>
      </c>
      <c r="L4775" s="444">
        <f t="shared" ca="1" si="192"/>
        <v>6789489396011.1699</v>
      </c>
      <c r="M4775" s="460">
        <f t="shared" si="194"/>
        <v>0.05</v>
      </c>
      <c r="N4775" s="464">
        <f t="shared" si="195"/>
        <v>196381</v>
      </c>
    </row>
    <row r="4776" spans="7:14" ht="11.25" customHeight="1" x14ac:dyDescent="0.3">
      <c r="G4776" s="459"/>
      <c r="H4776" s="459">
        <v>4769</v>
      </c>
      <c r="I4776" s="444">
        <f t="shared" ca="1" si="193"/>
        <v>6789489396011.1699</v>
      </c>
      <c r="J4776" s="444">
        <f t="array" ref="J4776">IFERROR(INDEX('Retirement Calculator'!J:J,MATCH('Isaac 401k'!N4776,'Retirement Calculator'!A:A,0),0),0)</f>
        <v>0</v>
      </c>
      <c r="K4776" s="444">
        <f t="shared" ca="1" si="191"/>
        <v>28289539150.046539</v>
      </c>
      <c r="L4776" s="444">
        <f t="shared" ca="1" si="192"/>
        <v>6817778935161.2168</v>
      </c>
      <c r="M4776" s="460">
        <f t="shared" si="194"/>
        <v>0.05</v>
      </c>
      <c r="N4776" s="464">
        <f t="shared" si="195"/>
        <v>196411</v>
      </c>
    </row>
    <row r="4777" spans="7:14" ht="11.25" customHeight="1" x14ac:dyDescent="0.3">
      <c r="G4777" s="459"/>
      <c r="H4777" s="459">
        <v>4770</v>
      </c>
      <c r="I4777" s="444">
        <f t="shared" ca="1" si="193"/>
        <v>6817778935161.2168</v>
      </c>
      <c r="J4777" s="444">
        <f t="array" ref="J4777">IFERROR(INDEX('Retirement Calculator'!J:J,MATCH('Isaac 401k'!N4777,'Retirement Calculator'!A:A,0),0),0)</f>
        <v>0</v>
      </c>
      <c r="K4777" s="444">
        <f t="shared" ca="1" si="191"/>
        <v>28407412229.838402</v>
      </c>
      <c r="L4777" s="444">
        <f t="shared" ca="1" si="192"/>
        <v>6846186347391.0557</v>
      </c>
      <c r="M4777" s="460">
        <f t="shared" si="194"/>
        <v>0.05</v>
      </c>
      <c r="N4777" s="464">
        <f t="shared" si="195"/>
        <v>196442</v>
      </c>
    </row>
    <row r="4778" spans="7:14" ht="11.25" customHeight="1" x14ac:dyDescent="0.3">
      <c r="G4778" s="459"/>
      <c r="H4778" s="459">
        <v>4771</v>
      </c>
      <c r="I4778" s="444">
        <f t="shared" ca="1" si="193"/>
        <v>6846186347391.0557</v>
      </c>
      <c r="J4778" s="444">
        <f t="array" ref="J4778">IFERROR(INDEX('Retirement Calculator'!J:J,MATCH('Isaac 401k'!N4778,'Retirement Calculator'!A:A,0),0),0)</f>
        <v>0</v>
      </c>
      <c r="K4778" s="444">
        <f t="shared" ca="1" si="191"/>
        <v>28525776447.46273</v>
      </c>
      <c r="L4778" s="444">
        <f t="shared" ca="1" si="192"/>
        <v>6874712123838.5186</v>
      </c>
      <c r="M4778" s="460">
        <f t="shared" si="194"/>
        <v>0.05</v>
      </c>
      <c r="N4778" s="464">
        <f t="shared" si="195"/>
        <v>196472</v>
      </c>
    </row>
    <row r="4779" spans="7:14" ht="11.25" customHeight="1" x14ac:dyDescent="0.3">
      <c r="G4779" s="459"/>
      <c r="H4779" s="459">
        <v>4772</v>
      </c>
      <c r="I4779" s="444">
        <f t="shared" ca="1" si="193"/>
        <v>6874712123838.5186</v>
      </c>
      <c r="J4779" s="444">
        <f t="array" ref="J4779">IFERROR(INDEX('Retirement Calculator'!J:J,MATCH('Isaac 401k'!N4779,'Retirement Calculator'!A:A,0),0),0)</f>
        <v>0</v>
      </c>
      <c r="K4779" s="444">
        <f t="shared" ca="1" si="191"/>
        <v>28644633849.32716</v>
      </c>
      <c r="L4779" s="444">
        <f t="shared" ca="1" si="192"/>
        <v>6903356757687.8457</v>
      </c>
      <c r="M4779" s="460">
        <f t="shared" si="194"/>
        <v>0.05</v>
      </c>
      <c r="N4779" s="464">
        <f t="shared" si="195"/>
        <v>196503</v>
      </c>
    </row>
    <row r="4780" spans="7:14" ht="11.25" customHeight="1" x14ac:dyDescent="0.3">
      <c r="G4780" s="459"/>
      <c r="H4780" s="459">
        <v>4773</v>
      </c>
      <c r="I4780" s="444">
        <f t="shared" ca="1" si="193"/>
        <v>6903356757687.8457</v>
      </c>
      <c r="J4780" s="444">
        <f t="array" ref="J4780">IFERROR(INDEX('Retirement Calculator'!J:J,MATCH('Isaac 401k'!N4780,'Retirement Calculator'!A:A,0),0),0)</f>
        <v>0</v>
      </c>
      <c r="K4780" s="444">
        <f t="shared" ca="1" si="191"/>
        <v>28763986490.366024</v>
      </c>
      <c r="L4780" s="444">
        <f t="shared" ca="1" si="192"/>
        <v>6932120744178.2119</v>
      </c>
      <c r="M4780" s="460">
        <f t="shared" si="194"/>
        <v>0.05</v>
      </c>
      <c r="N4780" s="464">
        <f t="shared" si="195"/>
        <v>196534</v>
      </c>
    </row>
    <row r="4781" spans="7:14" ht="11.25" customHeight="1" x14ac:dyDescent="0.3">
      <c r="G4781" s="459"/>
      <c r="H4781" s="459">
        <v>4774</v>
      </c>
      <c r="I4781" s="444">
        <f t="shared" ca="1" si="193"/>
        <v>6932120744178.2119</v>
      </c>
      <c r="J4781" s="444">
        <f t="array" ref="J4781">IFERROR(INDEX('Retirement Calculator'!J:J,MATCH('Isaac 401k'!N4781,'Retirement Calculator'!A:A,0),0),0)</f>
        <v>0</v>
      </c>
      <c r="K4781" s="444">
        <f t="shared" ca="1" si="191"/>
        <v>28883836434.075886</v>
      </c>
      <c r="L4781" s="444">
        <f t="shared" ca="1" si="192"/>
        <v>6961004580612.2881</v>
      </c>
      <c r="M4781" s="460">
        <f t="shared" si="194"/>
        <v>0.05</v>
      </c>
      <c r="N4781" s="464">
        <f t="shared" si="195"/>
        <v>196562</v>
      </c>
    </row>
    <row r="4782" spans="7:14" ht="11.25" customHeight="1" x14ac:dyDescent="0.3">
      <c r="G4782" s="459"/>
      <c r="H4782" s="459">
        <v>4775</v>
      </c>
      <c r="I4782" s="444">
        <f t="shared" ca="1" si="193"/>
        <v>6961004580612.2881</v>
      </c>
      <c r="J4782" s="444">
        <f t="array" ref="J4782">IFERROR(INDEX('Retirement Calculator'!J:J,MATCH('Isaac 401k'!N4782,'Retirement Calculator'!A:A,0),0),0)</f>
        <v>0</v>
      </c>
      <c r="K4782" s="444">
        <f t="shared" ca="1" si="191"/>
        <v>29004185752.551201</v>
      </c>
      <c r="L4782" s="444">
        <f t="shared" ca="1" si="192"/>
        <v>6990008766364.8389</v>
      </c>
      <c r="M4782" s="460">
        <f t="shared" si="194"/>
        <v>0.05</v>
      </c>
      <c r="N4782" s="464">
        <f t="shared" si="195"/>
        <v>196593</v>
      </c>
    </row>
    <row r="4783" spans="7:14" ht="11.25" customHeight="1" x14ac:dyDescent="0.3">
      <c r="G4783" s="459"/>
      <c r="H4783" s="459">
        <v>4776</v>
      </c>
      <c r="I4783" s="444">
        <f t="shared" ca="1" si="193"/>
        <v>6990008766364.8389</v>
      </c>
      <c r="J4783" s="444">
        <f t="array" ref="J4783">IFERROR(INDEX('Retirement Calculator'!J:J,MATCH('Isaac 401k'!N4783,'Retirement Calculator'!A:A,0),0),0)</f>
        <v>0</v>
      </c>
      <c r="K4783" s="444">
        <f t="shared" ca="1" si="191"/>
        <v>29125036526.520161</v>
      </c>
      <c r="L4783" s="444">
        <f t="shared" ca="1" si="192"/>
        <v>7019133802891.3594</v>
      </c>
      <c r="M4783" s="460">
        <f t="shared" si="194"/>
        <v>0.05</v>
      </c>
      <c r="N4783" s="464">
        <f t="shared" si="195"/>
        <v>196623</v>
      </c>
    </row>
    <row r="4784" spans="7:14" ht="11.25" customHeight="1" x14ac:dyDescent="0.3">
      <c r="G4784" s="459"/>
      <c r="H4784" s="459">
        <v>4777</v>
      </c>
      <c r="I4784" s="444">
        <f t="shared" ca="1" si="193"/>
        <v>7019133802891.3594</v>
      </c>
      <c r="J4784" s="444">
        <f t="array" ref="J4784">IFERROR(INDEX('Retirement Calculator'!J:J,MATCH('Isaac 401k'!N4784,'Retirement Calculator'!A:A,0),0),0)</f>
        <v>0</v>
      </c>
      <c r="K4784" s="444">
        <f t="shared" ca="1" si="191"/>
        <v>29246390845.380665</v>
      </c>
      <c r="L4784" s="444">
        <f t="shared" ca="1" si="192"/>
        <v>7048380193736.7402</v>
      </c>
      <c r="M4784" s="460">
        <f t="shared" si="194"/>
        <v>0.05</v>
      </c>
      <c r="N4784" s="464">
        <f t="shared" si="195"/>
        <v>196654</v>
      </c>
    </row>
    <row r="4785" spans="7:14" ht="11.25" customHeight="1" x14ac:dyDescent="0.3">
      <c r="G4785" s="459"/>
      <c r="H4785" s="459">
        <v>4778</v>
      </c>
      <c r="I4785" s="444">
        <f t="shared" ca="1" si="193"/>
        <v>7048380193736.7402</v>
      </c>
      <c r="J4785" s="444">
        <f t="array" ref="J4785">IFERROR(INDEX('Retirement Calculator'!J:J,MATCH('Isaac 401k'!N4785,'Retirement Calculator'!A:A,0),0),0)</f>
        <v>0</v>
      </c>
      <c r="K4785" s="444">
        <f t="shared" ca="1" si="191"/>
        <v>29368250807.236416</v>
      </c>
      <c r="L4785" s="444">
        <f t="shared" ca="1" si="192"/>
        <v>7077748444543.9766</v>
      </c>
      <c r="M4785" s="460">
        <f t="shared" si="194"/>
        <v>0.05</v>
      </c>
      <c r="N4785" s="464">
        <f t="shared" si="195"/>
        <v>196684</v>
      </c>
    </row>
    <row r="4786" spans="7:14" ht="11.25" customHeight="1" x14ac:dyDescent="0.3">
      <c r="G4786" s="459"/>
      <c r="H4786" s="459">
        <v>4779</v>
      </c>
      <c r="I4786" s="444">
        <f t="shared" ca="1" si="193"/>
        <v>7077748444543.9766</v>
      </c>
      <c r="J4786" s="444">
        <f t="array" ref="J4786">IFERROR(INDEX('Retirement Calculator'!J:J,MATCH('Isaac 401k'!N4786,'Retirement Calculator'!A:A,0),0),0)</f>
        <v>0</v>
      </c>
      <c r="K4786" s="444">
        <f t="shared" ca="1" si="191"/>
        <v>29490618518.933235</v>
      </c>
      <c r="L4786" s="444">
        <f t="shared" ca="1" si="192"/>
        <v>7107239063062.9102</v>
      </c>
      <c r="M4786" s="460">
        <f t="shared" si="194"/>
        <v>0.05</v>
      </c>
      <c r="N4786" s="464">
        <f t="shared" si="195"/>
        <v>196715</v>
      </c>
    </row>
    <row r="4787" spans="7:14" ht="11.25" customHeight="1" x14ac:dyDescent="0.3">
      <c r="G4787" s="459"/>
      <c r="H4787" s="459">
        <v>4780</v>
      </c>
      <c r="I4787" s="444">
        <f t="shared" ca="1" si="193"/>
        <v>7107239063062.9102</v>
      </c>
      <c r="J4787" s="444">
        <f t="array" ref="J4787">IFERROR(INDEX('Retirement Calculator'!J:J,MATCH('Isaac 401k'!N4787,'Retirement Calculator'!A:A,0),0),0)</f>
        <v>0</v>
      </c>
      <c r="K4787" s="444">
        <f t="shared" ca="1" si="191"/>
        <v>29613496096.095459</v>
      </c>
      <c r="L4787" s="444">
        <f t="shared" ca="1" si="192"/>
        <v>7136852559159.0059</v>
      </c>
      <c r="M4787" s="460">
        <f t="shared" si="194"/>
        <v>0.05</v>
      </c>
      <c r="N4787" s="464">
        <f t="shared" si="195"/>
        <v>196746</v>
      </c>
    </row>
    <row r="4788" spans="7:14" ht="11.25" customHeight="1" x14ac:dyDescent="0.3">
      <c r="G4788" s="459"/>
      <c r="H4788" s="459">
        <v>4781</v>
      </c>
      <c r="I4788" s="444">
        <f t="shared" ca="1" si="193"/>
        <v>7136852559159.0059</v>
      </c>
      <c r="J4788" s="444">
        <f t="array" ref="J4788">IFERROR(INDEX('Retirement Calculator'!J:J,MATCH('Isaac 401k'!N4788,'Retirement Calculator'!A:A,0),0),0)</f>
        <v>0</v>
      </c>
      <c r="K4788" s="444">
        <f t="shared" ca="1" si="191"/>
        <v>29736885663.162521</v>
      </c>
      <c r="L4788" s="444">
        <f t="shared" ca="1" si="192"/>
        <v>7166589444822.168</v>
      </c>
      <c r="M4788" s="460">
        <f t="shared" si="194"/>
        <v>0.05</v>
      </c>
      <c r="N4788" s="464">
        <f t="shared" si="195"/>
        <v>196776</v>
      </c>
    </row>
    <row r="4789" spans="7:14" ht="11.25" customHeight="1" x14ac:dyDescent="0.3">
      <c r="G4789" s="459"/>
      <c r="H4789" s="459">
        <v>4782</v>
      </c>
      <c r="I4789" s="444">
        <f t="shared" ca="1" si="193"/>
        <v>7166589444822.168</v>
      </c>
      <c r="J4789" s="444">
        <f t="array" ref="J4789">IFERROR(INDEX('Retirement Calculator'!J:J,MATCH('Isaac 401k'!N4789,'Retirement Calculator'!A:A,0),0),0)</f>
        <v>0</v>
      </c>
      <c r="K4789" s="444">
        <f t="shared" ca="1" si="191"/>
        <v>29860789353.425701</v>
      </c>
      <c r="L4789" s="444">
        <f t="shared" ca="1" si="192"/>
        <v>7196450234175.5938</v>
      </c>
      <c r="M4789" s="460">
        <f t="shared" si="194"/>
        <v>0.05</v>
      </c>
      <c r="N4789" s="464">
        <f t="shared" si="195"/>
        <v>196807</v>
      </c>
    </row>
    <row r="4790" spans="7:14" ht="11.25" customHeight="1" x14ac:dyDescent="0.3">
      <c r="G4790" s="459"/>
      <c r="H4790" s="459">
        <v>4783</v>
      </c>
      <c r="I4790" s="444">
        <f t="shared" ca="1" si="193"/>
        <v>7196450234175.5938</v>
      </c>
      <c r="J4790" s="444">
        <f t="array" ref="J4790">IFERROR(INDEX('Retirement Calculator'!J:J,MATCH('Isaac 401k'!N4790,'Retirement Calculator'!A:A,0),0),0)</f>
        <v>0</v>
      </c>
      <c r="K4790" s="444">
        <f t="shared" ca="1" si="191"/>
        <v>29985209309.064972</v>
      </c>
      <c r="L4790" s="444">
        <f t="shared" ca="1" si="192"/>
        <v>7226435443484.6592</v>
      </c>
      <c r="M4790" s="460">
        <f t="shared" si="194"/>
        <v>0.05</v>
      </c>
      <c r="N4790" s="464">
        <f t="shared" si="195"/>
        <v>196837</v>
      </c>
    </row>
    <row r="4791" spans="7:14" ht="11.25" customHeight="1" x14ac:dyDescent="0.3">
      <c r="G4791" s="459"/>
      <c r="H4791" s="459">
        <v>4784</v>
      </c>
      <c r="I4791" s="444">
        <f t="shared" ca="1" si="193"/>
        <v>7226435443484.6592</v>
      </c>
      <c r="J4791" s="444">
        <f t="array" ref="J4791">IFERROR(INDEX('Retirement Calculator'!J:J,MATCH('Isaac 401k'!N4791,'Retirement Calculator'!A:A,0),0),0)</f>
        <v>0</v>
      </c>
      <c r="K4791" s="444">
        <f t="shared" ca="1" si="191"/>
        <v>30110147681.186081</v>
      </c>
      <c r="L4791" s="444">
        <f t="shared" ca="1" si="192"/>
        <v>7256545591165.8457</v>
      </c>
      <c r="M4791" s="460">
        <f t="shared" si="194"/>
        <v>0.05</v>
      </c>
      <c r="N4791" s="464">
        <f t="shared" si="195"/>
        <v>196868</v>
      </c>
    </row>
    <row r="4792" spans="7:14" ht="11.25" customHeight="1" x14ac:dyDescent="0.3">
      <c r="G4792" s="459"/>
      <c r="H4792" s="459">
        <v>4785</v>
      </c>
      <c r="I4792" s="444">
        <f t="shared" ca="1" si="193"/>
        <v>7256545591165.8457</v>
      </c>
      <c r="J4792" s="444">
        <f t="array" ref="J4792">IFERROR(INDEX('Retirement Calculator'!J:J,MATCH('Isaac 401k'!N4792,'Retirement Calculator'!A:A,0),0),0)</f>
        <v>0</v>
      </c>
      <c r="K4792" s="444">
        <f t="shared" ca="1" si="191"/>
        <v>30235606629.857689</v>
      </c>
      <c r="L4792" s="444">
        <f t="shared" ca="1" si="192"/>
        <v>7286781197795.7031</v>
      </c>
      <c r="M4792" s="460">
        <f t="shared" si="194"/>
        <v>0.05</v>
      </c>
      <c r="N4792" s="464">
        <f t="shared" si="195"/>
        <v>196899</v>
      </c>
    </row>
    <row r="4793" spans="7:14" ht="11.25" customHeight="1" x14ac:dyDescent="0.3">
      <c r="G4793" s="459"/>
      <c r="H4793" s="459">
        <v>4786</v>
      </c>
      <c r="I4793" s="444">
        <f t="shared" ca="1" si="193"/>
        <v>7286781197795.7031</v>
      </c>
      <c r="J4793" s="444">
        <f t="array" ref="J4793">IFERROR(INDEX('Retirement Calculator'!J:J,MATCH('Isaac 401k'!N4793,'Retirement Calculator'!A:A,0),0),0)</f>
        <v>0</v>
      </c>
      <c r="K4793" s="444">
        <f t="shared" ca="1" si="191"/>
        <v>30361588324.148762</v>
      </c>
      <c r="L4793" s="444">
        <f t="shared" ca="1" si="192"/>
        <v>7317142786119.8516</v>
      </c>
      <c r="M4793" s="460">
        <f t="shared" si="194"/>
        <v>0.05</v>
      </c>
      <c r="N4793" s="464">
        <f t="shared" si="195"/>
        <v>196927</v>
      </c>
    </row>
    <row r="4794" spans="7:14" ht="11.25" customHeight="1" x14ac:dyDescent="0.3">
      <c r="G4794" s="459"/>
      <c r="H4794" s="459">
        <v>4787</v>
      </c>
      <c r="I4794" s="444">
        <f t="shared" ca="1" si="193"/>
        <v>7317142786119.8516</v>
      </c>
      <c r="J4794" s="444">
        <f t="array" ref="J4794">IFERROR(INDEX('Retirement Calculator'!J:J,MATCH('Isaac 401k'!N4794,'Retirement Calculator'!A:A,0),0),0)</f>
        <v>0</v>
      </c>
      <c r="K4794" s="444">
        <f t="shared" ca="1" si="191"/>
        <v>30488094942.16605</v>
      </c>
      <c r="L4794" s="444">
        <f t="shared" ca="1" si="192"/>
        <v>7347630881062.0176</v>
      </c>
      <c r="M4794" s="460">
        <f t="shared" si="194"/>
        <v>0.05</v>
      </c>
      <c r="N4794" s="464">
        <f t="shared" si="195"/>
        <v>196958</v>
      </c>
    </row>
    <row r="4795" spans="7:14" ht="11.25" customHeight="1" x14ac:dyDescent="0.3">
      <c r="G4795" s="459"/>
      <c r="H4795" s="459">
        <v>4788</v>
      </c>
      <c r="I4795" s="444">
        <f t="shared" ca="1" si="193"/>
        <v>7347630881062.0176</v>
      </c>
      <c r="J4795" s="444">
        <f t="array" ref="J4795">IFERROR(INDEX('Retirement Calculator'!J:J,MATCH('Isaac 401k'!N4795,'Retirement Calculator'!A:A,0),0),0)</f>
        <v>0</v>
      </c>
      <c r="K4795" s="444">
        <f t="shared" ca="1" si="191"/>
        <v>30615128671.091736</v>
      </c>
      <c r="L4795" s="444">
        <f t="shared" ca="1" si="192"/>
        <v>7378246009733.1094</v>
      </c>
      <c r="M4795" s="460">
        <f t="shared" si="194"/>
        <v>0.05</v>
      </c>
      <c r="N4795" s="464">
        <f t="shared" si="195"/>
        <v>196988</v>
      </c>
    </row>
    <row r="4796" spans="7:14" ht="11.25" customHeight="1" x14ac:dyDescent="0.3">
      <c r="G4796" s="459"/>
      <c r="H4796" s="459">
        <v>4789</v>
      </c>
      <c r="I4796" s="444">
        <f t="shared" ca="1" si="193"/>
        <v>7378246009733.1094</v>
      </c>
      <c r="J4796" s="444">
        <f t="array" ref="J4796">IFERROR(INDEX('Retirement Calculator'!J:J,MATCH('Isaac 401k'!N4796,'Retirement Calculator'!A:A,0),0),0)</f>
        <v>0</v>
      </c>
      <c r="K4796" s="444">
        <f t="shared" ca="1" si="191"/>
        <v>30742691707.221287</v>
      </c>
      <c r="L4796" s="444">
        <f t="shared" ca="1" si="192"/>
        <v>7408988701440.3311</v>
      </c>
      <c r="M4796" s="460">
        <f t="shared" si="194"/>
        <v>0.05</v>
      </c>
      <c r="N4796" s="464">
        <f t="shared" si="195"/>
        <v>197019</v>
      </c>
    </row>
    <row r="4797" spans="7:14" ht="11.25" customHeight="1" x14ac:dyDescent="0.3">
      <c r="G4797" s="459"/>
      <c r="H4797" s="459">
        <v>4790</v>
      </c>
      <c r="I4797" s="444">
        <f t="shared" ca="1" si="193"/>
        <v>7408988701440.3311</v>
      </c>
      <c r="J4797" s="444">
        <f t="array" ref="J4797">IFERROR(INDEX('Retirement Calculator'!J:J,MATCH('Isaac 401k'!N4797,'Retirement Calculator'!A:A,0),0),0)</f>
        <v>0</v>
      </c>
      <c r="K4797" s="444">
        <f t="shared" ca="1" si="191"/>
        <v>30870786256.001377</v>
      </c>
      <c r="L4797" s="444">
        <f t="shared" ca="1" si="192"/>
        <v>7439859487696.332</v>
      </c>
      <c r="M4797" s="460">
        <f t="shared" si="194"/>
        <v>0.05</v>
      </c>
      <c r="N4797" s="464">
        <f t="shared" si="195"/>
        <v>197049</v>
      </c>
    </row>
    <row r="4798" spans="7:14" ht="11.25" customHeight="1" x14ac:dyDescent="0.3">
      <c r="G4798" s="459"/>
      <c r="H4798" s="459">
        <v>4791</v>
      </c>
      <c r="I4798" s="444">
        <f t="shared" ca="1" si="193"/>
        <v>7439859487696.332</v>
      </c>
      <c r="J4798" s="444">
        <f t="array" ref="J4798">IFERROR(INDEX('Retirement Calculator'!J:J,MATCH('Isaac 401k'!N4798,'Retirement Calculator'!A:A,0),0),0)</f>
        <v>0</v>
      </c>
      <c r="K4798" s="444">
        <f t="shared" ca="1" si="191"/>
        <v>30999414532.06805</v>
      </c>
      <c r="L4798" s="444">
        <f t="shared" ca="1" si="192"/>
        <v>7470858902228.4004</v>
      </c>
      <c r="M4798" s="460">
        <f t="shared" si="194"/>
        <v>0.05</v>
      </c>
      <c r="N4798" s="464">
        <f t="shared" si="195"/>
        <v>197080</v>
      </c>
    </row>
    <row r="4799" spans="7:14" ht="11.25" customHeight="1" x14ac:dyDescent="0.3">
      <c r="G4799" s="459"/>
      <c r="H4799" s="459">
        <v>4792</v>
      </c>
      <c r="I4799" s="444">
        <f t="shared" ca="1" si="193"/>
        <v>7470858902228.4004</v>
      </c>
      <c r="J4799" s="444">
        <f t="array" ref="J4799">IFERROR(INDEX('Retirement Calculator'!J:J,MATCH('Isaac 401k'!N4799,'Retirement Calculator'!A:A,0),0),0)</f>
        <v>0</v>
      </c>
      <c r="K4799" s="444">
        <f t="shared" ca="1" si="191"/>
        <v>31128578759.284996</v>
      </c>
      <c r="L4799" s="444">
        <f t="shared" ca="1" si="192"/>
        <v>7501987480987.6855</v>
      </c>
      <c r="M4799" s="460">
        <f t="shared" si="194"/>
        <v>0.05</v>
      </c>
      <c r="N4799" s="464">
        <f t="shared" si="195"/>
        <v>197111</v>
      </c>
    </row>
    <row r="4800" spans="7:14" ht="11.25" customHeight="1" x14ac:dyDescent="0.3">
      <c r="G4800" s="459"/>
      <c r="H4800" s="459">
        <v>4793</v>
      </c>
      <c r="I4800" s="444">
        <f t="shared" ca="1" si="193"/>
        <v>7501987480987.6855</v>
      </c>
      <c r="J4800" s="444">
        <f t="array" ref="J4800">IFERROR(INDEX('Retirement Calculator'!J:J,MATCH('Isaac 401k'!N4800,'Retirement Calculator'!A:A,0),0),0)</f>
        <v>0</v>
      </c>
      <c r="K4800" s="444">
        <f t="shared" ca="1" si="191"/>
        <v>31258281170.782024</v>
      </c>
      <c r="L4800" s="444">
        <f t="shared" ca="1" si="192"/>
        <v>7533245762158.4678</v>
      </c>
      <c r="M4800" s="460">
        <f t="shared" si="194"/>
        <v>0.05</v>
      </c>
      <c r="N4800" s="464">
        <f t="shared" si="195"/>
        <v>197141</v>
      </c>
    </row>
    <row r="4801" spans="7:14" ht="11.25" customHeight="1" x14ac:dyDescent="0.3">
      <c r="G4801" s="459"/>
      <c r="H4801" s="459">
        <v>4794</v>
      </c>
      <c r="I4801" s="444">
        <f t="shared" ca="1" si="193"/>
        <v>7533245762158.4678</v>
      </c>
      <c r="J4801" s="444">
        <f t="array" ref="J4801">IFERROR(INDEX('Retirement Calculator'!J:J,MATCH('Isaac 401k'!N4801,'Retirement Calculator'!A:A,0),0),0)</f>
        <v>0</v>
      </c>
      <c r="K4801" s="444">
        <f t="shared" ca="1" si="191"/>
        <v>31388524008.993618</v>
      </c>
      <c r="L4801" s="444">
        <f t="shared" ca="1" si="192"/>
        <v>7564634286167.4609</v>
      </c>
      <c r="M4801" s="460">
        <f t="shared" si="194"/>
        <v>0.05</v>
      </c>
      <c r="N4801" s="464">
        <f t="shared" si="195"/>
        <v>197172</v>
      </c>
    </row>
    <row r="4802" spans="7:14" ht="11.25" customHeight="1" x14ac:dyDescent="0.3">
      <c r="G4802" s="459"/>
      <c r="H4802" s="459">
        <v>4795</v>
      </c>
      <c r="I4802" s="444">
        <f t="shared" ca="1" si="193"/>
        <v>7564634286167.4609</v>
      </c>
      <c r="J4802" s="444">
        <f t="array" ref="J4802">IFERROR(INDEX('Retirement Calculator'!J:J,MATCH('Isaac 401k'!N4802,'Retirement Calculator'!A:A,0),0),0)</f>
        <v>0</v>
      </c>
      <c r="K4802" s="444">
        <f t="shared" ca="1" si="191"/>
        <v>31519309525.697754</v>
      </c>
      <c r="L4802" s="444">
        <f t="shared" ca="1" si="192"/>
        <v>7596153595693.1582</v>
      </c>
      <c r="M4802" s="460">
        <f t="shared" si="194"/>
        <v>0.05</v>
      </c>
      <c r="N4802" s="464">
        <f t="shared" si="195"/>
        <v>197202</v>
      </c>
    </row>
    <row r="4803" spans="7:14" ht="11.25" customHeight="1" x14ac:dyDescent="0.3">
      <c r="G4803" s="459"/>
      <c r="H4803" s="459">
        <v>4796</v>
      </c>
      <c r="I4803" s="444">
        <f t="shared" ca="1" si="193"/>
        <v>7596153595693.1582</v>
      </c>
      <c r="J4803" s="444">
        <f t="array" ref="J4803">IFERROR(INDEX('Retirement Calculator'!J:J,MATCH('Isaac 401k'!N4803,'Retirement Calculator'!A:A,0),0),0)</f>
        <v>0</v>
      </c>
      <c r="K4803" s="444">
        <f t="shared" ca="1" si="191"/>
        <v>31650639982.054825</v>
      </c>
      <c r="L4803" s="444">
        <f t="shared" ca="1" si="192"/>
        <v>7627804235675.2129</v>
      </c>
      <c r="M4803" s="460">
        <f t="shared" si="194"/>
        <v>0.05</v>
      </c>
      <c r="N4803" s="464">
        <f t="shared" si="195"/>
        <v>197233</v>
      </c>
    </row>
    <row r="4804" spans="7:14" ht="11.25" customHeight="1" x14ac:dyDescent="0.3">
      <c r="G4804" s="459"/>
      <c r="H4804" s="459">
        <v>4797</v>
      </c>
      <c r="I4804" s="444">
        <f t="shared" ca="1" si="193"/>
        <v>7627804235675.2129</v>
      </c>
      <c r="J4804" s="444">
        <f t="array" ref="J4804">IFERROR(INDEX('Retirement Calculator'!J:J,MATCH('Isaac 401k'!N4804,'Retirement Calculator'!A:A,0),0),0)</f>
        <v>0</v>
      </c>
      <c r="K4804" s="444">
        <f t="shared" ca="1" si="191"/>
        <v>31782517648.646721</v>
      </c>
      <c r="L4804" s="444">
        <f t="shared" ca="1" si="192"/>
        <v>7659586753323.8594</v>
      </c>
      <c r="M4804" s="460">
        <f t="shared" si="194"/>
        <v>0.05</v>
      </c>
      <c r="N4804" s="464">
        <f t="shared" si="195"/>
        <v>197264</v>
      </c>
    </row>
    <row r="4805" spans="7:14" ht="11.25" customHeight="1" x14ac:dyDescent="0.3">
      <c r="G4805" s="459"/>
      <c r="H4805" s="459">
        <v>4798</v>
      </c>
      <c r="I4805" s="444">
        <f t="shared" ca="1" si="193"/>
        <v>7659586753323.8594</v>
      </c>
      <c r="J4805" s="444">
        <f t="array" ref="J4805">IFERROR(INDEX('Retirement Calculator'!J:J,MATCH('Isaac 401k'!N4805,'Retirement Calculator'!A:A,0),0),0)</f>
        <v>0</v>
      </c>
      <c r="K4805" s="444">
        <f t="shared" ca="1" si="191"/>
        <v>31914944805.516079</v>
      </c>
      <c r="L4805" s="444">
        <f t="shared" ca="1" si="192"/>
        <v>7691501698129.375</v>
      </c>
      <c r="M4805" s="460">
        <f t="shared" si="194"/>
        <v>0.05</v>
      </c>
      <c r="N4805" s="464">
        <f t="shared" si="195"/>
        <v>197293</v>
      </c>
    </row>
    <row r="4806" spans="7:14" ht="11.25" customHeight="1" x14ac:dyDescent="0.3">
      <c r="G4806" s="459"/>
      <c r="H4806" s="459">
        <v>4799</v>
      </c>
      <c r="I4806" s="444">
        <f t="shared" ca="1" si="193"/>
        <v>7691501698129.375</v>
      </c>
      <c r="J4806" s="444">
        <f t="array" ref="J4806">IFERROR(INDEX('Retirement Calculator'!J:J,MATCH('Isaac 401k'!N4806,'Retirement Calculator'!A:A,0),0),0)</f>
        <v>0</v>
      </c>
      <c r="K4806" s="444">
        <f t="shared" ca="1" si="191"/>
        <v>32047923742.20573</v>
      </c>
      <c r="L4806" s="444">
        <f t="shared" ca="1" si="192"/>
        <v>7723549621871.5811</v>
      </c>
      <c r="M4806" s="460">
        <f t="shared" si="194"/>
        <v>0.05</v>
      </c>
      <c r="N4806" s="464">
        <f t="shared" si="195"/>
        <v>197324</v>
      </c>
    </row>
    <row r="4807" spans="7:14" ht="11.25" customHeight="1" x14ac:dyDescent="0.3">
      <c r="G4807" s="459"/>
      <c r="H4807" s="459">
        <v>4800</v>
      </c>
      <c r="I4807" s="444">
        <f t="shared" ca="1" si="193"/>
        <v>7723549621871.5811</v>
      </c>
      <c r="J4807" s="444">
        <f t="array" ref="J4807">IFERROR(INDEX('Retirement Calculator'!J:J,MATCH('Isaac 401k'!N4807,'Retirement Calculator'!A:A,0),0),0)</f>
        <v>0</v>
      </c>
      <c r="K4807" s="444">
        <f t="shared" ca="1" si="191"/>
        <v>32181456757.79826</v>
      </c>
      <c r="L4807" s="444">
        <f t="shared" ca="1" si="192"/>
        <v>7755731078629.3789</v>
      </c>
      <c r="M4807" s="460">
        <f t="shared" si="194"/>
        <v>0.05</v>
      </c>
      <c r="N4807" s="464">
        <f t="shared" si="195"/>
        <v>197354</v>
      </c>
    </row>
    <row r="4808" spans="7:14" ht="11.25" customHeight="1" x14ac:dyDescent="0.3">
      <c r="G4808" s="459"/>
      <c r="H4808" s="459">
        <v>4801</v>
      </c>
      <c r="I4808" s="444">
        <f t="shared" ca="1" si="193"/>
        <v>7755731078629.3789</v>
      </c>
      <c r="J4808" s="444">
        <f t="array" ref="J4808">IFERROR(INDEX('Retirement Calculator'!J:J,MATCH('Isaac 401k'!N4808,'Retirement Calculator'!A:A,0),0),0)</f>
        <v>0</v>
      </c>
      <c r="K4808" s="444">
        <f t="shared" ca="1" si="191"/>
        <v>32315546160.955742</v>
      </c>
      <c r="L4808" s="444">
        <f t="shared" ca="1" si="192"/>
        <v>7788046624790.335</v>
      </c>
      <c r="M4808" s="460">
        <f t="shared" si="194"/>
        <v>0.05</v>
      </c>
      <c r="N4808" s="464">
        <f t="shared" si="195"/>
        <v>197385</v>
      </c>
    </row>
    <row r="4809" spans="7:14" ht="11.25" customHeight="1" x14ac:dyDescent="0.3">
      <c r="G4809" s="459"/>
      <c r="H4809" s="459">
        <v>4802</v>
      </c>
      <c r="I4809" s="444">
        <f t="shared" ca="1" si="193"/>
        <v>7788046624790.335</v>
      </c>
      <c r="J4809" s="444">
        <f t="array" ref="J4809">IFERROR(INDEX('Retirement Calculator'!J:J,MATCH('Isaac 401k'!N4809,'Retirement Calculator'!A:A,0),0),0)</f>
        <v>0</v>
      </c>
      <c r="K4809" s="444">
        <f t="shared" ca="1" si="191"/>
        <v>32450194269.959728</v>
      </c>
      <c r="L4809" s="444">
        <f t="shared" ca="1" si="192"/>
        <v>7820496819060.2949</v>
      </c>
      <c r="M4809" s="460">
        <f t="shared" si="194"/>
        <v>0.05</v>
      </c>
      <c r="N4809" s="464">
        <f t="shared" si="195"/>
        <v>197415</v>
      </c>
    </row>
    <row r="4810" spans="7:14" ht="11.25" customHeight="1" x14ac:dyDescent="0.3">
      <c r="G4810" s="459"/>
      <c r="H4810" s="459">
        <v>4803</v>
      </c>
      <c r="I4810" s="444">
        <f t="shared" ca="1" si="193"/>
        <v>7820496819060.2949</v>
      </c>
      <c r="J4810" s="444">
        <f t="array" ref="J4810">IFERROR(INDEX('Retirement Calculator'!J:J,MATCH('Isaac 401k'!N4810,'Retirement Calculator'!A:A,0),0),0)</f>
        <v>0</v>
      </c>
      <c r="K4810" s="444">
        <f t="shared" ca="1" si="191"/>
        <v>32585403412.751225</v>
      </c>
      <c r="L4810" s="444">
        <f t="shared" ca="1" si="192"/>
        <v>7853082222473.0459</v>
      </c>
      <c r="M4810" s="460">
        <f t="shared" si="194"/>
        <v>0.05</v>
      </c>
      <c r="N4810" s="464">
        <f t="shared" si="195"/>
        <v>197446</v>
      </c>
    </row>
    <row r="4811" spans="7:14" ht="11.25" customHeight="1" x14ac:dyDescent="0.3">
      <c r="G4811" s="459"/>
      <c r="H4811" s="459">
        <v>4804</v>
      </c>
      <c r="I4811" s="444">
        <f t="shared" ca="1" si="193"/>
        <v>7853082222473.0459</v>
      </c>
      <c r="J4811" s="444">
        <f t="array" ref="J4811">IFERROR(INDEX('Retirement Calculator'!J:J,MATCH('Isaac 401k'!N4811,'Retirement Calculator'!A:A,0),0),0)</f>
        <v>0</v>
      </c>
      <c r="K4811" s="444">
        <f t="shared" ca="1" si="191"/>
        <v>32721175926.971024</v>
      </c>
      <c r="L4811" s="444">
        <f t="shared" ca="1" si="192"/>
        <v>7885803398400.0166</v>
      </c>
      <c r="M4811" s="460">
        <f t="shared" si="194"/>
        <v>0.05</v>
      </c>
      <c r="N4811" s="464">
        <f t="shared" si="195"/>
        <v>197477</v>
      </c>
    </row>
    <row r="4812" spans="7:14" ht="11.25" customHeight="1" x14ac:dyDescent="0.3">
      <c r="G4812" s="459"/>
      <c r="H4812" s="459">
        <v>4805</v>
      </c>
      <c r="I4812" s="444">
        <f t="shared" ca="1" si="193"/>
        <v>7885803398400.0166</v>
      </c>
      <c r="J4812" s="444">
        <f t="array" ref="J4812">IFERROR(INDEX('Retirement Calculator'!J:J,MATCH('Isaac 401k'!N4812,'Retirement Calculator'!A:A,0),0),0)</f>
        <v>0</v>
      </c>
      <c r="K4812" s="444">
        <f t="shared" ca="1" si="191"/>
        <v>32857514160.000069</v>
      </c>
      <c r="L4812" s="444">
        <f t="shared" ca="1" si="192"/>
        <v>7918660912560.0166</v>
      </c>
      <c r="M4812" s="460">
        <f t="shared" si="194"/>
        <v>0.05</v>
      </c>
      <c r="N4812" s="464">
        <f t="shared" si="195"/>
        <v>197507</v>
      </c>
    </row>
    <row r="4813" spans="7:14" ht="11.25" customHeight="1" x14ac:dyDescent="0.3">
      <c r="G4813" s="459"/>
      <c r="H4813" s="459">
        <v>4806</v>
      </c>
      <c r="I4813" s="444">
        <f t="shared" ca="1" si="193"/>
        <v>7918660912560.0166</v>
      </c>
      <c r="J4813" s="444">
        <f t="array" ref="J4813">IFERROR(INDEX('Retirement Calculator'!J:J,MATCH('Isaac 401k'!N4813,'Retirement Calculator'!A:A,0),0),0)</f>
        <v>0</v>
      </c>
      <c r="K4813" s="444">
        <f t="shared" ca="1" si="191"/>
        <v>32994420469.000069</v>
      </c>
      <c r="L4813" s="444">
        <f t="shared" ca="1" si="192"/>
        <v>7951655333029.0166</v>
      </c>
      <c r="M4813" s="460">
        <f t="shared" si="194"/>
        <v>0.05</v>
      </c>
      <c r="N4813" s="464">
        <f t="shared" si="195"/>
        <v>197538</v>
      </c>
    </row>
    <row r="4814" spans="7:14" ht="11.25" customHeight="1" x14ac:dyDescent="0.3">
      <c r="G4814" s="459"/>
      <c r="H4814" s="459">
        <v>4807</v>
      </c>
      <c r="I4814" s="444">
        <f t="shared" ca="1" si="193"/>
        <v>7951655333029.0166</v>
      </c>
      <c r="J4814" s="444">
        <f t="array" ref="J4814">IFERROR(INDEX('Retirement Calculator'!J:J,MATCH('Isaac 401k'!N4814,'Retirement Calculator'!A:A,0),0),0)</f>
        <v>0</v>
      </c>
      <c r="K4814" s="444">
        <f t="shared" ca="1" si="191"/>
        <v>33131897220.954235</v>
      </c>
      <c r="L4814" s="444">
        <f t="shared" ca="1" si="192"/>
        <v>7984787230249.9707</v>
      </c>
      <c r="M4814" s="460">
        <f t="shared" si="194"/>
        <v>0.05</v>
      </c>
      <c r="N4814" s="464">
        <f t="shared" si="195"/>
        <v>197568</v>
      </c>
    </row>
    <row r="4815" spans="7:14" ht="11.25" customHeight="1" x14ac:dyDescent="0.3">
      <c r="G4815" s="459"/>
      <c r="H4815" s="459">
        <v>4808</v>
      </c>
      <c r="I4815" s="444">
        <f t="shared" ca="1" si="193"/>
        <v>7984787230249.9707</v>
      </c>
      <c r="J4815" s="444">
        <f t="array" ref="J4815">IFERROR(INDEX('Retirement Calculator'!J:J,MATCH('Isaac 401k'!N4815,'Retirement Calculator'!A:A,0),0),0)</f>
        <v>0</v>
      </c>
      <c r="K4815" s="444">
        <f t="shared" ca="1" si="191"/>
        <v>33269946792.70821</v>
      </c>
      <c r="L4815" s="444">
        <f t="shared" ca="1" si="192"/>
        <v>8018057177042.6787</v>
      </c>
      <c r="M4815" s="460">
        <f t="shared" si="194"/>
        <v>0.05</v>
      </c>
      <c r="N4815" s="464">
        <f t="shared" si="195"/>
        <v>197599</v>
      </c>
    </row>
    <row r="4816" spans="7:14" ht="11.25" customHeight="1" x14ac:dyDescent="0.3">
      <c r="G4816" s="459"/>
      <c r="H4816" s="459">
        <v>4809</v>
      </c>
      <c r="I4816" s="444">
        <f t="shared" ca="1" si="193"/>
        <v>8018057177042.6787</v>
      </c>
      <c r="J4816" s="444">
        <f t="array" ref="J4816">IFERROR(INDEX('Retirement Calculator'!J:J,MATCH('Isaac 401k'!N4816,'Retirement Calculator'!A:A,0),0),0)</f>
        <v>0</v>
      </c>
      <c r="K4816" s="444">
        <f t="shared" ca="1" si="191"/>
        <v>33408571571.011162</v>
      </c>
      <c r="L4816" s="444">
        <f t="shared" ca="1" si="192"/>
        <v>8051465748613.6895</v>
      </c>
      <c r="M4816" s="460">
        <f t="shared" si="194"/>
        <v>0.05</v>
      </c>
      <c r="N4816" s="464">
        <f t="shared" si="195"/>
        <v>197630</v>
      </c>
    </row>
    <row r="4817" spans="7:14" ht="11.25" customHeight="1" x14ac:dyDescent="0.3">
      <c r="G4817" s="459"/>
      <c r="H4817" s="459">
        <v>4810</v>
      </c>
      <c r="I4817" s="444">
        <f t="shared" ca="1" si="193"/>
        <v>8051465748613.6895</v>
      </c>
      <c r="J4817" s="444">
        <f t="array" ref="J4817">IFERROR(INDEX('Retirement Calculator'!J:J,MATCH('Isaac 401k'!N4817,'Retirement Calculator'!A:A,0),0),0)</f>
        <v>0</v>
      </c>
      <c r="K4817" s="444">
        <f t="shared" ca="1" si="191"/>
        <v>33547773952.557037</v>
      </c>
      <c r="L4817" s="444">
        <f t="shared" ca="1" si="192"/>
        <v>8085013522566.2461</v>
      </c>
      <c r="M4817" s="460">
        <f t="shared" si="194"/>
        <v>0.05</v>
      </c>
      <c r="N4817" s="464">
        <f t="shared" si="195"/>
        <v>197658</v>
      </c>
    </row>
    <row r="4818" spans="7:14" ht="11.25" customHeight="1" x14ac:dyDescent="0.3">
      <c r="G4818" s="459"/>
      <c r="H4818" s="459">
        <v>4811</v>
      </c>
      <c r="I4818" s="444">
        <f t="shared" ca="1" si="193"/>
        <v>8085013522566.2461</v>
      </c>
      <c r="J4818" s="444">
        <f t="array" ref="J4818">IFERROR(INDEX('Retirement Calculator'!J:J,MATCH('Isaac 401k'!N4818,'Retirement Calculator'!A:A,0),0),0)</f>
        <v>0</v>
      </c>
      <c r="K4818" s="444">
        <f t="shared" ca="1" si="191"/>
        <v>33687556344.026024</v>
      </c>
      <c r="L4818" s="444">
        <f t="shared" ca="1" si="192"/>
        <v>8118701078910.2725</v>
      </c>
      <c r="M4818" s="460">
        <f t="shared" si="194"/>
        <v>0.05</v>
      </c>
      <c r="N4818" s="464">
        <f t="shared" si="195"/>
        <v>197689</v>
      </c>
    </row>
    <row r="4819" spans="7:14" ht="11.25" customHeight="1" x14ac:dyDescent="0.3">
      <c r="G4819" s="459"/>
      <c r="H4819" s="459">
        <v>4812</v>
      </c>
      <c r="I4819" s="444">
        <f t="shared" ca="1" si="193"/>
        <v>8118701078910.2725</v>
      </c>
      <c r="J4819" s="444">
        <f t="array" ref="J4819">IFERROR(INDEX('Retirement Calculator'!J:J,MATCH('Isaac 401k'!N4819,'Retirement Calculator'!A:A,0),0),0)</f>
        <v>0</v>
      </c>
      <c r="K4819" s="444">
        <f t="shared" ca="1" si="191"/>
        <v>33827921162.126129</v>
      </c>
      <c r="L4819" s="444">
        <f t="shared" ca="1" si="192"/>
        <v>8152529000072.3984</v>
      </c>
      <c r="M4819" s="460">
        <f t="shared" si="194"/>
        <v>0.05</v>
      </c>
      <c r="N4819" s="464">
        <f t="shared" si="195"/>
        <v>197719</v>
      </c>
    </row>
    <row r="4820" spans="7:14" ht="11.25" customHeight="1" x14ac:dyDescent="0.3">
      <c r="G4820" s="459"/>
      <c r="H4820" s="459">
        <v>4813</v>
      </c>
      <c r="I4820" s="444">
        <f t="shared" ca="1" si="193"/>
        <v>8152529000072.3984</v>
      </c>
      <c r="J4820" s="444">
        <f t="array" ref="J4820">IFERROR(INDEX('Retirement Calculator'!J:J,MATCH('Isaac 401k'!N4820,'Retirement Calculator'!A:A,0),0),0)</f>
        <v>0</v>
      </c>
      <c r="K4820" s="444">
        <f t="shared" ca="1" si="191"/>
        <v>33968870833.634998</v>
      </c>
      <c r="L4820" s="444">
        <f t="shared" ca="1" si="192"/>
        <v>8186497870906.0332</v>
      </c>
      <c r="M4820" s="460">
        <f t="shared" si="194"/>
        <v>0.05</v>
      </c>
      <c r="N4820" s="464">
        <f t="shared" si="195"/>
        <v>197750</v>
      </c>
    </row>
    <row r="4821" spans="7:14" ht="11.25" customHeight="1" x14ac:dyDescent="0.3">
      <c r="G4821" s="459"/>
      <c r="H4821" s="459">
        <v>4814</v>
      </c>
      <c r="I4821" s="444">
        <f t="shared" ca="1" si="193"/>
        <v>8186497870906.0332</v>
      </c>
      <c r="J4821" s="444">
        <f t="array" ref="J4821">IFERROR(INDEX('Retirement Calculator'!J:J,MATCH('Isaac 401k'!N4821,'Retirement Calculator'!A:A,0),0),0)</f>
        <v>0</v>
      </c>
      <c r="K4821" s="444">
        <f t="shared" ca="1" si="191"/>
        <v>34110407795.441803</v>
      </c>
      <c r="L4821" s="444">
        <f t="shared" ca="1" si="192"/>
        <v>8220608278701.4746</v>
      </c>
      <c r="M4821" s="460">
        <f t="shared" si="194"/>
        <v>0.05</v>
      </c>
      <c r="N4821" s="464">
        <f t="shared" si="195"/>
        <v>197780</v>
      </c>
    </row>
    <row r="4822" spans="7:14" ht="11.25" customHeight="1" x14ac:dyDescent="0.3">
      <c r="G4822" s="459"/>
      <c r="H4822" s="459">
        <v>4815</v>
      </c>
      <c r="I4822" s="444">
        <f t="shared" ca="1" si="193"/>
        <v>8220608278701.4746</v>
      </c>
      <c r="J4822" s="444">
        <f t="array" ref="J4822">IFERROR(INDEX('Retirement Calculator'!J:J,MATCH('Isaac 401k'!N4822,'Retirement Calculator'!A:A,0),0),0)</f>
        <v>0</v>
      </c>
      <c r="K4822" s="444">
        <f t="shared" ca="1" si="191"/>
        <v>34252534494.589478</v>
      </c>
      <c r="L4822" s="444">
        <f t="shared" ca="1" si="192"/>
        <v>8254860813196.0645</v>
      </c>
      <c r="M4822" s="460">
        <f t="shared" si="194"/>
        <v>0.05</v>
      </c>
      <c r="N4822" s="464">
        <f t="shared" si="195"/>
        <v>197811</v>
      </c>
    </row>
    <row r="4823" spans="7:14" ht="11.25" customHeight="1" x14ac:dyDescent="0.3">
      <c r="G4823" s="459"/>
      <c r="H4823" s="459">
        <v>4816</v>
      </c>
      <c r="I4823" s="444">
        <f t="shared" ca="1" si="193"/>
        <v>8254860813196.0645</v>
      </c>
      <c r="J4823" s="444">
        <f t="array" ref="J4823">IFERROR(INDEX('Retirement Calculator'!J:J,MATCH('Isaac 401k'!N4823,'Retirement Calculator'!A:A,0),0),0)</f>
        <v>0</v>
      </c>
      <c r="K4823" s="444">
        <f t="shared" ca="1" si="191"/>
        <v>34395253388.316933</v>
      </c>
      <c r="L4823" s="444">
        <f t="shared" ca="1" si="192"/>
        <v>8289256066584.3818</v>
      </c>
      <c r="M4823" s="460">
        <f t="shared" si="194"/>
        <v>0.05</v>
      </c>
      <c r="N4823" s="464">
        <f t="shared" si="195"/>
        <v>197842</v>
      </c>
    </row>
    <row r="4824" spans="7:14" ht="11.25" customHeight="1" x14ac:dyDescent="0.3">
      <c r="G4824" s="459"/>
      <c r="H4824" s="459">
        <v>4817</v>
      </c>
      <c r="I4824" s="444">
        <f t="shared" ca="1" si="193"/>
        <v>8289256066584.3818</v>
      </c>
      <c r="J4824" s="444">
        <f t="array" ref="J4824">IFERROR(INDEX('Retirement Calculator'!J:J,MATCH('Isaac 401k'!N4824,'Retirement Calculator'!A:A,0),0),0)</f>
        <v>0</v>
      </c>
      <c r="K4824" s="444">
        <f t="shared" ca="1" si="191"/>
        <v>34538566944.101593</v>
      </c>
      <c r="L4824" s="444">
        <f t="shared" ca="1" si="192"/>
        <v>8323794633528.4834</v>
      </c>
      <c r="M4824" s="460">
        <f t="shared" si="194"/>
        <v>0.05</v>
      </c>
      <c r="N4824" s="464">
        <f t="shared" si="195"/>
        <v>197872</v>
      </c>
    </row>
    <row r="4825" spans="7:14" ht="11.25" customHeight="1" x14ac:dyDescent="0.3">
      <c r="G4825" s="459"/>
      <c r="H4825" s="459">
        <v>4818</v>
      </c>
      <c r="I4825" s="444">
        <f t="shared" ca="1" si="193"/>
        <v>8323794633528.4834</v>
      </c>
      <c r="J4825" s="444">
        <f t="array" ref="J4825">IFERROR(INDEX('Retirement Calculator'!J:J,MATCH('Isaac 401k'!N4825,'Retirement Calculator'!A:A,0),0),0)</f>
        <v>0</v>
      </c>
      <c r="K4825" s="444">
        <f t="shared" ca="1" si="191"/>
        <v>34682477639.702011</v>
      </c>
      <c r="L4825" s="444">
        <f t="shared" ca="1" si="192"/>
        <v>8358477111168.1855</v>
      </c>
      <c r="M4825" s="460">
        <f t="shared" si="194"/>
        <v>0.05</v>
      </c>
      <c r="N4825" s="464">
        <f t="shared" si="195"/>
        <v>197903</v>
      </c>
    </row>
    <row r="4826" spans="7:14" ht="11.25" customHeight="1" x14ac:dyDescent="0.3">
      <c r="G4826" s="459"/>
      <c r="H4826" s="459">
        <v>4819</v>
      </c>
      <c r="I4826" s="444">
        <f t="shared" ca="1" si="193"/>
        <v>8358477111168.1855</v>
      </c>
      <c r="J4826" s="444">
        <f t="array" ref="J4826">IFERROR(INDEX('Retirement Calculator'!J:J,MATCH('Isaac 401k'!N4826,'Retirement Calculator'!A:A,0),0),0)</f>
        <v>0</v>
      </c>
      <c r="K4826" s="444">
        <f t="shared" ca="1" si="191"/>
        <v>34826987963.200768</v>
      </c>
      <c r="L4826" s="444">
        <f t="shared" ca="1" si="192"/>
        <v>8393304099131.3867</v>
      </c>
      <c r="M4826" s="460">
        <f t="shared" si="194"/>
        <v>0.05</v>
      </c>
      <c r="N4826" s="464">
        <f t="shared" si="195"/>
        <v>197933</v>
      </c>
    </row>
    <row r="4827" spans="7:14" ht="11.25" customHeight="1" x14ac:dyDescent="0.3">
      <c r="G4827" s="459"/>
      <c r="H4827" s="459">
        <v>4820</v>
      </c>
      <c r="I4827" s="444">
        <f t="shared" ca="1" si="193"/>
        <v>8393304099131.3867</v>
      </c>
      <c r="J4827" s="444">
        <f t="array" ref="J4827">IFERROR(INDEX('Retirement Calculator'!J:J,MATCH('Isaac 401k'!N4827,'Retirement Calculator'!A:A,0),0),0)</f>
        <v>0</v>
      </c>
      <c r="K4827" s="444">
        <f t="shared" ca="1" si="191"/>
        <v>34972100413.04744</v>
      </c>
      <c r="L4827" s="444">
        <f t="shared" ca="1" si="192"/>
        <v>8428276199544.4346</v>
      </c>
      <c r="M4827" s="460">
        <f t="shared" si="194"/>
        <v>0.05</v>
      </c>
      <c r="N4827" s="464">
        <f t="shared" si="195"/>
        <v>197964</v>
      </c>
    </row>
    <row r="4828" spans="7:14" ht="11.25" customHeight="1" x14ac:dyDescent="0.3">
      <c r="G4828" s="459"/>
      <c r="H4828" s="459">
        <v>4821</v>
      </c>
      <c r="I4828" s="444">
        <f t="shared" ca="1" si="193"/>
        <v>8428276199544.4346</v>
      </c>
      <c r="J4828" s="444">
        <f t="array" ref="J4828">IFERROR(INDEX('Retirement Calculator'!J:J,MATCH('Isaac 401k'!N4828,'Retirement Calculator'!A:A,0),0),0)</f>
        <v>0</v>
      </c>
      <c r="K4828" s="444">
        <f t="shared" ca="1" si="191"/>
        <v>35117817498.101807</v>
      </c>
      <c r="L4828" s="444">
        <f t="shared" ca="1" si="192"/>
        <v>8463394017042.5361</v>
      </c>
      <c r="M4828" s="460">
        <f t="shared" si="194"/>
        <v>0.05</v>
      </c>
      <c r="N4828" s="464">
        <f t="shared" si="195"/>
        <v>197995</v>
      </c>
    </row>
    <row r="4829" spans="7:14" ht="11.25" customHeight="1" x14ac:dyDescent="0.3">
      <c r="G4829" s="459"/>
      <c r="H4829" s="459">
        <v>4822</v>
      </c>
      <c r="I4829" s="444">
        <f t="shared" ca="1" si="193"/>
        <v>8463394017042.5361</v>
      </c>
      <c r="J4829" s="444">
        <f t="array" ref="J4829">IFERROR(INDEX('Retirement Calculator'!J:J,MATCH('Isaac 401k'!N4829,'Retirement Calculator'!A:A,0),0),0)</f>
        <v>0</v>
      </c>
      <c r="K4829" s="444">
        <f t="shared" ca="1" si="191"/>
        <v>35264141737.677238</v>
      </c>
      <c r="L4829" s="444">
        <f t="shared" ca="1" si="192"/>
        <v>8498658158780.2129</v>
      </c>
      <c r="M4829" s="460">
        <f t="shared" si="194"/>
        <v>0.05</v>
      </c>
      <c r="N4829" s="464">
        <f t="shared" si="195"/>
        <v>198023</v>
      </c>
    </row>
    <row r="4830" spans="7:14" ht="11.25" customHeight="1" x14ac:dyDescent="0.3">
      <c r="G4830" s="459"/>
      <c r="H4830" s="459">
        <v>4823</v>
      </c>
      <c r="I4830" s="444">
        <f t="shared" ca="1" si="193"/>
        <v>8498658158780.2129</v>
      </c>
      <c r="J4830" s="444">
        <f t="array" ref="J4830">IFERROR(INDEX('Retirement Calculator'!J:J,MATCH('Isaac 401k'!N4830,'Retirement Calculator'!A:A,0),0),0)</f>
        <v>0</v>
      </c>
      <c r="K4830" s="444">
        <f t="shared" ca="1" si="191"/>
        <v>35411075661.584221</v>
      </c>
      <c r="L4830" s="444">
        <f t="shared" ca="1" si="192"/>
        <v>8534069234441.7969</v>
      </c>
      <c r="M4830" s="460">
        <f t="shared" si="194"/>
        <v>0.05</v>
      </c>
      <c r="N4830" s="464">
        <f t="shared" si="195"/>
        <v>198054</v>
      </c>
    </row>
    <row r="4831" spans="7:14" ht="11.25" customHeight="1" x14ac:dyDescent="0.3">
      <c r="G4831" s="459"/>
      <c r="H4831" s="459">
        <v>4824</v>
      </c>
      <c r="I4831" s="444">
        <f t="shared" ca="1" si="193"/>
        <v>8534069234441.7969</v>
      </c>
      <c r="J4831" s="444">
        <f t="array" ref="J4831">IFERROR(INDEX('Retirement Calculator'!J:J,MATCH('Isaac 401k'!N4831,'Retirement Calculator'!A:A,0),0),0)</f>
        <v>0</v>
      </c>
      <c r="K4831" s="444">
        <f t="shared" ca="1" si="191"/>
        <v>35558621810.174156</v>
      </c>
      <c r="L4831" s="444">
        <f t="shared" ca="1" si="192"/>
        <v>8569627856251.9707</v>
      </c>
      <c r="M4831" s="460">
        <f t="shared" si="194"/>
        <v>0.05</v>
      </c>
      <c r="N4831" s="464">
        <f t="shared" si="195"/>
        <v>198084</v>
      </c>
    </row>
    <row r="4832" spans="7:14" ht="11.25" customHeight="1" x14ac:dyDescent="0.3">
      <c r="G4832" s="459"/>
      <c r="H4832" s="459">
        <v>4825</v>
      </c>
      <c r="I4832" s="444">
        <f t="shared" ca="1" si="193"/>
        <v>8569627856251.9707</v>
      </c>
      <c r="J4832" s="444">
        <f t="array" ref="J4832">IFERROR(INDEX('Retirement Calculator'!J:J,MATCH('Isaac 401k'!N4832,'Retirement Calculator'!A:A,0),0),0)</f>
        <v>0</v>
      </c>
      <c r="K4832" s="444">
        <f t="shared" ca="1" si="191"/>
        <v>35706782734.383217</v>
      </c>
      <c r="L4832" s="444">
        <f t="shared" ca="1" si="192"/>
        <v>8605334638986.3535</v>
      </c>
      <c r="M4832" s="460">
        <f t="shared" si="194"/>
        <v>0.05</v>
      </c>
      <c r="N4832" s="464">
        <f t="shared" si="195"/>
        <v>198115</v>
      </c>
    </row>
    <row r="4833" spans="7:14" ht="11.25" customHeight="1" x14ac:dyDescent="0.3">
      <c r="G4833" s="459"/>
      <c r="H4833" s="459">
        <v>4826</v>
      </c>
      <c r="I4833" s="444">
        <f t="shared" ca="1" si="193"/>
        <v>8605334638986.3535</v>
      </c>
      <c r="J4833" s="444">
        <f t="array" ref="J4833">IFERROR(INDEX('Retirement Calculator'!J:J,MATCH('Isaac 401k'!N4833,'Retirement Calculator'!A:A,0),0),0)</f>
        <v>0</v>
      </c>
      <c r="K4833" s="444">
        <f t="shared" ca="1" si="191"/>
        <v>35855560995.776474</v>
      </c>
      <c r="L4833" s="444">
        <f t="shared" ca="1" si="192"/>
        <v>8641190199982.1299</v>
      </c>
      <c r="M4833" s="460">
        <f t="shared" si="194"/>
        <v>0.05</v>
      </c>
      <c r="N4833" s="464">
        <f t="shared" si="195"/>
        <v>198145</v>
      </c>
    </row>
    <row r="4834" spans="7:14" ht="11.25" customHeight="1" x14ac:dyDescent="0.3">
      <c r="G4834" s="459"/>
      <c r="H4834" s="459">
        <v>4827</v>
      </c>
      <c r="I4834" s="444">
        <f t="shared" ca="1" si="193"/>
        <v>8641190199982.1299</v>
      </c>
      <c r="J4834" s="444">
        <f t="array" ref="J4834">IFERROR(INDEX('Retirement Calculator'!J:J,MATCH('Isaac 401k'!N4834,'Retirement Calculator'!A:A,0),0),0)</f>
        <v>0</v>
      </c>
      <c r="K4834" s="444">
        <f t="shared" ca="1" si="191"/>
        <v>36004959166.592209</v>
      </c>
      <c r="L4834" s="444">
        <f t="shared" ca="1" si="192"/>
        <v>8677195159148.7217</v>
      </c>
      <c r="M4834" s="460">
        <f t="shared" si="194"/>
        <v>0.05</v>
      </c>
      <c r="N4834" s="464">
        <f t="shared" si="195"/>
        <v>198176</v>
      </c>
    </row>
    <row r="4835" spans="7:14" ht="11.25" customHeight="1" x14ac:dyDescent="0.3">
      <c r="G4835" s="459"/>
      <c r="H4835" s="459">
        <v>4828</v>
      </c>
      <c r="I4835" s="444">
        <f t="shared" ca="1" si="193"/>
        <v>8677195159148.7217</v>
      </c>
      <c r="J4835" s="444">
        <f t="array" ref="J4835">IFERROR(INDEX('Retirement Calculator'!J:J,MATCH('Isaac 401k'!N4835,'Retirement Calculator'!A:A,0),0),0)</f>
        <v>0</v>
      </c>
      <c r="K4835" s="444">
        <f t="shared" ca="1" si="191"/>
        <v>36154979829.786339</v>
      </c>
      <c r="L4835" s="444">
        <f t="shared" ca="1" si="192"/>
        <v>8713350138978.5078</v>
      </c>
      <c r="M4835" s="460">
        <f t="shared" si="194"/>
        <v>0.05</v>
      </c>
      <c r="N4835" s="464">
        <f t="shared" si="195"/>
        <v>198207</v>
      </c>
    </row>
    <row r="4836" spans="7:14" ht="11.25" customHeight="1" x14ac:dyDescent="0.3">
      <c r="G4836" s="459"/>
      <c r="H4836" s="459">
        <v>4829</v>
      </c>
      <c r="I4836" s="444">
        <f t="shared" ca="1" si="193"/>
        <v>8713350138978.5078</v>
      </c>
      <c r="J4836" s="444">
        <f t="array" ref="J4836">IFERROR(INDEX('Retirement Calculator'!J:J,MATCH('Isaac 401k'!N4836,'Retirement Calculator'!A:A,0),0),0)</f>
        <v>0</v>
      </c>
      <c r="K4836" s="444">
        <f t="shared" ca="1" si="191"/>
        <v>36305625579.077118</v>
      </c>
      <c r="L4836" s="444">
        <f t="shared" ca="1" si="192"/>
        <v>8749655764557.585</v>
      </c>
      <c r="M4836" s="460">
        <f t="shared" si="194"/>
        <v>0.05</v>
      </c>
      <c r="N4836" s="464">
        <f t="shared" si="195"/>
        <v>198237</v>
      </c>
    </row>
    <row r="4837" spans="7:14" ht="11.25" customHeight="1" x14ac:dyDescent="0.3">
      <c r="G4837" s="459"/>
      <c r="H4837" s="459">
        <v>4830</v>
      </c>
      <c r="I4837" s="444">
        <f t="shared" ca="1" si="193"/>
        <v>8749655764557.585</v>
      </c>
      <c r="J4837" s="444">
        <f t="array" ref="J4837">IFERROR(INDEX('Retirement Calculator'!J:J,MATCH('Isaac 401k'!N4837,'Retirement Calculator'!A:A,0),0),0)</f>
        <v>0</v>
      </c>
      <c r="K4837" s="444">
        <f t="shared" ca="1" si="191"/>
        <v>36456899018.989937</v>
      </c>
      <c r="L4837" s="444">
        <f t="shared" ca="1" si="192"/>
        <v>8786112663576.5752</v>
      </c>
      <c r="M4837" s="460">
        <f t="shared" si="194"/>
        <v>0.05</v>
      </c>
      <c r="N4837" s="464">
        <f t="shared" si="195"/>
        <v>198268</v>
      </c>
    </row>
    <row r="4838" spans="7:14" ht="11.25" customHeight="1" x14ac:dyDescent="0.3">
      <c r="G4838" s="459"/>
      <c r="H4838" s="459">
        <v>4831</v>
      </c>
      <c r="I4838" s="444">
        <f t="shared" ca="1" si="193"/>
        <v>8786112663576.5752</v>
      </c>
      <c r="J4838" s="444">
        <f t="array" ref="J4838">IFERROR(INDEX('Retirement Calculator'!J:J,MATCH('Isaac 401k'!N4838,'Retirement Calculator'!A:A,0),0),0)</f>
        <v>0</v>
      </c>
      <c r="K4838" s="444">
        <f t="shared" ca="1" si="191"/>
        <v>36608802764.902397</v>
      </c>
      <c r="L4838" s="444">
        <f t="shared" ca="1" si="192"/>
        <v>8822721466341.4785</v>
      </c>
      <c r="M4838" s="460">
        <f t="shared" si="194"/>
        <v>0.05</v>
      </c>
      <c r="N4838" s="464">
        <f t="shared" si="195"/>
        <v>198298</v>
      </c>
    </row>
    <row r="4839" spans="7:14" ht="11.25" customHeight="1" x14ac:dyDescent="0.3">
      <c r="G4839" s="459"/>
      <c r="H4839" s="459">
        <v>4832</v>
      </c>
      <c r="I4839" s="444">
        <f t="shared" ca="1" si="193"/>
        <v>8822721466341.4785</v>
      </c>
      <c r="J4839" s="444">
        <f t="array" ref="J4839">IFERROR(INDEX('Retirement Calculator'!J:J,MATCH('Isaac 401k'!N4839,'Retirement Calculator'!A:A,0),0),0)</f>
        <v>0</v>
      </c>
      <c r="K4839" s="444">
        <f t="shared" ca="1" si="191"/>
        <v>36761339443.089493</v>
      </c>
      <c r="L4839" s="444">
        <f t="shared" ca="1" si="192"/>
        <v>8859482805784.5684</v>
      </c>
      <c r="M4839" s="460">
        <f t="shared" si="194"/>
        <v>0.05</v>
      </c>
      <c r="N4839" s="464">
        <f t="shared" si="195"/>
        <v>198329</v>
      </c>
    </row>
    <row r="4840" spans="7:14" ht="11.25" customHeight="1" x14ac:dyDescent="0.3">
      <c r="G4840" s="459"/>
      <c r="H4840" s="459">
        <v>4833</v>
      </c>
      <c r="I4840" s="444">
        <f t="shared" ca="1" si="193"/>
        <v>8859482805784.5684</v>
      </c>
      <c r="J4840" s="444">
        <f t="array" ref="J4840">IFERROR(INDEX('Retirement Calculator'!J:J,MATCH('Isaac 401k'!N4840,'Retirement Calculator'!A:A,0),0),0)</f>
        <v>0</v>
      </c>
      <c r="K4840" s="444">
        <f t="shared" ca="1" si="191"/>
        <v>36914511690.769035</v>
      </c>
      <c r="L4840" s="444">
        <f t="shared" ca="1" si="192"/>
        <v>8896397317475.3379</v>
      </c>
      <c r="M4840" s="460">
        <f t="shared" si="194"/>
        <v>0.05</v>
      </c>
      <c r="N4840" s="464">
        <f t="shared" si="195"/>
        <v>198360</v>
      </c>
    </row>
    <row r="4841" spans="7:14" ht="11.25" customHeight="1" x14ac:dyDescent="0.3">
      <c r="G4841" s="459"/>
      <c r="H4841" s="459">
        <v>4834</v>
      </c>
      <c r="I4841" s="444">
        <f t="shared" ca="1" si="193"/>
        <v>8896397317475.3379</v>
      </c>
      <c r="J4841" s="444">
        <f t="array" ref="J4841">IFERROR(INDEX('Retirement Calculator'!J:J,MATCH('Isaac 401k'!N4841,'Retirement Calculator'!A:A,0),0),0)</f>
        <v>0</v>
      </c>
      <c r="K4841" s="444">
        <f t="shared" ca="1" si="191"/>
        <v>37068322156.14724</v>
      </c>
      <c r="L4841" s="444">
        <f t="shared" ca="1" si="192"/>
        <v>8933465639631.4844</v>
      </c>
      <c r="M4841" s="460">
        <f t="shared" si="194"/>
        <v>0.05</v>
      </c>
      <c r="N4841" s="464">
        <f t="shared" si="195"/>
        <v>198388</v>
      </c>
    </row>
    <row r="4842" spans="7:14" ht="11.25" customHeight="1" x14ac:dyDescent="0.3">
      <c r="G4842" s="459"/>
      <c r="H4842" s="459">
        <v>4835</v>
      </c>
      <c r="I4842" s="444">
        <f t="shared" ca="1" si="193"/>
        <v>8933465639631.4844</v>
      </c>
      <c r="J4842" s="444">
        <f t="array" ref="J4842">IFERROR(INDEX('Retirement Calculator'!J:J,MATCH('Isaac 401k'!N4842,'Retirement Calculator'!A:A,0),0),0)</f>
        <v>0</v>
      </c>
      <c r="K4842" s="444">
        <f t="shared" ca="1" si="191"/>
        <v>37222773498.464516</v>
      </c>
      <c r="L4842" s="444">
        <f t="shared" ca="1" si="192"/>
        <v>8970688413129.9492</v>
      </c>
      <c r="M4842" s="460">
        <f t="shared" si="194"/>
        <v>0.05</v>
      </c>
      <c r="N4842" s="464">
        <f t="shared" si="195"/>
        <v>198419</v>
      </c>
    </row>
    <row r="4843" spans="7:14" ht="11.25" customHeight="1" x14ac:dyDescent="0.3">
      <c r="G4843" s="459"/>
      <c r="H4843" s="459">
        <v>4836</v>
      </c>
      <c r="I4843" s="444">
        <f t="shared" ca="1" si="193"/>
        <v>8970688413129.9492</v>
      </c>
      <c r="J4843" s="444">
        <f t="array" ref="J4843">IFERROR(INDEX('Retirement Calculator'!J:J,MATCH('Isaac 401k'!N4843,'Retirement Calculator'!A:A,0),0),0)</f>
        <v>0</v>
      </c>
      <c r="K4843" s="444">
        <f t="shared" ca="1" si="191"/>
        <v>37377868388.041458</v>
      </c>
      <c r="L4843" s="444">
        <f t="shared" ca="1" si="192"/>
        <v>9008066281517.9902</v>
      </c>
      <c r="M4843" s="460">
        <f t="shared" si="194"/>
        <v>0.05</v>
      </c>
      <c r="N4843" s="464">
        <f t="shared" si="195"/>
        <v>198449</v>
      </c>
    </row>
    <row r="4844" spans="7:14" ht="11.25" customHeight="1" x14ac:dyDescent="0.3">
      <c r="G4844" s="459"/>
      <c r="H4844" s="459">
        <v>4837</v>
      </c>
      <c r="I4844" s="444">
        <f t="shared" ca="1" si="193"/>
        <v>9008066281517.9902</v>
      </c>
      <c r="J4844" s="444">
        <f t="array" ref="J4844">IFERROR(INDEX('Retirement Calculator'!J:J,MATCH('Isaac 401k'!N4844,'Retirement Calculator'!A:A,0),0),0)</f>
        <v>0</v>
      </c>
      <c r="K4844" s="444">
        <f t="shared" ca="1" si="191"/>
        <v>37533609506.324959</v>
      </c>
      <c r="L4844" s="444">
        <f t="shared" ca="1" si="192"/>
        <v>9045599891024.3145</v>
      </c>
      <c r="M4844" s="460">
        <f t="shared" si="194"/>
        <v>0.05</v>
      </c>
      <c r="N4844" s="464">
        <f t="shared" si="195"/>
        <v>198480</v>
      </c>
    </row>
    <row r="4845" spans="7:14" ht="11.25" customHeight="1" x14ac:dyDescent="0.3">
      <c r="G4845" s="459"/>
      <c r="H4845" s="459">
        <v>4838</v>
      </c>
      <c r="I4845" s="444">
        <f t="shared" ca="1" si="193"/>
        <v>9045599891024.3145</v>
      </c>
      <c r="J4845" s="444">
        <f t="array" ref="J4845">IFERROR(INDEX('Retirement Calculator'!J:J,MATCH('Isaac 401k'!N4845,'Retirement Calculator'!A:A,0),0),0)</f>
        <v>0</v>
      </c>
      <c r="K4845" s="444">
        <f t="shared" ca="1" si="191"/>
        <v>37689999545.934647</v>
      </c>
      <c r="L4845" s="444">
        <f t="shared" ca="1" si="192"/>
        <v>9083289890570.25</v>
      </c>
      <c r="M4845" s="460">
        <f t="shared" si="194"/>
        <v>0.05</v>
      </c>
      <c r="N4845" s="464">
        <f t="shared" si="195"/>
        <v>198510</v>
      </c>
    </row>
    <row r="4846" spans="7:14" ht="11.25" customHeight="1" x14ac:dyDescent="0.3">
      <c r="G4846" s="459"/>
      <c r="H4846" s="459">
        <v>4839</v>
      </c>
      <c r="I4846" s="444">
        <f t="shared" ca="1" si="193"/>
        <v>9083289890570.25</v>
      </c>
      <c r="J4846" s="444">
        <f t="array" ref="J4846">IFERROR(INDEX('Retirement Calculator'!J:J,MATCH('Isaac 401k'!N4846,'Retirement Calculator'!A:A,0),0),0)</f>
        <v>0</v>
      </c>
      <c r="K4846" s="444">
        <f t="shared" ca="1" si="191"/>
        <v>37847041210.709373</v>
      </c>
      <c r="L4846" s="444">
        <f t="shared" ca="1" si="192"/>
        <v>9121136931780.959</v>
      </c>
      <c r="M4846" s="460">
        <f t="shared" si="194"/>
        <v>0.05</v>
      </c>
      <c r="N4846" s="464">
        <f t="shared" si="195"/>
        <v>198541</v>
      </c>
    </row>
    <row r="4847" spans="7:14" ht="11.25" customHeight="1" x14ac:dyDescent="0.3">
      <c r="G4847" s="459"/>
      <c r="H4847" s="459">
        <v>4840</v>
      </c>
      <c r="I4847" s="444">
        <f t="shared" ca="1" si="193"/>
        <v>9121136931780.959</v>
      </c>
      <c r="J4847" s="444">
        <f t="array" ref="J4847">IFERROR(INDEX('Retirement Calculator'!J:J,MATCH('Isaac 401k'!N4847,'Retirement Calculator'!A:A,0),0),0)</f>
        <v>0</v>
      </c>
      <c r="K4847" s="444">
        <f t="shared" ca="1" si="191"/>
        <v>38004737215.753998</v>
      </c>
      <c r="L4847" s="444">
        <f t="shared" ca="1" si="192"/>
        <v>9159141668996.7129</v>
      </c>
      <c r="M4847" s="460">
        <f t="shared" si="194"/>
        <v>0.05</v>
      </c>
      <c r="N4847" s="464">
        <f t="shared" si="195"/>
        <v>198572</v>
      </c>
    </row>
    <row r="4848" spans="7:14" ht="11.25" customHeight="1" x14ac:dyDescent="0.3">
      <c r="G4848" s="459"/>
      <c r="H4848" s="459">
        <v>4841</v>
      </c>
      <c r="I4848" s="444">
        <f t="shared" ca="1" si="193"/>
        <v>9159141668996.7129</v>
      </c>
      <c r="J4848" s="444">
        <f t="array" ref="J4848">IFERROR(INDEX('Retirement Calculator'!J:J,MATCH('Isaac 401k'!N4848,'Retirement Calculator'!A:A,0),0),0)</f>
        <v>0</v>
      </c>
      <c r="K4848" s="444">
        <f t="shared" ca="1" si="191"/>
        <v>38163090287.486305</v>
      </c>
      <c r="L4848" s="444">
        <f t="shared" ca="1" si="192"/>
        <v>9197304759284.1992</v>
      </c>
      <c r="M4848" s="460">
        <f t="shared" si="194"/>
        <v>0.05</v>
      </c>
      <c r="N4848" s="464">
        <f t="shared" si="195"/>
        <v>198602</v>
      </c>
    </row>
    <row r="4849" spans="7:14" ht="11.25" customHeight="1" x14ac:dyDescent="0.3">
      <c r="G4849" s="459"/>
      <c r="H4849" s="459">
        <v>4842</v>
      </c>
      <c r="I4849" s="444">
        <f t="shared" ca="1" si="193"/>
        <v>9197304759284.1992</v>
      </c>
      <c r="J4849" s="444">
        <f t="array" ref="J4849">IFERROR(INDEX('Retirement Calculator'!J:J,MATCH('Isaac 401k'!N4849,'Retirement Calculator'!A:A,0),0),0)</f>
        <v>0</v>
      </c>
      <c r="K4849" s="444">
        <f t="shared" ca="1" si="191"/>
        <v>38322103163.684166</v>
      </c>
      <c r="L4849" s="444">
        <f t="shared" ca="1" si="192"/>
        <v>9235626862447.8828</v>
      </c>
      <c r="M4849" s="460">
        <f t="shared" si="194"/>
        <v>0.05</v>
      </c>
      <c r="N4849" s="464">
        <f t="shared" si="195"/>
        <v>198633</v>
      </c>
    </row>
    <row r="4850" spans="7:14" ht="11.25" customHeight="1" x14ac:dyDescent="0.3">
      <c r="G4850" s="459"/>
      <c r="H4850" s="459">
        <v>4843</v>
      </c>
      <c r="I4850" s="444">
        <f t="shared" ca="1" si="193"/>
        <v>9235626862447.8828</v>
      </c>
      <c r="J4850" s="444">
        <f t="array" ref="J4850">IFERROR(INDEX('Retirement Calculator'!J:J,MATCH('Isaac 401k'!N4850,'Retirement Calculator'!A:A,0),0),0)</f>
        <v>0</v>
      </c>
      <c r="K4850" s="444">
        <f t="shared" ca="1" si="191"/>
        <v>38481778593.532845</v>
      </c>
      <c r="L4850" s="444">
        <f t="shared" ca="1" si="192"/>
        <v>9274108641041.416</v>
      </c>
      <c r="M4850" s="460">
        <f t="shared" si="194"/>
        <v>0.05</v>
      </c>
      <c r="N4850" s="464">
        <f t="shared" si="195"/>
        <v>198663</v>
      </c>
    </row>
    <row r="4851" spans="7:14" ht="11.25" customHeight="1" x14ac:dyDescent="0.3">
      <c r="G4851" s="459"/>
      <c r="H4851" s="459">
        <v>4844</v>
      </c>
      <c r="I4851" s="444">
        <f t="shared" ca="1" si="193"/>
        <v>9274108641041.416</v>
      </c>
      <c r="J4851" s="444">
        <f t="array" ref="J4851">IFERROR(INDEX('Retirement Calculator'!J:J,MATCH('Isaac 401k'!N4851,'Retirement Calculator'!A:A,0),0),0)</f>
        <v>0</v>
      </c>
      <c r="K4851" s="444">
        <f t="shared" ca="1" si="191"/>
        <v>38642119337.672569</v>
      </c>
      <c r="L4851" s="444">
        <f t="shared" ca="1" si="192"/>
        <v>9312750760379.0879</v>
      </c>
      <c r="M4851" s="460">
        <f t="shared" si="194"/>
        <v>0.05</v>
      </c>
      <c r="N4851" s="464">
        <f t="shared" si="195"/>
        <v>198694</v>
      </c>
    </row>
    <row r="4852" spans="7:14" ht="11.25" customHeight="1" x14ac:dyDescent="0.3">
      <c r="G4852" s="459"/>
      <c r="H4852" s="459">
        <v>4845</v>
      </c>
      <c r="I4852" s="444">
        <f t="shared" ca="1" si="193"/>
        <v>9312750760379.0879</v>
      </c>
      <c r="J4852" s="444">
        <f t="array" ref="J4852">IFERROR(INDEX('Retirement Calculator'!J:J,MATCH('Isaac 401k'!N4852,'Retirement Calculator'!A:A,0),0),0)</f>
        <v>0</v>
      </c>
      <c r="K4852" s="444">
        <f t="shared" ca="1" si="191"/>
        <v>38803128168.246201</v>
      </c>
      <c r="L4852" s="444">
        <f t="shared" ca="1" si="192"/>
        <v>9351553888547.334</v>
      </c>
      <c r="M4852" s="460">
        <f t="shared" si="194"/>
        <v>0.05</v>
      </c>
      <c r="N4852" s="464">
        <f t="shared" si="195"/>
        <v>198725</v>
      </c>
    </row>
    <row r="4853" spans="7:14" ht="11.25" customHeight="1" x14ac:dyDescent="0.3">
      <c r="G4853" s="459"/>
      <c r="H4853" s="459">
        <v>4846</v>
      </c>
      <c r="I4853" s="444">
        <f t="shared" ca="1" si="193"/>
        <v>9351553888547.334</v>
      </c>
      <c r="J4853" s="444">
        <f t="array" ref="J4853">IFERROR(INDEX('Retirement Calculator'!J:J,MATCH('Isaac 401k'!N4853,'Retirement Calculator'!A:A,0),0),0)</f>
        <v>0</v>
      </c>
      <c r="K4853" s="444">
        <f t="shared" ref="K4853:K5107" ca="1" si="196">IPMT(M4853/12,1,12,-I4853+J4853,,0)</f>
        <v>38964807868.947227</v>
      </c>
      <c r="L4853" s="444">
        <f t="shared" ref="L4853:L5107" ca="1" si="197">I4853-J4853+K4853</f>
        <v>9390518696416.2813</v>
      </c>
      <c r="M4853" s="460">
        <f t="shared" si="194"/>
        <v>0.05</v>
      </c>
      <c r="N4853" s="464">
        <f t="shared" si="195"/>
        <v>198754</v>
      </c>
    </row>
    <row r="4854" spans="7:14" ht="11.25" customHeight="1" x14ac:dyDescent="0.3">
      <c r="G4854" s="459"/>
      <c r="H4854" s="459">
        <v>4847</v>
      </c>
      <c r="I4854" s="444">
        <f t="shared" ref="I4854:I5108" ca="1" si="198">L4853</f>
        <v>9390518696416.2813</v>
      </c>
      <c r="J4854" s="444">
        <f t="array" ref="J4854">IFERROR(INDEX('Retirement Calculator'!J:J,MATCH('Isaac 401k'!N4854,'Retirement Calculator'!A:A,0),0),0)</f>
        <v>0</v>
      </c>
      <c r="K4854" s="444">
        <f t="shared" ca="1" si="196"/>
        <v>39127161235.067841</v>
      </c>
      <c r="L4854" s="444">
        <f t="shared" ca="1" si="197"/>
        <v>9429645857651.3496</v>
      </c>
      <c r="M4854" s="460">
        <f t="shared" ref="M4854:M5108" si="199">M4853</f>
        <v>0.05</v>
      </c>
      <c r="N4854" s="464">
        <f t="shared" ref="N4854:N5108" si="200">EDATE(N4853,1)</f>
        <v>198785</v>
      </c>
    </row>
    <row r="4855" spans="7:14" ht="11.25" customHeight="1" x14ac:dyDescent="0.3">
      <c r="G4855" s="459"/>
      <c r="H4855" s="459">
        <v>4848</v>
      </c>
      <c r="I4855" s="444">
        <f t="shared" ca="1" si="198"/>
        <v>9429645857651.3496</v>
      </c>
      <c r="J4855" s="444">
        <f t="array" ref="J4855">IFERROR(INDEX('Retirement Calculator'!J:J,MATCH('Isaac 401k'!N4855,'Retirement Calculator'!A:A,0),0),0)</f>
        <v>0</v>
      </c>
      <c r="K4855" s="444">
        <f t="shared" ca="1" si="196"/>
        <v>39290191073.547287</v>
      </c>
      <c r="L4855" s="444">
        <f t="shared" ca="1" si="197"/>
        <v>9468936048724.8965</v>
      </c>
      <c r="M4855" s="460">
        <f t="shared" si="199"/>
        <v>0.05</v>
      </c>
      <c r="N4855" s="464">
        <f t="shared" si="200"/>
        <v>198815</v>
      </c>
    </row>
    <row r="4856" spans="7:14" ht="11.25" customHeight="1" x14ac:dyDescent="0.3">
      <c r="G4856" s="459"/>
      <c r="H4856" s="459">
        <v>4849</v>
      </c>
      <c r="I4856" s="444">
        <f t="shared" ca="1" si="198"/>
        <v>9468936048724.8965</v>
      </c>
      <c r="J4856" s="444">
        <f t="array" ref="J4856">IFERROR(INDEX('Retirement Calculator'!J:J,MATCH('Isaac 401k'!N4856,'Retirement Calculator'!A:A,0),0),0)</f>
        <v>0</v>
      </c>
      <c r="K4856" s="444">
        <f t="shared" ca="1" si="196"/>
        <v>39453900203.020401</v>
      </c>
      <c r="L4856" s="444">
        <f t="shared" ca="1" si="197"/>
        <v>9508389948927.916</v>
      </c>
      <c r="M4856" s="460">
        <f t="shared" si="199"/>
        <v>0.05</v>
      </c>
      <c r="N4856" s="464">
        <f t="shared" si="200"/>
        <v>198846</v>
      </c>
    </row>
    <row r="4857" spans="7:14" ht="11.25" customHeight="1" x14ac:dyDescent="0.3">
      <c r="G4857" s="459"/>
      <c r="H4857" s="459">
        <v>4850</v>
      </c>
      <c r="I4857" s="444">
        <f t="shared" ca="1" si="198"/>
        <v>9508389948927.916</v>
      </c>
      <c r="J4857" s="444">
        <f t="array" ref="J4857">IFERROR(INDEX('Retirement Calculator'!J:J,MATCH('Isaac 401k'!N4857,'Retirement Calculator'!A:A,0),0),0)</f>
        <v>0</v>
      </c>
      <c r="K4857" s="444">
        <f t="shared" ca="1" si="196"/>
        <v>39618291453.866318</v>
      </c>
      <c r="L4857" s="444">
        <f t="shared" ca="1" si="197"/>
        <v>9548008240381.7832</v>
      </c>
      <c r="M4857" s="460">
        <f t="shared" si="199"/>
        <v>0.05</v>
      </c>
      <c r="N4857" s="464">
        <f t="shared" si="200"/>
        <v>198876</v>
      </c>
    </row>
    <row r="4858" spans="7:14" ht="11.25" customHeight="1" x14ac:dyDescent="0.3">
      <c r="G4858" s="459"/>
      <c r="H4858" s="459">
        <v>4851</v>
      </c>
      <c r="I4858" s="444">
        <f t="shared" ca="1" si="198"/>
        <v>9548008240381.7832</v>
      </c>
      <c r="J4858" s="444">
        <f t="array" ref="J4858">IFERROR(INDEX('Retirement Calculator'!J:J,MATCH('Isaac 401k'!N4858,'Retirement Calculator'!A:A,0),0),0)</f>
        <v>0</v>
      </c>
      <c r="K4858" s="444">
        <f t="shared" ca="1" si="196"/>
        <v>39783367668.257431</v>
      </c>
      <c r="L4858" s="444">
        <f t="shared" ca="1" si="197"/>
        <v>9587791608050.041</v>
      </c>
      <c r="M4858" s="460">
        <f t="shared" si="199"/>
        <v>0.05</v>
      </c>
      <c r="N4858" s="464">
        <f t="shared" si="200"/>
        <v>198907</v>
      </c>
    </row>
    <row r="4859" spans="7:14" ht="11.25" customHeight="1" x14ac:dyDescent="0.3">
      <c r="G4859" s="459"/>
      <c r="H4859" s="459">
        <v>4852</v>
      </c>
      <c r="I4859" s="444">
        <f t="shared" ca="1" si="198"/>
        <v>9587791608050.041</v>
      </c>
      <c r="J4859" s="444">
        <f t="array" ref="J4859">IFERROR(INDEX('Retirement Calculator'!J:J,MATCH('Isaac 401k'!N4859,'Retirement Calculator'!A:A,0),0),0)</f>
        <v>0</v>
      </c>
      <c r="K4859" s="444">
        <f t="shared" ca="1" si="196"/>
        <v>39949131700.208504</v>
      </c>
      <c r="L4859" s="444">
        <f t="shared" ca="1" si="197"/>
        <v>9627740739750.25</v>
      </c>
      <c r="M4859" s="460">
        <f t="shared" si="199"/>
        <v>0.05</v>
      </c>
      <c r="N4859" s="464">
        <f t="shared" si="200"/>
        <v>198938</v>
      </c>
    </row>
    <row r="4860" spans="7:14" ht="11.25" customHeight="1" x14ac:dyDescent="0.3">
      <c r="G4860" s="459"/>
      <c r="H4860" s="459">
        <v>4853</v>
      </c>
      <c r="I4860" s="444">
        <f t="shared" ca="1" si="198"/>
        <v>9627740739750.25</v>
      </c>
      <c r="J4860" s="444">
        <f t="array" ref="J4860">IFERROR(INDEX('Retirement Calculator'!J:J,MATCH('Isaac 401k'!N4860,'Retirement Calculator'!A:A,0),0),0)</f>
        <v>0</v>
      </c>
      <c r="K4860" s="444">
        <f t="shared" ca="1" si="196"/>
        <v>40115586415.626038</v>
      </c>
      <c r="L4860" s="444">
        <f t="shared" ca="1" si="197"/>
        <v>9667856326165.877</v>
      </c>
      <c r="M4860" s="460">
        <f t="shared" si="199"/>
        <v>0.05</v>
      </c>
      <c r="N4860" s="464">
        <f t="shared" si="200"/>
        <v>198968</v>
      </c>
    </row>
    <row r="4861" spans="7:14" ht="11.25" customHeight="1" x14ac:dyDescent="0.3">
      <c r="G4861" s="459"/>
      <c r="H4861" s="459">
        <v>4854</v>
      </c>
      <c r="I4861" s="444">
        <f t="shared" ca="1" si="198"/>
        <v>9667856326165.877</v>
      </c>
      <c r="J4861" s="444">
        <f t="array" ref="J4861">IFERROR(INDEX('Retirement Calculator'!J:J,MATCH('Isaac 401k'!N4861,'Retirement Calculator'!A:A,0),0),0)</f>
        <v>0</v>
      </c>
      <c r="K4861" s="444">
        <f t="shared" ca="1" si="196"/>
        <v>40282734692.357819</v>
      </c>
      <c r="L4861" s="444">
        <f t="shared" ca="1" si="197"/>
        <v>9708139060858.2344</v>
      </c>
      <c r="M4861" s="460">
        <f t="shared" si="199"/>
        <v>0.05</v>
      </c>
      <c r="N4861" s="464">
        <f t="shared" si="200"/>
        <v>198999</v>
      </c>
    </row>
    <row r="4862" spans="7:14" ht="11.25" customHeight="1" x14ac:dyDescent="0.3">
      <c r="G4862" s="459"/>
      <c r="H4862" s="459">
        <v>4855</v>
      </c>
      <c r="I4862" s="444">
        <f t="shared" ca="1" si="198"/>
        <v>9708139060858.2344</v>
      </c>
      <c r="J4862" s="444">
        <f t="array" ref="J4862">IFERROR(INDEX('Retirement Calculator'!J:J,MATCH('Isaac 401k'!N4862,'Retirement Calculator'!A:A,0),0),0)</f>
        <v>0</v>
      </c>
      <c r="K4862" s="444">
        <f t="shared" ca="1" si="196"/>
        <v>40450579420.242645</v>
      </c>
      <c r="L4862" s="444">
        <f t="shared" ca="1" si="197"/>
        <v>9748589640278.4766</v>
      </c>
      <c r="M4862" s="460">
        <f t="shared" si="199"/>
        <v>0.05</v>
      </c>
      <c r="N4862" s="464">
        <f t="shared" si="200"/>
        <v>199029</v>
      </c>
    </row>
    <row r="4863" spans="7:14" ht="11.25" customHeight="1" x14ac:dyDescent="0.3">
      <c r="G4863" s="459"/>
      <c r="H4863" s="459">
        <v>4856</v>
      </c>
      <c r="I4863" s="444">
        <f t="shared" ca="1" si="198"/>
        <v>9748589640278.4766</v>
      </c>
      <c r="J4863" s="444">
        <f t="array" ref="J4863">IFERROR(INDEX('Retirement Calculator'!J:J,MATCH('Isaac 401k'!N4863,'Retirement Calculator'!A:A,0),0),0)</f>
        <v>0</v>
      </c>
      <c r="K4863" s="444">
        <f t="shared" ca="1" si="196"/>
        <v>40619123501.160316</v>
      </c>
      <c r="L4863" s="444">
        <f t="shared" ca="1" si="197"/>
        <v>9789208763779.6367</v>
      </c>
      <c r="M4863" s="460">
        <f t="shared" si="199"/>
        <v>0.05</v>
      </c>
      <c r="N4863" s="464">
        <f t="shared" si="200"/>
        <v>199060</v>
      </c>
    </row>
    <row r="4864" spans="7:14" ht="11.25" customHeight="1" x14ac:dyDescent="0.3">
      <c r="G4864" s="459"/>
      <c r="H4864" s="459">
        <v>4857</v>
      </c>
      <c r="I4864" s="444">
        <f t="shared" ca="1" si="198"/>
        <v>9789208763779.6367</v>
      </c>
      <c r="J4864" s="444">
        <f t="array" ref="J4864">IFERROR(INDEX('Retirement Calculator'!J:J,MATCH('Isaac 401k'!N4864,'Retirement Calculator'!A:A,0),0),0)</f>
        <v>0</v>
      </c>
      <c r="K4864" s="444">
        <f t="shared" ca="1" si="196"/>
        <v>40788369849.081818</v>
      </c>
      <c r="L4864" s="444">
        <f t="shared" ca="1" si="197"/>
        <v>9829997133628.7188</v>
      </c>
      <c r="M4864" s="460">
        <f t="shared" si="199"/>
        <v>0.05</v>
      </c>
      <c r="N4864" s="464">
        <f t="shared" si="200"/>
        <v>199091</v>
      </c>
    </row>
    <row r="4865" spans="7:14" ht="11.25" customHeight="1" x14ac:dyDescent="0.3">
      <c r="G4865" s="459"/>
      <c r="H4865" s="459">
        <v>4858</v>
      </c>
      <c r="I4865" s="444">
        <f t="shared" ca="1" si="198"/>
        <v>9829997133628.7188</v>
      </c>
      <c r="J4865" s="444">
        <f t="array" ref="J4865">IFERROR(INDEX('Retirement Calculator'!J:J,MATCH('Isaac 401k'!N4865,'Retirement Calculator'!A:A,0),0),0)</f>
        <v>0</v>
      </c>
      <c r="K4865" s="444">
        <f t="shared" ca="1" si="196"/>
        <v>40958321390.119659</v>
      </c>
      <c r="L4865" s="444">
        <f t="shared" ca="1" si="197"/>
        <v>9870955455018.8379</v>
      </c>
      <c r="M4865" s="460">
        <f t="shared" si="199"/>
        <v>0.05</v>
      </c>
      <c r="N4865" s="464">
        <f t="shared" si="200"/>
        <v>199119</v>
      </c>
    </row>
    <row r="4866" spans="7:14" ht="11.25" customHeight="1" x14ac:dyDescent="0.3">
      <c r="G4866" s="459"/>
      <c r="H4866" s="459">
        <v>4859</v>
      </c>
      <c r="I4866" s="444">
        <f t="shared" ca="1" si="198"/>
        <v>9870955455018.8379</v>
      </c>
      <c r="J4866" s="444">
        <f t="array" ref="J4866">IFERROR(INDEX('Retirement Calculator'!J:J,MATCH('Isaac 401k'!N4866,'Retirement Calculator'!A:A,0),0),0)</f>
        <v>0</v>
      </c>
      <c r="K4866" s="444">
        <f t="shared" ca="1" si="196"/>
        <v>41128981062.578491</v>
      </c>
      <c r="L4866" s="444">
        <f t="shared" ca="1" si="197"/>
        <v>9912084436081.416</v>
      </c>
      <c r="M4866" s="460">
        <f t="shared" si="199"/>
        <v>0.05</v>
      </c>
      <c r="N4866" s="464">
        <f t="shared" si="200"/>
        <v>199150</v>
      </c>
    </row>
    <row r="4867" spans="7:14" ht="11.25" customHeight="1" x14ac:dyDescent="0.3">
      <c r="G4867" s="459"/>
      <c r="H4867" s="459">
        <v>4860</v>
      </c>
      <c r="I4867" s="444">
        <f t="shared" ca="1" si="198"/>
        <v>9912084436081.416</v>
      </c>
      <c r="J4867" s="444">
        <f t="array" ref="J4867">IFERROR(INDEX('Retirement Calculator'!J:J,MATCH('Isaac 401k'!N4867,'Retirement Calculator'!A:A,0),0),0)</f>
        <v>0</v>
      </c>
      <c r="K4867" s="444">
        <f t="shared" ca="1" si="196"/>
        <v>41300351817.005898</v>
      </c>
      <c r="L4867" s="444">
        <f t="shared" ca="1" si="197"/>
        <v>9953384787898.4219</v>
      </c>
      <c r="M4867" s="460">
        <f t="shared" si="199"/>
        <v>0.05</v>
      </c>
      <c r="N4867" s="464">
        <f t="shared" si="200"/>
        <v>199180</v>
      </c>
    </row>
    <row r="4868" spans="7:14" ht="11.25" customHeight="1" x14ac:dyDescent="0.3">
      <c r="G4868" s="459"/>
      <c r="H4868" s="459">
        <v>4861</v>
      </c>
      <c r="I4868" s="444">
        <f t="shared" ca="1" si="198"/>
        <v>9953384787898.4219</v>
      </c>
      <c r="J4868" s="444">
        <f t="array" ref="J4868">IFERROR(INDEX('Retirement Calculator'!J:J,MATCH('Isaac 401k'!N4868,'Retirement Calculator'!A:A,0),0),0)</f>
        <v>0</v>
      </c>
      <c r="K4868" s="444">
        <f t="shared" ca="1" si="196"/>
        <v>41472436616.243423</v>
      </c>
      <c r="L4868" s="444">
        <f t="shared" ca="1" si="197"/>
        <v>9994857224514.666</v>
      </c>
      <c r="M4868" s="460">
        <f t="shared" si="199"/>
        <v>0.05</v>
      </c>
      <c r="N4868" s="464">
        <f t="shared" si="200"/>
        <v>199211</v>
      </c>
    </row>
    <row r="4869" spans="7:14" ht="11.25" customHeight="1" x14ac:dyDescent="0.3">
      <c r="G4869" s="459"/>
      <c r="H4869" s="459">
        <v>4862</v>
      </c>
      <c r="I4869" s="444">
        <f t="shared" ca="1" si="198"/>
        <v>9994857224514.666</v>
      </c>
      <c r="J4869" s="444">
        <f t="array" ref="J4869">IFERROR(INDEX('Retirement Calculator'!J:J,MATCH('Isaac 401k'!N4869,'Retirement Calculator'!A:A,0),0),0)</f>
        <v>0</v>
      </c>
      <c r="K4869" s="444">
        <f t="shared" ca="1" si="196"/>
        <v>41645238435.477776</v>
      </c>
      <c r="L4869" s="444">
        <f t="shared" ca="1" si="197"/>
        <v>10036502462950.145</v>
      </c>
      <c r="M4869" s="460">
        <f t="shared" si="199"/>
        <v>0.05</v>
      </c>
      <c r="N4869" s="464">
        <f t="shared" si="200"/>
        <v>199241</v>
      </c>
    </row>
    <row r="4870" spans="7:14" ht="11.25" customHeight="1" x14ac:dyDescent="0.3">
      <c r="G4870" s="459"/>
      <c r="H4870" s="459">
        <v>4863</v>
      </c>
      <c r="I4870" s="444">
        <f t="shared" ca="1" si="198"/>
        <v>10036502462950.145</v>
      </c>
      <c r="J4870" s="444">
        <f t="array" ref="J4870">IFERROR(INDEX('Retirement Calculator'!J:J,MATCH('Isaac 401k'!N4870,'Retirement Calculator'!A:A,0),0),0)</f>
        <v>0</v>
      </c>
      <c r="K4870" s="444">
        <f t="shared" ca="1" si="196"/>
        <v>41818760262.292267</v>
      </c>
      <c r="L4870" s="444">
        <f t="shared" ca="1" si="197"/>
        <v>10078321223212.438</v>
      </c>
      <c r="M4870" s="460">
        <f t="shared" si="199"/>
        <v>0.05</v>
      </c>
      <c r="N4870" s="464">
        <f t="shared" si="200"/>
        <v>199272</v>
      </c>
    </row>
    <row r="4871" spans="7:14" ht="11.25" customHeight="1" x14ac:dyDescent="0.3">
      <c r="G4871" s="459"/>
      <c r="H4871" s="459">
        <v>4864</v>
      </c>
      <c r="I4871" s="444">
        <f t="shared" ca="1" si="198"/>
        <v>10078321223212.438</v>
      </c>
      <c r="J4871" s="444">
        <f t="array" ref="J4871">IFERROR(INDEX('Retirement Calculator'!J:J,MATCH('Isaac 401k'!N4871,'Retirement Calculator'!A:A,0),0),0)</f>
        <v>0</v>
      </c>
      <c r="K4871" s="444">
        <f t="shared" ca="1" si="196"/>
        <v>41993005096.718491</v>
      </c>
      <c r="L4871" s="444">
        <f t="shared" ca="1" si="197"/>
        <v>10120314228309.156</v>
      </c>
      <c r="M4871" s="460">
        <f t="shared" si="199"/>
        <v>0.05</v>
      </c>
      <c r="N4871" s="464">
        <f t="shared" si="200"/>
        <v>199303</v>
      </c>
    </row>
    <row r="4872" spans="7:14" ht="11.25" customHeight="1" x14ac:dyDescent="0.3">
      <c r="G4872" s="459"/>
      <c r="H4872" s="459">
        <v>4865</v>
      </c>
      <c r="I4872" s="444">
        <f t="shared" ca="1" si="198"/>
        <v>10120314228309.156</v>
      </c>
      <c r="J4872" s="444">
        <f t="array" ref="J4872">IFERROR(INDEX('Retirement Calculator'!J:J,MATCH('Isaac 401k'!N4872,'Retirement Calculator'!A:A,0),0),0)</f>
        <v>0</v>
      </c>
      <c r="K4872" s="444">
        <f t="shared" ca="1" si="196"/>
        <v>42167975951.288147</v>
      </c>
      <c r="L4872" s="444">
        <f t="shared" ca="1" si="197"/>
        <v>10162482204260.445</v>
      </c>
      <c r="M4872" s="460">
        <f t="shared" si="199"/>
        <v>0.05</v>
      </c>
      <c r="N4872" s="464">
        <f t="shared" si="200"/>
        <v>199333</v>
      </c>
    </row>
    <row r="4873" spans="7:14" ht="11.25" customHeight="1" x14ac:dyDescent="0.3">
      <c r="G4873" s="459"/>
      <c r="H4873" s="459">
        <v>4866</v>
      </c>
      <c r="I4873" s="444">
        <f t="shared" ca="1" si="198"/>
        <v>10162482204260.445</v>
      </c>
      <c r="J4873" s="444">
        <f t="array" ref="J4873">IFERROR(INDEX('Retirement Calculator'!J:J,MATCH('Isaac 401k'!N4873,'Retirement Calculator'!A:A,0),0),0)</f>
        <v>0</v>
      </c>
      <c r="K4873" s="444">
        <f t="shared" ca="1" si="196"/>
        <v>42343675851.08519</v>
      </c>
      <c r="L4873" s="444">
        <f t="shared" ca="1" si="197"/>
        <v>10204825880111.531</v>
      </c>
      <c r="M4873" s="460">
        <f t="shared" si="199"/>
        <v>0.05</v>
      </c>
      <c r="N4873" s="464">
        <f t="shared" si="200"/>
        <v>199364</v>
      </c>
    </row>
    <row r="4874" spans="7:14" ht="11.25" customHeight="1" x14ac:dyDescent="0.3">
      <c r="G4874" s="459"/>
      <c r="H4874" s="459">
        <v>4867</v>
      </c>
      <c r="I4874" s="444">
        <f t="shared" ca="1" si="198"/>
        <v>10204825880111.531</v>
      </c>
      <c r="J4874" s="444">
        <f t="array" ref="J4874">IFERROR(INDEX('Retirement Calculator'!J:J,MATCH('Isaac 401k'!N4874,'Retirement Calculator'!A:A,0),0),0)</f>
        <v>0</v>
      </c>
      <c r="K4874" s="444">
        <f t="shared" ca="1" si="196"/>
        <v>42520107833.79805</v>
      </c>
      <c r="L4874" s="444">
        <f t="shared" ca="1" si="197"/>
        <v>10247345987945.33</v>
      </c>
      <c r="M4874" s="460">
        <f t="shared" si="199"/>
        <v>0.05</v>
      </c>
      <c r="N4874" s="464">
        <f t="shared" si="200"/>
        <v>199394</v>
      </c>
    </row>
    <row r="4875" spans="7:14" ht="11.25" customHeight="1" x14ac:dyDescent="0.3">
      <c r="G4875" s="459"/>
      <c r="H4875" s="459">
        <v>4868</v>
      </c>
      <c r="I4875" s="444">
        <f t="shared" ca="1" si="198"/>
        <v>10247345987945.33</v>
      </c>
      <c r="J4875" s="444">
        <f t="array" ref="J4875">IFERROR(INDEX('Retirement Calculator'!J:J,MATCH('Isaac 401k'!N4875,'Retirement Calculator'!A:A,0),0),0)</f>
        <v>0</v>
      </c>
      <c r="K4875" s="444">
        <f t="shared" ca="1" si="196"/>
        <v>42697274949.772209</v>
      </c>
      <c r="L4875" s="444">
        <f t="shared" ca="1" si="197"/>
        <v>10290043262895.102</v>
      </c>
      <c r="M4875" s="460">
        <f t="shared" si="199"/>
        <v>0.05</v>
      </c>
      <c r="N4875" s="464">
        <f t="shared" si="200"/>
        <v>199425</v>
      </c>
    </row>
    <row r="4876" spans="7:14" ht="11.25" customHeight="1" x14ac:dyDescent="0.3">
      <c r="G4876" s="459"/>
      <c r="H4876" s="459">
        <v>4869</v>
      </c>
      <c r="I4876" s="444">
        <f t="shared" ca="1" si="198"/>
        <v>10290043262895.102</v>
      </c>
      <c r="J4876" s="444">
        <f t="array" ref="J4876">IFERROR(INDEX('Retirement Calculator'!J:J,MATCH('Isaac 401k'!N4876,'Retirement Calculator'!A:A,0),0),0)</f>
        <v>0</v>
      </c>
      <c r="K4876" s="444">
        <f t="shared" ca="1" si="196"/>
        <v>42875180262.06292</v>
      </c>
      <c r="L4876" s="444">
        <f t="shared" ca="1" si="197"/>
        <v>10332918443157.164</v>
      </c>
      <c r="M4876" s="460">
        <f t="shared" si="199"/>
        <v>0.05</v>
      </c>
      <c r="N4876" s="464">
        <f t="shared" si="200"/>
        <v>199456</v>
      </c>
    </row>
    <row r="4877" spans="7:14" ht="11.25" customHeight="1" x14ac:dyDescent="0.3">
      <c r="G4877" s="459"/>
      <c r="H4877" s="459">
        <v>4870</v>
      </c>
      <c r="I4877" s="444">
        <f t="shared" ca="1" si="198"/>
        <v>10332918443157.164</v>
      </c>
      <c r="J4877" s="444">
        <f t="array" ref="J4877">IFERROR(INDEX('Retirement Calculator'!J:J,MATCH('Isaac 401k'!N4877,'Retirement Calculator'!A:A,0),0),0)</f>
        <v>0</v>
      </c>
      <c r="K4877" s="444">
        <f t="shared" ca="1" si="196"/>
        <v>43053826846.488182</v>
      </c>
      <c r="L4877" s="444">
        <f t="shared" ca="1" si="197"/>
        <v>10375972270003.652</v>
      </c>
      <c r="M4877" s="460">
        <f t="shared" si="199"/>
        <v>0.05</v>
      </c>
      <c r="N4877" s="464">
        <f t="shared" si="200"/>
        <v>199484</v>
      </c>
    </row>
    <row r="4878" spans="7:14" ht="11.25" customHeight="1" x14ac:dyDescent="0.3">
      <c r="G4878" s="459"/>
      <c r="H4878" s="459">
        <v>4871</v>
      </c>
      <c r="I4878" s="444">
        <f t="shared" ca="1" si="198"/>
        <v>10375972270003.652</v>
      </c>
      <c r="J4878" s="444">
        <f t="array" ref="J4878">IFERROR(INDEX('Retirement Calculator'!J:J,MATCH('Isaac 401k'!N4878,'Retirement Calculator'!A:A,0),0),0)</f>
        <v>0</v>
      </c>
      <c r="K4878" s="444">
        <f t="shared" ca="1" si="196"/>
        <v>43233217791.681885</v>
      </c>
      <c r="L4878" s="444">
        <f t="shared" ca="1" si="197"/>
        <v>10419205487795.334</v>
      </c>
      <c r="M4878" s="460">
        <f t="shared" si="199"/>
        <v>0.05</v>
      </c>
      <c r="N4878" s="464">
        <f t="shared" si="200"/>
        <v>199515</v>
      </c>
    </row>
    <row r="4879" spans="7:14" ht="11.25" customHeight="1" x14ac:dyDescent="0.3">
      <c r="G4879" s="459"/>
      <c r="H4879" s="459">
        <v>4872</v>
      </c>
      <c r="I4879" s="444">
        <f t="shared" ca="1" si="198"/>
        <v>10419205487795.334</v>
      </c>
      <c r="J4879" s="444">
        <f t="array" ref="J4879">IFERROR(INDEX('Retirement Calculator'!J:J,MATCH('Isaac 401k'!N4879,'Retirement Calculator'!A:A,0),0),0)</f>
        <v>0</v>
      </c>
      <c r="K4879" s="444">
        <f t="shared" ca="1" si="196"/>
        <v>43413356199.147224</v>
      </c>
      <c r="L4879" s="444">
        <f t="shared" ca="1" si="197"/>
        <v>10462618843994.48</v>
      </c>
      <c r="M4879" s="460">
        <f t="shared" si="199"/>
        <v>0.05</v>
      </c>
      <c r="N4879" s="464">
        <f t="shared" si="200"/>
        <v>199545</v>
      </c>
    </row>
    <row r="4880" spans="7:14" ht="11.25" customHeight="1" x14ac:dyDescent="0.3">
      <c r="G4880" s="459"/>
      <c r="H4880" s="459">
        <v>4873</v>
      </c>
      <c r="I4880" s="444">
        <f t="shared" ca="1" si="198"/>
        <v>10462618843994.48</v>
      </c>
      <c r="J4880" s="444">
        <f t="array" ref="J4880">IFERROR(INDEX('Retirement Calculator'!J:J,MATCH('Isaac 401k'!N4880,'Retirement Calculator'!A:A,0),0),0)</f>
        <v>0</v>
      </c>
      <c r="K4880" s="444">
        <f t="shared" ca="1" si="196"/>
        <v>43594245183.310333</v>
      </c>
      <c r="L4880" s="444">
        <f t="shared" ca="1" si="197"/>
        <v>10506213089177.791</v>
      </c>
      <c r="M4880" s="460">
        <f t="shared" si="199"/>
        <v>0.05</v>
      </c>
      <c r="N4880" s="464">
        <f t="shared" si="200"/>
        <v>199576</v>
      </c>
    </row>
    <row r="4881" spans="7:14" ht="11.25" customHeight="1" x14ac:dyDescent="0.3">
      <c r="G4881" s="459"/>
      <c r="H4881" s="459">
        <v>4874</v>
      </c>
      <c r="I4881" s="444">
        <f t="shared" ca="1" si="198"/>
        <v>10506213089177.791</v>
      </c>
      <c r="J4881" s="444">
        <f t="array" ref="J4881">IFERROR(INDEX('Retirement Calculator'!J:J,MATCH('Isaac 401k'!N4881,'Retirement Calculator'!A:A,0),0),0)</f>
        <v>0</v>
      </c>
      <c r="K4881" s="444">
        <f t="shared" ca="1" si="196"/>
        <v>43775887871.574127</v>
      </c>
      <c r="L4881" s="444">
        <f t="shared" ca="1" si="197"/>
        <v>10549988977049.365</v>
      </c>
      <c r="M4881" s="460">
        <f t="shared" si="199"/>
        <v>0.05</v>
      </c>
      <c r="N4881" s="464">
        <f t="shared" si="200"/>
        <v>199606</v>
      </c>
    </row>
    <row r="4882" spans="7:14" ht="11.25" customHeight="1" x14ac:dyDescent="0.3">
      <c r="G4882" s="459"/>
      <c r="H4882" s="459">
        <v>4875</v>
      </c>
      <c r="I4882" s="444">
        <f t="shared" ca="1" si="198"/>
        <v>10549988977049.365</v>
      </c>
      <c r="J4882" s="444">
        <f t="array" ref="J4882">IFERROR(INDEX('Retirement Calculator'!J:J,MATCH('Isaac 401k'!N4882,'Retirement Calculator'!A:A,0),0),0)</f>
        <v>0</v>
      </c>
      <c r="K4882" s="444">
        <f t="shared" ca="1" si="196"/>
        <v>43958287404.372353</v>
      </c>
      <c r="L4882" s="444">
        <f t="shared" ca="1" si="197"/>
        <v>10593947264453.738</v>
      </c>
      <c r="M4882" s="460">
        <f t="shared" si="199"/>
        <v>0.05</v>
      </c>
      <c r="N4882" s="464">
        <f t="shared" si="200"/>
        <v>199637</v>
      </c>
    </row>
    <row r="4883" spans="7:14" ht="11.25" customHeight="1" x14ac:dyDescent="0.3">
      <c r="G4883" s="459"/>
      <c r="H4883" s="459">
        <v>4876</v>
      </c>
      <c r="I4883" s="444">
        <f t="shared" ca="1" si="198"/>
        <v>10593947264453.738</v>
      </c>
      <c r="J4883" s="444">
        <f t="array" ref="J4883">IFERROR(INDEX('Retirement Calculator'!J:J,MATCH('Isaac 401k'!N4883,'Retirement Calculator'!A:A,0),0),0)</f>
        <v>0</v>
      </c>
      <c r="K4883" s="444">
        <f t="shared" ca="1" si="196"/>
        <v>44141446935.223907</v>
      </c>
      <c r="L4883" s="444">
        <f t="shared" ca="1" si="197"/>
        <v>10638088711388.963</v>
      </c>
      <c r="M4883" s="460">
        <f t="shared" si="199"/>
        <v>0.05</v>
      </c>
      <c r="N4883" s="464">
        <f t="shared" si="200"/>
        <v>199668</v>
      </c>
    </row>
    <row r="4884" spans="7:14" ht="11.25" customHeight="1" x14ac:dyDescent="0.3">
      <c r="G4884" s="459"/>
      <c r="H4884" s="459">
        <v>4877</v>
      </c>
      <c r="I4884" s="444">
        <f t="shared" ca="1" si="198"/>
        <v>10638088711388.963</v>
      </c>
      <c r="J4884" s="444">
        <f t="array" ref="J4884">IFERROR(INDEX('Retirement Calculator'!J:J,MATCH('Isaac 401k'!N4884,'Retirement Calculator'!A:A,0),0),0)</f>
        <v>0</v>
      </c>
      <c r="K4884" s="444">
        <f t="shared" ca="1" si="196"/>
        <v>44325369630.787346</v>
      </c>
      <c r="L4884" s="444">
        <f t="shared" ca="1" si="197"/>
        <v>10682414081019.75</v>
      </c>
      <c r="M4884" s="460">
        <f t="shared" si="199"/>
        <v>0.05</v>
      </c>
      <c r="N4884" s="464">
        <f t="shared" si="200"/>
        <v>199698</v>
      </c>
    </row>
    <row r="4885" spans="7:14" ht="11.25" customHeight="1" x14ac:dyDescent="0.3">
      <c r="G4885" s="459"/>
      <c r="H4885" s="459">
        <v>4878</v>
      </c>
      <c r="I4885" s="444">
        <f t="shared" ca="1" si="198"/>
        <v>10682414081019.75</v>
      </c>
      <c r="J4885" s="444">
        <f t="array" ref="J4885">IFERROR(INDEX('Retirement Calculator'!J:J,MATCH('Isaac 401k'!N4885,'Retirement Calculator'!A:A,0),0),0)</f>
        <v>0</v>
      </c>
      <c r="K4885" s="444">
        <f t="shared" ca="1" si="196"/>
        <v>44510058670.915627</v>
      </c>
      <c r="L4885" s="444">
        <f t="shared" ca="1" si="197"/>
        <v>10726924139690.666</v>
      </c>
      <c r="M4885" s="460">
        <f t="shared" si="199"/>
        <v>0.05</v>
      </c>
      <c r="N4885" s="464">
        <f t="shared" si="200"/>
        <v>199729</v>
      </c>
    </row>
    <row r="4886" spans="7:14" ht="11.25" customHeight="1" x14ac:dyDescent="0.3">
      <c r="G4886" s="459"/>
      <c r="H4886" s="459">
        <v>4879</v>
      </c>
      <c r="I4886" s="444">
        <f t="shared" ca="1" si="198"/>
        <v>10726924139690.666</v>
      </c>
      <c r="J4886" s="444">
        <f t="array" ref="J4886">IFERROR(INDEX('Retirement Calculator'!J:J,MATCH('Isaac 401k'!N4886,'Retirement Calculator'!A:A,0),0),0)</f>
        <v>0</v>
      </c>
      <c r="K4886" s="444">
        <f t="shared" ca="1" si="196"/>
        <v>44695517248.711105</v>
      </c>
      <c r="L4886" s="444">
        <f t="shared" ca="1" si="197"/>
        <v>10771619656939.377</v>
      </c>
      <c r="M4886" s="460">
        <f t="shared" si="199"/>
        <v>0.05</v>
      </c>
      <c r="N4886" s="464">
        <f t="shared" si="200"/>
        <v>199759</v>
      </c>
    </row>
    <row r="4887" spans="7:14" ht="11.25" customHeight="1" x14ac:dyDescent="0.3">
      <c r="G4887" s="459"/>
      <c r="H4887" s="459">
        <v>4880</v>
      </c>
      <c r="I4887" s="444">
        <f t="shared" ca="1" si="198"/>
        <v>10771619656939.377</v>
      </c>
      <c r="J4887" s="444">
        <f t="array" ref="J4887">IFERROR(INDEX('Retirement Calculator'!J:J,MATCH('Isaac 401k'!N4887,'Retirement Calculator'!A:A,0),0),0)</f>
        <v>0</v>
      </c>
      <c r="K4887" s="444">
        <f t="shared" ca="1" si="196"/>
        <v>44881748570.580734</v>
      </c>
      <c r="L4887" s="444">
        <f t="shared" ca="1" si="197"/>
        <v>10816501405509.957</v>
      </c>
      <c r="M4887" s="460">
        <f t="shared" si="199"/>
        <v>0.05</v>
      </c>
      <c r="N4887" s="464">
        <f t="shared" si="200"/>
        <v>199790</v>
      </c>
    </row>
    <row r="4888" spans="7:14" ht="11.25" customHeight="1" x14ac:dyDescent="0.3">
      <c r="G4888" s="459"/>
      <c r="H4888" s="459">
        <v>4881</v>
      </c>
      <c r="I4888" s="444">
        <f t="shared" ca="1" si="198"/>
        <v>10816501405509.957</v>
      </c>
      <c r="J4888" s="444">
        <f t="array" ref="J4888">IFERROR(INDEX('Retirement Calculator'!J:J,MATCH('Isaac 401k'!N4888,'Retirement Calculator'!A:A,0),0),0)</f>
        <v>0</v>
      </c>
      <c r="K4888" s="444">
        <f t="shared" ca="1" si="196"/>
        <v>45068755856.291489</v>
      </c>
      <c r="L4888" s="444">
        <f t="shared" ca="1" si="197"/>
        <v>10861570161366.248</v>
      </c>
      <c r="M4888" s="460">
        <f t="shared" si="199"/>
        <v>0.05</v>
      </c>
      <c r="N4888" s="464">
        <f t="shared" si="200"/>
        <v>199821</v>
      </c>
    </row>
    <row r="4889" spans="7:14" ht="11.25" customHeight="1" x14ac:dyDescent="0.3">
      <c r="G4889" s="459"/>
      <c r="H4889" s="459">
        <v>4882</v>
      </c>
      <c r="I4889" s="444">
        <f t="shared" ca="1" si="198"/>
        <v>10861570161366.248</v>
      </c>
      <c r="J4889" s="444">
        <f t="array" ref="J4889">IFERROR(INDEX('Retirement Calculator'!J:J,MATCH('Isaac 401k'!N4889,'Retirement Calculator'!A:A,0),0),0)</f>
        <v>0</v>
      </c>
      <c r="K4889" s="444">
        <f t="shared" ca="1" si="196"/>
        <v>45256542339.026031</v>
      </c>
      <c r="L4889" s="444">
        <f t="shared" ca="1" si="197"/>
        <v>10906826703705.273</v>
      </c>
      <c r="M4889" s="460">
        <f t="shared" si="199"/>
        <v>0.05</v>
      </c>
      <c r="N4889" s="464">
        <f t="shared" si="200"/>
        <v>199849</v>
      </c>
    </row>
    <row r="4890" spans="7:14" ht="11.25" customHeight="1" x14ac:dyDescent="0.3">
      <c r="G4890" s="459"/>
      <c r="H4890" s="459">
        <v>4883</v>
      </c>
      <c r="I4890" s="444">
        <f t="shared" ca="1" si="198"/>
        <v>10906826703705.273</v>
      </c>
      <c r="J4890" s="444">
        <f t="array" ref="J4890">IFERROR(INDEX('Retirement Calculator'!J:J,MATCH('Isaac 401k'!N4890,'Retirement Calculator'!A:A,0),0),0)</f>
        <v>0</v>
      </c>
      <c r="K4890" s="444">
        <f t="shared" ca="1" si="196"/>
        <v>45445111265.438637</v>
      </c>
      <c r="L4890" s="444">
        <f t="shared" ca="1" si="197"/>
        <v>10952271814970.713</v>
      </c>
      <c r="M4890" s="460">
        <f t="shared" si="199"/>
        <v>0.05</v>
      </c>
      <c r="N4890" s="464">
        <f t="shared" si="200"/>
        <v>199880</v>
      </c>
    </row>
    <row r="4891" spans="7:14" ht="11.25" customHeight="1" x14ac:dyDescent="0.3">
      <c r="G4891" s="459"/>
      <c r="H4891" s="459">
        <v>4884</v>
      </c>
      <c r="I4891" s="444">
        <f t="shared" ca="1" si="198"/>
        <v>10952271814970.713</v>
      </c>
      <c r="J4891" s="444">
        <f t="array" ref="J4891">IFERROR(INDEX('Retirement Calculator'!J:J,MATCH('Isaac 401k'!N4891,'Retirement Calculator'!A:A,0),0),0)</f>
        <v>0</v>
      </c>
      <c r="K4891" s="444">
        <f t="shared" ca="1" si="196"/>
        <v>45634465895.711304</v>
      </c>
      <c r="L4891" s="444">
        <f t="shared" ca="1" si="197"/>
        <v>10997906280866.424</v>
      </c>
      <c r="M4891" s="460">
        <f t="shared" si="199"/>
        <v>0.05</v>
      </c>
      <c r="N4891" s="464">
        <f t="shared" si="200"/>
        <v>199910</v>
      </c>
    </row>
    <row r="4892" spans="7:14" ht="11.25" customHeight="1" x14ac:dyDescent="0.3">
      <c r="G4892" s="459"/>
      <c r="H4892" s="459">
        <v>4885</v>
      </c>
      <c r="I4892" s="444">
        <f t="shared" ca="1" si="198"/>
        <v>10997906280866.424</v>
      </c>
      <c r="J4892" s="444">
        <f t="array" ref="J4892">IFERROR(INDEX('Retirement Calculator'!J:J,MATCH('Isaac 401k'!N4892,'Retirement Calculator'!A:A,0),0),0)</f>
        <v>0</v>
      </c>
      <c r="K4892" s="444">
        <f t="shared" ca="1" si="196"/>
        <v>45824609503.6101</v>
      </c>
      <c r="L4892" s="444">
        <f t="shared" ca="1" si="197"/>
        <v>11043730890370.033</v>
      </c>
      <c r="M4892" s="460">
        <f t="shared" si="199"/>
        <v>0.05</v>
      </c>
      <c r="N4892" s="464">
        <f t="shared" si="200"/>
        <v>199941</v>
      </c>
    </row>
    <row r="4893" spans="7:14" ht="11.25" customHeight="1" x14ac:dyDescent="0.3">
      <c r="G4893" s="459"/>
      <c r="H4893" s="459">
        <v>4886</v>
      </c>
      <c r="I4893" s="444">
        <f t="shared" ca="1" si="198"/>
        <v>11043730890370.033</v>
      </c>
      <c r="J4893" s="444">
        <f t="array" ref="J4893">IFERROR(INDEX('Retirement Calculator'!J:J,MATCH('Isaac 401k'!N4893,'Retirement Calculator'!A:A,0),0),0)</f>
        <v>0</v>
      </c>
      <c r="K4893" s="444">
        <f t="shared" ca="1" si="196"/>
        <v>46015545376.541801</v>
      </c>
      <c r="L4893" s="444">
        <f t="shared" ca="1" si="197"/>
        <v>11089746435746.574</v>
      </c>
      <c r="M4893" s="460">
        <f t="shared" si="199"/>
        <v>0.05</v>
      </c>
      <c r="N4893" s="464">
        <f t="shared" si="200"/>
        <v>199971</v>
      </c>
    </row>
    <row r="4894" spans="7:14" ht="11.25" customHeight="1" x14ac:dyDescent="0.3">
      <c r="G4894" s="459"/>
      <c r="H4894" s="459">
        <v>4887</v>
      </c>
      <c r="I4894" s="444">
        <f t="shared" ca="1" si="198"/>
        <v>11089746435746.574</v>
      </c>
      <c r="J4894" s="444">
        <f t="array" ref="J4894">IFERROR(INDEX('Retirement Calculator'!J:J,MATCH('Isaac 401k'!N4894,'Retirement Calculator'!A:A,0),0),0)</f>
        <v>0</v>
      </c>
      <c r="K4894" s="444">
        <f t="shared" ca="1" si="196"/>
        <v>46207276815.610725</v>
      </c>
      <c r="L4894" s="444">
        <f t="shared" ca="1" si="197"/>
        <v>11135953712562.186</v>
      </c>
      <c r="M4894" s="460">
        <f t="shared" si="199"/>
        <v>0.05</v>
      </c>
      <c r="N4894" s="464">
        <f t="shared" si="200"/>
        <v>200002</v>
      </c>
    </row>
    <row r="4895" spans="7:14" ht="11.25" customHeight="1" x14ac:dyDescent="0.3">
      <c r="G4895" s="459"/>
      <c r="H4895" s="459">
        <v>4888</v>
      </c>
      <c r="I4895" s="444">
        <f t="shared" ca="1" si="198"/>
        <v>11135953712562.186</v>
      </c>
      <c r="J4895" s="444">
        <f t="array" ref="J4895">IFERROR(INDEX('Retirement Calculator'!J:J,MATCH('Isaac 401k'!N4895,'Retirement Calculator'!A:A,0),0),0)</f>
        <v>0</v>
      </c>
      <c r="K4895" s="444">
        <f t="shared" ca="1" si="196"/>
        <v>46399807135.675774</v>
      </c>
      <c r="L4895" s="444">
        <f t="shared" ca="1" si="197"/>
        <v>11182353519697.861</v>
      </c>
      <c r="M4895" s="460">
        <f t="shared" si="199"/>
        <v>0.05</v>
      </c>
      <c r="N4895" s="464">
        <f t="shared" si="200"/>
        <v>200033</v>
      </c>
    </row>
    <row r="4896" spans="7:14" ht="11.25" customHeight="1" x14ac:dyDescent="0.3">
      <c r="G4896" s="459"/>
      <c r="H4896" s="459">
        <v>4889</v>
      </c>
      <c r="I4896" s="444">
        <f t="shared" ca="1" si="198"/>
        <v>11182353519697.861</v>
      </c>
      <c r="J4896" s="444">
        <f t="array" ref="J4896">IFERROR(INDEX('Retirement Calculator'!J:J,MATCH('Isaac 401k'!N4896,'Retirement Calculator'!A:A,0),0),0)</f>
        <v>0</v>
      </c>
      <c r="K4896" s="444">
        <f t="shared" ca="1" si="196"/>
        <v>46593139665.407753</v>
      </c>
      <c r="L4896" s="444">
        <f t="shared" ca="1" si="197"/>
        <v>11228946659363.27</v>
      </c>
      <c r="M4896" s="460">
        <f t="shared" si="199"/>
        <v>0.05</v>
      </c>
      <c r="N4896" s="464">
        <f t="shared" si="200"/>
        <v>200063</v>
      </c>
    </row>
    <row r="4897" spans="7:14" ht="11.25" customHeight="1" x14ac:dyDescent="0.3">
      <c r="G4897" s="459"/>
      <c r="H4897" s="459">
        <v>4890</v>
      </c>
      <c r="I4897" s="444">
        <f t="shared" ca="1" si="198"/>
        <v>11228946659363.27</v>
      </c>
      <c r="J4897" s="444">
        <f t="array" ref="J4897">IFERROR(INDEX('Retirement Calculator'!J:J,MATCH('Isaac 401k'!N4897,'Retirement Calculator'!A:A,0),0),0)</f>
        <v>0</v>
      </c>
      <c r="K4897" s="444">
        <f t="shared" ca="1" si="196"/>
        <v>46787277747.346954</v>
      </c>
      <c r="L4897" s="444">
        <f t="shared" ca="1" si="197"/>
        <v>11275733937110.617</v>
      </c>
      <c r="M4897" s="460">
        <f t="shared" si="199"/>
        <v>0.05</v>
      </c>
      <c r="N4897" s="464">
        <f t="shared" si="200"/>
        <v>200094</v>
      </c>
    </row>
    <row r="4898" spans="7:14" ht="11.25" customHeight="1" x14ac:dyDescent="0.3">
      <c r="G4898" s="459"/>
      <c r="H4898" s="459">
        <v>4891</v>
      </c>
      <c r="I4898" s="444">
        <f t="shared" ca="1" si="198"/>
        <v>11275733937110.617</v>
      </c>
      <c r="J4898" s="444">
        <f t="array" ref="J4898">IFERROR(INDEX('Retirement Calculator'!J:J,MATCH('Isaac 401k'!N4898,'Retirement Calculator'!A:A,0),0),0)</f>
        <v>0</v>
      </c>
      <c r="K4898" s="444">
        <f t="shared" ca="1" si="196"/>
        <v>46982224737.960907</v>
      </c>
      <c r="L4898" s="444">
        <f t="shared" ca="1" si="197"/>
        <v>11322716161848.578</v>
      </c>
      <c r="M4898" s="460">
        <f t="shared" si="199"/>
        <v>0.05</v>
      </c>
      <c r="N4898" s="464">
        <f t="shared" si="200"/>
        <v>200124</v>
      </c>
    </row>
    <row r="4899" spans="7:14" ht="11.25" customHeight="1" x14ac:dyDescent="0.3">
      <c r="G4899" s="459"/>
      <c r="H4899" s="459">
        <v>4892</v>
      </c>
      <c r="I4899" s="444">
        <f t="shared" ca="1" si="198"/>
        <v>11322716161848.578</v>
      </c>
      <c r="J4899" s="444">
        <f t="array" ref="J4899">IFERROR(INDEX('Retirement Calculator'!J:J,MATCH('Isaac 401k'!N4899,'Retirement Calculator'!A:A,0),0),0)</f>
        <v>0</v>
      </c>
      <c r="K4899" s="444">
        <f t="shared" ca="1" si="196"/>
        <v>47177984007.702408</v>
      </c>
      <c r="L4899" s="444">
        <f t="shared" ca="1" si="197"/>
        <v>11369894145856.281</v>
      </c>
      <c r="M4899" s="460">
        <f t="shared" si="199"/>
        <v>0.05</v>
      </c>
      <c r="N4899" s="464">
        <f t="shared" si="200"/>
        <v>200155</v>
      </c>
    </row>
    <row r="4900" spans="7:14" ht="11.25" customHeight="1" x14ac:dyDescent="0.3">
      <c r="G4900" s="459"/>
      <c r="H4900" s="459">
        <v>4893</v>
      </c>
      <c r="I4900" s="444">
        <f t="shared" ca="1" si="198"/>
        <v>11369894145856.281</v>
      </c>
      <c r="J4900" s="444">
        <f t="array" ref="J4900">IFERROR(INDEX('Retirement Calculator'!J:J,MATCH('Isaac 401k'!N4900,'Retirement Calculator'!A:A,0),0),0)</f>
        <v>0</v>
      </c>
      <c r="K4900" s="444">
        <f t="shared" ca="1" si="196"/>
        <v>47374558941.067841</v>
      </c>
      <c r="L4900" s="444">
        <f t="shared" ca="1" si="197"/>
        <v>11417268704797.35</v>
      </c>
      <c r="M4900" s="460">
        <f t="shared" si="199"/>
        <v>0.05</v>
      </c>
      <c r="N4900" s="464">
        <f t="shared" si="200"/>
        <v>200186</v>
      </c>
    </row>
    <row r="4901" spans="7:14" ht="11.25" customHeight="1" x14ac:dyDescent="0.3">
      <c r="G4901" s="459"/>
      <c r="H4901" s="459">
        <v>4894</v>
      </c>
      <c r="I4901" s="444">
        <f t="shared" ca="1" si="198"/>
        <v>11417268704797.35</v>
      </c>
      <c r="J4901" s="444">
        <f t="array" ref="J4901">IFERROR(INDEX('Retirement Calculator'!J:J,MATCH('Isaac 401k'!N4901,'Retirement Calculator'!A:A,0),0),0)</f>
        <v>0</v>
      </c>
      <c r="K4901" s="444">
        <f t="shared" ca="1" si="196"/>
        <v>47571952936.655624</v>
      </c>
      <c r="L4901" s="444">
        <f t="shared" ca="1" si="197"/>
        <v>11464840657734.006</v>
      </c>
      <c r="M4901" s="460">
        <f t="shared" si="199"/>
        <v>0.05</v>
      </c>
      <c r="N4901" s="464">
        <f t="shared" si="200"/>
        <v>200215</v>
      </c>
    </row>
    <row r="4902" spans="7:14" ht="11.25" customHeight="1" x14ac:dyDescent="0.3">
      <c r="G4902" s="459"/>
      <c r="H4902" s="459">
        <v>4895</v>
      </c>
      <c r="I4902" s="444">
        <f t="shared" ca="1" si="198"/>
        <v>11464840657734.006</v>
      </c>
      <c r="J4902" s="444">
        <f t="array" ref="J4902">IFERROR(INDEX('Retirement Calculator'!J:J,MATCH('Isaac 401k'!N4902,'Retirement Calculator'!A:A,0),0),0)</f>
        <v>0</v>
      </c>
      <c r="K4902" s="444">
        <f t="shared" ca="1" si="196"/>
        <v>47770169407.225021</v>
      </c>
      <c r="L4902" s="444">
        <f t="shared" ca="1" si="197"/>
        <v>11512610827141.23</v>
      </c>
      <c r="M4902" s="460">
        <f t="shared" si="199"/>
        <v>0.05</v>
      </c>
      <c r="N4902" s="464">
        <f t="shared" si="200"/>
        <v>200246</v>
      </c>
    </row>
    <row r="4903" spans="7:14" ht="11.25" customHeight="1" x14ac:dyDescent="0.3">
      <c r="G4903" s="459"/>
      <c r="H4903" s="459">
        <v>4896</v>
      </c>
      <c r="I4903" s="444">
        <f t="shared" ca="1" si="198"/>
        <v>11512610827141.23</v>
      </c>
      <c r="J4903" s="444">
        <f t="array" ref="J4903">IFERROR(INDEX('Retirement Calculator'!J:J,MATCH('Isaac 401k'!N4903,'Retirement Calculator'!A:A,0),0),0)</f>
        <v>0</v>
      </c>
      <c r="K4903" s="444">
        <f t="shared" ca="1" si="196"/>
        <v>47969211779.755127</v>
      </c>
      <c r="L4903" s="444">
        <f t="shared" ca="1" si="197"/>
        <v>11560580038920.986</v>
      </c>
      <c r="M4903" s="460">
        <f t="shared" si="199"/>
        <v>0.05</v>
      </c>
      <c r="N4903" s="464">
        <f t="shared" si="200"/>
        <v>200276</v>
      </c>
    </row>
    <row r="4904" spans="7:14" ht="11.25" customHeight="1" x14ac:dyDescent="0.3">
      <c r="G4904" s="459"/>
      <c r="H4904" s="459">
        <v>4897</v>
      </c>
      <c r="I4904" s="444">
        <f t="shared" ca="1" si="198"/>
        <v>11560580038920.986</v>
      </c>
      <c r="J4904" s="444">
        <f t="array" ref="J4904">IFERROR(INDEX('Retirement Calculator'!J:J,MATCH('Isaac 401k'!N4904,'Retirement Calculator'!A:A,0),0),0)</f>
        <v>0</v>
      </c>
      <c r="K4904" s="444">
        <f t="shared" ca="1" si="196"/>
        <v>48169083495.504112</v>
      </c>
      <c r="L4904" s="444">
        <f t="shared" ca="1" si="197"/>
        <v>11608749122416.49</v>
      </c>
      <c r="M4904" s="460">
        <f t="shared" si="199"/>
        <v>0.05</v>
      </c>
      <c r="N4904" s="464">
        <f t="shared" si="200"/>
        <v>200307</v>
      </c>
    </row>
    <row r="4905" spans="7:14" ht="11.25" customHeight="1" x14ac:dyDescent="0.3">
      <c r="G4905" s="459"/>
      <c r="H4905" s="459">
        <v>4898</v>
      </c>
      <c r="I4905" s="444">
        <f t="shared" ca="1" si="198"/>
        <v>11608749122416.49</v>
      </c>
      <c r="J4905" s="444">
        <f t="array" ref="J4905">IFERROR(INDEX('Retirement Calculator'!J:J,MATCH('Isaac 401k'!N4905,'Retirement Calculator'!A:A,0),0),0)</f>
        <v>0</v>
      </c>
      <c r="K4905" s="444">
        <f t="shared" ca="1" si="196"/>
        <v>48369788010.06871</v>
      </c>
      <c r="L4905" s="444">
        <f t="shared" ca="1" si="197"/>
        <v>11657118910426.559</v>
      </c>
      <c r="M4905" s="460">
        <f t="shared" si="199"/>
        <v>0.05</v>
      </c>
      <c r="N4905" s="464">
        <f t="shared" si="200"/>
        <v>200337</v>
      </c>
    </row>
    <row r="4906" spans="7:14" ht="11.25" customHeight="1" x14ac:dyDescent="0.3">
      <c r="G4906" s="459"/>
      <c r="H4906" s="459">
        <v>4899</v>
      </c>
      <c r="I4906" s="444">
        <f t="shared" ca="1" si="198"/>
        <v>11657118910426.559</v>
      </c>
      <c r="J4906" s="444">
        <f t="array" ref="J4906">IFERROR(INDEX('Retirement Calculator'!J:J,MATCH('Isaac 401k'!N4906,'Retirement Calculator'!A:A,0),0),0)</f>
        <v>0</v>
      </c>
      <c r="K4906" s="444">
        <f t="shared" ca="1" si="196"/>
        <v>48571328793.443993</v>
      </c>
      <c r="L4906" s="444">
        <f t="shared" ca="1" si="197"/>
        <v>11705690239220.002</v>
      </c>
      <c r="M4906" s="460">
        <f t="shared" si="199"/>
        <v>0.05</v>
      </c>
      <c r="N4906" s="464">
        <f t="shared" si="200"/>
        <v>200368</v>
      </c>
    </row>
    <row r="4907" spans="7:14" ht="11.25" customHeight="1" x14ac:dyDescent="0.3">
      <c r="G4907" s="459"/>
      <c r="H4907" s="459">
        <v>4900</v>
      </c>
      <c r="I4907" s="444">
        <f t="shared" ca="1" si="198"/>
        <v>11705690239220.002</v>
      </c>
      <c r="J4907" s="444">
        <f t="array" ref="J4907">IFERROR(INDEX('Retirement Calculator'!J:J,MATCH('Isaac 401k'!N4907,'Retirement Calculator'!A:A,0),0),0)</f>
        <v>0</v>
      </c>
      <c r="K4907" s="444">
        <f t="shared" ca="1" si="196"/>
        <v>48773709330.083344</v>
      </c>
      <c r="L4907" s="444">
        <f t="shared" ca="1" si="197"/>
        <v>11754463948550.086</v>
      </c>
      <c r="M4907" s="460">
        <f t="shared" si="199"/>
        <v>0.05</v>
      </c>
      <c r="N4907" s="464">
        <f t="shared" si="200"/>
        <v>200399</v>
      </c>
    </row>
    <row r="4908" spans="7:14" ht="11.25" customHeight="1" x14ac:dyDescent="0.3">
      <c r="G4908" s="459"/>
      <c r="H4908" s="459">
        <v>4901</v>
      </c>
      <c r="I4908" s="444">
        <f t="shared" ca="1" si="198"/>
        <v>11754463948550.086</v>
      </c>
      <c r="J4908" s="444">
        <f t="array" ref="J4908">IFERROR(INDEX('Retirement Calculator'!J:J,MATCH('Isaac 401k'!N4908,'Retirement Calculator'!A:A,0),0),0)</f>
        <v>0</v>
      </c>
      <c r="K4908" s="444">
        <f t="shared" ca="1" si="196"/>
        <v>48976933118.958694</v>
      </c>
      <c r="L4908" s="444">
        <f t="shared" ca="1" si="197"/>
        <v>11803440881669.045</v>
      </c>
      <c r="M4908" s="460">
        <f t="shared" si="199"/>
        <v>0.05</v>
      </c>
      <c r="N4908" s="464">
        <f t="shared" si="200"/>
        <v>200429</v>
      </c>
    </row>
    <row r="4909" spans="7:14" ht="11.25" customHeight="1" x14ac:dyDescent="0.3">
      <c r="G4909" s="459"/>
      <c r="H4909" s="459">
        <v>4902</v>
      </c>
      <c r="I4909" s="444">
        <f t="shared" ca="1" si="198"/>
        <v>11803440881669.045</v>
      </c>
      <c r="J4909" s="444">
        <f t="array" ref="J4909">IFERROR(INDEX('Retirement Calculator'!J:J,MATCH('Isaac 401k'!N4909,'Retirement Calculator'!A:A,0),0),0)</f>
        <v>0</v>
      </c>
      <c r="K4909" s="444">
        <f t="shared" ca="1" si="196"/>
        <v>49181003673.621017</v>
      </c>
      <c r="L4909" s="444">
        <f t="shared" ca="1" si="197"/>
        <v>11852621885342.666</v>
      </c>
      <c r="M4909" s="460">
        <f t="shared" si="199"/>
        <v>0.05</v>
      </c>
      <c r="N4909" s="464">
        <f t="shared" si="200"/>
        <v>200460</v>
      </c>
    </row>
    <row r="4910" spans="7:14" ht="11.25" customHeight="1" x14ac:dyDescent="0.3">
      <c r="G4910" s="459"/>
      <c r="H4910" s="459">
        <v>4903</v>
      </c>
      <c r="I4910" s="444">
        <f t="shared" ca="1" si="198"/>
        <v>11852621885342.666</v>
      </c>
      <c r="J4910" s="444">
        <f t="array" ref="J4910">IFERROR(INDEX('Retirement Calculator'!J:J,MATCH('Isaac 401k'!N4910,'Retirement Calculator'!A:A,0),0),0)</f>
        <v>0</v>
      </c>
      <c r="K4910" s="444">
        <f t="shared" ca="1" si="196"/>
        <v>49385924522.261108</v>
      </c>
      <c r="L4910" s="444">
        <f t="shared" ca="1" si="197"/>
        <v>11902007809864.928</v>
      </c>
      <c r="M4910" s="460">
        <f t="shared" si="199"/>
        <v>0.05</v>
      </c>
      <c r="N4910" s="464">
        <f t="shared" si="200"/>
        <v>200490</v>
      </c>
    </row>
    <row r="4911" spans="7:14" ht="11.25" customHeight="1" x14ac:dyDescent="0.3">
      <c r="G4911" s="459"/>
      <c r="H4911" s="459">
        <v>4904</v>
      </c>
      <c r="I4911" s="444">
        <f t="shared" ca="1" si="198"/>
        <v>11902007809864.928</v>
      </c>
      <c r="J4911" s="444">
        <f t="array" ref="J4911">IFERROR(INDEX('Retirement Calculator'!J:J,MATCH('Isaac 401k'!N4911,'Retirement Calculator'!A:A,0),0),0)</f>
        <v>0</v>
      </c>
      <c r="K4911" s="444">
        <f t="shared" ca="1" si="196"/>
        <v>49591699207.770531</v>
      </c>
      <c r="L4911" s="444">
        <f t="shared" ca="1" si="197"/>
        <v>11951599509072.699</v>
      </c>
      <c r="M4911" s="460">
        <f t="shared" si="199"/>
        <v>0.05</v>
      </c>
      <c r="N4911" s="464">
        <f t="shared" si="200"/>
        <v>200521</v>
      </c>
    </row>
    <row r="4912" spans="7:14" ht="11.25" customHeight="1" x14ac:dyDescent="0.3">
      <c r="G4912" s="459"/>
      <c r="H4912" s="459">
        <v>4905</v>
      </c>
      <c r="I4912" s="444">
        <f t="shared" ca="1" si="198"/>
        <v>11951599509072.699</v>
      </c>
      <c r="J4912" s="444">
        <f t="array" ref="J4912">IFERROR(INDEX('Retirement Calculator'!J:J,MATCH('Isaac 401k'!N4912,'Retirement Calculator'!A:A,0),0),0)</f>
        <v>0</v>
      </c>
      <c r="K4912" s="444">
        <f t="shared" ca="1" si="196"/>
        <v>49798331287.80291</v>
      </c>
      <c r="L4912" s="444">
        <f t="shared" ca="1" si="197"/>
        <v>12001397840360.502</v>
      </c>
      <c r="M4912" s="460">
        <f t="shared" si="199"/>
        <v>0.05</v>
      </c>
      <c r="N4912" s="464">
        <f t="shared" si="200"/>
        <v>200552</v>
      </c>
    </row>
    <row r="4913" spans="7:14" ht="11.25" customHeight="1" x14ac:dyDescent="0.3">
      <c r="G4913" s="459"/>
      <c r="H4913" s="459">
        <v>4906</v>
      </c>
      <c r="I4913" s="444">
        <f t="shared" ca="1" si="198"/>
        <v>12001397840360.502</v>
      </c>
      <c r="J4913" s="444">
        <f t="array" ref="J4913">IFERROR(INDEX('Retirement Calculator'!J:J,MATCH('Isaac 401k'!N4913,'Retirement Calculator'!A:A,0),0),0)</f>
        <v>0</v>
      </c>
      <c r="K4913" s="444">
        <f t="shared" ca="1" si="196"/>
        <v>50005824334.835426</v>
      </c>
      <c r="L4913" s="444">
        <f t="shared" ca="1" si="197"/>
        <v>12051403664695.338</v>
      </c>
      <c r="M4913" s="460">
        <f t="shared" si="199"/>
        <v>0.05</v>
      </c>
      <c r="N4913" s="464">
        <f t="shared" si="200"/>
        <v>200580</v>
      </c>
    </row>
    <row r="4914" spans="7:14" ht="11.25" customHeight="1" x14ac:dyDescent="0.3">
      <c r="G4914" s="459"/>
      <c r="H4914" s="459">
        <v>4907</v>
      </c>
      <c r="I4914" s="444">
        <f t="shared" ca="1" si="198"/>
        <v>12051403664695.338</v>
      </c>
      <c r="J4914" s="444">
        <f t="array" ref="J4914">IFERROR(INDEX('Retirement Calculator'!J:J,MATCH('Isaac 401k'!N4914,'Retirement Calculator'!A:A,0),0),0)</f>
        <v>0</v>
      </c>
      <c r="K4914" s="444">
        <f t="shared" ca="1" si="196"/>
        <v>50214181936.230576</v>
      </c>
      <c r="L4914" s="444">
        <f t="shared" ca="1" si="197"/>
        <v>12101617846631.568</v>
      </c>
      <c r="M4914" s="460">
        <f t="shared" si="199"/>
        <v>0.05</v>
      </c>
      <c r="N4914" s="464">
        <f t="shared" si="200"/>
        <v>200611</v>
      </c>
    </row>
    <row r="4915" spans="7:14" ht="11.25" customHeight="1" x14ac:dyDescent="0.3">
      <c r="G4915" s="459"/>
      <c r="H4915" s="459">
        <v>4908</v>
      </c>
      <c r="I4915" s="444">
        <f t="shared" ca="1" si="198"/>
        <v>12101617846631.568</v>
      </c>
      <c r="J4915" s="444">
        <f t="array" ref="J4915">IFERROR(INDEX('Retirement Calculator'!J:J,MATCH('Isaac 401k'!N4915,'Retirement Calculator'!A:A,0),0),0)</f>
        <v>0</v>
      </c>
      <c r="K4915" s="444">
        <f t="shared" ca="1" si="196"/>
        <v>50423407694.298203</v>
      </c>
      <c r="L4915" s="444">
        <f t="shared" ca="1" si="197"/>
        <v>12152041254325.867</v>
      </c>
      <c r="M4915" s="460">
        <f t="shared" si="199"/>
        <v>0.05</v>
      </c>
      <c r="N4915" s="464">
        <f t="shared" si="200"/>
        <v>200641</v>
      </c>
    </row>
    <row r="4916" spans="7:14" ht="11.25" customHeight="1" x14ac:dyDescent="0.3">
      <c r="G4916" s="459"/>
      <c r="H4916" s="459">
        <v>4909</v>
      </c>
      <c r="I4916" s="444">
        <f t="shared" ca="1" si="198"/>
        <v>12152041254325.867</v>
      </c>
      <c r="J4916" s="444">
        <f t="array" ref="J4916">IFERROR(INDEX('Retirement Calculator'!J:J,MATCH('Isaac 401k'!N4916,'Retirement Calculator'!A:A,0),0),0)</f>
        <v>0</v>
      </c>
      <c r="K4916" s="444">
        <f t="shared" ca="1" si="196"/>
        <v>50633505226.35778</v>
      </c>
      <c r="L4916" s="444">
        <f t="shared" ca="1" si="197"/>
        <v>12202674759552.225</v>
      </c>
      <c r="M4916" s="460">
        <f t="shared" si="199"/>
        <v>0.05</v>
      </c>
      <c r="N4916" s="464">
        <f t="shared" si="200"/>
        <v>200672</v>
      </c>
    </row>
    <row r="4917" spans="7:14" ht="11.25" customHeight="1" x14ac:dyDescent="0.3">
      <c r="G4917" s="459"/>
      <c r="H4917" s="459">
        <v>4910</v>
      </c>
      <c r="I4917" s="444">
        <f t="shared" ca="1" si="198"/>
        <v>12202674759552.225</v>
      </c>
      <c r="J4917" s="444">
        <f t="array" ref="J4917">IFERROR(INDEX('Retirement Calculator'!J:J,MATCH('Isaac 401k'!N4917,'Retirement Calculator'!A:A,0),0),0)</f>
        <v>0</v>
      </c>
      <c r="K4917" s="444">
        <f t="shared" ca="1" si="196"/>
        <v>50844478164.800934</v>
      </c>
      <c r="L4917" s="444">
        <f t="shared" ca="1" si="197"/>
        <v>12253519237717.025</v>
      </c>
      <c r="M4917" s="460">
        <f t="shared" si="199"/>
        <v>0.05</v>
      </c>
      <c r="N4917" s="464">
        <f t="shared" si="200"/>
        <v>200702</v>
      </c>
    </row>
    <row r="4918" spans="7:14" ht="11.25" customHeight="1" x14ac:dyDescent="0.3">
      <c r="G4918" s="459"/>
      <c r="H4918" s="459">
        <v>4911</v>
      </c>
      <c r="I4918" s="444">
        <f t="shared" ca="1" si="198"/>
        <v>12253519237717.025</v>
      </c>
      <c r="J4918" s="444">
        <f t="array" ref="J4918">IFERROR(INDEX('Retirement Calculator'!J:J,MATCH('Isaac 401k'!N4918,'Retirement Calculator'!A:A,0),0),0)</f>
        <v>0</v>
      </c>
      <c r="K4918" s="444">
        <f t="shared" ca="1" si="196"/>
        <v>51056330157.154274</v>
      </c>
      <c r="L4918" s="444">
        <f t="shared" ca="1" si="197"/>
        <v>12304575567874.18</v>
      </c>
      <c r="M4918" s="460">
        <f t="shared" si="199"/>
        <v>0.05</v>
      </c>
      <c r="N4918" s="464">
        <f t="shared" si="200"/>
        <v>200733</v>
      </c>
    </row>
    <row r="4919" spans="7:14" ht="11.25" customHeight="1" x14ac:dyDescent="0.3">
      <c r="G4919" s="459"/>
      <c r="H4919" s="459">
        <v>4912</v>
      </c>
      <c r="I4919" s="444">
        <f t="shared" ca="1" si="198"/>
        <v>12304575567874.18</v>
      </c>
      <c r="J4919" s="444">
        <f t="array" ref="J4919">IFERROR(INDEX('Retirement Calculator'!J:J,MATCH('Isaac 401k'!N4919,'Retirement Calculator'!A:A,0),0),0)</f>
        <v>0</v>
      </c>
      <c r="K4919" s="444">
        <f t="shared" ca="1" si="196"/>
        <v>51269064866.142418</v>
      </c>
      <c r="L4919" s="444">
        <f t="shared" ca="1" si="197"/>
        <v>12355844632740.322</v>
      </c>
      <c r="M4919" s="460">
        <f t="shared" si="199"/>
        <v>0.05</v>
      </c>
      <c r="N4919" s="464">
        <f t="shared" si="200"/>
        <v>200764</v>
      </c>
    </row>
    <row r="4920" spans="7:14" ht="11.25" customHeight="1" x14ac:dyDescent="0.3">
      <c r="G4920" s="459"/>
      <c r="H4920" s="459">
        <v>4913</v>
      </c>
      <c r="I4920" s="444">
        <f t="shared" ca="1" si="198"/>
        <v>12355844632740.322</v>
      </c>
      <c r="J4920" s="444">
        <f t="array" ref="J4920">IFERROR(INDEX('Retirement Calculator'!J:J,MATCH('Isaac 401k'!N4920,'Retirement Calculator'!A:A,0),0),0)</f>
        <v>0</v>
      </c>
      <c r="K4920" s="444">
        <f t="shared" ca="1" si="196"/>
        <v>51482685969.751343</v>
      </c>
      <c r="L4920" s="444">
        <f t="shared" ca="1" si="197"/>
        <v>12407327318710.074</v>
      </c>
      <c r="M4920" s="460">
        <f t="shared" si="199"/>
        <v>0.05</v>
      </c>
      <c r="N4920" s="464">
        <f t="shared" si="200"/>
        <v>200794</v>
      </c>
    </row>
    <row r="4921" spans="7:14" ht="11.25" customHeight="1" x14ac:dyDescent="0.3">
      <c r="G4921" s="459"/>
      <c r="H4921" s="459">
        <v>4914</v>
      </c>
      <c r="I4921" s="444">
        <f t="shared" ca="1" si="198"/>
        <v>12407327318710.074</v>
      </c>
      <c r="J4921" s="444">
        <f t="array" ref="J4921">IFERROR(INDEX('Retirement Calculator'!J:J,MATCH('Isaac 401k'!N4921,'Retirement Calculator'!A:A,0),0),0)</f>
        <v>0</v>
      </c>
      <c r="K4921" s="444">
        <f t="shared" ca="1" si="196"/>
        <v>51697197161.291977</v>
      </c>
      <c r="L4921" s="444">
        <f t="shared" ca="1" si="197"/>
        <v>12459024515871.365</v>
      </c>
      <c r="M4921" s="460">
        <f t="shared" si="199"/>
        <v>0.05</v>
      </c>
      <c r="N4921" s="464">
        <f t="shared" si="200"/>
        <v>200825</v>
      </c>
    </row>
    <row r="4922" spans="7:14" ht="11.25" customHeight="1" x14ac:dyDescent="0.3">
      <c r="G4922" s="459"/>
      <c r="H4922" s="459">
        <v>4915</v>
      </c>
      <c r="I4922" s="444">
        <f t="shared" ca="1" si="198"/>
        <v>12459024515871.365</v>
      </c>
      <c r="J4922" s="444">
        <f t="array" ref="J4922">IFERROR(INDEX('Retirement Calculator'!J:J,MATCH('Isaac 401k'!N4922,'Retirement Calculator'!A:A,0),0),0)</f>
        <v>0</v>
      </c>
      <c r="K4922" s="444">
        <f t="shared" ca="1" si="196"/>
        <v>51912602149.46402</v>
      </c>
      <c r="L4922" s="444">
        <f t="shared" ca="1" si="197"/>
        <v>12510937118020.83</v>
      </c>
      <c r="M4922" s="460">
        <f t="shared" si="199"/>
        <v>0.05</v>
      </c>
      <c r="N4922" s="464">
        <f t="shared" si="200"/>
        <v>200855</v>
      </c>
    </row>
    <row r="4923" spans="7:14" ht="11.25" customHeight="1" x14ac:dyDescent="0.3">
      <c r="G4923" s="459"/>
      <c r="H4923" s="459">
        <v>4916</v>
      </c>
      <c r="I4923" s="444">
        <f t="shared" ca="1" si="198"/>
        <v>12510937118020.83</v>
      </c>
      <c r="J4923" s="444">
        <f t="array" ref="J4923">IFERROR(INDEX('Retirement Calculator'!J:J,MATCH('Isaac 401k'!N4923,'Retirement Calculator'!A:A,0),0),0)</f>
        <v>0</v>
      </c>
      <c r="K4923" s="444">
        <f t="shared" ca="1" si="196"/>
        <v>52128904658.420128</v>
      </c>
      <c r="L4923" s="444">
        <f t="shared" ca="1" si="197"/>
        <v>12563066022679.25</v>
      </c>
      <c r="M4923" s="460">
        <f t="shared" si="199"/>
        <v>0.05</v>
      </c>
      <c r="N4923" s="464">
        <f t="shared" si="200"/>
        <v>200886</v>
      </c>
    </row>
    <row r="4924" spans="7:14" ht="11.25" customHeight="1" x14ac:dyDescent="0.3">
      <c r="G4924" s="459"/>
      <c r="H4924" s="459">
        <v>4917</v>
      </c>
      <c r="I4924" s="444">
        <f t="shared" ca="1" si="198"/>
        <v>12563066022679.25</v>
      </c>
      <c r="J4924" s="444">
        <f t="array" ref="J4924">IFERROR(INDEX('Retirement Calculator'!J:J,MATCH('Isaac 401k'!N4924,'Retirement Calculator'!A:A,0),0),0)</f>
        <v>0</v>
      </c>
      <c r="K4924" s="444">
        <f t="shared" ca="1" si="196"/>
        <v>52346108427.830208</v>
      </c>
      <c r="L4924" s="444">
        <f t="shared" ca="1" si="197"/>
        <v>12615412131107.08</v>
      </c>
      <c r="M4924" s="460">
        <f t="shared" si="199"/>
        <v>0.05</v>
      </c>
      <c r="N4924" s="464">
        <f t="shared" si="200"/>
        <v>200917</v>
      </c>
    </row>
    <row r="4925" spans="7:14" ht="11.25" customHeight="1" x14ac:dyDescent="0.3">
      <c r="G4925" s="459"/>
      <c r="H4925" s="459">
        <v>4918</v>
      </c>
      <c r="I4925" s="444">
        <f t="shared" ca="1" si="198"/>
        <v>12615412131107.08</v>
      </c>
      <c r="J4925" s="444">
        <f t="array" ref="J4925">IFERROR(INDEX('Retirement Calculator'!J:J,MATCH('Isaac 401k'!N4925,'Retirement Calculator'!A:A,0),0),0)</f>
        <v>0</v>
      </c>
      <c r="K4925" s="444">
        <f t="shared" ca="1" si="196"/>
        <v>52564217212.946167</v>
      </c>
      <c r="L4925" s="444">
        <f t="shared" ca="1" si="197"/>
        <v>12667976348320.025</v>
      </c>
      <c r="M4925" s="460">
        <f t="shared" si="199"/>
        <v>0.05</v>
      </c>
      <c r="N4925" s="464">
        <f t="shared" si="200"/>
        <v>200945</v>
      </c>
    </row>
    <row r="4926" spans="7:14" ht="11.25" customHeight="1" x14ac:dyDescent="0.3">
      <c r="G4926" s="459"/>
      <c r="H4926" s="459">
        <v>4919</v>
      </c>
      <c r="I4926" s="444">
        <f t="shared" ca="1" si="198"/>
        <v>12667976348320.025</v>
      </c>
      <c r="J4926" s="444">
        <f t="array" ref="J4926">IFERROR(INDEX('Retirement Calculator'!J:J,MATCH('Isaac 401k'!N4926,'Retirement Calculator'!A:A,0),0),0)</f>
        <v>0</v>
      </c>
      <c r="K4926" s="444">
        <f t="shared" ca="1" si="196"/>
        <v>52783234784.666771</v>
      </c>
      <c r="L4926" s="444">
        <f t="shared" ca="1" si="197"/>
        <v>12720759583104.691</v>
      </c>
      <c r="M4926" s="460">
        <f t="shared" si="199"/>
        <v>0.05</v>
      </c>
      <c r="N4926" s="464">
        <f t="shared" si="200"/>
        <v>200976</v>
      </c>
    </row>
    <row r="4927" spans="7:14" ht="11.25" customHeight="1" x14ac:dyDescent="0.3">
      <c r="G4927" s="459"/>
      <c r="H4927" s="459">
        <v>4920</v>
      </c>
      <c r="I4927" s="444">
        <f t="shared" ca="1" si="198"/>
        <v>12720759583104.691</v>
      </c>
      <c r="J4927" s="444">
        <f t="array" ref="J4927">IFERROR(INDEX('Retirement Calculator'!J:J,MATCH('Isaac 401k'!N4927,'Retirement Calculator'!A:A,0),0),0)</f>
        <v>0</v>
      </c>
      <c r="K4927" s="444">
        <f t="shared" ca="1" si="196"/>
        <v>53003164929.602882</v>
      </c>
      <c r="L4927" s="444">
        <f t="shared" ca="1" si="197"/>
        <v>12773762748034.295</v>
      </c>
      <c r="M4927" s="460">
        <f t="shared" si="199"/>
        <v>0.05</v>
      </c>
      <c r="N4927" s="464">
        <f t="shared" si="200"/>
        <v>201006</v>
      </c>
    </row>
    <row r="4928" spans="7:14" ht="11.25" customHeight="1" x14ac:dyDescent="0.3">
      <c r="G4928" s="459"/>
      <c r="H4928" s="459">
        <v>4921</v>
      </c>
      <c r="I4928" s="444">
        <f t="shared" ca="1" si="198"/>
        <v>12773762748034.295</v>
      </c>
      <c r="J4928" s="444">
        <f t="array" ref="J4928">IFERROR(INDEX('Retirement Calculator'!J:J,MATCH('Isaac 401k'!N4928,'Retirement Calculator'!A:A,0),0),0)</f>
        <v>0</v>
      </c>
      <c r="K4928" s="444">
        <f t="shared" ca="1" si="196"/>
        <v>53224011450.142899</v>
      </c>
      <c r="L4928" s="444">
        <f t="shared" ca="1" si="197"/>
        <v>12826986759484.438</v>
      </c>
      <c r="M4928" s="460">
        <f t="shared" si="199"/>
        <v>0.05</v>
      </c>
      <c r="N4928" s="464">
        <f t="shared" si="200"/>
        <v>201037</v>
      </c>
    </row>
    <row r="4929" spans="7:14" ht="11.25" customHeight="1" x14ac:dyDescent="0.3">
      <c r="G4929" s="459"/>
      <c r="H4929" s="459">
        <v>4922</v>
      </c>
      <c r="I4929" s="444">
        <f t="shared" ca="1" si="198"/>
        <v>12826986759484.438</v>
      </c>
      <c r="J4929" s="444">
        <f t="array" ref="J4929">IFERROR(INDEX('Retirement Calculator'!J:J,MATCH('Isaac 401k'!N4929,'Retirement Calculator'!A:A,0),0),0)</f>
        <v>0</v>
      </c>
      <c r="K4929" s="444">
        <f t="shared" ca="1" si="196"/>
        <v>53445778164.518486</v>
      </c>
      <c r="L4929" s="444">
        <f t="shared" ca="1" si="197"/>
        <v>12880432537648.955</v>
      </c>
      <c r="M4929" s="460">
        <f t="shared" si="199"/>
        <v>0.05</v>
      </c>
      <c r="N4929" s="464">
        <f t="shared" si="200"/>
        <v>201067</v>
      </c>
    </row>
    <row r="4930" spans="7:14" ht="11.25" customHeight="1" x14ac:dyDescent="0.3">
      <c r="G4930" s="459"/>
      <c r="H4930" s="459">
        <v>4923</v>
      </c>
      <c r="I4930" s="444">
        <f t="shared" ca="1" si="198"/>
        <v>12880432537648.955</v>
      </c>
      <c r="J4930" s="444">
        <f t="array" ref="J4930">IFERROR(INDEX('Retirement Calculator'!J:J,MATCH('Isaac 401k'!N4930,'Retirement Calculator'!A:A,0),0),0)</f>
        <v>0</v>
      </c>
      <c r="K4930" s="444">
        <f t="shared" ca="1" si="196"/>
        <v>53668468906.870644</v>
      </c>
      <c r="L4930" s="444">
        <f t="shared" ca="1" si="197"/>
        <v>12934101006555.826</v>
      </c>
      <c r="M4930" s="460">
        <f t="shared" si="199"/>
        <v>0.05</v>
      </c>
      <c r="N4930" s="464">
        <f t="shared" si="200"/>
        <v>201098</v>
      </c>
    </row>
    <row r="4931" spans="7:14" ht="11.25" customHeight="1" x14ac:dyDescent="0.3">
      <c r="G4931" s="459"/>
      <c r="H4931" s="459">
        <v>4924</v>
      </c>
      <c r="I4931" s="444">
        <f t="shared" ca="1" si="198"/>
        <v>12934101006555.826</v>
      </c>
      <c r="J4931" s="444">
        <f t="array" ref="J4931">IFERROR(INDEX('Retirement Calculator'!J:J,MATCH('Isaac 401k'!N4931,'Retirement Calculator'!A:A,0),0),0)</f>
        <v>0</v>
      </c>
      <c r="K4931" s="444">
        <f t="shared" ca="1" si="196"/>
        <v>53892087527.315941</v>
      </c>
      <c r="L4931" s="444">
        <f t="shared" ca="1" si="197"/>
        <v>12987993094083.143</v>
      </c>
      <c r="M4931" s="460">
        <f t="shared" si="199"/>
        <v>0.05</v>
      </c>
      <c r="N4931" s="464">
        <f t="shared" si="200"/>
        <v>201129</v>
      </c>
    </row>
    <row r="4932" spans="7:14" ht="11.25" customHeight="1" x14ac:dyDescent="0.3">
      <c r="G4932" s="459"/>
      <c r="H4932" s="459">
        <v>4925</v>
      </c>
      <c r="I4932" s="444">
        <f t="shared" ca="1" si="198"/>
        <v>12987993094083.143</v>
      </c>
      <c r="J4932" s="444">
        <f t="array" ref="J4932">IFERROR(INDEX('Retirement Calculator'!J:J,MATCH('Isaac 401k'!N4932,'Retirement Calculator'!A:A,0),0),0)</f>
        <v>0</v>
      </c>
      <c r="K4932" s="444">
        <f t="shared" ca="1" si="196"/>
        <v>54116637892.013092</v>
      </c>
      <c r="L4932" s="444">
        <f t="shared" ca="1" si="197"/>
        <v>13042109731975.156</v>
      </c>
      <c r="M4932" s="460">
        <f t="shared" si="199"/>
        <v>0.05</v>
      </c>
      <c r="N4932" s="464">
        <f t="shared" si="200"/>
        <v>201159</v>
      </c>
    </row>
    <row r="4933" spans="7:14" ht="11.25" customHeight="1" x14ac:dyDescent="0.3">
      <c r="G4933" s="459"/>
      <c r="H4933" s="459">
        <v>4926</v>
      </c>
      <c r="I4933" s="444">
        <f t="shared" ca="1" si="198"/>
        <v>13042109731975.156</v>
      </c>
      <c r="J4933" s="444">
        <f t="array" ref="J4933">IFERROR(INDEX('Retirement Calculator'!J:J,MATCH('Isaac 401k'!N4933,'Retirement Calculator'!A:A,0),0),0)</f>
        <v>0</v>
      </c>
      <c r="K4933" s="444">
        <f t="shared" ca="1" si="196"/>
        <v>54342123883.22982</v>
      </c>
      <c r="L4933" s="444">
        <f t="shared" ca="1" si="197"/>
        <v>13096451855858.387</v>
      </c>
      <c r="M4933" s="460">
        <f t="shared" si="199"/>
        <v>0.05</v>
      </c>
      <c r="N4933" s="464">
        <f t="shared" si="200"/>
        <v>201190</v>
      </c>
    </row>
    <row r="4934" spans="7:14" ht="11.25" customHeight="1" x14ac:dyDescent="0.3">
      <c r="G4934" s="459"/>
      <c r="H4934" s="459">
        <v>4927</v>
      </c>
      <c r="I4934" s="444">
        <f t="shared" ca="1" si="198"/>
        <v>13096451855858.387</v>
      </c>
      <c r="J4934" s="444">
        <f t="array" ref="J4934">IFERROR(INDEX('Retirement Calculator'!J:J,MATCH('Isaac 401k'!N4934,'Retirement Calculator'!A:A,0),0),0)</f>
        <v>0</v>
      </c>
      <c r="K4934" s="444">
        <f t="shared" ca="1" si="196"/>
        <v>54568549399.409943</v>
      </c>
      <c r="L4934" s="444">
        <f t="shared" ca="1" si="197"/>
        <v>13151020405257.797</v>
      </c>
      <c r="M4934" s="460">
        <f t="shared" si="199"/>
        <v>0.05</v>
      </c>
      <c r="N4934" s="464">
        <f t="shared" si="200"/>
        <v>201220</v>
      </c>
    </row>
    <row r="4935" spans="7:14" ht="11.25" customHeight="1" x14ac:dyDescent="0.3">
      <c r="G4935" s="459"/>
      <c r="H4935" s="459">
        <v>4928</v>
      </c>
      <c r="I4935" s="444">
        <f t="shared" ca="1" si="198"/>
        <v>13151020405257.797</v>
      </c>
      <c r="J4935" s="444">
        <f t="array" ref="J4935">IFERROR(INDEX('Retirement Calculator'!J:J,MATCH('Isaac 401k'!N4935,'Retirement Calculator'!A:A,0),0),0)</f>
        <v>0</v>
      </c>
      <c r="K4935" s="444">
        <f t="shared" ca="1" si="196"/>
        <v>54795918355.240822</v>
      </c>
      <c r="L4935" s="444">
        <f t="shared" ca="1" si="197"/>
        <v>13205816323613.037</v>
      </c>
      <c r="M4935" s="460">
        <f t="shared" si="199"/>
        <v>0.05</v>
      </c>
      <c r="N4935" s="464">
        <f t="shared" si="200"/>
        <v>201251</v>
      </c>
    </row>
    <row r="4936" spans="7:14" ht="11.25" customHeight="1" x14ac:dyDescent="0.3">
      <c r="G4936" s="459"/>
      <c r="H4936" s="459">
        <v>4929</v>
      </c>
      <c r="I4936" s="444">
        <f t="shared" ca="1" si="198"/>
        <v>13205816323613.037</v>
      </c>
      <c r="J4936" s="444">
        <f t="array" ref="J4936">IFERROR(INDEX('Retirement Calculator'!J:J,MATCH('Isaac 401k'!N4936,'Retirement Calculator'!A:A,0),0),0)</f>
        <v>0</v>
      </c>
      <c r="K4936" s="444">
        <f t="shared" ca="1" si="196"/>
        <v>55024234681.720985</v>
      </c>
      <c r="L4936" s="444">
        <f t="shared" ca="1" si="197"/>
        <v>13260840558294.758</v>
      </c>
      <c r="M4936" s="460">
        <f t="shared" si="199"/>
        <v>0.05</v>
      </c>
      <c r="N4936" s="464">
        <f t="shared" si="200"/>
        <v>201282</v>
      </c>
    </row>
    <row r="4937" spans="7:14" ht="11.25" customHeight="1" x14ac:dyDescent="0.3">
      <c r="G4937" s="459"/>
      <c r="H4937" s="459">
        <v>4930</v>
      </c>
      <c r="I4937" s="444">
        <f t="shared" ca="1" si="198"/>
        <v>13260840558294.758</v>
      </c>
      <c r="J4937" s="444">
        <f t="array" ref="J4937">IFERROR(INDEX('Retirement Calculator'!J:J,MATCH('Isaac 401k'!N4937,'Retirement Calculator'!A:A,0),0),0)</f>
        <v>0</v>
      </c>
      <c r="K4937" s="444">
        <f t="shared" ca="1" si="196"/>
        <v>55253502326.228157</v>
      </c>
      <c r="L4937" s="444">
        <f t="shared" ca="1" si="197"/>
        <v>13316094060620.986</v>
      </c>
      <c r="M4937" s="460">
        <f t="shared" si="199"/>
        <v>0.05</v>
      </c>
      <c r="N4937" s="464">
        <f t="shared" si="200"/>
        <v>201310</v>
      </c>
    </row>
    <row r="4938" spans="7:14" ht="11.25" customHeight="1" x14ac:dyDescent="0.3">
      <c r="G4938" s="459"/>
      <c r="H4938" s="459">
        <v>4931</v>
      </c>
      <c r="I4938" s="444">
        <f t="shared" ca="1" si="198"/>
        <v>13316094060620.986</v>
      </c>
      <c r="J4938" s="444">
        <f t="array" ref="J4938">IFERROR(INDEX('Retirement Calculator'!J:J,MATCH('Isaac 401k'!N4938,'Retirement Calculator'!A:A,0),0),0)</f>
        <v>0</v>
      </c>
      <c r="K4938" s="444">
        <f t="shared" ca="1" si="196"/>
        <v>55483725252.58744</v>
      </c>
      <c r="L4938" s="444">
        <f t="shared" ca="1" si="197"/>
        <v>13371577785873.574</v>
      </c>
      <c r="M4938" s="460">
        <f t="shared" si="199"/>
        <v>0.05</v>
      </c>
      <c r="N4938" s="464">
        <f t="shared" si="200"/>
        <v>201341</v>
      </c>
    </row>
    <row r="4939" spans="7:14" ht="11.25" customHeight="1" x14ac:dyDescent="0.3">
      <c r="G4939" s="459"/>
      <c r="H4939" s="459">
        <v>4932</v>
      </c>
      <c r="I4939" s="444">
        <f t="shared" ca="1" si="198"/>
        <v>13371577785873.574</v>
      </c>
      <c r="J4939" s="444">
        <f t="array" ref="J4939">IFERROR(INDEX('Retirement Calculator'!J:J,MATCH('Isaac 401k'!N4939,'Retirement Calculator'!A:A,0),0),0)</f>
        <v>0</v>
      </c>
      <c r="K4939" s="444">
        <f t="shared" ca="1" si="196"/>
        <v>55714907441.139893</v>
      </c>
      <c r="L4939" s="444">
        <f t="shared" ca="1" si="197"/>
        <v>13427292693314.715</v>
      </c>
      <c r="M4939" s="460">
        <f t="shared" si="199"/>
        <v>0.05</v>
      </c>
      <c r="N4939" s="464">
        <f t="shared" si="200"/>
        <v>201371</v>
      </c>
    </row>
    <row r="4940" spans="7:14" ht="11.25" customHeight="1" x14ac:dyDescent="0.3">
      <c r="G4940" s="459"/>
      <c r="H4940" s="459">
        <v>4933</v>
      </c>
      <c r="I4940" s="444">
        <f t="shared" ca="1" si="198"/>
        <v>13427292693314.715</v>
      </c>
      <c r="J4940" s="444">
        <f t="array" ref="J4940">IFERROR(INDEX('Retirement Calculator'!J:J,MATCH('Isaac 401k'!N4940,'Retirement Calculator'!A:A,0),0),0)</f>
        <v>0</v>
      </c>
      <c r="K4940" s="444">
        <f t="shared" ca="1" si="196"/>
        <v>55947052888.81131</v>
      </c>
      <c r="L4940" s="444">
        <f t="shared" ca="1" si="197"/>
        <v>13483239746203.525</v>
      </c>
      <c r="M4940" s="460">
        <f t="shared" si="199"/>
        <v>0.05</v>
      </c>
      <c r="N4940" s="464">
        <f t="shared" si="200"/>
        <v>201402</v>
      </c>
    </row>
    <row r="4941" spans="7:14" ht="11.25" customHeight="1" x14ac:dyDescent="0.3">
      <c r="G4941" s="459"/>
      <c r="H4941" s="459">
        <v>4934</v>
      </c>
      <c r="I4941" s="444">
        <f t="shared" ca="1" si="198"/>
        <v>13483239746203.525</v>
      </c>
      <c r="J4941" s="444">
        <f t="array" ref="J4941">IFERROR(INDEX('Retirement Calculator'!J:J,MATCH('Isaac 401k'!N4941,'Retirement Calculator'!A:A,0),0),0)</f>
        <v>0</v>
      </c>
      <c r="K4941" s="444">
        <f t="shared" ca="1" si="196"/>
        <v>56180165609.181358</v>
      </c>
      <c r="L4941" s="444">
        <f t="shared" ca="1" si="197"/>
        <v>13539419911812.707</v>
      </c>
      <c r="M4941" s="460">
        <f t="shared" si="199"/>
        <v>0.05</v>
      </c>
      <c r="N4941" s="464">
        <f t="shared" si="200"/>
        <v>201432</v>
      </c>
    </row>
    <row r="4942" spans="7:14" ht="11.25" customHeight="1" x14ac:dyDescent="0.3">
      <c r="G4942" s="459"/>
      <c r="H4942" s="459">
        <v>4935</v>
      </c>
      <c r="I4942" s="444">
        <f t="shared" ca="1" si="198"/>
        <v>13539419911812.707</v>
      </c>
      <c r="J4942" s="444">
        <f t="array" ref="J4942">IFERROR(INDEX('Retirement Calculator'!J:J,MATCH('Isaac 401k'!N4942,'Retirement Calculator'!A:A,0),0),0)</f>
        <v>0</v>
      </c>
      <c r="K4942" s="444">
        <f t="shared" ca="1" si="196"/>
        <v>56414249632.552948</v>
      </c>
      <c r="L4942" s="444">
        <f t="shared" ca="1" si="197"/>
        <v>13595834161445.26</v>
      </c>
      <c r="M4942" s="460">
        <f t="shared" si="199"/>
        <v>0.05</v>
      </c>
      <c r="N4942" s="464">
        <f t="shared" si="200"/>
        <v>201463</v>
      </c>
    </row>
    <row r="4943" spans="7:14" ht="11.25" customHeight="1" x14ac:dyDescent="0.3">
      <c r="G4943" s="459"/>
      <c r="H4943" s="459">
        <v>4936</v>
      </c>
      <c r="I4943" s="444">
        <f t="shared" ca="1" si="198"/>
        <v>13595834161445.26</v>
      </c>
      <c r="J4943" s="444">
        <f t="array" ref="J4943">IFERROR(INDEX('Retirement Calculator'!J:J,MATCH('Isaac 401k'!N4943,'Retirement Calculator'!A:A,0),0),0)</f>
        <v>0</v>
      </c>
      <c r="K4943" s="444">
        <f t="shared" ca="1" si="196"/>
        <v>56649309006.021912</v>
      </c>
      <c r="L4943" s="444">
        <f t="shared" ca="1" si="197"/>
        <v>13652483470451.281</v>
      </c>
      <c r="M4943" s="460">
        <f t="shared" si="199"/>
        <v>0.05</v>
      </c>
      <c r="N4943" s="464">
        <f t="shared" si="200"/>
        <v>201494</v>
      </c>
    </row>
    <row r="4944" spans="7:14" ht="11.25" customHeight="1" x14ac:dyDescent="0.3">
      <c r="G4944" s="459"/>
      <c r="H4944" s="459">
        <v>4937</v>
      </c>
      <c r="I4944" s="444">
        <f t="shared" ca="1" si="198"/>
        <v>13652483470451.281</v>
      </c>
      <c r="J4944" s="444">
        <f t="array" ref="J4944">IFERROR(INDEX('Retirement Calculator'!J:J,MATCH('Isaac 401k'!N4944,'Retirement Calculator'!A:A,0),0),0)</f>
        <v>0</v>
      </c>
      <c r="K4944" s="444">
        <f t="shared" ca="1" si="196"/>
        <v>56885347793.547005</v>
      </c>
      <c r="L4944" s="444">
        <f t="shared" ca="1" si="197"/>
        <v>13709368818244.828</v>
      </c>
      <c r="M4944" s="460">
        <f t="shared" si="199"/>
        <v>0.05</v>
      </c>
      <c r="N4944" s="464">
        <f t="shared" si="200"/>
        <v>201524</v>
      </c>
    </row>
    <row r="4945" spans="7:14" ht="11.25" customHeight="1" x14ac:dyDescent="0.3">
      <c r="G4945" s="459"/>
      <c r="H4945" s="459">
        <v>4938</v>
      </c>
      <c r="I4945" s="444">
        <f t="shared" ca="1" si="198"/>
        <v>13709368818244.828</v>
      </c>
      <c r="J4945" s="444">
        <f t="array" ref="J4945">IFERROR(INDEX('Retirement Calculator'!J:J,MATCH('Isaac 401k'!N4945,'Retirement Calculator'!A:A,0),0),0)</f>
        <v>0</v>
      </c>
      <c r="K4945" s="444">
        <f t="shared" ca="1" si="196"/>
        <v>57122370076.020119</v>
      </c>
      <c r="L4945" s="444">
        <f t="shared" ca="1" si="197"/>
        <v>13766491188320.848</v>
      </c>
      <c r="M4945" s="460">
        <f t="shared" si="199"/>
        <v>0.05</v>
      </c>
      <c r="N4945" s="464">
        <f t="shared" si="200"/>
        <v>201555</v>
      </c>
    </row>
    <row r="4946" spans="7:14" ht="11.25" customHeight="1" x14ac:dyDescent="0.3">
      <c r="G4946" s="459"/>
      <c r="H4946" s="459">
        <v>4939</v>
      </c>
      <c r="I4946" s="444">
        <f t="shared" ca="1" si="198"/>
        <v>13766491188320.848</v>
      </c>
      <c r="J4946" s="444">
        <f t="array" ref="J4946">IFERROR(INDEX('Retirement Calculator'!J:J,MATCH('Isaac 401k'!N4946,'Retirement Calculator'!A:A,0),0),0)</f>
        <v>0</v>
      </c>
      <c r="K4946" s="444">
        <f t="shared" ca="1" si="196"/>
        <v>57360379951.336853</v>
      </c>
      <c r="L4946" s="444">
        <f t="shared" ca="1" si="197"/>
        <v>13823851568272.184</v>
      </c>
      <c r="M4946" s="460">
        <f t="shared" si="199"/>
        <v>0.05</v>
      </c>
      <c r="N4946" s="464">
        <f t="shared" si="200"/>
        <v>201585</v>
      </c>
    </row>
    <row r="4947" spans="7:14" ht="11.25" customHeight="1" x14ac:dyDescent="0.3">
      <c r="G4947" s="459"/>
      <c r="H4947" s="459">
        <v>4940</v>
      </c>
      <c r="I4947" s="444">
        <f t="shared" ca="1" si="198"/>
        <v>13823851568272.184</v>
      </c>
      <c r="J4947" s="444">
        <f t="array" ref="J4947">IFERROR(INDEX('Retirement Calculator'!J:J,MATCH('Isaac 401k'!N4947,'Retirement Calculator'!A:A,0),0),0)</f>
        <v>0</v>
      </c>
      <c r="K4947" s="444">
        <f t="shared" ca="1" si="196"/>
        <v>57599381534.467422</v>
      </c>
      <c r="L4947" s="444">
        <f t="shared" ca="1" si="197"/>
        <v>13881450949806.65</v>
      </c>
      <c r="M4947" s="460">
        <f t="shared" si="199"/>
        <v>0.05</v>
      </c>
      <c r="N4947" s="464">
        <f t="shared" si="200"/>
        <v>201616</v>
      </c>
    </row>
    <row r="4948" spans="7:14" ht="11.25" customHeight="1" x14ac:dyDescent="0.3">
      <c r="G4948" s="459"/>
      <c r="H4948" s="459">
        <v>4941</v>
      </c>
      <c r="I4948" s="444">
        <f t="shared" ca="1" si="198"/>
        <v>13881450949806.65</v>
      </c>
      <c r="J4948" s="444">
        <f t="array" ref="J4948">IFERROR(INDEX('Retirement Calculator'!J:J,MATCH('Isaac 401k'!N4948,'Retirement Calculator'!A:A,0),0),0)</f>
        <v>0</v>
      </c>
      <c r="K4948" s="444">
        <f t="shared" ca="1" si="196"/>
        <v>57839378957.527718</v>
      </c>
      <c r="L4948" s="444">
        <f t="shared" ca="1" si="197"/>
        <v>13939290328764.178</v>
      </c>
      <c r="M4948" s="460">
        <f t="shared" si="199"/>
        <v>0.05</v>
      </c>
      <c r="N4948" s="464">
        <f t="shared" si="200"/>
        <v>201647</v>
      </c>
    </row>
    <row r="4949" spans="7:14" ht="11.25" customHeight="1" x14ac:dyDescent="0.3">
      <c r="G4949" s="459"/>
      <c r="H4949" s="459">
        <v>4942</v>
      </c>
      <c r="I4949" s="444">
        <f t="shared" ca="1" si="198"/>
        <v>13939290328764.178</v>
      </c>
      <c r="J4949" s="444">
        <f t="array" ref="J4949">IFERROR(INDEX('Retirement Calculator'!J:J,MATCH('Isaac 401k'!N4949,'Retirement Calculator'!A:A,0),0),0)</f>
        <v>0</v>
      </c>
      <c r="K4949" s="444">
        <f t="shared" ca="1" si="196"/>
        <v>58080376369.850746</v>
      </c>
      <c r="L4949" s="444">
        <f t="shared" ca="1" si="197"/>
        <v>13997370705134.029</v>
      </c>
      <c r="M4949" s="460">
        <f t="shared" si="199"/>
        <v>0.05</v>
      </c>
      <c r="N4949" s="464">
        <f t="shared" si="200"/>
        <v>201676</v>
      </c>
    </row>
    <row r="4950" spans="7:14" ht="11.25" customHeight="1" x14ac:dyDescent="0.3">
      <c r="G4950" s="459"/>
      <c r="H4950" s="459">
        <v>4943</v>
      </c>
      <c r="I4950" s="444">
        <f t="shared" ca="1" si="198"/>
        <v>13997370705134.029</v>
      </c>
      <c r="J4950" s="444">
        <f t="array" ref="J4950">IFERROR(INDEX('Retirement Calculator'!J:J,MATCH('Isaac 401k'!N4950,'Retirement Calculator'!A:A,0),0),0)</f>
        <v>0</v>
      </c>
      <c r="K4950" s="444">
        <f t="shared" ca="1" si="196"/>
        <v>58322377938.058456</v>
      </c>
      <c r="L4950" s="444">
        <f t="shared" ca="1" si="197"/>
        <v>14055693083072.088</v>
      </c>
      <c r="M4950" s="460">
        <f t="shared" si="199"/>
        <v>0.05</v>
      </c>
      <c r="N4950" s="464">
        <f t="shared" si="200"/>
        <v>201707</v>
      </c>
    </row>
    <row r="4951" spans="7:14" ht="11.25" customHeight="1" x14ac:dyDescent="0.3">
      <c r="G4951" s="459"/>
      <c r="H4951" s="459">
        <v>4944</v>
      </c>
      <c r="I4951" s="444">
        <f t="shared" ca="1" si="198"/>
        <v>14055693083072.088</v>
      </c>
      <c r="J4951" s="444">
        <f t="array" ref="J4951">IFERROR(INDEX('Retirement Calculator'!J:J,MATCH('Isaac 401k'!N4951,'Retirement Calculator'!A:A,0),0),0)</f>
        <v>0</v>
      </c>
      <c r="K4951" s="444">
        <f t="shared" ca="1" si="196"/>
        <v>58565387846.133698</v>
      </c>
      <c r="L4951" s="444">
        <f t="shared" ca="1" si="197"/>
        <v>14114258470918.221</v>
      </c>
      <c r="M4951" s="460">
        <f t="shared" si="199"/>
        <v>0.05</v>
      </c>
      <c r="N4951" s="464">
        <f t="shared" si="200"/>
        <v>201737</v>
      </c>
    </row>
    <row r="4952" spans="7:14" ht="11.25" customHeight="1" x14ac:dyDescent="0.3">
      <c r="G4952" s="459"/>
      <c r="H4952" s="459">
        <v>4945</v>
      </c>
      <c r="I4952" s="444">
        <f t="shared" ca="1" si="198"/>
        <v>14114258470918.221</v>
      </c>
      <c r="J4952" s="444">
        <f t="array" ref="J4952">IFERROR(INDEX('Retirement Calculator'!J:J,MATCH('Isaac 401k'!N4952,'Retirement Calculator'!A:A,0),0),0)</f>
        <v>0</v>
      </c>
      <c r="K4952" s="444">
        <f t="shared" ca="1" si="196"/>
        <v>58809410295.492584</v>
      </c>
      <c r="L4952" s="444">
        <f t="shared" ca="1" si="197"/>
        <v>14173067881213.713</v>
      </c>
      <c r="M4952" s="460">
        <f t="shared" si="199"/>
        <v>0.05</v>
      </c>
      <c r="N4952" s="464">
        <f t="shared" si="200"/>
        <v>201768</v>
      </c>
    </row>
    <row r="4953" spans="7:14" ht="11.25" customHeight="1" x14ac:dyDescent="0.3">
      <c r="G4953" s="459"/>
      <c r="H4953" s="459">
        <v>4946</v>
      </c>
      <c r="I4953" s="444">
        <f t="shared" ca="1" si="198"/>
        <v>14173067881213.713</v>
      </c>
      <c r="J4953" s="444">
        <f t="array" ref="J4953">IFERROR(INDEX('Retirement Calculator'!J:J,MATCH('Isaac 401k'!N4953,'Retirement Calculator'!A:A,0),0),0)</f>
        <v>0</v>
      </c>
      <c r="K4953" s="444">
        <f t="shared" ca="1" si="196"/>
        <v>59054449505.057144</v>
      </c>
      <c r="L4953" s="444">
        <f t="shared" ca="1" si="197"/>
        <v>14232122330718.77</v>
      </c>
      <c r="M4953" s="460">
        <f t="shared" si="199"/>
        <v>0.05</v>
      </c>
      <c r="N4953" s="464">
        <f t="shared" si="200"/>
        <v>201798</v>
      </c>
    </row>
    <row r="4954" spans="7:14" ht="11.25" customHeight="1" x14ac:dyDescent="0.3">
      <c r="G4954" s="459"/>
      <c r="H4954" s="459">
        <v>4947</v>
      </c>
      <c r="I4954" s="444">
        <f t="shared" ca="1" si="198"/>
        <v>14232122330718.77</v>
      </c>
      <c r="J4954" s="444">
        <f t="array" ref="J4954">IFERROR(INDEX('Retirement Calculator'!J:J,MATCH('Isaac 401k'!N4954,'Retirement Calculator'!A:A,0),0),0)</f>
        <v>0</v>
      </c>
      <c r="K4954" s="444">
        <f t="shared" ca="1" si="196"/>
        <v>59300509711.328209</v>
      </c>
      <c r="L4954" s="444">
        <f t="shared" ca="1" si="197"/>
        <v>14291422840430.098</v>
      </c>
      <c r="M4954" s="460">
        <f t="shared" si="199"/>
        <v>0.05</v>
      </c>
      <c r="N4954" s="464">
        <f t="shared" si="200"/>
        <v>201829</v>
      </c>
    </row>
    <row r="4955" spans="7:14" ht="11.25" customHeight="1" x14ac:dyDescent="0.3">
      <c r="G4955" s="459"/>
      <c r="H4955" s="459">
        <v>4948</v>
      </c>
      <c r="I4955" s="444">
        <f t="shared" ca="1" si="198"/>
        <v>14291422840430.098</v>
      </c>
      <c r="J4955" s="444">
        <f t="array" ref="J4955">IFERROR(INDEX('Retirement Calculator'!J:J,MATCH('Isaac 401k'!N4955,'Retirement Calculator'!A:A,0),0),0)</f>
        <v>0</v>
      </c>
      <c r="K4955" s="444">
        <f t="shared" ca="1" si="196"/>
        <v>59547595168.458748</v>
      </c>
      <c r="L4955" s="444">
        <f t="shared" ca="1" si="197"/>
        <v>14350970435598.557</v>
      </c>
      <c r="M4955" s="460">
        <f t="shared" si="199"/>
        <v>0.05</v>
      </c>
      <c r="N4955" s="464">
        <f t="shared" si="200"/>
        <v>201860</v>
      </c>
    </row>
    <row r="4956" spans="7:14" ht="11.25" customHeight="1" x14ac:dyDescent="0.3">
      <c r="G4956" s="459"/>
      <c r="H4956" s="459">
        <v>4949</v>
      </c>
      <c r="I4956" s="444">
        <f t="shared" ca="1" si="198"/>
        <v>14350970435598.557</v>
      </c>
      <c r="J4956" s="444">
        <f t="array" ref="J4956">IFERROR(INDEX('Retirement Calculator'!J:J,MATCH('Isaac 401k'!N4956,'Retirement Calculator'!A:A,0),0),0)</f>
        <v>0</v>
      </c>
      <c r="K4956" s="444">
        <f t="shared" ca="1" si="196"/>
        <v>59795710148.327316</v>
      </c>
      <c r="L4956" s="444">
        <f t="shared" ca="1" si="197"/>
        <v>14410766145746.885</v>
      </c>
      <c r="M4956" s="460">
        <f t="shared" si="199"/>
        <v>0.05</v>
      </c>
      <c r="N4956" s="464">
        <f t="shared" si="200"/>
        <v>201890</v>
      </c>
    </row>
    <row r="4957" spans="7:14" ht="11.25" customHeight="1" x14ac:dyDescent="0.3">
      <c r="G4957" s="459"/>
      <c r="H4957" s="459">
        <v>4950</v>
      </c>
      <c r="I4957" s="444">
        <f t="shared" ca="1" si="198"/>
        <v>14410766145746.885</v>
      </c>
      <c r="J4957" s="444">
        <f t="array" ref="J4957">IFERROR(INDEX('Retirement Calculator'!J:J,MATCH('Isaac 401k'!N4957,'Retirement Calculator'!A:A,0),0),0)</f>
        <v>0</v>
      </c>
      <c r="K4957" s="444">
        <f t="shared" ca="1" si="196"/>
        <v>60044858940.612022</v>
      </c>
      <c r="L4957" s="444">
        <f t="shared" ca="1" si="197"/>
        <v>14470811004687.496</v>
      </c>
      <c r="M4957" s="460">
        <f t="shared" si="199"/>
        <v>0.05</v>
      </c>
      <c r="N4957" s="464">
        <f t="shared" si="200"/>
        <v>201921</v>
      </c>
    </row>
    <row r="4958" spans="7:14" ht="11.25" customHeight="1" x14ac:dyDescent="0.3">
      <c r="G4958" s="459"/>
      <c r="H4958" s="459">
        <v>4951</v>
      </c>
      <c r="I4958" s="444">
        <f t="shared" ca="1" si="198"/>
        <v>14470811004687.496</v>
      </c>
      <c r="J4958" s="444">
        <f t="array" ref="J4958">IFERROR(INDEX('Retirement Calculator'!J:J,MATCH('Isaac 401k'!N4958,'Retirement Calculator'!A:A,0),0),0)</f>
        <v>0</v>
      </c>
      <c r="K4958" s="444">
        <f t="shared" ca="1" si="196"/>
        <v>60295045852.864571</v>
      </c>
      <c r="L4958" s="444">
        <f t="shared" ca="1" si="197"/>
        <v>14531106050540.361</v>
      </c>
      <c r="M4958" s="460">
        <f t="shared" si="199"/>
        <v>0.05</v>
      </c>
      <c r="N4958" s="464">
        <f t="shared" si="200"/>
        <v>201951</v>
      </c>
    </row>
    <row r="4959" spans="7:14" ht="11.25" customHeight="1" x14ac:dyDescent="0.3">
      <c r="G4959" s="459"/>
      <c r="H4959" s="459">
        <v>4952</v>
      </c>
      <c r="I4959" s="444">
        <f t="shared" ca="1" si="198"/>
        <v>14531106050540.361</v>
      </c>
      <c r="J4959" s="444">
        <f t="array" ref="J4959">IFERROR(INDEX('Retirement Calculator'!J:J,MATCH('Isaac 401k'!N4959,'Retirement Calculator'!A:A,0),0),0)</f>
        <v>0</v>
      </c>
      <c r="K4959" s="444">
        <f t="shared" ca="1" si="196"/>
        <v>60546275210.584839</v>
      </c>
      <c r="L4959" s="444">
        <f t="shared" ca="1" si="197"/>
        <v>14591652325750.945</v>
      </c>
      <c r="M4959" s="460">
        <f t="shared" si="199"/>
        <v>0.05</v>
      </c>
      <c r="N4959" s="464">
        <f t="shared" si="200"/>
        <v>201982</v>
      </c>
    </row>
    <row r="4960" spans="7:14" ht="11.25" customHeight="1" x14ac:dyDescent="0.3">
      <c r="G4960" s="459"/>
      <c r="H4960" s="459">
        <v>4953</v>
      </c>
      <c r="I4960" s="444">
        <f t="shared" ca="1" si="198"/>
        <v>14591652325750.945</v>
      </c>
      <c r="J4960" s="444">
        <f t="array" ref="J4960">IFERROR(INDEX('Retirement Calculator'!J:J,MATCH('Isaac 401k'!N4960,'Retirement Calculator'!A:A,0),0),0)</f>
        <v>0</v>
      </c>
      <c r="K4960" s="444">
        <f t="shared" ca="1" si="196"/>
        <v>60798551357.295593</v>
      </c>
      <c r="L4960" s="444">
        <f t="shared" ca="1" si="197"/>
        <v>14652450877108.24</v>
      </c>
      <c r="M4960" s="460">
        <f t="shared" si="199"/>
        <v>0.05</v>
      </c>
      <c r="N4960" s="464">
        <f t="shared" si="200"/>
        <v>202013</v>
      </c>
    </row>
    <row r="4961" spans="7:14" ht="11.25" customHeight="1" x14ac:dyDescent="0.3">
      <c r="G4961" s="459"/>
      <c r="H4961" s="459">
        <v>4954</v>
      </c>
      <c r="I4961" s="444">
        <f t="shared" ca="1" si="198"/>
        <v>14652450877108.24</v>
      </c>
      <c r="J4961" s="444">
        <f t="array" ref="J4961">IFERROR(INDEX('Retirement Calculator'!J:J,MATCH('Isaac 401k'!N4961,'Retirement Calculator'!A:A,0),0),0)</f>
        <v>0</v>
      </c>
      <c r="K4961" s="444">
        <f t="shared" ca="1" si="196"/>
        <v>61051878654.617668</v>
      </c>
      <c r="L4961" s="444">
        <f t="shared" ca="1" si="197"/>
        <v>14713502755762.857</v>
      </c>
      <c r="M4961" s="460">
        <f t="shared" si="199"/>
        <v>0.05</v>
      </c>
      <c r="N4961" s="464">
        <f t="shared" si="200"/>
        <v>202041</v>
      </c>
    </row>
    <row r="4962" spans="7:14" ht="11.25" customHeight="1" x14ac:dyDescent="0.3">
      <c r="G4962" s="459"/>
      <c r="H4962" s="459">
        <v>4955</v>
      </c>
      <c r="I4962" s="444">
        <f t="shared" ca="1" si="198"/>
        <v>14713502755762.857</v>
      </c>
      <c r="J4962" s="444">
        <f t="array" ref="J4962">IFERROR(INDEX('Retirement Calculator'!J:J,MATCH('Isaac 401k'!N4962,'Retirement Calculator'!A:A,0),0),0)</f>
        <v>0</v>
      </c>
      <c r="K4962" s="444">
        <f t="shared" ca="1" si="196"/>
        <v>61306261482.345238</v>
      </c>
      <c r="L4962" s="444">
        <f t="shared" ca="1" si="197"/>
        <v>14774809017245.203</v>
      </c>
      <c r="M4962" s="460">
        <f t="shared" si="199"/>
        <v>0.05</v>
      </c>
      <c r="N4962" s="464">
        <f t="shared" si="200"/>
        <v>202072</v>
      </c>
    </row>
    <row r="4963" spans="7:14" ht="11.25" customHeight="1" x14ac:dyDescent="0.3">
      <c r="G4963" s="459"/>
      <c r="H4963" s="459">
        <v>4956</v>
      </c>
      <c r="I4963" s="444">
        <f t="shared" ca="1" si="198"/>
        <v>14774809017245.203</v>
      </c>
      <c r="J4963" s="444">
        <f t="array" ref="J4963">IFERROR(INDEX('Retirement Calculator'!J:J,MATCH('Isaac 401k'!N4963,'Retirement Calculator'!A:A,0),0),0)</f>
        <v>0</v>
      </c>
      <c r="K4963" s="444">
        <f t="shared" ca="1" si="196"/>
        <v>61561704238.521675</v>
      </c>
      <c r="L4963" s="444">
        <f t="shared" ca="1" si="197"/>
        <v>14836370721483.725</v>
      </c>
      <c r="M4963" s="460">
        <f t="shared" si="199"/>
        <v>0.05</v>
      </c>
      <c r="N4963" s="464">
        <f t="shared" si="200"/>
        <v>202102</v>
      </c>
    </row>
    <row r="4964" spans="7:14" ht="11.25" customHeight="1" x14ac:dyDescent="0.3">
      <c r="G4964" s="459"/>
      <c r="H4964" s="459">
        <v>4957</v>
      </c>
      <c r="I4964" s="444">
        <f t="shared" ca="1" si="198"/>
        <v>14836370721483.725</v>
      </c>
      <c r="J4964" s="444">
        <f t="array" ref="J4964">IFERROR(INDEX('Retirement Calculator'!J:J,MATCH('Isaac 401k'!N4964,'Retirement Calculator'!A:A,0),0),0)</f>
        <v>0</v>
      </c>
      <c r="K4964" s="444">
        <f t="shared" ca="1" si="196"/>
        <v>61818211339.515518</v>
      </c>
      <c r="L4964" s="444">
        <f t="shared" ca="1" si="197"/>
        <v>14898188932823.24</v>
      </c>
      <c r="M4964" s="460">
        <f t="shared" si="199"/>
        <v>0.05</v>
      </c>
      <c r="N4964" s="464">
        <f t="shared" si="200"/>
        <v>202133</v>
      </c>
    </row>
    <row r="4965" spans="7:14" ht="11.25" customHeight="1" x14ac:dyDescent="0.3">
      <c r="G4965" s="459"/>
      <c r="H4965" s="459">
        <v>4958</v>
      </c>
      <c r="I4965" s="444">
        <f t="shared" ca="1" si="198"/>
        <v>14898188932823.24</v>
      </c>
      <c r="J4965" s="444">
        <f t="array" ref="J4965">IFERROR(INDEX('Retirement Calculator'!J:J,MATCH('Isaac 401k'!N4965,'Retirement Calculator'!A:A,0),0),0)</f>
        <v>0</v>
      </c>
      <c r="K4965" s="444">
        <f t="shared" ca="1" si="196"/>
        <v>62075787220.096832</v>
      </c>
      <c r="L4965" s="444">
        <f t="shared" ca="1" si="197"/>
        <v>14960264720043.338</v>
      </c>
      <c r="M4965" s="460">
        <f t="shared" si="199"/>
        <v>0.05</v>
      </c>
      <c r="N4965" s="464">
        <f t="shared" si="200"/>
        <v>202163</v>
      </c>
    </row>
    <row r="4966" spans="7:14" ht="11.25" customHeight="1" x14ac:dyDescent="0.3">
      <c r="G4966" s="459"/>
      <c r="H4966" s="459">
        <v>4959</v>
      </c>
      <c r="I4966" s="444">
        <f t="shared" ca="1" si="198"/>
        <v>14960264720043.338</v>
      </c>
      <c r="J4966" s="444">
        <f t="array" ref="J4966">IFERROR(INDEX('Retirement Calculator'!J:J,MATCH('Isaac 401k'!N4966,'Retirement Calculator'!A:A,0),0),0)</f>
        <v>0</v>
      </c>
      <c r="K4966" s="444">
        <f t="shared" ca="1" si="196"/>
        <v>62334436333.513908</v>
      </c>
      <c r="L4966" s="444">
        <f t="shared" ca="1" si="197"/>
        <v>15022599156376.852</v>
      </c>
      <c r="M4966" s="460">
        <f t="shared" si="199"/>
        <v>0.05</v>
      </c>
      <c r="N4966" s="464">
        <f t="shared" si="200"/>
        <v>202194</v>
      </c>
    </row>
    <row r="4967" spans="7:14" ht="11.25" customHeight="1" x14ac:dyDescent="0.3">
      <c r="G4967" s="459"/>
      <c r="H4967" s="459">
        <v>4960</v>
      </c>
      <c r="I4967" s="444">
        <f t="shared" ca="1" si="198"/>
        <v>15022599156376.852</v>
      </c>
      <c r="J4967" s="444">
        <f t="array" ref="J4967">IFERROR(INDEX('Retirement Calculator'!J:J,MATCH('Isaac 401k'!N4967,'Retirement Calculator'!A:A,0),0),0)</f>
        <v>0</v>
      </c>
      <c r="K4967" s="444">
        <f t="shared" ca="1" si="196"/>
        <v>62594163151.570213</v>
      </c>
      <c r="L4967" s="444">
        <f t="shared" ca="1" si="197"/>
        <v>15085193319528.422</v>
      </c>
      <c r="M4967" s="460">
        <f t="shared" si="199"/>
        <v>0.05</v>
      </c>
      <c r="N4967" s="464">
        <f t="shared" si="200"/>
        <v>202225</v>
      </c>
    </row>
    <row r="4968" spans="7:14" ht="11.25" customHeight="1" x14ac:dyDescent="0.3">
      <c r="G4968" s="459"/>
      <c r="H4968" s="459">
        <v>4961</v>
      </c>
      <c r="I4968" s="444">
        <f t="shared" ca="1" si="198"/>
        <v>15085193319528.422</v>
      </c>
      <c r="J4968" s="444">
        <f t="array" ref="J4968">IFERROR(INDEX('Retirement Calculator'!J:J,MATCH('Isaac 401k'!N4968,'Retirement Calculator'!A:A,0),0),0)</f>
        <v>0</v>
      </c>
      <c r="K4968" s="444">
        <f t="shared" ca="1" si="196"/>
        <v>62854972164.701759</v>
      </c>
      <c r="L4968" s="444">
        <f t="shared" ca="1" si="197"/>
        <v>15148048291693.123</v>
      </c>
      <c r="M4968" s="460">
        <f t="shared" si="199"/>
        <v>0.05</v>
      </c>
      <c r="N4968" s="464">
        <f t="shared" si="200"/>
        <v>202255</v>
      </c>
    </row>
    <row r="4969" spans="7:14" ht="11.25" customHeight="1" x14ac:dyDescent="0.3">
      <c r="G4969" s="459"/>
      <c r="H4969" s="459">
        <v>4962</v>
      </c>
      <c r="I4969" s="444">
        <f t="shared" ca="1" si="198"/>
        <v>15148048291693.123</v>
      </c>
      <c r="J4969" s="444">
        <f t="array" ref="J4969">IFERROR(INDEX('Retirement Calculator'!J:J,MATCH('Isaac 401k'!N4969,'Retirement Calculator'!A:A,0),0),0)</f>
        <v>0</v>
      </c>
      <c r="K4969" s="444">
        <f t="shared" ca="1" si="196"/>
        <v>63116867882.05468</v>
      </c>
      <c r="L4969" s="444">
        <f t="shared" ca="1" si="197"/>
        <v>15211165159575.178</v>
      </c>
      <c r="M4969" s="460">
        <f t="shared" si="199"/>
        <v>0.05</v>
      </c>
      <c r="N4969" s="464">
        <f t="shared" si="200"/>
        <v>202286</v>
      </c>
    </row>
    <row r="4970" spans="7:14" ht="11.25" customHeight="1" x14ac:dyDescent="0.3">
      <c r="G4970" s="459"/>
      <c r="H4970" s="459">
        <v>4963</v>
      </c>
      <c r="I4970" s="444">
        <f t="shared" ca="1" si="198"/>
        <v>15211165159575.178</v>
      </c>
      <c r="J4970" s="444">
        <f t="array" ref="J4970">IFERROR(INDEX('Retirement Calculator'!J:J,MATCH('Isaac 401k'!N4970,'Retirement Calculator'!A:A,0),0),0)</f>
        <v>0</v>
      </c>
      <c r="K4970" s="444">
        <f t="shared" ca="1" si="196"/>
        <v>63379854831.56324</v>
      </c>
      <c r="L4970" s="444">
        <f t="shared" ca="1" si="197"/>
        <v>15274545014406.74</v>
      </c>
      <c r="M4970" s="460">
        <f t="shared" si="199"/>
        <v>0.05</v>
      </c>
      <c r="N4970" s="464">
        <f t="shared" si="200"/>
        <v>202316</v>
      </c>
    </row>
    <row r="4971" spans="7:14" ht="11.25" customHeight="1" x14ac:dyDescent="0.3">
      <c r="G4971" s="459"/>
      <c r="H4971" s="459">
        <v>4964</v>
      </c>
      <c r="I4971" s="444">
        <f t="shared" ca="1" si="198"/>
        <v>15274545014406.74</v>
      </c>
      <c r="J4971" s="444">
        <f t="array" ref="J4971">IFERROR(INDEX('Retirement Calculator'!J:J,MATCH('Isaac 401k'!N4971,'Retirement Calculator'!A:A,0),0),0)</f>
        <v>0</v>
      </c>
      <c r="K4971" s="444">
        <f t="shared" ca="1" si="196"/>
        <v>63643937560.028084</v>
      </c>
      <c r="L4971" s="444">
        <f t="shared" ca="1" si="197"/>
        <v>15338188951966.768</v>
      </c>
      <c r="M4971" s="460">
        <f t="shared" si="199"/>
        <v>0.05</v>
      </c>
      <c r="N4971" s="464">
        <f t="shared" si="200"/>
        <v>202347</v>
      </c>
    </row>
    <row r="4972" spans="7:14" ht="11.25" customHeight="1" x14ac:dyDescent="0.3">
      <c r="G4972" s="459"/>
      <c r="H4972" s="459">
        <v>4965</v>
      </c>
      <c r="I4972" s="444">
        <f t="shared" ca="1" si="198"/>
        <v>15338188951966.768</v>
      </c>
      <c r="J4972" s="444">
        <f t="array" ref="J4972">IFERROR(INDEX('Retirement Calculator'!J:J,MATCH('Isaac 401k'!N4972,'Retirement Calculator'!A:A,0),0),0)</f>
        <v>0</v>
      </c>
      <c r="K4972" s="444">
        <f t="shared" ca="1" si="196"/>
        <v>63909120633.194862</v>
      </c>
      <c r="L4972" s="444">
        <f t="shared" ca="1" si="197"/>
        <v>15402098072599.963</v>
      </c>
      <c r="M4972" s="460">
        <f t="shared" si="199"/>
        <v>0.05</v>
      </c>
      <c r="N4972" s="464">
        <f t="shared" si="200"/>
        <v>202378</v>
      </c>
    </row>
    <row r="4973" spans="7:14" ht="11.25" customHeight="1" x14ac:dyDescent="0.3">
      <c r="G4973" s="459"/>
      <c r="H4973" s="459">
        <v>4966</v>
      </c>
      <c r="I4973" s="444">
        <f t="shared" ca="1" si="198"/>
        <v>15402098072599.963</v>
      </c>
      <c r="J4973" s="444">
        <f t="array" ref="J4973">IFERROR(INDEX('Retirement Calculator'!J:J,MATCH('Isaac 401k'!N4973,'Retirement Calculator'!A:A,0),0),0)</f>
        <v>0</v>
      </c>
      <c r="K4973" s="444">
        <f t="shared" ca="1" si="196"/>
        <v>64175408635.833176</v>
      </c>
      <c r="L4973" s="444">
        <f t="shared" ca="1" si="197"/>
        <v>15466273481235.797</v>
      </c>
      <c r="M4973" s="460">
        <f t="shared" si="199"/>
        <v>0.05</v>
      </c>
      <c r="N4973" s="464">
        <f t="shared" si="200"/>
        <v>202406</v>
      </c>
    </row>
    <row r="4974" spans="7:14" ht="11.25" customHeight="1" x14ac:dyDescent="0.3">
      <c r="G4974" s="459"/>
      <c r="H4974" s="459">
        <v>4967</v>
      </c>
      <c r="I4974" s="444">
        <f t="shared" ca="1" si="198"/>
        <v>15466273481235.797</v>
      </c>
      <c r="J4974" s="444">
        <f t="array" ref="J4974">IFERROR(INDEX('Retirement Calculator'!J:J,MATCH('Isaac 401k'!N4974,'Retirement Calculator'!A:A,0),0),0)</f>
        <v>0</v>
      </c>
      <c r="K4974" s="444">
        <f t="shared" ca="1" si="196"/>
        <v>64442806171.815819</v>
      </c>
      <c r="L4974" s="444">
        <f t="shared" ca="1" si="197"/>
        <v>15530716287407.613</v>
      </c>
      <c r="M4974" s="460">
        <f t="shared" si="199"/>
        <v>0.05</v>
      </c>
      <c r="N4974" s="464">
        <f t="shared" si="200"/>
        <v>202437</v>
      </c>
    </row>
    <row r="4975" spans="7:14" ht="11.25" customHeight="1" x14ac:dyDescent="0.3">
      <c r="G4975" s="459"/>
      <c r="H4975" s="459">
        <v>4968</v>
      </c>
      <c r="I4975" s="444">
        <f t="shared" ca="1" si="198"/>
        <v>15530716287407.613</v>
      </c>
      <c r="J4975" s="444">
        <f t="array" ref="J4975">IFERROR(INDEX('Retirement Calculator'!J:J,MATCH('Isaac 401k'!N4975,'Retirement Calculator'!A:A,0),0),0)</f>
        <v>0</v>
      </c>
      <c r="K4975" s="444">
        <f t="shared" ca="1" si="196"/>
        <v>64711317864.198387</v>
      </c>
      <c r="L4975" s="444">
        <f t="shared" ca="1" si="197"/>
        <v>15595427605271.813</v>
      </c>
      <c r="M4975" s="460">
        <f t="shared" si="199"/>
        <v>0.05</v>
      </c>
      <c r="N4975" s="464">
        <f t="shared" si="200"/>
        <v>202467</v>
      </c>
    </row>
    <row r="4976" spans="7:14" ht="11.25" customHeight="1" x14ac:dyDescent="0.3">
      <c r="G4976" s="459"/>
      <c r="H4976" s="459">
        <v>4969</v>
      </c>
      <c r="I4976" s="444">
        <f t="shared" ca="1" si="198"/>
        <v>15595427605271.813</v>
      </c>
      <c r="J4976" s="444">
        <f t="array" ref="J4976">IFERROR(INDEX('Retirement Calculator'!J:J,MATCH('Isaac 401k'!N4976,'Retirement Calculator'!A:A,0),0),0)</f>
        <v>0</v>
      </c>
      <c r="K4976" s="444">
        <f t="shared" ca="1" si="196"/>
        <v>64980948355.299225</v>
      </c>
      <c r="L4976" s="444">
        <f t="shared" ca="1" si="197"/>
        <v>15660408553627.111</v>
      </c>
      <c r="M4976" s="460">
        <f t="shared" si="199"/>
        <v>0.05</v>
      </c>
      <c r="N4976" s="464">
        <f t="shared" si="200"/>
        <v>202498</v>
      </c>
    </row>
    <row r="4977" spans="7:14" ht="11.25" customHeight="1" x14ac:dyDescent="0.3">
      <c r="G4977" s="459"/>
      <c r="H4977" s="459">
        <v>4970</v>
      </c>
      <c r="I4977" s="444">
        <f t="shared" ca="1" si="198"/>
        <v>15660408553627.111</v>
      </c>
      <c r="J4977" s="444">
        <f t="array" ref="J4977">IFERROR(INDEX('Retirement Calculator'!J:J,MATCH('Isaac 401k'!N4977,'Retirement Calculator'!A:A,0),0),0)</f>
        <v>0</v>
      </c>
      <c r="K4977" s="444">
        <f t="shared" ca="1" si="196"/>
        <v>65251702306.779633</v>
      </c>
      <c r="L4977" s="444">
        <f t="shared" ca="1" si="197"/>
        <v>15725660255933.891</v>
      </c>
      <c r="M4977" s="460">
        <f t="shared" si="199"/>
        <v>0.05</v>
      </c>
      <c r="N4977" s="464">
        <f t="shared" si="200"/>
        <v>202528</v>
      </c>
    </row>
    <row r="4978" spans="7:14" ht="11.25" customHeight="1" x14ac:dyDescent="0.3">
      <c r="G4978" s="459"/>
      <c r="H4978" s="459">
        <v>4971</v>
      </c>
      <c r="I4978" s="444">
        <f t="shared" ca="1" si="198"/>
        <v>15725660255933.891</v>
      </c>
      <c r="J4978" s="444">
        <f t="array" ref="J4978">IFERROR(INDEX('Retirement Calculator'!J:J,MATCH('Isaac 401k'!N4978,'Retirement Calculator'!A:A,0),0),0)</f>
        <v>0</v>
      </c>
      <c r="K4978" s="444">
        <f t="shared" ca="1" si="196"/>
        <v>65523584399.724533</v>
      </c>
      <c r="L4978" s="444">
        <f t="shared" ca="1" si="197"/>
        <v>15791183840333.615</v>
      </c>
      <c r="M4978" s="460">
        <f t="shared" si="199"/>
        <v>0.05</v>
      </c>
      <c r="N4978" s="464">
        <f t="shared" si="200"/>
        <v>202559</v>
      </c>
    </row>
    <row r="4979" spans="7:14" ht="11.25" customHeight="1" x14ac:dyDescent="0.3">
      <c r="G4979" s="459"/>
      <c r="H4979" s="459">
        <v>4972</v>
      </c>
      <c r="I4979" s="444">
        <f t="shared" ca="1" si="198"/>
        <v>15791183840333.615</v>
      </c>
      <c r="J4979" s="444">
        <f t="array" ref="J4979">IFERROR(INDEX('Retirement Calculator'!J:J,MATCH('Isaac 401k'!N4979,'Retirement Calculator'!A:A,0),0),0)</f>
        <v>0</v>
      </c>
      <c r="K4979" s="444">
        <f t="shared" ca="1" si="196"/>
        <v>65796599334.723396</v>
      </c>
      <c r="L4979" s="444">
        <f t="shared" ca="1" si="197"/>
        <v>15856980439668.338</v>
      </c>
      <c r="M4979" s="460">
        <f t="shared" si="199"/>
        <v>0.05</v>
      </c>
      <c r="N4979" s="464">
        <f t="shared" si="200"/>
        <v>202590</v>
      </c>
    </row>
    <row r="4980" spans="7:14" ht="11.25" customHeight="1" x14ac:dyDescent="0.3">
      <c r="G4980" s="459"/>
      <c r="H4980" s="459">
        <v>4973</v>
      </c>
      <c r="I4980" s="444">
        <f t="shared" ca="1" si="198"/>
        <v>15856980439668.338</v>
      </c>
      <c r="J4980" s="444">
        <f t="array" ref="J4980">IFERROR(INDEX('Retirement Calculator'!J:J,MATCH('Isaac 401k'!N4980,'Retirement Calculator'!A:A,0),0),0)</f>
        <v>0</v>
      </c>
      <c r="K4980" s="444">
        <f t="shared" ca="1" si="196"/>
        <v>66070751831.951408</v>
      </c>
      <c r="L4980" s="444">
        <f t="shared" ca="1" si="197"/>
        <v>15923051191500.289</v>
      </c>
      <c r="M4980" s="460">
        <f t="shared" si="199"/>
        <v>0.05</v>
      </c>
      <c r="N4980" s="464">
        <f t="shared" si="200"/>
        <v>202620</v>
      </c>
    </row>
    <row r="4981" spans="7:14" ht="11.25" customHeight="1" x14ac:dyDescent="0.3">
      <c r="G4981" s="459"/>
      <c r="H4981" s="459">
        <v>4974</v>
      </c>
      <c r="I4981" s="444">
        <f t="shared" ca="1" si="198"/>
        <v>15923051191500.289</v>
      </c>
      <c r="J4981" s="444">
        <f t="array" ref="J4981">IFERROR(INDEX('Retirement Calculator'!J:J,MATCH('Isaac 401k'!N4981,'Retirement Calculator'!A:A,0),0),0)</f>
        <v>0</v>
      </c>
      <c r="K4981" s="444">
        <f t="shared" ca="1" si="196"/>
        <v>66346046631.251205</v>
      </c>
      <c r="L4981" s="444">
        <f t="shared" ca="1" si="197"/>
        <v>15989397238131.541</v>
      </c>
      <c r="M4981" s="460">
        <f t="shared" si="199"/>
        <v>0.05</v>
      </c>
      <c r="N4981" s="464">
        <f t="shared" si="200"/>
        <v>202651</v>
      </c>
    </row>
    <row r="4982" spans="7:14" ht="11.25" customHeight="1" x14ac:dyDescent="0.3">
      <c r="G4982" s="459"/>
      <c r="H4982" s="459">
        <v>4975</v>
      </c>
      <c r="I4982" s="444">
        <f t="shared" ca="1" si="198"/>
        <v>15989397238131.541</v>
      </c>
      <c r="J4982" s="444">
        <f t="array" ref="J4982">IFERROR(INDEX('Retirement Calculator'!J:J,MATCH('Isaac 401k'!N4982,'Retirement Calculator'!A:A,0),0),0)</f>
        <v>0</v>
      </c>
      <c r="K4982" s="444">
        <f t="shared" ca="1" si="196"/>
        <v>66622488492.214752</v>
      </c>
      <c r="L4982" s="444">
        <f t="shared" ca="1" si="197"/>
        <v>16056019726623.756</v>
      </c>
      <c r="M4982" s="460">
        <f t="shared" si="199"/>
        <v>0.05</v>
      </c>
      <c r="N4982" s="464">
        <f t="shared" si="200"/>
        <v>202681</v>
      </c>
    </row>
    <row r="4983" spans="7:14" ht="11.25" customHeight="1" x14ac:dyDescent="0.3">
      <c r="G4983" s="459"/>
      <c r="H4983" s="459">
        <v>4976</v>
      </c>
      <c r="I4983" s="444">
        <f t="shared" ca="1" si="198"/>
        <v>16056019726623.756</v>
      </c>
      <c r="J4983" s="444">
        <f t="array" ref="J4983">IFERROR(INDEX('Retirement Calculator'!J:J,MATCH('Isaac 401k'!N4983,'Retirement Calculator'!A:A,0),0),0)</f>
        <v>0</v>
      </c>
      <c r="K4983" s="444">
        <f t="shared" ca="1" si="196"/>
        <v>66900082194.265648</v>
      </c>
      <c r="L4983" s="444">
        <f t="shared" ca="1" si="197"/>
        <v>16122919808818.021</v>
      </c>
      <c r="M4983" s="460">
        <f t="shared" si="199"/>
        <v>0.05</v>
      </c>
      <c r="N4983" s="464">
        <f t="shared" si="200"/>
        <v>202712</v>
      </c>
    </row>
    <row r="4984" spans="7:14" ht="11.25" customHeight="1" x14ac:dyDescent="0.3">
      <c r="G4984" s="459"/>
      <c r="H4984" s="459">
        <v>4977</v>
      </c>
      <c r="I4984" s="444">
        <f t="shared" ca="1" si="198"/>
        <v>16122919808818.021</v>
      </c>
      <c r="J4984" s="444">
        <f t="array" ref="J4984">IFERROR(INDEX('Retirement Calculator'!J:J,MATCH('Isaac 401k'!N4984,'Retirement Calculator'!A:A,0),0),0)</f>
        <v>0</v>
      </c>
      <c r="K4984" s="444">
        <f t="shared" ca="1" si="196"/>
        <v>67178832536.741753</v>
      </c>
      <c r="L4984" s="444">
        <f t="shared" ca="1" si="197"/>
        <v>16190098641354.764</v>
      </c>
      <c r="M4984" s="460">
        <f t="shared" si="199"/>
        <v>0.05</v>
      </c>
      <c r="N4984" s="464">
        <f t="shared" si="200"/>
        <v>202743</v>
      </c>
    </row>
    <row r="4985" spans="7:14" ht="11.25" customHeight="1" x14ac:dyDescent="0.3">
      <c r="G4985" s="459"/>
      <c r="H4985" s="459">
        <v>4978</v>
      </c>
      <c r="I4985" s="444">
        <f t="shared" ca="1" si="198"/>
        <v>16190098641354.764</v>
      </c>
      <c r="J4985" s="444">
        <f t="array" ref="J4985">IFERROR(INDEX('Retirement Calculator'!J:J,MATCH('Isaac 401k'!N4985,'Retirement Calculator'!A:A,0),0),0)</f>
        <v>0</v>
      </c>
      <c r="K4985" s="444">
        <f t="shared" ca="1" si="196"/>
        <v>67458744338.97818</v>
      </c>
      <c r="L4985" s="444">
        <f t="shared" ca="1" si="197"/>
        <v>16257557385693.742</v>
      </c>
      <c r="M4985" s="460">
        <f t="shared" si="199"/>
        <v>0.05</v>
      </c>
      <c r="N4985" s="464">
        <f t="shared" si="200"/>
        <v>202771</v>
      </c>
    </row>
    <row r="4986" spans="7:14" ht="11.25" customHeight="1" x14ac:dyDescent="0.3">
      <c r="G4986" s="459"/>
      <c r="H4986" s="459">
        <v>4979</v>
      </c>
      <c r="I4986" s="444">
        <f t="shared" ca="1" si="198"/>
        <v>16257557385693.742</v>
      </c>
      <c r="J4986" s="444">
        <f t="array" ref="J4986">IFERROR(INDEX('Retirement Calculator'!J:J,MATCH('Isaac 401k'!N4986,'Retirement Calculator'!A:A,0),0),0)</f>
        <v>0</v>
      </c>
      <c r="K4986" s="444">
        <f t="shared" ca="1" si="196"/>
        <v>67739822440.390587</v>
      </c>
      <c r="L4986" s="444">
        <f t="shared" ca="1" si="197"/>
        <v>16325297208134.133</v>
      </c>
      <c r="M4986" s="460">
        <f t="shared" si="199"/>
        <v>0.05</v>
      </c>
      <c r="N4986" s="464">
        <f t="shared" si="200"/>
        <v>202802</v>
      </c>
    </row>
    <row r="4987" spans="7:14" ht="11.25" customHeight="1" x14ac:dyDescent="0.3">
      <c r="G4987" s="459"/>
      <c r="H4987" s="459">
        <v>4980</v>
      </c>
      <c r="I4987" s="444">
        <f t="shared" ca="1" si="198"/>
        <v>16325297208134.133</v>
      </c>
      <c r="J4987" s="444">
        <f t="array" ref="J4987">IFERROR(INDEX('Retirement Calculator'!J:J,MATCH('Isaac 401k'!N4987,'Retirement Calculator'!A:A,0),0),0)</f>
        <v>0</v>
      </c>
      <c r="K4987" s="444">
        <f t="shared" ca="1" si="196"/>
        <v>68022071700.558884</v>
      </c>
      <c r="L4987" s="444">
        <f t="shared" ca="1" si="197"/>
        <v>16393319279834.691</v>
      </c>
      <c r="M4987" s="460">
        <f t="shared" si="199"/>
        <v>0.05</v>
      </c>
      <c r="N4987" s="464">
        <f t="shared" si="200"/>
        <v>202832</v>
      </c>
    </row>
    <row r="4988" spans="7:14" ht="11.25" customHeight="1" x14ac:dyDescent="0.3">
      <c r="G4988" s="459"/>
      <c r="H4988" s="459">
        <v>4981</v>
      </c>
      <c r="I4988" s="444">
        <f t="shared" ca="1" si="198"/>
        <v>16393319279834.691</v>
      </c>
      <c r="J4988" s="444">
        <f t="array" ref="J4988">IFERROR(INDEX('Retirement Calculator'!J:J,MATCH('Isaac 401k'!N4988,'Retirement Calculator'!A:A,0),0),0)</f>
        <v>0</v>
      </c>
      <c r="K4988" s="444">
        <f t="shared" ca="1" si="196"/>
        <v>68305496999.311218</v>
      </c>
      <c r="L4988" s="444">
        <f t="shared" ca="1" si="197"/>
        <v>16461624776834.002</v>
      </c>
      <c r="M4988" s="460">
        <f t="shared" si="199"/>
        <v>0.05</v>
      </c>
      <c r="N4988" s="464">
        <f t="shared" si="200"/>
        <v>202863</v>
      </c>
    </row>
    <row r="4989" spans="7:14" ht="11.25" customHeight="1" x14ac:dyDescent="0.3">
      <c r="G4989" s="459"/>
      <c r="H4989" s="459">
        <v>4982</v>
      </c>
      <c r="I4989" s="444">
        <f t="shared" ca="1" si="198"/>
        <v>16461624776834.002</v>
      </c>
      <c r="J4989" s="444">
        <f t="array" ref="J4989">IFERROR(INDEX('Retirement Calculator'!J:J,MATCH('Isaac 401k'!N4989,'Retirement Calculator'!A:A,0),0),0)</f>
        <v>0</v>
      </c>
      <c r="K4989" s="444">
        <f t="shared" ca="1" si="196"/>
        <v>68590103236.808342</v>
      </c>
      <c r="L4989" s="444">
        <f t="shared" ca="1" si="197"/>
        <v>16530214880070.811</v>
      </c>
      <c r="M4989" s="460">
        <f t="shared" si="199"/>
        <v>0.05</v>
      </c>
      <c r="N4989" s="464">
        <f t="shared" si="200"/>
        <v>202893</v>
      </c>
    </row>
    <row r="4990" spans="7:14" ht="11.25" customHeight="1" x14ac:dyDescent="0.3">
      <c r="G4990" s="459"/>
      <c r="H4990" s="459">
        <v>4983</v>
      </c>
      <c r="I4990" s="444">
        <f t="shared" ca="1" si="198"/>
        <v>16530214880070.811</v>
      </c>
      <c r="J4990" s="444">
        <f t="array" ref="J4990">IFERROR(INDEX('Retirement Calculator'!J:J,MATCH('Isaac 401k'!N4990,'Retirement Calculator'!A:A,0),0),0)</f>
        <v>0</v>
      </c>
      <c r="K4990" s="444">
        <f t="shared" ca="1" si="196"/>
        <v>68875895333.628372</v>
      </c>
      <c r="L4990" s="444">
        <f t="shared" ca="1" si="197"/>
        <v>16599090775404.439</v>
      </c>
      <c r="M4990" s="460">
        <f t="shared" si="199"/>
        <v>0.05</v>
      </c>
      <c r="N4990" s="464">
        <f t="shared" si="200"/>
        <v>202924</v>
      </c>
    </row>
    <row r="4991" spans="7:14" ht="11.25" customHeight="1" x14ac:dyDescent="0.3">
      <c r="G4991" s="459"/>
      <c r="H4991" s="459">
        <v>4984</v>
      </c>
      <c r="I4991" s="444">
        <f t="shared" ca="1" si="198"/>
        <v>16599090775404.439</v>
      </c>
      <c r="J4991" s="444">
        <f t="array" ref="J4991">IFERROR(INDEX('Retirement Calculator'!J:J,MATCH('Isaac 401k'!N4991,'Retirement Calculator'!A:A,0),0),0)</f>
        <v>0</v>
      </c>
      <c r="K4991" s="444">
        <f t="shared" ca="1" si="196"/>
        <v>69162878230.851822</v>
      </c>
      <c r="L4991" s="444">
        <f t="shared" ca="1" si="197"/>
        <v>16668253653635.291</v>
      </c>
      <c r="M4991" s="460">
        <f t="shared" si="199"/>
        <v>0.05</v>
      </c>
      <c r="N4991" s="464">
        <f t="shared" si="200"/>
        <v>202955</v>
      </c>
    </row>
    <row r="4992" spans="7:14" ht="11.25" customHeight="1" x14ac:dyDescent="0.3">
      <c r="G4992" s="459"/>
      <c r="H4992" s="459">
        <v>4985</v>
      </c>
      <c r="I4992" s="444">
        <f t="shared" ca="1" si="198"/>
        <v>16668253653635.291</v>
      </c>
      <c r="J4992" s="444">
        <f t="array" ref="J4992">IFERROR(INDEX('Retirement Calculator'!J:J,MATCH('Isaac 401k'!N4992,'Retirement Calculator'!A:A,0),0),0)</f>
        <v>0</v>
      </c>
      <c r="K4992" s="444">
        <f t="shared" ca="1" si="196"/>
        <v>69451056890.147049</v>
      </c>
      <c r="L4992" s="444">
        <f t="shared" ca="1" si="197"/>
        <v>16737704710525.438</v>
      </c>
      <c r="M4992" s="460">
        <f t="shared" si="199"/>
        <v>0.05</v>
      </c>
      <c r="N4992" s="464">
        <f t="shared" si="200"/>
        <v>202985</v>
      </c>
    </row>
    <row r="4993" spans="7:14" ht="11.25" customHeight="1" x14ac:dyDescent="0.3">
      <c r="G4993" s="459"/>
      <c r="H4993" s="459">
        <v>4986</v>
      </c>
      <c r="I4993" s="444">
        <f t="shared" ca="1" si="198"/>
        <v>16737704710525.438</v>
      </c>
      <c r="J4993" s="444">
        <f t="array" ref="J4993">IFERROR(INDEX('Retirement Calculator'!J:J,MATCH('Isaac 401k'!N4993,'Retirement Calculator'!A:A,0),0),0)</f>
        <v>0</v>
      </c>
      <c r="K4993" s="444">
        <f t="shared" ca="1" si="196"/>
        <v>69740436293.855988</v>
      </c>
      <c r="L4993" s="444">
        <f t="shared" ca="1" si="197"/>
        <v>16807445146819.293</v>
      </c>
      <c r="M4993" s="460">
        <f t="shared" si="199"/>
        <v>0.05</v>
      </c>
      <c r="N4993" s="464">
        <f t="shared" si="200"/>
        <v>203016</v>
      </c>
    </row>
    <row r="4994" spans="7:14" ht="11.25" customHeight="1" x14ac:dyDescent="0.3">
      <c r="G4994" s="459"/>
      <c r="H4994" s="459">
        <v>4987</v>
      </c>
      <c r="I4994" s="444">
        <f t="shared" ca="1" si="198"/>
        <v>16807445146819.293</v>
      </c>
      <c r="J4994" s="444">
        <f t="array" ref="J4994">IFERROR(INDEX('Retirement Calculator'!J:J,MATCH('Isaac 401k'!N4994,'Retirement Calculator'!A:A,0),0),0)</f>
        <v>0</v>
      </c>
      <c r="K4994" s="444">
        <f t="shared" ca="1" si="196"/>
        <v>70031021445.080399</v>
      </c>
      <c r="L4994" s="444">
        <f t="shared" ca="1" si="197"/>
        <v>16877476168264.373</v>
      </c>
      <c r="M4994" s="460">
        <f t="shared" si="199"/>
        <v>0.05</v>
      </c>
      <c r="N4994" s="464">
        <f t="shared" si="200"/>
        <v>203046</v>
      </c>
    </row>
    <row r="4995" spans="7:14" ht="11.25" customHeight="1" x14ac:dyDescent="0.3">
      <c r="G4995" s="459"/>
      <c r="H4995" s="459">
        <v>4988</v>
      </c>
      <c r="I4995" s="444">
        <f t="shared" ca="1" si="198"/>
        <v>16877476168264.373</v>
      </c>
      <c r="J4995" s="444">
        <f t="array" ref="J4995">IFERROR(INDEX('Retirement Calculator'!J:J,MATCH('Isaac 401k'!N4995,'Retirement Calculator'!A:A,0),0),0)</f>
        <v>0</v>
      </c>
      <c r="K4995" s="444">
        <f t="shared" ca="1" si="196"/>
        <v>70322817367.768219</v>
      </c>
      <c r="L4995" s="444">
        <f t="shared" ca="1" si="197"/>
        <v>16947798985632.141</v>
      </c>
      <c r="M4995" s="460">
        <f t="shared" si="199"/>
        <v>0.05</v>
      </c>
      <c r="N4995" s="464">
        <f t="shared" si="200"/>
        <v>203077</v>
      </c>
    </row>
    <row r="4996" spans="7:14" ht="11.25" customHeight="1" x14ac:dyDescent="0.3">
      <c r="G4996" s="459"/>
      <c r="H4996" s="459">
        <v>4989</v>
      </c>
      <c r="I4996" s="444">
        <f t="shared" ca="1" si="198"/>
        <v>16947798985632.141</v>
      </c>
      <c r="J4996" s="444">
        <f t="array" ref="J4996">IFERROR(INDEX('Retirement Calculator'!J:J,MATCH('Isaac 401k'!N4996,'Retirement Calculator'!A:A,0),0),0)</f>
        <v>0</v>
      </c>
      <c r="K4996" s="444">
        <f t="shared" ca="1" si="196"/>
        <v>70615829106.800583</v>
      </c>
      <c r="L4996" s="444">
        <f t="shared" ca="1" si="197"/>
        <v>17018414814738.941</v>
      </c>
      <c r="M4996" s="460">
        <f t="shared" si="199"/>
        <v>0.05</v>
      </c>
      <c r="N4996" s="464">
        <f t="shared" si="200"/>
        <v>203108</v>
      </c>
    </row>
    <row r="4997" spans="7:14" ht="11.25" customHeight="1" x14ac:dyDescent="0.3">
      <c r="G4997" s="459"/>
      <c r="H4997" s="459">
        <v>4990</v>
      </c>
      <c r="I4997" s="444">
        <f t="shared" ca="1" si="198"/>
        <v>17018414814738.941</v>
      </c>
      <c r="J4997" s="444">
        <f t="array" ref="J4997">IFERROR(INDEX('Retirement Calculator'!J:J,MATCH('Isaac 401k'!N4997,'Retirement Calculator'!A:A,0),0),0)</f>
        <v>0</v>
      </c>
      <c r="K4997" s="444">
        <f t="shared" ca="1" si="196"/>
        <v>70910061728.078934</v>
      </c>
      <c r="L4997" s="444">
        <f t="shared" ca="1" si="197"/>
        <v>17089324876467.02</v>
      </c>
      <c r="M4997" s="460">
        <f t="shared" si="199"/>
        <v>0.05</v>
      </c>
      <c r="N4997" s="464">
        <f t="shared" si="200"/>
        <v>203137</v>
      </c>
    </row>
    <row r="4998" spans="7:14" ht="11.25" customHeight="1" x14ac:dyDescent="0.3">
      <c r="G4998" s="459"/>
      <c r="H4998" s="459">
        <v>4991</v>
      </c>
      <c r="I4998" s="444">
        <f t="shared" ca="1" si="198"/>
        <v>17089324876467.02</v>
      </c>
      <c r="J4998" s="444">
        <f t="array" ref="J4998">IFERROR(INDEX('Retirement Calculator'!J:J,MATCH('Isaac 401k'!N4998,'Retirement Calculator'!A:A,0),0),0)</f>
        <v>0</v>
      </c>
      <c r="K4998" s="444">
        <f t="shared" ca="1" si="196"/>
        <v>71205520318.612579</v>
      </c>
      <c r="L4998" s="444">
        <f t="shared" ca="1" si="197"/>
        <v>17160530396785.633</v>
      </c>
      <c r="M4998" s="460">
        <f t="shared" si="199"/>
        <v>0.05</v>
      </c>
      <c r="N4998" s="464">
        <f t="shared" si="200"/>
        <v>203168</v>
      </c>
    </row>
    <row r="4999" spans="7:14" ht="11.25" customHeight="1" x14ac:dyDescent="0.3">
      <c r="G4999" s="459"/>
      <c r="H4999" s="459">
        <v>4992</v>
      </c>
      <c r="I4999" s="444">
        <f t="shared" ca="1" si="198"/>
        <v>17160530396785.633</v>
      </c>
      <c r="J4999" s="444">
        <f t="array" ref="J4999">IFERROR(INDEX('Retirement Calculator'!J:J,MATCH('Isaac 401k'!N4999,'Retirement Calculator'!A:A,0),0),0)</f>
        <v>0</v>
      </c>
      <c r="K4999" s="444">
        <f t="shared" ca="1" si="196"/>
        <v>71502209986.606812</v>
      </c>
      <c r="L4999" s="444">
        <f t="shared" ca="1" si="197"/>
        <v>17232032606772.24</v>
      </c>
      <c r="M4999" s="460">
        <f t="shared" si="199"/>
        <v>0.05</v>
      </c>
      <c r="N4999" s="464">
        <f t="shared" si="200"/>
        <v>203198</v>
      </c>
    </row>
    <row r="5000" spans="7:14" ht="11.25" customHeight="1" x14ac:dyDescent="0.3">
      <c r="G5000" s="459"/>
      <c r="H5000" s="459">
        <v>4993</v>
      </c>
      <c r="I5000" s="444">
        <f t="shared" ca="1" si="198"/>
        <v>17232032606772.24</v>
      </c>
      <c r="J5000" s="444">
        <f t="array" ref="J5000">IFERROR(INDEX('Retirement Calculator'!J:J,MATCH('Isaac 401k'!N5000,'Retirement Calculator'!A:A,0),0),0)</f>
        <v>0</v>
      </c>
      <c r="K5000" s="444">
        <f t="shared" ca="1" si="196"/>
        <v>71800135861.550995</v>
      </c>
      <c r="L5000" s="444">
        <f t="shared" ca="1" si="197"/>
        <v>17303832742633.791</v>
      </c>
      <c r="M5000" s="460">
        <f t="shared" si="199"/>
        <v>0.05</v>
      </c>
      <c r="N5000" s="464">
        <f t="shared" si="200"/>
        <v>203229</v>
      </c>
    </row>
    <row r="5001" spans="7:14" ht="11.25" customHeight="1" x14ac:dyDescent="0.3">
      <c r="G5001" s="459"/>
      <c r="H5001" s="459">
        <v>4994</v>
      </c>
      <c r="I5001" s="444">
        <f t="shared" ca="1" si="198"/>
        <v>17303832742633.791</v>
      </c>
      <c r="J5001" s="444">
        <f t="array" ref="J5001">IFERROR(INDEX('Retirement Calculator'!J:J,MATCH('Isaac 401k'!N5001,'Retirement Calculator'!A:A,0),0),0)</f>
        <v>0</v>
      </c>
      <c r="K5001" s="444">
        <f t="shared" ca="1" si="196"/>
        <v>72099303094.307449</v>
      </c>
      <c r="L5001" s="444">
        <f t="shared" ca="1" si="197"/>
        <v>17375932045728.098</v>
      </c>
      <c r="M5001" s="460">
        <f t="shared" si="199"/>
        <v>0.05</v>
      </c>
      <c r="N5001" s="464">
        <f t="shared" si="200"/>
        <v>203259</v>
      </c>
    </row>
    <row r="5002" spans="7:14" ht="11.25" customHeight="1" x14ac:dyDescent="0.3">
      <c r="G5002" s="459"/>
      <c r="H5002" s="459">
        <v>4995</v>
      </c>
      <c r="I5002" s="444">
        <f t="shared" ca="1" si="198"/>
        <v>17375932045728.098</v>
      </c>
      <c r="J5002" s="444">
        <f t="array" ref="J5002">IFERROR(INDEX('Retirement Calculator'!J:J,MATCH('Isaac 401k'!N5002,'Retirement Calculator'!A:A,0),0),0)</f>
        <v>0</v>
      </c>
      <c r="K5002" s="444">
        <f t="shared" ca="1" si="196"/>
        <v>72399716857.200394</v>
      </c>
      <c r="L5002" s="444">
        <f t="shared" ca="1" si="197"/>
        <v>17448331762585.299</v>
      </c>
      <c r="M5002" s="460">
        <f t="shared" si="199"/>
        <v>0.05</v>
      </c>
      <c r="N5002" s="464">
        <f t="shared" si="200"/>
        <v>203290</v>
      </c>
    </row>
    <row r="5003" spans="7:14" ht="11.25" customHeight="1" x14ac:dyDescent="0.3">
      <c r="G5003" s="459"/>
      <c r="H5003" s="459">
        <v>4996</v>
      </c>
      <c r="I5003" s="444">
        <f t="shared" ca="1" si="198"/>
        <v>17448331762585.299</v>
      </c>
      <c r="J5003" s="444">
        <f t="array" ref="J5003">IFERROR(INDEX('Retirement Calculator'!J:J,MATCH('Isaac 401k'!N5003,'Retirement Calculator'!A:A,0),0),0)</f>
        <v>0</v>
      </c>
      <c r="K5003" s="444">
        <f t="shared" ca="1" si="196"/>
        <v>72701382344.105423</v>
      </c>
      <c r="L5003" s="444">
        <f t="shared" ca="1" si="197"/>
        <v>17521033144929.404</v>
      </c>
      <c r="M5003" s="460">
        <f t="shared" si="199"/>
        <v>0.05</v>
      </c>
      <c r="N5003" s="464">
        <f t="shared" si="200"/>
        <v>203321</v>
      </c>
    </row>
    <row r="5004" spans="7:14" ht="11.25" customHeight="1" x14ac:dyDescent="0.3">
      <c r="G5004" s="459"/>
      <c r="H5004" s="459">
        <v>4997</v>
      </c>
      <c r="I5004" s="444">
        <f t="shared" ca="1" si="198"/>
        <v>17521033144929.404</v>
      </c>
      <c r="J5004" s="444">
        <f t="array" ref="J5004">IFERROR(INDEX('Retirement Calculator'!J:J,MATCH('Isaac 401k'!N5004,'Retirement Calculator'!A:A,0),0),0)</f>
        <v>0</v>
      </c>
      <c r="K5004" s="444">
        <f t="shared" ca="1" si="196"/>
        <v>73004304770.539185</v>
      </c>
      <c r="L5004" s="444">
        <f t="shared" ca="1" si="197"/>
        <v>17594037449699.945</v>
      </c>
      <c r="M5004" s="460">
        <f t="shared" si="199"/>
        <v>0.05</v>
      </c>
      <c r="N5004" s="464">
        <f t="shared" si="200"/>
        <v>203351</v>
      </c>
    </row>
    <row r="5005" spans="7:14" ht="11.25" customHeight="1" x14ac:dyDescent="0.3">
      <c r="G5005" s="459"/>
      <c r="H5005" s="459">
        <v>4998</v>
      </c>
      <c r="I5005" s="444">
        <f t="shared" ca="1" si="198"/>
        <v>17594037449699.945</v>
      </c>
      <c r="J5005" s="444">
        <f t="array" ref="J5005">IFERROR(INDEX('Retirement Calculator'!J:J,MATCH('Isaac 401k'!N5005,'Retirement Calculator'!A:A,0),0),0)</f>
        <v>0</v>
      </c>
      <c r="K5005" s="444">
        <f t="shared" ca="1" si="196"/>
        <v>73308489373.749771</v>
      </c>
      <c r="L5005" s="444">
        <f t="shared" ca="1" si="197"/>
        <v>17667345939073.695</v>
      </c>
      <c r="M5005" s="460">
        <f t="shared" si="199"/>
        <v>0.05</v>
      </c>
      <c r="N5005" s="464">
        <f t="shared" si="200"/>
        <v>203382</v>
      </c>
    </row>
    <row r="5006" spans="7:14" ht="11.25" customHeight="1" x14ac:dyDescent="0.3">
      <c r="G5006" s="459"/>
      <c r="H5006" s="459">
        <v>4999</v>
      </c>
      <c r="I5006" s="444">
        <f t="shared" ca="1" si="198"/>
        <v>17667345939073.695</v>
      </c>
      <c r="J5006" s="444">
        <f t="array" ref="J5006">IFERROR(INDEX('Retirement Calculator'!J:J,MATCH('Isaac 401k'!N5006,'Retirement Calculator'!A:A,0),0),0)</f>
        <v>0</v>
      </c>
      <c r="K5006" s="444">
        <f t="shared" ca="1" si="196"/>
        <v>73613941412.807068</v>
      </c>
      <c r="L5006" s="444">
        <f t="shared" ca="1" si="197"/>
        <v>17740959880486.504</v>
      </c>
      <c r="M5006" s="460">
        <f t="shared" si="199"/>
        <v>0.05</v>
      </c>
      <c r="N5006" s="464">
        <f t="shared" si="200"/>
        <v>203412</v>
      </c>
    </row>
    <row r="5007" spans="7:14" ht="11.25" customHeight="1" x14ac:dyDescent="0.3">
      <c r="G5007" s="459"/>
      <c r="H5007" s="459">
        <v>5000</v>
      </c>
      <c r="I5007" s="444">
        <f t="shared" ca="1" si="198"/>
        <v>17740959880486.504</v>
      </c>
      <c r="J5007" s="444">
        <f t="array" ref="J5007">IFERROR(INDEX('Retirement Calculator'!J:J,MATCH('Isaac 401k'!N5007,'Retirement Calculator'!A:A,0),0),0)</f>
        <v>0</v>
      </c>
      <c r="K5007" s="444">
        <f t="shared" ca="1" si="196"/>
        <v>73920666168.693771</v>
      </c>
      <c r="L5007" s="444">
        <f t="shared" ca="1" si="197"/>
        <v>17814880546655.199</v>
      </c>
      <c r="M5007" s="460">
        <f t="shared" si="199"/>
        <v>0.05</v>
      </c>
      <c r="N5007" s="464">
        <f t="shared" si="200"/>
        <v>203443</v>
      </c>
    </row>
    <row r="5008" spans="7:14" ht="11.25" customHeight="1" x14ac:dyDescent="0.3">
      <c r="G5008" s="459"/>
      <c r="H5008" s="459">
        <v>5001</v>
      </c>
      <c r="I5008" s="444">
        <f t="shared" ca="1" si="198"/>
        <v>17814880546655.199</v>
      </c>
      <c r="J5008" s="444">
        <f t="array" ref="J5008">IFERROR(INDEX('Retirement Calculator'!J:J,MATCH('Isaac 401k'!N5008,'Retirement Calculator'!A:A,0),0),0)</f>
        <v>0</v>
      </c>
      <c r="K5008" s="444">
        <f t="shared" ca="1" si="196"/>
        <v>74228668944.396667</v>
      </c>
      <c r="L5008" s="444">
        <f t="shared" ca="1" si="197"/>
        <v>17889109215599.598</v>
      </c>
      <c r="M5008" s="460">
        <f t="shared" si="199"/>
        <v>0.05</v>
      </c>
      <c r="N5008" s="464">
        <f t="shared" si="200"/>
        <v>203474</v>
      </c>
    </row>
    <row r="5009" spans="7:14" ht="11.25" customHeight="1" x14ac:dyDescent="0.3">
      <c r="G5009" s="459"/>
      <c r="H5009" s="459">
        <v>5002</v>
      </c>
      <c r="I5009" s="444">
        <f t="shared" ca="1" si="198"/>
        <v>17889109215599.598</v>
      </c>
      <c r="J5009" s="444">
        <f t="array" ref="J5009">IFERROR(INDEX('Retirement Calculator'!J:J,MATCH('Isaac 401k'!N5009,'Retirement Calculator'!A:A,0),0),0)</f>
        <v>0</v>
      </c>
      <c r="K5009" s="444">
        <f t="shared" ca="1" si="196"/>
        <v>74537955064.998322</v>
      </c>
      <c r="L5009" s="444">
        <f t="shared" ca="1" si="197"/>
        <v>17963647170664.598</v>
      </c>
      <c r="M5009" s="460">
        <f t="shared" si="199"/>
        <v>0.05</v>
      </c>
      <c r="N5009" s="464">
        <f t="shared" si="200"/>
        <v>203502</v>
      </c>
    </row>
    <row r="5010" spans="7:14" ht="11.25" customHeight="1" x14ac:dyDescent="0.3">
      <c r="G5010" s="459"/>
      <c r="H5010" s="459">
        <v>5003</v>
      </c>
      <c r="I5010" s="444">
        <f t="shared" ca="1" si="198"/>
        <v>17963647170664.598</v>
      </c>
      <c r="J5010" s="444">
        <f t="array" ref="J5010">IFERROR(INDEX('Retirement Calculator'!J:J,MATCH('Isaac 401k'!N5010,'Retirement Calculator'!A:A,0),0),0)</f>
        <v>0</v>
      </c>
      <c r="K5010" s="444">
        <f t="shared" ca="1" si="196"/>
        <v>74848529877.76915</v>
      </c>
      <c r="L5010" s="444">
        <f t="shared" ca="1" si="197"/>
        <v>18038495700542.367</v>
      </c>
      <c r="M5010" s="460">
        <f t="shared" si="199"/>
        <v>0.05</v>
      </c>
      <c r="N5010" s="464">
        <f t="shared" si="200"/>
        <v>203533</v>
      </c>
    </row>
    <row r="5011" spans="7:14" ht="11.25" customHeight="1" x14ac:dyDescent="0.3">
      <c r="G5011" s="459"/>
      <c r="H5011" s="459">
        <v>5004</v>
      </c>
      <c r="I5011" s="444">
        <f t="shared" ca="1" si="198"/>
        <v>18038495700542.367</v>
      </c>
      <c r="J5011" s="444">
        <f t="array" ref="J5011">IFERROR(INDEX('Retirement Calculator'!J:J,MATCH('Isaac 401k'!N5011,'Retirement Calculator'!A:A,0),0),0)</f>
        <v>0</v>
      </c>
      <c r="K5011" s="444">
        <f t="shared" ca="1" si="196"/>
        <v>75160398752.259857</v>
      </c>
      <c r="L5011" s="444">
        <f t="shared" ca="1" si="197"/>
        <v>18113656099294.629</v>
      </c>
      <c r="M5011" s="460">
        <f t="shared" si="199"/>
        <v>0.05</v>
      </c>
      <c r="N5011" s="464">
        <f t="shared" si="200"/>
        <v>203563</v>
      </c>
    </row>
    <row r="5012" spans="7:14" ht="11.25" customHeight="1" x14ac:dyDescent="0.3">
      <c r="G5012" s="459"/>
      <c r="H5012" s="459">
        <v>5005</v>
      </c>
      <c r="I5012" s="444">
        <f t="shared" ca="1" si="198"/>
        <v>18113656099294.629</v>
      </c>
      <c r="J5012" s="444">
        <f t="array" ref="J5012">IFERROR(INDEX('Retirement Calculator'!J:J,MATCH('Isaac 401k'!N5012,'Retirement Calculator'!A:A,0),0),0)</f>
        <v>0</v>
      </c>
      <c r="K5012" s="444">
        <f t="shared" ca="1" si="196"/>
        <v>75473567080.394287</v>
      </c>
      <c r="L5012" s="444">
        <f t="shared" ca="1" si="197"/>
        <v>18189129666375.023</v>
      </c>
      <c r="M5012" s="460">
        <f t="shared" si="199"/>
        <v>0.05</v>
      </c>
      <c r="N5012" s="464">
        <f t="shared" si="200"/>
        <v>203594</v>
      </c>
    </row>
    <row r="5013" spans="7:14" ht="11.25" customHeight="1" x14ac:dyDescent="0.3">
      <c r="G5013" s="459"/>
      <c r="H5013" s="459">
        <v>5006</v>
      </c>
      <c r="I5013" s="444">
        <f t="shared" ca="1" si="198"/>
        <v>18189129666375.023</v>
      </c>
      <c r="J5013" s="444">
        <f t="array" ref="J5013">IFERROR(INDEX('Retirement Calculator'!J:J,MATCH('Isaac 401k'!N5013,'Retirement Calculator'!A:A,0),0),0)</f>
        <v>0</v>
      </c>
      <c r="K5013" s="444">
        <f t="shared" ca="1" si="196"/>
        <v>75788040276.562592</v>
      </c>
      <c r="L5013" s="444">
        <f t="shared" ca="1" si="197"/>
        <v>18264917706651.586</v>
      </c>
      <c r="M5013" s="460">
        <f t="shared" si="199"/>
        <v>0.05</v>
      </c>
      <c r="N5013" s="464">
        <f t="shared" si="200"/>
        <v>203624</v>
      </c>
    </row>
    <row r="5014" spans="7:14" ht="11.25" customHeight="1" x14ac:dyDescent="0.3">
      <c r="G5014" s="459"/>
      <c r="H5014" s="459">
        <v>5007</v>
      </c>
      <c r="I5014" s="444">
        <f t="shared" ca="1" si="198"/>
        <v>18264917706651.586</v>
      </c>
      <c r="J5014" s="444">
        <f t="array" ref="J5014">IFERROR(INDEX('Retirement Calculator'!J:J,MATCH('Isaac 401k'!N5014,'Retirement Calculator'!A:A,0),0),0)</f>
        <v>0</v>
      </c>
      <c r="K5014" s="444">
        <f t="shared" ca="1" si="196"/>
        <v>76103823777.714935</v>
      </c>
      <c r="L5014" s="444">
        <f t="shared" ca="1" si="197"/>
        <v>18341021530429.301</v>
      </c>
      <c r="M5014" s="460">
        <f t="shared" si="199"/>
        <v>0.05</v>
      </c>
      <c r="N5014" s="464">
        <f t="shared" si="200"/>
        <v>203655</v>
      </c>
    </row>
    <row r="5015" spans="7:14" ht="11.25" customHeight="1" x14ac:dyDescent="0.3">
      <c r="G5015" s="459"/>
      <c r="H5015" s="459">
        <v>5008</v>
      </c>
      <c r="I5015" s="444">
        <f t="shared" ca="1" si="198"/>
        <v>18341021530429.301</v>
      </c>
      <c r="J5015" s="444">
        <f t="array" ref="J5015">IFERROR(INDEX('Retirement Calculator'!J:J,MATCH('Isaac 401k'!N5015,'Retirement Calculator'!A:A,0),0),0)</f>
        <v>0</v>
      </c>
      <c r="K5015" s="444">
        <f t="shared" ca="1" si="196"/>
        <v>76420923043.455414</v>
      </c>
      <c r="L5015" s="444">
        <f t="shared" ca="1" si="197"/>
        <v>18417442453472.758</v>
      </c>
      <c r="M5015" s="460">
        <f t="shared" si="199"/>
        <v>0.05</v>
      </c>
      <c r="N5015" s="464">
        <f t="shared" si="200"/>
        <v>203686</v>
      </c>
    </row>
    <row r="5016" spans="7:14" ht="11.25" customHeight="1" x14ac:dyDescent="0.3">
      <c r="G5016" s="459"/>
      <c r="H5016" s="459">
        <v>5009</v>
      </c>
      <c r="I5016" s="444">
        <f t="shared" ca="1" si="198"/>
        <v>18417442453472.758</v>
      </c>
      <c r="J5016" s="444">
        <f t="array" ref="J5016">IFERROR(INDEX('Retirement Calculator'!J:J,MATCH('Isaac 401k'!N5016,'Retirement Calculator'!A:A,0),0),0)</f>
        <v>0</v>
      </c>
      <c r="K5016" s="444">
        <f t="shared" ca="1" si="196"/>
        <v>76739343556.13649</v>
      </c>
      <c r="L5016" s="444">
        <f t="shared" ca="1" si="197"/>
        <v>18494181797028.895</v>
      </c>
      <c r="M5016" s="460">
        <f t="shared" si="199"/>
        <v>0.05</v>
      </c>
      <c r="N5016" s="464">
        <f t="shared" si="200"/>
        <v>203716</v>
      </c>
    </row>
    <row r="5017" spans="7:14" ht="11.25" customHeight="1" x14ac:dyDescent="0.3">
      <c r="G5017" s="459"/>
      <c r="H5017" s="459">
        <v>5010</v>
      </c>
      <c r="I5017" s="444">
        <f t="shared" ca="1" si="198"/>
        <v>18494181797028.895</v>
      </c>
      <c r="J5017" s="444">
        <f t="array" ref="J5017">IFERROR(INDEX('Retirement Calculator'!J:J,MATCH('Isaac 401k'!N5017,'Retirement Calculator'!A:A,0),0),0)</f>
        <v>0</v>
      </c>
      <c r="K5017" s="444">
        <f t="shared" ca="1" si="196"/>
        <v>77059090820.95372</v>
      </c>
      <c r="L5017" s="444">
        <f t="shared" ca="1" si="197"/>
        <v>18571240887849.848</v>
      </c>
      <c r="M5017" s="460">
        <f t="shared" si="199"/>
        <v>0.05</v>
      </c>
      <c r="N5017" s="464">
        <f t="shared" si="200"/>
        <v>203747</v>
      </c>
    </row>
    <row r="5018" spans="7:14" ht="11.25" customHeight="1" x14ac:dyDescent="0.3">
      <c r="G5018" s="459"/>
      <c r="H5018" s="459">
        <v>5011</v>
      </c>
      <c r="I5018" s="444">
        <f t="shared" ca="1" si="198"/>
        <v>18571240887849.848</v>
      </c>
      <c r="J5018" s="444">
        <f t="array" ref="J5018">IFERROR(INDEX('Retirement Calculator'!J:J,MATCH('Isaac 401k'!N5018,'Retirement Calculator'!A:A,0),0),0)</f>
        <v>0</v>
      </c>
      <c r="K5018" s="444">
        <f t="shared" ca="1" si="196"/>
        <v>77380170366.041031</v>
      </c>
      <c r="L5018" s="444">
        <f t="shared" ca="1" si="197"/>
        <v>18648621058215.891</v>
      </c>
      <c r="M5018" s="460">
        <f t="shared" si="199"/>
        <v>0.05</v>
      </c>
      <c r="N5018" s="464">
        <f t="shared" si="200"/>
        <v>203777</v>
      </c>
    </row>
    <row r="5019" spans="7:14" ht="11.25" customHeight="1" x14ac:dyDescent="0.3">
      <c r="G5019" s="459"/>
      <c r="H5019" s="459">
        <v>5012</v>
      </c>
      <c r="I5019" s="444">
        <f t="shared" ca="1" si="198"/>
        <v>18648621058215.891</v>
      </c>
      <c r="J5019" s="444">
        <f t="array" ref="J5019">IFERROR(INDEX('Retirement Calculator'!J:J,MATCH('Isaac 401k'!N5019,'Retirement Calculator'!A:A,0),0),0)</f>
        <v>0</v>
      </c>
      <c r="K5019" s="444">
        <f t="shared" ca="1" si="196"/>
        <v>77702587742.566208</v>
      </c>
      <c r="L5019" s="444">
        <f t="shared" ca="1" si="197"/>
        <v>18726323645958.457</v>
      </c>
      <c r="M5019" s="460">
        <f t="shared" si="199"/>
        <v>0.05</v>
      </c>
      <c r="N5019" s="464">
        <f t="shared" si="200"/>
        <v>203808</v>
      </c>
    </row>
    <row r="5020" spans="7:14" ht="11.25" customHeight="1" x14ac:dyDescent="0.3">
      <c r="G5020" s="459"/>
      <c r="H5020" s="459">
        <v>5013</v>
      </c>
      <c r="I5020" s="444">
        <f t="shared" ca="1" si="198"/>
        <v>18726323645958.457</v>
      </c>
      <c r="J5020" s="444">
        <f t="array" ref="J5020">IFERROR(INDEX('Retirement Calculator'!J:J,MATCH('Isaac 401k'!N5020,'Retirement Calculator'!A:A,0),0),0)</f>
        <v>0</v>
      </c>
      <c r="K5020" s="444">
        <f t="shared" ca="1" si="196"/>
        <v>78026348524.826904</v>
      </c>
      <c r="L5020" s="444">
        <f t="shared" ca="1" si="197"/>
        <v>18804349994483.285</v>
      </c>
      <c r="M5020" s="460">
        <f t="shared" si="199"/>
        <v>0.05</v>
      </c>
      <c r="N5020" s="464">
        <f t="shared" si="200"/>
        <v>203839</v>
      </c>
    </row>
    <row r="5021" spans="7:14" ht="11.25" customHeight="1" x14ac:dyDescent="0.3">
      <c r="G5021" s="459"/>
      <c r="H5021" s="459">
        <v>5014</v>
      </c>
      <c r="I5021" s="444">
        <f t="shared" ca="1" si="198"/>
        <v>18804349994483.285</v>
      </c>
      <c r="J5021" s="444">
        <f t="array" ref="J5021">IFERROR(INDEX('Retirement Calculator'!J:J,MATCH('Isaac 401k'!N5021,'Retirement Calculator'!A:A,0),0),0)</f>
        <v>0</v>
      </c>
      <c r="K5021" s="444">
        <f t="shared" ca="1" si="196"/>
        <v>78351458310.347015</v>
      </c>
      <c r="L5021" s="444">
        <f t="shared" ca="1" si="197"/>
        <v>18882701452793.633</v>
      </c>
      <c r="M5021" s="460">
        <f t="shared" si="199"/>
        <v>0.05</v>
      </c>
      <c r="N5021" s="464">
        <f t="shared" si="200"/>
        <v>203867</v>
      </c>
    </row>
    <row r="5022" spans="7:14" ht="11.25" customHeight="1" x14ac:dyDescent="0.3">
      <c r="G5022" s="459"/>
      <c r="H5022" s="459">
        <v>5015</v>
      </c>
      <c r="I5022" s="444">
        <f t="shared" ca="1" si="198"/>
        <v>18882701452793.633</v>
      </c>
      <c r="J5022" s="444">
        <f t="array" ref="J5022">IFERROR(INDEX('Retirement Calculator'!J:J,MATCH('Isaac 401k'!N5022,'Retirement Calculator'!A:A,0),0),0)</f>
        <v>0</v>
      </c>
      <c r="K5022" s="444">
        <f t="shared" ca="1" si="196"/>
        <v>78677922719.973465</v>
      </c>
      <c r="L5022" s="444">
        <f t="shared" ca="1" si="197"/>
        <v>18961379375513.605</v>
      </c>
      <c r="M5022" s="460">
        <f t="shared" si="199"/>
        <v>0.05</v>
      </c>
      <c r="N5022" s="464">
        <f t="shared" si="200"/>
        <v>203898</v>
      </c>
    </row>
    <row r="5023" spans="7:14" ht="11.25" customHeight="1" x14ac:dyDescent="0.3">
      <c r="G5023" s="459"/>
      <c r="H5023" s="459">
        <v>5016</v>
      </c>
      <c r="I5023" s="444">
        <f t="shared" ca="1" si="198"/>
        <v>18961379375513.605</v>
      </c>
      <c r="J5023" s="444">
        <f t="array" ref="J5023">IFERROR(INDEX('Retirement Calculator'!J:J,MATCH('Isaac 401k'!N5023,'Retirement Calculator'!A:A,0),0),0)</f>
        <v>0</v>
      </c>
      <c r="K5023" s="444">
        <f t="shared" ca="1" si="196"/>
        <v>79005747397.973358</v>
      </c>
      <c r="L5023" s="444">
        <f t="shared" ca="1" si="197"/>
        <v>19040385122911.578</v>
      </c>
      <c r="M5023" s="460">
        <f t="shared" si="199"/>
        <v>0.05</v>
      </c>
      <c r="N5023" s="464">
        <f t="shared" si="200"/>
        <v>203928</v>
      </c>
    </row>
    <row r="5024" spans="7:14" ht="11.25" customHeight="1" x14ac:dyDescent="0.3">
      <c r="G5024" s="459"/>
      <c r="H5024" s="459">
        <v>5017</v>
      </c>
      <c r="I5024" s="444">
        <f t="shared" ca="1" si="198"/>
        <v>19040385122911.578</v>
      </c>
      <c r="J5024" s="444">
        <f t="array" ref="J5024">IFERROR(INDEX('Retirement Calculator'!J:J,MATCH('Isaac 401k'!N5024,'Retirement Calculator'!A:A,0),0),0)</f>
        <v>0</v>
      </c>
      <c r="K5024" s="444">
        <f t="shared" ca="1" si="196"/>
        <v>79334938012.131577</v>
      </c>
      <c r="L5024" s="444">
        <f t="shared" ca="1" si="197"/>
        <v>19119720060923.711</v>
      </c>
      <c r="M5024" s="460">
        <f t="shared" si="199"/>
        <v>0.05</v>
      </c>
      <c r="N5024" s="464">
        <f t="shared" si="200"/>
        <v>203959</v>
      </c>
    </row>
    <row r="5025" spans="7:14" ht="11.25" customHeight="1" x14ac:dyDescent="0.3">
      <c r="G5025" s="459"/>
      <c r="H5025" s="459">
        <v>5018</v>
      </c>
      <c r="I5025" s="444">
        <f t="shared" ca="1" si="198"/>
        <v>19119720060923.711</v>
      </c>
      <c r="J5025" s="444">
        <f t="array" ref="J5025">IFERROR(INDEX('Retirement Calculator'!J:J,MATCH('Isaac 401k'!N5025,'Retirement Calculator'!A:A,0),0),0)</f>
        <v>0</v>
      </c>
      <c r="K5025" s="444">
        <f t="shared" ca="1" si="196"/>
        <v>79665500253.848801</v>
      </c>
      <c r="L5025" s="444">
        <f t="shared" ca="1" si="197"/>
        <v>19199385561177.559</v>
      </c>
      <c r="M5025" s="460">
        <f t="shared" si="199"/>
        <v>0.05</v>
      </c>
      <c r="N5025" s="464">
        <f t="shared" si="200"/>
        <v>203989</v>
      </c>
    </row>
    <row r="5026" spans="7:14" ht="11.25" customHeight="1" x14ac:dyDescent="0.3">
      <c r="G5026" s="459"/>
      <c r="H5026" s="459">
        <v>5019</v>
      </c>
      <c r="I5026" s="444">
        <f t="shared" ca="1" si="198"/>
        <v>19199385561177.559</v>
      </c>
      <c r="J5026" s="444">
        <f t="array" ref="J5026">IFERROR(INDEX('Retirement Calculator'!J:J,MATCH('Isaac 401k'!N5026,'Retirement Calculator'!A:A,0),0),0)</f>
        <v>0</v>
      </c>
      <c r="K5026" s="444">
        <f t="shared" ca="1" si="196"/>
        <v>79997439838.239822</v>
      </c>
      <c r="L5026" s="444">
        <f t="shared" ca="1" si="197"/>
        <v>19279383001015.797</v>
      </c>
      <c r="M5026" s="460">
        <f t="shared" si="199"/>
        <v>0.05</v>
      </c>
      <c r="N5026" s="464">
        <f t="shared" si="200"/>
        <v>204020</v>
      </c>
    </row>
    <row r="5027" spans="7:14" ht="11.25" customHeight="1" x14ac:dyDescent="0.3">
      <c r="G5027" s="459"/>
      <c r="H5027" s="459">
        <v>5020</v>
      </c>
      <c r="I5027" s="444">
        <f t="shared" ca="1" si="198"/>
        <v>19279383001015.797</v>
      </c>
      <c r="J5027" s="444">
        <f t="array" ref="J5027">IFERROR(INDEX('Retirement Calculator'!J:J,MATCH('Isaac 401k'!N5027,'Retirement Calculator'!A:A,0),0),0)</f>
        <v>0</v>
      </c>
      <c r="K5027" s="444">
        <f t="shared" ca="1" si="196"/>
        <v>80330762504.232483</v>
      </c>
      <c r="L5027" s="444">
        <f t="shared" ca="1" si="197"/>
        <v>19359713763520.031</v>
      </c>
      <c r="M5027" s="460">
        <f t="shared" si="199"/>
        <v>0.05</v>
      </c>
      <c r="N5027" s="464">
        <f t="shared" si="200"/>
        <v>204051</v>
      </c>
    </row>
    <row r="5028" spans="7:14" ht="11.25" customHeight="1" x14ac:dyDescent="0.3">
      <c r="G5028" s="459"/>
      <c r="H5028" s="459">
        <v>5021</v>
      </c>
      <c r="I5028" s="444">
        <f t="shared" ca="1" si="198"/>
        <v>19359713763520.031</v>
      </c>
      <c r="J5028" s="444">
        <f t="array" ref="J5028">IFERROR(INDEX('Retirement Calculator'!J:J,MATCH('Isaac 401k'!N5028,'Retirement Calculator'!A:A,0),0),0)</f>
        <v>0</v>
      </c>
      <c r="K5028" s="444">
        <f t="shared" ca="1" si="196"/>
        <v>80665474014.666794</v>
      </c>
      <c r="L5028" s="444">
        <f t="shared" ca="1" si="197"/>
        <v>19440379237534.699</v>
      </c>
      <c r="M5028" s="460">
        <f t="shared" si="199"/>
        <v>0.05</v>
      </c>
      <c r="N5028" s="464">
        <f t="shared" si="200"/>
        <v>204081</v>
      </c>
    </row>
    <row r="5029" spans="7:14" ht="11.25" customHeight="1" x14ac:dyDescent="0.3">
      <c r="G5029" s="459"/>
      <c r="H5029" s="459">
        <v>5022</v>
      </c>
      <c r="I5029" s="444">
        <f t="shared" ca="1" si="198"/>
        <v>19440379237534.699</v>
      </c>
      <c r="J5029" s="444">
        <f t="array" ref="J5029">IFERROR(INDEX('Retirement Calculator'!J:J,MATCH('Isaac 401k'!N5029,'Retirement Calculator'!A:A,0),0),0)</f>
        <v>0</v>
      </c>
      <c r="K5029" s="444">
        <f t="shared" ca="1" si="196"/>
        <v>81001580156.394577</v>
      </c>
      <c r="L5029" s="444">
        <f t="shared" ca="1" si="197"/>
        <v>19521380817691.094</v>
      </c>
      <c r="M5029" s="460">
        <f t="shared" si="199"/>
        <v>0.05</v>
      </c>
      <c r="N5029" s="464">
        <f t="shared" si="200"/>
        <v>204112</v>
      </c>
    </row>
    <row r="5030" spans="7:14" ht="11.25" customHeight="1" x14ac:dyDescent="0.3">
      <c r="G5030" s="459"/>
      <c r="H5030" s="459">
        <v>5023</v>
      </c>
      <c r="I5030" s="444">
        <f t="shared" ca="1" si="198"/>
        <v>19521380817691.094</v>
      </c>
      <c r="J5030" s="444">
        <f t="array" ref="J5030">IFERROR(INDEX('Retirement Calculator'!J:J,MATCH('Isaac 401k'!N5030,'Retirement Calculator'!A:A,0),0),0)</f>
        <v>0</v>
      </c>
      <c r="K5030" s="444">
        <f t="shared" ca="1" si="196"/>
        <v>81339086740.379562</v>
      </c>
      <c r="L5030" s="444">
        <f t="shared" ca="1" si="197"/>
        <v>19602719904431.473</v>
      </c>
      <c r="M5030" s="460">
        <f t="shared" si="199"/>
        <v>0.05</v>
      </c>
      <c r="N5030" s="464">
        <f t="shared" si="200"/>
        <v>204142</v>
      </c>
    </row>
    <row r="5031" spans="7:14" ht="11.25" customHeight="1" x14ac:dyDescent="0.3">
      <c r="G5031" s="459"/>
      <c r="H5031" s="459">
        <v>5024</v>
      </c>
      <c r="I5031" s="444">
        <f t="shared" ca="1" si="198"/>
        <v>19602719904431.473</v>
      </c>
      <c r="J5031" s="444">
        <f t="array" ref="J5031">IFERROR(INDEX('Retirement Calculator'!J:J,MATCH('Isaac 401k'!N5031,'Retirement Calculator'!A:A,0),0),0)</f>
        <v>0</v>
      </c>
      <c r="K5031" s="444">
        <f t="shared" ca="1" si="196"/>
        <v>81677999601.797806</v>
      </c>
      <c r="L5031" s="444">
        <f t="shared" ca="1" si="197"/>
        <v>19684397904033.27</v>
      </c>
      <c r="M5031" s="460">
        <f t="shared" si="199"/>
        <v>0.05</v>
      </c>
      <c r="N5031" s="464">
        <f t="shared" si="200"/>
        <v>204173</v>
      </c>
    </row>
    <row r="5032" spans="7:14" ht="11.25" customHeight="1" x14ac:dyDescent="0.3">
      <c r="G5032" s="459"/>
      <c r="H5032" s="459">
        <v>5025</v>
      </c>
      <c r="I5032" s="444">
        <f t="shared" ca="1" si="198"/>
        <v>19684397904033.27</v>
      </c>
      <c r="J5032" s="444">
        <f t="array" ref="J5032">IFERROR(INDEX('Retirement Calculator'!J:J,MATCH('Isaac 401k'!N5032,'Retirement Calculator'!A:A,0),0),0)</f>
        <v>0</v>
      </c>
      <c r="K5032" s="444">
        <f t="shared" ca="1" si="196"/>
        <v>82018324600.138626</v>
      </c>
      <c r="L5032" s="444">
        <f t="shared" ca="1" si="197"/>
        <v>19766416228633.406</v>
      </c>
      <c r="M5032" s="460">
        <f t="shared" si="199"/>
        <v>0.05</v>
      </c>
      <c r="N5032" s="464">
        <f t="shared" si="200"/>
        <v>204204</v>
      </c>
    </row>
    <row r="5033" spans="7:14" ht="11.25" customHeight="1" x14ac:dyDescent="0.3">
      <c r="G5033" s="459"/>
      <c r="H5033" s="459">
        <v>5026</v>
      </c>
      <c r="I5033" s="444">
        <f t="shared" ca="1" si="198"/>
        <v>19766416228633.406</v>
      </c>
      <c r="J5033" s="444">
        <f t="array" ref="J5033">IFERROR(INDEX('Retirement Calculator'!J:J,MATCH('Isaac 401k'!N5033,'Retirement Calculator'!A:A,0),0),0)</f>
        <v>0</v>
      </c>
      <c r="K5033" s="444">
        <f t="shared" ca="1" si="196"/>
        <v>82360067619.305862</v>
      </c>
      <c r="L5033" s="444">
        <f t="shared" ca="1" si="197"/>
        <v>19848776296252.711</v>
      </c>
      <c r="M5033" s="460">
        <f t="shared" si="199"/>
        <v>0.05</v>
      </c>
      <c r="N5033" s="464">
        <f t="shared" si="200"/>
        <v>204232</v>
      </c>
    </row>
    <row r="5034" spans="7:14" ht="11.25" customHeight="1" x14ac:dyDescent="0.3">
      <c r="G5034" s="459"/>
      <c r="H5034" s="459">
        <v>5027</v>
      </c>
      <c r="I5034" s="444">
        <f t="shared" ca="1" si="198"/>
        <v>19848776296252.711</v>
      </c>
      <c r="J5034" s="444">
        <f t="array" ref="J5034">IFERROR(INDEX('Retirement Calculator'!J:J,MATCH('Isaac 401k'!N5034,'Retirement Calculator'!A:A,0),0),0)</f>
        <v>0</v>
      </c>
      <c r="K5034" s="444">
        <f t="shared" ca="1" si="196"/>
        <v>82703234567.719635</v>
      </c>
      <c r="L5034" s="444">
        <f t="shared" ca="1" si="197"/>
        <v>19931479530820.43</v>
      </c>
      <c r="M5034" s="460">
        <f t="shared" si="199"/>
        <v>0.05</v>
      </c>
      <c r="N5034" s="464">
        <f t="shared" si="200"/>
        <v>204263</v>
      </c>
    </row>
    <row r="5035" spans="7:14" ht="11.25" customHeight="1" x14ac:dyDescent="0.3">
      <c r="G5035" s="459"/>
      <c r="H5035" s="459">
        <v>5028</v>
      </c>
      <c r="I5035" s="444">
        <f t="shared" ca="1" si="198"/>
        <v>19931479530820.43</v>
      </c>
      <c r="J5035" s="444">
        <f t="array" ref="J5035">IFERROR(INDEX('Retirement Calculator'!J:J,MATCH('Isaac 401k'!N5035,'Retirement Calculator'!A:A,0),0),0)</f>
        <v>0</v>
      </c>
      <c r="K5035" s="444">
        <f t="shared" ca="1" si="196"/>
        <v>83047831378.418457</v>
      </c>
      <c r="L5035" s="444">
        <f t="shared" ca="1" si="197"/>
        <v>20014527362198.848</v>
      </c>
      <c r="M5035" s="460">
        <f t="shared" si="199"/>
        <v>0.05</v>
      </c>
      <c r="N5035" s="464">
        <f t="shared" si="200"/>
        <v>204293</v>
      </c>
    </row>
    <row r="5036" spans="7:14" ht="11.25" customHeight="1" x14ac:dyDescent="0.3">
      <c r="G5036" s="459"/>
      <c r="H5036" s="459">
        <v>5029</v>
      </c>
      <c r="I5036" s="444">
        <f t="shared" ca="1" si="198"/>
        <v>20014527362198.848</v>
      </c>
      <c r="J5036" s="444">
        <f t="array" ref="J5036">IFERROR(INDEX('Retirement Calculator'!J:J,MATCH('Isaac 401k'!N5036,'Retirement Calculator'!A:A,0),0),0)</f>
        <v>0</v>
      </c>
      <c r="K5036" s="444">
        <f t="shared" ca="1" si="196"/>
        <v>83393864009.161865</v>
      </c>
      <c r="L5036" s="444">
        <f t="shared" ca="1" si="197"/>
        <v>20097921226208.008</v>
      </c>
      <c r="M5036" s="460">
        <f t="shared" si="199"/>
        <v>0.05</v>
      </c>
      <c r="N5036" s="464">
        <f t="shared" si="200"/>
        <v>204324</v>
      </c>
    </row>
    <row r="5037" spans="7:14" ht="11.25" customHeight="1" x14ac:dyDescent="0.3">
      <c r="G5037" s="459"/>
      <c r="H5037" s="459">
        <v>5030</v>
      </c>
      <c r="I5037" s="444">
        <f t="shared" ca="1" si="198"/>
        <v>20097921226208.008</v>
      </c>
      <c r="J5037" s="444">
        <f t="array" ref="J5037">IFERROR(INDEX('Retirement Calculator'!J:J,MATCH('Isaac 401k'!N5037,'Retirement Calculator'!A:A,0),0),0)</f>
        <v>0</v>
      </c>
      <c r="K5037" s="444">
        <f t="shared" ca="1" si="196"/>
        <v>83741338442.533371</v>
      </c>
      <c r="L5037" s="444">
        <f t="shared" ca="1" si="197"/>
        <v>20181662564650.543</v>
      </c>
      <c r="M5037" s="460">
        <f t="shared" si="199"/>
        <v>0.05</v>
      </c>
      <c r="N5037" s="464">
        <f t="shared" si="200"/>
        <v>204354</v>
      </c>
    </row>
    <row r="5038" spans="7:14" ht="11.25" customHeight="1" x14ac:dyDescent="0.3">
      <c r="G5038" s="459"/>
      <c r="H5038" s="459">
        <v>5031</v>
      </c>
      <c r="I5038" s="444">
        <f t="shared" ca="1" si="198"/>
        <v>20181662564650.543</v>
      </c>
      <c r="J5038" s="444">
        <f t="array" ref="J5038">IFERROR(INDEX('Retirement Calculator'!J:J,MATCH('Isaac 401k'!N5038,'Retirement Calculator'!A:A,0),0),0)</f>
        <v>0</v>
      </c>
      <c r="K5038" s="444">
        <f t="shared" ca="1" si="196"/>
        <v>84090260686.04393</v>
      </c>
      <c r="L5038" s="444">
        <f t="shared" ca="1" si="197"/>
        <v>20265752825336.586</v>
      </c>
      <c r="M5038" s="460">
        <f t="shared" si="199"/>
        <v>0.05</v>
      </c>
      <c r="N5038" s="464">
        <f t="shared" si="200"/>
        <v>204385</v>
      </c>
    </row>
    <row r="5039" spans="7:14" ht="11.25" customHeight="1" x14ac:dyDescent="0.3">
      <c r="G5039" s="459"/>
      <c r="H5039" s="459">
        <v>5032</v>
      </c>
      <c r="I5039" s="444">
        <f t="shared" ca="1" si="198"/>
        <v>20265752825336.586</v>
      </c>
      <c r="J5039" s="444">
        <f t="array" ref="J5039">IFERROR(INDEX('Retirement Calculator'!J:J,MATCH('Isaac 401k'!N5039,'Retirement Calculator'!A:A,0),0),0)</f>
        <v>0</v>
      </c>
      <c r="K5039" s="444">
        <f t="shared" ca="1" si="196"/>
        <v>84440636772.235779</v>
      </c>
      <c r="L5039" s="444">
        <f t="shared" ca="1" si="197"/>
        <v>20350193462108.82</v>
      </c>
      <c r="M5039" s="460">
        <f t="shared" si="199"/>
        <v>0.05</v>
      </c>
      <c r="N5039" s="464">
        <f t="shared" si="200"/>
        <v>204416</v>
      </c>
    </row>
    <row r="5040" spans="7:14" ht="11.25" customHeight="1" x14ac:dyDescent="0.3">
      <c r="G5040" s="459"/>
      <c r="H5040" s="459">
        <v>5033</v>
      </c>
      <c r="I5040" s="444">
        <f t="shared" ca="1" si="198"/>
        <v>20350193462108.82</v>
      </c>
      <c r="J5040" s="444">
        <f t="array" ref="J5040">IFERROR(INDEX('Retirement Calculator'!J:J,MATCH('Isaac 401k'!N5040,'Retirement Calculator'!A:A,0),0),0)</f>
        <v>0</v>
      </c>
      <c r="K5040" s="444">
        <f t="shared" ca="1" si="196"/>
        <v>84792472758.786743</v>
      </c>
      <c r="L5040" s="444">
        <f t="shared" ca="1" si="197"/>
        <v>20434985934867.605</v>
      </c>
      <c r="M5040" s="460">
        <f t="shared" si="199"/>
        <v>0.05</v>
      </c>
      <c r="N5040" s="464">
        <f t="shared" si="200"/>
        <v>204446</v>
      </c>
    </row>
    <row r="5041" spans="7:14" ht="11.25" customHeight="1" x14ac:dyDescent="0.3">
      <c r="G5041" s="459"/>
      <c r="H5041" s="459">
        <v>5034</v>
      </c>
      <c r="I5041" s="444">
        <f t="shared" ca="1" si="198"/>
        <v>20434985934867.605</v>
      </c>
      <c r="J5041" s="444">
        <f t="array" ref="J5041">IFERROR(INDEX('Retirement Calculator'!J:J,MATCH('Isaac 401k'!N5041,'Retirement Calculator'!A:A,0),0),0)</f>
        <v>0</v>
      </c>
      <c r="K5041" s="444">
        <f t="shared" ca="1" si="196"/>
        <v>85145774728.615021</v>
      </c>
      <c r="L5041" s="444">
        <f t="shared" ca="1" si="197"/>
        <v>20520131709596.219</v>
      </c>
      <c r="M5041" s="460">
        <f t="shared" si="199"/>
        <v>0.05</v>
      </c>
      <c r="N5041" s="464">
        <f t="shared" si="200"/>
        <v>204477</v>
      </c>
    </row>
    <row r="5042" spans="7:14" ht="11.25" customHeight="1" x14ac:dyDescent="0.3">
      <c r="G5042" s="459"/>
      <c r="H5042" s="459">
        <v>5035</v>
      </c>
      <c r="I5042" s="444">
        <f t="shared" ca="1" si="198"/>
        <v>20520131709596.219</v>
      </c>
      <c r="J5042" s="444">
        <f t="array" ref="J5042">IFERROR(INDEX('Retirement Calculator'!J:J,MATCH('Isaac 401k'!N5042,'Retirement Calculator'!A:A,0),0),0)</f>
        <v>0</v>
      </c>
      <c r="K5042" s="444">
        <f t="shared" ca="1" si="196"/>
        <v>85500548789.984238</v>
      </c>
      <c r="L5042" s="444">
        <f t="shared" ca="1" si="197"/>
        <v>20605632258386.203</v>
      </c>
      <c r="M5042" s="460">
        <f t="shared" si="199"/>
        <v>0.05</v>
      </c>
      <c r="N5042" s="464">
        <f t="shared" si="200"/>
        <v>204507</v>
      </c>
    </row>
    <row r="5043" spans="7:14" ht="11.25" customHeight="1" x14ac:dyDescent="0.3">
      <c r="G5043" s="459"/>
      <c r="H5043" s="459">
        <v>5036</v>
      </c>
      <c r="I5043" s="444">
        <f t="shared" ca="1" si="198"/>
        <v>20605632258386.203</v>
      </c>
      <c r="J5043" s="444">
        <f t="array" ref="J5043">IFERROR(INDEX('Retirement Calculator'!J:J,MATCH('Isaac 401k'!N5043,'Retirement Calculator'!A:A,0),0),0)</f>
        <v>0</v>
      </c>
      <c r="K5043" s="444">
        <f t="shared" ca="1" si="196"/>
        <v>85856801076.609177</v>
      </c>
      <c r="L5043" s="444">
        <f t="shared" ca="1" si="197"/>
        <v>20691489059462.813</v>
      </c>
      <c r="M5043" s="460">
        <f t="shared" si="199"/>
        <v>0.05</v>
      </c>
      <c r="N5043" s="464">
        <f t="shared" si="200"/>
        <v>204538</v>
      </c>
    </row>
    <row r="5044" spans="7:14" ht="11.25" customHeight="1" x14ac:dyDescent="0.3">
      <c r="G5044" s="459"/>
      <c r="H5044" s="459">
        <v>5037</v>
      </c>
      <c r="I5044" s="444">
        <f t="shared" ca="1" si="198"/>
        <v>20691489059462.813</v>
      </c>
      <c r="J5044" s="444">
        <f t="array" ref="J5044">IFERROR(INDEX('Retirement Calculator'!J:J,MATCH('Isaac 401k'!N5044,'Retirement Calculator'!A:A,0),0),0)</f>
        <v>0</v>
      </c>
      <c r="K5044" s="444">
        <f t="shared" ca="1" si="196"/>
        <v>86214537747.761719</v>
      </c>
      <c r="L5044" s="444">
        <f t="shared" ca="1" si="197"/>
        <v>20777703597210.574</v>
      </c>
      <c r="M5044" s="460">
        <f t="shared" si="199"/>
        <v>0.05</v>
      </c>
      <c r="N5044" s="464">
        <f t="shared" si="200"/>
        <v>204569</v>
      </c>
    </row>
    <row r="5045" spans="7:14" ht="11.25" customHeight="1" x14ac:dyDescent="0.3">
      <c r="G5045" s="459"/>
      <c r="H5045" s="459">
        <v>5038</v>
      </c>
      <c r="I5045" s="444">
        <f t="shared" ca="1" si="198"/>
        <v>20777703597210.574</v>
      </c>
      <c r="J5045" s="444">
        <f t="array" ref="J5045">IFERROR(INDEX('Retirement Calculator'!J:J,MATCH('Isaac 401k'!N5045,'Retirement Calculator'!A:A,0),0),0)</f>
        <v>0</v>
      </c>
      <c r="K5045" s="444">
        <f t="shared" ca="1" si="196"/>
        <v>86573764988.377396</v>
      </c>
      <c r="L5045" s="444">
        <f t="shared" ca="1" si="197"/>
        <v>20864277362198.953</v>
      </c>
      <c r="M5045" s="460">
        <f t="shared" si="199"/>
        <v>0.05</v>
      </c>
      <c r="N5045" s="464">
        <f t="shared" si="200"/>
        <v>204598</v>
      </c>
    </row>
    <row r="5046" spans="7:14" ht="11.25" customHeight="1" x14ac:dyDescent="0.3">
      <c r="G5046" s="459"/>
      <c r="H5046" s="459">
        <v>5039</v>
      </c>
      <c r="I5046" s="444">
        <f t="shared" ca="1" si="198"/>
        <v>20864277362198.953</v>
      </c>
      <c r="J5046" s="444">
        <f t="array" ref="J5046">IFERROR(INDEX('Retirement Calculator'!J:J,MATCH('Isaac 401k'!N5046,'Retirement Calculator'!A:A,0),0),0)</f>
        <v>0</v>
      </c>
      <c r="K5046" s="444">
        <f t="shared" ca="1" si="196"/>
        <v>86934489009.162308</v>
      </c>
      <c r="L5046" s="444">
        <f t="shared" ca="1" si="197"/>
        <v>20951211851208.117</v>
      </c>
      <c r="M5046" s="460">
        <f t="shared" si="199"/>
        <v>0.05</v>
      </c>
      <c r="N5046" s="464">
        <f t="shared" si="200"/>
        <v>204629</v>
      </c>
    </row>
    <row r="5047" spans="7:14" ht="11.25" customHeight="1" x14ac:dyDescent="0.3">
      <c r="G5047" s="459"/>
      <c r="H5047" s="459">
        <v>5040</v>
      </c>
      <c r="I5047" s="444">
        <f t="shared" ca="1" si="198"/>
        <v>20951211851208.117</v>
      </c>
      <c r="J5047" s="444">
        <f t="array" ref="J5047">IFERROR(INDEX('Retirement Calculator'!J:J,MATCH('Isaac 401k'!N5047,'Retirement Calculator'!A:A,0),0),0)</f>
        <v>0</v>
      </c>
      <c r="K5047" s="444">
        <f t="shared" ca="1" si="196"/>
        <v>87296716046.700485</v>
      </c>
      <c r="L5047" s="444">
        <f t="shared" ca="1" si="197"/>
        <v>21038508567254.816</v>
      </c>
      <c r="M5047" s="460">
        <f t="shared" si="199"/>
        <v>0.05</v>
      </c>
      <c r="N5047" s="464">
        <f t="shared" si="200"/>
        <v>204659</v>
      </c>
    </row>
    <row r="5048" spans="7:14" ht="11.25" customHeight="1" x14ac:dyDescent="0.3">
      <c r="G5048" s="459"/>
      <c r="H5048" s="459">
        <v>5041</v>
      </c>
      <c r="I5048" s="444">
        <f t="shared" ca="1" si="198"/>
        <v>21038508567254.816</v>
      </c>
      <c r="J5048" s="444">
        <f t="array" ref="J5048">IFERROR(INDEX('Retirement Calculator'!J:J,MATCH('Isaac 401k'!N5048,'Retirement Calculator'!A:A,0),0),0)</f>
        <v>0</v>
      </c>
      <c r="K5048" s="444">
        <f t="shared" ca="1" si="196"/>
        <v>87660452363.561737</v>
      </c>
      <c r="L5048" s="444">
        <f t="shared" ca="1" si="197"/>
        <v>21126169019618.379</v>
      </c>
      <c r="M5048" s="460">
        <f t="shared" si="199"/>
        <v>0.05</v>
      </c>
      <c r="N5048" s="464">
        <f t="shared" si="200"/>
        <v>204690</v>
      </c>
    </row>
    <row r="5049" spans="7:14" ht="11.25" customHeight="1" x14ac:dyDescent="0.3">
      <c r="G5049" s="459"/>
      <c r="H5049" s="459">
        <v>5042</v>
      </c>
      <c r="I5049" s="444">
        <f t="shared" ca="1" si="198"/>
        <v>21126169019618.379</v>
      </c>
      <c r="J5049" s="444">
        <f t="array" ref="J5049">IFERROR(INDEX('Retirement Calculator'!J:J,MATCH('Isaac 401k'!N5049,'Retirement Calculator'!A:A,0),0),0)</f>
        <v>0</v>
      </c>
      <c r="K5049" s="444">
        <f t="shared" ca="1" si="196"/>
        <v>88025704248.409912</v>
      </c>
      <c r="L5049" s="444">
        <f t="shared" ca="1" si="197"/>
        <v>21214194723866.789</v>
      </c>
      <c r="M5049" s="460">
        <f t="shared" si="199"/>
        <v>0.05</v>
      </c>
      <c r="N5049" s="464">
        <f t="shared" si="200"/>
        <v>204720</v>
      </c>
    </row>
    <row r="5050" spans="7:14" ht="11.25" customHeight="1" x14ac:dyDescent="0.3">
      <c r="G5050" s="459"/>
      <c r="H5050" s="459">
        <v>5043</v>
      </c>
      <c r="I5050" s="444">
        <f t="shared" ca="1" si="198"/>
        <v>21214194723866.789</v>
      </c>
      <c r="J5050" s="444">
        <f t="array" ref="J5050">IFERROR(INDEX('Retirement Calculator'!J:J,MATCH('Isaac 401k'!N5050,'Retirement Calculator'!A:A,0),0),0)</f>
        <v>0</v>
      </c>
      <c r="K5050" s="444">
        <f t="shared" ca="1" si="196"/>
        <v>88392478016.111618</v>
      </c>
      <c r="L5050" s="444">
        <f t="shared" ca="1" si="197"/>
        <v>21302587201882.902</v>
      </c>
      <c r="M5050" s="460">
        <f t="shared" si="199"/>
        <v>0.05</v>
      </c>
      <c r="N5050" s="464">
        <f t="shared" si="200"/>
        <v>204751</v>
      </c>
    </row>
    <row r="5051" spans="7:14" ht="11.25" customHeight="1" x14ac:dyDescent="0.3">
      <c r="G5051" s="459"/>
      <c r="H5051" s="459">
        <v>5044</v>
      </c>
      <c r="I5051" s="444">
        <f t="shared" ca="1" si="198"/>
        <v>21302587201882.902</v>
      </c>
      <c r="J5051" s="444">
        <f t="array" ref="J5051">IFERROR(INDEX('Retirement Calculator'!J:J,MATCH('Isaac 401k'!N5051,'Retirement Calculator'!A:A,0),0),0)</f>
        <v>0</v>
      </c>
      <c r="K5051" s="444">
        <f t="shared" ca="1" si="196"/>
        <v>88760780007.845428</v>
      </c>
      <c r="L5051" s="444">
        <f t="shared" ca="1" si="197"/>
        <v>21391347981890.746</v>
      </c>
      <c r="M5051" s="460">
        <f t="shared" si="199"/>
        <v>0.05</v>
      </c>
      <c r="N5051" s="464">
        <f t="shared" si="200"/>
        <v>204782</v>
      </c>
    </row>
    <row r="5052" spans="7:14" ht="11.25" customHeight="1" x14ac:dyDescent="0.3">
      <c r="G5052" s="459"/>
      <c r="H5052" s="459">
        <v>5045</v>
      </c>
      <c r="I5052" s="444">
        <f t="shared" ca="1" si="198"/>
        <v>21391347981890.746</v>
      </c>
      <c r="J5052" s="444">
        <f t="array" ref="J5052">IFERROR(INDEX('Retirement Calculator'!J:J,MATCH('Isaac 401k'!N5052,'Retirement Calculator'!A:A,0),0),0)</f>
        <v>0</v>
      </c>
      <c r="K5052" s="444">
        <f t="shared" ca="1" si="196"/>
        <v>89130616591.211441</v>
      </c>
      <c r="L5052" s="444">
        <f t="shared" ca="1" si="197"/>
        <v>21480478598481.957</v>
      </c>
      <c r="M5052" s="460">
        <f t="shared" si="199"/>
        <v>0.05</v>
      </c>
      <c r="N5052" s="464">
        <f t="shared" si="200"/>
        <v>204812</v>
      </c>
    </row>
    <row r="5053" spans="7:14" ht="11.25" customHeight="1" x14ac:dyDescent="0.3">
      <c r="G5053" s="459"/>
      <c r="H5053" s="459">
        <v>5046</v>
      </c>
      <c r="I5053" s="444">
        <f t="shared" ca="1" si="198"/>
        <v>21480478598481.957</v>
      </c>
      <c r="J5053" s="444">
        <f t="array" ref="J5053">IFERROR(INDEX('Retirement Calculator'!J:J,MATCH('Isaac 401k'!N5053,'Retirement Calculator'!A:A,0),0),0)</f>
        <v>0</v>
      </c>
      <c r="K5053" s="444">
        <f t="shared" ca="1" si="196"/>
        <v>89501994160.341492</v>
      </c>
      <c r="L5053" s="444">
        <f t="shared" ca="1" si="197"/>
        <v>21569980592642.297</v>
      </c>
      <c r="M5053" s="460">
        <f t="shared" si="199"/>
        <v>0.05</v>
      </c>
      <c r="N5053" s="464">
        <f t="shared" si="200"/>
        <v>204843</v>
      </c>
    </row>
    <row r="5054" spans="7:14" ht="11.25" customHeight="1" x14ac:dyDescent="0.3">
      <c r="G5054" s="459"/>
      <c r="H5054" s="459">
        <v>5047</v>
      </c>
      <c r="I5054" s="444">
        <f t="shared" ca="1" si="198"/>
        <v>21569980592642.297</v>
      </c>
      <c r="J5054" s="444">
        <f t="array" ref="J5054">IFERROR(INDEX('Retirement Calculator'!J:J,MATCH('Isaac 401k'!N5054,'Retirement Calculator'!A:A,0),0),0)</f>
        <v>0</v>
      </c>
      <c r="K5054" s="444">
        <f t="shared" ca="1" si="196"/>
        <v>89874919136.009567</v>
      </c>
      <c r="L5054" s="444">
        <f t="shared" ca="1" si="197"/>
        <v>21659855511778.305</v>
      </c>
      <c r="M5054" s="460">
        <f t="shared" si="199"/>
        <v>0.05</v>
      </c>
      <c r="N5054" s="464">
        <f t="shared" si="200"/>
        <v>204873</v>
      </c>
    </row>
    <row r="5055" spans="7:14" ht="11.25" customHeight="1" x14ac:dyDescent="0.3">
      <c r="G5055" s="459"/>
      <c r="H5055" s="459">
        <v>5048</v>
      </c>
      <c r="I5055" s="444">
        <f t="shared" ca="1" si="198"/>
        <v>21659855511778.305</v>
      </c>
      <c r="J5055" s="444">
        <f t="array" ref="J5055">IFERROR(INDEX('Retirement Calculator'!J:J,MATCH('Isaac 401k'!N5055,'Retirement Calculator'!A:A,0),0),0)</f>
        <v>0</v>
      </c>
      <c r="K5055" s="444">
        <f t="shared" ca="1" si="196"/>
        <v>90249397965.742935</v>
      </c>
      <c r="L5055" s="444">
        <f t="shared" ca="1" si="197"/>
        <v>21750104909744.047</v>
      </c>
      <c r="M5055" s="460">
        <f t="shared" si="199"/>
        <v>0.05</v>
      </c>
      <c r="N5055" s="464">
        <f t="shared" si="200"/>
        <v>204904</v>
      </c>
    </row>
    <row r="5056" spans="7:14" ht="11.25" customHeight="1" x14ac:dyDescent="0.3">
      <c r="G5056" s="459"/>
      <c r="H5056" s="459">
        <v>5049</v>
      </c>
      <c r="I5056" s="444">
        <f t="shared" ca="1" si="198"/>
        <v>21750104909744.047</v>
      </c>
      <c r="J5056" s="444">
        <f t="array" ref="J5056">IFERROR(INDEX('Retirement Calculator'!J:J,MATCH('Isaac 401k'!N5056,'Retirement Calculator'!A:A,0),0),0)</f>
        <v>0</v>
      </c>
      <c r="K5056" s="444">
        <f t="shared" ca="1" si="196"/>
        <v>90625437123.933533</v>
      </c>
      <c r="L5056" s="444">
        <f t="shared" ca="1" si="197"/>
        <v>21840730346867.98</v>
      </c>
      <c r="M5056" s="460">
        <f t="shared" si="199"/>
        <v>0.05</v>
      </c>
      <c r="N5056" s="464">
        <f t="shared" si="200"/>
        <v>204935</v>
      </c>
    </row>
    <row r="5057" spans="7:14" ht="11.25" customHeight="1" x14ac:dyDescent="0.3">
      <c r="G5057" s="459"/>
      <c r="H5057" s="459">
        <v>5050</v>
      </c>
      <c r="I5057" s="444">
        <f t="shared" ca="1" si="198"/>
        <v>21840730346867.98</v>
      </c>
      <c r="J5057" s="444">
        <f t="array" ref="J5057">IFERROR(INDEX('Retirement Calculator'!J:J,MATCH('Isaac 401k'!N5057,'Retirement Calculator'!A:A,0),0),0)</f>
        <v>0</v>
      </c>
      <c r="K5057" s="444">
        <f t="shared" ca="1" si="196"/>
        <v>91003043111.949921</v>
      </c>
      <c r="L5057" s="444">
        <f t="shared" ca="1" si="197"/>
        <v>21931733389979.93</v>
      </c>
      <c r="M5057" s="460">
        <f t="shared" si="199"/>
        <v>0.05</v>
      </c>
      <c r="N5057" s="464">
        <f t="shared" si="200"/>
        <v>204963</v>
      </c>
    </row>
    <row r="5058" spans="7:14" ht="11.25" customHeight="1" x14ac:dyDescent="0.3">
      <c r="G5058" s="459"/>
      <c r="H5058" s="459">
        <v>5051</v>
      </c>
      <c r="I5058" s="444">
        <f t="shared" ca="1" si="198"/>
        <v>21931733389979.93</v>
      </c>
      <c r="J5058" s="444">
        <f t="array" ref="J5058">IFERROR(INDEX('Retirement Calculator'!J:J,MATCH('Isaac 401k'!N5058,'Retirement Calculator'!A:A,0),0),0)</f>
        <v>0</v>
      </c>
      <c r="K5058" s="444">
        <f t="shared" ca="1" si="196"/>
        <v>91382222458.24971</v>
      </c>
      <c r="L5058" s="444">
        <f t="shared" ca="1" si="197"/>
        <v>22023115612438.18</v>
      </c>
      <c r="M5058" s="460">
        <f t="shared" si="199"/>
        <v>0.05</v>
      </c>
      <c r="N5058" s="464">
        <f t="shared" si="200"/>
        <v>204994</v>
      </c>
    </row>
    <row r="5059" spans="7:14" ht="11.25" customHeight="1" x14ac:dyDescent="0.3">
      <c r="G5059" s="459"/>
      <c r="H5059" s="459">
        <v>5052</v>
      </c>
      <c r="I5059" s="444">
        <f t="shared" ca="1" si="198"/>
        <v>22023115612438.18</v>
      </c>
      <c r="J5059" s="444">
        <f t="array" ref="J5059">IFERROR(INDEX('Retirement Calculator'!J:J,MATCH('Isaac 401k'!N5059,'Retirement Calculator'!A:A,0),0),0)</f>
        <v>0</v>
      </c>
      <c r="K5059" s="444">
        <f t="shared" ca="1" si="196"/>
        <v>91762981718.492416</v>
      </c>
      <c r="L5059" s="444">
        <f t="shared" ca="1" si="197"/>
        <v>22114878594156.672</v>
      </c>
      <c r="M5059" s="460">
        <f t="shared" si="199"/>
        <v>0.05</v>
      </c>
      <c r="N5059" s="464">
        <f t="shared" si="200"/>
        <v>205024</v>
      </c>
    </row>
    <row r="5060" spans="7:14" ht="11.25" customHeight="1" x14ac:dyDescent="0.3">
      <c r="G5060" s="459"/>
      <c r="H5060" s="459">
        <v>5053</v>
      </c>
      <c r="I5060" s="444">
        <f t="shared" ca="1" si="198"/>
        <v>22114878594156.672</v>
      </c>
      <c r="J5060" s="444">
        <f t="array" ref="J5060">IFERROR(INDEX('Retirement Calculator'!J:J,MATCH('Isaac 401k'!N5060,'Retirement Calculator'!A:A,0),0),0)</f>
        <v>0</v>
      </c>
      <c r="K5060" s="444">
        <f t="shared" ca="1" si="196"/>
        <v>92145327475.652802</v>
      </c>
      <c r="L5060" s="444">
        <f t="shared" ca="1" si="197"/>
        <v>22207023921632.324</v>
      </c>
      <c r="M5060" s="460">
        <f t="shared" si="199"/>
        <v>0.05</v>
      </c>
      <c r="N5060" s="464">
        <f t="shared" si="200"/>
        <v>205055</v>
      </c>
    </row>
    <row r="5061" spans="7:14" ht="11.25" customHeight="1" x14ac:dyDescent="0.3">
      <c r="G5061" s="459"/>
      <c r="H5061" s="459">
        <v>5054</v>
      </c>
      <c r="I5061" s="444">
        <f t="shared" ca="1" si="198"/>
        <v>22207023921632.324</v>
      </c>
      <c r="J5061" s="444">
        <f t="array" ref="J5061">IFERROR(INDEX('Retirement Calculator'!J:J,MATCH('Isaac 401k'!N5061,'Retirement Calculator'!A:A,0),0),0)</f>
        <v>0</v>
      </c>
      <c r="K5061" s="444">
        <f t="shared" ca="1" si="196"/>
        <v>92529266340.134689</v>
      </c>
      <c r="L5061" s="444">
        <f t="shared" ca="1" si="197"/>
        <v>22299553187972.457</v>
      </c>
      <c r="M5061" s="460">
        <f t="shared" si="199"/>
        <v>0.05</v>
      </c>
      <c r="N5061" s="464">
        <f t="shared" si="200"/>
        <v>205085</v>
      </c>
    </row>
    <row r="5062" spans="7:14" ht="11.25" customHeight="1" x14ac:dyDescent="0.3">
      <c r="G5062" s="459"/>
      <c r="H5062" s="459">
        <v>5055</v>
      </c>
      <c r="I5062" s="444">
        <f t="shared" ca="1" si="198"/>
        <v>22299553187972.457</v>
      </c>
      <c r="J5062" s="444">
        <f t="array" ref="J5062">IFERROR(INDEX('Retirement Calculator'!J:J,MATCH('Isaac 401k'!N5062,'Retirement Calculator'!A:A,0),0),0)</f>
        <v>0</v>
      </c>
      <c r="K5062" s="444">
        <f t="shared" ca="1" si="196"/>
        <v>92914804949.885239</v>
      </c>
      <c r="L5062" s="444">
        <f t="shared" ca="1" si="197"/>
        <v>22392467992922.344</v>
      </c>
      <c r="M5062" s="460">
        <f t="shared" si="199"/>
        <v>0.05</v>
      </c>
      <c r="N5062" s="464">
        <f t="shared" si="200"/>
        <v>205116</v>
      </c>
    </row>
    <row r="5063" spans="7:14" ht="11.25" customHeight="1" x14ac:dyDescent="0.3">
      <c r="G5063" s="459"/>
      <c r="H5063" s="459">
        <v>5056</v>
      </c>
      <c r="I5063" s="444">
        <f t="shared" ca="1" si="198"/>
        <v>22392467992922.344</v>
      </c>
      <c r="J5063" s="444">
        <f t="array" ref="J5063">IFERROR(INDEX('Retirement Calculator'!J:J,MATCH('Isaac 401k'!N5063,'Retirement Calculator'!A:A,0),0),0)</f>
        <v>0</v>
      </c>
      <c r="K5063" s="444">
        <f t="shared" ca="1" si="196"/>
        <v>93301949970.509766</v>
      </c>
      <c r="L5063" s="444">
        <f t="shared" ca="1" si="197"/>
        <v>22485769942892.852</v>
      </c>
      <c r="M5063" s="460">
        <f t="shared" si="199"/>
        <v>0.05</v>
      </c>
      <c r="N5063" s="464">
        <f t="shared" si="200"/>
        <v>205147</v>
      </c>
    </row>
    <row r="5064" spans="7:14" ht="11.25" customHeight="1" x14ac:dyDescent="0.3">
      <c r="G5064" s="459"/>
      <c r="H5064" s="459">
        <v>5057</v>
      </c>
      <c r="I5064" s="444">
        <f t="shared" ca="1" si="198"/>
        <v>22485769942892.852</v>
      </c>
      <c r="J5064" s="444">
        <f t="array" ref="J5064">IFERROR(INDEX('Retirement Calculator'!J:J,MATCH('Isaac 401k'!N5064,'Retirement Calculator'!A:A,0),0),0)</f>
        <v>0</v>
      </c>
      <c r="K5064" s="444">
        <f t="shared" ca="1" si="196"/>
        <v>93690708095.386887</v>
      </c>
      <c r="L5064" s="444">
        <f t="shared" ca="1" si="197"/>
        <v>22579460650988.238</v>
      </c>
      <c r="M5064" s="460">
        <f t="shared" si="199"/>
        <v>0.05</v>
      </c>
      <c r="N5064" s="464">
        <f t="shared" si="200"/>
        <v>205177</v>
      </c>
    </row>
    <row r="5065" spans="7:14" ht="11.25" customHeight="1" x14ac:dyDescent="0.3">
      <c r="G5065" s="459"/>
      <c r="H5065" s="459">
        <v>5058</v>
      </c>
      <c r="I5065" s="444">
        <f t="shared" ca="1" si="198"/>
        <v>22579460650988.238</v>
      </c>
      <c r="J5065" s="444">
        <f t="array" ref="J5065">IFERROR(INDEX('Retirement Calculator'!J:J,MATCH('Isaac 401k'!N5065,'Retirement Calculator'!A:A,0),0),0)</f>
        <v>0</v>
      </c>
      <c r="K5065" s="444">
        <f t="shared" ca="1" si="196"/>
        <v>94081086045.784332</v>
      </c>
      <c r="L5065" s="444">
        <f t="shared" ca="1" si="197"/>
        <v>22673541737034.023</v>
      </c>
      <c r="M5065" s="460">
        <f t="shared" si="199"/>
        <v>0.05</v>
      </c>
      <c r="N5065" s="464">
        <f t="shared" si="200"/>
        <v>205208</v>
      </c>
    </row>
    <row r="5066" spans="7:14" ht="11.25" customHeight="1" x14ac:dyDescent="0.3">
      <c r="G5066" s="459"/>
      <c r="H5066" s="459">
        <v>5059</v>
      </c>
      <c r="I5066" s="444">
        <f t="shared" ca="1" si="198"/>
        <v>22673541737034.023</v>
      </c>
      <c r="J5066" s="444">
        <f t="array" ref="J5066">IFERROR(INDEX('Retirement Calculator'!J:J,MATCH('Isaac 401k'!N5066,'Retirement Calculator'!A:A,0),0),0)</f>
        <v>0</v>
      </c>
      <c r="K5066" s="444">
        <f t="shared" ca="1" si="196"/>
        <v>94473090570.975098</v>
      </c>
      <c r="L5066" s="444">
        <f t="shared" ca="1" si="197"/>
        <v>22768014827605</v>
      </c>
      <c r="M5066" s="460">
        <f t="shared" si="199"/>
        <v>0.05</v>
      </c>
      <c r="N5066" s="464">
        <f t="shared" si="200"/>
        <v>205238</v>
      </c>
    </row>
    <row r="5067" spans="7:14" ht="11.25" customHeight="1" x14ac:dyDescent="0.3">
      <c r="G5067" s="459"/>
      <c r="H5067" s="459">
        <v>5060</v>
      </c>
      <c r="I5067" s="444">
        <f t="shared" ca="1" si="198"/>
        <v>22768014827605</v>
      </c>
      <c r="J5067" s="444">
        <f t="array" ref="J5067">IFERROR(INDEX('Retirement Calculator'!J:J,MATCH('Isaac 401k'!N5067,'Retirement Calculator'!A:A,0),0),0)</f>
        <v>0</v>
      </c>
      <c r="K5067" s="444">
        <f t="shared" ca="1" si="196"/>
        <v>94866728448.354172</v>
      </c>
      <c r="L5067" s="444">
        <f t="shared" ca="1" si="197"/>
        <v>22862881556053.355</v>
      </c>
      <c r="M5067" s="460">
        <f t="shared" si="199"/>
        <v>0.05</v>
      </c>
      <c r="N5067" s="464">
        <f t="shared" si="200"/>
        <v>205269</v>
      </c>
    </row>
    <row r="5068" spans="7:14" ht="11.25" customHeight="1" x14ac:dyDescent="0.3">
      <c r="G5068" s="459"/>
      <c r="H5068" s="459">
        <v>5061</v>
      </c>
      <c r="I5068" s="444">
        <f t="shared" ca="1" si="198"/>
        <v>22862881556053.355</v>
      </c>
      <c r="J5068" s="444">
        <f t="array" ref="J5068">IFERROR(INDEX('Retirement Calculator'!J:J,MATCH('Isaac 401k'!N5068,'Retirement Calculator'!A:A,0),0),0)</f>
        <v>0</v>
      </c>
      <c r="K5068" s="444">
        <f t="shared" ca="1" si="196"/>
        <v>95262006483.555649</v>
      </c>
      <c r="L5068" s="444">
        <f t="shared" ca="1" si="197"/>
        <v>22958143562536.91</v>
      </c>
      <c r="M5068" s="460">
        <f t="shared" si="199"/>
        <v>0.05</v>
      </c>
      <c r="N5068" s="464">
        <f t="shared" si="200"/>
        <v>205300</v>
      </c>
    </row>
    <row r="5069" spans="7:14" ht="11.25" customHeight="1" x14ac:dyDescent="0.3">
      <c r="G5069" s="459"/>
      <c r="H5069" s="459">
        <v>5062</v>
      </c>
      <c r="I5069" s="444">
        <f t="shared" ca="1" si="198"/>
        <v>22958143562536.91</v>
      </c>
      <c r="J5069" s="444">
        <f t="array" ref="J5069">IFERROR(INDEX('Retirement Calculator'!J:J,MATCH('Isaac 401k'!N5069,'Retirement Calculator'!A:A,0),0),0)</f>
        <v>0</v>
      </c>
      <c r="K5069" s="444">
        <f t="shared" ca="1" si="196"/>
        <v>95658931510.570465</v>
      </c>
      <c r="L5069" s="444">
        <f t="shared" ca="1" si="197"/>
        <v>23053802494047.48</v>
      </c>
      <c r="M5069" s="460">
        <f t="shared" si="199"/>
        <v>0.05</v>
      </c>
      <c r="N5069" s="464">
        <f t="shared" si="200"/>
        <v>205328</v>
      </c>
    </row>
    <row r="5070" spans="7:14" ht="11.25" customHeight="1" x14ac:dyDescent="0.3">
      <c r="G5070" s="459"/>
      <c r="H5070" s="459">
        <v>5063</v>
      </c>
      <c r="I5070" s="444">
        <f t="shared" ca="1" si="198"/>
        <v>23053802494047.48</v>
      </c>
      <c r="J5070" s="444">
        <f t="array" ref="J5070">IFERROR(INDEX('Retirement Calculator'!J:J,MATCH('Isaac 401k'!N5070,'Retirement Calculator'!A:A,0),0),0)</f>
        <v>0</v>
      </c>
      <c r="K5070" s="444">
        <f t="shared" ca="1" si="196"/>
        <v>96057510391.864502</v>
      </c>
      <c r="L5070" s="444">
        <f t="shared" ca="1" si="197"/>
        <v>23149860004439.344</v>
      </c>
      <c r="M5070" s="460">
        <f t="shared" si="199"/>
        <v>0.05</v>
      </c>
      <c r="N5070" s="464">
        <f t="shared" si="200"/>
        <v>205359</v>
      </c>
    </row>
    <row r="5071" spans="7:14" ht="11.25" customHeight="1" x14ac:dyDescent="0.3">
      <c r="G5071" s="459"/>
      <c r="H5071" s="459">
        <v>5064</v>
      </c>
      <c r="I5071" s="444">
        <f t="shared" ca="1" si="198"/>
        <v>23149860004439.344</v>
      </c>
      <c r="J5071" s="444">
        <f t="array" ref="J5071">IFERROR(INDEX('Retirement Calculator'!J:J,MATCH('Isaac 401k'!N5071,'Retirement Calculator'!A:A,0),0),0)</f>
        <v>0</v>
      </c>
      <c r="K5071" s="444">
        <f t="shared" ca="1" si="196"/>
        <v>96457750018.497269</v>
      </c>
      <c r="L5071" s="444">
        <f t="shared" ca="1" si="197"/>
        <v>23246317754457.84</v>
      </c>
      <c r="M5071" s="460">
        <f t="shared" si="199"/>
        <v>0.05</v>
      </c>
      <c r="N5071" s="464">
        <f t="shared" si="200"/>
        <v>205389</v>
      </c>
    </row>
    <row r="5072" spans="7:14" ht="11.25" customHeight="1" x14ac:dyDescent="0.3">
      <c r="G5072" s="459"/>
      <c r="H5072" s="459">
        <v>5065</v>
      </c>
      <c r="I5072" s="444">
        <f t="shared" ca="1" si="198"/>
        <v>23246317754457.84</v>
      </c>
      <c r="J5072" s="444">
        <f t="array" ref="J5072">IFERROR(INDEX('Retirement Calculator'!J:J,MATCH('Isaac 401k'!N5072,'Retirement Calculator'!A:A,0),0),0)</f>
        <v>0</v>
      </c>
      <c r="K5072" s="444">
        <f t="shared" ca="1" si="196"/>
        <v>96859657310.240997</v>
      </c>
      <c r="L5072" s="444">
        <f t="shared" ca="1" si="197"/>
        <v>23343177411768.082</v>
      </c>
      <c r="M5072" s="460">
        <f t="shared" si="199"/>
        <v>0.05</v>
      </c>
      <c r="N5072" s="464">
        <f t="shared" si="200"/>
        <v>205420</v>
      </c>
    </row>
    <row r="5073" spans="7:14" ht="11.25" customHeight="1" x14ac:dyDescent="0.3">
      <c r="G5073" s="459"/>
      <c r="H5073" s="459">
        <v>5066</v>
      </c>
      <c r="I5073" s="444">
        <f t="shared" ca="1" si="198"/>
        <v>23343177411768.082</v>
      </c>
      <c r="J5073" s="444">
        <f t="array" ref="J5073">IFERROR(INDEX('Retirement Calculator'!J:J,MATCH('Isaac 401k'!N5073,'Retirement Calculator'!A:A,0),0),0)</f>
        <v>0</v>
      </c>
      <c r="K5073" s="444">
        <f t="shared" ca="1" si="196"/>
        <v>97263239215.700348</v>
      </c>
      <c r="L5073" s="444">
        <f t="shared" ca="1" si="197"/>
        <v>23440440650983.781</v>
      </c>
      <c r="M5073" s="460">
        <f t="shared" si="199"/>
        <v>0.05</v>
      </c>
      <c r="N5073" s="464">
        <f t="shared" si="200"/>
        <v>205450</v>
      </c>
    </row>
    <row r="5074" spans="7:14" ht="11.25" customHeight="1" x14ac:dyDescent="0.3">
      <c r="G5074" s="459"/>
      <c r="H5074" s="459">
        <v>5067</v>
      </c>
      <c r="I5074" s="444">
        <f t="shared" ca="1" si="198"/>
        <v>23440440650983.781</v>
      </c>
      <c r="J5074" s="444">
        <f t="array" ref="J5074">IFERROR(INDEX('Retirement Calculator'!J:J,MATCH('Isaac 401k'!N5074,'Retirement Calculator'!A:A,0),0),0)</f>
        <v>0</v>
      </c>
      <c r="K5074" s="444">
        <f t="shared" ca="1" si="196"/>
        <v>97668502712.432419</v>
      </c>
      <c r="L5074" s="444">
        <f t="shared" ca="1" si="197"/>
        <v>23538109153696.215</v>
      </c>
      <c r="M5074" s="460">
        <f t="shared" si="199"/>
        <v>0.05</v>
      </c>
      <c r="N5074" s="464">
        <f t="shared" si="200"/>
        <v>205481</v>
      </c>
    </row>
    <row r="5075" spans="7:14" ht="11.25" customHeight="1" x14ac:dyDescent="0.3">
      <c r="G5075" s="459"/>
      <c r="H5075" s="459">
        <v>5068</v>
      </c>
      <c r="I5075" s="444">
        <f t="shared" ca="1" si="198"/>
        <v>23538109153696.215</v>
      </c>
      <c r="J5075" s="444">
        <f t="array" ref="J5075">IFERROR(INDEX('Retirement Calculator'!J:J,MATCH('Isaac 401k'!N5075,'Retirement Calculator'!A:A,0),0),0)</f>
        <v>0</v>
      </c>
      <c r="K5075" s="444">
        <f t="shared" ca="1" si="196"/>
        <v>98075454807.067566</v>
      </c>
      <c r="L5075" s="444">
        <f t="shared" ca="1" si="197"/>
        <v>23636184608503.281</v>
      </c>
      <c r="M5075" s="460">
        <f t="shared" si="199"/>
        <v>0.05</v>
      </c>
      <c r="N5075" s="464">
        <f t="shared" si="200"/>
        <v>205512</v>
      </c>
    </row>
    <row r="5076" spans="7:14" ht="11.25" customHeight="1" x14ac:dyDescent="0.3">
      <c r="G5076" s="459"/>
      <c r="H5076" s="459">
        <v>5069</v>
      </c>
      <c r="I5076" s="444">
        <f t="shared" ca="1" si="198"/>
        <v>23636184608503.281</v>
      </c>
      <c r="J5076" s="444">
        <f t="array" ref="J5076">IFERROR(INDEX('Retirement Calculator'!J:J,MATCH('Isaac 401k'!N5076,'Retirement Calculator'!A:A,0),0),0)</f>
        <v>0</v>
      </c>
      <c r="K5076" s="444">
        <f t="shared" ca="1" si="196"/>
        <v>98484102535.430344</v>
      </c>
      <c r="L5076" s="444">
        <f t="shared" ca="1" si="197"/>
        <v>23734668711038.711</v>
      </c>
      <c r="M5076" s="460">
        <f t="shared" si="199"/>
        <v>0.05</v>
      </c>
      <c r="N5076" s="464">
        <f t="shared" si="200"/>
        <v>205542</v>
      </c>
    </row>
    <row r="5077" spans="7:14" ht="11.25" customHeight="1" x14ac:dyDescent="0.3">
      <c r="G5077" s="459"/>
      <c r="H5077" s="459">
        <v>5070</v>
      </c>
      <c r="I5077" s="444">
        <f t="shared" ca="1" si="198"/>
        <v>23734668711038.711</v>
      </c>
      <c r="J5077" s="444">
        <f t="array" ref="J5077">IFERROR(INDEX('Retirement Calculator'!J:J,MATCH('Isaac 401k'!N5077,'Retirement Calculator'!A:A,0),0),0)</f>
        <v>0</v>
      </c>
      <c r="K5077" s="444">
        <f t="shared" ca="1" si="196"/>
        <v>98894452962.661301</v>
      </c>
      <c r="L5077" s="444">
        <f t="shared" ca="1" si="197"/>
        <v>23833563164001.371</v>
      </c>
      <c r="M5077" s="460">
        <f t="shared" si="199"/>
        <v>0.05</v>
      </c>
      <c r="N5077" s="464">
        <f t="shared" si="200"/>
        <v>205573</v>
      </c>
    </row>
    <row r="5078" spans="7:14" ht="11.25" customHeight="1" x14ac:dyDescent="0.3">
      <c r="G5078" s="459"/>
      <c r="H5078" s="459">
        <v>5071</v>
      </c>
      <c r="I5078" s="444">
        <f t="shared" ca="1" si="198"/>
        <v>23833563164001.371</v>
      </c>
      <c r="J5078" s="444">
        <f t="array" ref="J5078">IFERROR(INDEX('Retirement Calculator'!J:J,MATCH('Isaac 401k'!N5078,'Retirement Calculator'!A:A,0),0),0)</f>
        <v>0</v>
      </c>
      <c r="K5078" s="444">
        <f t="shared" ca="1" si="196"/>
        <v>99306513183.33905</v>
      </c>
      <c r="L5078" s="444">
        <f t="shared" ca="1" si="197"/>
        <v>23932869677184.711</v>
      </c>
      <c r="M5078" s="460">
        <f t="shared" si="199"/>
        <v>0.05</v>
      </c>
      <c r="N5078" s="464">
        <f t="shared" si="200"/>
        <v>205603</v>
      </c>
    </row>
    <row r="5079" spans="7:14" ht="11.25" customHeight="1" x14ac:dyDescent="0.3">
      <c r="G5079" s="459"/>
      <c r="H5079" s="459">
        <v>5072</v>
      </c>
      <c r="I5079" s="444">
        <f t="shared" ca="1" si="198"/>
        <v>23932869677184.711</v>
      </c>
      <c r="J5079" s="444">
        <f t="array" ref="J5079">IFERROR(INDEX('Retirement Calculator'!J:J,MATCH('Isaac 401k'!N5079,'Retirement Calculator'!A:A,0),0),0)</f>
        <v>0</v>
      </c>
      <c r="K5079" s="444">
        <f t="shared" ca="1" si="196"/>
        <v>99720290321.602966</v>
      </c>
      <c r="L5079" s="444">
        <f t="shared" ca="1" si="197"/>
        <v>24032589967506.313</v>
      </c>
      <c r="M5079" s="460">
        <f t="shared" si="199"/>
        <v>0.05</v>
      </c>
      <c r="N5079" s="464">
        <f t="shared" si="200"/>
        <v>205634</v>
      </c>
    </row>
    <row r="5080" spans="7:14" ht="11.25" customHeight="1" x14ac:dyDescent="0.3">
      <c r="G5080" s="459"/>
      <c r="H5080" s="459">
        <v>5073</v>
      </c>
      <c r="I5080" s="444">
        <f t="shared" ca="1" si="198"/>
        <v>24032589967506.313</v>
      </c>
      <c r="J5080" s="444">
        <f t="array" ref="J5080">IFERROR(INDEX('Retirement Calculator'!J:J,MATCH('Isaac 401k'!N5080,'Retirement Calculator'!A:A,0),0),0)</f>
        <v>0</v>
      </c>
      <c r="K5080" s="444">
        <f t="shared" ca="1" si="196"/>
        <v>100135791531.27631</v>
      </c>
      <c r="L5080" s="444">
        <f t="shared" ca="1" si="197"/>
        <v>24132725759037.59</v>
      </c>
      <c r="M5080" s="460">
        <f t="shared" si="199"/>
        <v>0.05</v>
      </c>
      <c r="N5080" s="464">
        <f t="shared" si="200"/>
        <v>205665</v>
      </c>
    </row>
    <row r="5081" spans="7:14" ht="11.25" customHeight="1" x14ac:dyDescent="0.3">
      <c r="G5081" s="459"/>
      <c r="H5081" s="459">
        <v>5074</v>
      </c>
      <c r="I5081" s="444">
        <f t="shared" ca="1" si="198"/>
        <v>24132725759037.59</v>
      </c>
      <c r="J5081" s="444">
        <f t="array" ref="J5081">IFERROR(INDEX('Retirement Calculator'!J:J,MATCH('Isaac 401k'!N5081,'Retirement Calculator'!A:A,0),0),0)</f>
        <v>0</v>
      </c>
      <c r="K5081" s="444">
        <f t="shared" ca="1" si="196"/>
        <v>100553023995.98996</v>
      </c>
      <c r="L5081" s="444">
        <f t="shared" ca="1" si="197"/>
        <v>24233278783033.578</v>
      </c>
      <c r="M5081" s="460">
        <f t="shared" si="199"/>
        <v>0.05</v>
      </c>
      <c r="N5081" s="464">
        <f t="shared" si="200"/>
        <v>205693</v>
      </c>
    </row>
    <row r="5082" spans="7:14" ht="11.25" customHeight="1" x14ac:dyDescent="0.3">
      <c r="G5082" s="459"/>
      <c r="H5082" s="459">
        <v>5075</v>
      </c>
      <c r="I5082" s="444">
        <f t="shared" ca="1" si="198"/>
        <v>24233278783033.578</v>
      </c>
      <c r="J5082" s="444">
        <f t="array" ref="J5082">IFERROR(INDEX('Retirement Calculator'!J:J,MATCH('Isaac 401k'!N5082,'Retirement Calculator'!A:A,0),0),0)</f>
        <v>0</v>
      </c>
      <c r="K5082" s="444">
        <f t="shared" ca="1" si="196"/>
        <v>100971994929.30658</v>
      </c>
      <c r="L5082" s="444">
        <f t="shared" ca="1" si="197"/>
        <v>24334250777962.883</v>
      </c>
      <c r="M5082" s="460">
        <f t="shared" si="199"/>
        <v>0.05</v>
      </c>
      <c r="N5082" s="464">
        <f t="shared" si="200"/>
        <v>205724</v>
      </c>
    </row>
    <row r="5083" spans="7:14" ht="11.25" customHeight="1" x14ac:dyDescent="0.3">
      <c r="G5083" s="459"/>
      <c r="H5083" s="459">
        <v>5076</v>
      </c>
      <c r="I5083" s="444">
        <f t="shared" ca="1" si="198"/>
        <v>24334250777962.883</v>
      </c>
      <c r="J5083" s="444">
        <f t="array" ref="J5083">IFERROR(INDEX('Retirement Calculator'!J:J,MATCH('Isaac 401k'!N5083,'Retirement Calculator'!A:A,0),0),0)</f>
        <v>0</v>
      </c>
      <c r="K5083" s="444">
        <f t="shared" ca="1" si="196"/>
        <v>101392711574.84534</v>
      </c>
      <c r="L5083" s="444">
        <f t="shared" ca="1" si="197"/>
        <v>24435643489537.727</v>
      </c>
      <c r="M5083" s="460">
        <f t="shared" si="199"/>
        <v>0.05</v>
      </c>
      <c r="N5083" s="464">
        <f t="shared" si="200"/>
        <v>205754</v>
      </c>
    </row>
    <row r="5084" spans="7:14" ht="11.25" customHeight="1" x14ac:dyDescent="0.3">
      <c r="G5084" s="459"/>
      <c r="H5084" s="459">
        <v>5077</v>
      </c>
      <c r="I5084" s="444">
        <f t="shared" ca="1" si="198"/>
        <v>24435643489537.727</v>
      </c>
      <c r="J5084" s="444">
        <f t="array" ref="J5084">IFERROR(INDEX('Retirement Calculator'!J:J,MATCH('Isaac 401k'!N5084,'Retirement Calculator'!A:A,0),0),0)</f>
        <v>0</v>
      </c>
      <c r="K5084" s="444">
        <f t="shared" ca="1" si="196"/>
        <v>101815181206.4072</v>
      </c>
      <c r="L5084" s="444">
        <f t="shared" ca="1" si="197"/>
        <v>24537458670744.133</v>
      </c>
      <c r="M5084" s="460">
        <f t="shared" si="199"/>
        <v>0.05</v>
      </c>
      <c r="N5084" s="464">
        <f t="shared" si="200"/>
        <v>205785</v>
      </c>
    </row>
    <row r="5085" spans="7:14" ht="11.25" customHeight="1" x14ac:dyDescent="0.3">
      <c r="G5085" s="459"/>
      <c r="H5085" s="459">
        <v>5078</v>
      </c>
      <c r="I5085" s="444">
        <f t="shared" ca="1" si="198"/>
        <v>24537458670744.133</v>
      </c>
      <c r="J5085" s="444">
        <f t="array" ref="J5085">IFERROR(INDEX('Retirement Calculator'!J:J,MATCH('Isaac 401k'!N5085,'Retirement Calculator'!A:A,0),0),0)</f>
        <v>0</v>
      </c>
      <c r="K5085" s="444">
        <f t="shared" ca="1" si="196"/>
        <v>102239411128.10056</v>
      </c>
      <c r="L5085" s="444">
        <f t="shared" ca="1" si="197"/>
        <v>24639698081872.234</v>
      </c>
      <c r="M5085" s="460">
        <f t="shared" si="199"/>
        <v>0.05</v>
      </c>
      <c r="N5085" s="464">
        <f t="shared" si="200"/>
        <v>205815</v>
      </c>
    </row>
    <row r="5086" spans="7:14" ht="11.25" customHeight="1" x14ac:dyDescent="0.3">
      <c r="G5086" s="459"/>
      <c r="H5086" s="459">
        <v>5079</v>
      </c>
      <c r="I5086" s="444">
        <f t="shared" ca="1" si="198"/>
        <v>24639698081872.234</v>
      </c>
      <c r="J5086" s="444">
        <f t="array" ref="J5086">IFERROR(INDEX('Retirement Calculator'!J:J,MATCH('Isaac 401k'!N5086,'Retirement Calculator'!A:A,0),0),0)</f>
        <v>0</v>
      </c>
      <c r="K5086" s="444">
        <f t="shared" ca="1" si="196"/>
        <v>102665408674.46764</v>
      </c>
      <c r="L5086" s="444">
        <f t="shared" ca="1" si="197"/>
        <v>24742363490546.703</v>
      </c>
      <c r="M5086" s="460">
        <f t="shared" si="199"/>
        <v>0.05</v>
      </c>
      <c r="N5086" s="464">
        <f t="shared" si="200"/>
        <v>205846</v>
      </c>
    </row>
    <row r="5087" spans="7:14" ht="11.25" customHeight="1" x14ac:dyDescent="0.3">
      <c r="G5087" s="459"/>
      <c r="H5087" s="459">
        <v>5080</v>
      </c>
      <c r="I5087" s="444">
        <f t="shared" ca="1" si="198"/>
        <v>24742363490546.703</v>
      </c>
      <c r="J5087" s="444">
        <f t="array" ref="J5087">IFERROR(INDEX('Retirement Calculator'!J:J,MATCH('Isaac 401k'!N5087,'Retirement Calculator'!A:A,0),0),0)</f>
        <v>0</v>
      </c>
      <c r="K5087" s="444">
        <f t="shared" ca="1" si="196"/>
        <v>103093181210.61127</v>
      </c>
      <c r="L5087" s="444">
        <f t="shared" ca="1" si="197"/>
        <v>24845456671757.313</v>
      </c>
      <c r="M5087" s="460">
        <f t="shared" si="199"/>
        <v>0.05</v>
      </c>
      <c r="N5087" s="464">
        <f t="shared" si="200"/>
        <v>205877</v>
      </c>
    </row>
    <row r="5088" spans="7:14" ht="11.25" customHeight="1" x14ac:dyDescent="0.3">
      <c r="G5088" s="459"/>
      <c r="H5088" s="459">
        <v>5081</v>
      </c>
      <c r="I5088" s="444">
        <f t="shared" ca="1" si="198"/>
        <v>24845456671757.313</v>
      </c>
      <c r="J5088" s="444">
        <f t="array" ref="J5088">IFERROR(INDEX('Retirement Calculator'!J:J,MATCH('Isaac 401k'!N5088,'Retirement Calculator'!A:A,0),0),0)</f>
        <v>0</v>
      </c>
      <c r="K5088" s="444">
        <f t="shared" ca="1" si="196"/>
        <v>103522736132.32213</v>
      </c>
      <c r="L5088" s="444">
        <f t="shared" ca="1" si="197"/>
        <v>24948979407889.633</v>
      </c>
      <c r="M5088" s="460">
        <f t="shared" si="199"/>
        <v>0.05</v>
      </c>
      <c r="N5088" s="464">
        <f t="shared" si="200"/>
        <v>205907</v>
      </c>
    </row>
    <row r="5089" spans="7:14" ht="11.25" customHeight="1" x14ac:dyDescent="0.3">
      <c r="G5089" s="459"/>
      <c r="H5089" s="459">
        <v>5082</v>
      </c>
      <c r="I5089" s="444">
        <f t="shared" ca="1" si="198"/>
        <v>24948979407889.633</v>
      </c>
      <c r="J5089" s="444">
        <f t="array" ref="J5089">IFERROR(INDEX('Retirement Calculator'!J:J,MATCH('Isaac 401k'!N5089,'Retirement Calculator'!A:A,0),0),0)</f>
        <v>0</v>
      </c>
      <c r="K5089" s="444">
        <f t="shared" ca="1" si="196"/>
        <v>103954080866.2068</v>
      </c>
      <c r="L5089" s="444">
        <f t="shared" ca="1" si="197"/>
        <v>25052933488755.84</v>
      </c>
      <c r="M5089" s="460">
        <f t="shared" si="199"/>
        <v>0.05</v>
      </c>
      <c r="N5089" s="464">
        <f t="shared" si="200"/>
        <v>205938</v>
      </c>
    </row>
    <row r="5090" spans="7:14" ht="11.25" customHeight="1" x14ac:dyDescent="0.3">
      <c r="G5090" s="459"/>
      <c r="H5090" s="459">
        <v>5083</v>
      </c>
      <c r="I5090" s="444">
        <f t="shared" ca="1" si="198"/>
        <v>25052933488755.84</v>
      </c>
      <c r="J5090" s="444">
        <f t="array" ref="J5090">IFERROR(INDEX('Retirement Calculator'!J:J,MATCH('Isaac 401k'!N5090,'Retirement Calculator'!A:A,0),0),0)</f>
        <v>0</v>
      </c>
      <c r="K5090" s="444">
        <f t="shared" ca="1" si="196"/>
        <v>104387222869.81599</v>
      </c>
      <c r="L5090" s="444">
        <f t="shared" ca="1" si="197"/>
        <v>25157320711625.656</v>
      </c>
      <c r="M5090" s="460">
        <f t="shared" si="199"/>
        <v>0.05</v>
      </c>
      <c r="N5090" s="464">
        <f t="shared" si="200"/>
        <v>205968</v>
      </c>
    </row>
    <row r="5091" spans="7:14" ht="11.25" customHeight="1" x14ac:dyDescent="0.3">
      <c r="G5091" s="459"/>
      <c r="H5091" s="459">
        <v>5084</v>
      </c>
      <c r="I5091" s="444">
        <f t="shared" ca="1" si="198"/>
        <v>25157320711625.656</v>
      </c>
      <c r="J5091" s="444">
        <f t="array" ref="J5091">IFERROR(INDEX('Retirement Calculator'!J:J,MATCH('Isaac 401k'!N5091,'Retirement Calculator'!A:A,0),0),0)</f>
        <v>0</v>
      </c>
      <c r="K5091" s="444">
        <f t="shared" ca="1" si="196"/>
        <v>104822169631.77356</v>
      </c>
      <c r="L5091" s="444">
        <f t="shared" ca="1" si="197"/>
        <v>25262142881257.43</v>
      </c>
      <c r="M5091" s="460">
        <f t="shared" si="199"/>
        <v>0.05</v>
      </c>
      <c r="N5091" s="464">
        <f t="shared" si="200"/>
        <v>205999</v>
      </c>
    </row>
    <row r="5092" spans="7:14" ht="11.25" customHeight="1" x14ac:dyDescent="0.3">
      <c r="G5092" s="459"/>
      <c r="H5092" s="459">
        <v>5085</v>
      </c>
      <c r="I5092" s="444">
        <f t="shared" ca="1" si="198"/>
        <v>25262142881257.43</v>
      </c>
      <c r="J5092" s="444">
        <f t="array" ref="J5092">IFERROR(INDEX('Retirement Calculator'!J:J,MATCH('Isaac 401k'!N5092,'Retirement Calculator'!A:A,0),0),0)</f>
        <v>0</v>
      </c>
      <c r="K5092" s="444">
        <f t="shared" ca="1" si="196"/>
        <v>105258928671.90596</v>
      </c>
      <c r="L5092" s="444">
        <f t="shared" ca="1" si="197"/>
        <v>25367401809929.336</v>
      </c>
      <c r="M5092" s="460">
        <f t="shared" si="199"/>
        <v>0.05</v>
      </c>
      <c r="N5092" s="464">
        <f t="shared" si="200"/>
        <v>206030</v>
      </c>
    </row>
    <row r="5093" spans="7:14" ht="11.25" customHeight="1" x14ac:dyDescent="0.3">
      <c r="G5093" s="459"/>
      <c r="H5093" s="459">
        <v>5086</v>
      </c>
      <c r="I5093" s="444">
        <f t="shared" ca="1" si="198"/>
        <v>25367401809929.336</v>
      </c>
      <c r="J5093" s="444">
        <f t="array" ref="J5093">IFERROR(INDEX('Retirement Calculator'!J:J,MATCH('Isaac 401k'!N5093,'Retirement Calculator'!A:A,0),0),0)</f>
        <v>0</v>
      </c>
      <c r="K5093" s="444">
        <f t="shared" ca="1" si="196"/>
        <v>105697507541.37224</v>
      </c>
      <c r="L5093" s="444">
        <f t="shared" ca="1" si="197"/>
        <v>25473099317470.707</v>
      </c>
      <c r="M5093" s="460">
        <f t="shared" si="199"/>
        <v>0.05</v>
      </c>
      <c r="N5093" s="464">
        <f t="shared" si="200"/>
        <v>206059</v>
      </c>
    </row>
    <row r="5094" spans="7:14" ht="11.25" customHeight="1" x14ac:dyDescent="0.3">
      <c r="G5094" s="459"/>
      <c r="H5094" s="459">
        <v>5087</v>
      </c>
      <c r="I5094" s="444">
        <f t="shared" ca="1" si="198"/>
        <v>25473099317470.707</v>
      </c>
      <c r="J5094" s="444">
        <f t="array" ref="J5094">IFERROR(INDEX('Retirement Calculator'!J:J,MATCH('Isaac 401k'!N5094,'Retirement Calculator'!A:A,0),0),0)</f>
        <v>0</v>
      </c>
      <c r="K5094" s="444">
        <f t="shared" ca="1" si="196"/>
        <v>106137913822.79462</v>
      </c>
      <c r="L5094" s="444">
        <f t="shared" ca="1" si="197"/>
        <v>25579237231293.5</v>
      </c>
      <c r="M5094" s="460">
        <f t="shared" si="199"/>
        <v>0.05</v>
      </c>
      <c r="N5094" s="464">
        <f t="shared" si="200"/>
        <v>206090</v>
      </c>
    </row>
    <row r="5095" spans="7:14" ht="11.25" customHeight="1" x14ac:dyDescent="0.3">
      <c r="G5095" s="459"/>
      <c r="H5095" s="459">
        <v>5088</v>
      </c>
      <c r="I5095" s="444">
        <f t="shared" ca="1" si="198"/>
        <v>25579237231293.5</v>
      </c>
      <c r="J5095" s="444">
        <f t="array" ref="J5095">IFERROR(INDEX('Retirement Calculator'!J:J,MATCH('Isaac 401k'!N5095,'Retirement Calculator'!A:A,0),0),0)</f>
        <v>0</v>
      </c>
      <c r="K5095" s="444">
        <f t="shared" ca="1" si="196"/>
        <v>106580155130.38959</v>
      </c>
      <c r="L5095" s="444">
        <f t="shared" ca="1" si="197"/>
        <v>25685817386423.891</v>
      </c>
      <c r="M5095" s="460">
        <f t="shared" si="199"/>
        <v>0.05</v>
      </c>
      <c r="N5095" s="464">
        <f t="shared" si="200"/>
        <v>206120</v>
      </c>
    </row>
    <row r="5096" spans="7:14" ht="11.25" customHeight="1" x14ac:dyDescent="0.3">
      <c r="G5096" s="459"/>
      <c r="H5096" s="459">
        <v>5089</v>
      </c>
      <c r="I5096" s="444">
        <f t="shared" ca="1" si="198"/>
        <v>25685817386423.891</v>
      </c>
      <c r="J5096" s="444">
        <f t="array" ref="J5096">IFERROR(INDEX('Retirement Calculator'!J:J,MATCH('Isaac 401k'!N5096,'Retirement Calculator'!A:A,0),0),0)</f>
        <v>0</v>
      </c>
      <c r="K5096" s="444">
        <f t="shared" ca="1" si="196"/>
        <v>107024239110.09955</v>
      </c>
      <c r="L5096" s="444">
        <f t="shared" ca="1" si="197"/>
        <v>25792841625533.988</v>
      </c>
      <c r="M5096" s="460">
        <f t="shared" si="199"/>
        <v>0.05</v>
      </c>
      <c r="N5096" s="464">
        <f t="shared" si="200"/>
        <v>206151</v>
      </c>
    </row>
    <row r="5097" spans="7:14" ht="11.25" customHeight="1" x14ac:dyDescent="0.3">
      <c r="G5097" s="459"/>
      <c r="H5097" s="459">
        <v>5090</v>
      </c>
      <c r="I5097" s="444">
        <f t="shared" ca="1" si="198"/>
        <v>25792841625533.988</v>
      </c>
      <c r="J5097" s="444">
        <f t="array" ref="J5097">IFERROR(INDEX('Retirement Calculator'!J:J,MATCH('Isaac 401k'!N5097,'Retirement Calculator'!A:A,0),0),0)</f>
        <v>0</v>
      </c>
      <c r="K5097" s="444">
        <f t="shared" ca="1" si="196"/>
        <v>107470173439.72495</v>
      </c>
      <c r="L5097" s="444">
        <f t="shared" ca="1" si="197"/>
        <v>25900311798973.715</v>
      </c>
      <c r="M5097" s="460">
        <f t="shared" si="199"/>
        <v>0.05</v>
      </c>
      <c r="N5097" s="464">
        <f t="shared" si="200"/>
        <v>206181</v>
      </c>
    </row>
    <row r="5098" spans="7:14" ht="11.25" customHeight="1" x14ac:dyDescent="0.3">
      <c r="G5098" s="459"/>
      <c r="H5098" s="459">
        <v>5091</v>
      </c>
      <c r="I5098" s="444">
        <f t="shared" ca="1" si="198"/>
        <v>25900311798973.715</v>
      </c>
      <c r="J5098" s="444">
        <f t="array" ref="J5098">IFERROR(INDEX('Retirement Calculator'!J:J,MATCH('Isaac 401k'!N5098,'Retirement Calculator'!A:A,0),0),0)</f>
        <v>0</v>
      </c>
      <c r="K5098" s="444">
        <f t="shared" ca="1" si="196"/>
        <v>107917965829.05714</v>
      </c>
      <c r="L5098" s="444">
        <f t="shared" ca="1" si="197"/>
        <v>26008229764802.773</v>
      </c>
      <c r="M5098" s="460">
        <f t="shared" si="199"/>
        <v>0.05</v>
      </c>
      <c r="N5098" s="464">
        <f t="shared" si="200"/>
        <v>206212</v>
      </c>
    </row>
    <row r="5099" spans="7:14" ht="11.25" customHeight="1" x14ac:dyDescent="0.3">
      <c r="G5099" s="459"/>
      <c r="H5099" s="459">
        <v>5092</v>
      </c>
      <c r="I5099" s="444">
        <f t="shared" ca="1" si="198"/>
        <v>26008229764802.773</v>
      </c>
      <c r="J5099" s="444">
        <f t="array" ref="J5099">IFERROR(INDEX('Retirement Calculator'!J:J,MATCH('Isaac 401k'!N5099,'Retirement Calculator'!A:A,0),0),0)</f>
        <v>0</v>
      </c>
      <c r="K5099" s="444">
        <f t="shared" ca="1" si="196"/>
        <v>108367624020.01155</v>
      </c>
      <c r="L5099" s="444">
        <f t="shared" ca="1" si="197"/>
        <v>26116597388822.785</v>
      </c>
      <c r="M5099" s="460">
        <f t="shared" si="199"/>
        <v>0.05</v>
      </c>
      <c r="N5099" s="464">
        <f t="shared" si="200"/>
        <v>206243</v>
      </c>
    </row>
    <row r="5100" spans="7:14" ht="11.25" customHeight="1" x14ac:dyDescent="0.3">
      <c r="G5100" s="459"/>
      <c r="H5100" s="459">
        <v>5093</v>
      </c>
      <c r="I5100" s="444">
        <f t="shared" ca="1" si="198"/>
        <v>26116597388822.785</v>
      </c>
      <c r="J5100" s="444">
        <f t="array" ref="J5100">IFERROR(INDEX('Retirement Calculator'!J:J,MATCH('Isaac 401k'!N5100,'Retirement Calculator'!A:A,0),0),0)</f>
        <v>0</v>
      </c>
      <c r="K5100" s="444">
        <f t="shared" ca="1" si="196"/>
        <v>108819155786.7616</v>
      </c>
      <c r="L5100" s="444">
        <f t="shared" ca="1" si="197"/>
        <v>26225416544609.547</v>
      </c>
      <c r="M5100" s="460">
        <f t="shared" si="199"/>
        <v>0.05</v>
      </c>
      <c r="N5100" s="464">
        <f t="shared" si="200"/>
        <v>206273</v>
      </c>
    </row>
    <row r="5101" spans="7:14" ht="11.25" customHeight="1" x14ac:dyDescent="0.3">
      <c r="G5101" s="459"/>
      <c r="H5101" s="459">
        <v>5094</v>
      </c>
      <c r="I5101" s="444">
        <f t="shared" ca="1" si="198"/>
        <v>26225416544609.547</v>
      </c>
      <c r="J5101" s="444">
        <f t="array" ref="J5101">IFERROR(INDEX('Retirement Calculator'!J:J,MATCH('Isaac 401k'!N5101,'Retirement Calculator'!A:A,0),0),0)</f>
        <v>0</v>
      </c>
      <c r="K5101" s="444">
        <f t="shared" ca="1" si="196"/>
        <v>109272568935.87311</v>
      </c>
      <c r="L5101" s="444">
        <f t="shared" ca="1" si="197"/>
        <v>26334689113545.422</v>
      </c>
      <c r="M5101" s="460">
        <f t="shared" si="199"/>
        <v>0.05</v>
      </c>
      <c r="N5101" s="464">
        <f t="shared" si="200"/>
        <v>206304</v>
      </c>
    </row>
    <row r="5102" spans="7:14" ht="11.25" customHeight="1" x14ac:dyDescent="0.3">
      <c r="G5102" s="459"/>
      <c r="H5102" s="459">
        <v>5095</v>
      </c>
      <c r="I5102" s="444">
        <f t="shared" ca="1" si="198"/>
        <v>26334689113545.422</v>
      </c>
      <c r="J5102" s="444">
        <f t="array" ref="J5102">IFERROR(INDEX('Retirement Calculator'!J:J,MATCH('Isaac 401k'!N5102,'Retirement Calculator'!A:A,0),0),0)</f>
        <v>0</v>
      </c>
      <c r="K5102" s="444">
        <f t="shared" ca="1" si="196"/>
        <v>109727871306.43925</v>
      </c>
      <c r="L5102" s="444">
        <f t="shared" ca="1" si="197"/>
        <v>26444416984851.859</v>
      </c>
      <c r="M5102" s="460">
        <f t="shared" si="199"/>
        <v>0.05</v>
      </c>
      <c r="N5102" s="464">
        <f t="shared" si="200"/>
        <v>206334</v>
      </c>
    </row>
    <row r="5103" spans="7:14" ht="11.25" customHeight="1" x14ac:dyDescent="0.3">
      <c r="G5103" s="459"/>
      <c r="H5103" s="459">
        <v>5096</v>
      </c>
      <c r="I5103" s="444">
        <f t="shared" ca="1" si="198"/>
        <v>26444416984851.859</v>
      </c>
      <c r="J5103" s="444">
        <f t="array" ref="J5103">IFERROR(INDEX('Retirement Calculator'!J:J,MATCH('Isaac 401k'!N5103,'Retirement Calculator'!A:A,0),0),0)</f>
        <v>0</v>
      </c>
      <c r="K5103" s="444">
        <f t="shared" ca="1" si="196"/>
        <v>110185070770.21608</v>
      </c>
      <c r="L5103" s="444">
        <f t="shared" ca="1" si="197"/>
        <v>26554602055622.074</v>
      </c>
      <c r="M5103" s="460">
        <f t="shared" si="199"/>
        <v>0.05</v>
      </c>
      <c r="N5103" s="464">
        <f t="shared" si="200"/>
        <v>206365</v>
      </c>
    </row>
    <row r="5104" spans="7:14" ht="11.25" customHeight="1" x14ac:dyDescent="0.3">
      <c r="G5104" s="459"/>
      <c r="H5104" s="459">
        <v>5097</v>
      </c>
      <c r="I5104" s="444">
        <f t="shared" ca="1" si="198"/>
        <v>26554602055622.074</v>
      </c>
      <c r="J5104" s="444">
        <f t="array" ref="J5104">IFERROR(INDEX('Retirement Calculator'!J:J,MATCH('Isaac 401k'!N5104,'Retirement Calculator'!A:A,0),0),0)</f>
        <v>0</v>
      </c>
      <c r="K5104" s="444">
        <f t="shared" ca="1" si="196"/>
        <v>110644175231.75864</v>
      </c>
      <c r="L5104" s="444">
        <f t="shared" ca="1" si="197"/>
        <v>26665246230853.832</v>
      </c>
      <c r="M5104" s="460">
        <f t="shared" si="199"/>
        <v>0.05</v>
      </c>
      <c r="N5104" s="464">
        <f t="shared" si="200"/>
        <v>206396</v>
      </c>
    </row>
    <row r="5105" spans="7:14" ht="11.25" customHeight="1" x14ac:dyDescent="0.3">
      <c r="G5105" s="459"/>
      <c r="H5105" s="459">
        <v>5098</v>
      </c>
      <c r="I5105" s="444">
        <f t="shared" ca="1" si="198"/>
        <v>26665246230853.832</v>
      </c>
      <c r="J5105" s="444">
        <f t="array" ref="J5105">IFERROR(INDEX('Retirement Calculator'!J:J,MATCH('Isaac 401k'!N5105,'Retirement Calculator'!A:A,0),0),0)</f>
        <v>0</v>
      </c>
      <c r="K5105" s="444">
        <f t="shared" ca="1" si="196"/>
        <v>111105192628.55763</v>
      </c>
      <c r="L5105" s="444">
        <f t="shared" ca="1" si="197"/>
        <v>26776351423482.391</v>
      </c>
      <c r="M5105" s="460">
        <f t="shared" si="199"/>
        <v>0.05</v>
      </c>
      <c r="N5105" s="464">
        <f t="shared" si="200"/>
        <v>206424</v>
      </c>
    </row>
    <row r="5106" spans="7:14" ht="11.25" customHeight="1" x14ac:dyDescent="0.3">
      <c r="G5106" s="459"/>
      <c r="H5106" s="459">
        <v>5099</v>
      </c>
      <c r="I5106" s="444">
        <f t="shared" ca="1" si="198"/>
        <v>26776351423482.391</v>
      </c>
      <c r="J5106" s="444">
        <f t="array" ref="J5106">IFERROR(INDEX('Retirement Calculator'!J:J,MATCH('Isaac 401k'!N5106,'Retirement Calculator'!A:A,0),0),0)</f>
        <v>0</v>
      </c>
      <c r="K5106" s="444">
        <f t="shared" ca="1" si="196"/>
        <v>111568130931.17662</v>
      </c>
      <c r="L5106" s="444">
        <f t="shared" ca="1" si="197"/>
        <v>26887919554413.566</v>
      </c>
      <c r="M5106" s="460">
        <f t="shared" si="199"/>
        <v>0.05</v>
      </c>
      <c r="N5106" s="464">
        <f t="shared" si="200"/>
        <v>206455</v>
      </c>
    </row>
    <row r="5107" spans="7:14" ht="11.25" customHeight="1" x14ac:dyDescent="0.3">
      <c r="G5107" s="459"/>
      <c r="H5107" s="459">
        <v>5100</v>
      </c>
      <c r="I5107" s="444">
        <f t="shared" ca="1" si="198"/>
        <v>26887919554413.566</v>
      </c>
      <c r="J5107" s="444">
        <f t="array" ref="J5107">IFERROR(INDEX('Retirement Calculator'!J:J,MATCH('Isaac 401k'!N5107,'Retirement Calculator'!A:A,0),0),0)</f>
        <v>0</v>
      </c>
      <c r="K5107" s="444">
        <f t="shared" ca="1" si="196"/>
        <v>112032998143.38986</v>
      </c>
      <c r="L5107" s="444">
        <f t="shared" ca="1" si="197"/>
        <v>26999952552556.957</v>
      </c>
      <c r="M5107" s="460">
        <f t="shared" si="199"/>
        <v>0.05</v>
      </c>
      <c r="N5107" s="464">
        <f t="shared" si="200"/>
        <v>206485</v>
      </c>
    </row>
    <row r="5108" spans="7:14" ht="11.25" customHeight="1" x14ac:dyDescent="0.3">
      <c r="G5108" s="459"/>
      <c r="H5108" s="459">
        <v>5101</v>
      </c>
      <c r="I5108" s="444">
        <f t="shared" ca="1" si="198"/>
        <v>26999952552556.957</v>
      </c>
      <c r="J5108" s="444">
        <f t="array" ref="J5108">IFERROR(INDEX('Retirement Calculator'!J:J,MATCH('Isaac 401k'!N5108,'Retirement Calculator'!A:A,0),0),0)</f>
        <v>0</v>
      </c>
      <c r="K5108" s="444">
        <f t="shared" ref="K5108:K5362" ca="1" si="201">IPMT(M5108/12,1,12,-I5108+J5108,,0)</f>
        <v>112499802302.32065</v>
      </c>
      <c r="L5108" s="444">
        <f t="shared" ref="L5108:L5362" ca="1" si="202">I5108-J5108+K5108</f>
        <v>27112452354859.277</v>
      </c>
      <c r="M5108" s="460">
        <f t="shared" si="199"/>
        <v>0.05</v>
      </c>
      <c r="N5108" s="464">
        <f t="shared" si="200"/>
        <v>206516</v>
      </c>
    </row>
    <row r="5109" spans="7:14" ht="11.25" customHeight="1" x14ac:dyDescent="0.3">
      <c r="G5109" s="459"/>
      <c r="H5109" s="459">
        <v>5102</v>
      </c>
      <c r="I5109" s="444">
        <f t="shared" ref="I5109:I5363" ca="1" si="203">L5108</f>
        <v>27112452354859.277</v>
      </c>
      <c r="J5109" s="444">
        <f t="array" ref="J5109">IFERROR(INDEX('Retirement Calculator'!J:J,MATCH('Isaac 401k'!N5109,'Retirement Calculator'!A:A,0),0),0)</f>
        <v>0</v>
      </c>
      <c r="K5109" s="444">
        <f t="shared" ca="1" si="201"/>
        <v>112968551478.58032</v>
      </c>
      <c r="L5109" s="444">
        <f t="shared" ca="1" si="202"/>
        <v>27225420906337.859</v>
      </c>
      <c r="M5109" s="460">
        <f t="shared" ref="M5109:M5363" si="204">M5108</f>
        <v>0.05</v>
      </c>
      <c r="N5109" s="464">
        <f t="shared" ref="N5109:N5363" si="205">EDATE(N5108,1)</f>
        <v>206546</v>
      </c>
    </row>
    <row r="5110" spans="7:14" ht="11.25" customHeight="1" x14ac:dyDescent="0.3">
      <c r="G5110" s="459"/>
      <c r="H5110" s="459">
        <v>5103</v>
      </c>
      <c r="I5110" s="444">
        <f t="shared" ca="1" si="203"/>
        <v>27225420906337.859</v>
      </c>
      <c r="J5110" s="444">
        <f t="array" ref="J5110">IFERROR(INDEX('Retirement Calculator'!J:J,MATCH('Isaac 401k'!N5110,'Retirement Calculator'!A:A,0),0),0)</f>
        <v>0</v>
      </c>
      <c r="K5110" s="444">
        <f t="shared" ca="1" si="201"/>
        <v>113439253776.40775</v>
      </c>
      <c r="L5110" s="444">
        <f t="shared" ca="1" si="202"/>
        <v>27338860160114.266</v>
      </c>
      <c r="M5110" s="460">
        <f t="shared" si="204"/>
        <v>0.05</v>
      </c>
      <c r="N5110" s="464">
        <f t="shared" si="205"/>
        <v>206577</v>
      </c>
    </row>
    <row r="5111" spans="7:14" ht="11.25" customHeight="1" x14ac:dyDescent="0.3">
      <c r="G5111" s="459"/>
      <c r="H5111" s="459">
        <v>5104</v>
      </c>
      <c r="I5111" s="444">
        <f t="shared" ca="1" si="203"/>
        <v>27338860160114.266</v>
      </c>
      <c r="J5111" s="444">
        <f t="array" ref="J5111">IFERROR(INDEX('Retirement Calculator'!J:J,MATCH('Isaac 401k'!N5111,'Retirement Calculator'!A:A,0),0),0)</f>
        <v>0</v>
      </c>
      <c r="K5111" s="444">
        <f t="shared" ca="1" si="201"/>
        <v>113911917333.80943</v>
      </c>
      <c r="L5111" s="444">
        <f t="shared" ca="1" si="202"/>
        <v>27452772077448.074</v>
      </c>
      <c r="M5111" s="460">
        <f t="shared" si="204"/>
        <v>0.05</v>
      </c>
      <c r="N5111" s="464">
        <f t="shared" si="205"/>
        <v>206608</v>
      </c>
    </row>
    <row r="5112" spans="7:14" ht="11.25" customHeight="1" x14ac:dyDescent="0.3">
      <c r="G5112" s="459"/>
      <c r="H5112" s="459">
        <v>5105</v>
      </c>
      <c r="I5112" s="444">
        <f t="shared" ca="1" si="203"/>
        <v>27452772077448.074</v>
      </c>
      <c r="J5112" s="444">
        <f t="array" ref="J5112">IFERROR(INDEX('Retirement Calculator'!J:J,MATCH('Isaac 401k'!N5112,'Retirement Calculator'!A:A,0),0),0)</f>
        <v>0</v>
      </c>
      <c r="K5112" s="444">
        <f t="shared" ca="1" si="201"/>
        <v>114386550322.7003</v>
      </c>
      <c r="L5112" s="444">
        <f t="shared" ca="1" si="202"/>
        <v>27567158627770.773</v>
      </c>
      <c r="M5112" s="460">
        <f t="shared" si="204"/>
        <v>0.05</v>
      </c>
      <c r="N5112" s="464">
        <f t="shared" si="205"/>
        <v>206638</v>
      </c>
    </row>
    <row r="5113" spans="7:14" ht="11.25" customHeight="1" x14ac:dyDescent="0.3">
      <c r="G5113" s="459"/>
      <c r="H5113" s="459">
        <v>5106</v>
      </c>
      <c r="I5113" s="444">
        <f t="shared" ca="1" si="203"/>
        <v>27567158627770.773</v>
      </c>
      <c r="J5113" s="444">
        <f t="array" ref="J5113">IFERROR(INDEX('Retirement Calculator'!J:J,MATCH('Isaac 401k'!N5113,'Retirement Calculator'!A:A,0),0),0)</f>
        <v>0</v>
      </c>
      <c r="K5113" s="444">
        <f t="shared" ca="1" si="201"/>
        <v>114863160949.04489</v>
      </c>
      <c r="L5113" s="444">
        <f t="shared" ca="1" si="202"/>
        <v>27682021788719.816</v>
      </c>
      <c r="M5113" s="460">
        <f t="shared" si="204"/>
        <v>0.05</v>
      </c>
      <c r="N5113" s="464">
        <f t="shared" si="205"/>
        <v>206669</v>
      </c>
    </row>
    <row r="5114" spans="7:14" ht="11.25" customHeight="1" x14ac:dyDescent="0.3">
      <c r="G5114" s="459"/>
      <c r="H5114" s="459">
        <v>5107</v>
      </c>
      <c r="I5114" s="444">
        <f t="shared" ca="1" si="203"/>
        <v>27682021788719.816</v>
      </c>
      <c r="J5114" s="444">
        <f t="array" ref="J5114">IFERROR(INDEX('Retirement Calculator'!J:J,MATCH('Isaac 401k'!N5114,'Retirement Calculator'!A:A,0),0),0)</f>
        <v>0</v>
      </c>
      <c r="K5114" s="444">
        <f t="shared" ca="1" si="201"/>
        <v>115341757452.99922</v>
      </c>
      <c r="L5114" s="444">
        <f t="shared" ca="1" si="202"/>
        <v>27797363546172.816</v>
      </c>
      <c r="M5114" s="460">
        <f t="shared" si="204"/>
        <v>0.05</v>
      </c>
      <c r="N5114" s="464">
        <f t="shared" si="205"/>
        <v>206699</v>
      </c>
    </row>
    <row r="5115" spans="7:14" ht="11.25" customHeight="1" x14ac:dyDescent="0.3">
      <c r="G5115" s="459"/>
      <c r="H5115" s="459">
        <v>5108</v>
      </c>
      <c r="I5115" s="444">
        <f t="shared" ca="1" si="203"/>
        <v>27797363546172.816</v>
      </c>
      <c r="J5115" s="444">
        <f t="array" ref="J5115">IFERROR(INDEX('Retirement Calculator'!J:J,MATCH('Isaac 401k'!N5115,'Retirement Calculator'!A:A,0),0),0)</f>
        <v>0</v>
      </c>
      <c r="K5115" s="444">
        <f t="shared" ca="1" si="201"/>
        <v>115822348109.05341</v>
      </c>
      <c r="L5115" s="444">
        <f t="shared" ca="1" si="202"/>
        <v>27913185894281.871</v>
      </c>
      <c r="M5115" s="460">
        <f t="shared" si="204"/>
        <v>0.05</v>
      </c>
      <c r="N5115" s="464">
        <f t="shared" si="205"/>
        <v>206730</v>
      </c>
    </row>
    <row r="5116" spans="7:14" ht="11.25" customHeight="1" x14ac:dyDescent="0.3">
      <c r="G5116" s="459"/>
      <c r="H5116" s="459">
        <v>5109</v>
      </c>
      <c r="I5116" s="444">
        <f t="shared" ca="1" si="203"/>
        <v>27913185894281.871</v>
      </c>
      <c r="J5116" s="444">
        <f t="array" ref="J5116">IFERROR(INDEX('Retirement Calculator'!J:J,MATCH('Isaac 401k'!N5116,'Retirement Calculator'!A:A,0),0),0)</f>
        <v>0</v>
      </c>
      <c r="K5116" s="444">
        <f t="shared" ca="1" si="201"/>
        <v>116304941226.17445</v>
      </c>
      <c r="L5116" s="444">
        <f t="shared" ca="1" si="202"/>
        <v>28029490835508.047</v>
      </c>
      <c r="M5116" s="460">
        <f t="shared" si="204"/>
        <v>0.05</v>
      </c>
      <c r="N5116" s="464">
        <f t="shared" si="205"/>
        <v>206761</v>
      </c>
    </row>
    <row r="5117" spans="7:14" ht="11.25" customHeight="1" x14ac:dyDescent="0.3">
      <c r="G5117" s="459"/>
      <c r="H5117" s="459">
        <v>5110</v>
      </c>
      <c r="I5117" s="444">
        <f t="shared" ca="1" si="203"/>
        <v>28029490835508.047</v>
      </c>
      <c r="J5117" s="444">
        <f t="array" ref="J5117">IFERROR(INDEX('Retirement Calculator'!J:J,MATCH('Isaac 401k'!N5117,'Retirement Calculator'!A:A,0),0),0)</f>
        <v>0</v>
      </c>
      <c r="K5117" s="444">
        <f t="shared" ca="1" si="201"/>
        <v>116789545147.9502</v>
      </c>
      <c r="L5117" s="444">
        <f t="shared" ca="1" si="202"/>
        <v>28146280380655.996</v>
      </c>
      <c r="M5117" s="460">
        <f t="shared" si="204"/>
        <v>0.05</v>
      </c>
      <c r="N5117" s="464">
        <f t="shared" si="205"/>
        <v>206789</v>
      </c>
    </row>
    <row r="5118" spans="7:14" ht="11.25" customHeight="1" x14ac:dyDescent="0.3">
      <c r="G5118" s="459"/>
      <c r="H5118" s="459">
        <v>5111</v>
      </c>
      <c r="I5118" s="444">
        <f t="shared" ca="1" si="203"/>
        <v>28146280380655.996</v>
      </c>
      <c r="J5118" s="444">
        <f t="array" ref="J5118">IFERROR(INDEX('Retirement Calculator'!J:J,MATCH('Isaac 401k'!N5118,'Retirement Calculator'!A:A,0),0),0)</f>
        <v>0</v>
      </c>
      <c r="K5118" s="444">
        <f t="shared" ca="1" si="201"/>
        <v>117276168252.73332</v>
      </c>
      <c r="L5118" s="444">
        <f t="shared" ca="1" si="202"/>
        <v>28263556548908.73</v>
      </c>
      <c r="M5118" s="460">
        <f t="shared" si="204"/>
        <v>0.05</v>
      </c>
      <c r="N5118" s="464">
        <f t="shared" si="205"/>
        <v>206820</v>
      </c>
    </row>
    <row r="5119" spans="7:14" ht="11.25" customHeight="1" x14ac:dyDescent="0.3">
      <c r="G5119" s="459"/>
      <c r="H5119" s="459">
        <v>5112</v>
      </c>
      <c r="I5119" s="444">
        <f t="shared" ca="1" si="203"/>
        <v>28263556548908.73</v>
      </c>
      <c r="J5119" s="444">
        <f t="array" ref="J5119">IFERROR(INDEX('Retirement Calculator'!J:J,MATCH('Isaac 401k'!N5119,'Retirement Calculator'!A:A,0),0),0)</f>
        <v>0</v>
      </c>
      <c r="K5119" s="444">
        <f t="shared" ca="1" si="201"/>
        <v>117764818953.78638</v>
      </c>
      <c r="L5119" s="444">
        <f t="shared" ca="1" si="202"/>
        <v>28381321367862.516</v>
      </c>
      <c r="M5119" s="460">
        <f t="shared" si="204"/>
        <v>0.05</v>
      </c>
      <c r="N5119" s="464">
        <f t="shared" si="205"/>
        <v>206850</v>
      </c>
    </row>
    <row r="5120" spans="7:14" ht="11.25" customHeight="1" x14ac:dyDescent="0.3">
      <c r="G5120" s="459"/>
      <c r="H5120" s="459">
        <v>5113</v>
      </c>
      <c r="I5120" s="444">
        <f t="shared" ca="1" si="203"/>
        <v>28381321367862.516</v>
      </c>
      <c r="J5120" s="444">
        <f t="array" ref="J5120">IFERROR(INDEX('Retirement Calculator'!J:J,MATCH('Isaac 401k'!N5120,'Retirement Calculator'!A:A,0),0),0)</f>
        <v>0</v>
      </c>
      <c r="K5120" s="444">
        <f t="shared" ca="1" si="201"/>
        <v>118255505699.42714</v>
      </c>
      <c r="L5120" s="444">
        <f t="shared" ca="1" si="202"/>
        <v>28499576873561.941</v>
      </c>
      <c r="M5120" s="460">
        <f t="shared" si="204"/>
        <v>0.05</v>
      </c>
      <c r="N5120" s="464">
        <f t="shared" si="205"/>
        <v>206881</v>
      </c>
    </row>
    <row r="5121" spans="7:14" ht="11.25" customHeight="1" x14ac:dyDescent="0.3">
      <c r="G5121" s="459"/>
      <c r="H5121" s="459">
        <v>5114</v>
      </c>
      <c r="I5121" s="444">
        <f t="shared" ca="1" si="203"/>
        <v>28499576873561.941</v>
      </c>
      <c r="J5121" s="444">
        <f t="array" ref="J5121">IFERROR(INDEX('Retirement Calculator'!J:J,MATCH('Isaac 401k'!N5121,'Retirement Calculator'!A:A,0),0),0)</f>
        <v>0</v>
      </c>
      <c r="K5121" s="444">
        <f t="shared" ca="1" si="201"/>
        <v>118748236973.17476</v>
      </c>
      <c r="L5121" s="444">
        <f t="shared" ca="1" si="202"/>
        <v>28618325110535.117</v>
      </c>
      <c r="M5121" s="460">
        <f t="shared" si="204"/>
        <v>0.05</v>
      </c>
      <c r="N5121" s="464">
        <f t="shared" si="205"/>
        <v>206911</v>
      </c>
    </row>
    <row r="5122" spans="7:14" ht="11.25" customHeight="1" x14ac:dyDescent="0.3">
      <c r="G5122" s="459"/>
      <c r="H5122" s="459">
        <v>5115</v>
      </c>
      <c r="I5122" s="444">
        <f t="shared" ca="1" si="203"/>
        <v>28618325110535.117</v>
      </c>
      <c r="J5122" s="444">
        <f t="array" ref="J5122">IFERROR(INDEX('Retirement Calculator'!J:J,MATCH('Isaac 401k'!N5122,'Retirement Calculator'!A:A,0),0),0)</f>
        <v>0</v>
      </c>
      <c r="K5122" s="444">
        <f t="shared" ca="1" si="201"/>
        <v>119243021293.89632</v>
      </c>
      <c r="L5122" s="444">
        <f t="shared" ca="1" si="202"/>
        <v>28737568131829.012</v>
      </c>
      <c r="M5122" s="460">
        <f t="shared" si="204"/>
        <v>0.05</v>
      </c>
      <c r="N5122" s="464">
        <f t="shared" si="205"/>
        <v>206942</v>
      </c>
    </row>
    <row r="5123" spans="7:14" ht="11.25" customHeight="1" x14ac:dyDescent="0.3">
      <c r="G5123" s="459"/>
      <c r="H5123" s="459">
        <v>5116</v>
      </c>
      <c r="I5123" s="444">
        <f t="shared" ca="1" si="203"/>
        <v>28737568131829.012</v>
      </c>
      <c r="J5123" s="444">
        <f t="array" ref="J5123">IFERROR(INDEX('Retirement Calculator'!J:J,MATCH('Isaac 401k'!N5123,'Retirement Calculator'!A:A,0),0),0)</f>
        <v>0</v>
      </c>
      <c r="K5123" s="444">
        <f t="shared" ca="1" si="201"/>
        <v>119739867215.95421</v>
      </c>
      <c r="L5123" s="444">
        <f t="shared" ca="1" si="202"/>
        <v>28857307999044.965</v>
      </c>
      <c r="M5123" s="460">
        <f t="shared" si="204"/>
        <v>0.05</v>
      </c>
      <c r="N5123" s="464">
        <f t="shared" si="205"/>
        <v>206973</v>
      </c>
    </row>
    <row r="5124" spans="7:14" ht="11.25" customHeight="1" x14ac:dyDescent="0.3">
      <c r="G5124" s="459"/>
      <c r="H5124" s="459">
        <v>5117</v>
      </c>
      <c r="I5124" s="444">
        <f t="shared" ca="1" si="203"/>
        <v>28857307999044.965</v>
      </c>
      <c r="J5124" s="444">
        <f t="array" ref="J5124">IFERROR(INDEX('Retirement Calculator'!J:J,MATCH('Isaac 401k'!N5124,'Retirement Calculator'!A:A,0),0),0)</f>
        <v>0</v>
      </c>
      <c r="K5124" s="444">
        <f t="shared" ca="1" si="201"/>
        <v>120238783329.35402</v>
      </c>
      <c r="L5124" s="444">
        <f t="shared" ca="1" si="202"/>
        <v>28977546782374.32</v>
      </c>
      <c r="M5124" s="460">
        <f t="shared" si="204"/>
        <v>0.05</v>
      </c>
      <c r="N5124" s="464">
        <f t="shared" si="205"/>
        <v>207003</v>
      </c>
    </row>
    <row r="5125" spans="7:14" ht="11.25" customHeight="1" x14ac:dyDescent="0.3">
      <c r="G5125" s="459"/>
      <c r="H5125" s="459">
        <v>5118</v>
      </c>
      <c r="I5125" s="444">
        <f t="shared" ca="1" si="203"/>
        <v>28977546782374.32</v>
      </c>
      <c r="J5125" s="444">
        <f t="array" ref="J5125">IFERROR(INDEX('Retirement Calculator'!J:J,MATCH('Isaac 401k'!N5125,'Retirement Calculator'!A:A,0),0),0)</f>
        <v>0</v>
      </c>
      <c r="K5125" s="444">
        <f t="shared" ca="1" si="201"/>
        <v>120739778259.89302</v>
      </c>
      <c r="L5125" s="444">
        <f t="shared" ca="1" si="202"/>
        <v>29098286560634.215</v>
      </c>
      <c r="M5125" s="460">
        <f t="shared" si="204"/>
        <v>0.05</v>
      </c>
      <c r="N5125" s="464">
        <f t="shared" si="205"/>
        <v>207034</v>
      </c>
    </row>
    <row r="5126" spans="7:14" ht="11.25" customHeight="1" x14ac:dyDescent="0.3">
      <c r="G5126" s="459"/>
      <c r="H5126" s="459">
        <v>5119</v>
      </c>
      <c r="I5126" s="444">
        <f t="shared" ca="1" si="203"/>
        <v>29098286560634.215</v>
      </c>
      <c r="J5126" s="444">
        <f t="array" ref="J5126">IFERROR(INDEX('Retirement Calculator'!J:J,MATCH('Isaac 401k'!N5126,'Retirement Calculator'!A:A,0),0),0)</f>
        <v>0</v>
      </c>
      <c r="K5126" s="444">
        <f t="shared" ca="1" si="201"/>
        <v>121242860669.3092</v>
      </c>
      <c r="L5126" s="444">
        <f t="shared" ca="1" si="202"/>
        <v>29219529421303.523</v>
      </c>
      <c r="M5126" s="460">
        <f t="shared" si="204"/>
        <v>0.05</v>
      </c>
      <c r="N5126" s="464">
        <f t="shared" si="205"/>
        <v>207064</v>
      </c>
    </row>
    <row r="5127" spans="7:14" ht="11.25" customHeight="1" x14ac:dyDescent="0.3">
      <c r="G5127" s="459"/>
      <c r="H5127" s="459">
        <v>5120</v>
      </c>
      <c r="I5127" s="444">
        <f t="shared" ca="1" si="203"/>
        <v>29219529421303.523</v>
      </c>
      <c r="J5127" s="444">
        <f t="array" ref="J5127">IFERROR(INDEX('Retirement Calculator'!J:J,MATCH('Isaac 401k'!N5127,'Retirement Calculator'!A:A,0),0),0)</f>
        <v>0</v>
      </c>
      <c r="K5127" s="444">
        <f t="shared" ca="1" si="201"/>
        <v>121748039255.43135</v>
      </c>
      <c r="L5127" s="444">
        <f t="shared" ca="1" si="202"/>
        <v>29341277460558.953</v>
      </c>
      <c r="M5127" s="460">
        <f t="shared" si="204"/>
        <v>0.05</v>
      </c>
      <c r="N5127" s="464">
        <f t="shared" si="205"/>
        <v>207095</v>
      </c>
    </row>
    <row r="5128" spans="7:14" ht="11.25" customHeight="1" x14ac:dyDescent="0.3">
      <c r="G5128" s="459"/>
      <c r="H5128" s="459">
        <v>5121</v>
      </c>
      <c r="I5128" s="444">
        <f t="shared" ca="1" si="203"/>
        <v>29341277460558.953</v>
      </c>
      <c r="J5128" s="444">
        <f t="array" ref="J5128">IFERROR(INDEX('Retirement Calculator'!J:J,MATCH('Isaac 401k'!N5128,'Retirement Calculator'!A:A,0),0),0)</f>
        <v>0</v>
      </c>
      <c r="K5128" s="444">
        <f t="shared" ca="1" si="201"/>
        <v>122255322752.32895</v>
      </c>
      <c r="L5128" s="444">
        <f t="shared" ca="1" si="202"/>
        <v>29463532783311.281</v>
      </c>
      <c r="M5128" s="460">
        <f t="shared" si="204"/>
        <v>0.05</v>
      </c>
      <c r="N5128" s="464">
        <f t="shared" si="205"/>
        <v>207126</v>
      </c>
    </row>
    <row r="5129" spans="7:14" ht="11.25" customHeight="1" x14ac:dyDescent="0.3">
      <c r="G5129" s="459"/>
      <c r="H5129" s="459">
        <v>5122</v>
      </c>
      <c r="I5129" s="444">
        <f t="shared" ca="1" si="203"/>
        <v>29463532783311.281</v>
      </c>
      <c r="J5129" s="444">
        <f t="array" ref="J5129">IFERROR(INDEX('Retirement Calculator'!J:J,MATCH('Isaac 401k'!N5129,'Retirement Calculator'!A:A,0),0),0)</f>
        <v>0</v>
      </c>
      <c r="K5129" s="444">
        <f t="shared" ca="1" si="201"/>
        <v>122764719930.46368</v>
      </c>
      <c r="L5129" s="444">
        <f t="shared" ca="1" si="202"/>
        <v>29586297503241.746</v>
      </c>
      <c r="M5129" s="460">
        <f t="shared" si="204"/>
        <v>0.05</v>
      </c>
      <c r="N5129" s="464">
        <f t="shared" si="205"/>
        <v>207154</v>
      </c>
    </row>
    <row r="5130" spans="7:14" ht="11.25" customHeight="1" x14ac:dyDescent="0.3">
      <c r="G5130" s="459"/>
      <c r="H5130" s="459">
        <v>5123</v>
      </c>
      <c r="I5130" s="444">
        <f t="shared" ca="1" si="203"/>
        <v>29586297503241.746</v>
      </c>
      <c r="J5130" s="444">
        <f t="array" ref="J5130">IFERROR(INDEX('Retirement Calculator'!J:J,MATCH('Isaac 401k'!N5130,'Retirement Calculator'!A:A,0),0),0)</f>
        <v>0</v>
      </c>
      <c r="K5130" s="444">
        <f t="shared" ca="1" si="201"/>
        <v>123276239596.84059</v>
      </c>
      <c r="L5130" s="444">
        <f t="shared" ca="1" si="202"/>
        <v>29709573742838.586</v>
      </c>
      <c r="M5130" s="460">
        <f t="shared" si="204"/>
        <v>0.05</v>
      </c>
      <c r="N5130" s="464">
        <f t="shared" si="205"/>
        <v>207185</v>
      </c>
    </row>
    <row r="5131" spans="7:14" ht="11.25" customHeight="1" x14ac:dyDescent="0.3">
      <c r="G5131" s="459"/>
      <c r="H5131" s="459">
        <v>5124</v>
      </c>
      <c r="I5131" s="444">
        <f t="shared" ca="1" si="203"/>
        <v>29709573742838.586</v>
      </c>
      <c r="J5131" s="444">
        <f t="array" ref="J5131">IFERROR(INDEX('Retirement Calculator'!J:J,MATCH('Isaac 401k'!N5131,'Retirement Calculator'!A:A,0),0),0)</f>
        <v>0</v>
      </c>
      <c r="K5131" s="444">
        <f t="shared" ca="1" si="201"/>
        <v>123789890595.16077</v>
      </c>
      <c r="L5131" s="444">
        <f t="shared" ca="1" si="202"/>
        <v>29833363633433.746</v>
      </c>
      <c r="M5131" s="460">
        <f t="shared" si="204"/>
        <v>0.05</v>
      </c>
      <c r="N5131" s="464">
        <f t="shared" si="205"/>
        <v>207215</v>
      </c>
    </row>
    <row r="5132" spans="7:14" ht="11.25" customHeight="1" x14ac:dyDescent="0.3">
      <c r="G5132" s="459"/>
      <c r="H5132" s="459">
        <v>5125</v>
      </c>
      <c r="I5132" s="444">
        <f t="shared" ca="1" si="203"/>
        <v>29833363633433.746</v>
      </c>
      <c r="J5132" s="444">
        <f t="array" ref="J5132">IFERROR(INDEX('Retirement Calculator'!J:J,MATCH('Isaac 401k'!N5132,'Retirement Calculator'!A:A,0),0),0)</f>
        <v>0</v>
      </c>
      <c r="K5132" s="444">
        <f t="shared" ca="1" si="201"/>
        <v>124305681805.97394</v>
      </c>
      <c r="L5132" s="444">
        <f t="shared" ca="1" si="202"/>
        <v>29957669315239.719</v>
      </c>
      <c r="M5132" s="460">
        <f t="shared" si="204"/>
        <v>0.05</v>
      </c>
      <c r="N5132" s="464">
        <f t="shared" si="205"/>
        <v>207246</v>
      </c>
    </row>
    <row r="5133" spans="7:14" ht="11.25" customHeight="1" x14ac:dyDescent="0.3">
      <c r="G5133" s="459"/>
      <c r="H5133" s="459">
        <v>5126</v>
      </c>
      <c r="I5133" s="444">
        <f t="shared" ca="1" si="203"/>
        <v>29957669315239.719</v>
      </c>
      <c r="J5133" s="444">
        <f t="array" ref="J5133">IFERROR(INDEX('Retirement Calculator'!J:J,MATCH('Isaac 401k'!N5133,'Retirement Calculator'!A:A,0),0),0)</f>
        <v>0</v>
      </c>
      <c r="K5133" s="444">
        <f t="shared" ca="1" si="201"/>
        <v>124823622146.83215</v>
      </c>
      <c r="L5133" s="444">
        <f t="shared" ca="1" si="202"/>
        <v>30082492937386.551</v>
      </c>
      <c r="M5133" s="460">
        <f t="shared" si="204"/>
        <v>0.05</v>
      </c>
      <c r="N5133" s="464">
        <f t="shared" si="205"/>
        <v>207276</v>
      </c>
    </row>
    <row r="5134" spans="7:14" ht="11.25" customHeight="1" x14ac:dyDescent="0.3">
      <c r="G5134" s="459"/>
      <c r="H5134" s="459">
        <v>5127</v>
      </c>
      <c r="I5134" s="444">
        <f t="shared" ca="1" si="203"/>
        <v>30082492937386.551</v>
      </c>
      <c r="J5134" s="444">
        <f t="array" ref="J5134">IFERROR(INDEX('Retirement Calculator'!J:J,MATCH('Isaac 401k'!N5134,'Retirement Calculator'!A:A,0),0),0)</f>
        <v>0</v>
      </c>
      <c r="K5134" s="444">
        <f t="shared" ca="1" si="201"/>
        <v>125343720572.44397</v>
      </c>
      <c r="L5134" s="444">
        <f t="shared" ca="1" si="202"/>
        <v>30207836657958.996</v>
      </c>
      <c r="M5134" s="460">
        <f t="shared" si="204"/>
        <v>0.05</v>
      </c>
      <c r="N5134" s="464">
        <f t="shared" si="205"/>
        <v>207307</v>
      </c>
    </row>
    <row r="5135" spans="7:14" ht="11.25" customHeight="1" x14ac:dyDescent="0.3">
      <c r="G5135" s="459"/>
      <c r="H5135" s="459">
        <v>5128</v>
      </c>
      <c r="I5135" s="444">
        <f t="shared" ca="1" si="203"/>
        <v>30207836657958.996</v>
      </c>
      <c r="J5135" s="444">
        <f t="array" ref="J5135">IFERROR(INDEX('Retirement Calculator'!J:J,MATCH('Isaac 401k'!N5135,'Retirement Calculator'!A:A,0),0),0)</f>
        <v>0</v>
      </c>
      <c r="K5135" s="444">
        <f t="shared" ca="1" si="201"/>
        <v>125865986074.82915</v>
      </c>
      <c r="L5135" s="444">
        <f t="shared" ca="1" si="202"/>
        <v>30333702644033.824</v>
      </c>
      <c r="M5135" s="460">
        <f t="shared" si="204"/>
        <v>0.05</v>
      </c>
      <c r="N5135" s="464">
        <f t="shared" si="205"/>
        <v>207338</v>
      </c>
    </row>
    <row r="5136" spans="7:14" ht="11.25" customHeight="1" x14ac:dyDescent="0.3">
      <c r="G5136" s="459"/>
      <c r="H5136" s="459">
        <v>5129</v>
      </c>
      <c r="I5136" s="444">
        <f t="shared" ca="1" si="203"/>
        <v>30333702644033.824</v>
      </c>
      <c r="J5136" s="444">
        <f t="array" ref="J5136">IFERROR(INDEX('Retirement Calculator'!J:J,MATCH('Isaac 401k'!N5136,'Retirement Calculator'!A:A,0),0),0)</f>
        <v>0</v>
      </c>
      <c r="K5136" s="444">
        <f t="shared" ca="1" si="201"/>
        <v>126390427683.47424</v>
      </c>
      <c r="L5136" s="444">
        <f t="shared" ca="1" si="202"/>
        <v>30460093071717.297</v>
      </c>
      <c r="M5136" s="460">
        <f t="shared" si="204"/>
        <v>0.05</v>
      </c>
      <c r="N5136" s="464">
        <f t="shared" si="205"/>
        <v>207368</v>
      </c>
    </row>
    <row r="5137" spans="7:14" ht="11.25" customHeight="1" x14ac:dyDescent="0.3">
      <c r="G5137" s="459"/>
      <c r="H5137" s="459">
        <v>5130</v>
      </c>
      <c r="I5137" s="444">
        <f t="shared" ca="1" si="203"/>
        <v>30460093071717.297</v>
      </c>
      <c r="J5137" s="444">
        <f t="array" ref="J5137">IFERROR(INDEX('Retirement Calculator'!J:J,MATCH('Isaac 401k'!N5137,'Retirement Calculator'!A:A,0),0),0)</f>
        <v>0</v>
      </c>
      <c r="K5137" s="444">
        <f t="shared" ca="1" si="201"/>
        <v>126917054465.48872</v>
      </c>
      <c r="L5137" s="444">
        <f t="shared" ca="1" si="202"/>
        <v>30587010126182.785</v>
      </c>
      <c r="M5137" s="460">
        <f t="shared" si="204"/>
        <v>0.05</v>
      </c>
      <c r="N5137" s="464">
        <f t="shared" si="205"/>
        <v>207399</v>
      </c>
    </row>
    <row r="5138" spans="7:14" ht="11.25" customHeight="1" x14ac:dyDescent="0.3">
      <c r="G5138" s="459"/>
      <c r="H5138" s="459">
        <v>5131</v>
      </c>
      <c r="I5138" s="444">
        <f t="shared" ca="1" si="203"/>
        <v>30587010126182.785</v>
      </c>
      <c r="J5138" s="444">
        <f t="array" ref="J5138">IFERROR(INDEX('Retirement Calculator'!J:J,MATCH('Isaac 401k'!N5138,'Retirement Calculator'!A:A,0),0),0)</f>
        <v>0</v>
      </c>
      <c r="K5138" s="444">
        <f t="shared" ca="1" si="201"/>
        <v>127445875525.7616</v>
      </c>
      <c r="L5138" s="444">
        <f t="shared" ca="1" si="202"/>
        <v>30714456001708.547</v>
      </c>
      <c r="M5138" s="460">
        <f t="shared" si="204"/>
        <v>0.05</v>
      </c>
      <c r="N5138" s="464">
        <f t="shared" si="205"/>
        <v>207429</v>
      </c>
    </row>
    <row r="5139" spans="7:14" ht="11.25" customHeight="1" x14ac:dyDescent="0.3">
      <c r="G5139" s="459"/>
      <c r="H5139" s="459">
        <v>5132</v>
      </c>
      <c r="I5139" s="444">
        <f t="shared" ca="1" si="203"/>
        <v>30714456001708.547</v>
      </c>
      <c r="J5139" s="444">
        <f t="array" ref="J5139">IFERROR(INDEX('Retirement Calculator'!J:J,MATCH('Isaac 401k'!N5139,'Retirement Calculator'!A:A,0),0),0)</f>
        <v>0</v>
      </c>
      <c r="K5139" s="444">
        <f t="shared" ca="1" si="201"/>
        <v>127976900007.11896</v>
      </c>
      <c r="L5139" s="444">
        <f t="shared" ca="1" si="202"/>
        <v>30842432901715.664</v>
      </c>
      <c r="M5139" s="460">
        <f t="shared" si="204"/>
        <v>0.05</v>
      </c>
      <c r="N5139" s="464">
        <f t="shared" si="205"/>
        <v>207460</v>
      </c>
    </row>
    <row r="5140" spans="7:14" ht="11.25" customHeight="1" x14ac:dyDescent="0.3">
      <c r="G5140" s="459"/>
      <c r="H5140" s="459">
        <v>5133</v>
      </c>
      <c r="I5140" s="444">
        <f t="shared" ca="1" si="203"/>
        <v>30842432901715.664</v>
      </c>
      <c r="J5140" s="444">
        <f t="array" ref="J5140">IFERROR(INDEX('Retirement Calculator'!J:J,MATCH('Isaac 401k'!N5140,'Retirement Calculator'!A:A,0),0),0)</f>
        <v>0</v>
      </c>
      <c r="K5140" s="444">
        <f t="shared" ca="1" si="201"/>
        <v>128510137090.48193</v>
      </c>
      <c r="L5140" s="444">
        <f t="shared" ca="1" si="202"/>
        <v>30970943038806.145</v>
      </c>
      <c r="M5140" s="460">
        <f t="shared" si="204"/>
        <v>0.05</v>
      </c>
      <c r="N5140" s="464">
        <f t="shared" si="205"/>
        <v>207491</v>
      </c>
    </row>
    <row r="5141" spans="7:14" ht="11.25" customHeight="1" x14ac:dyDescent="0.3">
      <c r="G5141" s="459"/>
      <c r="H5141" s="459">
        <v>5134</v>
      </c>
      <c r="I5141" s="444">
        <f t="shared" ca="1" si="203"/>
        <v>30970943038806.145</v>
      </c>
      <c r="J5141" s="444">
        <f t="array" ref="J5141">IFERROR(INDEX('Retirement Calculator'!J:J,MATCH('Isaac 401k'!N5141,'Retirement Calculator'!A:A,0),0),0)</f>
        <v>0</v>
      </c>
      <c r="K5141" s="444">
        <f t="shared" ca="1" si="201"/>
        <v>129045595995.0256</v>
      </c>
      <c r="L5141" s="444">
        <f t="shared" ca="1" si="202"/>
        <v>31099988634801.172</v>
      </c>
      <c r="M5141" s="460">
        <f t="shared" si="204"/>
        <v>0.05</v>
      </c>
      <c r="N5141" s="464">
        <f t="shared" si="205"/>
        <v>207520</v>
      </c>
    </row>
    <row r="5142" spans="7:14" ht="11.25" customHeight="1" x14ac:dyDescent="0.3">
      <c r="G5142" s="459"/>
      <c r="H5142" s="459">
        <v>5135</v>
      </c>
      <c r="I5142" s="444">
        <f t="shared" ca="1" si="203"/>
        <v>31099988634801.172</v>
      </c>
      <c r="J5142" s="444">
        <f t="array" ref="J5142">IFERROR(INDEX('Retirement Calculator'!J:J,MATCH('Isaac 401k'!N5142,'Retirement Calculator'!A:A,0),0),0)</f>
        <v>0</v>
      </c>
      <c r="K5142" s="444">
        <f t="shared" ca="1" si="201"/>
        <v>129583285978.33821</v>
      </c>
      <c r="L5142" s="444">
        <f t="shared" ca="1" si="202"/>
        <v>31229571920779.512</v>
      </c>
      <c r="M5142" s="460">
        <f t="shared" si="204"/>
        <v>0.05</v>
      </c>
      <c r="N5142" s="464">
        <f t="shared" si="205"/>
        <v>207551</v>
      </c>
    </row>
    <row r="5143" spans="7:14" ht="11.25" customHeight="1" x14ac:dyDescent="0.3">
      <c r="G5143" s="459"/>
      <c r="H5143" s="459">
        <v>5136</v>
      </c>
      <c r="I5143" s="444">
        <f t="shared" ca="1" si="203"/>
        <v>31229571920779.512</v>
      </c>
      <c r="J5143" s="444">
        <f t="array" ref="J5143">IFERROR(INDEX('Retirement Calculator'!J:J,MATCH('Isaac 401k'!N5143,'Retirement Calculator'!A:A,0),0),0)</f>
        <v>0</v>
      </c>
      <c r="K5143" s="444">
        <f t="shared" ca="1" si="201"/>
        <v>130123216336.58128</v>
      </c>
      <c r="L5143" s="444">
        <f t="shared" ca="1" si="202"/>
        <v>31359695137116.094</v>
      </c>
      <c r="M5143" s="460">
        <f t="shared" si="204"/>
        <v>0.05</v>
      </c>
      <c r="N5143" s="464">
        <f t="shared" si="205"/>
        <v>207581</v>
      </c>
    </row>
    <row r="5144" spans="7:14" ht="11.25" customHeight="1" x14ac:dyDescent="0.3">
      <c r="G5144" s="459"/>
      <c r="H5144" s="459">
        <v>5137</v>
      </c>
      <c r="I5144" s="444">
        <f t="shared" ca="1" si="203"/>
        <v>31359695137116.094</v>
      </c>
      <c r="J5144" s="444">
        <f t="array" ref="J5144">IFERROR(INDEX('Retirement Calculator'!J:J,MATCH('Isaac 401k'!N5144,'Retirement Calculator'!A:A,0),0),0)</f>
        <v>0</v>
      </c>
      <c r="K5144" s="444">
        <f t="shared" ca="1" si="201"/>
        <v>130665396404.65041</v>
      </c>
      <c r="L5144" s="444">
        <f t="shared" ca="1" si="202"/>
        <v>31490360533520.746</v>
      </c>
      <c r="M5144" s="460">
        <f t="shared" si="204"/>
        <v>0.05</v>
      </c>
      <c r="N5144" s="464">
        <f t="shared" si="205"/>
        <v>207612</v>
      </c>
    </row>
    <row r="5145" spans="7:14" ht="11.25" customHeight="1" x14ac:dyDescent="0.3">
      <c r="G5145" s="459"/>
      <c r="H5145" s="459">
        <v>5138</v>
      </c>
      <c r="I5145" s="444">
        <f t="shared" ca="1" si="203"/>
        <v>31490360533520.746</v>
      </c>
      <c r="J5145" s="444">
        <f t="array" ref="J5145">IFERROR(INDEX('Retirement Calculator'!J:J,MATCH('Isaac 401k'!N5145,'Retirement Calculator'!A:A,0),0),0)</f>
        <v>0</v>
      </c>
      <c r="K5145" s="444">
        <f t="shared" ca="1" si="201"/>
        <v>131209835556.33644</v>
      </c>
      <c r="L5145" s="444">
        <f t="shared" ca="1" si="202"/>
        <v>31621570369077.082</v>
      </c>
      <c r="M5145" s="460">
        <f t="shared" si="204"/>
        <v>0.05</v>
      </c>
      <c r="N5145" s="464">
        <f t="shared" si="205"/>
        <v>207642</v>
      </c>
    </row>
    <row r="5146" spans="7:14" ht="11.25" customHeight="1" x14ac:dyDescent="0.3">
      <c r="G5146" s="459"/>
      <c r="H5146" s="459">
        <v>5139</v>
      </c>
      <c r="I5146" s="444">
        <f t="shared" ca="1" si="203"/>
        <v>31621570369077.082</v>
      </c>
      <c r="J5146" s="444">
        <f t="array" ref="J5146">IFERROR(INDEX('Retirement Calculator'!J:J,MATCH('Isaac 401k'!N5146,'Retirement Calculator'!A:A,0),0),0)</f>
        <v>0</v>
      </c>
      <c r="K5146" s="444">
        <f t="shared" ca="1" si="201"/>
        <v>131756543204.48782</v>
      </c>
      <c r="L5146" s="444">
        <f t="shared" ca="1" si="202"/>
        <v>31753326912281.57</v>
      </c>
      <c r="M5146" s="460">
        <f t="shared" si="204"/>
        <v>0.05</v>
      </c>
      <c r="N5146" s="464">
        <f t="shared" si="205"/>
        <v>207673</v>
      </c>
    </row>
    <row r="5147" spans="7:14" ht="11.25" customHeight="1" x14ac:dyDescent="0.3">
      <c r="G5147" s="459"/>
      <c r="H5147" s="459">
        <v>5140</v>
      </c>
      <c r="I5147" s="444">
        <f t="shared" ca="1" si="203"/>
        <v>31753326912281.57</v>
      </c>
      <c r="J5147" s="444">
        <f t="array" ref="J5147">IFERROR(INDEX('Retirement Calculator'!J:J,MATCH('Isaac 401k'!N5147,'Retirement Calculator'!A:A,0),0),0)</f>
        <v>0</v>
      </c>
      <c r="K5147" s="444">
        <f t="shared" ca="1" si="201"/>
        <v>132305528801.17319</v>
      </c>
      <c r="L5147" s="444">
        <f t="shared" ca="1" si="202"/>
        <v>31885632441082.742</v>
      </c>
      <c r="M5147" s="460">
        <f t="shared" si="204"/>
        <v>0.05</v>
      </c>
      <c r="N5147" s="464">
        <f t="shared" si="205"/>
        <v>207704</v>
      </c>
    </row>
    <row r="5148" spans="7:14" ht="11.25" customHeight="1" x14ac:dyDescent="0.3">
      <c r="G5148" s="459"/>
      <c r="H5148" s="459">
        <v>5141</v>
      </c>
      <c r="I5148" s="444">
        <f t="shared" ca="1" si="203"/>
        <v>31885632441082.742</v>
      </c>
      <c r="J5148" s="444">
        <f t="array" ref="J5148">IFERROR(INDEX('Retirement Calculator'!J:J,MATCH('Isaac 401k'!N5148,'Retirement Calculator'!A:A,0),0),0)</f>
        <v>0</v>
      </c>
      <c r="K5148" s="444">
        <f t="shared" ca="1" si="201"/>
        <v>132856801837.84476</v>
      </c>
      <c r="L5148" s="444">
        <f t="shared" ca="1" si="202"/>
        <v>32018489242920.586</v>
      </c>
      <c r="M5148" s="460">
        <f t="shared" si="204"/>
        <v>0.05</v>
      </c>
      <c r="N5148" s="464">
        <f t="shared" si="205"/>
        <v>207734</v>
      </c>
    </row>
    <row r="5149" spans="7:14" ht="11.25" customHeight="1" x14ac:dyDescent="0.3">
      <c r="G5149" s="459"/>
      <c r="H5149" s="459">
        <v>5142</v>
      </c>
      <c r="I5149" s="444">
        <f t="shared" ca="1" si="203"/>
        <v>32018489242920.586</v>
      </c>
      <c r="J5149" s="444">
        <f t="array" ref="J5149">IFERROR(INDEX('Retirement Calculator'!J:J,MATCH('Isaac 401k'!N5149,'Retirement Calculator'!A:A,0),0),0)</f>
        <v>0</v>
      </c>
      <c r="K5149" s="444">
        <f t="shared" ca="1" si="201"/>
        <v>133410371845.50244</v>
      </c>
      <c r="L5149" s="444">
        <f t="shared" ca="1" si="202"/>
        <v>32151899614766.09</v>
      </c>
      <c r="M5149" s="460">
        <f t="shared" si="204"/>
        <v>0.05</v>
      </c>
      <c r="N5149" s="464">
        <f t="shared" si="205"/>
        <v>207765</v>
      </c>
    </row>
    <row r="5150" spans="7:14" ht="11.25" customHeight="1" x14ac:dyDescent="0.3">
      <c r="G5150" s="459"/>
      <c r="H5150" s="459">
        <v>5143</v>
      </c>
      <c r="I5150" s="444">
        <f t="shared" ca="1" si="203"/>
        <v>32151899614766.09</v>
      </c>
      <c r="J5150" s="444">
        <f t="array" ref="J5150">IFERROR(INDEX('Retirement Calculator'!J:J,MATCH('Isaac 401k'!N5150,'Retirement Calculator'!A:A,0),0),0)</f>
        <v>0</v>
      </c>
      <c r="K5150" s="444">
        <f t="shared" ca="1" si="201"/>
        <v>133966248394.8587</v>
      </c>
      <c r="L5150" s="444">
        <f t="shared" ca="1" si="202"/>
        <v>32285865863160.949</v>
      </c>
      <c r="M5150" s="460">
        <f t="shared" si="204"/>
        <v>0.05</v>
      </c>
      <c r="N5150" s="464">
        <f t="shared" si="205"/>
        <v>207795</v>
      </c>
    </row>
    <row r="5151" spans="7:14" ht="11.25" customHeight="1" x14ac:dyDescent="0.3">
      <c r="G5151" s="459"/>
      <c r="H5151" s="459">
        <v>5144</v>
      </c>
      <c r="I5151" s="444">
        <f t="shared" ca="1" si="203"/>
        <v>32285865863160.949</v>
      </c>
      <c r="J5151" s="444">
        <f t="array" ref="J5151">IFERROR(INDEX('Retirement Calculator'!J:J,MATCH('Isaac 401k'!N5151,'Retirement Calculator'!A:A,0),0),0)</f>
        <v>0</v>
      </c>
      <c r="K5151" s="444">
        <f t="shared" ca="1" si="201"/>
        <v>134524441096.50397</v>
      </c>
      <c r="L5151" s="444">
        <f t="shared" ca="1" si="202"/>
        <v>32420390304257.453</v>
      </c>
      <c r="M5151" s="460">
        <f t="shared" si="204"/>
        <v>0.05</v>
      </c>
      <c r="N5151" s="464">
        <f t="shared" si="205"/>
        <v>207826</v>
      </c>
    </row>
    <row r="5152" spans="7:14" ht="11.25" customHeight="1" x14ac:dyDescent="0.3">
      <c r="G5152" s="459"/>
      <c r="H5152" s="459">
        <v>5145</v>
      </c>
      <c r="I5152" s="444">
        <f t="shared" ca="1" si="203"/>
        <v>32420390304257.453</v>
      </c>
      <c r="J5152" s="444">
        <f t="array" ref="J5152">IFERROR(INDEX('Retirement Calculator'!J:J,MATCH('Isaac 401k'!N5152,'Retirement Calculator'!A:A,0),0),0)</f>
        <v>0</v>
      </c>
      <c r="K5152" s="444">
        <f t="shared" ca="1" si="201"/>
        <v>135084959601.07272</v>
      </c>
      <c r="L5152" s="444">
        <f t="shared" ca="1" si="202"/>
        <v>32555475263858.527</v>
      </c>
      <c r="M5152" s="460">
        <f t="shared" si="204"/>
        <v>0.05</v>
      </c>
      <c r="N5152" s="464">
        <f t="shared" si="205"/>
        <v>207857</v>
      </c>
    </row>
    <row r="5153" spans="7:14" ht="11.25" customHeight="1" x14ac:dyDescent="0.3">
      <c r="G5153" s="459"/>
      <c r="H5153" s="459">
        <v>5146</v>
      </c>
      <c r="I5153" s="444">
        <f t="shared" ca="1" si="203"/>
        <v>32555475263858.527</v>
      </c>
      <c r="J5153" s="444">
        <f t="array" ref="J5153">IFERROR(INDEX('Retirement Calculator'!J:J,MATCH('Isaac 401k'!N5153,'Retirement Calculator'!A:A,0),0),0)</f>
        <v>0</v>
      </c>
      <c r="K5153" s="444">
        <f t="shared" ca="1" si="201"/>
        <v>135647813599.41052</v>
      </c>
      <c r="L5153" s="444">
        <f t="shared" ca="1" si="202"/>
        <v>32691123077457.938</v>
      </c>
      <c r="M5153" s="460">
        <f t="shared" si="204"/>
        <v>0.05</v>
      </c>
      <c r="N5153" s="464">
        <f t="shared" si="205"/>
        <v>207885</v>
      </c>
    </row>
    <row r="5154" spans="7:14" ht="11.25" customHeight="1" x14ac:dyDescent="0.3">
      <c r="G5154" s="459"/>
      <c r="H5154" s="459">
        <v>5147</v>
      </c>
      <c r="I5154" s="444">
        <f t="shared" ca="1" si="203"/>
        <v>32691123077457.938</v>
      </c>
      <c r="J5154" s="444">
        <f t="array" ref="J5154">IFERROR(INDEX('Retirement Calculator'!J:J,MATCH('Isaac 401k'!N5154,'Retirement Calculator'!A:A,0),0),0)</f>
        <v>0</v>
      </c>
      <c r="K5154" s="444">
        <f t="shared" ca="1" si="201"/>
        <v>136213012822.74139</v>
      </c>
      <c r="L5154" s="444">
        <f t="shared" ca="1" si="202"/>
        <v>32827336090280.68</v>
      </c>
      <c r="M5154" s="460">
        <f t="shared" si="204"/>
        <v>0.05</v>
      </c>
      <c r="N5154" s="464">
        <f t="shared" si="205"/>
        <v>207916</v>
      </c>
    </row>
    <row r="5155" spans="7:14" ht="11.25" customHeight="1" x14ac:dyDescent="0.3">
      <c r="G5155" s="459"/>
      <c r="H5155" s="459">
        <v>5148</v>
      </c>
      <c r="I5155" s="444">
        <f t="shared" ca="1" si="203"/>
        <v>32827336090280.68</v>
      </c>
      <c r="J5155" s="444">
        <f t="array" ref="J5155">IFERROR(INDEX('Retirement Calculator'!J:J,MATCH('Isaac 401k'!N5155,'Retirement Calculator'!A:A,0),0),0)</f>
        <v>0</v>
      </c>
      <c r="K5155" s="444">
        <f t="shared" ca="1" si="201"/>
        <v>136780567042.83618</v>
      </c>
      <c r="L5155" s="444">
        <f t="shared" ca="1" si="202"/>
        <v>32964116657323.516</v>
      </c>
      <c r="M5155" s="460">
        <f t="shared" si="204"/>
        <v>0.05</v>
      </c>
      <c r="N5155" s="464">
        <f t="shared" si="205"/>
        <v>207946</v>
      </c>
    </row>
    <row r="5156" spans="7:14" ht="11.25" customHeight="1" x14ac:dyDescent="0.3">
      <c r="G5156" s="459"/>
      <c r="H5156" s="459">
        <v>5149</v>
      </c>
      <c r="I5156" s="444">
        <f t="shared" ca="1" si="203"/>
        <v>32964116657323.516</v>
      </c>
      <c r="J5156" s="444">
        <f t="array" ref="J5156">IFERROR(INDEX('Retirement Calculator'!J:J,MATCH('Isaac 401k'!N5156,'Retirement Calculator'!A:A,0),0),0)</f>
        <v>0</v>
      </c>
      <c r="K5156" s="444">
        <f t="shared" ca="1" si="201"/>
        <v>137350486072.18132</v>
      </c>
      <c r="L5156" s="444">
        <f t="shared" ca="1" si="202"/>
        <v>33101467143395.695</v>
      </c>
      <c r="M5156" s="460">
        <f t="shared" si="204"/>
        <v>0.05</v>
      </c>
      <c r="N5156" s="464">
        <f t="shared" si="205"/>
        <v>207977</v>
      </c>
    </row>
    <row r="5157" spans="7:14" ht="11.25" customHeight="1" x14ac:dyDescent="0.3">
      <c r="G5157" s="459"/>
      <c r="H5157" s="459">
        <v>5150</v>
      </c>
      <c r="I5157" s="444">
        <f t="shared" ca="1" si="203"/>
        <v>33101467143395.695</v>
      </c>
      <c r="J5157" s="444">
        <f t="array" ref="J5157">IFERROR(INDEX('Retirement Calculator'!J:J,MATCH('Isaac 401k'!N5157,'Retirement Calculator'!A:A,0),0),0)</f>
        <v>0</v>
      </c>
      <c r="K5157" s="444">
        <f t="shared" ca="1" si="201"/>
        <v>137922779764.14874</v>
      </c>
      <c r="L5157" s="444">
        <f t="shared" ca="1" si="202"/>
        <v>33239389923159.844</v>
      </c>
      <c r="M5157" s="460">
        <f t="shared" si="204"/>
        <v>0.05</v>
      </c>
      <c r="N5157" s="464">
        <f t="shared" si="205"/>
        <v>208007</v>
      </c>
    </row>
    <row r="5158" spans="7:14" ht="11.25" customHeight="1" x14ac:dyDescent="0.3">
      <c r="G5158" s="459"/>
      <c r="H5158" s="459">
        <v>5151</v>
      </c>
      <c r="I5158" s="444">
        <f t="shared" ca="1" si="203"/>
        <v>33239389923159.844</v>
      </c>
      <c r="J5158" s="444">
        <f t="array" ref="J5158">IFERROR(INDEX('Retirement Calculator'!J:J,MATCH('Isaac 401k'!N5158,'Retirement Calculator'!A:A,0),0),0)</f>
        <v>0</v>
      </c>
      <c r="K5158" s="444">
        <f t="shared" ca="1" si="201"/>
        <v>138497458013.16602</v>
      </c>
      <c r="L5158" s="444">
        <f t="shared" ca="1" si="202"/>
        <v>33377887381173.008</v>
      </c>
      <c r="M5158" s="460">
        <f t="shared" si="204"/>
        <v>0.05</v>
      </c>
      <c r="N5158" s="464">
        <f t="shared" si="205"/>
        <v>208038</v>
      </c>
    </row>
    <row r="5159" spans="7:14" ht="11.25" customHeight="1" x14ac:dyDescent="0.3">
      <c r="G5159" s="459"/>
      <c r="H5159" s="459">
        <v>5152</v>
      </c>
      <c r="I5159" s="444">
        <f t="shared" ca="1" si="203"/>
        <v>33377887381173.008</v>
      </c>
      <c r="J5159" s="444">
        <f t="array" ref="J5159">IFERROR(INDEX('Retirement Calculator'!J:J,MATCH('Isaac 401k'!N5159,'Retirement Calculator'!A:A,0),0),0)</f>
        <v>0</v>
      </c>
      <c r="K5159" s="444">
        <f t="shared" ca="1" si="201"/>
        <v>139074530754.88754</v>
      </c>
      <c r="L5159" s="444">
        <f t="shared" ca="1" si="202"/>
        <v>33516961911927.895</v>
      </c>
      <c r="M5159" s="460">
        <f t="shared" si="204"/>
        <v>0.05</v>
      </c>
      <c r="N5159" s="464">
        <f t="shared" si="205"/>
        <v>208069</v>
      </c>
    </row>
    <row r="5160" spans="7:14" ht="11.25" customHeight="1" x14ac:dyDescent="0.3">
      <c r="G5160" s="459"/>
      <c r="H5160" s="459">
        <v>5153</v>
      </c>
      <c r="I5160" s="444">
        <f t="shared" ca="1" si="203"/>
        <v>33516961911927.895</v>
      </c>
      <c r="J5160" s="444">
        <f t="array" ref="J5160">IFERROR(INDEX('Retirement Calculator'!J:J,MATCH('Isaac 401k'!N5160,'Retirement Calculator'!A:A,0),0),0)</f>
        <v>0</v>
      </c>
      <c r="K5160" s="444">
        <f t="shared" ca="1" si="201"/>
        <v>139654007966.36621</v>
      </c>
      <c r="L5160" s="444">
        <f t="shared" ca="1" si="202"/>
        <v>33656615919894.262</v>
      </c>
      <c r="M5160" s="460">
        <f t="shared" si="204"/>
        <v>0.05</v>
      </c>
      <c r="N5160" s="464">
        <f t="shared" si="205"/>
        <v>208099</v>
      </c>
    </row>
    <row r="5161" spans="7:14" ht="11.25" customHeight="1" x14ac:dyDescent="0.3">
      <c r="G5161" s="459"/>
      <c r="H5161" s="459">
        <v>5154</v>
      </c>
      <c r="I5161" s="444">
        <f t="shared" ca="1" si="203"/>
        <v>33656615919894.262</v>
      </c>
      <c r="J5161" s="444">
        <f t="array" ref="J5161">IFERROR(INDEX('Retirement Calculator'!J:J,MATCH('Isaac 401k'!N5161,'Retirement Calculator'!A:A,0),0),0)</f>
        <v>0</v>
      </c>
      <c r="K5161" s="444">
        <f t="shared" ca="1" si="201"/>
        <v>140235899666.22607</v>
      </c>
      <c r="L5161" s="444">
        <f t="shared" ca="1" si="202"/>
        <v>33796851819560.488</v>
      </c>
      <c r="M5161" s="460">
        <f t="shared" si="204"/>
        <v>0.05</v>
      </c>
      <c r="N5161" s="464">
        <f t="shared" si="205"/>
        <v>208130</v>
      </c>
    </row>
    <row r="5162" spans="7:14" ht="11.25" customHeight="1" x14ac:dyDescent="0.3">
      <c r="G5162" s="459"/>
      <c r="H5162" s="459">
        <v>5155</v>
      </c>
      <c r="I5162" s="444">
        <f t="shared" ca="1" si="203"/>
        <v>33796851819560.488</v>
      </c>
      <c r="J5162" s="444">
        <f t="array" ref="J5162">IFERROR(INDEX('Retirement Calculator'!J:J,MATCH('Isaac 401k'!N5162,'Retirement Calculator'!A:A,0),0),0)</f>
        <v>0</v>
      </c>
      <c r="K5162" s="444">
        <f t="shared" ca="1" si="201"/>
        <v>140820215914.83539</v>
      </c>
      <c r="L5162" s="444">
        <f t="shared" ca="1" si="202"/>
        <v>33937672035475.324</v>
      </c>
      <c r="M5162" s="460">
        <f t="shared" si="204"/>
        <v>0.05</v>
      </c>
      <c r="N5162" s="464">
        <f t="shared" si="205"/>
        <v>208160</v>
      </c>
    </row>
    <row r="5163" spans="7:14" ht="11.25" customHeight="1" x14ac:dyDescent="0.3">
      <c r="G5163" s="459"/>
      <c r="H5163" s="459">
        <v>5156</v>
      </c>
      <c r="I5163" s="444">
        <f t="shared" ca="1" si="203"/>
        <v>33937672035475.324</v>
      </c>
      <c r="J5163" s="444">
        <f t="array" ref="J5163">IFERROR(INDEX('Retirement Calculator'!J:J,MATCH('Isaac 401k'!N5163,'Retirement Calculator'!A:A,0),0),0)</f>
        <v>0</v>
      </c>
      <c r="K5163" s="444">
        <f t="shared" ca="1" si="201"/>
        <v>141406966814.48053</v>
      </c>
      <c r="L5163" s="444">
        <f t="shared" ca="1" si="202"/>
        <v>34079079002289.805</v>
      </c>
      <c r="M5163" s="460">
        <f t="shared" si="204"/>
        <v>0.05</v>
      </c>
      <c r="N5163" s="464">
        <f t="shared" si="205"/>
        <v>208191</v>
      </c>
    </row>
    <row r="5164" spans="7:14" ht="11.25" customHeight="1" x14ac:dyDescent="0.3">
      <c r="G5164" s="459"/>
      <c r="H5164" s="459">
        <v>5157</v>
      </c>
      <c r="I5164" s="444">
        <f t="shared" ca="1" si="203"/>
        <v>34079079002289.805</v>
      </c>
      <c r="J5164" s="444">
        <f t="array" ref="J5164">IFERROR(INDEX('Retirement Calculator'!J:J,MATCH('Isaac 401k'!N5164,'Retirement Calculator'!A:A,0),0),0)</f>
        <v>0</v>
      </c>
      <c r="K5164" s="444">
        <f t="shared" ca="1" si="201"/>
        <v>141996162509.54083</v>
      </c>
      <c r="L5164" s="444">
        <f t="shared" ca="1" si="202"/>
        <v>34221075164799.344</v>
      </c>
      <c r="M5164" s="460">
        <f t="shared" si="204"/>
        <v>0.05</v>
      </c>
      <c r="N5164" s="464">
        <f t="shared" si="205"/>
        <v>208222</v>
      </c>
    </row>
    <row r="5165" spans="7:14" ht="11.25" customHeight="1" x14ac:dyDescent="0.3">
      <c r="G5165" s="459"/>
      <c r="H5165" s="459">
        <v>5158</v>
      </c>
      <c r="I5165" s="444">
        <f t="shared" ca="1" si="203"/>
        <v>34221075164799.344</v>
      </c>
      <c r="J5165" s="444">
        <f t="array" ref="J5165">IFERROR(INDEX('Retirement Calculator'!J:J,MATCH('Isaac 401k'!N5165,'Retirement Calculator'!A:A,0),0),0)</f>
        <v>0</v>
      </c>
      <c r="K5165" s="444">
        <f t="shared" ca="1" si="201"/>
        <v>142587813186.66394</v>
      </c>
      <c r="L5165" s="444">
        <f t="shared" ca="1" si="202"/>
        <v>34363662977986.008</v>
      </c>
      <c r="M5165" s="460">
        <f t="shared" si="204"/>
        <v>0.05</v>
      </c>
      <c r="N5165" s="464">
        <f t="shared" si="205"/>
        <v>208250</v>
      </c>
    </row>
    <row r="5166" spans="7:14" ht="11.25" customHeight="1" x14ac:dyDescent="0.3">
      <c r="G5166" s="459"/>
      <c r="H5166" s="459">
        <v>5159</v>
      </c>
      <c r="I5166" s="444">
        <f t="shared" ca="1" si="203"/>
        <v>34363662977986.008</v>
      </c>
      <c r="J5166" s="444">
        <f t="array" ref="J5166">IFERROR(INDEX('Retirement Calculator'!J:J,MATCH('Isaac 401k'!N5166,'Retirement Calculator'!A:A,0),0),0)</f>
        <v>0</v>
      </c>
      <c r="K5166" s="444">
        <f t="shared" ca="1" si="201"/>
        <v>143181929074.94171</v>
      </c>
      <c r="L5166" s="444">
        <f t="shared" ca="1" si="202"/>
        <v>34506844907060.949</v>
      </c>
      <c r="M5166" s="460">
        <f t="shared" si="204"/>
        <v>0.05</v>
      </c>
      <c r="N5166" s="464">
        <f t="shared" si="205"/>
        <v>208281</v>
      </c>
    </row>
    <row r="5167" spans="7:14" ht="11.25" customHeight="1" x14ac:dyDescent="0.3">
      <c r="G5167" s="459"/>
      <c r="H5167" s="459">
        <v>5160</v>
      </c>
      <c r="I5167" s="444">
        <f t="shared" ca="1" si="203"/>
        <v>34506844907060.949</v>
      </c>
      <c r="J5167" s="444">
        <f t="array" ref="J5167">IFERROR(INDEX('Retirement Calculator'!J:J,MATCH('Isaac 401k'!N5167,'Retirement Calculator'!A:A,0),0),0)</f>
        <v>0</v>
      </c>
      <c r="K5167" s="444">
        <f t="shared" ca="1" si="201"/>
        <v>143778520446.08728</v>
      </c>
      <c r="L5167" s="444">
        <f t="shared" ca="1" si="202"/>
        <v>34650623427507.035</v>
      </c>
      <c r="M5167" s="460">
        <f t="shared" si="204"/>
        <v>0.05</v>
      </c>
      <c r="N5167" s="464">
        <f t="shared" si="205"/>
        <v>208311</v>
      </c>
    </row>
    <row r="5168" spans="7:14" ht="11.25" customHeight="1" x14ac:dyDescent="0.3">
      <c r="G5168" s="459"/>
      <c r="H5168" s="459">
        <v>5161</v>
      </c>
      <c r="I5168" s="444">
        <f t="shared" ca="1" si="203"/>
        <v>34650623427507.035</v>
      </c>
      <c r="J5168" s="444">
        <f t="array" ref="J5168">IFERROR(INDEX('Retirement Calculator'!J:J,MATCH('Isaac 401k'!N5168,'Retirement Calculator'!A:A,0),0),0)</f>
        <v>0</v>
      </c>
      <c r="K5168" s="444">
        <f t="shared" ca="1" si="201"/>
        <v>144377597614.61267</v>
      </c>
      <c r="L5168" s="444">
        <f t="shared" ca="1" si="202"/>
        <v>34795001025121.648</v>
      </c>
      <c r="M5168" s="460">
        <f t="shared" si="204"/>
        <v>0.05</v>
      </c>
      <c r="N5168" s="464">
        <f t="shared" si="205"/>
        <v>208342</v>
      </c>
    </row>
    <row r="5169" spans="7:14" ht="11.25" customHeight="1" x14ac:dyDescent="0.3">
      <c r="G5169" s="459"/>
      <c r="H5169" s="459">
        <v>5162</v>
      </c>
      <c r="I5169" s="444">
        <f t="shared" ca="1" si="203"/>
        <v>34795001025121.648</v>
      </c>
      <c r="J5169" s="444">
        <f t="array" ref="J5169">IFERROR(INDEX('Retirement Calculator'!J:J,MATCH('Isaac 401k'!N5169,'Retirement Calculator'!A:A,0),0),0)</f>
        <v>0</v>
      </c>
      <c r="K5169" s="444">
        <f t="shared" ca="1" si="201"/>
        <v>144979170938.0069</v>
      </c>
      <c r="L5169" s="444">
        <f t="shared" ca="1" si="202"/>
        <v>34939980196059.656</v>
      </c>
      <c r="M5169" s="460">
        <f t="shared" si="204"/>
        <v>0.05</v>
      </c>
      <c r="N5169" s="464">
        <f t="shared" si="205"/>
        <v>208372</v>
      </c>
    </row>
    <row r="5170" spans="7:14" ht="11.25" customHeight="1" x14ac:dyDescent="0.3">
      <c r="G5170" s="459"/>
      <c r="H5170" s="459">
        <v>5163</v>
      </c>
      <c r="I5170" s="444">
        <f t="shared" ca="1" si="203"/>
        <v>34939980196059.656</v>
      </c>
      <c r="J5170" s="444">
        <f t="array" ref="J5170">IFERROR(INDEX('Retirement Calculator'!J:J,MATCH('Isaac 401k'!N5170,'Retirement Calculator'!A:A,0),0),0)</f>
        <v>0</v>
      </c>
      <c r="K5170" s="444">
        <f t="shared" ca="1" si="201"/>
        <v>145583250816.91522</v>
      </c>
      <c r="L5170" s="444">
        <f t="shared" ca="1" si="202"/>
        <v>35085563446876.57</v>
      </c>
      <c r="M5170" s="460">
        <f t="shared" si="204"/>
        <v>0.05</v>
      </c>
      <c r="N5170" s="464">
        <f t="shared" si="205"/>
        <v>208403</v>
      </c>
    </row>
    <row r="5171" spans="7:14" ht="11.25" customHeight="1" x14ac:dyDescent="0.3">
      <c r="G5171" s="459"/>
      <c r="H5171" s="459">
        <v>5164</v>
      </c>
      <c r="I5171" s="444">
        <f t="shared" ca="1" si="203"/>
        <v>35085563446876.57</v>
      </c>
      <c r="J5171" s="444">
        <f t="array" ref="J5171">IFERROR(INDEX('Retirement Calculator'!J:J,MATCH('Isaac 401k'!N5171,'Retirement Calculator'!A:A,0),0),0)</f>
        <v>0</v>
      </c>
      <c r="K5171" s="444">
        <f t="shared" ca="1" si="201"/>
        <v>146189847695.31903</v>
      </c>
      <c r="L5171" s="444">
        <f t="shared" ca="1" si="202"/>
        <v>35231753294571.891</v>
      </c>
      <c r="M5171" s="460">
        <f t="shared" si="204"/>
        <v>0.05</v>
      </c>
      <c r="N5171" s="464">
        <f t="shared" si="205"/>
        <v>208434</v>
      </c>
    </row>
    <row r="5172" spans="7:14" ht="11.25" customHeight="1" x14ac:dyDescent="0.3">
      <c r="G5172" s="459"/>
      <c r="H5172" s="459">
        <v>5165</v>
      </c>
      <c r="I5172" s="444">
        <f t="shared" ca="1" si="203"/>
        <v>35231753294571.891</v>
      </c>
      <c r="J5172" s="444">
        <f t="array" ref="J5172">IFERROR(INDEX('Retirement Calculator'!J:J,MATCH('Isaac 401k'!N5172,'Retirement Calculator'!A:A,0),0),0)</f>
        <v>0</v>
      </c>
      <c r="K5172" s="444">
        <f t="shared" ca="1" si="201"/>
        <v>146798972060.71622</v>
      </c>
      <c r="L5172" s="444">
        <f t="shared" ca="1" si="202"/>
        <v>35378552266632.609</v>
      </c>
      <c r="M5172" s="460">
        <f t="shared" si="204"/>
        <v>0.05</v>
      </c>
      <c r="N5172" s="464">
        <f t="shared" si="205"/>
        <v>208464</v>
      </c>
    </row>
    <row r="5173" spans="7:14" ht="11.25" customHeight="1" x14ac:dyDescent="0.3">
      <c r="G5173" s="459"/>
      <c r="H5173" s="459">
        <v>5166</v>
      </c>
      <c r="I5173" s="444">
        <f t="shared" ca="1" si="203"/>
        <v>35378552266632.609</v>
      </c>
      <c r="J5173" s="444">
        <f t="array" ref="J5173">IFERROR(INDEX('Retirement Calculator'!J:J,MATCH('Isaac 401k'!N5173,'Retirement Calculator'!A:A,0),0),0)</f>
        <v>0</v>
      </c>
      <c r="K5173" s="444">
        <f t="shared" ca="1" si="201"/>
        <v>147410634444.30255</v>
      </c>
      <c r="L5173" s="444">
        <f t="shared" ca="1" si="202"/>
        <v>35525962901076.914</v>
      </c>
      <c r="M5173" s="460">
        <f t="shared" si="204"/>
        <v>0.05</v>
      </c>
      <c r="N5173" s="464">
        <f t="shared" si="205"/>
        <v>208495</v>
      </c>
    </row>
    <row r="5174" spans="7:14" ht="11.25" customHeight="1" x14ac:dyDescent="0.3">
      <c r="G5174" s="459"/>
      <c r="H5174" s="459">
        <v>5167</v>
      </c>
      <c r="I5174" s="444">
        <f t="shared" ca="1" si="203"/>
        <v>35525962901076.914</v>
      </c>
      <c r="J5174" s="444">
        <f t="array" ref="J5174">IFERROR(INDEX('Retirement Calculator'!J:J,MATCH('Isaac 401k'!N5174,'Retirement Calculator'!A:A,0),0),0)</f>
        <v>0</v>
      </c>
      <c r="K5174" s="444">
        <f t="shared" ca="1" si="201"/>
        <v>148024845421.15381</v>
      </c>
      <c r="L5174" s="444">
        <f t="shared" ca="1" si="202"/>
        <v>35673987746498.07</v>
      </c>
      <c r="M5174" s="460">
        <f t="shared" si="204"/>
        <v>0.05</v>
      </c>
      <c r="N5174" s="464">
        <f t="shared" si="205"/>
        <v>208525</v>
      </c>
    </row>
    <row r="5175" spans="7:14" ht="11.25" customHeight="1" x14ac:dyDescent="0.3">
      <c r="G5175" s="459"/>
      <c r="H5175" s="459">
        <v>5168</v>
      </c>
      <c r="I5175" s="444">
        <f t="shared" ca="1" si="203"/>
        <v>35673987746498.07</v>
      </c>
      <c r="J5175" s="444">
        <f t="array" ref="J5175">IFERROR(INDEX('Retirement Calculator'!J:J,MATCH('Isaac 401k'!N5175,'Retirement Calculator'!A:A,0),0),0)</f>
        <v>0</v>
      </c>
      <c r="K5175" s="444">
        <f t="shared" ca="1" si="201"/>
        <v>148641615610.40863</v>
      </c>
      <c r="L5175" s="444">
        <f t="shared" ca="1" si="202"/>
        <v>35822629362108.477</v>
      </c>
      <c r="M5175" s="460">
        <f t="shared" si="204"/>
        <v>0.05</v>
      </c>
      <c r="N5175" s="464">
        <f t="shared" si="205"/>
        <v>208556</v>
      </c>
    </row>
    <row r="5176" spans="7:14" ht="11.25" customHeight="1" x14ac:dyDescent="0.3">
      <c r="G5176" s="459"/>
      <c r="H5176" s="459">
        <v>5169</v>
      </c>
      <c r="I5176" s="444">
        <f t="shared" ca="1" si="203"/>
        <v>35822629362108.477</v>
      </c>
      <c r="J5176" s="444">
        <f t="array" ref="J5176">IFERROR(INDEX('Retirement Calculator'!J:J,MATCH('Isaac 401k'!N5176,'Retirement Calculator'!A:A,0),0),0)</f>
        <v>0</v>
      </c>
      <c r="K5176" s="444">
        <f t="shared" ca="1" si="201"/>
        <v>149260955675.452</v>
      </c>
      <c r="L5176" s="444">
        <f t="shared" ca="1" si="202"/>
        <v>35971890317783.93</v>
      </c>
      <c r="M5176" s="460">
        <f t="shared" si="204"/>
        <v>0.05</v>
      </c>
      <c r="N5176" s="464">
        <f t="shared" si="205"/>
        <v>208587</v>
      </c>
    </row>
    <row r="5177" spans="7:14" ht="11.25" customHeight="1" x14ac:dyDescent="0.3">
      <c r="G5177" s="459"/>
      <c r="H5177" s="459">
        <v>5170</v>
      </c>
      <c r="I5177" s="444">
        <f t="shared" ca="1" si="203"/>
        <v>35971890317783.93</v>
      </c>
      <c r="J5177" s="444">
        <f t="array" ref="J5177">IFERROR(INDEX('Retirement Calculator'!J:J,MATCH('Isaac 401k'!N5177,'Retirement Calculator'!A:A,0),0),0)</f>
        <v>0</v>
      </c>
      <c r="K5177" s="444">
        <f t="shared" ca="1" si="201"/>
        <v>149882876324.0997</v>
      </c>
      <c r="L5177" s="444">
        <f t="shared" ca="1" si="202"/>
        <v>36121773194108.031</v>
      </c>
      <c r="M5177" s="460">
        <f t="shared" si="204"/>
        <v>0.05</v>
      </c>
      <c r="N5177" s="464">
        <f t="shared" si="205"/>
        <v>208615</v>
      </c>
    </row>
    <row r="5178" spans="7:14" ht="11.25" customHeight="1" x14ac:dyDescent="0.3">
      <c r="G5178" s="459"/>
      <c r="H5178" s="459">
        <v>5171</v>
      </c>
      <c r="I5178" s="444">
        <f t="shared" ca="1" si="203"/>
        <v>36121773194108.031</v>
      </c>
      <c r="J5178" s="444">
        <f t="array" ref="J5178">IFERROR(INDEX('Retirement Calculator'!J:J,MATCH('Isaac 401k'!N5178,'Retirement Calculator'!A:A,0),0),0)</f>
        <v>0</v>
      </c>
      <c r="K5178" s="444">
        <f t="shared" ca="1" si="201"/>
        <v>150507388308.78345</v>
      </c>
      <c r="L5178" s="444">
        <f t="shared" ca="1" si="202"/>
        <v>36272280582416.813</v>
      </c>
      <c r="M5178" s="460">
        <f t="shared" si="204"/>
        <v>0.05</v>
      </c>
      <c r="N5178" s="464">
        <f t="shared" si="205"/>
        <v>208646</v>
      </c>
    </row>
    <row r="5179" spans="7:14" ht="11.25" customHeight="1" x14ac:dyDescent="0.3">
      <c r="G5179" s="459"/>
      <c r="H5179" s="459">
        <v>5172</v>
      </c>
      <c r="I5179" s="444">
        <f t="shared" ca="1" si="203"/>
        <v>36272280582416.813</v>
      </c>
      <c r="J5179" s="444">
        <f t="array" ref="J5179">IFERROR(INDEX('Retirement Calculator'!J:J,MATCH('Isaac 401k'!N5179,'Retirement Calculator'!A:A,0),0),0)</f>
        <v>0</v>
      </c>
      <c r="K5179" s="444">
        <f t="shared" ca="1" si="201"/>
        <v>151134502426.73672</v>
      </c>
      <c r="L5179" s="444">
        <f t="shared" ca="1" si="202"/>
        <v>36423415084843.547</v>
      </c>
      <c r="M5179" s="460">
        <f t="shared" si="204"/>
        <v>0.05</v>
      </c>
      <c r="N5179" s="464">
        <f t="shared" si="205"/>
        <v>208676</v>
      </c>
    </row>
    <row r="5180" spans="7:14" ht="11.25" customHeight="1" x14ac:dyDescent="0.3">
      <c r="G5180" s="459"/>
      <c r="H5180" s="459">
        <v>5173</v>
      </c>
      <c r="I5180" s="444">
        <f t="shared" ca="1" si="203"/>
        <v>36423415084843.547</v>
      </c>
      <c r="J5180" s="444">
        <f t="array" ref="J5180">IFERROR(INDEX('Retirement Calculator'!J:J,MATCH('Isaac 401k'!N5180,'Retirement Calculator'!A:A,0),0),0)</f>
        <v>0</v>
      </c>
      <c r="K5180" s="444">
        <f t="shared" ca="1" si="201"/>
        <v>151764229520.18146</v>
      </c>
      <c r="L5180" s="444">
        <f t="shared" ca="1" si="202"/>
        <v>36575179314363.727</v>
      </c>
      <c r="M5180" s="460">
        <f t="shared" si="204"/>
        <v>0.05</v>
      </c>
      <c r="N5180" s="464">
        <f t="shared" si="205"/>
        <v>208707</v>
      </c>
    </row>
    <row r="5181" spans="7:14" ht="11.25" customHeight="1" x14ac:dyDescent="0.3">
      <c r="G5181" s="459"/>
      <c r="H5181" s="459">
        <v>5174</v>
      </c>
      <c r="I5181" s="444">
        <f t="shared" ca="1" si="203"/>
        <v>36575179314363.727</v>
      </c>
      <c r="J5181" s="444">
        <f t="array" ref="J5181">IFERROR(INDEX('Retirement Calculator'!J:J,MATCH('Isaac 401k'!N5181,'Retirement Calculator'!A:A,0),0),0)</f>
        <v>0</v>
      </c>
      <c r="K5181" s="444">
        <f t="shared" ca="1" si="201"/>
        <v>152396580476.51553</v>
      </c>
      <c r="L5181" s="444">
        <f t="shared" ca="1" si="202"/>
        <v>36727575894840.242</v>
      </c>
      <c r="M5181" s="460">
        <f t="shared" si="204"/>
        <v>0.05</v>
      </c>
      <c r="N5181" s="464">
        <f t="shared" si="205"/>
        <v>208737</v>
      </c>
    </row>
    <row r="5182" spans="7:14" ht="11.25" customHeight="1" x14ac:dyDescent="0.3">
      <c r="G5182" s="459"/>
      <c r="H5182" s="459">
        <v>5175</v>
      </c>
      <c r="I5182" s="444">
        <f t="shared" ca="1" si="203"/>
        <v>36727575894840.242</v>
      </c>
      <c r="J5182" s="444">
        <f t="array" ref="J5182">IFERROR(INDEX('Retirement Calculator'!J:J,MATCH('Isaac 401k'!N5182,'Retirement Calculator'!A:A,0),0),0)</f>
        <v>0</v>
      </c>
      <c r="K5182" s="444">
        <f t="shared" ca="1" si="201"/>
        <v>153031566228.50101</v>
      </c>
      <c r="L5182" s="444">
        <f t="shared" ca="1" si="202"/>
        <v>36880607461068.742</v>
      </c>
      <c r="M5182" s="460">
        <f t="shared" si="204"/>
        <v>0.05</v>
      </c>
      <c r="N5182" s="464">
        <f t="shared" si="205"/>
        <v>208768</v>
      </c>
    </row>
    <row r="5183" spans="7:14" ht="11.25" customHeight="1" x14ac:dyDescent="0.3">
      <c r="G5183" s="459"/>
      <c r="H5183" s="459">
        <v>5176</v>
      </c>
      <c r="I5183" s="444">
        <f t="shared" ca="1" si="203"/>
        <v>36880607461068.742</v>
      </c>
      <c r="J5183" s="444">
        <f t="array" ref="J5183">IFERROR(INDEX('Retirement Calculator'!J:J,MATCH('Isaac 401k'!N5183,'Retirement Calculator'!A:A,0),0),0)</f>
        <v>0</v>
      </c>
      <c r="K5183" s="444">
        <f t="shared" ca="1" si="201"/>
        <v>153669197754.45309</v>
      </c>
      <c r="L5183" s="444">
        <f t="shared" ca="1" si="202"/>
        <v>37034276658823.195</v>
      </c>
      <c r="M5183" s="460">
        <f t="shared" si="204"/>
        <v>0.05</v>
      </c>
      <c r="N5183" s="464">
        <f t="shared" si="205"/>
        <v>208799</v>
      </c>
    </row>
    <row r="5184" spans="7:14" ht="11.25" customHeight="1" x14ac:dyDescent="0.3">
      <c r="G5184" s="459"/>
      <c r="H5184" s="459">
        <v>5177</v>
      </c>
      <c r="I5184" s="444">
        <f t="shared" ca="1" si="203"/>
        <v>37034276658823.195</v>
      </c>
      <c r="J5184" s="444">
        <f t="array" ref="J5184">IFERROR(INDEX('Retirement Calculator'!J:J,MATCH('Isaac 401k'!N5184,'Retirement Calculator'!A:A,0),0),0)</f>
        <v>0</v>
      </c>
      <c r="K5184" s="444">
        <f t="shared" ca="1" si="201"/>
        <v>154309486078.42999</v>
      </c>
      <c r="L5184" s="444">
        <f t="shared" ca="1" si="202"/>
        <v>37188586144901.625</v>
      </c>
      <c r="M5184" s="460">
        <f t="shared" si="204"/>
        <v>0.05</v>
      </c>
      <c r="N5184" s="464">
        <f t="shared" si="205"/>
        <v>208829</v>
      </c>
    </row>
    <row r="5185" spans="7:14" ht="11.25" customHeight="1" x14ac:dyDescent="0.3">
      <c r="G5185" s="459"/>
      <c r="H5185" s="459">
        <v>5178</v>
      </c>
      <c r="I5185" s="444">
        <f t="shared" ca="1" si="203"/>
        <v>37188586144901.625</v>
      </c>
      <c r="J5185" s="444">
        <f t="array" ref="J5185">IFERROR(INDEX('Retirement Calculator'!J:J,MATCH('Isaac 401k'!N5185,'Retirement Calculator'!A:A,0),0),0)</f>
        <v>0</v>
      </c>
      <c r="K5185" s="444">
        <f t="shared" ca="1" si="201"/>
        <v>154952442270.42343</v>
      </c>
      <c r="L5185" s="444">
        <f t="shared" ca="1" si="202"/>
        <v>37343538587172.047</v>
      </c>
      <c r="M5185" s="460">
        <f t="shared" si="204"/>
        <v>0.05</v>
      </c>
      <c r="N5185" s="464">
        <f t="shared" si="205"/>
        <v>208860</v>
      </c>
    </row>
    <row r="5186" spans="7:14" ht="11.25" customHeight="1" x14ac:dyDescent="0.3">
      <c r="G5186" s="459"/>
      <c r="H5186" s="459">
        <v>5179</v>
      </c>
      <c r="I5186" s="444">
        <f t="shared" ca="1" si="203"/>
        <v>37343538587172.047</v>
      </c>
      <c r="J5186" s="444">
        <f t="array" ref="J5186">IFERROR(INDEX('Retirement Calculator'!J:J,MATCH('Isaac 401k'!N5186,'Retirement Calculator'!A:A,0),0),0)</f>
        <v>0</v>
      </c>
      <c r="K5186" s="444">
        <f t="shared" ca="1" si="201"/>
        <v>155598077446.5502</v>
      </c>
      <c r="L5186" s="444">
        <f t="shared" ca="1" si="202"/>
        <v>37499136664618.594</v>
      </c>
      <c r="M5186" s="460">
        <f t="shared" si="204"/>
        <v>0.05</v>
      </c>
      <c r="N5186" s="464">
        <f t="shared" si="205"/>
        <v>208890</v>
      </c>
    </row>
    <row r="5187" spans="7:14" ht="11.25" customHeight="1" x14ac:dyDescent="0.3">
      <c r="G5187" s="459"/>
      <c r="H5187" s="459">
        <v>5180</v>
      </c>
      <c r="I5187" s="444">
        <f t="shared" ca="1" si="203"/>
        <v>37499136664618.594</v>
      </c>
      <c r="J5187" s="444">
        <f t="array" ref="J5187">IFERROR(INDEX('Retirement Calculator'!J:J,MATCH('Isaac 401k'!N5187,'Retirement Calculator'!A:A,0),0),0)</f>
        <v>0</v>
      </c>
      <c r="K5187" s="444">
        <f t="shared" ca="1" si="201"/>
        <v>156246402769.24414</v>
      </c>
      <c r="L5187" s="444">
        <f t="shared" ca="1" si="202"/>
        <v>37655383067387.836</v>
      </c>
      <c r="M5187" s="460">
        <f t="shared" si="204"/>
        <v>0.05</v>
      </c>
      <c r="N5187" s="464">
        <f t="shared" si="205"/>
        <v>208921</v>
      </c>
    </row>
    <row r="5188" spans="7:14" ht="11.25" customHeight="1" x14ac:dyDescent="0.3">
      <c r="G5188" s="459"/>
      <c r="H5188" s="459">
        <v>5181</v>
      </c>
      <c r="I5188" s="444">
        <f t="shared" ca="1" si="203"/>
        <v>37655383067387.836</v>
      </c>
      <c r="J5188" s="444">
        <f t="array" ref="J5188">IFERROR(INDEX('Retirement Calculator'!J:J,MATCH('Isaac 401k'!N5188,'Retirement Calculator'!A:A,0),0),0)</f>
        <v>0</v>
      </c>
      <c r="K5188" s="444">
        <f t="shared" ca="1" si="201"/>
        <v>156897429447.44931</v>
      </c>
      <c r="L5188" s="444">
        <f t="shared" ca="1" si="202"/>
        <v>37812280496835.289</v>
      </c>
      <c r="M5188" s="460">
        <f t="shared" si="204"/>
        <v>0.05</v>
      </c>
      <c r="N5188" s="464">
        <f t="shared" si="205"/>
        <v>208952</v>
      </c>
    </row>
    <row r="5189" spans="7:14" ht="11.25" customHeight="1" x14ac:dyDescent="0.3">
      <c r="G5189" s="459"/>
      <c r="H5189" s="459">
        <v>5182</v>
      </c>
      <c r="I5189" s="444">
        <f t="shared" ca="1" si="203"/>
        <v>37812280496835.289</v>
      </c>
      <c r="J5189" s="444">
        <f t="array" ref="J5189">IFERROR(INDEX('Retirement Calculator'!J:J,MATCH('Isaac 401k'!N5189,'Retirement Calculator'!A:A,0),0),0)</f>
        <v>0</v>
      </c>
      <c r="K5189" s="444">
        <f t="shared" ca="1" si="201"/>
        <v>157551168736.81369</v>
      </c>
      <c r="L5189" s="444">
        <f t="shared" ca="1" si="202"/>
        <v>37969831665572.102</v>
      </c>
      <c r="M5189" s="460">
        <f t="shared" si="204"/>
        <v>0.05</v>
      </c>
      <c r="N5189" s="464">
        <f t="shared" si="205"/>
        <v>208981</v>
      </c>
    </row>
    <row r="5190" spans="7:14" ht="11.25" customHeight="1" x14ac:dyDescent="0.3">
      <c r="G5190" s="459"/>
      <c r="H5190" s="459">
        <v>5183</v>
      </c>
      <c r="I5190" s="444">
        <f t="shared" ca="1" si="203"/>
        <v>37969831665572.102</v>
      </c>
      <c r="J5190" s="444">
        <f t="array" ref="J5190">IFERROR(INDEX('Retirement Calculator'!J:J,MATCH('Isaac 401k'!N5190,'Retirement Calculator'!A:A,0),0),0)</f>
        <v>0</v>
      </c>
      <c r="K5190" s="444">
        <f t="shared" ca="1" si="201"/>
        <v>158207631939.88376</v>
      </c>
      <c r="L5190" s="444">
        <f t="shared" ca="1" si="202"/>
        <v>38128039297511.984</v>
      </c>
      <c r="M5190" s="460">
        <f t="shared" si="204"/>
        <v>0.05</v>
      </c>
      <c r="N5190" s="464">
        <f t="shared" si="205"/>
        <v>209012</v>
      </c>
    </row>
    <row r="5191" spans="7:14" ht="11.25" customHeight="1" x14ac:dyDescent="0.3">
      <c r="G5191" s="459"/>
      <c r="H5191" s="459">
        <v>5184</v>
      </c>
      <c r="I5191" s="444">
        <f t="shared" ca="1" si="203"/>
        <v>38128039297511.984</v>
      </c>
      <c r="J5191" s="444">
        <f t="array" ref="J5191">IFERROR(INDEX('Retirement Calculator'!J:J,MATCH('Isaac 401k'!N5191,'Retirement Calculator'!A:A,0),0),0)</f>
        <v>0</v>
      </c>
      <c r="K5191" s="444">
        <f t="shared" ca="1" si="201"/>
        <v>158866830406.29993</v>
      </c>
      <c r="L5191" s="444">
        <f t="shared" ca="1" si="202"/>
        <v>38286906127918.281</v>
      </c>
      <c r="M5191" s="460">
        <f t="shared" si="204"/>
        <v>0.05</v>
      </c>
      <c r="N5191" s="464">
        <f t="shared" si="205"/>
        <v>209042</v>
      </c>
    </row>
    <row r="5192" spans="7:14" ht="11.25" customHeight="1" x14ac:dyDescent="0.3">
      <c r="G5192" s="459"/>
      <c r="H5192" s="459">
        <v>5185</v>
      </c>
      <c r="I5192" s="444">
        <f t="shared" ca="1" si="203"/>
        <v>38286906127918.281</v>
      </c>
      <c r="J5192" s="444">
        <f t="array" ref="J5192">IFERROR(INDEX('Retirement Calculator'!J:J,MATCH('Isaac 401k'!N5192,'Retirement Calculator'!A:A,0),0),0)</f>
        <v>0</v>
      </c>
      <c r="K5192" s="444">
        <f t="shared" ca="1" si="201"/>
        <v>159528775532.99283</v>
      </c>
      <c r="L5192" s="444">
        <f t="shared" ca="1" si="202"/>
        <v>38446434903451.273</v>
      </c>
      <c r="M5192" s="460">
        <f t="shared" si="204"/>
        <v>0.05</v>
      </c>
      <c r="N5192" s="464">
        <f t="shared" si="205"/>
        <v>209073</v>
      </c>
    </row>
    <row r="5193" spans="7:14" ht="11.25" customHeight="1" x14ac:dyDescent="0.3">
      <c r="G5193" s="459"/>
      <c r="H5193" s="459">
        <v>5186</v>
      </c>
      <c r="I5193" s="444">
        <f t="shared" ca="1" si="203"/>
        <v>38446434903451.273</v>
      </c>
      <c r="J5193" s="444">
        <f t="array" ref="J5193">IFERROR(INDEX('Retirement Calculator'!J:J,MATCH('Isaac 401k'!N5193,'Retirement Calculator'!A:A,0),0),0)</f>
        <v>0</v>
      </c>
      <c r="K5193" s="444">
        <f t="shared" ca="1" si="201"/>
        <v>160193478764.38031</v>
      </c>
      <c r="L5193" s="444">
        <f t="shared" ca="1" si="202"/>
        <v>38606628382215.656</v>
      </c>
      <c r="M5193" s="460">
        <f t="shared" si="204"/>
        <v>0.05</v>
      </c>
      <c r="N5193" s="464">
        <f t="shared" si="205"/>
        <v>209103</v>
      </c>
    </row>
    <row r="5194" spans="7:14" ht="11.25" customHeight="1" x14ac:dyDescent="0.3">
      <c r="G5194" s="459"/>
      <c r="H5194" s="459">
        <v>5187</v>
      </c>
      <c r="I5194" s="444">
        <f t="shared" ca="1" si="203"/>
        <v>38606628382215.656</v>
      </c>
      <c r="J5194" s="444">
        <f t="array" ref="J5194">IFERROR(INDEX('Retirement Calculator'!J:J,MATCH('Isaac 401k'!N5194,'Retirement Calculator'!A:A,0),0),0)</f>
        <v>0</v>
      </c>
      <c r="K5194" s="444">
        <f t="shared" ca="1" si="201"/>
        <v>160860951592.56525</v>
      </c>
      <c r="L5194" s="444">
        <f t="shared" ca="1" si="202"/>
        <v>38767489333808.219</v>
      </c>
      <c r="M5194" s="460">
        <f t="shared" si="204"/>
        <v>0.05</v>
      </c>
      <c r="N5194" s="464">
        <f t="shared" si="205"/>
        <v>209134</v>
      </c>
    </row>
    <row r="5195" spans="7:14" ht="11.25" customHeight="1" x14ac:dyDescent="0.3">
      <c r="G5195" s="459"/>
      <c r="H5195" s="459">
        <v>5188</v>
      </c>
      <c r="I5195" s="444">
        <f t="shared" ca="1" si="203"/>
        <v>38767489333808.219</v>
      </c>
      <c r="J5195" s="444">
        <f t="array" ref="J5195">IFERROR(INDEX('Retirement Calculator'!J:J,MATCH('Isaac 401k'!N5195,'Retirement Calculator'!A:A,0),0),0)</f>
        <v>0</v>
      </c>
      <c r="K5195" s="444">
        <f t="shared" ca="1" si="201"/>
        <v>161531205557.53424</v>
      </c>
      <c r="L5195" s="444">
        <f t="shared" ca="1" si="202"/>
        <v>38929020539365.75</v>
      </c>
      <c r="M5195" s="460">
        <f t="shared" si="204"/>
        <v>0.05</v>
      </c>
      <c r="N5195" s="464">
        <f t="shared" si="205"/>
        <v>209165</v>
      </c>
    </row>
    <row r="5196" spans="7:14" ht="11.25" customHeight="1" x14ac:dyDescent="0.3">
      <c r="G5196" s="459"/>
      <c r="H5196" s="459">
        <v>5189</v>
      </c>
      <c r="I5196" s="444">
        <f t="shared" ca="1" si="203"/>
        <v>38929020539365.75</v>
      </c>
      <c r="J5196" s="444">
        <f t="array" ref="J5196">IFERROR(INDEX('Retirement Calculator'!J:J,MATCH('Isaac 401k'!N5196,'Retirement Calculator'!A:A,0),0),0)</f>
        <v>0</v>
      </c>
      <c r="K5196" s="444">
        <f t="shared" ca="1" si="201"/>
        <v>162204252247.3573</v>
      </c>
      <c r="L5196" s="444">
        <f t="shared" ca="1" si="202"/>
        <v>39091224791613.109</v>
      </c>
      <c r="M5196" s="460">
        <f t="shared" si="204"/>
        <v>0.05</v>
      </c>
      <c r="N5196" s="464">
        <f t="shared" si="205"/>
        <v>209195</v>
      </c>
    </row>
    <row r="5197" spans="7:14" ht="11.25" customHeight="1" x14ac:dyDescent="0.3">
      <c r="G5197" s="459"/>
      <c r="H5197" s="459">
        <v>5190</v>
      </c>
      <c r="I5197" s="444">
        <f t="shared" ca="1" si="203"/>
        <v>39091224791613.109</v>
      </c>
      <c r="J5197" s="444">
        <f t="array" ref="J5197">IFERROR(INDEX('Retirement Calculator'!J:J,MATCH('Isaac 401k'!N5197,'Retirement Calculator'!A:A,0),0),0)</f>
        <v>0</v>
      </c>
      <c r="K5197" s="444">
        <f t="shared" ca="1" si="201"/>
        <v>162880103298.38794</v>
      </c>
      <c r="L5197" s="444">
        <f t="shared" ca="1" si="202"/>
        <v>39254104894911.5</v>
      </c>
      <c r="M5197" s="460">
        <f t="shared" si="204"/>
        <v>0.05</v>
      </c>
      <c r="N5197" s="464">
        <f t="shared" si="205"/>
        <v>209226</v>
      </c>
    </row>
    <row r="5198" spans="7:14" ht="11.25" customHeight="1" x14ac:dyDescent="0.3">
      <c r="G5198" s="459"/>
      <c r="H5198" s="459">
        <v>5191</v>
      </c>
      <c r="I5198" s="444">
        <f t="shared" ca="1" si="203"/>
        <v>39254104894911.5</v>
      </c>
      <c r="J5198" s="444">
        <f t="array" ref="J5198">IFERROR(INDEX('Retirement Calculator'!J:J,MATCH('Isaac 401k'!N5198,'Retirement Calculator'!A:A,0),0),0)</f>
        <v>0</v>
      </c>
      <c r="K5198" s="444">
        <f t="shared" ca="1" si="201"/>
        <v>163558770395.46457</v>
      </c>
      <c r="L5198" s="444">
        <f t="shared" ca="1" si="202"/>
        <v>39417663665306.961</v>
      </c>
      <c r="M5198" s="460">
        <f t="shared" si="204"/>
        <v>0.05</v>
      </c>
      <c r="N5198" s="464">
        <f t="shared" si="205"/>
        <v>209256</v>
      </c>
    </row>
    <row r="5199" spans="7:14" ht="11.25" customHeight="1" x14ac:dyDescent="0.3">
      <c r="G5199" s="459"/>
      <c r="H5199" s="459">
        <v>5192</v>
      </c>
      <c r="I5199" s="444">
        <f t="shared" ca="1" si="203"/>
        <v>39417663665306.961</v>
      </c>
      <c r="J5199" s="444">
        <f t="array" ref="J5199">IFERROR(INDEX('Retirement Calculator'!J:J,MATCH('Isaac 401k'!N5199,'Retirement Calculator'!A:A,0),0),0)</f>
        <v>0</v>
      </c>
      <c r="K5199" s="444">
        <f t="shared" ca="1" si="201"/>
        <v>164240265272.11234</v>
      </c>
      <c r="L5199" s="444">
        <f t="shared" ca="1" si="202"/>
        <v>39581903930579.07</v>
      </c>
      <c r="M5199" s="460">
        <f t="shared" si="204"/>
        <v>0.05</v>
      </c>
      <c r="N5199" s="464">
        <f t="shared" si="205"/>
        <v>209287</v>
      </c>
    </row>
    <row r="5200" spans="7:14" ht="11.25" customHeight="1" x14ac:dyDescent="0.3">
      <c r="G5200" s="459"/>
      <c r="H5200" s="459">
        <v>5193</v>
      </c>
      <c r="I5200" s="444">
        <f t="shared" ca="1" si="203"/>
        <v>39581903930579.07</v>
      </c>
      <c r="J5200" s="444">
        <f t="array" ref="J5200">IFERROR(INDEX('Retirement Calculator'!J:J,MATCH('Isaac 401k'!N5200,'Retirement Calculator'!A:A,0),0),0)</f>
        <v>0</v>
      </c>
      <c r="K5200" s="444">
        <f t="shared" ca="1" si="201"/>
        <v>164924599710.74612</v>
      </c>
      <c r="L5200" s="444">
        <f t="shared" ca="1" si="202"/>
        <v>39746828530289.82</v>
      </c>
      <c r="M5200" s="460">
        <f t="shared" si="204"/>
        <v>0.05</v>
      </c>
      <c r="N5200" s="464">
        <f t="shared" si="205"/>
        <v>209318</v>
      </c>
    </row>
    <row r="5201" spans="7:14" ht="11.25" customHeight="1" x14ac:dyDescent="0.3">
      <c r="G5201" s="459"/>
      <c r="H5201" s="459">
        <v>5194</v>
      </c>
      <c r="I5201" s="444">
        <f t="shared" ca="1" si="203"/>
        <v>39746828530289.82</v>
      </c>
      <c r="J5201" s="444">
        <f t="array" ref="J5201">IFERROR(INDEX('Retirement Calculator'!J:J,MATCH('Isaac 401k'!N5201,'Retirement Calculator'!A:A,0),0),0)</f>
        <v>0</v>
      </c>
      <c r="K5201" s="444">
        <f t="shared" ca="1" si="201"/>
        <v>165611785542.87424</v>
      </c>
      <c r="L5201" s="444">
        <f t="shared" ca="1" si="202"/>
        <v>39912440315832.695</v>
      </c>
      <c r="M5201" s="460">
        <f t="shared" si="204"/>
        <v>0.05</v>
      </c>
      <c r="N5201" s="464">
        <f t="shared" si="205"/>
        <v>209346</v>
      </c>
    </row>
    <row r="5202" spans="7:14" ht="11.25" customHeight="1" x14ac:dyDescent="0.3">
      <c r="G5202" s="459"/>
      <c r="H5202" s="459">
        <v>5195</v>
      </c>
      <c r="I5202" s="444">
        <f t="shared" ca="1" si="203"/>
        <v>39912440315832.695</v>
      </c>
      <c r="J5202" s="444">
        <f t="array" ref="J5202">IFERROR(INDEX('Retirement Calculator'!J:J,MATCH('Isaac 401k'!N5202,'Retirement Calculator'!A:A,0),0),0)</f>
        <v>0</v>
      </c>
      <c r="K5202" s="444">
        <f t="shared" ca="1" si="201"/>
        <v>166301834649.30289</v>
      </c>
      <c r="L5202" s="444">
        <f t="shared" ca="1" si="202"/>
        <v>40078742150482</v>
      </c>
      <c r="M5202" s="460">
        <f t="shared" si="204"/>
        <v>0.05</v>
      </c>
      <c r="N5202" s="464">
        <f t="shared" si="205"/>
        <v>209377</v>
      </c>
    </row>
    <row r="5203" spans="7:14" ht="11.25" customHeight="1" x14ac:dyDescent="0.3">
      <c r="G5203" s="459"/>
      <c r="H5203" s="459">
        <v>5196</v>
      </c>
      <c r="I5203" s="444">
        <f t="shared" ca="1" si="203"/>
        <v>40078742150482</v>
      </c>
      <c r="J5203" s="444">
        <f t="array" ref="J5203">IFERROR(INDEX('Retirement Calculator'!J:J,MATCH('Isaac 401k'!N5203,'Retirement Calculator'!A:A,0),0),0)</f>
        <v>0</v>
      </c>
      <c r="K5203" s="444">
        <f t="shared" ca="1" si="201"/>
        <v>166994758960.34167</v>
      </c>
      <c r="L5203" s="444">
        <f t="shared" ca="1" si="202"/>
        <v>40245736909442.344</v>
      </c>
      <c r="M5203" s="460">
        <f t="shared" si="204"/>
        <v>0.05</v>
      </c>
      <c r="N5203" s="464">
        <f t="shared" si="205"/>
        <v>209407</v>
      </c>
    </row>
    <row r="5204" spans="7:14" ht="11.25" customHeight="1" x14ac:dyDescent="0.3">
      <c r="G5204" s="459"/>
      <c r="H5204" s="459">
        <v>5197</v>
      </c>
      <c r="I5204" s="444">
        <f t="shared" ca="1" si="203"/>
        <v>40245736909442.344</v>
      </c>
      <c r="J5204" s="444">
        <f t="array" ref="J5204">IFERROR(INDEX('Retirement Calculator'!J:J,MATCH('Isaac 401k'!N5204,'Retirement Calculator'!A:A,0),0),0)</f>
        <v>0</v>
      </c>
      <c r="K5204" s="444">
        <f t="shared" ca="1" si="201"/>
        <v>167690570456.00977</v>
      </c>
      <c r="L5204" s="444">
        <f t="shared" ca="1" si="202"/>
        <v>40413427479898.352</v>
      </c>
      <c r="M5204" s="460">
        <f t="shared" si="204"/>
        <v>0.05</v>
      </c>
      <c r="N5204" s="464">
        <f t="shared" si="205"/>
        <v>209438</v>
      </c>
    </row>
    <row r="5205" spans="7:14" ht="11.25" customHeight="1" x14ac:dyDescent="0.3">
      <c r="G5205" s="459"/>
      <c r="H5205" s="459">
        <v>5198</v>
      </c>
      <c r="I5205" s="444">
        <f t="shared" ca="1" si="203"/>
        <v>40413427479898.352</v>
      </c>
      <c r="J5205" s="444">
        <f t="array" ref="J5205">IFERROR(INDEX('Retirement Calculator'!J:J,MATCH('Isaac 401k'!N5205,'Retirement Calculator'!A:A,0),0),0)</f>
        <v>0</v>
      </c>
      <c r="K5205" s="444">
        <f t="shared" ca="1" si="201"/>
        <v>168389281166.24313</v>
      </c>
      <c r="L5205" s="444">
        <f t="shared" ca="1" si="202"/>
        <v>40581816761064.594</v>
      </c>
      <c r="M5205" s="460">
        <f t="shared" si="204"/>
        <v>0.05</v>
      </c>
      <c r="N5205" s="464">
        <f t="shared" si="205"/>
        <v>209468</v>
      </c>
    </row>
    <row r="5206" spans="7:14" ht="11.25" customHeight="1" x14ac:dyDescent="0.3">
      <c r="G5206" s="459"/>
      <c r="H5206" s="459">
        <v>5199</v>
      </c>
      <c r="I5206" s="444">
        <f t="shared" ca="1" si="203"/>
        <v>40581816761064.594</v>
      </c>
      <c r="J5206" s="444">
        <f t="array" ref="J5206">IFERROR(INDEX('Retirement Calculator'!J:J,MATCH('Isaac 401k'!N5206,'Retirement Calculator'!A:A,0),0),0)</f>
        <v>0</v>
      </c>
      <c r="K5206" s="444">
        <f t="shared" ca="1" si="201"/>
        <v>169090903171.10248</v>
      </c>
      <c r="L5206" s="444">
        <f t="shared" ca="1" si="202"/>
        <v>40750907664235.695</v>
      </c>
      <c r="M5206" s="460">
        <f t="shared" si="204"/>
        <v>0.05</v>
      </c>
      <c r="N5206" s="464">
        <f t="shared" si="205"/>
        <v>209499</v>
      </c>
    </row>
    <row r="5207" spans="7:14" ht="11.25" customHeight="1" x14ac:dyDescent="0.3">
      <c r="G5207" s="459"/>
      <c r="H5207" s="459">
        <v>5200</v>
      </c>
      <c r="I5207" s="444">
        <f t="shared" ca="1" si="203"/>
        <v>40750907664235.695</v>
      </c>
      <c r="J5207" s="444">
        <f t="array" ref="J5207">IFERROR(INDEX('Retirement Calculator'!J:J,MATCH('Isaac 401k'!N5207,'Retirement Calculator'!A:A,0),0),0)</f>
        <v>0</v>
      </c>
      <c r="K5207" s="444">
        <f t="shared" ca="1" si="201"/>
        <v>169795448600.98206</v>
      </c>
      <c r="L5207" s="444">
        <f t="shared" ca="1" si="202"/>
        <v>40920703112836.68</v>
      </c>
      <c r="M5207" s="460">
        <f t="shared" si="204"/>
        <v>0.05</v>
      </c>
      <c r="N5207" s="464">
        <f t="shared" si="205"/>
        <v>209530</v>
      </c>
    </row>
    <row r="5208" spans="7:14" ht="11.25" customHeight="1" x14ac:dyDescent="0.3">
      <c r="G5208" s="459"/>
      <c r="H5208" s="459">
        <v>5201</v>
      </c>
      <c r="I5208" s="444">
        <f t="shared" ca="1" si="203"/>
        <v>40920703112836.68</v>
      </c>
      <c r="J5208" s="444">
        <f t="array" ref="J5208">IFERROR(INDEX('Retirement Calculator'!J:J,MATCH('Isaac 401k'!N5208,'Retirement Calculator'!A:A,0),0),0)</f>
        <v>0</v>
      </c>
      <c r="K5208" s="444">
        <f t="shared" ca="1" si="201"/>
        <v>170502929636.81949</v>
      </c>
      <c r="L5208" s="444">
        <f t="shared" ca="1" si="202"/>
        <v>41091206042473.5</v>
      </c>
      <c r="M5208" s="460">
        <f t="shared" si="204"/>
        <v>0.05</v>
      </c>
      <c r="N5208" s="464">
        <f t="shared" si="205"/>
        <v>209560</v>
      </c>
    </row>
    <row r="5209" spans="7:14" ht="11.25" customHeight="1" x14ac:dyDescent="0.3">
      <c r="G5209" s="459"/>
      <c r="H5209" s="459">
        <v>5202</v>
      </c>
      <c r="I5209" s="444">
        <f t="shared" ca="1" si="203"/>
        <v>41091206042473.5</v>
      </c>
      <c r="J5209" s="444">
        <f t="array" ref="J5209">IFERROR(INDEX('Retirement Calculator'!J:J,MATCH('Isaac 401k'!N5209,'Retirement Calculator'!A:A,0),0),0)</f>
        <v>0</v>
      </c>
      <c r="K5209" s="444">
        <f t="shared" ca="1" si="201"/>
        <v>171213358510.30624</v>
      </c>
      <c r="L5209" s="444">
        <f t="shared" ca="1" si="202"/>
        <v>41262419400983.805</v>
      </c>
      <c r="M5209" s="460">
        <f t="shared" si="204"/>
        <v>0.05</v>
      </c>
      <c r="N5209" s="464">
        <f t="shared" si="205"/>
        <v>209591</v>
      </c>
    </row>
    <row r="5210" spans="7:14" ht="11.25" customHeight="1" x14ac:dyDescent="0.3">
      <c r="G5210" s="459"/>
      <c r="H5210" s="459">
        <v>5203</v>
      </c>
      <c r="I5210" s="444">
        <f t="shared" ca="1" si="203"/>
        <v>41262419400983.805</v>
      </c>
      <c r="J5210" s="444">
        <f t="array" ref="J5210">IFERROR(INDEX('Retirement Calculator'!J:J,MATCH('Isaac 401k'!N5210,'Retirement Calculator'!A:A,0),0),0)</f>
        <v>0</v>
      </c>
      <c r="K5210" s="444">
        <f t="shared" ca="1" si="201"/>
        <v>171926747504.09918</v>
      </c>
      <c r="L5210" s="444">
        <f t="shared" ca="1" si="202"/>
        <v>41434346148487.906</v>
      </c>
      <c r="M5210" s="460">
        <f t="shared" si="204"/>
        <v>0.05</v>
      </c>
      <c r="N5210" s="464">
        <f t="shared" si="205"/>
        <v>209621</v>
      </c>
    </row>
    <row r="5211" spans="7:14" ht="11.25" customHeight="1" x14ac:dyDescent="0.3">
      <c r="G5211" s="459"/>
      <c r="H5211" s="459">
        <v>5204</v>
      </c>
      <c r="I5211" s="444">
        <f t="shared" ca="1" si="203"/>
        <v>41434346148487.906</v>
      </c>
      <c r="J5211" s="444">
        <f t="array" ref="J5211">IFERROR(INDEX('Retirement Calculator'!J:J,MATCH('Isaac 401k'!N5211,'Retirement Calculator'!A:A,0),0),0)</f>
        <v>0</v>
      </c>
      <c r="K5211" s="444">
        <f t="shared" ca="1" si="201"/>
        <v>172643108952.03293</v>
      </c>
      <c r="L5211" s="444">
        <f t="shared" ca="1" si="202"/>
        <v>41606989257439.938</v>
      </c>
      <c r="M5211" s="460">
        <f t="shared" si="204"/>
        <v>0.05</v>
      </c>
      <c r="N5211" s="464">
        <f t="shared" si="205"/>
        <v>209652</v>
      </c>
    </row>
    <row r="5212" spans="7:14" ht="11.25" customHeight="1" x14ac:dyDescent="0.3">
      <c r="G5212" s="459"/>
      <c r="H5212" s="459">
        <v>5205</v>
      </c>
      <c r="I5212" s="444">
        <f t="shared" ca="1" si="203"/>
        <v>41606989257439.938</v>
      </c>
      <c r="J5212" s="444">
        <f t="array" ref="J5212">IFERROR(INDEX('Retirement Calculator'!J:J,MATCH('Isaac 401k'!N5212,'Retirement Calculator'!A:A,0),0),0)</f>
        <v>0</v>
      </c>
      <c r="K5212" s="444">
        <f t="shared" ca="1" si="201"/>
        <v>173362455239.33307</v>
      </c>
      <c r="L5212" s="444">
        <f t="shared" ca="1" si="202"/>
        <v>41780351712679.273</v>
      </c>
      <c r="M5212" s="460">
        <f t="shared" si="204"/>
        <v>0.05</v>
      </c>
      <c r="N5212" s="464">
        <f t="shared" si="205"/>
        <v>209683</v>
      </c>
    </row>
    <row r="5213" spans="7:14" ht="11.25" customHeight="1" x14ac:dyDescent="0.3">
      <c r="G5213" s="459"/>
      <c r="H5213" s="459">
        <v>5206</v>
      </c>
      <c r="I5213" s="444">
        <f t="shared" ca="1" si="203"/>
        <v>41780351712679.273</v>
      </c>
      <c r="J5213" s="444">
        <f t="array" ref="J5213">IFERROR(INDEX('Retirement Calculator'!J:J,MATCH('Isaac 401k'!N5213,'Retirement Calculator'!A:A,0),0),0)</f>
        <v>0</v>
      </c>
      <c r="K5213" s="444">
        <f t="shared" ca="1" si="201"/>
        <v>174084798802.83029</v>
      </c>
      <c r="L5213" s="444">
        <f t="shared" ca="1" si="202"/>
        <v>41954436511482.102</v>
      </c>
      <c r="M5213" s="460">
        <f t="shared" si="204"/>
        <v>0.05</v>
      </c>
      <c r="N5213" s="464">
        <f t="shared" si="205"/>
        <v>209711</v>
      </c>
    </row>
    <row r="5214" spans="7:14" ht="11.25" customHeight="1" x14ac:dyDescent="0.3">
      <c r="G5214" s="459"/>
      <c r="H5214" s="459">
        <v>5207</v>
      </c>
      <c r="I5214" s="444">
        <f t="shared" ca="1" si="203"/>
        <v>41954436511482.102</v>
      </c>
      <c r="J5214" s="444">
        <f t="array" ref="J5214">IFERROR(INDEX('Retirement Calculator'!J:J,MATCH('Isaac 401k'!N5214,'Retirement Calculator'!A:A,0),0),0)</f>
        <v>0</v>
      </c>
      <c r="K5214" s="444">
        <f t="shared" ca="1" si="201"/>
        <v>174810152131.17542</v>
      </c>
      <c r="L5214" s="444">
        <f t="shared" ca="1" si="202"/>
        <v>42129246663613.273</v>
      </c>
      <c r="M5214" s="460">
        <f t="shared" si="204"/>
        <v>0.05</v>
      </c>
      <c r="N5214" s="464">
        <f t="shared" si="205"/>
        <v>209742</v>
      </c>
    </row>
    <row r="5215" spans="7:14" ht="11.25" customHeight="1" x14ac:dyDescent="0.3">
      <c r="G5215" s="459"/>
      <c r="H5215" s="459">
        <v>5208</v>
      </c>
      <c r="I5215" s="444">
        <f t="shared" ca="1" si="203"/>
        <v>42129246663613.273</v>
      </c>
      <c r="J5215" s="444">
        <f t="array" ref="J5215">IFERROR(INDEX('Retirement Calculator'!J:J,MATCH('Isaac 401k'!N5215,'Retirement Calculator'!A:A,0),0),0)</f>
        <v>0</v>
      </c>
      <c r="K5215" s="444">
        <f t="shared" ca="1" si="201"/>
        <v>175538527765.0553</v>
      </c>
      <c r="L5215" s="444">
        <f t="shared" ca="1" si="202"/>
        <v>42304785191378.328</v>
      </c>
      <c r="M5215" s="460">
        <f t="shared" si="204"/>
        <v>0.05</v>
      </c>
      <c r="N5215" s="464">
        <f t="shared" si="205"/>
        <v>209772</v>
      </c>
    </row>
    <row r="5216" spans="7:14" ht="11.25" customHeight="1" x14ac:dyDescent="0.3">
      <c r="G5216" s="459"/>
      <c r="H5216" s="459">
        <v>5209</v>
      </c>
      <c r="I5216" s="444">
        <f t="shared" ca="1" si="203"/>
        <v>42304785191378.328</v>
      </c>
      <c r="J5216" s="444">
        <f t="array" ref="J5216">IFERROR(INDEX('Retirement Calculator'!J:J,MATCH('Isaac 401k'!N5216,'Retirement Calculator'!A:A,0),0),0)</f>
        <v>0</v>
      </c>
      <c r="K5216" s="444">
        <f t="shared" ca="1" si="201"/>
        <v>176269938297.4097</v>
      </c>
      <c r="L5216" s="444">
        <f t="shared" ca="1" si="202"/>
        <v>42481055129675.734</v>
      </c>
      <c r="M5216" s="460">
        <f t="shared" si="204"/>
        <v>0.05</v>
      </c>
      <c r="N5216" s="464">
        <f t="shared" si="205"/>
        <v>209803</v>
      </c>
    </row>
    <row r="5217" spans="7:14" ht="11.25" customHeight="1" x14ac:dyDescent="0.3">
      <c r="G5217" s="459"/>
      <c r="H5217" s="459">
        <v>5210</v>
      </c>
      <c r="I5217" s="444">
        <f t="shared" ca="1" si="203"/>
        <v>42481055129675.734</v>
      </c>
      <c r="J5217" s="444">
        <f t="array" ref="J5217">IFERROR(INDEX('Retirement Calculator'!J:J,MATCH('Isaac 401k'!N5217,'Retirement Calculator'!A:A,0),0),0)</f>
        <v>0</v>
      </c>
      <c r="K5217" s="444">
        <f t="shared" ca="1" si="201"/>
        <v>177004396373.6489</v>
      </c>
      <c r="L5217" s="444">
        <f t="shared" ca="1" si="202"/>
        <v>42658059526049.383</v>
      </c>
      <c r="M5217" s="460">
        <f t="shared" si="204"/>
        <v>0.05</v>
      </c>
      <c r="N5217" s="464">
        <f t="shared" si="205"/>
        <v>209833</v>
      </c>
    </row>
    <row r="5218" spans="7:14" ht="11.25" customHeight="1" x14ac:dyDescent="0.3">
      <c r="G5218" s="459"/>
      <c r="H5218" s="459">
        <v>5211</v>
      </c>
      <c r="I5218" s="444">
        <f t="shared" ca="1" si="203"/>
        <v>42658059526049.383</v>
      </c>
      <c r="J5218" s="444">
        <f t="array" ref="J5218">IFERROR(INDEX('Retirement Calculator'!J:J,MATCH('Isaac 401k'!N5218,'Retirement Calculator'!A:A,0),0),0)</f>
        <v>0</v>
      </c>
      <c r="K5218" s="444">
        <f t="shared" ca="1" si="201"/>
        <v>177741914691.87244</v>
      </c>
      <c r="L5218" s="444">
        <f t="shared" ca="1" si="202"/>
        <v>42835801440741.258</v>
      </c>
      <c r="M5218" s="460">
        <f t="shared" si="204"/>
        <v>0.05</v>
      </c>
      <c r="N5218" s="464">
        <f t="shared" si="205"/>
        <v>209864</v>
      </c>
    </row>
    <row r="5219" spans="7:14" ht="11.25" customHeight="1" x14ac:dyDescent="0.3">
      <c r="G5219" s="459"/>
      <c r="H5219" s="459">
        <v>5212</v>
      </c>
      <c r="I5219" s="444">
        <f t="shared" ca="1" si="203"/>
        <v>42835801440741.258</v>
      </c>
      <c r="J5219" s="444">
        <f t="array" ref="J5219">IFERROR(INDEX('Retirement Calculator'!J:J,MATCH('Isaac 401k'!N5219,'Retirement Calculator'!A:A,0),0),0)</f>
        <v>0</v>
      </c>
      <c r="K5219" s="444">
        <f t="shared" ca="1" si="201"/>
        <v>178482506003.08856</v>
      </c>
      <c r="L5219" s="444">
        <f t="shared" ca="1" si="202"/>
        <v>43014283946744.344</v>
      </c>
      <c r="M5219" s="460">
        <f t="shared" si="204"/>
        <v>0.05</v>
      </c>
      <c r="N5219" s="464">
        <f t="shared" si="205"/>
        <v>209895</v>
      </c>
    </row>
    <row r="5220" spans="7:14" ht="11.25" customHeight="1" x14ac:dyDescent="0.3">
      <c r="G5220" s="459"/>
      <c r="H5220" s="459">
        <v>5213</v>
      </c>
      <c r="I5220" s="444">
        <f t="shared" ca="1" si="203"/>
        <v>43014283946744.344</v>
      </c>
      <c r="J5220" s="444">
        <f t="array" ref="J5220">IFERROR(INDEX('Retirement Calculator'!J:J,MATCH('Isaac 401k'!N5220,'Retirement Calculator'!A:A,0),0),0)</f>
        <v>0</v>
      </c>
      <c r="K5220" s="444">
        <f t="shared" ca="1" si="201"/>
        <v>179226183111.43475</v>
      </c>
      <c r="L5220" s="444">
        <f t="shared" ca="1" si="202"/>
        <v>43193510129855.781</v>
      </c>
      <c r="M5220" s="460">
        <f t="shared" si="204"/>
        <v>0.05</v>
      </c>
      <c r="N5220" s="464">
        <f t="shared" si="205"/>
        <v>209925</v>
      </c>
    </row>
    <row r="5221" spans="7:14" ht="11.25" customHeight="1" x14ac:dyDescent="0.3">
      <c r="G5221" s="459"/>
      <c r="H5221" s="459">
        <v>5214</v>
      </c>
      <c r="I5221" s="444">
        <f t="shared" ca="1" si="203"/>
        <v>43193510129855.781</v>
      </c>
      <c r="J5221" s="444">
        <f t="array" ref="J5221">IFERROR(INDEX('Retirement Calculator'!J:J,MATCH('Isaac 401k'!N5221,'Retirement Calculator'!A:A,0),0),0)</f>
        <v>0</v>
      </c>
      <c r="K5221" s="444">
        <f t="shared" ca="1" si="201"/>
        <v>179972958874.39908</v>
      </c>
      <c r="L5221" s="444">
        <f t="shared" ca="1" si="202"/>
        <v>43373483088730.18</v>
      </c>
      <c r="M5221" s="460">
        <f t="shared" si="204"/>
        <v>0.05</v>
      </c>
      <c r="N5221" s="464">
        <f t="shared" si="205"/>
        <v>209956</v>
      </c>
    </row>
    <row r="5222" spans="7:14" ht="11.25" customHeight="1" x14ac:dyDescent="0.3">
      <c r="G5222" s="459"/>
      <c r="H5222" s="459">
        <v>5215</v>
      </c>
      <c r="I5222" s="444">
        <f t="shared" ca="1" si="203"/>
        <v>43373483088730.18</v>
      </c>
      <c r="J5222" s="444">
        <f t="array" ref="J5222">IFERROR(INDEX('Retirement Calculator'!J:J,MATCH('Isaac 401k'!N5222,'Retirement Calculator'!A:A,0),0),0)</f>
        <v>0</v>
      </c>
      <c r="K5222" s="444">
        <f t="shared" ca="1" si="201"/>
        <v>180722846203.04242</v>
      </c>
      <c r="L5222" s="444">
        <f t="shared" ca="1" si="202"/>
        <v>43554205934933.219</v>
      </c>
      <c r="M5222" s="460">
        <f t="shared" si="204"/>
        <v>0.05</v>
      </c>
      <c r="N5222" s="464">
        <f t="shared" si="205"/>
        <v>209986</v>
      </c>
    </row>
    <row r="5223" spans="7:14" ht="11.25" customHeight="1" x14ac:dyDescent="0.3">
      <c r="G5223" s="459"/>
      <c r="H5223" s="459">
        <v>5216</v>
      </c>
      <c r="I5223" s="444">
        <f t="shared" ca="1" si="203"/>
        <v>43554205934933.219</v>
      </c>
      <c r="J5223" s="444">
        <f t="array" ref="J5223">IFERROR(INDEX('Retirement Calculator'!J:J,MATCH('Isaac 401k'!N5223,'Retirement Calculator'!A:A,0),0),0)</f>
        <v>0</v>
      </c>
      <c r="K5223" s="444">
        <f t="shared" ca="1" si="201"/>
        <v>181475858062.22174</v>
      </c>
      <c r="L5223" s="444">
        <f t="shared" ca="1" si="202"/>
        <v>43735681792995.438</v>
      </c>
      <c r="M5223" s="460">
        <f t="shared" si="204"/>
        <v>0.05</v>
      </c>
      <c r="N5223" s="464">
        <f t="shared" si="205"/>
        <v>210017</v>
      </c>
    </row>
    <row r="5224" spans="7:14" ht="11.25" customHeight="1" x14ac:dyDescent="0.3">
      <c r="G5224" s="459"/>
      <c r="H5224" s="459">
        <v>5217</v>
      </c>
      <c r="I5224" s="444">
        <f t="shared" ca="1" si="203"/>
        <v>43735681792995.438</v>
      </c>
      <c r="J5224" s="444">
        <f t="array" ref="J5224">IFERROR(INDEX('Retirement Calculator'!J:J,MATCH('Isaac 401k'!N5224,'Retirement Calculator'!A:A,0),0),0)</f>
        <v>0</v>
      </c>
      <c r="K5224" s="444">
        <f t="shared" ca="1" si="201"/>
        <v>182232007470.81433</v>
      </c>
      <c r="L5224" s="444">
        <f t="shared" ca="1" si="202"/>
        <v>43917913800466.25</v>
      </c>
      <c r="M5224" s="460">
        <f t="shared" si="204"/>
        <v>0.05</v>
      </c>
      <c r="N5224" s="464">
        <f t="shared" si="205"/>
        <v>210048</v>
      </c>
    </row>
    <row r="5225" spans="7:14" ht="11.25" customHeight="1" x14ac:dyDescent="0.3">
      <c r="G5225" s="459"/>
      <c r="H5225" s="459">
        <v>5218</v>
      </c>
      <c r="I5225" s="444">
        <f t="shared" ca="1" si="203"/>
        <v>43917913800466.25</v>
      </c>
      <c r="J5225" s="444">
        <f t="array" ref="J5225">IFERROR(INDEX('Retirement Calculator'!J:J,MATCH('Isaac 401k'!N5225,'Retirement Calculator'!A:A,0),0),0)</f>
        <v>0</v>
      </c>
      <c r="K5225" s="444">
        <f t="shared" ca="1" si="201"/>
        <v>182991307501.94272</v>
      </c>
      <c r="L5225" s="444">
        <f t="shared" ca="1" si="202"/>
        <v>44100905107968.195</v>
      </c>
      <c r="M5225" s="460">
        <f t="shared" si="204"/>
        <v>0.05</v>
      </c>
      <c r="N5225" s="464">
        <f t="shared" si="205"/>
        <v>210076</v>
      </c>
    </row>
    <row r="5226" spans="7:14" ht="11.25" customHeight="1" x14ac:dyDescent="0.3">
      <c r="G5226" s="459"/>
      <c r="H5226" s="459">
        <v>5219</v>
      </c>
      <c r="I5226" s="444">
        <f t="shared" ca="1" si="203"/>
        <v>44100905107968.195</v>
      </c>
      <c r="J5226" s="444">
        <f t="array" ref="J5226">IFERROR(INDEX('Retirement Calculator'!J:J,MATCH('Isaac 401k'!N5226,'Retirement Calculator'!A:A,0),0),0)</f>
        <v>0</v>
      </c>
      <c r="K5226" s="444">
        <f t="shared" ca="1" si="201"/>
        <v>183753771283.20081</v>
      </c>
      <c r="L5226" s="444">
        <f t="shared" ca="1" si="202"/>
        <v>44284658879251.398</v>
      </c>
      <c r="M5226" s="460">
        <f t="shared" si="204"/>
        <v>0.05</v>
      </c>
      <c r="N5226" s="464">
        <f t="shared" si="205"/>
        <v>210107</v>
      </c>
    </row>
    <row r="5227" spans="7:14" ht="11.25" customHeight="1" x14ac:dyDescent="0.3">
      <c r="G5227" s="459"/>
      <c r="H5227" s="459">
        <v>5220</v>
      </c>
      <c r="I5227" s="444">
        <f t="shared" ca="1" si="203"/>
        <v>44284658879251.398</v>
      </c>
      <c r="J5227" s="444">
        <f t="array" ref="J5227">IFERROR(INDEX('Retirement Calculator'!J:J,MATCH('Isaac 401k'!N5227,'Retirement Calculator'!A:A,0),0),0)</f>
        <v>0</v>
      </c>
      <c r="K5227" s="444">
        <f t="shared" ca="1" si="201"/>
        <v>184519411996.88083</v>
      </c>
      <c r="L5227" s="444">
        <f t="shared" ca="1" si="202"/>
        <v>44469178291248.281</v>
      </c>
      <c r="M5227" s="460">
        <f t="shared" si="204"/>
        <v>0.05</v>
      </c>
      <c r="N5227" s="464">
        <f t="shared" si="205"/>
        <v>210137</v>
      </c>
    </row>
    <row r="5228" spans="7:14" ht="11.25" customHeight="1" x14ac:dyDescent="0.3">
      <c r="G5228" s="459"/>
      <c r="H5228" s="459">
        <v>5221</v>
      </c>
      <c r="I5228" s="444">
        <f t="shared" ca="1" si="203"/>
        <v>44469178291248.281</v>
      </c>
      <c r="J5228" s="444">
        <f t="array" ref="J5228">IFERROR(INDEX('Retirement Calculator'!J:J,MATCH('Isaac 401k'!N5228,'Retirement Calculator'!A:A,0),0),0)</f>
        <v>0</v>
      </c>
      <c r="K5228" s="444">
        <f t="shared" ca="1" si="201"/>
        <v>185288242880.20117</v>
      </c>
      <c r="L5228" s="444">
        <f t="shared" ca="1" si="202"/>
        <v>44654466534128.484</v>
      </c>
      <c r="M5228" s="460">
        <f t="shared" si="204"/>
        <v>0.05</v>
      </c>
      <c r="N5228" s="464">
        <f t="shared" si="205"/>
        <v>210168</v>
      </c>
    </row>
    <row r="5229" spans="7:14" ht="11.25" customHeight="1" x14ac:dyDescent="0.3">
      <c r="G5229" s="459"/>
      <c r="H5229" s="459">
        <v>5222</v>
      </c>
      <c r="I5229" s="444">
        <f t="shared" ca="1" si="203"/>
        <v>44654466534128.484</v>
      </c>
      <c r="J5229" s="444">
        <f t="array" ref="J5229">IFERROR(INDEX('Retirement Calculator'!J:J,MATCH('Isaac 401k'!N5229,'Retirement Calculator'!A:A,0),0),0)</f>
        <v>0</v>
      </c>
      <c r="K5229" s="444">
        <f t="shared" ca="1" si="201"/>
        <v>186060277225.53534</v>
      </c>
      <c r="L5229" s="444">
        <f t="shared" ca="1" si="202"/>
        <v>44840526811354.023</v>
      </c>
      <c r="M5229" s="460">
        <f t="shared" si="204"/>
        <v>0.05</v>
      </c>
      <c r="N5229" s="464">
        <f t="shared" si="205"/>
        <v>210198</v>
      </c>
    </row>
    <row r="5230" spans="7:14" ht="11.25" customHeight="1" x14ac:dyDescent="0.3">
      <c r="G5230" s="459"/>
      <c r="H5230" s="459">
        <v>5223</v>
      </c>
      <c r="I5230" s="444">
        <f t="shared" ca="1" si="203"/>
        <v>44840526811354.023</v>
      </c>
      <c r="J5230" s="444">
        <f t="array" ref="J5230">IFERROR(INDEX('Retirement Calculator'!J:J,MATCH('Isaac 401k'!N5230,'Retirement Calculator'!A:A,0),0),0)</f>
        <v>0</v>
      </c>
      <c r="K5230" s="444">
        <f t="shared" ca="1" si="201"/>
        <v>186835528380.64175</v>
      </c>
      <c r="L5230" s="444">
        <f t="shared" ca="1" si="202"/>
        <v>45027362339734.664</v>
      </c>
      <c r="M5230" s="460">
        <f t="shared" si="204"/>
        <v>0.05</v>
      </c>
      <c r="N5230" s="464">
        <f t="shared" si="205"/>
        <v>210229</v>
      </c>
    </row>
    <row r="5231" spans="7:14" ht="11.25" customHeight="1" x14ac:dyDescent="0.3">
      <c r="G5231" s="459"/>
      <c r="H5231" s="459">
        <v>5224</v>
      </c>
      <c r="I5231" s="444">
        <f t="shared" ca="1" si="203"/>
        <v>45027362339734.664</v>
      </c>
      <c r="J5231" s="444">
        <f t="array" ref="J5231">IFERROR(INDEX('Retirement Calculator'!J:J,MATCH('Isaac 401k'!N5231,'Retirement Calculator'!A:A,0),0),0)</f>
        <v>0</v>
      </c>
      <c r="K5231" s="444">
        <f t="shared" ca="1" si="201"/>
        <v>187614009748.89444</v>
      </c>
      <c r="L5231" s="444">
        <f t="shared" ca="1" si="202"/>
        <v>45214976349483.555</v>
      </c>
      <c r="M5231" s="460">
        <f t="shared" si="204"/>
        <v>0.05</v>
      </c>
      <c r="N5231" s="464">
        <f t="shared" si="205"/>
        <v>210260</v>
      </c>
    </row>
    <row r="5232" spans="7:14" ht="11.25" customHeight="1" x14ac:dyDescent="0.3">
      <c r="G5232" s="459"/>
      <c r="H5232" s="459">
        <v>5225</v>
      </c>
      <c r="I5232" s="444">
        <f t="shared" ca="1" si="203"/>
        <v>45214976349483.555</v>
      </c>
      <c r="J5232" s="444">
        <f t="array" ref="J5232">IFERROR(INDEX('Retirement Calculator'!J:J,MATCH('Isaac 401k'!N5232,'Retirement Calculator'!A:A,0),0),0)</f>
        <v>0</v>
      </c>
      <c r="K5232" s="444">
        <f t="shared" ca="1" si="201"/>
        <v>188395734789.5148</v>
      </c>
      <c r="L5232" s="444">
        <f t="shared" ca="1" si="202"/>
        <v>45403372084273.07</v>
      </c>
      <c r="M5232" s="460">
        <f t="shared" si="204"/>
        <v>0.05</v>
      </c>
      <c r="N5232" s="464">
        <f t="shared" si="205"/>
        <v>210290</v>
      </c>
    </row>
    <row r="5233" spans="7:14" ht="11.25" customHeight="1" x14ac:dyDescent="0.3">
      <c r="G5233" s="459"/>
      <c r="H5233" s="459">
        <v>5226</v>
      </c>
      <c r="I5233" s="444">
        <f t="shared" ca="1" si="203"/>
        <v>45403372084273.07</v>
      </c>
      <c r="J5233" s="444">
        <f t="array" ref="J5233">IFERROR(INDEX('Retirement Calculator'!J:J,MATCH('Isaac 401k'!N5233,'Retirement Calculator'!A:A,0),0),0)</f>
        <v>0</v>
      </c>
      <c r="K5233" s="444">
        <f t="shared" ca="1" si="201"/>
        <v>189180717017.80444</v>
      </c>
      <c r="L5233" s="444">
        <f t="shared" ca="1" si="202"/>
        <v>45592552801290.875</v>
      </c>
      <c r="M5233" s="460">
        <f t="shared" si="204"/>
        <v>0.05</v>
      </c>
      <c r="N5233" s="464">
        <f t="shared" si="205"/>
        <v>210321</v>
      </c>
    </row>
    <row r="5234" spans="7:14" ht="11.25" customHeight="1" x14ac:dyDescent="0.3">
      <c r="G5234" s="459"/>
      <c r="H5234" s="459">
        <v>5227</v>
      </c>
      <c r="I5234" s="444">
        <f t="shared" ca="1" si="203"/>
        <v>45592552801290.875</v>
      </c>
      <c r="J5234" s="444">
        <f t="array" ref="J5234">IFERROR(INDEX('Retirement Calculator'!J:J,MATCH('Isaac 401k'!N5234,'Retirement Calculator'!A:A,0),0),0)</f>
        <v>0</v>
      </c>
      <c r="K5234" s="444">
        <f t="shared" ca="1" si="201"/>
        <v>189968970005.37863</v>
      </c>
      <c r="L5234" s="444">
        <f t="shared" ca="1" si="202"/>
        <v>45782521771296.25</v>
      </c>
      <c r="M5234" s="460">
        <f t="shared" si="204"/>
        <v>0.05</v>
      </c>
      <c r="N5234" s="464">
        <f t="shared" si="205"/>
        <v>210351</v>
      </c>
    </row>
    <row r="5235" spans="7:14" ht="11.25" customHeight="1" x14ac:dyDescent="0.3">
      <c r="G5235" s="459"/>
      <c r="H5235" s="459">
        <v>5228</v>
      </c>
      <c r="I5235" s="444">
        <f t="shared" ca="1" si="203"/>
        <v>45782521771296.25</v>
      </c>
      <c r="J5235" s="444">
        <f t="array" ref="J5235">IFERROR(INDEX('Retirement Calculator'!J:J,MATCH('Isaac 401k'!N5235,'Retirement Calculator'!A:A,0),0),0)</f>
        <v>0</v>
      </c>
      <c r="K5235" s="444">
        <f t="shared" ca="1" si="201"/>
        <v>190760507380.40103</v>
      </c>
      <c r="L5235" s="444">
        <f t="shared" ca="1" si="202"/>
        <v>45973282278676.648</v>
      </c>
      <c r="M5235" s="460">
        <f t="shared" si="204"/>
        <v>0.05</v>
      </c>
      <c r="N5235" s="464">
        <f t="shared" si="205"/>
        <v>210382</v>
      </c>
    </row>
    <row r="5236" spans="7:14" ht="11.25" customHeight="1" x14ac:dyDescent="0.3">
      <c r="G5236" s="459"/>
      <c r="H5236" s="459">
        <v>5229</v>
      </c>
      <c r="I5236" s="444">
        <f t="shared" ca="1" si="203"/>
        <v>45973282278676.648</v>
      </c>
      <c r="J5236" s="444">
        <f t="array" ref="J5236">IFERROR(INDEX('Retirement Calculator'!J:J,MATCH('Isaac 401k'!N5236,'Retirement Calculator'!A:A,0),0),0)</f>
        <v>0</v>
      </c>
      <c r="K5236" s="444">
        <f t="shared" ca="1" si="201"/>
        <v>191555342827.81937</v>
      </c>
      <c r="L5236" s="444">
        <f t="shared" ca="1" si="202"/>
        <v>46164837621504.469</v>
      </c>
      <c r="M5236" s="460">
        <f t="shared" si="204"/>
        <v>0.05</v>
      </c>
      <c r="N5236" s="464">
        <f t="shared" si="205"/>
        <v>210413</v>
      </c>
    </row>
    <row r="5237" spans="7:14" ht="11.25" customHeight="1" x14ac:dyDescent="0.3">
      <c r="G5237" s="459"/>
      <c r="H5237" s="459">
        <v>5230</v>
      </c>
      <c r="I5237" s="444">
        <f t="shared" ca="1" si="203"/>
        <v>46164837621504.469</v>
      </c>
      <c r="J5237" s="444">
        <f t="array" ref="J5237">IFERROR(INDEX('Retirement Calculator'!J:J,MATCH('Isaac 401k'!N5237,'Retirement Calculator'!A:A,0),0),0)</f>
        <v>0</v>
      </c>
      <c r="K5237" s="444">
        <f t="shared" ca="1" si="201"/>
        <v>192353490089.60196</v>
      </c>
      <c r="L5237" s="444">
        <f t="shared" ca="1" si="202"/>
        <v>46357191111594.07</v>
      </c>
      <c r="M5237" s="460">
        <f t="shared" si="204"/>
        <v>0.05</v>
      </c>
      <c r="N5237" s="464">
        <f t="shared" si="205"/>
        <v>210442</v>
      </c>
    </row>
    <row r="5238" spans="7:14" ht="11.25" customHeight="1" x14ac:dyDescent="0.3">
      <c r="G5238" s="459"/>
      <c r="H5238" s="459">
        <v>5231</v>
      </c>
      <c r="I5238" s="444">
        <f t="shared" ca="1" si="203"/>
        <v>46357191111594.07</v>
      </c>
      <c r="J5238" s="444">
        <f t="array" ref="J5238">IFERROR(INDEX('Retirement Calculator'!J:J,MATCH('Isaac 401k'!N5238,'Retirement Calculator'!A:A,0),0),0)</f>
        <v>0</v>
      </c>
      <c r="K5238" s="444">
        <f t="shared" ca="1" si="201"/>
        <v>193154962964.97528</v>
      </c>
      <c r="L5238" s="444">
        <f t="shared" ca="1" si="202"/>
        <v>46550346074559.047</v>
      </c>
      <c r="M5238" s="460">
        <f t="shared" si="204"/>
        <v>0.05</v>
      </c>
      <c r="N5238" s="464">
        <f t="shared" si="205"/>
        <v>210473</v>
      </c>
    </row>
    <row r="5239" spans="7:14" ht="11.25" customHeight="1" x14ac:dyDescent="0.3">
      <c r="G5239" s="459"/>
      <c r="H5239" s="459">
        <v>5232</v>
      </c>
      <c r="I5239" s="444">
        <f t="shared" ca="1" si="203"/>
        <v>46550346074559.047</v>
      </c>
      <c r="J5239" s="444">
        <f t="array" ref="J5239">IFERROR(INDEX('Retirement Calculator'!J:J,MATCH('Isaac 401k'!N5239,'Retirement Calculator'!A:A,0),0),0)</f>
        <v>0</v>
      </c>
      <c r="K5239" s="444">
        <f t="shared" ca="1" si="201"/>
        <v>193959775310.66269</v>
      </c>
      <c r="L5239" s="444">
        <f t="shared" ca="1" si="202"/>
        <v>46744305849869.711</v>
      </c>
      <c r="M5239" s="460">
        <f t="shared" si="204"/>
        <v>0.05</v>
      </c>
      <c r="N5239" s="464">
        <f t="shared" si="205"/>
        <v>210503</v>
      </c>
    </row>
    <row r="5240" spans="7:14" ht="11.25" customHeight="1" x14ac:dyDescent="0.3">
      <c r="G5240" s="459"/>
      <c r="H5240" s="459">
        <v>5233</v>
      </c>
      <c r="I5240" s="444">
        <f t="shared" ca="1" si="203"/>
        <v>46744305849869.711</v>
      </c>
      <c r="J5240" s="444">
        <f t="array" ref="J5240">IFERROR(INDEX('Retirement Calculator'!J:J,MATCH('Isaac 401k'!N5240,'Retirement Calculator'!A:A,0),0),0)</f>
        <v>0</v>
      </c>
      <c r="K5240" s="444">
        <f t="shared" ca="1" si="201"/>
        <v>194767941041.12378</v>
      </c>
      <c r="L5240" s="444">
        <f t="shared" ca="1" si="202"/>
        <v>46939073790910.836</v>
      </c>
      <c r="M5240" s="460">
        <f t="shared" si="204"/>
        <v>0.05</v>
      </c>
      <c r="N5240" s="464">
        <f t="shared" si="205"/>
        <v>210534</v>
      </c>
    </row>
    <row r="5241" spans="7:14" ht="11.25" customHeight="1" x14ac:dyDescent="0.3">
      <c r="G5241" s="459"/>
      <c r="H5241" s="459">
        <v>5234</v>
      </c>
      <c r="I5241" s="444">
        <f t="shared" ca="1" si="203"/>
        <v>46939073790910.836</v>
      </c>
      <c r="J5241" s="444">
        <f t="array" ref="J5241">IFERROR(INDEX('Retirement Calculator'!J:J,MATCH('Isaac 401k'!N5241,'Retirement Calculator'!A:A,0),0),0)</f>
        <v>0</v>
      </c>
      <c r="K5241" s="444">
        <f t="shared" ca="1" si="201"/>
        <v>195579474128.79514</v>
      </c>
      <c r="L5241" s="444">
        <f t="shared" ca="1" si="202"/>
        <v>47134653265039.633</v>
      </c>
      <c r="M5241" s="460">
        <f t="shared" si="204"/>
        <v>0.05</v>
      </c>
      <c r="N5241" s="464">
        <f t="shared" si="205"/>
        <v>210564</v>
      </c>
    </row>
    <row r="5242" spans="7:14" ht="11.25" customHeight="1" x14ac:dyDescent="0.3">
      <c r="G5242" s="459"/>
      <c r="H5242" s="459">
        <v>5235</v>
      </c>
      <c r="I5242" s="444">
        <f t="shared" ca="1" si="203"/>
        <v>47134653265039.633</v>
      </c>
      <c r="J5242" s="444">
        <f t="array" ref="J5242">IFERROR(INDEX('Retirement Calculator'!J:J,MATCH('Isaac 401k'!N5242,'Retirement Calculator'!A:A,0),0),0)</f>
        <v>0</v>
      </c>
      <c r="K5242" s="444">
        <f t="shared" ca="1" si="201"/>
        <v>196394388604.33179</v>
      </c>
      <c r="L5242" s="444">
        <f t="shared" ca="1" si="202"/>
        <v>47331047653643.961</v>
      </c>
      <c r="M5242" s="460">
        <f t="shared" si="204"/>
        <v>0.05</v>
      </c>
      <c r="N5242" s="464">
        <f t="shared" si="205"/>
        <v>210595</v>
      </c>
    </row>
    <row r="5243" spans="7:14" ht="11.25" customHeight="1" x14ac:dyDescent="0.3">
      <c r="G5243" s="459"/>
      <c r="H5243" s="459">
        <v>5236</v>
      </c>
      <c r="I5243" s="444">
        <f t="shared" ca="1" si="203"/>
        <v>47331047653643.961</v>
      </c>
      <c r="J5243" s="444">
        <f t="array" ref="J5243">IFERROR(INDEX('Retirement Calculator'!J:J,MATCH('Isaac 401k'!N5243,'Retirement Calculator'!A:A,0),0),0)</f>
        <v>0</v>
      </c>
      <c r="K5243" s="444">
        <f t="shared" ca="1" si="201"/>
        <v>197212698556.84982</v>
      </c>
      <c r="L5243" s="444">
        <f t="shared" ca="1" si="202"/>
        <v>47528260352200.813</v>
      </c>
      <c r="M5243" s="460">
        <f t="shared" si="204"/>
        <v>0.05</v>
      </c>
      <c r="N5243" s="464">
        <f t="shared" si="205"/>
        <v>210626</v>
      </c>
    </row>
    <row r="5244" spans="7:14" ht="11.25" customHeight="1" x14ac:dyDescent="0.3">
      <c r="G5244" s="459"/>
      <c r="H5244" s="459">
        <v>5237</v>
      </c>
      <c r="I5244" s="444">
        <f t="shared" ca="1" si="203"/>
        <v>47528260352200.813</v>
      </c>
      <c r="J5244" s="444">
        <f t="array" ref="J5244">IFERROR(INDEX('Retirement Calculator'!J:J,MATCH('Isaac 401k'!N5244,'Retirement Calculator'!A:A,0),0),0)</f>
        <v>0</v>
      </c>
      <c r="K5244" s="444">
        <f t="shared" ca="1" si="201"/>
        <v>198034418134.17004</v>
      </c>
      <c r="L5244" s="444">
        <f t="shared" ca="1" si="202"/>
        <v>47726294770334.984</v>
      </c>
      <c r="M5244" s="460">
        <f t="shared" si="204"/>
        <v>0.05</v>
      </c>
      <c r="N5244" s="464">
        <f t="shared" si="205"/>
        <v>210656</v>
      </c>
    </row>
    <row r="5245" spans="7:14" ht="11.25" customHeight="1" x14ac:dyDescent="0.3">
      <c r="G5245" s="459"/>
      <c r="H5245" s="459">
        <v>5238</v>
      </c>
      <c r="I5245" s="444">
        <f t="shared" ca="1" si="203"/>
        <v>47726294770334.984</v>
      </c>
      <c r="J5245" s="444">
        <f t="array" ref="J5245">IFERROR(INDEX('Retirement Calculator'!J:J,MATCH('Isaac 401k'!N5245,'Retirement Calculator'!A:A,0),0),0)</f>
        <v>0</v>
      </c>
      <c r="K5245" s="444">
        <f t="shared" ca="1" si="201"/>
        <v>198859561543.06244</v>
      </c>
      <c r="L5245" s="444">
        <f t="shared" ca="1" si="202"/>
        <v>47925154331878.047</v>
      </c>
      <c r="M5245" s="460">
        <f t="shared" si="204"/>
        <v>0.05</v>
      </c>
      <c r="N5245" s="464">
        <f t="shared" si="205"/>
        <v>210687</v>
      </c>
    </row>
    <row r="5246" spans="7:14" ht="11.25" customHeight="1" x14ac:dyDescent="0.3">
      <c r="G5246" s="459"/>
      <c r="H5246" s="459">
        <v>5239</v>
      </c>
      <c r="I5246" s="444">
        <f t="shared" ca="1" si="203"/>
        <v>47925154331878.047</v>
      </c>
      <c r="J5246" s="444">
        <f t="array" ref="J5246">IFERROR(INDEX('Retirement Calculator'!J:J,MATCH('Isaac 401k'!N5246,'Retirement Calculator'!A:A,0),0),0)</f>
        <v>0</v>
      </c>
      <c r="K5246" s="444">
        <f t="shared" ca="1" si="201"/>
        <v>199688143049.49185</v>
      </c>
      <c r="L5246" s="444">
        <f t="shared" ca="1" si="202"/>
        <v>48124842474927.539</v>
      </c>
      <c r="M5246" s="460">
        <f t="shared" si="204"/>
        <v>0.05</v>
      </c>
      <c r="N5246" s="464">
        <f t="shared" si="205"/>
        <v>210717</v>
      </c>
    </row>
    <row r="5247" spans="7:14" ht="11.25" customHeight="1" x14ac:dyDescent="0.3">
      <c r="G5247" s="459"/>
      <c r="H5247" s="459">
        <v>5240</v>
      </c>
      <c r="I5247" s="444">
        <f t="shared" ca="1" si="203"/>
        <v>48124842474927.539</v>
      </c>
      <c r="J5247" s="444">
        <f t="array" ref="J5247">IFERROR(INDEX('Retirement Calculator'!J:J,MATCH('Isaac 401k'!N5247,'Retirement Calculator'!A:A,0),0),0)</f>
        <v>0</v>
      </c>
      <c r="K5247" s="444">
        <f t="shared" ca="1" si="201"/>
        <v>200520176978.86475</v>
      </c>
      <c r="L5247" s="444">
        <f t="shared" ca="1" si="202"/>
        <v>48325362651906.406</v>
      </c>
      <c r="M5247" s="460">
        <f t="shared" si="204"/>
        <v>0.05</v>
      </c>
      <c r="N5247" s="464">
        <f t="shared" si="205"/>
        <v>210748</v>
      </c>
    </row>
    <row r="5248" spans="7:14" ht="11.25" customHeight="1" x14ac:dyDescent="0.3">
      <c r="G5248" s="459"/>
      <c r="H5248" s="459">
        <v>5241</v>
      </c>
      <c r="I5248" s="444">
        <f t="shared" ca="1" si="203"/>
        <v>48325362651906.406</v>
      </c>
      <c r="J5248" s="444">
        <f t="array" ref="J5248">IFERROR(INDEX('Retirement Calculator'!J:J,MATCH('Isaac 401k'!N5248,'Retirement Calculator'!A:A,0),0),0)</f>
        <v>0</v>
      </c>
      <c r="K5248" s="444">
        <f t="shared" ca="1" si="201"/>
        <v>201355677716.2767</v>
      </c>
      <c r="L5248" s="444">
        <f t="shared" ca="1" si="202"/>
        <v>48526718329622.68</v>
      </c>
      <c r="M5248" s="460">
        <f t="shared" si="204"/>
        <v>0.05</v>
      </c>
      <c r="N5248" s="464">
        <f t="shared" si="205"/>
        <v>210779</v>
      </c>
    </row>
    <row r="5249" spans="7:14" ht="11.25" customHeight="1" x14ac:dyDescent="0.3">
      <c r="G5249" s="459"/>
      <c r="H5249" s="459">
        <v>5242</v>
      </c>
      <c r="I5249" s="444">
        <f t="shared" ca="1" si="203"/>
        <v>48526718329622.68</v>
      </c>
      <c r="J5249" s="444">
        <f t="array" ref="J5249">IFERROR(INDEX('Retirement Calculator'!J:J,MATCH('Isaac 401k'!N5249,'Retirement Calculator'!A:A,0),0),0)</f>
        <v>0</v>
      </c>
      <c r="K5249" s="444">
        <f t="shared" ca="1" si="201"/>
        <v>202194659706.76117</v>
      </c>
      <c r="L5249" s="444">
        <f t="shared" ca="1" si="202"/>
        <v>48728912989329.438</v>
      </c>
      <c r="M5249" s="460">
        <f t="shared" si="204"/>
        <v>0.05</v>
      </c>
      <c r="N5249" s="464">
        <f t="shared" si="205"/>
        <v>210807</v>
      </c>
    </row>
    <row r="5250" spans="7:14" ht="11.25" customHeight="1" x14ac:dyDescent="0.3">
      <c r="G5250" s="459"/>
      <c r="H5250" s="459">
        <v>5243</v>
      </c>
      <c r="I5250" s="444">
        <f t="shared" ca="1" si="203"/>
        <v>48728912989329.438</v>
      </c>
      <c r="J5250" s="444">
        <f t="array" ref="J5250">IFERROR(INDEX('Retirement Calculator'!J:J,MATCH('Isaac 401k'!N5250,'Retirement Calculator'!A:A,0),0),0)</f>
        <v>0</v>
      </c>
      <c r="K5250" s="444">
        <f t="shared" ca="1" si="201"/>
        <v>203037137455.53931</v>
      </c>
      <c r="L5250" s="444">
        <f t="shared" ca="1" si="202"/>
        <v>48931950126784.977</v>
      </c>
      <c r="M5250" s="460">
        <f t="shared" si="204"/>
        <v>0.05</v>
      </c>
      <c r="N5250" s="464">
        <f t="shared" si="205"/>
        <v>210838</v>
      </c>
    </row>
    <row r="5251" spans="7:14" ht="11.25" customHeight="1" x14ac:dyDescent="0.3">
      <c r="G5251" s="459"/>
      <c r="H5251" s="459">
        <v>5244</v>
      </c>
      <c r="I5251" s="444">
        <f t="shared" ca="1" si="203"/>
        <v>48931950126784.977</v>
      </c>
      <c r="J5251" s="444">
        <f t="array" ref="J5251">IFERROR(INDEX('Retirement Calculator'!J:J,MATCH('Isaac 401k'!N5251,'Retirement Calculator'!A:A,0),0),0)</f>
        <v>0</v>
      </c>
      <c r="K5251" s="444">
        <f t="shared" ca="1" si="201"/>
        <v>203883125528.27072</v>
      </c>
      <c r="L5251" s="444">
        <f t="shared" ca="1" si="202"/>
        <v>49135833252313.25</v>
      </c>
      <c r="M5251" s="460">
        <f t="shared" si="204"/>
        <v>0.05</v>
      </c>
      <c r="N5251" s="464">
        <f t="shared" si="205"/>
        <v>210868</v>
      </c>
    </row>
    <row r="5252" spans="7:14" ht="11.25" customHeight="1" x14ac:dyDescent="0.3">
      <c r="G5252" s="459"/>
      <c r="H5252" s="459">
        <v>5245</v>
      </c>
      <c r="I5252" s="444">
        <f t="shared" ca="1" si="203"/>
        <v>49135833252313.25</v>
      </c>
      <c r="J5252" s="444">
        <f t="array" ref="J5252">IFERROR(INDEX('Retirement Calculator'!J:J,MATCH('Isaac 401k'!N5252,'Retirement Calculator'!A:A,0),0),0)</f>
        <v>0</v>
      </c>
      <c r="K5252" s="444">
        <f t="shared" ca="1" si="201"/>
        <v>204732638551.30521</v>
      </c>
      <c r="L5252" s="444">
        <f t="shared" ca="1" si="202"/>
        <v>49340565890864.555</v>
      </c>
      <c r="M5252" s="460">
        <f t="shared" si="204"/>
        <v>0.05</v>
      </c>
      <c r="N5252" s="464">
        <f t="shared" si="205"/>
        <v>210899</v>
      </c>
    </row>
    <row r="5253" spans="7:14" ht="11.25" customHeight="1" x14ac:dyDescent="0.3">
      <c r="G5253" s="459"/>
      <c r="H5253" s="459">
        <v>5246</v>
      </c>
      <c r="I5253" s="444">
        <f t="shared" ca="1" si="203"/>
        <v>49340565890864.555</v>
      </c>
      <c r="J5253" s="444">
        <f t="array" ref="J5253">IFERROR(INDEX('Retirement Calculator'!J:J,MATCH('Isaac 401k'!N5253,'Retirement Calculator'!A:A,0),0),0)</f>
        <v>0</v>
      </c>
      <c r="K5253" s="444">
        <f t="shared" ca="1" si="201"/>
        <v>205585691211.93564</v>
      </c>
      <c r="L5253" s="444">
        <f t="shared" ca="1" si="202"/>
        <v>49546151582076.492</v>
      </c>
      <c r="M5253" s="460">
        <f t="shared" si="204"/>
        <v>0.05</v>
      </c>
      <c r="N5253" s="464">
        <f t="shared" si="205"/>
        <v>210929</v>
      </c>
    </row>
    <row r="5254" spans="7:14" ht="11.25" customHeight="1" x14ac:dyDescent="0.3">
      <c r="G5254" s="459"/>
      <c r="H5254" s="459">
        <v>5247</v>
      </c>
      <c r="I5254" s="444">
        <f t="shared" ca="1" si="203"/>
        <v>49546151582076.492</v>
      </c>
      <c r="J5254" s="444">
        <f t="array" ref="J5254">IFERROR(INDEX('Retirement Calculator'!J:J,MATCH('Isaac 401k'!N5254,'Retirement Calculator'!A:A,0),0),0)</f>
        <v>0</v>
      </c>
      <c r="K5254" s="444">
        <f t="shared" ca="1" si="201"/>
        <v>206442298258.65204</v>
      </c>
      <c r="L5254" s="444">
        <f t="shared" ca="1" si="202"/>
        <v>49752593880335.141</v>
      </c>
      <c r="M5254" s="460">
        <f t="shared" si="204"/>
        <v>0.05</v>
      </c>
      <c r="N5254" s="464">
        <f t="shared" si="205"/>
        <v>210960</v>
      </c>
    </row>
    <row r="5255" spans="7:14" ht="11.25" customHeight="1" x14ac:dyDescent="0.3">
      <c r="G5255" s="459"/>
      <c r="H5255" s="459">
        <v>5248</v>
      </c>
      <c r="I5255" s="444">
        <f t="shared" ca="1" si="203"/>
        <v>49752593880335.141</v>
      </c>
      <c r="J5255" s="444">
        <f t="array" ref="J5255">IFERROR(INDEX('Retirement Calculator'!J:J,MATCH('Isaac 401k'!N5255,'Retirement Calculator'!A:A,0),0),0)</f>
        <v>0</v>
      </c>
      <c r="K5255" s="444">
        <f t="shared" ca="1" si="201"/>
        <v>207302474501.39642</v>
      </c>
      <c r="L5255" s="444">
        <f t="shared" ca="1" si="202"/>
        <v>49959896354836.539</v>
      </c>
      <c r="M5255" s="460">
        <f t="shared" si="204"/>
        <v>0.05</v>
      </c>
      <c r="N5255" s="464">
        <f t="shared" si="205"/>
        <v>210991</v>
      </c>
    </row>
    <row r="5256" spans="7:14" ht="11.25" customHeight="1" x14ac:dyDescent="0.3">
      <c r="G5256" s="459"/>
      <c r="H5256" s="459">
        <v>5249</v>
      </c>
      <c r="I5256" s="444">
        <f t="shared" ca="1" si="203"/>
        <v>49959896354836.539</v>
      </c>
      <c r="J5256" s="444">
        <f t="array" ref="J5256">IFERROR(INDEX('Retirement Calculator'!J:J,MATCH('Isaac 401k'!N5256,'Retirement Calculator'!A:A,0),0),0)</f>
        <v>0</v>
      </c>
      <c r="K5256" s="444">
        <f t="shared" ca="1" si="201"/>
        <v>208166234811.81891</v>
      </c>
      <c r="L5256" s="444">
        <f t="shared" ca="1" si="202"/>
        <v>50168062589648.359</v>
      </c>
      <c r="M5256" s="460">
        <f t="shared" si="204"/>
        <v>0.05</v>
      </c>
      <c r="N5256" s="464">
        <f t="shared" si="205"/>
        <v>211021</v>
      </c>
    </row>
    <row r="5257" spans="7:14" ht="11.25" customHeight="1" x14ac:dyDescent="0.3">
      <c r="G5257" s="459"/>
      <c r="H5257" s="459">
        <v>5250</v>
      </c>
      <c r="I5257" s="444">
        <f t="shared" ca="1" si="203"/>
        <v>50168062589648.359</v>
      </c>
      <c r="J5257" s="444">
        <f t="array" ref="J5257">IFERROR(INDEX('Retirement Calculator'!J:J,MATCH('Isaac 401k'!N5257,'Retirement Calculator'!A:A,0),0),0)</f>
        <v>0</v>
      </c>
      <c r="K5257" s="444">
        <f t="shared" ca="1" si="201"/>
        <v>209033594123.53482</v>
      </c>
      <c r="L5257" s="444">
        <f t="shared" ca="1" si="202"/>
        <v>50377096183771.891</v>
      </c>
      <c r="M5257" s="460">
        <f t="shared" si="204"/>
        <v>0.05</v>
      </c>
      <c r="N5257" s="464">
        <f t="shared" si="205"/>
        <v>211052</v>
      </c>
    </row>
    <row r="5258" spans="7:14" ht="11.25" customHeight="1" x14ac:dyDescent="0.3">
      <c r="G5258" s="459"/>
      <c r="H5258" s="459">
        <v>5251</v>
      </c>
      <c r="I5258" s="444">
        <f t="shared" ca="1" si="203"/>
        <v>50377096183771.891</v>
      </c>
      <c r="J5258" s="444">
        <f t="array" ref="J5258">IFERROR(INDEX('Retirement Calculator'!J:J,MATCH('Isaac 401k'!N5258,'Retirement Calculator'!A:A,0),0),0)</f>
        <v>0</v>
      </c>
      <c r="K5258" s="444">
        <f t="shared" ca="1" si="201"/>
        <v>209904567432.38287</v>
      </c>
      <c r="L5258" s="444">
        <f t="shared" ca="1" si="202"/>
        <v>50587000751204.273</v>
      </c>
      <c r="M5258" s="460">
        <f t="shared" si="204"/>
        <v>0.05</v>
      </c>
      <c r="N5258" s="464">
        <f t="shared" si="205"/>
        <v>211082</v>
      </c>
    </row>
    <row r="5259" spans="7:14" ht="11.25" customHeight="1" x14ac:dyDescent="0.3">
      <c r="G5259" s="459"/>
      <c r="H5259" s="459">
        <v>5252</v>
      </c>
      <c r="I5259" s="444">
        <f t="shared" ca="1" si="203"/>
        <v>50587000751204.273</v>
      </c>
      <c r="J5259" s="444">
        <f t="array" ref="J5259">IFERROR(INDEX('Retirement Calculator'!J:J,MATCH('Isaac 401k'!N5259,'Retirement Calculator'!A:A,0),0),0)</f>
        <v>0</v>
      </c>
      <c r="K5259" s="444">
        <f t="shared" ca="1" si="201"/>
        <v>210779169796.68448</v>
      </c>
      <c r="L5259" s="444">
        <f t="shared" ca="1" si="202"/>
        <v>50797779921000.961</v>
      </c>
      <c r="M5259" s="460">
        <f t="shared" si="204"/>
        <v>0.05</v>
      </c>
      <c r="N5259" s="464">
        <f t="shared" si="205"/>
        <v>211113</v>
      </c>
    </row>
    <row r="5260" spans="7:14" ht="11.25" customHeight="1" x14ac:dyDescent="0.3">
      <c r="G5260" s="459"/>
      <c r="H5260" s="459">
        <v>5253</v>
      </c>
      <c r="I5260" s="444">
        <f t="shared" ca="1" si="203"/>
        <v>50797779921000.961</v>
      </c>
      <c r="J5260" s="444">
        <f t="array" ref="J5260">IFERROR(INDEX('Retirement Calculator'!J:J,MATCH('Isaac 401k'!N5260,'Retirement Calculator'!A:A,0),0),0)</f>
        <v>0</v>
      </c>
      <c r="K5260" s="444">
        <f t="shared" ca="1" si="201"/>
        <v>211657416337.504</v>
      </c>
      <c r="L5260" s="444">
        <f t="shared" ca="1" si="202"/>
        <v>51009437337338.469</v>
      </c>
      <c r="M5260" s="460">
        <f t="shared" si="204"/>
        <v>0.05</v>
      </c>
      <c r="N5260" s="464">
        <f t="shared" si="205"/>
        <v>211144</v>
      </c>
    </row>
    <row r="5261" spans="7:14" ht="11.25" customHeight="1" x14ac:dyDescent="0.3">
      <c r="G5261" s="459"/>
      <c r="H5261" s="459">
        <v>5254</v>
      </c>
      <c r="I5261" s="444">
        <f t="shared" ca="1" si="203"/>
        <v>51009437337338.469</v>
      </c>
      <c r="J5261" s="444">
        <f t="array" ref="J5261">IFERROR(INDEX('Retirement Calculator'!J:J,MATCH('Isaac 401k'!N5261,'Retirement Calculator'!A:A,0),0),0)</f>
        <v>0</v>
      </c>
      <c r="K5261" s="444">
        <f t="shared" ca="1" si="201"/>
        <v>212539322238.91028</v>
      </c>
      <c r="L5261" s="444">
        <f t="shared" ca="1" si="202"/>
        <v>51221976659577.383</v>
      </c>
      <c r="M5261" s="460">
        <f t="shared" si="204"/>
        <v>0.05</v>
      </c>
      <c r="N5261" s="464">
        <f t="shared" si="205"/>
        <v>211172</v>
      </c>
    </row>
    <row r="5262" spans="7:14" ht="11.25" customHeight="1" x14ac:dyDescent="0.3">
      <c r="G5262" s="459"/>
      <c r="H5262" s="459">
        <v>5255</v>
      </c>
      <c r="I5262" s="444">
        <f t="shared" ca="1" si="203"/>
        <v>51221976659577.383</v>
      </c>
      <c r="J5262" s="444">
        <f t="array" ref="J5262">IFERROR(INDEX('Retirement Calculator'!J:J,MATCH('Isaac 401k'!N5262,'Retirement Calculator'!A:A,0),0),0)</f>
        <v>0</v>
      </c>
      <c r="K5262" s="444">
        <f t="shared" ca="1" si="201"/>
        <v>213424902748.23911</v>
      </c>
      <c r="L5262" s="444">
        <f t="shared" ca="1" si="202"/>
        <v>51435401562325.625</v>
      </c>
      <c r="M5262" s="460">
        <f t="shared" si="204"/>
        <v>0.05</v>
      </c>
      <c r="N5262" s="464">
        <f t="shared" si="205"/>
        <v>211203</v>
      </c>
    </row>
    <row r="5263" spans="7:14" ht="11.25" customHeight="1" x14ac:dyDescent="0.3">
      <c r="G5263" s="459"/>
      <c r="H5263" s="459">
        <v>5256</v>
      </c>
      <c r="I5263" s="444">
        <f t="shared" ca="1" si="203"/>
        <v>51435401562325.625</v>
      </c>
      <c r="J5263" s="444">
        <f t="array" ref="J5263">IFERROR(INDEX('Retirement Calculator'!J:J,MATCH('Isaac 401k'!N5263,'Retirement Calculator'!A:A,0),0),0)</f>
        <v>0</v>
      </c>
      <c r="K5263" s="444">
        <f t="shared" ca="1" si="201"/>
        <v>214314173176.35678</v>
      </c>
      <c r="L5263" s="444">
        <f t="shared" ca="1" si="202"/>
        <v>51649715735501.984</v>
      </c>
      <c r="M5263" s="460">
        <f t="shared" si="204"/>
        <v>0.05</v>
      </c>
      <c r="N5263" s="464">
        <f t="shared" si="205"/>
        <v>211233</v>
      </c>
    </row>
    <row r="5264" spans="7:14" ht="11.25" customHeight="1" x14ac:dyDescent="0.3">
      <c r="G5264" s="459"/>
      <c r="H5264" s="459">
        <v>5257</v>
      </c>
      <c r="I5264" s="444">
        <f t="shared" ca="1" si="203"/>
        <v>51649715735501.984</v>
      </c>
      <c r="J5264" s="444">
        <f t="array" ref="J5264">IFERROR(INDEX('Retirement Calculator'!J:J,MATCH('Isaac 401k'!N5264,'Retirement Calculator'!A:A,0),0),0)</f>
        <v>0</v>
      </c>
      <c r="K5264" s="444">
        <f t="shared" ca="1" si="201"/>
        <v>215207148897.92493</v>
      </c>
      <c r="L5264" s="444">
        <f t="shared" ca="1" si="202"/>
        <v>51864922884399.906</v>
      </c>
      <c r="M5264" s="460">
        <f t="shared" si="204"/>
        <v>0.05</v>
      </c>
      <c r="N5264" s="464">
        <f t="shared" si="205"/>
        <v>211264</v>
      </c>
    </row>
    <row r="5265" spans="7:14" ht="11.25" customHeight="1" x14ac:dyDescent="0.3">
      <c r="G5265" s="459"/>
      <c r="H5265" s="459">
        <v>5258</v>
      </c>
      <c r="I5265" s="444">
        <f t="shared" ca="1" si="203"/>
        <v>51864922884399.906</v>
      </c>
      <c r="J5265" s="444">
        <f t="array" ref="J5265">IFERROR(INDEX('Retirement Calculator'!J:J,MATCH('Isaac 401k'!N5265,'Retirement Calculator'!A:A,0),0),0)</f>
        <v>0</v>
      </c>
      <c r="K5265" s="444">
        <f t="shared" ca="1" si="201"/>
        <v>216103845351.66626</v>
      </c>
      <c r="L5265" s="444">
        <f t="shared" ca="1" si="202"/>
        <v>52081026729751.57</v>
      </c>
      <c r="M5265" s="460">
        <f t="shared" si="204"/>
        <v>0.05</v>
      </c>
      <c r="N5265" s="464">
        <f t="shared" si="205"/>
        <v>211294</v>
      </c>
    </row>
    <row r="5266" spans="7:14" ht="11.25" customHeight="1" x14ac:dyDescent="0.3">
      <c r="G5266" s="459"/>
      <c r="H5266" s="459">
        <v>5259</v>
      </c>
      <c r="I5266" s="444">
        <f t="shared" ca="1" si="203"/>
        <v>52081026729751.57</v>
      </c>
      <c r="J5266" s="444">
        <f t="array" ref="J5266">IFERROR(INDEX('Retirement Calculator'!J:J,MATCH('Isaac 401k'!N5266,'Retirement Calculator'!A:A,0),0),0)</f>
        <v>0</v>
      </c>
      <c r="K5266" s="444">
        <f t="shared" ca="1" si="201"/>
        <v>217004278040.63153</v>
      </c>
      <c r="L5266" s="444">
        <f t="shared" ca="1" si="202"/>
        <v>52298031007792.203</v>
      </c>
      <c r="M5266" s="460">
        <f t="shared" si="204"/>
        <v>0.05</v>
      </c>
      <c r="N5266" s="464">
        <f t="shared" si="205"/>
        <v>211325</v>
      </c>
    </row>
    <row r="5267" spans="7:14" ht="11.25" customHeight="1" x14ac:dyDescent="0.3">
      <c r="G5267" s="459"/>
      <c r="H5267" s="459">
        <v>5260</v>
      </c>
      <c r="I5267" s="444">
        <f t="shared" ca="1" si="203"/>
        <v>52298031007792.203</v>
      </c>
      <c r="J5267" s="444">
        <f t="array" ref="J5267">IFERROR(INDEX('Retirement Calculator'!J:J,MATCH('Isaac 401k'!N5267,'Retirement Calculator'!A:A,0),0),0)</f>
        <v>0</v>
      </c>
      <c r="K5267" s="444">
        <f t="shared" ca="1" si="201"/>
        <v>217908462532.4675</v>
      </c>
      <c r="L5267" s="444">
        <f t="shared" ca="1" si="202"/>
        <v>52515939470324.672</v>
      </c>
      <c r="M5267" s="460">
        <f t="shared" si="204"/>
        <v>0.05</v>
      </c>
      <c r="N5267" s="464">
        <f t="shared" si="205"/>
        <v>211356</v>
      </c>
    </row>
    <row r="5268" spans="7:14" ht="11.25" customHeight="1" x14ac:dyDescent="0.3">
      <c r="G5268" s="459"/>
      <c r="H5268" s="459">
        <v>5261</v>
      </c>
      <c r="I5268" s="444">
        <f t="shared" ca="1" si="203"/>
        <v>52515939470324.672</v>
      </c>
      <c r="J5268" s="444">
        <f t="array" ref="J5268">IFERROR(INDEX('Retirement Calculator'!J:J,MATCH('Isaac 401k'!N5268,'Retirement Calculator'!A:A,0),0),0)</f>
        <v>0</v>
      </c>
      <c r="K5268" s="444">
        <f t="shared" ca="1" si="201"/>
        <v>218816414459.68613</v>
      </c>
      <c r="L5268" s="444">
        <f t="shared" ca="1" si="202"/>
        <v>52734755884784.359</v>
      </c>
      <c r="M5268" s="460">
        <f t="shared" si="204"/>
        <v>0.05</v>
      </c>
      <c r="N5268" s="464">
        <f t="shared" si="205"/>
        <v>211386</v>
      </c>
    </row>
    <row r="5269" spans="7:14" ht="11.25" customHeight="1" x14ac:dyDescent="0.3">
      <c r="G5269" s="459"/>
      <c r="H5269" s="459">
        <v>5262</v>
      </c>
      <c r="I5269" s="444">
        <f t="shared" ca="1" si="203"/>
        <v>52734755884784.359</v>
      </c>
      <c r="J5269" s="444">
        <f t="array" ref="J5269">IFERROR(INDEX('Retirement Calculator'!J:J,MATCH('Isaac 401k'!N5269,'Retirement Calculator'!A:A,0),0),0)</f>
        <v>0</v>
      </c>
      <c r="K5269" s="444">
        <f t="shared" ca="1" si="201"/>
        <v>219728149519.93481</v>
      </c>
      <c r="L5269" s="444">
        <f t="shared" ca="1" si="202"/>
        <v>52954484034304.297</v>
      </c>
      <c r="M5269" s="460">
        <f t="shared" si="204"/>
        <v>0.05</v>
      </c>
      <c r="N5269" s="464">
        <f t="shared" si="205"/>
        <v>211417</v>
      </c>
    </row>
    <row r="5270" spans="7:14" ht="11.25" customHeight="1" x14ac:dyDescent="0.3">
      <c r="G5270" s="459"/>
      <c r="H5270" s="459">
        <v>5263</v>
      </c>
      <c r="I5270" s="444">
        <f t="shared" ca="1" si="203"/>
        <v>52954484034304.297</v>
      </c>
      <c r="J5270" s="444">
        <f t="array" ref="J5270">IFERROR(INDEX('Retirement Calculator'!J:J,MATCH('Isaac 401k'!N5270,'Retirement Calculator'!A:A,0),0),0)</f>
        <v>0</v>
      </c>
      <c r="K5270" s="444">
        <f t="shared" ca="1" si="201"/>
        <v>220643683476.26791</v>
      </c>
      <c r="L5270" s="444">
        <f t="shared" ca="1" si="202"/>
        <v>53175127717780.563</v>
      </c>
      <c r="M5270" s="460">
        <f t="shared" si="204"/>
        <v>0.05</v>
      </c>
      <c r="N5270" s="464">
        <f t="shared" si="205"/>
        <v>211447</v>
      </c>
    </row>
    <row r="5271" spans="7:14" ht="11.25" customHeight="1" x14ac:dyDescent="0.3">
      <c r="G5271" s="459"/>
      <c r="H5271" s="459">
        <v>5264</v>
      </c>
      <c r="I5271" s="444">
        <f t="shared" ca="1" si="203"/>
        <v>53175127717780.563</v>
      </c>
      <c r="J5271" s="444">
        <f t="array" ref="J5271">IFERROR(INDEX('Retirement Calculator'!J:J,MATCH('Isaac 401k'!N5271,'Retirement Calculator'!A:A,0),0),0)</f>
        <v>0</v>
      </c>
      <c r="K5271" s="444">
        <f t="shared" ca="1" si="201"/>
        <v>221563032157.41901</v>
      </c>
      <c r="L5271" s="444">
        <f t="shared" ca="1" si="202"/>
        <v>53396690749937.984</v>
      </c>
      <c r="M5271" s="460">
        <f t="shared" si="204"/>
        <v>0.05</v>
      </c>
      <c r="N5271" s="464">
        <f t="shared" si="205"/>
        <v>211478</v>
      </c>
    </row>
    <row r="5272" spans="7:14" ht="11.25" customHeight="1" x14ac:dyDescent="0.3">
      <c r="G5272" s="459"/>
      <c r="H5272" s="459">
        <v>5265</v>
      </c>
      <c r="I5272" s="444">
        <f t="shared" ca="1" si="203"/>
        <v>53396690749937.984</v>
      </c>
      <c r="J5272" s="444">
        <f t="array" ref="J5272">IFERROR(INDEX('Retirement Calculator'!J:J,MATCH('Isaac 401k'!N5272,'Retirement Calculator'!A:A,0),0),0)</f>
        <v>0</v>
      </c>
      <c r="K5272" s="444">
        <f t="shared" ca="1" si="201"/>
        <v>222486211458.07492</v>
      </c>
      <c r="L5272" s="444">
        <f t="shared" ca="1" si="202"/>
        <v>53619176961396.063</v>
      </c>
      <c r="M5272" s="460">
        <f t="shared" si="204"/>
        <v>0.05</v>
      </c>
      <c r="N5272" s="464">
        <f t="shared" si="205"/>
        <v>211509</v>
      </c>
    </row>
    <row r="5273" spans="7:14" ht="11.25" customHeight="1" x14ac:dyDescent="0.3">
      <c r="G5273" s="459"/>
      <c r="H5273" s="459">
        <v>5266</v>
      </c>
      <c r="I5273" s="444">
        <f t="shared" ca="1" si="203"/>
        <v>53619176961396.063</v>
      </c>
      <c r="J5273" s="444">
        <f t="array" ref="J5273">IFERROR(INDEX('Retirement Calculator'!J:J,MATCH('Isaac 401k'!N5273,'Retirement Calculator'!A:A,0),0),0)</f>
        <v>0</v>
      </c>
      <c r="K5273" s="444">
        <f t="shared" ca="1" si="201"/>
        <v>223413237339.15027</v>
      </c>
      <c r="L5273" s="444">
        <f t="shared" ca="1" si="202"/>
        <v>53842590198735.211</v>
      </c>
      <c r="M5273" s="460">
        <f t="shared" si="204"/>
        <v>0.05</v>
      </c>
      <c r="N5273" s="464">
        <f t="shared" si="205"/>
        <v>211537</v>
      </c>
    </row>
    <row r="5274" spans="7:14" ht="11.25" customHeight="1" x14ac:dyDescent="0.3">
      <c r="G5274" s="459"/>
      <c r="H5274" s="459">
        <v>5267</v>
      </c>
      <c r="I5274" s="444">
        <f t="shared" ca="1" si="203"/>
        <v>53842590198735.211</v>
      </c>
      <c r="J5274" s="444">
        <f t="array" ref="J5274">IFERROR(INDEX('Retirement Calculator'!J:J,MATCH('Isaac 401k'!N5274,'Retirement Calculator'!A:A,0),0),0)</f>
        <v>0</v>
      </c>
      <c r="K5274" s="444">
        <f t="shared" ca="1" si="201"/>
        <v>224344125828.06339</v>
      </c>
      <c r="L5274" s="444">
        <f t="shared" ca="1" si="202"/>
        <v>54066934324563.273</v>
      </c>
      <c r="M5274" s="460">
        <f t="shared" si="204"/>
        <v>0.05</v>
      </c>
      <c r="N5274" s="464">
        <f t="shared" si="205"/>
        <v>211568</v>
      </c>
    </row>
    <row r="5275" spans="7:14" ht="11.25" customHeight="1" x14ac:dyDescent="0.3">
      <c r="G5275" s="459"/>
      <c r="H5275" s="459">
        <v>5268</v>
      </c>
      <c r="I5275" s="444">
        <f t="shared" ca="1" si="203"/>
        <v>54066934324563.273</v>
      </c>
      <c r="J5275" s="444">
        <f t="array" ref="J5275">IFERROR(INDEX('Retirement Calculator'!J:J,MATCH('Isaac 401k'!N5275,'Retirement Calculator'!A:A,0),0),0)</f>
        <v>0</v>
      </c>
      <c r="K5275" s="444">
        <f t="shared" ca="1" si="201"/>
        <v>225278893019.01364</v>
      </c>
      <c r="L5275" s="444">
        <f t="shared" ca="1" si="202"/>
        <v>54292213217582.289</v>
      </c>
      <c r="M5275" s="460">
        <f t="shared" si="204"/>
        <v>0.05</v>
      </c>
      <c r="N5275" s="464">
        <f t="shared" si="205"/>
        <v>211598</v>
      </c>
    </row>
    <row r="5276" spans="7:14" ht="11.25" customHeight="1" x14ac:dyDescent="0.3">
      <c r="G5276" s="459"/>
      <c r="H5276" s="459">
        <v>5269</v>
      </c>
      <c r="I5276" s="444">
        <f t="shared" ca="1" si="203"/>
        <v>54292213217582.289</v>
      </c>
      <c r="J5276" s="444">
        <f t="array" ref="J5276">IFERROR(INDEX('Retirement Calculator'!J:J,MATCH('Isaac 401k'!N5276,'Retirement Calculator'!A:A,0),0),0)</f>
        <v>0</v>
      </c>
      <c r="K5276" s="444">
        <f t="shared" ca="1" si="201"/>
        <v>226217555073.25952</v>
      </c>
      <c r="L5276" s="444">
        <f t="shared" ca="1" si="202"/>
        <v>54518430772655.547</v>
      </c>
      <c r="M5276" s="460">
        <f t="shared" si="204"/>
        <v>0.05</v>
      </c>
      <c r="N5276" s="464">
        <f t="shared" si="205"/>
        <v>211629</v>
      </c>
    </row>
    <row r="5277" spans="7:14" ht="11.25" customHeight="1" x14ac:dyDescent="0.3">
      <c r="G5277" s="459"/>
      <c r="H5277" s="459">
        <v>5270</v>
      </c>
      <c r="I5277" s="444">
        <f t="shared" ca="1" si="203"/>
        <v>54518430772655.547</v>
      </c>
      <c r="J5277" s="444">
        <f t="array" ref="J5277">IFERROR(INDEX('Retirement Calculator'!J:J,MATCH('Isaac 401k'!N5277,'Retirement Calculator'!A:A,0),0),0)</f>
        <v>0</v>
      </c>
      <c r="K5277" s="444">
        <f t="shared" ca="1" si="201"/>
        <v>227160128219.3981</v>
      </c>
      <c r="L5277" s="444">
        <f t="shared" ca="1" si="202"/>
        <v>54745590900874.945</v>
      </c>
      <c r="M5277" s="460">
        <f t="shared" si="204"/>
        <v>0.05</v>
      </c>
      <c r="N5277" s="464">
        <f t="shared" si="205"/>
        <v>211659</v>
      </c>
    </row>
    <row r="5278" spans="7:14" ht="11.25" customHeight="1" x14ac:dyDescent="0.3">
      <c r="G5278" s="459"/>
      <c r="H5278" s="459">
        <v>5271</v>
      </c>
      <c r="I5278" s="444">
        <f t="shared" ca="1" si="203"/>
        <v>54745590900874.945</v>
      </c>
      <c r="J5278" s="444">
        <f t="array" ref="J5278">IFERROR(INDEX('Retirement Calculator'!J:J,MATCH('Isaac 401k'!N5278,'Retirement Calculator'!A:A,0),0),0)</f>
        <v>0</v>
      </c>
      <c r="K5278" s="444">
        <f t="shared" ca="1" si="201"/>
        <v>228106628753.6456</v>
      </c>
      <c r="L5278" s="444">
        <f t="shared" ca="1" si="202"/>
        <v>54973697529628.594</v>
      </c>
      <c r="M5278" s="460">
        <f t="shared" si="204"/>
        <v>0.05</v>
      </c>
      <c r="N5278" s="464">
        <f t="shared" si="205"/>
        <v>211690</v>
      </c>
    </row>
    <row r="5279" spans="7:14" ht="11.25" customHeight="1" x14ac:dyDescent="0.3">
      <c r="G5279" s="459"/>
      <c r="H5279" s="459">
        <v>5272</v>
      </c>
      <c r="I5279" s="444">
        <f t="shared" ca="1" si="203"/>
        <v>54973697529628.594</v>
      </c>
      <c r="J5279" s="444">
        <f t="array" ref="J5279">IFERROR(INDEX('Retirement Calculator'!J:J,MATCH('Isaac 401k'!N5279,'Retirement Calculator'!A:A,0),0),0)</f>
        <v>0</v>
      </c>
      <c r="K5279" s="444">
        <f t="shared" ca="1" si="201"/>
        <v>229057073040.11914</v>
      </c>
      <c r="L5279" s="444">
        <f t="shared" ca="1" si="202"/>
        <v>55202754602668.711</v>
      </c>
      <c r="M5279" s="460">
        <f t="shared" si="204"/>
        <v>0.05</v>
      </c>
      <c r="N5279" s="464">
        <f t="shared" si="205"/>
        <v>211721</v>
      </c>
    </row>
    <row r="5280" spans="7:14" ht="11.25" customHeight="1" x14ac:dyDescent="0.3">
      <c r="G5280" s="459"/>
      <c r="H5280" s="459">
        <v>5273</v>
      </c>
      <c r="I5280" s="444">
        <f t="shared" ca="1" si="203"/>
        <v>55202754602668.711</v>
      </c>
      <c r="J5280" s="444">
        <f t="array" ref="J5280">IFERROR(INDEX('Retirement Calculator'!J:J,MATCH('Isaac 401k'!N5280,'Retirement Calculator'!A:A,0),0),0)</f>
        <v>0</v>
      </c>
      <c r="K5280" s="444">
        <f t="shared" ca="1" si="201"/>
        <v>230011477511.1196</v>
      </c>
      <c r="L5280" s="444">
        <f t="shared" ca="1" si="202"/>
        <v>55432766080179.828</v>
      </c>
      <c r="M5280" s="460">
        <f t="shared" si="204"/>
        <v>0.05</v>
      </c>
      <c r="N5280" s="464">
        <f t="shared" si="205"/>
        <v>211751</v>
      </c>
    </row>
    <row r="5281" spans="7:14" ht="11.25" customHeight="1" x14ac:dyDescent="0.3">
      <c r="G5281" s="459"/>
      <c r="H5281" s="459">
        <v>5274</v>
      </c>
      <c r="I5281" s="444">
        <f t="shared" ca="1" si="203"/>
        <v>55432766080179.828</v>
      </c>
      <c r="J5281" s="444">
        <f t="array" ref="J5281">IFERROR(INDEX('Retirement Calculator'!J:J,MATCH('Isaac 401k'!N5281,'Retirement Calculator'!A:A,0),0),0)</f>
        <v>0</v>
      </c>
      <c r="K5281" s="444">
        <f t="shared" ca="1" si="201"/>
        <v>230969858667.41595</v>
      </c>
      <c r="L5281" s="444">
        <f t="shared" ca="1" si="202"/>
        <v>55663735938847.242</v>
      </c>
      <c r="M5281" s="460">
        <f t="shared" si="204"/>
        <v>0.05</v>
      </c>
      <c r="N5281" s="464">
        <f t="shared" si="205"/>
        <v>211782</v>
      </c>
    </row>
    <row r="5282" spans="7:14" ht="11.25" customHeight="1" x14ac:dyDescent="0.3">
      <c r="G5282" s="459"/>
      <c r="H5282" s="459">
        <v>5275</v>
      </c>
      <c r="I5282" s="444">
        <f t="shared" ca="1" si="203"/>
        <v>55663735938847.242</v>
      </c>
      <c r="J5282" s="444">
        <f t="array" ref="J5282">IFERROR(INDEX('Retirement Calculator'!J:J,MATCH('Isaac 401k'!N5282,'Retirement Calculator'!A:A,0),0),0)</f>
        <v>0</v>
      </c>
      <c r="K5282" s="444">
        <f t="shared" ca="1" si="201"/>
        <v>231932233078.53018</v>
      </c>
      <c r="L5282" s="444">
        <f t="shared" ca="1" si="202"/>
        <v>55895668171925.773</v>
      </c>
      <c r="M5282" s="460">
        <f t="shared" si="204"/>
        <v>0.05</v>
      </c>
      <c r="N5282" s="464">
        <f t="shared" si="205"/>
        <v>211812</v>
      </c>
    </row>
    <row r="5283" spans="7:14" ht="11.25" customHeight="1" x14ac:dyDescent="0.3">
      <c r="G5283" s="459"/>
      <c r="H5283" s="459">
        <v>5276</v>
      </c>
      <c r="I5283" s="444">
        <f t="shared" ca="1" si="203"/>
        <v>55895668171925.773</v>
      </c>
      <c r="J5283" s="444">
        <f t="array" ref="J5283">IFERROR(INDEX('Retirement Calculator'!J:J,MATCH('Isaac 401k'!N5283,'Retirement Calculator'!A:A,0),0),0)</f>
        <v>0</v>
      </c>
      <c r="K5283" s="444">
        <f t="shared" ca="1" si="201"/>
        <v>232898617383.02405</v>
      </c>
      <c r="L5283" s="444">
        <f t="shared" ca="1" si="202"/>
        <v>56128566789308.797</v>
      </c>
      <c r="M5283" s="460">
        <f t="shared" si="204"/>
        <v>0.05</v>
      </c>
      <c r="N5283" s="464">
        <f t="shared" si="205"/>
        <v>211843</v>
      </c>
    </row>
    <row r="5284" spans="7:14" ht="11.25" customHeight="1" x14ac:dyDescent="0.3">
      <c r="G5284" s="459"/>
      <c r="H5284" s="459">
        <v>5277</v>
      </c>
      <c r="I5284" s="444">
        <f t="shared" ca="1" si="203"/>
        <v>56128566789308.797</v>
      </c>
      <c r="J5284" s="444">
        <f t="array" ref="J5284">IFERROR(INDEX('Retirement Calculator'!J:J,MATCH('Isaac 401k'!N5284,'Retirement Calculator'!A:A,0),0),0)</f>
        <v>0</v>
      </c>
      <c r="K5284" s="444">
        <f t="shared" ca="1" si="201"/>
        <v>233869028288.78665</v>
      </c>
      <c r="L5284" s="444">
        <f t="shared" ca="1" si="202"/>
        <v>56362435817597.586</v>
      </c>
      <c r="M5284" s="460">
        <f t="shared" si="204"/>
        <v>0.05</v>
      </c>
      <c r="N5284" s="464">
        <f t="shared" si="205"/>
        <v>211874</v>
      </c>
    </row>
    <row r="5285" spans="7:14" ht="11.25" customHeight="1" x14ac:dyDescent="0.3">
      <c r="G5285" s="459"/>
      <c r="H5285" s="459">
        <v>5278</v>
      </c>
      <c r="I5285" s="444">
        <f t="shared" ca="1" si="203"/>
        <v>56362435817597.586</v>
      </c>
      <c r="J5285" s="444">
        <f t="array" ref="J5285">IFERROR(INDEX('Retirement Calculator'!J:J,MATCH('Isaac 401k'!N5285,'Retirement Calculator'!A:A,0),0),0)</f>
        <v>0</v>
      </c>
      <c r="K5285" s="444">
        <f t="shared" ca="1" si="201"/>
        <v>234843482573.32324</v>
      </c>
      <c r="L5285" s="444">
        <f t="shared" ca="1" si="202"/>
        <v>56597279300170.906</v>
      </c>
      <c r="M5285" s="460">
        <f t="shared" si="204"/>
        <v>0.05</v>
      </c>
      <c r="N5285" s="464">
        <f t="shared" si="205"/>
        <v>211903</v>
      </c>
    </row>
    <row r="5286" spans="7:14" ht="11.25" customHeight="1" x14ac:dyDescent="0.3">
      <c r="G5286" s="459"/>
      <c r="H5286" s="459">
        <v>5279</v>
      </c>
      <c r="I5286" s="444">
        <f t="shared" ca="1" si="203"/>
        <v>56597279300170.906</v>
      </c>
      <c r="J5286" s="444">
        <f t="array" ref="J5286">IFERROR(INDEX('Retirement Calculator'!J:J,MATCH('Isaac 401k'!N5286,'Retirement Calculator'!A:A,0),0),0)</f>
        <v>0</v>
      </c>
      <c r="K5286" s="444">
        <f t="shared" ca="1" si="201"/>
        <v>235821997084.04544</v>
      </c>
      <c r="L5286" s="444">
        <f t="shared" ca="1" si="202"/>
        <v>56833101297254.953</v>
      </c>
      <c r="M5286" s="460">
        <f t="shared" si="204"/>
        <v>0.05</v>
      </c>
      <c r="N5286" s="464">
        <f t="shared" si="205"/>
        <v>211934</v>
      </c>
    </row>
    <row r="5287" spans="7:14" ht="11.25" customHeight="1" x14ac:dyDescent="0.3">
      <c r="G5287" s="459"/>
      <c r="H5287" s="459">
        <v>5280</v>
      </c>
      <c r="I5287" s="444">
        <f t="shared" ca="1" si="203"/>
        <v>56833101297254.953</v>
      </c>
      <c r="J5287" s="444">
        <f t="array" ref="J5287">IFERROR(INDEX('Retirement Calculator'!J:J,MATCH('Isaac 401k'!N5287,'Retirement Calculator'!A:A,0),0),0)</f>
        <v>0</v>
      </c>
      <c r="K5287" s="444">
        <f t="shared" ca="1" si="201"/>
        <v>236804588738.56235</v>
      </c>
      <c r="L5287" s="444">
        <f t="shared" ca="1" si="202"/>
        <v>57069905885993.516</v>
      </c>
      <c r="M5287" s="460">
        <f t="shared" si="204"/>
        <v>0.05</v>
      </c>
      <c r="N5287" s="464">
        <f t="shared" si="205"/>
        <v>211964</v>
      </c>
    </row>
    <row r="5288" spans="7:14" ht="11.25" customHeight="1" x14ac:dyDescent="0.3">
      <c r="G5288" s="459"/>
      <c r="H5288" s="459">
        <v>5281</v>
      </c>
      <c r="I5288" s="444">
        <f t="shared" ca="1" si="203"/>
        <v>57069905885993.516</v>
      </c>
      <c r="J5288" s="444">
        <f t="array" ref="J5288">IFERROR(INDEX('Retirement Calculator'!J:J,MATCH('Isaac 401k'!N5288,'Retirement Calculator'!A:A,0),0),0)</f>
        <v>0</v>
      </c>
      <c r="K5288" s="444">
        <f t="shared" ca="1" si="201"/>
        <v>237791274524.97299</v>
      </c>
      <c r="L5288" s="444">
        <f t="shared" ca="1" si="202"/>
        <v>57307697160518.492</v>
      </c>
      <c r="M5288" s="460">
        <f t="shared" si="204"/>
        <v>0.05</v>
      </c>
      <c r="N5288" s="464">
        <f t="shared" si="205"/>
        <v>211995</v>
      </c>
    </row>
    <row r="5289" spans="7:14" ht="11.25" customHeight="1" x14ac:dyDescent="0.3">
      <c r="G5289" s="459"/>
      <c r="H5289" s="459">
        <v>5282</v>
      </c>
      <c r="I5289" s="444">
        <f t="shared" ca="1" si="203"/>
        <v>57307697160518.492</v>
      </c>
      <c r="J5289" s="444">
        <f t="array" ref="J5289">IFERROR(INDEX('Retirement Calculator'!J:J,MATCH('Isaac 401k'!N5289,'Retirement Calculator'!A:A,0),0),0)</f>
        <v>0</v>
      </c>
      <c r="K5289" s="444">
        <f t="shared" ca="1" si="201"/>
        <v>238782071502.16037</v>
      </c>
      <c r="L5289" s="444">
        <f t="shared" ca="1" si="202"/>
        <v>57546479232020.656</v>
      </c>
      <c r="M5289" s="460">
        <f t="shared" si="204"/>
        <v>0.05</v>
      </c>
      <c r="N5289" s="464">
        <f t="shared" si="205"/>
        <v>212025</v>
      </c>
    </row>
    <row r="5290" spans="7:14" ht="11.25" customHeight="1" x14ac:dyDescent="0.3">
      <c r="G5290" s="459"/>
      <c r="H5290" s="459">
        <v>5283</v>
      </c>
      <c r="I5290" s="444">
        <f t="shared" ca="1" si="203"/>
        <v>57546479232020.656</v>
      </c>
      <c r="J5290" s="444">
        <f t="array" ref="J5290">IFERROR(INDEX('Retirement Calculator'!J:J,MATCH('Isaac 401k'!N5290,'Retirement Calculator'!A:A,0),0),0)</f>
        <v>0</v>
      </c>
      <c r="K5290" s="444">
        <f t="shared" ca="1" si="201"/>
        <v>239776996800.08606</v>
      </c>
      <c r="L5290" s="444">
        <f t="shared" ca="1" si="202"/>
        <v>57786256228820.742</v>
      </c>
      <c r="M5290" s="460">
        <f t="shared" si="204"/>
        <v>0.05</v>
      </c>
      <c r="N5290" s="464">
        <f t="shared" si="205"/>
        <v>212056</v>
      </c>
    </row>
    <row r="5291" spans="7:14" ht="11.25" customHeight="1" x14ac:dyDescent="0.3">
      <c r="G5291" s="459"/>
      <c r="H5291" s="459">
        <v>5284</v>
      </c>
      <c r="I5291" s="444">
        <f t="shared" ca="1" si="203"/>
        <v>57786256228820.742</v>
      </c>
      <c r="J5291" s="444">
        <f t="array" ref="J5291">IFERROR(INDEX('Retirement Calculator'!J:J,MATCH('Isaac 401k'!N5291,'Retirement Calculator'!A:A,0),0),0)</f>
        <v>0</v>
      </c>
      <c r="K5291" s="444">
        <f t="shared" ca="1" si="201"/>
        <v>240776067620.08643</v>
      </c>
      <c r="L5291" s="444">
        <f t="shared" ca="1" si="202"/>
        <v>58027032296440.828</v>
      </c>
      <c r="M5291" s="460">
        <f t="shared" si="204"/>
        <v>0.05</v>
      </c>
      <c r="N5291" s="464">
        <f t="shared" si="205"/>
        <v>212087</v>
      </c>
    </row>
    <row r="5292" spans="7:14" ht="11.25" customHeight="1" x14ac:dyDescent="0.3">
      <c r="G5292" s="459"/>
      <c r="H5292" s="459">
        <v>5285</v>
      </c>
      <c r="I5292" s="444">
        <f t="shared" ca="1" si="203"/>
        <v>58027032296440.828</v>
      </c>
      <c r="J5292" s="444">
        <f t="array" ref="J5292">IFERROR(INDEX('Retirement Calculator'!J:J,MATCH('Isaac 401k'!N5292,'Retirement Calculator'!A:A,0),0),0)</f>
        <v>0</v>
      </c>
      <c r="K5292" s="444">
        <f t="shared" ca="1" si="201"/>
        <v>241779301235.1701</v>
      </c>
      <c r="L5292" s="444">
        <f t="shared" ca="1" si="202"/>
        <v>58268811597676</v>
      </c>
      <c r="M5292" s="460">
        <f t="shared" si="204"/>
        <v>0.05</v>
      </c>
      <c r="N5292" s="464">
        <f t="shared" si="205"/>
        <v>212117</v>
      </c>
    </row>
    <row r="5293" spans="7:14" ht="11.25" customHeight="1" x14ac:dyDescent="0.3">
      <c r="G5293" s="459"/>
      <c r="H5293" s="459">
        <v>5286</v>
      </c>
      <c r="I5293" s="444">
        <f t="shared" ca="1" si="203"/>
        <v>58268811597676</v>
      </c>
      <c r="J5293" s="444">
        <f t="array" ref="J5293">IFERROR(INDEX('Retirement Calculator'!J:J,MATCH('Isaac 401k'!N5293,'Retirement Calculator'!A:A,0),0),0)</f>
        <v>0</v>
      </c>
      <c r="K5293" s="444">
        <f t="shared" ca="1" si="201"/>
        <v>242786714990.31668</v>
      </c>
      <c r="L5293" s="444">
        <f t="shared" ca="1" si="202"/>
        <v>58511598312666.32</v>
      </c>
      <c r="M5293" s="460">
        <f t="shared" si="204"/>
        <v>0.05</v>
      </c>
      <c r="N5293" s="464">
        <f t="shared" si="205"/>
        <v>212148</v>
      </c>
    </row>
    <row r="5294" spans="7:14" ht="11.25" customHeight="1" x14ac:dyDescent="0.3">
      <c r="G5294" s="459"/>
      <c r="H5294" s="459">
        <v>5287</v>
      </c>
      <c r="I5294" s="444">
        <f t="shared" ca="1" si="203"/>
        <v>58511598312666.32</v>
      </c>
      <c r="J5294" s="444">
        <f t="array" ref="J5294">IFERROR(INDEX('Retirement Calculator'!J:J,MATCH('Isaac 401k'!N5294,'Retirement Calculator'!A:A,0),0),0)</f>
        <v>0</v>
      </c>
      <c r="K5294" s="444">
        <f t="shared" ca="1" si="201"/>
        <v>243798326302.77637</v>
      </c>
      <c r="L5294" s="444">
        <f t="shared" ca="1" si="202"/>
        <v>58755396638969.094</v>
      </c>
      <c r="M5294" s="460">
        <f t="shared" si="204"/>
        <v>0.05</v>
      </c>
      <c r="N5294" s="464">
        <f t="shared" si="205"/>
        <v>212178</v>
      </c>
    </row>
    <row r="5295" spans="7:14" ht="11.25" customHeight="1" x14ac:dyDescent="0.3">
      <c r="G5295" s="459"/>
      <c r="H5295" s="459">
        <v>5288</v>
      </c>
      <c r="I5295" s="444">
        <f t="shared" ca="1" si="203"/>
        <v>58755396638969.094</v>
      </c>
      <c r="J5295" s="444">
        <f t="array" ref="J5295">IFERROR(INDEX('Retirement Calculator'!J:J,MATCH('Isaac 401k'!N5295,'Retirement Calculator'!A:A,0),0),0)</f>
        <v>0</v>
      </c>
      <c r="K5295" s="444">
        <f t="shared" ca="1" si="201"/>
        <v>244814152662.37122</v>
      </c>
      <c r="L5295" s="444">
        <f t="shared" ca="1" si="202"/>
        <v>59000210791631.469</v>
      </c>
      <c r="M5295" s="460">
        <f t="shared" si="204"/>
        <v>0.05</v>
      </c>
      <c r="N5295" s="464">
        <f t="shared" si="205"/>
        <v>212209</v>
      </c>
    </row>
    <row r="5296" spans="7:14" ht="11.25" customHeight="1" x14ac:dyDescent="0.3">
      <c r="G5296" s="459"/>
      <c r="H5296" s="459">
        <v>5289</v>
      </c>
      <c r="I5296" s="444">
        <f t="shared" ca="1" si="203"/>
        <v>59000210791631.469</v>
      </c>
      <c r="J5296" s="444">
        <f t="array" ref="J5296">IFERROR(INDEX('Retirement Calculator'!J:J,MATCH('Isaac 401k'!N5296,'Retirement Calculator'!A:A,0),0),0)</f>
        <v>0</v>
      </c>
      <c r="K5296" s="444">
        <f t="shared" ca="1" si="201"/>
        <v>245834211631.79779</v>
      </c>
      <c r="L5296" s="444">
        <f t="shared" ca="1" si="202"/>
        <v>59246045003263.266</v>
      </c>
      <c r="M5296" s="460">
        <f t="shared" si="204"/>
        <v>0.05</v>
      </c>
      <c r="N5296" s="464">
        <f t="shared" si="205"/>
        <v>212240</v>
      </c>
    </row>
    <row r="5297" spans="7:14" ht="11.25" customHeight="1" x14ac:dyDescent="0.3">
      <c r="G5297" s="459"/>
      <c r="H5297" s="459">
        <v>5290</v>
      </c>
      <c r="I5297" s="444">
        <f t="shared" ca="1" si="203"/>
        <v>59246045003263.266</v>
      </c>
      <c r="J5297" s="444">
        <f t="array" ref="J5297">IFERROR(INDEX('Retirement Calculator'!J:J,MATCH('Isaac 401k'!N5297,'Retirement Calculator'!A:A,0),0),0)</f>
        <v>0</v>
      </c>
      <c r="K5297" s="444">
        <f t="shared" ca="1" si="201"/>
        <v>246858520846.93024</v>
      </c>
      <c r="L5297" s="444">
        <f t="shared" ca="1" si="202"/>
        <v>59492903524110.195</v>
      </c>
      <c r="M5297" s="460">
        <f t="shared" si="204"/>
        <v>0.05</v>
      </c>
      <c r="N5297" s="464">
        <f t="shared" si="205"/>
        <v>212268</v>
      </c>
    </row>
    <row r="5298" spans="7:14" ht="11.25" customHeight="1" x14ac:dyDescent="0.3">
      <c r="G5298" s="459"/>
      <c r="H5298" s="459">
        <v>5291</v>
      </c>
      <c r="I5298" s="444">
        <f t="shared" ca="1" si="203"/>
        <v>59492903524110.195</v>
      </c>
      <c r="J5298" s="444">
        <f t="array" ref="J5298">IFERROR(INDEX('Retirement Calculator'!J:J,MATCH('Isaac 401k'!N5298,'Retirement Calculator'!A:A,0),0),0)</f>
        <v>0</v>
      </c>
      <c r="K5298" s="444">
        <f t="shared" ca="1" si="201"/>
        <v>247887098017.12585</v>
      </c>
      <c r="L5298" s="444">
        <f t="shared" ca="1" si="202"/>
        <v>59740790622127.32</v>
      </c>
      <c r="M5298" s="460">
        <f t="shared" si="204"/>
        <v>0.05</v>
      </c>
      <c r="N5298" s="464">
        <f t="shared" si="205"/>
        <v>212299</v>
      </c>
    </row>
    <row r="5299" spans="7:14" ht="11.25" customHeight="1" x14ac:dyDescent="0.3">
      <c r="G5299" s="459"/>
      <c r="H5299" s="459">
        <v>5292</v>
      </c>
      <c r="I5299" s="444">
        <f t="shared" ca="1" si="203"/>
        <v>59740790622127.32</v>
      </c>
      <c r="J5299" s="444">
        <f t="array" ref="J5299">IFERROR(INDEX('Retirement Calculator'!J:J,MATCH('Isaac 401k'!N5299,'Retirement Calculator'!A:A,0),0),0)</f>
        <v>0</v>
      </c>
      <c r="K5299" s="444">
        <f t="shared" ca="1" si="201"/>
        <v>248919960925.53049</v>
      </c>
      <c r="L5299" s="444">
        <f t="shared" ca="1" si="202"/>
        <v>59989710583052.852</v>
      </c>
      <c r="M5299" s="460">
        <f t="shared" si="204"/>
        <v>0.05</v>
      </c>
      <c r="N5299" s="464">
        <f t="shared" si="205"/>
        <v>212329</v>
      </c>
    </row>
    <row r="5300" spans="7:14" ht="11.25" customHeight="1" x14ac:dyDescent="0.3">
      <c r="G5300" s="459"/>
      <c r="H5300" s="459">
        <v>5293</v>
      </c>
      <c r="I5300" s="444">
        <f t="shared" ca="1" si="203"/>
        <v>59989710583052.852</v>
      </c>
      <c r="J5300" s="444">
        <f t="array" ref="J5300">IFERROR(INDEX('Retirement Calculator'!J:J,MATCH('Isaac 401k'!N5300,'Retirement Calculator'!A:A,0),0),0)</f>
        <v>0</v>
      </c>
      <c r="K5300" s="444">
        <f t="shared" ca="1" si="201"/>
        <v>249957127429.38684</v>
      </c>
      <c r="L5300" s="444">
        <f t="shared" ca="1" si="202"/>
        <v>60239667710482.242</v>
      </c>
      <c r="M5300" s="460">
        <f t="shared" si="204"/>
        <v>0.05</v>
      </c>
      <c r="N5300" s="464">
        <f t="shared" si="205"/>
        <v>212360</v>
      </c>
    </row>
    <row r="5301" spans="7:14" ht="11.25" customHeight="1" x14ac:dyDescent="0.3">
      <c r="G5301" s="459"/>
      <c r="H5301" s="459">
        <v>5294</v>
      </c>
      <c r="I5301" s="444">
        <f t="shared" ca="1" si="203"/>
        <v>60239667710482.242</v>
      </c>
      <c r="J5301" s="444">
        <f t="array" ref="J5301">IFERROR(INDEX('Retirement Calculator'!J:J,MATCH('Isaac 401k'!N5301,'Retirement Calculator'!A:A,0),0),0)</f>
        <v>0</v>
      </c>
      <c r="K5301" s="444">
        <f t="shared" ca="1" si="201"/>
        <v>250998615460.34268</v>
      </c>
      <c r="L5301" s="444">
        <f t="shared" ca="1" si="202"/>
        <v>60490666325942.586</v>
      </c>
      <c r="M5301" s="460">
        <f t="shared" si="204"/>
        <v>0.05</v>
      </c>
      <c r="N5301" s="464">
        <f t="shared" si="205"/>
        <v>212390</v>
      </c>
    </row>
    <row r="5302" spans="7:14" ht="11.25" customHeight="1" x14ac:dyDescent="0.3">
      <c r="G5302" s="459"/>
      <c r="H5302" s="459">
        <v>5295</v>
      </c>
      <c r="I5302" s="444">
        <f t="shared" ca="1" si="203"/>
        <v>60490666325942.586</v>
      </c>
      <c r="J5302" s="444">
        <f t="array" ref="J5302">IFERROR(INDEX('Retirement Calculator'!J:J,MATCH('Isaac 401k'!N5302,'Retirement Calculator'!A:A,0),0),0)</f>
        <v>0</v>
      </c>
      <c r="K5302" s="444">
        <f t="shared" ca="1" si="201"/>
        <v>252044443024.76077</v>
      </c>
      <c r="L5302" s="444">
        <f t="shared" ca="1" si="202"/>
        <v>60742710768967.344</v>
      </c>
      <c r="M5302" s="460">
        <f t="shared" si="204"/>
        <v>0.05</v>
      </c>
      <c r="N5302" s="464">
        <f t="shared" si="205"/>
        <v>212421</v>
      </c>
    </row>
    <row r="5303" spans="7:14" ht="11.25" customHeight="1" x14ac:dyDescent="0.3">
      <c r="G5303" s="459"/>
      <c r="H5303" s="459">
        <v>5296</v>
      </c>
      <c r="I5303" s="444">
        <f t="shared" ca="1" si="203"/>
        <v>60742710768967.344</v>
      </c>
      <c r="J5303" s="444">
        <f t="array" ref="J5303">IFERROR(INDEX('Retirement Calculator'!J:J,MATCH('Isaac 401k'!N5303,'Retirement Calculator'!A:A,0),0),0)</f>
        <v>0</v>
      </c>
      <c r="K5303" s="444">
        <f t="shared" ca="1" si="201"/>
        <v>253094628204.03061</v>
      </c>
      <c r="L5303" s="444">
        <f t="shared" ca="1" si="202"/>
        <v>60995805397171.375</v>
      </c>
      <c r="M5303" s="460">
        <f t="shared" si="204"/>
        <v>0.05</v>
      </c>
      <c r="N5303" s="464">
        <f t="shared" si="205"/>
        <v>212452</v>
      </c>
    </row>
    <row r="5304" spans="7:14" ht="11.25" customHeight="1" x14ac:dyDescent="0.3">
      <c r="G5304" s="459"/>
      <c r="H5304" s="459">
        <v>5297</v>
      </c>
      <c r="I5304" s="444">
        <f t="shared" ca="1" si="203"/>
        <v>60995805397171.375</v>
      </c>
      <c r="J5304" s="444">
        <f t="array" ref="J5304">IFERROR(INDEX('Retirement Calculator'!J:J,MATCH('Isaac 401k'!N5304,'Retirement Calculator'!A:A,0),0),0)</f>
        <v>0</v>
      </c>
      <c r="K5304" s="444">
        <f t="shared" ca="1" si="201"/>
        <v>254149189154.88074</v>
      </c>
      <c r="L5304" s="444">
        <f t="shared" ca="1" si="202"/>
        <v>61249954586326.258</v>
      </c>
      <c r="M5304" s="460">
        <f t="shared" si="204"/>
        <v>0.05</v>
      </c>
      <c r="N5304" s="464">
        <f t="shared" si="205"/>
        <v>212482</v>
      </c>
    </row>
    <row r="5305" spans="7:14" ht="11.25" customHeight="1" x14ac:dyDescent="0.3">
      <c r="G5305" s="459"/>
      <c r="H5305" s="459">
        <v>5298</v>
      </c>
      <c r="I5305" s="444">
        <f t="shared" ca="1" si="203"/>
        <v>61249954586326.258</v>
      </c>
      <c r="J5305" s="444">
        <f t="array" ref="J5305">IFERROR(INDEX('Retirement Calculator'!J:J,MATCH('Isaac 401k'!N5305,'Retirement Calculator'!A:A,0),0),0)</f>
        <v>0</v>
      </c>
      <c r="K5305" s="444">
        <f t="shared" ca="1" si="201"/>
        <v>255208144109.69275</v>
      </c>
      <c r="L5305" s="444">
        <f t="shared" ca="1" si="202"/>
        <v>61505162730435.953</v>
      </c>
      <c r="M5305" s="460">
        <f t="shared" si="204"/>
        <v>0.05</v>
      </c>
      <c r="N5305" s="464">
        <f t="shared" si="205"/>
        <v>212513</v>
      </c>
    </row>
    <row r="5306" spans="7:14" ht="11.25" customHeight="1" x14ac:dyDescent="0.3">
      <c r="G5306" s="459"/>
      <c r="H5306" s="459">
        <v>5299</v>
      </c>
      <c r="I5306" s="444">
        <f t="shared" ca="1" si="203"/>
        <v>61505162730435.953</v>
      </c>
      <c r="J5306" s="444">
        <f t="array" ref="J5306">IFERROR(INDEX('Retirement Calculator'!J:J,MATCH('Isaac 401k'!N5306,'Retirement Calculator'!A:A,0),0),0)</f>
        <v>0</v>
      </c>
      <c r="K5306" s="444">
        <f t="shared" ca="1" si="201"/>
        <v>256271511376.81647</v>
      </c>
      <c r="L5306" s="444">
        <f t="shared" ca="1" si="202"/>
        <v>61761434241812.773</v>
      </c>
      <c r="M5306" s="460">
        <f t="shared" si="204"/>
        <v>0.05</v>
      </c>
      <c r="N5306" s="464">
        <f t="shared" si="205"/>
        <v>212543</v>
      </c>
    </row>
    <row r="5307" spans="7:14" ht="11.25" customHeight="1" x14ac:dyDescent="0.3">
      <c r="G5307" s="459"/>
      <c r="H5307" s="459">
        <v>5300</v>
      </c>
      <c r="I5307" s="444">
        <f t="shared" ca="1" si="203"/>
        <v>61761434241812.773</v>
      </c>
      <c r="J5307" s="444">
        <f t="array" ref="J5307">IFERROR(INDEX('Retirement Calculator'!J:J,MATCH('Isaac 401k'!N5307,'Retirement Calculator'!A:A,0),0),0)</f>
        <v>0</v>
      </c>
      <c r="K5307" s="444">
        <f t="shared" ca="1" si="201"/>
        <v>257339309340.88657</v>
      </c>
      <c r="L5307" s="444">
        <f t="shared" ca="1" si="202"/>
        <v>62018773551153.656</v>
      </c>
      <c r="M5307" s="460">
        <f t="shared" si="204"/>
        <v>0.05</v>
      </c>
      <c r="N5307" s="464">
        <f t="shared" si="205"/>
        <v>212574</v>
      </c>
    </row>
    <row r="5308" spans="7:14" ht="11.25" customHeight="1" x14ac:dyDescent="0.3">
      <c r="G5308" s="459"/>
      <c r="H5308" s="459">
        <v>5301</v>
      </c>
      <c r="I5308" s="444">
        <f t="shared" ca="1" si="203"/>
        <v>62018773551153.656</v>
      </c>
      <c r="J5308" s="444">
        <f t="array" ref="J5308">IFERROR(INDEX('Retirement Calculator'!J:J,MATCH('Isaac 401k'!N5308,'Retirement Calculator'!A:A,0),0),0)</f>
        <v>0</v>
      </c>
      <c r="K5308" s="444">
        <f t="shared" ca="1" si="201"/>
        <v>258411556463.1402</v>
      </c>
      <c r="L5308" s="444">
        <f t="shared" ca="1" si="202"/>
        <v>62277185107616.797</v>
      </c>
      <c r="M5308" s="460">
        <f t="shared" si="204"/>
        <v>0.05</v>
      </c>
      <c r="N5308" s="464">
        <f t="shared" si="205"/>
        <v>212605</v>
      </c>
    </row>
    <row r="5309" spans="7:14" ht="11.25" customHeight="1" x14ac:dyDescent="0.3">
      <c r="G5309" s="459"/>
      <c r="H5309" s="459">
        <v>5302</v>
      </c>
      <c r="I5309" s="444">
        <f t="shared" ca="1" si="203"/>
        <v>62277185107616.797</v>
      </c>
      <c r="J5309" s="444">
        <f t="array" ref="J5309">IFERROR(INDEX('Retirement Calculator'!J:J,MATCH('Isaac 401k'!N5309,'Retirement Calculator'!A:A,0),0),0)</f>
        <v>0</v>
      </c>
      <c r="K5309" s="444">
        <f t="shared" ca="1" si="201"/>
        <v>259488271281.73666</v>
      </c>
      <c r="L5309" s="444">
        <f t="shared" ca="1" si="202"/>
        <v>62536673378898.531</v>
      </c>
      <c r="M5309" s="460">
        <f t="shared" si="204"/>
        <v>0.05</v>
      </c>
      <c r="N5309" s="464">
        <f t="shared" si="205"/>
        <v>212633</v>
      </c>
    </row>
    <row r="5310" spans="7:14" ht="11.25" customHeight="1" x14ac:dyDescent="0.3">
      <c r="G5310" s="459"/>
      <c r="H5310" s="459">
        <v>5303</v>
      </c>
      <c r="I5310" s="444">
        <f t="shared" ca="1" si="203"/>
        <v>62536673378898.531</v>
      </c>
      <c r="J5310" s="444">
        <f t="array" ref="J5310">IFERROR(INDEX('Retirement Calculator'!J:J,MATCH('Isaac 401k'!N5310,'Retirement Calculator'!A:A,0),0),0)</f>
        <v>0</v>
      </c>
      <c r="K5310" s="444">
        <f t="shared" ca="1" si="201"/>
        <v>260569472412.07721</v>
      </c>
      <c r="L5310" s="444">
        <f t="shared" ca="1" si="202"/>
        <v>62797242851310.609</v>
      </c>
      <c r="M5310" s="460">
        <f t="shared" si="204"/>
        <v>0.05</v>
      </c>
      <c r="N5310" s="464">
        <f t="shared" si="205"/>
        <v>212664</v>
      </c>
    </row>
    <row r="5311" spans="7:14" ht="11.25" customHeight="1" x14ac:dyDescent="0.3">
      <c r="G5311" s="459"/>
      <c r="H5311" s="459">
        <v>5304</v>
      </c>
      <c r="I5311" s="444">
        <f t="shared" ca="1" si="203"/>
        <v>62797242851310.609</v>
      </c>
      <c r="J5311" s="444">
        <f t="array" ref="J5311">IFERROR(INDEX('Retirement Calculator'!J:J,MATCH('Isaac 401k'!N5311,'Retirement Calculator'!A:A,0),0),0)</f>
        <v>0</v>
      </c>
      <c r="K5311" s="444">
        <f t="shared" ca="1" si="201"/>
        <v>261655178547.12753</v>
      </c>
      <c r="L5311" s="444">
        <f t="shared" ca="1" si="202"/>
        <v>63058898029857.734</v>
      </c>
      <c r="M5311" s="460">
        <f t="shared" si="204"/>
        <v>0.05</v>
      </c>
      <c r="N5311" s="464">
        <f t="shared" si="205"/>
        <v>212694</v>
      </c>
    </row>
    <row r="5312" spans="7:14" ht="11.25" customHeight="1" x14ac:dyDescent="0.3">
      <c r="G5312" s="459"/>
      <c r="H5312" s="459">
        <v>5305</v>
      </c>
      <c r="I5312" s="444">
        <f t="shared" ca="1" si="203"/>
        <v>63058898029857.734</v>
      </c>
      <c r="J5312" s="444">
        <f t="array" ref="J5312">IFERROR(INDEX('Retirement Calculator'!J:J,MATCH('Isaac 401k'!N5312,'Retirement Calculator'!A:A,0),0),0)</f>
        <v>0</v>
      </c>
      <c r="K5312" s="444">
        <f t="shared" ca="1" si="201"/>
        <v>262745408457.7406</v>
      </c>
      <c r="L5312" s="444">
        <f t="shared" ca="1" si="202"/>
        <v>63321643438315.477</v>
      </c>
      <c r="M5312" s="460">
        <f t="shared" si="204"/>
        <v>0.05</v>
      </c>
      <c r="N5312" s="464">
        <f t="shared" si="205"/>
        <v>212725</v>
      </c>
    </row>
    <row r="5313" spans="7:14" ht="11.25" customHeight="1" x14ac:dyDescent="0.3">
      <c r="G5313" s="459"/>
      <c r="H5313" s="459">
        <v>5306</v>
      </c>
      <c r="I5313" s="444">
        <f t="shared" ca="1" si="203"/>
        <v>63321643438315.477</v>
      </c>
      <c r="J5313" s="444">
        <f t="array" ref="J5313">IFERROR(INDEX('Retirement Calculator'!J:J,MATCH('Isaac 401k'!N5313,'Retirement Calculator'!A:A,0),0),0)</f>
        <v>0</v>
      </c>
      <c r="K5313" s="444">
        <f t="shared" ca="1" si="201"/>
        <v>263840180992.98114</v>
      </c>
      <c r="L5313" s="444">
        <f t="shared" ca="1" si="202"/>
        <v>63585483619308.461</v>
      </c>
      <c r="M5313" s="460">
        <f t="shared" si="204"/>
        <v>0.05</v>
      </c>
      <c r="N5313" s="464">
        <f t="shared" si="205"/>
        <v>212755</v>
      </c>
    </row>
    <row r="5314" spans="7:14" ht="11.25" customHeight="1" x14ac:dyDescent="0.3">
      <c r="G5314" s="459"/>
      <c r="H5314" s="459">
        <v>5307</v>
      </c>
      <c r="I5314" s="444">
        <f t="shared" ca="1" si="203"/>
        <v>63585483619308.461</v>
      </c>
      <c r="J5314" s="444">
        <f t="array" ref="J5314">IFERROR(INDEX('Retirement Calculator'!J:J,MATCH('Isaac 401k'!N5314,'Retirement Calculator'!A:A,0),0),0)</f>
        <v>0</v>
      </c>
      <c r="K5314" s="444">
        <f t="shared" ca="1" si="201"/>
        <v>264939515080.4519</v>
      </c>
      <c r="L5314" s="444">
        <f t="shared" ca="1" si="202"/>
        <v>63850423134388.914</v>
      </c>
      <c r="M5314" s="460">
        <f t="shared" si="204"/>
        <v>0.05</v>
      </c>
      <c r="N5314" s="464">
        <f t="shared" si="205"/>
        <v>212786</v>
      </c>
    </row>
    <row r="5315" spans="7:14" ht="11.25" customHeight="1" x14ac:dyDescent="0.3">
      <c r="G5315" s="459"/>
      <c r="H5315" s="459">
        <v>5308</v>
      </c>
      <c r="I5315" s="444">
        <f t="shared" ca="1" si="203"/>
        <v>63850423134388.914</v>
      </c>
      <c r="J5315" s="444">
        <f t="array" ref="J5315">IFERROR(INDEX('Retirement Calculator'!J:J,MATCH('Isaac 401k'!N5315,'Retirement Calculator'!A:A,0),0),0)</f>
        <v>0</v>
      </c>
      <c r="K5315" s="444">
        <f t="shared" ca="1" si="201"/>
        <v>266043429726.62045</v>
      </c>
      <c r="L5315" s="444">
        <f t="shared" ca="1" si="202"/>
        <v>64116466564115.531</v>
      </c>
      <c r="M5315" s="460">
        <f t="shared" si="204"/>
        <v>0.05</v>
      </c>
      <c r="N5315" s="464">
        <f t="shared" si="205"/>
        <v>212817</v>
      </c>
    </row>
    <row r="5316" spans="7:14" ht="11.25" customHeight="1" x14ac:dyDescent="0.3">
      <c r="G5316" s="459"/>
      <c r="H5316" s="459">
        <v>5309</v>
      </c>
      <c r="I5316" s="444">
        <f t="shared" ca="1" si="203"/>
        <v>64116466564115.531</v>
      </c>
      <c r="J5316" s="444">
        <f t="array" ref="J5316">IFERROR(INDEX('Retirement Calculator'!J:J,MATCH('Isaac 401k'!N5316,'Retirement Calculator'!A:A,0),0),0)</f>
        <v>0</v>
      </c>
      <c r="K5316" s="444">
        <f t="shared" ca="1" si="201"/>
        <v>267151944017.14804</v>
      </c>
      <c r="L5316" s="444">
        <f t="shared" ca="1" si="202"/>
        <v>64383618508132.68</v>
      </c>
      <c r="M5316" s="460">
        <f t="shared" si="204"/>
        <v>0.05</v>
      </c>
      <c r="N5316" s="464">
        <f t="shared" si="205"/>
        <v>212847</v>
      </c>
    </row>
    <row r="5317" spans="7:14" ht="11.25" customHeight="1" x14ac:dyDescent="0.3">
      <c r="G5317" s="459"/>
      <c r="H5317" s="459">
        <v>5310</v>
      </c>
      <c r="I5317" s="444">
        <f t="shared" ca="1" si="203"/>
        <v>64383618508132.68</v>
      </c>
      <c r="J5317" s="444">
        <f t="array" ref="J5317">IFERROR(INDEX('Retirement Calculator'!J:J,MATCH('Isaac 401k'!N5317,'Retirement Calculator'!A:A,0),0),0)</f>
        <v>0</v>
      </c>
      <c r="K5317" s="444">
        <f t="shared" ca="1" si="201"/>
        <v>268265077117.21948</v>
      </c>
      <c r="L5317" s="444">
        <f t="shared" ca="1" si="202"/>
        <v>64651883585249.898</v>
      </c>
      <c r="M5317" s="460">
        <f t="shared" si="204"/>
        <v>0.05</v>
      </c>
      <c r="N5317" s="464">
        <f t="shared" si="205"/>
        <v>212878</v>
      </c>
    </row>
    <row r="5318" spans="7:14" ht="11.25" customHeight="1" x14ac:dyDescent="0.3">
      <c r="G5318" s="459"/>
      <c r="H5318" s="459">
        <v>5311</v>
      </c>
      <c r="I5318" s="444">
        <f t="shared" ca="1" si="203"/>
        <v>64651883585249.898</v>
      </c>
      <c r="J5318" s="444">
        <f t="array" ref="J5318">IFERROR(INDEX('Retirement Calculator'!J:J,MATCH('Isaac 401k'!N5318,'Retirement Calculator'!A:A,0),0),0)</f>
        <v>0</v>
      </c>
      <c r="K5318" s="444">
        <f t="shared" ca="1" si="201"/>
        <v>269382848271.8746</v>
      </c>
      <c r="L5318" s="444">
        <f t="shared" ca="1" si="202"/>
        <v>64921266433521.773</v>
      </c>
      <c r="M5318" s="460">
        <f t="shared" si="204"/>
        <v>0.05</v>
      </c>
      <c r="N5318" s="464">
        <f t="shared" si="205"/>
        <v>212908</v>
      </c>
    </row>
    <row r="5319" spans="7:14" ht="11.25" customHeight="1" x14ac:dyDescent="0.3">
      <c r="G5319" s="459"/>
      <c r="H5319" s="459">
        <v>5312</v>
      </c>
      <c r="I5319" s="444">
        <f t="shared" ca="1" si="203"/>
        <v>64921266433521.773</v>
      </c>
      <c r="J5319" s="444">
        <f t="array" ref="J5319">IFERROR(INDEX('Retirement Calculator'!J:J,MATCH('Isaac 401k'!N5319,'Retirement Calculator'!A:A,0),0),0)</f>
        <v>0</v>
      </c>
      <c r="K5319" s="444">
        <f t="shared" ca="1" si="201"/>
        <v>270505276806.34073</v>
      </c>
      <c r="L5319" s="444">
        <f t="shared" ca="1" si="202"/>
        <v>65191771710328.117</v>
      </c>
      <c r="M5319" s="460">
        <f t="shared" si="204"/>
        <v>0.05</v>
      </c>
      <c r="N5319" s="464">
        <f t="shared" si="205"/>
        <v>212939</v>
      </c>
    </row>
    <row r="5320" spans="7:14" ht="11.25" customHeight="1" x14ac:dyDescent="0.3">
      <c r="G5320" s="459"/>
      <c r="H5320" s="459">
        <v>5313</v>
      </c>
      <c r="I5320" s="444">
        <f t="shared" ca="1" si="203"/>
        <v>65191771710328.117</v>
      </c>
      <c r="J5320" s="444">
        <f t="array" ref="J5320">IFERROR(INDEX('Retirement Calculator'!J:J,MATCH('Isaac 401k'!N5320,'Retirement Calculator'!A:A,0),0),0)</f>
        <v>0</v>
      </c>
      <c r="K5320" s="444">
        <f t="shared" ca="1" si="201"/>
        <v>271632382126.36716</v>
      </c>
      <c r="L5320" s="444">
        <f t="shared" ca="1" si="202"/>
        <v>65463404092454.484</v>
      </c>
      <c r="M5320" s="460">
        <f t="shared" si="204"/>
        <v>0.05</v>
      </c>
      <c r="N5320" s="464">
        <f t="shared" si="205"/>
        <v>212970</v>
      </c>
    </row>
    <row r="5321" spans="7:14" ht="11.25" customHeight="1" x14ac:dyDescent="0.3">
      <c r="G5321" s="459"/>
      <c r="H5321" s="459">
        <v>5314</v>
      </c>
      <c r="I5321" s="444">
        <f t="shared" ca="1" si="203"/>
        <v>65463404092454.484</v>
      </c>
      <c r="J5321" s="444">
        <f t="array" ref="J5321">IFERROR(INDEX('Retirement Calculator'!J:J,MATCH('Isaac 401k'!N5321,'Retirement Calculator'!A:A,0),0),0)</f>
        <v>0</v>
      </c>
      <c r="K5321" s="444">
        <f t="shared" ca="1" si="201"/>
        <v>272764183718.5603</v>
      </c>
      <c r="L5321" s="444">
        <f t="shared" ca="1" si="202"/>
        <v>65736168276173.047</v>
      </c>
      <c r="M5321" s="460">
        <f t="shared" si="204"/>
        <v>0.05</v>
      </c>
      <c r="N5321" s="464">
        <f t="shared" si="205"/>
        <v>212998</v>
      </c>
    </row>
    <row r="5322" spans="7:14" ht="11.25" customHeight="1" x14ac:dyDescent="0.3">
      <c r="G5322" s="459"/>
      <c r="H5322" s="459">
        <v>5315</v>
      </c>
      <c r="I5322" s="444">
        <f t="shared" ca="1" si="203"/>
        <v>65736168276173.047</v>
      </c>
      <c r="J5322" s="444">
        <f t="array" ref="J5322">IFERROR(INDEX('Retirement Calculator'!J:J,MATCH('Isaac 401k'!N5322,'Retirement Calculator'!A:A,0),0),0)</f>
        <v>0</v>
      </c>
      <c r="K5322" s="444">
        <f t="shared" ca="1" si="201"/>
        <v>273900701150.72104</v>
      </c>
      <c r="L5322" s="444">
        <f t="shared" ca="1" si="202"/>
        <v>66010068977323.766</v>
      </c>
      <c r="M5322" s="460">
        <f t="shared" si="204"/>
        <v>0.05</v>
      </c>
      <c r="N5322" s="464">
        <f t="shared" si="205"/>
        <v>213029</v>
      </c>
    </row>
    <row r="5323" spans="7:14" ht="11.25" customHeight="1" x14ac:dyDescent="0.3">
      <c r="G5323" s="459"/>
      <c r="H5323" s="459">
        <v>5316</v>
      </c>
      <c r="I5323" s="444">
        <f t="shared" ca="1" si="203"/>
        <v>66010068977323.766</v>
      </c>
      <c r="J5323" s="444">
        <f t="array" ref="J5323">IFERROR(INDEX('Retirement Calculator'!J:J,MATCH('Isaac 401k'!N5323,'Retirement Calculator'!A:A,0),0),0)</f>
        <v>0</v>
      </c>
      <c r="K5323" s="444">
        <f t="shared" ca="1" si="201"/>
        <v>275041954072.18237</v>
      </c>
      <c r="L5323" s="444">
        <f t="shared" ca="1" si="202"/>
        <v>66285110931395.945</v>
      </c>
      <c r="M5323" s="460">
        <f t="shared" si="204"/>
        <v>0.05</v>
      </c>
      <c r="N5323" s="464">
        <f t="shared" si="205"/>
        <v>213059</v>
      </c>
    </row>
    <row r="5324" spans="7:14" ht="11.25" customHeight="1" x14ac:dyDescent="0.3">
      <c r="G5324" s="459"/>
      <c r="H5324" s="459">
        <v>5317</v>
      </c>
      <c r="I5324" s="444">
        <f t="shared" ca="1" si="203"/>
        <v>66285110931395.945</v>
      </c>
      <c r="J5324" s="444">
        <f t="array" ref="J5324">IFERROR(INDEX('Retirement Calculator'!J:J,MATCH('Isaac 401k'!N5324,'Retirement Calculator'!A:A,0),0),0)</f>
        <v>0</v>
      </c>
      <c r="K5324" s="444">
        <f t="shared" ca="1" si="201"/>
        <v>276187962214.14978</v>
      </c>
      <c r="L5324" s="444">
        <f t="shared" ca="1" si="202"/>
        <v>66561298893610.094</v>
      </c>
      <c r="M5324" s="460">
        <f t="shared" si="204"/>
        <v>0.05</v>
      </c>
      <c r="N5324" s="464">
        <f t="shared" si="205"/>
        <v>213090</v>
      </c>
    </row>
    <row r="5325" spans="7:14" ht="11.25" customHeight="1" x14ac:dyDescent="0.3">
      <c r="G5325" s="459"/>
      <c r="H5325" s="459">
        <v>5318</v>
      </c>
      <c r="I5325" s="444">
        <f t="shared" ca="1" si="203"/>
        <v>66561298893610.094</v>
      </c>
      <c r="J5325" s="444">
        <f t="array" ref="J5325">IFERROR(INDEX('Retirement Calculator'!J:J,MATCH('Isaac 401k'!N5325,'Retirement Calculator'!A:A,0),0),0)</f>
        <v>0</v>
      </c>
      <c r="K5325" s="444">
        <f t="shared" ca="1" si="201"/>
        <v>277338745390.04211</v>
      </c>
      <c r="L5325" s="444">
        <f t="shared" ca="1" si="202"/>
        <v>66838637639000.133</v>
      </c>
      <c r="M5325" s="460">
        <f t="shared" si="204"/>
        <v>0.05</v>
      </c>
      <c r="N5325" s="464">
        <f t="shared" si="205"/>
        <v>213120</v>
      </c>
    </row>
    <row r="5326" spans="7:14" ht="11.25" customHeight="1" x14ac:dyDescent="0.3">
      <c r="G5326" s="459"/>
      <c r="H5326" s="459">
        <v>5319</v>
      </c>
      <c r="I5326" s="444">
        <f t="shared" ca="1" si="203"/>
        <v>66838637639000.133</v>
      </c>
      <c r="J5326" s="444">
        <f t="array" ref="J5326">IFERROR(INDEX('Retirement Calculator'!J:J,MATCH('Isaac 401k'!N5326,'Retirement Calculator'!A:A,0),0),0)</f>
        <v>0</v>
      </c>
      <c r="K5326" s="444">
        <f t="shared" ca="1" si="201"/>
        <v>278494323495.83386</v>
      </c>
      <c r="L5326" s="444">
        <f t="shared" ca="1" si="202"/>
        <v>67117131962495.969</v>
      </c>
      <c r="M5326" s="460">
        <f t="shared" si="204"/>
        <v>0.05</v>
      </c>
      <c r="N5326" s="464">
        <f t="shared" si="205"/>
        <v>213151</v>
      </c>
    </row>
    <row r="5327" spans="7:14" ht="11.25" customHeight="1" x14ac:dyDescent="0.3">
      <c r="G5327" s="459"/>
      <c r="H5327" s="459">
        <v>5320</v>
      </c>
      <c r="I5327" s="444">
        <f t="shared" ca="1" si="203"/>
        <v>67117131962495.969</v>
      </c>
      <c r="J5327" s="444">
        <f t="array" ref="J5327">IFERROR(INDEX('Retirement Calculator'!J:J,MATCH('Isaac 401k'!N5327,'Retirement Calculator'!A:A,0),0),0)</f>
        <v>0</v>
      </c>
      <c r="K5327" s="444">
        <f t="shared" ca="1" si="201"/>
        <v>279654716510.39984</v>
      </c>
      <c r="L5327" s="444">
        <f t="shared" ca="1" si="202"/>
        <v>67396786679006.367</v>
      </c>
      <c r="M5327" s="460">
        <f t="shared" si="204"/>
        <v>0.05</v>
      </c>
      <c r="N5327" s="464">
        <f t="shared" si="205"/>
        <v>213182</v>
      </c>
    </row>
    <row r="5328" spans="7:14" ht="11.25" customHeight="1" x14ac:dyDescent="0.3">
      <c r="G5328" s="459"/>
      <c r="H5328" s="459">
        <v>5321</v>
      </c>
      <c r="I5328" s="444">
        <f t="shared" ca="1" si="203"/>
        <v>67396786679006.367</v>
      </c>
      <c r="J5328" s="444">
        <f t="array" ref="J5328">IFERROR(INDEX('Retirement Calculator'!J:J,MATCH('Isaac 401k'!N5328,'Retirement Calculator'!A:A,0),0),0)</f>
        <v>0</v>
      </c>
      <c r="K5328" s="444">
        <f t="shared" ca="1" si="201"/>
        <v>280819944495.85986</v>
      </c>
      <c r="L5328" s="444">
        <f t="shared" ca="1" si="202"/>
        <v>67677606623502.227</v>
      </c>
      <c r="M5328" s="460">
        <f t="shared" si="204"/>
        <v>0.05</v>
      </c>
      <c r="N5328" s="464">
        <f t="shared" si="205"/>
        <v>213212</v>
      </c>
    </row>
    <row r="5329" spans="7:14" ht="11.25" customHeight="1" x14ac:dyDescent="0.3">
      <c r="G5329" s="459"/>
      <c r="H5329" s="459">
        <v>5322</v>
      </c>
      <c r="I5329" s="444">
        <f t="shared" ca="1" si="203"/>
        <v>67677606623502.227</v>
      </c>
      <c r="J5329" s="444">
        <f t="array" ref="J5329">IFERROR(INDEX('Retirement Calculator'!J:J,MATCH('Isaac 401k'!N5329,'Retirement Calculator'!A:A,0),0),0)</f>
        <v>0</v>
      </c>
      <c r="K5329" s="444">
        <f t="shared" ca="1" si="201"/>
        <v>281990027597.92596</v>
      </c>
      <c r="L5329" s="444">
        <f t="shared" ca="1" si="202"/>
        <v>67959596651100.156</v>
      </c>
      <c r="M5329" s="460">
        <f t="shared" si="204"/>
        <v>0.05</v>
      </c>
      <c r="N5329" s="464">
        <f t="shared" si="205"/>
        <v>213243</v>
      </c>
    </row>
    <row r="5330" spans="7:14" ht="11.25" customHeight="1" x14ac:dyDescent="0.3">
      <c r="G5330" s="459"/>
      <c r="H5330" s="459">
        <v>5323</v>
      </c>
      <c r="I5330" s="444">
        <f t="shared" ca="1" si="203"/>
        <v>67959596651100.156</v>
      </c>
      <c r="J5330" s="444">
        <f t="array" ref="J5330">IFERROR(INDEX('Retirement Calculator'!J:J,MATCH('Isaac 401k'!N5330,'Retirement Calculator'!A:A,0),0),0)</f>
        <v>0</v>
      </c>
      <c r="K5330" s="444">
        <f t="shared" ca="1" si="201"/>
        <v>283164986046.25067</v>
      </c>
      <c r="L5330" s="444">
        <f t="shared" ca="1" si="202"/>
        <v>68242761637146.406</v>
      </c>
      <c r="M5330" s="460">
        <f t="shared" si="204"/>
        <v>0.05</v>
      </c>
      <c r="N5330" s="464">
        <f t="shared" si="205"/>
        <v>213273</v>
      </c>
    </row>
    <row r="5331" spans="7:14" ht="11.25" customHeight="1" x14ac:dyDescent="0.3">
      <c r="G5331" s="459"/>
      <c r="H5331" s="459">
        <v>5324</v>
      </c>
      <c r="I5331" s="444">
        <f t="shared" ca="1" si="203"/>
        <v>68242761637146.406</v>
      </c>
      <c r="J5331" s="444">
        <f t="array" ref="J5331">IFERROR(INDEX('Retirement Calculator'!J:J,MATCH('Isaac 401k'!N5331,'Retirement Calculator'!A:A,0),0),0)</f>
        <v>0</v>
      </c>
      <c r="K5331" s="444">
        <f t="shared" ca="1" si="201"/>
        <v>284344840154.77673</v>
      </c>
      <c r="L5331" s="444">
        <f t="shared" ca="1" si="202"/>
        <v>68527106477301.18</v>
      </c>
      <c r="M5331" s="460">
        <f t="shared" si="204"/>
        <v>0.05</v>
      </c>
      <c r="N5331" s="464">
        <f t="shared" si="205"/>
        <v>213304</v>
      </c>
    </row>
    <row r="5332" spans="7:14" ht="11.25" customHeight="1" x14ac:dyDescent="0.3">
      <c r="G5332" s="459"/>
      <c r="H5332" s="459">
        <v>5325</v>
      </c>
      <c r="I5332" s="444">
        <f t="shared" ca="1" si="203"/>
        <v>68527106477301.18</v>
      </c>
      <c r="J5332" s="444">
        <f t="array" ref="J5332">IFERROR(INDEX('Retirement Calculator'!J:J,MATCH('Isaac 401k'!N5332,'Retirement Calculator'!A:A,0),0),0)</f>
        <v>0</v>
      </c>
      <c r="K5332" s="444">
        <f t="shared" ca="1" si="201"/>
        <v>285529610322.08826</v>
      </c>
      <c r="L5332" s="444">
        <f t="shared" ca="1" si="202"/>
        <v>68812636087623.266</v>
      </c>
      <c r="M5332" s="460">
        <f t="shared" si="204"/>
        <v>0.05</v>
      </c>
      <c r="N5332" s="464">
        <f t="shared" si="205"/>
        <v>213335</v>
      </c>
    </row>
    <row r="5333" spans="7:14" ht="11.25" customHeight="1" x14ac:dyDescent="0.3">
      <c r="G5333" s="459"/>
      <c r="H5333" s="459">
        <v>5326</v>
      </c>
      <c r="I5333" s="444">
        <f t="shared" ca="1" si="203"/>
        <v>68812636087623.266</v>
      </c>
      <c r="J5333" s="444">
        <f t="array" ref="J5333">IFERROR(INDEX('Retirement Calculator'!J:J,MATCH('Isaac 401k'!N5333,'Retirement Calculator'!A:A,0),0),0)</f>
        <v>0</v>
      </c>
      <c r="K5333" s="444">
        <f t="shared" ca="1" si="201"/>
        <v>286719317031.76361</v>
      </c>
      <c r="L5333" s="444">
        <f t="shared" ca="1" si="202"/>
        <v>69099355404655.031</v>
      </c>
      <c r="M5333" s="460">
        <f t="shared" si="204"/>
        <v>0.05</v>
      </c>
      <c r="N5333" s="464">
        <f t="shared" si="205"/>
        <v>213364</v>
      </c>
    </row>
    <row r="5334" spans="7:14" ht="11.25" customHeight="1" x14ac:dyDescent="0.3">
      <c r="G5334" s="459"/>
      <c r="H5334" s="459">
        <v>5327</v>
      </c>
      <c r="I5334" s="444">
        <f t="shared" ca="1" si="203"/>
        <v>69099355404655.031</v>
      </c>
      <c r="J5334" s="444">
        <f t="array" ref="J5334">IFERROR(INDEX('Retirement Calculator'!J:J,MATCH('Isaac 401k'!N5334,'Retirement Calculator'!A:A,0),0),0)</f>
        <v>0</v>
      </c>
      <c r="K5334" s="444">
        <f t="shared" ca="1" si="201"/>
        <v>287913980852.72925</v>
      </c>
      <c r="L5334" s="444">
        <f t="shared" ca="1" si="202"/>
        <v>69387269385507.758</v>
      </c>
      <c r="M5334" s="460">
        <f t="shared" si="204"/>
        <v>0.05</v>
      </c>
      <c r="N5334" s="464">
        <f t="shared" si="205"/>
        <v>213395</v>
      </c>
    </row>
    <row r="5335" spans="7:14" ht="11.25" customHeight="1" x14ac:dyDescent="0.3">
      <c r="G5335" s="459"/>
      <c r="H5335" s="459">
        <v>5328</v>
      </c>
      <c r="I5335" s="444">
        <f t="shared" ca="1" si="203"/>
        <v>69387269385507.758</v>
      </c>
      <c r="J5335" s="444">
        <f t="array" ref="J5335">IFERROR(INDEX('Retirement Calculator'!J:J,MATCH('Isaac 401k'!N5335,'Retirement Calculator'!A:A,0),0),0)</f>
        <v>0</v>
      </c>
      <c r="K5335" s="444">
        <f t="shared" ca="1" si="201"/>
        <v>289113622439.6156</v>
      </c>
      <c r="L5335" s="444">
        <f t="shared" ca="1" si="202"/>
        <v>69676383007947.375</v>
      </c>
      <c r="M5335" s="460">
        <f t="shared" si="204"/>
        <v>0.05</v>
      </c>
      <c r="N5335" s="464">
        <f t="shared" si="205"/>
        <v>213425</v>
      </c>
    </row>
    <row r="5336" spans="7:14" ht="11.25" customHeight="1" x14ac:dyDescent="0.3">
      <c r="G5336" s="459"/>
      <c r="H5336" s="459">
        <v>5329</v>
      </c>
      <c r="I5336" s="444">
        <f t="shared" ca="1" si="203"/>
        <v>69676383007947.375</v>
      </c>
      <c r="J5336" s="444">
        <f t="array" ref="J5336">IFERROR(INDEX('Retirement Calculator'!J:J,MATCH('Isaac 401k'!N5336,'Retirement Calculator'!A:A,0),0),0)</f>
        <v>0</v>
      </c>
      <c r="K5336" s="444">
        <f t="shared" ca="1" si="201"/>
        <v>290318262533.11407</v>
      </c>
      <c r="L5336" s="444">
        <f t="shared" ca="1" si="202"/>
        <v>69966701270480.492</v>
      </c>
      <c r="M5336" s="460">
        <f t="shared" si="204"/>
        <v>0.05</v>
      </c>
      <c r="N5336" s="464">
        <f t="shared" si="205"/>
        <v>213456</v>
      </c>
    </row>
    <row r="5337" spans="7:14" ht="11.25" customHeight="1" x14ac:dyDescent="0.3">
      <c r="G5337" s="459"/>
      <c r="H5337" s="459">
        <v>5330</v>
      </c>
      <c r="I5337" s="444">
        <f t="shared" ca="1" si="203"/>
        <v>69966701270480.492</v>
      </c>
      <c r="J5337" s="444">
        <f t="array" ref="J5337">IFERROR(INDEX('Retirement Calculator'!J:J,MATCH('Isaac 401k'!N5337,'Retirement Calculator'!A:A,0),0),0)</f>
        <v>0</v>
      </c>
      <c r="K5337" s="444">
        <f t="shared" ca="1" si="201"/>
        <v>291527921960.33539</v>
      </c>
      <c r="L5337" s="444">
        <f t="shared" ca="1" si="202"/>
        <v>70258229192440.828</v>
      </c>
      <c r="M5337" s="460">
        <f t="shared" si="204"/>
        <v>0.05</v>
      </c>
      <c r="N5337" s="464">
        <f t="shared" si="205"/>
        <v>213486</v>
      </c>
    </row>
    <row r="5338" spans="7:14" ht="11.25" customHeight="1" x14ac:dyDescent="0.3">
      <c r="G5338" s="459"/>
      <c r="H5338" s="459">
        <v>5331</v>
      </c>
      <c r="I5338" s="444">
        <f t="shared" ca="1" si="203"/>
        <v>70258229192440.828</v>
      </c>
      <c r="J5338" s="444">
        <f t="array" ref="J5338">IFERROR(INDEX('Retirement Calculator'!J:J,MATCH('Isaac 401k'!N5338,'Retirement Calculator'!A:A,0),0),0)</f>
        <v>0</v>
      </c>
      <c r="K5338" s="444">
        <f t="shared" ca="1" si="201"/>
        <v>292742621635.1701</v>
      </c>
      <c r="L5338" s="444">
        <f t="shared" ca="1" si="202"/>
        <v>70550971814076</v>
      </c>
      <c r="M5338" s="460">
        <f t="shared" si="204"/>
        <v>0.05</v>
      </c>
      <c r="N5338" s="464">
        <f t="shared" si="205"/>
        <v>213517</v>
      </c>
    </row>
    <row r="5339" spans="7:14" ht="11.25" customHeight="1" x14ac:dyDescent="0.3">
      <c r="G5339" s="459"/>
      <c r="H5339" s="459">
        <v>5332</v>
      </c>
      <c r="I5339" s="444">
        <f t="shared" ca="1" si="203"/>
        <v>70550971814076</v>
      </c>
      <c r="J5339" s="444">
        <f t="array" ref="J5339">IFERROR(INDEX('Retirement Calculator'!J:J,MATCH('Isaac 401k'!N5339,'Retirement Calculator'!A:A,0),0),0)</f>
        <v>0</v>
      </c>
      <c r="K5339" s="444">
        <f t="shared" ca="1" si="201"/>
        <v>293962382558.65002</v>
      </c>
      <c r="L5339" s="444">
        <f t="shared" ca="1" si="202"/>
        <v>70844934196634.656</v>
      </c>
      <c r="M5339" s="460">
        <f t="shared" si="204"/>
        <v>0.05</v>
      </c>
      <c r="N5339" s="464">
        <f t="shared" si="205"/>
        <v>213548</v>
      </c>
    </row>
    <row r="5340" spans="7:14" ht="11.25" customHeight="1" x14ac:dyDescent="0.3">
      <c r="G5340" s="459"/>
      <c r="H5340" s="459">
        <v>5333</v>
      </c>
      <c r="I5340" s="444">
        <f t="shared" ca="1" si="203"/>
        <v>70844934196634.656</v>
      </c>
      <c r="J5340" s="444">
        <f t="array" ref="J5340">IFERROR(INDEX('Retirement Calculator'!J:J,MATCH('Isaac 401k'!N5340,'Retirement Calculator'!A:A,0),0),0)</f>
        <v>0</v>
      </c>
      <c r="K5340" s="444">
        <f t="shared" ca="1" si="201"/>
        <v>295187225819.31104</v>
      </c>
      <c r="L5340" s="444">
        <f t="shared" ca="1" si="202"/>
        <v>71140121422453.969</v>
      </c>
      <c r="M5340" s="460">
        <f t="shared" si="204"/>
        <v>0.05</v>
      </c>
      <c r="N5340" s="464">
        <f t="shared" si="205"/>
        <v>213578</v>
      </c>
    </row>
    <row r="5341" spans="7:14" ht="11.25" customHeight="1" x14ac:dyDescent="0.3">
      <c r="G5341" s="459"/>
      <c r="H5341" s="459">
        <v>5334</v>
      </c>
      <c r="I5341" s="444">
        <f t="shared" ca="1" si="203"/>
        <v>71140121422453.969</v>
      </c>
      <c r="J5341" s="444">
        <f t="array" ref="J5341">IFERROR(INDEX('Retirement Calculator'!J:J,MATCH('Isaac 401k'!N5341,'Retirement Calculator'!A:A,0),0),0)</f>
        <v>0</v>
      </c>
      <c r="K5341" s="444">
        <f t="shared" ca="1" si="201"/>
        <v>296417172593.55823</v>
      </c>
      <c r="L5341" s="444">
        <f t="shared" ca="1" si="202"/>
        <v>71436538595047.531</v>
      </c>
      <c r="M5341" s="460">
        <f t="shared" si="204"/>
        <v>0.05</v>
      </c>
      <c r="N5341" s="464">
        <f t="shared" si="205"/>
        <v>213609</v>
      </c>
    </row>
    <row r="5342" spans="7:14" ht="11.25" customHeight="1" x14ac:dyDescent="0.3">
      <c r="G5342" s="459"/>
      <c r="H5342" s="459">
        <v>5335</v>
      </c>
      <c r="I5342" s="444">
        <f t="shared" ca="1" si="203"/>
        <v>71436538595047.531</v>
      </c>
      <c r="J5342" s="444">
        <f t="array" ref="J5342">IFERROR(INDEX('Retirement Calculator'!J:J,MATCH('Isaac 401k'!N5342,'Retirement Calculator'!A:A,0),0),0)</f>
        <v>0</v>
      </c>
      <c r="K5342" s="444">
        <f t="shared" ca="1" si="201"/>
        <v>297652244146.03137</v>
      </c>
      <c r="L5342" s="444">
        <f t="shared" ca="1" si="202"/>
        <v>71734190839193.563</v>
      </c>
      <c r="M5342" s="460">
        <f t="shared" si="204"/>
        <v>0.05</v>
      </c>
      <c r="N5342" s="464">
        <f t="shared" si="205"/>
        <v>213639</v>
      </c>
    </row>
    <row r="5343" spans="7:14" ht="11.25" customHeight="1" x14ac:dyDescent="0.3">
      <c r="G5343" s="459"/>
      <c r="H5343" s="459">
        <v>5336</v>
      </c>
      <c r="I5343" s="444">
        <f t="shared" ca="1" si="203"/>
        <v>71734190839193.563</v>
      </c>
      <c r="J5343" s="444">
        <f t="array" ref="J5343">IFERROR(INDEX('Retirement Calculator'!J:J,MATCH('Isaac 401k'!N5343,'Retirement Calculator'!A:A,0),0),0)</f>
        <v>0</v>
      </c>
      <c r="K5343" s="444">
        <f t="shared" ca="1" si="201"/>
        <v>298892461829.97314</v>
      </c>
      <c r="L5343" s="444">
        <f t="shared" ca="1" si="202"/>
        <v>72033083301023.531</v>
      </c>
      <c r="M5343" s="460">
        <f t="shared" si="204"/>
        <v>0.05</v>
      </c>
      <c r="N5343" s="464">
        <f t="shared" si="205"/>
        <v>213670</v>
      </c>
    </row>
    <row r="5344" spans="7:14" ht="11.25" customHeight="1" x14ac:dyDescent="0.3">
      <c r="G5344" s="459"/>
      <c r="H5344" s="459">
        <v>5337</v>
      </c>
      <c r="I5344" s="444">
        <f t="shared" ca="1" si="203"/>
        <v>72033083301023.531</v>
      </c>
      <c r="J5344" s="444">
        <f t="array" ref="J5344">IFERROR(INDEX('Retirement Calculator'!J:J,MATCH('Isaac 401k'!N5344,'Retirement Calculator'!A:A,0),0),0)</f>
        <v>0</v>
      </c>
      <c r="K5344" s="444">
        <f t="shared" ca="1" si="201"/>
        <v>300137847087.59802</v>
      </c>
      <c r="L5344" s="444">
        <f t="shared" ca="1" si="202"/>
        <v>72333221148111.125</v>
      </c>
      <c r="M5344" s="460">
        <f t="shared" si="204"/>
        <v>0.05</v>
      </c>
      <c r="N5344" s="464">
        <f t="shared" si="205"/>
        <v>213701</v>
      </c>
    </row>
    <row r="5345" spans="7:14" ht="11.25" customHeight="1" x14ac:dyDescent="0.3">
      <c r="G5345" s="459"/>
      <c r="H5345" s="459">
        <v>5338</v>
      </c>
      <c r="I5345" s="444">
        <f t="shared" ca="1" si="203"/>
        <v>72333221148111.125</v>
      </c>
      <c r="J5345" s="444">
        <f t="array" ref="J5345">IFERROR(INDEX('Retirement Calculator'!J:J,MATCH('Isaac 401k'!N5345,'Retirement Calculator'!A:A,0),0),0)</f>
        <v>0</v>
      </c>
      <c r="K5345" s="444">
        <f t="shared" ca="1" si="201"/>
        <v>301388421450.46301</v>
      </c>
      <c r="L5345" s="444">
        <f t="shared" ca="1" si="202"/>
        <v>72634609569561.594</v>
      </c>
      <c r="M5345" s="460">
        <f t="shared" si="204"/>
        <v>0.05</v>
      </c>
      <c r="N5345" s="464">
        <f t="shared" si="205"/>
        <v>213729</v>
      </c>
    </row>
    <row r="5346" spans="7:14" ht="11.25" customHeight="1" x14ac:dyDescent="0.3">
      <c r="G5346" s="459"/>
      <c r="H5346" s="459">
        <v>5339</v>
      </c>
      <c r="I5346" s="444">
        <f t="shared" ca="1" si="203"/>
        <v>72634609569561.594</v>
      </c>
      <c r="J5346" s="444">
        <f t="array" ref="J5346">IFERROR(INDEX('Retirement Calculator'!J:J,MATCH('Isaac 401k'!N5346,'Retirement Calculator'!A:A,0),0),0)</f>
        <v>0</v>
      </c>
      <c r="K5346" s="444">
        <f t="shared" ca="1" si="201"/>
        <v>302644206539.83997</v>
      </c>
      <c r="L5346" s="444">
        <f t="shared" ca="1" si="202"/>
        <v>72937253776101.438</v>
      </c>
      <c r="M5346" s="460">
        <f t="shared" si="204"/>
        <v>0.05</v>
      </c>
      <c r="N5346" s="464">
        <f t="shared" si="205"/>
        <v>213760</v>
      </c>
    </row>
    <row r="5347" spans="7:14" ht="11.25" customHeight="1" x14ac:dyDescent="0.3">
      <c r="G5347" s="459"/>
      <c r="H5347" s="459">
        <v>5340</v>
      </c>
      <c r="I5347" s="444">
        <f t="shared" ca="1" si="203"/>
        <v>72937253776101.438</v>
      </c>
      <c r="J5347" s="444">
        <f t="array" ref="J5347">IFERROR(INDEX('Retirement Calculator'!J:J,MATCH('Isaac 401k'!N5347,'Retirement Calculator'!A:A,0),0),0)</f>
        <v>0</v>
      </c>
      <c r="K5347" s="444">
        <f t="shared" ca="1" si="201"/>
        <v>303905224067.08929</v>
      </c>
      <c r="L5347" s="444">
        <f t="shared" ca="1" si="202"/>
        <v>73241159000168.531</v>
      </c>
      <c r="M5347" s="460">
        <f t="shared" si="204"/>
        <v>0.05</v>
      </c>
      <c r="N5347" s="464">
        <f t="shared" si="205"/>
        <v>213790</v>
      </c>
    </row>
    <row r="5348" spans="7:14" ht="11.25" customHeight="1" x14ac:dyDescent="0.3">
      <c r="G5348" s="459"/>
      <c r="H5348" s="459">
        <v>5341</v>
      </c>
      <c r="I5348" s="444">
        <f t="shared" ca="1" si="203"/>
        <v>73241159000168.531</v>
      </c>
      <c r="J5348" s="444">
        <f t="array" ref="J5348">IFERROR(INDEX('Retirement Calculator'!J:J,MATCH('Isaac 401k'!N5348,'Retirement Calculator'!A:A,0),0),0)</f>
        <v>0</v>
      </c>
      <c r="K5348" s="444">
        <f t="shared" ca="1" si="201"/>
        <v>305171495834.03552</v>
      </c>
      <c r="L5348" s="444">
        <f t="shared" ca="1" si="202"/>
        <v>73546330496002.563</v>
      </c>
      <c r="M5348" s="460">
        <f t="shared" si="204"/>
        <v>0.05</v>
      </c>
      <c r="N5348" s="464">
        <f t="shared" si="205"/>
        <v>213821</v>
      </c>
    </row>
    <row r="5349" spans="7:14" ht="11.25" customHeight="1" x14ac:dyDescent="0.3">
      <c r="G5349" s="459"/>
      <c r="H5349" s="459">
        <v>5342</v>
      </c>
      <c r="I5349" s="444">
        <f t="shared" ca="1" si="203"/>
        <v>73546330496002.563</v>
      </c>
      <c r="J5349" s="444">
        <f t="array" ref="J5349">IFERROR(INDEX('Retirement Calculator'!J:J,MATCH('Isaac 401k'!N5349,'Retirement Calculator'!A:A,0),0),0)</f>
        <v>0</v>
      </c>
      <c r="K5349" s="444">
        <f t="shared" ca="1" si="201"/>
        <v>306443043733.34399</v>
      </c>
      <c r="L5349" s="444">
        <f t="shared" ca="1" si="202"/>
        <v>73852773539735.906</v>
      </c>
      <c r="M5349" s="460">
        <f t="shared" si="204"/>
        <v>0.05</v>
      </c>
      <c r="N5349" s="464">
        <f t="shared" si="205"/>
        <v>213851</v>
      </c>
    </row>
    <row r="5350" spans="7:14" ht="11.25" customHeight="1" x14ac:dyDescent="0.3">
      <c r="G5350" s="459"/>
      <c r="H5350" s="459">
        <v>5343</v>
      </c>
      <c r="I5350" s="444">
        <f t="shared" ca="1" si="203"/>
        <v>73852773539735.906</v>
      </c>
      <c r="J5350" s="444">
        <f t="array" ref="J5350">IFERROR(INDEX('Retirement Calculator'!J:J,MATCH('Isaac 401k'!N5350,'Retirement Calculator'!A:A,0),0),0)</f>
        <v>0</v>
      </c>
      <c r="K5350" s="444">
        <f t="shared" ca="1" si="201"/>
        <v>307719889748.8996</v>
      </c>
      <c r="L5350" s="444">
        <f t="shared" ca="1" si="202"/>
        <v>74160493429484.813</v>
      </c>
      <c r="M5350" s="460">
        <f t="shared" si="204"/>
        <v>0.05</v>
      </c>
      <c r="N5350" s="464">
        <f t="shared" si="205"/>
        <v>213882</v>
      </c>
    </row>
    <row r="5351" spans="7:14" ht="11.25" customHeight="1" x14ac:dyDescent="0.3">
      <c r="G5351" s="459"/>
      <c r="H5351" s="459">
        <v>5344</v>
      </c>
      <c r="I5351" s="444">
        <f t="shared" ca="1" si="203"/>
        <v>74160493429484.813</v>
      </c>
      <c r="J5351" s="444">
        <f t="array" ref="J5351">IFERROR(INDEX('Retirement Calculator'!J:J,MATCH('Isaac 401k'!N5351,'Retirement Calculator'!A:A,0),0),0)</f>
        <v>0</v>
      </c>
      <c r="K5351" s="444">
        <f t="shared" ca="1" si="201"/>
        <v>309002055956.18671</v>
      </c>
      <c r="L5351" s="444">
        <f t="shared" ca="1" si="202"/>
        <v>74469495485441</v>
      </c>
      <c r="M5351" s="460">
        <f t="shared" si="204"/>
        <v>0.05</v>
      </c>
      <c r="N5351" s="464">
        <f t="shared" si="205"/>
        <v>213913</v>
      </c>
    </row>
    <row r="5352" spans="7:14" ht="11.25" customHeight="1" x14ac:dyDescent="0.3">
      <c r="G5352" s="459"/>
      <c r="H5352" s="459">
        <v>5345</v>
      </c>
      <c r="I5352" s="444">
        <f t="shared" ca="1" si="203"/>
        <v>74469495485441</v>
      </c>
      <c r="J5352" s="444">
        <f t="array" ref="J5352">IFERROR(INDEX('Retirement Calculator'!J:J,MATCH('Isaac 401k'!N5352,'Retirement Calculator'!A:A,0),0),0)</f>
        <v>0</v>
      </c>
      <c r="K5352" s="444">
        <f t="shared" ca="1" si="201"/>
        <v>310289564522.67084</v>
      </c>
      <c r="L5352" s="444">
        <f t="shared" ca="1" si="202"/>
        <v>74779785049963.672</v>
      </c>
      <c r="M5352" s="460">
        <f t="shared" si="204"/>
        <v>0.05</v>
      </c>
      <c r="N5352" s="464">
        <f t="shared" si="205"/>
        <v>213943</v>
      </c>
    </row>
    <row r="5353" spans="7:14" ht="11.25" customHeight="1" x14ac:dyDescent="0.3">
      <c r="G5353" s="459"/>
      <c r="H5353" s="459">
        <v>5346</v>
      </c>
      <c r="I5353" s="444">
        <f t="shared" ca="1" si="203"/>
        <v>74779785049963.672</v>
      </c>
      <c r="J5353" s="444">
        <f t="array" ref="J5353">IFERROR(INDEX('Retirement Calculator'!J:J,MATCH('Isaac 401k'!N5353,'Retirement Calculator'!A:A,0),0),0)</f>
        <v>0</v>
      </c>
      <c r="K5353" s="444">
        <f t="shared" ca="1" si="201"/>
        <v>311582437708.18195</v>
      </c>
      <c r="L5353" s="444">
        <f t="shared" ca="1" si="202"/>
        <v>75091367487671.859</v>
      </c>
      <c r="M5353" s="460">
        <f t="shared" si="204"/>
        <v>0.05</v>
      </c>
      <c r="N5353" s="464">
        <f t="shared" si="205"/>
        <v>213974</v>
      </c>
    </row>
    <row r="5354" spans="7:14" ht="11.25" customHeight="1" x14ac:dyDescent="0.3">
      <c r="G5354" s="459"/>
      <c r="H5354" s="459">
        <v>5347</v>
      </c>
      <c r="I5354" s="444">
        <f t="shared" ca="1" si="203"/>
        <v>75091367487671.859</v>
      </c>
      <c r="J5354" s="444">
        <f t="array" ref="J5354">IFERROR(INDEX('Retirement Calculator'!J:J,MATCH('Isaac 401k'!N5354,'Retirement Calculator'!A:A,0),0),0)</f>
        <v>0</v>
      </c>
      <c r="K5354" s="444">
        <f t="shared" ca="1" si="201"/>
        <v>312880697865.29944</v>
      </c>
      <c r="L5354" s="444">
        <f t="shared" ca="1" si="202"/>
        <v>75404248185537.156</v>
      </c>
      <c r="M5354" s="460">
        <f t="shared" si="204"/>
        <v>0.05</v>
      </c>
      <c r="N5354" s="464">
        <f t="shared" si="205"/>
        <v>214004</v>
      </c>
    </row>
    <row r="5355" spans="7:14" ht="11.25" customHeight="1" x14ac:dyDescent="0.3">
      <c r="G5355" s="459"/>
      <c r="H5355" s="459">
        <v>5348</v>
      </c>
      <c r="I5355" s="444">
        <f t="shared" ca="1" si="203"/>
        <v>75404248185537.156</v>
      </c>
      <c r="J5355" s="444">
        <f t="array" ref="J5355">IFERROR(INDEX('Retirement Calculator'!J:J,MATCH('Isaac 401k'!N5355,'Retirement Calculator'!A:A,0),0),0)</f>
        <v>0</v>
      </c>
      <c r="K5355" s="444">
        <f t="shared" ca="1" si="201"/>
        <v>314184367439.73816</v>
      </c>
      <c r="L5355" s="444">
        <f t="shared" ca="1" si="202"/>
        <v>75718432552976.891</v>
      </c>
      <c r="M5355" s="460">
        <f t="shared" si="204"/>
        <v>0.05</v>
      </c>
      <c r="N5355" s="464">
        <f t="shared" si="205"/>
        <v>214035</v>
      </c>
    </row>
    <row r="5356" spans="7:14" ht="11.25" customHeight="1" x14ac:dyDescent="0.3">
      <c r="G5356" s="459"/>
      <c r="H5356" s="459">
        <v>5349</v>
      </c>
      <c r="I5356" s="444">
        <f t="shared" ca="1" si="203"/>
        <v>75718432552976.891</v>
      </c>
      <c r="J5356" s="444">
        <f t="array" ref="J5356">IFERROR(INDEX('Retirement Calculator'!J:J,MATCH('Isaac 401k'!N5356,'Retirement Calculator'!A:A,0),0),0)</f>
        <v>0</v>
      </c>
      <c r="K5356" s="444">
        <f t="shared" ca="1" si="201"/>
        <v>315493468970.73706</v>
      </c>
      <c r="L5356" s="444">
        <f t="shared" ca="1" si="202"/>
        <v>76033926021947.625</v>
      </c>
      <c r="M5356" s="460">
        <f t="shared" si="204"/>
        <v>0.05</v>
      </c>
      <c r="N5356" s="464">
        <f t="shared" si="205"/>
        <v>214066</v>
      </c>
    </row>
    <row r="5357" spans="7:14" ht="11.25" customHeight="1" x14ac:dyDescent="0.3">
      <c r="G5357" s="459"/>
      <c r="H5357" s="459">
        <v>5350</v>
      </c>
      <c r="I5357" s="444">
        <f t="shared" ca="1" si="203"/>
        <v>76033926021947.625</v>
      </c>
      <c r="J5357" s="444">
        <f t="array" ref="J5357">IFERROR(INDEX('Retirement Calculator'!J:J,MATCH('Isaac 401k'!N5357,'Retirement Calculator'!A:A,0),0),0)</f>
        <v>0</v>
      </c>
      <c r="K5357" s="444">
        <f t="shared" ca="1" si="201"/>
        <v>316808025091.44843</v>
      </c>
      <c r="L5357" s="444">
        <f t="shared" ca="1" si="202"/>
        <v>76350734047039.078</v>
      </c>
      <c r="M5357" s="460">
        <f t="shared" si="204"/>
        <v>0.05</v>
      </c>
      <c r="N5357" s="464">
        <f t="shared" si="205"/>
        <v>214094</v>
      </c>
    </row>
    <row r="5358" spans="7:14" ht="11.25" customHeight="1" x14ac:dyDescent="0.3">
      <c r="G5358" s="459"/>
      <c r="H5358" s="459">
        <v>5351</v>
      </c>
      <c r="I5358" s="444">
        <f t="shared" ca="1" si="203"/>
        <v>76350734047039.078</v>
      </c>
      <c r="J5358" s="444">
        <f t="array" ref="J5358">IFERROR(INDEX('Retirement Calculator'!J:J,MATCH('Isaac 401k'!N5358,'Retirement Calculator'!A:A,0),0),0)</f>
        <v>0</v>
      </c>
      <c r="K5358" s="444">
        <f t="shared" ca="1" si="201"/>
        <v>318128058529.32947</v>
      </c>
      <c r="L5358" s="444">
        <f t="shared" ca="1" si="202"/>
        <v>76668862105568.406</v>
      </c>
      <c r="M5358" s="460">
        <f t="shared" si="204"/>
        <v>0.05</v>
      </c>
      <c r="N5358" s="464">
        <f t="shared" si="205"/>
        <v>214125</v>
      </c>
    </row>
    <row r="5359" spans="7:14" ht="11.25" customHeight="1" x14ac:dyDescent="0.3">
      <c r="G5359" s="459"/>
      <c r="H5359" s="459">
        <v>5352</v>
      </c>
      <c r="I5359" s="444">
        <f t="shared" ca="1" si="203"/>
        <v>76668862105568.406</v>
      </c>
      <c r="J5359" s="444">
        <f t="array" ref="J5359">IFERROR(INDEX('Retirement Calculator'!J:J,MATCH('Isaac 401k'!N5359,'Retirement Calculator'!A:A,0),0),0)</f>
        <v>0</v>
      </c>
      <c r="K5359" s="444">
        <f t="shared" ca="1" si="201"/>
        <v>319453592106.53503</v>
      </c>
      <c r="L5359" s="444">
        <f t="shared" ca="1" si="202"/>
        <v>76988315697674.938</v>
      </c>
      <c r="M5359" s="460">
        <f t="shared" si="204"/>
        <v>0.05</v>
      </c>
      <c r="N5359" s="464">
        <f t="shared" si="205"/>
        <v>214155</v>
      </c>
    </row>
    <row r="5360" spans="7:14" ht="11.25" customHeight="1" x14ac:dyDescent="0.3">
      <c r="G5360" s="459"/>
      <c r="H5360" s="459">
        <v>5353</v>
      </c>
      <c r="I5360" s="444">
        <f t="shared" ca="1" si="203"/>
        <v>76988315697674.938</v>
      </c>
      <c r="J5360" s="444">
        <f t="array" ref="J5360">IFERROR(INDEX('Retirement Calculator'!J:J,MATCH('Isaac 401k'!N5360,'Retirement Calculator'!A:A,0),0),0)</f>
        <v>0</v>
      </c>
      <c r="K5360" s="444">
        <f t="shared" ca="1" si="201"/>
        <v>320784648740.31226</v>
      </c>
      <c r="L5360" s="444">
        <f t="shared" ca="1" si="202"/>
        <v>77309100346415.25</v>
      </c>
      <c r="M5360" s="460">
        <f t="shared" si="204"/>
        <v>0.05</v>
      </c>
      <c r="N5360" s="464">
        <f t="shared" si="205"/>
        <v>214186</v>
      </c>
    </row>
    <row r="5361" spans="7:14" ht="11.25" customHeight="1" x14ac:dyDescent="0.3">
      <c r="G5361" s="459"/>
      <c r="H5361" s="459">
        <v>5354</v>
      </c>
      <c r="I5361" s="444">
        <f t="shared" ca="1" si="203"/>
        <v>77309100346415.25</v>
      </c>
      <c r="J5361" s="444">
        <f t="array" ref="J5361">IFERROR(INDEX('Retirement Calculator'!J:J,MATCH('Isaac 401k'!N5361,'Retirement Calculator'!A:A,0),0),0)</f>
        <v>0</v>
      </c>
      <c r="K5361" s="444">
        <f t="shared" ca="1" si="201"/>
        <v>322121251443.39685</v>
      </c>
      <c r="L5361" s="444">
        <f t="shared" ca="1" si="202"/>
        <v>77631221597858.641</v>
      </c>
      <c r="M5361" s="460">
        <f t="shared" si="204"/>
        <v>0.05</v>
      </c>
      <c r="N5361" s="464">
        <f t="shared" si="205"/>
        <v>214216</v>
      </c>
    </row>
    <row r="5362" spans="7:14" ht="11.25" customHeight="1" x14ac:dyDescent="0.3">
      <c r="G5362" s="459"/>
      <c r="H5362" s="459">
        <v>5355</v>
      </c>
      <c r="I5362" s="444">
        <f t="shared" ca="1" si="203"/>
        <v>77631221597858.641</v>
      </c>
      <c r="J5362" s="444">
        <f t="array" ref="J5362">IFERROR(INDEX('Retirement Calculator'!J:J,MATCH('Isaac 401k'!N5362,'Retirement Calculator'!A:A,0),0),0)</f>
        <v>0</v>
      </c>
      <c r="K5362" s="444">
        <f t="shared" ca="1" si="201"/>
        <v>323463423324.41101</v>
      </c>
      <c r="L5362" s="444">
        <f t="shared" ca="1" si="202"/>
        <v>77954685021183.047</v>
      </c>
      <c r="M5362" s="460">
        <f t="shared" si="204"/>
        <v>0.05</v>
      </c>
      <c r="N5362" s="464">
        <f t="shared" si="205"/>
        <v>214247</v>
      </c>
    </row>
    <row r="5363" spans="7:14" ht="11.25" customHeight="1" x14ac:dyDescent="0.3">
      <c r="G5363" s="459"/>
      <c r="H5363" s="459">
        <v>5356</v>
      </c>
      <c r="I5363" s="444">
        <f t="shared" ca="1" si="203"/>
        <v>77954685021183.047</v>
      </c>
      <c r="J5363" s="444">
        <f t="array" ref="J5363">IFERROR(INDEX('Retirement Calculator'!J:J,MATCH('Isaac 401k'!N5363,'Retirement Calculator'!A:A,0),0),0)</f>
        <v>0</v>
      </c>
      <c r="K5363" s="444">
        <f t="shared" ref="K5363:K5617" ca="1" si="206">IPMT(M5363/12,1,12,-I5363+J5363,,0)</f>
        <v>324811187588.2627</v>
      </c>
      <c r="L5363" s="444">
        <f t="shared" ref="L5363:L5617" ca="1" si="207">I5363-J5363+K5363</f>
        <v>78279496208771.313</v>
      </c>
      <c r="M5363" s="460">
        <f t="shared" si="204"/>
        <v>0.05</v>
      </c>
      <c r="N5363" s="464">
        <f t="shared" si="205"/>
        <v>214278</v>
      </c>
    </row>
    <row r="5364" spans="7:14" ht="11.25" customHeight="1" x14ac:dyDescent="0.3">
      <c r="G5364" s="459"/>
      <c r="H5364" s="459">
        <v>5357</v>
      </c>
      <c r="I5364" s="444">
        <f t="shared" ref="I5364:I5618" ca="1" si="208">L5363</f>
        <v>78279496208771.313</v>
      </c>
      <c r="J5364" s="444">
        <f t="array" ref="J5364">IFERROR(INDEX('Retirement Calculator'!J:J,MATCH('Isaac 401k'!N5364,'Retirement Calculator'!A:A,0),0),0)</f>
        <v>0</v>
      </c>
      <c r="K5364" s="444">
        <f t="shared" ca="1" si="206"/>
        <v>326164567536.54712</v>
      </c>
      <c r="L5364" s="444">
        <f t="shared" ca="1" si="207"/>
        <v>78605660776307.859</v>
      </c>
      <c r="M5364" s="460">
        <f t="shared" ref="M5364:M5618" si="209">M5363</f>
        <v>0.05</v>
      </c>
      <c r="N5364" s="464">
        <f t="shared" ref="N5364:N5618" si="210">EDATE(N5363,1)</f>
        <v>214308</v>
      </c>
    </row>
    <row r="5365" spans="7:14" ht="11.25" customHeight="1" x14ac:dyDescent="0.3">
      <c r="G5365" s="459"/>
      <c r="H5365" s="459">
        <v>5358</v>
      </c>
      <c r="I5365" s="444">
        <f t="shared" ca="1" si="208"/>
        <v>78605660776307.859</v>
      </c>
      <c r="J5365" s="444">
        <f t="array" ref="J5365">IFERROR(INDEX('Retirement Calculator'!J:J,MATCH('Isaac 401k'!N5365,'Retirement Calculator'!A:A,0),0),0)</f>
        <v>0</v>
      </c>
      <c r="K5365" s="444">
        <f t="shared" ca="1" si="206"/>
        <v>327523586567.9494</v>
      </c>
      <c r="L5365" s="444">
        <f t="shared" ca="1" si="207"/>
        <v>78933184362875.813</v>
      </c>
      <c r="M5365" s="460">
        <f t="shared" si="209"/>
        <v>0.05</v>
      </c>
      <c r="N5365" s="464">
        <f t="shared" si="210"/>
        <v>214339</v>
      </c>
    </row>
    <row r="5366" spans="7:14" ht="11.25" customHeight="1" x14ac:dyDescent="0.3">
      <c r="G5366" s="459"/>
      <c r="H5366" s="459">
        <v>5359</v>
      </c>
      <c r="I5366" s="444">
        <f t="shared" ca="1" si="208"/>
        <v>78933184362875.813</v>
      </c>
      <c r="J5366" s="444">
        <f t="array" ref="J5366">IFERROR(INDEX('Retirement Calculator'!J:J,MATCH('Isaac 401k'!N5366,'Retirement Calculator'!A:A,0),0),0)</f>
        <v>0</v>
      </c>
      <c r="K5366" s="444">
        <f t="shared" ca="1" si="206"/>
        <v>328888268178.64923</v>
      </c>
      <c r="L5366" s="444">
        <f t="shared" ca="1" si="207"/>
        <v>79262072631054.469</v>
      </c>
      <c r="M5366" s="460">
        <f t="shared" si="209"/>
        <v>0.05</v>
      </c>
      <c r="N5366" s="464">
        <f t="shared" si="210"/>
        <v>214369</v>
      </c>
    </row>
    <row r="5367" spans="7:14" ht="11.25" customHeight="1" x14ac:dyDescent="0.3">
      <c r="G5367" s="459"/>
      <c r="H5367" s="459">
        <v>5360</v>
      </c>
      <c r="I5367" s="444">
        <f t="shared" ca="1" si="208"/>
        <v>79262072631054.469</v>
      </c>
      <c r="J5367" s="444">
        <f t="array" ref="J5367">IFERROR(INDEX('Retirement Calculator'!J:J,MATCH('Isaac 401k'!N5367,'Retirement Calculator'!A:A,0),0),0)</f>
        <v>0</v>
      </c>
      <c r="K5367" s="444">
        <f t="shared" ca="1" si="206"/>
        <v>330258635962.72693</v>
      </c>
      <c r="L5367" s="444">
        <f t="shared" ca="1" si="207"/>
        <v>79592331267017.203</v>
      </c>
      <c r="M5367" s="460">
        <f t="shared" si="209"/>
        <v>0.05</v>
      </c>
      <c r="N5367" s="464">
        <f t="shared" si="210"/>
        <v>214400</v>
      </c>
    </row>
    <row r="5368" spans="7:14" ht="11.25" customHeight="1" x14ac:dyDescent="0.3">
      <c r="G5368" s="459"/>
      <c r="H5368" s="459">
        <v>5361</v>
      </c>
      <c r="I5368" s="444">
        <f t="shared" ca="1" si="208"/>
        <v>79592331267017.203</v>
      </c>
      <c r="J5368" s="444">
        <f t="array" ref="J5368">IFERROR(INDEX('Retirement Calculator'!J:J,MATCH('Isaac 401k'!N5368,'Retirement Calculator'!A:A,0),0),0)</f>
        <v>0</v>
      </c>
      <c r="K5368" s="444">
        <f t="shared" ca="1" si="206"/>
        <v>331634713612.57166</v>
      </c>
      <c r="L5368" s="444">
        <f t="shared" ca="1" si="207"/>
        <v>79923965980629.781</v>
      </c>
      <c r="M5368" s="460">
        <f t="shared" si="209"/>
        <v>0.05</v>
      </c>
      <c r="N5368" s="464">
        <f t="shared" si="210"/>
        <v>214431</v>
      </c>
    </row>
    <row r="5369" spans="7:14" ht="11.25" customHeight="1" x14ac:dyDescent="0.3">
      <c r="G5369" s="459"/>
      <c r="H5369" s="459">
        <v>5362</v>
      </c>
      <c r="I5369" s="444">
        <f t="shared" ca="1" si="208"/>
        <v>79923965980629.781</v>
      </c>
      <c r="J5369" s="444">
        <f t="array" ref="J5369">IFERROR(INDEX('Retirement Calculator'!J:J,MATCH('Isaac 401k'!N5369,'Retirement Calculator'!A:A,0),0),0)</f>
        <v>0</v>
      </c>
      <c r="K5369" s="444">
        <f t="shared" ca="1" si="206"/>
        <v>333016524919.29077</v>
      </c>
      <c r="L5369" s="444">
        <f t="shared" ca="1" si="207"/>
        <v>80256982505549.078</v>
      </c>
      <c r="M5369" s="460">
        <f t="shared" si="209"/>
        <v>0.05</v>
      </c>
      <c r="N5369" s="464">
        <f t="shared" si="210"/>
        <v>214459</v>
      </c>
    </row>
    <row r="5370" spans="7:14" ht="11.25" customHeight="1" x14ac:dyDescent="0.3">
      <c r="G5370" s="459"/>
      <c r="H5370" s="459">
        <v>5363</v>
      </c>
      <c r="I5370" s="444">
        <f t="shared" ca="1" si="208"/>
        <v>80256982505549.078</v>
      </c>
      <c r="J5370" s="444">
        <f t="array" ref="J5370">IFERROR(INDEX('Retirement Calculator'!J:J,MATCH('Isaac 401k'!N5370,'Retirement Calculator'!A:A,0),0),0)</f>
        <v>0</v>
      </c>
      <c r="K5370" s="444">
        <f t="shared" ca="1" si="206"/>
        <v>334404093773.12115</v>
      </c>
      <c r="L5370" s="444">
        <f t="shared" ca="1" si="207"/>
        <v>80591386599322.203</v>
      </c>
      <c r="M5370" s="460">
        <f t="shared" si="209"/>
        <v>0.05</v>
      </c>
      <c r="N5370" s="464">
        <f t="shared" si="210"/>
        <v>214490</v>
      </c>
    </row>
    <row r="5371" spans="7:14" ht="11.25" customHeight="1" x14ac:dyDescent="0.3">
      <c r="G5371" s="459"/>
      <c r="H5371" s="459">
        <v>5364</v>
      </c>
      <c r="I5371" s="444">
        <f t="shared" ca="1" si="208"/>
        <v>80591386599322.203</v>
      </c>
      <c r="J5371" s="444">
        <f t="array" ref="J5371">IFERROR(INDEX('Retirement Calculator'!J:J,MATCH('Isaac 401k'!N5371,'Retirement Calculator'!A:A,0),0),0)</f>
        <v>0</v>
      </c>
      <c r="K5371" s="444">
        <f t="shared" ca="1" si="206"/>
        <v>335797444163.84253</v>
      </c>
      <c r="L5371" s="444">
        <f t="shared" ca="1" si="207"/>
        <v>80927184043486.047</v>
      </c>
      <c r="M5371" s="460">
        <f t="shared" si="209"/>
        <v>0.05</v>
      </c>
      <c r="N5371" s="464">
        <f t="shared" si="210"/>
        <v>214520</v>
      </c>
    </row>
    <row r="5372" spans="7:14" ht="11.25" customHeight="1" x14ac:dyDescent="0.3">
      <c r="G5372" s="459"/>
      <c r="H5372" s="459">
        <v>5365</v>
      </c>
      <c r="I5372" s="444">
        <f t="shared" ca="1" si="208"/>
        <v>80927184043486.047</v>
      </c>
      <c r="J5372" s="444">
        <f t="array" ref="J5372">IFERROR(INDEX('Retirement Calculator'!J:J,MATCH('Isaac 401k'!N5372,'Retirement Calculator'!A:A,0),0),0)</f>
        <v>0</v>
      </c>
      <c r="K5372" s="444">
        <f t="shared" ca="1" si="206"/>
        <v>337196600181.19183</v>
      </c>
      <c r="L5372" s="444">
        <f t="shared" ca="1" si="207"/>
        <v>81264380643667.234</v>
      </c>
      <c r="M5372" s="460">
        <f t="shared" si="209"/>
        <v>0.05</v>
      </c>
      <c r="N5372" s="464">
        <f t="shared" si="210"/>
        <v>214551</v>
      </c>
    </row>
    <row r="5373" spans="7:14" ht="11.25" customHeight="1" x14ac:dyDescent="0.3">
      <c r="G5373" s="459"/>
      <c r="H5373" s="459">
        <v>5366</v>
      </c>
      <c r="I5373" s="444">
        <f t="shared" ca="1" si="208"/>
        <v>81264380643667.234</v>
      </c>
      <c r="J5373" s="444">
        <f t="array" ref="J5373">IFERROR(INDEX('Retirement Calculator'!J:J,MATCH('Isaac 401k'!N5373,'Retirement Calculator'!A:A,0),0),0)</f>
        <v>0</v>
      </c>
      <c r="K5373" s="444">
        <f t="shared" ca="1" si="206"/>
        <v>338601586015.28015</v>
      </c>
      <c r="L5373" s="444">
        <f t="shared" ca="1" si="207"/>
        <v>81602982229682.516</v>
      </c>
      <c r="M5373" s="460">
        <f t="shared" si="209"/>
        <v>0.05</v>
      </c>
      <c r="N5373" s="464">
        <f t="shared" si="210"/>
        <v>214581</v>
      </c>
    </row>
    <row r="5374" spans="7:14" ht="11.25" customHeight="1" x14ac:dyDescent="0.3">
      <c r="G5374" s="459"/>
      <c r="H5374" s="459">
        <v>5367</v>
      </c>
      <c r="I5374" s="444">
        <f t="shared" ca="1" si="208"/>
        <v>81602982229682.516</v>
      </c>
      <c r="J5374" s="444">
        <f t="array" ref="J5374">IFERROR(INDEX('Retirement Calculator'!J:J,MATCH('Isaac 401k'!N5374,'Retirement Calculator'!A:A,0),0),0)</f>
        <v>0</v>
      </c>
      <c r="K5374" s="444">
        <f t="shared" ca="1" si="206"/>
        <v>340012425957.0105</v>
      </c>
      <c r="L5374" s="444">
        <f t="shared" ca="1" si="207"/>
        <v>81942994655639.531</v>
      </c>
      <c r="M5374" s="460">
        <f t="shared" si="209"/>
        <v>0.05</v>
      </c>
      <c r="N5374" s="464">
        <f t="shared" si="210"/>
        <v>214612</v>
      </c>
    </row>
    <row r="5375" spans="7:14" ht="11.25" customHeight="1" x14ac:dyDescent="0.3">
      <c r="G5375" s="459"/>
      <c r="H5375" s="459">
        <v>5368</v>
      </c>
      <c r="I5375" s="444">
        <f t="shared" ca="1" si="208"/>
        <v>81942994655639.531</v>
      </c>
      <c r="J5375" s="444">
        <f t="array" ref="J5375">IFERROR(INDEX('Retirement Calculator'!J:J,MATCH('Isaac 401k'!N5375,'Retirement Calculator'!A:A,0),0),0)</f>
        <v>0</v>
      </c>
      <c r="K5375" s="444">
        <f t="shared" ca="1" si="206"/>
        <v>341429144398.49805</v>
      </c>
      <c r="L5375" s="444">
        <f t="shared" ca="1" si="207"/>
        <v>82284423800038.031</v>
      </c>
      <c r="M5375" s="460">
        <f t="shared" si="209"/>
        <v>0.05</v>
      </c>
      <c r="N5375" s="464">
        <f t="shared" si="210"/>
        <v>214643</v>
      </c>
    </row>
    <row r="5376" spans="7:14" ht="11.25" customHeight="1" x14ac:dyDescent="0.3">
      <c r="G5376" s="459"/>
      <c r="H5376" s="459">
        <v>5369</v>
      </c>
      <c r="I5376" s="444">
        <f t="shared" ca="1" si="208"/>
        <v>82284423800038.031</v>
      </c>
      <c r="J5376" s="444">
        <f t="array" ref="J5376">IFERROR(INDEX('Retirement Calculator'!J:J,MATCH('Isaac 401k'!N5376,'Retirement Calculator'!A:A,0),0),0)</f>
        <v>0</v>
      </c>
      <c r="K5376" s="444">
        <f t="shared" ca="1" si="206"/>
        <v>342851765833.49182</v>
      </c>
      <c r="L5376" s="444">
        <f t="shared" ca="1" si="207"/>
        <v>82627275565871.516</v>
      </c>
      <c r="M5376" s="460">
        <f t="shared" si="209"/>
        <v>0.05</v>
      </c>
      <c r="N5376" s="464">
        <f t="shared" si="210"/>
        <v>214673</v>
      </c>
    </row>
    <row r="5377" spans="7:14" ht="11.25" customHeight="1" x14ac:dyDescent="0.3">
      <c r="G5377" s="459"/>
      <c r="H5377" s="459">
        <v>5370</v>
      </c>
      <c r="I5377" s="444">
        <f t="shared" ca="1" si="208"/>
        <v>82627275565871.516</v>
      </c>
      <c r="J5377" s="444">
        <f t="array" ref="J5377">IFERROR(INDEX('Retirement Calculator'!J:J,MATCH('Isaac 401k'!N5377,'Retirement Calculator'!A:A,0),0),0)</f>
        <v>0</v>
      </c>
      <c r="K5377" s="444">
        <f t="shared" ca="1" si="206"/>
        <v>344280314857.79797</v>
      </c>
      <c r="L5377" s="444">
        <f t="shared" ca="1" si="207"/>
        <v>82971555880729.313</v>
      </c>
      <c r="M5377" s="460">
        <f t="shared" si="209"/>
        <v>0.05</v>
      </c>
      <c r="N5377" s="464">
        <f t="shared" si="210"/>
        <v>214704</v>
      </c>
    </row>
    <row r="5378" spans="7:14" ht="11.25" customHeight="1" x14ac:dyDescent="0.3">
      <c r="G5378" s="459"/>
      <c r="H5378" s="459">
        <v>5371</v>
      </c>
      <c r="I5378" s="444">
        <f t="shared" ca="1" si="208"/>
        <v>82971555880729.313</v>
      </c>
      <c r="J5378" s="444">
        <f t="array" ref="J5378">IFERROR(INDEX('Retirement Calculator'!J:J,MATCH('Isaac 401k'!N5378,'Retirement Calculator'!A:A,0),0),0)</f>
        <v>0</v>
      </c>
      <c r="K5378" s="444">
        <f t="shared" ca="1" si="206"/>
        <v>345714816169.70544</v>
      </c>
      <c r="L5378" s="444">
        <f t="shared" ca="1" si="207"/>
        <v>83317270696899.016</v>
      </c>
      <c r="M5378" s="460">
        <f t="shared" si="209"/>
        <v>0.05</v>
      </c>
      <c r="N5378" s="464">
        <f t="shared" si="210"/>
        <v>214734</v>
      </c>
    </row>
    <row r="5379" spans="7:14" ht="11.25" customHeight="1" x14ac:dyDescent="0.3">
      <c r="G5379" s="459"/>
      <c r="H5379" s="459">
        <v>5372</v>
      </c>
      <c r="I5379" s="444">
        <f t="shared" ca="1" si="208"/>
        <v>83317270696899.016</v>
      </c>
      <c r="J5379" s="444">
        <f t="array" ref="J5379">IFERROR(INDEX('Retirement Calculator'!J:J,MATCH('Isaac 401k'!N5379,'Retirement Calculator'!A:A,0),0),0)</f>
        <v>0</v>
      </c>
      <c r="K5379" s="444">
        <f t="shared" ca="1" si="206"/>
        <v>347155294570.41254</v>
      </c>
      <c r="L5379" s="444">
        <f t="shared" ca="1" si="207"/>
        <v>83664425991469.422</v>
      </c>
      <c r="M5379" s="460">
        <f t="shared" si="209"/>
        <v>0.05</v>
      </c>
      <c r="N5379" s="464">
        <f t="shared" si="210"/>
        <v>214765</v>
      </c>
    </row>
    <row r="5380" spans="7:14" ht="11.25" customHeight="1" x14ac:dyDescent="0.3">
      <c r="G5380" s="459"/>
      <c r="H5380" s="459">
        <v>5373</v>
      </c>
      <c r="I5380" s="444">
        <f t="shared" ca="1" si="208"/>
        <v>83664425991469.422</v>
      </c>
      <c r="J5380" s="444">
        <f t="array" ref="J5380">IFERROR(INDEX('Retirement Calculator'!J:J,MATCH('Isaac 401k'!N5380,'Retirement Calculator'!A:A,0),0),0)</f>
        <v>0</v>
      </c>
      <c r="K5380" s="444">
        <f t="shared" ca="1" si="206"/>
        <v>348601774964.45593</v>
      </c>
      <c r="L5380" s="444">
        <f t="shared" ca="1" si="207"/>
        <v>84013027766433.875</v>
      </c>
      <c r="M5380" s="460">
        <f t="shared" si="209"/>
        <v>0.05</v>
      </c>
      <c r="N5380" s="464">
        <f t="shared" si="210"/>
        <v>214796</v>
      </c>
    </row>
    <row r="5381" spans="7:14" ht="11.25" customHeight="1" x14ac:dyDescent="0.3">
      <c r="G5381" s="459"/>
      <c r="H5381" s="459">
        <v>5374</v>
      </c>
      <c r="I5381" s="444">
        <f t="shared" ca="1" si="208"/>
        <v>84013027766433.875</v>
      </c>
      <c r="J5381" s="444">
        <f t="array" ref="J5381">IFERROR(INDEX('Retirement Calculator'!J:J,MATCH('Isaac 401k'!N5381,'Retirement Calculator'!A:A,0),0),0)</f>
        <v>0</v>
      </c>
      <c r="K5381" s="444">
        <f t="shared" ca="1" si="206"/>
        <v>350054282360.14111</v>
      </c>
      <c r="L5381" s="444">
        <f t="shared" ca="1" si="207"/>
        <v>84363082048794.016</v>
      </c>
      <c r="M5381" s="460">
        <f t="shared" si="209"/>
        <v>0.05</v>
      </c>
      <c r="N5381" s="464">
        <f t="shared" si="210"/>
        <v>214825</v>
      </c>
    </row>
    <row r="5382" spans="7:14" ht="11.25" customHeight="1" x14ac:dyDescent="0.3">
      <c r="G5382" s="459"/>
      <c r="H5382" s="459">
        <v>5375</v>
      </c>
      <c r="I5382" s="444">
        <f t="shared" ca="1" si="208"/>
        <v>84363082048794.016</v>
      </c>
      <c r="J5382" s="444">
        <f t="array" ref="J5382">IFERROR(INDEX('Retirement Calculator'!J:J,MATCH('Isaac 401k'!N5382,'Retirement Calculator'!A:A,0),0),0)</f>
        <v>0</v>
      </c>
      <c r="K5382" s="444">
        <f t="shared" ca="1" si="206"/>
        <v>351512841869.97504</v>
      </c>
      <c r="L5382" s="444">
        <f t="shared" ca="1" si="207"/>
        <v>84714594890663.984</v>
      </c>
      <c r="M5382" s="460">
        <f t="shared" si="209"/>
        <v>0.05</v>
      </c>
      <c r="N5382" s="464">
        <f t="shared" si="210"/>
        <v>214856</v>
      </c>
    </row>
    <row r="5383" spans="7:14" ht="11.25" customHeight="1" x14ac:dyDescent="0.3">
      <c r="G5383" s="459"/>
      <c r="H5383" s="459">
        <v>5376</v>
      </c>
      <c r="I5383" s="444">
        <f t="shared" ca="1" si="208"/>
        <v>84714594890663.984</v>
      </c>
      <c r="J5383" s="444">
        <f t="array" ref="J5383">IFERROR(INDEX('Retirement Calculator'!J:J,MATCH('Isaac 401k'!N5383,'Retirement Calculator'!A:A,0),0),0)</f>
        <v>0</v>
      </c>
      <c r="K5383" s="444">
        <f t="shared" ca="1" si="206"/>
        <v>352977478711.09991</v>
      </c>
      <c r="L5383" s="444">
        <f t="shared" ca="1" si="207"/>
        <v>85067572369375.078</v>
      </c>
      <c r="M5383" s="460">
        <f t="shared" si="209"/>
        <v>0.05</v>
      </c>
      <c r="N5383" s="464">
        <f t="shared" si="210"/>
        <v>214886</v>
      </c>
    </row>
    <row r="5384" spans="7:14" ht="11.25" customHeight="1" x14ac:dyDescent="0.3">
      <c r="G5384" s="459"/>
      <c r="H5384" s="459">
        <v>5377</v>
      </c>
      <c r="I5384" s="444">
        <f t="shared" ca="1" si="208"/>
        <v>85067572369375.078</v>
      </c>
      <c r="J5384" s="444">
        <f t="array" ref="J5384">IFERROR(INDEX('Retirement Calculator'!J:J,MATCH('Isaac 401k'!N5384,'Retirement Calculator'!A:A,0),0),0)</f>
        <v>0</v>
      </c>
      <c r="K5384" s="444">
        <f t="shared" ca="1" si="206"/>
        <v>354448218205.72949</v>
      </c>
      <c r="L5384" s="444">
        <f t="shared" ca="1" si="207"/>
        <v>85422020587580.813</v>
      </c>
      <c r="M5384" s="460">
        <f t="shared" si="209"/>
        <v>0.05</v>
      </c>
      <c r="N5384" s="464">
        <f t="shared" si="210"/>
        <v>214917</v>
      </c>
    </row>
    <row r="5385" spans="7:14" ht="11.25" customHeight="1" x14ac:dyDescent="0.3">
      <c r="G5385" s="459"/>
      <c r="H5385" s="459">
        <v>5378</v>
      </c>
      <c r="I5385" s="444">
        <f t="shared" ca="1" si="208"/>
        <v>85422020587580.813</v>
      </c>
      <c r="J5385" s="444">
        <f t="array" ref="J5385">IFERROR(INDEX('Retirement Calculator'!J:J,MATCH('Isaac 401k'!N5385,'Retirement Calculator'!A:A,0),0),0)</f>
        <v>0</v>
      </c>
      <c r="K5385" s="444">
        <f t="shared" ca="1" si="206"/>
        <v>355925085781.58673</v>
      </c>
      <c r="L5385" s="444">
        <f t="shared" ca="1" si="207"/>
        <v>85777945673362.406</v>
      </c>
      <c r="M5385" s="460">
        <f t="shared" si="209"/>
        <v>0.05</v>
      </c>
      <c r="N5385" s="464">
        <f t="shared" si="210"/>
        <v>214947</v>
      </c>
    </row>
    <row r="5386" spans="7:14" ht="11.25" customHeight="1" x14ac:dyDescent="0.3">
      <c r="G5386" s="459"/>
      <c r="H5386" s="459">
        <v>5379</v>
      </c>
      <c r="I5386" s="444">
        <f t="shared" ca="1" si="208"/>
        <v>85777945673362.406</v>
      </c>
      <c r="J5386" s="444">
        <f t="array" ref="J5386">IFERROR(INDEX('Retirement Calculator'!J:J,MATCH('Isaac 401k'!N5386,'Retirement Calculator'!A:A,0),0),0)</f>
        <v>0</v>
      </c>
      <c r="K5386" s="444">
        <f t="shared" ca="1" si="206"/>
        <v>357408106972.34338</v>
      </c>
      <c r="L5386" s="444">
        <f t="shared" ca="1" si="207"/>
        <v>86135353780334.75</v>
      </c>
      <c r="M5386" s="460">
        <f t="shared" si="209"/>
        <v>0.05</v>
      </c>
      <c r="N5386" s="464">
        <f t="shared" si="210"/>
        <v>214978</v>
      </c>
    </row>
    <row r="5387" spans="7:14" ht="11.25" customHeight="1" x14ac:dyDescent="0.3">
      <c r="G5387" s="459"/>
      <c r="H5387" s="459">
        <v>5380</v>
      </c>
      <c r="I5387" s="444">
        <f t="shared" ca="1" si="208"/>
        <v>86135353780334.75</v>
      </c>
      <c r="J5387" s="444">
        <f t="array" ref="J5387">IFERROR(INDEX('Retirement Calculator'!J:J,MATCH('Isaac 401k'!N5387,'Retirement Calculator'!A:A,0),0),0)</f>
        <v>0</v>
      </c>
      <c r="K5387" s="444">
        <f t="shared" ca="1" si="206"/>
        <v>358897307418.06146</v>
      </c>
      <c r="L5387" s="444">
        <f t="shared" ca="1" si="207"/>
        <v>86494251087752.813</v>
      </c>
      <c r="M5387" s="460">
        <f t="shared" si="209"/>
        <v>0.05</v>
      </c>
      <c r="N5387" s="464">
        <f t="shared" si="210"/>
        <v>215009</v>
      </c>
    </row>
    <row r="5388" spans="7:14" ht="11.25" customHeight="1" x14ac:dyDescent="0.3">
      <c r="G5388" s="459"/>
      <c r="H5388" s="459">
        <v>5381</v>
      </c>
      <c r="I5388" s="444">
        <f t="shared" ca="1" si="208"/>
        <v>86494251087752.813</v>
      </c>
      <c r="J5388" s="444">
        <f t="array" ref="J5388">IFERROR(INDEX('Retirement Calculator'!J:J,MATCH('Isaac 401k'!N5388,'Retirement Calculator'!A:A,0),0),0)</f>
        <v>0</v>
      </c>
      <c r="K5388" s="444">
        <f t="shared" ca="1" si="206"/>
        <v>360392712865.63672</v>
      </c>
      <c r="L5388" s="444">
        <f t="shared" ca="1" si="207"/>
        <v>86854643800618.453</v>
      </c>
      <c r="M5388" s="460">
        <f t="shared" si="209"/>
        <v>0.05</v>
      </c>
      <c r="N5388" s="464">
        <f t="shared" si="210"/>
        <v>215039</v>
      </c>
    </row>
    <row r="5389" spans="7:14" ht="11.25" customHeight="1" x14ac:dyDescent="0.3">
      <c r="G5389" s="459"/>
      <c r="H5389" s="459">
        <v>5382</v>
      </c>
      <c r="I5389" s="444">
        <f t="shared" ca="1" si="208"/>
        <v>86854643800618.453</v>
      </c>
      <c r="J5389" s="444">
        <f t="array" ref="J5389">IFERROR(INDEX('Retirement Calculator'!J:J,MATCH('Isaac 401k'!N5389,'Retirement Calculator'!A:A,0),0),0)</f>
        <v>0</v>
      </c>
      <c r="K5389" s="444">
        <f t="shared" ca="1" si="206"/>
        <v>361894349169.24353</v>
      </c>
      <c r="L5389" s="444">
        <f t="shared" ca="1" si="207"/>
        <v>87216538149787.703</v>
      </c>
      <c r="M5389" s="460">
        <f t="shared" si="209"/>
        <v>0.05</v>
      </c>
      <c r="N5389" s="464">
        <f t="shared" si="210"/>
        <v>215070</v>
      </c>
    </row>
    <row r="5390" spans="7:14" ht="11.25" customHeight="1" x14ac:dyDescent="0.3">
      <c r="G5390" s="459"/>
      <c r="H5390" s="459">
        <v>5383</v>
      </c>
      <c r="I5390" s="444">
        <f t="shared" ca="1" si="208"/>
        <v>87216538149787.703</v>
      </c>
      <c r="J5390" s="444">
        <f t="array" ref="J5390">IFERROR(INDEX('Retirement Calculator'!J:J,MATCH('Isaac 401k'!N5390,'Retirement Calculator'!A:A,0),0),0)</f>
        <v>0</v>
      </c>
      <c r="K5390" s="444">
        <f t="shared" ca="1" si="206"/>
        <v>363402242290.7821</v>
      </c>
      <c r="L5390" s="444">
        <f t="shared" ca="1" si="207"/>
        <v>87579940392078.484</v>
      </c>
      <c r="M5390" s="460">
        <f t="shared" si="209"/>
        <v>0.05</v>
      </c>
      <c r="N5390" s="464">
        <f t="shared" si="210"/>
        <v>215100</v>
      </c>
    </row>
    <row r="5391" spans="7:14" ht="11.25" customHeight="1" x14ac:dyDescent="0.3">
      <c r="G5391" s="459"/>
      <c r="H5391" s="459">
        <v>5384</v>
      </c>
      <c r="I5391" s="444">
        <f t="shared" ca="1" si="208"/>
        <v>87579940392078.484</v>
      </c>
      <c r="J5391" s="444">
        <f t="array" ref="J5391">IFERROR(INDEX('Retirement Calculator'!J:J,MATCH('Isaac 401k'!N5391,'Retirement Calculator'!A:A,0),0),0)</f>
        <v>0</v>
      </c>
      <c r="K5391" s="444">
        <f t="shared" ca="1" si="206"/>
        <v>364916418300.32703</v>
      </c>
      <c r="L5391" s="444">
        <f t="shared" ca="1" si="207"/>
        <v>87944856810378.813</v>
      </c>
      <c r="M5391" s="460">
        <f t="shared" si="209"/>
        <v>0.05</v>
      </c>
      <c r="N5391" s="464">
        <f t="shared" si="210"/>
        <v>215131</v>
      </c>
    </row>
    <row r="5392" spans="7:14" ht="11.25" customHeight="1" x14ac:dyDescent="0.3">
      <c r="G5392" s="459"/>
      <c r="H5392" s="459">
        <v>5385</v>
      </c>
      <c r="I5392" s="444">
        <f t="shared" ca="1" si="208"/>
        <v>87944856810378.813</v>
      </c>
      <c r="J5392" s="444">
        <f t="array" ref="J5392">IFERROR(INDEX('Retirement Calculator'!J:J,MATCH('Isaac 401k'!N5392,'Retirement Calculator'!A:A,0),0),0)</f>
        <v>0</v>
      </c>
      <c r="K5392" s="444">
        <f t="shared" ca="1" si="206"/>
        <v>366436903376.57837</v>
      </c>
      <c r="L5392" s="444">
        <f t="shared" ca="1" si="207"/>
        <v>88311293713755.391</v>
      </c>
      <c r="M5392" s="460">
        <f t="shared" si="209"/>
        <v>0.05</v>
      </c>
      <c r="N5392" s="464">
        <f t="shared" si="210"/>
        <v>215162</v>
      </c>
    </row>
    <row r="5393" spans="7:14" ht="11.25" customHeight="1" x14ac:dyDescent="0.3">
      <c r="G5393" s="459"/>
      <c r="H5393" s="459">
        <v>5386</v>
      </c>
      <c r="I5393" s="444">
        <f t="shared" ca="1" si="208"/>
        <v>88311293713755.391</v>
      </c>
      <c r="J5393" s="444">
        <f t="array" ref="J5393">IFERROR(INDEX('Retirement Calculator'!J:J,MATCH('Isaac 401k'!N5393,'Retirement Calculator'!A:A,0),0),0)</f>
        <v>0</v>
      </c>
      <c r="K5393" s="444">
        <f t="shared" ca="1" si="206"/>
        <v>367963723807.31415</v>
      </c>
      <c r="L5393" s="444">
        <f t="shared" ca="1" si="207"/>
        <v>88679257437562.703</v>
      </c>
      <c r="M5393" s="460">
        <f t="shared" si="209"/>
        <v>0.05</v>
      </c>
      <c r="N5393" s="464">
        <f t="shared" si="210"/>
        <v>215190</v>
      </c>
    </row>
    <row r="5394" spans="7:14" ht="11.25" customHeight="1" x14ac:dyDescent="0.3">
      <c r="G5394" s="459"/>
      <c r="H5394" s="459">
        <v>5387</v>
      </c>
      <c r="I5394" s="444">
        <f t="shared" ca="1" si="208"/>
        <v>88679257437562.703</v>
      </c>
      <c r="J5394" s="444">
        <f t="array" ref="J5394">IFERROR(INDEX('Retirement Calculator'!J:J,MATCH('Isaac 401k'!N5394,'Retirement Calculator'!A:A,0),0),0)</f>
        <v>0</v>
      </c>
      <c r="K5394" s="444">
        <f t="shared" ca="1" si="206"/>
        <v>369496905989.8446</v>
      </c>
      <c r="L5394" s="444">
        <f t="shared" ca="1" si="207"/>
        <v>89048754343552.547</v>
      </c>
      <c r="M5394" s="460">
        <f t="shared" si="209"/>
        <v>0.05</v>
      </c>
      <c r="N5394" s="464">
        <f t="shared" si="210"/>
        <v>215221</v>
      </c>
    </row>
    <row r="5395" spans="7:14" ht="11.25" customHeight="1" x14ac:dyDescent="0.3">
      <c r="G5395" s="459"/>
      <c r="H5395" s="459">
        <v>5388</v>
      </c>
      <c r="I5395" s="444">
        <f t="shared" ca="1" si="208"/>
        <v>89048754343552.547</v>
      </c>
      <c r="J5395" s="444">
        <f t="array" ref="J5395">IFERROR(INDEX('Retirement Calculator'!J:J,MATCH('Isaac 401k'!N5395,'Retirement Calculator'!A:A,0),0),0)</f>
        <v>0</v>
      </c>
      <c r="K5395" s="444">
        <f t="shared" ca="1" si="206"/>
        <v>371036476431.46893</v>
      </c>
      <c r="L5395" s="444">
        <f t="shared" ca="1" si="207"/>
        <v>89419790819984.016</v>
      </c>
      <c r="M5395" s="460">
        <f t="shared" si="209"/>
        <v>0.05</v>
      </c>
      <c r="N5395" s="464">
        <f t="shared" si="210"/>
        <v>215251</v>
      </c>
    </row>
    <row r="5396" spans="7:14" ht="11.25" customHeight="1" x14ac:dyDescent="0.3">
      <c r="G5396" s="459"/>
      <c r="H5396" s="459">
        <v>5389</v>
      </c>
      <c r="I5396" s="444">
        <f t="shared" ca="1" si="208"/>
        <v>89419790819984.016</v>
      </c>
      <c r="J5396" s="444">
        <f t="array" ref="J5396">IFERROR(INDEX('Retirement Calculator'!J:J,MATCH('Isaac 401k'!N5396,'Retirement Calculator'!A:A,0),0),0)</f>
        <v>0</v>
      </c>
      <c r="K5396" s="444">
        <f t="shared" ca="1" si="206"/>
        <v>372582461749.93341</v>
      </c>
      <c r="L5396" s="444">
        <f t="shared" ca="1" si="207"/>
        <v>89792373281733.953</v>
      </c>
      <c r="M5396" s="460">
        <f t="shared" si="209"/>
        <v>0.05</v>
      </c>
      <c r="N5396" s="464">
        <f t="shared" si="210"/>
        <v>215282</v>
      </c>
    </row>
    <row r="5397" spans="7:14" ht="11.25" customHeight="1" x14ac:dyDescent="0.3">
      <c r="G5397" s="459"/>
      <c r="H5397" s="459">
        <v>5390</v>
      </c>
      <c r="I5397" s="444">
        <f t="shared" ca="1" si="208"/>
        <v>89792373281733.953</v>
      </c>
      <c r="J5397" s="444">
        <f t="array" ref="J5397">IFERROR(INDEX('Retirement Calculator'!J:J,MATCH('Isaac 401k'!N5397,'Retirement Calculator'!A:A,0),0),0)</f>
        <v>0</v>
      </c>
      <c r="K5397" s="444">
        <f t="shared" ca="1" si="206"/>
        <v>374134888673.89148</v>
      </c>
      <c r="L5397" s="444">
        <f t="shared" ca="1" si="207"/>
        <v>90166508170407.844</v>
      </c>
      <c r="M5397" s="460">
        <f t="shared" si="209"/>
        <v>0.05</v>
      </c>
      <c r="N5397" s="464">
        <f t="shared" si="210"/>
        <v>215312</v>
      </c>
    </row>
    <row r="5398" spans="7:14" ht="11.25" customHeight="1" x14ac:dyDescent="0.3">
      <c r="G5398" s="459"/>
      <c r="H5398" s="459">
        <v>5391</v>
      </c>
      <c r="I5398" s="444">
        <f t="shared" ca="1" si="208"/>
        <v>90166508170407.844</v>
      </c>
      <c r="J5398" s="444">
        <f t="array" ref="J5398">IFERROR(INDEX('Retirement Calculator'!J:J,MATCH('Isaac 401k'!N5398,'Retirement Calculator'!A:A,0),0),0)</f>
        <v>0</v>
      </c>
      <c r="K5398" s="444">
        <f t="shared" ca="1" si="206"/>
        <v>375693784043.36603</v>
      </c>
      <c r="L5398" s="444">
        <f t="shared" ca="1" si="207"/>
        <v>90542201954451.203</v>
      </c>
      <c r="M5398" s="460">
        <f t="shared" si="209"/>
        <v>0.05</v>
      </c>
      <c r="N5398" s="464">
        <f t="shared" si="210"/>
        <v>215343</v>
      </c>
    </row>
    <row r="5399" spans="7:14" ht="11.25" customHeight="1" x14ac:dyDescent="0.3">
      <c r="G5399" s="459"/>
      <c r="H5399" s="459">
        <v>5392</v>
      </c>
      <c r="I5399" s="444">
        <f t="shared" ca="1" si="208"/>
        <v>90542201954451.203</v>
      </c>
      <c r="J5399" s="444">
        <f t="array" ref="J5399">IFERROR(INDEX('Retirement Calculator'!J:J,MATCH('Isaac 401k'!N5399,'Retirement Calculator'!A:A,0),0),0)</f>
        <v>0</v>
      </c>
      <c r="K5399" s="444">
        <f t="shared" ca="1" si="206"/>
        <v>377259174810.21332</v>
      </c>
      <c r="L5399" s="444">
        <f t="shared" ca="1" si="207"/>
        <v>90919461129261.422</v>
      </c>
      <c r="M5399" s="460">
        <f t="shared" si="209"/>
        <v>0.05</v>
      </c>
      <c r="N5399" s="464">
        <f t="shared" si="210"/>
        <v>215374</v>
      </c>
    </row>
    <row r="5400" spans="7:14" ht="11.25" customHeight="1" x14ac:dyDescent="0.3">
      <c r="G5400" s="459"/>
      <c r="H5400" s="459">
        <v>5393</v>
      </c>
      <c r="I5400" s="444">
        <f t="shared" ca="1" si="208"/>
        <v>90919461129261.422</v>
      </c>
      <c r="J5400" s="444">
        <f t="array" ref="J5400">IFERROR(INDEX('Retirement Calculator'!J:J,MATCH('Isaac 401k'!N5400,'Retirement Calculator'!A:A,0),0),0)</f>
        <v>0</v>
      </c>
      <c r="K5400" s="444">
        <f t="shared" ca="1" si="206"/>
        <v>378831088038.58923</v>
      </c>
      <c r="L5400" s="444">
        <f t="shared" ca="1" si="207"/>
        <v>91298292217300.016</v>
      </c>
      <c r="M5400" s="460">
        <f t="shared" si="209"/>
        <v>0.05</v>
      </c>
      <c r="N5400" s="464">
        <f t="shared" si="210"/>
        <v>215404</v>
      </c>
    </row>
    <row r="5401" spans="7:14" ht="11.25" customHeight="1" x14ac:dyDescent="0.3">
      <c r="G5401" s="459"/>
      <c r="H5401" s="459">
        <v>5394</v>
      </c>
      <c r="I5401" s="444">
        <f t="shared" ca="1" si="208"/>
        <v>91298292217300.016</v>
      </c>
      <c r="J5401" s="444">
        <f t="array" ref="J5401">IFERROR(INDEX('Retirement Calculator'!J:J,MATCH('Isaac 401k'!N5401,'Retirement Calculator'!A:A,0),0),0)</f>
        <v>0</v>
      </c>
      <c r="K5401" s="444">
        <f t="shared" ca="1" si="206"/>
        <v>380409550905.41675</v>
      </c>
      <c r="L5401" s="444">
        <f t="shared" ca="1" si="207"/>
        <v>91678701768205.438</v>
      </c>
      <c r="M5401" s="460">
        <f t="shared" si="209"/>
        <v>0.05</v>
      </c>
      <c r="N5401" s="464">
        <f t="shared" si="210"/>
        <v>215435</v>
      </c>
    </row>
    <row r="5402" spans="7:14" ht="11.25" customHeight="1" x14ac:dyDescent="0.3">
      <c r="G5402" s="459"/>
      <c r="H5402" s="459">
        <v>5395</v>
      </c>
      <c r="I5402" s="444">
        <f t="shared" ca="1" si="208"/>
        <v>91678701768205.438</v>
      </c>
      <c r="J5402" s="444">
        <f t="array" ref="J5402">IFERROR(INDEX('Retirement Calculator'!J:J,MATCH('Isaac 401k'!N5402,'Retirement Calculator'!A:A,0),0),0)</f>
        <v>0</v>
      </c>
      <c r="K5402" s="444">
        <f t="shared" ca="1" si="206"/>
        <v>381994590700.85596</v>
      </c>
      <c r="L5402" s="444">
        <f t="shared" ca="1" si="207"/>
        <v>92060696358906.297</v>
      </c>
      <c r="M5402" s="460">
        <f t="shared" si="209"/>
        <v>0.05</v>
      </c>
      <c r="N5402" s="464">
        <f t="shared" si="210"/>
        <v>215465</v>
      </c>
    </row>
    <row r="5403" spans="7:14" ht="11.25" customHeight="1" x14ac:dyDescent="0.3">
      <c r="G5403" s="459"/>
      <c r="H5403" s="459">
        <v>5396</v>
      </c>
      <c r="I5403" s="444">
        <f t="shared" ca="1" si="208"/>
        <v>92060696358906.297</v>
      </c>
      <c r="J5403" s="444">
        <f t="array" ref="J5403">IFERROR(INDEX('Retirement Calculator'!J:J,MATCH('Isaac 401k'!N5403,'Retirement Calculator'!A:A,0),0),0)</f>
        <v>0</v>
      </c>
      <c r="K5403" s="444">
        <f t="shared" ca="1" si="206"/>
        <v>383586234828.77625</v>
      </c>
      <c r="L5403" s="444">
        <f t="shared" ca="1" si="207"/>
        <v>92444282593735.078</v>
      </c>
      <c r="M5403" s="460">
        <f t="shared" si="209"/>
        <v>0.05</v>
      </c>
      <c r="N5403" s="464">
        <f t="shared" si="210"/>
        <v>215496</v>
      </c>
    </row>
    <row r="5404" spans="7:14" ht="11.25" customHeight="1" x14ac:dyDescent="0.3">
      <c r="G5404" s="459"/>
      <c r="H5404" s="459">
        <v>5397</v>
      </c>
      <c r="I5404" s="444">
        <f t="shared" ca="1" si="208"/>
        <v>92444282593735.078</v>
      </c>
      <c r="J5404" s="444">
        <f t="array" ref="J5404">IFERROR(INDEX('Retirement Calculator'!J:J,MATCH('Isaac 401k'!N5404,'Retirement Calculator'!A:A,0),0),0)</f>
        <v>0</v>
      </c>
      <c r="K5404" s="444">
        <f t="shared" ca="1" si="206"/>
        <v>385184510807.22949</v>
      </c>
      <c r="L5404" s="444">
        <f t="shared" ca="1" si="207"/>
        <v>92829467104542.313</v>
      </c>
      <c r="M5404" s="460">
        <f t="shared" si="209"/>
        <v>0.05</v>
      </c>
      <c r="N5404" s="464">
        <f t="shared" si="210"/>
        <v>215527</v>
      </c>
    </row>
    <row r="5405" spans="7:14" ht="11.25" customHeight="1" x14ac:dyDescent="0.3">
      <c r="G5405" s="459"/>
      <c r="H5405" s="459">
        <v>5398</v>
      </c>
      <c r="I5405" s="444">
        <f t="shared" ca="1" si="208"/>
        <v>92829467104542.313</v>
      </c>
      <c r="J5405" s="444">
        <f t="array" ref="J5405">IFERROR(INDEX('Retirement Calculator'!J:J,MATCH('Isaac 401k'!N5405,'Retirement Calculator'!A:A,0),0),0)</f>
        <v>0</v>
      </c>
      <c r="K5405" s="444">
        <f t="shared" ca="1" si="206"/>
        <v>386789446268.92627</v>
      </c>
      <c r="L5405" s="444">
        <f t="shared" ca="1" si="207"/>
        <v>93216256550811.234</v>
      </c>
      <c r="M5405" s="460">
        <f t="shared" si="209"/>
        <v>0.05</v>
      </c>
      <c r="N5405" s="464">
        <f t="shared" si="210"/>
        <v>215555</v>
      </c>
    </row>
    <row r="5406" spans="7:14" ht="11.25" customHeight="1" x14ac:dyDescent="0.3">
      <c r="G5406" s="459"/>
      <c r="H5406" s="459">
        <v>5399</v>
      </c>
      <c r="I5406" s="444">
        <f t="shared" ca="1" si="208"/>
        <v>93216256550811.234</v>
      </c>
      <c r="J5406" s="444">
        <f t="array" ref="J5406">IFERROR(INDEX('Retirement Calculator'!J:J,MATCH('Isaac 401k'!N5406,'Retirement Calculator'!A:A,0),0),0)</f>
        <v>0</v>
      </c>
      <c r="K5406" s="444">
        <f t="shared" ca="1" si="206"/>
        <v>388401068961.7135</v>
      </c>
      <c r="L5406" s="444">
        <f t="shared" ca="1" si="207"/>
        <v>93604657619772.953</v>
      </c>
      <c r="M5406" s="460">
        <f t="shared" si="209"/>
        <v>0.05</v>
      </c>
      <c r="N5406" s="464">
        <f t="shared" si="210"/>
        <v>215586</v>
      </c>
    </row>
    <row r="5407" spans="7:14" ht="11.25" customHeight="1" x14ac:dyDescent="0.3">
      <c r="G5407" s="459"/>
      <c r="H5407" s="459">
        <v>5400</v>
      </c>
      <c r="I5407" s="444">
        <f t="shared" ca="1" si="208"/>
        <v>93604657619772.953</v>
      </c>
      <c r="J5407" s="444">
        <f t="array" ref="J5407">IFERROR(INDEX('Retirement Calculator'!J:J,MATCH('Isaac 401k'!N5407,'Retirement Calculator'!A:A,0),0),0)</f>
        <v>0</v>
      </c>
      <c r="K5407" s="444">
        <f t="shared" ca="1" si="206"/>
        <v>390019406749.05396</v>
      </c>
      <c r="L5407" s="444">
        <f t="shared" ca="1" si="207"/>
        <v>93994677026522</v>
      </c>
      <c r="M5407" s="460">
        <f t="shared" si="209"/>
        <v>0.05</v>
      </c>
      <c r="N5407" s="464">
        <f t="shared" si="210"/>
        <v>215616</v>
      </c>
    </row>
    <row r="5408" spans="7:14" ht="11.25" customHeight="1" x14ac:dyDescent="0.3">
      <c r="G5408" s="459"/>
      <c r="H5408" s="459">
        <v>5401</v>
      </c>
      <c r="I5408" s="444">
        <f t="shared" ca="1" si="208"/>
        <v>93994677026522</v>
      </c>
      <c r="J5408" s="444">
        <f t="array" ref="J5408">IFERROR(INDEX('Retirement Calculator'!J:J,MATCH('Isaac 401k'!N5408,'Retirement Calculator'!A:A,0),0),0)</f>
        <v>0</v>
      </c>
      <c r="K5408" s="444">
        <f t="shared" ca="1" si="206"/>
        <v>391644487610.5083</v>
      </c>
      <c r="L5408" s="444">
        <f t="shared" ca="1" si="207"/>
        <v>94386321514132.516</v>
      </c>
      <c r="M5408" s="460">
        <f t="shared" si="209"/>
        <v>0.05</v>
      </c>
      <c r="N5408" s="464">
        <f t="shared" si="210"/>
        <v>215647</v>
      </c>
    </row>
    <row r="5409" spans="7:14" ht="11.25" customHeight="1" x14ac:dyDescent="0.3">
      <c r="G5409" s="459"/>
      <c r="H5409" s="459">
        <v>5402</v>
      </c>
      <c r="I5409" s="444">
        <f t="shared" ca="1" si="208"/>
        <v>94386321514132.516</v>
      </c>
      <c r="J5409" s="444">
        <f t="array" ref="J5409">IFERROR(INDEX('Retirement Calculator'!J:J,MATCH('Isaac 401k'!N5409,'Retirement Calculator'!A:A,0),0),0)</f>
        <v>0</v>
      </c>
      <c r="K5409" s="444">
        <f t="shared" ca="1" si="206"/>
        <v>393276339642.21881</v>
      </c>
      <c r="L5409" s="444">
        <f t="shared" ca="1" si="207"/>
        <v>94779597853774.734</v>
      </c>
      <c r="M5409" s="460">
        <f t="shared" si="209"/>
        <v>0.05</v>
      </c>
      <c r="N5409" s="464">
        <f t="shared" si="210"/>
        <v>215677</v>
      </c>
    </row>
    <row r="5410" spans="7:14" ht="11.25" customHeight="1" x14ac:dyDescent="0.3">
      <c r="G5410" s="459"/>
      <c r="H5410" s="459">
        <v>5403</v>
      </c>
      <c r="I5410" s="444">
        <f t="shared" ca="1" si="208"/>
        <v>94779597853774.734</v>
      </c>
      <c r="J5410" s="444">
        <f t="array" ref="J5410">IFERROR(INDEX('Retirement Calculator'!J:J,MATCH('Isaac 401k'!N5410,'Retirement Calculator'!A:A,0),0),0)</f>
        <v>0</v>
      </c>
      <c r="K5410" s="444">
        <f t="shared" ca="1" si="206"/>
        <v>394914991057.39471</v>
      </c>
      <c r="L5410" s="444">
        <f t="shared" ca="1" si="207"/>
        <v>95174512844832.125</v>
      </c>
      <c r="M5410" s="460">
        <f t="shared" si="209"/>
        <v>0.05</v>
      </c>
      <c r="N5410" s="464">
        <f t="shared" si="210"/>
        <v>215708</v>
      </c>
    </row>
    <row r="5411" spans="7:14" ht="11.25" customHeight="1" x14ac:dyDescent="0.3">
      <c r="G5411" s="459"/>
      <c r="H5411" s="459">
        <v>5404</v>
      </c>
      <c r="I5411" s="444">
        <f t="shared" ca="1" si="208"/>
        <v>95174512844832.125</v>
      </c>
      <c r="J5411" s="444">
        <f t="array" ref="J5411">IFERROR(INDEX('Retirement Calculator'!J:J,MATCH('Isaac 401k'!N5411,'Retirement Calculator'!A:A,0),0),0)</f>
        <v>0</v>
      </c>
      <c r="K5411" s="444">
        <f t="shared" ca="1" si="206"/>
        <v>396560470186.80054</v>
      </c>
      <c r="L5411" s="444">
        <f t="shared" ca="1" si="207"/>
        <v>95571073315018.922</v>
      </c>
      <c r="M5411" s="460">
        <f t="shared" si="209"/>
        <v>0.05</v>
      </c>
      <c r="N5411" s="464">
        <f t="shared" si="210"/>
        <v>215739</v>
      </c>
    </row>
    <row r="5412" spans="7:14" ht="11.25" customHeight="1" x14ac:dyDescent="0.3">
      <c r="G5412" s="459"/>
      <c r="H5412" s="459">
        <v>5405</v>
      </c>
      <c r="I5412" s="444">
        <f t="shared" ca="1" si="208"/>
        <v>95571073315018.922</v>
      </c>
      <c r="J5412" s="444">
        <f t="array" ref="J5412">IFERROR(INDEX('Retirement Calculator'!J:J,MATCH('Isaac 401k'!N5412,'Retirement Calculator'!A:A,0),0),0)</f>
        <v>0</v>
      </c>
      <c r="K5412" s="444">
        <f t="shared" ca="1" si="206"/>
        <v>398212805479.24548</v>
      </c>
      <c r="L5412" s="444">
        <f t="shared" ca="1" si="207"/>
        <v>95969286120498.172</v>
      </c>
      <c r="M5412" s="460">
        <f t="shared" si="209"/>
        <v>0.05</v>
      </c>
      <c r="N5412" s="464">
        <f t="shared" si="210"/>
        <v>215769</v>
      </c>
    </row>
    <row r="5413" spans="7:14" ht="11.25" customHeight="1" x14ac:dyDescent="0.3">
      <c r="G5413" s="459"/>
      <c r="H5413" s="459">
        <v>5406</v>
      </c>
      <c r="I5413" s="444">
        <f t="shared" ca="1" si="208"/>
        <v>95969286120498.172</v>
      </c>
      <c r="J5413" s="444">
        <f t="array" ref="J5413">IFERROR(INDEX('Retirement Calculator'!J:J,MATCH('Isaac 401k'!N5413,'Retirement Calculator'!A:A,0),0),0)</f>
        <v>0</v>
      </c>
      <c r="K5413" s="444">
        <f t="shared" ca="1" si="206"/>
        <v>399872025502.07568</v>
      </c>
      <c r="L5413" s="444">
        <f t="shared" ca="1" si="207"/>
        <v>96369158146000.25</v>
      </c>
      <c r="M5413" s="460">
        <f t="shared" si="209"/>
        <v>0.05</v>
      </c>
      <c r="N5413" s="464">
        <f t="shared" si="210"/>
        <v>215800</v>
      </c>
    </row>
    <row r="5414" spans="7:14" ht="11.25" customHeight="1" x14ac:dyDescent="0.3">
      <c r="G5414" s="459"/>
      <c r="H5414" s="459">
        <v>5407</v>
      </c>
      <c r="I5414" s="444">
        <f t="shared" ca="1" si="208"/>
        <v>96369158146000.25</v>
      </c>
      <c r="J5414" s="444">
        <f t="array" ref="J5414">IFERROR(INDEX('Retirement Calculator'!J:J,MATCH('Isaac 401k'!N5414,'Retirement Calculator'!A:A,0),0),0)</f>
        <v>0</v>
      </c>
      <c r="K5414" s="444">
        <f t="shared" ca="1" si="206"/>
        <v>401538158941.66772</v>
      </c>
      <c r="L5414" s="444">
        <f t="shared" ca="1" si="207"/>
        <v>96770696304941.922</v>
      </c>
      <c r="M5414" s="460">
        <f t="shared" si="209"/>
        <v>0.05</v>
      </c>
      <c r="N5414" s="464">
        <f t="shared" si="210"/>
        <v>215830</v>
      </c>
    </row>
    <row r="5415" spans="7:14" ht="11.25" customHeight="1" x14ac:dyDescent="0.3">
      <c r="G5415" s="459"/>
      <c r="H5415" s="459">
        <v>5408</v>
      </c>
      <c r="I5415" s="444">
        <f t="shared" ca="1" si="208"/>
        <v>96770696304941.922</v>
      </c>
      <c r="J5415" s="444">
        <f t="array" ref="J5415">IFERROR(INDEX('Retirement Calculator'!J:J,MATCH('Isaac 401k'!N5415,'Retirement Calculator'!A:A,0),0),0)</f>
        <v>0</v>
      </c>
      <c r="K5415" s="444">
        <f t="shared" ca="1" si="206"/>
        <v>403211234603.92468</v>
      </c>
      <c r="L5415" s="444">
        <f t="shared" ca="1" si="207"/>
        <v>97173907539545.844</v>
      </c>
      <c r="M5415" s="460">
        <f t="shared" si="209"/>
        <v>0.05</v>
      </c>
      <c r="N5415" s="464">
        <f t="shared" si="210"/>
        <v>215861</v>
      </c>
    </row>
    <row r="5416" spans="7:14" ht="11.25" customHeight="1" x14ac:dyDescent="0.3">
      <c r="G5416" s="459"/>
      <c r="H5416" s="459">
        <v>5409</v>
      </c>
      <c r="I5416" s="444">
        <f t="shared" ca="1" si="208"/>
        <v>97173907539545.844</v>
      </c>
      <c r="J5416" s="444">
        <f t="array" ref="J5416">IFERROR(INDEX('Retirement Calculator'!J:J,MATCH('Isaac 401k'!N5416,'Retirement Calculator'!A:A,0),0),0)</f>
        <v>0</v>
      </c>
      <c r="K5416" s="444">
        <f t="shared" ca="1" si="206"/>
        <v>404891281414.77435</v>
      </c>
      <c r="L5416" s="444">
        <f t="shared" ca="1" si="207"/>
        <v>97578798820960.625</v>
      </c>
      <c r="M5416" s="460">
        <f t="shared" si="209"/>
        <v>0.05</v>
      </c>
      <c r="N5416" s="464">
        <f t="shared" si="210"/>
        <v>215892</v>
      </c>
    </row>
    <row r="5417" spans="7:14" ht="11.25" customHeight="1" x14ac:dyDescent="0.3">
      <c r="G5417" s="459"/>
      <c r="H5417" s="459">
        <v>5410</v>
      </c>
      <c r="I5417" s="444">
        <f t="shared" ca="1" si="208"/>
        <v>97578798820960.625</v>
      </c>
      <c r="J5417" s="444">
        <f t="array" ref="J5417">IFERROR(INDEX('Retirement Calculator'!J:J,MATCH('Isaac 401k'!N5417,'Retirement Calculator'!A:A,0),0),0)</f>
        <v>0</v>
      </c>
      <c r="K5417" s="444">
        <f t="shared" ca="1" si="206"/>
        <v>406578328420.66925</v>
      </c>
      <c r="L5417" s="444">
        <f t="shared" ca="1" si="207"/>
        <v>97985377149381.297</v>
      </c>
      <c r="M5417" s="460">
        <f t="shared" si="209"/>
        <v>0.05</v>
      </c>
      <c r="N5417" s="464">
        <f t="shared" si="210"/>
        <v>215920</v>
      </c>
    </row>
    <row r="5418" spans="7:14" ht="11.25" customHeight="1" x14ac:dyDescent="0.3">
      <c r="G5418" s="459"/>
      <c r="H5418" s="459">
        <v>5411</v>
      </c>
      <c r="I5418" s="444">
        <f t="shared" ca="1" si="208"/>
        <v>97985377149381.297</v>
      </c>
      <c r="J5418" s="444">
        <f t="array" ref="J5418">IFERROR(INDEX('Retirement Calculator'!J:J,MATCH('Isaac 401k'!N5418,'Retirement Calculator'!A:A,0),0),0)</f>
        <v>0</v>
      </c>
      <c r="K5418" s="444">
        <f t="shared" ca="1" si="206"/>
        <v>408272404789.08875</v>
      </c>
      <c r="L5418" s="444">
        <f t="shared" ca="1" si="207"/>
        <v>98393649554170.391</v>
      </c>
      <c r="M5418" s="460">
        <f t="shared" si="209"/>
        <v>0.05</v>
      </c>
      <c r="N5418" s="464">
        <f t="shared" si="210"/>
        <v>215951</v>
      </c>
    </row>
    <row r="5419" spans="7:14" ht="11.25" customHeight="1" x14ac:dyDescent="0.3">
      <c r="G5419" s="459"/>
      <c r="H5419" s="459">
        <v>5412</v>
      </c>
      <c r="I5419" s="444">
        <f t="shared" ca="1" si="208"/>
        <v>98393649554170.391</v>
      </c>
      <c r="J5419" s="444">
        <f t="array" ref="J5419">IFERROR(INDEX('Retirement Calculator'!J:J,MATCH('Isaac 401k'!N5419,'Retirement Calculator'!A:A,0),0),0)</f>
        <v>0</v>
      </c>
      <c r="K5419" s="444">
        <f t="shared" ca="1" si="206"/>
        <v>409973539809.04327</v>
      </c>
      <c r="L5419" s="444">
        <f t="shared" ca="1" si="207"/>
        <v>98803623093979.438</v>
      </c>
      <c r="M5419" s="460">
        <f t="shared" si="209"/>
        <v>0.05</v>
      </c>
      <c r="N5419" s="464">
        <f t="shared" si="210"/>
        <v>215981</v>
      </c>
    </row>
    <row r="5420" spans="7:14" ht="11.25" customHeight="1" x14ac:dyDescent="0.3">
      <c r="G5420" s="459"/>
      <c r="H5420" s="459">
        <v>5413</v>
      </c>
      <c r="I5420" s="444">
        <f t="shared" ca="1" si="208"/>
        <v>98803623093979.438</v>
      </c>
      <c r="J5420" s="444">
        <f t="array" ref="J5420">IFERROR(INDEX('Retirement Calculator'!J:J,MATCH('Isaac 401k'!N5420,'Retirement Calculator'!A:A,0),0),0)</f>
        <v>0</v>
      </c>
      <c r="K5420" s="444">
        <f t="shared" ca="1" si="206"/>
        <v>411681762891.58099</v>
      </c>
      <c r="L5420" s="444">
        <f t="shared" ca="1" si="207"/>
        <v>99215304856871.016</v>
      </c>
      <c r="M5420" s="460">
        <f t="shared" si="209"/>
        <v>0.05</v>
      </c>
      <c r="N5420" s="464">
        <f t="shared" si="210"/>
        <v>216012</v>
      </c>
    </row>
    <row r="5421" spans="7:14" ht="11.25" customHeight="1" x14ac:dyDescent="0.3">
      <c r="G5421" s="459"/>
      <c r="H5421" s="459">
        <v>5414</v>
      </c>
      <c r="I5421" s="444">
        <f t="shared" ca="1" si="208"/>
        <v>99215304856871.016</v>
      </c>
      <c r="J5421" s="444">
        <f t="array" ref="J5421">IFERROR(INDEX('Retirement Calculator'!J:J,MATCH('Isaac 401k'!N5421,'Retirement Calculator'!A:A,0),0),0)</f>
        <v>0</v>
      </c>
      <c r="K5421" s="444">
        <f t="shared" ca="1" si="206"/>
        <v>413397103570.2959</v>
      </c>
      <c r="L5421" s="444">
        <f t="shared" ca="1" si="207"/>
        <v>99628701960441.313</v>
      </c>
      <c r="M5421" s="460">
        <f t="shared" si="209"/>
        <v>0.05</v>
      </c>
      <c r="N5421" s="464">
        <f t="shared" si="210"/>
        <v>216042</v>
      </c>
    </row>
    <row r="5422" spans="7:14" ht="11.25" customHeight="1" x14ac:dyDescent="0.3">
      <c r="G5422" s="459"/>
      <c r="H5422" s="459">
        <v>5415</v>
      </c>
      <c r="I5422" s="444">
        <f t="shared" ca="1" si="208"/>
        <v>99628701960441.313</v>
      </c>
      <c r="J5422" s="444">
        <f t="array" ref="J5422">IFERROR(INDEX('Retirement Calculator'!J:J,MATCH('Isaac 401k'!N5422,'Retirement Calculator'!A:A,0),0),0)</f>
        <v>0</v>
      </c>
      <c r="K5422" s="444">
        <f t="shared" ca="1" si="206"/>
        <v>415119591501.83881</v>
      </c>
      <c r="L5422" s="444">
        <f t="shared" ca="1" si="207"/>
        <v>100043821551943.16</v>
      </c>
      <c r="M5422" s="460">
        <f t="shared" si="209"/>
        <v>0.05</v>
      </c>
      <c r="N5422" s="464">
        <f t="shared" si="210"/>
        <v>216073</v>
      </c>
    </row>
    <row r="5423" spans="7:14" ht="11.25" customHeight="1" x14ac:dyDescent="0.3">
      <c r="G5423" s="459"/>
      <c r="H5423" s="459">
        <v>5416</v>
      </c>
      <c r="I5423" s="444">
        <f t="shared" ca="1" si="208"/>
        <v>100043821551943.16</v>
      </c>
      <c r="J5423" s="444">
        <f t="array" ref="J5423">IFERROR(INDEX('Retirement Calculator'!J:J,MATCH('Isaac 401k'!N5423,'Retirement Calculator'!A:A,0),0),0)</f>
        <v>0</v>
      </c>
      <c r="K5423" s="444">
        <f t="shared" ca="1" si="206"/>
        <v>416849256466.42981</v>
      </c>
      <c r="L5423" s="444">
        <f t="shared" ca="1" si="207"/>
        <v>100460670808409.59</v>
      </c>
      <c r="M5423" s="460">
        <f t="shared" si="209"/>
        <v>0.05</v>
      </c>
      <c r="N5423" s="464">
        <f t="shared" si="210"/>
        <v>216104</v>
      </c>
    </row>
    <row r="5424" spans="7:14" ht="11.25" customHeight="1" x14ac:dyDescent="0.3">
      <c r="G5424" s="459"/>
      <c r="H5424" s="459">
        <v>5417</v>
      </c>
      <c r="I5424" s="444">
        <f t="shared" ca="1" si="208"/>
        <v>100460670808409.59</v>
      </c>
      <c r="J5424" s="444">
        <f t="array" ref="J5424">IFERROR(INDEX('Retirement Calculator'!J:J,MATCH('Isaac 401k'!N5424,'Retirement Calculator'!A:A,0),0),0)</f>
        <v>0</v>
      </c>
      <c r="K5424" s="444">
        <f t="shared" ca="1" si="206"/>
        <v>418586128368.37329</v>
      </c>
      <c r="L5424" s="444">
        <f t="shared" ca="1" si="207"/>
        <v>100879256936777.97</v>
      </c>
      <c r="M5424" s="460">
        <f t="shared" si="209"/>
        <v>0.05</v>
      </c>
      <c r="N5424" s="464">
        <f t="shared" si="210"/>
        <v>216134</v>
      </c>
    </row>
    <row r="5425" spans="7:14" ht="11.25" customHeight="1" x14ac:dyDescent="0.3">
      <c r="G5425" s="459"/>
      <c r="H5425" s="459">
        <v>5418</v>
      </c>
      <c r="I5425" s="444">
        <f t="shared" ca="1" si="208"/>
        <v>100879256936777.97</v>
      </c>
      <c r="J5425" s="444">
        <f t="array" ref="J5425">IFERROR(INDEX('Retirement Calculator'!J:J,MATCH('Isaac 401k'!N5425,'Retirement Calculator'!A:A,0),0),0)</f>
        <v>0</v>
      </c>
      <c r="K5425" s="444">
        <f t="shared" ca="1" si="206"/>
        <v>420330237236.57489</v>
      </c>
      <c r="L5425" s="444">
        <f t="shared" ca="1" si="207"/>
        <v>101299587174014.55</v>
      </c>
      <c r="M5425" s="460">
        <f t="shared" si="209"/>
        <v>0.05</v>
      </c>
      <c r="N5425" s="464">
        <f t="shared" si="210"/>
        <v>216165</v>
      </c>
    </row>
    <row r="5426" spans="7:14" ht="11.25" customHeight="1" x14ac:dyDescent="0.3">
      <c r="G5426" s="459"/>
      <c r="H5426" s="459">
        <v>5419</v>
      </c>
      <c r="I5426" s="444">
        <f t="shared" ca="1" si="208"/>
        <v>101299587174014.55</v>
      </c>
      <c r="J5426" s="444">
        <f t="array" ref="J5426">IFERROR(INDEX('Retirement Calculator'!J:J,MATCH('Isaac 401k'!N5426,'Retirement Calculator'!A:A,0),0),0)</f>
        <v>0</v>
      </c>
      <c r="K5426" s="444">
        <f t="shared" ca="1" si="206"/>
        <v>422081613225.06061</v>
      </c>
      <c r="L5426" s="444">
        <f t="shared" ca="1" si="207"/>
        <v>101721668787239.61</v>
      </c>
      <c r="M5426" s="460">
        <f t="shared" si="209"/>
        <v>0.05</v>
      </c>
      <c r="N5426" s="464">
        <f t="shared" si="210"/>
        <v>216195</v>
      </c>
    </row>
    <row r="5427" spans="7:14" ht="11.25" customHeight="1" x14ac:dyDescent="0.3">
      <c r="G5427" s="459"/>
      <c r="H5427" s="459">
        <v>5420</v>
      </c>
      <c r="I5427" s="444">
        <f t="shared" ca="1" si="208"/>
        <v>101721668787239.61</v>
      </c>
      <c r="J5427" s="444">
        <f t="array" ref="J5427">IFERROR(INDEX('Retirement Calculator'!J:J,MATCH('Isaac 401k'!N5427,'Retirement Calculator'!A:A,0),0),0)</f>
        <v>0</v>
      </c>
      <c r="K5427" s="444">
        <f t="shared" ca="1" si="206"/>
        <v>423840286613.49835</v>
      </c>
      <c r="L5427" s="444">
        <f t="shared" ca="1" si="207"/>
        <v>102145509073853.11</v>
      </c>
      <c r="M5427" s="460">
        <f t="shared" si="209"/>
        <v>0.05</v>
      </c>
      <c r="N5427" s="464">
        <f t="shared" si="210"/>
        <v>216226</v>
      </c>
    </row>
    <row r="5428" spans="7:14" ht="11.25" customHeight="1" x14ac:dyDescent="0.3">
      <c r="G5428" s="459"/>
      <c r="H5428" s="459">
        <v>5421</v>
      </c>
      <c r="I5428" s="444">
        <f t="shared" ca="1" si="208"/>
        <v>102145509073853.11</v>
      </c>
      <c r="J5428" s="444">
        <f t="array" ref="J5428">IFERROR(INDEX('Retirement Calculator'!J:J,MATCH('Isaac 401k'!N5428,'Retirement Calculator'!A:A,0),0),0)</f>
        <v>0</v>
      </c>
      <c r="K5428" s="444">
        <f t="shared" ca="1" si="206"/>
        <v>425606287807.72131</v>
      </c>
      <c r="L5428" s="444">
        <f t="shared" ca="1" si="207"/>
        <v>102571115361660.83</v>
      </c>
      <c r="M5428" s="460">
        <f t="shared" si="209"/>
        <v>0.05</v>
      </c>
      <c r="N5428" s="464">
        <f t="shared" si="210"/>
        <v>216257</v>
      </c>
    </row>
    <row r="5429" spans="7:14" ht="11.25" customHeight="1" x14ac:dyDescent="0.3">
      <c r="G5429" s="459"/>
      <c r="H5429" s="459">
        <v>5422</v>
      </c>
      <c r="I5429" s="444">
        <f t="shared" ca="1" si="208"/>
        <v>102571115361660.83</v>
      </c>
      <c r="J5429" s="444">
        <f t="array" ref="J5429">IFERROR(INDEX('Retirement Calculator'!J:J,MATCH('Isaac 401k'!N5429,'Retirement Calculator'!A:A,0),0),0)</f>
        <v>0</v>
      </c>
      <c r="K5429" s="444">
        <f t="shared" ca="1" si="206"/>
        <v>427379647340.25342</v>
      </c>
      <c r="L5429" s="444">
        <f t="shared" ca="1" si="207"/>
        <v>102998495009001.08</v>
      </c>
      <c r="M5429" s="460">
        <f t="shared" si="209"/>
        <v>0.05</v>
      </c>
      <c r="N5429" s="464">
        <f t="shared" si="210"/>
        <v>216286</v>
      </c>
    </row>
    <row r="5430" spans="7:14" ht="11.25" customHeight="1" x14ac:dyDescent="0.3">
      <c r="G5430" s="459"/>
      <c r="H5430" s="459">
        <v>5423</v>
      </c>
      <c r="I5430" s="444">
        <f t="shared" ca="1" si="208"/>
        <v>102998495009001.08</v>
      </c>
      <c r="J5430" s="444">
        <f t="array" ref="J5430">IFERROR(INDEX('Retirement Calculator'!J:J,MATCH('Isaac 401k'!N5430,'Retirement Calculator'!A:A,0),0),0)</f>
        <v>0</v>
      </c>
      <c r="K5430" s="444">
        <f t="shared" ca="1" si="206"/>
        <v>429160395870.83783</v>
      </c>
      <c r="L5430" s="444">
        <f t="shared" ca="1" si="207"/>
        <v>103427655404871.92</v>
      </c>
      <c r="M5430" s="460">
        <f t="shared" si="209"/>
        <v>0.05</v>
      </c>
      <c r="N5430" s="464">
        <f t="shared" si="210"/>
        <v>216317</v>
      </c>
    </row>
    <row r="5431" spans="7:14" ht="11.25" customHeight="1" x14ac:dyDescent="0.3">
      <c r="G5431" s="459"/>
      <c r="H5431" s="459">
        <v>5424</v>
      </c>
      <c r="I5431" s="444">
        <f t="shared" ca="1" si="208"/>
        <v>103427655404871.92</v>
      </c>
      <c r="J5431" s="444">
        <f t="array" ref="J5431">IFERROR(INDEX('Retirement Calculator'!J:J,MATCH('Isaac 401k'!N5431,'Retirement Calculator'!A:A,0),0),0)</f>
        <v>0</v>
      </c>
      <c r="K5431" s="444">
        <f t="shared" ca="1" si="206"/>
        <v>430948564186.96631</v>
      </c>
      <c r="L5431" s="444">
        <f t="shared" ca="1" si="207"/>
        <v>103858603969058.89</v>
      </c>
      <c r="M5431" s="460">
        <f t="shared" si="209"/>
        <v>0.05</v>
      </c>
      <c r="N5431" s="464">
        <f t="shared" si="210"/>
        <v>216347</v>
      </c>
    </row>
    <row r="5432" spans="7:14" ht="11.25" customHeight="1" x14ac:dyDescent="0.3">
      <c r="G5432" s="459"/>
      <c r="H5432" s="459">
        <v>5425</v>
      </c>
      <c r="I5432" s="444">
        <f t="shared" ca="1" si="208"/>
        <v>103858603969058.89</v>
      </c>
      <c r="J5432" s="444">
        <f t="array" ref="J5432">IFERROR(INDEX('Retirement Calculator'!J:J,MATCH('Isaac 401k'!N5432,'Retirement Calculator'!A:A,0),0),0)</f>
        <v>0</v>
      </c>
      <c r="K5432" s="444">
        <f t="shared" ca="1" si="206"/>
        <v>432744183204.41205</v>
      </c>
      <c r="L5432" s="444">
        <f t="shared" ca="1" si="207"/>
        <v>104291348152263.3</v>
      </c>
      <c r="M5432" s="460">
        <f t="shared" si="209"/>
        <v>0.05</v>
      </c>
      <c r="N5432" s="464">
        <f t="shared" si="210"/>
        <v>216378</v>
      </c>
    </row>
    <row r="5433" spans="7:14" ht="11.25" customHeight="1" x14ac:dyDescent="0.3">
      <c r="G5433" s="459"/>
      <c r="H5433" s="459">
        <v>5426</v>
      </c>
      <c r="I5433" s="444">
        <f t="shared" ca="1" si="208"/>
        <v>104291348152263.3</v>
      </c>
      <c r="J5433" s="444">
        <f t="array" ref="J5433">IFERROR(INDEX('Retirement Calculator'!J:J,MATCH('Isaac 401k'!N5433,'Retirement Calculator'!A:A,0),0),0)</f>
        <v>0</v>
      </c>
      <c r="K5433" s="444">
        <f t="shared" ca="1" si="206"/>
        <v>434547283967.76373</v>
      </c>
      <c r="L5433" s="444">
        <f t="shared" ca="1" si="207"/>
        <v>104725895436231.06</v>
      </c>
      <c r="M5433" s="460">
        <f t="shared" si="209"/>
        <v>0.05</v>
      </c>
      <c r="N5433" s="464">
        <f t="shared" si="210"/>
        <v>216408</v>
      </c>
    </row>
    <row r="5434" spans="7:14" ht="11.25" customHeight="1" x14ac:dyDescent="0.3">
      <c r="G5434" s="459"/>
      <c r="H5434" s="459">
        <v>5427</v>
      </c>
      <c r="I5434" s="444">
        <f t="shared" ca="1" si="208"/>
        <v>104725895436231.06</v>
      </c>
      <c r="J5434" s="444">
        <f t="array" ref="J5434">IFERROR(INDEX('Retirement Calculator'!J:J,MATCH('Isaac 401k'!N5434,'Retirement Calculator'!A:A,0),0),0)</f>
        <v>0</v>
      </c>
      <c r="K5434" s="444">
        <f t="shared" ca="1" si="206"/>
        <v>436357897650.96277</v>
      </c>
      <c r="L5434" s="444">
        <f t="shared" ca="1" si="207"/>
        <v>105162253333882.03</v>
      </c>
      <c r="M5434" s="460">
        <f t="shared" si="209"/>
        <v>0.05</v>
      </c>
      <c r="N5434" s="464">
        <f t="shared" si="210"/>
        <v>216439</v>
      </c>
    </row>
    <row r="5435" spans="7:14" ht="11.25" customHeight="1" x14ac:dyDescent="0.3">
      <c r="G5435" s="459"/>
      <c r="H5435" s="459">
        <v>5428</v>
      </c>
      <c r="I5435" s="444">
        <f t="shared" ca="1" si="208"/>
        <v>105162253333882.03</v>
      </c>
      <c r="J5435" s="444">
        <f t="array" ref="J5435">IFERROR(INDEX('Retirement Calculator'!J:J,MATCH('Isaac 401k'!N5435,'Retirement Calculator'!A:A,0),0),0)</f>
        <v>0</v>
      </c>
      <c r="K5435" s="444">
        <f t="shared" ca="1" si="206"/>
        <v>438176055557.8418</v>
      </c>
      <c r="L5435" s="444">
        <f t="shared" ca="1" si="207"/>
        <v>105600429389439.88</v>
      </c>
      <c r="M5435" s="460">
        <f t="shared" si="209"/>
        <v>0.05</v>
      </c>
      <c r="N5435" s="464">
        <f t="shared" si="210"/>
        <v>216470</v>
      </c>
    </row>
    <row r="5436" spans="7:14" ht="11.25" customHeight="1" x14ac:dyDescent="0.3">
      <c r="G5436" s="459"/>
      <c r="H5436" s="459">
        <v>5429</v>
      </c>
      <c r="I5436" s="444">
        <f t="shared" ca="1" si="208"/>
        <v>105600429389439.88</v>
      </c>
      <c r="J5436" s="444">
        <f t="array" ref="J5436">IFERROR(INDEX('Retirement Calculator'!J:J,MATCH('Isaac 401k'!N5436,'Retirement Calculator'!A:A,0),0),0)</f>
        <v>0</v>
      </c>
      <c r="K5436" s="444">
        <f t="shared" ca="1" si="206"/>
        <v>440001789122.66614</v>
      </c>
      <c r="L5436" s="444">
        <f t="shared" ca="1" si="207"/>
        <v>106040431178562.55</v>
      </c>
      <c r="M5436" s="460">
        <f t="shared" si="209"/>
        <v>0.05</v>
      </c>
      <c r="N5436" s="464">
        <f t="shared" si="210"/>
        <v>216500</v>
      </c>
    </row>
    <row r="5437" spans="7:14" ht="11.25" customHeight="1" x14ac:dyDescent="0.3">
      <c r="G5437" s="459"/>
      <c r="H5437" s="459">
        <v>5430</v>
      </c>
      <c r="I5437" s="444">
        <f t="shared" ca="1" si="208"/>
        <v>106040431178562.55</v>
      </c>
      <c r="J5437" s="444">
        <f t="array" ref="J5437">IFERROR(INDEX('Retirement Calculator'!J:J,MATCH('Isaac 401k'!N5437,'Retirement Calculator'!A:A,0),0),0)</f>
        <v>0</v>
      </c>
      <c r="K5437" s="444">
        <f t="shared" ca="1" si="206"/>
        <v>441835129910.67725</v>
      </c>
      <c r="L5437" s="444">
        <f t="shared" ca="1" si="207"/>
        <v>106482266308473.22</v>
      </c>
      <c r="M5437" s="460">
        <f t="shared" si="209"/>
        <v>0.05</v>
      </c>
      <c r="N5437" s="464">
        <f t="shared" si="210"/>
        <v>216531</v>
      </c>
    </row>
    <row r="5438" spans="7:14" ht="11.25" customHeight="1" x14ac:dyDescent="0.3">
      <c r="G5438" s="459"/>
      <c r="H5438" s="459">
        <v>5431</v>
      </c>
      <c r="I5438" s="444">
        <f t="shared" ca="1" si="208"/>
        <v>106482266308473.22</v>
      </c>
      <c r="J5438" s="444">
        <f t="array" ref="J5438">IFERROR(INDEX('Retirement Calculator'!J:J,MATCH('Isaac 401k'!N5438,'Retirement Calculator'!A:A,0),0),0)</f>
        <v>0</v>
      </c>
      <c r="K5438" s="444">
        <f t="shared" ca="1" si="206"/>
        <v>443676109618.63843</v>
      </c>
      <c r="L5438" s="444">
        <f t="shared" ca="1" si="207"/>
        <v>106925942418091.86</v>
      </c>
      <c r="M5438" s="460">
        <f t="shared" si="209"/>
        <v>0.05</v>
      </c>
      <c r="N5438" s="464">
        <f t="shared" si="210"/>
        <v>216561</v>
      </c>
    </row>
    <row r="5439" spans="7:14" ht="11.25" customHeight="1" x14ac:dyDescent="0.3">
      <c r="G5439" s="459"/>
      <c r="H5439" s="459">
        <v>5432</v>
      </c>
      <c r="I5439" s="444">
        <f t="shared" ca="1" si="208"/>
        <v>106925942418091.86</v>
      </c>
      <c r="J5439" s="444">
        <f t="array" ref="J5439">IFERROR(INDEX('Retirement Calculator'!J:J,MATCH('Isaac 401k'!N5439,'Retirement Calculator'!A:A,0),0),0)</f>
        <v>0</v>
      </c>
      <c r="K5439" s="444">
        <f t="shared" ca="1" si="206"/>
        <v>445524760075.38275</v>
      </c>
      <c r="L5439" s="444">
        <f t="shared" ca="1" si="207"/>
        <v>107371467178167.23</v>
      </c>
      <c r="M5439" s="460">
        <f t="shared" si="209"/>
        <v>0.05</v>
      </c>
      <c r="N5439" s="464">
        <f t="shared" si="210"/>
        <v>216592</v>
      </c>
    </row>
    <row r="5440" spans="7:14" ht="11.25" customHeight="1" x14ac:dyDescent="0.3">
      <c r="G5440" s="459"/>
      <c r="H5440" s="459">
        <v>5433</v>
      </c>
      <c r="I5440" s="444">
        <f t="shared" ca="1" si="208"/>
        <v>107371467178167.23</v>
      </c>
      <c r="J5440" s="444">
        <f t="array" ref="J5440">IFERROR(INDEX('Retirement Calculator'!J:J,MATCH('Isaac 401k'!N5440,'Retirement Calculator'!A:A,0),0),0)</f>
        <v>0</v>
      </c>
      <c r="K5440" s="444">
        <f t="shared" ca="1" si="206"/>
        <v>447381113242.36346</v>
      </c>
      <c r="L5440" s="444">
        <f t="shared" ca="1" si="207"/>
        <v>107818848291409.59</v>
      </c>
      <c r="M5440" s="460">
        <f t="shared" si="209"/>
        <v>0.05</v>
      </c>
      <c r="N5440" s="464">
        <f t="shared" si="210"/>
        <v>216623</v>
      </c>
    </row>
    <row r="5441" spans="7:14" ht="11.25" customHeight="1" x14ac:dyDescent="0.3">
      <c r="G5441" s="459"/>
      <c r="H5441" s="459">
        <v>5434</v>
      </c>
      <c r="I5441" s="444">
        <f t="shared" ca="1" si="208"/>
        <v>107818848291409.59</v>
      </c>
      <c r="J5441" s="444">
        <f t="array" ref="J5441">IFERROR(INDEX('Retirement Calculator'!J:J,MATCH('Isaac 401k'!N5441,'Retirement Calculator'!A:A,0),0),0)</f>
        <v>0</v>
      </c>
      <c r="K5441" s="444">
        <f t="shared" ca="1" si="206"/>
        <v>449245201214.2066</v>
      </c>
      <c r="L5441" s="444">
        <f t="shared" ca="1" si="207"/>
        <v>108268093492623.8</v>
      </c>
      <c r="M5441" s="460">
        <f t="shared" si="209"/>
        <v>0.05</v>
      </c>
      <c r="N5441" s="464">
        <f t="shared" si="210"/>
        <v>216651</v>
      </c>
    </row>
    <row r="5442" spans="7:14" ht="11.25" customHeight="1" x14ac:dyDescent="0.3">
      <c r="G5442" s="459"/>
      <c r="H5442" s="459">
        <v>5435</v>
      </c>
      <c r="I5442" s="444">
        <f t="shared" ca="1" si="208"/>
        <v>108268093492623.8</v>
      </c>
      <c r="J5442" s="444">
        <f t="array" ref="J5442">IFERROR(INDEX('Retirement Calculator'!J:J,MATCH('Isaac 401k'!N5442,'Retirement Calculator'!A:A,0),0),0)</f>
        <v>0</v>
      </c>
      <c r="K5442" s="444">
        <f t="shared" ca="1" si="206"/>
        <v>451117056219.26581</v>
      </c>
      <c r="L5442" s="444">
        <f t="shared" ca="1" si="207"/>
        <v>108719210548843.06</v>
      </c>
      <c r="M5442" s="460">
        <f t="shared" si="209"/>
        <v>0.05</v>
      </c>
      <c r="N5442" s="464">
        <f t="shared" si="210"/>
        <v>216682</v>
      </c>
    </row>
    <row r="5443" spans="7:14" ht="11.25" customHeight="1" x14ac:dyDescent="0.3">
      <c r="G5443" s="459"/>
      <c r="H5443" s="459">
        <v>5436</v>
      </c>
      <c r="I5443" s="444">
        <f t="shared" ca="1" si="208"/>
        <v>108719210548843.06</v>
      </c>
      <c r="J5443" s="444">
        <f t="array" ref="J5443">IFERROR(INDEX('Retirement Calculator'!J:J,MATCH('Isaac 401k'!N5443,'Retirement Calculator'!A:A,0),0),0)</f>
        <v>0</v>
      </c>
      <c r="K5443" s="444">
        <f t="shared" ca="1" si="206"/>
        <v>452996710620.17944</v>
      </c>
      <c r="L5443" s="444">
        <f t="shared" ca="1" si="207"/>
        <v>109172207259463.23</v>
      </c>
      <c r="M5443" s="460">
        <f t="shared" si="209"/>
        <v>0.05</v>
      </c>
      <c r="N5443" s="464">
        <f t="shared" si="210"/>
        <v>216712</v>
      </c>
    </row>
    <row r="5444" spans="7:14" ht="11.25" customHeight="1" x14ac:dyDescent="0.3">
      <c r="G5444" s="459"/>
      <c r="H5444" s="459">
        <v>5437</v>
      </c>
      <c r="I5444" s="444">
        <f t="shared" ca="1" si="208"/>
        <v>109172207259463.23</v>
      </c>
      <c r="J5444" s="444">
        <f t="array" ref="J5444">IFERROR(INDEX('Retirement Calculator'!J:J,MATCH('Isaac 401k'!N5444,'Retirement Calculator'!A:A,0),0),0)</f>
        <v>0</v>
      </c>
      <c r="K5444" s="444">
        <f t="shared" ca="1" si="206"/>
        <v>454884196914.43011</v>
      </c>
      <c r="L5444" s="444">
        <f t="shared" ca="1" si="207"/>
        <v>109627091456377.67</v>
      </c>
      <c r="M5444" s="460">
        <f t="shared" si="209"/>
        <v>0.05</v>
      </c>
      <c r="N5444" s="464">
        <f t="shared" si="210"/>
        <v>216743</v>
      </c>
    </row>
    <row r="5445" spans="7:14" ht="11.25" customHeight="1" x14ac:dyDescent="0.3">
      <c r="G5445" s="459"/>
      <c r="H5445" s="459">
        <v>5438</v>
      </c>
      <c r="I5445" s="444">
        <f t="shared" ca="1" si="208"/>
        <v>109627091456377.67</v>
      </c>
      <c r="J5445" s="444">
        <f t="array" ref="J5445">IFERROR(INDEX('Retirement Calculator'!J:J,MATCH('Isaac 401k'!N5445,'Retirement Calculator'!A:A,0),0),0)</f>
        <v>0</v>
      </c>
      <c r="K5445" s="444">
        <f t="shared" ca="1" si="206"/>
        <v>456779547734.90704</v>
      </c>
      <c r="L5445" s="444">
        <f t="shared" ca="1" si="207"/>
        <v>110083871004112.58</v>
      </c>
      <c r="M5445" s="460">
        <f t="shared" si="209"/>
        <v>0.05</v>
      </c>
      <c r="N5445" s="464">
        <f t="shared" si="210"/>
        <v>216773</v>
      </c>
    </row>
    <row r="5446" spans="7:14" ht="11.25" customHeight="1" x14ac:dyDescent="0.3">
      <c r="G5446" s="459"/>
      <c r="H5446" s="459">
        <v>5439</v>
      </c>
      <c r="I5446" s="444">
        <f t="shared" ca="1" si="208"/>
        <v>110083871004112.58</v>
      </c>
      <c r="J5446" s="444">
        <f t="array" ref="J5446">IFERROR(INDEX('Retirement Calculator'!J:J,MATCH('Isaac 401k'!N5446,'Retirement Calculator'!A:A,0),0),0)</f>
        <v>0</v>
      </c>
      <c r="K5446" s="444">
        <f t="shared" ca="1" si="206"/>
        <v>458682795850.46899</v>
      </c>
      <c r="L5446" s="444">
        <f t="shared" ca="1" si="207"/>
        <v>110542553799963.05</v>
      </c>
      <c r="M5446" s="460">
        <f t="shared" si="209"/>
        <v>0.05</v>
      </c>
      <c r="N5446" s="464">
        <f t="shared" si="210"/>
        <v>216804</v>
      </c>
    </row>
    <row r="5447" spans="7:14" ht="11.25" customHeight="1" x14ac:dyDescent="0.3">
      <c r="G5447" s="459"/>
      <c r="H5447" s="459">
        <v>5440</v>
      </c>
      <c r="I5447" s="444">
        <f t="shared" ca="1" si="208"/>
        <v>110542553799963.05</v>
      </c>
      <c r="J5447" s="444">
        <f t="array" ref="J5447">IFERROR(INDEX('Retirement Calculator'!J:J,MATCH('Isaac 401k'!N5447,'Retirement Calculator'!A:A,0),0),0)</f>
        <v>0</v>
      </c>
      <c r="K5447" s="444">
        <f t="shared" ca="1" si="206"/>
        <v>460593974166.51276</v>
      </c>
      <c r="L5447" s="444">
        <f t="shared" ca="1" si="207"/>
        <v>111003147774129.56</v>
      </c>
      <c r="M5447" s="460">
        <f t="shared" si="209"/>
        <v>0.05</v>
      </c>
      <c r="N5447" s="464">
        <f t="shared" si="210"/>
        <v>216835</v>
      </c>
    </row>
    <row r="5448" spans="7:14" ht="11.25" customHeight="1" x14ac:dyDescent="0.3">
      <c r="G5448" s="459"/>
      <c r="H5448" s="459">
        <v>5441</v>
      </c>
      <c r="I5448" s="444">
        <f t="shared" ca="1" si="208"/>
        <v>111003147774129.56</v>
      </c>
      <c r="J5448" s="444">
        <f t="array" ref="J5448">IFERROR(INDEX('Retirement Calculator'!J:J,MATCH('Isaac 401k'!N5448,'Retirement Calculator'!A:A,0),0),0)</f>
        <v>0</v>
      </c>
      <c r="K5448" s="444">
        <f t="shared" ca="1" si="206"/>
        <v>462513115725.53992</v>
      </c>
      <c r="L5448" s="444">
        <f t="shared" ca="1" si="207"/>
        <v>111465660889855.11</v>
      </c>
      <c r="M5448" s="460">
        <f t="shared" si="209"/>
        <v>0.05</v>
      </c>
      <c r="N5448" s="464">
        <f t="shared" si="210"/>
        <v>216865</v>
      </c>
    </row>
    <row r="5449" spans="7:14" ht="11.25" customHeight="1" x14ac:dyDescent="0.3">
      <c r="G5449" s="459"/>
      <c r="H5449" s="459">
        <v>5442</v>
      </c>
      <c r="I5449" s="444">
        <f t="shared" ca="1" si="208"/>
        <v>111465660889855.11</v>
      </c>
      <c r="J5449" s="444">
        <f t="array" ref="J5449">IFERROR(INDEX('Retirement Calculator'!J:J,MATCH('Isaac 401k'!N5449,'Retirement Calculator'!A:A,0),0),0)</f>
        <v>0</v>
      </c>
      <c r="K5449" s="444">
        <f t="shared" ca="1" si="206"/>
        <v>464440253707.72968</v>
      </c>
      <c r="L5449" s="444">
        <f t="shared" ca="1" si="207"/>
        <v>111930101143562.84</v>
      </c>
      <c r="M5449" s="460">
        <f t="shared" si="209"/>
        <v>0.05</v>
      </c>
      <c r="N5449" s="464">
        <f t="shared" si="210"/>
        <v>216896</v>
      </c>
    </row>
    <row r="5450" spans="7:14" ht="11.25" customHeight="1" x14ac:dyDescent="0.3">
      <c r="G5450" s="459"/>
      <c r="H5450" s="459">
        <v>5443</v>
      </c>
      <c r="I5450" s="444">
        <f t="shared" ca="1" si="208"/>
        <v>111930101143562.84</v>
      </c>
      <c r="J5450" s="444">
        <f t="array" ref="J5450">IFERROR(INDEX('Retirement Calculator'!J:J,MATCH('Isaac 401k'!N5450,'Retirement Calculator'!A:A,0),0),0)</f>
        <v>0</v>
      </c>
      <c r="K5450" s="444">
        <f t="shared" ca="1" si="206"/>
        <v>466375421431.51184</v>
      </c>
      <c r="L5450" s="444">
        <f t="shared" ca="1" si="207"/>
        <v>112396476564994.36</v>
      </c>
      <c r="M5450" s="460">
        <f t="shared" si="209"/>
        <v>0.05</v>
      </c>
      <c r="N5450" s="464">
        <f t="shared" si="210"/>
        <v>216926</v>
      </c>
    </row>
    <row r="5451" spans="7:14" ht="11.25" customHeight="1" x14ac:dyDescent="0.3">
      <c r="G5451" s="459"/>
      <c r="H5451" s="459">
        <v>5444</v>
      </c>
      <c r="I5451" s="444">
        <f t="shared" ca="1" si="208"/>
        <v>112396476564994.36</v>
      </c>
      <c r="J5451" s="444">
        <f t="array" ref="J5451">IFERROR(INDEX('Retirement Calculator'!J:J,MATCH('Isaac 401k'!N5451,'Retirement Calculator'!A:A,0),0),0)</f>
        <v>0</v>
      </c>
      <c r="K5451" s="444">
        <f t="shared" ca="1" si="206"/>
        <v>468318652354.14313</v>
      </c>
      <c r="L5451" s="444">
        <f t="shared" ca="1" si="207"/>
        <v>112864795217348.5</v>
      </c>
      <c r="M5451" s="460">
        <f t="shared" si="209"/>
        <v>0.05</v>
      </c>
      <c r="N5451" s="464">
        <f t="shared" si="210"/>
        <v>216957</v>
      </c>
    </row>
    <row r="5452" spans="7:14" ht="11.25" customHeight="1" x14ac:dyDescent="0.3">
      <c r="G5452" s="459"/>
      <c r="H5452" s="459">
        <v>5445</v>
      </c>
      <c r="I5452" s="444">
        <f t="shared" ca="1" si="208"/>
        <v>112864795217348.5</v>
      </c>
      <c r="J5452" s="444">
        <f t="array" ref="J5452">IFERROR(INDEX('Retirement Calculator'!J:J,MATCH('Isaac 401k'!N5452,'Retirement Calculator'!A:A,0),0),0)</f>
        <v>0</v>
      </c>
      <c r="K5452" s="444">
        <f t="shared" ca="1" si="206"/>
        <v>470269980072.2854</v>
      </c>
      <c r="L5452" s="444">
        <f t="shared" ca="1" si="207"/>
        <v>113335065197420.78</v>
      </c>
      <c r="M5452" s="460">
        <f t="shared" si="209"/>
        <v>0.05</v>
      </c>
      <c r="N5452" s="464">
        <f t="shared" si="210"/>
        <v>216988</v>
      </c>
    </row>
    <row r="5453" spans="7:14" ht="11.25" customHeight="1" x14ac:dyDescent="0.3">
      <c r="G5453" s="459"/>
      <c r="H5453" s="459">
        <v>5446</v>
      </c>
      <c r="I5453" s="444">
        <f t="shared" ca="1" si="208"/>
        <v>113335065197420.78</v>
      </c>
      <c r="J5453" s="444">
        <f t="array" ref="J5453">IFERROR(INDEX('Retirement Calculator'!J:J,MATCH('Isaac 401k'!N5453,'Retirement Calculator'!A:A,0),0),0)</f>
        <v>0</v>
      </c>
      <c r="K5453" s="444">
        <f t="shared" ca="1" si="206"/>
        <v>472229438322.58649</v>
      </c>
      <c r="L5453" s="444">
        <f t="shared" ca="1" si="207"/>
        <v>113807294635743.38</v>
      </c>
      <c r="M5453" s="460">
        <f t="shared" si="209"/>
        <v>0.05</v>
      </c>
      <c r="N5453" s="464">
        <f t="shared" si="210"/>
        <v>217016</v>
      </c>
    </row>
    <row r="5454" spans="7:14" ht="11.25" customHeight="1" x14ac:dyDescent="0.3">
      <c r="G5454" s="459"/>
      <c r="H5454" s="459">
        <v>5447</v>
      </c>
      <c r="I5454" s="444">
        <f t="shared" ca="1" si="208"/>
        <v>113807294635743.38</v>
      </c>
      <c r="J5454" s="444">
        <f t="array" ref="J5454">IFERROR(INDEX('Retirement Calculator'!J:J,MATCH('Isaac 401k'!N5454,'Retirement Calculator'!A:A,0),0),0)</f>
        <v>0</v>
      </c>
      <c r="K5454" s="444">
        <f t="shared" ca="1" si="206"/>
        <v>474197060982.2641</v>
      </c>
      <c r="L5454" s="444">
        <f t="shared" ca="1" si="207"/>
        <v>114281491696725.64</v>
      </c>
      <c r="M5454" s="460">
        <f t="shared" si="209"/>
        <v>0.05</v>
      </c>
      <c r="N5454" s="464">
        <f t="shared" si="210"/>
        <v>217047</v>
      </c>
    </row>
    <row r="5455" spans="7:14" ht="11.25" customHeight="1" x14ac:dyDescent="0.3">
      <c r="G5455" s="459"/>
      <c r="H5455" s="459">
        <v>5448</v>
      </c>
      <c r="I5455" s="444">
        <f t="shared" ca="1" si="208"/>
        <v>114281491696725.64</v>
      </c>
      <c r="J5455" s="444">
        <f t="array" ref="J5455">IFERROR(INDEX('Retirement Calculator'!J:J,MATCH('Isaac 401k'!N5455,'Retirement Calculator'!A:A,0),0),0)</f>
        <v>0</v>
      </c>
      <c r="K5455" s="444">
        <f t="shared" ca="1" si="206"/>
        <v>476172882069.69019</v>
      </c>
      <c r="L5455" s="444">
        <f t="shared" ca="1" si="207"/>
        <v>114757664578795.33</v>
      </c>
      <c r="M5455" s="460">
        <f t="shared" si="209"/>
        <v>0.05</v>
      </c>
      <c r="N5455" s="464">
        <f t="shared" si="210"/>
        <v>217077</v>
      </c>
    </row>
    <row r="5456" spans="7:14" ht="11.25" customHeight="1" x14ac:dyDescent="0.3">
      <c r="G5456" s="459"/>
      <c r="H5456" s="459">
        <v>5449</v>
      </c>
      <c r="I5456" s="444">
        <f t="shared" ca="1" si="208"/>
        <v>114757664578795.33</v>
      </c>
      <c r="J5456" s="444">
        <f t="array" ref="J5456">IFERROR(INDEX('Retirement Calculator'!J:J,MATCH('Isaac 401k'!N5456,'Retirement Calculator'!A:A,0),0),0)</f>
        <v>0</v>
      </c>
      <c r="K5456" s="444">
        <f t="shared" ca="1" si="206"/>
        <v>478156935744.98047</v>
      </c>
      <c r="L5456" s="444">
        <f t="shared" ca="1" si="207"/>
        <v>115235821514540.31</v>
      </c>
      <c r="M5456" s="460">
        <f t="shared" si="209"/>
        <v>0.05</v>
      </c>
      <c r="N5456" s="464">
        <f t="shared" si="210"/>
        <v>217108</v>
      </c>
    </row>
    <row r="5457" spans="7:14" ht="11.25" customHeight="1" x14ac:dyDescent="0.3">
      <c r="G5457" s="459"/>
      <c r="H5457" s="459">
        <v>5450</v>
      </c>
      <c r="I5457" s="444">
        <f t="shared" ca="1" si="208"/>
        <v>115235821514540.31</v>
      </c>
      <c r="J5457" s="444">
        <f t="array" ref="J5457">IFERROR(INDEX('Retirement Calculator'!J:J,MATCH('Isaac 401k'!N5457,'Retirement Calculator'!A:A,0),0),0)</f>
        <v>0</v>
      </c>
      <c r="K5457" s="444">
        <f t="shared" ca="1" si="206"/>
        <v>480149256310.58466</v>
      </c>
      <c r="L5457" s="444">
        <f t="shared" ca="1" si="207"/>
        <v>115715970770850.89</v>
      </c>
      <c r="M5457" s="460">
        <f t="shared" si="209"/>
        <v>0.05</v>
      </c>
      <c r="N5457" s="464">
        <f t="shared" si="210"/>
        <v>217138</v>
      </c>
    </row>
    <row r="5458" spans="7:14" ht="11.25" customHeight="1" x14ac:dyDescent="0.3">
      <c r="G5458" s="459"/>
      <c r="H5458" s="459">
        <v>5451</v>
      </c>
      <c r="I5458" s="444">
        <f t="shared" ca="1" si="208"/>
        <v>115715970770850.89</v>
      </c>
      <c r="J5458" s="444">
        <f t="array" ref="J5458">IFERROR(INDEX('Retirement Calculator'!J:J,MATCH('Isaac 401k'!N5458,'Retirement Calculator'!A:A,0),0),0)</f>
        <v>0</v>
      </c>
      <c r="K5458" s="444">
        <f t="shared" ca="1" si="206"/>
        <v>482149878211.87872</v>
      </c>
      <c r="L5458" s="444">
        <f t="shared" ca="1" si="207"/>
        <v>116198120649062.77</v>
      </c>
      <c r="M5458" s="460">
        <f t="shared" si="209"/>
        <v>0.05</v>
      </c>
      <c r="N5458" s="464">
        <f t="shared" si="210"/>
        <v>217169</v>
      </c>
    </row>
    <row r="5459" spans="7:14" ht="11.25" customHeight="1" x14ac:dyDescent="0.3">
      <c r="G5459" s="459"/>
      <c r="H5459" s="459">
        <v>5452</v>
      </c>
      <c r="I5459" s="444">
        <f t="shared" ca="1" si="208"/>
        <v>116198120649062.77</v>
      </c>
      <c r="J5459" s="444">
        <f t="array" ref="J5459">IFERROR(INDEX('Retirement Calculator'!J:J,MATCH('Isaac 401k'!N5459,'Retirement Calculator'!A:A,0),0),0)</f>
        <v>0</v>
      </c>
      <c r="K5459" s="444">
        <f t="shared" ca="1" si="206"/>
        <v>484158836037.7616</v>
      </c>
      <c r="L5459" s="444">
        <f t="shared" ca="1" si="207"/>
        <v>116682279485100.53</v>
      </c>
      <c r="M5459" s="460">
        <f t="shared" si="209"/>
        <v>0.05</v>
      </c>
      <c r="N5459" s="464">
        <f t="shared" si="210"/>
        <v>217200</v>
      </c>
    </row>
    <row r="5460" spans="7:14" ht="11.25" customHeight="1" x14ac:dyDescent="0.3">
      <c r="G5460" s="459"/>
      <c r="H5460" s="459">
        <v>5453</v>
      </c>
      <c r="I5460" s="444">
        <f t="shared" ca="1" si="208"/>
        <v>116682279485100.53</v>
      </c>
      <c r="J5460" s="444">
        <f t="array" ref="J5460">IFERROR(INDEX('Retirement Calculator'!J:J,MATCH('Isaac 401k'!N5460,'Retirement Calculator'!A:A,0),0),0)</f>
        <v>0</v>
      </c>
      <c r="K5460" s="444">
        <f t="shared" ca="1" si="206"/>
        <v>486176164521.2522</v>
      </c>
      <c r="L5460" s="444">
        <f t="shared" ca="1" si="207"/>
        <v>117168455649621.78</v>
      </c>
      <c r="M5460" s="460">
        <f t="shared" si="209"/>
        <v>0.05</v>
      </c>
      <c r="N5460" s="464">
        <f t="shared" si="210"/>
        <v>217230</v>
      </c>
    </row>
    <row r="5461" spans="7:14" ht="11.25" customHeight="1" x14ac:dyDescent="0.3">
      <c r="G5461" s="459"/>
      <c r="H5461" s="459">
        <v>5454</v>
      </c>
      <c r="I5461" s="444">
        <f t="shared" ca="1" si="208"/>
        <v>117168455649621.78</v>
      </c>
      <c r="J5461" s="444">
        <f t="array" ref="J5461">IFERROR(INDEX('Retirement Calculator'!J:J,MATCH('Isaac 401k'!N5461,'Retirement Calculator'!A:A,0),0),0)</f>
        <v>0</v>
      </c>
      <c r="K5461" s="444">
        <f t="shared" ca="1" si="206"/>
        <v>488201898540.09076</v>
      </c>
      <c r="L5461" s="444">
        <f t="shared" ca="1" si="207"/>
        <v>117656657548161.88</v>
      </c>
      <c r="M5461" s="460">
        <f t="shared" si="209"/>
        <v>0.05</v>
      </c>
      <c r="N5461" s="464">
        <f t="shared" si="210"/>
        <v>217261</v>
      </c>
    </row>
    <row r="5462" spans="7:14" ht="11.25" customHeight="1" x14ac:dyDescent="0.3">
      <c r="G5462" s="459"/>
      <c r="H5462" s="459">
        <v>5455</v>
      </c>
      <c r="I5462" s="444">
        <f t="shared" ca="1" si="208"/>
        <v>117656657548161.88</v>
      </c>
      <c r="J5462" s="444">
        <f t="array" ref="J5462">IFERROR(INDEX('Retirement Calculator'!J:J,MATCH('Isaac 401k'!N5462,'Retirement Calculator'!A:A,0),0),0)</f>
        <v>0</v>
      </c>
      <c r="K5462" s="444">
        <f t="shared" ca="1" si="206"/>
        <v>490236073117.34113</v>
      </c>
      <c r="L5462" s="444">
        <f t="shared" ca="1" si="207"/>
        <v>118146893621279.22</v>
      </c>
      <c r="M5462" s="460">
        <f t="shared" si="209"/>
        <v>0.05</v>
      </c>
      <c r="N5462" s="464">
        <f t="shared" si="210"/>
        <v>217291</v>
      </c>
    </row>
    <row r="5463" spans="7:14" ht="11.25" customHeight="1" x14ac:dyDescent="0.3">
      <c r="G5463" s="459"/>
      <c r="H5463" s="459">
        <v>5456</v>
      </c>
      <c r="I5463" s="444">
        <f t="shared" ca="1" si="208"/>
        <v>118146893621279.22</v>
      </c>
      <c r="J5463" s="444">
        <f t="array" ref="J5463">IFERROR(INDEX('Retirement Calculator'!J:J,MATCH('Isaac 401k'!N5463,'Retirement Calculator'!A:A,0),0),0)</f>
        <v>0</v>
      </c>
      <c r="K5463" s="444">
        <f t="shared" ca="1" si="206"/>
        <v>492278723421.99683</v>
      </c>
      <c r="L5463" s="444">
        <f t="shared" ca="1" si="207"/>
        <v>118639172344701.22</v>
      </c>
      <c r="M5463" s="460">
        <f t="shared" si="209"/>
        <v>0.05</v>
      </c>
      <c r="N5463" s="464">
        <f t="shared" si="210"/>
        <v>217322</v>
      </c>
    </row>
    <row r="5464" spans="7:14" ht="11.25" customHeight="1" x14ac:dyDescent="0.3">
      <c r="G5464" s="459"/>
      <c r="H5464" s="459">
        <v>5457</v>
      </c>
      <c r="I5464" s="444">
        <f t="shared" ca="1" si="208"/>
        <v>118639172344701.22</v>
      </c>
      <c r="J5464" s="444">
        <f t="array" ref="J5464">IFERROR(INDEX('Retirement Calculator'!J:J,MATCH('Isaac 401k'!N5464,'Retirement Calculator'!A:A,0),0),0)</f>
        <v>0</v>
      </c>
      <c r="K5464" s="444">
        <f t="shared" ca="1" si="206"/>
        <v>494329884769.58838</v>
      </c>
      <c r="L5464" s="444">
        <f t="shared" ca="1" si="207"/>
        <v>119133502229470.81</v>
      </c>
      <c r="M5464" s="460">
        <f t="shared" si="209"/>
        <v>0.05</v>
      </c>
      <c r="N5464" s="464">
        <f t="shared" si="210"/>
        <v>217353</v>
      </c>
    </row>
    <row r="5465" spans="7:14" ht="11.25" customHeight="1" x14ac:dyDescent="0.3">
      <c r="G5465" s="459"/>
      <c r="H5465" s="459">
        <v>5458</v>
      </c>
      <c r="I5465" s="444">
        <f t="shared" ca="1" si="208"/>
        <v>119133502229470.81</v>
      </c>
      <c r="J5465" s="444">
        <f t="array" ref="J5465">IFERROR(INDEX('Retirement Calculator'!J:J,MATCH('Isaac 401k'!N5465,'Retirement Calculator'!A:A,0),0),0)</f>
        <v>0</v>
      </c>
      <c r="K5465" s="444">
        <f t="shared" ca="1" si="206"/>
        <v>496389592622.79504</v>
      </c>
      <c r="L5465" s="444">
        <f t="shared" ca="1" si="207"/>
        <v>119629891822093.61</v>
      </c>
      <c r="M5465" s="460">
        <f t="shared" si="209"/>
        <v>0.05</v>
      </c>
      <c r="N5465" s="464">
        <f t="shared" si="210"/>
        <v>217381</v>
      </c>
    </row>
    <row r="5466" spans="7:14" ht="11.25" customHeight="1" x14ac:dyDescent="0.3">
      <c r="G5466" s="459"/>
      <c r="H5466" s="459">
        <v>5459</v>
      </c>
      <c r="I5466" s="444">
        <f t="shared" ca="1" si="208"/>
        <v>119629891822093.61</v>
      </c>
      <c r="J5466" s="444">
        <f t="array" ref="J5466">IFERROR(INDEX('Retirement Calculator'!J:J,MATCH('Isaac 401k'!N5466,'Retirement Calculator'!A:A,0),0),0)</f>
        <v>0</v>
      </c>
      <c r="K5466" s="444">
        <f t="shared" ca="1" si="206"/>
        <v>498457882592.0567</v>
      </c>
      <c r="L5466" s="444">
        <f t="shared" ca="1" si="207"/>
        <v>120128349704685.67</v>
      </c>
      <c r="M5466" s="460">
        <f t="shared" si="209"/>
        <v>0.05</v>
      </c>
      <c r="N5466" s="464">
        <f t="shared" si="210"/>
        <v>217412</v>
      </c>
    </row>
    <row r="5467" spans="7:14" ht="11.25" customHeight="1" x14ac:dyDescent="0.3">
      <c r="G5467" s="459"/>
      <c r="H5467" s="459">
        <v>5460</v>
      </c>
      <c r="I5467" s="444">
        <f t="shared" ca="1" si="208"/>
        <v>120128349704685.67</v>
      </c>
      <c r="J5467" s="444">
        <f t="array" ref="J5467">IFERROR(INDEX('Retirement Calculator'!J:J,MATCH('Isaac 401k'!N5467,'Retirement Calculator'!A:A,0),0),0)</f>
        <v>0</v>
      </c>
      <c r="K5467" s="444">
        <f t="shared" ca="1" si="206"/>
        <v>500534790436.19031</v>
      </c>
      <c r="L5467" s="444">
        <f t="shared" ca="1" si="207"/>
        <v>120628884495121.86</v>
      </c>
      <c r="M5467" s="460">
        <f t="shared" si="209"/>
        <v>0.05</v>
      </c>
      <c r="N5467" s="464">
        <f t="shared" si="210"/>
        <v>217442</v>
      </c>
    </row>
    <row r="5468" spans="7:14" ht="11.25" customHeight="1" x14ac:dyDescent="0.3">
      <c r="G5468" s="459"/>
      <c r="H5468" s="459">
        <v>5461</v>
      </c>
      <c r="I5468" s="444">
        <f t="shared" ca="1" si="208"/>
        <v>120628884495121.86</v>
      </c>
      <c r="J5468" s="444">
        <f t="array" ref="J5468">IFERROR(INDEX('Retirement Calculator'!J:J,MATCH('Isaac 401k'!N5468,'Retirement Calculator'!A:A,0),0),0)</f>
        <v>0</v>
      </c>
      <c r="K5468" s="444">
        <f t="shared" ca="1" si="206"/>
        <v>502620352063.00775</v>
      </c>
      <c r="L5468" s="444">
        <f t="shared" ca="1" si="207"/>
        <v>121131504847184.86</v>
      </c>
      <c r="M5468" s="460">
        <f t="shared" si="209"/>
        <v>0.05</v>
      </c>
      <c r="N5468" s="464">
        <f t="shared" si="210"/>
        <v>217473</v>
      </c>
    </row>
    <row r="5469" spans="7:14" ht="11.25" customHeight="1" x14ac:dyDescent="0.3">
      <c r="G5469" s="459"/>
      <c r="H5469" s="459">
        <v>5462</v>
      </c>
      <c r="I5469" s="444">
        <f t="shared" ca="1" si="208"/>
        <v>121131504847184.86</v>
      </c>
      <c r="J5469" s="444">
        <f t="array" ref="J5469">IFERROR(INDEX('Retirement Calculator'!J:J,MATCH('Isaac 401k'!N5469,'Retirement Calculator'!A:A,0),0),0)</f>
        <v>0</v>
      </c>
      <c r="K5469" s="444">
        <f t="shared" ca="1" si="206"/>
        <v>504714603529.93689</v>
      </c>
      <c r="L5469" s="444">
        <f t="shared" ca="1" si="207"/>
        <v>121636219450714.8</v>
      </c>
      <c r="M5469" s="460">
        <f t="shared" si="209"/>
        <v>0.05</v>
      </c>
      <c r="N5469" s="464">
        <f t="shared" si="210"/>
        <v>217503</v>
      </c>
    </row>
    <row r="5470" spans="7:14" ht="11.25" customHeight="1" x14ac:dyDescent="0.3">
      <c r="G5470" s="459"/>
      <c r="H5470" s="459">
        <v>5463</v>
      </c>
      <c r="I5470" s="444">
        <f t="shared" ca="1" si="208"/>
        <v>121636219450714.8</v>
      </c>
      <c r="J5470" s="444">
        <f t="array" ref="J5470">IFERROR(INDEX('Retirement Calculator'!J:J,MATCH('Isaac 401k'!N5470,'Retirement Calculator'!A:A,0),0),0)</f>
        <v>0</v>
      </c>
      <c r="K5470" s="444">
        <f t="shared" ca="1" si="206"/>
        <v>506817581044.64496</v>
      </c>
      <c r="L5470" s="444">
        <f t="shared" ca="1" si="207"/>
        <v>122143037031759.44</v>
      </c>
      <c r="M5470" s="460">
        <f t="shared" si="209"/>
        <v>0.05</v>
      </c>
      <c r="N5470" s="464">
        <f t="shared" si="210"/>
        <v>217534</v>
      </c>
    </row>
    <row r="5471" spans="7:14" ht="11.25" customHeight="1" x14ac:dyDescent="0.3">
      <c r="G5471" s="459"/>
      <c r="H5471" s="459">
        <v>5464</v>
      </c>
      <c r="I5471" s="444">
        <f t="shared" ca="1" si="208"/>
        <v>122143037031759.44</v>
      </c>
      <c r="J5471" s="444">
        <f t="array" ref="J5471">IFERROR(INDEX('Retirement Calculator'!J:J,MATCH('Isaac 401k'!N5471,'Retirement Calculator'!A:A,0),0),0)</f>
        <v>0</v>
      </c>
      <c r="K5471" s="444">
        <f t="shared" ca="1" si="206"/>
        <v>508929320965.66431</v>
      </c>
      <c r="L5471" s="444">
        <f t="shared" ca="1" si="207"/>
        <v>122651966352725.11</v>
      </c>
      <c r="M5471" s="460">
        <f t="shared" si="209"/>
        <v>0.05</v>
      </c>
      <c r="N5471" s="464">
        <f t="shared" si="210"/>
        <v>217565</v>
      </c>
    </row>
    <row r="5472" spans="7:14" ht="11.25" customHeight="1" x14ac:dyDescent="0.3">
      <c r="G5472" s="459"/>
      <c r="H5472" s="459">
        <v>5465</v>
      </c>
      <c r="I5472" s="444">
        <f t="shared" ca="1" si="208"/>
        <v>122651966352725.11</v>
      </c>
      <c r="J5472" s="444">
        <f t="array" ref="J5472">IFERROR(INDEX('Retirement Calculator'!J:J,MATCH('Isaac 401k'!N5472,'Retirement Calculator'!A:A,0),0),0)</f>
        <v>0</v>
      </c>
      <c r="K5472" s="444">
        <f t="shared" ca="1" si="206"/>
        <v>511049859803.0213</v>
      </c>
      <c r="L5472" s="444">
        <f t="shared" ca="1" si="207"/>
        <v>123163016212528.13</v>
      </c>
      <c r="M5472" s="460">
        <f t="shared" si="209"/>
        <v>0.05</v>
      </c>
      <c r="N5472" s="464">
        <f t="shared" si="210"/>
        <v>217595</v>
      </c>
    </row>
    <row r="5473" spans="7:14" ht="11.25" customHeight="1" x14ac:dyDescent="0.3">
      <c r="G5473" s="459"/>
      <c r="H5473" s="459">
        <v>5466</v>
      </c>
      <c r="I5473" s="444">
        <f t="shared" ca="1" si="208"/>
        <v>123163016212528.13</v>
      </c>
      <c r="J5473" s="444">
        <f t="array" ref="J5473">IFERROR(INDEX('Retirement Calculator'!J:J,MATCH('Isaac 401k'!N5473,'Retirement Calculator'!A:A,0),0),0)</f>
        <v>0</v>
      </c>
      <c r="K5473" s="444">
        <f t="shared" ca="1" si="206"/>
        <v>513179234218.86719</v>
      </c>
      <c r="L5473" s="444">
        <f t="shared" ca="1" si="207"/>
        <v>123676195446747</v>
      </c>
      <c r="M5473" s="460">
        <f t="shared" si="209"/>
        <v>0.05</v>
      </c>
      <c r="N5473" s="464">
        <f t="shared" si="210"/>
        <v>217626</v>
      </c>
    </row>
    <row r="5474" spans="7:14" ht="11.25" customHeight="1" x14ac:dyDescent="0.3">
      <c r="G5474" s="459"/>
      <c r="H5474" s="459">
        <v>5467</v>
      </c>
      <c r="I5474" s="444">
        <f t="shared" ca="1" si="208"/>
        <v>123676195446747</v>
      </c>
      <c r="J5474" s="444">
        <f t="array" ref="J5474">IFERROR(INDEX('Retirement Calculator'!J:J,MATCH('Isaac 401k'!N5474,'Retirement Calculator'!A:A,0),0),0)</f>
        <v>0</v>
      </c>
      <c r="K5474" s="444">
        <f t="shared" ca="1" si="206"/>
        <v>515317481028.11255</v>
      </c>
      <c r="L5474" s="444">
        <f t="shared" ca="1" si="207"/>
        <v>124191512927775.11</v>
      </c>
      <c r="M5474" s="460">
        <f t="shared" si="209"/>
        <v>0.05</v>
      </c>
      <c r="N5474" s="464">
        <f t="shared" si="210"/>
        <v>217656</v>
      </c>
    </row>
    <row r="5475" spans="7:14" ht="11.25" customHeight="1" x14ac:dyDescent="0.3">
      <c r="G5475" s="459"/>
      <c r="H5475" s="459">
        <v>5468</v>
      </c>
      <c r="I5475" s="444">
        <f t="shared" ca="1" si="208"/>
        <v>124191512927775.11</v>
      </c>
      <c r="J5475" s="444">
        <f t="array" ref="J5475">IFERROR(INDEX('Retirement Calculator'!J:J,MATCH('Isaac 401k'!N5475,'Retirement Calculator'!A:A,0),0),0)</f>
        <v>0</v>
      </c>
      <c r="K5475" s="444">
        <f t="shared" ca="1" si="206"/>
        <v>517464637199.06293</v>
      </c>
      <c r="L5475" s="444">
        <f t="shared" ca="1" si="207"/>
        <v>124708977564974.17</v>
      </c>
      <c r="M5475" s="460">
        <f t="shared" si="209"/>
        <v>0.05</v>
      </c>
      <c r="N5475" s="464">
        <f t="shared" si="210"/>
        <v>217687</v>
      </c>
    </row>
    <row r="5476" spans="7:14" ht="11.25" customHeight="1" x14ac:dyDescent="0.3">
      <c r="G5476" s="459"/>
      <c r="H5476" s="459">
        <v>5469</v>
      </c>
      <c r="I5476" s="444">
        <f t="shared" ca="1" si="208"/>
        <v>124708977564974.17</v>
      </c>
      <c r="J5476" s="444">
        <f t="array" ref="J5476">IFERROR(INDEX('Retirement Calculator'!J:J,MATCH('Isaac 401k'!N5476,'Retirement Calculator'!A:A,0),0),0)</f>
        <v>0</v>
      </c>
      <c r="K5476" s="444">
        <f t="shared" ca="1" si="206"/>
        <v>519620739854.05896</v>
      </c>
      <c r="L5476" s="444">
        <f t="shared" ca="1" si="207"/>
        <v>125228598304828.23</v>
      </c>
      <c r="M5476" s="460">
        <f t="shared" si="209"/>
        <v>0.05</v>
      </c>
      <c r="N5476" s="464">
        <f t="shared" si="210"/>
        <v>217718</v>
      </c>
    </row>
    <row r="5477" spans="7:14" ht="11.25" customHeight="1" x14ac:dyDescent="0.3">
      <c r="G5477" s="459"/>
      <c r="H5477" s="459">
        <v>5470</v>
      </c>
      <c r="I5477" s="444">
        <f t="shared" ca="1" si="208"/>
        <v>125228598304828.23</v>
      </c>
      <c r="J5477" s="444">
        <f t="array" ref="J5477">IFERROR(INDEX('Retirement Calculator'!J:J,MATCH('Isaac 401k'!N5477,'Retirement Calculator'!A:A,0),0),0)</f>
        <v>0</v>
      </c>
      <c r="K5477" s="444">
        <f t="shared" ca="1" si="206"/>
        <v>521785826270.11755</v>
      </c>
      <c r="L5477" s="444">
        <f t="shared" ca="1" si="207"/>
        <v>125750384131098.36</v>
      </c>
      <c r="M5477" s="460">
        <f t="shared" si="209"/>
        <v>0.05</v>
      </c>
      <c r="N5477" s="464">
        <f t="shared" si="210"/>
        <v>217747</v>
      </c>
    </row>
    <row r="5478" spans="7:14" ht="11.25" customHeight="1" x14ac:dyDescent="0.3">
      <c r="G5478" s="459"/>
      <c r="H5478" s="459">
        <v>5471</v>
      </c>
      <c r="I5478" s="444">
        <f t="shared" ca="1" si="208"/>
        <v>125750384131098.36</v>
      </c>
      <c r="J5478" s="444">
        <f t="array" ref="J5478">IFERROR(INDEX('Retirement Calculator'!J:J,MATCH('Isaac 401k'!N5478,'Retirement Calculator'!A:A,0),0),0)</f>
        <v>0</v>
      </c>
      <c r="K5478" s="444">
        <f t="shared" ca="1" si="206"/>
        <v>523959933879.57642</v>
      </c>
      <c r="L5478" s="444">
        <f t="shared" ca="1" si="207"/>
        <v>126274344064977.94</v>
      </c>
      <c r="M5478" s="460">
        <f t="shared" si="209"/>
        <v>0.05</v>
      </c>
      <c r="N5478" s="464">
        <f t="shared" si="210"/>
        <v>217778</v>
      </c>
    </row>
    <row r="5479" spans="7:14" ht="11.25" customHeight="1" x14ac:dyDescent="0.3">
      <c r="G5479" s="459"/>
      <c r="H5479" s="459">
        <v>5472</v>
      </c>
      <c r="I5479" s="444">
        <f t="shared" ca="1" si="208"/>
        <v>126274344064977.94</v>
      </c>
      <c r="J5479" s="444">
        <f t="array" ref="J5479">IFERROR(INDEX('Retirement Calculator'!J:J,MATCH('Isaac 401k'!N5479,'Retirement Calculator'!A:A,0),0),0)</f>
        <v>0</v>
      </c>
      <c r="K5479" s="444">
        <f t="shared" ca="1" si="206"/>
        <v>526143100270.74139</v>
      </c>
      <c r="L5479" s="444">
        <f t="shared" ca="1" si="207"/>
        <v>126800487165248.67</v>
      </c>
      <c r="M5479" s="460">
        <f t="shared" si="209"/>
        <v>0.05</v>
      </c>
      <c r="N5479" s="464">
        <f t="shared" si="210"/>
        <v>217808</v>
      </c>
    </row>
    <row r="5480" spans="7:14" ht="11.25" customHeight="1" x14ac:dyDescent="0.3">
      <c r="G5480" s="459"/>
      <c r="H5480" s="459">
        <v>5473</v>
      </c>
      <c r="I5480" s="444">
        <f t="shared" ca="1" si="208"/>
        <v>126800487165248.67</v>
      </c>
      <c r="J5480" s="444">
        <f t="array" ref="J5480">IFERROR(INDEX('Retirement Calculator'!J:J,MATCH('Isaac 401k'!N5480,'Retirement Calculator'!A:A,0),0),0)</f>
        <v>0</v>
      </c>
      <c r="K5480" s="444">
        <f t="shared" ca="1" si="206"/>
        <v>528335363188.53613</v>
      </c>
      <c r="L5480" s="444">
        <f t="shared" ca="1" si="207"/>
        <v>127328822528437.2</v>
      </c>
      <c r="M5480" s="460">
        <f t="shared" si="209"/>
        <v>0.05</v>
      </c>
      <c r="N5480" s="464">
        <f t="shared" si="210"/>
        <v>217839</v>
      </c>
    </row>
    <row r="5481" spans="7:14" ht="11.25" customHeight="1" x14ac:dyDescent="0.3">
      <c r="G5481" s="459"/>
      <c r="H5481" s="459">
        <v>5474</v>
      </c>
      <c r="I5481" s="444">
        <f t="shared" ca="1" si="208"/>
        <v>127328822528437.2</v>
      </c>
      <c r="J5481" s="444">
        <f t="array" ref="J5481">IFERROR(INDEX('Retirement Calculator'!J:J,MATCH('Isaac 401k'!N5481,'Retirement Calculator'!A:A,0),0),0)</f>
        <v>0</v>
      </c>
      <c r="K5481" s="444">
        <f t="shared" ca="1" si="206"/>
        <v>530536760535.15497</v>
      </c>
      <c r="L5481" s="444">
        <f t="shared" ca="1" si="207"/>
        <v>127859359288972.36</v>
      </c>
      <c r="M5481" s="460">
        <f t="shared" si="209"/>
        <v>0.05</v>
      </c>
      <c r="N5481" s="464">
        <f t="shared" si="210"/>
        <v>217869</v>
      </c>
    </row>
    <row r="5482" spans="7:14" ht="11.25" customHeight="1" x14ac:dyDescent="0.3">
      <c r="G5482" s="459"/>
      <c r="H5482" s="459">
        <v>5475</v>
      </c>
      <c r="I5482" s="444">
        <f t="shared" ca="1" si="208"/>
        <v>127859359288972.36</v>
      </c>
      <c r="J5482" s="444">
        <f t="array" ref="J5482">IFERROR(INDEX('Retirement Calculator'!J:J,MATCH('Isaac 401k'!N5482,'Retirement Calculator'!A:A,0),0),0)</f>
        <v>0</v>
      </c>
      <c r="K5482" s="444">
        <f t="shared" ca="1" si="206"/>
        <v>532747330370.71814</v>
      </c>
      <c r="L5482" s="444">
        <f t="shared" ca="1" si="207"/>
        <v>128392106619343.08</v>
      </c>
      <c r="M5482" s="460">
        <f t="shared" si="209"/>
        <v>0.05</v>
      </c>
      <c r="N5482" s="464">
        <f t="shared" si="210"/>
        <v>217900</v>
      </c>
    </row>
    <row r="5483" spans="7:14" ht="11.25" customHeight="1" x14ac:dyDescent="0.3">
      <c r="G5483" s="459"/>
      <c r="H5483" s="459">
        <v>5476</v>
      </c>
      <c r="I5483" s="444">
        <f t="shared" ca="1" si="208"/>
        <v>128392106619343.08</v>
      </c>
      <c r="J5483" s="444">
        <f t="array" ref="J5483">IFERROR(INDEX('Retirement Calculator'!J:J,MATCH('Isaac 401k'!N5483,'Retirement Calculator'!A:A,0),0),0)</f>
        <v>0</v>
      </c>
      <c r="K5483" s="444">
        <f t="shared" ca="1" si="206"/>
        <v>534967110913.92944</v>
      </c>
      <c r="L5483" s="444">
        <f t="shared" ca="1" si="207"/>
        <v>128927073730257</v>
      </c>
      <c r="M5483" s="460">
        <f t="shared" si="209"/>
        <v>0.05</v>
      </c>
      <c r="N5483" s="464">
        <f t="shared" si="210"/>
        <v>217931</v>
      </c>
    </row>
    <row r="5484" spans="7:14" ht="11.25" customHeight="1" x14ac:dyDescent="0.3">
      <c r="G5484" s="459"/>
      <c r="H5484" s="459">
        <v>5477</v>
      </c>
      <c r="I5484" s="444">
        <f t="shared" ca="1" si="208"/>
        <v>128927073730257</v>
      </c>
      <c r="J5484" s="444">
        <f t="array" ref="J5484">IFERROR(INDEX('Retirement Calculator'!J:J,MATCH('Isaac 401k'!N5484,'Retirement Calculator'!A:A,0),0),0)</f>
        <v>0</v>
      </c>
      <c r="K5484" s="444">
        <f t="shared" ca="1" si="206"/>
        <v>537196140542.73749</v>
      </c>
      <c r="L5484" s="444">
        <f t="shared" ca="1" si="207"/>
        <v>129464269870799.73</v>
      </c>
      <c r="M5484" s="460">
        <f t="shared" si="209"/>
        <v>0.05</v>
      </c>
      <c r="N5484" s="464">
        <f t="shared" si="210"/>
        <v>217961</v>
      </c>
    </row>
    <row r="5485" spans="7:14" ht="11.25" customHeight="1" x14ac:dyDescent="0.3">
      <c r="G5485" s="459"/>
      <c r="H5485" s="459">
        <v>5478</v>
      </c>
      <c r="I5485" s="444">
        <f t="shared" ca="1" si="208"/>
        <v>129464269870799.73</v>
      </c>
      <c r="J5485" s="444">
        <f t="array" ref="J5485">IFERROR(INDEX('Retirement Calculator'!J:J,MATCH('Isaac 401k'!N5485,'Retirement Calculator'!A:A,0),0),0)</f>
        <v>0</v>
      </c>
      <c r="K5485" s="444">
        <f t="shared" ca="1" si="206"/>
        <v>539434457794.99884</v>
      </c>
      <c r="L5485" s="444">
        <f t="shared" ca="1" si="207"/>
        <v>130003704328594.73</v>
      </c>
      <c r="M5485" s="460">
        <f t="shared" si="209"/>
        <v>0.05</v>
      </c>
      <c r="N5485" s="464">
        <f t="shared" si="210"/>
        <v>217992</v>
      </c>
    </row>
    <row r="5486" spans="7:14" ht="11.25" customHeight="1" x14ac:dyDescent="0.3">
      <c r="G5486" s="459"/>
      <c r="H5486" s="459">
        <v>5479</v>
      </c>
      <c r="I5486" s="444">
        <f t="shared" ca="1" si="208"/>
        <v>130003704328594.73</v>
      </c>
      <c r="J5486" s="444">
        <f t="array" ref="J5486">IFERROR(INDEX('Retirement Calculator'!J:J,MATCH('Isaac 401k'!N5486,'Retirement Calculator'!A:A,0),0),0)</f>
        <v>0</v>
      </c>
      <c r="K5486" s="444">
        <f t="shared" ca="1" si="206"/>
        <v>541682101369.14471</v>
      </c>
      <c r="L5486" s="444">
        <f t="shared" ca="1" si="207"/>
        <v>130545386429963.88</v>
      </c>
      <c r="M5486" s="460">
        <f t="shared" si="209"/>
        <v>0.05</v>
      </c>
      <c r="N5486" s="464">
        <f t="shared" si="210"/>
        <v>218022</v>
      </c>
    </row>
    <row r="5487" spans="7:14" ht="11.25" customHeight="1" x14ac:dyDescent="0.3">
      <c r="G5487" s="459"/>
      <c r="H5487" s="459">
        <v>5480</v>
      </c>
      <c r="I5487" s="444">
        <f t="shared" ca="1" si="208"/>
        <v>130545386429963.88</v>
      </c>
      <c r="J5487" s="444">
        <f t="array" ref="J5487">IFERROR(INDEX('Retirement Calculator'!J:J,MATCH('Isaac 401k'!N5487,'Retirement Calculator'!A:A,0),0),0)</f>
        <v>0</v>
      </c>
      <c r="K5487" s="444">
        <f t="shared" ca="1" si="206"/>
        <v>543939110124.84943</v>
      </c>
      <c r="L5487" s="444">
        <f t="shared" ca="1" si="207"/>
        <v>131089325540088.72</v>
      </c>
      <c r="M5487" s="460">
        <f t="shared" si="209"/>
        <v>0.05</v>
      </c>
      <c r="N5487" s="464">
        <f t="shared" si="210"/>
        <v>218053</v>
      </c>
    </row>
    <row r="5488" spans="7:14" ht="11.25" customHeight="1" x14ac:dyDescent="0.3">
      <c r="G5488" s="459"/>
      <c r="H5488" s="459">
        <v>5481</v>
      </c>
      <c r="I5488" s="444">
        <f t="shared" ca="1" si="208"/>
        <v>131089325540088.72</v>
      </c>
      <c r="J5488" s="444">
        <f t="array" ref="J5488">IFERROR(INDEX('Retirement Calculator'!J:J,MATCH('Isaac 401k'!N5488,'Retirement Calculator'!A:A,0),0),0)</f>
        <v>0</v>
      </c>
      <c r="K5488" s="444">
        <f t="shared" ca="1" si="206"/>
        <v>546205523083.703</v>
      </c>
      <c r="L5488" s="444">
        <f t="shared" ca="1" si="207"/>
        <v>131635531063172.42</v>
      </c>
      <c r="M5488" s="460">
        <f t="shared" si="209"/>
        <v>0.05</v>
      </c>
      <c r="N5488" s="464">
        <f t="shared" si="210"/>
        <v>218084</v>
      </c>
    </row>
    <row r="5489" spans="7:14" ht="11.25" customHeight="1" x14ac:dyDescent="0.3">
      <c r="G5489" s="459"/>
      <c r="H5489" s="459">
        <v>5482</v>
      </c>
      <c r="I5489" s="444">
        <f t="shared" ca="1" si="208"/>
        <v>131635531063172.42</v>
      </c>
      <c r="J5489" s="444">
        <f t="array" ref="J5489">IFERROR(INDEX('Retirement Calculator'!J:J,MATCH('Isaac 401k'!N5489,'Retirement Calculator'!A:A,0),0),0)</f>
        <v>0</v>
      </c>
      <c r="K5489" s="444">
        <f t="shared" ca="1" si="206"/>
        <v>548481379429.88501</v>
      </c>
      <c r="L5489" s="444">
        <f t="shared" ca="1" si="207"/>
        <v>132184012442602.31</v>
      </c>
      <c r="M5489" s="460">
        <f t="shared" si="209"/>
        <v>0.05</v>
      </c>
      <c r="N5489" s="464">
        <f t="shared" si="210"/>
        <v>218112</v>
      </c>
    </row>
    <row r="5490" spans="7:14" ht="11.25" customHeight="1" x14ac:dyDescent="0.3">
      <c r="G5490" s="459"/>
      <c r="H5490" s="459">
        <v>5483</v>
      </c>
      <c r="I5490" s="444">
        <f t="shared" ca="1" si="208"/>
        <v>132184012442602.31</v>
      </c>
      <c r="J5490" s="444">
        <f t="array" ref="J5490">IFERROR(INDEX('Retirement Calculator'!J:J,MATCH('Isaac 401k'!N5490,'Retirement Calculator'!A:A,0),0),0)</f>
        <v>0</v>
      </c>
      <c r="K5490" s="444">
        <f t="shared" ca="1" si="206"/>
        <v>550766718510.84302</v>
      </c>
      <c r="L5490" s="444">
        <f t="shared" ca="1" si="207"/>
        <v>132734779161113.16</v>
      </c>
      <c r="M5490" s="460">
        <f t="shared" si="209"/>
        <v>0.05</v>
      </c>
      <c r="N5490" s="464">
        <f t="shared" si="210"/>
        <v>218143</v>
      </c>
    </row>
    <row r="5491" spans="7:14" ht="11.25" customHeight="1" x14ac:dyDescent="0.3">
      <c r="G5491" s="459"/>
      <c r="H5491" s="459">
        <v>5484</v>
      </c>
      <c r="I5491" s="444">
        <f t="shared" ca="1" si="208"/>
        <v>132734779161113.16</v>
      </c>
      <c r="J5491" s="444">
        <f t="array" ref="J5491">IFERROR(INDEX('Retirement Calculator'!J:J,MATCH('Isaac 401k'!N5491,'Retirement Calculator'!A:A,0),0),0)</f>
        <v>0</v>
      </c>
      <c r="K5491" s="444">
        <f t="shared" ca="1" si="206"/>
        <v>553061579837.97144</v>
      </c>
      <c r="L5491" s="444">
        <f t="shared" ca="1" si="207"/>
        <v>133287840740951.13</v>
      </c>
      <c r="M5491" s="460">
        <f t="shared" si="209"/>
        <v>0.05</v>
      </c>
      <c r="N5491" s="464">
        <f t="shared" si="210"/>
        <v>218173</v>
      </c>
    </row>
    <row r="5492" spans="7:14" ht="11.25" customHeight="1" x14ac:dyDescent="0.3">
      <c r="G5492" s="459"/>
      <c r="H5492" s="459">
        <v>5485</v>
      </c>
      <c r="I5492" s="444">
        <f t="shared" ca="1" si="208"/>
        <v>133287840740951.13</v>
      </c>
      <c r="J5492" s="444">
        <f t="array" ref="J5492">IFERROR(INDEX('Retirement Calculator'!J:J,MATCH('Isaac 401k'!N5492,'Retirement Calculator'!A:A,0),0),0)</f>
        <v>0</v>
      </c>
      <c r="K5492" s="444">
        <f t="shared" ca="1" si="206"/>
        <v>555366003087.29639</v>
      </c>
      <c r="L5492" s="444">
        <f t="shared" ca="1" si="207"/>
        <v>133843206744038.42</v>
      </c>
      <c r="M5492" s="460">
        <f t="shared" si="209"/>
        <v>0.05</v>
      </c>
      <c r="N5492" s="464">
        <f t="shared" si="210"/>
        <v>218204</v>
      </c>
    </row>
    <row r="5493" spans="7:14" ht="11.25" customHeight="1" x14ac:dyDescent="0.3">
      <c r="G5493" s="459"/>
      <c r="H5493" s="459">
        <v>5486</v>
      </c>
      <c r="I5493" s="444">
        <f t="shared" ca="1" si="208"/>
        <v>133843206744038.42</v>
      </c>
      <c r="J5493" s="444">
        <f t="array" ref="J5493">IFERROR(INDEX('Retirement Calculator'!J:J,MATCH('Isaac 401k'!N5493,'Retirement Calculator'!A:A,0),0),0)</f>
        <v>0</v>
      </c>
      <c r="K5493" s="444">
        <f t="shared" ca="1" si="206"/>
        <v>557680028100.16003</v>
      </c>
      <c r="L5493" s="444">
        <f t="shared" ca="1" si="207"/>
        <v>134400886772138.58</v>
      </c>
      <c r="M5493" s="460">
        <f t="shared" si="209"/>
        <v>0.05</v>
      </c>
      <c r="N5493" s="464">
        <f t="shared" si="210"/>
        <v>218234</v>
      </c>
    </row>
    <row r="5494" spans="7:14" ht="11.25" customHeight="1" x14ac:dyDescent="0.3">
      <c r="G5494" s="459"/>
      <c r="H5494" s="459">
        <v>5487</v>
      </c>
      <c r="I5494" s="444">
        <f t="shared" ca="1" si="208"/>
        <v>134400886772138.58</v>
      </c>
      <c r="J5494" s="444">
        <f t="array" ref="J5494">IFERROR(INDEX('Retirement Calculator'!J:J,MATCH('Isaac 401k'!N5494,'Retirement Calculator'!A:A,0),0),0)</f>
        <v>0</v>
      </c>
      <c r="K5494" s="444">
        <f t="shared" ca="1" si="206"/>
        <v>560003694883.91077</v>
      </c>
      <c r="L5494" s="444">
        <f t="shared" ca="1" si="207"/>
        <v>134960890467022.48</v>
      </c>
      <c r="M5494" s="460">
        <f t="shared" si="209"/>
        <v>0.05</v>
      </c>
      <c r="N5494" s="464">
        <f t="shared" si="210"/>
        <v>218265</v>
      </c>
    </row>
    <row r="5495" spans="7:14" ht="11.25" customHeight="1" x14ac:dyDescent="0.3">
      <c r="G5495" s="459"/>
      <c r="H5495" s="459">
        <v>5488</v>
      </c>
      <c r="I5495" s="444">
        <f t="shared" ca="1" si="208"/>
        <v>134960890467022.48</v>
      </c>
      <c r="J5495" s="444">
        <f t="array" ref="J5495">IFERROR(INDEX('Retirement Calculator'!J:J,MATCH('Isaac 401k'!N5495,'Retirement Calculator'!A:A,0),0),0)</f>
        <v>0</v>
      </c>
      <c r="K5495" s="444">
        <f t="shared" ca="1" si="206"/>
        <v>562337043612.59363</v>
      </c>
      <c r="L5495" s="444">
        <f t="shared" ca="1" si="207"/>
        <v>135523227510635.08</v>
      </c>
      <c r="M5495" s="460">
        <f t="shared" si="209"/>
        <v>0.05</v>
      </c>
      <c r="N5495" s="464">
        <f t="shared" si="210"/>
        <v>218296</v>
      </c>
    </row>
    <row r="5496" spans="7:14" ht="11.25" customHeight="1" x14ac:dyDescent="0.3">
      <c r="G5496" s="459"/>
      <c r="H5496" s="459">
        <v>5489</v>
      </c>
      <c r="I5496" s="444">
        <f t="shared" ca="1" si="208"/>
        <v>135523227510635.08</v>
      </c>
      <c r="J5496" s="444">
        <f t="array" ref="J5496">IFERROR(INDEX('Retirement Calculator'!J:J,MATCH('Isaac 401k'!N5496,'Retirement Calculator'!A:A,0),0),0)</f>
        <v>0</v>
      </c>
      <c r="K5496" s="444">
        <f t="shared" ca="1" si="206"/>
        <v>564680114627.64612</v>
      </c>
      <c r="L5496" s="444">
        <f t="shared" ca="1" si="207"/>
        <v>136087907625262.72</v>
      </c>
      <c r="M5496" s="460">
        <f t="shared" si="209"/>
        <v>0.05</v>
      </c>
      <c r="N5496" s="464">
        <f t="shared" si="210"/>
        <v>218326</v>
      </c>
    </row>
    <row r="5497" spans="7:14" ht="11.25" customHeight="1" x14ac:dyDescent="0.3">
      <c r="G5497" s="459"/>
      <c r="H5497" s="459">
        <v>5490</v>
      </c>
      <c r="I5497" s="444">
        <f t="shared" ca="1" si="208"/>
        <v>136087907625262.72</v>
      </c>
      <c r="J5497" s="444">
        <f t="array" ref="J5497">IFERROR(INDEX('Retirement Calculator'!J:J,MATCH('Isaac 401k'!N5497,'Retirement Calculator'!A:A,0),0),0)</f>
        <v>0</v>
      </c>
      <c r="K5497" s="444">
        <f t="shared" ca="1" si="206"/>
        <v>567032948438.5946</v>
      </c>
      <c r="L5497" s="444">
        <f t="shared" ca="1" si="207"/>
        <v>136654940573701.31</v>
      </c>
      <c r="M5497" s="460">
        <f t="shared" si="209"/>
        <v>0.05</v>
      </c>
      <c r="N5497" s="464">
        <f t="shared" si="210"/>
        <v>218357</v>
      </c>
    </row>
    <row r="5498" spans="7:14" ht="11.25" customHeight="1" x14ac:dyDescent="0.3">
      <c r="G5498" s="459"/>
      <c r="H5498" s="459">
        <v>5491</v>
      </c>
      <c r="I5498" s="444">
        <f t="shared" ca="1" si="208"/>
        <v>136654940573701.31</v>
      </c>
      <c r="J5498" s="444">
        <f t="array" ref="J5498">IFERROR(INDEX('Retirement Calculator'!J:J,MATCH('Isaac 401k'!N5498,'Retirement Calculator'!A:A,0),0),0)</f>
        <v>0</v>
      </c>
      <c r="K5498" s="444">
        <f t="shared" ca="1" si="206"/>
        <v>569395585723.75549</v>
      </c>
      <c r="L5498" s="444">
        <f t="shared" ca="1" si="207"/>
        <v>137224336159425.06</v>
      </c>
      <c r="M5498" s="460">
        <f t="shared" si="209"/>
        <v>0.05</v>
      </c>
      <c r="N5498" s="464">
        <f t="shared" si="210"/>
        <v>218387</v>
      </c>
    </row>
    <row r="5499" spans="7:14" ht="11.25" customHeight="1" x14ac:dyDescent="0.3">
      <c r="G5499" s="459"/>
      <c r="H5499" s="459">
        <v>5492</v>
      </c>
      <c r="I5499" s="444">
        <f t="shared" ca="1" si="208"/>
        <v>137224336159425.06</v>
      </c>
      <c r="J5499" s="444">
        <f t="array" ref="J5499">IFERROR(INDEX('Retirement Calculator'!J:J,MATCH('Isaac 401k'!N5499,'Retirement Calculator'!A:A,0),0),0)</f>
        <v>0</v>
      </c>
      <c r="K5499" s="444">
        <f t="shared" ca="1" si="206"/>
        <v>571768067330.93774</v>
      </c>
      <c r="L5499" s="444">
        <f t="shared" ca="1" si="207"/>
        <v>137796104226756</v>
      </c>
      <c r="M5499" s="460">
        <f t="shared" si="209"/>
        <v>0.05</v>
      </c>
      <c r="N5499" s="464">
        <f t="shared" si="210"/>
        <v>218418</v>
      </c>
    </row>
    <row r="5500" spans="7:14" ht="11.25" customHeight="1" x14ac:dyDescent="0.3">
      <c r="G5500" s="459"/>
      <c r="H5500" s="459">
        <v>5493</v>
      </c>
      <c r="I5500" s="444">
        <f t="shared" ca="1" si="208"/>
        <v>137796104226756</v>
      </c>
      <c r="J5500" s="444">
        <f t="array" ref="J5500">IFERROR(INDEX('Retirement Calculator'!J:J,MATCH('Isaac 401k'!N5500,'Retirement Calculator'!A:A,0),0),0)</f>
        <v>0</v>
      </c>
      <c r="K5500" s="444">
        <f t="shared" ca="1" si="206"/>
        <v>574150434278.15002</v>
      </c>
      <c r="L5500" s="444">
        <f t="shared" ca="1" si="207"/>
        <v>138370254661034.16</v>
      </c>
      <c r="M5500" s="460">
        <f t="shared" si="209"/>
        <v>0.05</v>
      </c>
      <c r="N5500" s="464">
        <f t="shared" si="210"/>
        <v>218449</v>
      </c>
    </row>
    <row r="5501" spans="7:14" ht="11.25" customHeight="1" x14ac:dyDescent="0.3">
      <c r="G5501" s="459"/>
      <c r="H5501" s="459">
        <v>5494</v>
      </c>
      <c r="I5501" s="444">
        <f t="shared" ca="1" si="208"/>
        <v>138370254661034.16</v>
      </c>
      <c r="J5501" s="444">
        <f t="array" ref="J5501">IFERROR(INDEX('Retirement Calculator'!J:J,MATCH('Isaac 401k'!N5501,'Retirement Calculator'!A:A,0),0),0)</f>
        <v>0</v>
      </c>
      <c r="K5501" s="444">
        <f t="shared" ca="1" si="206"/>
        <v>576542727754.30896</v>
      </c>
      <c r="L5501" s="444">
        <f t="shared" ca="1" si="207"/>
        <v>138946797388788.47</v>
      </c>
      <c r="M5501" s="460">
        <f t="shared" si="209"/>
        <v>0.05</v>
      </c>
      <c r="N5501" s="464">
        <f t="shared" si="210"/>
        <v>218477</v>
      </c>
    </row>
    <row r="5502" spans="7:14" ht="11.25" customHeight="1" x14ac:dyDescent="0.3">
      <c r="G5502" s="459"/>
      <c r="H5502" s="459">
        <v>5495</v>
      </c>
      <c r="I5502" s="444">
        <f t="shared" ca="1" si="208"/>
        <v>138946797388788.47</v>
      </c>
      <c r="J5502" s="444">
        <f t="array" ref="J5502">IFERROR(INDEX('Retirement Calculator'!J:J,MATCH('Isaac 401k'!N5502,'Retirement Calculator'!A:A,0),0),0)</f>
        <v>0</v>
      </c>
      <c r="K5502" s="444">
        <f t="shared" ca="1" si="206"/>
        <v>578944989119.95203</v>
      </c>
      <c r="L5502" s="444">
        <f t="shared" ca="1" si="207"/>
        <v>139525742377908.42</v>
      </c>
      <c r="M5502" s="460">
        <f t="shared" si="209"/>
        <v>0.05</v>
      </c>
      <c r="N5502" s="464">
        <f t="shared" si="210"/>
        <v>218508</v>
      </c>
    </row>
    <row r="5503" spans="7:14" ht="11.25" customHeight="1" x14ac:dyDescent="0.3">
      <c r="G5503" s="459"/>
      <c r="H5503" s="459">
        <v>5496</v>
      </c>
      <c r="I5503" s="444">
        <f t="shared" ca="1" si="208"/>
        <v>139525742377908.42</v>
      </c>
      <c r="J5503" s="444">
        <f t="array" ref="J5503">IFERROR(INDEX('Retirement Calculator'!J:J,MATCH('Isaac 401k'!N5503,'Retirement Calculator'!A:A,0),0),0)</f>
        <v>0</v>
      </c>
      <c r="K5503" s="444">
        <f t="shared" ca="1" si="206"/>
        <v>581357259907.95178</v>
      </c>
      <c r="L5503" s="444">
        <f t="shared" ca="1" si="207"/>
        <v>140107099637816.38</v>
      </c>
      <c r="M5503" s="460">
        <f t="shared" si="209"/>
        <v>0.05</v>
      </c>
      <c r="N5503" s="464">
        <f t="shared" si="210"/>
        <v>218538</v>
      </c>
    </row>
    <row r="5504" spans="7:14" ht="11.25" customHeight="1" x14ac:dyDescent="0.3">
      <c r="G5504" s="459"/>
      <c r="H5504" s="459">
        <v>5497</v>
      </c>
      <c r="I5504" s="444">
        <f t="shared" ca="1" si="208"/>
        <v>140107099637816.38</v>
      </c>
      <c r="J5504" s="444">
        <f t="array" ref="J5504">IFERROR(INDEX('Retirement Calculator'!J:J,MATCH('Isaac 401k'!N5504,'Retirement Calculator'!A:A,0),0),0)</f>
        <v>0</v>
      </c>
      <c r="K5504" s="444">
        <f t="shared" ca="1" si="206"/>
        <v>583779581824.23486</v>
      </c>
      <c r="L5504" s="444">
        <f t="shared" ca="1" si="207"/>
        <v>140690879219640.61</v>
      </c>
      <c r="M5504" s="460">
        <f t="shared" si="209"/>
        <v>0.05</v>
      </c>
      <c r="N5504" s="464">
        <f t="shared" si="210"/>
        <v>218569</v>
      </c>
    </row>
    <row r="5505" spans="7:14" ht="11.25" customHeight="1" x14ac:dyDescent="0.3">
      <c r="G5505" s="459"/>
      <c r="H5505" s="459">
        <v>5498</v>
      </c>
      <c r="I5505" s="444">
        <f t="shared" ca="1" si="208"/>
        <v>140690879219640.61</v>
      </c>
      <c r="J5505" s="444">
        <f t="array" ref="J5505">IFERROR(INDEX('Retirement Calculator'!J:J,MATCH('Isaac 401k'!N5505,'Retirement Calculator'!A:A,0),0),0)</f>
        <v>0</v>
      </c>
      <c r="K5505" s="444">
        <f t="shared" ca="1" si="206"/>
        <v>586211996748.50256</v>
      </c>
      <c r="L5505" s="444">
        <f t="shared" ca="1" si="207"/>
        <v>141277091216389.13</v>
      </c>
      <c r="M5505" s="460">
        <f t="shared" si="209"/>
        <v>0.05</v>
      </c>
      <c r="N5505" s="464">
        <f t="shared" si="210"/>
        <v>218599</v>
      </c>
    </row>
    <row r="5506" spans="7:14" ht="11.25" customHeight="1" x14ac:dyDescent="0.3">
      <c r="G5506" s="459"/>
      <c r="H5506" s="459">
        <v>5499</v>
      </c>
      <c r="I5506" s="444">
        <f t="shared" ca="1" si="208"/>
        <v>141277091216389.13</v>
      </c>
      <c r="J5506" s="444">
        <f t="array" ref="J5506">IFERROR(INDEX('Retirement Calculator'!J:J,MATCH('Isaac 401k'!N5506,'Retirement Calculator'!A:A,0),0),0)</f>
        <v>0</v>
      </c>
      <c r="K5506" s="444">
        <f t="shared" ca="1" si="206"/>
        <v>588654546734.95471</v>
      </c>
      <c r="L5506" s="444">
        <f t="shared" ca="1" si="207"/>
        <v>141865745763124.09</v>
      </c>
      <c r="M5506" s="460">
        <f t="shared" si="209"/>
        <v>0.05</v>
      </c>
      <c r="N5506" s="464">
        <f t="shared" si="210"/>
        <v>218630</v>
      </c>
    </row>
    <row r="5507" spans="7:14" ht="11.25" customHeight="1" x14ac:dyDescent="0.3">
      <c r="G5507" s="459"/>
      <c r="H5507" s="459">
        <v>5500</v>
      </c>
      <c r="I5507" s="444">
        <f t="shared" ca="1" si="208"/>
        <v>141865745763124.09</v>
      </c>
      <c r="J5507" s="444">
        <f t="array" ref="J5507">IFERROR(INDEX('Retirement Calculator'!J:J,MATCH('Isaac 401k'!N5507,'Retirement Calculator'!A:A,0),0),0)</f>
        <v>0</v>
      </c>
      <c r="K5507" s="444">
        <f t="shared" ca="1" si="206"/>
        <v>591107274013.01709</v>
      </c>
      <c r="L5507" s="444">
        <f t="shared" ca="1" si="207"/>
        <v>142456853037137.13</v>
      </c>
      <c r="M5507" s="460">
        <f t="shared" si="209"/>
        <v>0.05</v>
      </c>
      <c r="N5507" s="464">
        <f t="shared" si="210"/>
        <v>218661</v>
      </c>
    </row>
    <row r="5508" spans="7:14" ht="11.25" customHeight="1" x14ac:dyDescent="0.3">
      <c r="G5508" s="459"/>
      <c r="H5508" s="459">
        <v>5501</v>
      </c>
      <c r="I5508" s="444">
        <f t="shared" ca="1" si="208"/>
        <v>142456853037137.13</v>
      </c>
      <c r="J5508" s="444">
        <f t="array" ref="J5508">IFERROR(INDEX('Retirement Calculator'!J:J,MATCH('Isaac 401k'!N5508,'Retirement Calculator'!A:A,0),0),0)</f>
        <v>0</v>
      </c>
      <c r="K5508" s="444">
        <f t="shared" ca="1" si="206"/>
        <v>593570220988.07129</v>
      </c>
      <c r="L5508" s="444">
        <f t="shared" ca="1" si="207"/>
        <v>143050423258125.19</v>
      </c>
      <c r="M5508" s="460">
        <f t="shared" si="209"/>
        <v>0.05</v>
      </c>
      <c r="N5508" s="464">
        <f t="shared" si="210"/>
        <v>218691</v>
      </c>
    </row>
    <row r="5509" spans="7:14" ht="11.25" customHeight="1" x14ac:dyDescent="0.3">
      <c r="G5509" s="459"/>
      <c r="H5509" s="459">
        <v>5502</v>
      </c>
      <c r="I5509" s="444">
        <f t="shared" ca="1" si="208"/>
        <v>143050423258125.19</v>
      </c>
      <c r="J5509" s="444">
        <f t="array" ref="J5509">IFERROR(INDEX('Retirement Calculator'!J:J,MATCH('Isaac 401k'!N5509,'Retirement Calculator'!A:A,0),0),0)</f>
        <v>0</v>
      </c>
      <c r="K5509" s="444">
        <f t="shared" ca="1" si="206"/>
        <v>596043430242.18823</v>
      </c>
      <c r="L5509" s="444">
        <f t="shared" ca="1" si="207"/>
        <v>143646466688367.38</v>
      </c>
      <c r="M5509" s="460">
        <f t="shared" si="209"/>
        <v>0.05</v>
      </c>
      <c r="N5509" s="464">
        <f t="shared" si="210"/>
        <v>218722</v>
      </c>
    </row>
    <row r="5510" spans="7:14" ht="11.25" customHeight="1" x14ac:dyDescent="0.3">
      <c r="G5510" s="459"/>
      <c r="H5510" s="459">
        <v>5503</v>
      </c>
      <c r="I5510" s="444">
        <f t="shared" ca="1" si="208"/>
        <v>143646466688367.38</v>
      </c>
      <c r="J5510" s="444">
        <f t="array" ref="J5510">IFERROR(INDEX('Retirement Calculator'!J:J,MATCH('Isaac 401k'!N5510,'Retirement Calculator'!A:A,0),0),0)</f>
        <v>0</v>
      </c>
      <c r="K5510" s="444">
        <f t="shared" ca="1" si="206"/>
        <v>598526944534.86401</v>
      </c>
      <c r="L5510" s="444">
        <f t="shared" ca="1" si="207"/>
        <v>144244993632902.25</v>
      </c>
      <c r="M5510" s="460">
        <f t="shared" si="209"/>
        <v>0.05</v>
      </c>
      <c r="N5510" s="464">
        <f t="shared" si="210"/>
        <v>218752</v>
      </c>
    </row>
    <row r="5511" spans="7:14" ht="11.25" customHeight="1" x14ac:dyDescent="0.3">
      <c r="G5511" s="459"/>
      <c r="H5511" s="459">
        <v>5504</v>
      </c>
      <c r="I5511" s="444">
        <f t="shared" ca="1" si="208"/>
        <v>144244993632902.25</v>
      </c>
      <c r="J5511" s="444">
        <f t="array" ref="J5511">IFERROR(INDEX('Retirement Calculator'!J:J,MATCH('Isaac 401k'!N5511,'Retirement Calculator'!A:A,0),0),0)</f>
        <v>0</v>
      </c>
      <c r="K5511" s="444">
        <f t="shared" ca="1" si="206"/>
        <v>601020806803.7594</v>
      </c>
      <c r="L5511" s="444">
        <f t="shared" ca="1" si="207"/>
        <v>144846014439706</v>
      </c>
      <c r="M5511" s="460">
        <f t="shared" si="209"/>
        <v>0.05</v>
      </c>
      <c r="N5511" s="464">
        <f t="shared" si="210"/>
        <v>218783</v>
      </c>
    </row>
    <row r="5512" spans="7:14" ht="11.25" customHeight="1" x14ac:dyDescent="0.3">
      <c r="G5512" s="459"/>
      <c r="H5512" s="459">
        <v>5505</v>
      </c>
      <c r="I5512" s="444">
        <f t="shared" ca="1" si="208"/>
        <v>144846014439706</v>
      </c>
      <c r="J5512" s="444">
        <f t="array" ref="J5512">IFERROR(INDEX('Retirement Calculator'!J:J,MATCH('Isaac 401k'!N5512,'Retirement Calculator'!A:A,0),0),0)</f>
        <v>0</v>
      </c>
      <c r="K5512" s="444">
        <f t="shared" ca="1" si="206"/>
        <v>603525060165.44165</v>
      </c>
      <c r="L5512" s="444">
        <f t="shared" ca="1" si="207"/>
        <v>145449539499871.44</v>
      </c>
      <c r="M5512" s="460">
        <f t="shared" si="209"/>
        <v>0.05</v>
      </c>
      <c r="N5512" s="464">
        <f t="shared" si="210"/>
        <v>218814</v>
      </c>
    </row>
    <row r="5513" spans="7:14" ht="11.25" customHeight="1" x14ac:dyDescent="0.3">
      <c r="G5513" s="459"/>
      <c r="H5513" s="459">
        <v>5506</v>
      </c>
      <c r="I5513" s="444">
        <f t="shared" ca="1" si="208"/>
        <v>145449539499871.44</v>
      </c>
      <c r="J5513" s="444">
        <f t="array" ref="J5513">IFERROR(INDEX('Retirement Calculator'!J:J,MATCH('Isaac 401k'!N5513,'Retirement Calculator'!A:A,0),0),0)</f>
        <v>0</v>
      </c>
      <c r="K5513" s="444">
        <f t="shared" ca="1" si="206"/>
        <v>606039747916.13098</v>
      </c>
      <c r="L5513" s="444">
        <f t="shared" ca="1" si="207"/>
        <v>146055579247787.56</v>
      </c>
      <c r="M5513" s="460">
        <f t="shared" si="209"/>
        <v>0.05</v>
      </c>
      <c r="N5513" s="464">
        <f t="shared" si="210"/>
        <v>218842</v>
      </c>
    </row>
    <row r="5514" spans="7:14" ht="11.25" customHeight="1" x14ac:dyDescent="0.3">
      <c r="G5514" s="459"/>
      <c r="H5514" s="459">
        <v>5507</v>
      </c>
      <c r="I5514" s="444">
        <f t="shared" ca="1" si="208"/>
        <v>146055579247787.56</v>
      </c>
      <c r="J5514" s="444">
        <f t="array" ref="J5514">IFERROR(INDEX('Retirement Calculator'!J:J,MATCH('Isaac 401k'!N5514,'Retirement Calculator'!A:A,0),0),0)</f>
        <v>0</v>
      </c>
      <c r="K5514" s="444">
        <f t="shared" ca="1" si="206"/>
        <v>608564913532.44812</v>
      </c>
      <c r="L5514" s="444">
        <f t="shared" ca="1" si="207"/>
        <v>146664144161320</v>
      </c>
      <c r="M5514" s="460">
        <f t="shared" si="209"/>
        <v>0.05</v>
      </c>
      <c r="N5514" s="464">
        <f t="shared" si="210"/>
        <v>218873</v>
      </c>
    </row>
    <row r="5515" spans="7:14" ht="11.25" customHeight="1" x14ac:dyDescent="0.3">
      <c r="G5515" s="459"/>
      <c r="H5515" s="459">
        <v>5508</v>
      </c>
      <c r="I5515" s="444">
        <f t="shared" ca="1" si="208"/>
        <v>146664144161320</v>
      </c>
      <c r="J5515" s="444">
        <f t="array" ref="J5515">IFERROR(INDEX('Retirement Calculator'!J:J,MATCH('Isaac 401k'!N5515,'Retirement Calculator'!A:A,0),0),0)</f>
        <v>0</v>
      </c>
      <c r="K5515" s="444">
        <f t="shared" ca="1" si="206"/>
        <v>611100600672.16663</v>
      </c>
      <c r="L5515" s="444">
        <f t="shared" ca="1" si="207"/>
        <v>147275244761992.16</v>
      </c>
      <c r="M5515" s="460">
        <f t="shared" si="209"/>
        <v>0.05</v>
      </c>
      <c r="N5515" s="464">
        <f t="shared" si="210"/>
        <v>218903</v>
      </c>
    </row>
    <row r="5516" spans="7:14" ht="11.25" customHeight="1" x14ac:dyDescent="0.3">
      <c r="G5516" s="459"/>
      <c r="H5516" s="459">
        <v>5509</v>
      </c>
      <c r="I5516" s="444">
        <f t="shared" ca="1" si="208"/>
        <v>147275244761992.16</v>
      </c>
      <c r="J5516" s="444">
        <f t="array" ref="J5516">IFERROR(INDEX('Retirement Calculator'!J:J,MATCH('Isaac 401k'!N5516,'Retirement Calculator'!A:A,0),0),0)</f>
        <v>0</v>
      </c>
      <c r="K5516" s="444">
        <f t="shared" ca="1" si="206"/>
        <v>613646853174.96729</v>
      </c>
      <c r="L5516" s="444">
        <f t="shared" ca="1" si="207"/>
        <v>147888891615167.13</v>
      </c>
      <c r="M5516" s="460">
        <f t="shared" si="209"/>
        <v>0.05</v>
      </c>
      <c r="N5516" s="464">
        <f t="shared" si="210"/>
        <v>218934</v>
      </c>
    </row>
    <row r="5517" spans="7:14" ht="11.25" customHeight="1" x14ac:dyDescent="0.3">
      <c r="G5517" s="459"/>
      <c r="H5517" s="459">
        <v>5510</v>
      </c>
      <c r="I5517" s="444">
        <f t="shared" ca="1" si="208"/>
        <v>147888891615167.13</v>
      </c>
      <c r="J5517" s="444">
        <f t="array" ref="J5517">IFERROR(INDEX('Retirement Calculator'!J:J,MATCH('Isaac 401k'!N5517,'Retirement Calculator'!A:A,0),0),0)</f>
        <v>0</v>
      </c>
      <c r="K5517" s="444">
        <f t="shared" ca="1" si="206"/>
        <v>616203715063.19629</v>
      </c>
      <c r="L5517" s="444">
        <f t="shared" ca="1" si="207"/>
        <v>148505095330230.31</v>
      </c>
      <c r="M5517" s="460">
        <f t="shared" si="209"/>
        <v>0.05</v>
      </c>
      <c r="N5517" s="464">
        <f t="shared" si="210"/>
        <v>218964</v>
      </c>
    </row>
    <row r="5518" spans="7:14" ht="11.25" customHeight="1" x14ac:dyDescent="0.3">
      <c r="G5518" s="459"/>
      <c r="H5518" s="459">
        <v>5511</v>
      </c>
      <c r="I5518" s="444">
        <f t="shared" ca="1" si="208"/>
        <v>148505095330230.31</v>
      </c>
      <c r="J5518" s="444">
        <f t="array" ref="J5518">IFERROR(INDEX('Retirement Calculator'!J:J,MATCH('Isaac 401k'!N5518,'Retirement Calculator'!A:A,0),0),0)</f>
        <v>0</v>
      </c>
      <c r="K5518" s="444">
        <f t="shared" ca="1" si="206"/>
        <v>618771230542.62634</v>
      </c>
      <c r="L5518" s="444">
        <f t="shared" ca="1" si="207"/>
        <v>149123866560772.94</v>
      </c>
      <c r="M5518" s="460">
        <f t="shared" si="209"/>
        <v>0.05</v>
      </c>
      <c r="N5518" s="464">
        <f t="shared" si="210"/>
        <v>218995</v>
      </c>
    </row>
    <row r="5519" spans="7:14" ht="11.25" customHeight="1" x14ac:dyDescent="0.3">
      <c r="G5519" s="459"/>
      <c r="H5519" s="459">
        <v>5512</v>
      </c>
      <c r="I5519" s="444">
        <f t="shared" ca="1" si="208"/>
        <v>149123866560772.94</v>
      </c>
      <c r="J5519" s="444">
        <f t="array" ref="J5519">IFERROR(INDEX('Retirement Calculator'!J:J,MATCH('Isaac 401k'!N5519,'Retirement Calculator'!A:A,0),0),0)</f>
        <v>0</v>
      </c>
      <c r="K5519" s="444">
        <f t="shared" ca="1" si="206"/>
        <v>621349444003.22058</v>
      </c>
      <c r="L5519" s="444">
        <f t="shared" ca="1" si="207"/>
        <v>149745216004776.16</v>
      </c>
      <c r="M5519" s="460">
        <f t="shared" si="209"/>
        <v>0.05</v>
      </c>
      <c r="N5519" s="464">
        <f t="shared" si="210"/>
        <v>219026</v>
      </c>
    </row>
    <row r="5520" spans="7:14" ht="11.25" customHeight="1" x14ac:dyDescent="0.3">
      <c r="G5520" s="459"/>
      <c r="H5520" s="459">
        <v>5513</v>
      </c>
      <c r="I5520" s="444">
        <f t="shared" ca="1" si="208"/>
        <v>149745216004776.16</v>
      </c>
      <c r="J5520" s="444">
        <f t="array" ref="J5520">IFERROR(INDEX('Retirement Calculator'!J:J,MATCH('Isaac 401k'!N5520,'Retirement Calculator'!A:A,0),0),0)</f>
        <v>0</v>
      </c>
      <c r="K5520" s="444">
        <f t="shared" ca="1" si="206"/>
        <v>623938400019.90063</v>
      </c>
      <c r="L5520" s="444">
        <f t="shared" ca="1" si="207"/>
        <v>150369154404796.06</v>
      </c>
      <c r="M5520" s="460">
        <f t="shared" si="209"/>
        <v>0.05</v>
      </c>
      <c r="N5520" s="464">
        <f t="shared" si="210"/>
        <v>219056</v>
      </c>
    </row>
    <row r="5521" spans="7:14" ht="11.25" customHeight="1" x14ac:dyDescent="0.3">
      <c r="G5521" s="459"/>
      <c r="H5521" s="459">
        <v>5514</v>
      </c>
      <c r="I5521" s="444">
        <f t="shared" ca="1" si="208"/>
        <v>150369154404796.06</v>
      </c>
      <c r="J5521" s="444">
        <f t="array" ref="J5521">IFERROR(INDEX('Retirement Calculator'!J:J,MATCH('Isaac 401k'!N5521,'Retirement Calculator'!A:A,0),0),0)</f>
        <v>0</v>
      </c>
      <c r="K5521" s="444">
        <f t="shared" ca="1" si="206"/>
        <v>626538143353.31689</v>
      </c>
      <c r="L5521" s="444">
        <f t="shared" ca="1" si="207"/>
        <v>150995692548149.38</v>
      </c>
      <c r="M5521" s="460">
        <f t="shared" si="209"/>
        <v>0.05</v>
      </c>
      <c r="N5521" s="464">
        <f t="shared" si="210"/>
        <v>219087</v>
      </c>
    </row>
    <row r="5522" spans="7:14" ht="11.25" customHeight="1" x14ac:dyDescent="0.3">
      <c r="G5522" s="459"/>
      <c r="H5522" s="459">
        <v>5515</v>
      </c>
      <c r="I5522" s="444">
        <f t="shared" ca="1" si="208"/>
        <v>150995692548149.38</v>
      </c>
      <c r="J5522" s="444">
        <f t="array" ref="J5522">IFERROR(INDEX('Retirement Calculator'!J:J,MATCH('Isaac 401k'!N5522,'Retirement Calculator'!A:A,0),0),0)</f>
        <v>0</v>
      </c>
      <c r="K5522" s="444">
        <f t="shared" ca="1" si="206"/>
        <v>629148718950.62244</v>
      </c>
      <c r="L5522" s="444">
        <f t="shared" ca="1" si="207"/>
        <v>151624841267100</v>
      </c>
      <c r="M5522" s="460">
        <f t="shared" si="209"/>
        <v>0.05</v>
      </c>
      <c r="N5522" s="464">
        <f t="shared" si="210"/>
        <v>219117</v>
      </c>
    </row>
    <row r="5523" spans="7:14" ht="11.25" customHeight="1" x14ac:dyDescent="0.3">
      <c r="G5523" s="459"/>
      <c r="H5523" s="459">
        <v>5516</v>
      </c>
      <c r="I5523" s="444">
        <f t="shared" ca="1" si="208"/>
        <v>151624841267100</v>
      </c>
      <c r="J5523" s="444">
        <f t="array" ref="J5523">IFERROR(INDEX('Retirement Calculator'!J:J,MATCH('Isaac 401k'!N5523,'Retirement Calculator'!A:A,0),0),0)</f>
        <v>0</v>
      </c>
      <c r="K5523" s="444">
        <f t="shared" ca="1" si="206"/>
        <v>631770171946.25</v>
      </c>
      <c r="L5523" s="444">
        <f t="shared" ca="1" si="207"/>
        <v>152256611439046.25</v>
      </c>
      <c r="M5523" s="460">
        <f t="shared" si="209"/>
        <v>0.05</v>
      </c>
      <c r="N5523" s="464">
        <f t="shared" si="210"/>
        <v>219148</v>
      </c>
    </row>
    <row r="5524" spans="7:14" ht="11.25" customHeight="1" x14ac:dyDescent="0.3">
      <c r="G5524" s="459"/>
      <c r="H5524" s="459">
        <v>5517</v>
      </c>
      <c r="I5524" s="444">
        <f t="shared" ca="1" si="208"/>
        <v>152256611439046.25</v>
      </c>
      <c r="J5524" s="444">
        <f t="array" ref="J5524">IFERROR(INDEX('Retirement Calculator'!J:J,MATCH('Isaac 401k'!N5524,'Retirement Calculator'!A:A,0),0),0)</f>
        <v>0</v>
      </c>
      <c r="K5524" s="444">
        <f t="shared" ca="1" si="206"/>
        <v>634402547662.69275</v>
      </c>
      <c r="L5524" s="444">
        <f t="shared" ca="1" si="207"/>
        <v>152891013986708.94</v>
      </c>
      <c r="M5524" s="460">
        <f t="shared" si="209"/>
        <v>0.05</v>
      </c>
      <c r="N5524" s="464">
        <f t="shared" si="210"/>
        <v>219179</v>
      </c>
    </row>
    <row r="5525" spans="7:14" ht="11.25" customHeight="1" x14ac:dyDescent="0.3">
      <c r="G5525" s="459"/>
      <c r="H5525" s="459">
        <v>5518</v>
      </c>
      <c r="I5525" s="444">
        <f t="shared" ca="1" si="208"/>
        <v>152891013986708.94</v>
      </c>
      <c r="J5525" s="444">
        <f t="array" ref="J5525">IFERROR(INDEX('Retirement Calculator'!J:J,MATCH('Isaac 401k'!N5525,'Retirement Calculator'!A:A,0),0),0)</f>
        <v>0</v>
      </c>
      <c r="K5525" s="444">
        <f t="shared" ca="1" si="206"/>
        <v>637045891611.28723</v>
      </c>
      <c r="L5525" s="444">
        <f t="shared" ca="1" si="207"/>
        <v>153528059878320.22</v>
      </c>
      <c r="M5525" s="460">
        <f t="shared" si="209"/>
        <v>0.05</v>
      </c>
      <c r="N5525" s="464">
        <f t="shared" si="210"/>
        <v>219207</v>
      </c>
    </row>
    <row r="5526" spans="7:14" ht="11.25" customHeight="1" x14ac:dyDescent="0.3">
      <c r="G5526" s="459"/>
      <c r="H5526" s="459">
        <v>5519</v>
      </c>
      <c r="I5526" s="444">
        <f t="shared" ca="1" si="208"/>
        <v>153528059878320.22</v>
      </c>
      <c r="J5526" s="444">
        <f t="array" ref="J5526">IFERROR(INDEX('Retirement Calculator'!J:J,MATCH('Isaac 401k'!N5526,'Retirement Calculator'!A:A,0),0),0)</f>
        <v>0</v>
      </c>
      <c r="K5526" s="444">
        <f t="shared" ca="1" si="206"/>
        <v>639700249493.00085</v>
      </c>
      <c r="L5526" s="444">
        <f t="shared" ca="1" si="207"/>
        <v>154167760127813.22</v>
      </c>
      <c r="M5526" s="460">
        <f t="shared" si="209"/>
        <v>0.05</v>
      </c>
      <c r="N5526" s="464">
        <f t="shared" si="210"/>
        <v>219238</v>
      </c>
    </row>
    <row r="5527" spans="7:14" ht="11.25" customHeight="1" x14ac:dyDescent="0.3">
      <c r="G5527" s="459"/>
      <c r="H5527" s="459">
        <v>5520</v>
      </c>
      <c r="I5527" s="444">
        <f t="shared" ca="1" si="208"/>
        <v>154167760127813.22</v>
      </c>
      <c r="J5527" s="444">
        <f t="array" ref="J5527">IFERROR(INDEX('Retirement Calculator'!J:J,MATCH('Isaac 401k'!N5527,'Retirement Calculator'!A:A,0),0),0)</f>
        <v>0</v>
      </c>
      <c r="K5527" s="444">
        <f t="shared" ca="1" si="206"/>
        <v>642365667199.22168</v>
      </c>
      <c r="L5527" s="444">
        <f t="shared" ca="1" si="207"/>
        <v>154810125795012.44</v>
      </c>
      <c r="M5527" s="460">
        <f t="shared" si="209"/>
        <v>0.05</v>
      </c>
      <c r="N5527" s="464">
        <f t="shared" si="210"/>
        <v>219268</v>
      </c>
    </row>
    <row r="5528" spans="7:14" ht="11.25" customHeight="1" x14ac:dyDescent="0.3">
      <c r="G5528" s="459"/>
      <c r="H5528" s="459">
        <v>5521</v>
      </c>
      <c r="I5528" s="444">
        <f t="shared" ca="1" si="208"/>
        <v>154810125795012.44</v>
      </c>
      <c r="J5528" s="444">
        <f t="array" ref="J5528">IFERROR(INDEX('Retirement Calculator'!J:J,MATCH('Isaac 401k'!N5528,'Retirement Calculator'!A:A,0),0),0)</f>
        <v>0</v>
      </c>
      <c r="K5528" s="444">
        <f t="shared" ca="1" si="206"/>
        <v>645042190812.55176</v>
      </c>
      <c r="L5528" s="444">
        <f t="shared" ca="1" si="207"/>
        <v>155455167985825</v>
      </c>
      <c r="M5528" s="460">
        <f t="shared" si="209"/>
        <v>0.05</v>
      </c>
      <c r="N5528" s="464">
        <f t="shared" si="210"/>
        <v>219299</v>
      </c>
    </row>
    <row r="5529" spans="7:14" ht="11.25" customHeight="1" x14ac:dyDescent="0.3">
      <c r="G5529" s="459"/>
      <c r="H5529" s="459">
        <v>5522</v>
      </c>
      <c r="I5529" s="444">
        <f t="shared" ca="1" si="208"/>
        <v>155455167985825</v>
      </c>
      <c r="J5529" s="444">
        <f t="array" ref="J5529">IFERROR(INDEX('Retirement Calculator'!J:J,MATCH('Isaac 401k'!N5529,'Retirement Calculator'!A:A,0),0),0)</f>
        <v>0</v>
      </c>
      <c r="K5529" s="444">
        <f t="shared" ca="1" si="206"/>
        <v>647729866607.60413</v>
      </c>
      <c r="L5529" s="444">
        <f t="shared" ca="1" si="207"/>
        <v>156102897852432.59</v>
      </c>
      <c r="M5529" s="460">
        <f t="shared" si="209"/>
        <v>0.05</v>
      </c>
      <c r="N5529" s="464">
        <f t="shared" si="210"/>
        <v>219329</v>
      </c>
    </row>
    <row r="5530" spans="7:14" ht="11.25" customHeight="1" x14ac:dyDescent="0.3">
      <c r="G5530" s="459"/>
      <c r="H5530" s="459">
        <v>5523</v>
      </c>
      <c r="I5530" s="444">
        <f t="shared" ca="1" si="208"/>
        <v>156102897852432.59</v>
      </c>
      <c r="J5530" s="444">
        <f t="array" ref="J5530">IFERROR(INDEX('Retirement Calculator'!J:J,MATCH('Isaac 401k'!N5530,'Retirement Calculator'!A:A,0),0),0)</f>
        <v>0</v>
      </c>
      <c r="K5530" s="444">
        <f t="shared" ca="1" si="206"/>
        <v>650428741051.80249</v>
      </c>
      <c r="L5530" s="444">
        <f t="shared" ca="1" si="207"/>
        <v>156753326593484.41</v>
      </c>
      <c r="M5530" s="460">
        <f t="shared" si="209"/>
        <v>0.05</v>
      </c>
      <c r="N5530" s="464">
        <f t="shared" si="210"/>
        <v>219360</v>
      </c>
    </row>
    <row r="5531" spans="7:14" ht="11.25" customHeight="1" x14ac:dyDescent="0.3">
      <c r="G5531" s="459"/>
      <c r="H5531" s="459">
        <v>5524</v>
      </c>
      <c r="I5531" s="444">
        <f t="shared" ca="1" si="208"/>
        <v>156753326593484.41</v>
      </c>
      <c r="J5531" s="444">
        <f t="array" ref="J5531">IFERROR(INDEX('Retirement Calculator'!J:J,MATCH('Isaac 401k'!N5531,'Retirement Calculator'!A:A,0),0),0)</f>
        <v>0</v>
      </c>
      <c r="K5531" s="444">
        <f t="shared" ca="1" si="206"/>
        <v>653138860806.18506</v>
      </c>
      <c r="L5531" s="444">
        <f t="shared" ca="1" si="207"/>
        <v>157406465454290.59</v>
      </c>
      <c r="M5531" s="460">
        <f t="shared" si="209"/>
        <v>0.05</v>
      </c>
      <c r="N5531" s="464">
        <f t="shared" si="210"/>
        <v>219391</v>
      </c>
    </row>
    <row r="5532" spans="7:14" ht="11.25" customHeight="1" x14ac:dyDescent="0.3">
      <c r="G5532" s="459"/>
      <c r="H5532" s="459">
        <v>5525</v>
      </c>
      <c r="I5532" s="444">
        <f t="shared" ca="1" si="208"/>
        <v>157406465454290.59</v>
      </c>
      <c r="J5532" s="444">
        <f t="array" ref="J5532">IFERROR(INDEX('Retirement Calculator'!J:J,MATCH('Isaac 401k'!N5532,'Retirement Calculator'!A:A,0),0),0)</f>
        <v>0</v>
      </c>
      <c r="K5532" s="444">
        <f t="shared" ca="1" si="206"/>
        <v>655860272726.21082</v>
      </c>
      <c r="L5532" s="444">
        <f t="shared" ca="1" si="207"/>
        <v>158062325727016.81</v>
      </c>
      <c r="M5532" s="460">
        <f t="shared" si="209"/>
        <v>0.05</v>
      </c>
      <c r="N5532" s="464">
        <f t="shared" si="210"/>
        <v>219421</v>
      </c>
    </row>
    <row r="5533" spans="7:14" ht="11.25" customHeight="1" x14ac:dyDescent="0.3">
      <c r="G5533" s="459"/>
      <c r="H5533" s="459">
        <v>5526</v>
      </c>
      <c r="I5533" s="444">
        <f t="shared" ca="1" si="208"/>
        <v>158062325727016.81</v>
      </c>
      <c r="J5533" s="444">
        <f t="array" ref="J5533">IFERROR(INDEX('Retirement Calculator'!J:J,MATCH('Isaac 401k'!N5533,'Retirement Calculator'!A:A,0),0),0)</f>
        <v>0</v>
      </c>
      <c r="K5533" s="444">
        <f t="shared" ca="1" si="206"/>
        <v>658593023862.57007</v>
      </c>
      <c r="L5533" s="444">
        <f t="shared" ca="1" si="207"/>
        <v>158720918750879.38</v>
      </c>
      <c r="M5533" s="460">
        <f t="shared" si="209"/>
        <v>0.05</v>
      </c>
      <c r="N5533" s="464">
        <f t="shared" si="210"/>
        <v>219452</v>
      </c>
    </row>
    <row r="5534" spans="7:14" ht="11.25" customHeight="1" x14ac:dyDescent="0.3">
      <c r="G5534" s="459"/>
      <c r="H5534" s="459">
        <v>5527</v>
      </c>
      <c r="I5534" s="444">
        <f t="shared" ca="1" si="208"/>
        <v>158720918750879.38</v>
      </c>
      <c r="J5534" s="444">
        <f t="array" ref="J5534">IFERROR(INDEX('Retirement Calculator'!J:J,MATCH('Isaac 401k'!N5534,'Retirement Calculator'!A:A,0),0),0)</f>
        <v>0</v>
      </c>
      <c r="K5534" s="444">
        <f t="shared" ca="1" si="206"/>
        <v>661337161461.99744</v>
      </c>
      <c r="L5534" s="444">
        <f t="shared" ca="1" si="207"/>
        <v>159382255912341.38</v>
      </c>
      <c r="M5534" s="460">
        <f t="shared" si="209"/>
        <v>0.05</v>
      </c>
      <c r="N5534" s="464">
        <f t="shared" si="210"/>
        <v>219482</v>
      </c>
    </row>
    <row r="5535" spans="7:14" ht="11.25" customHeight="1" x14ac:dyDescent="0.3">
      <c r="G5535" s="459"/>
      <c r="H5535" s="459">
        <v>5528</v>
      </c>
      <c r="I5535" s="444">
        <f t="shared" ca="1" si="208"/>
        <v>159382255912341.38</v>
      </c>
      <c r="J5535" s="444">
        <f t="array" ref="J5535">IFERROR(INDEX('Retirement Calculator'!J:J,MATCH('Isaac 401k'!N5535,'Retirement Calculator'!A:A,0),0),0)</f>
        <v>0</v>
      </c>
      <c r="K5535" s="444">
        <f t="shared" ca="1" si="206"/>
        <v>664092732968.08911</v>
      </c>
      <c r="L5535" s="444">
        <f t="shared" ca="1" si="207"/>
        <v>160046348645309.47</v>
      </c>
      <c r="M5535" s="460">
        <f t="shared" si="209"/>
        <v>0.05</v>
      </c>
      <c r="N5535" s="464">
        <f t="shared" si="210"/>
        <v>219513</v>
      </c>
    </row>
    <row r="5536" spans="7:14" ht="11.25" customHeight="1" x14ac:dyDescent="0.3">
      <c r="G5536" s="459"/>
      <c r="H5536" s="459">
        <v>5529</v>
      </c>
      <c r="I5536" s="444">
        <f t="shared" ca="1" si="208"/>
        <v>160046348645309.47</v>
      </c>
      <c r="J5536" s="444">
        <f t="array" ref="J5536">IFERROR(INDEX('Retirement Calculator'!J:J,MATCH('Isaac 401k'!N5536,'Retirement Calculator'!A:A,0),0),0)</f>
        <v>0</v>
      </c>
      <c r="K5536" s="444">
        <f t="shared" ca="1" si="206"/>
        <v>666859786022.1228</v>
      </c>
      <c r="L5536" s="444">
        <f t="shared" ca="1" si="207"/>
        <v>160713208431331.59</v>
      </c>
      <c r="M5536" s="460">
        <f t="shared" si="209"/>
        <v>0.05</v>
      </c>
      <c r="N5536" s="464">
        <f t="shared" si="210"/>
        <v>219544</v>
      </c>
    </row>
    <row r="5537" spans="7:14" ht="11.25" customHeight="1" x14ac:dyDescent="0.3">
      <c r="G5537" s="459"/>
      <c r="H5537" s="459">
        <v>5530</v>
      </c>
      <c r="I5537" s="444">
        <f t="shared" ca="1" si="208"/>
        <v>160713208431331.59</v>
      </c>
      <c r="J5537" s="444">
        <f t="array" ref="J5537">IFERROR(INDEX('Retirement Calculator'!J:J,MATCH('Isaac 401k'!N5537,'Retirement Calculator'!A:A,0),0),0)</f>
        <v>0</v>
      </c>
      <c r="K5537" s="444">
        <f t="shared" ca="1" si="206"/>
        <v>669638368463.88159</v>
      </c>
      <c r="L5537" s="444">
        <f t="shared" ca="1" si="207"/>
        <v>161382846799795.47</v>
      </c>
      <c r="M5537" s="460">
        <f t="shared" si="209"/>
        <v>0.05</v>
      </c>
      <c r="N5537" s="464">
        <f t="shared" si="210"/>
        <v>219572</v>
      </c>
    </row>
    <row r="5538" spans="7:14" ht="11.25" customHeight="1" x14ac:dyDescent="0.3">
      <c r="G5538" s="459"/>
      <c r="H5538" s="459">
        <v>5531</v>
      </c>
      <c r="I5538" s="444">
        <f t="shared" ca="1" si="208"/>
        <v>161382846799795.47</v>
      </c>
      <c r="J5538" s="444">
        <f t="array" ref="J5538">IFERROR(INDEX('Retirement Calculator'!J:J,MATCH('Isaac 401k'!N5538,'Retirement Calculator'!A:A,0),0),0)</f>
        <v>0</v>
      </c>
      <c r="K5538" s="444">
        <f t="shared" ca="1" si="206"/>
        <v>672428528332.48108</v>
      </c>
      <c r="L5538" s="444">
        <f t="shared" ca="1" si="207"/>
        <v>162055275328127.94</v>
      </c>
      <c r="M5538" s="460">
        <f t="shared" si="209"/>
        <v>0.05</v>
      </c>
      <c r="N5538" s="464">
        <f t="shared" si="210"/>
        <v>219603</v>
      </c>
    </row>
    <row r="5539" spans="7:14" ht="11.25" customHeight="1" x14ac:dyDescent="0.3">
      <c r="G5539" s="459"/>
      <c r="H5539" s="459">
        <v>5532</v>
      </c>
      <c r="I5539" s="444">
        <f t="shared" ca="1" si="208"/>
        <v>162055275328127.94</v>
      </c>
      <c r="J5539" s="444">
        <f t="array" ref="J5539">IFERROR(INDEX('Retirement Calculator'!J:J,MATCH('Isaac 401k'!N5539,'Retirement Calculator'!A:A,0),0),0)</f>
        <v>0</v>
      </c>
      <c r="K5539" s="444">
        <f t="shared" ca="1" si="206"/>
        <v>675230313867.19971</v>
      </c>
      <c r="L5539" s="444">
        <f t="shared" ca="1" si="207"/>
        <v>162730505641995.13</v>
      </c>
      <c r="M5539" s="460">
        <f t="shared" si="209"/>
        <v>0.05</v>
      </c>
      <c r="N5539" s="464">
        <f t="shared" si="210"/>
        <v>219633</v>
      </c>
    </row>
    <row r="5540" spans="7:14" ht="11.25" customHeight="1" x14ac:dyDescent="0.3">
      <c r="G5540" s="459"/>
      <c r="H5540" s="459">
        <v>5533</v>
      </c>
      <c r="I5540" s="444">
        <f t="shared" ca="1" si="208"/>
        <v>162730505641995.13</v>
      </c>
      <c r="J5540" s="444">
        <f t="array" ref="J5540">IFERROR(INDEX('Retirement Calculator'!J:J,MATCH('Isaac 401k'!N5540,'Retirement Calculator'!A:A,0),0),0)</f>
        <v>0</v>
      </c>
      <c r="K5540" s="444">
        <f t="shared" ca="1" si="206"/>
        <v>678043773508.31299</v>
      </c>
      <c r="L5540" s="444">
        <f t="shared" ca="1" si="207"/>
        <v>163408549415503.44</v>
      </c>
      <c r="M5540" s="460">
        <f t="shared" si="209"/>
        <v>0.05</v>
      </c>
      <c r="N5540" s="464">
        <f t="shared" si="210"/>
        <v>219664</v>
      </c>
    </row>
    <row r="5541" spans="7:14" ht="11.25" customHeight="1" x14ac:dyDescent="0.3">
      <c r="G5541" s="459"/>
      <c r="H5541" s="459">
        <v>5534</v>
      </c>
      <c r="I5541" s="444">
        <f t="shared" ca="1" si="208"/>
        <v>163408549415503.44</v>
      </c>
      <c r="J5541" s="444">
        <f t="array" ref="J5541">IFERROR(INDEX('Retirement Calculator'!J:J,MATCH('Isaac 401k'!N5541,'Retirement Calculator'!A:A,0),0),0)</f>
        <v>0</v>
      </c>
      <c r="K5541" s="444">
        <f t="shared" ca="1" si="206"/>
        <v>680868955897.93103</v>
      </c>
      <c r="L5541" s="444">
        <f t="shared" ca="1" si="207"/>
        <v>164089418371401.38</v>
      </c>
      <c r="M5541" s="460">
        <f t="shared" si="209"/>
        <v>0.05</v>
      </c>
      <c r="N5541" s="464">
        <f t="shared" si="210"/>
        <v>219694</v>
      </c>
    </row>
    <row r="5542" spans="7:14" ht="11.25" customHeight="1" x14ac:dyDescent="0.3">
      <c r="G5542" s="459"/>
      <c r="H5542" s="459">
        <v>5535</v>
      </c>
      <c r="I5542" s="444">
        <f t="shared" ca="1" si="208"/>
        <v>164089418371401.38</v>
      </c>
      <c r="J5542" s="444">
        <f t="array" ref="J5542">IFERROR(INDEX('Retirement Calculator'!J:J,MATCH('Isaac 401k'!N5542,'Retirement Calculator'!A:A,0),0),0)</f>
        <v>0</v>
      </c>
      <c r="K5542" s="444">
        <f t="shared" ca="1" si="206"/>
        <v>683705909880.83911</v>
      </c>
      <c r="L5542" s="444">
        <f t="shared" ca="1" si="207"/>
        <v>164773124281282.22</v>
      </c>
      <c r="M5542" s="460">
        <f t="shared" si="209"/>
        <v>0.05</v>
      </c>
      <c r="N5542" s="464">
        <f t="shared" si="210"/>
        <v>219725</v>
      </c>
    </row>
    <row r="5543" spans="7:14" ht="11.25" customHeight="1" x14ac:dyDescent="0.3">
      <c r="G5543" s="459"/>
      <c r="H5543" s="459">
        <v>5536</v>
      </c>
      <c r="I5543" s="444">
        <f t="shared" ca="1" si="208"/>
        <v>164773124281282.22</v>
      </c>
      <c r="J5543" s="444">
        <f t="array" ref="J5543">IFERROR(INDEX('Retirement Calculator'!J:J,MATCH('Isaac 401k'!N5543,'Retirement Calculator'!A:A,0),0),0)</f>
        <v>0</v>
      </c>
      <c r="K5543" s="444">
        <f t="shared" ca="1" si="206"/>
        <v>686554684505.34253</v>
      </c>
      <c r="L5543" s="444">
        <f t="shared" ca="1" si="207"/>
        <v>165459678965787.56</v>
      </c>
      <c r="M5543" s="460">
        <f t="shared" si="209"/>
        <v>0.05</v>
      </c>
      <c r="N5543" s="464">
        <f t="shared" si="210"/>
        <v>219756</v>
      </c>
    </row>
    <row r="5544" spans="7:14" ht="11.25" customHeight="1" x14ac:dyDescent="0.3">
      <c r="G5544" s="459"/>
      <c r="H5544" s="459">
        <v>5537</v>
      </c>
      <c r="I5544" s="444">
        <f t="shared" ca="1" si="208"/>
        <v>165459678965787.56</v>
      </c>
      <c r="J5544" s="444">
        <f t="array" ref="J5544">IFERROR(INDEX('Retirement Calculator'!J:J,MATCH('Isaac 401k'!N5544,'Retirement Calculator'!A:A,0),0),0)</f>
        <v>0</v>
      </c>
      <c r="K5544" s="444">
        <f t="shared" ca="1" si="206"/>
        <v>689415329024.11487</v>
      </c>
      <c r="L5544" s="444">
        <f t="shared" ca="1" si="207"/>
        <v>166149094294811.69</v>
      </c>
      <c r="M5544" s="460">
        <f t="shared" si="209"/>
        <v>0.05</v>
      </c>
      <c r="N5544" s="464">
        <f t="shared" si="210"/>
        <v>219786</v>
      </c>
    </row>
    <row r="5545" spans="7:14" ht="11.25" customHeight="1" x14ac:dyDescent="0.3">
      <c r="G5545" s="459"/>
      <c r="H5545" s="459">
        <v>5538</v>
      </c>
      <c r="I5545" s="444">
        <f t="shared" ca="1" si="208"/>
        <v>166149094294811.69</v>
      </c>
      <c r="J5545" s="444">
        <f t="array" ref="J5545">IFERROR(INDEX('Retirement Calculator'!J:J,MATCH('Isaac 401k'!N5545,'Retirement Calculator'!A:A,0),0),0)</f>
        <v>0</v>
      </c>
      <c r="K5545" s="444">
        <f t="shared" ca="1" si="206"/>
        <v>692287892895.04871</v>
      </c>
      <c r="L5545" s="444">
        <f t="shared" ca="1" si="207"/>
        <v>166841382187706.75</v>
      </c>
      <c r="M5545" s="460">
        <f t="shared" si="209"/>
        <v>0.05</v>
      </c>
      <c r="N5545" s="464">
        <f t="shared" si="210"/>
        <v>219817</v>
      </c>
    </row>
    <row r="5546" spans="7:14" ht="11.25" customHeight="1" x14ac:dyDescent="0.3">
      <c r="G5546" s="459"/>
      <c r="H5546" s="459">
        <v>5539</v>
      </c>
      <c r="I5546" s="444">
        <f t="shared" ca="1" si="208"/>
        <v>166841382187706.75</v>
      </c>
      <c r="J5546" s="444">
        <f t="array" ref="J5546">IFERROR(INDEX('Retirement Calculator'!J:J,MATCH('Isaac 401k'!N5546,'Retirement Calculator'!A:A,0),0),0)</f>
        <v>0</v>
      </c>
      <c r="K5546" s="444">
        <f t="shared" ca="1" si="206"/>
        <v>695172425782.11145</v>
      </c>
      <c r="L5546" s="444">
        <f t="shared" ca="1" si="207"/>
        <v>167536554613488.88</v>
      </c>
      <c r="M5546" s="460">
        <f t="shared" si="209"/>
        <v>0.05</v>
      </c>
      <c r="N5546" s="464">
        <f t="shared" si="210"/>
        <v>219847</v>
      </c>
    </row>
    <row r="5547" spans="7:14" ht="11.25" customHeight="1" x14ac:dyDescent="0.3">
      <c r="G5547" s="459"/>
      <c r="H5547" s="459">
        <v>5540</v>
      </c>
      <c r="I5547" s="444">
        <f t="shared" ca="1" si="208"/>
        <v>167536554613488.88</v>
      </c>
      <c r="J5547" s="444">
        <f t="array" ref="J5547">IFERROR(INDEX('Retirement Calculator'!J:J,MATCH('Isaac 401k'!N5547,'Retirement Calculator'!A:A,0),0),0)</f>
        <v>0</v>
      </c>
      <c r="K5547" s="444">
        <f t="shared" ca="1" si="206"/>
        <v>698068977556.20361</v>
      </c>
      <c r="L5547" s="444">
        <f t="shared" ca="1" si="207"/>
        <v>168234623591045.09</v>
      </c>
      <c r="M5547" s="460">
        <f t="shared" si="209"/>
        <v>0.05</v>
      </c>
      <c r="N5547" s="464">
        <f t="shared" si="210"/>
        <v>219878</v>
      </c>
    </row>
    <row r="5548" spans="7:14" ht="11.25" customHeight="1" x14ac:dyDescent="0.3">
      <c r="G5548" s="459"/>
      <c r="H5548" s="459">
        <v>5541</v>
      </c>
      <c r="I5548" s="444">
        <f t="shared" ca="1" si="208"/>
        <v>168234623591045.09</v>
      </c>
      <c r="J5548" s="444">
        <f t="array" ref="J5548">IFERROR(INDEX('Retirement Calculator'!J:J,MATCH('Isaac 401k'!N5548,'Retirement Calculator'!A:A,0),0),0)</f>
        <v>0</v>
      </c>
      <c r="K5548" s="444">
        <f t="shared" ca="1" si="206"/>
        <v>700977598296.02124</v>
      </c>
      <c r="L5548" s="444">
        <f t="shared" ca="1" si="207"/>
        <v>168935601189341.13</v>
      </c>
      <c r="M5548" s="460">
        <f t="shared" si="209"/>
        <v>0.05</v>
      </c>
      <c r="N5548" s="464">
        <f t="shared" si="210"/>
        <v>219909</v>
      </c>
    </row>
    <row r="5549" spans="7:14" ht="11.25" customHeight="1" x14ac:dyDescent="0.3">
      <c r="G5549" s="459"/>
      <c r="H5549" s="459">
        <v>5542</v>
      </c>
      <c r="I5549" s="444">
        <f t="shared" ca="1" si="208"/>
        <v>168935601189341.13</v>
      </c>
      <c r="J5549" s="444">
        <f t="array" ref="J5549">IFERROR(INDEX('Retirement Calculator'!J:J,MATCH('Isaac 401k'!N5549,'Retirement Calculator'!A:A,0),0),0)</f>
        <v>0</v>
      </c>
      <c r="K5549" s="444">
        <f t="shared" ca="1" si="206"/>
        <v>703898338288.92139</v>
      </c>
      <c r="L5549" s="444">
        <f t="shared" ca="1" si="207"/>
        <v>169639499527630.03</v>
      </c>
      <c r="M5549" s="460">
        <f t="shared" si="209"/>
        <v>0.05</v>
      </c>
      <c r="N5549" s="464">
        <f t="shared" si="210"/>
        <v>219937</v>
      </c>
    </row>
    <row r="5550" spans="7:14" ht="11.25" customHeight="1" x14ac:dyDescent="0.3">
      <c r="G5550" s="459"/>
      <c r="H5550" s="459">
        <v>5543</v>
      </c>
      <c r="I5550" s="444">
        <f t="shared" ca="1" si="208"/>
        <v>169639499527630.03</v>
      </c>
      <c r="J5550" s="444">
        <f t="array" ref="J5550">IFERROR(INDEX('Retirement Calculator'!J:J,MATCH('Isaac 401k'!N5550,'Retirement Calculator'!A:A,0),0),0)</f>
        <v>0</v>
      </c>
      <c r="K5550" s="444">
        <f t="shared" ca="1" si="206"/>
        <v>706831248031.79175</v>
      </c>
      <c r="L5550" s="444">
        <f t="shared" ca="1" si="207"/>
        <v>170346330775661.81</v>
      </c>
      <c r="M5550" s="460">
        <f t="shared" si="209"/>
        <v>0.05</v>
      </c>
      <c r="N5550" s="464">
        <f t="shared" si="210"/>
        <v>219968</v>
      </c>
    </row>
    <row r="5551" spans="7:14" ht="11.25" customHeight="1" x14ac:dyDescent="0.3">
      <c r="G5551" s="459"/>
      <c r="H5551" s="459">
        <v>5544</v>
      </c>
      <c r="I5551" s="444">
        <f t="shared" ca="1" si="208"/>
        <v>170346330775661.81</v>
      </c>
      <c r="J5551" s="444">
        <f t="array" ref="J5551">IFERROR(INDEX('Retirement Calculator'!J:J,MATCH('Isaac 401k'!N5551,'Retirement Calculator'!A:A,0),0),0)</f>
        <v>0</v>
      </c>
      <c r="K5551" s="444">
        <f t="shared" ca="1" si="206"/>
        <v>709776378231.92419</v>
      </c>
      <c r="L5551" s="444">
        <f t="shared" ca="1" si="207"/>
        <v>171056107153893.75</v>
      </c>
      <c r="M5551" s="460">
        <f t="shared" si="209"/>
        <v>0.05</v>
      </c>
      <c r="N5551" s="464">
        <f t="shared" si="210"/>
        <v>219998</v>
      </c>
    </row>
    <row r="5552" spans="7:14" ht="11.25" customHeight="1" x14ac:dyDescent="0.3">
      <c r="G5552" s="459"/>
      <c r="H5552" s="459">
        <v>5545</v>
      </c>
      <c r="I5552" s="444">
        <f t="shared" ca="1" si="208"/>
        <v>171056107153893.75</v>
      </c>
      <c r="J5552" s="444">
        <f t="array" ref="J5552">IFERROR(INDEX('Retirement Calculator'!J:J,MATCH('Isaac 401k'!N5552,'Retirement Calculator'!A:A,0),0),0)</f>
        <v>0</v>
      </c>
      <c r="K5552" s="444">
        <f t="shared" ca="1" si="206"/>
        <v>712733779807.89063</v>
      </c>
      <c r="L5552" s="444">
        <f t="shared" ca="1" si="207"/>
        <v>171768840933701.63</v>
      </c>
      <c r="M5552" s="460">
        <f t="shared" si="209"/>
        <v>0.05</v>
      </c>
      <c r="N5552" s="464">
        <f t="shared" si="210"/>
        <v>220029</v>
      </c>
    </row>
    <row r="5553" spans="7:14" ht="11.25" customHeight="1" x14ac:dyDescent="0.3">
      <c r="G5553" s="459"/>
      <c r="H5553" s="459">
        <v>5546</v>
      </c>
      <c r="I5553" s="444">
        <f t="shared" ca="1" si="208"/>
        <v>171768840933701.63</v>
      </c>
      <c r="J5553" s="444">
        <f t="array" ref="J5553">IFERROR(INDEX('Retirement Calculator'!J:J,MATCH('Isaac 401k'!N5553,'Retirement Calculator'!A:A,0),0),0)</f>
        <v>0</v>
      </c>
      <c r="K5553" s="444">
        <f t="shared" ca="1" si="206"/>
        <v>715703503890.42346</v>
      </c>
      <c r="L5553" s="444">
        <f t="shared" ca="1" si="207"/>
        <v>172484544437592.06</v>
      </c>
      <c r="M5553" s="460">
        <f t="shared" si="209"/>
        <v>0.05</v>
      </c>
      <c r="N5553" s="464">
        <f t="shared" si="210"/>
        <v>220059</v>
      </c>
    </row>
    <row r="5554" spans="7:14" ht="11.25" customHeight="1" x14ac:dyDescent="0.3">
      <c r="G5554" s="459"/>
      <c r="H5554" s="459">
        <v>5547</v>
      </c>
      <c r="I5554" s="444">
        <f t="shared" ca="1" si="208"/>
        <v>172484544437592.06</v>
      </c>
      <c r="J5554" s="444">
        <f t="array" ref="J5554">IFERROR(INDEX('Retirement Calculator'!J:J,MATCH('Isaac 401k'!N5554,'Retirement Calculator'!A:A,0),0),0)</f>
        <v>0</v>
      </c>
      <c r="K5554" s="444">
        <f t="shared" ca="1" si="206"/>
        <v>718685601823.30029</v>
      </c>
      <c r="L5554" s="444">
        <f t="shared" ca="1" si="207"/>
        <v>173203230039415.38</v>
      </c>
      <c r="M5554" s="460">
        <f t="shared" si="209"/>
        <v>0.05</v>
      </c>
      <c r="N5554" s="464">
        <f t="shared" si="210"/>
        <v>220090</v>
      </c>
    </row>
    <row r="5555" spans="7:14" ht="11.25" customHeight="1" x14ac:dyDescent="0.3">
      <c r="G5555" s="459"/>
      <c r="H5555" s="459">
        <v>5548</v>
      </c>
      <c r="I5555" s="444">
        <f t="shared" ca="1" si="208"/>
        <v>173203230039415.38</v>
      </c>
      <c r="J5555" s="444">
        <f t="array" ref="J5555">IFERROR(INDEX('Retirement Calculator'!J:J,MATCH('Isaac 401k'!N5555,'Retirement Calculator'!A:A,0),0),0)</f>
        <v>0</v>
      </c>
      <c r="K5555" s="444">
        <f t="shared" ca="1" si="206"/>
        <v>721680125164.23071</v>
      </c>
      <c r="L5555" s="444">
        <f t="shared" ca="1" si="207"/>
        <v>173924910164579.59</v>
      </c>
      <c r="M5555" s="460">
        <f t="shared" si="209"/>
        <v>0.05</v>
      </c>
      <c r="N5555" s="464">
        <f t="shared" si="210"/>
        <v>220121</v>
      </c>
    </row>
    <row r="5556" spans="7:14" ht="11.25" customHeight="1" x14ac:dyDescent="0.3">
      <c r="G5556" s="459"/>
      <c r="H5556" s="459">
        <v>5549</v>
      </c>
      <c r="I5556" s="444">
        <f t="shared" ca="1" si="208"/>
        <v>173924910164579.59</v>
      </c>
      <c r="J5556" s="444">
        <f t="array" ref="J5556">IFERROR(INDEX('Retirement Calculator'!J:J,MATCH('Isaac 401k'!N5556,'Retirement Calculator'!A:A,0),0),0)</f>
        <v>0</v>
      </c>
      <c r="K5556" s="444">
        <f t="shared" ca="1" si="206"/>
        <v>724687125685.74829</v>
      </c>
      <c r="L5556" s="444">
        <f t="shared" ca="1" si="207"/>
        <v>174649597290265.34</v>
      </c>
      <c r="M5556" s="460">
        <f t="shared" si="209"/>
        <v>0.05</v>
      </c>
      <c r="N5556" s="464">
        <f t="shared" si="210"/>
        <v>220151</v>
      </c>
    </row>
    <row r="5557" spans="7:14" ht="11.25" customHeight="1" x14ac:dyDescent="0.3">
      <c r="G5557" s="459"/>
      <c r="H5557" s="459">
        <v>5550</v>
      </c>
      <c r="I5557" s="444">
        <f t="shared" ca="1" si="208"/>
        <v>174649597290265.34</v>
      </c>
      <c r="J5557" s="444">
        <f t="array" ref="J5557">IFERROR(INDEX('Retirement Calculator'!J:J,MATCH('Isaac 401k'!N5557,'Retirement Calculator'!A:A,0),0),0)</f>
        <v>0</v>
      </c>
      <c r="K5557" s="444">
        <f t="shared" ca="1" si="206"/>
        <v>727706655376.10559</v>
      </c>
      <c r="L5557" s="444">
        <f t="shared" ca="1" si="207"/>
        <v>175377303945641.44</v>
      </c>
      <c r="M5557" s="460">
        <f t="shared" si="209"/>
        <v>0.05</v>
      </c>
      <c r="N5557" s="464">
        <f t="shared" si="210"/>
        <v>220182</v>
      </c>
    </row>
    <row r="5558" spans="7:14" ht="11.25" customHeight="1" x14ac:dyDescent="0.3">
      <c r="G5558" s="459"/>
      <c r="H5558" s="459">
        <v>5551</v>
      </c>
      <c r="I5558" s="444">
        <f t="shared" ca="1" si="208"/>
        <v>175377303945641.44</v>
      </c>
      <c r="J5558" s="444">
        <f t="array" ref="J5558">IFERROR(INDEX('Retirement Calculator'!J:J,MATCH('Isaac 401k'!N5558,'Retirement Calculator'!A:A,0),0),0)</f>
        <v>0</v>
      </c>
      <c r="K5558" s="444">
        <f t="shared" ca="1" si="206"/>
        <v>730738766440.17261</v>
      </c>
      <c r="L5558" s="444">
        <f t="shared" ca="1" si="207"/>
        <v>176108042712081.63</v>
      </c>
      <c r="M5558" s="460">
        <f t="shared" si="209"/>
        <v>0.05</v>
      </c>
      <c r="N5558" s="464">
        <f t="shared" si="210"/>
        <v>220212</v>
      </c>
    </row>
    <row r="5559" spans="7:14" ht="11.25" customHeight="1" x14ac:dyDescent="0.3">
      <c r="G5559" s="459"/>
      <c r="H5559" s="459">
        <v>5552</v>
      </c>
      <c r="I5559" s="444">
        <f t="shared" ca="1" si="208"/>
        <v>176108042712081.63</v>
      </c>
      <c r="J5559" s="444">
        <f t="array" ref="J5559">IFERROR(INDEX('Retirement Calculator'!J:J,MATCH('Isaac 401k'!N5559,'Retirement Calculator'!A:A,0),0),0)</f>
        <v>0</v>
      </c>
      <c r="K5559" s="444">
        <f t="shared" ca="1" si="206"/>
        <v>733783511300.34009</v>
      </c>
      <c r="L5559" s="444">
        <f t="shared" ca="1" si="207"/>
        <v>176841826223381.97</v>
      </c>
      <c r="M5559" s="460">
        <f t="shared" si="209"/>
        <v>0.05</v>
      </c>
      <c r="N5559" s="464">
        <f t="shared" si="210"/>
        <v>220243</v>
      </c>
    </row>
    <row r="5560" spans="7:14" ht="11.25" customHeight="1" x14ac:dyDescent="0.3">
      <c r="G5560" s="459"/>
      <c r="H5560" s="459">
        <v>5553</v>
      </c>
      <c r="I5560" s="444">
        <f t="shared" ca="1" si="208"/>
        <v>176841826223381.97</v>
      </c>
      <c r="J5560" s="444">
        <f t="array" ref="J5560">IFERROR(INDEX('Retirement Calculator'!J:J,MATCH('Isaac 401k'!N5560,'Retirement Calculator'!A:A,0),0),0)</f>
        <v>0</v>
      </c>
      <c r="K5560" s="444">
        <f t="shared" ca="1" si="206"/>
        <v>736840942597.4248</v>
      </c>
      <c r="L5560" s="444">
        <f t="shared" ca="1" si="207"/>
        <v>177578667165979.41</v>
      </c>
      <c r="M5560" s="460">
        <f t="shared" si="209"/>
        <v>0.05</v>
      </c>
      <c r="N5560" s="464">
        <f t="shared" si="210"/>
        <v>220274</v>
      </c>
    </row>
    <row r="5561" spans="7:14" ht="11.25" customHeight="1" x14ac:dyDescent="0.3">
      <c r="G5561" s="459"/>
      <c r="H5561" s="459">
        <v>5554</v>
      </c>
      <c r="I5561" s="444">
        <f t="shared" ca="1" si="208"/>
        <v>177578667165979.41</v>
      </c>
      <c r="J5561" s="444">
        <f t="array" ref="J5561">IFERROR(INDEX('Retirement Calculator'!J:J,MATCH('Isaac 401k'!N5561,'Retirement Calculator'!A:A,0),0),0)</f>
        <v>0</v>
      </c>
      <c r="K5561" s="444">
        <f t="shared" ca="1" si="206"/>
        <v>739911113191.58081</v>
      </c>
      <c r="L5561" s="444">
        <f t="shared" ca="1" si="207"/>
        <v>178318578279171</v>
      </c>
      <c r="M5561" s="460">
        <f t="shared" si="209"/>
        <v>0.05</v>
      </c>
      <c r="N5561" s="464">
        <f t="shared" si="210"/>
        <v>220302</v>
      </c>
    </row>
    <row r="5562" spans="7:14" ht="11.25" customHeight="1" x14ac:dyDescent="0.3">
      <c r="G5562" s="459"/>
      <c r="H5562" s="459">
        <v>5555</v>
      </c>
      <c r="I5562" s="444">
        <f t="shared" ca="1" si="208"/>
        <v>178318578279171</v>
      </c>
      <c r="J5562" s="444">
        <f t="array" ref="J5562">IFERROR(INDEX('Retirement Calculator'!J:J,MATCH('Isaac 401k'!N5562,'Retirement Calculator'!A:A,0),0),0)</f>
        <v>0</v>
      </c>
      <c r="K5562" s="444">
        <f t="shared" ca="1" si="206"/>
        <v>742994076163.21252</v>
      </c>
      <c r="L5562" s="444">
        <f t="shared" ca="1" si="207"/>
        <v>179061572355334.22</v>
      </c>
      <c r="M5562" s="460">
        <f t="shared" si="209"/>
        <v>0.05</v>
      </c>
      <c r="N5562" s="464">
        <f t="shared" si="210"/>
        <v>220333</v>
      </c>
    </row>
    <row r="5563" spans="7:14" ht="11.25" customHeight="1" x14ac:dyDescent="0.3">
      <c r="G5563" s="459"/>
      <c r="H5563" s="459">
        <v>5556</v>
      </c>
      <c r="I5563" s="444">
        <f t="shared" ca="1" si="208"/>
        <v>179061572355334.22</v>
      </c>
      <c r="J5563" s="444">
        <f t="array" ref="J5563">IFERROR(INDEX('Retirement Calculator'!J:J,MATCH('Isaac 401k'!N5563,'Retirement Calculator'!A:A,0),0),0)</f>
        <v>0</v>
      </c>
      <c r="K5563" s="444">
        <f t="shared" ca="1" si="206"/>
        <v>746089884813.89258</v>
      </c>
      <c r="L5563" s="444">
        <f t="shared" ca="1" si="207"/>
        <v>179807662240148.13</v>
      </c>
      <c r="M5563" s="460">
        <f t="shared" si="209"/>
        <v>0.05</v>
      </c>
      <c r="N5563" s="464">
        <f t="shared" si="210"/>
        <v>220363</v>
      </c>
    </row>
    <row r="5564" spans="7:14" ht="11.25" customHeight="1" x14ac:dyDescent="0.3">
      <c r="G5564" s="459"/>
      <c r="H5564" s="459">
        <v>5557</v>
      </c>
      <c r="I5564" s="444">
        <f t="shared" ca="1" si="208"/>
        <v>179807662240148.13</v>
      </c>
      <c r="J5564" s="444">
        <f t="array" ref="J5564">IFERROR(INDEX('Retirement Calculator'!J:J,MATCH('Isaac 401k'!N5564,'Retirement Calculator'!A:A,0),0),0)</f>
        <v>0</v>
      </c>
      <c r="K5564" s="444">
        <f t="shared" ca="1" si="206"/>
        <v>749198592667.28381</v>
      </c>
      <c r="L5564" s="444">
        <f t="shared" ca="1" si="207"/>
        <v>180556860832815.41</v>
      </c>
      <c r="M5564" s="460">
        <f t="shared" si="209"/>
        <v>0.05</v>
      </c>
      <c r="N5564" s="464">
        <f t="shared" si="210"/>
        <v>220394</v>
      </c>
    </row>
    <row r="5565" spans="7:14" ht="11.25" customHeight="1" x14ac:dyDescent="0.3">
      <c r="G5565" s="459"/>
      <c r="H5565" s="459">
        <v>5558</v>
      </c>
      <c r="I5565" s="444">
        <f t="shared" ca="1" si="208"/>
        <v>180556860832815.41</v>
      </c>
      <c r="J5565" s="444">
        <f t="array" ref="J5565">IFERROR(INDEX('Retirement Calculator'!J:J,MATCH('Isaac 401k'!N5565,'Retirement Calculator'!A:A,0),0),0)</f>
        <v>0</v>
      </c>
      <c r="K5565" s="444">
        <f t="shared" ca="1" si="206"/>
        <v>752320253470.06421</v>
      </c>
      <c r="L5565" s="444">
        <f t="shared" ca="1" si="207"/>
        <v>181309181086285.47</v>
      </c>
      <c r="M5565" s="460">
        <f t="shared" si="209"/>
        <v>0.05</v>
      </c>
      <c r="N5565" s="464">
        <f t="shared" si="210"/>
        <v>220424</v>
      </c>
    </row>
    <row r="5566" spans="7:14" ht="11.25" customHeight="1" x14ac:dyDescent="0.3">
      <c r="G5566" s="459"/>
      <c r="H5566" s="459">
        <v>5559</v>
      </c>
      <c r="I5566" s="444">
        <f t="shared" ca="1" si="208"/>
        <v>181309181086285.47</v>
      </c>
      <c r="J5566" s="444">
        <f t="array" ref="J5566">IFERROR(INDEX('Retirement Calculator'!J:J,MATCH('Isaac 401k'!N5566,'Retirement Calculator'!A:A,0),0),0)</f>
        <v>0</v>
      </c>
      <c r="K5566" s="444">
        <f t="shared" ca="1" si="206"/>
        <v>755454921192.85608</v>
      </c>
      <c r="L5566" s="444">
        <f t="shared" ca="1" si="207"/>
        <v>182064636007478.31</v>
      </c>
      <c r="M5566" s="460">
        <f t="shared" si="209"/>
        <v>0.05</v>
      </c>
      <c r="N5566" s="464">
        <f t="shared" si="210"/>
        <v>220455</v>
      </c>
    </row>
    <row r="5567" spans="7:14" ht="11.25" customHeight="1" x14ac:dyDescent="0.3">
      <c r="G5567" s="459"/>
      <c r="H5567" s="459">
        <v>5560</v>
      </c>
      <c r="I5567" s="444">
        <f t="shared" ca="1" si="208"/>
        <v>182064636007478.31</v>
      </c>
      <c r="J5567" s="444">
        <f t="array" ref="J5567">IFERROR(INDEX('Retirement Calculator'!J:J,MATCH('Isaac 401k'!N5567,'Retirement Calculator'!A:A,0),0),0)</f>
        <v>0</v>
      </c>
      <c r="K5567" s="444">
        <f t="shared" ca="1" si="206"/>
        <v>758602650031.15967</v>
      </c>
      <c r="L5567" s="444">
        <f t="shared" ca="1" si="207"/>
        <v>182823238657509.47</v>
      </c>
      <c r="M5567" s="460">
        <f t="shared" si="209"/>
        <v>0.05</v>
      </c>
      <c r="N5567" s="464">
        <f t="shared" si="210"/>
        <v>220486</v>
      </c>
    </row>
    <row r="5568" spans="7:14" ht="11.25" customHeight="1" x14ac:dyDescent="0.3">
      <c r="G5568" s="459"/>
      <c r="H5568" s="459">
        <v>5561</v>
      </c>
      <c r="I5568" s="444">
        <f t="shared" ca="1" si="208"/>
        <v>182823238657509.47</v>
      </c>
      <c r="J5568" s="444">
        <f t="array" ref="J5568">IFERROR(INDEX('Retirement Calculator'!J:J,MATCH('Isaac 401k'!N5568,'Retirement Calculator'!A:A,0),0),0)</f>
        <v>0</v>
      </c>
      <c r="K5568" s="444">
        <f t="shared" ca="1" si="206"/>
        <v>761763494406.28943</v>
      </c>
      <c r="L5568" s="444">
        <f t="shared" ca="1" si="207"/>
        <v>183585002151915.75</v>
      </c>
      <c r="M5568" s="460">
        <f t="shared" si="209"/>
        <v>0.05</v>
      </c>
      <c r="N5568" s="464">
        <f t="shared" si="210"/>
        <v>220516</v>
      </c>
    </row>
    <row r="5569" spans="7:14" ht="11.25" customHeight="1" x14ac:dyDescent="0.3">
      <c r="G5569" s="459"/>
      <c r="H5569" s="459">
        <v>5562</v>
      </c>
      <c r="I5569" s="444">
        <f t="shared" ca="1" si="208"/>
        <v>183585002151915.75</v>
      </c>
      <c r="J5569" s="444">
        <f t="array" ref="J5569">IFERROR(INDEX('Retirement Calculator'!J:J,MATCH('Isaac 401k'!N5569,'Retirement Calculator'!A:A,0),0),0)</f>
        <v>0</v>
      </c>
      <c r="K5569" s="444">
        <f t="shared" ca="1" si="206"/>
        <v>764937508966.31567</v>
      </c>
      <c r="L5569" s="444">
        <f t="shared" ca="1" si="207"/>
        <v>184349939660882.06</v>
      </c>
      <c r="M5569" s="460">
        <f t="shared" si="209"/>
        <v>0.05</v>
      </c>
      <c r="N5569" s="464">
        <f t="shared" si="210"/>
        <v>220547</v>
      </c>
    </row>
    <row r="5570" spans="7:14" ht="11.25" customHeight="1" x14ac:dyDescent="0.3">
      <c r="G5570" s="459"/>
      <c r="H5570" s="459">
        <v>5563</v>
      </c>
      <c r="I5570" s="444">
        <f t="shared" ca="1" si="208"/>
        <v>184349939660882.06</v>
      </c>
      <c r="J5570" s="444">
        <f t="array" ref="J5570">IFERROR(INDEX('Retirement Calculator'!J:J,MATCH('Isaac 401k'!N5570,'Retirement Calculator'!A:A,0),0),0)</f>
        <v>0</v>
      </c>
      <c r="K5570" s="444">
        <f t="shared" ca="1" si="206"/>
        <v>768124748587.00854</v>
      </c>
      <c r="L5570" s="444">
        <f t="shared" ca="1" si="207"/>
        <v>185118064409469.06</v>
      </c>
      <c r="M5570" s="460">
        <f t="shared" si="209"/>
        <v>0.05</v>
      </c>
      <c r="N5570" s="464">
        <f t="shared" si="210"/>
        <v>220577</v>
      </c>
    </row>
    <row r="5571" spans="7:14" ht="11.25" customHeight="1" x14ac:dyDescent="0.3">
      <c r="G5571" s="459"/>
      <c r="H5571" s="459">
        <v>5564</v>
      </c>
      <c r="I5571" s="444">
        <f t="shared" ca="1" si="208"/>
        <v>185118064409469.06</v>
      </c>
      <c r="J5571" s="444">
        <f t="array" ref="J5571">IFERROR(INDEX('Retirement Calculator'!J:J,MATCH('Isaac 401k'!N5571,'Retirement Calculator'!A:A,0),0),0)</f>
        <v>0</v>
      </c>
      <c r="K5571" s="444">
        <f t="shared" ca="1" si="206"/>
        <v>771325268372.78772</v>
      </c>
      <c r="L5571" s="444">
        <f t="shared" ca="1" si="207"/>
        <v>185889389677841.84</v>
      </c>
      <c r="M5571" s="460">
        <f t="shared" si="209"/>
        <v>0.05</v>
      </c>
      <c r="N5571" s="464">
        <f t="shared" si="210"/>
        <v>220608</v>
      </c>
    </row>
    <row r="5572" spans="7:14" ht="11.25" customHeight="1" x14ac:dyDescent="0.3">
      <c r="G5572" s="459"/>
      <c r="H5572" s="459">
        <v>5565</v>
      </c>
      <c r="I5572" s="444">
        <f t="shared" ca="1" si="208"/>
        <v>185889389677841.84</v>
      </c>
      <c r="J5572" s="444">
        <f t="array" ref="J5572">IFERROR(INDEX('Retirement Calculator'!J:J,MATCH('Isaac 401k'!N5572,'Retirement Calculator'!A:A,0),0),0)</f>
        <v>0</v>
      </c>
      <c r="K5572" s="444">
        <f t="shared" ca="1" si="206"/>
        <v>774539123657.67432</v>
      </c>
      <c r="L5572" s="444">
        <f t="shared" ca="1" si="207"/>
        <v>186663928801499.53</v>
      </c>
      <c r="M5572" s="460">
        <f t="shared" si="209"/>
        <v>0.05</v>
      </c>
      <c r="N5572" s="464">
        <f t="shared" si="210"/>
        <v>220639</v>
      </c>
    </row>
    <row r="5573" spans="7:14" ht="11.25" customHeight="1" x14ac:dyDescent="0.3">
      <c r="G5573" s="459"/>
      <c r="H5573" s="459">
        <v>5566</v>
      </c>
      <c r="I5573" s="444">
        <f t="shared" ca="1" si="208"/>
        <v>186663928801499.53</v>
      </c>
      <c r="J5573" s="444">
        <f t="array" ref="J5573">IFERROR(INDEX('Retirement Calculator'!J:J,MATCH('Isaac 401k'!N5573,'Retirement Calculator'!A:A,0),0),0)</f>
        <v>0</v>
      </c>
      <c r="K5573" s="444">
        <f t="shared" ca="1" si="206"/>
        <v>777766370006.24805</v>
      </c>
      <c r="L5573" s="444">
        <f t="shared" ca="1" si="207"/>
        <v>187441695171505.78</v>
      </c>
      <c r="M5573" s="460">
        <f t="shared" si="209"/>
        <v>0.05</v>
      </c>
      <c r="N5573" s="464">
        <f t="shared" si="210"/>
        <v>220668</v>
      </c>
    </row>
    <row r="5574" spans="7:14" ht="11.25" customHeight="1" x14ac:dyDescent="0.3">
      <c r="G5574" s="459"/>
      <c r="H5574" s="459">
        <v>5567</v>
      </c>
      <c r="I5574" s="444">
        <f t="shared" ca="1" si="208"/>
        <v>187441695171505.78</v>
      </c>
      <c r="J5574" s="444">
        <f t="array" ref="J5574">IFERROR(INDEX('Retirement Calculator'!J:J,MATCH('Isaac 401k'!N5574,'Retirement Calculator'!A:A,0),0),0)</f>
        <v>0</v>
      </c>
      <c r="K5574" s="444">
        <f t="shared" ca="1" si="206"/>
        <v>781007063214.60742</v>
      </c>
      <c r="L5574" s="444">
        <f t="shared" ca="1" si="207"/>
        <v>188222702234720.38</v>
      </c>
      <c r="M5574" s="460">
        <f t="shared" si="209"/>
        <v>0.05</v>
      </c>
      <c r="N5574" s="464">
        <f t="shared" si="210"/>
        <v>220699</v>
      </c>
    </row>
    <row r="5575" spans="7:14" ht="11.25" customHeight="1" x14ac:dyDescent="0.3">
      <c r="G5575" s="459"/>
      <c r="H5575" s="459">
        <v>5568</v>
      </c>
      <c r="I5575" s="444">
        <f t="shared" ca="1" si="208"/>
        <v>188222702234720.38</v>
      </c>
      <c r="J5575" s="444">
        <f t="array" ref="J5575">IFERROR(INDEX('Retirement Calculator'!J:J,MATCH('Isaac 401k'!N5575,'Retirement Calculator'!A:A,0),0),0)</f>
        <v>0</v>
      </c>
      <c r="K5575" s="444">
        <f t="shared" ca="1" si="206"/>
        <v>784261259311.33484</v>
      </c>
      <c r="L5575" s="444">
        <f t="shared" ca="1" si="207"/>
        <v>189006963494031.72</v>
      </c>
      <c r="M5575" s="460">
        <f t="shared" si="209"/>
        <v>0.05</v>
      </c>
      <c r="N5575" s="464">
        <f t="shared" si="210"/>
        <v>220729</v>
      </c>
    </row>
    <row r="5576" spans="7:14" ht="11.25" customHeight="1" x14ac:dyDescent="0.3">
      <c r="G5576" s="459"/>
      <c r="H5576" s="459">
        <v>5569</v>
      </c>
      <c r="I5576" s="444">
        <f t="shared" ca="1" si="208"/>
        <v>189006963494031.72</v>
      </c>
      <c r="J5576" s="444">
        <f t="array" ref="J5576">IFERROR(INDEX('Retirement Calculator'!J:J,MATCH('Isaac 401k'!N5576,'Retirement Calculator'!A:A,0),0),0)</f>
        <v>0</v>
      </c>
      <c r="K5576" s="444">
        <f t="shared" ca="1" si="206"/>
        <v>787529014558.46545</v>
      </c>
      <c r="L5576" s="444">
        <f t="shared" ca="1" si="207"/>
        <v>189794492508590.19</v>
      </c>
      <c r="M5576" s="460">
        <f t="shared" si="209"/>
        <v>0.05</v>
      </c>
      <c r="N5576" s="464">
        <f t="shared" si="210"/>
        <v>220760</v>
      </c>
    </row>
    <row r="5577" spans="7:14" ht="11.25" customHeight="1" x14ac:dyDescent="0.3">
      <c r="G5577" s="459"/>
      <c r="H5577" s="459">
        <v>5570</v>
      </c>
      <c r="I5577" s="444">
        <f t="shared" ca="1" si="208"/>
        <v>189794492508590.19</v>
      </c>
      <c r="J5577" s="444">
        <f t="array" ref="J5577">IFERROR(INDEX('Retirement Calculator'!J:J,MATCH('Isaac 401k'!N5577,'Retirement Calculator'!A:A,0),0),0)</f>
        <v>0</v>
      </c>
      <c r="K5577" s="444">
        <f t="shared" ca="1" si="206"/>
        <v>790810385452.45911</v>
      </c>
      <c r="L5577" s="444">
        <f t="shared" ca="1" si="207"/>
        <v>190585302894042.66</v>
      </c>
      <c r="M5577" s="460">
        <f t="shared" si="209"/>
        <v>0.05</v>
      </c>
      <c r="N5577" s="464">
        <f t="shared" si="210"/>
        <v>220790</v>
      </c>
    </row>
    <row r="5578" spans="7:14" ht="11.25" customHeight="1" x14ac:dyDescent="0.3">
      <c r="G5578" s="459"/>
      <c r="H5578" s="459">
        <v>5571</v>
      </c>
      <c r="I5578" s="444">
        <f t="shared" ca="1" si="208"/>
        <v>190585302894042.66</v>
      </c>
      <c r="J5578" s="444">
        <f t="array" ref="J5578">IFERROR(INDEX('Retirement Calculator'!J:J,MATCH('Isaac 401k'!N5578,'Retirement Calculator'!A:A,0),0),0)</f>
        <v>0</v>
      </c>
      <c r="K5578" s="444">
        <f t="shared" ca="1" si="206"/>
        <v>794105428725.17773</v>
      </c>
      <c r="L5578" s="444">
        <f t="shared" ca="1" si="207"/>
        <v>191379408322767.84</v>
      </c>
      <c r="M5578" s="460">
        <f t="shared" si="209"/>
        <v>0.05</v>
      </c>
      <c r="N5578" s="464">
        <f t="shared" si="210"/>
        <v>220821</v>
      </c>
    </row>
    <row r="5579" spans="7:14" ht="11.25" customHeight="1" x14ac:dyDescent="0.3">
      <c r="G5579" s="459"/>
      <c r="H5579" s="459">
        <v>5572</v>
      </c>
      <c r="I5579" s="444">
        <f t="shared" ca="1" si="208"/>
        <v>191379408322767.84</v>
      </c>
      <c r="J5579" s="444">
        <f t="array" ref="J5579">IFERROR(INDEX('Retirement Calculator'!J:J,MATCH('Isaac 401k'!N5579,'Retirement Calculator'!A:A,0),0),0)</f>
        <v>0</v>
      </c>
      <c r="K5579" s="444">
        <f t="shared" ca="1" si="206"/>
        <v>797414201344.86597</v>
      </c>
      <c r="L5579" s="444">
        <f t="shared" ca="1" si="207"/>
        <v>192176822524112.72</v>
      </c>
      <c r="M5579" s="460">
        <f t="shared" si="209"/>
        <v>0.05</v>
      </c>
      <c r="N5579" s="464">
        <f t="shared" si="210"/>
        <v>220852</v>
      </c>
    </row>
    <row r="5580" spans="7:14" ht="11.25" customHeight="1" x14ac:dyDescent="0.3">
      <c r="G5580" s="459"/>
      <c r="H5580" s="459">
        <v>5573</v>
      </c>
      <c r="I5580" s="444">
        <f t="shared" ca="1" si="208"/>
        <v>192176822524112.72</v>
      </c>
      <c r="J5580" s="444">
        <f t="array" ref="J5580">IFERROR(INDEX('Retirement Calculator'!J:J,MATCH('Isaac 401k'!N5580,'Retirement Calculator'!A:A,0),0),0)</f>
        <v>0</v>
      </c>
      <c r="K5580" s="444">
        <f t="shared" ca="1" si="206"/>
        <v>800736760517.13635</v>
      </c>
      <c r="L5580" s="444">
        <f t="shared" ca="1" si="207"/>
        <v>192977559284629.84</v>
      </c>
      <c r="M5580" s="460">
        <f t="shared" si="209"/>
        <v>0.05</v>
      </c>
      <c r="N5580" s="464">
        <f t="shared" si="210"/>
        <v>220882</v>
      </c>
    </row>
    <row r="5581" spans="7:14" ht="11.25" customHeight="1" x14ac:dyDescent="0.3">
      <c r="G5581" s="459"/>
      <c r="H5581" s="459">
        <v>5574</v>
      </c>
      <c r="I5581" s="444">
        <f t="shared" ca="1" si="208"/>
        <v>192977559284629.84</v>
      </c>
      <c r="J5581" s="444">
        <f t="array" ref="J5581">IFERROR(INDEX('Retirement Calculator'!J:J,MATCH('Isaac 401k'!N5581,'Retirement Calculator'!A:A,0),0),0)</f>
        <v>0</v>
      </c>
      <c r="K5581" s="444">
        <f t="shared" ca="1" si="206"/>
        <v>804073163685.95764</v>
      </c>
      <c r="L5581" s="444">
        <f t="shared" ca="1" si="207"/>
        <v>193781632448315.81</v>
      </c>
      <c r="M5581" s="460">
        <f t="shared" si="209"/>
        <v>0.05</v>
      </c>
      <c r="N5581" s="464">
        <f t="shared" si="210"/>
        <v>220913</v>
      </c>
    </row>
    <row r="5582" spans="7:14" ht="11.25" customHeight="1" x14ac:dyDescent="0.3">
      <c r="G5582" s="459"/>
      <c r="H5582" s="459">
        <v>5575</v>
      </c>
      <c r="I5582" s="444">
        <f t="shared" ca="1" si="208"/>
        <v>193781632448315.81</v>
      </c>
      <c r="J5582" s="444">
        <f t="array" ref="J5582">IFERROR(INDEX('Retirement Calculator'!J:J,MATCH('Isaac 401k'!N5582,'Retirement Calculator'!A:A,0),0),0)</f>
        <v>0</v>
      </c>
      <c r="K5582" s="444">
        <f t="shared" ca="1" si="206"/>
        <v>807423468534.64917</v>
      </c>
      <c r="L5582" s="444">
        <f t="shared" ca="1" si="207"/>
        <v>194589055916850.47</v>
      </c>
      <c r="M5582" s="460">
        <f t="shared" si="209"/>
        <v>0.05</v>
      </c>
      <c r="N5582" s="464">
        <f t="shared" si="210"/>
        <v>220943</v>
      </c>
    </row>
    <row r="5583" spans="7:14" ht="11.25" customHeight="1" x14ac:dyDescent="0.3">
      <c r="G5583" s="459"/>
      <c r="H5583" s="459">
        <v>5576</v>
      </c>
      <c r="I5583" s="444">
        <f t="shared" ca="1" si="208"/>
        <v>194589055916850.47</v>
      </c>
      <c r="J5583" s="444">
        <f t="array" ref="J5583">IFERROR(INDEX('Retirement Calculator'!J:J,MATCH('Isaac 401k'!N5583,'Retirement Calculator'!A:A,0),0),0)</f>
        <v>0</v>
      </c>
      <c r="K5583" s="444">
        <f t="shared" ca="1" si="206"/>
        <v>810787732986.87695</v>
      </c>
      <c r="L5583" s="444">
        <f t="shared" ca="1" si="207"/>
        <v>195399843649837.34</v>
      </c>
      <c r="M5583" s="460">
        <f t="shared" si="209"/>
        <v>0.05</v>
      </c>
      <c r="N5583" s="464">
        <f t="shared" si="210"/>
        <v>220974</v>
      </c>
    </row>
    <row r="5584" spans="7:14" ht="11.25" customHeight="1" x14ac:dyDescent="0.3">
      <c r="G5584" s="459"/>
      <c r="H5584" s="459">
        <v>5577</v>
      </c>
      <c r="I5584" s="444">
        <f t="shared" ca="1" si="208"/>
        <v>195399843649837.34</v>
      </c>
      <c r="J5584" s="444">
        <f t="array" ref="J5584">IFERROR(INDEX('Retirement Calculator'!J:J,MATCH('Isaac 401k'!N5584,'Retirement Calculator'!A:A,0),0),0)</f>
        <v>0</v>
      </c>
      <c r="K5584" s="444">
        <f t="shared" ca="1" si="206"/>
        <v>814166015207.65564</v>
      </c>
      <c r="L5584" s="444">
        <f t="shared" ca="1" si="207"/>
        <v>196214009665045</v>
      </c>
      <c r="M5584" s="460">
        <f t="shared" si="209"/>
        <v>0.05</v>
      </c>
      <c r="N5584" s="464">
        <f t="shared" si="210"/>
        <v>221005</v>
      </c>
    </row>
    <row r="5585" spans="7:14" ht="11.25" customHeight="1" x14ac:dyDescent="0.3">
      <c r="G5585" s="459"/>
      <c r="H5585" s="459">
        <v>5578</v>
      </c>
      <c r="I5585" s="444">
        <f t="shared" ca="1" si="208"/>
        <v>196214009665045</v>
      </c>
      <c r="J5585" s="444">
        <f t="array" ref="J5585">IFERROR(INDEX('Retirement Calculator'!J:J,MATCH('Isaac 401k'!N5585,'Retirement Calculator'!A:A,0),0),0)</f>
        <v>0</v>
      </c>
      <c r="K5585" s="444">
        <f t="shared" ca="1" si="206"/>
        <v>817558373604.35413</v>
      </c>
      <c r="L5585" s="444">
        <f t="shared" ca="1" si="207"/>
        <v>197031568038649.34</v>
      </c>
      <c r="M5585" s="460">
        <f t="shared" si="209"/>
        <v>0.05</v>
      </c>
      <c r="N5585" s="464">
        <f t="shared" si="210"/>
        <v>221033</v>
      </c>
    </row>
    <row r="5586" spans="7:14" ht="11.25" customHeight="1" x14ac:dyDescent="0.3">
      <c r="G5586" s="459"/>
      <c r="H5586" s="459">
        <v>5579</v>
      </c>
      <c r="I5586" s="444">
        <f t="shared" ca="1" si="208"/>
        <v>197031568038649.34</v>
      </c>
      <c r="J5586" s="444">
        <f t="array" ref="J5586">IFERROR(INDEX('Retirement Calculator'!J:J,MATCH('Isaac 401k'!N5586,'Retirement Calculator'!A:A,0),0),0)</f>
        <v>0</v>
      </c>
      <c r="K5586" s="444">
        <f t="shared" ca="1" si="206"/>
        <v>820964866827.70557</v>
      </c>
      <c r="L5586" s="444">
        <f t="shared" ca="1" si="207"/>
        <v>197852532905477.06</v>
      </c>
      <c r="M5586" s="460">
        <f t="shared" si="209"/>
        <v>0.05</v>
      </c>
      <c r="N5586" s="464">
        <f t="shared" si="210"/>
        <v>221064</v>
      </c>
    </row>
    <row r="5587" spans="7:14" ht="11.25" customHeight="1" x14ac:dyDescent="0.3">
      <c r="G5587" s="459"/>
      <c r="H5587" s="459">
        <v>5580</v>
      </c>
      <c r="I5587" s="444">
        <f t="shared" ca="1" si="208"/>
        <v>197852532905477.06</v>
      </c>
      <c r="J5587" s="444">
        <f t="array" ref="J5587">IFERROR(INDEX('Retirement Calculator'!J:J,MATCH('Isaac 401k'!N5587,'Retirement Calculator'!A:A,0),0),0)</f>
        <v>0</v>
      </c>
      <c r="K5587" s="444">
        <f t="shared" ca="1" si="206"/>
        <v>824385553772.82104</v>
      </c>
      <c r="L5587" s="444">
        <f t="shared" ca="1" si="207"/>
        <v>198676918459249.88</v>
      </c>
      <c r="M5587" s="460">
        <f t="shared" si="209"/>
        <v>0.05</v>
      </c>
      <c r="N5587" s="464">
        <f t="shared" si="210"/>
        <v>221094</v>
      </c>
    </row>
    <row r="5588" spans="7:14" ht="11.25" customHeight="1" x14ac:dyDescent="0.3">
      <c r="G5588" s="459"/>
      <c r="H5588" s="459">
        <v>5581</v>
      </c>
      <c r="I5588" s="444">
        <f t="shared" ca="1" si="208"/>
        <v>198676918459249.88</v>
      </c>
      <c r="J5588" s="444">
        <f t="array" ref="J5588">IFERROR(INDEX('Retirement Calculator'!J:J,MATCH('Isaac 401k'!N5588,'Retirement Calculator'!A:A,0),0),0)</f>
        <v>0</v>
      </c>
      <c r="K5588" s="444">
        <f t="shared" ca="1" si="206"/>
        <v>827820493580.20776</v>
      </c>
      <c r="L5588" s="444">
        <f t="shared" ca="1" si="207"/>
        <v>199504738952830.09</v>
      </c>
      <c r="M5588" s="460">
        <f t="shared" si="209"/>
        <v>0.05</v>
      </c>
      <c r="N5588" s="464">
        <f t="shared" si="210"/>
        <v>221125</v>
      </c>
    </row>
    <row r="5589" spans="7:14" ht="11.25" customHeight="1" x14ac:dyDescent="0.3">
      <c r="G5589" s="459"/>
      <c r="H5589" s="459">
        <v>5582</v>
      </c>
      <c r="I5589" s="444">
        <f t="shared" ca="1" si="208"/>
        <v>199504738952830.09</v>
      </c>
      <c r="J5589" s="444">
        <f t="array" ref="J5589">IFERROR(INDEX('Retirement Calculator'!J:J,MATCH('Isaac 401k'!N5589,'Retirement Calculator'!A:A,0),0),0)</f>
        <v>0</v>
      </c>
      <c r="K5589" s="444">
        <f t="shared" ca="1" si="206"/>
        <v>831269745636.79199</v>
      </c>
      <c r="L5589" s="444">
        <f t="shared" ca="1" si="207"/>
        <v>200336008698466.88</v>
      </c>
      <c r="M5589" s="460">
        <f t="shared" si="209"/>
        <v>0.05</v>
      </c>
      <c r="N5589" s="464">
        <f t="shared" si="210"/>
        <v>221155</v>
      </c>
    </row>
    <row r="5590" spans="7:14" ht="11.25" customHeight="1" x14ac:dyDescent="0.3">
      <c r="G5590" s="459"/>
      <c r="H5590" s="459">
        <v>5583</v>
      </c>
      <c r="I5590" s="444">
        <f t="shared" ca="1" si="208"/>
        <v>200336008698466.88</v>
      </c>
      <c r="J5590" s="444">
        <f t="array" ref="J5590">IFERROR(INDEX('Retirement Calculator'!J:J,MATCH('Isaac 401k'!N5590,'Retirement Calculator'!A:A,0),0),0)</f>
        <v>0</v>
      </c>
      <c r="K5590" s="444">
        <f t="shared" ca="1" si="206"/>
        <v>834733369576.94531</v>
      </c>
      <c r="L5590" s="444">
        <f t="shared" ca="1" si="207"/>
        <v>201170742068043.81</v>
      </c>
      <c r="M5590" s="460">
        <f t="shared" si="209"/>
        <v>0.05</v>
      </c>
      <c r="N5590" s="464">
        <f t="shared" si="210"/>
        <v>221186</v>
      </c>
    </row>
    <row r="5591" spans="7:14" ht="11.25" customHeight="1" x14ac:dyDescent="0.3">
      <c r="G5591" s="459"/>
      <c r="H5591" s="459">
        <v>5584</v>
      </c>
      <c r="I5591" s="444">
        <f t="shared" ca="1" si="208"/>
        <v>201170742068043.81</v>
      </c>
      <c r="J5591" s="444">
        <f t="array" ref="J5591">IFERROR(INDEX('Retirement Calculator'!J:J,MATCH('Isaac 401k'!N5591,'Retirement Calculator'!A:A,0),0),0)</f>
        <v>0</v>
      </c>
      <c r="K5591" s="444">
        <f t="shared" ca="1" si="206"/>
        <v>838211425283.51587</v>
      </c>
      <c r="L5591" s="444">
        <f t="shared" ca="1" si="207"/>
        <v>202008953493327.34</v>
      </c>
      <c r="M5591" s="460">
        <f t="shared" si="209"/>
        <v>0.05</v>
      </c>
      <c r="N5591" s="464">
        <f t="shared" si="210"/>
        <v>221217</v>
      </c>
    </row>
    <row r="5592" spans="7:14" ht="11.25" customHeight="1" x14ac:dyDescent="0.3">
      <c r="G5592" s="459"/>
      <c r="H5592" s="459">
        <v>5585</v>
      </c>
      <c r="I5592" s="444">
        <f t="shared" ca="1" si="208"/>
        <v>202008953493327.34</v>
      </c>
      <c r="J5592" s="444">
        <f t="array" ref="J5592">IFERROR(INDEX('Retirement Calculator'!J:J,MATCH('Isaac 401k'!N5592,'Retirement Calculator'!A:A,0),0),0)</f>
        <v>0</v>
      </c>
      <c r="K5592" s="444">
        <f t="shared" ca="1" si="206"/>
        <v>841703972888.86389</v>
      </c>
      <c r="L5592" s="444">
        <f t="shared" ca="1" si="207"/>
        <v>202850657466216.22</v>
      </c>
      <c r="M5592" s="460">
        <f t="shared" si="209"/>
        <v>0.05</v>
      </c>
      <c r="N5592" s="464">
        <f t="shared" si="210"/>
        <v>221247</v>
      </c>
    </row>
    <row r="5593" spans="7:14" ht="11.25" customHeight="1" x14ac:dyDescent="0.3">
      <c r="G5593" s="459"/>
      <c r="H5593" s="459">
        <v>5586</v>
      </c>
      <c r="I5593" s="444">
        <f t="shared" ca="1" si="208"/>
        <v>202850657466216.22</v>
      </c>
      <c r="J5593" s="444">
        <f t="array" ref="J5593">IFERROR(INDEX('Retirement Calculator'!J:J,MATCH('Isaac 401k'!N5593,'Retirement Calculator'!A:A,0),0),0)</f>
        <v>0</v>
      </c>
      <c r="K5593" s="444">
        <f t="shared" ca="1" si="206"/>
        <v>845211072775.90088</v>
      </c>
      <c r="L5593" s="444">
        <f t="shared" ca="1" si="207"/>
        <v>203695868538992.13</v>
      </c>
      <c r="M5593" s="460">
        <f t="shared" si="209"/>
        <v>0.05</v>
      </c>
      <c r="N5593" s="464">
        <f t="shared" si="210"/>
        <v>221278</v>
      </c>
    </row>
    <row r="5594" spans="7:14" ht="11.25" customHeight="1" x14ac:dyDescent="0.3">
      <c r="G5594" s="459"/>
      <c r="H5594" s="459">
        <v>5587</v>
      </c>
      <c r="I5594" s="444">
        <f t="shared" ca="1" si="208"/>
        <v>203695868538992.13</v>
      </c>
      <c r="J5594" s="444">
        <f t="array" ref="J5594">IFERROR(INDEX('Retirement Calculator'!J:J,MATCH('Isaac 401k'!N5594,'Retirement Calculator'!A:A,0),0),0)</f>
        <v>0</v>
      </c>
      <c r="K5594" s="444">
        <f t="shared" ca="1" si="206"/>
        <v>848732785579.13379</v>
      </c>
      <c r="L5594" s="444">
        <f t="shared" ca="1" si="207"/>
        <v>204544601324571.25</v>
      </c>
      <c r="M5594" s="460">
        <f t="shared" si="209"/>
        <v>0.05</v>
      </c>
      <c r="N5594" s="464">
        <f t="shared" si="210"/>
        <v>221308</v>
      </c>
    </row>
    <row r="5595" spans="7:14" ht="11.25" customHeight="1" x14ac:dyDescent="0.3">
      <c r="G5595" s="459"/>
      <c r="H5595" s="459">
        <v>5588</v>
      </c>
      <c r="I5595" s="444">
        <f t="shared" ca="1" si="208"/>
        <v>204544601324571.25</v>
      </c>
      <c r="J5595" s="444">
        <f t="array" ref="J5595">IFERROR(INDEX('Retirement Calculator'!J:J,MATCH('Isaac 401k'!N5595,'Retirement Calculator'!A:A,0),0),0)</f>
        <v>0</v>
      </c>
      <c r="K5595" s="444">
        <f t="shared" ca="1" si="206"/>
        <v>852269172185.7135</v>
      </c>
      <c r="L5595" s="444">
        <f t="shared" ca="1" si="207"/>
        <v>205396870496756.97</v>
      </c>
      <c r="M5595" s="460">
        <f t="shared" si="209"/>
        <v>0.05</v>
      </c>
      <c r="N5595" s="464">
        <f t="shared" si="210"/>
        <v>221339</v>
      </c>
    </row>
    <row r="5596" spans="7:14" ht="11.25" customHeight="1" x14ac:dyDescent="0.3">
      <c r="G5596" s="459"/>
      <c r="H5596" s="459">
        <v>5589</v>
      </c>
      <c r="I5596" s="444">
        <f t="shared" ca="1" si="208"/>
        <v>205396870496756.97</v>
      </c>
      <c r="J5596" s="444">
        <f t="array" ref="J5596">IFERROR(INDEX('Retirement Calculator'!J:J,MATCH('Isaac 401k'!N5596,'Retirement Calculator'!A:A,0),0),0)</f>
        <v>0</v>
      </c>
      <c r="K5596" s="444">
        <f t="shared" ca="1" si="206"/>
        <v>855820293736.4873</v>
      </c>
      <c r="L5596" s="444">
        <f t="shared" ca="1" si="207"/>
        <v>206252690790493.47</v>
      </c>
      <c r="M5596" s="460">
        <f t="shared" si="209"/>
        <v>0.05</v>
      </c>
      <c r="N5596" s="464">
        <f t="shared" si="210"/>
        <v>221370</v>
      </c>
    </row>
    <row r="5597" spans="7:14" ht="11.25" customHeight="1" x14ac:dyDescent="0.3">
      <c r="G5597" s="459"/>
      <c r="H5597" s="459">
        <v>5590</v>
      </c>
      <c r="I5597" s="444">
        <f t="shared" ca="1" si="208"/>
        <v>206252690790493.47</v>
      </c>
      <c r="J5597" s="444">
        <f t="array" ref="J5597">IFERROR(INDEX('Retirement Calculator'!J:J,MATCH('Isaac 401k'!N5597,'Retirement Calculator'!A:A,0),0),0)</f>
        <v>0</v>
      </c>
      <c r="K5597" s="444">
        <f t="shared" ca="1" si="206"/>
        <v>859386211627.05615</v>
      </c>
      <c r="L5597" s="444">
        <f t="shared" ca="1" si="207"/>
        <v>207112077002120.53</v>
      </c>
      <c r="M5597" s="460">
        <f t="shared" si="209"/>
        <v>0.05</v>
      </c>
      <c r="N5597" s="464">
        <f t="shared" si="210"/>
        <v>221398</v>
      </c>
    </row>
    <row r="5598" spans="7:14" ht="11.25" customHeight="1" x14ac:dyDescent="0.3">
      <c r="G5598" s="459"/>
      <c r="H5598" s="459">
        <v>5591</v>
      </c>
      <c r="I5598" s="444">
        <f t="shared" ca="1" si="208"/>
        <v>207112077002120.53</v>
      </c>
      <c r="J5598" s="444">
        <f t="array" ref="J5598">IFERROR(INDEX('Retirement Calculator'!J:J,MATCH('Isaac 401k'!N5598,'Retirement Calculator'!A:A,0),0),0)</f>
        <v>0</v>
      </c>
      <c r="K5598" s="444">
        <f t="shared" ca="1" si="206"/>
        <v>862966987508.83557</v>
      </c>
      <c r="L5598" s="444">
        <f t="shared" ca="1" si="207"/>
        <v>207975043989629.38</v>
      </c>
      <c r="M5598" s="460">
        <f t="shared" si="209"/>
        <v>0.05</v>
      </c>
      <c r="N5598" s="464">
        <f t="shared" si="210"/>
        <v>221429</v>
      </c>
    </row>
    <row r="5599" spans="7:14" ht="11.25" customHeight="1" x14ac:dyDescent="0.3">
      <c r="G5599" s="459"/>
      <c r="H5599" s="459">
        <v>5592</v>
      </c>
      <c r="I5599" s="444">
        <f t="shared" ca="1" si="208"/>
        <v>207975043989629.38</v>
      </c>
      <c r="J5599" s="444">
        <f t="array" ref="J5599">IFERROR(INDEX('Retirement Calculator'!J:J,MATCH('Isaac 401k'!N5599,'Retirement Calculator'!A:A,0),0),0)</f>
        <v>0</v>
      </c>
      <c r="K5599" s="444">
        <f t="shared" ca="1" si="206"/>
        <v>866562683290.12244</v>
      </c>
      <c r="L5599" s="444">
        <f t="shared" ca="1" si="207"/>
        <v>208841606672919.5</v>
      </c>
      <c r="M5599" s="460">
        <f t="shared" si="209"/>
        <v>0.05</v>
      </c>
      <c r="N5599" s="464">
        <f t="shared" si="210"/>
        <v>221459</v>
      </c>
    </row>
    <row r="5600" spans="7:14" ht="11.25" customHeight="1" x14ac:dyDescent="0.3">
      <c r="G5600" s="459"/>
      <c r="H5600" s="459">
        <v>5593</v>
      </c>
      <c r="I5600" s="444">
        <f t="shared" ca="1" si="208"/>
        <v>208841606672919.5</v>
      </c>
      <c r="J5600" s="444">
        <f t="array" ref="J5600">IFERROR(INDEX('Retirement Calculator'!J:J,MATCH('Isaac 401k'!N5600,'Retirement Calculator'!A:A,0),0),0)</f>
        <v>0</v>
      </c>
      <c r="K5600" s="444">
        <f t="shared" ca="1" si="206"/>
        <v>870173361137.16455</v>
      </c>
      <c r="L5600" s="444">
        <f t="shared" ca="1" si="207"/>
        <v>209711780034056.66</v>
      </c>
      <c r="M5600" s="460">
        <f t="shared" si="209"/>
        <v>0.05</v>
      </c>
      <c r="N5600" s="464">
        <f t="shared" si="210"/>
        <v>221490</v>
      </c>
    </row>
    <row r="5601" spans="7:14" ht="11.25" customHeight="1" x14ac:dyDescent="0.3">
      <c r="G5601" s="459"/>
      <c r="H5601" s="459">
        <v>5594</v>
      </c>
      <c r="I5601" s="444">
        <f t="shared" ca="1" si="208"/>
        <v>209711780034056.66</v>
      </c>
      <c r="J5601" s="444">
        <f t="array" ref="J5601">IFERROR(INDEX('Retirement Calculator'!J:J,MATCH('Isaac 401k'!N5601,'Retirement Calculator'!A:A,0),0),0)</f>
        <v>0</v>
      </c>
      <c r="K5601" s="444">
        <f t="shared" ca="1" si="206"/>
        <v>873799083475.23608</v>
      </c>
      <c r="L5601" s="444">
        <f t="shared" ca="1" si="207"/>
        <v>210585579117531.91</v>
      </c>
      <c r="M5601" s="460">
        <f t="shared" si="209"/>
        <v>0.05</v>
      </c>
      <c r="N5601" s="464">
        <f t="shared" si="210"/>
        <v>221520</v>
      </c>
    </row>
    <row r="5602" spans="7:14" ht="11.25" customHeight="1" x14ac:dyDescent="0.3">
      <c r="G5602" s="459"/>
      <c r="H5602" s="459">
        <v>5595</v>
      </c>
      <c r="I5602" s="444">
        <f t="shared" ca="1" si="208"/>
        <v>210585579117531.91</v>
      </c>
      <c r="J5602" s="444">
        <f t="array" ref="J5602">IFERROR(INDEX('Retirement Calculator'!J:J,MATCH('Isaac 401k'!N5602,'Retirement Calculator'!A:A,0),0),0)</f>
        <v>0</v>
      </c>
      <c r="K5602" s="444">
        <f t="shared" ca="1" si="206"/>
        <v>877439912989.71631</v>
      </c>
      <c r="L5602" s="444">
        <f t="shared" ca="1" si="207"/>
        <v>211463019030521.63</v>
      </c>
      <c r="M5602" s="460">
        <f t="shared" si="209"/>
        <v>0.05</v>
      </c>
      <c r="N5602" s="464">
        <f t="shared" si="210"/>
        <v>221551</v>
      </c>
    </row>
    <row r="5603" spans="7:14" ht="11.25" customHeight="1" x14ac:dyDescent="0.3">
      <c r="G5603" s="459"/>
      <c r="H5603" s="459">
        <v>5596</v>
      </c>
      <c r="I5603" s="444">
        <f t="shared" ca="1" si="208"/>
        <v>211463019030521.63</v>
      </c>
      <c r="J5603" s="444">
        <f t="array" ref="J5603">IFERROR(INDEX('Retirement Calculator'!J:J,MATCH('Isaac 401k'!N5603,'Retirement Calculator'!A:A,0),0),0)</f>
        <v>0</v>
      </c>
      <c r="K5603" s="444">
        <f t="shared" ca="1" si="206"/>
        <v>881095912627.17346</v>
      </c>
      <c r="L5603" s="444">
        <f t="shared" ca="1" si="207"/>
        <v>212344114943148.81</v>
      </c>
      <c r="M5603" s="460">
        <f t="shared" si="209"/>
        <v>0.05</v>
      </c>
      <c r="N5603" s="464">
        <f t="shared" si="210"/>
        <v>221582</v>
      </c>
    </row>
    <row r="5604" spans="7:14" ht="11.25" customHeight="1" x14ac:dyDescent="0.3">
      <c r="G5604" s="459"/>
      <c r="H5604" s="459">
        <v>5597</v>
      </c>
      <c r="I5604" s="444">
        <f t="shared" ca="1" si="208"/>
        <v>212344114943148.81</v>
      </c>
      <c r="J5604" s="444">
        <f t="array" ref="J5604">IFERROR(INDEX('Retirement Calculator'!J:J,MATCH('Isaac 401k'!N5604,'Retirement Calculator'!A:A,0),0),0)</f>
        <v>0</v>
      </c>
      <c r="K5604" s="444">
        <f t="shared" ca="1" si="206"/>
        <v>884767145596.45337</v>
      </c>
      <c r="L5604" s="444">
        <f t="shared" ca="1" si="207"/>
        <v>213228882088745.28</v>
      </c>
      <c r="M5604" s="460">
        <f t="shared" si="209"/>
        <v>0.05</v>
      </c>
      <c r="N5604" s="464">
        <f t="shared" si="210"/>
        <v>221612</v>
      </c>
    </row>
    <row r="5605" spans="7:14" ht="11.25" customHeight="1" x14ac:dyDescent="0.3">
      <c r="G5605" s="459"/>
      <c r="H5605" s="459">
        <v>5598</v>
      </c>
      <c r="I5605" s="444">
        <f t="shared" ca="1" si="208"/>
        <v>213228882088745.28</v>
      </c>
      <c r="J5605" s="444">
        <f t="array" ref="J5605">IFERROR(INDEX('Retirement Calculator'!J:J,MATCH('Isaac 401k'!N5605,'Retirement Calculator'!A:A,0),0),0)</f>
        <v>0</v>
      </c>
      <c r="K5605" s="444">
        <f t="shared" ca="1" si="206"/>
        <v>888453675369.77197</v>
      </c>
      <c r="L5605" s="444">
        <f t="shared" ca="1" si="207"/>
        <v>214117335764115.06</v>
      </c>
      <c r="M5605" s="460">
        <f t="shared" si="209"/>
        <v>0.05</v>
      </c>
      <c r="N5605" s="464">
        <f t="shared" si="210"/>
        <v>221643</v>
      </c>
    </row>
    <row r="5606" spans="7:14" ht="11.25" customHeight="1" x14ac:dyDescent="0.3">
      <c r="G5606" s="459"/>
      <c r="H5606" s="459">
        <v>5599</v>
      </c>
      <c r="I5606" s="444">
        <f t="shared" ca="1" si="208"/>
        <v>214117335764115.06</v>
      </c>
      <c r="J5606" s="444">
        <f t="array" ref="J5606">IFERROR(INDEX('Retirement Calculator'!J:J,MATCH('Isaac 401k'!N5606,'Retirement Calculator'!A:A,0),0),0)</f>
        <v>0</v>
      </c>
      <c r="K5606" s="444">
        <f t="shared" ca="1" si="206"/>
        <v>892155565683.81274</v>
      </c>
      <c r="L5606" s="444">
        <f t="shared" ca="1" si="207"/>
        <v>215009491329798.88</v>
      </c>
      <c r="M5606" s="460">
        <f t="shared" si="209"/>
        <v>0.05</v>
      </c>
      <c r="N5606" s="464">
        <f t="shared" si="210"/>
        <v>221673</v>
      </c>
    </row>
    <row r="5607" spans="7:14" ht="11.25" customHeight="1" x14ac:dyDescent="0.3">
      <c r="G5607" s="459"/>
      <c r="H5607" s="459">
        <v>5600</v>
      </c>
      <c r="I5607" s="444">
        <f t="shared" ca="1" si="208"/>
        <v>215009491329798.88</v>
      </c>
      <c r="J5607" s="444">
        <f t="array" ref="J5607">IFERROR(INDEX('Retirement Calculator'!J:J,MATCH('Isaac 401k'!N5607,'Retirement Calculator'!A:A,0),0),0)</f>
        <v>0</v>
      </c>
      <c r="K5607" s="444">
        <f t="shared" ca="1" si="206"/>
        <v>895872880540.82861</v>
      </c>
      <c r="L5607" s="444">
        <f t="shared" ca="1" si="207"/>
        <v>215905364210339.72</v>
      </c>
      <c r="M5607" s="460">
        <f t="shared" si="209"/>
        <v>0.05</v>
      </c>
      <c r="N5607" s="464">
        <f t="shared" si="210"/>
        <v>221704</v>
      </c>
    </row>
    <row r="5608" spans="7:14" ht="11.25" customHeight="1" x14ac:dyDescent="0.3">
      <c r="G5608" s="459"/>
      <c r="H5608" s="459">
        <v>5601</v>
      </c>
      <c r="I5608" s="444">
        <f t="shared" ca="1" si="208"/>
        <v>215905364210339.72</v>
      </c>
      <c r="J5608" s="444">
        <f t="array" ref="J5608">IFERROR(INDEX('Retirement Calculator'!J:J,MATCH('Isaac 401k'!N5608,'Retirement Calculator'!A:A,0),0),0)</f>
        <v>0</v>
      </c>
      <c r="K5608" s="444">
        <f t="shared" ca="1" si="206"/>
        <v>899605684209.74878</v>
      </c>
      <c r="L5608" s="444">
        <f t="shared" ca="1" si="207"/>
        <v>216804969894549.47</v>
      </c>
      <c r="M5608" s="460">
        <f t="shared" si="209"/>
        <v>0.05</v>
      </c>
      <c r="N5608" s="464">
        <f t="shared" si="210"/>
        <v>221735</v>
      </c>
    </row>
    <row r="5609" spans="7:14" ht="11.25" customHeight="1" x14ac:dyDescent="0.3">
      <c r="G5609" s="459"/>
      <c r="H5609" s="459">
        <v>5602</v>
      </c>
      <c r="I5609" s="444">
        <f t="shared" ca="1" si="208"/>
        <v>216804969894549.47</v>
      </c>
      <c r="J5609" s="444">
        <f t="array" ref="J5609">IFERROR(INDEX('Retirement Calculator'!J:J,MATCH('Isaac 401k'!N5609,'Retirement Calculator'!A:A,0),0),0)</f>
        <v>0</v>
      </c>
      <c r="K5609" s="444">
        <f t="shared" ca="1" si="206"/>
        <v>903354041227.28943</v>
      </c>
      <c r="L5609" s="444">
        <f t="shared" ca="1" si="207"/>
        <v>217708323935776.75</v>
      </c>
      <c r="M5609" s="460">
        <f t="shared" si="209"/>
        <v>0.05</v>
      </c>
      <c r="N5609" s="464">
        <f t="shared" si="210"/>
        <v>221763</v>
      </c>
    </row>
    <row r="5610" spans="7:14" ht="11.25" customHeight="1" x14ac:dyDescent="0.3">
      <c r="G5610" s="459"/>
      <c r="H5610" s="459">
        <v>5603</v>
      </c>
      <c r="I5610" s="444">
        <f t="shared" ca="1" si="208"/>
        <v>217708323935776.75</v>
      </c>
      <c r="J5610" s="444">
        <f t="array" ref="J5610">IFERROR(INDEX('Retirement Calculator'!J:J,MATCH('Isaac 401k'!N5610,'Retirement Calculator'!A:A,0),0),0)</f>
        <v>0</v>
      </c>
      <c r="K5610" s="444">
        <f t="shared" ca="1" si="206"/>
        <v>907118016399.06982</v>
      </c>
      <c r="L5610" s="444">
        <f t="shared" ca="1" si="207"/>
        <v>218615441952175.81</v>
      </c>
      <c r="M5610" s="460">
        <f t="shared" si="209"/>
        <v>0.05</v>
      </c>
      <c r="N5610" s="464">
        <f t="shared" si="210"/>
        <v>221794</v>
      </c>
    </row>
    <row r="5611" spans="7:14" ht="11.25" customHeight="1" x14ac:dyDescent="0.3">
      <c r="G5611" s="459"/>
      <c r="H5611" s="459">
        <v>5604</v>
      </c>
      <c r="I5611" s="444">
        <f t="shared" ca="1" si="208"/>
        <v>218615441952175.81</v>
      </c>
      <c r="J5611" s="444">
        <f t="array" ref="J5611">IFERROR(INDEX('Retirement Calculator'!J:J,MATCH('Isaac 401k'!N5611,'Retirement Calculator'!A:A,0),0),0)</f>
        <v>0</v>
      </c>
      <c r="K5611" s="444">
        <f t="shared" ca="1" si="206"/>
        <v>910897674800.73254</v>
      </c>
      <c r="L5611" s="444">
        <f t="shared" ca="1" si="207"/>
        <v>219526339626976.53</v>
      </c>
      <c r="M5611" s="460">
        <f t="shared" si="209"/>
        <v>0.05</v>
      </c>
      <c r="N5611" s="464">
        <f t="shared" si="210"/>
        <v>221824</v>
      </c>
    </row>
    <row r="5612" spans="7:14" ht="11.25" customHeight="1" x14ac:dyDescent="0.3">
      <c r="G5612" s="459"/>
      <c r="H5612" s="459">
        <v>5605</v>
      </c>
      <c r="I5612" s="444">
        <f t="shared" ca="1" si="208"/>
        <v>219526339626976.53</v>
      </c>
      <c r="J5612" s="444">
        <f t="array" ref="J5612">IFERROR(INDEX('Retirement Calculator'!J:J,MATCH('Isaac 401k'!N5612,'Retirement Calculator'!A:A,0),0),0)</f>
        <v>0</v>
      </c>
      <c r="K5612" s="444">
        <f t="shared" ca="1" si="206"/>
        <v>914693081779.06873</v>
      </c>
      <c r="L5612" s="444">
        <f t="shared" ca="1" si="207"/>
        <v>220441032708755.59</v>
      </c>
      <c r="M5612" s="460">
        <f t="shared" si="209"/>
        <v>0.05</v>
      </c>
      <c r="N5612" s="464">
        <f t="shared" si="210"/>
        <v>221855</v>
      </c>
    </row>
    <row r="5613" spans="7:14" ht="11.25" customHeight="1" x14ac:dyDescent="0.3">
      <c r="G5613" s="459"/>
      <c r="H5613" s="459">
        <v>5606</v>
      </c>
      <c r="I5613" s="444">
        <f t="shared" ca="1" si="208"/>
        <v>220441032708755.59</v>
      </c>
      <c r="J5613" s="444">
        <f t="array" ref="J5613">IFERROR(INDEX('Retirement Calculator'!J:J,MATCH('Isaac 401k'!N5613,'Retirement Calculator'!A:A,0),0),0)</f>
        <v>0</v>
      </c>
      <c r="K5613" s="444">
        <f t="shared" ca="1" si="206"/>
        <v>918504302953.14844</v>
      </c>
      <c r="L5613" s="444">
        <f t="shared" ca="1" si="207"/>
        <v>221359537011708.75</v>
      </c>
      <c r="M5613" s="460">
        <f t="shared" si="209"/>
        <v>0.05</v>
      </c>
      <c r="N5613" s="464">
        <f t="shared" si="210"/>
        <v>221885</v>
      </c>
    </row>
    <row r="5614" spans="7:14" ht="11.25" customHeight="1" x14ac:dyDescent="0.3">
      <c r="G5614" s="459"/>
      <c r="H5614" s="459">
        <v>5607</v>
      </c>
      <c r="I5614" s="444">
        <f t="shared" ca="1" si="208"/>
        <v>221359537011708.75</v>
      </c>
      <c r="J5614" s="444">
        <f t="array" ref="J5614">IFERROR(INDEX('Retirement Calculator'!J:J,MATCH('Isaac 401k'!N5614,'Retirement Calculator'!A:A,0),0),0)</f>
        <v>0</v>
      </c>
      <c r="K5614" s="444">
        <f t="shared" ca="1" si="206"/>
        <v>922331404215.453</v>
      </c>
      <c r="L5614" s="444">
        <f t="shared" ca="1" si="207"/>
        <v>222281868415924.19</v>
      </c>
      <c r="M5614" s="460">
        <f t="shared" si="209"/>
        <v>0.05</v>
      </c>
      <c r="N5614" s="464">
        <f t="shared" si="210"/>
        <v>221916</v>
      </c>
    </row>
    <row r="5615" spans="7:14" ht="11.25" customHeight="1" x14ac:dyDescent="0.3">
      <c r="G5615" s="459"/>
      <c r="H5615" s="459">
        <v>5608</v>
      </c>
      <c r="I5615" s="444">
        <f t="shared" ca="1" si="208"/>
        <v>222281868415924.19</v>
      </c>
      <c r="J5615" s="444">
        <f t="array" ref="J5615">IFERROR(INDEX('Retirement Calculator'!J:J,MATCH('Isaac 401k'!N5615,'Retirement Calculator'!A:A,0),0),0)</f>
        <v>0</v>
      </c>
      <c r="K5615" s="444">
        <f t="shared" ca="1" si="206"/>
        <v>926174451733.01733</v>
      </c>
      <c r="L5615" s="444">
        <f t="shared" ca="1" si="207"/>
        <v>223208042867657.22</v>
      </c>
      <c r="M5615" s="460">
        <f t="shared" si="209"/>
        <v>0.05</v>
      </c>
      <c r="N5615" s="464">
        <f t="shared" si="210"/>
        <v>221947</v>
      </c>
    </row>
    <row r="5616" spans="7:14" ht="11.25" customHeight="1" x14ac:dyDescent="0.3">
      <c r="G5616" s="459"/>
      <c r="H5616" s="459">
        <v>5609</v>
      </c>
      <c r="I5616" s="444">
        <f t="shared" ca="1" si="208"/>
        <v>223208042867657.22</v>
      </c>
      <c r="J5616" s="444">
        <f t="array" ref="J5616">IFERROR(INDEX('Retirement Calculator'!J:J,MATCH('Isaac 401k'!N5616,'Retirement Calculator'!A:A,0),0),0)</f>
        <v>0</v>
      </c>
      <c r="K5616" s="444">
        <f t="shared" ca="1" si="206"/>
        <v>930033511948.57166</v>
      </c>
      <c r="L5616" s="444">
        <f t="shared" ca="1" si="207"/>
        <v>224138076379605.78</v>
      </c>
      <c r="M5616" s="460">
        <f t="shared" si="209"/>
        <v>0.05</v>
      </c>
      <c r="N5616" s="464">
        <f t="shared" si="210"/>
        <v>221977</v>
      </c>
    </row>
    <row r="5617" spans="7:14" ht="11.25" customHeight="1" x14ac:dyDescent="0.3">
      <c r="G5617" s="459"/>
      <c r="H5617" s="459">
        <v>5610</v>
      </c>
      <c r="I5617" s="444">
        <f t="shared" ca="1" si="208"/>
        <v>224138076379605.78</v>
      </c>
      <c r="J5617" s="444">
        <f t="array" ref="J5617">IFERROR(INDEX('Retirement Calculator'!J:J,MATCH('Isaac 401k'!N5617,'Retirement Calculator'!A:A,0),0),0)</f>
        <v>0</v>
      </c>
      <c r="K5617" s="444">
        <f t="shared" ca="1" si="206"/>
        <v>933908651581.69092</v>
      </c>
      <c r="L5617" s="444">
        <f t="shared" ca="1" si="207"/>
        <v>225071985031187.47</v>
      </c>
      <c r="M5617" s="460">
        <f t="shared" si="209"/>
        <v>0.05</v>
      </c>
      <c r="N5617" s="464">
        <f t="shared" si="210"/>
        <v>222008</v>
      </c>
    </row>
    <row r="5618" spans="7:14" ht="11.25" customHeight="1" x14ac:dyDescent="0.3">
      <c r="G5618" s="459"/>
      <c r="H5618" s="459">
        <v>5611</v>
      </c>
      <c r="I5618" s="444">
        <f t="shared" ca="1" si="208"/>
        <v>225071985031187.47</v>
      </c>
      <c r="J5618" s="444">
        <f t="array" ref="J5618">IFERROR(INDEX('Retirement Calculator'!J:J,MATCH('Isaac 401k'!N5618,'Retirement Calculator'!A:A,0),0),0)</f>
        <v>0</v>
      </c>
      <c r="K5618" s="444">
        <f t="shared" ref="K5618:K5872" ca="1" si="211">IPMT(M5618/12,1,12,-I5618+J5618,,0)</f>
        <v>937799937629.94788</v>
      </c>
      <c r="L5618" s="444">
        <f t="shared" ref="L5618:L5872" ca="1" si="212">I5618-J5618+K5618</f>
        <v>226009784968817.41</v>
      </c>
      <c r="M5618" s="460">
        <f t="shared" si="209"/>
        <v>0.05</v>
      </c>
      <c r="N5618" s="464">
        <f t="shared" si="210"/>
        <v>222038</v>
      </c>
    </row>
    <row r="5619" spans="7:14" ht="11.25" customHeight="1" x14ac:dyDescent="0.3">
      <c r="G5619" s="459"/>
      <c r="H5619" s="459">
        <v>5612</v>
      </c>
      <c r="I5619" s="444">
        <f t="shared" ref="I5619:I5873" ca="1" si="213">L5618</f>
        <v>226009784968817.41</v>
      </c>
      <c r="J5619" s="444">
        <f t="array" ref="J5619">IFERROR(INDEX('Retirement Calculator'!J:J,MATCH('Isaac 401k'!N5619,'Retirement Calculator'!A:A,0),0),0)</f>
        <v>0</v>
      </c>
      <c r="K5619" s="444">
        <f t="shared" ca="1" si="211"/>
        <v>941707437370.07251</v>
      </c>
      <c r="L5619" s="444">
        <f t="shared" ca="1" si="212"/>
        <v>226951492406187.47</v>
      </c>
      <c r="M5619" s="460">
        <f t="shared" ref="M5619:M5873" si="214">M5618</f>
        <v>0.05</v>
      </c>
      <c r="N5619" s="464">
        <f t="shared" ref="N5619:N5873" si="215">EDATE(N5618,1)</f>
        <v>222069</v>
      </c>
    </row>
    <row r="5620" spans="7:14" ht="11.25" customHeight="1" x14ac:dyDescent="0.3">
      <c r="G5620" s="459"/>
      <c r="H5620" s="459">
        <v>5613</v>
      </c>
      <c r="I5620" s="444">
        <f t="shared" ca="1" si="213"/>
        <v>226951492406187.47</v>
      </c>
      <c r="J5620" s="444">
        <f t="array" ref="J5620">IFERROR(INDEX('Retirement Calculator'!J:J,MATCH('Isaac 401k'!N5620,'Retirement Calculator'!A:A,0),0),0)</f>
        <v>0</v>
      </c>
      <c r="K5620" s="444">
        <f t="shared" ca="1" si="211"/>
        <v>945631218359.11438</v>
      </c>
      <c r="L5620" s="444">
        <f t="shared" ca="1" si="212"/>
        <v>227897123624546.59</v>
      </c>
      <c r="M5620" s="460">
        <f t="shared" si="214"/>
        <v>0.05</v>
      </c>
      <c r="N5620" s="464">
        <f t="shared" si="215"/>
        <v>222100</v>
      </c>
    </row>
    <row r="5621" spans="7:14" ht="11.25" customHeight="1" x14ac:dyDescent="0.3">
      <c r="G5621" s="459"/>
      <c r="H5621" s="459">
        <v>5614</v>
      </c>
      <c r="I5621" s="444">
        <f t="shared" ca="1" si="213"/>
        <v>227897123624546.59</v>
      </c>
      <c r="J5621" s="444">
        <f t="array" ref="J5621">IFERROR(INDEX('Retirement Calculator'!J:J,MATCH('Isaac 401k'!N5621,'Retirement Calculator'!A:A,0),0),0)</f>
        <v>0</v>
      </c>
      <c r="K5621" s="444">
        <f t="shared" ca="1" si="211"/>
        <v>949571348435.61072</v>
      </c>
      <c r="L5621" s="444">
        <f t="shared" ca="1" si="212"/>
        <v>228846694972982.22</v>
      </c>
      <c r="M5621" s="460">
        <f t="shared" si="214"/>
        <v>0.05</v>
      </c>
      <c r="N5621" s="464">
        <f t="shared" si="215"/>
        <v>222129</v>
      </c>
    </row>
    <row r="5622" spans="7:14" ht="11.25" customHeight="1" x14ac:dyDescent="0.3">
      <c r="G5622" s="459"/>
      <c r="H5622" s="459">
        <v>5615</v>
      </c>
      <c r="I5622" s="444">
        <f t="shared" ca="1" si="213"/>
        <v>228846694972982.22</v>
      </c>
      <c r="J5622" s="444">
        <f t="array" ref="J5622">IFERROR(INDEX('Retirement Calculator'!J:J,MATCH('Isaac 401k'!N5622,'Retirement Calculator'!A:A,0),0),0)</f>
        <v>0</v>
      </c>
      <c r="K5622" s="444">
        <f t="shared" ca="1" si="211"/>
        <v>953527895720.75928</v>
      </c>
      <c r="L5622" s="444">
        <f t="shared" ca="1" si="212"/>
        <v>229800222868702.97</v>
      </c>
      <c r="M5622" s="460">
        <f t="shared" si="214"/>
        <v>0.05</v>
      </c>
      <c r="N5622" s="464">
        <f t="shared" si="215"/>
        <v>222160</v>
      </c>
    </row>
    <row r="5623" spans="7:14" ht="11.25" customHeight="1" x14ac:dyDescent="0.3">
      <c r="G5623" s="459"/>
      <c r="H5623" s="459">
        <v>5616</v>
      </c>
      <c r="I5623" s="444">
        <f t="shared" ca="1" si="213"/>
        <v>229800222868702.97</v>
      </c>
      <c r="J5623" s="444">
        <f t="array" ref="J5623">IFERROR(INDEX('Retirement Calculator'!J:J,MATCH('Isaac 401k'!N5623,'Retirement Calculator'!A:A,0),0),0)</f>
        <v>0</v>
      </c>
      <c r="K5623" s="444">
        <f t="shared" ca="1" si="211"/>
        <v>957500928619.59558</v>
      </c>
      <c r="L5623" s="444">
        <f t="shared" ca="1" si="212"/>
        <v>230757723797322.56</v>
      </c>
      <c r="M5623" s="460">
        <f t="shared" si="214"/>
        <v>0.05</v>
      </c>
      <c r="N5623" s="464">
        <f t="shared" si="215"/>
        <v>222190</v>
      </c>
    </row>
    <row r="5624" spans="7:14" ht="11.25" customHeight="1" x14ac:dyDescent="0.3">
      <c r="G5624" s="459"/>
      <c r="H5624" s="459">
        <v>5617</v>
      </c>
      <c r="I5624" s="444">
        <f t="shared" ca="1" si="213"/>
        <v>230757723797322.56</v>
      </c>
      <c r="J5624" s="444">
        <f t="array" ref="J5624">IFERROR(INDEX('Retirement Calculator'!J:J,MATCH('Isaac 401k'!N5624,'Retirement Calculator'!A:A,0),0),0)</f>
        <v>0</v>
      </c>
      <c r="K5624" s="444">
        <f t="shared" ca="1" si="211"/>
        <v>961490515822.17749</v>
      </c>
      <c r="L5624" s="444">
        <f t="shared" ca="1" si="212"/>
        <v>231719214313144.75</v>
      </c>
      <c r="M5624" s="460">
        <f t="shared" si="214"/>
        <v>0.05</v>
      </c>
      <c r="N5624" s="464">
        <f t="shared" si="215"/>
        <v>222221</v>
      </c>
    </row>
    <row r="5625" spans="7:14" ht="11.25" customHeight="1" x14ac:dyDescent="0.3">
      <c r="G5625" s="459"/>
      <c r="H5625" s="459">
        <v>5618</v>
      </c>
      <c r="I5625" s="444">
        <f t="shared" ca="1" si="213"/>
        <v>231719214313144.75</v>
      </c>
      <c r="J5625" s="444">
        <f t="array" ref="J5625">IFERROR(INDEX('Retirement Calculator'!J:J,MATCH('Isaac 401k'!N5625,'Retirement Calculator'!A:A,0),0),0)</f>
        <v>0</v>
      </c>
      <c r="K5625" s="444">
        <f t="shared" ca="1" si="211"/>
        <v>965496726304.76978</v>
      </c>
      <c r="L5625" s="444">
        <f t="shared" ca="1" si="212"/>
        <v>232684711039449.53</v>
      </c>
      <c r="M5625" s="460">
        <f t="shared" si="214"/>
        <v>0.05</v>
      </c>
      <c r="N5625" s="464">
        <f t="shared" si="215"/>
        <v>222251</v>
      </c>
    </row>
    <row r="5626" spans="7:14" ht="11.25" customHeight="1" x14ac:dyDescent="0.3">
      <c r="G5626" s="459"/>
      <c r="H5626" s="459">
        <v>5619</v>
      </c>
      <c r="I5626" s="444">
        <f t="shared" ca="1" si="213"/>
        <v>232684711039449.53</v>
      </c>
      <c r="J5626" s="444">
        <f t="array" ref="J5626">IFERROR(INDEX('Retirement Calculator'!J:J,MATCH('Isaac 401k'!N5626,'Retirement Calculator'!A:A,0),0),0)</f>
        <v>0</v>
      </c>
      <c r="K5626" s="444">
        <f t="shared" ca="1" si="211"/>
        <v>969519629331.03967</v>
      </c>
      <c r="L5626" s="444">
        <f t="shared" ca="1" si="212"/>
        <v>233654230668780.56</v>
      </c>
      <c r="M5626" s="460">
        <f t="shared" si="214"/>
        <v>0.05</v>
      </c>
      <c r="N5626" s="464">
        <f t="shared" si="215"/>
        <v>222282</v>
      </c>
    </row>
    <row r="5627" spans="7:14" ht="11.25" customHeight="1" x14ac:dyDescent="0.3">
      <c r="G5627" s="459"/>
      <c r="H5627" s="459">
        <v>5620</v>
      </c>
      <c r="I5627" s="444">
        <f t="shared" ca="1" si="213"/>
        <v>233654230668780.56</v>
      </c>
      <c r="J5627" s="444">
        <f t="array" ref="J5627">IFERROR(INDEX('Retirement Calculator'!J:J,MATCH('Isaac 401k'!N5627,'Retirement Calculator'!A:A,0),0),0)</f>
        <v>0</v>
      </c>
      <c r="K5627" s="444">
        <f t="shared" ca="1" si="211"/>
        <v>973559294453.25232</v>
      </c>
      <c r="L5627" s="444">
        <f t="shared" ca="1" si="212"/>
        <v>234627789963233.81</v>
      </c>
      <c r="M5627" s="460">
        <f t="shared" si="214"/>
        <v>0.05</v>
      </c>
      <c r="N5627" s="464">
        <f t="shared" si="215"/>
        <v>222313</v>
      </c>
    </row>
    <row r="5628" spans="7:14" ht="11.25" customHeight="1" x14ac:dyDescent="0.3">
      <c r="G5628" s="459"/>
      <c r="H5628" s="459">
        <v>5621</v>
      </c>
      <c r="I5628" s="444">
        <f t="shared" ca="1" si="213"/>
        <v>234627789963233.81</v>
      </c>
      <c r="J5628" s="444">
        <f t="array" ref="J5628">IFERROR(INDEX('Retirement Calculator'!J:J,MATCH('Isaac 401k'!N5628,'Retirement Calculator'!A:A,0),0),0)</f>
        <v>0</v>
      </c>
      <c r="K5628" s="444">
        <f t="shared" ca="1" si="211"/>
        <v>977615791513.47424</v>
      </c>
      <c r="L5628" s="444">
        <f t="shared" ca="1" si="212"/>
        <v>235605405754747.28</v>
      </c>
      <c r="M5628" s="460">
        <f t="shared" si="214"/>
        <v>0.05</v>
      </c>
      <c r="N5628" s="464">
        <f t="shared" si="215"/>
        <v>222343</v>
      </c>
    </row>
    <row r="5629" spans="7:14" ht="11.25" customHeight="1" x14ac:dyDescent="0.3">
      <c r="G5629" s="459"/>
      <c r="H5629" s="459">
        <v>5622</v>
      </c>
      <c r="I5629" s="444">
        <f t="shared" ca="1" si="213"/>
        <v>235605405754747.28</v>
      </c>
      <c r="J5629" s="444">
        <f t="array" ref="J5629">IFERROR(INDEX('Retirement Calculator'!J:J,MATCH('Isaac 401k'!N5629,'Retirement Calculator'!A:A,0),0),0)</f>
        <v>0</v>
      </c>
      <c r="K5629" s="444">
        <f t="shared" ca="1" si="211"/>
        <v>981689190644.78027</v>
      </c>
      <c r="L5629" s="444">
        <f t="shared" ca="1" si="212"/>
        <v>236587094945392.06</v>
      </c>
      <c r="M5629" s="460">
        <f t="shared" si="214"/>
        <v>0.05</v>
      </c>
      <c r="N5629" s="464">
        <f t="shared" si="215"/>
        <v>222374</v>
      </c>
    </row>
    <row r="5630" spans="7:14" ht="11.25" customHeight="1" x14ac:dyDescent="0.3">
      <c r="G5630" s="459"/>
      <c r="H5630" s="459">
        <v>5623</v>
      </c>
      <c r="I5630" s="444">
        <f t="shared" ca="1" si="213"/>
        <v>236587094945392.06</v>
      </c>
      <c r="J5630" s="444">
        <f t="array" ref="J5630">IFERROR(INDEX('Retirement Calculator'!J:J,MATCH('Isaac 401k'!N5630,'Retirement Calculator'!A:A,0),0),0)</f>
        <v>0</v>
      </c>
      <c r="K5630" s="444">
        <f t="shared" ca="1" si="211"/>
        <v>985779562272.46692</v>
      </c>
      <c r="L5630" s="444">
        <f t="shared" ca="1" si="212"/>
        <v>237572874507664.53</v>
      </c>
      <c r="M5630" s="460">
        <f t="shared" si="214"/>
        <v>0.05</v>
      </c>
      <c r="N5630" s="464">
        <f t="shared" si="215"/>
        <v>222404</v>
      </c>
    </row>
    <row r="5631" spans="7:14" ht="11.25" customHeight="1" x14ac:dyDescent="0.3">
      <c r="G5631" s="459"/>
      <c r="H5631" s="459">
        <v>5624</v>
      </c>
      <c r="I5631" s="444">
        <f t="shared" ca="1" si="213"/>
        <v>237572874507664.53</v>
      </c>
      <c r="J5631" s="444">
        <f t="array" ref="J5631">IFERROR(INDEX('Retirement Calculator'!J:J,MATCH('Isaac 401k'!N5631,'Retirement Calculator'!A:A,0),0),0)</f>
        <v>0</v>
      </c>
      <c r="K5631" s="444">
        <f t="shared" ca="1" si="211"/>
        <v>989886977115.26892</v>
      </c>
      <c r="L5631" s="444">
        <f t="shared" ca="1" si="212"/>
        <v>238562761484779.81</v>
      </c>
      <c r="M5631" s="460">
        <f t="shared" si="214"/>
        <v>0.05</v>
      </c>
      <c r="N5631" s="464">
        <f t="shared" si="215"/>
        <v>222435</v>
      </c>
    </row>
    <row r="5632" spans="7:14" ht="11.25" customHeight="1" x14ac:dyDescent="0.3">
      <c r="G5632" s="459"/>
      <c r="H5632" s="459">
        <v>5625</v>
      </c>
      <c r="I5632" s="444">
        <f t="shared" ca="1" si="213"/>
        <v>238562761484779.81</v>
      </c>
      <c r="J5632" s="444">
        <f t="array" ref="J5632">IFERROR(INDEX('Retirement Calculator'!J:J,MATCH('Isaac 401k'!N5632,'Retirement Calculator'!A:A,0),0),0)</f>
        <v>0</v>
      </c>
      <c r="K5632" s="444">
        <f t="shared" ca="1" si="211"/>
        <v>994011506186.58264</v>
      </c>
      <c r="L5632" s="444">
        <f t="shared" ca="1" si="212"/>
        <v>239556772990966.41</v>
      </c>
      <c r="M5632" s="460">
        <f t="shared" si="214"/>
        <v>0.05</v>
      </c>
      <c r="N5632" s="464">
        <f t="shared" si="215"/>
        <v>222466</v>
      </c>
    </row>
    <row r="5633" spans="7:14" ht="11.25" customHeight="1" x14ac:dyDescent="0.3">
      <c r="G5633" s="459"/>
      <c r="H5633" s="459">
        <v>5626</v>
      </c>
      <c r="I5633" s="444">
        <f t="shared" ca="1" si="213"/>
        <v>239556772990966.41</v>
      </c>
      <c r="J5633" s="444">
        <f t="array" ref="J5633">IFERROR(INDEX('Retirement Calculator'!J:J,MATCH('Isaac 401k'!N5633,'Retirement Calculator'!A:A,0),0),0)</f>
        <v>0</v>
      </c>
      <c r="K5633" s="444">
        <f t="shared" ca="1" si="211"/>
        <v>998153220795.69348</v>
      </c>
      <c r="L5633" s="444">
        <f t="shared" ca="1" si="212"/>
        <v>240554926211762.09</v>
      </c>
      <c r="M5633" s="460">
        <f t="shared" si="214"/>
        <v>0.05</v>
      </c>
      <c r="N5633" s="464">
        <f t="shared" si="215"/>
        <v>222494</v>
      </c>
    </row>
    <row r="5634" spans="7:14" ht="11.25" customHeight="1" x14ac:dyDescent="0.3">
      <c r="G5634" s="459"/>
      <c r="H5634" s="459">
        <v>5627</v>
      </c>
      <c r="I5634" s="444">
        <f t="shared" ca="1" si="213"/>
        <v>240554926211762.09</v>
      </c>
      <c r="J5634" s="444">
        <f t="array" ref="J5634">IFERROR(INDEX('Retirement Calculator'!J:J,MATCH('Isaac 401k'!N5634,'Retirement Calculator'!A:A,0),0),0)</f>
        <v>0</v>
      </c>
      <c r="K5634" s="444">
        <f t="shared" ca="1" si="211"/>
        <v>1002312192549.0088</v>
      </c>
      <c r="L5634" s="444">
        <f t="shared" ca="1" si="212"/>
        <v>241557238404311.09</v>
      </c>
      <c r="M5634" s="460">
        <f t="shared" si="214"/>
        <v>0.05</v>
      </c>
      <c r="N5634" s="464">
        <f t="shared" si="215"/>
        <v>222525</v>
      </c>
    </row>
    <row r="5635" spans="7:14" ht="11.25" customHeight="1" x14ac:dyDescent="0.3">
      <c r="G5635" s="459"/>
      <c r="H5635" s="459">
        <v>5628</v>
      </c>
      <c r="I5635" s="444">
        <f t="shared" ca="1" si="213"/>
        <v>241557238404311.09</v>
      </c>
      <c r="J5635" s="444">
        <f t="array" ref="J5635">IFERROR(INDEX('Retirement Calculator'!J:J,MATCH('Isaac 401k'!N5635,'Retirement Calculator'!A:A,0),0),0)</f>
        <v>0</v>
      </c>
      <c r="K5635" s="444">
        <f t="shared" ca="1" si="211"/>
        <v>1006488493351.2963</v>
      </c>
      <c r="L5635" s="444">
        <f t="shared" ca="1" si="212"/>
        <v>242563726897662.38</v>
      </c>
      <c r="M5635" s="460">
        <f t="shared" si="214"/>
        <v>0.05</v>
      </c>
      <c r="N5635" s="464">
        <f t="shared" si="215"/>
        <v>222555</v>
      </c>
    </row>
    <row r="5636" spans="7:14" ht="11.25" customHeight="1" x14ac:dyDescent="0.3">
      <c r="G5636" s="459"/>
      <c r="H5636" s="459">
        <v>5629</v>
      </c>
      <c r="I5636" s="444">
        <f t="shared" ca="1" si="213"/>
        <v>242563726897662.38</v>
      </c>
      <c r="J5636" s="444">
        <f t="array" ref="J5636">IFERROR(INDEX('Retirement Calculator'!J:J,MATCH('Isaac 401k'!N5636,'Retirement Calculator'!A:A,0),0),0)</f>
        <v>0</v>
      </c>
      <c r="K5636" s="444">
        <f t="shared" ca="1" si="211"/>
        <v>1010682195406.9265</v>
      </c>
      <c r="L5636" s="444">
        <f t="shared" ca="1" si="212"/>
        <v>243574409093069.31</v>
      </c>
      <c r="M5636" s="460">
        <f t="shared" si="214"/>
        <v>0.05</v>
      </c>
      <c r="N5636" s="464">
        <f t="shared" si="215"/>
        <v>222586</v>
      </c>
    </row>
    <row r="5637" spans="7:14" ht="11.25" customHeight="1" x14ac:dyDescent="0.3">
      <c r="G5637" s="459"/>
      <c r="H5637" s="459">
        <v>5630</v>
      </c>
      <c r="I5637" s="444">
        <f t="shared" ca="1" si="213"/>
        <v>243574409093069.31</v>
      </c>
      <c r="J5637" s="444">
        <f t="array" ref="J5637">IFERROR(INDEX('Retirement Calculator'!J:J,MATCH('Isaac 401k'!N5637,'Retirement Calculator'!A:A,0),0),0)</f>
        <v>0</v>
      </c>
      <c r="K5637" s="444">
        <f t="shared" ca="1" si="211"/>
        <v>1014893371221.1222</v>
      </c>
      <c r="L5637" s="444">
        <f t="shared" ca="1" si="212"/>
        <v>244589302464290.44</v>
      </c>
      <c r="M5637" s="460">
        <f t="shared" si="214"/>
        <v>0.05</v>
      </c>
      <c r="N5637" s="464">
        <f t="shared" si="215"/>
        <v>222616</v>
      </c>
    </row>
    <row r="5638" spans="7:14" ht="11.25" customHeight="1" x14ac:dyDescent="0.3">
      <c r="G5638" s="459"/>
      <c r="H5638" s="459">
        <v>5631</v>
      </c>
      <c r="I5638" s="444">
        <f t="shared" ca="1" si="213"/>
        <v>244589302464290.44</v>
      </c>
      <c r="J5638" s="444">
        <f t="array" ref="J5638">IFERROR(INDEX('Retirement Calculator'!J:J,MATCH('Isaac 401k'!N5638,'Retirement Calculator'!A:A,0),0),0)</f>
        <v>0</v>
      </c>
      <c r="K5638" s="444">
        <f t="shared" ca="1" si="211"/>
        <v>1019122093601.2101</v>
      </c>
      <c r="L5638" s="444">
        <f t="shared" ca="1" si="212"/>
        <v>245608424557891.66</v>
      </c>
      <c r="M5638" s="460">
        <f t="shared" si="214"/>
        <v>0.05</v>
      </c>
      <c r="N5638" s="464">
        <f t="shared" si="215"/>
        <v>222647</v>
      </c>
    </row>
    <row r="5639" spans="7:14" ht="11.25" customHeight="1" x14ac:dyDescent="0.3">
      <c r="G5639" s="459"/>
      <c r="H5639" s="459">
        <v>5632</v>
      </c>
      <c r="I5639" s="444">
        <f t="shared" ca="1" si="213"/>
        <v>245608424557891.66</v>
      </c>
      <c r="J5639" s="444">
        <f t="array" ref="J5639">IFERROR(INDEX('Retirement Calculator'!J:J,MATCH('Isaac 401k'!N5639,'Retirement Calculator'!A:A,0),0),0)</f>
        <v>0</v>
      </c>
      <c r="K5639" s="444">
        <f t="shared" ca="1" si="211"/>
        <v>1023368435657.8818</v>
      </c>
      <c r="L5639" s="444">
        <f t="shared" ca="1" si="212"/>
        <v>246631792993549.53</v>
      </c>
      <c r="M5639" s="460">
        <f t="shared" si="214"/>
        <v>0.05</v>
      </c>
      <c r="N5639" s="464">
        <f t="shared" si="215"/>
        <v>222678</v>
      </c>
    </row>
    <row r="5640" spans="7:14" ht="11.25" customHeight="1" x14ac:dyDescent="0.3">
      <c r="G5640" s="459"/>
      <c r="H5640" s="459">
        <v>5633</v>
      </c>
      <c r="I5640" s="444">
        <f t="shared" ca="1" si="213"/>
        <v>246631792993549.53</v>
      </c>
      <c r="J5640" s="444">
        <f t="array" ref="J5640">IFERROR(INDEX('Retirement Calculator'!J:J,MATCH('Isaac 401k'!N5640,'Retirement Calculator'!A:A,0),0),0)</f>
        <v>0</v>
      </c>
      <c r="K5640" s="444">
        <f t="shared" ca="1" si="211"/>
        <v>1027632470806.4564</v>
      </c>
      <c r="L5640" s="444">
        <f t="shared" ca="1" si="212"/>
        <v>247659425464356</v>
      </c>
      <c r="M5640" s="460">
        <f t="shared" si="214"/>
        <v>0.05</v>
      </c>
      <c r="N5640" s="464">
        <f t="shared" si="215"/>
        <v>222708</v>
      </c>
    </row>
    <row r="5641" spans="7:14" ht="11.25" customHeight="1" x14ac:dyDescent="0.3">
      <c r="G5641" s="459"/>
      <c r="H5641" s="459">
        <v>5634</v>
      </c>
      <c r="I5641" s="444">
        <f t="shared" ca="1" si="213"/>
        <v>247659425464356</v>
      </c>
      <c r="J5641" s="444">
        <f t="array" ref="J5641">IFERROR(INDEX('Retirement Calculator'!J:J,MATCH('Isaac 401k'!N5641,'Retirement Calculator'!A:A,0),0),0)</f>
        <v>0</v>
      </c>
      <c r="K5641" s="444">
        <f t="shared" ca="1" si="211"/>
        <v>1031914272768.15</v>
      </c>
      <c r="L5641" s="444">
        <f t="shared" ca="1" si="212"/>
        <v>248691339737124.16</v>
      </c>
      <c r="M5641" s="460">
        <f t="shared" si="214"/>
        <v>0.05</v>
      </c>
      <c r="N5641" s="464">
        <f t="shared" si="215"/>
        <v>222739</v>
      </c>
    </row>
    <row r="5642" spans="7:14" ht="11.25" customHeight="1" x14ac:dyDescent="0.3">
      <c r="G5642" s="459"/>
      <c r="H5642" s="459">
        <v>5635</v>
      </c>
      <c r="I5642" s="444">
        <f t="shared" ca="1" si="213"/>
        <v>248691339737124.16</v>
      </c>
      <c r="J5642" s="444">
        <f t="array" ref="J5642">IFERROR(INDEX('Retirement Calculator'!J:J,MATCH('Isaac 401k'!N5642,'Retirement Calculator'!A:A,0),0),0)</f>
        <v>0</v>
      </c>
      <c r="K5642" s="444">
        <f t="shared" ca="1" si="211"/>
        <v>1036213915571.3507</v>
      </c>
      <c r="L5642" s="444">
        <f t="shared" ca="1" si="212"/>
        <v>249727553652695.5</v>
      </c>
      <c r="M5642" s="460">
        <f t="shared" si="214"/>
        <v>0.05</v>
      </c>
      <c r="N5642" s="464">
        <f t="shared" si="215"/>
        <v>222769</v>
      </c>
    </row>
    <row r="5643" spans="7:14" ht="11.25" customHeight="1" x14ac:dyDescent="0.3">
      <c r="G5643" s="459"/>
      <c r="H5643" s="459">
        <v>5636</v>
      </c>
      <c r="I5643" s="444">
        <f t="shared" ca="1" si="213"/>
        <v>249727553652695.5</v>
      </c>
      <c r="J5643" s="444">
        <f t="array" ref="J5643">IFERROR(INDEX('Retirement Calculator'!J:J,MATCH('Isaac 401k'!N5643,'Retirement Calculator'!A:A,0),0),0)</f>
        <v>0</v>
      </c>
      <c r="K5643" s="444">
        <f t="shared" ca="1" si="211"/>
        <v>1040531473552.8979</v>
      </c>
      <c r="L5643" s="444">
        <f t="shared" ca="1" si="212"/>
        <v>250768085126248.41</v>
      </c>
      <c r="M5643" s="460">
        <f t="shared" si="214"/>
        <v>0.05</v>
      </c>
      <c r="N5643" s="464">
        <f t="shared" si="215"/>
        <v>222800</v>
      </c>
    </row>
    <row r="5644" spans="7:14" ht="11.25" customHeight="1" x14ac:dyDescent="0.3">
      <c r="G5644" s="459"/>
      <c r="H5644" s="459">
        <v>5637</v>
      </c>
      <c r="I5644" s="444">
        <f t="shared" ca="1" si="213"/>
        <v>250768085126248.41</v>
      </c>
      <c r="J5644" s="444">
        <f t="array" ref="J5644">IFERROR(INDEX('Retirement Calculator'!J:J,MATCH('Isaac 401k'!N5644,'Retirement Calculator'!A:A,0),0),0)</f>
        <v>0</v>
      </c>
      <c r="K5644" s="444">
        <f t="shared" ca="1" si="211"/>
        <v>1044867021359.3682</v>
      </c>
      <c r="L5644" s="444">
        <f t="shared" ca="1" si="212"/>
        <v>251812952147607.78</v>
      </c>
      <c r="M5644" s="460">
        <f t="shared" si="214"/>
        <v>0.05</v>
      </c>
      <c r="N5644" s="464">
        <f t="shared" si="215"/>
        <v>222831</v>
      </c>
    </row>
    <row r="5645" spans="7:14" ht="11.25" customHeight="1" x14ac:dyDescent="0.3">
      <c r="G5645" s="459"/>
      <c r="H5645" s="459">
        <v>5638</v>
      </c>
      <c r="I5645" s="444">
        <f t="shared" ca="1" si="213"/>
        <v>251812952147607.78</v>
      </c>
      <c r="J5645" s="444">
        <f t="array" ref="J5645">IFERROR(INDEX('Retirement Calculator'!J:J,MATCH('Isaac 401k'!N5645,'Retirement Calculator'!A:A,0),0),0)</f>
        <v>0</v>
      </c>
      <c r="K5645" s="444">
        <f t="shared" ca="1" si="211"/>
        <v>1049220633948.3657</v>
      </c>
      <c r="L5645" s="444">
        <f t="shared" ca="1" si="212"/>
        <v>252862172781556.16</v>
      </c>
      <c r="M5645" s="460">
        <f t="shared" si="214"/>
        <v>0.05</v>
      </c>
      <c r="N5645" s="464">
        <f t="shared" si="215"/>
        <v>222859</v>
      </c>
    </row>
    <row r="5646" spans="7:14" ht="11.25" customHeight="1" x14ac:dyDescent="0.3">
      <c r="G5646" s="459"/>
      <c r="H5646" s="459">
        <v>5639</v>
      </c>
      <c r="I5646" s="444">
        <f t="shared" ca="1" si="213"/>
        <v>252862172781556.16</v>
      </c>
      <c r="J5646" s="444">
        <f t="array" ref="J5646">IFERROR(INDEX('Retirement Calculator'!J:J,MATCH('Isaac 401k'!N5646,'Retirement Calculator'!A:A,0),0),0)</f>
        <v>0</v>
      </c>
      <c r="K5646" s="444">
        <f t="shared" ca="1" si="211"/>
        <v>1053592386589.8171</v>
      </c>
      <c r="L5646" s="444">
        <f t="shared" ca="1" si="212"/>
        <v>253915765168145.97</v>
      </c>
      <c r="M5646" s="460">
        <f t="shared" si="214"/>
        <v>0.05</v>
      </c>
      <c r="N5646" s="464">
        <f t="shared" si="215"/>
        <v>222890</v>
      </c>
    </row>
    <row r="5647" spans="7:14" ht="11.25" customHeight="1" x14ac:dyDescent="0.3">
      <c r="G5647" s="459"/>
      <c r="H5647" s="459">
        <v>5640</v>
      </c>
      <c r="I5647" s="444">
        <f t="shared" ca="1" si="213"/>
        <v>253915765168145.97</v>
      </c>
      <c r="J5647" s="444">
        <f t="array" ref="J5647">IFERROR(INDEX('Retirement Calculator'!J:J,MATCH('Isaac 401k'!N5647,'Retirement Calculator'!A:A,0),0),0)</f>
        <v>0</v>
      </c>
      <c r="K5647" s="444">
        <f t="shared" ca="1" si="211"/>
        <v>1057982354867.275</v>
      </c>
      <c r="L5647" s="444">
        <f t="shared" ca="1" si="212"/>
        <v>254973747523013.25</v>
      </c>
      <c r="M5647" s="460">
        <f t="shared" si="214"/>
        <v>0.05</v>
      </c>
      <c r="N5647" s="464">
        <f t="shared" si="215"/>
        <v>222920</v>
      </c>
    </row>
    <row r="5648" spans="7:14" ht="11.25" customHeight="1" x14ac:dyDescent="0.3">
      <c r="G5648" s="459"/>
      <c r="H5648" s="459">
        <v>5641</v>
      </c>
      <c r="I5648" s="444">
        <f t="shared" ca="1" si="213"/>
        <v>254973747523013.25</v>
      </c>
      <c r="J5648" s="444">
        <f t="array" ref="J5648">IFERROR(INDEX('Retirement Calculator'!J:J,MATCH('Isaac 401k'!N5648,'Retirement Calculator'!A:A,0),0),0)</f>
        <v>0</v>
      </c>
      <c r="K5648" s="444">
        <f t="shared" ca="1" si="211"/>
        <v>1062390614679.2217</v>
      </c>
      <c r="L5648" s="444">
        <f t="shared" ca="1" si="212"/>
        <v>256036138137692.47</v>
      </c>
      <c r="M5648" s="460">
        <f t="shared" si="214"/>
        <v>0.05</v>
      </c>
      <c r="N5648" s="464">
        <f t="shared" si="215"/>
        <v>222951</v>
      </c>
    </row>
    <row r="5649" spans="7:14" ht="11.25" customHeight="1" x14ac:dyDescent="0.3">
      <c r="G5649" s="459"/>
      <c r="H5649" s="459">
        <v>5642</v>
      </c>
      <c r="I5649" s="444">
        <f t="shared" ca="1" si="213"/>
        <v>256036138137692.47</v>
      </c>
      <c r="J5649" s="444">
        <f t="array" ref="J5649">IFERROR(INDEX('Retirement Calculator'!J:J,MATCH('Isaac 401k'!N5649,'Retirement Calculator'!A:A,0),0),0)</f>
        <v>0</v>
      </c>
      <c r="K5649" s="444">
        <f t="shared" ca="1" si="211"/>
        <v>1066817242240.3853</v>
      </c>
      <c r="L5649" s="444">
        <f t="shared" ca="1" si="212"/>
        <v>257102955379932.84</v>
      </c>
      <c r="M5649" s="460">
        <f t="shared" si="214"/>
        <v>0.05</v>
      </c>
      <c r="N5649" s="464">
        <f t="shared" si="215"/>
        <v>222981</v>
      </c>
    </row>
    <row r="5650" spans="7:14" ht="11.25" customHeight="1" x14ac:dyDescent="0.3">
      <c r="G5650" s="459"/>
      <c r="H5650" s="459">
        <v>5643</v>
      </c>
      <c r="I5650" s="444">
        <f t="shared" ca="1" si="213"/>
        <v>257102955379932.84</v>
      </c>
      <c r="J5650" s="444">
        <f t="array" ref="J5650">IFERROR(INDEX('Retirement Calculator'!J:J,MATCH('Isaac 401k'!N5650,'Retirement Calculator'!A:A,0),0),0)</f>
        <v>0</v>
      </c>
      <c r="K5650" s="444">
        <f t="shared" ca="1" si="211"/>
        <v>1071262314083.0535</v>
      </c>
      <c r="L5650" s="444">
        <f t="shared" ca="1" si="212"/>
        <v>258174217694015.91</v>
      </c>
      <c r="M5650" s="460">
        <f t="shared" si="214"/>
        <v>0.05</v>
      </c>
      <c r="N5650" s="464">
        <f t="shared" si="215"/>
        <v>223012</v>
      </c>
    </row>
    <row r="5651" spans="7:14" ht="11.25" customHeight="1" x14ac:dyDescent="0.3">
      <c r="G5651" s="459"/>
      <c r="H5651" s="459">
        <v>5644</v>
      </c>
      <c r="I5651" s="444">
        <f t="shared" ca="1" si="213"/>
        <v>258174217694015.91</v>
      </c>
      <c r="J5651" s="444">
        <f t="array" ref="J5651">IFERROR(INDEX('Retirement Calculator'!J:J,MATCH('Isaac 401k'!N5651,'Retirement Calculator'!A:A,0),0),0)</f>
        <v>0</v>
      </c>
      <c r="K5651" s="444">
        <f t="shared" ca="1" si="211"/>
        <v>1075725907058.3998</v>
      </c>
      <c r="L5651" s="444">
        <f t="shared" ca="1" si="212"/>
        <v>259249943601074.31</v>
      </c>
      <c r="M5651" s="460">
        <f t="shared" si="214"/>
        <v>0.05</v>
      </c>
      <c r="N5651" s="464">
        <f t="shared" si="215"/>
        <v>223043</v>
      </c>
    </row>
    <row r="5652" spans="7:14" ht="11.25" customHeight="1" x14ac:dyDescent="0.3">
      <c r="G5652" s="459"/>
      <c r="H5652" s="459">
        <v>5645</v>
      </c>
      <c r="I5652" s="444">
        <f t="shared" ca="1" si="213"/>
        <v>259249943601074.31</v>
      </c>
      <c r="J5652" s="444">
        <f t="array" ref="J5652">IFERROR(INDEX('Retirement Calculator'!J:J,MATCH('Isaac 401k'!N5652,'Retirement Calculator'!A:A,0),0),0)</f>
        <v>0</v>
      </c>
      <c r="K5652" s="444">
        <f t="shared" ca="1" si="211"/>
        <v>1080208098337.8096</v>
      </c>
      <c r="L5652" s="444">
        <f t="shared" ca="1" si="212"/>
        <v>260330151699412.13</v>
      </c>
      <c r="M5652" s="460">
        <f t="shared" si="214"/>
        <v>0.05</v>
      </c>
      <c r="N5652" s="464">
        <f t="shared" si="215"/>
        <v>223073</v>
      </c>
    </row>
    <row r="5653" spans="7:14" ht="11.25" customHeight="1" x14ac:dyDescent="0.3">
      <c r="G5653" s="459"/>
      <c r="H5653" s="459">
        <v>5646</v>
      </c>
      <c r="I5653" s="444">
        <f t="shared" ca="1" si="213"/>
        <v>260330151699412.13</v>
      </c>
      <c r="J5653" s="444">
        <f t="array" ref="J5653">IFERROR(INDEX('Retirement Calculator'!J:J,MATCH('Isaac 401k'!N5653,'Retirement Calculator'!A:A,0),0),0)</f>
        <v>0</v>
      </c>
      <c r="K5653" s="444">
        <f t="shared" ca="1" si="211"/>
        <v>1084708965414.2172</v>
      </c>
      <c r="L5653" s="444">
        <f t="shared" ca="1" si="212"/>
        <v>261414860664826.34</v>
      </c>
      <c r="M5653" s="460">
        <f t="shared" si="214"/>
        <v>0.05</v>
      </c>
      <c r="N5653" s="464">
        <f t="shared" si="215"/>
        <v>223104</v>
      </c>
    </row>
    <row r="5654" spans="7:14" ht="11.25" customHeight="1" x14ac:dyDescent="0.3">
      <c r="G5654" s="459"/>
      <c r="H5654" s="459">
        <v>5647</v>
      </c>
      <c r="I5654" s="444">
        <f t="shared" ca="1" si="213"/>
        <v>261414860664826.34</v>
      </c>
      <c r="J5654" s="444">
        <f t="array" ref="J5654">IFERROR(INDEX('Retirement Calculator'!J:J,MATCH('Isaac 401k'!N5654,'Retirement Calculator'!A:A,0),0),0)</f>
        <v>0</v>
      </c>
      <c r="K5654" s="444">
        <f t="shared" ca="1" si="211"/>
        <v>1089228586103.443</v>
      </c>
      <c r="L5654" s="444">
        <f t="shared" ca="1" si="212"/>
        <v>262504089250929.78</v>
      </c>
      <c r="M5654" s="460">
        <f t="shared" si="214"/>
        <v>0.05</v>
      </c>
      <c r="N5654" s="464">
        <f t="shared" si="215"/>
        <v>223134</v>
      </c>
    </row>
    <row r="5655" spans="7:14" ht="11.25" customHeight="1" x14ac:dyDescent="0.3">
      <c r="G5655" s="459"/>
      <c r="H5655" s="459">
        <v>5648</v>
      </c>
      <c r="I5655" s="444">
        <f t="shared" ca="1" si="213"/>
        <v>262504089250929.78</v>
      </c>
      <c r="J5655" s="444">
        <f t="array" ref="J5655">IFERROR(INDEX('Retirement Calculator'!J:J,MATCH('Isaac 401k'!N5655,'Retirement Calculator'!A:A,0),0),0)</f>
        <v>0</v>
      </c>
      <c r="K5655" s="444">
        <f t="shared" ca="1" si="211"/>
        <v>1093767038545.5408</v>
      </c>
      <c r="L5655" s="444">
        <f t="shared" ca="1" si="212"/>
        <v>263597856289475.31</v>
      </c>
      <c r="M5655" s="460">
        <f t="shared" si="214"/>
        <v>0.05</v>
      </c>
      <c r="N5655" s="464">
        <f t="shared" si="215"/>
        <v>223165</v>
      </c>
    </row>
    <row r="5656" spans="7:14" ht="11.25" customHeight="1" x14ac:dyDescent="0.3">
      <c r="G5656" s="459"/>
      <c r="H5656" s="459">
        <v>5649</v>
      </c>
      <c r="I5656" s="444">
        <f t="shared" ca="1" si="213"/>
        <v>263597856289475.31</v>
      </c>
      <c r="J5656" s="444">
        <f t="array" ref="J5656">IFERROR(INDEX('Retirement Calculator'!J:J,MATCH('Isaac 401k'!N5656,'Retirement Calculator'!A:A,0),0),0)</f>
        <v>0</v>
      </c>
      <c r="K5656" s="444">
        <f t="shared" ca="1" si="211"/>
        <v>1098324401206.1471</v>
      </c>
      <c r="L5656" s="444">
        <f t="shared" ca="1" si="212"/>
        <v>264696180690681.47</v>
      </c>
      <c r="M5656" s="460">
        <f t="shared" si="214"/>
        <v>0.05</v>
      </c>
      <c r="N5656" s="464">
        <f t="shared" si="215"/>
        <v>223196</v>
      </c>
    </row>
    <row r="5657" spans="7:14" ht="11.25" customHeight="1" x14ac:dyDescent="0.3">
      <c r="G5657" s="459"/>
      <c r="H5657" s="459">
        <v>5650</v>
      </c>
      <c r="I5657" s="444">
        <f t="shared" ca="1" si="213"/>
        <v>264696180690681.47</v>
      </c>
      <c r="J5657" s="444">
        <f t="array" ref="J5657">IFERROR(INDEX('Retirement Calculator'!J:J,MATCH('Isaac 401k'!N5657,'Retirement Calculator'!A:A,0),0),0)</f>
        <v>0</v>
      </c>
      <c r="K5657" s="444">
        <f t="shared" ca="1" si="211"/>
        <v>1102900752877.8394</v>
      </c>
      <c r="L5657" s="444">
        <f t="shared" ca="1" si="212"/>
        <v>265799081443559.31</v>
      </c>
      <c r="M5657" s="460">
        <f t="shared" si="214"/>
        <v>0.05</v>
      </c>
      <c r="N5657" s="464">
        <f t="shared" si="215"/>
        <v>223224</v>
      </c>
    </row>
    <row r="5658" spans="7:14" ht="11.25" customHeight="1" x14ac:dyDescent="0.3">
      <c r="G5658" s="459"/>
      <c r="H5658" s="459">
        <v>5651</v>
      </c>
      <c r="I5658" s="444">
        <f t="shared" ca="1" si="213"/>
        <v>265799081443559.31</v>
      </c>
      <c r="J5658" s="444">
        <f t="array" ref="J5658">IFERROR(INDEX('Retirement Calculator'!J:J,MATCH('Isaac 401k'!N5658,'Retirement Calculator'!A:A,0),0),0)</f>
        <v>0</v>
      </c>
      <c r="K5658" s="444">
        <f t="shared" ca="1" si="211"/>
        <v>1107496172681.4971</v>
      </c>
      <c r="L5658" s="444">
        <f t="shared" ca="1" si="212"/>
        <v>266906577616240.81</v>
      </c>
      <c r="M5658" s="460">
        <f t="shared" si="214"/>
        <v>0.05</v>
      </c>
      <c r="N5658" s="464">
        <f t="shared" si="215"/>
        <v>223255</v>
      </c>
    </row>
    <row r="5659" spans="7:14" ht="11.25" customHeight="1" x14ac:dyDescent="0.3">
      <c r="G5659" s="459"/>
      <c r="H5659" s="459">
        <v>5652</v>
      </c>
      <c r="I5659" s="444">
        <f t="shared" ca="1" si="213"/>
        <v>266906577616240.81</v>
      </c>
      <c r="J5659" s="444">
        <f t="array" ref="J5659">IFERROR(INDEX('Retirement Calculator'!J:J,MATCH('Isaac 401k'!N5659,'Retirement Calculator'!A:A,0),0),0)</f>
        <v>0</v>
      </c>
      <c r="K5659" s="444">
        <f t="shared" ca="1" si="211"/>
        <v>1112110740067.6699</v>
      </c>
      <c r="L5659" s="444">
        <f t="shared" ca="1" si="212"/>
        <v>268018688356308.47</v>
      </c>
      <c r="M5659" s="460">
        <f t="shared" si="214"/>
        <v>0.05</v>
      </c>
      <c r="N5659" s="464">
        <f t="shared" si="215"/>
        <v>223285</v>
      </c>
    </row>
    <row r="5660" spans="7:14" ht="11.25" customHeight="1" x14ac:dyDescent="0.3">
      <c r="G5660" s="459"/>
      <c r="H5660" s="459">
        <v>5653</v>
      </c>
      <c r="I5660" s="444">
        <f t="shared" ca="1" si="213"/>
        <v>268018688356308.47</v>
      </c>
      <c r="J5660" s="444">
        <f t="array" ref="J5660">IFERROR(INDEX('Retirement Calculator'!J:J,MATCH('Isaac 401k'!N5660,'Retirement Calculator'!A:A,0),0),0)</f>
        <v>0</v>
      </c>
      <c r="K5660" s="444">
        <f t="shared" ca="1" si="211"/>
        <v>1116744534817.9519</v>
      </c>
      <c r="L5660" s="444">
        <f t="shared" ca="1" si="212"/>
        <v>269135432891126.41</v>
      </c>
      <c r="M5660" s="460">
        <f t="shared" si="214"/>
        <v>0.05</v>
      </c>
      <c r="N5660" s="464">
        <f t="shared" si="215"/>
        <v>223316</v>
      </c>
    </row>
    <row r="5661" spans="7:14" ht="11.25" customHeight="1" x14ac:dyDescent="0.3">
      <c r="G5661" s="459"/>
      <c r="H5661" s="459">
        <v>5654</v>
      </c>
      <c r="I5661" s="444">
        <f t="shared" ca="1" si="213"/>
        <v>269135432891126.41</v>
      </c>
      <c r="J5661" s="444">
        <f t="array" ref="J5661">IFERROR(INDEX('Retirement Calculator'!J:J,MATCH('Isaac 401k'!N5661,'Retirement Calculator'!A:A,0),0),0)</f>
        <v>0</v>
      </c>
      <c r="K5661" s="444">
        <f t="shared" ca="1" si="211"/>
        <v>1121397637046.3601</v>
      </c>
      <c r="L5661" s="444">
        <f t="shared" ca="1" si="212"/>
        <v>270256830528172.78</v>
      </c>
      <c r="M5661" s="460">
        <f t="shared" si="214"/>
        <v>0.05</v>
      </c>
      <c r="N5661" s="464">
        <f t="shared" si="215"/>
        <v>223346</v>
      </c>
    </row>
    <row r="5662" spans="7:14" ht="11.25" customHeight="1" x14ac:dyDescent="0.3">
      <c r="G5662" s="459"/>
      <c r="H5662" s="459">
        <v>5655</v>
      </c>
      <c r="I5662" s="444">
        <f t="shared" ca="1" si="213"/>
        <v>270256830528172.78</v>
      </c>
      <c r="J5662" s="444">
        <f t="array" ref="J5662">IFERROR(INDEX('Retirement Calculator'!J:J,MATCH('Isaac 401k'!N5662,'Retirement Calculator'!A:A,0),0),0)</f>
        <v>0</v>
      </c>
      <c r="K5662" s="444">
        <f t="shared" ca="1" si="211"/>
        <v>1126070127200.72</v>
      </c>
      <c r="L5662" s="444">
        <f t="shared" ca="1" si="212"/>
        <v>271382900655373.5</v>
      </c>
      <c r="M5662" s="460">
        <f t="shared" si="214"/>
        <v>0.05</v>
      </c>
      <c r="N5662" s="464">
        <f t="shared" si="215"/>
        <v>223377</v>
      </c>
    </row>
    <row r="5663" spans="7:14" ht="11.25" customHeight="1" x14ac:dyDescent="0.3">
      <c r="G5663" s="459"/>
      <c r="H5663" s="459">
        <v>5656</v>
      </c>
      <c r="I5663" s="444">
        <f t="shared" ca="1" si="213"/>
        <v>271382900655373.5</v>
      </c>
      <c r="J5663" s="444">
        <f t="array" ref="J5663">IFERROR(INDEX('Retirement Calculator'!J:J,MATCH('Isaac 401k'!N5663,'Retirement Calculator'!A:A,0),0),0)</f>
        <v>0</v>
      </c>
      <c r="K5663" s="444">
        <f t="shared" ca="1" si="211"/>
        <v>1130762086064.0562</v>
      </c>
      <c r="L5663" s="444">
        <f t="shared" ca="1" si="212"/>
        <v>272513662741437.56</v>
      </c>
      <c r="M5663" s="460">
        <f t="shared" si="214"/>
        <v>0.05</v>
      </c>
      <c r="N5663" s="464">
        <f t="shared" si="215"/>
        <v>223408</v>
      </c>
    </row>
    <row r="5664" spans="7:14" ht="11.25" customHeight="1" x14ac:dyDescent="0.3">
      <c r="G5664" s="459"/>
      <c r="H5664" s="459">
        <v>5657</v>
      </c>
      <c r="I5664" s="444">
        <f t="shared" ca="1" si="213"/>
        <v>272513662741437.56</v>
      </c>
      <c r="J5664" s="444">
        <f t="array" ref="J5664">IFERROR(INDEX('Retirement Calculator'!J:J,MATCH('Isaac 401k'!N5664,'Retirement Calculator'!A:A,0),0),0)</f>
        <v>0</v>
      </c>
      <c r="K5664" s="444">
        <f t="shared" ca="1" si="211"/>
        <v>1135473594755.9897</v>
      </c>
      <c r="L5664" s="444">
        <f t="shared" ca="1" si="212"/>
        <v>273649136336193.56</v>
      </c>
      <c r="M5664" s="460">
        <f t="shared" si="214"/>
        <v>0.05</v>
      </c>
      <c r="N5664" s="464">
        <f t="shared" si="215"/>
        <v>223438</v>
      </c>
    </row>
    <row r="5665" spans="7:14" ht="11.25" customHeight="1" x14ac:dyDescent="0.3">
      <c r="G5665" s="459"/>
      <c r="H5665" s="459">
        <v>5658</v>
      </c>
      <c r="I5665" s="444">
        <f t="shared" ca="1" si="213"/>
        <v>273649136336193.56</v>
      </c>
      <c r="J5665" s="444">
        <f t="array" ref="J5665">IFERROR(INDEX('Retirement Calculator'!J:J,MATCH('Isaac 401k'!N5665,'Retirement Calculator'!A:A,0),0),0)</f>
        <v>0</v>
      </c>
      <c r="K5665" s="444">
        <f t="shared" ca="1" si="211"/>
        <v>1140204734734.1399</v>
      </c>
      <c r="L5665" s="444">
        <f t="shared" ca="1" si="212"/>
        <v>274789341070927.69</v>
      </c>
      <c r="M5665" s="460">
        <f t="shared" si="214"/>
        <v>0.05</v>
      </c>
      <c r="N5665" s="464">
        <f t="shared" si="215"/>
        <v>223469</v>
      </c>
    </row>
    <row r="5666" spans="7:14" ht="11.25" customHeight="1" x14ac:dyDescent="0.3">
      <c r="G5666" s="459"/>
      <c r="H5666" s="459">
        <v>5659</v>
      </c>
      <c r="I5666" s="444">
        <f t="shared" ca="1" si="213"/>
        <v>274789341070927.69</v>
      </c>
      <c r="J5666" s="444">
        <f t="array" ref="J5666">IFERROR(INDEX('Retirement Calculator'!J:J,MATCH('Isaac 401k'!N5666,'Retirement Calculator'!A:A,0),0),0)</f>
        <v>0</v>
      </c>
      <c r="K5666" s="444">
        <f t="shared" ca="1" si="211"/>
        <v>1144955587795.532</v>
      </c>
      <c r="L5666" s="444">
        <f t="shared" ca="1" si="212"/>
        <v>275934296658723.22</v>
      </c>
      <c r="M5666" s="460">
        <f t="shared" si="214"/>
        <v>0.05</v>
      </c>
      <c r="N5666" s="464">
        <f t="shared" si="215"/>
        <v>223499</v>
      </c>
    </row>
    <row r="5667" spans="7:14" ht="11.25" customHeight="1" x14ac:dyDescent="0.3">
      <c r="G5667" s="459"/>
      <c r="H5667" s="459">
        <v>5660</v>
      </c>
      <c r="I5667" s="444">
        <f t="shared" ca="1" si="213"/>
        <v>275934296658723.22</v>
      </c>
      <c r="J5667" s="444">
        <f t="array" ref="J5667">IFERROR(INDEX('Retirement Calculator'!J:J,MATCH('Isaac 401k'!N5667,'Retirement Calculator'!A:A,0),0),0)</f>
        <v>0</v>
      </c>
      <c r="K5667" s="444">
        <f t="shared" ca="1" si="211"/>
        <v>1149726236078.0134</v>
      </c>
      <c r="L5667" s="444">
        <f t="shared" ca="1" si="212"/>
        <v>277084022894801.22</v>
      </c>
      <c r="M5667" s="460">
        <f t="shared" si="214"/>
        <v>0.05</v>
      </c>
      <c r="N5667" s="464">
        <f t="shared" si="215"/>
        <v>223530</v>
      </c>
    </row>
    <row r="5668" spans="7:14" ht="11.25" customHeight="1" x14ac:dyDescent="0.3">
      <c r="G5668" s="459"/>
      <c r="H5668" s="459">
        <v>5661</v>
      </c>
      <c r="I5668" s="444">
        <f t="shared" ca="1" si="213"/>
        <v>277084022894801.22</v>
      </c>
      <c r="J5668" s="444">
        <f t="array" ref="J5668">IFERROR(INDEX('Retirement Calculator'!J:J,MATCH('Isaac 401k'!N5668,'Retirement Calculator'!A:A,0),0),0)</f>
        <v>0</v>
      </c>
      <c r="K5668" s="444">
        <f t="shared" ca="1" si="211"/>
        <v>1154516762061.6716</v>
      </c>
      <c r="L5668" s="444">
        <f t="shared" ca="1" si="212"/>
        <v>278238539656862.88</v>
      </c>
      <c r="M5668" s="460">
        <f t="shared" si="214"/>
        <v>0.05</v>
      </c>
      <c r="N5668" s="464">
        <f t="shared" si="215"/>
        <v>223561</v>
      </c>
    </row>
    <row r="5669" spans="7:14" ht="11.25" customHeight="1" x14ac:dyDescent="0.3">
      <c r="G5669" s="459"/>
      <c r="H5669" s="459">
        <v>5662</v>
      </c>
      <c r="I5669" s="444">
        <f t="shared" ca="1" si="213"/>
        <v>278238539656862.88</v>
      </c>
      <c r="J5669" s="444">
        <f t="array" ref="J5669">IFERROR(INDEX('Retirement Calculator'!J:J,MATCH('Isaac 401k'!N5669,'Retirement Calculator'!A:A,0),0),0)</f>
        <v>0</v>
      </c>
      <c r="K5669" s="444">
        <f t="shared" ca="1" si="211"/>
        <v>1159327248570.2622</v>
      </c>
      <c r="L5669" s="444">
        <f t="shared" ca="1" si="212"/>
        <v>279397866905433.13</v>
      </c>
      <c r="M5669" s="460">
        <f t="shared" si="214"/>
        <v>0.05</v>
      </c>
      <c r="N5669" s="464">
        <f t="shared" si="215"/>
        <v>223590</v>
      </c>
    </row>
    <row r="5670" spans="7:14" ht="11.25" customHeight="1" x14ac:dyDescent="0.3">
      <c r="G5670" s="459"/>
      <c r="H5670" s="459">
        <v>5663</v>
      </c>
      <c r="I5670" s="444">
        <f t="shared" ca="1" si="213"/>
        <v>279397866905433.13</v>
      </c>
      <c r="J5670" s="444">
        <f t="array" ref="J5670">IFERROR(INDEX('Retirement Calculator'!J:J,MATCH('Isaac 401k'!N5670,'Retirement Calculator'!A:A,0),0),0)</f>
        <v>0</v>
      </c>
      <c r="K5670" s="444">
        <f t="shared" ca="1" si="211"/>
        <v>1164157778772.6379</v>
      </c>
      <c r="L5670" s="444">
        <f t="shared" ca="1" si="212"/>
        <v>280562024684205.75</v>
      </c>
      <c r="M5670" s="460">
        <f t="shared" si="214"/>
        <v>0.05</v>
      </c>
      <c r="N5670" s="464">
        <f t="shared" si="215"/>
        <v>223621</v>
      </c>
    </row>
    <row r="5671" spans="7:14" ht="11.25" customHeight="1" x14ac:dyDescent="0.3">
      <c r="G5671" s="459"/>
      <c r="H5671" s="459">
        <v>5664</v>
      </c>
      <c r="I5671" s="444">
        <f t="shared" ca="1" si="213"/>
        <v>280562024684205.75</v>
      </c>
      <c r="J5671" s="444">
        <f t="array" ref="J5671">IFERROR(INDEX('Retirement Calculator'!J:J,MATCH('Isaac 401k'!N5671,'Retirement Calculator'!A:A,0),0),0)</f>
        <v>0</v>
      </c>
      <c r="K5671" s="444">
        <f t="shared" ca="1" si="211"/>
        <v>1169008436184.1907</v>
      </c>
      <c r="L5671" s="444">
        <f t="shared" ca="1" si="212"/>
        <v>281731033120389.94</v>
      </c>
      <c r="M5671" s="460">
        <f t="shared" si="214"/>
        <v>0.05</v>
      </c>
      <c r="N5671" s="464">
        <f t="shared" si="215"/>
        <v>223651</v>
      </c>
    </row>
    <row r="5672" spans="7:14" ht="11.25" customHeight="1" x14ac:dyDescent="0.3">
      <c r="G5672" s="459"/>
      <c r="H5672" s="459">
        <v>5665</v>
      </c>
      <c r="I5672" s="444">
        <f t="shared" ca="1" si="213"/>
        <v>281731033120389.94</v>
      </c>
      <c r="J5672" s="444">
        <f t="array" ref="J5672">IFERROR(INDEX('Retirement Calculator'!J:J,MATCH('Isaac 401k'!N5672,'Retirement Calculator'!A:A,0),0),0)</f>
        <v>0</v>
      </c>
      <c r="K5672" s="444">
        <f t="shared" ca="1" si="211"/>
        <v>1173879304668.2915</v>
      </c>
      <c r="L5672" s="444">
        <f t="shared" ca="1" si="212"/>
        <v>282904912425058.25</v>
      </c>
      <c r="M5672" s="460">
        <f t="shared" si="214"/>
        <v>0.05</v>
      </c>
      <c r="N5672" s="464">
        <f t="shared" si="215"/>
        <v>223682</v>
      </c>
    </row>
    <row r="5673" spans="7:14" ht="11.25" customHeight="1" x14ac:dyDescent="0.3">
      <c r="G5673" s="459"/>
      <c r="H5673" s="459">
        <v>5666</v>
      </c>
      <c r="I5673" s="444">
        <f t="shared" ca="1" si="213"/>
        <v>282904912425058.25</v>
      </c>
      <c r="J5673" s="444">
        <f t="array" ref="J5673">IFERROR(INDEX('Retirement Calculator'!J:J,MATCH('Isaac 401k'!N5673,'Retirement Calculator'!A:A,0),0),0)</f>
        <v>0</v>
      </c>
      <c r="K5673" s="444">
        <f t="shared" ca="1" si="211"/>
        <v>1178770468437.7427</v>
      </c>
      <c r="L5673" s="444">
        <f t="shared" ca="1" si="212"/>
        <v>284083682893496</v>
      </c>
      <c r="M5673" s="460">
        <f t="shared" si="214"/>
        <v>0.05</v>
      </c>
      <c r="N5673" s="464">
        <f t="shared" si="215"/>
        <v>223712</v>
      </c>
    </row>
    <row r="5674" spans="7:14" ht="11.25" customHeight="1" x14ac:dyDescent="0.3">
      <c r="G5674" s="459"/>
      <c r="H5674" s="459">
        <v>5667</v>
      </c>
      <c r="I5674" s="444">
        <f t="shared" ca="1" si="213"/>
        <v>284083682893496</v>
      </c>
      <c r="J5674" s="444">
        <f t="array" ref="J5674">IFERROR(INDEX('Retirement Calculator'!J:J,MATCH('Isaac 401k'!N5674,'Retirement Calculator'!A:A,0),0),0)</f>
        <v>0</v>
      </c>
      <c r="K5674" s="444">
        <f t="shared" ca="1" si="211"/>
        <v>1183682012056.2334</v>
      </c>
      <c r="L5674" s="444">
        <f t="shared" ca="1" si="212"/>
        <v>285267364905552.25</v>
      </c>
      <c r="M5674" s="460">
        <f t="shared" si="214"/>
        <v>0.05</v>
      </c>
      <c r="N5674" s="464">
        <f t="shared" si="215"/>
        <v>223743</v>
      </c>
    </row>
    <row r="5675" spans="7:14" ht="11.25" customHeight="1" x14ac:dyDescent="0.3">
      <c r="G5675" s="459"/>
      <c r="H5675" s="459">
        <v>5668</v>
      </c>
      <c r="I5675" s="444">
        <f t="shared" ca="1" si="213"/>
        <v>285267364905552.25</v>
      </c>
      <c r="J5675" s="444">
        <f t="array" ref="J5675">IFERROR(INDEX('Retirement Calculator'!J:J,MATCH('Isaac 401k'!N5675,'Retirement Calculator'!A:A,0),0),0)</f>
        <v>0</v>
      </c>
      <c r="K5675" s="444">
        <f t="shared" ca="1" si="211"/>
        <v>1188614020439.801</v>
      </c>
      <c r="L5675" s="444">
        <f t="shared" ca="1" si="212"/>
        <v>286455978925992.06</v>
      </c>
      <c r="M5675" s="460">
        <f t="shared" si="214"/>
        <v>0.05</v>
      </c>
      <c r="N5675" s="464">
        <f t="shared" si="215"/>
        <v>223774</v>
      </c>
    </row>
    <row r="5676" spans="7:14" ht="11.25" customHeight="1" x14ac:dyDescent="0.3">
      <c r="G5676" s="459"/>
      <c r="H5676" s="459">
        <v>5669</v>
      </c>
      <c r="I5676" s="444">
        <f t="shared" ca="1" si="213"/>
        <v>286455978925992.06</v>
      </c>
      <c r="J5676" s="444">
        <f t="array" ref="J5676">IFERROR(INDEX('Retirement Calculator'!J:J,MATCH('Isaac 401k'!N5676,'Retirement Calculator'!A:A,0),0),0)</f>
        <v>0</v>
      </c>
      <c r="K5676" s="444">
        <f t="shared" ca="1" si="211"/>
        <v>1193566578858.3003</v>
      </c>
      <c r="L5676" s="444">
        <f t="shared" ca="1" si="212"/>
        <v>287649545504850.38</v>
      </c>
      <c r="M5676" s="460">
        <f t="shared" si="214"/>
        <v>0.05</v>
      </c>
      <c r="N5676" s="464">
        <f t="shared" si="215"/>
        <v>223804</v>
      </c>
    </row>
    <row r="5677" spans="7:14" ht="11.25" customHeight="1" x14ac:dyDescent="0.3">
      <c r="G5677" s="459"/>
      <c r="H5677" s="459">
        <v>5670</v>
      </c>
      <c r="I5677" s="444">
        <f t="shared" ca="1" si="213"/>
        <v>287649545504850.38</v>
      </c>
      <c r="J5677" s="444">
        <f t="array" ref="J5677">IFERROR(INDEX('Retirement Calculator'!J:J,MATCH('Isaac 401k'!N5677,'Retirement Calculator'!A:A,0),0),0)</f>
        <v>0</v>
      </c>
      <c r="K5677" s="444">
        <f t="shared" ca="1" si="211"/>
        <v>1198539772936.8765</v>
      </c>
      <c r="L5677" s="444">
        <f t="shared" ca="1" si="212"/>
        <v>288848085277787.25</v>
      </c>
      <c r="M5677" s="460">
        <f t="shared" si="214"/>
        <v>0.05</v>
      </c>
      <c r="N5677" s="464">
        <f t="shared" si="215"/>
        <v>223835</v>
      </c>
    </row>
    <row r="5678" spans="7:14" ht="11.25" customHeight="1" x14ac:dyDescent="0.3">
      <c r="G5678" s="459"/>
      <c r="H5678" s="459">
        <v>5671</v>
      </c>
      <c r="I5678" s="444">
        <f t="shared" ca="1" si="213"/>
        <v>288848085277787.25</v>
      </c>
      <c r="J5678" s="444">
        <f t="array" ref="J5678">IFERROR(INDEX('Retirement Calculator'!J:J,MATCH('Isaac 401k'!N5678,'Retirement Calculator'!A:A,0),0),0)</f>
        <v>0</v>
      </c>
      <c r="K5678" s="444">
        <f t="shared" ca="1" si="211"/>
        <v>1203533688657.4468</v>
      </c>
      <c r="L5678" s="444">
        <f t="shared" ca="1" si="212"/>
        <v>290051618966444.69</v>
      </c>
      <c r="M5678" s="460">
        <f t="shared" si="214"/>
        <v>0.05</v>
      </c>
      <c r="N5678" s="464">
        <f t="shared" si="215"/>
        <v>223865</v>
      </c>
    </row>
    <row r="5679" spans="7:14" ht="11.25" customHeight="1" x14ac:dyDescent="0.3">
      <c r="G5679" s="459"/>
      <c r="H5679" s="459">
        <v>5672</v>
      </c>
      <c r="I5679" s="444">
        <f t="shared" ca="1" si="213"/>
        <v>290051618966444.69</v>
      </c>
      <c r="J5679" s="444">
        <f t="array" ref="J5679">IFERROR(INDEX('Retirement Calculator'!J:J,MATCH('Isaac 401k'!N5679,'Retirement Calculator'!A:A,0),0),0)</f>
        <v>0</v>
      </c>
      <c r="K5679" s="444">
        <f t="shared" ca="1" si="211"/>
        <v>1208548412360.1863</v>
      </c>
      <c r="L5679" s="444">
        <f t="shared" ca="1" si="212"/>
        <v>291260167378804.88</v>
      </c>
      <c r="M5679" s="460">
        <f t="shared" si="214"/>
        <v>0.05</v>
      </c>
      <c r="N5679" s="464">
        <f t="shared" si="215"/>
        <v>223896</v>
      </c>
    </row>
    <row r="5680" spans="7:14" ht="11.25" customHeight="1" x14ac:dyDescent="0.3">
      <c r="G5680" s="459"/>
      <c r="H5680" s="459">
        <v>5673</v>
      </c>
      <c r="I5680" s="444">
        <f t="shared" ca="1" si="213"/>
        <v>291260167378804.88</v>
      </c>
      <c r="J5680" s="444">
        <f t="array" ref="J5680">IFERROR(INDEX('Retirement Calculator'!J:J,MATCH('Isaac 401k'!N5680,'Retirement Calculator'!A:A,0),0),0)</f>
        <v>0</v>
      </c>
      <c r="K5680" s="444">
        <f t="shared" ca="1" si="211"/>
        <v>1213584030745.0203</v>
      </c>
      <c r="L5680" s="444">
        <f t="shared" ca="1" si="212"/>
        <v>292473751409549.88</v>
      </c>
      <c r="M5680" s="460">
        <f t="shared" si="214"/>
        <v>0.05</v>
      </c>
      <c r="N5680" s="464">
        <f t="shared" si="215"/>
        <v>223927</v>
      </c>
    </row>
    <row r="5681" spans="7:14" ht="11.25" customHeight="1" x14ac:dyDescent="0.3">
      <c r="G5681" s="459"/>
      <c r="H5681" s="459">
        <v>5674</v>
      </c>
      <c r="I5681" s="444">
        <f t="shared" ca="1" si="213"/>
        <v>292473751409549.88</v>
      </c>
      <c r="J5681" s="444">
        <f t="array" ref="J5681">IFERROR(INDEX('Retirement Calculator'!J:J,MATCH('Isaac 401k'!N5681,'Retirement Calculator'!A:A,0),0),0)</f>
        <v>0</v>
      </c>
      <c r="K5681" s="444">
        <f t="shared" ca="1" si="211"/>
        <v>1218640630873.1245</v>
      </c>
      <c r="L5681" s="444">
        <f t="shared" ca="1" si="212"/>
        <v>293692392040423</v>
      </c>
      <c r="M5681" s="460">
        <f t="shared" si="214"/>
        <v>0.05</v>
      </c>
      <c r="N5681" s="464">
        <f t="shared" si="215"/>
        <v>223955</v>
      </c>
    </row>
    <row r="5682" spans="7:14" ht="11.25" customHeight="1" x14ac:dyDescent="0.3">
      <c r="G5682" s="459"/>
      <c r="H5682" s="459">
        <v>5675</v>
      </c>
      <c r="I5682" s="444">
        <f t="shared" ca="1" si="213"/>
        <v>293692392040423</v>
      </c>
      <c r="J5682" s="444">
        <f t="array" ref="J5682">IFERROR(INDEX('Retirement Calculator'!J:J,MATCH('Isaac 401k'!N5682,'Retirement Calculator'!A:A,0),0),0)</f>
        <v>0</v>
      </c>
      <c r="K5682" s="444">
        <f t="shared" ca="1" si="211"/>
        <v>1223718300168.4292</v>
      </c>
      <c r="L5682" s="444">
        <f t="shared" ca="1" si="212"/>
        <v>294916110340591.44</v>
      </c>
      <c r="M5682" s="460">
        <f t="shared" si="214"/>
        <v>0.05</v>
      </c>
      <c r="N5682" s="464">
        <f t="shared" si="215"/>
        <v>223986</v>
      </c>
    </row>
    <row r="5683" spans="7:14" ht="11.25" customHeight="1" x14ac:dyDescent="0.3">
      <c r="G5683" s="459"/>
      <c r="H5683" s="459">
        <v>5676</v>
      </c>
      <c r="I5683" s="444">
        <f t="shared" ca="1" si="213"/>
        <v>294916110340591.44</v>
      </c>
      <c r="J5683" s="444">
        <f t="array" ref="J5683">IFERROR(INDEX('Retirement Calculator'!J:J,MATCH('Isaac 401k'!N5683,'Retirement Calculator'!A:A,0),0),0)</f>
        <v>0</v>
      </c>
      <c r="K5683" s="444">
        <f t="shared" ca="1" si="211"/>
        <v>1228817126419.1309</v>
      </c>
      <c r="L5683" s="444">
        <f t="shared" ca="1" si="212"/>
        <v>296144927467010.56</v>
      </c>
      <c r="M5683" s="460">
        <f t="shared" si="214"/>
        <v>0.05</v>
      </c>
      <c r="N5683" s="464">
        <f t="shared" si="215"/>
        <v>224016</v>
      </c>
    </row>
    <row r="5684" spans="7:14" ht="11.25" customHeight="1" x14ac:dyDescent="0.3">
      <c r="G5684" s="459"/>
      <c r="H5684" s="459">
        <v>5677</v>
      </c>
      <c r="I5684" s="444">
        <f t="shared" ca="1" si="213"/>
        <v>296144927467010.56</v>
      </c>
      <c r="J5684" s="444">
        <f t="array" ref="J5684">IFERROR(INDEX('Retirement Calculator'!J:J,MATCH('Isaac 401k'!N5684,'Retirement Calculator'!A:A,0),0),0)</f>
        <v>0</v>
      </c>
      <c r="K5684" s="444">
        <f t="shared" ca="1" si="211"/>
        <v>1233937197779.2107</v>
      </c>
      <c r="L5684" s="444">
        <f t="shared" ca="1" si="212"/>
        <v>297378864664789.75</v>
      </c>
      <c r="M5684" s="460">
        <f t="shared" si="214"/>
        <v>0.05</v>
      </c>
      <c r="N5684" s="464">
        <f t="shared" si="215"/>
        <v>224047</v>
      </c>
    </row>
    <row r="5685" spans="7:14" ht="11.25" customHeight="1" x14ac:dyDescent="0.3">
      <c r="G5685" s="459"/>
      <c r="H5685" s="459">
        <v>5678</v>
      </c>
      <c r="I5685" s="444">
        <f t="shared" ca="1" si="213"/>
        <v>297378864664789.75</v>
      </c>
      <c r="J5685" s="444">
        <f t="array" ref="J5685">IFERROR(INDEX('Retirement Calculator'!J:J,MATCH('Isaac 401k'!N5685,'Retirement Calculator'!A:A,0),0),0)</f>
        <v>0</v>
      </c>
      <c r="K5685" s="444">
        <f t="shared" ca="1" si="211"/>
        <v>1239078602769.9573</v>
      </c>
      <c r="L5685" s="444">
        <f t="shared" ca="1" si="212"/>
        <v>298617943267559.69</v>
      </c>
      <c r="M5685" s="460">
        <f t="shared" si="214"/>
        <v>0.05</v>
      </c>
      <c r="N5685" s="464">
        <f t="shared" si="215"/>
        <v>224077</v>
      </c>
    </row>
    <row r="5686" spans="7:14" ht="11.25" customHeight="1" x14ac:dyDescent="0.3">
      <c r="G5686" s="459"/>
      <c r="H5686" s="459">
        <v>5679</v>
      </c>
      <c r="I5686" s="444">
        <f t="shared" ca="1" si="213"/>
        <v>298617943267559.69</v>
      </c>
      <c r="J5686" s="444">
        <f t="array" ref="J5686">IFERROR(INDEX('Retirement Calculator'!J:J,MATCH('Isaac 401k'!N5686,'Retirement Calculator'!A:A,0),0),0)</f>
        <v>0</v>
      </c>
      <c r="K5686" s="444">
        <f t="shared" ca="1" si="211"/>
        <v>1244241430281.4988</v>
      </c>
      <c r="L5686" s="444">
        <f t="shared" ca="1" si="212"/>
        <v>299862184697841.19</v>
      </c>
      <c r="M5686" s="460">
        <f t="shared" si="214"/>
        <v>0.05</v>
      </c>
      <c r="N5686" s="464">
        <f t="shared" si="215"/>
        <v>224108</v>
      </c>
    </row>
    <row r="5687" spans="7:14" ht="11.25" customHeight="1" x14ac:dyDescent="0.3">
      <c r="G5687" s="459"/>
      <c r="H5687" s="459">
        <v>5680</v>
      </c>
      <c r="I5687" s="444">
        <f t="shared" ca="1" si="213"/>
        <v>299862184697841.19</v>
      </c>
      <c r="J5687" s="444">
        <f t="array" ref="J5687">IFERROR(INDEX('Retirement Calculator'!J:J,MATCH('Isaac 401k'!N5687,'Retirement Calculator'!A:A,0),0),0)</f>
        <v>0</v>
      </c>
      <c r="K5687" s="444">
        <f t="shared" ca="1" si="211"/>
        <v>1249425769574.3384</v>
      </c>
      <c r="L5687" s="444">
        <f t="shared" ca="1" si="212"/>
        <v>301111610467415.5</v>
      </c>
      <c r="M5687" s="460">
        <f t="shared" si="214"/>
        <v>0.05</v>
      </c>
      <c r="N5687" s="464">
        <f t="shared" si="215"/>
        <v>224139</v>
      </c>
    </row>
    <row r="5688" spans="7:14" ht="11.25" customHeight="1" x14ac:dyDescent="0.3">
      <c r="G5688" s="459"/>
      <c r="H5688" s="459">
        <v>5681</v>
      </c>
      <c r="I5688" s="444">
        <f t="shared" ca="1" si="213"/>
        <v>301111610467415.5</v>
      </c>
      <c r="J5688" s="444">
        <f t="array" ref="J5688">IFERROR(INDEX('Retirement Calculator'!J:J,MATCH('Isaac 401k'!N5688,'Retirement Calculator'!A:A,0),0),0)</f>
        <v>0</v>
      </c>
      <c r="K5688" s="444">
        <f t="shared" ca="1" si="211"/>
        <v>1254631710280.8979</v>
      </c>
      <c r="L5688" s="444">
        <f t="shared" ca="1" si="212"/>
        <v>302366242177696.38</v>
      </c>
      <c r="M5688" s="460">
        <f t="shared" si="214"/>
        <v>0.05</v>
      </c>
      <c r="N5688" s="464">
        <f t="shared" si="215"/>
        <v>224169</v>
      </c>
    </row>
    <row r="5689" spans="7:14" ht="11.25" customHeight="1" x14ac:dyDescent="0.3">
      <c r="G5689" s="459"/>
      <c r="H5689" s="459">
        <v>5682</v>
      </c>
      <c r="I5689" s="444">
        <f t="shared" ca="1" si="213"/>
        <v>302366242177696.38</v>
      </c>
      <c r="J5689" s="444">
        <f t="array" ref="J5689">IFERROR(INDEX('Retirement Calculator'!J:J,MATCH('Isaac 401k'!N5689,'Retirement Calculator'!A:A,0),0),0)</f>
        <v>0</v>
      </c>
      <c r="K5689" s="444">
        <f t="shared" ca="1" si="211"/>
        <v>1259859342407.0681</v>
      </c>
      <c r="L5689" s="444">
        <f t="shared" ca="1" si="212"/>
        <v>303626101520103.44</v>
      </c>
      <c r="M5689" s="460">
        <f t="shared" si="214"/>
        <v>0.05</v>
      </c>
      <c r="N5689" s="464">
        <f t="shared" si="215"/>
        <v>224200</v>
      </c>
    </row>
    <row r="5690" spans="7:14" ht="11.25" customHeight="1" x14ac:dyDescent="0.3">
      <c r="G5690" s="459"/>
      <c r="H5690" s="459">
        <v>5683</v>
      </c>
      <c r="I5690" s="444">
        <f t="shared" ca="1" si="213"/>
        <v>303626101520103.44</v>
      </c>
      <c r="J5690" s="444">
        <f t="array" ref="J5690">IFERROR(INDEX('Retirement Calculator'!J:J,MATCH('Isaac 401k'!N5690,'Retirement Calculator'!A:A,0),0),0)</f>
        <v>0</v>
      </c>
      <c r="K5690" s="444">
        <f t="shared" ca="1" si="211"/>
        <v>1265108756333.7644</v>
      </c>
      <c r="L5690" s="444">
        <f t="shared" ca="1" si="212"/>
        <v>304891210276437.19</v>
      </c>
      <c r="M5690" s="460">
        <f t="shared" si="214"/>
        <v>0.05</v>
      </c>
      <c r="N5690" s="464">
        <f t="shared" si="215"/>
        <v>224230</v>
      </c>
    </row>
    <row r="5691" spans="7:14" ht="11.25" customHeight="1" x14ac:dyDescent="0.3">
      <c r="G5691" s="459"/>
      <c r="H5691" s="459">
        <v>5684</v>
      </c>
      <c r="I5691" s="444">
        <f t="shared" ca="1" si="213"/>
        <v>304891210276437.19</v>
      </c>
      <c r="J5691" s="444">
        <f t="array" ref="J5691">IFERROR(INDEX('Retirement Calculator'!J:J,MATCH('Isaac 401k'!N5691,'Retirement Calculator'!A:A,0),0),0)</f>
        <v>0</v>
      </c>
      <c r="K5691" s="444">
        <f t="shared" ca="1" si="211"/>
        <v>1270380042818.4883</v>
      </c>
      <c r="L5691" s="444">
        <f t="shared" ca="1" si="212"/>
        <v>306161590319255.69</v>
      </c>
      <c r="M5691" s="460">
        <f t="shared" si="214"/>
        <v>0.05</v>
      </c>
      <c r="N5691" s="464">
        <f t="shared" si="215"/>
        <v>224261</v>
      </c>
    </row>
    <row r="5692" spans="7:14" ht="11.25" customHeight="1" x14ac:dyDescent="0.3">
      <c r="G5692" s="459"/>
      <c r="H5692" s="459">
        <v>5685</v>
      </c>
      <c r="I5692" s="444">
        <f t="shared" ca="1" si="213"/>
        <v>306161590319255.69</v>
      </c>
      <c r="J5692" s="444">
        <f t="array" ref="J5692">IFERROR(INDEX('Retirement Calculator'!J:J,MATCH('Isaac 401k'!N5692,'Retirement Calculator'!A:A,0),0),0)</f>
        <v>0</v>
      </c>
      <c r="K5692" s="444">
        <f t="shared" ca="1" si="211"/>
        <v>1275673292996.8987</v>
      </c>
      <c r="L5692" s="444">
        <f t="shared" ca="1" si="212"/>
        <v>307437263612252.56</v>
      </c>
      <c r="M5692" s="460">
        <f t="shared" si="214"/>
        <v>0.05</v>
      </c>
      <c r="N5692" s="464">
        <f t="shared" si="215"/>
        <v>224292</v>
      </c>
    </row>
    <row r="5693" spans="7:14" ht="11.25" customHeight="1" x14ac:dyDescent="0.3">
      <c r="G5693" s="459"/>
      <c r="H5693" s="459">
        <v>5686</v>
      </c>
      <c r="I5693" s="444">
        <f t="shared" ca="1" si="213"/>
        <v>307437263612252.56</v>
      </c>
      <c r="J5693" s="444">
        <f t="array" ref="J5693">IFERROR(INDEX('Retirement Calculator'!J:J,MATCH('Isaac 401k'!N5693,'Retirement Calculator'!A:A,0),0),0)</f>
        <v>0</v>
      </c>
      <c r="K5693" s="444">
        <f t="shared" ca="1" si="211"/>
        <v>1280988598384.3857</v>
      </c>
      <c r="L5693" s="444">
        <f t="shared" ca="1" si="212"/>
        <v>308718252210636.94</v>
      </c>
      <c r="M5693" s="460">
        <f t="shared" si="214"/>
        <v>0.05</v>
      </c>
      <c r="N5693" s="464">
        <f t="shared" si="215"/>
        <v>224320</v>
      </c>
    </row>
    <row r="5694" spans="7:14" ht="11.25" customHeight="1" x14ac:dyDescent="0.3">
      <c r="G5694" s="459"/>
      <c r="H5694" s="459">
        <v>5687</v>
      </c>
      <c r="I5694" s="444">
        <f t="shared" ca="1" si="213"/>
        <v>308718252210636.94</v>
      </c>
      <c r="J5694" s="444">
        <f t="array" ref="J5694">IFERROR(INDEX('Retirement Calculator'!J:J,MATCH('Isaac 401k'!N5694,'Retirement Calculator'!A:A,0),0),0)</f>
        <v>0</v>
      </c>
      <c r="K5694" s="444">
        <f t="shared" ca="1" si="211"/>
        <v>1286326050877.6538</v>
      </c>
      <c r="L5694" s="444">
        <f t="shared" ca="1" si="212"/>
        <v>310004578261514.56</v>
      </c>
      <c r="M5694" s="460">
        <f t="shared" si="214"/>
        <v>0.05</v>
      </c>
      <c r="N5694" s="464">
        <f t="shared" si="215"/>
        <v>224351</v>
      </c>
    </row>
    <row r="5695" spans="7:14" ht="11.25" customHeight="1" x14ac:dyDescent="0.3">
      <c r="G5695" s="459"/>
      <c r="H5695" s="459">
        <v>5688</v>
      </c>
      <c r="I5695" s="444">
        <f t="shared" ca="1" si="213"/>
        <v>310004578261514.56</v>
      </c>
      <c r="J5695" s="444">
        <f t="array" ref="J5695">IFERROR(INDEX('Retirement Calculator'!J:J,MATCH('Isaac 401k'!N5695,'Retirement Calculator'!A:A,0),0),0)</f>
        <v>0</v>
      </c>
      <c r="K5695" s="444">
        <f t="shared" ca="1" si="211"/>
        <v>1291685742756.3105</v>
      </c>
      <c r="L5695" s="444">
        <f t="shared" ca="1" si="212"/>
        <v>311296264004270.88</v>
      </c>
      <c r="M5695" s="460">
        <f t="shared" si="214"/>
        <v>0.05</v>
      </c>
      <c r="N5695" s="464">
        <f t="shared" si="215"/>
        <v>224381</v>
      </c>
    </row>
    <row r="5696" spans="7:14" ht="11.25" customHeight="1" x14ac:dyDescent="0.3">
      <c r="G5696" s="459"/>
      <c r="H5696" s="459">
        <v>5689</v>
      </c>
      <c r="I5696" s="444">
        <f t="shared" ca="1" si="213"/>
        <v>311296264004270.88</v>
      </c>
      <c r="J5696" s="444">
        <f t="array" ref="J5696">IFERROR(INDEX('Retirement Calculator'!J:J,MATCH('Isaac 401k'!N5696,'Retirement Calculator'!A:A,0),0),0)</f>
        <v>0</v>
      </c>
      <c r="K5696" s="444">
        <f t="shared" ca="1" si="211"/>
        <v>1297067766684.4619</v>
      </c>
      <c r="L5696" s="444">
        <f t="shared" ca="1" si="212"/>
        <v>312593331770955.31</v>
      </c>
      <c r="M5696" s="460">
        <f t="shared" si="214"/>
        <v>0.05</v>
      </c>
      <c r="N5696" s="464">
        <f t="shared" si="215"/>
        <v>224412</v>
      </c>
    </row>
    <row r="5697" spans="7:14" ht="11.25" customHeight="1" x14ac:dyDescent="0.3">
      <c r="G5697" s="459"/>
      <c r="H5697" s="459">
        <v>5690</v>
      </c>
      <c r="I5697" s="444">
        <f t="shared" ca="1" si="213"/>
        <v>312593331770955.31</v>
      </c>
      <c r="J5697" s="444">
        <f t="array" ref="J5697">IFERROR(INDEX('Retirement Calculator'!J:J,MATCH('Isaac 401k'!N5697,'Retirement Calculator'!A:A,0),0),0)</f>
        <v>0</v>
      </c>
      <c r="K5697" s="444">
        <f t="shared" ca="1" si="211"/>
        <v>1302472215712.3137</v>
      </c>
      <c r="L5697" s="444">
        <f t="shared" ca="1" si="212"/>
        <v>313895803986667.63</v>
      </c>
      <c r="M5697" s="460">
        <f t="shared" si="214"/>
        <v>0.05</v>
      </c>
      <c r="N5697" s="464">
        <f t="shared" si="215"/>
        <v>224442</v>
      </c>
    </row>
    <row r="5698" spans="7:14" ht="11.25" customHeight="1" x14ac:dyDescent="0.3">
      <c r="G5698" s="459"/>
      <c r="H5698" s="459">
        <v>5691</v>
      </c>
      <c r="I5698" s="444">
        <f t="shared" ca="1" si="213"/>
        <v>313895803986667.63</v>
      </c>
      <c r="J5698" s="444">
        <f t="array" ref="J5698">IFERROR(INDEX('Retirement Calculator'!J:J,MATCH('Isaac 401k'!N5698,'Retirement Calculator'!A:A,0),0),0)</f>
        <v>0</v>
      </c>
      <c r="K5698" s="444">
        <f t="shared" ca="1" si="211"/>
        <v>1307899183277.7817</v>
      </c>
      <c r="L5698" s="444">
        <f t="shared" ca="1" si="212"/>
        <v>315203703169945.44</v>
      </c>
      <c r="M5698" s="460">
        <f t="shared" si="214"/>
        <v>0.05</v>
      </c>
      <c r="N5698" s="464">
        <f t="shared" si="215"/>
        <v>224473</v>
      </c>
    </row>
    <row r="5699" spans="7:14" ht="11.25" customHeight="1" x14ac:dyDescent="0.3">
      <c r="G5699" s="459"/>
      <c r="H5699" s="459">
        <v>5692</v>
      </c>
      <c r="I5699" s="444">
        <f t="shared" ca="1" si="213"/>
        <v>315203703169945.44</v>
      </c>
      <c r="J5699" s="444">
        <f t="array" ref="J5699">IFERROR(INDEX('Retirement Calculator'!J:J,MATCH('Isaac 401k'!N5699,'Retirement Calculator'!A:A,0),0),0)</f>
        <v>0</v>
      </c>
      <c r="K5699" s="444">
        <f t="shared" ca="1" si="211"/>
        <v>1313348763208.106</v>
      </c>
      <c r="L5699" s="444">
        <f t="shared" ca="1" si="212"/>
        <v>316517051933153.56</v>
      </c>
      <c r="M5699" s="460">
        <f t="shared" si="214"/>
        <v>0.05</v>
      </c>
      <c r="N5699" s="464">
        <f t="shared" si="215"/>
        <v>224504</v>
      </c>
    </row>
    <row r="5700" spans="7:14" ht="11.25" customHeight="1" x14ac:dyDescent="0.3">
      <c r="G5700" s="459"/>
      <c r="H5700" s="459">
        <v>5693</v>
      </c>
      <c r="I5700" s="444">
        <f t="shared" ca="1" si="213"/>
        <v>316517051933153.56</v>
      </c>
      <c r="J5700" s="444">
        <f t="array" ref="J5700">IFERROR(INDEX('Retirement Calculator'!J:J,MATCH('Isaac 401k'!N5700,'Retirement Calculator'!A:A,0),0),0)</f>
        <v>0</v>
      </c>
      <c r="K5700" s="444">
        <f t="shared" ca="1" si="211"/>
        <v>1318821049721.4731</v>
      </c>
      <c r="L5700" s="444">
        <f t="shared" ca="1" si="212"/>
        <v>317835872982875.06</v>
      </c>
      <c r="M5700" s="460">
        <f t="shared" si="214"/>
        <v>0.05</v>
      </c>
      <c r="N5700" s="464">
        <f t="shared" si="215"/>
        <v>224534</v>
      </c>
    </row>
    <row r="5701" spans="7:14" ht="11.25" customHeight="1" x14ac:dyDescent="0.3">
      <c r="G5701" s="459"/>
      <c r="H5701" s="459">
        <v>5694</v>
      </c>
      <c r="I5701" s="444">
        <f t="shared" ca="1" si="213"/>
        <v>317835872982875.06</v>
      </c>
      <c r="J5701" s="444">
        <f t="array" ref="J5701">IFERROR(INDEX('Retirement Calculator'!J:J,MATCH('Isaac 401k'!N5701,'Retirement Calculator'!A:A,0),0),0)</f>
        <v>0</v>
      </c>
      <c r="K5701" s="444">
        <f t="shared" ca="1" si="211"/>
        <v>1324316137428.646</v>
      </c>
      <c r="L5701" s="444">
        <f t="shared" ca="1" si="212"/>
        <v>319160189120303.69</v>
      </c>
      <c r="M5701" s="460">
        <f t="shared" si="214"/>
        <v>0.05</v>
      </c>
      <c r="N5701" s="464">
        <f t="shared" si="215"/>
        <v>224565</v>
      </c>
    </row>
    <row r="5702" spans="7:14" ht="11.25" customHeight="1" x14ac:dyDescent="0.3">
      <c r="G5702" s="459"/>
      <c r="H5702" s="459">
        <v>5695</v>
      </c>
      <c r="I5702" s="444">
        <f t="shared" ca="1" si="213"/>
        <v>319160189120303.69</v>
      </c>
      <c r="J5702" s="444">
        <f t="array" ref="J5702">IFERROR(INDEX('Retirement Calculator'!J:J,MATCH('Isaac 401k'!N5702,'Retirement Calculator'!A:A,0),0),0)</f>
        <v>0</v>
      </c>
      <c r="K5702" s="444">
        <f t="shared" ca="1" si="211"/>
        <v>1329834121334.5986</v>
      </c>
      <c r="L5702" s="444">
        <f t="shared" ca="1" si="212"/>
        <v>320490023241638.31</v>
      </c>
      <c r="M5702" s="460">
        <f t="shared" si="214"/>
        <v>0.05</v>
      </c>
      <c r="N5702" s="464">
        <f t="shared" si="215"/>
        <v>224595</v>
      </c>
    </row>
    <row r="5703" spans="7:14" ht="11.25" customHeight="1" x14ac:dyDescent="0.3">
      <c r="G5703" s="459"/>
      <c r="H5703" s="459">
        <v>5696</v>
      </c>
      <c r="I5703" s="444">
        <f t="shared" ca="1" si="213"/>
        <v>320490023241638.31</v>
      </c>
      <c r="J5703" s="444">
        <f t="array" ref="J5703">IFERROR(INDEX('Retirement Calculator'!J:J,MATCH('Isaac 401k'!N5703,'Retirement Calculator'!A:A,0),0),0)</f>
        <v>0</v>
      </c>
      <c r="K5703" s="444">
        <f t="shared" ca="1" si="211"/>
        <v>1335375096840.1597</v>
      </c>
      <c r="L5703" s="444">
        <f t="shared" ca="1" si="212"/>
        <v>321825398338478.5</v>
      </c>
      <c r="M5703" s="460">
        <f t="shared" si="214"/>
        <v>0.05</v>
      </c>
      <c r="N5703" s="464">
        <f t="shared" si="215"/>
        <v>224626</v>
      </c>
    </row>
    <row r="5704" spans="7:14" ht="11.25" customHeight="1" x14ac:dyDescent="0.3">
      <c r="G5704" s="459"/>
      <c r="H5704" s="459">
        <v>5697</v>
      </c>
      <c r="I5704" s="444">
        <f t="shared" ca="1" si="213"/>
        <v>321825398338478.5</v>
      </c>
      <c r="J5704" s="444">
        <f t="array" ref="J5704">IFERROR(INDEX('Retirement Calculator'!J:J,MATCH('Isaac 401k'!N5704,'Retirement Calculator'!A:A,0),0),0)</f>
        <v>0</v>
      </c>
      <c r="K5704" s="444">
        <f t="shared" ca="1" si="211"/>
        <v>1340939159743.6604</v>
      </c>
      <c r="L5704" s="444">
        <f t="shared" ca="1" si="212"/>
        <v>323166337498222.19</v>
      </c>
      <c r="M5704" s="460">
        <f t="shared" si="214"/>
        <v>0.05</v>
      </c>
      <c r="N5704" s="464">
        <f t="shared" si="215"/>
        <v>224657</v>
      </c>
    </row>
    <row r="5705" spans="7:14" ht="11.25" customHeight="1" x14ac:dyDescent="0.3">
      <c r="G5705" s="459"/>
      <c r="H5705" s="459">
        <v>5698</v>
      </c>
      <c r="I5705" s="444">
        <f t="shared" ca="1" si="213"/>
        <v>323166337498222.19</v>
      </c>
      <c r="J5705" s="444">
        <f t="array" ref="J5705">IFERROR(INDEX('Retirement Calculator'!J:J,MATCH('Isaac 401k'!N5705,'Retirement Calculator'!A:A,0),0),0)</f>
        <v>0</v>
      </c>
      <c r="K5705" s="444">
        <f t="shared" ca="1" si="211"/>
        <v>1346526406242.5925</v>
      </c>
      <c r="L5705" s="444">
        <f t="shared" ca="1" si="212"/>
        <v>324512863904464.75</v>
      </c>
      <c r="M5705" s="460">
        <f t="shared" si="214"/>
        <v>0.05</v>
      </c>
      <c r="N5705" s="464">
        <f t="shared" si="215"/>
        <v>224685</v>
      </c>
    </row>
    <row r="5706" spans="7:14" ht="11.25" customHeight="1" x14ac:dyDescent="0.3">
      <c r="G5706" s="459"/>
      <c r="H5706" s="459">
        <v>5699</v>
      </c>
      <c r="I5706" s="444">
        <f t="shared" ca="1" si="213"/>
        <v>324512863904464.75</v>
      </c>
      <c r="J5706" s="444">
        <f t="array" ref="J5706">IFERROR(INDEX('Retirement Calculator'!J:J,MATCH('Isaac 401k'!N5706,'Retirement Calculator'!A:A,0),0),0)</f>
        <v>0</v>
      </c>
      <c r="K5706" s="444">
        <f t="shared" ca="1" si="211"/>
        <v>1352136932935.2698</v>
      </c>
      <c r="L5706" s="444">
        <f t="shared" ca="1" si="212"/>
        <v>325865000837400</v>
      </c>
      <c r="M5706" s="460">
        <f t="shared" si="214"/>
        <v>0.05</v>
      </c>
      <c r="N5706" s="464">
        <f t="shared" si="215"/>
        <v>224716</v>
      </c>
    </row>
    <row r="5707" spans="7:14" ht="11.25" customHeight="1" x14ac:dyDescent="0.3">
      <c r="G5707" s="459"/>
      <c r="H5707" s="459">
        <v>5700</v>
      </c>
      <c r="I5707" s="444">
        <f t="shared" ca="1" si="213"/>
        <v>325865000837400</v>
      </c>
      <c r="J5707" s="444">
        <f t="array" ref="J5707">IFERROR(INDEX('Retirement Calculator'!J:J,MATCH('Isaac 401k'!N5707,'Retirement Calculator'!A:A,0),0),0)</f>
        <v>0</v>
      </c>
      <c r="K5707" s="444">
        <f t="shared" ca="1" si="211"/>
        <v>1357770836822.5</v>
      </c>
      <c r="L5707" s="444">
        <f t="shared" ca="1" si="212"/>
        <v>327222771674222.5</v>
      </c>
      <c r="M5707" s="460">
        <f t="shared" si="214"/>
        <v>0.05</v>
      </c>
      <c r="N5707" s="464">
        <f t="shared" si="215"/>
        <v>224746</v>
      </c>
    </row>
    <row r="5708" spans="7:14" ht="11.25" customHeight="1" x14ac:dyDescent="0.3">
      <c r="G5708" s="459"/>
      <c r="H5708" s="459">
        <v>5701</v>
      </c>
      <c r="I5708" s="444">
        <f t="shared" ca="1" si="213"/>
        <v>327222771674222.5</v>
      </c>
      <c r="J5708" s="444">
        <f t="array" ref="J5708">IFERROR(INDEX('Retirement Calculator'!J:J,MATCH('Isaac 401k'!N5708,'Retirement Calculator'!A:A,0),0),0)</f>
        <v>0</v>
      </c>
      <c r="K5708" s="444">
        <f t="shared" ca="1" si="211"/>
        <v>1363428215309.2605</v>
      </c>
      <c r="L5708" s="444">
        <f t="shared" ca="1" si="212"/>
        <v>328586199889531.75</v>
      </c>
      <c r="M5708" s="460">
        <f t="shared" si="214"/>
        <v>0.05</v>
      </c>
      <c r="N5708" s="464">
        <f t="shared" si="215"/>
        <v>224777</v>
      </c>
    </row>
    <row r="5709" spans="7:14" ht="11.25" customHeight="1" x14ac:dyDescent="0.3">
      <c r="G5709" s="459"/>
      <c r="H5709" s="459">
        <v>5702</v>
      </c>
      <c r="I5709" s="444">
        <f t="shared" ca="1" si="213"/>
        <v>328586199889531.75</v>
      </c>
      <c r="J5709" s="444">
        <f t="array" ref="J5709">IFERROR(INDEX('Retirement Calculator'!J:J,MATCH('Isaac 401k'!N5709,'Retirement Calculator'!A:A,0),0),0)</f>
        <v>0</v>
      </c>
      <c r="K5709" s="444">
        <f t="shared" ca="1" si="211"/>
        <v>1369109166206.3823</v>
      </c>
      <c r="L5709" s="444">
        <f t="shared" ca="1" si="212"/>
        <v>329955309055738.13</v>
      </c>
      <c r="M5709" s="460">
        <f t="shared" si="214"/>
        <v>0.05</v>
      </c>
      <c r="N5709" s="464">
        <f t="shared" si="215"/>
        <v>224807</v>
      </c>
    </row>
    <row r="5710" spans="7:14" ht="11.25" customHeight="1" x14ac:dyDescent="0.3">
      <c r="G5710" s="459"/>
      <c r="H5710" s="459">
        <v>5703</v>
      </c>
      <c r="I5710" s="444">
        <f t="shared" ca="1" si="213"/>
        <v>329955309055738.13</v>
      </c>
      <c r="J5710" s="444">
        <f t="array" ref="J5710">IFERROR(INDEX('Retirement Calculator'!J:J,MATCH('Isaac 401k'!N5710,'Retirement Calculator'!A:A,0),0),0)</f>
        <v>0</v>
      </c>
      <c r="K5710" s="444">
        <f t="shared" ca="1" si="211"/>
        <v>1374813787732.2422</v>
      </c>
      <c r="L5710" s="444">
        <f t="shared" ca="1" si="212"/>
        <v>331330122843470.38</v>
      </c>
      <c r="M5710" s="460">
        <f t="shared" si="214"/>
        <v>0.05</v>
      </c>
      <c r="N5710" s="464">
        <f t="shared" si="215"/>
        <v>224838</v>
      </c>
    </row>
    <row r="5711" spans="7:14" ht="11.25" customHeight="1" x14ac:dyDescent="0.3">
      <c r="G5711" s="459"/>
      <c r="H5711" s="459">
        <v>5704</v>
      </c>
      <c r="I5711" s="444">
        <f t="shared" ca="1" si="213"/>
        <v>331330122843470.38</v>
      </c>
      <c r="J5711" s="444">
        <f t="array" ref="J5711">IFERROR(INDEX('Retirement Calculator'!J:J,MATCH('Isaac 401k'!N5711,'Retirement Calculator'!A:A,0),0),0)</f>
        <v>0</v>
      </c>
      <c r="K5711" s="444">
        <f t="shared" ca="1" si="211"/>
        <v>1380542178514.46</v>
      </c>
      <c r="L5711" s="444">
        <f t="shared" ca="1" si="212"/>
        <v>332710665021984.81</v>
      </c>
      <c r="M5711" s="460">
        <f t="shared" si="214"/>
        <v>0.05</v>
      </c>
      <c r="N5711" s="464">
        <f t="shared" si="215"/>
        <v>224869</v>
      </c>
    </row>
    <row r="5712" spans="7:14" ht="11.25" customHeight="1" x14ac:dyDescent="0.3">
      <c r="G5712" s="459"/>
      <c r="H5712" s="459">
        <v>5705</v>
      </c>
      <c r="I5712" s="444">
        <f t="shared" ca="1" si="213"/>
        <v>332710665021984.81</v>
      </c>
      <c r="J5712" s="444">
        <f t="array" ref="J5712">IFERROR(INDEX('Retirement Calculator'!J:J,MATCH('Isaac 401k'!N5712,'Retirement Calculator'!A:A,0),0),0)</f>
        <v>0</v>
      </c>
      <c r="K5712" s="444">
        <f t="shared" ca="1" si="211"/>
        <v>1386294437591.6033</v>
      </c>
      <c r="L5712" s="444">
        <f t="shared" ca="1" si="212"/>
        <v>334096959459576.44</v>
      </c>
      <c r="M5712" s="460">
        <f t="shared" si="214"/>
        <v>0.05</v>
      </c>
      <c r="N5712" s="464">
        <f t="shared" si="215"/>
        <v>224899</v>
      </c>
    </row>
    <row r="5713" spans="7:14" ht="11.25" customHeight="1" x14ac:dyDescent="0.3">
      <c r="G5713" s="459"/>
      <c r="H5713" s="459">
        <v>5706</v>
      </c>
      <c r="I5713" s="444">
        <f t="shared" ca="1" si="213"/>
        <v>334096959459576.44</v>
      </c>
      <c r="J5713" s="444">
        <f t="array" ref="J5713">IFERROR(INDEX('Retirement Calculator'!J:J,MATCH('Isaac 401k'!N5713,'Retirement Calculator'!A:A,0),0),0)</f>
        <v>0</v>
      </c>
      <c r="K5713" s="444">
        <f t="shared" ca="1" si="211"/>
        <v>1392070664414.9019</v>
      </c>
      <c r="L5713" s="444">
        <f t="shared" ca="1" si="212"/>
        <v>335489030123991.31</v>
      </c>
      <c r="M5713" s="460">
        <f t="shared" si="214"/>
        <v>0.05</v>
      </c>
      <c r="N5713" s="464">
        <f t="shared" si="215"/>
        <v>224930</v>
      </c>
    </row>
    <row r="5714" spans="7:14" ht="11.25" customHeight="1" x14ac:dyDescent="0.3">
      <c r="G5714" s="459"/>
      <c r="H5714" s="459">
        <v>5707</v>
      </c>
      <c r="I5714" s="444">
        <f t="shared" ca="1" si="213"/>
        <v>335489030123991.31</v>
      </c>
      <c r="J5714" s="444">
        <f t="array" ref="J5714">IFERROR(INDEX('Retirement Calculator'!J:J,MATCH('Isaac 401k'!N5714,'Retirement Calculator'!A:A,0),0),0)</f>
        <v>0</v>
      </c>
      <c r="K5714" s="444">
        <f t="shared" ca="1" si="211"/>
        <v>1397870958849.9639</v>
      </c>
      <c r="L5714" s="444">
        <f t="shared" ca="1" si="212"/>
        <v>336886901082841.25</v>
      </c>
      <c r="M5714" s="460">
        <f t="shared" si="214"/>
        <v>0.05</v>
      </c>
      <c r="N5714" s="464">
        <f t="shared" si="215"/>
        <v>224960</v>
      </c>
    </row>
    <row r="5715" spans="7:14" ht="11.25" customHeight="1" x14ac:dyDescent="0.3">
      <c r="G5715" s="459"/>
      <c r="H5715" s="459">
        <v>5708</v>
      </c>
      <c r="I5715" s="444">
        <f t="shared" ca="1" si="213"/>
        <v>336886901082841.25</v>
      </c>
      <c r="J5715" s="444">
        <f t="array" ref="J5715">IFERROR(INDEX('Retirement Calculator'!J:J,MATCH('Isaac 401k'!N5715,'Retirement Calculator'!A:A,0),0),0)</f>
        <v>0</v>
      </c>
      <c r="K5715" s="444">
        <f t="shared" ca="1" si="211"/>
        <v>1403695421178.5051</v>
      </c>
      <c r="L5715" s="444">
        <f t="shared" ca="1" si="212"/>
        <v>338290596504019.75</v>
      </c>
      <c r="M5715" s="460">
        <f t="shared" si="214"/>
        <v>0.05</v>
      </c>
      <c r="N5715" s="464">
        <f t="shared" si="215"/>
        <v>224991</v>
      </c>
    </row>
    <row r="5716" spans="7:14" ht="11.25" customHeight="1" x14ac:dyDescent="0.3">
      <c r="G5716" s="459"/>
      <c r="H5716" s="459">
        <v>5709</v>
      </c>
      <c r="I5716" s="444">
        <f t="shared" ca="1" si="213"/>
        <v>338290596504019.75</v>
      </c>
      <c r="J5716" s="444">
        <f t="array" ref="J5716">IFERROR(INDEX('Retirement Calculator'!J:J,MATCH('Isaac 401k'!N5716,'Retirement Calculator'!A:A,0),0),0)</f>
        <v>0</v>
      </c>
      <c r="K5716" s="444">
        <f t="shared" ca="1" si="211"/>
        <v>1409544152100.0823</v>
      </c>
      <c r="L5716" s="444">
        <f t="shared" ca="1" si="212"/>
        <v>339700140656119.81</v>
      </c>
      <c r="M5716" s="460">
        <f t="shared" si="214"/>
        <v>0.05</v>
      </c>
      <c r="N5716" s="464">
        <f t="shared" si="215"/>
        <v>225022</v>
      </c>
    </row>
    <row r="5717" spans="7:14" ht="11.25" customHeight="1" x14ac:dyDescent="0.3">
      <c r="G5717" s="459"/>
      <c r="H5717" s="459">
        <v>5710</v>
      </c>
      <c r="I5717" s="444">
        <f t="shared" ca="1" si="213"/>
        <v>339700140656119.81</v>
      </c>
      <c r="J5717" s="444">
        <f t="array" ref="J5717">IFERROR(INDEX('Retirement Calculator'!J:J,MATCH('Isaac 401k'!N5717,'Retirement Calculator'!A:A,0),0),0)</f>
        <v>0</v>
      </c>
      <c r="K5717" s="444">
        <f t="shared" ca="1" si="211"/>
        <v>1415417252733.8325</v>
      </c>
      <c r="L5717" s="444">
        <f t="shared" ca="1" si="212"/>
        <v>341115557908853.63</v>
      </c>
      <c r="M5717" s="460">
        <f t="shared" si="214"/>
        <v>0.05</v>
      </c>
      <c r="N5717" s="464">
        <f t="shared" si="215"/>
        <v>225051</v>
      </c>
    </row>
    <row r="5718" spans="7:14" ht="11.25" customHeight="1" x14ac:dyDescent="0.3">
      <c r="G5718" s="459"/>
      <c r="H5718" s="459">
        <v>5711</v>
      </c>
      <c r="I5718" s="444">
        <f t="shared" ca="1" si="213"/>
        <v>341115557908853.63</v>
      </c>
      <c r="J5718" s="444">
        <f t="array" ref="J5718">IFERROR(INDEX('Retirement Calculator'!J:J,MATCH('Isaac 401k'!N5718,'Retirement Calculator'!A:A,0),0),0)</f>
        <v>0</v>
      </c>
      <c r="K5718" s="444">
        <f t="shared" ca="1" si="211"/>
        <v>1421314824620.2234</v>
      </c>
      <c r="L5718" s="444">
        <f t="shared" ca="1" si="212"/>
        <v>342536872733473.88</v>
      </c>
      <c r="M5718" s="460">
        <f t="shared" si="214"/>
        <v>0.05</v>
      </c>
      <c r="N5718" s="464">
        <f t="shared" si="215"/>
        <v>225082</v>
      </c>
    </row>
    <row r="5719" spans="7:14" ht="11.25" customHeight="1" x14ac:dyDescent="0.3">
      <c r="G5719" s="459"/>
      <c r="H5719" s="459">
        <v>5712</v>
      </c>
      <c r="I5719" s="444">
        <f t="shared" ca="1" si="213"/>
        <v>342536872733473.88</v>
      </c>
      <c r="J5719" s="444">
        <f t="array" ref="J5719">IFERROR(INDEX('Retirement Calculator'!J:J,MATCH('Isaac 401k'!N5719,'Retirement Calculator'!A:A,0),0),0)</f>
        <v>0</v>
      </c>
      <c r="K5719" s="444">
        <f t="shared" ca="1" si="211"/>
        <v>1427236969722.8079</v>
      </c>
      <c r="L5719" s="444">
        <f t="shared" ca="1" si="212"/>
        <v>343964109703196.69</v>
      </c>
      <c r="M5719" s="460">
        <f t="shared" si="214"/>
        <v>0.05</v>
      </c>
      <c r="N5719" s="464">
        <f t="shared" si="215"/>
        <v>225112</v>
      </c>
    </row>
    <row r="5720" spans="7:14" ht="11.25" customHeight="1" x14ac:dyDescent="0.3">
      <c r="G5720" s="459"/>
      <c r="H5720" s="459">
        <v>5713</v>
      </c>
      <c r="I5720" s="444">
        <f t="shared" ca="1" si="213"/>
        <v>343964109703196.69</v>
      </c>
      <c r="J5720" s="444">
        <f t="array" ref="J5720">IFERROR(INDEX('Retirement Calculator'!J:J,MATCH('Isaac 401k'!N5720,'Retirement Calculator'!A:A,0),0),0)</f>
        <v>0</v>
      </c>
      <c r="K5720" s="444">
        <f t="shared" ca="1" si="211"/>
        <v>1433183790429.9861</v>
      </c>
      <c r="L5720" s="444">
        <f t="shared" ca="1" si="212"/>
        <v>345397293493626.69</v>
      </c>
      <c r="M5720" s="460">
        <f t="shared" si="214"/>
        <v>0.05</v>
      </c>
      <c r="N5720" s="464">
        <f t="shared" si="215"/>
        <v>225143</v>
      </c>
    </row>
    <row r="5721" spans="7:14" ht="11.25" customHeight="1" x14ac:dyDescent="0.3">
      <c r="G5721" s="459"/>
      <c r="H5721" s="459">
        <v>5714</v>
      </c>
      <c r="I5721" s="444">
        <f t="shared" ca="1" si="213"/>
        <v>345397293493626.69</v>
      </c>
      <c r="J5721" s="444">
        <f t="array" ref="J5721">IFERROR(INDEX('Retirement Calculator'!J:J,MATCH('Isaac 401k'!N5721,'Retirement Calculator'!A:A,0),0),0)</f>
        <v>0</v>
      </c>
      <c r="K5721" s="444">
        <f t="shared" ca="1" si="211"/>
        <v>1439155389556.7778</v>
      </c>
      <c r="L5721" s="444">
        <f t="shared" ca="1" si="212"/>
        <v>346836448883183.44</v>
      </c>
      <c r="M5721" s="460">
        <f t="shared" si="214"/>
        <v>0.05</v>
      </c>
      <c r="N5721" s="464">
        <f t="shared" si="215"/>
        <v>225173</v>
      </c>
    </row>
    <row r="5722" spans="7:14" ht="11.25" customHeight="1" x14ac:dyDescent="0.3">
      <c r="G5722" s="459"/>
      <c r="H5722" s="459">
        <v>5715</v>
      </c>
      <c r="I5722" s="444">
        <f t="shared" ca="1" si="213"/>
        <v>346836448883183.44</v>
      </c>
      <c r="J5722" s="444">
        <f t="array" ref="J5722">IFERROR(INDEX('Retirement Calculator'!J:J,MATCH('Isaac 401k'!N5722,'Retirement Calculator'!A:A,0),0),0)</f>
        <v>0</v>
      </c>
      <c r="K5722" s="444">
        <f t="shared" ca="1" si="211"/>
        <v>1445151870346.5977</v>
      </c>
      <c r="L5722" s="444">
        <f t="shared" ca="1" si="212"/>
        <v>348281600753530.06</v>
      </c>
      <c r="M5722" s="460">
        <f t="shared" si="214"/>
        <v>0.05</v>
      </c>
      <c r="N5722" s="464">
        <f t="shared" si="215"/>
        <v>225204</v>
      </c>
    </row>
    <row r="5723" spans="7:14" ht="11.25" customHeight="1" x14ac:dyDescent="0.3">
      <c r="G5723" s="459"/>
      <c r="H5723" s="459">
        <v>5716</v>
      </c>
      <c r="I5723" s="444">
        <f t="shared" ca="1" si="213"/>
        <v>348281600753530.06</v>
      </c>
      <c r="J5723" s="444">
        <f t="array" ref="J5723">IFERROR(INDEX('Retirement Calculator'!J:J,MATCH('Isaac 401k'!N5723,'Retirement Calculator'!A:A,0),0),0)</f>
        <v>0</v>
      </c>
      <c r="K5723" s="444">
        <f t="shared" ca="1" si="211"/>
        <v>1451173336473.042</v>
      </c>
      <c r="L5723" s="444">
        <f t="shared" ca="1" si="212"/>
        <v>349732774090003.13</v>
      </c>
      <c r="M5723" s="460">
        <f t="shared" si="214"/>
        <v>0.05</v>
      </c>
      <c r="N5723" s="464">
        <f t="shared" si="215"/>
        <v>225235</v>
      </c>
    </row>
    <row r="5724" spans="7:14" ht="11.25" customHeight="1" x14ac:dyDescent="0.3">
      <c r="G5724" s="459"/>
      <c r="H5724" s="459">
        <v>5717</v>
      </c>
      <c r="I5724" s="444">
        <f t="shared" ca="1" si="213"/>
        <v>349732774090003.13</v>
      </c>
      <c r="J5724" s="444">
        <f t="array" ref="J5724">IFERROR(INDEX('Retirement Calculator'!J:J,MATCH('Isaac 401k'!N5724,'Retirement Calculator'!A:A,0),0),0)</f>
        <v>0</v>
      </c>
      <c r="K5724" s="444">
        <f t="shared" ca="1" si="211"/>
        <v>1457219892041.6797</v>
      </c>
      <c r="L5724" s="444">
        <f t="shared" ca="1" si="212"/>
        <v>351189993982044.81</v>
      </c>
      <c r="M5724" s="460">
        <f t="shared" si="214"/>
        <v>0.05</v>
      </c>
      <c r="N5724" s="464">
        <f t="shared" si="215"/>
        <v>225265</v>
      </c>
    </row>
    <row r="5725" spans="7:14" ht="11.25" customHeight="1" x14ac:dyDescent="0.3">
      <c r="G5725" s="459"/>
      <c r="H5725" s="459">
        <v>5718</v>
      </c>
      <c r="I5725" s="444">
        <f t="shared" ca="1" si="213"/>
        <v>351189993982044.81</v>
      </c>
      <c r="J5725" s="444">
        <f t="array" ref="J5725">IFERROR(INDEX('Retirement Calculator'!J:J,MATCH('Isaac 401k'!N5725,'Retirement Calculator'!A:A,0),0),0)</f>
        <v>0</v>
      </c>
      <c r="K5725" s="444">
        <f t="shared" ca="1" si="211"/>
        <v>1463291641591.8533</v>
      </c>
      <c r="L5725" s="444">
        <f t="shared" ca="1" si="212"/>
        <v>352653285623636.69</v>
      </c>
      <c r="M5725" s="460">
        <f t="shared" si="214"/>
        <v>0.05</v>
      </c>
      <c r="N5725" s="464">
        <f t="shared" si="215"/>
        <v>225296</v>
      </c>
    </row>
    <row r="5726" spans="7:14" ht="11.25" customHeight="1" x14ac:dyDescent="0.3">
      <c r="G5726" s="459"/>
      <c r="H5726" s="459">
        <v>5719</v>
      </c>
      <c r="I5726" s="444">
        <f t="shared" ca="1" si="213"/>
        <v>352653285623636.69</v>
      </c>
      <c r="J5726" s="444">
        <f t="array" ref="J5726">IFERROR(INDEX('Retirement Calculator'!J:J,MATCH('Isaac 401k'!N5726,'Retirement Calculator'!A:A,0),0),0)</f>
        <v>0</v>
      </c>
      <c r="K5726" s="444">
        <f t="shared" ca="1" si="211"/>
        <v>1469388690098.4861</v>
      </c>
      <c r="L5726" s="444">
        <f t="shared" ca="1" si="212"/>
        <v>354122674313735.19</v>
      </c>
      <c r="M5726" s="460">
        <f t="shared" si="214"/>
        <v>0.05</v>
      </c>
      <c r="N5726" s="464">
        <f t="shared" si="215"/>
        <v>225326</v>
      </c>
    </row>
    <row r="5727" spans="7:14" ht="11.25" customHeight="1" x14ac:dyDescent="0.3">
      <c r="G5727" s="459"/>
      <c r="H5727" s="459">
        <v>5720</v>
      </c>
      <c r="I5727" s="444">
        <f t="shared" ca="1" si="213"/>
        <v>354122674313735.19</v>
      </c>
      <c r="J5727" s="444">
        <f t="array" ref="J5727">IFERROR(INDEX('Retirement Calculator'!J:J,MATCH('Isaac 401k'!N5727,'Retirement Calculator'!A:A,0),0),0)</f>
        <v>0</v>
      </c>
      <c r="K5727" s="444">
        <f t="shared" ca="1" si="211"/>
        <v>1475511142973.8965</v>
      </c>
      <c r="L5727" s="444">
        <f t="shared" ca="1" si="212"/>
        <v>355598185456709.06</v>
      </c>
      <c r="M5727" s="460">
        <f t="shared" si="214"/>
        <v>0.05</v>
      </c>
      <c r="N5727" s="464">
        <f t="shared" si="215"/>
        <v>225357</v>
      </c>
    </row>
    <row r="5728" spans="7:14" ht="11.25" customHeight="1" x14ac:dyDescent="0.3">
      <c r="G5728" s="459"/>
      <c r="H5728" s="459">
        <v>5721</v>
      </c>
      <c r="I5728" s="444">
        <f t="shared" ca="1" si="213"/>
        <v>355598185456709.06</v>
      </c>
      <c r="J5728" s="444">
        <f t="array" ref="J5728">IFERROR(INDEX('Retirement Calculator'!J:J,MATCH('Isaac 401k'!N5728,'Retirement Calculator'!A:A,0),0),0)</f>
        <v>0</v>
      </c>
      <c r="K5728" s="444">
        <f t="shared" ca="1" si="211"/>
        <v>1481659106069.6211</v>
      </c>
      <c r="L5728" s="444">
        <f t="shared" ca="1" si="212"/>
        <v>357079844562778.69</v>
      </c>
      <c r="M5728" s="460">
        <f t="shared" si="214"/>
        <v>0.05</v>
      </c>
      <c r="N5728" s="464">
        <f t="shared" si="215"/>
        <v>225388</v>
      </c>
    </row>
    <row r="5729" spans="7:14" ht="11.25" customHeight="1" x14ac:dyDescent="0.3">
      <c r="G5729" s="459"/>
      <c r="H5729" s="459">
        <v>5722</v>
      </c>
      <c r="I5729" s="444">
        <f t="shared" ca="1" si="213"/>
        <v>357079844562778.69</v>
      </c>
      <c r="J5729" s="444">
        <f t="array" ref="J5729">IFERROR(INDEX('Retirement Calculator'!J:J,MATCH('Isaac 401k'!N5729,'Retirement Calculator'!A:A,0),0),0)</f>
        <v>0</v>
      </c>
      <c r="K5729" s="444">
        <f t="shared" ca="1" si="211"/>
        <v>1487832685678.2446</v>
      </c>
      <c r="L5729" s="444">
        <f t="shared" ca="1" si="212"/>
        <v>358567677248456.94</v>
      </c>
      <c r="M5729" s="460">
        <f t="shared" si="214"/>
        <v>0.05</v>
      </c>
      <c r="N5729" s="464">
        <f t="shared" si="215"/>
        <v>225416</v>
      </c>
    </row>
    <row r="5730" spans="7:14" ht="11.25" customHeight="1" x14ac:dyDescent="0.3">
      <c r="G5730" s="459"/>
      <c r="H5730" s="459">
        <v>5723</v>
      </c>
      <c r="I5730" s="444">
        <f t="shared" ca="1" si="213"/>
        <v>358567677248456.94</v>
      </c>
      <c r="J5730" s="444">
        <f t="array" ref="J5730">IFERROR(INDEX('Retirement Calculator'!J:J,MATCH('Isaac 401k'!N5730,'Retirement Calculator'!A:A,0),0),0)</f>
        <v>0</v>
      </c>
      <c r="K5730" s="444">
        <f t="shared" ca="1" si="211"/>
        <v>1494031988535.2373</v>
      </c>
      <c r="L5730" s="444">
        <f t="shared" ca="1" si="212"/>
        <v>360061709236992.19</v>
      </c>
      <c r="M5730" s="460">
        <f t="shared" si="214"/>
        <v>0.05</v>
      </c>
      <c r="N5730" s="464">
        <f t="shared" si="215"/>
        <v>225447</v>
      </c>
    </row>
    <row r="5731" spans="7:14" ht="11.25" customHeight="1" x14ac:dyDescent="0.3">
      <c r="G5731" s="459"/>
      <c r="H5731" s="459">
        <v>5724</v>
      </c>
      <c r="I5731" s="444">
        <f t="shared" ca="1" si="213"/>
        <v>360061709236992.19</v>
      </c>
      <c r="J5731" s="444">
        <f t="array" ref="J5731">IFERROR(INDEX('Retirement Calculator'!J:J,MATCH('Isaac 401k'!N5731,'Retirement Calculator'!A:A,0),0),0)</f>
        <v>0</v>
      </c>
      <c r="K5731" s="444">
        <f t="shared" ca="1" si="211"/>
        <v>1500257121820.8008</v>
      </c>
      <c r="L5731" s="444">
        <f t="shared" ca="1" si="212"/>
        <v>361561966358813</v>
      </c>
      <c r="M5731" s="460">
        <f t="shared" si="214"/>
        <v>0.05</v>
      </c>
      <c r="N5731" s="464">
        <f t="shared" si="215"/>
        <v>225477</v>
      </c>
    </row>
    <row r="5732" spans="7:14" ht="11.25" customHeight="1" x14ac:dyDescent="0.3">
      <c r="G5732" s="459"/>
      <c r="H5732" s="459">
        <v>5725</v>
      </c>
      <c r="I5732" s="444">
        <f t="shared" ca="1" si="213"/>
        <v>361561966358813</v>
      </c>
      <c r="J5732" s="444">
        <f t="array" ref="J5732">IFERROR(INDEX('Retirement Calculator'!J:J,MATCH('Isaac 401k'!N5732,'Retirement Calculator'!A:A,0),0),0)</f>
        <v>0</v>
      </c>
      <c r="K5732" s="444">
        <f t="shared" ca="1" si="211"/>
        <v>1506508193161.7207</v>
      </c>
      <c r="L5732" s="444">
        <f t="shared" ca="1" si="212"/>
        <v>363068474551974.75</v>
      </c>
      <c r="M5732" s="460">
        <f t="shared" si="214"/>
        <v>0.05</v>
      </c>
      <c r="N5732" s="464">
        <f t="shared" si="215"/>
        <v>225508</v>
      </c>
    </row>
    <row r="5733" spans="7:14" ht="11.25" customHeight="1" x14ac:dyDescent="0.3">
      <c r="G5733" s="459"/>
      <c r="H5733" s="459">
        <v>5726</v>
      </c>
      <c r="I5733" s="444">
        <f t="shared" ca="1" si="213"/>
        <v>363068474551974.75</v>
      </c>
      <c r="J5733" s="444">
        <f t="array" ref="J5733">IFERROR(INDEX('Retirement Calculator'!J:J,MATCH('Isaac 401k'!N5733,'Retirement Calculator'!A:A,0),0),0)</f>
        <v>0</v>
      </c>
      <c r="K5733" s="444">
        <f t="shared" ca="1" si="211"/>
        <v>1512785310633.228</v>
      </c>
      <c r="L5733" s="444">
        <f t="shared" ca="1" si="212"/>
        <v>364581259862608</v>
      </c>
      <c r="M5733" s="460">
        <f t="shared" si="214"/>
        <v>0.05</v>
      </c>
      <c r="N5733" s="464">
        <f t="shared" si="215"/>
        <v>225538</v>
      </c>
    </row>
    <row r="5734" spans="7:14" ht="11.25" customHeight="1" x14ac:dyDescent="0.3">
      <c r="G5734" s="459"/>
      <c r="H5734" s="459">
        <v>5727</v>
      </c>
      <c r="I5734" s="444">
        <f t="shared" ca="1" si="213"/>
        <v>364581259862608</v>
      </c>
      <c r="J5734" s="444">
        <f t="array" ref="J5734">IFERROR(INDEX('Retirement Calculator'!J:J,MATCH('Isaac 401k'!N5734,'Retirement Calculator'!A:A,0),0),0)</f>
        <v>0</v>
      </c>
      <c r="K5734" s="444">
        <f t="shared" ca="1" si="211"/>
        <v>1519088582760.8667</v>
      </c>
      <c r="L5734" s="444">
        <f t="shared" ca="1" si="212"/>
        <v>366100348445368.88</v>
      </c>
      <c r="M5734" s="460">
        <f t="shared" si="214"/>
        <v>0.05</v>
      </c>
      <c r="N5734" s="464">
        <f t="shared" si="215"/>
        <v>225569</v>
      </c>
    </row>
    <row r="5735" spans="7:14" ht="11.25" customHeight="1" x14ac:dyDescent="0.3">
      <c r="G5735" s="459"/>
      <c r="H5735" s="459">
        <v>5728</v>
      </c>
      <c r="I5735" s="444">
        <f t="shared" ca="1" si="213"/>
        <v>366100348445368.88</v>
      </c>
      <c r="J5735" s="444">
        <f t="array" ref="J5735">IFERROR(INDEX('Retirement Calculator'!J:J,MATCH('Isaac 401k'!N5735,'Retirement Calculator'!A:A,0),0),0)</f>
        <v>0</v>
      </c>
      <c r="K5735" s="444">
        <f t="shared" ca="1" si="211"/>
        <v>1525418118522.3704</v>
      </c>
      <c r="L5735" s="444">
        <f t="shared" ca="1" si="212"/>
        <v>367625766563891.25</v>
      </c>
      <c r="M5735" s="460">
        <f t="shared" si="214"/>
        <v>0.05</v>
      </c>
      <c r="N5735" s="464">
        <f t="shared" si="215"/>
        <v>225600</v>
      </c>
    </row>
    <row r="5736" spans="7:14" ht="11.25" customHeight="1" x14ac:dyDescent="0.3">
      <c r="G5736" s="459"/>
      <c r="H5736" s="459">
        <v>5729</v>
      </c>
      <c r="I5736" s="444">
        <f t="shared" ca="1" si="213"/>
        <v>367625766563891.25</v>
      </c>
      <c r="J5736" s="444">
        <f t="array" ref="J5736">IFERROR(INDEX('Retirement Calculator'!J:J,MATCH('Isaac 401k'!N5736,'Retirement Calculator'!A:A,0),0),0)</f>
        <v>0</v>
      </c>
      <c r="K5736" s="444">
        <f t="shared" ca="1" si="211"/>
        <v>1531774027349.5469</v>
      </c>
      <c r="L5736" s="444">
        <f t="shared" ca="1" si="212"/>
        <v>369157540591240.81</v>
      </c>
      <c r="M5736" s="460">
        <f t="shared" si="214"/>
        <v>0.05</v>
      </c>
      <c r="N5736" s="464">
        <f t="shared" si="215"/>
        <v>225630</v>
      </c>
    </row>
    <row r="5737" spans="7:14" ht="11.25" customHeight="1" x14ac:dyDescent="0.3">
      <c r="G5737" s="459"/>
      <c r="H5737" s="459">
        <v>5730</v>
      </c>
      <c r="I5737" s="444">
        <f t="shared" ca="1" si="213"/>
        <v>369157540591240.81</v>
      </c>
      <c r="J5737" s="444">
        <f t="array" ref="J5737">IFERROR(INDEX('Retirement Calculator'!J:J,MATCH('Isaac 401k'!N5737,'Retirement Calculator'!A:A,0),0),0)</f>
        <v>0</v>
      </c>
      <c r="K5737" s="444">
        <f t="shared" ca="1" si="211"/>
        <v>1538156419130.1699</v>
      </c>
      <c r="L5737" s="444">
        <f t="shared" ca="1" si="212"/>
        <v>370695697010371</v>
      </c>
      <c r="M5737" s="460">
        <f t="shared" si="214"/>
        <v>0.05</v>
      </c>
      <c r="N5737" s="464">
        <f t="shared" si="215"/>
        <v>225661</v>
      </c>
    </row>
    <row r="5738" spans="7:14" ht="11.25" customHeight="1" x14ac:dyDescent="0.3">
      <c r="G5738" s="459"/>
      <c r="H5738" s="459">
        <v>5731</v>
      </c>
      <c r="I5738" s="444">
        <f t="shared" ca="1" si="213"/>
        <v>370695697010371</v>
      </c>
      <c r="J5738" s="444">
        <f t="array" ref="J5738">IFERROR(INDEX('Retirement Calculator'!J:J,MATCH('Isaac 401k'!N5738,'Retirement Calculator'!A:A,0),0),0)</f>
        <v>0</v>
      </c>
      <c r="K5738" s="444">
        <f t="shared" ca="1" si="211"/>
        <v>1544565404209.8792</v>
      </c>
      <c r="L5738" s="444">
        <f t="shared" ca="1" si="212"/>
        <v>372240262414580.88</v>
      </c>
      <c r="M5738" s="460">
        <f t="shared" si="214"/>
        <v>0.05</v>
      </c>
      <c r="N5738" s="464">
        <f t="shared" si="215"/>
        <v>225691</v>
      </c>
    </row>
    <row r="5739" spans="7:14" ht="11.25" customHeight="1" x14ac:dyDescent="0.3">
      <c r="G5739" s="459"/>
      <c r="H5739" s="459">
        <v>5732</v>
      </c>
      <c r="I5739" s="444">
        <f t="shared" ca="1" si="213"/>
        <v>372240262414580.88</v>
      </c>
      <c r="J5739" s="444">
        <f t="array" ref="J5739">IFERROR(INDEX('Retirement Calculator'!J:J,MATCH('Isaac 401k'!N5739,'Retirement Calculator'!A:A,0),0),0)</f>
        <v>0</v>
      </c>
      <c r="K5739" s="444">
        <f t="shared" ca="1" si="211"/>
        <v>1551001093394.0869</v>
      </c>
      <c r="L5739" s="444">
        <f t="shared" ca="1" si="212"/>
        <v>373791263507974.94</v>
      </c>
      <c r="M5739" s="460">
        <f t="shared" si="214"/>
        <v>0.05</v>
      </c>
      <c r="N5739" s="464">
        <f t="shared" si="215"/>
        <v>225722</v>
      </c>
    </row>
    <row r="5740" spans="7:14" ht="11.25" customHeight="1" x14ac:dyDescent="0.3">
      <c r="G5740" s="459"/>
      <c r="H5740" s="459">
        <v>5733</v>
      </c>
      <c r="I5740" s="444">
        <f t="shared" ca="1" si="213"/>
        <v>373791263507974.94</v>
      </c>
      <c r="J5740" s="444">
        <f t="array" ref="J5740">IFERROR(INDEX('Retirement Calculator'!J:J,MATCH('Isaac 401k'!N5740,'Retirement Calculator'!A:A,0),0),0)</f>
        <v>0</v>
      </c>
      <c r="K5740" s="444">
        <f t="shared" ca="1" si="211"/>
        <v>1557463597949.8955</v>
      </c>
      <c r="L5740" s="444">
        <f t="shared" ca="1" si="212"/>
        <v>375348727105924.81</v>
      </c>
      <c r="M5740" s="460">
        <f t="shared" si="214"/>
        <v>0.05</v>
      </c>
      <c r="N5740" s="464">
        <f t="shared" si="215"/>
        <v>225753</v>
      </c>
    </row>
    <row r="5741" spans="7:14" ht="11.25" customHeight="1" x14ac:dyDescent="0.3">
      <c r="G5741" s="459"/>
      <c r="H5741" s="459">
        <v>5734</v>
      </c>
      <c r="I5741" s="444">
        <f t="shared" ca="1" si="213"/>
        <v>375348727105924.81</v>
      </c>
      <c r="J5741" s="444">
        <f t="array" ref="J5741">IFERROR(INDEX('Retirement Calculator'!J:J,MATCH('Isaac 401k'!N5741,'Retirement Calculator'!A:A,0),0),0)</f>
        <v>0</v>
      </c>
      <c r="K5741" s="444">
        <f t="shared" ca="1" si="211"/>
        <v>1563953029608.02</v>
      </c>
      <c r="L5741" s="444">
        <f t="shared" ca="1" si="212"/>
        <v>376912680135532.81</v>
      </c>
      <c r="M5741" s="460">
        <f t="shared" si="214"/>
        <v>0.05</v>
      </c>
      <c r="N5741" s="464">
        <f t="shared" si="215"/>
        <v>225781</v>
      </c>
    </row>
    <row r="5742" spans="7:14" ht="11.25" customHeight="1" x14ac:dyDescent="0.3">
      <c r="G5742" s="459"/>
      <c r="H5742" s="459">
        <v>5735</v>
      </c>
      <c r="I5742" s="444">
        <f t="shared" ca="1" si="213"/>
        <v>376912680135532.81</v>
      </c>
      <c r="J5742" s="444">
        <f t="array" ref="J5742">IFERROR(INDEX('Retirement Calculator'!J:J,MATCH('Isaac 401k'!N5742,'Retirement Calculator'!A:A,0),0),0)</f>
        <v>0</v>
      </c>
      <c r="K5742" s="444">
        <f t="shared" ca="1" si="211"/>
        <v>1570469500564.72</v>
      </c>
      <c r="L5742" s="444">
        <f t="shared" ca="1" si="212"/>
        <v>378483149636097.56</v>
      </c>
      <c r="M5742" s="460">
        <f t="shared" si="214"/>
        <v>0.05</v>
      </c>
      <c r="N5742" s="464">
        <f t="shared" si="215"/>
        <v>225812</v>
      </c>
    </row>
    <row r="5743" spans="7:14" ht="11.25" customHeight="1" x14ac:dyDescent="0.3">
      <c r="G5743" s="459"/>
      <c r="H5743" s="459">
        <v>5736</v>
      </c>
      <c r="I5743" s="444">
        <f t="shared" ca="1" si="213"/>
        <v>378483149636097.56</v>
      </c>
      <c r="J5743" s="444">
        <f t="array" ref="J5743">IFERROR(INDEX('Retirement Calculator'!J:J,MATCH('Isaac 401k'!N5743,'Retirement Calculator'!A:A,0),0),0)</f>
        <v>0</v>
      </c>
      <c r="K5743" s="444">
        <f t="shared" ca="1" si="211"/>
        <v>1577013123483.7397</v>
      </c>
      <c r="L5743" s="444">
        <f t="shared" ca="1" si="212"/>
        <v>380060162759581.31</v>
      </c>
      <c r="M5743" s="460">
        <f t="shared" si="214"/>
        <v>0.05</v>
      </c>
      <c r="N5743" s="464">
        <f t="shared" si="215"/>
        <v>225842</v>
      </c>
    </row>
    <row r="5744" spans="7:14" ht="11.25" customHeight="1" x14ac:dyDescent="0.3">
      <c r="G5744" s="459"/>
      <c r="H5744" s="459">
        <v>5737</v>
      </c>
      <c r="I5744" s="444">
        <f t="shared" ca="1" si="213"/>
        <v>380060162759581.31</v>
      </c>
      <c r="J5744" s="444">
        <f t="array" ref="J5744">IFERROR(INDEX('Retirement Calculator'!J:J,MATCH('Isaac 401k'!N5744,'Retirement Calculator'!A:A,0),0),0)</f>
        <v>0</v>
      </c>
      <c r="K5744" s="444">
        <f t="shared" ca="1" si="211"/>
        <v>1583584011498.2554</v>
      </c>
      <c r="L5744" s="444">
        <f t="shared" ca="1" si="212"/>
        <v>381643746771079.56</v>
      </c>
      <c r="M5744" s="460">
        <f t="shared" si="214"/>
        <v>0.05</v>
      </c>
      <c r="N5744" s="464">
        <f t="shared" si="215"/>
        <v>225873</v>
      </c>
    </row>
    <row r="5745" spans="7:14" ht="11.25" customHeight="1" x14ac:dyDescent="0.3">
      <c r="G5745" s="459"/>
      <c r="H5745" s="459">
        <v>5738</v>
      </c>
      <c r="I5745" s="444">
        <f t="shared" ca="1" si="213"/>
        <v>381643746771079.56</v>
      </c>
      <c r="J5745" s="444">
        <f t="array" ref="J5745">IFERROR(INDEX('Retirement Calculator'!J:J,MATCH('Isaac 401k'!N5745,'Retirement Calculator'!A:A,0),0),0)</f>
        <v>0</v>
      </c>
      <c r="K5745" s="444">
        <f t="shared" ca="1" si="211"/>
        <v>1590182278212.8315</v>
      </c>
      <c r="L5745" s="444">
        <f t="shared" ca="1" si="212"/>
        <v>383233929049292.38</v>
      </c>
      <c r="M5745" s="460">
        <f t="shared" si="214"/>
        <v>0.05</v>
      </c>
      <c r="N5745" s="464">
        <f t="shared" si="215"/>
        <v>225903</v>
      </c>
    </row>
    <row r="5746" spans="7:14" ht="11.25" customHeight="1" x14ac:dyDescent="0.3">
      <c r="G5746" s="459"/>
      <c r="H5746" s="459">
        <v>5739</v>
      </c>
      <c r="I5746" s="444">
        <f t="shared" ca="1" si="213"/>
        <v>383233929049292.38</v>
      </c>
      <c r="J5746" s="444">
        <f t="array" ref="J5746">IFERROR(INDEX('Retirement Calculator'!J:J,MATCH('Isaac 401k'!N5746,'Retirement Calculator'!A:A,0),0),0)</f>
        <v>0</v>
      </c>
      <c r="K5746" s="444">
        <f t="shared" ca="1" si="211"/>
        <v>1596808037705.3848</v>
      </c>
      <c r="L5746" s="444">
        <f t="shared" ca="1" si="212"/>
        <v>384830737086997.75</v>
      </c>
      <c r="M5746" s="460">
        <f t="shared" si="214"/>
        <v>0.05</v>
      </c>
      <c r="N5746" s="464">
        <f t="shared" si="215"/>
        <v>225934</v>
      </c>
    </row>
    <row r="5747" spans="7:14" ht="11.25" customHeight="1" x14ac:dyDescent="0.3">
      <c r="G5747" s="459"/>
      <c r="H5747" s="459">
        <v>5740</v>
      </c>
      <c r="I5747" s="444">
        <f t="shared" ca="1" si="213"/>
        <v>384830737086997.75</v>
      </c>
      <c r="J5747" s="444">
        <f t="array" ref="J5747">IFERROR(INDEX('Retirement Calculator'!J:J,MATCH('Isaac 401k'!N5747,'Retirement Calculator'!A:A,0),0),0)</f>
        <v>0</v>
      </c>
      <c r="K5747" s="444">
        <f t="shared" ca="1" si="211"/>
        <v>1603461404529.1572</v>
      </c>
      <c r="L5747" s="444">
        <f t="shared" ca="1" si="212"/>
        <v>386434198491526.94</v>
      </c>
      <c r="M5747" s="460">
        <f t="shared" si="214"/>
        <v>0.05</v>
      </c>
      <c r="N5747" s="464">
        <f t="shared" si="215"/>
        <v>225965</v>
      </c>
    </row>
    <row r="5748" spans="7:14" ht="11.25" customHeight="1" x14ac:dyDescent="0.3">
      <c r="G5748" s="459"/>
      <c r="H5748" s="459">
        <v>5741</v>
      </c>
      <c r="I5748" s="444">
        <f t="shared" ca="1" si="213"/>
        <v>386434198491526.94</v>
      </c>
      <c r="J5748" s="444">
        <f t="array" ref="J5748">IFERROR(INDEX('Retirement Calculator'!J:J,MATCH('Isaac 401k'!N5748,'Retirement Calculator'!A:A,0),0),0)</f>
        <v>0</v>
      </c>
      <c r="K5748" s="444">
        <f t="shared" ca="1" si="211"/>
        <v>1610142493714.6956</v>
      </c>
      <c r="L5748" s="444">
        <f t="shared" ca="1" si="212"/>
        <v>388044340985241.63</v>
      </c>
      <c r="M5748" s="460">
        <f t="shared" si="214"/>
        <v>0.05</v>
      </c>
      <c r="N5748" s="464">
        <f t="shared" si="215"/>
        <v>225995</v>
      </c>
    </row>
    <row r="5749" spans="7:14" ht="11.25" customHeight="1" x14ac:dyDescent="0.3">
      <c r="G5749" s="459"/>
      <c r="H5749" s="459">
        <v>5742</v>
      </c>
      <c r="I5749" s="444">
        <f t="shared" ca="1" si="213"/>
        <v>388044340985241.63</v>
      </c>
      <c r="J5749" s="444">
        <f t="array" ref="J5749">IFERROR(INDEX('Retirement Calculator'!J:J,MATCH('Isaac 401k'!N5749,'Retirement Calculator'!A:A,0),0),0)</f>
        <v>0</v>
      </c>
      <c r="K5749" s="444">
        <f t="shared" ca="1" si="211"/>
        <v>1616851420771.8401</v>
      </c>
      <c r="L5749" s="444">
        <f t="shared" ca="1" si="212"/>
        <v>389661192406013.44</v>
      </c>
      <c r="M5749" s="460">
        <f t="shared" si="214"/>
        <v>0.05</v>
      </c>
      <c r="N5749" s="464">
        <f t="shared" si="215"/>
        <v>226026</v>
      </c>
    </row>
    <row r="5750" spans="7:14" ht="11.25" customHeight="1" x14ac:dyDescent="0.3">
      <c r="G5750" s="459"/>
      <c r="H5750" s="459">
        <v>5743</v>
      </c>
      <c r="I5750" s="444">
        <f t="shared" ca="1" si="213"/>
        <v>389661192406013.44</v>
      </c>
      <c r="J5750" s="444">
        <f t="array" ref="J5750">IFERROR(INDEX('Retirement Calculator'!J:J,MATCH('Isaac 401k'!N5750,'Retirement Calculator'!A:A,0),0),0)</f>
        <v>0</v>
      </c>
      <c r="K5750" s="444">
        <f t="shared" ca="1" si="211"/>
        <v>1623588301691.7227</v>
      </c>
      <c r="L5750" s="444">
        <f t="shared" ca="1" si="212"/>
        <v>391284780707705.19</v>
      </c>
      <c r="M5750" s="460">
        <f t="shared" si="214"/>
        <v>0.05</v>
      </c>
      <c r="N5750" s="464">
        <f t="shared" si="215"/>
        <v>226056</v>
      </c>
    </row>
    <row r="5751" spans="7:14" ht="11.25" customHeight="1" x14ac:dyDescent="0.3">
      <c r="G5751" s="459"/>
      <c r="H5751" s="459">
        <v>5744</v>
      </c>
      <c r="I5751" s="444">
        <f t="shared" ca="1" si="213"/>
        <v>391284780707705.19</v>
      </c>
      <c r="J5751" s="444">
        <f t="array" ref="J5751">IFERROR(INDEX('Retirement Calculator'!J:J,MATCH('Isaac 401k'!N5751,'Retirement Calculator'!A:A,0),0),0)</f>
        <v>0</v>
      </c>
      <c r="K5751" s="444">
        <f t="shared" ca="1" si="211"/>
        <v>1630353252948.7715</v>
      </c>
      <c r="L5751" s="444">
        <f t="shared" ca="1" si="212"/>
        <v>392915133960653.94</v>
      </c>
      <c r="M5751" s="460">
        <f t="shared" si="214"/>
        <v>0.05</v>
      </c>
      <c r="N5751" s="464">
        <f t="shared" si="215"/>
        <v>226087</v>
      </c>
    </row>
    <row r="5752" spans="7:14" ht="11.25" customHeight="1" x14ac:dyDescent="0.3">
      <c r="G5752" s="459"/>
      <c r="H5752" s="459">
        <v>5745</v>
      </c>
      <c r="I5752" s="444">
        <f t="shared" ca="1" si="213"/>
        <v>392915133960653.94</v>
      </c>
      <c r="J5752" s="444">
        <f t="array" ref="J5752">IFERROR(INDEX('Retirement Calculator'!J:J,MATCH('Isaac 401k'!N5752,'Retirement Calculator'!A:A,0),0),0)</f>
        <v>0</v>
      </c>
      <c r="K5752" s="444">
        <f t="shared" ca="1" si="211"/>
        <v>1637146391502.7246</v>
      </c>
      <c r="L5752" s="444">
        <f t="shared" ca="1" si="212"/>
        <v>394552280352156.69</v>
      </c>
      <c r="M5752" s="460">
        <f t="shared" si="214"/>
        <v>0.05</v>
      </c>
      <c r="N5752" s="464">
        <f t="shared" si="215"/>
        <v>226118</v>
      </c>
    </row>
    <row r="5753" spans="7:14" ht="11.25" customHeight="1" x14ac:dyDescent="0.3">
      <c r="G5753" s="459"/>
      <c r="H5753" s="459">
        <v>5746</v>
      </c>
      <c r="I5753" s="444">
        <f t="shared" ca="1" si="213"/>
        <v>394552280352156.69</v>
      </c>
      <c r="J5753" s="444">
        <f t="array" ref="J5753">IFERROR(INDEX('Retirement Calculator'!J:J,MATCH('Isaac 401k'!N5753,'Retirement Calculator'!A:A,0),0),0)</f>
        <v>0</v>
      </c>
      <c r="K5753" s="444">
        <f t="shared" ca="1" si="211"/>
        <v>1643967834800.6528</v>
      </c>
      <c r="L5753" s="444">
        <f t="shared" ca="1" si="212"/>
        <v>396196248186957.31</v>
      </c>
      <c r="M5753" s="460">
        <f t="shared" si="214"/>
        <v>0.05</v>
      </c>
      <c r="N5753" s="464">
        <f t="shared" si="215"/>
        <v>226146</v>
      </c>
    </row>
    <row r="5754" spans="7:14" ht="11.25" customHeight="1" x14ac:dyDescent="0.3">
      <c r="G5754" s="459"/>
      <c r="H5754" s="459">
        <v>5747</v>
      </c>
      <c r="I5754" s="444">
        <f t="shared" ca="1" si="213"/>
        <v>396196248186957.31</v>
      </c>
      <c r="J5754" s="444">
        <f t="array" ref="J5754">IFERROR(INDEX('Retirement Calculator'!J:J,MATCH('Isaac 401k'!N5754,'Retirement Calculator'!A:A,0),0),0)</f>
        <v>0</v>
      </c>
      <c r="K5754" s="444">
        <f t="shared" ca="1" si="211"/>
        <v>1650817700778.9888</v>
      </c>
      <c r="L5754" s="444">
        <f t="shared" ca="1" si="212"/>
        <v>397847065887736.31</v>
      </c>
      <c r="M5754" s="460">
        <f t="shared" si="214"/>
        <v>0.05</v>
      </c>
      <c r="N5754" s="464">
        <f t="shared" si="215"/>
        <v>226177</v>
      </c>
    </row>
    <row r="5755" spans="7:14" ht="11.25" customHeight="1" x14ac:dyDescent="0.3">
      <c r="G5755" s="459"/>
      <c r="H5755" s="459">
        <v>5748</v>
      </c>
      <c r="I5755" s="444">
        <f t="shared" ca="1" si="213"/>
        <v>397847065887736.31</v>
      </c>
      <c r="J5755" s="444">
        <f t="array" ref="J5755">IFERROR(INDEX('Retirement Calculator'!J:J,MATCH('Isaac 401k'!N5755,'Retirement Calculator'!A:A,0),0),0)</f>
        <v>0</v>
      </c>
      <c r="K5755" s="444">
        <f t="shared" ca="1" si="211"/>
        <v>1657696107865.5679</v>
      </c>
      <c r="L5755" s="444">
        <f t="shared" ca="1" si="212"/>
        <v>399504761995601.88</v>
      </c>
      <c r="M5755" s="460">
        <f t="shared" si="214"/>
        <v>0.05</v>
      </c>
      <c r="N5755" s="464">
        <f t="shared" si="215"/>
        <v>226207</v>
      </c>
    </row>
    <row r="5756" spans="7:14" ht="11.25" customHeight="1" x14ac:dyDescent="0.3">
      <c r="G5756" s="459"/>
      <c r="H5756" s="459">
        <v>5749</v>
      </c>
      <c r="I5756" s="444">
        <f t="shared" ca="1" si="213"/>
        <v>399504761995601.88</v>
      </c>
      <c r="J5756" s="444">
        <f t="array" ref="J5756">IFERROR(INDEX('Retirement Calculator'!J:J,MATCH('Isaac 401k'!N5756,'Retirement Calculator'!A:A,0),0),0)</f>
        <v>0</v>
      </c>
      <c r="K5756" s="444">
        <f t="shared" ca="1" si="211"/>
        <v>1664603174981.6746</v>
      </c>
      <c r="L5756" s="444">
        <f t="shared" ca="1" si="212"/>
        <v>401169365170583.56</v>
      </c>
      <c r="M5756" s="460">
        <f t="shared" si="214"/>
        <v>0.05</v>
      </c>
      <c r="N5756" s="464">
        <f t="shared" si="215"/>
        <v>226238</v>
      </c>
    </row>
    <row r="5757" spans="7:14" ht="11.25" customHeight="1" x14ac:dyDescent="0.3">
      <c r="G5757" s="459"/>
      <c r="H5757" s="459">
        <v>5750</v>
      </c>
      <c r="I5757" s="444">
        <f t="shared" ca="1" si="213"/>
        <v>401169365170583.56</v>
      </c>
      <c r="J5757" s="444">
        <f t="array" ref="J5757">IFERROR(INDEX('Retirement Calculator'!J:J,MATCH('Isaac 401k'!N5757,'Retirement Calculator'!A:A,0),0),0)</f>
        <v>0</v>
      </c>
      <c r="K5757" s="444">
        <f t="shared" ca="1" si="211"/>
        <v>1671539021544.0981</v>
      </c>
      <c r="L5757" s="444">
        <f t="shared" ca="1" si="212"/>
        <v>402840904192127.69</v>
      </c>
      <c r="M5757" s="460">
        <f t="shared" si="214"/>
        <v>0.05</v>
      </c>
      <c r="N5757" s="464">
        <f t="shared" si="215"/>
        <v>226268</v>
      </c>
    </row>
    <row r="5758" spans="7:14" ht="11.25" customHeight="1" x14ac:dyDescent="0.3">
      <c r="G5758" s="459"/>
      <c r="H5758" s="459">
        <v>5751</v>
      </c>
      <c r="I5758" s="444">
        <f t="shared" ca="1" si="213"/>
        <v>402840904192127.69</v>
      </c>
      <c r="J5758" s="444">
        <f t="array" ref="J5758">IFERROR(INDEX('Retirement Calculator'!J:J,MATCH('Isaac 401k'!N5758,'Retirement Calculator'!A:A,0),0),0)</f>
        <v>0</v>
      </c>
      <c r="K5758" s="444">
        <f t="shared" ca="1" si="211"/>
        <v>1678503767467.1987</v>
      </c>
      <c r="L5758" s="444">
        <f t="shared" ca="1" si="212"/>
        <v>404519407959594.88</v>
      </c>
      <c r="M5758" s="460">
        <f t="shared" si="214"/>
        <v>0.05</v>
      </c>
      <c r="N5758" s="464">
        <f t="shared" si="215"/>
        <v>226299</v>
      </c>
    </row>
    <row r="5759" spans="7:14" ht="11.25" customHeight="1" x14ac:dyDescent="0.3">
      <c r="G5759" s="459"/>
      <c r="H5759" s="459">
        <v>5752</v>
      </c>
      <c r="I5759" s="444">
        <f t="shared" ca="1" si="213"/>
        <v>404519407959594.88</v>
      </c>
      <c r="J5759" s="444">
        <f t="array" ref="J5759">IFERROR(INDEX('Retirement Calculator'!J:J,MATCH('Isaac 401k'!N5759,'Retirement Calculator'!A:A,0),0),0)</f>
        <v>0</v>
      </c>
      <c r="K5759" s="444">
        <f t="shared" ca="1" si="211"/>
        <v>1685497533164.9785</v>
      </c>
      <c r="L5759" s="444">
        <f t="shared" ca="1" si="212"/>
        <v>406204905492759.88</v>
      </c>
      <c r="M5759" s="460">
        <f t="shared" si="214"/>
        <v>0.05</v>
      </c>
      <c r="N5759" s="464">
        <f t="shared" si="215"/>
        <v>226330</v>
      </c>
    </row>
    <row r="5760" spans="7:14" ht="11.25" customHeight="1" x14ac:dyDescent="0.3">
      <c r="G5760" s="459"/>
      <c r="H5760" s="459">
        <v>5753</v>
      </c>
      <c r="I5760" s="444">
        <f t="shared" ca="1" si="213"/>
        <v>406204905492759.88</v>
      </c>
      <c r="J5760" s="444">
        <f t="array" ref="J5760">IFERROR(INDEX('Retirement Calculator'!J:J,MATCH('Isaac 401k'!N5760,'Retirement Calculator'!A:A,0),0),0)</f>
        <v>0</v>
      </c>
      <c r="K5760" s="444">
        <f t="shared" ca="1" si="211"/>
        <v>1692520439553.166</v>
      </c>
      <c r="L5760" s="444">
        <f t="shared" ca="1" si="212"/>
        <v>407897425932313.06</v>
      </c>
      <c r="M5760" s="460">
        <f t="shared" si="214"/>
        <v>0.05</v>
      </c>
      <c r="N5760" s="464">
        <f t="shared" si="215"/>
        <v>226360</v>
      </c>
    </row>
    <row r="5761" spans="7:14" ht="11.25" customHeight="1" x14ac:dyDescent="0.3">
      <c r="G5761" s="459"/>
      <c r="H5761" s="459">
        <v>5754</v>
      </c>
      <c r="I5761" s="444">
        <f t="shared" ca="1" si="213"/>
        <v>407897425932313.06</v>
      </c>
      <c r="J5761" s="444">
        <f t="array" ref="J5761">IFERROR(INDEX('Retirement Calculator'!J:J,MATCH('Isaac 401k'!N5761,'Retirement Calculator'!A:A,0),0),0)</f>
        <v>0</v>
      </c>
      <c r="K5761" s="444">
        <f t="shared" ca="1" si="211"/>
        <v>1699572608051.3044</v>
      </c>
      <c r="L5761" s="444">
        <f t="shared" ca="1" si="212"/>
        <v>409596998540364.38</v>
      </c>
      <c r="M5761" s="460">
        <f t="shared" si="214"/>
        <v>0.05</v>
      </c>
      <c r="N5761" s="464">
        <f t="shared" si="215"/>
        <v>226391</v>
      </c>
    </row>
    <row r="5762" spans="7:14" ht="11.25" customHeight="1" x14ac:dyDescent="0.3">
      <c r="G5762" s="459"/>
      <c r="H5762" s="459">
        <v>5755</v>
      </c>
      <c r="I5762" s="444">
        <f t="shared" ca="1" si="213"/>
        <v>409596998540364.38</v>
      </c>
      <c r="J5762" s="444">
        <f t="array" ref="J5762">IFERROR(INDEX('Retirement Calculator'!J:J,MATCH('Isaac 401k'!N5762,'Retirement Calculator'!A:A,0),0),0)</f>
        <v>0</v>
      </c>
      <c r="K5762" s="444">
        <f t="shared" ca="1" si="211"/>
        <v>1706654160584.8516</v>
      </c>
      <c r="L5762" s="444">
        <f t="shared" ca="1" si="212"/>
        <v>411303652700949.25</v>
      </c>
      <c r="M5762" s="460">
        <f t="shared" si="214"/>
        <v>0.05</v>
      </c>
      <c r="N5762" s="464">
        <f t="shared" si="215"/>
        <v>226421</v>
      </c>
    </row>
    <row r="5763" spans="7:14" ht="11.25" customHeight="1" x14ac:dyDescent="0.3">
      <c r="G5763" s="459"/>
      <c r="H5763" s="459">
        <v>5756</v>
      </c>
      <c r="I5763" s="444">
        <f t="shared" ca="1" si="213"/>
        <v>411303652700949.25</v>
      </c>
      <c r="J5763" s="444">
        <f t="array" ref="J5763">IFERROR(INDEX('Retirement Calculator'!J:J,MATCH('Isaac 401k'!N5763,'Retirement Calculator'!A:A,0),0),0)</f>
        <v>0</v>
      </c>
      <c r="K5763" s="444">
        <f t="shared" ca="1" si="211"/>
        <v>1713765219587.2886</v>
      </c>
      <c r="L5763" s="444">
        <f t="shared" ca="1" si="212"/>
        <v>413017417920536.56</v>
      </c>
      <c r="M5763" s="460">
        <f t="shared" si="214"/>
        <v>0.05</v>
      </c>
      <c r="N5763" s="464">
        <f t="shared" si="215"/>
        <v>226452</v>
      </c>
    </row>
    <row r="5764" spans="7:14" ht="11.25" customHeight="1" x14ac:dyDescent="0.3">
      <c r="G5764" s="459"/>
      <c r="H5764" s="459">
        <v>5757</v>
      </c>
      <c r="I5764" s="444">
        <f t="shared" ca="1" si="213"/>
        <v>413017417920536.56</v>
      </c>
      <c r="J5764" s="444">
        <f t="array" ref="J5764">IFERROR(INDEX('Retirement Calculator'!J:J,MATCH('Isaac 401k'!N5764,'Retirement Calculator'!A:A,0),0),0)</f>
        <v>0</v>
      </c>
      <c r="K5764" s="444">
        <f t="shared" ca="1" si="211"/>
        <v>1720905908002.2356</v>
      </c>
      <c r="L5764" s="444">
        <f t="shared" ca="1" si="212"/>
        <v>414738323828538.81</v>
      </c>
      <c r="M5764" s="460">
        <f t="shared" si="214"/>
        <v>0.05</v>
      </c>
      <c r="N5764" s="464">
        <f t="shared" si="215"/>
        <v>226483</v>
      </c>
    </row>
    <row r="5765" spans="7:14" ht="11.25" customHeight="1" x14ac:dyDescent="0.3">
      <c r="G5765" s="459"/>
      <c r="H5765" s="459">
        <v>5758</v>
      </c>
      <c r="I5765" s="444">
        <f t="shared" ca="1" si="213"/>
        <v>414738323828538.81</v>
      </c>
      <c r="J5765" s="444">
        <f t="array" ref="J5765">IFERROR(INDEX('Retirement Calculator'!J:J,MATCH('Isaac 401k'!N5765,'Retirement Calculator'!A:A,0),0),0)</f>
        <v>0</v>
      </c>
      <c r="K5765" s="444">
        <f t="shared" ca="1" si="211"/>
        <v>1728076349285.5784</v>
      </c>
      <c r="L5765" s="444">
        <f t="shared" ca="1" si="212"/>
        <v>416466400177824.38</v>
      </c>
      <c r="M5765" s="460">
        <f t="shared" si="214"/>
        <v>0.05</v>
      </c>
      <c r="N5765" s="464">
        <f t="shared" si="215"/>
        <v>226512</v>
      </c>
    </row>
    <row r="5766" spans="7:14" ht="11.25" customHeight="1" x14ac:dyDescent="0.3">
      <c r="G5766" s="459"/>
      <c r="H5766" s="459">
        <v>5759</v>
      </c>
      <c r="I5766" s="444">
        <f t="shared" ca="1" si="213"/>
        <v>416466400177824.38</v>
      </c>
      <c r="J5766" s="444">
        <f t="array" ref="J5766">IFERROR(INDEX('Retirement Calculator'!J:J,MATCH('Isaac 401k'!N5766,'Retirement Calculator'!A:A,0),0),0)</f>
        <v>0</v>
      </c>
      <c r="K5766" s="444">
        <f t="shared" ca="1" si="211"/>
        <v>1735276667407.6016</v>
      </c>
      <c r="L5766" s="444">
        <f t="shared" ca="1" si="212"/>
        <v>418201676845232</v>
      </c>
      <c r="M5766" s="460">
        <f t="shared" si="214"/>
        <v>0.05</v>
      </c>
      <c r="N5766" s="464">
        <f t="shared" si="215"/>
        <v>226543</v>
      </c>
    </row>
    <row r="5767" spans="7:14" ht="11.25" customHeight="1" x14ac:dyDescent="0.3">
      <c r="G5767" s="459"/>
      <c r="H5767" s="459">
        <v>5760</v>
      </c>
      <c r="I5767" s="444">
        <f t="shared" ca="1" si="213"/>
        <v>418201676845232</v>
      </c>
      <c r="J5767" s="444">
        <f t="array" ref="J5767">IFERROR(INDEX('Retirement Calculator'!J:J,MATCH('Isaac 401k'!N5767,'Retirement Calculator'!A:A,0),0),0)</f>
        <v>0</v>
      </c>
      <c r="K5767" s="444">
        <f t="shared" ca="1" si="211"/>
        <v>1742506986855.1333</v>
      </c>
      <c r="L5767" s="444">
        <f t="shared" ca="1" si="212"/>
        <v>419944183832087.13</v>
      </c>
      <c r="M5767" s="460">
        <f t="shared" si="214"/>
        <v>0.05</v>
      </c>
      <c r="N5767" s="464">
        <f t="shared" si="215"/>
        <v>226573</v>
      </c>
    </row>
    <row r="5768" spans="7:14" ht="11.25" customHeight="1" x14ac:dyDescent="0.3">
      <c r="G5768" s="459"/>
      <c r="H5768" s="459">
        <v>5761</v>
      </c>
      <c r="I5768" s="444">
        <f t="shared" ca="1" si="213"/>
        <v>419944183832087.13</v>
      </c>
      <c r="J5768" s="444">
        <f t="array" ref="J5768">IFERROR(INDEX('Retirement Calculator'!J:J,MATCH('Isaac 401k'!N5768,'Retirement Calculator'!A:A,0),0),0)</f>
        <v>0</v>
      </c>
      <c r="K5768" s="444">
        <f t="shared" ca="1" si="211"/>
        <v>1749767432633.6963</v>
      </c>
      <c r="L5768" s="444">
        <f t="shared" ca="1" si="212"/>
        <v>421693951264720.81</v>
      </c>
      <c r="M5768" s="460">
        <f t="shared" si="214"/>
        <v>0.05</v>
      </c>
      <c r="N5768" s="464">
        <f t="shared" si="215"/>
        <v>226604</v>
      </c>
    </row>
    <row r="5769" spans="7:14" ht="11.25" customHeight="1" x14ac:dyDescent="0.3">
      <c r="G5769" s="459"/>
      <c r="H5769" s="459">
        <v>5762</v>
      </c>
      <c r="I5769" s="444">
        <f t="shared" ca="1" si="213"/>
        <v>421693951264720.81</v>
      </c>
      <c r="J5769" s="444">
        <f t="array" ref="J5769">IFERROR(INDEX('Retirement Calculator'!J:J,MATCH('Isaac 401k'!N5769,'Retirement Calculator'!A:A,0),0),0)</f>
        <v>0</v>
      </c>
      <c r="K5769" s="444">
        <f t="shared" ca="1" si="211"/>
        <v>1757058130269.6699</v>
      </c>
      <c r="L5769" s="444">
        <f t="shared" ca="1" si="212"/>
        <v>423451009394990.5</v>
      </c>
      <c r="M5769" s="460">
        <f t="shared" si="214"/>
        <v>0.05</v>
      </c>
      <c r="N5769" s="464">
        <f t="shared" si="215"/>
        <v>226634</v>
      </c>
    </row>
    <row r="5770" spans="7:14" ht="11.25" customHeight="1" x14ac:dyDescent="0.3">
      <c r="G5770" s="459"/>
      <c r="H5770" s="459">
        <v>5763</v>
      </c>
      <c r="I5770" s="444">
        <f t="shared" ca="1" si="213"/>
        <v>423451009394990.5</v>
      </c>
      <c r="J5770" s="444">
        <f t="array" ref="J5770">IFERROR(INDEX('Retirement Calculator'!J:J,MATCH('Isaac 401k'!N5770,'Retirement Calculator'!A:A,0),0),0)</f>
        <v>0</v>
      </c>
      <c r="K5770" s="444">
        <f t="shared" ca="1" si="211"/>
        <v>1764379205812.4604</v>
      </c>
      <c r="L5770" s="444">
        <f t="shared" ca="1" si="212"/>
        <v>425215388600802.94</v>
      </c>
      <c r="M5770" s="460">
        <f t="shared" si="214"/>
        <v>0.05</v>
      </c>
      <c r="N5770" s="464">
        <f t="shared" si="215"/>
        <v>226665</v>
      </c>
    </row>
    <row r="5771" spans="7:14" ht="11.25" customHeight="1" x14ac:dyDescent="0.3">
      <c r="G5771" s="459"/>
      <c r="H5771" s="459">
        <v>5764</v>
      </c>
      <c r="I5771" s="444">
        <f t="shared" ca="1" si="213"/>
        <v>425215388600802.94</v>
      </c>
      <c r="J5771" s="444">
        <f t="array" ref="J5771">IFERROR(INDEX('Retirement Calculator'!J:J,MATCH('Isaac 401k'!N5771,'Retirement Calculator'!A:A,0),0),0)</f>
        <v>0</v>
      </c>
      <c r="K5771" s="444">
        <f t="shared" ca="1" si="211"/>
        <v>1771730785836.679</v>
      </c>
      <c r="L5771" s="444">
        <f t="shared" ca="1" si="212"/>
        <v>426987119386639.63</v>
      </c>
      <c r="M5771" s="460">
        <f t="shared" si="214"/>
        <v>0.05</v>
      </c>
      <c r="N5771" s="464">
        <f t="shared" si="215"/>
        <v>226696</v>
      </c>
    </row>
    <row r="5772" spans="7:14" ht="11.25" customHeight="1" x14ac:dyDescent="0.3">
      <c r="G5772" s="459"/>
      <c r="H5772" s="459">
        <v>5765</v>
      </c>
      <c r="I5772" s="444">
        <f t="shared" ca="1" si="213"/>
        <v>426987119386639.63</v>
      </c>
      <c r="J5772" s="444">
        <f t="array" ref="J5772">IFERROR(INDEX('Retirement Calculator'!J:J,MATCH('Isaac 401k'!N5772,'Retirement Calculator'!A:A,0),0),0)</f>
        <v>0</v>
      </c>
      <c r="K5772" s="444">
        <f t="shared" ca="1" si="211"/>
        <v>1779112997444.3318</v>
      </c>
      <c r="L5772" s="444">
        <f t="shared" ca="1" si="212"/>
        <v>428766232384083.94</v>
      </c>
      <c r="M5772" s="460">
        <f t="shared" si="214"/>
        <v>0.05</v>
      </c>
      <c r="N5772" s="464">
        <f t="shared" si="215"/>
        <v>226726</v>
      </c>
    </row>
    <row r="5773" spans="7:14" ht="11.25" customHeight="1" x14ac:dyDescent="0.3">
      <c r="G5773" s="459"/>
      <c r="H5773" s="459">
        <v>5766</v>
      </c>
      <c r="I5773" s="444">
        <f t="shared" ca="1" si="213"/>
        <v>428766232384083.94</v>
      </c>
      <c r="J5773" s="444">
        <f t="array" ref="J5773">IFERROR(INDEX('Retirement Calculator'!J:J,MATCH('Isaac 401k'!N5773,'Retirement Calculator'!A:A,0),0),0)</f>
        <v>0</v>
      </c>
      <c r="K5773" s="444">
        <f t="shared" ca="1" si="211"/>
        <v>1786525968267.0164</v>
      </c>
      <c r="L5773" s="444">
        <f t="shared" ca="1" si="212"/>
        <v>430552758352350.94</v>
      </c>
      <c r="M5773" s="460">
        <f t="shared" si="214"/>
        <v>0.05</v>
      </c>
      <c r="N5773" s="464">
        <f t="shared" si="215"/>
        <v>226757</v>
      </c>
    </row>
    <row r="5774" spans="7:14" ht="11.25" customHeight="1" x14ac:dyDescent="0.3">
      <c r="G5774" s="459"/>
      <c r="H5774" s="459">
        <v>5767</v>
      </c>
      <c r="I5774" s="444">
        <f t="shared" ca="1" si="213"/>
        <v>430552758352350.94</v>
      </c>
      <c r="J5774" s="444">
        <f t="array" ref="J5774">IFERROR(INDEX('Retirement Calculator'!J:J,MATCH('Isaac 401k'!N5774,'Retirement Calculator'!A:A,0),0),0)</f>
        <v>0</v>
      </c>
      <c r="K5774" s="444">
        <f t="shared" ca="1" si="211"/>
        <v>1793969826468.1289</v>
      </c>
      <c r="L5774" s="444">
        <f t="shared" ca="1" si="212"/>
        <v>432346728178819.06</v>
      </c>
      <c r="M5774" s="460">
        <f t="shared" si="214"/>
        <v>0.05</v>
      </c>
      <c r="N5774" s="464">
        <f t="shared" si="215"/>
        <v>226787</v>
      </c>
    </row>
    <row r="5775" spans="7:14" ht="11.25" customHeight="1" x14ac:dyDescent="0.3">
      <c r="G5775" s="459"/>
      <c r="H5775" s="459">
        <v>5768</v>
      </c>
      <c r="I5775" s="444">
        <f t="shared" ca="1" si="213"/>
        <v>432346728178819.06</v>
      </c>
      <c r="J5775" s="444">
        <f t="array" ref="J5775">IFERROR(INDEX('Retirement Calculator'!J:J,MATCH('Isaac 401k'!N5775,'Retirement Calculator'!A:A,0),0),0)</f>
        <v>0</v>
      </c>
      <c r="K5775" s="444">
        <f t="shared" ca="1" si="211"/>
        <v>1801444700745.0793</v>
      </c>
      <c r="L5775" s="444">
        <f t="shared" ca="1" si="212"/>
        <v>434148172879564.13</v>
      </c>
      <c r="M5775" s="460">
        <f t="shared" si="214"/>
        <v>0.05</v>
      </c>
      <c r="N5775" s="464">
        <f t="shared" si="215"/>
        <v>226818</v>
      </c>
    </row>
    <row r="5776" spans="7:14" ht="11.25" customHeight="1" x14ac:dyDescent="0.3">
      <c r="G5776" s="459"/>
      <c r="H5776" s="459">
        <v>5769</v>
      </c>
      <c r="I5776" s="444">
        <f t="shared" ca="1" si="213"/>
        <v>434148172879564.13</v>
      </c>
      <c r="J5776" s="444">
        <f t="array" ref="J5776">IFERROR(INDEX('Retirement Calculator'!J:J,MATCH('Isaac 401k'!N5776,'Retirement Calculator'!A:A,0),0),0)</f>
        <v>0</v>
      </c>
      <c r="K5776" s="444">
        <f t="shared" ca="1" si="211"/>
        <v>1808950720331.5171</v>
      </c>
      <c r="L5776" s="444">
        <f t="shared" ca="1" si="212"/>
        <v>435957123599895.63</v>
      </c>
      <c r="M5776" s="460">
        <f t="shared" si="214"/>
        <v>0.05</v>
      </c>
      <c r="N5776" s="464">
        <f t="shared" si="215"/>
        <v>226849</v>
      </c>
    </row>
    <row r="5777" spans="7:14" ht="11.25" customHeight="1" x14ac:dyDescent="0.3">
      <c r="G5777" s="459"/>
      <c r="H5777" s="459">
        <v>5770</v>
      </c>
      <c r="I5777" s="444">
        <f t="shared" ca="1" si="213"/>
        <v>435957123599895.63</v>
      </c>
      <c r="J5777" s="444">
        <f t="array" ref="J5777">IFERROR(INDEX('Retirement Calculator'!J:J,MATCH('Isaac 401k'!N5777,'Retirement Calculator'!A:A,0),0),0)</f>
        <v>0</v>
      </c>
      <c r="K5777" s="444">
        <f t="shared" ca="1" si="211"/>
        <v>1816488014999.5652</v>
      </c>
      <c r="L5777" s="444">
        <f t="shared" ca="1" si="212"/>
        <v>437773611614895.19</v>
      </c>
      <c r="M5777" s="460">
        <f t="shared" si="214"/>
        <v>0.05</v>
      </c>
      <c r="N5777" s="464">
        <f t="shared" si="215"/>
        <v>226877</v>
      </c>
    </row>
    <row r="5778" spans="7:14" ht="11.25" customHeight="1" x14ac:dyDescent="0.3">
      <c r="G5778" s="459"/>
      <c r="H5778" s="459">
        <v>5771</v>
      </c>
      <c r="I5778" s="444">
        <f t="shared" ca="1" si="213"/>
        <v>437773611614895.19</v>
      </c>
      <c r="J5778" s="444">
        <f t="array" ref="J5778">IFERROR(INDEX('Retirement Calculator'!J:J,MATCH('Isaac 401k'!N5778,'Retirement Calculator'!A:A,0),0),0)</f>
        <v>0</v>
      </c>
      <c r="K5778" s="444">
        <f t="shared" ca="1" si="211"/>
        <v>1824056715062.0632</v>
      </c>
      <c r="L5778" s="444">
        <f t="shared" ca="1" si="212"/>
        <v>439597668329957.25</v>
      </c>
      <c r="M5778" s="460">
        <f t="shared" si="214"/>
        <v>0.05</v>
      </c>
      <c r="N5778" s="464">
        <f t="shared" si="215"/>
        <v>226908</v>
      </c>
    </row>
    <row r="5779" spans="7:14" ht="11.25" customHeight="1" x14ac:dyDescent="0.3">
      <c r="G5779" s="459"/>
      <c r="H5779" s="459">
        <v>5772</v>
      </c>
      <c r="I5779" s="444">
        <f t="shared" ca="1" si="213"/>
        <v>439597668329957.25</v>
      </c>
      <c r="J5779" s="444">
        <f t="array" ref="J5779">IFERROR(INDEX('Retirement Calculator'!J:J,MATCH('Isaac 401k'!N5779,'Retirement Calculator'!A:A,0),0),0)</f>
        <v>0</v>
      </c>
      <c r="K5779" s="444">
        <f t="shared" ca="1" si="211"/>
        <v>1831656951374.8215</v>
      </c>
      <c r="L5779" s="444">
        <f t="shared" ca="1" si="212"/>
        <v>441429325281332.06</v>
      </c>
      <c r="M5779" s="460">
        <f t="shared" si="214"/>
        <v>0.05</v>
      </c>
      <c r="N5779" s="464">
        <f t="shared" si="215"/>
        <v>226938</v>
      </c>
    </row>
    <row r="5780" spans="7:14" ht="11.25" customHeight="1" x14ac:dyDescent="0.3">
      <c r="G5780" s="459"/>
      <c r="H5780" s="459">
        <v>5773</v>
      </c>
      <c r="I5780" s="444">
        <f t="shared" ca="1" si="213"/>
        <v>441429325281332.06</v>
      </c>
      <c r="J5780" s="444">
        <f t="array" ref="J5780">IFERROR(INDEX('Retirement Calculator'!J:J,MATCH('Isaac 401k'!N5780,'Retirement Calculator'!A:A,0),0),0)</f>
        <v>0</v>
      </c>
      <c r="K5780" s="444">
        <f t="shared" ca="1" si="211"/>
        <v>1839288855338.8835</v>
      </c>
      <c r="L5780" s="444">
        <f t="shared" ca="1" si="212"/>
        <v>443268614136670.94</v>
      </c>
      <c r="M5780" s="460">
        <f t="shared" si="214"/>
        <v>0.05</v>
      </c>
      <c r="N5780" s="464">
        <f t="shared" si="215"/>
        <v>226969</v>
      </c>
    </row>
    <row r="5781" spans="7:14" ht="11.25" customHeight="1" x14ac:dyDescent="0.3">
      <c r="G5781" s="459"/>
      <c r="H5781" s="459">
        <v>5774</v>
      </c>
      <c r="I5781" s="444">
        <f t="shared" ca="1" si="213"/>
        <v>443268614136670.94</v>
      </c>
      <c r="J5781" s="444">
        <f t="array" ref="J5781">IFERROR(INDEX('Retirement Calculator'!J:J,MATCH('Isaac 401k'!N5781,'Retirement Calculator'!A:A,0),0),0)</f>
        <v>0</v>
      </c>
      <c r="K5781" s="444">
        <f t="shared" ca="1" si="211"/>
        <v>1846952558902.7952</v>
      </c>
      <c r="L5781" s="444">
        <f t="shared" ca="1" si="212"/>
        <v>445115566695573.75</v>
      </c>
      <c r="M5781" s="460">
        <f t="shared" si="214"/>
        <v>0.05</v>
      </c>
      <c r="N5781" s="464">
        <f t="shared" si="215"/>
        <v>226999</v>
      </c>
    </row>
    <row r="5782" spans="7:14" ht="11.25" customHeight="1" x14ac:dyDescent="0.3">
      <c r="G5782" s="459"/>
      <c r="H5782" s="459">
        <v>5775</v>
      </c>
      <c r="I5782" s="444">
        <f t="shared" ca="1" si="213"/>
        <v>445115566695573.75</v>
      </c>
      <c r="J5782" s="444">
        <f t="array" ref="J5782">IFERROR(INDEX('Retirement Calculator'!J:J,MATCH('Isaac 401k'!N5782,'Retirement Calculator'!A:A,0),0),0)</f>
        <v>0</v>
      </c>
      <c r="K5782" s="444">
        <f t="shared" ca="1" si="211"/>
        <v>1854648194564.8906</v>
      </c>
      <c r="L5782" s="444">
        <f t="shared" ca="1" si="212"/>
        <v>446970214890138.63</v>
      </c>
      <c r="M5782" s="460">
        <f t="shared" si="214"/>
        <v>0.05</v>
      </c>
      <c r="N5782" s="464">
        <f t="shared" si="215"/>
        <v>227030</v>
      </c>
    </row>
    <row r="5783" spans="7:14" ht="11.25" customHeight="1" x14ac:dyDescent="0.3">
      <c r="G5783" s="459"/>
      <c r="H5783" s="459">
        <v>5776</v>
      </c>
      <c r="I5783" s="444">
        <f t="shared" ca="1" si="213"/>
        <v>446970214890138.63</v>
      </c>
      <c r="J5783" s="444">
        <f t="array" ref="J5783">IFERROR(INDEX('Retirement Calculator'!J:J,MATCH('Isaac 401k'!N5783,'Retirement Calculator'!A:A,0),0),0)</f>
        <v>0</v>
      </c>
      <c r="K5783" s="444">
        <f t="shared" ca="1" si="211"/>
        <v>1862375895375.5776</v>
      </c>
      <c r="L5783" s="444">
        <f t="shared" ca="1" si="212"/>
        <v>448832590785514.19</v>
      </c>
      <c r="M5783" s="460">
        <f t="shared" si="214"/>
        <v>0.05</v>
      </c>
      <c r="N5783" s="464">
        <f t="shared" si="215"/>
        <v>227061</v>
      </c>
    </row>
    <row r="5784" spans="7:14" ht="11.25" customHeight="1" x14ac:dyDescent="0.3">
      <c r="G5784" s="459"/>
      <c r="H5784" s="459">
        <v>5777</v>
      </c>
      <c r="I5784" s="444">
        <f t="shared" ca="1" si="213"/>
        <v>448832590785514.19</v>
      </c>
      <c r="J5784" s="444">
        <f t="array" ref="J5784">IFERROR(INDEX('Retirement Calculator'!J:J,MATCH('Isaac 401k'!N5784,'Retirement Calculator'!A:A,0),0),0)</f>
        <v>0</v>
      </c>
      <c r="K5784" s="444">
        <f t="shared" ca="1" si="211"/>
        <v>1870135794939.6423</v>
      </c>
      <c r="L5784" s="444">
        <f t="shared" ca="1" si="212"/>
        <v>450702726580453.81</v>
      </c>
      <c r="M5784" s="460">
        <f t="shared" si="214"/>
        <v>0.05</v>
      </c>
      <c r="N5784" s="464">
        <f t="shared" si="215"/>
        <v>227091</v>
      </c>
    </row>
    <row r="5785" spans="7:14" ht="11.25" customHeight="1" x14ac:dyDescent="0.3">
      <c r="G5785" s="459"/>
      <c r="H5785" s="459">
        <v>5778</v>
      </c>
      <c r="I5785" s="444">
        <f t="shared" ca="1" si="213"/>
        <v>450702726580453.81</v>
      </c>
      <c r="J5785" s="444">
        <f t="array" ref="J5785">IFERROR(INDEX('Retirement Calculator'!J:J,MATCH('Isaac 401k'!N5785,'Retirement Calculator'!A:A,0),0),0)</f>
        <v>0</v>
      </c>
      <c r="K5785" s="444">
        <f t="shared" ca="1" si="211"/>
        <v>1877928027418.5579</v>
      </c>
      <c r="L5785" s="444">
        <f t="shared" ca="1" si="212"/>
        <v>452580654607872.38</v>
      </c>
      <c r="M5785" s="460">
        <f t="shared" si="214"/>
        <v>0.05</v>
      </c>
      <c r="N5785" s="464">
        <f t="shared" si="215"/>
        <v>227122</v>
      </c>
    </row>
    <row r="5786" spans="7:14" ht="11.25" customHeight="1" x14ac:dyDescent="0.3">
      <c r="G5786" s="459"/>
      <c r="H5786" s="459">
        <v>5779</v>
      </c>
      <c r="I5786" s="444">
        <f t="shared" ca="1" si="213"/>
        <v>452580654607872.38</v>
      </c>
      <c r="J5786" s="444">
        <f t="array" ref="J5786">IFERROR(INDEX('Retirement Calculator'!J:J,MATCH('Isaac 401k'!N5786,'Retirement Calculator'!A:A,0),0),0)</f>
        <v>0</v>
      </c>
      <c r="K5786" s="444">
        <f t="shared" ca="1" si="211"/>
        <v>1885752727532.8015</v>
      </c>
      <c r="L5786" s="444">
        <f t="shared" ca="1" si="212"/>
        <v>454466407335405.19</v>
      </c>
      <c r="M5786" s="460">
        <f t="shared" si="214"/>
        <v>0.05</v>
      </c>
      <c r="N5786" s="464">
        <f t="shared" si="215"/>
        <v>227152</v>
      </c>
    </row>
    <row r="5787" spans="7:14" ht="11.25" customHeight="1" x14ac:dyDescent="0.3">
      <c r="G5787" s="459"/>
      <c r="H5787" s="459">
        <v>5780</v>
      </c>
      <c r="I5787" s="444">
        <f t="shared" ca="1" si="213"/>
        <v>454466407335405.19</v>
      </c>
      <c r="J5787" s="444">
        <f t="array" ref="J5787">IFERROR(INDEX('Retirement Calculator'!J:J,MATCH('Isaac 401k'!N5787,'Retirement Calculator'!A:A,0),0),0)</f>
        <v>0</v>
      </c>
      <c r="K5787" s="444">
        <f t="shared" ca="1" si="211"/>
        <v>1893610030564.1882</v>
      </c>
      <c r="L5787" s="444">
        <f t="shared" ca="1" si="212"/>
        <v>456360017365969.38</v>
      </c>
      <c r="M5787" s="460">
        <f t="shared" si="214"/>
        <v>0.05</v>
      </c>
      <c r="N5787" s="464">
        <f t="shared" si="215"/>
        <v>227183</v>
      </c>
    </row>
    <row r="5788" spans="7:14" ht="11.25" customHeight="1" x14ac:dyDescent="0.3">
      <c r="G5788" s="459"/>
      <c r="H5788" s="459">
        <v>5781</v>
      </c>
      <c r="I5788" s="444">
        <f t="shared" ca="1" si="213"/>
        <v>456360017365969.38</v>
      </c>
      <c r="J5788" s="444">
        <f t="array" ref="J5788">IFERROR(INDEX('Retirement Calculator'!J:J,MATCH('Isaac 401k'!N5788,'Retirement Calculator'!A:A,0),0),0)</f>
        <v>0</v>
      </c>
      <c r="K5788" s="444">
        <f t="shared" ca="1" si="211"/>
        <v>1901500072358.2058</v>
      </c>
      <c r="L5788" s="444">
        <f t="shared" ca="1" si="212"/>
        <v>458261517438327.56</v>
      </c>
      <c r="M5788" s="460">
        <f t="shared" si="214"/>
        <v>0.05</v>
      </c>
      <c r="N5788" s="464">
        <f t="shared" si="215"/>
        <v>227214</v>
      </c>
    </row>
    <row r="5789" spans="7:14" ht="11.25" customHeight="1" x14ac:dyDescent="0.3">
      <c r="G5789" s="459"/>
      <c r="H5789" s="459">
        <v>5782</v>
      </c>
      <c r="I5789" s="444">
        <f t="shared" ca="1" si="213"/>
        <v>458261517438327.56</v>
      </c>
      <c r="J5789" s="444">
        <f t="array" ref="J5789">IFERROR(INDEX('Retirement Calculator'!J:J,MATCH('Isaac 401k'!N5789,'Retirement Calculator'!A:A,0),0),0)</f>
        <v>0</v>
      </c>
      <c r="K5789" s="444">
        <f t="shared" ca="1" si="211"/>
        <v>1909422989326.365</v>
      </c>
      <c r="L5789" s="444">
        <f t="shared" ca="1" si="212"/>
        <v>460170940427653.94</v>
      </c>
      <c r="M5789" s="460">
        <f t="shared" si="214"/>
        <v>0.05</v>
      </c>
      <c r="N5789" s="464">
        <f t="shared" si="215"/>
        <v>227242</v>
      </c>
    </row>
    <row r="5790" spans="7:14" ht="11.25" customHeight="1" x14ac:dyDescent="0.3">
      <c r="G5790" s="459"/>
      <c r="H5790" s="459">
        <v>5783</v>
      </c>
      <c r="I5790" s="444">
        <f t="shared" ca="1" si="213"/>
        <v>460170940427653.94</v>
      </c>
      <c r="J5790" s="444">
        <f t="array" ref="J5790">IFERROR(INDEX('Retirement Calculator'!J:J,MATCH('Isaac 401k'!N5790,'Retirement Calculator'!A:A,0),0),0)</f>
        <v>0</v>
      </c>
      <c r="K5790" s="444">
        <f t="shared" ca="1" si="211"/>
        <v>1917378918448.5581</v>
      </c>
      <c r="L5790" s="444">
        <f t="shared" ca="1" si="212"/>
        <v>462088319346102.5</v>
      </c>
      <c r="M5790" s="460">
        <f t="shared" si="214"/>
        <v>0.05</v>
      </c>
      <c r="N5790" s="464">
        <f t="shared" si="215"/>
        <v>227273</v>
      </c>
    </row>
    <row r="5791" spans="7:14" ht="11.25" customHeight="1" x14ac:dyDescent="0.3">
      <c r="G5791" s="459"/>
      <c r="H5791" s="459">
        <v>5784</v>
      </c>
      <c r="I5791" s="444">
        <f t="shared" ca="1" si="213"/>
        <v>462088319346102.5</v>
      </c>
      <c r="J5791" s="444">
        <f t="array" ref="J5791">IFERROR(INDEX('Retirement Calculator'!J:J,MATCH('Isaac 401k'!N5791,'Retirement Calculator'!A:A,0),0),0)</f>
        <v>0</v>
      </c>
      <c r="K5791" s="444">
        <f t="shared" ca="1" si="211"/>
        <v>1925367997275.4268</v>
      </c>
      <c r="L5791" s="444">
        <f t="shared" ca="1" si="212"/>
        <v>464013687343377.94</v>
      </c>
      <c r="M5791" s="460">
        <f t="shared" si="214"/>
        <v>0.05</v>
      </c>
      <c r="N5791" s="464">
        <f t="shared" si="215"/>
        <v>227303</v>
      </c>
    </row>
    <row r="5792" spans="7:14" ht="11.25" customHeight="1" x14ac:dyDescent="0.3">
      <c r="G5792" s="459"/>
      <c r="H5792" s="459">
        <v>5785</v>
      </c>
      <c r="I5792" s="444">
        <f t="shared" ca="1" si="213"/>
        <v>464013687343377.94</v>
      </c>
      <c r="J5792" s="444">
        <f t="array" ref="J5792">IFERROR(INDEX('Retirement Calculator'!J:J,MATCH('Isaac 401k'!N5792,'Retirement Calculator'!A:A,0),0),0)</f>
        <v>0</v>
      </c>
      <c r="K5792" s="444">
        <f t="shared" ca="1" si="211"/>
        <v>1933390363930.7415</v>
      </c>
      <c r="L5792" s="444">
        <f t="shared" ca="1" si="212"/>
        <v>465947077707308.69</v>
      </c>
      <c r="M5792" s="460">
        <f t="shared" si="214"/>
        <v>0.05</v>
      </c>
      <c r="N5792" s="464">
        <f t="shared" si="215"/>
        <v>227334</v>
      </c>
    </row>
    <row r="5793" spans="7:14" ht="11.25" customHeight="1" x14ac:dyDescent="0.3">
      <c r="G5793" s="459"/>
      <c r="H5793" s="459">
        <v>5786</v>
      </c>
      <c r="I5793" s="444">
        <f t="shared" ca="1" si="213"/>
        <v>465947077707308.69</v>
      </c>
      <c r="J5793" s="444">
        <f t="array" ref="J5793">IFERROR(INDEX('Retirement Calculator'!J:J,MATCH('Isaac 401k'!N5793,'Retirement Calculator'!A:A,0),0),0)</f>
        <v>0</v>
      </c>
      <c r="K5793" s="444">
        <f t="shared" ca="1" si="211"/>
        <v>1941446157113.7861</v>
      </c>
      <c r="L5793" s="444">
        <f t="shared" ca="1" si="212"/>
        <v>467888523864422.5</v>
      </c>
      <c r="M5793" s="460">
        <f t="shared" si="214"/>
        <v>0.05</v>
      </c>
      <c r="N5793" s="464">
        <f t="shared" si="215"/>
        <v>227364</v>
      </c>
    </row>
    <row r="5794" spans="7:14" ht="11.25" customHeight="1" x14ac:dyDescent="0.3">
      <c r="G5794" s="459"/>
      <c r="H5794" s="459">
        <v>5787</v>
      </c>
      <c r="I5794" s="444">
        <f t="shared" ca="1" si="213"/>
        <v>467888523864422.5</v>
      </c>
      <c r="J5794" s="444">
        <f t="array" ref="J5794">IFERROR(INDEX('Retirement Calculator'!J:J,MATCH('Isaac 401k'!N5794,'Retirement Calculator'!A:A,0),0),0)</f>
        <v>0</v>
      </c>
      <c r="K5794" s="444">
        <f t="shared" ca="1" si="211"/>
        <v>1949535516101.7605</v>
      </c>
      <c r="L5794" s="444">
        <f t="shared" ca="1" si="212"/>
        <v>469838059380524.25</v>
      </c>
      <c r="M5794" s="460">
        <f t="shared" si="214"/>
        <v>0.05</v>
      </c>
      <c r="N5794" s="464">
        <f t="shared" si="215"/>
        <v>227395</v>
      </c>
    </row>
    <row r="5795" spans="7:14" ht="11.25" customHeight="1" x14ac:dyDescent="0.3">
      <c r="G5795" s="459"/>
      <c r="H5795" s="459">
        <v>5788</v>
      </c>
      <c r="I5795" s="444">
        <f t="shared" ca="1" si="213"/>
        <v>469838059380524.25</v>
      </c>
      <c r="J5795" s="444">
        <f t="array" ref="J5795">IFERROR(INDEX('Retirement Calculator'!J:J,MATCH('Isaac 401k'!N5795,'Retirement Calculator'!A:A,0),0),0)</f>
        <v>0</v>
      </c>
      <c r="K5795" s="444">
        <f t="shared" ca="1" si="211"/>
        <v>1957658580752.1843</v>
      </c>
      <c r="L5795" s="444">
        <f t="shared" ca="1" si="212"/>
        <v>471795717961276.44</v>
      </c>
      <c r="M5795" s="460">
        <f t="shared" si="214"/>
        <v>0.05</v>
      </c>
      <c r="N5795" s="464">
        <f t="shared" si="215"/>
        <v>227426</v>
      </c>
    </row>
    <row r="5796" spans="7:14" ht="11.25" customHeight="1" x14ac:dyDescent="0.3">
      <c r="G5796" s="459"/>
      <c r="H5796" s="459">
        <v>5789</v>
      </c>
      <c r="I5796" s="444">
        <f t="shared" ca="1" si="213"/>
        <v>471795717961276.44</v>
      </c>
      <c r="J5796" s="444">
        <f t="array" ref="J5796">IFERROR(INDEX('Retirement Calculator'!J:J,MATCH('Isaac 401k'!N5796,'Retirement Calculator'!A:A,0),0),0)</f>
        <v>0</v>
      </c>
      <c r="K5796" s="444">
        <f t="shared" ca="1" si="211"/>
        <v>1965815491505.3186</v>
      </c>
      <c r="L5796" s="444">
        <f t="shared" ca="1" si="212"/>
        <v>473761533452781.75</v>
      </c>
      <c r="M5796" s="460">
        <f t="shared" si="214"/>
        <v>0.05</v>
      </c>
      <c r="N5796" s="464">
        <f t="shared" si="215"/>
        <v>227456</v>
      </c>
    </row>
    <row r="5797" spans="7:14" ht="11.25" customHeight="1" x14ac:dyDescent="0.3">
      <c r="G5797" s="459"/>
      <c r="H5797" s="459">
        <v>5790</v>
      </c>
      <c r="I5797" s="444">
        <f t="shared" ca="1" si="213"/>
        <v>473761533452781.75</v>
      </c>
      <c r="J5797" s="444">
        <f t="array" ref="J5797">IFERROR(INDEX('Retirement Calculator'!J:J,MATCH('Isaac 401k'!N5797,'Retirement Calculator'!A:A,0),0),0)</f>
        <v>0</v>
      </c>
      <c r="K5797" s="444">
        <f t="shared" ca="1" si="211"/>
        <v>1974006389386.5906</v>
      </c>
      <c r="L5797" s="444">
        <f t="shared" ca="1" si="212"/>
        <v>475735539842168.31</v>
      </c>
      <c r="M5797" s="460">
        <f t="shared" si="214"/>
        <v>0.05</v>
      </c>
      <c r="N5797" s="464">
        <f t="shared" si="215"/>
        <v>227487</v>
      </c>
    </row>
    <row r="5798" spans="7:14" ht="11.25" customHeight="1" x14ac:dyDescent="0.3">
      <c r="G5798" s="459"/>
      <c r="H5798" s="459">
        <v>5791</v>
      </c>
      <c r="I5798" s="444">
        <f t="shared" ca="1" si="213"/>
        <v>475735539842168.31</v>
      </c>
      <c r="J5798" s="444">
        <f t="array" ref="J5798">IFERROR(INDEX('Retirement Calculator'!J:J,MATCH('Isaac 401k'!N5798,'Retirement Calculator'!A:A,0),0),0)</f>
        <v>0</v>
      </c>
      <c r="K5798" s="444">
        <f t="shared" ca="1" si="211"/>
        <v>1982231416009.0347</v>
      </c>
      <c r="L5798" s="444">
        <f t="shared" ca="1" si="212"/>
        <v>477717771258177.38</v>
      </c>
      <c r="M5798" s="460">
        <f t="shared" si="214"/>
        <v>0.05</v>
      </c>
      <c r="N5798" s="464">
        <f t="shared" si="215"/>
        <v>227517</v>
      </c>
    </row>
    <row r="5799" spans="7:14" ht="11.25" customHeight="1" x14ac:dyDescent="0.3">
      <c r="G5799" s="459"/>
      <c r="H5799" s="459">
        <v>5792</v>
      </c>
      <c r="I5799" s="444">
        <f t="shared" ca="1" si="213"/>
        <v>477717771258177.38</v>
      </c>
      <c r="J5799" s="444">
        <f t="array" ref="J5799">IFERROR(INDEX('Retirement Calculator'!J:J,MATCH('Isaac 401k'!N5799,'Retirement Calculator'!A:A,0),0),0)</f>
        <v>0</v>
      </c>
      <c r="K5799" s="444">
        <f t="shared" ca="1" si="211"/>
        <v>1990490713575.739</v>
      </c>
      <c r="L5799" s="444">
        <f t="shared" ca="1" si="212"/>
        <v>479708261971753.13</v>
      </c>
      <c r="M5799" s="460">
        <f t="shared" si="214"/>
        <v>0.05</v>
      </c>
      <c r="N5799" s="464">
        <f t="shared" si="215"/>
        <v>227548</v>
      </c>
    </row>
    <row r="5800" spans="7:14" ht="11.25" customHeight="1" x14ac:dyDescent="0.3">
      <c r="G5800" s="459"/>
      <c r="H5800" s="459">
        <v>5793</v>
      </c>
      <c r="I5800" s="444">
        <f t="shared" ca="1" si="213"/>
        <v>479708261971753.13</v>
      </c>
      <c r="J5800" s="444">
        <f t="array" ref="J5800">IFERROR(INDEX('Retirement Calculator'!J:J,MATCH('Isaac 401k'!N5800,'Retirement Calculator'!A:A,0),0),0)</f>
        <v>0</v>
      </c>
      <c r="K5800" s="444">
        <f t="shared" ca="1" si="211"/>
        <v>1998784424882.3047</v>
      </c>
      <c r="L5800" s="444">
        <f t="shared" ca="1" si="212"/>
        <v>481707046396635.44</v>
      </c>
      <c r="M5800" s="460">
        <f t="shared" si="214"/>
        <v>0.05</v>
      </c>
      <c r="N5800" s="464">
        <f t="shared" si="215"/>
        <v>227579</v>
      </c>
    </row>
    <row r="5801" spans="7:14" ht="11.25" customHeight="1" x14ac:dyDescent="0.3">
      <c r="G5801" s="459"/>
      <c r="H5801" s="459">
        <v>5794</v>
      </c>
      <c r="I5801" s="444">
        <f t="shared" ca="1" si="213"/>
        <v>481707046396635.44</v>
      </c>
      <c r="J5801" s="444">
        <f t="array" ref="J5801">IFERROR(INDEX('Retirement Calculator'!J:J,MATCH('Isaac 401k'!N5801,'Retirement Calculator'!A:A,0),0),0)</f>
        <v>0</v>
      </c>
      <c r="K5801" s="444">
        <f t="shared" ca="1" si="211"/>
        <v>2007112693319.3142</v>
      </c>
      <c r="L5801" s="444">
        <f t="shared" ca="1" si="212"/>
        <v>483714159089954.75</v>
      </c>
      <c r="M5801" s="460">
        <f t="shared" si="214"/>
        <v>0.05</v>
      </c>
      <c r="N5801" s="464">
        <f t="shared" si="215"/>
        <v>227607</v>
      </c>
    </row>
    <row r="5802" spans="7:14" ht="11.25" customHeight="1" x14ac:dyDescent="0.3">
      <c r="G5802" s="459"/>
      <c r="H5802" s="459">
        <v>5795</v>
      </c>
      <c r="I5802" s="444">
        <f t="shared" ca="1" si="213"/>
        <v>483714159089954.75</v>
      </c>
      <c r="J5802" s="444">
        <f t="array" ref="J5802">IFERROR(INDEX('Retirement Calculator'!J:J,MATCH('Isaac 401k'!N5802,'Retirement Calculator'!A:A,0),0),0)</f>
        <v>0</v>
      </c>
      <c r="K5802" s="444">
        <f t="shared" ca="1" si="211"/>
        <v>2015475662874.8115</v>
      </c>
      <c r="L5802" s="444">
        <f t="shared" ca="1" si="212"/>
        <v>485729634752829.56</v>
      </c>
      <c r="M5802" s="460">
        <f t="shared" si="214"/>
        <v>0.05</v>
      </c>
      <c r="N5802" s="464">
        <f t="shared" si="215"/>
        <v>227638</v>
      </c>
    </row>
    <row r="5803" spans="7:14" ht="11.25" customHeight="1" x14ac:dyDescent="0.3">
      <c r="G5803" s="459"/>
      <c r="H5803" s="459">
        <v>5796</v>
      </c>
      <c r="I5803" s="444">
        <f t="shared" ca="1" si="213"/>
        <v>485729634752829.56</v>
      </c>
      <c r="J5803" s="444">
        <f t="array" ref="J5803">IFERROR(INDEX('Retirement Calculator'!J:J,MATCH('Isaac 401k'!N5803,'Retirement Calculator'!A:A,0),0),0)</f>
        <v>0</v>
      </c>
      <c r="K5803" s="444">
        <f t="shared" ca="1" si="211"/>
        <v>2023873478136.79</v>
      </c>
      <c r="L5803" s="444">
        <f t="shared" ca="1" si="212"/>
        <v>487753508230966.38</v>
      </c>
      <c r="M5803" s="460">
        <f t="shared" si="214"/>
        <v>0.05</v>
      </c>
      <c r="N5803" s="464">
        <f t="shared" si="215"/>
        <v>227668</v>
      </c>
    </row>
    <row r="5804" spans="7:14" ht="11.25" customHeight="1" x14ac:dyDescent="0.3">
      <c r="G5804" s="459"/>
      <c r="H5804" s="459">
        <v>5797</v>
      </c>
      <c r="I5804" s="444">
        <f t="shared" ca="1" si="213"/>
        <v>487753508230966.38</v>
      </c>
      <c r="J5804" s="444">
        <f t="array" ref="J5804">IFERROR(INDEX('Retirement Calculator'!J:J,MATCH('Isaac 401k'!N5804,'Retirement Calculator'!A:A,0),0),0)</f>
        <v>0</v>
      </c>
      <c r="K5804" s="444">
        <f t="shared" ca="1" si="211"/>
        <v>2032306284295.6931</v>
      </c>
      <c r="L5804" s="444">
        <f t="shared" ca="1" si="212"/>
        <v>489785814515262.06</v>
      </c>
      <c r="M5804" s="460">
        <f t="shared" si="214"/>
        <v>0.05</v>
      </c>
      <c r="N5804" s="464">
        <f t="shared" si="215"/>
        <v>227699</v>
      </c>
    </row>
    <row r="5805" spans="7:14" ht="11.25" customHeight="1" x14ac:dyDescent="0.3">
      <c r="G5805" s="459"/>
      <c r="H5805" s="459">
        <v>5798</v>
      </c>
      <c r="I5805" s="444">
        <f t="shared" ca="1" si="213"/>
        <v>489785814515262.06</v>
      </c>
      <c r="J5805" s="444">
        <f t="array" ref="J5805">IFERROR(INDEX('Retirement Calculator'!J:J,MATCH('Isaac 401k'!N5805,'Retirement Calculator'!A:A,0),0),0)</f>
        <v>0</v>
      </c>
      <c r="K5805" s="444">
        <f t="shared" ca="1" si="211"/>
        <v>2040774227146.925</v>
      </c>
      <c r="L5805" s="444">
        <f t="shared" ca="1" si="212"/>
        <v>491826588742409</v>
      </c>
      <c r="M5805" s="460">
        <f t="shared" si="214"/>
        <v>0.05</v>
      </c>
      <c r="N5805" s="464">
        <f t="shared" si="215"/>
        <v>227729</v>
      </c>
    </row>
    <row r="5806" spans="7:14" ht="11.25" customHeight="1" x14ac:dyDescent="0.3">
      <c r="G5806" s="459"/>
      <c r="H5806" s="459">
        <v>5799</v>
      </c>
      <c r="I5806" s="444">
        <f t="shared" ca="1" si="213"/>
        <v>491826588742409</v>
      </c>
      <c r="J5806" s="444">
        <f t="array" ref="J5806">IFERROR(INDEX('Retirement Calculator'!J:J,MATCH('Isaac 401k'!N5806,'Retirement Calculator'!A:A,0),0),0)</f>
        <v>0</v>
      </c>
      <c r="K5806" s="444">
        <f t="shared" ca="1" si="211"/>
        <v>2049277453093.3708</v>
      </c>
      <c r="L5806" s="444">
        <f t="shared" ca="1" si="212"/>
        <v>493875866195502.38</v>
      </c>
      <c r="M5806" s="460">
        <f t="shared" si="214"/>
        <v>0.05</v>
      </c>
      <c r="N5806" s="464">
        <f t="shared" si="215"/>
        <v>227760</v>
      </c>
    </row>
    <row r="5807" spans="7:14" ht="11.25" customHeight="1" x14ac:dyDescent="0.3">
      <c r="G5807" s="459"/>
      <c r="H5807" s="459">
        <v>5800</v>
      </c>
      <c r="I5807" s="444">
        <f t="shared" ca="1" si="213"/>
        <v>493875866195502.38</v>
      </c>
      <c r="J5807" s="444">
        <f t="array" ref="J5807">IFERROR(INDEX('Retirement Calculator'!J:J,MATCH('Isaac 401k'!N5807,'Retirement Calculator'!A:A,0),0),0)</f>
        <v>0</v>
      </c>
      <c r="K5807" s="444">
        <f t="shared" ca="1" si="211"/>
        <v>2057816109147.9265</v>
      </c>
      <c r="L5807" s="444">
        <f t="shared" ca="1" si="212"/>
        <v>495933682304650.31</v>
      </c>
      <c r="M5807" s="460">
        <f t="shared" si="214"/>
        <v>0.05</v>
      </c>
      <c r="N5807" s="464">
        <f t="shared" si="215"/>
        <v>227791</v>
      </c>
    </row>
    <row r="5808" spans="7:14" ht="11.25" customHeight="1" x14ac:dyDescent="0.3">
      <c r="G5808" s="459"/>
      <c r="H5808" s="459">
        <v>5801</v>
      </c>
      <c r="I5808" s="444">
        <f t="shared" ca="1" si="213"/>
        <v>495933682304650.31</v>
      </c>
      <c r="J5808" s="444">
        <f t="array" ref="J5808">IFERROR(INDEX('Retirement Calculator'!J:J,MATCH('Isaac 401k'!N5808,'Retirement Calculator'!A:A,0),0),0)</f>
        <v>0</v>
      </c>
      <c r="K5808" s="444">
        <f t="shared" ca="1" si="211"/>
        <v>2066390342936.0427</v>
      </c>
      <c r="L5808" s="444">
        <f t="shared" ca="1" si="212"/>
        <v>498000072647586.38</v>
      </c>
      <c r="M5808" s="460">
        <f t="shared" si="214"/>
        <v>0.05</v>
      </c>
      <c r="N5808" s="464">
        <f t="shared" si="215"/>
        <v>227821</v>
      </c>
    </row>
    <row r="5809" spans="7:14" ht="11.25" customHeight="1" x14ac:dyDescent="0.3">
      <c r="G5809" s="459"/>
      <c r="H5809" s="459">
        <v>5802</v>
      </c>
      <c r="I5809" s="444">
        <f t="shared" ca="1" si="213"/>
        <v>498000072647586.38</v>
      </c>
      <c r="J5809" s="444">
        <f t="array" ref="J5809">IFERROR(INDEX('Retirement Calculator'!J:J,MATCH('Isaac 401k'!N5809,'Retirement Calculator'!A:A,0),0),0)</f>
        <v>0</v>
      </c>
      <c r="K5809" s="444">
        <f t="shared" ca="1" si="211"/>
        <v>2075000302698.2766</v>
      </c>
      <c r="L5809" s="444">
        <f t="shared" ca="1" si="212"/>
        <v>500075072950284.63</v>
      </c>
      <c r="M5809" s="460">
        <f t="shared" si="214"/>
        <v>0.05</v>
      </c>
      <c r="N5809" s="464">
        <f t="shared" si="215"/>
        <v>227852</v>
      </c>
    </row>
    <row r="5810" spans="7:14" ht="11.25" customHeight="1" x14ac:dyDescent="0.3">
      <c r="G5810" s="459"/>
      <c r="H5810" s="459">
        <v>5803</v>
      </c>
      <c r="I5810" s="444">
        <f t="shared" ca="1" si="213"/>
        <v>500075072950284.63</v>
      </c>
      <c r="J5810" s="444">
        <f t="array" ref="J5810">IFERROR(INDEX('Retirement Calculator'!J:J,MATCH('Isaac 401k'!N5810,'Retirement Calculator'!A:A,0),0),0)</f>
        <v>0</v>
      </c>
      <c r="K5810" s="444">
        <f t="shared" ca="1" si="211"/>
        <v>2083646137292.8523</v>
      </c>
      <c r="L5810" s="444">
        <f t="shared" ca="1" si="212"/>
        <v>502158719087577.5</v>
      </c>
      <c r="M5810" s="460">
        <f t="shared" si="214"/>
        <v>0.05</v>
      </c>
      <c r="N5810" s="464">
        <f t="shared" si="215"/>
        <v>227882</v>
      </c>
    </row>
    <row r="5811" spans="7:14" ht="11.25" customHeight="1" x14ac:dyDescent="0.3">
      <c r="G5811" s="459"/>
      <c r="H5811" s="459">
        <v>5804</v>
      </c>
      <c r="I5811" s="444">
        <f t="shared" ca="1" si="213"/>
        <v>502158719087577.5</v>
      </c>
      <c r="J5811" s="444">
        <f t="array" ref="J5811">IFERROR(INDEX('Retirement Calculator'!J:J,MATCH('Isaac 401k'!N5811,'Retirement Calculator'!A:A,0),0),0)</f>
        <v>0</v>
      </c>
      <c r="K5811" s="444">
        <f t="shared" ca="1" si="211"/>
        <v>2092327996198.2397</v>
      </c>
      <c r="L5811" s="444">
        <f t="shared" ca="1" si="212"/>
        <v>504251047083775.75</v>
      </c>
      <c r="M5811" s="460">
        <f t="shared" si="214"/>
        <v>0.05</v>
      </c>
      <c r="N5811" s="464">
        <f t="shared" si="215"/>
        <v>227913</v>
      </c>
    </row>
    <row r="5812" spans="7:14" ht="11.25" customHeight="1" x14ac:dyDescent="0.3">
      <c r="G5812" s="459"/>
      <c r="H5812" s="459">
        <v>5805</v>
      </c>
      <c r="I5812" s="444">
        <f t="shared" ca="1" si="213"/>
        <v>504251047083775.75</v>
      </c>
      <c r="J5812" s="444">
        <f t="array" ref="J5812">IFERROR(INDEX('Retirement Calculator'!J:J,MATCH('Isaac 401k'!N5812,'Retirement Calculator'!A:A,0),0),0)</f>
        <v>0</v>
      </c>
      <c r="K5812" s="444">
        <f t="shared" ca="1" si="211"/>
        <v>2101046029515.7324</v>
      </c>
      <c r="L5812" s="444">
        <f t="shared" ca="1" si="212"/>
        <v>506352093113291.5</v>
      </c>
      <c r="M5812" s="460">
        <f t="shared" si="214"/>
        <v>0.05</v>
      </c>
      <c r="N5812" s="464">
        <f t="shared" si="215"/>
        <v>227944</v>
      </c>
    </row>
    <row r="5813" spans="7:14" ht="11.25" customHeight="1" x14ac:dyDescent="0.3">
      <c r="G5813" s="459"/>
      <c r="H5813" s="459">
        <v>5806</v>
      </c>
      <c r="I5813" s="444">
        <f t="shared" ca="1" si="213"/>
        <v>506352093113291.5</v>
      </c>
      <c r="J5813" s="444">
        <f t="array" ref="J5813">IFERROR(INDEX('Retirement Calculator'!J:J,MATCH('Isaac 401k'!N5813,'Retirement Calculator'!A:A,0),0),0)</f>
        <v>0</v>
      </c>
      <c r="K5813" s="444">
        <f t="shared" ca="1" si="211"/>
        <v>2109800387972.0479</v>
      </c>
      <c r="L5813" s="444">
        <f t="shared" ca="1" si="212"/>
        <v>508461893501263.56</v>
      </c>
      <c r="M5813" s="460">
        <f t="shared" si="214"/>
        <v>0.05</v>
      </c>
      <c r="N5813" s="464">
        <f t="shared" si="215"/>
        <v>227973</v>
      </c>
    </row>
    <row r="5814" spans="7:14" ht="11.25" customHeight="1" x14ac:dyDescent="0.3">
      <c r="G5814" s="459"/>
      <c r="H5814" s="459">
        <v>5807</v>
      </c>
      <c r="I5814" s="444">
        <f t="shared" ca="1" si="213"/>
        <v>508461893501263.56</v>
      </c>
      <c r="J5814" s="444">
        <f t="array" ref="J5814">IFERROR(INDEX('Retirement Calculator'!J:J,MATCH('Isaac 401k'!N5814,'Retirement Calculator'!A:A,0),0),0)</f>
        <v>0</v>
      </c>
      <c r="K5814" s="444">
        <f t="shared" ca="1" si="211"/>
        <v>2118591222921.9314</v>
      </c>
      <c r="L5814" s="444">
        <f t="shared" ca="1" si="212"/>
        <v>510580484724185.5</v>
      </c>
      <c r="M5814" s="460">
        <f t="shared" si="214"/>
        <v>0.05</v>
      </c>
      <c r="N5814" s="464">
        <f t="shared" si="215"/>
        <v>228004</v>
      </c>
    </row>
    <row r="5815" spans="7:14" ht="11.25" customHeight="1" x14ac:dyDescent="0.3">
      <c r="G5815" s="459"/>
      <c r="H5815" s="459">
        <v>5808</v>
      </c>
      <c r="I5815" s="444">
        <f t="shared" ca="1" si="213"/>
        <v>510580484724185.5</v>
      </c>
      <c r="J5815" s="444">
        <f t="array" ref="J5815">IFERROR(INDEX('Retirement Calculator'!J:J,MATCH('Isaac 401k'!N5815,'Retirement Calculator'!A:A,0),0),0)</f>
        <v>0</v>
      </c>
      <c r="K5815" s="444">
        <f t="shared" ca="1" si="211"/>
        <v>2127418686350.7732</v>
      </c>
      <c r="L5815" s="444">
        <f t="shared" ca="1" si="212"/>
        <v>512707903410536.25</v>
      </c>
      <c r="M5815" s="460">
        <f t="shared" si="214"/>
        <v>0.05</v>
      </c>
      <c r="N5815" s="464">
        <f t="shared" si="215"/>
        <v>228034</v>
      </c>
    </row>
    <row r="5816" spans="7:14" ht="11.25" customHeight="1" x14ac:dyDescent="0.3">
      <c r="G5816" s="459"/>
      <c r="H5816" s="459">
        <v>5809</v>
      </c>
      <c r="I5816" s="444">
        <f t="shared" ca="1" si="213"/>
        <v>512707903410536.25</v>
      </c>
      <c r="J5816" s="444">
        <f t="array" ref="J5816">IFERROR(INDEX('Retirement Calculator'!J:J,MATCH('Isaac 401k'!N5816,'Retirement Calculator'!A:A,0),0),0)</f>
        <v>0</v>
      </c>
      <c r="K5816" s="444">
        <f t="shared" ca="1" si="211"/>
        <v>2136282930877.2346</v>
      </c>
      <c r="L5816" s="444">
        <f t="shared" ca="1" si="212"/>
        <v>514844186341413.5</v>
      </c>
      <c r="M5816" s="460">
        <f t="shared" si="214"/>
        <v>0.05</v>
      </c>
      <c r="N5816" s="464">
        <f t="shared" si="215"/>
        <v>228065</v>
      </c>
    </row>
    <row r="5817" spans="7:14" ht="11.25" customHeight="1" x14ac:dyDescent="0.3">
      <c r="G5817" s="459"/>
      <c r="H5817" s="459">
        <v>5810</v>
      </c>
      <c r="I5817" s="444">
        <f t="shared" ca="1" si="213"/>
        <v>514844186341413.5</v>
      </c>
      <c r="J5817" s="444">
        <f t="array" ref="J5817">IFERROR(INDEX('Retirement Calculator'!J:J,MATCH('Isaac 401k'!N5817,'Retirement Calculator'!A:A,0),0),0)</f>
        <v>0</v>
      </c>
      <c r="K5817" s="444">
        <f t="shared" ca="1" si="211"/>
        <v>2145184109755.8896</v>
      </c>
      <c r="L5817" s="444">
        <f t="shared" ca="1" si="212"/>
        <v>516989370451169.38</v>
      </c>
      <c r="M5817" s="460">
        <f t="shared" si="214"/>
        <v>0.05</v>
      </c>
      <c r="N5817" s="464">
        <f t="shared" si="215"/>
        <v>228095</v>
      </c>
    </row>
    <row r="5818" spans="7:14" ht="11.25" customHeight="1" x14ac:dyDescent="0.3">
      <c r="G5818" s="459"/>
      <c r="H5818" s="459">
        <v>5811</v>
      </c>
      <c r="I5818" s="444">
        <f t="shared" ca="1" si="213"/>
        <v>516989370451169.38</v>
      </c>
      <c r="J5818" s="444">
        <f t="array" ref="J5818">IFERROR(INDEX('Retirement Calculator'!J:J,MATCH('Isaac 401k'!N5818,'Retirement Calculator'!A:A,0),0),0)</f>
        <v>0</v>
      </c>
      <c r="K5818" s="444">
        <f t="shared" ca="1" si="211"/>
        <v>2154122376879.8723</v>
      </c>
      <c r="L5818" s="444">
        <f t="shared" ca="1" si="212"/>
        <v>519143492828049.25</v>
      </c>
      <c r="M5818" s="460">
        <f t="shared" si="214"/>
        <v>0.05</v>
      </c>
      <c r="N5818" s="464">
        <f t="shared" si="215"/>
        <v>228126</v>
      </c>
    </row>
    <row r="5819" spans="7:14" ht="11.25" customHeight="1" x14ac:dyDescent="0.3">
      <c r="G5819" s="459"/>
      <c r="H5819" s="459">
        <v>5812</v>
      </c>
      <c r="I5819" s="444">
        <f t="shared" ca="1" si="213"/>
        <v>519143492828049.25</v>
      </c>
      <c r="J5819" s="444">
        <f t="array" ref="J5819">IFERROR(INDEX('Retirement Calculator'!J:J,MATCH('Isaac 401k'!N5819,'Retirement Calculator'!A:A,0),0),0)</f>
        <v>0</v>
      </c>
      <c r="K5819" s="444">
        <f t="shared" ca="1" si="211"/>
        <v>2163097886783.5386</v>
      </c>
      <c r="L5819" s="444">
        <f t="shared" ca="1" si="212"/>
        <v>521306590714832.81</v>
      </c>
      <c r="M5819" s="460">
        <f t="shared" si="214"/>
        <v>0.05</v>
      </c>
      <c r="N5819" s="464">
        <f t="shared" si="215"/>
        <v>228157</v>
      </c>
    </row>
    <row r="5820" spans="7:14" ht="11.25" customHeight="1" x14ac:dyDescent="0.3">
      <c r="G5820" s="459"/>
      <c r="H5820" s="459">
        <v>5813</v>
      </c>
      <c r="I5820" s="444">
        <f t="shared" ca="1" si="213"/>
        <v>521306590714832.81</v>
      </c>
      <c r="J5820" s="444">
        <f t="array" ref="J5820">IFERROR(INDEX('Retirement Calculator'!J:J,MATCH('Isaac 401k'!N5820,'Retirement Calculator'!A:A,0),0),0)</f>
        <v>0</v>
      </c>
      <c r="K5820" s="444">
        <f t="shared" ca="1" si="211"/>
        <v>2172110794645.137</v>
      </c>
      <c r="L5820" s="444">
        <f t="shared" ca="1" si="212"/>
        <v>523478701509477.94</v>
      </c>
      <c r="M5820" s="460">
        <f t="shared" si="214"/>
        <v>0.05</v>
      </c>
      <c r="N5820" s="464">
        <f t="shared" si="215"/>
        <v>228187</v>
      </c>
    </row>
    <row r="5821" spans="7:14" ht="11.25" customHeight="1" x14ac:dyDescent="0.3">
      <c r="G5821" s="459"/>
      <c r="H5821" s="459">
        <v>5814</v>
      </c>
      <c r="I5821" s="444">
        <f t="shared" ca="1" si="213"/>
        <v>523478701509477.94</v>
      </c>
      <c r="J5821" s="444">
        <f t="array" ref="J5821">IFERROR(INDEX('Retirement Calculator'!J:J,MATCH('Isaac 401k'!N5821,'Retirement Calculator'!A:A,0),0),0)</f>
        <v>0</v>
      </c>
      <c r="K5821" s="444">
        <f t="shared" ca="1" si="211"/>
        <v>2181161256289.4912</v>
      </c>
      <c r="L5821" s="444">
        <f t="shared" ca="1" si="212"/>
        <v>525659862765767.44</v>
      </c>
      <c r="M5821" s="460">
        <f t="shared" si="214"/>
        <v>0.05</v>
      </c>
      <c r="N5821" s="464">
        <f t="shared" si="215"/>
        <v>228218</v>
      </c>
    </row>
    <row r="5822" spans="7:14" ht="11.25" customHeight="1" x14ac:dyDescent="0.3">
      <c r="G5822" s="459"/>
      <c r="H5822" s="459">
        <v>5815</v>
      </c>
      <c r="I5822" s="444">
        <f t="shared" ca="1" si="213"/>
        <v>525659862765767.44</v>
      </c>
      <c r="J5822" s="444">
        <f t="array" ref="J5822">IFERROR(INDEX('Retirement Calculator'!J:J,MATCH('Isaac 401k'!N5822,'Retirement Calculator'!A:A,0),0),0)</f>
        <v>0</v>
      </c>
      <c r="K5822" s="444">
        <f t="shared" ca="1" si="211"/>
        <v>2190249428190.6975</v>
      </c>
      <c r="L5822" s="444">
        <f t="shared" ca="1" si="212"/>
        <v>527850112193958.13</v>
      </c>
      <c r="M5822" s="460">
        <f t="shared" si="214"/>
        <v>0.05</v>
      </c>
      <c r="N5822" s="464">
        <f t="shared" si="215"/>
        <v>228248</v>
      </c>
    </row>
    <row r="5823" spans="7:14" ht="11.25" customHeight="1" x14ac:dyDescent="0.3">
      <c r="G5823" s="459"/>
      <c r="H5823" s="459">
        <v>5816</v>
      </c>
      <c r="I5823" s="444">
        <f t="shared" ca="1" si="213"/>
        <v>527850112193958.13</v>
      </c>
      <c r="J5823" s="444">
        <f t="array" ref="J5823">IFERROR(INDEX('Retirement Calculator'!J:J,MATCH('Isaac 401k'!N5823,'Retirement Calculator'!A:A,0),0),0)</f>
        <v>0</v>
      </c>
      <c r="K5823" s="444">
        <f t="shared" ca="1" si="211"/>
        <v>2199375467474.8257</v>
      </c>
      <c r="L5823" s="444">
        <f t="shared" ca="1" si="212"/>
        <v>530049487661432.94</v>
      </c>
      <c r="M5823" s="460">
        <f t="shared" si="214"/>
        <v>0.05</v>
      </c>
      <c r="N5823" s="464">
        <f t="shared" si="215"/>
        <v>228279</v>
      </c>
    </row>
    <row r="5824" spans="7:14" ht="11.25" customHeight="1" x14ac:dyDescent="0.3">
      <c r="G5824" s="459"/>
      <c r="H5824" s="459">
        <v>5817</v>
      </c>
      <c r="I5824" s="444">
        <f t="shared" ca="1" si="213"/>
        <v>530049487661432.94</v>
      </c>
      <c r="J5824" s="444">
        <f t="array" ref="J5824">IFERROR(INDEX('Retirement Calculator'!J:J,MATCH('Isaac 401k'!N5824,'Retirement Calculator'!A:A,0),0),0)</f>
        <v>0</v>
      </c>
      <c r="K5824" s="444">
        <f t="shared" ca="1" si="211"/>
        <v>2208539531922.6372</v>
      </c>
      <c r="L5824" s="444">
        <f t="shared" ca="1" si="212"/>
        <v>532258027193355.56</v>
      </c>
      <c r="M5824" s="460">
        <f t="shared" si="214"/>
        <v>0.05</v>
      </c>
      <c r="N5824" s="464">
        <f t="shared" si="215"/>
        <v>228310</v>
      </c>
    </row>
    <row r="5825" spans="7:14" ht="11.25" customHeight="1" x14ac:dyDescent="0.3">
      <c r="G5825" s="459"/>
      <c r="H5825" s="459">
        <v>5818</v>
      </c>
      <c r="I5825" s="444">
        <f t="shared" ca="1" si="213"/>
        <v>532258027193355.56</v>
      </c>
      <c r="J5825" s="444">
        <f t="array" ref="J5825">IFERROR(INDEX('Retirement Calculator'!J:J,MATCH('Isaac 401k'!N5825,'Retirement Calculator'!A:A,0),0),0)</f>
        <v>0</v>
      </c>
      <c r="K5825" s="444">
        <f t="shared" ca="1" si="211"/>
        <v>2217741779972.3145</v>
      </c>
      <c r="L5825" s="444">
        <f t="shared" ca="1" si="212"/>
        <v>534475768973327.88</v>
      </c>
      <c r="M5825" s="460">
        <f t="shared" si="214"/>
        <v>0.05</v>
      </c>
      <c r="N5825" s="464">
        <f t="shared" si="215"/>
        <v>228338</v>
      </c>
    </row>
    <row r="5826" spans="7:14" ht="11.25" customHeight="1" x14ac:dyDescent="0.3">
      <c r="G5826" s="459"/>
      <c r="H5826" s="459">
        <v>5819</v>
      </c>
      <c r="I5826" s="444">
        <f t="shared" ca="1" si="213"/>
        <v>534475768973327.88</v>
      </c>
      <c r="J5826" s="444">
        <f t="array" ref="J5826">IFERROR(INDEX('Retirement Calculator'!J:J,MATCH('Isaac 401k'!N5826,'Retirement Calculator'!A:A,0),0),0)</f>
        <v>0</v>
      </c>
      <c r="K5826" s="444">
        <f t="shared" ca="1" si="211"/>
        <v>2226982370722.1992</v>
      </c>
      <c r="L5826" s="444">
        <f t="shared" ca="1" si="212"/>
        <v>536702751344050.06</v>
      </c>
      <c r="M5826" s="460">
        <f t="shared" si="214"/>
        <v>0.05</v>
      </c>
      <c r="N5826" s="464">
        <f t="shared" si="215"/>
        <v>228369</v>
      </c>
    </row>
    <row r="5827" spans="7:14" ht="11.25" customHeight="1" x14ac:dyDescent="0.3">
      <c r="G5827" s="459"/>
      <c r="H5827" s="459">
        <v>5820</v>
      </c>
      <c r="I5827" s="444">
        <f t="shared" ca="1" si="213"/>
        <v>536702751344050.06</v>
      </c>
      <c r="J5827" s="444">
        <f t="array" ref="J5827">IFERROR(INDEX('Retirement Calculator'!J:J,MATCH('Isaac 401k'!N5827,'Retirement Calculator'!A:A,0),0),0)</f>
        <v>0</v>
      </c>
      <c r="K5827" s="444">
        <f t="shared" ca="1" si="211"/>
        <v>2236261463933.542</v>
      </c>
      <c r="L5827" s="444">
        <f t="shared" ca="1" si="212"/>
        <v>538939012807983.63</v>
      </c>
      <c r="M5827" s="460">
        <f t="shared" si="214"/>
        <v>0.05</v>
      </c>
      <c r="N5827" s="464">
        <f t="shared" si="215"/>
        <v>228399</v>
      </c>
    </row>
    <row r="5828" spans="7:14" ht="11.25" customHeight="1" x14ac:dyDescent="0.3">
      <c r="G5828" s="459"/>
      <c r="H5828" s="459">
        <v>5821</v>
      </c>
      <c r="I5828" s="444">
        <f t="shared" ca="1" si="213"/>
        <v>538939012807983.63</v>
      </c>
      <c r="J5828" s="444">
        <f t="array" ref="J5828">IFERROR(INDEX('Retirement Calculator'!J:J,MATCH('Isaac 401k'!N5828,'Retirement Calculator'!A:A,0),0),0)</f>
        <v>0</v>
      </c>
      <c r="K5828" s="444">
        <f t="shared" ca="1" si="211"/>
        <v>2245579220033.2646</v>
      </c>
      <c r="L5828" s="444">
        <f t="shared" ca="1" si="212"/>
        <v>541184592028016.88</v>
      </c>
      <c r="M5828" s="460">
        <f t="shared" si="214"/>
        <v>0.05</v>
      </c>
      <c r="N5828" s="464">
        <f t="shared" si="215"/>
        <v>228430</v>
      </c>
    </row>
    <row r="5829" spans="7:14" ht="11.25" customHeight="1" x14ac:dyDescent="0.3">
      <c r="G5829" s="459"/>
      <c r="H5829" s="459">
        <v>5822</v>
      </c>
      <c r="I5829" s="444">
        <f t="shared" ca="1" si="213"/>
        <v>541184592028016.88</v>
      </c>
      <c r="J5829" s="444">
        <f t="array" ref="J5829">IFERROR(INDEX('Retirement Calculator'!J:J,MATCH('Isaac 401k'!N5829,'Retirement Calculator'!A:A,0),0),0)</f>
        <v>0</v>
      </c>
      <c r="K5829" s="444">
        <f t="shared" ca="1" si="211"/>
        <v>2254935800116.7368</v>
      </c>
      <c r="L5829" s="444">
        <f t="shared" ca="1" si="212"/>
        <v>543439527828133.63</v>
      </c>
      <c r="M5829" s="460">
        <f t="shared" si="214"/>
        <v>0.05</v>
      </c>
      <c r="N5829" s="464">
        <f t="shared" si="215"/>
        <v>228460</v>
      </c>
    </row>
    <row r="5830" spans="7:14" ht="11.25" customHeight="1" x14ac:dyDescent="0.3">
      <c r="G5830" s="459"/>
      <c r="H5830" s="459">
        <v>5823</v>
      </c>
      <c r="I5830" s="444">
        <f t="shared" ca="1" si="213"/>
        <v>543439527828133.63</v>
      </c>
      <c r="J5830" s="444">
        <f t="array" ref="J5830">IFERROR(INDEX('Retirement Calculator'!J:J,MATCH('Isaac 401k'!N5830,'Retirement Calculator'!A:A,0),0),0)</f>
        <v>0</v>
      </c>
      <c r="K5830" s="444">
        <f t="shared" ca="1" si="211"/>
        <v>2264331365950.5566</v>
      </c>
      <c r="L5830" s="444">
        <f t="shared" ca="1" si="212"/>
        <v>545703859194084.19</v>
      </c>
      <c r="M5830" s="460">
        <f t="shared" si="214"/>
        <v>0.05</v>
      </c>
      <c r="N5830" s="464">
        <f t="shared" si="215"/>
        <v>228491</v>
      </c>
    </row>
    <row r="5831" spans="7:14" ht="11.25" customHeight="1" x14ac:dyDescent="0.3">
      <c r="G5831" s="459"/>
      <c r="H5831" s="459">
        <v>5824</v>
      </c>
      <c r="I5831" s="444">
        <f t="shared" ca="1" si="213"/>
        <v>545703859194084.19</v>
      </c>
      <c r="J5831" s="444">
        <f t="array" ref="J5831">IFERROR(INDEX('Retirement Calculator'!J:J,MATCH('Isaac 401k'!N5831,'Retirement Calculator'!A:A,0),0),0)</f>
        <v>0</v>
      </c>
      <c r="K5831" s="444">
        <f t="shared" ca="1" si="211"/>
        <v>2273766079975.3506</v>
      </c>
      <c r="L5831" s="444">
        <f t="shared" ca="1" si="212"/>
        <v>547977625274059.56</v>
      </c>
      <c r="M5831" s="460">
        <f t="shared" si="214"/>
        <v>0.05</v>
      </c>
      <c r="N5831" s="464">
        <f t="shared" si="215"/>
        <v>228522</v>
      </c>
    </row>
    <row r="5832" spans="7:14" ht="11.25" customHeight="1" x14ac:dyDescent="0.3">
      <c r="G5832" s="459"/>
      <c r="H5832" s="459">
        <v>5825</v>
      </c>
      <c r="I5832" s="444">
        <f t="shared" ca="1" si="213"/>
        <v>547977625274059.56</v>
      </c>
      <c r="J5832" s="444">
        <f t="array" ref="J5832">IFERROR(INDEX('Retirement Calculator'!J:J,MATCH('Isaac 401k'!N5832,'Retirement Calculator'!A:A,0),0),0)</f>
        <v>0</v>
      </c>
      <c r="K5832" s="444">
        <f t="shared" ca="1" si="211"/>
        <v>2283240105308.5815</v>
      </c>
      <c r="L5832" s="444">
        <f t="shared" ca="1" si="212"/>
        <v>550260865379368.13</v>
      </c>
      <c r="M5832" s="460">
        <f t="shared" si="214"/>
        <v>0.05</v>
      </c>
      <c r="N5832" s="464">
        <f t="shared" si="215"/>
        <v>228552</v>
      </c>
    </row>
    <row r="5833" spans="7:14" ht="11.25" customHeight="1" x14ac:dyDescent="0.3">
      <c r="G5833" s="459"/>
      <c r="H5833" s="459">
        <v>5826</v>
      </c>
      <c r="I5833" s="444">
        <f t="shared" ca="1" si="213"/>
        <v>550260865379368.13</v>
      </c>
      <c r="J5833" s="444">
        <f t="array" ref="J5833">IFERROR(INDEX('Retirement Calculator'!J:J,MATCH('Isaac 401k'!N5833,'Retirement Calculator'!A:A,0),0),0)</f>
        <v>0</v>
      </c>
      <c r="K5833" s="444">
        <f t="shared" ca="1" si="211"/>
        <v>2292753605747.3667</v>
      </c>
      <c r="L5833" s="444">
        <f t="shared" ca="1" si="212"/>
        <v>552553618985115.5</v>
      </c>
      <c r="M5833" s="460">
        <f t="shared" si="214"/>
        <v>0.05</v>
      </c>
      <c r="N5833" s="464">
        <f t="shared" si="215"/>
        <v>228583</v>
      </c>
    </row>
    <row r="5834" spans="7:14" ht="11.25" customHeight="1" x14ac:dyDescent="0.3">
      <c r="G5834" s="459"/>
      <c r="H5834" s="459">
        <v>5827</v>
      </c>
      <c r="I5834" s="444">
        <f t="shared" ca="1" si="213"/>
        <v>552553618985115.5</v>
      </c>
      <c r="J5834" s="444">
        <f t="array" ref="J5834">IFERROR(INDEX('Retirement Calculator'!J:J,MATCH('Isaac 401k'!N5834,'Retirement Calculator'!A:A,0),0),0)</f>
        <v>0</v>
      </c>
      <c r="K5834" s="444">
        <f t="shared" ca="1" si="211"/>
        <v>2302306745771.3149</v>
      </c>
      <c r="L5834" s="444">
        <f t="shared" ca="1" si="212"/>
        <v>554855925730886.81</v>
      </c>
      <c r="M5834" s="460">
        <f t="shared" si="214"/>
        <v>0.05</v>
      </c>
      <c r="N5834" s="464">
        <f t="shared" si="215"/>
        <v>228613</v>
      </c>
    </row>
    <row r="5835" spans="7:14" ht="11.25" customHeight="1" x14ac:dyDescent="0.3">
      <c r="G5835" s="459"/>
      <c r="H5835" s="459">
        <v>5828</v>
      </c>
      <c r="I5835" s="444">
        <f t="shared" ca="1" si="213"/>
        <v>554855925730886.81</v>
      </c>
      <c r="J5835" s="444">
        <f t="array" ref="J5835">IFERROR(INDEX('Retirement Calculator'!J:J,MATCH('Isaac 401k'!N5835,'Retirement Calculator'!A:A,0),0),0)</f>
        <v>0</v>
      </c>
      <c r="K5835" s="444">
        <f t="shared" ca="1" si="211"/>
        <v>2311899690545.3618</v>
      </c>
      <c r="L5835" s="444">
        <f t="shared" ca="1" si="212"/>
        <v>557167825421432.19</v>
      </c>
      <c r="M5835" s="460">
        <f t="shared" si="214"/>
        <v>0.05</v>
      </c>
      <c r="N5835" s="464">
        <f t="shared" si="215"/>
        <v>228644</v>
      </c>
    </row>
    <row r="5836" spans="7:14" ht="11.25" customHeight="1" x14ac:dyDescent="0.3">
      <c r="G5836" s="459"/>
      <c r="H5836" s="459">
        <v>5829</v>
      </c>
      <c r="I5836" s="444">
        <f t="shared" ca="1" si="213"/>
        <v>557167825421432.19</v>
      </c>
      <c r="J5836" s="444">
        <f t="array" ref="J5836">IFERROR(INDEX('Retirement Calculator'!J:J,MATCH('Isaac 401k'!N5836,'Retirement Calculator'!A:A,0),0),0)</f>
        <v>0</v>
      </c>
      <c r="K5836" s="444">
        <f t="shared" ca="1" si="211"/>
        <v>2321532605922.6343</v>
      </c>
      <c r="L5836" s="444">
        <f t="shared" ca="1" si="212"/>
        <v>559489358027354.81</v>
      </c>
      <c r="M5836" s="460">
        <f t="shared" si="214"/>
        <v>0.05</v>
      </c>
      <c r="N5836" s="464">
        <f t="shared" si="215"/>
        <v>228675</v>
      </c>
    </row>
    <row r="5837" spans="7:14" ht="11.25" customHeight="1" x14ac:dyDescent="0.3">
      <c r="G5837" s="459"/>
      <c r="H5837" s="459">
        <v>5830</v>
      </c>
      <c r="I5837" s="444">
        <f t="shared" ca="1" si="213"/>
        <v>559489358027354.81</v>
      </c>
      <c r="J5837" s="444">
        <f t="array" ref="J5837">IFERROR(INDEX('Retirement Calculator'!J:J,MATCH('Isaac 401k'!N5837,'Retirement Calculator'!A:A,0),0),0)</f>
        <v>0</v>
      </c>
      <c r="K5837" s="444">
        <f t="shared" ca="1" si="211"/>
        <v>2331205658447.3115</v>
      </c>
      <c r="L5837" s="444">
        <f t="shared" ca="1" si="212"/>
        <v>561820563685802.13</v>
      </c>
      <c r="M5837" s="460">
        <f t="shared" si="214"/>
        <v>0.05</v>
      </c>
      <c r="N5837" s="464">
        <f t="shared" si="215"/>
        <v>228703</v>
      </c>
    </row>
    <row r="5838" spans="7:14" ht="11.25" customHeight="1" x14ac:dyDescent="0.3">
      <c r="G5838" s="459"/>
      <c r="H5838" s="459">
        <v>5831</v>
      </c>
      <c r="I5838" s="444">
        <f t="shared" ca="1" si="213"/>
        <v>561820563685802.13</v>
      </c>
      <c r="J5838" s="444">
        <f t="array" ref="J5838">IFERROR(INDEX('Retirement Calculator'!J:J,MATCH('Isaac 401k'!N5838,'Retirement Calculator'!A:A,0),0),0)</f>
        <v>0</v>
      </c>
      <c r="K5838" s="444">
        <f t="shared" ca="1" si="211"/>
        <v>2340919015357.5088</v>
      </c>
      <c r="L5838" s="444">
        <f t="shared" ca="1" si="212"/>
        <v>564161482701159.63</v>
      </c>
      <c r="M5838" s="460">
        <f t="shared" si="214"/>
        <v>0.05</v>
      </c>
      <c r="N5838" s="464">
        <f t="shared" si="215"/>
        <v>228734</v>
      </c>
    </row>
    <row r="5839" spans="7:14" ht="11.25" customHeight="1" x14ac:dyDescent="0.3">
      <c r="G5839" s="459"/>
      <c r="H5839" s="459">
        <v>5832</v>
      </c>
      <c r="I5839" s="444">
        <f t="shared" ca="1" si="213"/>
        <v>564161482701159.63</v>
      </c>
      <c r="J5839" s="444">
        <f t="array" ref="J5839">IFERROR(INDEX('Retirement Calculator'!J:J,MATCH('Isaac 401k'!N5839,'Retirement Calculator'!A:A,0),0),0)</f>
        <v>0</v>
      </c>
      <c r="K5839" s="444">
        <f t="shared" ca="1" si="211"/>
        <v>2350672844588.165</v>
      </c>
      <c r="L5839" s="444">
        <f t="shared" ca="1" si="212"/>
        <v>566512155545747.75</v>
      </c>
      <c r="M5839" s="460">
        <f t="shared" si="214"/>
        <v>0.05</v>
      </c>
      <c r="N5839" s="464">
        <f t="shared" si="215"/>
        <v>228764</v>
      </c>
    </row>
    <row r="5840" spans="7:14" ht="11.25" customHeight="1" x14ac:dyDescent="0.3">
      <c r="G5840" s="459"/>
      <c r="H5840" s="459">
        <v>5833</v>
      </c>
      <c r="I5840" s="444">
        <f t="shared" ca="1" si="213"/>
        <v>566512155545747.75</v>
      </c>
      <c r="J5840" s="444">
        <f t="array" ref="J5840">IFERROR(INDEX('Retirement Calculator'!J:J,MATCH('Isaac 401k'!N5840,'Retirement Calculator'!A:A,0),0),0)</f>
        <v>0</v>
      </c>
      <c r="K5840" s="444">
        <f t="shared" ca="1" si="211"/>
        <v>2360467314773.9487</v>
      </c>
      <c r="L5840" s="444">
        <f t="shared" ca="1" si="212"/>
        <v>568872622860521.75</v>
      </c>
      <c r="M5840" s="460">
        <f t="shared" si="214"/>
        <v>0.05</v>
      </c>
      <c r="N5840" s="464">
        <f t="shared" si="215"/>
        <v>228795</v>
      </c>
    </row>
    <row r="5841" spans="7:14" ht="11.25" customHeight="1" x14ac:dyDescent="0.3">
      <c r="G5841" s="459"/>
      <c r="H5841" s="459">
        <v>5834</v>
      </c>
      <c r="I5841" s="444">
        <f t="shared" ca="1" si="213"/>
        <v>568872622860521.75</v>
      </c>
      <c r="J5841" s="444">
        <f t="array" ref="J5841">IFERROR(INDEX('Retirement Calculator'!J:J,MATCH('Isaac 401k'!N5841,'Retirement Calculator'!A:A,0),0),0)</f>
        <v>0</v>
      </c>
      <c r="K5841" s="444">
        <f t="shared" ca="1" si="211"/>
        <v>2370302595252.1738</v>
      </c>
      <c r="L5841" s="444">
        <f t="shared" ca="1" si="212"/>
        <v>571242925455773.88</v>
      </c>
      <c r="M5841" s="460">
        <f t="shared" si="214"/>
        <v>0.05</v>
      </c>
      <c r="N5841" s="464">
        <f t="shared" si="215"/>
        <v>228825</v>
      </c>
    </row>
    <row r="5842" spans="7:14" ht="11.25" customHeight="1" x14ac:dyDescent="0.3">
      <c r="G5842" s="459"/>
      <c r="H5842" s="459">
        <v>5835</v>
      </c>
      <c r="I5842" s="444">
        <f t="shared" ca="1" si="213"/>
        <v>571242925455773.88</v>
      </c>
      <c r="J5842" s="444">
        <f t="array" ref="J5842">IFERROR(INDEX('Retirement Calculator'!J:J,MATCH('Isaac 401k'!N5842,'Retirement Calculator'!A:A,0),0),0)</f>
        <v>0</v>
      </c>
      <c r="K5842" s="444">
        <f t="shared" ca="1" si="211"/>
        <v>2380178856065.7246</v>
      </c>
      <c r="L5842" s="444">
        <f t="shared" ca="1" si="212"/>
        <v>573623104311839.63</v>
      </c>
      <c r="M5842" s="460">
        <f t="shared" si="214"/>
        <v>0.05</v>
      </c>
      <c r="N5842" s="464">
        <f t="shared" si="215"/>
        <v>228856</v>
      </c>
    </row>
    <row r="5843" spans="7:14" ht="11.25" customHeight="1" x14ac:dyDescent="0.3">
      <c r="G5843" s="459"/>
      <c r="H5843" s="459">
        <v>5836</v>
      </c>
      <c r="I5843" s="444">
        <f t="shared" ca="1" si="213"/>
        <v>573623104311839.63</v>
      </c>
      <c r="J5843" s="444">
        <f t="array" ref="J5843">IFERROR(INDEX('Retirement Calculator'!J:J,MATCH('Isaac 401k'!N5843,'Retirement Calculator'!A:A,0),0),0)</f>
        <v>0</v>
      </c>
      <c r="K5843" s="444">
        <f t="shared" ca="1" si="211"/>
        <v>2390096267965.9985</v>
      </c>
      <c r="L5843" s="444">
        <f t="shared" ca="1" si="212"/>
        <v>576013200579805.63</v>
      </c>
      <c r="M5843" s="460">
        <f t="shared" si="214"/>
        <v>0.05</v>
      </c>
      <c r="N5843" s="464">
        <f t="shared" si="215"/>
        <v>228887</v>
      </c>
    </row>
    <row r="5844" spans="7:14" ht="11.25" customHeight="1" x14ac:dyDescent="0.3">
      <c r="G5844" s="459"/>
      <c r="H5844" s="459">
        <v>5837</v>
      </c>
      <c r="I5844" s="444">
        <f t="shared" ca="1" si="213"/>
        <v>576013200579805.63</v>
      </c>
      <c r="J5844" s="444">
        <f t="array" ref="J5844">IFERROR(INDEX('Retirement Calculator'!J:J,MATCH('Isaac 401k'!N5844,'Retirement Calculator'!A:A,0),0),0)</f>
        <v>0</v>
      </c>
      <c r="K5844" s="444">
        <f t="shared" ca="1" si="211"/>
        <v>2400055002415.8569</v>
      </c>
      <c r="L5844" s="444">
        <f t="shared" ca="1" si="212"/>
        <v>578413255582221.5</v>
      </c>
      <c r="M5844" s="460">
        <f t="shared" si="214"/>
        <v>0.05</v>
      </c>
      <c r="N5844" s="464">
        <f t="shared" si="215"/>
        <v>228917</v>
      </c>
    </row>
    <row r="5845" spans="7:14" ht="11.25" customHeight="1" x14ac:dyDescent="0.3">
      <c r="G5845" s="459"/>
      <c r="H5845" s="459">
        <v>5838</v>
      </c>
      <c r="I5845" s="444">
        <f t="shared" ca="1" si="213"/>
        <v>578413255582221.5</v>
      </c>
      <c r="J5845" s="444">
        <f t="array" ref="J5845">IFERROR(INDEX('Retirement Calculator'!J:J,MATCH('Isaac 401k'!N5845,'Retirement Calculator'!A:A,0),0),0)</f>
        <v>0</v>
      </c>
      <c r="K5845" s="444">
        <f t="shared" ca="1" si="211"/>
        <v>2410055231592.5894</v>
      </c>
      <c r="L5845" s="444">
        <f t="shared" ca="1" si="212"/>
        <v>580823310813814.13</v>
      </c>
      <c r="M5845" s="460">
        <f t="shared" si="214"/>
        <v>0.05</v>
      </c>
      <c r="N5845" s="464">
        <f t="shared" si="215"/>
        <v>228948</v>
      </c>
    </row>
    <row r="5846" spans="7:14" ht="11.25" customHeight="1" x14ac:dyDescent="0.3">
      <c r="G5846" s="459"/>
      <c r="H5846" s="459">
        <v>5839</v>
      </c>
      <c r="I5846" s="444">
        <f t="shared" ca="1" si="213"/>
        <v>580823310813814.13</v>
      </c>
      <c r="J5846" s="444">
        <f t="array" ref="J5846">IFERROR(INDEX('Retirement Calculator'!J:J,MATCH('Isaac 401k'!N5846,'Retirement Calculator'!A:A,0),0),0)</f>
        <v>0</v>
      </c>
      <c r="K5846" s="444">
        <f t="shared" ca="1" si="211"/>
        <v>2420097128390.8921</v>
      </c>
      <c r="L5846" s="444">
        <f t="shared" ca="1" si="212"/>
        <v>583243407942205</v>
      </c>
      <c r="M5846" s="460">
        <f t="shared" si="214"/>
        <v>0.05</v>
      </c>
      <c r="N5846" s="464">
        <f t="shared" si="215"/>
        <v>228978</v>
      </c>
    </row>
    <row r="5847" spans="7:14" ht="11.25" customHeight="1" x14ac:dyDescent="0.3">
      <c r="G5847" s="459"/>
      <c r="H5847" s="459">
        <v>5840</v>
      </c>
      <c r="I5847" s="444">
        <f t="shared" ca="1" si="213"/>
        <v>583243407942205</v>
      </c>
      <c r="J5847" s="444">
        <f t="array" ref="J5847">IFERROR(INDEX('Retirement Calculator'!J:J,MATCH('Isaac 401k'!N5847,'Retirement Calculator'!A:A,0),0),0)</f>
        <v>0</v>
      </c>
      <c r="K5847" s="444">
        <f t="shared" ca="1" si="211"/>
        <v>2430180866425.854</v>
      </c>
      <c r="L5847" s="444">
        <f t="shared" ca="1" si="212"/>
        <v>585673588808630.88</v>
      </c>
      <c r="M5847" s="460">
        <f t="shared" si="214"/>
        <v>0.05</v>
      </c>
      <c r="N5847" s="464">
        <f t="shared" si="215"/>
        <v>229009</v>
      </c>
    </row>
    <row r="5848" spans="7:14" ht="11.25" customHeight="1" x14ac:dyDescent="0.3">
      <c r="G5848" s="459"/>
      <c r="H5848" s="459">
        <v>5841</v>
      </c>
      <c r="I5848" s="444">
        <f t="shared" ca="1" si="213"/>
        <v>585673588808630.88</v>
      </c>
      <c r="J5848" s="444">
        <f t="array" ref="J5848">IFERROR(INDEX('Retirement Calculator'!J:J,MATCH('Isaac 401k'!N5848,'Retirement Calculator'!A:A,0),0),0)</f>
        <v>0</v>
      </c>
      <c r="K5848" s="444">
        <f t="shared" ca="1" si="211"/>
        <v>2440306620035.9619</v>
      </c>
      <c r="L5848" s="444">
        <f t="shared" ca="1" si="212"/>
        <v>588113895428666.88</v>
      </c>
      <c r="M5848" s="460">
        <f t="shared" si="214"/>
        <v>0.05</v>
      </c>
      <c r="N5848" s="464">
        <f t="shared" si="215"/>
        <v>229040</v>
      </c>
    </row>
    <row r="5849" spans="7:14" ht="11.25" customHeight="1" x14ac:dyDescent="0.3">
      <c r="G5849" s="459"/>
      <c r="H5849" s="459">
        <v>5842</v>
      </c>
      <c r="I5849" s="444">
        <f t="shared" ca="1" si="213"/>
        <v>588113895428666.88</v>
      </c>
      <c r="J5849" s="444">
        <f t="array" ref="J5849">IFERROR(INDEX('Retirement Calculator'!J:J,MATCH('Isaac 401k'!N5849,'Retirement Calculator'!A:A,0),0),0)</f>
        <v>0</v>
      </c>
      <c r="K5849" s="444">
        <f t="shared" ca="1" si="211"/>
        <v>2450474564286.1118</v>
      </c>
      <c r="L5849" s="444">
        <f t="shared" ca="1" si="212"/>
        <v>590564369992953</v>
      </c>
      <c r="M5849" s="460">
        <f t="shared" si="214"/>
        <v>0.05</v>
      </c>
      <c r="N5849" s="464">
        <f t="shared" si="215"/>
        <v>229068</v>
      </c>
    </row>
    <row r="5850" spans="7:14" ht="11.25" customHeight="1" x14ac:dyDescent="0.3">
      <c r="G5850" s="459"/>
      <c r="H5850" s="459">
        <v>5843</v>
      </c>
      <c r="I5850" s="444">
        <f t="shared" ca="1" si="213"/>
        <v>590564369992953</v>
      </c>
      <c r="J5850" s="444">
        <f t="array" ref="J5850">IFERROR(INDEX('Retirement Calculator'!J:J,MATCH('Isaac 401k'!N5850,'Retirement Calculator'!A:A,0),0),0)</f>
        <v>0</v>
      </c>
      <c r="K5850" s="444">
        <f t="shared" ca="1" si="211"/>
        <v>2460684874970.6377</v>
      </c>
      <c r="L5850" s="444">
        <f t="shared" ca="1" si="212"/>
        <v>593025054867923.63</v>
      </c>
      <c r="M5850" s="460">
        <f t="shared" si="214"/>
        <v>0.05</v>
      </c>
      <c r="N5850" s="464">
        <f t="shared" si="215"/>
        <v>229099</v>
      </c>
    </row>
    <row r="5851" spans="7:14" ht="11.25" customHeight="1" x14ac:dyDescent="0.3">
      <c r="G5851" s="459"/>
      <c r="H5851" s="459">
        <v>5844</v>
      </c>
      <c r="I5851" s="444">
        <f t="shared" ca="1" si="213"/>
        <v>593025054867923.63</v>
      </c>
      <c r="J5851" s="444">
        <f t="array" ref="J5851">IFERROR(INDEX('Retirement Calculator'!J:J,MATCH('Isaac 401k'!N5851,'Retirement Calculator'!A:A,0),0),0)</f>
        <v>0</v>
      </c>
      <c r="K5851" s="444">
        <f t="shared" ca="1" si="211"/>
        <v>2470937728616.3486</v>
      </c>
      <c r="L5851" s="444">
        <f t="shared" ca="1" si="212"/>
        <v>595495992596540</v>
      </c>
      <c r="M5851" s="460">
        <f t="shared" si="214"/>
        <v>0.05</v>
      </c>
      <c r="N5851" s="464">
        <f t="shared" si="215"/>
        <v>229129</v>
      </c>
    </row>
    <row r="5852" spans="7:14" ht="11.25" customHeight="1" x14ac:dyDescent="0.3">
      <c r="G5852" s="459"/>
      <c r="H5852" s="459">
        <v>5845</v>
      </c>
      <c r="I5852" s="444">
        <f t="shared" ca="1" si="213"/>
        <v>595495992596540</v>
      </c>
      <c r="J5852" s="444">
        <f t="array" ref="J5852">IFERROR(INDEX('Retirement Calculator'!J:J,MATCH('Isaac 401k'!N5852,'Retirement Calculator'!A:A,0),0),0)</f>
        <v>0</v>
      </c>
      <c r="K5852" s="444">
        <f t="shared" ca="1" si="211"/>
        <v>2481233302485.5835</v>
      </c>
      <c r="L5852" s="444">
        <f t="shared" ca="1" si="212"/>
        <v>597977225899025.63</v>
      </c>
      <c r="M5852" s="460">
        <f t="shared" si="214"/>
        <v>0.05</v>
      </c>
      <c r="N5852" s="464">
        <f t="shared" si="215"/>
        <v>229160</v>
      </c>
    </row>
    <row r="5853" spans="7:14" ht="11.25" customHeight="1" x14ac:dyDescent="0.3">
      <c r="G5853" s="459"/>
      <c r="H5853" s="459">
        <v>5846</v>
      </c>
      <c r="I5853" s="444">
        <f t="shared" ca="1" si="213"/>
        <v>597977225899025.63</v>
      </c>
      <c r="J5853" s="444">
        <f t="array" ref="J5853">IFERROR(INDEX('Retirement Calculator'!J:J,MATCH('Isaac 401k'!N5853,'Retirement Calculator'!A:A,0),0),0)</f>
        <v>0</v>
      </c>
      <c r="K5853" s="444">
        <f t="shared" ca="1" si="211"/>
        <v>2491571774579.2734</v>
      </c>
      <c r="L5853" s="444">
        <f t="shared" ca="1" si="212"/>
        <v>600468797673604.88</v>
      </c>
      <c r="M5853" s="460">
        <f t="shared" si="214"/>
        <v>0.05</v>
      </c>
      <c r="N5853" s="464">
        <f t="shared" si="215"/>
        <v>229190</v>
      </c>
    </row>
    <row r="5854" spans="7:14" ht="11.25" customHeight="1" x14ac:dyDescent="0.3">
      <c r="G5854" s="459"/>
      <c r="H5854" s="459">
        <v>5847</v>
      </c>
      <c r="I5854" s="444">
        <f t="shared" ca="1" si="213"/>
        <v>600468797673604.88</v>
      </c>
      <c r="J5854" s="444">
        <f t="array" ref="J5854">IFERROR(INDEX('Retirement Calculator'!J:J,MATCH('Isaac 401k'!N5854,'Retirement Calculator'!A:A,0),0),0)</f>
        <v>0</v>
      </c>
      <c r="K5854" s="444">
        <f t="shared" ca="1" si="211"/>
        <v>2501953323640.0205</v>
      </c>
      <c r="L5854" s="444">
        <f t="shared" ca="1" si="212"/>
        <v>602970750997244.88</v>
      </c>
      <c r="M5854" s="460">
        <f t="shared" si="214"/>
        <v>0.05</v>
      </c>
      <c r="N5854" s="464">
        <f t="shared" si="215"/>
        <v>229221</v>
      </c>
    </row>
    <row r="5855" spans="7:14" ht="11.25" customHeight="1" x14ac:dyDescent="0.3">
      <c r="G5855" s="459"/>
      <c r="H5855" s="459">
        <v>5848</v>
      </c>
      <c r="I5855" s="444">
        <f t="shared" ca="1" si="213"/>
        <v>602970750997244.88</v>
      </c>
      <c r="J5855" s="444">
        <f t="array" ref="J5855">IFERROR(INDEX('Retirement Calculator'!J:J,MATCH('Isaac 401k'!N5855,'Retirement Calculator'!A:A,0),0),0)</f>
        <v>0</v>
      </c>
      <c r="K5855" s="444">
        <f t="shared" ca="1" si="211"/>
        <v>2512378129155.187</v>
      </c>
      <c r="L5855" s="444">
        <f t="shared" ca="1" si="212"/>
        <v>605483129126400</v>
      </c>
      <c r="M5855" s="460">
        <f t="shared" si="214"/>
        <v>0.05</v>
      </c>
      <c r="N5855" s="464">
        <f t="shared" si="215"/>
        <v>229252</v>
      </c>
    </row>
    <row r="5856" spans="7:14" ht="11.25" customHeight="1" x14ac:dyDescent="0.3">
      <c r="G5856" s="459"/>
      <c r="H5856" s="459">
        <v>5849</v>
      </c>
      <c r="I5856" s="444">
        <f t="shared" ca="1" si="213"/>
        <v>605483129126400</v>
      </c>
      <c r="J5856" s="444">
        <f t="array" ref="J5856">IFERROR(INDEX('Retirement Calculator'!J:J,MATCH('Isaac 401k'!N5856,'Retirement Calculator'!A:A,0),0),0)</f>
        <v>0</v>
      </c>
      <c r="K5856" s="444">
        <f t="shared" ca="1" si="211"/>
        <v>2522846371360</v>
      </c>
      <c r="L5856" s="444">
        <f t="shared" ca="1" si="212"/>
        <v>608005975497760</v>
      </c>
      <c r="M5856" s="460">
        <f t="shared" si="214"/>
        <v>0.05</v>
      </c>
      <c r="N5856" s="464">
        <f t="shared" si="215"/>
        <v>229282</v>
      </c>
    </row>
    <row r="5857" spans="7:14" ht="11.25" customHeight="1" x14ac:dyDescent="0.3">
      <c r="G5857" s="459"/>
      <c r="H5857" s="459">
        <v>5850</v>
      </c>
      <c r="I5857" s="444">
        <f t="shared" ca="1" si="213"/>
        <v>608005975497760</v>
      </c>
      <c r="J5857" s="444">
        <f t="array" ref="J5857">IFERROR(INDEX('Retirement Calculator'!J:J,MATCH('Isaac 401k'!N5857,'Retirement Calculator'!A:A,0),0),0)</f>
        <v>0</v>
      </c>
      <c r="K5857" s="444">
        <f t="shared" ca="1" si="211"/>
        <v>2533358231240.6665</v>
      </c>
      <c r="L5857" s="444">
        <f t="shared" ca="1" si="212"/>
        <v>610539333729000.63</v>
      </c>
      <c r="M5857" s="460">
        <f t="shared" si="214"/>
        <v>0.05</v>
      </c>
      <c r="N5857" s="464">
        <f t="shared" si="215"/>
        <v>229313</v>
      </c>
    </row>
    <row r="5858" spans="7:14" ht="11.25" customHeight="1" x14ac:dyDescent="0.3">
      <c r="G5858" s="459"/>
      <c r="H5858" s="459">
        <v>5851</v>
      </c>
      <c r="I5858" s="444">
        <f t="shared" ca="1" si="213"/>
        <v>610539333729000.63</v>
      </c>
      <c r="J5858" s="444">
        <f t="array" ref="J5858">IFERROR(INDEX('Retirement Calculator'!J:J,MATCH('Isaac 401k'!N5858,'Retirement Calculator'!A:A,0),0),0)</f>
        <v>0</v>
      </c>
      <c r="K5858" s="444">
        <f t="shared" ca="1" si="211"/>
        <v>2543913890537.5024</v>
      </c>
      <c r="L5858" s="444">
        <f t="shared" ca="1" si="212"/>
        <v>613083247619538.13</v>
      </c>
      <c r="M5858" s="460">
        <f t="shared" si="214"/>
        <v>0.05</v>
      </c>
      <c r="N5858" s="464">
        <f t="shared" si="215"/>
        <v>229343</v>
      </c>
    </row>
    <row r="5859" spans="7:14" ht="11.25" customHeight="1" x14ac:dyDescent="0.3">
      <c r="G5859" s="459"/>
      <c r="H5859" s="459">
        <v>5852</v>
      </c>
      <c r="I5859" s="444">
        <f t="shared" ca="1" si="213"/>
        <v>613083247619538.13</v>
      </c>
      <c r="J5859" s="444">
        <f t="array" ref="J5859">IFERROR(INDEX('Retirement Calculator'!J:J,MATCH('Isaac 401k'!N5859,'Retirement Calculator'!A:A,0),0),0)</f>
        <v>0</v>
      </c>
      <c r="K5859" s="444">
        <f t="shared" ca="1" si="211"/>
        <v>2554513531748.0757</v>
      </c>
      <c r="L5859" s="444">
        <f t="shared" ca="1" si="212"/>
        <v>615637761151286.25</v>
      </c>
      <c r="M5859" s="460">
        <f t="shared" si="214"/>
        <v>0.05</v>
      </c>
      <c r="N5859" s="464">
        <f t="shared" si="215"/>
        <v>229374</v>
      </c>
    </row>
    <row r="5860" spans="7:14" ht="11.25" customHeight="1" x14ac:dyDescent="0.3">
      <c r="G5860" s="459"/>
      <c r="H5860" s="459">
        <v>5853</v>
      </c>
      <c r="I5860" s="444">
        <f t="shared" ca="1" si="213"/>
        <v>615637761151286.25</v>
      </c>
      <c r="J5860" s="444">
        <f t="array" ref="J5860">IFERROR(INDEX('Retirement Calculator'!J:J,MATCH('Isaac 401k'!N5860,'Retirement Calculator'!A:A,0),0),0)</f>
        <v>0</v>
      </c>
      <c r="K5860" s="444">
        <f t="shared" ca="1" si="211"/>
        <v>2565157338130.3594</v>
      </c>
      <c r="L5860" s="444">
        <f t="shared" ca="1" si="212"/>
        <v>618202918489416.63</v>
      </c>
      <c r="M5860" s="460">
        <f t="shared" si="214"/>
        <v>0.05</v>
      </c>
      <c r="N5860" s="464">
        <f t="shared" si="215"/>
        <v>229405</v>
      </c>
    </row>
    <row r="5861" spans="7:14" ht="11.25" customHeight="1" x14ac:dyDescent="0.3">
      <c r="G5861" s="459"/>
      <c r="H5861" s="459">
        <v>5854</v>
      </c>
      <c r="I5861" s="444">
        <f t="shared" ca="1" si="213"/>
        <v>618202918489416.63</v>
      </c>
      <c r="J5861" s="444">
        <f t="array" ref="J5861">IFERROR(INDEX('Retirement Calculator'!J:J,MATCH('Isaac 401k'!N5861,'Retirement Calculator'!A:A,0),0),0)</f>
        <v>0</v>
      </c>
      <c r="K5861" s="444">
        <f t="shared" ca="1" si="211"/>
        <v>2575845493705.9023</v>
      </c>
      <c r="L5861" s="444">
        <f t="shared" ca="1" si="212"/>
        <v>620778763983122.5</v>
      </c>
      <c r="M5861" s="460">
        <f t="shared" si="214"/>
        <v>0.05</v>
      </c>
      <c r="N5861" s="464">
        <f t="shared" si="215"/>
        <v>229434</v>
      </c>
    </row>
    <row r="5862" spans="7:14" ht="11.25" customHeight="1" x14ac:dyDescent="0.3">
      <c r="G5862" s="459"/>
      <c r="H5862" s="459">
        <v>5855</v>
      </c>
      <c r="I5862" s="444">
        <f t="shared" ca="1" si="213"/>
        <v>620778763983122.5</v>
      </c>
      <c r="J5862" s="444">
        <f t="array" ref="J5862">IFERROR(INDEX('Retirement Calculator'!J:J,MATCH('Isaac 401k'!N5862,'Retirement Calculator'!A:A,0),0),0)</f>
        <v>0</v>
      </c>
      <c r="K5862" s="444">
        <f t="shared" ca="1" si="211"/>
        <v>2586578183263.0103</v>
      </c>
      <c r="L5862" s="444">
        <f t="shared" ca="1" si="212"/>
        <v>623365342166385.5</v>
      </c>
      <c r="M5862" s="460">
        <f t="shared" si="214"/>
        <v>0.05</v>
      </c>
      <c r="N5862" s="464">
        <f t="shared" si="215"/>
        <v>229465</v>
      </c>
    </row>
    <row r="5863" spans="7:14" ht="11.25" customHeight="1" x14ac:dyDescent="0.3">
      <c r="G5863" s="459"/>
      <c r="H5863" s="459">
        <v>5856</v>
      </c>
      <c r="I5863" s="444">
        <f t="shared" ca="1" si="213"/>
        <v>623365342166385.5</v>
      </c>
      <c r="J5863" s="444">
        <f t="array" ref="J5863">IFERROR(INDEX('Retirement Calculator'!J:J,MATCH('Isaac 401k'!N5863,'Retirement Calculator'!A:A,0),0),0)</f>
        <v>0</v>
      </c>
      <c r="K5863" s="444">
        <f t="shared" ca="1" si="211"/>
        <v>2597355592359.9395</v>
      </c>
      <c r="L5863" s="444">
        <f t="shared" ca="1" si="212"/>
        <v>625962697758745.5</v>
      </c>
      <c r="M5863" s="460">
        <f t="shared" si="214"/>
        <v>0.05</v>
      </c>
      <c r="N5863" s="464">
        <f t="shared" si="215"/>
        <v>229495</v>
      </c>
    </row>
    <row r="5864" spans="7:14" ht="11.25" customHeight="1" x14ac:dyDescent="0.3">
      <c r="G5864" s="459"/>
      <c r="H5864" s="459">
        <v>5857</v>
      </c>
      <c r="I5864" s="444">
        <f t="shared" ca="1" si="213"/>
        <v>625962697758745.5</v>
      </c>
      <c r="J5864" s="444">
        <f t="array" ref="J5864">IFERROR(INDEX('Retirement Calculator'!J:J,MATCH('Isaac 401k'!N5864,'Retirement Calculator'!A:A,0),0),0)</f>
        <v>0</v>
      </c>
      <c r="K5864" s="444">
        <f t="shared" ca="1" si="211"/>
        <v>2608177907328.1064</v>
      </c>
      <c r="L5864" s="444">
        <f t="shared" ca="1" si="212"/>
        <v>628570875666073.63</v>
      </c>
      <c r="M5864" s="460">
        <f t="shared" si="214"/>
        <v>0.05</v>
      </c>
      <c r="N5864" s="464">
        <f t="shared" si="215"/>
        <v>229526</v>
      </c>
    </row>
    <row r="5865" spans="7:14" ht="11.25" customHeight="1" x14ac:dyDescent="0.3">
      <c r="G5865" s="459"/>
      <c r="H5865" s="459">
        <v>5858</v>
      </c>
      <c r="I5865" s="444">
        <f t="shared" ca="1" si="213"/>
        <v>628570875666073.63</v>
      </c>
      <c r="J5865" s="444">
        <f t="array" ref="J5865">IFERROR(INDEX('Retirement Calculator'!J:J,MATCH('Isaac 401k'!N5865,'Retirement Calculator'!A:A,0),0),0)</f>
        <v>0</v>
      </c>
      <c r="K5865" s="444">
        <f t="shared" ca="1" si="211"/>
        <v>2619045315275.3066</v>
      </c>
      <c r="L5865" s="444">
        <f t="shared" ca="1" si="212"/>
        <v>631189920981348.88</v>
      </c>
      <c r="M5865" s="460">
        <f t="shared" si="214"/>
        <v>0.05</v>
      </c>
      <c r="N5865" s="464">
        <f t="shared" si="215"/>
        <v>229556</v>
      </c>
    </row>
    <row r="5866" spans="7:14" ht="11.25" customHeight="1" x14ac:dyDescent="0.3">
      <c r="G5866" s="459"/>
      <c r="H5866" s="459">
        <v>5859</v>
      </c>
      <c r="I5866" s="444">
        <f t="shared" ca="1" si="213"/>
        <v>631189920981348.88</v>
      </c>
      <c r="J5866" s="444">
        <f t="array" ref="J5866">IFERROR(INDEX('Retirement Calculator'!J:J,MATCH('Isaac 401k'!N5866,'Retirement Calculator'!A:A,0),0),0)</f>
        <v>0</v>
      </c>
      <c r="K5866" s="444">
        <f t="shared" ca="1" si="211"/>
        <v>2629958004088.9536</v>
      </c>
      <c r="L5866" s="444">
        <f t="shared" ca="1" si="212"/>
        <v>633819878985437.88</v>
      </c>
      <c r="M5866" s="460">
        <f t="shared" si="214"/>
        <v>0.05</v>
      </c>
      <c r="N5866" s="464">
        <f t="shared" si="215"/>
        <v>229587</v>
      </c>
    </row>
    <row r="5867" spans="7:14" ht="11.25" customHeight="1" x14ac:dyDescent="0.3">
      <c r="G5867" s="459"/>
      <c r="H5867" s="459">
        <v>5860</v>
      </c>
      <c r="I5867" s="444">
        <f t="shared" ca="1" si="213"/>
        <v>633819878985437.88</v>
      </c>
      <c r="J5867" s="444">
        <f t="array" ref="J5867">IFERROR(INDEX('Retirement Calculator'!J:J,MATCH('Isaac 401k'!N5867,'Retirement Calculator'!A:A,0),0),0)</f>
        <v>0</v>
      </c>
      <c r="K5867" s="444">
        <f t="shared" ca="1" si="211"/>
        <v>2640916162439.3242</v>
      </c>
      <c r="L5867" s="444">
        <f t="shared" ca="1" si="212"/>
        <v>636460795147877.25</v>
      </c>
      <c r="M5867" s="460">
        <f t="shared" si="214"/>
        <v>0.05</v>
      </c>
      <c r="N5867" s="464">
        <f t="shared" si="215"/>
        <v>229618</v>
      </c>
    </row>
    <row r="5868" spans="7:14" ht="11.25" customHeight="1" x14ac:dyDescent="0.3">
      <c r="G5868" s="459"/>
      <c r="H5868" s="459">
        <v>5861</v>
      </c>
      <c r="I5868" s="444">
        <f t="shared" ca="1" si="213"/>
        <v>636460795147877.25</v>
      </c>
      <c r="J5868" s="444">
        <f t="array" ref="J5868">IFERROR(INDEX('Retirement Calculator'!J:J,MATCH('Isaac 401k'!N5868,'Retirement Calculator'!A:A,0),0),0)</f>
        <v>0</v>
      </c>
      <c r="K5868" s="444">
        <f t="shared" ca="1" si="211"/>
        <v>2651919979782.8218</v>
      </c>
      <c r="L5868" s="444">
        <f t="shared" ca="1" si="212"/>
        <v>639112715127660.13</v>
      </c>
      <c r="M5868" s="460">
        <f t="shared" si="214"/>
        <v>0.05</v>
      </c>
      <c r="N5868" s="464">
        <f t="shared" si="215"/>
        <v>229648</v>
      </c>
    </row>
    <row r="5869" spans="7:14" ht="11.25" customHeight="1" x14ac:dyDescent="0.3">
      <c r="G5869" s="459"/>
      <c r="H5869" s="459">
        <v>5862</v>
      </c>
      <c r="I5869" s="444">
        <f t="shared" ca="1" si="213"/>
        <v>639112715127660.13</v>
      </c>
      <c r="J5869" s="444">
        <f t="array" ref="J5869">IFERROR(INDEX('Retirement Calculator'!J:J,MATCH('Isaac 401k'!N5869,'Retirement Calculator'!A:A,0),0),0)</f>
        <v>0</v>
      </c>
      <c r="K5869" s="444">
        <f t="shared" ca="1" si="211"/>
        <v>2662969646365.2505</v>
      </c>
      <c r="L5869" s="444">
        <f t="shared" ca="1" si="212"/>
        <v>641775684774025.38</v>
      </c>
      <c r="M5869" s="460">
        <f t="shared" si="214"/>
        <v>0.05</v>
      </c>
      <c r="N5869" s="464">
        <f t="shared" si="215"/>
        <v>229679</v>
      </c>
    </row>
    <row r="5870" spans="7:14" ht="11.25" customHeight="1" x14ac:dyDescent="0.3">
      <c r="G5870" s="459"/>
      <c r="H5870" s="459">
        <v>5863</v>
      </c>
      <c r="I5870" s="444">
        <f t="shared" ca="1" si="213"/>
        <v>641775684774025.38</v>
      </c>
      <c r="J5870" s="444">
        <f t="array" ref="J5870">IFERROR(INDEX('Retirement Calculator'!J:J,MATCH('Isaac 401k'!N5870,'Retirement Calculator'!A:A,0),0),0)</f>
        <v>0</v>
      </c>
      <c r="K5870" s="444">
        <f t="shared" ca="1" si="211"/>
        <v>2674065353225.1055</v>
      </c>
      <c r="L5870" s="444">
        <f t="shared" ca="1" si="212"/>
        <v>644449750127250.5</v>
      </c>
      <c r="M5870" s="460">
        <f t="shared" si="214"/>
        <v>0.05</v>
      </c>
      <c r="N5870" s="464">
        <f t="shared" si="215"/>
        <v>229709</v>
      </c>
    </row>
    <row r="5871" spans="7:14" ht="11.25" customHeight="1" x14ac:dyDescent="0.3">
      <c r="G5871" s="459"/>
      <c r="H5871" s="459">
        <v>5864</v>
      </c>
      <c r="I5871" s="444">
        <f t="shared" ca="1" si="213"/>
        <v>644449750127250.5</v>
      </c>
      <c r="J5871" s="444">
        <f t="array" ref="J5871">IFERROR(INDEX('Retirement Calculator'!J:J,MATCH('Isaac 401k'!N5871,'Retirement Calculator'!A:A,0),0),0)</f>
        <v>0</v>
      </c>
      <c r="K5871" s="444">
        <f t="shared" ca="1" si="211"/>
        <v>2685207292196.877</v>
      </c>
      <c r="L5871" s="444">
        <f t="shared" ca="1" si="212"/>
        <v>647134957419447.38</v>
      </c>
      <c r="M5871" s="460">
        <f t="shared" si="214"/>
        <v>0.05</v>
      </c>
      <c r="N5871" s="464">
        <f t="shared" si="215"/>
        <v>229740</v>
      </c>
    </row>
    <row r="5872" spans="7:14" ht="11.25" customHeight="1" x14ac:dyDescent="0.3">
      <c r="G5872" s="459"/>
      <c r="H5872" s="459">
        <v>5865</v>
      </c>
      <c r="I5872" s="444">
        <f t="shared" ca="1" si="213"/>
        <v>647134957419447.38</v>
      </c>
      <c r="J5872" s="444">
        <f t="array" ref="J5872">IFERROR(INDEX('Retirement Calculator'!J:J,MATCH('Isaac 401k'!N5872,'Retirement Calculator'!A:A,0),0),0)</f>
        <v>0</v>
      </c>
      <c r="K5872" s="444">
        <f t="shared" ca="1" si="211"/>
        <v>2696395655914.3643</v>
      </c>
      <c r="L5872" s="444">
        <f t="shared" ca="1" si="212"/>
        <v>649831353075361.75</v>
      </c>
      <c r="M5872" s="460">
        <f t="shared" si="214"/>
        <v>0.05</v>
      </c>
      <c r="N5872" s="464">
        <f t="shared" si="215"/>
        <v>229771</v>
      </c>
    </row>
    <row r="5873" spans="7:14" ht="11.25" customHeight="1" x14ac:dyDescent="0.3">
      <c r="G5873" s="459"/>
      <c r="H5873" s="459">
        <v>5866</v>
      </c>
      <c r="I5873" s="444">
        <f t="shared" ca="1" si="213"/>
        <v>649831353075361.75</v>
      </c>
      <c r="J5873" s="444">
        <f t="array" ref="J5873">IFERROR(INDEX('Retirement Calculator'!J:J,MATCH('Isaac 401k'!N5873,'Retirement Calculator'!A:A,0),0),0)</f>
        <v>0</v>
      </c>
      <c r="K5873" s="444">
        <f t="shared" ref="K5873:K6127" ca="1" si="216">IPMT(M5873/12,1,12,-I5873+J5873,,0)</f>
        <v>2707630637814.0073</v>
      </c>
      <c r="L5873" s="444">
        <f t="shared" ref="L5873:L6127" ca="1" si="217">I5873-J5873+K5873</f>
        <v>652538983713175.75</v>
      </c>
      <c r="M5873" s="460">
        <f t="shared" si="214"/>
        <v>0.05</v>
      </c>
      <c r="N5873" s="464">
        <f t="shared" si="215"/>
        <v>229799</v>
      </c>
    </row>
    <row r="5874" spans="7:14" ht="11.25" customHeight="1" x14ac:dyDescent="0.3">
      <c r="G5874" s="459"/>
      <c r="H5874" s="459">
        <v>5867</v>
      </c>
      <c r="I5874" s="444">
        <f t="shared" ref="I5874:I6128" ca="1" si="218">L5873</f>
        <v>652538983713175.75</v>
      </c>
      <c r="J5874" s="444">
        <f t="array" ref="J5874">IFERROR(INDEX('Retirement Calculator'!J:J,MATCH('Isaac 401k'!N5874,'Retirement Calculator'!A:A,0),0),0)</f>
        <v>0</v>
      </c>
      <c r="K5874" s="444">
        <f t="shared" ca="1" si="216"/>
        <v>2718912432138.2324</v>
      </c>
      <c r="L5874" s="444">
        <f t="shared" ca="1" si="217"/>
        <v>655257896145314</v>
      </c>
      <c r="M5874" s="460">
        <f t="shared" ref="M5874:M6128" si="219">M5873</f>
        <v>0.05</v>
      </c>
      <c r="N5874" s="464">
        <f t="shared" ref="N5874:N6128" si="220">EDATE(N5873,1)</f>
        <v>229830</v>
      </c>
    </row>
    <row r="5875" spans="7:14" ht="11.25" customHeight="1" x14ac:dyDescent="0.3">
      <c r="G5875" s="459"/>
      <c r="H5875" s="459">
        <v>5868</v>
      </c>
      <c r="I5875" s="444">
        <f t="shared" ca="1" si="218"/>
        <v>655257896145314</v>
      </c>
      <c r="J5875" s="444">
        <f t="array" ref="J5875">IFERROR(INDEX('Retirement Calculator'!J:J,MATCH('Isaac 401k'!N5875,'Retirement Calculator'!A:A,0),0),0)</f>
        <v>0</v>
      </c>
      <c r="K5875" s="444">
        <f t="shared" ca="1" si="216"/>
        <v>2730241233938.8081</v>
      </c>
      <c r="L5875" s="444">
        <f t="shared" ca="1" si="217"/>
        <v>657988137379252.75</v>
      </c>
      <c r="M5875" s="460">
        <f t="shared" si="219"/>
        <v>0.05</v>
      </c>
      <c r="N5875" s="464">
        <f t="shared" si="220"/>
        <v>229860</v>
      </c>
    </row>
    <row r="5876" spans="7:14" ht="11.25" customHeight="1" x14ac:dyDescent="0.3">
      <c r="G5876" s="459"/>
      <c r="H5876" s="459">
        <v>5869</v>
      </c>
      <c r="I5876" s="444">
        <f t="shared" ca="1" si="218"/>
        <v>657988137379252.75</v>
      </c>
      <c r="J5876" s="444">
        <f t="array" ref="J5876">IFERROR(INDEX('Retirement Calculator'!J:J,MATCH('Isaac 401k'!N5876,'Retirement Calculator'!A:A,0),0),0)</f>
        <v>0</v>
      </c>
      <c r="K5876" s="444">
        <f t="shared" ca="1" si="216"/>
        <v>2741617239080.2197</v>
      </c>
      <c r="L5876" s="444">
        <f t="shared" ca="1" si="217"/>
        <v>660729754618333</v>
      </c>
      <c r="M5876" s="460">
        <f t="shared" si="219"/>
        <v>0.05</v>
      </c>
      <c r="N5876" s="464">
        <f t="shared" si="220"/>
        <v>229891</v>
      </c>
    </row>
    <row r="5877" spans="7:14" ht="11.25" customHeight="1" x14ac:dyDescent="0.3">
      <c r="G5877" s="459"/>
      <c r="H5877" s="459">
        <v>5870</v>
      </c>
      <c r="I5877" s="444">
        <f t="shared" ca="1" si="218"/>
        <v>660729754618333</v>
      </c>
      <c r="J5877" s="444">
        <f t="array" ref="J5877">IFERROR(INDEX('Retirement Calculator'!J:J,MATCH('Isaac 401k'!N5877,'Retirement Calculator'!A:A,0),0),0)</f>
        <v>0</v>
      </c>
      <c r="K5877" s="444">
        <f t="shared" ca="1" si="216"/>
        <v>2753040644243.0542</v>
      </c>
      <c r="L5877" s="444">
        <f t="shared" ca="1" si="217"/>
        <v>663482795262576</v>
      </c>
      <c r="M5877" s="460">
        <f t="shared" si="219"/>
        <v>0.05</v>
      </c>
      <c r="N5877" s="464">
        <f t="shared" si="220"/>
        <v>229921</v>
      </c>
    </row>
    <row r="5878" spans="7:14" ht="11.25" customHeight="1" x14ac:dyDescent="0.3">
      <c r="G5878" s="459"/>
      <c r="H5878" s="459">
        <v>5871</v>
      </c>
      <c r="I5878" s="444">
        <f t="shared" ca="1" si="218"/>
        <v>663482795262576</v>
      </c>
      <c r="J5878" s="444">
        <f t="array" ref="J5878">IFERROR(INDEX('Retirement Calculator'!J:J,MATCH('Isaac 401k'!N5878,'Retirement Calculator'!A:A,0),0),0)</f>
        <v>0</v>
      </c>
      <c r="K5878" s="444">
        <f t="shared" ca="1" si="216"/>
        <v>2764511646927.3999</v>
      </c>
      <c r="L5878" s="444">
        <f t="shared" ca="1" si="217"/>
        <v>666247306909503.38</v>
      </c>
      <c r="M5878" s="460">
        <f t="shared" si="219"/>
        <v>0.05</v>
      </c>
      <c r="N5878" s="464">
        <f t="shared" si="220"/>
        <v>229952</v>
      </c>
    </row>
    <row r="5879" spans="7:14" ht="11.25" customHeight="1" x14ac:dyDescent="0.3">
      <c r="G5879" s="459"/>
      <c r="H5879" s="459">
        <v>5872</v>
      </c>
      <c r="I5879" s="444">
        <f t="shared" ca="1" si="218"/>
        <v>666247306909503.38</v>
      </c>
      <c r="J5879" s="444">
        <f t="array" ref="J5879">IFERROR(INDEX('Retirement Calculator'!J:J,MATCH('Isaac 401k'!N5879,'Retirement Calculator'!A:A,0),0),0)</f>
        <v>0</v>
      </c>
      <c r="K5879" s="444">
        <f t="shared" ca="1" si="216"/>
        <v>2776030445456.2642</v>
      </c>
      <c r="L5879" s="444">
        <f t="shared" ca="1" si="217"/>
        <v>669023337354959.63</v>
      </c>
      <c r="M5879" s="460">
        <f t="shared" si="219"/>
        <v>0.05</v>
      </c>
      <c r="N5879" s="464">
        <f t="shared" si="220"/>
        <v>229983</v>
      </c>
    </row>
    <row r="5880" spans="7:14" ht="11.25" customHeight="1" x14ac:dyDescent="0.3">
      <c r="G5880" s="459"/>
      <c r="H5880" s="459">
        <v>5873</v>
      </c>
      <c r="I5880" s="444">
        <f t="shared" ca="1" si="218"/>
        <v>669023337354959.63</v>
      </c>
      <c r="J5880" s="444">
        <f t="array" ref="J5880">IFERROR(INDEX('Retirement Calculator'!J:J,MATCH('Isaac 401k'!N5880,'Retirement Calculator'!A:A,0),0),0)</f>
        <v>0</v>
      </c>
      <c r="K5880" s="444">
        <f t="shared" ca="1" si="216"/>
        <v>2787597238978.9985</v>
      </c>
      <c r="L5880" s="444">
        <f t="shared" ca="1" si="217"/>
        <v>671810934593938.63</v>
      </c>
      <c r="M5880" s="460">
        <f t="shared" si="219"/>
        <v>0.05</v>
      </c>
      <c r="N5880" s="464">
        <f t="shared" si="220"/>
        <v>230013</v>
      </c>
    </row>
    <row r="5881" spans="7:14" ht="11.25" customHeight="1" x14ac:dyDescent="0.3">
      <c r="G5881" s="459"/>
      <c r="H5881" s="459">
        <v>5874</v>
      </c>
      <c r="I5881" s="444">
        <f t="shared" ca="1" si="218"/>
        <v>671810934593938.63</v>
      </c>
      <c r="J5881" s="444">
        <f t="array" ref="J5881">IFERROR(INDEX('Retirement Calculator'!J:J,MATCH('Isaac 401k'!N5881,'Retirement Calculator'!A:A,0),0),0)</f>
        <v>0</v>
      </c>
      <c r="K5881" s="444">
        <f t="shared" ca="1" si="216"/>
        <v>2799212227474.7441</v>
      </c>
      <c r="L5881" s="444">
        <f t="shared" ca="1" si="217"/>
        <v>674610146821413.38</v>
      </c>
      <c r="M5881" s="460">
        <f t="shared" si="219"/>
        <v>0.05</v>
      </c>
      <c r="N5881" s="464">
        <f t="shared" si="220"/>
        <v>230044</v>
      </c>
    </row>
    <row r="5882" spans="7:14" ht="11.25" customHeight="1" x14ac:dyDescent="0.3">
      <c r="G5882" s="459"/>
      <c r="H5882" s="459">
        <v>5875</v>
      </c>
      <c r="I5882" s="444">
        <f t="shared" ca="1" si="218"/>
        <v>674610146821413.38</v>
      </c>
      <c r="J5882" s="444">
        <f t="array" ref="J5882">IFERROR(INDEX('Retirement Calculator'!J:J,MATCH('Isaac 401k'!N5882,'Retirement Calculator'!A:A,0),0),0)</f>
        <v>0</v>
      </c>
      <c r="K5882" s="444">
        <f t="shared" ca="1" si="216"/>
        <v>2810875611755.8892</v>
      </c>
      <c r="L5882" s="444">
        <f t="shared" ca="1" si="217"/>
        <v>677421022433169.25</v>
      </c>
      <c r="M5882" s="460">
        <f t="shared" si="219"/>
        <v>0.05</v>
      </c>
      <c r="N5882" s="464">
        <f t="shared" si="220"/>
        <v>230074</v>
      </c>
    </row>
    <row r="5883" spans="7:14" ht="11.25" customHeight="1" x14ac:dyDescent="0.3">
      <c r="G5883" s="459"/>
      <c r="H5883" s="459">
        <v>5876</v>
      </c>
      <c r="I5883" s="444">
        <f t="shared" ca="1" si="218"/>
        <v>677421022433169.25</v>
      </c>
      <c r="J5883" s="444">
        <f t="array" ref="J5883">IFERROR(INDEX('Retirement Calculator'!J:J,MATCH('Isaac 401k'!N5883,'Retirement Calculator'!A:A,0),0),0)</f>
        <v>0</v>
      </c>
      <c r="K5883" s="444">
        <f t="shared" ca="1" si="216"/>
        <v>2822587593471.5386</v>
      </c>
      <c r="L5883" s="444">
        <f t="shared" ca="1" si="217"/>
        <v>680243610026640.75</v>
      </c>
      <c r="M5883" s="460">
        <f t="shared" si="219"/>
        <v>0.05</v>
      </c>
      <c r="N5883" s="464">
        <f t="shared" si="220"/>
        <v>230105</v>
      </c>
    </row>
    <row r="5884" spans="7:14" ht="11.25" customHeight="1" x14ac:dyDescent="0.3">
      <c r="G5884" s="459"/>
      <c r="H5884" s="459">
        <v>5877</v>
      </c>
      <c r="I5884" s="444">
        <f t="shared" ca="1" si="218"/>
        <v>680243610026640.75</v>
      </c>
      <c r="J5884" s="444">
        <f t="array" ref="J5884">IFERROR(INDEX('Retirement Calculator'!J:J,MATCH('Isaac 401k'!N5884,'Retirement Calculator'!A:A,0),0),0)</f>
        <v>0</v>
      </c>
      <c r="K5884" s="444">
        <f t="shared" ca="1" si="216"/>
        <v>2834348375111.0029</v>
      </c>
      <c r="L5884" s="444">
        <f t="shared" ca="1" si="217"/>
        <v>683077958401751.75</v>
      </c>
      <c r="M5884" s="460">
        <f t="shared" si="219"/>
        <v>0.05</v>
      </c>
      <c r="N5884" s="464">
        <f t="shared" si="220"/>
        <v>230136</v>
      </c>
    </row>
    <row r="5885" spans="7:14" ht="11.25" customHeight="1" x14ac:dyDescent="0.3">
      <c r="G5885" s="459"/>
      <c r="H5885" s="459">
        <v>5878</v>
      </c>
      <c r="I5885" s="444">
        <f t="shared" ca="1" si="218"/>
        <v>683077958401751.75</v>
      </c>
      <c r="J5885" s="444">
        <f t="array" ref="J5885">IFERROR(INDEX('Retirement Calculator'!J:J,MATCH('Isaac 401k'!N5885,'Retirement Calculator'!A:A,0),0),0)</f>
        <v>0</v>
      </c>
      <c r="K5885" s="444">
        <f t="shared" ca="1" si="216"/>
        <v>2846158160007.2988</v>
      </c>
      <c r="L5885" s="444">
        <f t="shared" ca="1" si="217"/>
        <v>685924116561759</v>
      </c>
      <c r="M5885" s="460">
        <f t="shared" si="219"/>
        <v>0.05</v>
      </c>
      <c r="N5885" s="464">
        <f t="shared" si="220"/>
        <v>230164</v>
      </c>
    </row>
    <row r="5886" spans="7:14" ht="11.25" customHeight="1" x14ac:dyDescent="0.3">
      <c r="G5886" s="459"/>
      <c r="H5886" s="459">
        <v>5879</v>
      </c>
      <c r="I5886" s="444">
        <f t="shared" ca="1" si="218"/>
        <v>685924116561759</v>
      </c>
      <c r="J5886" s="444">
        <f t="array" ref="J5886">IFERROR(INDEX('Retirement Calculator'!J:J,MATCH('Isaac 401k'!N5886,'Retirement Calculator'!A:A,0),0),0)</f>
        <v>0</v>
      </c>
      <c r="K5886" s="444">
        <f t="shared" ca="1" si="216"/>
        <v>2858017152340.6626</v>
      </c>
      <c r="L5886" s="444">
        <f t="shared" ca="1" si="217"/>
        <v>688782133714099.63</v>
      </c>
      <c r="M5886" s="460">
        <f t="shared" si="219"/>
        <v>0.05</v>
      </c>
      <c r="N5886" s="464">
        <f t="shared" si="220"/>
        <v>230195</v>
      </c>
    </row>
    <row r="5887" spans="7:14" ht="11.25" customHeight="1" x14ac:dyDescent="0.3">
      <c r="G5887" s="459"/>
      <c r="H5887" s="459">
        <v>5880</v>
      </c>
      <c r="I5887" s="444">
        <f t="shared" ca="1" si="218"/>
        <v>688782133714099.63</v>
      </c>
      <c r="J5887" s="444">
        <f t="array" ref="J5887">IFERROR(INDEX('Retirement Calculator'!J:J,MATCH('Isaac 401k'!N5887,'Retirement Calculator'!A:A,0),0),0)</f>
        <v>0</v>
      </c>
      <c r="K5887" s="444">
        <f t="shared" ca="1" si="216"/>
        <v>2869925557142.0815</v>
      </c>
      <c r="L5887" s="444">
        <f t="shared" ca="1" si="217"/>
        <v>691652059271241.75</v>
      </c>
      <c r="M5887" s="460">
        <f t="shared" si="219"/>
        <v>0.05</v>
      </c>
      <c r="N5887" s="464">
        <f t="shared" si="220"/>
        <v>230225</v>
      </c>
    </row>
    <row r="5888" spans="7:14" ht="11.25" customHeight="1" x14ac:dyDescent="0.3">
      <c r="G5888" s="459"/>
      <c r="H5888" s="459">
        <v>5881</v>
      </c>
      <c r="I5888" s="444">
        <f t="shared" ca="1" si="218"/>
        <v>691652059271241.75</v>
      </c>
      <c r="J5888" s="444">
        <f t="array" ref="J5888">IFERROR(INDEX('Retirement Calculator'!J:J,MATCH('Isaac 401k'!N5888,'Retirement Calculator'!A:A,0),0),0)</f>
        <v>0</v>
      </c>
      <c r="K5888" s="444">
        <f t="shared" ca="1" si="216"/>
        <v>2881883580296.8408</v>
      </c>
      <c r="L5888" s="444">
        <f t="shared" ca="1" si="217"/>
        <v>694533942851538.63</v>
      </c>
      <c r="M5888" s="460">
        <f t="shared" si="219"/>
        <v>0.05</v>
      </c>
      <c r="N5888" s="464">
        <f t="shared" si="220"/>
        <v>230256</v>
      </c>
    </row>
    <row r="5889" spans="7:14" ht="11.25" customHeight="1" x14ac:dyDescent="0.3">
      <c r="G5889" s="459"/>
      <c r="H5889" s="459">
        <v>5882</v>
      </c>
      <c r="I5889" s="444">
        <f t="shared" ca="1" si="218"/>
        <v>694533942851538.63</v>
      </c>
      <c r="J5889" s="444">
        <f t="array" ref="J5889">IFERROR(INDEX('Retirement Calculator'!J:J,MATCH('Isaac 401k'!N5889,'Retirement Calculator'!A:A,0),0),0)</f>
        <v>0</v>
      </c>
      <c r="K5889" s="444">
        <f t="shared" ca="1" si="216"/>
        <v>2893891428548.0776</v>
      </c>
      <c r="L5889" s="444">
        <f t="shared" ca="1" si="217"/>
        <v>697427834280086.75</v>
      </c>
      <c r="M5889" s="460">
        <f t="shared" si="219"/>
        <v>0.05</v>
      </c>
      <c r="N5889" s="464">
        <f t="shared" si="220"/>
        <v>230286</v>
      </c>
    </row>
    <row r="5890" spans="7:14" ht="11.25" customHeight="1" x14ac:dyDescent="0.3">
      <c r="G5890" s="459"/>
      <c r="H5890" s="459">
        <v>5883</v>
      </c>
      <c r="I5890" s="444">
        <f t="shared" ca="1" si="218"/>
        <v>697427834280086.75</v>
      </c>
      <c r="J5890" s="444">
        <f t="array" ref="J5890">IFERROR(INDEX('Retirement Calculator'!J:J,MATCH('Isaac 401k'!N5890,'Retirement Calculator'!A:A,0),0),0)</f>
        <v>0</v>
      </c>
      <c r="K5890" s="444">
        <f t="shared" ca="1" si="216"/>
        <v>2905949309500.3613</v>
      </c>
      <c r="L5890" s="444">
        <f t="shared" ca="1" si="217"/>
        <v>700333783589587.13</v>
      </c>
      <c r="M5890" s="460">
        <f t="shared" si="219"/>
        <v>0.05</v>
      </c>
      <c r="N5890" s="464">
        <f t="shared" si="220"/>
        <v>230317</v>
      </c>
    </row>
    <row r="5891" spans="7:14" ht="11.25" customHeight="1" x14ac:dyDescent="0.3">
      <c r="G5891" s="459"/>
      <c r="H5891" s="459">
        <v>5884</v>
      </c>
      <c r="I5891" s="444">
        <f t="shared" ca="1" si="218"/>
        <v>700333783589587.13</v>
      </c>
      <c r="J5891" s="444">
        <f t="array" ref="J5891">IFERROR(INDEX('Retirement Calculator'!J:J,MATCH('Isaac 401k'!N5891,'Retirement Calculator'!A:A,0),0),0)</f>
        <v>0</v>
      </c>
      <c r="K5891" s="444">
        <f t="shared" ca="1" si="216"/>
        <v>2918057431623.2798</v>
      </c>
      <c r="L5891" s="444">
        <f t="shared" ca="1" si="217"/>
        <v>703251841021210.38</v>
      </c>
      <c r="M5891" s="460">
        <f t="shared" si="219"/>
        <v>0.05</v>
      </c>
      <c r="N5891" s="464">
        <f t="shared" si="220"/>
        <v>230348</v>
      </c>
    </row>
    <row r="5892" spans="7:14" ht="11.25" customHeight="1" x14ac:dyDescent="0.3">
      <c r="G5892" s="459"/>
      <c r="H5892" s="459">
        <v>5885</v>
      </c>
      <c r="I5892" s="444">
        <f t="shared" ca="1" si="218"/>
        <v>703251841021210.38</v>
      </c>
      <c r="J5892" s="444">
        <f t="array" ref="J5892">IFERROR(INDEX('Retirement Calculator'!J:J,MATCH('Isaac 401k'!N5892,'Retirement Calculator'!A:A,0),0),0)</f>
        <v>0</v>
      </c>
      <c r="K5892" s="444">
        <f t="shared" ca="1" si="216"/>
        <v>2930216004255.043</v>
      </c>
      <c r="L5892" s="444">
        <f t="shared" ca="1" si="217"/>
        <v>706182057025465.38</v>
      </c>
      <c r="M5892" s="460">
        <f t="shared" si="219"/>
        <v>0.05</v>
      </c>
      <c r="N5892" s="464">
        <f t="shared" si="220"/>
        <v>230378</v>
      </c>
    </row>
    <row r="5893" spans="7:14" ht="11.25" customHeight="1" x14ac:dyDescent="0.3">
      <c r="G5893" s="459"/>
      <c r="H5893" s="459">
        <v>5886</v>
      </c>
      <c r="I5893" s="444">
        <f t="shared" ca="1" si="218"/>
        <v>706182057025465.38</v>
      </c>
      <c r="J5893" s="444">
        <f t="array" ref="J5893">IFERROR(INDEX('Retirement Calculator'!J:J,MATCH('Isaac 401k'!N5893,'Retirement Calculator'!A:A,0),0),0)</f>
        <v>0</v>
      </c>
      <c r="K5893" s="444">
        <f t="shared" ca="1" si="216"/>
        <v>2942425237606.1055</v>
      </c>
      <c r="L5893" s="444">
        <f t="shared" ca="1" si="217"/>
        <v>709124482263071.5</v>
      </c>
      <c r="M5893" s="460">
        <f t="shared" si="219"/>
        <v>0.05</v>
      </c>
      <c r="N5893" s="464">
        <f t="shared" si="220"/>
        <v>230409</v>
      </c>
    </row>
    <row r="5894" spans="7:14" ht="11.25" customHeight="1" x14ac:dyDescent="0.3">
      <c r="G5894" s="459"/>
      <c r="H5894" s="459">
        <v>5887</v>
      </c>
      <c r="I5894" s="444">
        <f t="shared" ca="1" si="218"/>
        <v>709124482263071.5</v>
      </c>
      <c r="J5894" s="444">
        <f t="array" ref="J5894">IFERROR(INDEX('Retirement Calculator'!J:J,MATCH('Isaac 401k'!N5894,'Retirement Calculator'!A:A,0),0),0)</f>
        <v>0</v>
      </c>
      <c r="K5894" s="444">
        <f t="shared" ca="1" si="216"/>
        <v>2954685342762.7979</v>
      </c>
      <c r="L5894" s="444">
        <f t="shared" ca="1" si="217"/>
        <v>712079167605834.25</v>
      </c>
      <c r="M5894" s="460">
        <f t="shared" si="219"/>
        <v>0.05</v>
      </c>
      <c r="N5894" s="464">
        <f t="shared" si="220"/>
        <v>230439</v>
      </c>
    </row>
    <row r="5895" spans="7:14" ht="11.25" customHeight="1" x14ac:dyDescent="0.3">
      <c r="G5895" s="459"/>
      <c r="H5895" s="459">
        <v>5888</v>
      </c>
      <c r="I5895" s="444">
        <f t="shared" ca="1" si="218"/>
        <v>712079167605834.25</v>
      </c>
      <c r="J5895" s="444">
        <f t="array" ref="J5895">IFERROR(INDEX('Retirement Calculator'!J:J,MATCH('Isaac 401k'!N5895,'Retirement Calculator'!A:A,0),0),0)</f>
        <v>0</v>
      </c>
      <c r="K5895" s="444">
        <f t="shared" ca="1" si="216"/>
        <v>2966996531690.9761</v>
      </c>
      <c r="L5895" s="444">
        <f t="shared" ca="1" si="217"/>
        <v>715046164137525.25</v>
      </c>
      <c r="M5895" s="460">
        <f t="shared" si="219"/>
        <v>0.05</v>
      </c>
      <c r="N5895" s="464">
        <f t="shared" si="220"/>
        <v>230470</v>
      </c>
    </row>
    <row r="5896" spans="7:14" ht="11.25" customHeight="1" x14ac:dyDescent="0.3">
      <c r="G5896" s="459"/>
      <c r="H5896" s="459">
        <v>5889</v>
      </c>
      <c r="I5896" s="444">
        <f t="shared" ca="1" si="218"/>
        <v>715046164137525.25</v>
      </c>
      <c r="J5896" s="444">
        <f t="array" ref="J5896">IFERROR(INDEX('Retirement Calculator'!J:J,MATCH('Isaac 401k'!N5896,'Retirement Calculator'!A:A,0),0),0)</f>
        <v>0</v>
      </c>
      <c r="K5896" s="444">
        <f t="shared" ca="1" si="216"/>
        <v>2979359017239.6885</v>
      </c>
      <c r="L5896" s="444">
        <f t="shared" ca="1" si="217"/>
        <v>718025523154765</v>
      </c>
      <c r="M5896" s="460">
        <f t="shared" si="219"/>
        <v>0.05</v>
      </c>
      <c r="N5896" s="464">
        <f t="shared" si="220"/>
        <v>230501</v>
      </c>
    </row>
    <row r="5897" spans="7:14" ht="11.25" customHeight="1" x14ac:dyDescent="0.3">
      <c r="G5897" s="459"/>
      <c r="H5897" s="459">
        <v>5890</v>
      </c>
      <c r="I5897" s="444">
        <f t="shared" ca="1" si="218"/>
        <v>718025523154765</v>
      </c>
      <c r="J5897" s="444">
        <f t="array" ref="J5897">IFERROR(INDEX('Retirement Calculator'!J:J,MATCH('Isaac 401k'!N5897,'Retirement Calculator'!A:A,0),0),0)</f>
        <v>0</v>
      </c>
      <c r="K5897" s="444">
        <f t="shared" ca="1" si="216"/>
        <v>2991773013144.854</v>
      </c>
      <c r="L5897" s="444">
        <f t="shared" ca="1" si="217"/>
        <v>721017296167909.88</v>
      </c>
      <c r="M5897" s="460">
        <f t="shared" si="219"/>
        <v>0.05</v>
      </c>
      <c r="N5897" s="464">
        <f t="shared" si="220"/>
        <v>230529</v>
      </c>
    </row>
    <row r="5898" spans="7:14" ht="11.25" customHeight="1" x14ac:dyDescent="0.3">
      <c r="G5898" s="459"/>
      <c r="H5898" s="459">
        <v>5891</v>
      </c>
      <c r="I5898" s="444">
        <f t="shared" ca="1" si="218"/>
        <v>721017296167909.88</v>
      </c>
      <c r="J5898" s="444">
        <f t="array" ref="J5898">IFERROR(INDEX('Retirement Calculator'!J:J,MATCH('Isaac 401k'!N5898,'Retirement Calculator'!A:A,0),0),0)</f>
        <v>0</v>
      </c>
      <c r="K5898" s="444">
        <f t="shared" ca="1" si="216"/>
        <v>3004238734032.958</v>
      </c>
      <c r="L5898" s="444">
        <f t="shared" ca="1" si="217"/>
        <v>724021534901942.88</v>
      </c>
      <c r="M5898" s="460">
        <f t="shared" si="219"/>
        <v>0.05</v>
      </c>
      <c r="N5898" s="464">
        <f t="shared" si="220"/>
        <v>230560</v>
      </c>
    </row>
    <row r="5899" spans="7:14" ht="11.25" customHeight="1" x14ac:dyDescent="0.3">
      <c r="G5899" s="459"/>
      <c r="H5899" s="459">
        <v>5892</v>
      </c>
      <c r="I5899" s="444">
        <f t="shared" ca="1" si="218"/>
        <v>724021534901942.88</v>
      </c>
      <c r="J5899" s="444">
        <f t="array" ref="J5899">IFERROR(INDEX('Retirement Calculator'!J:J,MATCH('Isaac 401k'!N5899,'Retirement Calculator'!A:A,0),0),0)</f>
        <v>0</v>
      </c>
      <c r="K5899" s="444">
        <f t="shared" ca="1" si="216"/>
        <v>3016756395424.7617</v>
      </c>
      <c r="L5899" s="444">
        <f t="shared" ca="1" si="217"/>
        <v>727038291297367.63</v>
      </c>
      <c r="M5899" s="460">
        <f t="shared" si="219"/>
        <v>0.05</v>
      </c>
      <c r="N5899" s="464">
        <f t="shared" si="220"/>
        <v>230590</v>
      </c>
    </row>
    <row r="5900" spans="7:14" ht="11.25" customHeight="1" x14ac:dyDescent="0.3">
      <c r="G5900" s="459"/>
      <c r="H5900" s="459">
        <v>5893</v>
      </c>
      <c r="I5900" s="444">
        <f t="shared" ca="1" si="218"/>
        <v>727038291297367.63</v>
      </c>
      <c r="J5900" s="444">
        <f t="array" ref="J5900">IFERROR(INDEX('Retirement Calculator'!J:J,MATCH('Isaac 401k'!N5900,'Retirement Calculator'!A:A,0),0),0)</f>
        <v>0</v>
      </c>
      <c r="K5900" s="444">
        <f t="shared" ca="1" si="216"/>
        <v>3029326213739.0317</v>
      </c>
      <c r="L5900" s="444">
        <f t="shared" ca="1" si="217"/>
        <v>730067617511106.63</v>
      </c>
      <c r="M5900" s="460">
        <f t="shared" si="219"/>
        <v>0.05</v>
      </c>
      <c r="N5900" s="464">
        <f t="shared" si="220"/>
        <v>230621</v>
      </c>
    </row>
    <row r="5901" spans="7:14" ht="11.25" customHeight="1" x14ac:dyDescent="0.3">
      <c r="G5901" s="459"/>
      <c r="H5901" s="459">
        <v>5894</v>
      </c>
      <c r="I5901" s="444">
        <f t="shared" ca="1" si="218"/>
        <v>730067617511106.63</v>
      </c>
      <c r="J5901" s="444">
        <f t="array" ref="J5901">IFERROR(INDEX('Retirement Calculator'!J:J,MATCH('Isaac 401k'!N5901,'Retirement Calculator'!A:A,0),0),0)</f>
        <v>0</v>
      </c>
      <c r="K5901" s="444">
        <f t="shared" ca="1" si="216"/>
        <v>3041948406296.2773</v>
      </c>
      <c r="L5901" s="444">
        <f t="shared" ca="1" si="217"/>
        <v>733109565917402.88</v>
      </c>
      <c r="M5901" s="460">
        <f t="shared" si="219"/>
        <v>0.05</v>
      </c>
      <c r="N5901" s="464">
        <f t="shared" si="220"/>
        <v>230651</v>
      </c>
    </row>
    <row r="5902" spans="7:14" ht="11.25" customHeight="1" x14ac:dyDescent="0.3">
      <c r="G5902" s="459"/>
      <c r="H5902" s="459">
        <v>5895</v>
      </c>
      <c r="I5902" s="444">
        <f t="shared" ca="1" si="218"/>
        <v>733109565917402.88</v>
      </c>
      <c r="J5902" s="444">
        <f t="array" ref="J5902">IFERROR(INDEX('Retirement Calculator'!J:J,MATCH('Isaac 401k'!N5902,'Retirement Calculator'!A:A,0),0),0)</f>
        <v>0</v>
      </c>
      <c r="K5902" s="444">
        <f t="shared" ca="1" si="216"/>
        <v>3054623191322.5117</v>
      </c>
      <c r="L5902" s="444">
        <f t="shared" ca="1" si="217"/>
        <v>736164189108725.38</v>
      </c>
      <c r="M5902" s="460">
        <f t="shared" si="219"/>
        <v>0.05</v>
      </c>
      <c r="N5902" s="464">
        <f t="shared" si="220"/>
        <v>230682</v>
      </c>
    </row>
    <row r="5903" spans="7:14" ht="11.25" customHeight="1" x14ac:dyDescent="0.3">
      <c r="G5903" s="459"/>
      <c r="H5903" s="459">
        <v>5896</v>
      </c>
      <c r="I5903" s="444">
        <f t="shared" ca="1" si="218"/>
        <v>736164189108725.38</v>
      </c>
      <c r="J5903" s="444">
        <f t="array" ref="J5903">IFERROR(INDEX('Retirement Calculator'!J:J,MATCH('Isaac 401k'!N5903,'Retirement Calculator'!A:A,0),0),0)</f>
        <v>0</v>
      </c>
      <c r="K5903" s="444">
        <f t="shared" ca="1" si="216"/>
        <v>3067350787953.0225</v>
      </c>
      <c r="L5903" s="444">
        <f t="shared" ca="1" si="217"/>
        <v>739231539896678.38</v>
      </c>
      <c r="M5903" s="460">
        <f t="shared" si="219"/>
        <v>0.05</v>
      </c>
      <c r="N5903" s="464">
        <f t="shared" si="220"/>
        <v>230713</v>
      </c>
    </row>
    <row r="5904" spans="7:14" ht="11.25" customHeight="1" x14ac:dyDescent="0.3">
      <c r="G5904" s="459"/>
      <c r="H5904" s="459">
        <v>5897</v>
      </c>
      <c r="I5904" s="444">
        <f t="shared" ca="1" si="218"/>
        <v>739231539896678.38</v>
      </c>
      <c r="J5904" s="444">
        <f t="array" ref="J5904">IFERROR(INDEX('Retirement Calculator'!J:J,MATCH('Isaac 401k'!N5904,'Retirement Calculator'!A:A,0),0),0)</f>
        <v>0</v>
      </c>
      <c r="K5904" s="444">
        <f t="shared" ca="1" si="216"/>
        <v>3080131416236.1597</v>
      </c>
      <c r="L5904" s="444">
        <f t="shared" ca="1" si="217"/>
        <v>742311671312914.5</v>
      </c>
      <c r="M5904" s="460">
        <f t="shared" si="219"/>
        <v>0.05</v>
      </c>
      <c r="N5904" s="464">
        <f t="shared" si="220"/>
        <v>230743</v>
      </c>
    </row>
    <row r="5905" spans="7:14" ht="11.25" customHeight="1" x14ac:dyDescent="0.3">
      <c r="G5905" s="459"/>
      <c r="H5905" s="459">
        <v>5898</v>
      </c>
      <c r="I5905" s="444">
        <f t="shared" ca="1" si="218"/>
        <v>742311671312914.5</v>
      </c>
      <c r="J5905" s="444">
        <f t="array" ref="J5905">IFERROR(INDEX('Retirement Calculator'!J:J,MATCH('Isaac 401k'!N5905,'Retirement Calculator'!A:A,0),0),0)</f>
        <v>0</v>
      </c>
      <c r="K5905" s="444">
        <f t="shared" ca="1" si="216"/>
        <v>3092965297137.1436</v>
      </c>
      <c r="L5905" s="444">
        <f t="shared" ca="1" si="217"/>
        <v>745404636610051.63</v>
      </c>
      <c r="M5905" s="460">
        <f t="shared" si="219"/>
        <v>0.05</v>
      </c>
      <c r="N5905" s="464">
        <f t="shared" si="220"/>
        <v>230774</v>
      </c>
    </row>
    <row r="5906" spans="7:14" ht="11.25" customHeight="1" x14ac:dyDescent="0.3">
      <c r="G5906" s="459"/>
      <c r="H5906" s="459">
        <v>5899</v>
      </c>
      <c r="I5906" s="444">
        <f t="shared" ca="1" si="218"/>
        <v>745404636610051.63</v>
      </c>
      <c r="J5906" s="444">
        <f t="array" ref="J5906">IFERROR(INDEX('Retirement Calculator'!J:J,MATCH('Isaac 401k'!N5906,'Retirement Calculator'!A:A,0),0),0)</f>
        <v>0</v>
      </c>
      <c r="K5906" s="444">
        <f t="shared" ca="1" si="216"/>
        <v>3105852652541.8818</v>
      </c>
      <c r="L5906" s="444">
        <f t="shared" ca="1" si="217"/>
        <v>748510489262593.5</v>
      </c>
      <c r="M5906" s="460">
        <f t="shared" si="219"/>
        <v>0.05</v>
      </c>
      <c r="N5906" s="464">
        <f t="shared" si="220"/>
        <v>230804</v>
      </c>
    </row>
    <row r="5907" spans="7:14" ht="11.25" customHeight="1" x14ac:dyDescent="0.3">
      <c r="G5907" s="459"/>
      <c r="H5907" s="459">
        <v>5900</v>
      </c>
      <c r="I5907" s="444">
        <f t="shared" ca="1" si="218"/>
        <v>748510489262593.5</v>
      </c>
      <c r="J5907" s="444">
        <f t="array" ref="J5907">IFERROR(INDEX('Retirement Calculator'!J:J,MATCH('Isaac 401k'!N5907,'Retirement Calculator'!A:A,0),0),0)</f>
        <v>0</v>
      </c>
      <c r="K5907" s="444">
        <f t="shared" ca="1" si="216"/>
        <v>3118793705260.8062</v>
      </c>
      <c r="L5907" s="444">
        <f t="shared" ca="1" si="217"/>
        <v>751629282967854.25</v>
      </c>
      <c r="M5907" s="460">
        <f t="shared" si="219"/>
        <v>0.05</v>
      </c>
      <c r="N5907" s="464">
        <f t="shared" si="220"/>
        <v>230835</v>
      </c>
    </row>
    <row r="5908" spans="7:14" ht="11.25" customHeight="1" x14ac:dyDescent="0.3">
      <c r="G5908" s="459"/>
      <c r="H5908" s="459">
        <v>5901</v>
      </c>
      <c r="I5908" s="444">
        <f t="shared" ca="1" si="218"/>
        <v>751629282967854.25</v>
      </c>
      <c r="J5908" s="444">
        <f t="array" ref="J5908">IFERROR(INDEX('Retirement Calculator'!J:J,MATCH('Isaac 401k'!N5908,'Retirement Calculator'!A:A,0),0),0)</f>
        <v>0</v>
      </c>
      <c r="K5908" s="444">
        <f t="shared" ca="1" si="216"/>
        <v>3131788679032.7261</v>
      </c>
      <c r="L5908" s="444">
        <f t="shared" ca="1" si="217"/>
        <v>754761071646887</v>
      </c>
      <c r="M5908" s="460">
        <f t="shared" si="219"/>
        <v>0.05</v>
      </c>
      <c r="N5908" s="464">
        <f t="shared" si="220"/>
        <v>230866</v>
      </c>
    </row>
    <row r="5909" spans="7:14" ht="11.25" customHeight="1" x14ac:dyDescent="0.3">
      <c r="G5909" s="459"/>
      <c r="H5909" s="459">
        <v>5902</v>
      </c>
      <c r="I5909" s="444">
        <f t="shared" ca="1" si="218"/>
        <v>754761071646887</v>
      </c>
      <c r="J5909" s="444">
        <f t="array" ref="J5909">IFERROR(INDEX('Retirement Calculator'!J:J,MATCH('Isaac 401k'!N5909,'Retirement Calculator'!A:A,0),0),0)</f>
        <v>0</v>
      </c>
      <c r="K5909" s="444">
        <f t="shared" ca="1" si="216"/>
        <v>3144837798528.6958</v>
      </c>
      <c r="L5909" s="444">
        <f t="shared" ca="1" si="217"/>
        <v>757905909445415.75</v>
      </c>
      <c r="M5909" s="460">
        <f t="shared" si="219"/>
        <v>0.05</v>
      </c>
      <c r="N5909" s="464">
        <f t="shared" si="220"/>
        <v>230895</v>
      </c>
    </row>
    <row r="5910" spans="7:14" ht="11.25" customHeight="1" x14ac:dyDescent="0.3">
      <c r="G5910" s="459"/>
      <c r="H5910" s="459">
        <v>5903</v>
      </c>
      <c r="I5910" s="444">
        <f t="shared" ca="1" si="218"/>
        <v>757905909445415.75</v>
      </c>
      <c r="J5910" s="444">
        <f t="array" ref="J5910">IFERROR(INDEX('Retirement Calculator'!J:J,MATCH('Isaac 401k'!N5910,'Retirement Calculator'!A:A,0),0),0)</f>
        <v>0</v>
      </c>
      <c r="K5910" s="444">
        <f t="shared" ca="1" si="216"/>
        <v>3157941289355.8989</v>
      </c>
      <c r="L5910" s="444">
        <f t="shared" ca="1" si="217"/>
        <v>761063850734771.63</v>
      </c>
      <c r="M5910" s="460">
        <f t="shared" si="219"/>
        <v>0.05</v>
      </c>
      <c r="N5910" s="464">
        <f t="shared" si="220"/>
        <v>230926</v>
      </c>
    </row>
    <row r="5911" spans="7:14" ht="11.25" customHeight="1" x14ac:dyDescent="0.3">
      <c r="G5911" s="459"/>
      <c r="H5911" s="459">
        <v>5904</v>
      </c>
      <c r="I5911" s="444">
        <f t="shared" ca="1" si="218"/>
        <v>761063850734771.63</v>
      </c>
      <c r="J5911" s="444">
        <f t="array" ref="J5911">IFERROR(INDEX('Retirement Calculator'!J:J,MATCH('Isaac 401k'!N5911,'Retirement Calculator'!A:A,0),0),0)</f>
        <v>0</v>
      </c>
      <c r="K5911" s="444">
        <f t="shared" ca="1" si="216"/>
        <v>3171099378061.5483</v>
      </c>
      <c r="L5911" s="444">
        <f t="shared" ca="1" si="217"/>
        <v>764234950112833.13</v>
      </c>
      <c r="M5911" s="460">
        <f t="shared" si="219"/>
        <v>0.05</v>
      </c>
      <c r="N5911" s="464">
        <f t="shared" si="220"/>
        <v>230956</v>
      </c>
    </row>
    <row r="5912" spans="7:14" ht="11.25" customHeight="1" x14ac:dyDescent="0.3">
      <c r="G5912" s="459"/>
      <c r="H5912" s="459">
        <v>5905</v>
      </c>
      <c r="I5912" s="444">
        <f t="shared" ca="1" si="218"/>
        <v>764234950112833.13</v>
      </c>
      <c r="J5912" s="444">
        <f t="array" ref="J5912">IFERROR(INDEX('Retirement Calculator'!J:J,MATCH('Isaac 401k'!N5912,'Retirement Calculator'!A:A,0),0),0)</f>
        <v>0</v>
      </c>
      <c r="K5912" s="444">
        <f t="shared" ca="1" si="216"/>
        <v>3184312292136.8047</v>
      </c>
      <c r="L5912" s="444">
        <f t="shared" ca="1" si="217"/>
        <v>767419262404969.88</v>
      </c>
      <c r="M5912" s="460">
        <f t="shared" si="219"/>
        <v>0.05</v>
      </c>
      <c r="N5912" s="464">
        <f t="shared" si="220"/>
        <v>230987</v>
      </c>
    </row>
    <row r="5913" spans="7:14" ht="11.25" customHeight="1" x14ac:dyDescent="0.3">
      <c r="G5913" s="459"/>
      <c r="H5913" s="459">
        <v>5906</v>
      </c>
      <c r="I5913" s="444">
        <f t="shared" ca="1" si="218"/>
        <v>767419262404969.88</v>
      </c>
      <c r="J5913" s="444">
        <f t="array" ref="J5913">IFERROR(INDEX('Retirement Calculator'!J:J,MATCH('Isaac 401k'!N5913,'Retirement Calculator'!A:A,0),0),0)</f>
        <v>0</v>
      </c>
      <c r="K5913" s="444">
        <f t="shared" ca="1" si="216"/>
        <v>3197580260020.708</v>
      </c>
      <c r="L5913" s="444">
        <f t="shared" ca="1" si="217"/>
        <v>770616842664990.63</v>
      </c>
      <c r="M5913" s="460">
        <f t="shared" si="219"/>
        <v>0.05</v>
      </c>
      <c r="N5913" s="464">
        <f t="shared" si="220"/>
        <v>231017</v>
      </c>
    </row>
    <row r="5914" spans="7:14" ht="11.25" customHeight="1" x14ac:dyDescent="0.3">
      <c r="G5914" s="459"/>
      <c r="H5914" s="459">
        <v>5907</v>
      </c>
      <c r="I5914" s="444">
        <f t="shared" ca="1" si="218"/>
        <v>770616842664990.63</v>
      </c>
      <c r="J5914" s="444">
        <f t="array" ref="J5914">IFERROR(INDEX('Retirement Calculator'!J:J,MATCH('Isaac 401k'!N5914,'Retirement Calculator'!A:A,0),0),0)</f>
        <v>0</v>
      </c>
      <c r="K5914" s="444">
        <f t="shared" ca="1" si="216"/>
        <v>3210903511104.1274</v>
      </c>
      <c r="L5914" s="444">
        <f t="shared" ca="1" si="217"/>
        <v>773827746176094.75</v>
      </c>
      <c r="M5914" s="460">
        <f t="shared" si="219"/>
        <v>0.05</v>
      </c>
      <c r="N5914" s="464">
        <f t="shared" si="220"/>
        <v>231048</v>
      </c>
    </row>
    <row r="5915" spans="7:14" ht="11.25" customHeight="1" x14ac:dyDescent="0.3">
      <c r="G5915" s="459"/>
      <c r="H5915" s="459">
        <v>5908</v>
      </c>
      <c r="I5915" s="444">
        <f t="shared" ca="1" si="218"/>
        <v>773827746176094.75</v>
      </c>
      <c r="J5915" s="444">
        <f t="array" ref="J5915">IFERROR(INDEX('Retirement Calculator'!J:J,MATCH('Isaac 401k'!N5915,'Retirement Calculator'!A:A,0),0),0)</f>
        <v>0</v>
      </c>
      <c r="K5915" s="444">
        <f t="shared" ca="1" si="216"/>
        <v>3224282275733.728</v>
      </c>
      <c r="L5915" s="444">
        <f t="shared" ca="1" si="217"/>
        <v>777052028451828.5</v>
      </c>
      <c r="M5915" s="460">
        <f t="shared" si="219"/>
        <v>0.05</v>
      </c>
      <c r="N5915" s="464">
        <f t="shared" si="220"/>
        <v>231079</v>
      </c>
    </row>
    <row r="5916" spans="7:14" ht="11.25" customHeight="1" x14ac:dyDescent="0.3">
      <c r="G5916" s="459"/>
      <c r="H5916" s="459">
        <v>5909</v>
      </c>
      <c r="I5916" s="444">
        <f t="shared" ca="1" si="218"/>
        <v>777052028451828.5</v>
      </c>
      <c r="J5916" s="444">
        <f t="array" ref="J5916">IFERROR(INDEX('Retirement Calculator'!J:J,MATCH('Isaac 401k'!N5916,'Retirement Calculator'!A:A,0),0),0)</f>
        <v>0</v>
      </c>
      <c r="K5916" s="444">
        <f t="shared" ca="1" si="216"/>
        <v>3237716785215.9521</v>
      </c>
      <c r="L5916" s="444">
        <f t="shared" ca="1" si="217"/>
        <v>780289745237044.5</v>
      </c>
      <c r="M5916" s="460">
        <f t="shared" si="219"/>
        <v>0.05</v>
      </c>
      <c r="N5916" s="464">
        <f t="shared" si="220"/>
        <v>231109</v>
      </c>
    </row>
    <row r="5917" spans="7:14" ht="11.25" customHeight="1" x14ac:dyDescent="0.3">
      <c r="G5917" s="459"/>
      <c r="H5917" s="459">
        <v>5910</v>
      </c>
      <c r="I5917" s="444">
        <f t="shared" ca="1" si="218"/>
        <v>780289745237044.5</v>
      </c>
      <c r="J5917" s="444">
        <f t="array" ref="J5917">IFERROR(INDEX('Retirement Calculator'!J:J,MATCH('Isaac 401k'!N5917,'Retirement Calculator'!A:A,0),0),0)</f>
        <v>0</v>
      </c>
      <c r="K5917" s="444">
        <f t="shared" ca="1" si="216"/>
        <v>3251207271821.0186</v>
      </c>
      <c r="L5917" s="444">
        <f t="shared" ca="1" si="217"/>
        <v>783540952508865.5</v>
      </c>
      <c r="M5917" s="460">
        <f t="shared" si="219"/>
        <v>0.05</v>
      </c>
      <c r="N5917" s="464">
        <f t="shared" si="220"/>
        <v>231140</v>
      </c>
    </row>
    <row r="5918" spans="7:14" ht="11.25" customHeight="1" x14ac:dyDescent="0.3">
      <c r="G5918" s="459"/>
      <c r="H5918" s="459">
        <v>5911</v>
      </c>
      <c r="I5918" s="444">
        <f t="shared" ca="1" si="218"/>
        <v>783540952508865.5</v>
      </c>
      <c r="J5918" s="444">
        <f t="array" ref="J5918">IFERROR(INDEX('Retirement Calculator'!J:J,MATCH('Isaac 401k'!N5918,'Retirement Calculator'!A:A,0),0),0)</f>
        <v>0</v>
      </c>
      <c r="K5918" s="444">
        <f t="shared" ca="1" si="216"/>
        <v>3264753968786.9395</v>
      </c>
      <c r="L5918" s="444">
        <f t="shared" ca="1" si="217"/>
        <v>786805706477652.5</v>
      </c>
      <c r="M5918" s="460">
        <f t="shared" si="219"/>
        <v>0.05</v>
      </c>
      <c r="N5918" s="464">
        <f t="shared" si="220"/>
        <v>231170</v>
      </c>
    </row>
    <row r="5919" spans="7:14" ht="11.25" customHeight="1" x14ac:dyDescent="0.3">
      <c r="G5919" s="459"/>
      <c r="H5919" s="459">
        <v>5912</v>
      </c>
      <c r="I5919" s="444">
        <f t="shared" ca="1" si="218"/>
        <v>786805706477652.5</v>
      </c>
      <c r="J5919" s="444">
        <f t="array" ref="J5919">IFERROR(INDEX('Retirement Calculator'!J:J,MATCH('Isaac 401k'!N5919,'Retirement Calculator'!A:A,0),0),0)</f>
        <v>0</v>
      </c>
      <c r="K5919" s="444">
        <f t="shared" ca="1" si="216"/>
        <v>3278357110323.5522</v>
      </c>
      <c r="L5919" s="444">
        <f t="shared" ca="1" si="217"/>
        <v>790084063587976</v>
      </c>
      <c r="M5919" s="460">
        <f t="shared" si="219"/>
        <v>0.05</v>
      </c>
      <c r="N5919" s="464">
        <f t="shared" si="220"/>
        <v>231201</v>
      </c>
    </row>
    <row r="5920" spans="7:14" ht="11.25" customHeight="1" x14ac:dyDescent="0.3">
      <c r="G5920" s="459"/>
      <c r="H5920" s="459">
        <v>5913</v>
      </c>
      <c r="I5920" s="444">
        <f t="shared" ca="1" si="218"/>
        <v>790084063587976</v>
      </c>
      <c r="J5920" s="444">
        <f t="array" ref="J5920">IFERROR(INDEX('Retirement Calculator'!J:J,MATCH('Isaac 401k'!N5920,'Retirement Calculator'!A:A,0),0),0)</f>
        <v>0</v>
      </c>
      <c r="K5920" s="444">
        <f t="shared" ca="1" si="216"/>
        <v>3292016931616.5664</v>
      </c>
      <c r="L5920" s="444">
        <f t="shared" ca="1" si="217"/>
        <v>793376080519592.63</v>
      </c>
      <c r="M5920" s="460">
        <f t="shared" si="219"/>
        <v>0.05</v>
      </c>
      <c r="N5920" s="464">
        <f t="shared" si="220"/>
        <v>231232</v>
      </c>
    </row>
    <row r="5921" spans="7:14" ht="11.25" customHeight="1" x14ac:dyDescent="0.3">
      <c r="G5921" s="459"/>
      <c r="H5921" s="459">
        <v>5914</v>
      </c>
      <c r="I5921" s="444">
        <f t="shared" ca="1" si="218"/>
        <v>793376080519592.63</v>
      </c>
      <c r="J5921" s="444">
        <f t="array" ref="J5921">IFERROR(INDEX('Retirement Calculator'!J:J,MATCH('Isaac 401k'!N5921,'Retirement Calculator'!A:A,0),0),0)</f>
        <v>0</v>
      </c>
      <c r="K5921" s="444">
        <f t="shared" ca="1" si="216"/>
        <v>3305733668831.6357</v>
      </c>
      <c r="L5921" s="444">
        <f t="shared" ca="1" si="217"/>
        <v>796681814188424.25</v>
      </c>
      <c r="M5921" s="460">
        <f t="shared" si="219"/>
        <v>0.05</v>
      </c>
      <c r="N5921" s="464">
        <f t="shared" si="220"/>
        <v>231260</v>
      </c>
    </row>
    <row r="5922" spans="7:14" ht="11.25" customHeight="1" x14ac:dyDescent="0.3">
      <c r="G5922" s="459"/>
      <c r="H5922" s="459">
        <v>5915</v>
      </c>
      <c r="I5922" s="444">
        <f t="shared" ca="1" si="218"/>
        <v>796681814188424.25</v>
      </c>
      <c r="J5922" s="444">
        <f t="array" ref="J5922">IFERROR(INDEX('Retirement Calculator'!J:J,MATCH('Isaac 401k'!N5922,'Retirement Calculator'!A:A,0),0),0)</f>
        <v>0</v>
      </c>
      <c r="K5922" s="444">
        <f t="shared" ca="1" si="216"/>
        <v>3319507559118.4346</v>
      </c>
      <c r="L5922" s="444">
        <f t="shared" ca="1" si="217"/>
        <v>800001321747542.63</v>
      </c>
      <c r="M5922" s="460">
        <f t="shared" si="219"/>
        <v>0.05</v>
      </c>
      <c r="N5922" s="464">
        <f t="shared" si="220"/>
        <v>231291</v>
      </c>
    </row>
    <row r="5923" spans="7:14" ht="11.25" customHeight="1" x14ac:dyDescent="0.3">
      <c r="G5923" s="459"/>
      <c r="H5923" s="459">
        <v>5916</v>
      </c>
      <c r="I5923" s="444">
        <f t="shared" ca="1" si="218"/>
        <v>800001321747542.63</v>
      </c>
      <c r="J5923" s="444">
        <f t="array" ref="J5923">IFERROR(INDEX('Retirement Calculator'!J:J,MATCH('Isaac 401k'!N5923,'Retirement Calculator'!A:A,0),0),0)</f>
        <v>0</v>
      </c>
      <c r="K5923" s="444">
        <f t="shared" ca="1" si="216"/>
        <v>3333338840614.7607</v>
      </c>
      <c r="L5923" s="444">
        <f t="shared" ca="1" si="217"/>
        <v>803334660588157.38</v>
      </c>
      <c r="M5923" s="460">
        <f t="shared" si="219"/>
        <v>0.05</v>
      </c>
      <c r="N5923" s="464">
        <f t="shared" si="220"/>
        <v>231321</v>
      </c>
    </row>
    <row r="5924" spans="7:14" ht="11.25" customHeight="1" x14ac:dyDescent="0.3">
      <c r="G5924" s="459"/>
      <c r="H5924" s="459">
        <v>5917</v>
      </c>
      <c r="I5924" s="444">
        <f t="shared" ca="1" si="218"/>
        <v>803334660588157.38</v>
      </c>
      <c r="J5924" s="444">
        <f t="array" ref="J5924">IFERROR(INDEX('Retirement Calculator'!J:J,MATCH('Isaac 401k'!N5924,'Retirement Calculator'!A:A,0),0),0)</f>
        <v>0</v>
      </c>
      <c r="K5924" s="444">
        <f t="shared" ca="1" si="216"/>
        <v>3347227752450.6558</v>
      </c>
      <c r="L5924" s="444">
        <f t="shared" ca="1" si="217"/>
        <v>806681888340608</v>
      </c>
      <c r="M5924" s="460">
        <f t="shared" si="219"/>
        <v>0.05</v>
      </c>
      <c r="N5924" s="464">
        <f t="shared" si="220"/>
        <v>231352</v>
      </c>
    </row>
    <row r="5925" spans="7:14" ht="11.25" customHeight="1" x14ac:dyDescent="0.3">
      <c r="G5925" s="459"/>
      <c r="H5925" s="459">
        <v>5918</v>
      </c>
      <c r="I5925" s="444">
        <f t="shared" ca="1" si="218"/>
        <v>806681888340608</v>
      </c>
      <c r="J5925" s="444">
        <f t="array" ref="J5925">IFERROR(INDEX('Retirement Calculator'!J:J,MATCH('Isaac 401k'!N5925,'Retirement Calculator'!A:A,0),0),0)</f>
        <v>0</v>
      </c>
      <c r="K5925" s="444">
        <f t="shared" ca="1" si="216"/>
        <v>3361174534752.5332</v>
      </c>
      <c r="L5925" s="444">
        <f t="shared" ca="1" si="217"/>
        <v>810043062875360.5</v>
      </c>
      <c r="M5925" s="460">
        <f t="shared" si="219"/>
        <v>0.05</v>
      </c>
      <c r="N5925" s="464">
        <f t="shared" si="220"/>
        <v>231382</v>
      </c>
    </row>
    <row r="5926" spans="7:14" ht="11.25" customHeight="1" x14ac:dyDescent="0.3">
      <c r="G5926" s="459"/>
      <c r="H5926" s="459">
        <v>5919</v>
      </c>
      <c r="I5926" s="444">
        <f t="shared" ca="1" si="218"/>
        <v>810043062875360.5</v>
      </c>
      <c r="J5926" s="444">
        <f t="array" ref="J5926">IFERROR(INDEX('Retirement Calculator'!J:J,MATCH('Isaac 401k'!N5926,'Retirement Calculator'!A:A,0),0),0)</f>
        <v>0</v>
      </c>
      <c r="K5926" s="444">
        <f t="shared" ca="1" si="216"/>
        <v>3375179428647.3354</v>
      </c>
      <c r="L5926" s="444">
        <f t="shared" ca="1" si="217"/>
        <v>813418242304007.88</v>
      </c>
      <c r="M5926" s="460">
        <f t="shared" si="219"/>
        <v>0.05</v>
      </c>
      <c r="N5926" s="464">
        <f t="shared" si="220"/>
        <v>231413</v>
      </c>
    </row>
    <row r="5927" spans="7:14" ht="11.25" customHeight="1" x14ac:dyDescent="0.3">
      <c r="G5927" s="459"/>
      <c r="H5927" s="459">
        <v>5920</v>
      </c>
      <c r="I5927" s="444">
        <f t="shared" ca="1" si="218"/>
        <v>813418242304007.88</v>
      </c>
      <c r="J5927" s="444">
        <f t="array" ref="J5927">IFERROR(INDEX('Retirement Calculator'!J:J,MATCH('Isaac 401k'!N5927,'Retirement Calculator'!A:A,0),0),0)</f>
        <v>0</v>
      </c>
      <c r="K5927" s="444">
        <f t="shared" ca="1" si="216"/>
        <v>3389242676266.6992</v>
      </c>
      <c r="L5927" s="444">
        <f t="shared" ca="1" si="217"/>
        <v>816807484980274.63</v>
      </c>
      <c r="M5927" s="460">
        <f t="shared" si="219"/>
        <v>0.05</v>
      </c>
      <c r="N5927" s="464">
        <f t="shared" si="220"/>
        <v>231444</v>
      </c>
    </row>
    <row r="5928" spans="7:14" ht="11.25" customHeight="1" x14ac:dyDescent="0.3">
      <c r="G5928" s="459"/>
      <c r="H5928" s="459">
        <v>5921</v>
      </c>
      <c r="I5928" s="444">
        <f t="shared" ca="1" si="218"/>
        <v>816807484980274.63</v>
      </c>
      <c r="J5928" s="444">
        <f t="array" ref="J5928">IFERROR(INDEX('Retirement Calculator'!J:J,MATCH('Isaac 401k'!N5928,'Retirement Calculator'!A:A,0),0),0)</f>
        <v>0</v>
      </c>
      <c r="K5928" s="444">
        <f t="shared" ca="1" si="216"/>
        <v>3403364520751.144</v>
      </c>
      <c r="L5928" s="444">
        <f t="shared" ca="1" si="217"/>
        <v>820210849501025.75</v>
      </c>
      <c r="M5928" s="460">
        <f t="shared" si="219"/>
        <v>0.05</v>
      </c>
      <c r="N5928" s="464">
        <f t="shared" si="220"/>
        <v>231474</v>
      </c>
    </row>
    <row r="5929" spans="7:14" ht="11.25" customHeight="1" x14ac:dyDescent="0.3">
      <c r="G5929" s="459"/>
      <c r="H5929" s="459">
        <v>5922</v>
      </c>
      <c r="I5929" s="444">
        <f t="shared" ca="1" si="218"/>
        <v>820210849501025.75</v>
      </c>
      <c r="J5929" s="444">
        <f t="array" ref="J5929">IFERROR(INDEX('Retirement Calculator'!J:J,MATCH('Isaac 401k'!N5929,'Retirement Calculator'!A:A,0),0),0)</f>
        <v>0</v>
      </c>
      <c r="K5929" s="444">
        <f t="shared" ca="1" si="216"/>
        <v>3417545206254.2739</v>
      </c>
      <c r="L5929" s="444">
        <f t="shared" ca="1" si="217"/>
        <v>823628394707280</v>
      </c>
      <c r="M5929" s="460">
        <f t="shared" si="219"/>
        <v>0.05</v>
      </c>
      <c r="N5929" s="464">
        <f t="shared" si="220"/>
        <v>231505</v>
      </c>
    </row>
    <row r="5930" spans="7:14" ht="11.25" customHeight="1" x14ac:dyDescent="0.3">
      <c r="G5930" s="459"/>
      <c r="H5930" s="459">
        <v>5923</v>
      </c>
      <c r="I5930" s="444">
        <f t="shared" ca="1" si="218"/>
        <v>823628394707280</v>
      </c>
      <c r="J5930" s="444">
        <f t="array" ref="J5930">IFERROR(INDEX('Retirement Calculator'!J:J,MATCH('Isaac 401k'!N5930,'Retirement Calculator'!A:A,0),0),0)</f>
        <v>0</v>
      </c>
      <c r="K5930" s="444">
        <f t="shared" ca="1" si="216"/>
        <v>3431784977947</v>
      </c>
      <c r="L5930" s="444">
        <f t="shared" ca="1" si="217"/>
        <v>827060179685227</v>
      </c>
      <c r="M5930" s="460">
        <f t="shared" si="219"/>
        <v>0.05</v>
      </c>
      <c r="N5930" s="464">
        <f t="shared" si="220"/>
        <v>231535</v>
      </c>
    </row>
    <row r="5931" spans="7:14" ht="11.25" customHeight="1" x14ac:dyDescent="0.3">
      <c r="G5931" s="459"/>
      <c r="H5931" s="459">
        <v>5924</v>
      </c>
      <c r="I5931" s="444">
        <f t="shared" ca="1" si="218"/>
        <v>827060179685227</v>
      </c>
      <c r="J5931" s="444">
        <f t="array" ref="J5931">IFERROR(INDEX('Retirement Calculator'!J:J,MATCH('Isaac 401k'!N5931,'Retirement Calculator'!A:A,0),0),0)</f>
        <v>0</v>
      </c>
      <c r="K5931" s="444">
        <f t="shared" ca="1" si="216"/>
        <v>3446084082021.7793</v>
      </c>
      <c r="L5931" s="444">
        <f t="shared" ca="1" si="217"/>
        <v>830506263767248.75</v>
      </c>
      <c r="M5931" s="460">
        <f t="shared" si="219"/>
        <v>0.05</v>
      </c>
      <c r="N5931" s="464">
        <f t="shared" si="220"/>
        <v>231566</v>
      </c>
    </row>
    <row r="5932" spans="7:14" ht="11.25" customHeight="1" x14ac:dyDescent="0.3">
      <c r="G5932" s="459"/>
      <c r="H5932" s="459">
        <v>5925</v>
      </c>
      <c r="I5932" s="444">
        <f t="shared" ca="1" si="218"/>
        <v>830506263767248.75</v>
      </c>
      <c r="J5932" s="444">
        <f t="array" ref="J5932">IFERROR(INDEX('Retirement Calculator'!J:J,MATCH('Isaac 401k'!N5932,'Retirement Calculator'!A:A,0),0),0)</f>
        <v>0</v>
      </c>
      <c r="K5932" s="444">
        <f t="shared" ca="1" si="216"/>
        <v>3460442765696.8696</v>
      </c>
      <c r="L5932" s="444">
        <f t="shared" ca="1" si="217"/>
        <v>833966706532945.63</v>
      </c>
      <c r="M5932" s="460">
        <f t="shared" si="219"/>
        <v>0.05</v>
      </c>
      <c r="N5932" s="464">
        <f t="shared" si="220"/>
        <v>231597</v>
      </c>
    </row>
    <row r="5933" spans="7:14" ht="11.25" customHeight="1" x14ac:dyDescent="0.3">
      <c r="G5933" s="459"/>
      <c r="H5933" s="459">
        <v>5926</v>
      </c>
      <c r="I5933" s="444">
        <f t="shared" ca="1" si="218"/>
        <v>833966706532945.63</v>
      </c>
      <c r="J5933" s="444">
        <f t="array" ref="J5933">IFERROR(INDEX('Retirement Calculator'!J:J,MATCH('Isaac 401k'!N5933,'Retirement Calculator'!A:A,0),0),0)</f>
        <v>0</v>
      </c>
      <c r="K5933" s="444">
        <f t="shared" ca="1" si="216"/>
        <v>3474861277220.6069</v>
      </c>
      <c r="L5933" s="444">
        <f t="shared" ca="1" si="217"/>
        <v>837441567810166.25</v>
      </c>
      <c r="M5933" s="460">
        <f t="shared" si="219"/>
        <v>0.05</v>
      </c>
      <c r="N5933" s="464">
        <f t="shared" si="220"/>
        <v>231625</v>
      </c>
    </row>
    <row r="5934" spans="7:14" ht="11.25" customHeight="1" x14ac:dyDescent="0.3">
      <c r="G5934" s="459"/>
      <c r="H5934" s="459">
        <v>5927</v>
      </c>
      <c r="I5934" s="444">
        <f t="shared" ca="1" si="218"/>
        <v>837441567810166.25</v>
      </c>
      <c r="J5934" s="444">
        <f t="array" ref="J5934">IFERROR(INDEX('Retirement Calculator'!J:J,MATCH('Isaac 401k'!N5934,'Retirement Calculator'!A:A,0),0),0)</f>
        <v>0</v>
      </c>
      <c r="K5934" s="444">
        <f t="shared" ca="1" si="216"/>
        <v>3489339865875.6929</v>
      </c>
      <c r="L5934" s="444">
        <f t="shared" ca="1" si="217"/>
        <v>840930907676042</v>
      </c>
      <c r="M5934" s="460">
        <f t="shared" si="219"/>
        <v>0.05</v>
      </c>
      <c r="N5934" s="464">
        <f t="shared" si="220"/>
        <v>231656</v>
      </c>
    </row>
    <row r="5935" spans="7:14" ht="11.25" customHeight="1" x14ac:dyDescent="0.3">
      <c r="G5935" s="459"/>
      <c r="H5935" s="459">
        <v>5928</v>
      </c>
      <c r="I5935" s="444">
        <f t="shared" ca="1" si="218"/>
        <v>840930907676042</v>
      </c>
      <c r="J5935" s="444">
        <f t="array" ref="J5935">IFERROR(INDEX('Retirement Calculator'!J:J,MATCH('Isaac 401k'!N5935,'Retirement Calculator'!A:A,0),0),0)</f>
        <v>0</v>
      </c>
      <c r="K5935" s="444">
        <f t="shared" ca="1" si="216"/>
        <v>3503878781983.5083</v>
      </c>
      <c r="L5935" s="444">
        <f t="shared" ca="1" si="217"/>
        <v>844434786458025.5</v>
      </c>
      <c r="M5935" s="460">
        <f t="shared" si="219"/>
        <v>0.05</v>
      </c>
      <c r="N5935" s="464">
        <f t="shared" si="220"/>
        <v>231686</v>
      </c>
    </row>
    <row r="5936" spans="7:14" ht="11.25" customHeight="1" x14ac:dyDescent="0.3">
      <c r="G5936" s="459"/>
      <c r="H5936" s="459">
        <v>5929</v>
      </c>
      <c r="I5936" s="444">
        <f t="shared" ca="1" si="218"/>
        <v>844434786458025.5</v>
      </c>
      <c r="J5936" s="444">
        <f t="array" ref="J5936">IFERROR(INDEX('Retirement Calculator'!J:J,MATCH('Isaac 401k'!N5936,'Retirement Calculator'!A:A,0),0),0)</f>
        <v>0</v>
      </c>
      <c r="K5936" s="444">
        <f t="shared" ca="1" si="216"/>
        <v>3518478276908.4395</v>
      </c>
      <c r="L5936" s="444">
        <f t="shared" ca="1" si="217"/>
        <v>847953264734934</v>
      </c>
      <c r="M5936" s="460">
        <f t="shared" si="219"/>
        <v>0.05</v>
      </c>
      <c r="N5936" s="464">
        <f t="shared" si="220"/>
        <v>231717</v>
      </c>
    </row>
    <row r="5937" spans="7:14" ht="11.25" customHeight="1" x14ac:dyDescent="0.3">
      <c r="G5937" s="459"/>
      <c r="H5937" s="459">
        <v>5930</v>
      </c>
      <c r="I5937" s="444">
        <f t="shared" ca="1" si="218"/>
        <v>847953264734934</v>
      </c>
      <c r="J5937" s="444">
        <f t="array" ref="J5937">IFERROR(INDEX('Retirement Calculator'!J:J,MATCH('Isaac 401k'!N5937,'Retirement Calculator'!A:A,0),0),0)</f>
        <v>0</v>
      </c>
      <c r="K5937" s="444">
        <f t="shared" ca="1" si="216"/>
        <v>3533138603062.2251</v>
      </c>
      <c r="L5937" s="444">
        <f t="shared" ca="1" si="217"/>
        <v>851486403337996.25</v>
      </c>
      <c r="M5937" s="460">
        <f t="shared" si="219"/>
        <v>0.05</v>
      </c>
      <c r="N5937" s="464">
        <f t="shared" si="220"/>
        <v>231747</v>
      </c>
    </row>
    <row r="5938" spans="7:14" ht="11.25" customHeight="1" x14ac:dyDescent="0.3">
      <c r="G5938" s="459"/>
      <c r="H5938" s="459">
        <v>5931</v>
      </c>
      <c r="I5938" s="444">
        <f t="shared" ca="1" si="218"/>
        <v>851486403337996.25</v>
      </c>
      <c r="J5938" s="444">
        <f t="array" ref="J5938">IFERROR(INDEX('Retirement Calculator'!J:J,MATCH('Isaac 401k'!N5938,'Retirement Calculator'!A:A,0),0),0)</f>
        <v>0</v>
      </c>
      <c r="K5938" s="444">
        <f t="shared" ca="1" si="216"/>
        <v>3547860013908.3179</v>
      </c>
      <c r="L5938" s="444">
        <f t="shared" ca="1" si="217"/>
        <v>855034263351904.63</v>
      </c>
      <c r="M5938" s="460">
        <f t="shared" si="219"/>
        <v>0.05</v>
      </c>
      <c r="N5938" s="464">
        <f t="shared" si="220"/>
        <v>231778</v>
      </c>
    </row>
    <row r="5939" spans="7:14" ht="11.25" customHeight="1" x14ac:dyDescent="0.3">
      <c r="G5939" s="459"/>
      <c r="H5939" s="459">
        <v>5932</v>
      </c>
      <c r="I5939" s="444">
        <f t="shared" ca="1" si="218"/>
        <v>855034263351904.63</v>
      </c>
      <c r="J5939" s="444">
        <f t="array" ref="J5939">IFERROR(INDEX('Retirement Calculator'!J:J,MATCH('Isaac 401k'!N5939,'Retirement Calculator'!A:A,0),0),0)</f>
        <v>0</v>
      </c>
      <c r="K5939" s="444">
        <f t="shared" ca="1" si="216"/>
        <v>3562642763966.269</v>
      </c>
      <c r="L5939" s="444">
        <f t="shared" ca="1" si="217"/>
        <v>858596906115870.88</v>
      </c>
      <c r="M5939" s="460">
        <f t="shared" si="219"/>
        <v>0.05</v>
      </c>
      <c r="N5939" s="464">
        <f t="shared" si="220"/>
        <v>231809</v>
      </c>
    </row>
    <row r="5940" spans="7:14" ht="11.25" customHeight="1" x14ac:dyDescent="0.3">
      <c r="G5940" s="459"/>
      <c r="H5940" s="459">
        <v>5933</v>
      </c>
      <c r="I5940" s="444">
        <f t="shared" ca="1" si="218"/>
        <v>858596906115870.88</v>
      </c>
      <c r="J5940" s="444">
        <f t="array" ref="J5940">IFERROR(INDEX('Retirement Calculator'!J:J,MATCH('Isaac 401k'!N5940,'Retirement Calculator'!A:A,0),0),0)</f>
        <v>0</v>
      </c>
      <c r="K5940" s="444">
        <f t="shared" ca="1" si="216"/>
        <v>3577487108816.1284</v>
      </c>
      <c r="L5940" s="444">
        <f t="shared" ca="1" si="217"/>
        <v>862174393224687</v>
      </c>
      <c r="M5940" s="460">
        <f t="shared" si="219"/>
        <v>0.05</v>
      </c>
      <c r="N5940" s="464">
        <f t="shared" si="220"/>
        <v>231839</v>
      </c>
    </row>
    <row r="5941" spans="7:14" ht="11.25" customHeight="1" x14ac:dyDescent="0.3">
      <c r="G5941" s="459"/>
      <c r="H5941" s="459">
        <v>5934</v>
      </c>
      <c r="I5941" s="444">
        <f t="shared" ca="1" si="218"/>
        <v>862174393224687</v>
      </c>
      <c r="J5941" s="444">
        <f t="array" ref="J5941">IFERROR(INDEX('Retirement Calculator'!J:J,MATCH('Isaac 401k'!N5941,'Retirement Calculator'!A:A,0),0),0)</f>
        <v>0</v>
      </c>
      <c r="K5941" s="444">
        <f t="shared" ca="1" si="216"/>
        <v>3592393305102.8623</v>
      </c>
      <c r="L5941" s="444">
        <f t="shared" ca="1" si="217"/>
        <v>865766786529789.88</v>
      </c>
      <c r="M5941" s="460">
        <f t="shared" si="219"/>
        <v>0.05</v>
      </c>
      <c r="N5941" s="464">
        <f t="shared" si="220"/>
        <v>231870</v>
      </c>
    </row>
    <row r="5942" spans="7:14" ht="11.25" customHeight="1" x14ac:dyDescent="0.3">
      <c r="G5942" s="459"/>
      <c r="H5942" s="459">
        <v>5935</v>
      </c>
      <c r="I5942" s="444">
        <f t="shared" ca="1" si="218"/>
        <v>865766786529789.88</v>
      </c>
      <c r="J5942" s="444">
        <f t="array" ref="J5942">IFERROR(INDEX('Retirement Calculator'!J:J,MATCH('Isaac 401k'!N5942,'Retirement Calculator'!A:A,0),0),0)</f>
        <v>0</v>
      </c>
      <c r="K5942" s="444">
        <f t="shared" ca="1" si="216"/>
        <v>3607361610540.791</v>
      </c>
      <c r="L5942" s="444">
        <f t="shared" ca="1" si="217"/>
        <v>869374148140330.63</v>
      </c>
      <c r="M5942" s="460">
        <f t="shared" si="219"/>
        <v>0.05</v>
      </c>
      <c r="N5942" s="464">
        <f t="shared" si="220"/>
        <v>231900</v>
      </c>
    </row>
    <row r="5943" spans="7:14" ht="11.25" customHeight="1" x14ac:dyDescent="0.3">
      <c r="G5943" s="459"/>
      <c r="H5943" s="459">
        <v>5936</v>
      </c>
      <c r="I5943" s="444">
        <f t="shared" ca="1" si="218"/>
        <v>869374148140330.63</v>
      </c>
      <c r="J5943" s="444">
        <f t="array" ref="J5943">IFERROR(INDEX('Retirement Calculator'!J:J,MATCH('Isaac 401k'!N5943,'Retirement Calculator'!A:A,0),0),0)</f>
        <v>0</v>
      </c>
      <c r="K5943" s="444">
        <f t="shared" ca="1" si="216"/>
        <v>3622392283918.0444</v>
      </c>
      <c r="L5943" s="444">
        <f t="shared" ca="1" si="217"/>
        <v>872996540424248.63</v>
      </c>
      <c r="M5943" s="460">
        <f t="shared" si="219"/>
        <v>0.05</v>
      </c>
      <c r="N5943" s="464">
        <f t="shared" si="220"/>
        <v>231931</v>
      </c>
    </row>
    <row r="5944" spans="7:14" ht="11.25" customHeight="1" x14ac:dyDescent="0.3">
      <c r="G5944" s="459"/>
      <c r="H5944" s="459">
        <v>5937</v>
      </c>
      <c r="I5944" s="444">
        <f t="shared" ca="1" si="218"/>
        <v>872996540424248.63</v>
      </c>
      <c r="J5944" s="444">
        <f t="array" ref="J5944">IFERROR(INDEX('Retirement Calculator'!J:J,MATCH('Isaac 401k'!N5944,'Retirement Calculator'!A:A,0),0),0)</f>
        <v>0</v>
      </c>
      <c r="K5944" s="444">
        <f t="shared" ca="1" si="216"/>
        <v>3637485585101.0356</v>
      </c>
      <c r="L5944" s="444">
        <f t="shared" ca="1" si="217"/>
        <v>876634026009349.63</v>
      </c>
      <c r="M5944" s="460">
        <f t="shared" si="219"/>
        <v>0.05</v>
      </c>
      <c r="N5944" s="464">
        <f t="shared" si="220"/>
        <v>231962</v>
      </c>
    </row>
    <row r="5945" spans="7:14" ht="11.25" customHeight="1" x14ac:dyDescent="0.3">
      <c r="G5945" s="459"/>
      <c r="H5945" s="459">
        <v>5938</v>
      </c>
      <c r="I5945" s="444">
        <f t="shared" ca="1" si="218"/>
        <v>876634026009349.63</v>
      </c>
      <c r="J5945" s="444">
        <f t="array" ref="J5945">IFERROR(INDEX('Retirement Calculator'!J:J,MATCH('Isaac 401k'!N5945,'Retirement Calculator'!A:A,0),0),0)</f>
        <v>0</v>
      </c>
      <c r="K5945" s="444">
        <f t="shared" ca="1" si="216"/>
        <v>3652641775038.9565</v>
      </c>
      <c r="L5945" s="444">
        <f t="shared" ca="1" si="217"/>
        <v>880286667784388.63</v>
      </c>
      <c r="M5945" s="460">
        <f t="shared" si="219"/>
        <v>0.05</v>
      </c>
      <c r="N5945" s="464">
        <f t="shared" si="220"/>
        <v>231990</v>
      </c>
    </row>
    <row r="5946" spans="7:14" ht="11.25" customHeight="1" x14ac:dyDescent="0.3">
      <c r="G5946" s="459"/>
      <c r="H5946" s="459">
        <v>5939</v>
      </c>
      <c r="I5946" s="444">
        <f t="shared" ca="1" si="218"/>
        <v>880286667784388.63</v>
      </c>
      <c r="J5946" s="444">
        <f t="array" ref="J5946">IFERROR(INDEX('Retirement Calculator'!J:J,MATCH('Isaac 401k'!N5946,'Retirement Calculator'!A:A,0),0),0)</f>
        <v>0</v>
      </c>
      <c r="K5946" s="444">
        <f t="shared" ca="1" si="216"/>
        <v>3667861115768.2856</v>
      </c>
      <c r="L5946" s="444">
        <f t="shared" ca="1" si="217"/>
        <v>883954528900156.88</v>
      </c>
      <c r="M5946" s="460">
        <f t="shared" si="219"/>
        <v>0.05</v>
      </c>
      <c r="N5946" s="464">
        <f t="shared" si="220"/>
        <v>232021</v>
      </c>
    </row>
    <row r="5947" spans="7:14" ht="11.25" customHeight="1" x14ac:dyDescent="0.3">
      <c r="G5947" s="459"/>
      <c r="H5947" s="459">
        <v>5940</v>
      </c>
      <c r="I5947" s="444">
        <f t="shared" ca="1" si="218"/>
        <v>883954528900156.88</v>
      </c>
      <c r="J5947" s="444">
        <f t="array" ref="J5947">IFERROR(INDEX('Retirement Calculator'!J:J,MATCH('Isaac 401k'!N5947,'Retirement Calculator'!A:A,0),0),0)</f>
        <v>0</v>
      </c>
      <c r="K5947" s="444">
        <f t="shared" ca="1" si="216"/>
        <v>3683143870417.3203</v>
      </c>
      <c r="L5947" s="444">
        <f t="shared" ca="1" si="217"/>
        <v>887637672770574.25</v>
      </c>
      <c r="M5947" s="460">
        <f t="shared" si="219"/>
        <v>0.05</v>
      </c>
      <c r="N5947" s="464">
        <f t="shared" si="220"/>
        <v>232051</v>
      </c>
    </row>
    <row r="5948" spans="7:14" ht="11.25" customHeight="1" x14ac:dyDescent="0.3">
      <c r="G5948" s="459"/>
      <c r="H5948" s="459">
        <v>5941</v>
      </c>
      <c r="I5948" s="444">
        <f t="shared" ca="1" si="218"/>
        <v>887637672770574.25</v>
      </c>
      <c r="J5948" s="444">
        <f t="array" ref="J5948">IFERROR(INDEX('Retirement Calculator'!J:J,MATCH('Isaac 401k'!N5948,'Retirement Calculator'!A:A,0),0),0)</f>
        <v>0</v>
      </c>
      <c r="K5948" s="444">
        <f t="shared" ca="1" si="216"/>
        <v>3698490303210.7261</v>
      </c>
      <c r="L5948" s="444">
        <f t="shared" ca="1" si="217"/>
        <v>891336163073785</v>
      </c>
      <c r="M5948" s="460">
        <f t="shared" si="219"/>
        <v>0.05</v>
      </c>
      <c r="N5948" s="464">
        <f t="shared" si="220"/>
        <v>232082</v>
      </c>
    </row>
    <row r="5949" spans="7:14" ht="11.25" customHeight="1" x14ac:dyDescent="0.3">
      <c r="G5949" s="459"/>
      <c r="H5949" s="459">
        <v>5942</v>
      </c>
      <c r="I5949" s="444">
        <f t="shared" ca="1" si="218"/>
        <v>891336163073785</v>
      </c>
      <c r="J5949" s="444">
        <f t="array" ref="J5949">IFERROR(INDEX('Retirement Calculator'!J:J,MATCH('Isaac 401k'!N5949,'Retirement Calculator'!A:A,0),0),0)</f>
        <v>0</v>
      </c>
      <c r="K5949" s="444">
        <f t="shared" ca="1" si="216"/>
        <v>3713900679474.104</v>
      </c>
      <c r="L5949" s="444">
        <f t="shared" ca="1" si="217"/>
        <v>895050063753259.13</v>
      </c>
      <c r="M5949" s="460">
        <f t="shared" si="219"/>
        <v>0.05</v>
      </c>
      <c r="N5949" s="464">
        <f t="shared" si="220"/>
        <v>232112</v>
      </c>
    </row>
    <row r="5950" spans="7:14" ht="11.25" customHeight="1" x14ac:dyDescent="0.3">
      <c r="G5950" s="459"/>
      <c r="H5950" s="459">
        <v>5943</v>
      </c>
      <c r="I5950" s="444">
        <f t="shared" ca="1" si="218"/>
        <v>895050063753259.13</v>
      </c>
      <c r="J5950" s="444">
        <f t="array" ref="J5950">IFERROR(INDEX('Retirement Calculator'!J:J,MATCH('Isaac 401k'!N5950,'Retirement Calculator'!A:A,0),0),0)</f>
        <v>0</v>
      </c>
      <c r="K5950" s="444">
        <f t="shared" ca="1" si="216"/>
        <v>3729375265638.5791</v>
      </c>
      <c r="L5950" s="444">
        <f t="shared" ca="1" si="217"/>
        <v>898779439018897.75</v>
      </c>
      <c r="M5950" s="460">
        <f t="shared" si="219"/>
        <v>0.05</v>
      </c>
      <c r="N5950" s="464">
        <f t="shared" si="220"/>
        <v>232143</v>
      </c>
    </row>
    <row r="5951" spans="7:14" ht="11.25" customHeight="1" x14ac:dyDescent="0.3">
      <c r="G5951" s="459"/>
      <c r="H5951" s="459">
        <v>5944</v>
      </c>
      <c r="I5951" s="444">
        <f t="shared" ca="1" si="218"/>
        <v>898779439018897.75</v>
      </c>
      <c r="J5951" s="444">
        <f t="array" ref="J5951">IFERROR(INDEX('Retirement Calculator'!J:J,MATCH('Isaac 401k'!N5951,'Retirement Calculator'!A:A,0),0),0)</f>
        <v>0</v>
      </c>
      <c r="K5951" s="444">
        <f t="shared" ca="1" si="216"/>
        <v>3744914329245.4077</v>
      </c>
      <c r="L5951" s="444">
        <f t="shared" ca="1" si="217"/>
        <v>902524353348143.13</v>
      </c>
      <c r="M5951" s="460">
        <f t="shared" si="219"/>
        <v>0.05</v>
      </c>
      <c r="N5951" s="464">
        <f t="shared" si="220"/>
        <v>232174</v>
      </c>
    </row>
    <row r="5952" spans="7:14" ht="11.25" customHeight="1" x14ac:dyDescent="0.3">
      <c r="G5952" s="459"/>
      <c r="H5952" s="459">
        <v>5945</v>
      </c>
      <c r="I5952" s="444">
        <f t="shared" ca="1" si="218"/>
        <v>902524353348143.13</v>
      </c>
      <c r="J5952" s="444">
        <f t="array" ref="J5952">IFERROR(INDEX('Retirement Calculator'!J:J,MATCH('Isaac 401k'!N5952,'Retirement Calculator'!A:A,0),0),0)</f>
        <v>0</v>
      </c>
      <c r="K5952" s="444">
        <f t="shared" ca="1" si="216"/>
        <v>3760518138950.5962</v>
      </c>
      <c r="L5952" s="444">
        <f t="shared" ca="1" si="217"/>
        <v>906284871487093.75</v>
      </c>
      <c r="M5952" s="460">
        <f t="shared" si="219"/>
        <v>0.05</v>
      </c>
      <c r="N5952" s="464">
        <f t="shared" si="220"/>
        <v>232204</v>
      </c>
    </row>
    <row r="5953" spans="7:14" ht="11.25" customHeight="1" x14ac:dyDescent="0.3">
      <c r="G5953" s="459"/>
      <c r="H5953" s="459">
        <v>5946</v>
      </c>
      <c r="I5953" s="444">
        <f t="shared" ca="1" si="218"/>
        <v>906284871487093.75</v>
      </c>
      <c r="J5953" s="444">
        <f t="array" ref="J5953">IFERROR(INDEX('Retirement Calculator'!J:J,MATCH('Isaac 401k'!N5953,'Retirement Calculator'!A:A,0),0),0)</f>
        <v>0</v>
      </c>
      <c r="K5953" s="444">
        <f t="shared" ca="1" si="216"/>
        <v>3776186964529.5571</v>
      </c>
      <c r="L5953" s="444">
        <f t="shared" ca="1" si="217"/>
        <v>910061058451623.25</v>
      </c>
      <c r="M5953" s="460">
        <f t="shared" si="219"/>
        <v>0.05</v>
      </c>
      <c r="N5953" s="464">
        <f t="shared" si="220"/>
        <v>232235</v>
      </c>
    </row>
    <row r="5954" spans="7:14" ht="11.25" customHeight="1" x14ac:dyDescent="0.3">
      <c r="G5954" s="459"/>
      <c r="H5954" s="459">
        <v>5947</v>
      </c>
      <c r="I5954" s="444">
        <f t="shared" ca="1" si="218"/>
        <v>910061058451623.25</v>
      </c>
      <c r="J5954" s="444">
        <f t="array" ref="J5954">IFERROR(INDEX('Retirement Calculator'!J:J,MATCH('Isaac 401k'!N5954,'Retirement Calculator'!A:A,0),0),0)</f>
        <v>0</v>
      </c>
      <c r="K5954" s="444">
        <f t="shared" ca="1" si="216"/>
        <v>3791921076881.7632</v>
      </c>
      <c r="L5954" s="444">
        <f t="shared" ca="1" si="217"/>
        <v>913852979528505</v>
      </c>
      <c r="M5954" s="460">
        <f t="shared" si="219"/>
        <v>0.05</v>
      </c>
      <c r="N5954" s="464">
        <f t="shared" si="220"/>
        <v>232265</v>
      </c>
    </row>
    <row r="5955" spans="7:14" ht="11.25" customHeight="1" x14ac:dyDescent="0.3">
      <c r="G5955" s="459"/>
      <c r="H5955" s="459">
        <v>5948</v>
      </c>
      <c r="I5955" s="444">
        <f t="shared" ca="1" si="218"/>
        <v>913852979528505</v>
      </c>
      <c r="J5955" s="444">
        <f t="array" ref="J5955">IFERROR(INDEX('Retirement Calculator'!J:J,MATCH('Isaac 401k'!N5955,'Retirement Calculator'!A:A,0),0),0)</f>
        <v>0</v>
      </c>
      <c r="K5955" s="444">
        <f t="shared" ca="1" si="216"/>
        <v>3807720748035.4375</v>
      </c>
      <c r="L5955" s="444">
        <f t="shared" ca="1" si="217"/>
        <v>917660700276540.5</v>
      </c>
      <c r="M5955" s="460">
        <f t="shared" si="219"/>
        <v>0.05</v>
      </c>
      <c r="N5955" s="464">
        <f t="shared" si="220"/>
        <v>232296</v>
      </c>
    </row>
    <row r="5956" spans="7:14" ht="11.25" customHeight="1" x14ac:dyDescent="0.3">
      <c r="G5956" s="459"/>
      <c r="H5956" s="459">
        <v>5949</v>
      </c>
      <c r="I5956" s="444">
        <f t="shared" ca="1" si="218"/>
        <v>917660700276540.5</v>
      </c>
      <c r="J5956" s="444">
        <f t="array" ref="J5956">IFERROR(INDEX('Retirement Calculator'!J:J,MATCH('Isaac 401k'!N5956,'Retirement Calculator'!A:A,0),0),0)</f>
        <v>0</v>
      </c>
      <c r="K5956" s="444">
        <f t="shared" ca="1" si="216"/>
        <v>3823586251152.252</v>
      </c>
      <c r="L5956" s="444">
        <f t="shared" ca="1" si="217"/>
        <v>921484286527692.75</v>
      </c>
      <c r="M5956" s="460">
        <f t="shared" si="219"/>
        <v>0.05</v>
      </c>
      <c r="N5956" s="464">
        <f t="shared" si="220"/>
        <v>232327</v>
      </c>
    </row>
    <row r="5957" spans="7:14" ht="11.25" customHeight="1" x14ac:dyDescent="0.3">
      <c r="G5957" s="459"/>
      <c r="H5957" s="459">
        <v>5950</v>
      </c>
      <c r="I5957" s="444">
        <f t="shared" ca="1" si="218"/>
        <v>921484286527692.75</v>
      </c>
      <c r="J5957" s="444">
        <f t="array" ref="J5957">IFERROR(INDEX('Retirement Calculator'!J:J,MATCH('Isaac 401k'!N5957,'Retirement Calculator'!A:A,0),0),0)</f>
        <v>0</v>
      </c>
      <c r="K5957" s="444">
        <f t="shared" ca="1" si="216"/>
        <v>3839517860532.0532</v>
      </c>
      <c r="L5957" s="444">
        <f t="shared" ca="1" si="217"/>
        <v>925323804388224.75</v>
      </c>
      <c r="M5957" s="460">
        <f t="shared" si="219"/>
        <v>0.05</v>
      </c>
      <c r="N5957" s="464">
        <f t="shared" si="220"/>
        <v>232356</v>
      </c>
    </row>
    <row r="5958" spans="7:14" ht="11.25" customHeight="1" x14ac:dyDescent="0.3">
      <c r="G5958" s="459"/>
      <c r="H5958" s="459">
        <v>5951</v>
      </c>
      <c r="I5958" s="444">
        <f t="shared" ca="1" si="218"/>
        <v>925323804388224.75</v>
      </c>
      <c r="J5958" s="444">
        <f t="array" ref="J5958">IFERROR(INDEX('Retirement Calculator'!J:J,MATCH('Isaac 401k'!N5958,'Retirement Calculator'!A:A,0),0),0)</f>
        <v>0</v>
      </c>
      <c r="K5958" s="444">
        <f t="shared" ca="1" si="216"/>
        <v>3855515851617.603</v>
      </c>
      <c r="L5958" s="444">
        <f t="shared" ca="1" si="217"/>
        <v>929179320239842.38</v>
      </c>
      <c r="M5958" s="460">
        <f t="shared" si="219"/>
        <v>0.05</v>
      </c>
      <c r="N5958" s="464">
        <f t="shared" si="220"/>
        <v>232387</v>
      </c>
    </row>
    <row r="5959" spans="7:14" ht="11.25" customHeight="1" x14ac:dyDescent="0.3">
      <c r="G5959" s="459"/>
      <c r="H5959" s="459">
        <v>5952</v>
      </c>
      <c r="I5959" s="444">
        <f t="shared" ca="1" si="218"/>
        <v>929179320239842.38</v>
      </c>
      <c r="J5959" s="444">
        <f t="array" ref="J5959">IFERROR(INDEX('Retirement Calculator'!J:J,MATCH('Isaac 401k'!N5959,'Retirement Calculator'!A:A,0),0),0)</f>
        <v>0</v>
      </c>
      <c r="K5959" s="444">
        <f t="shared" ca="1" si="216"/>
        <v>3871580500999.3428</v>
      </c>
      <c r="L5959" s="444">
        <f t="shared" ca="1" si="217"/>
        <v>933050900740841.75</v>
      </c>
      <c r="M5959" s="460">
        <f t="shared" si="219"/>
        <v>0.05</v>
      </c>
      <c r="N5959" s="464">
        <f t="shared" si="220"/>
        <v>232417</v>
      </c>
    </row>
    <row r="5960" spans="7:14" ht="11.25" customHeight="1" x14ac:dyDescent="0.3">
      <c r="G5960" s="459"/>
      <c r="H5960" s="459">
        <v>5953</v>
      </c>
      <c r="I5960" s="444">
        <f t="shared" ca="1" si="218"/>
        <v>933050900740841.75</v>
      </c>
      <c r="J5960" s="444">
        <f t="array" ref="J5960">IFERROR(INDEX('Retirement Calculator'!J:J,MATCH('Isaac 401k'!N5960,'Retirement Calculator'!A:A,0),0),0)</f>
        <v>0</v>
      </c>
      <c r="K5960" s="444">
        <f t="shared" ca="1" si="216"/>
        <v>3887712086420.1738</v>
      </c>
      <c r="L5960" s="444">
        <f t="shared" ca="1" si="217"/>
        <v>936938612827261.88</v>
      </c>
      <c r="M5960" s="460">
        <f t="shared" si="219"/>
        <v>0.05</v>
      </c>
      <c r="N5960" s="464">
        <f t="shared" si="220"/>
        <v>232448</v>
      </c>
    </row>
    <row r="5961" spans="7:14" ht="11.25" customHeight="1" x14ac:dyDescent="0.3">
      <c r="G5961" s="459"/>
      <c r="H5961" s="459">
        <v>5954</v>
      </c>
      <c r="I5961" s="444">
        <f t="shared" ca="1" si="218"/>
        <v>936938612827261.88</v>
      </c>
      <c r="J5961" s="444">
        <f t="array" ref="J5961">IFERROR(INDEX('Retirement Calculator'!J:J,MATCH('Isaac 401k'!N5961,'Retirement Calculator'!A:A,0),0),0)</f>
        <v>0</v>
      </c>
      <c r="K5961" s="444">
        <f t="shared" ca="1" si="216"/>
        <v>3903910886780.2583</v>
      </c>
      <c r="L5961" s="444">
        <f t="shared" ca="1" si="217"/>
        <v>940842523714042.13</v>
      </c>
      <c r="M5961" s="460">
        <f t="shared" si="219"/>
        <v>0.05</v>
      </c>
      <c r="N5961" s="464">
        <f t="shared" si="220"/>
        <v>232478</v>
      </c>
    </row>
    <row r="5962" spans="7:14" ht="11.25" customHeight="1" x14ac:dyDescent="0.3">
      <c r="G5962" s="459"/>
      <c r="H5962" s="459">
        <v>5955</v>
      </c>
      <c r="I5962" s="444">
        <f t="shared" ca="1" si="218"/>
        <v>940842523714042.13</v>
      </c>
      <c r="J5962" s="444">
        <f t="array" ref="J5962">IFERROR(INDEX('Retirement Calculator'!J:J,MATCH('Isaac 401k'!N5962,'Retirement Calculator'!A:A,0),0),0)</f>
        <v>0</v>
      </c>
      <c r="K5962" s="444">
        <f t="shared" ca="1" si="216"/>
        <v>3920177182141.8423</v>
      </c>
      <c r="L5962" s="444">
        <f t="shared" ca="1" si="217"/>
        <v>944762700896184</v>
      </c>
      <c r="M5962" s="460">
        <f t="shared" si="219"/>
        <v>0.05</v>
      </c>
      <c r="N5962" s="464">
        <f t="shared" si="220"/>
        <v>232509</v>
      </c>
    </row>
    <row r="5963" spans="7:14" ht="11.25" customHeight="1" x14ac:dyDescent="0.3">
      <c r="G5963" s="459"/>
      <c r="H5963" s="459">
        <v>5956</v>
      </c>
      <c r="I5963" s="444">
        <f t="shared" ca="1" si="218"/>
        <v>944762700896184</v>
      </c>
      <c r="J5963" s="444">
        <f t="array" ref="J5963">IFERROR(INDEX('Retirement Calculator'!J:J,MATCH('Isaac 401k'!N5963,'Retirement Calculator'!A:A,0),0),0)</f>
        <v>0</v>
      </c>
      <c r="K5963" s="444">
        <f t="shared" ca="1" si="216"/>
        <v>3936511253734.0996</v>
      </c>
      <c r="L5963" s="444">
        <f t="shared" ca="1" si="217"/>
        <v>948699212149918.13</v>
      </c>
      <c r="M5963" s="460">
        <f t="shared" si="219"/>
        <v>0.05</v>
      </c>
      <c r="N5963" s="464">
        <f t="shared" si="220"/>
        <v>232540</v>
      </c>
    </row>
    <row r="5964" spans="7:14" ht="11.25" customHeight="1" x14ac:dyDescent="0.3">
      <c r="G5964" s="459"/>
      <c r="H5964" s="459">
        <v>5957</v>
      </c>
      <c r="I5964" s="444">
        <f t="shared" ca="1" si="218"/>
        <v>948699212149918.13</v>
      </c>
      <c r="J5964" s="444">
        <f t="array" ref="J5964">IFERROR(INDEX('Retirement Calculator'!J:J,MATCH('Isaac 401k'!N5964,'Retirement Calculator'!A:A,0),0),0)</f>
        <v>0</v>
      </c>
      <c r="K5964" s="444">
        <f t="shared" ca="1" si="216"/>
        <v>3952913383957.9922</v>
      </c>
      <c r="L5964" s="444">
        <f t="shared" ca="1" si="217"/>
        <v>952652125533876.13</v>
      </c>
      <c r="M5964" s="460">
        <f t="shared" si="219"/>
        <v>0.05</v>
      </c>
      <c r="N5964" s="464">
        <f t="shared" si="220"/>
        <v>232570</v>
      </c>
    </row>
    <row r="5965" spans="7:14" ht="11.25" customHeight="1" x14ac:dyDescent="0.3">
      <c r="G5965" s="459"/>
      <c r="H5965" s="459">
        <v>5958</v>
      </c>
      <c r="I5965" s="444">
        <f t="shared" ca="1" si="218"/>
        <v>952652125533876.13</v>
      </c>
      <c r="J5965" s="444">
        <f t="array" ref="J5965">IFERROR(INDEX('Retirement Calculator'!J:J,MATCH('Isaac 401k'!N5965,'Retirement Calculator'!A:A,0),0),0)</f>
        <v>0</v>
      </c>
      <c r="K5965" s="444">
        <f t="shared" ca="1" si="216"/>
        <v>3969383856391.1504</v>
      </c>
      <c r="L5965" s="444">
        <f t="shared" ca="1" si="217"/>
        <v>956621509390267.25</v>
      </c>
      <c r="M5965" s="460">
        <f t="shared" si="219"/>
        <v>0.05</v>
      </c>
      <c r="N5965" s="464">
        <f t="shared" si="220"/>
        <v>232601</v>
      </c>
    </row>
    <row r="5966" spans="7:14" ht="11.25" customHeight="1" x14ac:dyDescent="0.3">
      <c r="G5966" s="459"/>
      <c r="H5966" s="459">
        <v>5959</v>
      </c>
      <c r="I5966" s="444">
        <f t="shared" ca="1" si="218"/>
        <v>956621509390267.25</v>
      </c>
      <c r="J5966" s="444">
        <f t="array" ref="J5966">IFERROR(INDEX('Retirement Calculator'!J:J,MATCH('Isaac 401k'!N5966,'Retirement Calculator'!A:A,0),0),0)</f>
        <v>0</v>
      </c>
      <c r="K5966" s="444">
        <f t="shared" ca="1" si="216"/>
        <v>3985922955792.7798</v>
      </c>
      <c r="L5966" s="444">
        <f t="shared" ca="1" si="217"/>
        <v>960607432346060</v>
      </c>
      <c r="M5966" s="460">
        <f t="shared" si="219"/>
        <v>0.05</v>
      </c>
      <c r="N5966" s="464">
        <f t="shared" si="220"/>
        <v>232631</v>
      </c>
    </row>
    <row r="5967" spans="7:14" ht="11.25" customHeight="1" x14ac:dyDescent="0.3">
      <c r="G5967" s="459"/>
      <c r="H5967" s="459">
        <v>5960</v>
      </c>
      <c r="I5967" s="444">
        <f t="shared" ca="1" si="218"/>
        <v>960607432346060</v>
      </c>
      <c r="J5967" s="444">
        <f t="array" ref="J5967">IFERROR(INDEX('Retirement Calculator'!J:J,MATCH('Isaac 401k'!N5967,'Retirement Calculator'!A:A,0),0),0)</f>
        <v>0</v>
      </c>
      <c r="K5967" s="444">
        <f t="shared" ca="1" si="216"/>
        <v>4002530968108.5835</v>
      </c>
      <c r="L5967" s="444">
        <f t="shared" ca="1" si="217"/>
        <v>964609963314168.63</v>
      </c>
      <c r="M5967" s="460">
        <f t="shared" si="219"/>
        <v>0.05</v>
      </c>
      <c r="N5967" s="464">
        <f t="shared" si="220"/>
        <v>232662</v>
      </c>
    </row>
    <row r="5968" spans="7:14" ht="11.25" customHeight="1" x14ac:dyDescent="0.3">
      <c r="G5968" s="459"/>
      <c r="H5968" s="459">
        <v>5961</v>
      </c>
      <c r="I5968" s="444">
        <f t="shared" ca="1" si="218"/>
        <v>964609963314168.63</v>
      </c>
      <c r="J5968" s="444">
        <f t="array" ref="J5968">IFERROR(INDEX('Retirement Calculator'!J:J,MATCH('Isaac 401k'!N5968,'Retirement Calculator'!A:A,0),0),0)</f>
        <v>0</v>
      </c>
      <c r="K5968" s="444">
        <f t="shared" ca="1" si="216"/>
        <v>4019208180475.7026</v>
      </c>
      <c r="L5968" s="444">
        <f t="shared" ca="1" si="217"/>
        <v>968629171494644.38</v>
      </c>
      <c r="M5968" s="460">
        <f t="shared" si="219"/>
        <v>0.05</v>
      </c>
      <c r="N5968" s="464">
        <f t="shared" si="220"/>
        <v>232693</v>
      </c>
    </row>
    <row r="5969" spans="7:14" ht="11.25" customHeight="1" x14ac:dyDescent="0.3">
      <c r="G5969" s="459"/>
      <c r="H5969" s="459">
        <v>5962</v>
      </c>
      <c r="I5969" s="444">
        <f t="shared" ca="1" si="218"/>
        <v>968629171494644.38</v>
      </c>
      <c r="J5969" s="444">
        <f t="array" ref="J5969">IFERROR(INDEX('Retirement Calculator'!J:J,MATCH('Isaac 401k'!N5969,'Retirement Calculator'!A:A,0),0),0)</f>
        <v>0</v>
      </c>
      <c r="K5969" s="444">
        <f t="shared" ca="1" si="216"/>
        <v>4035954881227.6841</v>
      </c>
      <c r="L5969" s="444">
        <f t="shared" ca="1" si="217"/>
        <v>972665126375872</v>
      </c>
      <c r="M5969" s="460">
        <f t="shared" si="219"/>
        <v>0.05</v>
      </c>
      <c r="N5969" s="464">
        <f t="shared" si="220"/>
        <v>232721</v>
      </c>
    </row>
    <row r="5970" spans="7:14" ht="11.25" customHeight="1" x14ac:dyDescent="0.3">
      <c r="G5970" s="459"/>
      <c r="H5970" s="459">
        <v>5963</v>
      </c>
      <c r="I5970" s="444">
        <f t="shared" ca="1" si="218"/>
        <v>972665126375872</v>
      </c>
      <c r="J5970" s="444">
        <f t="array" ref="J5970">IFERROR(INDEX('Retirement Calculator'!J:J,MATCH('Isaac 401k'!N5970,'Retirement Calculator'!A:A,0),0),0)</f>
        <v>0</v>
      </c>
      <c r="K5970" s="444">
        <f t="shared" ca="1" si="216"/>
        <v>4052771359899.4663</v>
      </c>
      <c r="L5970" s="444">
        <f t="shared" ca="1" si="217"/>
        <v>976717897735771.5</v>
      </c>
      <c r="M5970" s="460">
        <f t="shared" si="219"/>
        <v>0.05</v>
      </c>
      <c r="N5970" s="464">
        <f t="shared" si="220"/>
        <v>232752</v>
      </c>
    </row>
    <row r="5971" spans="7:14" ht="11.25" customHeight="1" x14ac:dyDescent="0.3">
      <c r="G5971" s="459"/>
      <c r="H5971" s="459">
        <v>5964</v>
      </c>
      <c r="I5971" s="444">
        <f t="shared" ca="1" si="218"/>
        <v>976717897735771.5</v>
      </c>
      <c r="J5971" s="444">
        <f t="array" ref="J5971">IFERROR(INDEX('Retirement Calculator'!J:J,MATCH('Isaac 401k'!N5971,'Retirement Calculator'!A:A,0),0),0)</f>
        <v>0</v>
      </c>
      <c r="K5971" s="444">
        <f t="shared" ca="1" si="216"/>
        <v>4069657907232.3818</v>
      </c>
      <c r="L5971" s="444">
        <f t="shared" ca="1" si="217"/>
        <v>980787555643003.88</v>
      </c>
      <c r="M5971" s="460">
        <f t="shared" si="219"/>
        <v>0.05</v>
      </c>
      <c r="N5971" s="464">
        <f t="shared" si="220"/>
        <v>232782</v>
      </c>
    </row>
    <row r="5972" spans="7:14" ht="11.25" customHeight="1" x14ac:dyDescent="0.3">
      <c r="G5972" s="459"/>
      <c r="H5972" s="459">
        <v>5965</v>
      </c>
      <c r="I5972" s="444">
        <f t="shared" ca="1" si="218"/>
        <v>980787555643003.88</v>
      </c>
      <c r="J5972" s="444">
        <f t="array" ref="J5972">IFERROR(INDEX('Retirement Calculator'!J:J,MATCH('Isaac 401k'!N5972,'Retirement Calculator'!A:A,0),0),0)</f>
        <v>0</v>
      </c>
      <c r="K5972" s="444">
        <f t="shared" ca="1" si="216"/>
        <v>4086614815179.1826</v>
      </c>
      <c r="L5972" s="444">
        <f t="shared" ca="1" si="217"/>
        <v>984874170458183</v>
      </c>
      <c r="M5972" s="460">
        <f t="shared" si="219"/>
        <v>0.05</v>
      </c>
      <c r="N5972" s="464">
        <f t="shared" si="220"/>
        <v>232813</v>
      </c>
    </row>
    <row r="5973" spans="7:14" ht="11.25" customHeight="1" x14ac:dyDescent="0.3">
      <c r="G5973" s="459"/>
      <c r="H5973" s="459">
        <v>5966</v>
      </c>
      <c r="I5973" s="444">
        <f t="shared" ca="1" si="218"/>
        <v>984874170458183</v>
      </c>
      <c r="J5973" s="444">
        <f t="array" ref="J5973">IFERROR(INDEX('Retirement Calculator'!J:J,MATCH('Isaac 401k'!N5973,'Retirement Calculator'!A:A,0),0),0)</f>
        <v>0</v>
      </c>
      <c r="K5973" s="444">
        <f t="shared" ca="1" si="216"/>
        <v>4103642376909.0952</v>
      </c>
      <c r="L5973" s="444">
        <f t="shared" ca="1" si="217"/>
        <v>988977812835092.13</v>
      </c>
      <c r="M5973" s="460">
        <f t="shared" si="219"/>
        <v>0.05</v>
      </c>
      <c r="N5973" s="464">
        <f t="shared" si="220"/>
        <v>232843</v>
      </c>
    </row>
    <row r="5974" spans="7:14" ht="11.25" customHeight="1" x14ac:dyDescent="0.3">
      <c r="G5974" s="459"/>
      <c r="H5974" s="459">
        <v>5967</v>
      </c>
      <c r="I5974" s="444">
        <f t="shared" ca="1" si="218"/>
        <v>988977812835092.13</v>
      </c>
      <c r="J5974" s="444">
        <f t="array" ref="J5974">IFERROR(INDEX('Retirement Calculator'!J:J,MATCH('Isaac 401k'!N5974,'Retirement Calculator'!A:A,0),0),0)</f>
        <v>0</v>
      </c>
      <c r="K5974" s="444">
        <f t="shared" ca="1" si="216"/>
        <v>4120740886812.8838</v>
      </c>
      <c r="L5974" s="444">
        <f t="shared" ca="1" si="217"/>
        <v>993098553721905</v>
      </c>
      <c r="M5974" s="460">
        <f t="shared" si="219"/>
        <v>0.05</v>
      </c>
      <c r="N5974" s="464">
        <f t="shared" si="220"/>
        <v>232874</v>
      </c>
    </row>
    <row r="5975" spans="7:14" ht="11.25" customHeight="1" x14ac:dyDescent="0.3">
      <c r="G5975" s="459"/>
      <c r="H5975" s="459">
        <v>5968</v>
      </c>
      <c r="I5975" s="444">
        <f t="shared" ca="1" si="218"/>
        <v>993098553721905</v>
      </c>
      <c r="J5975" s="444">
        <f t="array" ref="J5975">IFERROR(INDEX('Retirement Calculator'!J:J,MATCH('Isaac 401k'!N5975,'Retirement Calculator'!A:A,0),0),0)</f>
        <v>0</v>
      </c>
      <c r="K5975" s="444">
        <f t="shared" ca="1" si="216"/>
        <v>4137910640507.938</v>
      </c>
      <c r="L5975" s="444">
        <f t="shared" ca="1" si="217"/>
        <v>997236464362413</v>
      </c>
      <c r="M5975" s="460">
        <f t="shared" si="219"/>
        <v>0.05</v>
      </c>
      <c r="N5975" s="464">
        <f t="shared" si="220"/>
        <v>232905</v>
      </c>
    </row>
    <row r="5976" spans="7:14" ht="11.25" customHeight="1" x14ac:dyDescent="0.3">
      <c r="G5976" s="459"/>
      <c r="H5976" s="459">
        <v>5969</v>
      </c>
      <c r="I5976" s="444">
        <f t="shared" ca="1" si="218"/>
        <v>997236464362413</v>
      </c>
      <c r="J5976" s="444">
        <f t="array" ref="J5976">IFERROR(INDEX('Retirement Calculator'!J:J,MATCH('Isaac 401k'!N5976,'Retirement Calculator'!A:A,0),0),0)</f>
        <v>0</v>
      </c>
      <c r="K5976" s="444">
        <f t="shared" ca="1" si="216"/>
        <v>4155151934843.3872</v>
      </c>
      <c r="L5976" s="444">
        <f t="shared" ca="1" si="217"/>
        <v>1001391616297256.4</v>
      </c>
      <c r="M5976" s="460">
        <f t="shared" si="219"/>
        <v>0.05</v>
      </c>
      <c r="N5976" s="464">
        <f t="shared" si="220"/>
        <v>232935</v>
      </c>
    </row>
    <row r="5977" spans="7:14" ht="11.25" customHeight="1" x14ac:dyDescent="0.3">
      <c r="G5977" s="459"/>
      <c r="H5977" s="459">
        <v>5970</v>
      </c>
      <c r="I5977" s="444">
        <f t="shared" ca="1" si="218"/>
        <v>1001391616297256.4</v>
      </c>
      <c r="J5977" s="444">
        <f t="array" ref="J5977">IFERROR(INDEX('Retirement Calculator'!J:J,MATCH('Isaac 401k'!N5977,'Retirement Calculator'!A:A,0),0),0)</f>
        <v>0</v>
      </c>
      <c r="K5977" s="444">
        <f t="shared" ca="1" si="216"/>
        <v>4172465067905.2349</v>
      </c>
      <c r="L5977" s="444">
        <f t="shared" ca="1" si="217"/>
        <v>1005564081365161.6</v>
      </c>
      <c r="M5977" s="460">
        <f t="shared" si="219"/>
        <v>0.05</v>
      </c>
      <c r="N5977" s="464">
        <f t="shared" si="220"/>
        <v>232966</v>
      </c>
    </row>
    <row r="5978" spans="7:14" ht="11.25" customHeight="1" x14ac:dyDescent="0.3">
      <c r="G5978" s="459"/>
      <c r="H5978" s="459">
        <v>5971</v>
      </c>
      <c r="I5978" s="444">
        <f t="shared" ca="1" si="218"/>
        <v>1005564081365161.6</v>
      </c>
      <c r="J5978" s="444">
        <f t="array" ref="J5978">IFERROR(INDEX('Retirement Calculator'!J:J,MATCH('Isaac 401k'!N5978,'Retirement Calculator'!A:A,0),0),0)</f>
        <v>0</v>
      </c>
      <c r="K5978" s="444">
        <f t="shared" ca="1" si="216"/>
        <v>4189850339021.5068</v>
      </c>
      <c r="L5978" s="444">
        <f t="shared" ca="1" si="217"/>
        <v>1009753931704183.1</v>
      </c>
      <c r="M5978" s="460">
        <f t="shared" si="219"/>
        <v>0.05</v>
      </c>
      <c r="N5978" s="464">
        <f t="shared" si="220"/>
        <v>232996</v>
      </c>
    </row>
    <row r="5979" spans="7:14" ht="11.25" customHeight="1" x14ac:dyDescent="0.3">
      <c r="G5979" s="459"/>
      <c r="H5979" s="459">
        <v>5972</v>
      </c>
      <c r="I5979" s="444">
        <f t="shared" ca="1" si="218"/>
        <v>1009753931704183.1</v>
      </c>
      <c r="J5979" s="444">
        <f t="array" ref="J5979">IFERROR(INDEX('Retirement Calculator'!J:J,MATCH('Isaac 401k'!N5979,'Retirement Calculator'!A:A,0),0),0)</f>
        <v>0</v>
      </c>
      <c r="K5979" s="444">
        <f t="shared" ca="1" si="216"/>
        <v>4207308048767.4297</v>
      </c>
      <c r="L5979" s="444">
        <f t="shared" ca="1" si="217"/>
        <v>1013961239752950.5</v>
      </c>
      <c r="M5979" s="460">
        <f t="shared" si="219"/>
        <v>0.05</v>
      </c>
      <c r="N5979" s="464">
        <f t="shared" si="220"/>
        <v>233027</v>
      </c>
    </row>
    <row r="5980" spans="7:14" ht="11.25" customHeight="1" x14ac:dyDescent="0.3">
      <c r="G5980" s="459"/>
      <c r="H5980" s="459">
        <v>5973</v>
      </c>
      <c r="I5980" s="444">
        <f t="shared" ca="1" si="218"/>
        <v>1013961239752950.5</v>
      </c>
      <c r="J5980" s="444">
        <f t="array" ref="J5980">IFERROR(INDEX('Retirement Calculator'!J:J,MATCH('Isaac 401k'!N5980,'Retirement Calculator'!A:A,0),0),0)</f>
        <v>0</v>
      </c>
      <c r="K5980" s="444">
        <f t="shared" ca="1" si="216"/>
        <v>4224838498970.627</v>
      </c>
      <c r="L5980" s="444">
        <f t="shared" ca="1" si="217"/>
        <v>1018186078251921.1</v>
      </c>
      <c r="M5980" s="460">
        <f t="shared" si="219"/>
        <v>0.05</v>
      </c>
      <c r="N5980" s="464">
        <f t="shared" si="220"/>
        <v>233058</v>
      </c>
    </row>
    <row r="5981" spans="7:14" ht="11.25" customHeight="1" x14ac:dyDescent="0.3">
      <c r="G5981" s="459"/>
      <c r="H5981" s="459">
        <v>5974</v>
      </c>
      <c r="I5981" s="444">
        <f t="shared" ca="1" si="218"/>
        <v>1018186078251921.1</v>
      </c>
      <c r="J5981" s="444">
        <f t="array" ref="J5981">IFERROR(INDEX('Retirement Calculator'!J:J,MATCH('Isaac 401k'!N5981,'Retirement Calculator'!A:A,0),0),0)</f>
        <v>0</v>
      </c>
      <c r="K5981" s="444">
        <f t="shared" ca="1" si="216"/>
        <v>4242441992716.3379</v>
      </c>
      <c r="L5981" s="444">
        <f t="shared" ca="1" si="217"/>
        <v>1022428520244637.5</v>
      </c>
      <c r="M5981" s="460">
        <f t="shared" si="219"/>
        <v>0.05</v>
      </c>
      <c r="N5981" s="464">
        <f t="shared" si="220"/>
        <v>233086</v>
      </c>
    </row>
    <row r="5982" spans="7:14" ht="11.25" customHeight="1" x14ac:dyDescent="0.3">
      <c r="G5982" s="459"/>
      <c r="H5982" s="459">
        <v>5975</v>
      </c>
      <c r="I5982" s="444">
        <f t="shared" ca="1" si="218"/>
        <v>1022428520244637.5</v>
      </c>
      <c r="J5982" s="444">
        <f t="array" ref="J5982">IFERROR(INDEX('Retirement Calculator'!J:J,MATCH('Isaac 401k'!N5982,'Retirement Calculator'!A:A,0),0),0)</f>
        <v>0</v>
      </c>
      <c r="K5982" s="444">
        <f t="shared" ca="1" si="216"/>
        <v>4260118834352.6563</v>
      </c>
      <c r="L5982" s="444">
        <f t="shared" ca="1" si="217"/>
        <v>1026688639078990.1</v>
      </c>
      <c r="M5982" s="460">
        <f t="shared" si="219"/>
        <v>0.05</v>
      </c>
      <c r="N5982" s="464">
        <f t="shared" si="220"/>
        <v>233117</v>
      </c>
    </row>
    <row r="5983" spans="7:14" ht="11.25" customHeight="1" x14ac:dyDescent="0.3">
      <c r="G5983" s="459"/>
      <c r="H5983" s="459">
        <v>5976</v>
      </c>
      <c r="I5983" s="444">
        <f t="shared" ca="1" si="218"/>
        <v>1026688639078990.1</v>
      </c>
      <c r="J5983" s="444">
        <f t="array" ref="J5983">IFERROR(INDEX('Retirement Calculator'!J:J,MATCH('Isaac 401k'!N5983,'Retirement Calculator'!A:A,0),0),0)</f>
        <v>0</v>
      </c>
      <c r="K5983" s="444">
        <f t="shared" ca="1" si="216"/>
        <v>4277869329495.792</v>
      </c>
      <c r="L5983" s="444">
        <f t="shared" ca="1" si="217"/>
        <v>1030966508408485.9</v>
      </c>
      <c r="M5983" s="460">
        <f t="shared" si="219"/>
        <v>0.05</v>
      </c>
      <c r="N5983" s="464">
        <f t="shared" si="220"/>
        <v>233147</v>
      </c>
    </row>
    <row r="5984" spans="7:14" ht="11.25" customHeight="1" x14ac:dyDescent="0.3">
      <c r="G5984" s="459"/>
      <c r="H5984" s="459">
        <v>5977</v>
      </c>
      <c r="I5984" s="444">
        <f t="shared" ca="1" si="218"/>
        <v>1030966508408485.9</v>
      </c>
      <c r="J5984" s="444">
        <f t="array" ref="J5984">IFERROR(INDEX('Retirement Calculator'!J:J,MATCH('Isaac 401k'!N5984,'Retirement Calculator'!A:A,0),0),0)</f>
        <v>0</v>
      </c>
      <c r="K5984" s="444">
        <f t="shared" ca="1" si="216"/>
        <v>4295693785035.3579</v>
      </c>
      <c r="L5984" s="444">
        <f t="shared" ca="1" si="217"/>
        <v>1035262202193521.3</v>
      </c>
      <c r="M5984" s="460">
        <f t="shared" si="219"/>
        <v>0.05</v>
      </c>
      <c r="N5984" s="464">
        <f t="shared" si="220"/>
        <v>233178</v>
      </c>
    </row>
    <row r="5985" spans="7:14" ht="11.25" customHeight="1" x14ac:dyDescent="0.3">
      <c r="G5985" s="459"/>
      <c r="H5985" s="459">
        <v>5978</v>
      </c>
      <c r="I5985" s="444">
        <f t="shared" ca="1" si="218"/>
        <v>1035262202193521.3</v>
      </c>
      <c r="J5985" s="444">
        <f t="array" ref="J5985">IFERROR(INDEX('Retirement Calculator'!J:J,MATCH('Isaac 401k'!N5985,'Retirement Calculator'!A:A,0),0),0)</f>
        <v>0</v>
      </c>
      <c r="K5985" s="444">
        <f t="shared" ca="1" si="216"/>
        <v>4313592509139.6719</v>
      </c>
      <c r="L5985" s="444">
        <f t="shared" ca="1" si="217"/>
        <v>1039575794702660.9</v>
      </c>
      <c r="M5985" s="460">
        <f t="shared" si="219"/>
        <v>0.05</v>
      </c>
      <c r="N5985" s="464">
        <f t="shared" si="220"/>
        <v>233208</v>
      </c>
    </row>
    <row r="5986" spans="7:14" ht="11.25" customHeight="1" x14ac:dyDescent="0.3">
      <c r="G5986" s="459"/>
      <c r="H5986" s="459">
        <v>5979</v>
      </c>
      <c r="I5986" s="444">
        <f t="shared" ca="1" si="218"/>
        <v>1039575794702660.9</v>
      </c>
      <c r="J5986" s="444">
        <f t="array" ref="J5986">IFERROR(INDEX('Retirement Calculator'!J:J,MATCH('Isaac 401k'!N5986,'Retirement Calculator'!A:A,0),0),0)</f>
        <v>0</v>
      </c>
      <c r="K5986" s="444">
        <f t="shared" ca="1" si="216"/>
        <v>4331565811261.0869</v>
      </c>
      <c r="L5986" s="444">
        <f t="shared" ca="1" si="217"/>
        <v>1043907360513922</v>
      </c>
      <c r="M5986" s="460">
        <f t="shared" si="219"/>
        <v>0.05</v>
      </c>
      <c r="N5986" s="464">
        <f t="shared" si="220"/>
        <v>233239</v>
      </c>
    </row>
    <row r="5987" spans="7:14" ht="11.25" customHeight="1" x14ac:dyDescent="0.3">
      <c r="G5987" s="459"/>
      <c r="H5987" s="459">
        <v>5980</v>
      </c>
      <c r="I5987" s="444">
        <f t="shared" ca="1" si="218"/>
        <v>1043907360513922</v>
      </c>
      <c r="J5987" s="444">
        <f t="array" ref="J5987">IFERROR(INDEX('Retirement Calculator'!J:J,MATCH('Isaac 401k'!N5987,'Retirement Calculator'!A:A,0),0),0)</f>
        <v>0</v>
      </c>
      <c r="K5987" s="444">
        <f t="shared" ca="1" si="216"/>
        <v>4349614002141.3418</v>
      </c>
      <c r="L5987" s="444">
        <f t="shared" ca="1" si="217"/>
        <v>1048256974516063.4</v>
      </c>
      <c r="M5987" s="460">
        <f t="shared" si="219"/>
        <v>0.05</v>
      </c>
      <c r="N5987" s="464">
        <f t="shared" si="220"/>
        <v>233270</v>
      </c>
    </row>
    <row r="5988" spans="7:14" ht="11.25" customHeight="1" x14ac:dyDescent="0.3">
      <c r="G5988" s="459"/>
      <c r="H5988" s="459">
        <v>5981</v>
      </c>
      <c r="I5988" s="444">
        <f t="shared" ca="1" si="218"/>
        <v>1048256974516063.4</v>
      </c>
      <c r="J5988" s="444">
        <f t="array" ref="J5988">IFERROR(INDEX('Retirement Calculator'!J:J,MATCH('Isaac 401k'!N5988,'Retirement Calculator'!A:A,0),0),0)</f>
        <v>0</v>
      </c>
      <c r="K5988" s="444">
        <f t="shared" ca="1" si="216"/>
        <v>4367737393816.9307</v>
      </c>
      <c r="L5988" s="444">
        <f t="shared" ca="1" si="217"/>
        <v>1052624711909880.3</v>
      </c>
      <c r="M5988" s="460">
        <f t="shared" si="219"/>
        <v>0.05</v>
      </c>
      <c r="N5988" s="464">
        <f t="shared" si="220"/>
        <v>233300</v>
      </c>
    </row>
    <row r="5989" spans="7:14" ht="11.25" customHeight="1" x14ac:dyDescent="0.3">
      <c r="G5989" s="459"/>
      <c r="H5989" s="459">
        <v>5982</v>
      </c>
      <c r="I5989" s="444">
        <f t="shared" ca="1" si="218"/>
        <v>1052624711909880.3</v>
      </c>
      <c r="J5989" s="444">
        <f t="array" ref="J5989">IFERROR(INDEX('Retirement Calculator'!J:J,MATCH('Isaac 401k'!N5989,'Retirement Calculator'!A:A,0),0),0)</f>
        <v>0</v>
      </c>
      <c r="K5989" s="444">
        <f t="shared" ca="1" si="216"/>
        <v>4385936299624.501</v>
      </c>
      <c r="L5989" s="444">
        <f t="shared" ca="1" si="217"/>
        <v>1057010648209504.8</v>
      </c>
      <c r="M5989" s="460">
        <f t="shared" si="219"/>
        <v>0.05</v>
      </c>
      <c r="N5989" s="464">
        <f t="shared" si="220"/>
        <v>233331</v>
      </c>
    </row>
    <row r="5990" spans="7:14" ht="11.25" customHeight="1" x14ac:dyDescent="0.3">
      <c r="G5990" s="459"/>
      <c r="H5990" s="459">
        <v>5983</v>
      </c>
      <c r="I5990" s="444">
        <f t="shared" ca="1" si="218"/>
        <v>1057010648209504.8</v>
      </c>
      <c r="J5990" s="444">
        <f t="array" ref="J5990">IFERROR(INDEX('Retirement Calculator'!J:J,MATCH('Isaac 401k'!N5990,'Retirement Calculator'!A:A,0),0),0)</f>
        <v>0</v>
      </c>
      <c r="K5990" s="444">
        <f t="shared" ca="1" si="216"/>
        <v>4404211034206.2695</v>
      </c>
      <c r="L5990" s="444">
        <f t="shared" ca="1" si="217"/>
        <v>1061414859243711</v>
      </c>
      <c r="M5990" s="460">
        <f t="shared" si="219"/>
        <v>0.05</v>
      </c>
      <c r="N5990" s="464">
        <f t="shared" si="220"/>
        <v>233361</v>
      </c>
    </row>
    <row r="5991" spans="7:14" ht="11.25" customHeight="1" x14ac:dyDescent="0.3">
      <c r="G5991" s="459"/>
      <c r="H5991" s="459">
        <v>5984</v>
      </c>
      <c r="I5991" s="444">
        <f t="shared" ca="1" si="218"/>
        <v>1061414859243711</v>
      </c>
      <c r="J5991" s="444">
        <f t="array" ref="J5991">IFERROR(INDEX('Retirement Calculator'!J:J,MATCH('Isaac 401k'!N5991,'Retirement Calculator'!A:A,0),0),0)</f>
        <v>0</v>
      </c>
      <c r="K5991" s="444">
        <f t="shared" ca="1" si="216"/>
        <v>4422561913515.4619</v>
      </c>
      <c r="L5991" s="444">
        <f t="shared" ca="1" si="217"/>
        <v>1065837421157226.5</v>
      </c>
      <c r="M5991" s="460">
        <f t="shared" si="219"/>
        <v>0.05</v>
      </c>
      <c r="N5991" s="464">
        <f t="shared" si="220"/>
        <v>233392</v>
      </c>
    </row>
    <row r="5992" spans="7:14" ht="11.25" customHeight="1" x14ac:dyDescent="0.3">
      <c r="G5992" s="459"/>
      <c r="H5992" s="459">
        <v>5985</v>
      </c>
      <c r="I5992" s="444">
        <f t="shared" ca="1" si="218"/>
        <v>1065837421157226.5</v>
      </c>
      <c r="J5992" s="444">
        <f t="array" ref="J5992">IFERROR(INDEX('Retirement Calculator'!J:J,MATCH('Isaac 401k'!N5992,'Retirement Calculator'!A:A,0),0),0)</f>
        <v>0</v>
      </c>
      <c r="K5992" s="444">
        <f t="shared" ca="1" si="216"/>
        <v>4440989254821.7773</v>
      </c>
      <c r="L5992" s="444">
        <f t="shared" ca="1" si="217"/>
        <v>1070278410412048.3</v>
      </c>
      <c r="M5992" s="460">
        <f t="shared" si="219"/>
        <v>0.05</v>
      </c>
      <c r="N5992" s="464">
        <f t="shared" si="220"/>
        <v>233423</v>
      </c>
    </row>
    <row r="5993" spans="7:14" ht="11.25" customHeight="1" x14ac:dyDescent="0.3">
      <c r="G5993" s="459"/>
      <c r="H5993" s="459">
        <v>5986</v>
      </c>
      <c r="I5993" s="444">
        <f t="shared" ca="1" si="218"/>
        <v>1070278410412048.3</v>
      </c>
      <c r="J5993" s="444">
        <f t="array" ref="J5993">IFERROR(INDEX('Retirement Calculator'!J:J,MATCH('Isaac 401k'!N5993,'Retirement Calculator'!A:A,0),0),0)</f>
        <v>0</v>
      </c>
      <c r="K5993" s="444">
        <f t="shared" ca="1" si="216"/>
        <v>4459493376716.8672</v>
      </c>
      <c r="L5993" s="444">
        <f t="shared" ca="1" si="217"/>
        <v>1074737903788765.1</v>
      </c>
      <c r="M5993" s="460">
        <f t="shared" si="219"/>
        <v>0.05</v>
      </c>
      <c r="N5993" s="464">
        <f t="shared" si="220"/>
        <v>233451</v>
      </c>
    </row>
    <row r="5994" spans="7:14" ht="11.25" customHeight="1" x14ac:dyDescent="0.3">
      <c r="G5994" s="459"/>
      <c r="H5994" s="459">
        <v>5987</v>
      </c>
      <c r="I5994" s="444">
        <f t="shared" ca="1" si="218"/>
        <v>1074737903788765.1</v>
      </c>
      <c r="J5994" s="444">
        <f t="array" ref="J5994">IFERROR(INDEX('Retirement Calculator'!J:J,MATCH('Isaac 401k'!N5994,'Retirement Calculator'!A:A,0),0),0)</f>
        <v>0</v>
      </c>
      <c r="K5994" s="444">
        <f t="shared" ca="1" si="216"/>
        <v>4478074599119.8545</v>
      </c>
      <c r="L5994" s="444">
        <f t="shared" ca="1" si="217"/>
        <v>1079215978387885</v>
      </c>
      <c r="M5994" s="460">
        <f t="shared" si="219"/>
        <v>0.05</v>
      </c>
      <c r="N5994" s="464">
        <f t="shared" si="220"/>
        <v>233482</v>
      </c>
    </row>
    <row r="5995" spans="7:14" ht="11.25" customHeight="1" x14ac:dyDescent="0.3">
      <c r="G5995" s="459"/>
      <c r="H5995" s="459">
        <v>5988</v>
      </c>
      <c r="I5995" s="444">
        <f t="shared" ca="1" si="218"/>
        <v>1079215978387885</v>
      </c>
      <c r="J5995" s="444">
        <f t="array" ref="J5995">IFERROR(INDEX('Retirement Calculator'!J:J,MATCH('Isaac 401k'!N5995,'Retirement Calculator'!A:A,0),0),0)</f>
        <v>0</v>
      </c>
      <c r="K5995" s="444">
        <f t="shared" ca="1" si="216"/>
        <v>4496733243282.8545</v>
      </c>
      <c r="L5995" s="444">
        <f t="shared" ca="1" si="217"/>
        <v>1083712711631167.9</v>
      </c>
      <c r="M5995" s="460">
        <f t="shared" si="219"/>
        <v>0.05</v>
      </c>
      <c r="N5995" s="464">
        <f t="shared" si="220"/>
        <v>233512</v>
      </c>
    </row>
    <row r="5996" spans="7:14" ht="11.25" customHeight="1" x14ac:dyDescent="0.3">
      <c r="G5996" s="459"/>
      <c r="H5996" s="459">
        <v>5989</v>
      </c>
      <c r="I5996" s="444">
        <f t="shared" ca="1" si="218"/>
        <v>1083712711631167.9</v>
      </c>
      <c r="J5996" s="444">
        <f t="array" ref="J5996">IFERROR(INDEX('Retirement Calculator'!J:J,MATCH('Isaac 401k'!N5996,'Retirement Calculator'!A:A,0),0),0)</f>
        <v>0</v>
      </c>
      <c r="K5996" s="444">
        <f t="shared" ca="1" si="216"/>
        <v>4515469631796.5332</v>
      </c>
      <c r="L5996" s="444">
        <f t="shared" ca="1" si="217"/>
        <v>1088228181262964.4</v>
      </c>
      <c r="M5996" s="460">
        <f t="shared" si="219"/>
        <v>0.05</v>
      </c>
      <c r="N5996" s="464">
        <f t="shared" si="220"/>
        <v>233543</v>
      </c>
    </row>
    <row r="5997" spans="7:14" ht="11.25" customHeight="1" x14ac:dyDescent="0.3">
      <c r="G5997" s="459"/>
      <c r="H5997" s="459">
        <v>5990</v>
      </c>
      <c r="I5997" s="444">
        <f t="shared" ca="1" si="218"/>
        <v>1088228181262964.4</v>
      </c>
      <c r="J5997" s="444">
        <f t="array" ref="J5997">IFERROR(INDEX('Retirement Calculator'!J:J,MATCH('Isaac 401k'!N5997,'Retirement Calculator'!A:A,0),0),0)</f>
        <v>0</v>
      </c>
      <c r="K5997" s="444">
        <f t="shared" ca="1" si="216"/>
        <v>4534284088595.6846</v>
      </c>
      <c r="L5997" s="444">
        <f t="shared" ca="1" si="217"/>
        <v>1092762465351560</v>
      </c>
      <c r="M5997" s="460">
        <f t="shared" si="219"/>
        <v>0.05</v>
      </c>
      <c r="N5997" s="464">
        <f t="shared" si="220"/>
        <v>233573</v>
      </c>
    </row>
    <row r="5998" spans="7:14" ht="11.25" customHeight="1" x14ac:dyDescent="0.3">
      <c r="G5998" s="459"/>
      <c r="H5998" s="459">
        <v>5991</v>
      </c>
      <c r="I5998" s="444">
        <f t="shared" ca="1" si="218"/>
        <v>1092762465351560</v>
      </c>
      <c r="J5998" s="444">
        <f t="array" ref="J5998">IFERROR(INDEX('Retirement Calculator'!J:J,MATCH('Isaac 401k'!N5998,'Retirement Calculator'!A:A,0),0),0)</f>
        <v>0</v>
      </c>
      <c r="K5998" s="444">
        <f t="shared" ca="1" si="216"/>
        <v>4553176938964.833</v>
      </c>
      <c r="L5998" s="444">
        <f t="shared" ca="1" si="217"/>
        <v>1097315642290524.9</v>
      </c>
      <c r="M5998" s="460">
        <f t="shared" si="219"/>
        <v>0.05</v>
      </c>
      <c r="N5998" s="464">
        <f t="shared" si="220"/>
        <v>233604</v>
      </c>
    </row>
    <row r="5999" spans="7:14" ht="11.25" customHeight="1" x14ac:dyDescent="0.3">
      <c r="G5999" s="459"/>
      <c r="H5999" s="459">
        <v>5992</v>
      </c>
      <c r="I5999" s="444">
        <f t="shared" ca="1" si="218"/>
        <v>1097315642290524.9</v>
      </c>
      <c r="J5999" s="444">
        <f t="array" ref="J5999">IFERROR(INDEX('Retirement Calculator'!J:J,MATCH('Isaac 401k'!N5999,'Retirement Calculator'!A:A,0),0),0)</f>
        <v>0</v>
      </c>
      <c r="K5999" s="444">
        <f t="shared" ca="1" si="216"/>
        <v>4572148509543.8535</v>
      </c>
      <c r="L5999" s="444">
        <f t="shared" ca="1" si="217"/>
        <v>1101887790800068.8</v>
      </c>
      <c r="M5999" s="460">
        <f t="shared" si="219"/>
        <v>0.05</v>
      </c>
      <c r="N5999" s="464">
        <f t="shared" si="220"/>
        <v>233635</v>
      </c>
    </row>
    <row r="6000" spans="7:14" ht="11.25" customHeight="1" x14ac:dyDescent="0.3">
      <c r="G6000" s="459"/>
      <c r="H6000" s="459">
        <v>5993</v>
      </c>
      <c r="I6000" s="444">
        <f t="shared" ca="1" si="218"/>
        <v>1101887790800068.8</v>
      </c>
      <c r="J6000" s="444">
        <f t="array" ref="J6000">IFERROR(INDEX('Retirement Calculator'!J:J,MATCH('Isaac 401k'!N6000,'Retirement Calculator'!A:A,0),0),0)</f>
        <v>0</v>
      </c>
      <c r="K6000" s="444">
        <f t="shared" ca="1" si="216"/>
        <v>4591199128333.6201</v>
      </c>
      <c r="L6000" s="444">
        <f t="shared" ca="1" si="217"/>
        <v>1106478989928402.4</v>
      </c>
      <c r="M6000" s="460">
        <f t="shared" si="219"/>
        <v>0.05</v>
      </c>
      <c r="N6000" s="464">
        <f t="shared" si="220"/>
        <v>233665</v>
      </c>
    </row>
    <row r="6001" spans="7:14" ht="11.25" customHeight="1" x14ac:dyDescent="0.3">
      <c r="G6001" s="459"/>
      <c r="H6001" s="459">
        <v>5994</v>
      </c>
      <c r="I6001" s="444">
        <f t="shared" ca="1" si="218"/>
        <v>1106478989928402.4</v>
      </c>
      <c r="J6001" s="444">
        <f t="array" ref="J6001">IFERROR(INDEX('Retirement Calculator'!J:J,MATCH('Isaac 401k'!N6001,'Retirement Calculator'!A:A,0),0),0)</f>
        <v>0</v>
      </c>
      <c r="K6001" s="444">
        <f t="shared" ca="1" si="216"/>
        <v>4610329124701.6768</v>
      </c>
      <c r="L6001" s="444">
        <f t="shared" ca="1" si="217"/>
        <v>1111089319053104</v>
      </c>
      <c r="M6001" s="460">
        <f t="shared" si="219"/>
        <v>0.05</v>
      </c>
      <c r="N6001" s="464">
        <f t="shared" si="220"/>
        <v>233696</v>
      </c>
    </row>
    <row r="6002" spans="7:14" ht="11.25" customHeight="1" x14ac:dyDescent="0.3">
      <c r="G6002" s="459"/>
      <c r="H6002" s="459">
        <v>5995</v>
      </c>
      <c r="I6002" s="444">
        <f t="shared" ca="1" si="218"/>
        <v>1111089319053104</v>
      </c>
      <c r="J6002" s="444">
        <f t="array" ref="J6002">IFERROR(INDEX('Retirement Calculator'!J:J,MATCH('Isaac 401k'!N6002,'Retirement Calculator'!A:A,0),0),0)</f>
        <v>0</v>
      </c>
      <c r="K6002" s="444">
        <f t="shared" ca="1" si="216"/>
        <v>4629538829387.9336</v>
      </c>
      <c r="L6002" s="444">
        <f t="shared" ca="1" si="217"/>
        <v>1115718857882491.9</v>
      </c>
      <c r="M6002" s="460">
        <f t="shared" si="219"/>
        <v>0.05</v>
      </c>
      <c r="N6002" s="464">
        <f t="shared" si="220"/>
        <v>233726</v>
      </c>
    </row>
    <row r="6003" spans="7:14" ht="11.25" customHeight="1" x14ac:dyDescent="0.3">
      <c r="G6003" s="459"/>
      <c r="H6003" s="459">
        <v>5996</v>
      </c>
      <c r="I6003" s="444">
        <f t="shared" ca="1" si="218"/>
        <v>1115718857882491.9</v>
      </c>
      <c r="J6003" s="444">
        <f t="array" ref="J6003">IFERROR(INDEX('Retirement Calculator'!J:J,MATCH('Isaac 401k'!N6003,'Retirement Calculator'!A:A,0),0),0)</f>
        <v>0</v>
      </c>
      <c r="K6003" s="444">
        <f t="shared" ca="1" si="216"/>
        <v>4648828574510.3828</v>
      </c>
      <c r="L6003" s="444">
        <f t="shared" ca="1" si="217"/>
        <v>1120367686457002.3</v>
      </c>
      <c r="M6003" s="460">
        <f t="shared" si="219"/>
        <v>0.05</v>
      </c>
      <c r="N6003" s="464">
        <f t="shared" si="220"/>
        <v>233757</v>
      </c>
    </row>
    <row r="6004" spans="7:14" ht="11.25" customHeight="1" x14ac:dyDescent="0.3">
      <c r="G6004" s="459"/>
      <c r="H6004" s="459">
        <v>5997</v>
      </c>
      <c r="I6004" s="444">
        <f t="shared" ca="1" si="218"/>
        <v>1120367686457002.3</v>
      </c>
      <c r="J6004" s="444">
        <f t="array" ref="J6004">IFERROR(INDEX('Retirement Calculator'!J:J,MATCH('Isaac 401k'!N6004,'Retirement Calculator'!A:A,0),0),0)</f>
        <v>0</v>
      </c>
      <c r="K6004" s="444">
        <f t="shared" ca="1" si="216"/>
        <v>4668198693570.8428</v>
      </c>
      <c r="L6004" s="444">
        <f t="shared" ca="1" si="217"/>
        <v>1125035885150573.1</v>
      </c>
      <c r="M6004" s="460">
        <f t="shared" si="219"/>
        <v>0.05</v>
      </c>
      <c r="N6004" s="464">
        <f t="shared" si="220"/>
        <v>233788</v>
      </c>
    </row>
    <row r="6005" spans="7:14" ht="11.25" customHeight="1" x14ac:dyDescent="0.3">
      <c r="G6005" s="459"/>
      <c r="H6005" s="459">
        <v>5998</v>
      </c>
      <c r="I6005" s="444">
        <f t="shared" ca="1" si="218"/>
        <v>1125035885150573.1</v>
      </c>
      <c r="J6005" s="444">
        <f t="array" ref="J6005">IFERROR(INDEX('Retirement Calculator'!J:J,MATCH('Isaac 401k'!N6005,'Retirement Calculator'!A:A,0),0),0)</f>
        <v>0</v>
      </c>
      <c r="K6005" s="444">
        <f t="shared" ca="1" si="216"/>
        <v>4687649521460.7217</v>
      </c>
      <c r="L6005" s="444">
        <f t="shared" ca="1" si="217"/>
        <v>1129723534672033.8</v>
      </c>
      <c r="M6005" s="460">
        <f t="shared" si="219"/>
        <v>0.05</v>
      </c>
      <c r="N6005" s="464">
        <f t="shared" si="220"/>
        <v>233817</v>
      </c>
    </row>
    <row r="6006" spans="7:14" ht="11.25" customHeight="1" x14ac:dyDescent="0.3">
      <c r="G6006" s="459"/>
      <c r="H6006" s="459">
        <v>5999</v>
      </c>
      <c r="I6006" s="444">
        <f t="shared" ca="1" si="218"/>
        <v>1129723534672033.8</v>
      </c>
      <c r="J6006" s="444">
        <f t="array" ref="J6006">IFERROR(INDEX('Retirement Calculator'!J:J,MATCH('Isaac 401k'!N6006,'Retirement Calculator'!A:A,0),0),0)</f>
        <v>0</v>
      </c>
      <c r="K6006" s="444">
        <f t="shared" ca="1" si="216"/>
        <v>4707181394466.8076</v>
      </c>
      <c r="L6006" s="444">
        <f t="shared" ca="1" si="217"/>
        <v>1134430716066500.5</v>
      </c>
      <c r="M6006" s="460">
        <f t="shared" si="219"/>
        <v>0.05</v>
      </c>
      <c r="N6006" s="464">
        <f t="shared" si="220"/>
        <v>233848</v>
      </c>
    </row>
    <row r="6007" spans="7:14" ht="11.25" customHeight="1" x14ac:dyDescent="0.3">
      <c r="G6007" s="459"/>
      <c r="H6007" s="459">
        <v>6000</v>
      </c>
      <c r="I6007" s="444">
        <f t="shared" ca="1" si="218"/>
        <v>1134430716066500.5</v>
      </c>
      <c r="J6007" s="444">
        <f t="array" ref="J6007">IFERROR(INDEX('Retirement Calculator'!J:J,MATCH('Isaac 401k'!N6007,'Retirement Calculator'!A:A,0),0),0)</f>
        <v>0</v>
      </c>
      <c r="K6007" s="444">
        <f t="shared" ca="1" si="216"/>
        <v>4726794650277.085</v>
      </c>
      <c r="L6007" s="444">
        <f t="shared" ca="1" si="217"/>
        <v>1139157510716777.5</v>
      </c>
      <c r="M6007" s="460">
        <f t="shared" si="219"/>
        <v>0.05</v>
      </c>
      <c r="N6007" s="464">
        <f t="shared" si="220"/>
        <v>233878</v>
      </c>
    </row>
    <row r="6008" spans="7:14" ht="11.25" customHeight="1" x14ac:dyDescent="0.3">
      <c r="G6008" s="459"/>
      <c r="H6008" s="459">
        <v>6001</v>
      </c>
      <c r="I6008" s="444">
        <f t="shared" ca="1" si="218"/>
        <v>1139157510716777.5</v>
      </c>
      <c r="J6008" s="444">
        <f t="array" ref="J6008">IFERROR(INDEX('Retirement Calculator'!J:J,MATCH('Isaac 401k'!N6008,'Retirement Calculator'!A:A,0),0),0)</f>
        <v>0</v>
      </c>
      <c r="K6008" s="444">
        <f t="shared" ca="1" si="216"/>
        <v>4746489627986.5732</v>
      </c>
      <c r="L6008" s="444">
        <f t="shared" ca="1" si="217"/>
        <v>1143904000344764</v>
      </c>
      <c r="M6008" s="460">
        <f t="shared" si="219"/>
        <v>0.05</v>
      </c>
      <c r="N6008" s="464">
        <f t="shared" si="220"/>
        <v>233909</v>
      </c>
    </row>
    <row r="6009" spans="7:14" ht="11.25" customHeight="1" x14ac:dyDescent="0.3">
      <c r="G6009" s="459"/>
      <c r="H6009" s="459">
        <v>6002</v>
      </c>
      <c r="I6009" s="444">
        <f t="shared" ca="1" si="218"/>
        <v>1143904000344764</v>
      </c>
      <c r="J6009" s="444">
        <f t="array" ref="J6009">IFERROR(INDEX('Retirement Calculator'!J:J,MATCH('Isaac 401k'!N6009,'Retirement Calculator'!A:A,0),0),0)</f>
        <v>0</v>
      </c>
      <c r="K6009" s="444">
        <f t="shared" ca="1" si="216"/>
        <v>4766266668103.1836</v>
      </c>
      <c r="L6009" s="444">
        <f t="shared" ca="1" si="217"/>
        <v>1148670267012867.3</v>
      </c>
      <c r="M6009" s="460">
        <f t="shared" si="219"/>
        <v>0.05</v>
      </c>
      <c r="N6009" s="464">
        <f t="shared" si="220"/>
        <v>233939</v>
      </c>
    </row>
    <row r="6010" spans="7:14" ht="11.25" customHeight="1" x14ac:dyDescent="0.3">
      <c r="G6010" s="459"/>
      <c r="H6010" s="459">
        <v>6003</v>
      </c>
      <c r="I6010" s="444">
        <f t="shared" ca="1" si="218"/>
        <v>1148670267012867.3</v>
      </c>
      <c r="J6010" s="444">
        <f t="array" ref="J6010">IFERROR(INDEX('Retirement Calculator'!J:J,MATCH('Isaac 401k'!N6010,'Retirement Calculator'!A:A,0),0),0)</f>
        <v>0</v>
      </c>
      <c r="K6010" s="444">
        <f t="shared" ca="1" si="216"/>
        <v>4786126112553.6133</v>
      </c>
      <c r="L6010" s="444">
        <f t="shared" ca="1" si="217"/>
        <v>1153456393125420.8</v>
      </c>
      <c r="M6010" s="460">
        <f t="shared" si="219"/>
        <v>0.05</v>
      </c>
      <c r="N6010" s="464">
        <f t="shared" si="220"/>
        <v>233970</v>
      </c>
    </row>
    <row r="6011" spans="7:14" ht="11.25" customHeight="1" x14ac:dyDescent="0.3">
      <c r="G6011" s="459"/>
      <c r="H6011" s="459">
        <v>6004</v>
      </c>
      <c r="I6011" s="444">
        <f t="shared" ca="1" si="218"/>
        <v>1153456393125420.8</v>
      </c>
      <c r="J6011" s="444">
        <f t="array" ref="J6011">IFERROR(INDEX('Retirement Calculator'!J:J,MATCH('Isaac 401k'!N6011,'Retirement Calculator'!A:A,0),0),0)</f>
        <v>0</v>
      </c>
      <c r="K6011" s="444">
        <f t="shared" ca="1" si="216"/>
        <v>4806068304689.2529</v>
      </c>
      <c r="L6011" s="444">
        <f t="shared" ca="1" si="217"/>
        <v>1158262461430110</v>
      </c>
      <c r="M6011" s="460">
        <f t="shared" si="219"/>
        <v>0.05</v>
      </c>
      <c r="N6011" s="464">
        <f t="shared" si="220"/>
        <v>234001</v>
      </c>
    </row>
    <row r="6012" spans="7:14" ht="11.25" customHeight="1" x14ac:dyDescent="0.3">
      <c r="G6012" s="459"/>
      <c r="H6012" s="459">
        <v>6005</v>
      </c>
      <c r="I6012" s="444">
        <f t="shared" ca="1" si="218"/>
        <v>1158262461430110</v>
      </c>
      <c r="J6012" s="444">
        <f t="array" ref="J6012">IFERROR(INDEX('Retirement Calculator'!J:J,MATCH('Isaac 401k'!N6012,'Retirement Calculator'!A:A,0),0),0)</f>
        <v>0</v>
      </c>
      <c r="K6012" s="444">
        <f t="shared" ca="1" si="216"/>
        <v>4826093589292.125</v>
      </c>
      <c r="L6012" s="444">
        <f t="shared" ca="1" si="217"/>
        <v>1163088555019402</v>
      </c>
      <c r="M6012" s="460">
        <f t="shared" si="219"/>
        <v>0.05</v>
      </c>
      <c r="N6012" s="464">
        <f t="shared" si="220"/>
        <v>234031</v>
      </c>
    </row>
    <row r="6013" spans="7:14" ht="11.25" customHeight="1" x14ac:dyDescent="0.3">
      <c r="G6013" s="459"/>
      <c r="H6013" s="459">
        <v>6006</v>
      </c>
      <c r="I6013" s="444">
        <f t="shared" ca="1" si="218"/>
        <v>1163088555019402</v>
      </c>
      <c r="J6013" s="444">
        <f t="array" ref="J6013">IFERROR(INDEX('Retirement Calculator'!J:J,MATCH('Isaac 401k'!N6013,'Retirement Calculator'!A:A,0),0),0)</f>
        <v>0</v>
      </c>
      <c r="K6013" s="444">
        <f t="shared" ca="1" si="216"/>
        <v>4846202312580.8418</v>
      </c>
      <c r="L6013" s="444">
        <f t="shared" ca="1" si="217"/>
        <v>1167934757331982.8</v>
      </c>
      <c r="M6013" s="460">
        <f t="shared" si="219"/>
        <v>0.05</v>
      </c>
      <c r="N6013" s="464">
        <f t="shared" si="220"/>
        <v>234062</v>
      </c>
    </row>
    <row r="6014" spans="7:14" ht="11.25" customHeight="1" x14ac:dyDescent="0.3">
      <c r="G6014" s="459"/>
      <c r="H6014" s="459">
        <v>6007</v>
      </c>
      <c r="I6014" s="444">
        <f t="shared" ca="1" si="218"/>
        <v>1167934757331982.8</v>
      </c>
      <c r="J6014" s="444">
        <f t="array" ref="J6014">IFERROR(INDEX('Retirement Calculator'!J:J,MATCH('Isaac 401k'!N6014,'Retirement Calculator'!A:A,0),0),0)</f>
        <v>0</v>
      </c>
      <c r="K6014" s="444">
        <f t="shared" ca="1" si="216"/>
        <v>4866394822216.5947</v>
      </c>
      <c r="L6014" s="444">
        <f t="shared" ca="1" si="217"/>
        <v>1172801152154199.3</v>
      </c>
      <c r="M6014" s="460">
        <f t="shared" si="219"/>
        <v>0.05</v>
      </c>
      <c r="N6014" s="464">
        <f t="shared" si="220"/>
        <v>234092</v>
      </c>
    </row>
    <row r="6015" spans="7:14" ht="11.25" customHeight="1" x14ac:dyDescent="0.3">
      <c r="G6015" s="459"/>
      <c r="H6015" s="459">
        <v>6008</v>
      </c>
      <c r="I6015" s="444">
        <f t="shared" ca="1" si="218"/>
        <v>1172801152154199.3</v>
      </c>
      <c r="J6015" s="444">
        <f t="array" ref="J6015">IFERROR(INDEX('Retirement Calculator'!J:J,MATCH('Isaac 401k'!N6015,'Retirement Calculator'!A:A,0),0),0)</f>
        <v>0</v>
      </c>
      <c r="K6015" s="444">
        <f t="shared" ca="1" si="216"/>
        <v>4886671467309.1631</v>
      </c>
      <c r="L6015" s="444">
        <f t="shared" ca="1" si="217"/>
        <v>1177687823621508.5</v>
      </c>
      <c r="M6015" s="460">
        <f t="shared" si="219"/>
        <v>0.05</v>
      </c>
      <c r="N6015" s="464">
        <f t="shared" si="220"/>
        <v>234123</v>
      </c>
    </row>
    <row r="6016" spans="7:14" ht="11.25" customHeight="1" x14ac:dyDescent="0.3">
      <c r="G6016" s="459"/>
      <c r="H6016" s="459">
        <v>6009</v>
      </c>
      <c r="I6016" s="444">
        <f t="shared" ca="1" si="218"/>
        <v>1177687823621508.5</v>
      </c>
      <c r="J6016" s="444">
        <f t="array" ref="J6016">IFERROR(INDEX('Retirement Calculator'!J:J,MATCH('Isaac 401k'!N6016,'Retirement Calculator'!A:A,0),0),0)</f>
        <v>0</v>
      </c>
      <c r="K6016" s="444">
        <f t="shared" ca="1" si="216"/>
        <v>4907032598422.9521</v>
      </c>
      <c r="L6016" s="444">
        <f t="shared" ca="1" si="217"/>
        <v>1182594856219931.5</v>
      </c>
      <c r="M6016" s="460">
        <f t="shared" si="219"/>
        <v>0.05</v>
      </c>
      <c r="N6016" s="464">
        <f t="shared" si="220"/>
        <v>234154</v>
      </c>
    </row>
    <row r="6017" spans="7:14" ht="11.25" customHeight="1" x14ac:dyDescent="0.3">
      <c r="G6017" s="459"/>
      <c r="H6017" s="459">
        <v>6010</v>
      </c>
      <c r="I6017" s="444">
        <f t="shared" ca="1" si="218"/>
        <v>1182594856219931.5</v>
      </c>
      <c r="J6017" s="444">
        <f t="array" ref="J6017">IFERROR(INDEX('Retirement Calculator'!J:J,MATCH('Isaac 401k'!N6017,'Retirement Calculator'!A:A,0),0),0)</f>
        <v>0</v>
      </c>
      <c r="K6017" s="444">
        <f t="shared" ca="1" si="216"/>
        <v>4927478567583.0479</v>
      </c>
      <c r="L6017" s="444">
        <f t="shared" ca="1" si="217"/>
        <v>1187522334787514.5</v>
      </c>
      <c r="M6017" s="460">
        <f t="shared" si="219"/>
        <v>0.05</v>
      </c>
      <c r="N6017" s="464">
        <f t="shared" si="220"/>
        <v>234182</v>
      </c>
    </row>
    <row r="6018" spans="7:14" ht="11.25" customHeight="1" x14ac:dyDescent="0.3">
      <c r="G6018" s="459"/>
      <c r="H6018" s="459">
        <v>6011</v>
      </c>
      <c r="I6018" s="444">
        <f t="shared" ca="1" si="218"/>
        <v>1187522334787514.5</v>
      </c>
      <c r="J6018" s="444">
        <f t="array" ref="J6018">IFERROR(INDEX('Retirement Calculator'!J:J,MATCH('Isaac 401k'!N6018,'Retirement Calculator'!A:A,0),0),0)</f>
        <v>0</v>
      </c>
      <c r="K6018" s="444">
        <f t="shared" ca="1" si="216"/>
        <v>4948009728281.3105</v>
      </c>
      <c r="L6018" s="444">
        <f t="shared" ca="1" si="217"/>
        <v>1192470344515795.8</v>
      </c>
      <c r="M6018" s="460">
        <f t="shared" si="219"/>
        <v>0.05</v>
      </c>
      <c r="N6018" s="464">
        <f t="shared" si="220"/>
        <v>234213</v>
      </c>
    </row>
    <row r="6019" spans="7:14" ht="11.25" customHeight="1" x14ac:dyDescent="0.3">
      <c r="G6019" s="459"/>
      <c r="H6019" s="459">
        <v>6012</v>
      </c>
      <c r="I6019" s="444">
        <f t="shared" ca="1" si="218"/>
        <v>1192470344515795.8</v>
      </c>
      <c r="J6019" s="444">
        <f t="array" ref="J6019">IFERROR(INDEX('Retirement Calculator'!J:J,MATCH('Isaac 401k'!N6019,'Retirement Calculator'!A:A,0),0),0)</f>
        <v>0</v>
      </c>
      <c r="K6019" s="444">
        <f t="shared" ca="1" si="216"/>
        <v>4968626435482.4824</v>
      </c>
      <c r="L6019" s="444">
        <f t="shared" ca="1" si="217"/>
        <v>1197438970951278.3</v>
      </c>
      <c r="M6019" s="460">
        <f t="shared" si="219"/>
        <v>0.05</v>
      </c>
      <c r="N6019" s="464">
        <f t="shared" si="220"/>
        <v>234243</v>
      </c>
    </row>
    <row r="6020" spans="7:14" ht="11.25" customHeight="1" x14ac:dyDescent="0.3">
      <c r="G6020" s="459"/>
      <c r="H6020" s="459">
        <v>6013</v>
      </c>
      <c r="I6020" s="444">
        <f t="shared" ca="1" si="218"/>
        <v>1197438970951278.3</v>
      </c>
      <c r="J6020" s="444">
        <f t="array" ref="J6020">IFERROR(INDEX('Retirement Calculator'!J:J,MATCH('Isaac 401k'!N6020,'Retirement Calculator'!A:A,0),0),0)</f>
        <v>0</v>
      </c>
      <c r="K6020" s="444">
        <f t="shared" ca="1" si="216"/>
        <v>4989329045630.3262</v>
      </c>
      <c r="L6020" s="444">
        <f t="shared" ca="1" si="217"/>
        <v>1202428299996908.5</v>
      </c>
      <c r="M6020" s="460">
        <f t="shared" si="219"/>
        <v>0.05</v>
      </c>
      <c r="N6020" s="464">
        <f t="shared" si="220"/>
        <v>234274</v>
      </c>
    </row>
    <row r="6021" spans="7:14" ht="11.25" customHeight="1" x14ac:dyDescent="0.3">
      <c r="G6021" s="459"/>
      <c r="H6021" s="459">
        <v>6014</v>
      </c>
      <c r="I6021" s="444">
        <f t="shared" ca="1" si="218"/>
        <v>1202428299996908.5</v>
      </c>
      <c r="J6021" s="444">
        <f t="array" ref="J6021">IFERROR(INDEX('Retirement Calculator'!J:J,MATCH('Isaac 401k'!N6021,'Retirement Calculator'!A:A,0),0),0)</f>
        <v>0</v>
      </c>
      <c r="K6021" s="444">
        <f t="shared" ca="1" si="216"/>
        <v>5010117916653.7852</v>
      </c>
      <c r="L6021" s="444">
        <f t="shared" ca="1" si="217"/>
        <v>1207438417913562.3</v>
      </c>
      <c r="M6021" s="460">
        <f t="shared" si="219"/>
        <v>0.05</v>
      </c>
      <c r="N6021" s="464">
        <f t="shared" si="220"/>
        <v>234304</v>
      </c>
    </row>
    <row r="6022" spans="7:14" ht="11.25" customHeight="1" x14ac:dyDescent="0.3">
      <c r="G6022" s="459"/>
      <c r="H6022" s="459">
        <v>6015</v>
      </c>
      <c r="I6022" s="444">
        <f t="shared" ca="1" si="218"/>
        <v>1207438417913562.3</v>
      </c>
      <c r="J6022" s="444">
        <f t="array" ref="J6022">IFERROR(INDEX('Retirement Calculator'!J:J,MATCH('Isaac 401k'!N6022,'Retirement Calculator'!A:A,0),0),0)</f>
        <v>0</v>
      </c>
      <c r="K6022" s="444">
        <f t="shared" ca="1" si="216"/>
        <v>5030993407973.1758</v>
      </c>
      <c r="L6022" s="444">
        <f t="shared" ca="1" si="217"/>
        <v>1212469411321535.5</v>
      </c>
      <c r="M6022" s="460">
        <f t="shared" si="219"/>
        <v>0.05</v>
      </c>
      <c r="N6022" s="464">
        <f t="shared" si="220"/>
        <v>234335</v>
      </c>
    </row>
    <row r="6023" spans="7:14" ht="11.25" customHeight="1" x14ac:dyDescent="0.3">
      <c r="G6023" s="459"/>
      <c r="H6023" s="459">
        <v>6016</v>
      </c>
      <c r="I6023" s="444">
        <f t="shared" ca="1" si="218"/>
        <v>1212469411321535.5</v>
      </c>
      <c r="J6023" s="444">
        <f t="array" ref="J6023">IFERROR(INDEX('Retirement Calculator'!J:J,MATCH('Isaac 401k'!N6023,'Retirement Calculator'!A:A,0),0),0)</f>
        <v>0</v>
      </c>
      <c r="K6023" s="444">
        <f t="shared" ca="1" si="216"/>
        <v>5051955880506.3975</v>
      </c>
      <c r="L6023" s="444">
        <f t="shared" ca="1" si="217"/>
        <v>1217521367202042</v>
      </c>
      <c r="M6023" s="460">
        <f t="shared" si="219"/>
        <v>0.05</v>
      </c>
      <c r="N6023" s="464">
        <f t="shared" si="220"/>
        <v>234366</v>
      </c>
    </row>
    <row r="6024" spans="7:14" ht="11.25" customHeight="1" x14ac:dyDescent="0.3">
      <c r="G6024" s="459"/>
      <c r="H6024" s="459">
        <v>6017</v>
      </c>
      <c r="I6024" s="444">
        <f t="shared" ca="1" si="218"/>
        <v>1217521367202042</v>
      </c>
      <c r="J6024" s="444">
        <f t="array" ref="J6024">IFERROR(INDEX('Retirement Calculator'!J:J,MATCH('Isaac 401k'!N6024,'Retirement Calculator'!A:A,0),0),0)</f>
        <v>0</v>
      </c>
      <c r="K6024" s="444">
        <f t="shared" ca="1" si="216"/>
        <v>5073005696675.1748</v>
      </c>
      <c r="L6024" s="444">
        <f t="shared" ca="1" si="217"/>
        <v>1222594372898717.3</v>
      </c>
      <c r="M6024" s="460">
        <f t="shared" si="219"/>
        <v>0.05</v>
      </c>
      <c r="N6024" s="464">
        <f t="shared" si="220"/>
        <v>234396</v>
      </c>
    </row>
    <row r="6025" spans="7:14" ht="11.25" customHeight="1" x14ac:dyDescent="0.3">
      <c r="G6025" s="459"/>
      <c r="H6025" s="459">
        <v>6018</v>
      </c>
      <c r="I6025" s="444">
        <f t="shared" ca="1" si="218"/>
        <v>1222594372898717.3</v>
      </c>
      <c r="J6025" s="444">
        <f t="array" ref="J6025">IFERROR(INDEX('Retirement Calculator'!J:J,MATCH('Isaac 401k'!N6025,'Retirement Calculator'!A:A,0),0),0)</f>
        <v>0</v>
      </c>
      <c r="K6025" s="444">
        <f t="shared" ca="1" si="216"/>
        <v>5094143220411.3223</v>
      </c>
      <c r="L6025" s="444">
        <f t="shared" ca="1" si="217"/>
        <v>1227688516119128.5</v>
      </c>
      <c r="M6025" s="460">
        <f t="shared" si="219"/>
        <v>0.05</v>
      </c>
      <c r="N6025" s="464">
        <f t="shared" si="220"/>
        <v>234427</v>
      </c>
    </row>
    <row r="6026" spans="7:14" ht="11.25" customHeight="1" x14ac:dyDescent="0.3">
      <c r="G6026" s="459"/>
      <c r="H6026" s="459">
        <v>6019</v>
      </c>
      <c r="I6026" s="444">
        <f t="shared" ca="1" si="218"/>
        <v>1227688516119128.5</v>
      </c>
      <c r="J6026" s="444">
        <f t="array" ref="J6026">IFERROR(INDEX('Retirement Calculator'!J:J,MATCH('Isaac 401k'!N6026,'Retirement Calculator'!A:A,0),0),0)</f>
        <v>0</v>
      </c>
      <c r="K6026" s="444">
        <f t="shared" ca="1" si="216"/>
        <v>5115368817163.0352</v>
      </c>
      <c r="L6026" s="444">
        <f t="shared" ca="1" si="217"/>
        <v>1232803884936291.5</v>
      </c>
      <c r="M6026" s="460">
        <f t="shared" si="219"/>
        <v>0.05</v>
      </c>
      <c r="N6026" s="464">
        <f t="shared" si="220"/>
        <v>234457</v>
      </c>
    </row>
    <row r="6027" spans="7:14" ht="11.25" customHeight="1" x14ac:dyDescent="0.3">
      <c r="G6027" s="459"/>
      <c r="H6027" s="459">
        <v>6020</v>
      </c>
      <c r="I6027" s="444">
        <f t="shared" ca="1" si="218"/>
        <v>1232803884936291.5</v>
      </c>
      <c r="J6027" s="444">
        <f t="array" ref="J6027">IFERROR(INDEX('Retirement Calculator'!J:J,MATCH('Isaac 401k'!N6027,'Retirement Calculator'!A:A,0),0),0)</f>
        <v>0</v>
      </c>
      <c r="K6027" s="444">
        <f t="shared" ca="1" si="216"/>
        <v>5136682853901.2148</v>
      </c>
      <c r="L6027" s="444">
        <f t="shared" ca="1" si="217"/>
        <v>1237940567790192.8</v>
      </c>
      <c r="M6027" s="460">
        <f t="shared" si="219"/>
        <v>0.05</v>
      </c>
      <c r="N6027" s="464">
        <f t="shared" si="220"/>
        <v>234488</v>
      </c>
    </row>
    <row r="6028" spans="7:14" ht="11.25" customHeight="1" x14ac:dyDescent="0.3">
      <c r="G6028" s="459"/>
      <c r="H6028" s="459">
        <v>6021</v>
      </c>
      <c r="I6028" s="444">
        <f t="shared" ca="1" si="218"/>
        <v>1237940567790192.8</v>
      </c>
      <c r="J6028" s="444">
        <f t="array" ref="J6028">IFERROR(INDEX('Retirement Calculator'!J:J,MATCH('Isaac 401k'!N6028,'Retirement Calculator'!A:A,0),0),0)</f>
        <v>0</v>
      </c>
      <c r="K6028" s="444">
        <f t="shared" ca="1" si="216"/>
        <v>5158085699125.8027</v>
      </c>
      <c r="L6028" s="444">
        <f t="shared" ca="1" si="217"/>
        <v>1243098653489318.5</v>
      </c>
      <c r="M6028" s="460">
        <f t="shared" si="219"/>
        <v>0.05</v>
      </c>
      <c r="N6028" s="464">
        <f t="shared" si="220"/>
        <v>234519</v>
      </c>
    </row>
    <row r="6029" spans="7:14" ht="11.25" customHeight="1" x14ac:dyDescent="0.3">
      <c r="G6029" s="459"/>
      <c r="H6029" s="459">
        <v>6022</v>
      </c>
      <c r="I6029" s="444">
        <f t="shared" ca="1" si="218"/>
        <v>1243098653489318.5</v>
      </c>
      <c r="J6029" s="444">
        <f t="array" ref="J6029">IFERROR(INDEX('Retirement Calculator'!J:J,MATCH('Isaac 401k'!N6029,'Retirement Calculator'!A:A,0),0),0)</f>
        <v>0</v>
      </c>
      <c r="K6029" s="444">
        <f t="shared" ca="1" si="216"/>
        <v>5179577722872.1602</v>
      </c>
      <c r="L6029" s="444">
        <f t="shared" ca="1" si="217"/>
        <v>1248278231212190.8</v>
      </c>
      <c r="M6029" s="460">
        <f t="shared" si="219"/>
        <v>0.05</v>
      </c>
      <c r="N6029" s="464">
        <f t="shared" si="220"/>
        <v>234547</v>
      </c>
    </row>
    <row r="6030" spans="7:14" ht="11.25" customHeight="1" x14ac:dyDescent="0.3">
      <c r="G6030" s="459"/>
      <c r="H6030" s="459">
        <v>6023</v>
      </c>
      <c r="I6030" s="444">
        <f t="shared" ca="1" si="218"/>
        <v>1248278231212190.8</v>
      </c>
      <c r="J6030" s="444">
        <f t="array" ref="J6030">IFERROR(INDEX('Retirement Calculator'!J:J,MATCH('Isaac 401k'!N6030,'Retirement Calculator'!A:A,0),0),0)</f>
        <v>0</v>
      </c>
      <c r="K6030" s="444">
        <f t="shared" ca="1" si="216"/>
        <v>5201159296717.4609</v>
      </c>
      <c r="L6030" s="444">
        <f t="shared" ca="1" si="217"/>
        <v>1253479390508908.3</v>
      </c>
      <c r="M6030" s="460">
        <f t="shared" si="219"/>
        <v>0.05</v>
      </c>
      <c r="N6030" s="464">
        <f t="shared" si="220"/>
        <v>234578</v>
      </c>
    </row>
    <row r="6031" spans="7:14" ht="11.25" customHeight="1" x14ac:dyDescent="0.3">
      <c r="G6031" s="459"/>
      <c r="H6031" s="459">
        <v>6024</v>
      </c>
      <c r="I6031" s="444">
        <f t="shared" ca="1" si="218"/>
        <v>1253479390508908.3</v>
      </c>
      <c r="J6031" s="444">
        <f t="array" ref="J6031">IFERROR(INDEX('Retirement Calculator'!J:J,MATCH('Isaac 401k'!N6031,'Retirement Calculator'!A:A,0),0),0)</f>
        <v>0</v>
      </c>
      <c r="K6031" s="444">
        <f t="shared" ca="1" si="216"/>
        <v>5222830793787.1172</v>
      </c>
      <c r="L6031" s="444">
        <f t="shared" ca="1" si="217"/>
        <v>1258702221302695.3</v>
      </c>
      <c r="M6031" s="460">
        <f t="shared" si="219"/>
        <v>0.05</v>
      </c>
      <c r="N6031" s="464">
        <f t="shared" si="220"/>
        <v>234608</v>
      </c>
    </row>
    <row r="6032" spans="7:14" ht="11.25" customHeight="1" x14ac:dyDescent="0.3">
      <c r="G6032" s="459"/>
      <c r="H6032" s="459">
        <v>6025</v>
      </c>
      <c r="I6032" s="444">
        <f t="shared" ca="1" si="218"/>
        <v>1258702221302695.3</v>
      </c>
      <c r="J6032" s="444">
        <f t="array" ref="J6032">IFERROR(INDEX('Retirement Calculator'!J:J,MATCH('Isaac 401k'!N6032,'Retirement Calculator'!A:A,0),0),0)</f>
        <v>0</v>
      </c>
      <c r="K6032" s="444">
        <f t="shared" ca="1" si="216"/>
        <v>5244592588761.2305</v>
      </c>
      <c r="L6032" s="444">
        <f t="shared" ca="1" si="217"/>
        <v>1263946813891456.5</v>
      </c>
      <c r="M6032" s="460">
        <f t="shared" si="219"/>
        <v>0.05</v>
      </c>
      <c r="N6032" s="464">
        <f t="shared" si="220"/>
        <v>234639</v>
      </c>
    </row>
    <row r="6033" spans="7:14" ht="11.25" customHeight="1" x14ac:dyDescent="0.3">
      <c r="G6033" s="459"/>
      <c r="H6033" s="459">
        <v>6026</v>
      </c>
      <c r="I6033" s="444">
        <f t="shared" ca="1" si="218"/>
        <v>1263946813891456.5</v>
      </c>
      <c r="J6033" s="444">
        <f t="array" ref="J6033">IFERROR(INDEX('Retirement Calculator'!J:J,MATCH('Isaac 401k'!N6033,'Retirement Calculator'!A:A,0),0),0)</f>
        <v>0</v>
      </c>
      <c r="K6033" s="444">
        <f t="shared" ca="1" si="216"/>
        <v>5266445057881.0684</v>
      </c>
      <c r="L6033" s="444">
        <f t="shared" ca="1" si="217"/>
        <v>1269213258949337.5</v>
      </c>
      <c r="M6033" s="460">
        <f t="shared" si="219"/>
        <v>0.05</v>
      </c>
      <c r="N6033" s="464">
        <f t="shared" si="220"/>
        <v>234669</v>
      </c>
    </row>
    <row r="6034" spans="7:14" ht="11.25" customHeight="1" x14ac:dyDescent="0.3">
      <c r="G6034" s="459"/>
      <c r="H6034" s="459">
        <v>6027</v>
      </c>
      <c r="I6034" s="444">
        <f t="shared" ca="1" si="218"/>
        <v>1269213258949337.5</v>
      </c>
      <c r="J6034" s="444">
        <f t="array" ref="J6034">IFERROR(INDEX('Retirement Calculator'!J:J,MATCH('Isaac 401k'!N6034,'Retirement Calculator'!A:A,0),0),0)</f>
        <v>0</v>
      </c>
      <c r="K6034" s="444">
        <f t="shared" ca="1" si="216"/>
        <v>5288388578955.5732</v>
      </c>
      <c r="L6034" s="444">
        <f t="shared" ca="1" si="217"/>
        <v>1274501647528293</v>
      </c>
      <c r="M6034" s="460">
        <f t="shared" si="219"/>
        <v>0.05</v>
      </c>
      <c r="N6034" s="464">
        <f t="shared" si="220"/>
        <v>234700</v>
      </c>
    </row>
    <row r="6035" spans="7:14" ht="11.25" customHeight="1" x14ac:dyDescent="0.3">
      <c r="G6035" s="459"/>
      <c r="H6035" s="459">
        <v>6028</v>
      </c>
      <c r="I6035" s="444">
        <f t="shared" ca="1" si="218"/>
        <v>1274501647528293</v>
      </c>
      <c r="J6035" s="444">
        <f t="array" ref="J6035">IFERROR(INDEX('Retirement Calculator'!J:J,MATCH('Isaac 401k'!N6035,'Retirement Calculator'!A:A,0),0),0)</f>
        <v>0</v>
      </c>
      <c r="K6035" s="444">
        <f t="shared" ca="1" si="216"/>
        <v>5310423531367.8877</v>
      </c>
      <c r="L6035" s="444">
        <f t="shared" ca="1" si="217"/>
        <v>1279812071059661</v>
      </c>
      <c r="M6035" s="460">
        <f t="shared" si="219"/>
        <v>0.05</v>
      </c>
      <c r="N6035" s="464">
        <f t="shared" si="220"/>
        <v>234731</v>
      </c>
    </row>
    <row r="6036" spans="7:14" ht="11.25" customHeight="1" x14ac:dyDescent="0.3">
      <c r="G6036" s="459"/>
      <c r="H6036" s="459">
        <v>6029</v>
      </c>
      <c r="I6036" s="444">
        <f t="shared" ca="1" si="218"/>
        <v>1279812071059661</v>
      </c>
      <c r="J6036" s="444">
        <f t="array" ref="J6036">IFERROR(INDEX('Retirement Calculator'!J:J,MATCH('Isaac 401k'!N6036,'Retirement Calculator'!A:A,0),0),0)</f>
        <v>0</v>
      </c>
      <c r="K6036" s="444">
        <f t="shared" ca="1" si="216"/>
        <v>5332550296081.9209</v>
      </c>
      <c r="L6036" s="444">
        <f t="shared" ca="1" si="217"/>
        <v>1285144621355743</v>
      </c>
      <c r="M6036" s="460">
        <f t="shared" si="219"/>
        <v>0.05</v>
      </c>
      <c r="N6036" s="464">
        <f t="shared" si="220"/>
        <v>234761</v>
      </c>
    </row>
    <row r="6037" spans="7:14" ht="11.25" customHeight="1" x14ac:dyDescent="0.3">
      <c r="G6037" s="459"/>
      <c r="H6037" s="459">
        <v>6030</v>
      </c>
      <c r="I6037" s="444">
        <f t="shared" ca="1" si="218"/>
        <v>1285144621355743</v>
      </c>
      <c r="J6037" s="444">
        <f t="array" ref="J6037">IFERROR(INDEX('Retirement Calculator'!J:J,MATCH('Isaac 401k'!N6037,'Retirement Calculator'!A:A,0),0),0)</f>
        <v>0</v>
      </c>
      <c r="K6037" s="444">
        <f t="shared" ca="1" si="216"/>
        <v>5354769255648.9287</v>
      </c>
      <c r="L6037" s="444">
        <f t="shared" ca="1" si="217"/>
        <v>1290499390611392</v>
      </c>
      <c r="M6037" s="460">
        <f t="shared" si="219"/>
        <v>0.05</v>
      </c>
      <c r="N6037" s="464">
        <f t="shared" si="220"/>
        <v>234792</v>
      </c>
    </row>
    <row r="6038" spans="7:14" ht="11.25" customHeight="1" x14ac:dyDescent="0.3">
      <c r="G6038" s="459"/>
      <c r="H6038" s="459">
        <v>6031</v>
      </c>
      <c r="I6038" s="444">
        <f t="shared" ca="1" si="218"/>
        <v>1290499390611392</v>
      </c>
      <c r="J6038" s="444">
        <f t="array" ref="J6038">IFERROR(INDEX('Retirement Calculator'!J:J,MATCH('Isaac 401k'!N6038,'Retirement Calculator'!A:A,0),0),0)</f>
        <v>0</v>
      </c>
      <c r="K6038" s="444">
        <f t="shared" ca="1" si="216"/>
        <v>5377080794214.1328</v>
      </c>
      <c r="L6038" s="444">
        <f t="shared" ca="1" si="217"/>
        <v>1295876471405606.3</v>
      </c>
      <c r="M6038" s="460">
        <f t="shared" si="219"/>
        <v>0.05</v>
      </c>
      <c r="N6038" s="464">
        <f t="shared" si="220"/>
        <v>234822</v>
      </c>
    </row>
    <row r="6039" spans="7:14" ht="11.25" customHeight="1" x14ac:dyDescent="0.3">
      <c r="G6039" s="459"/>
      <c r="H6039" s="459">
        <v>6032</v>
      </c>
      <c r="I6039" s="444">
        <f t="shared" ca="1" si="218"/>
        <v>1295876471405606.3</v>
      </c>
      <c r="J6039" s="444">
        <f t="array" ref="J6039">IFERROR(INDEX('Retirement Calculator'!J:J,MATCH('Isaac 401k'!N6039,'Retirement Calculator'!A:A,0),0),0)</f>
        <v>0</v>
      </c>
      <c r="K6039" s="444">
        <f t="shared" ca="1" si="216"/>
        <v>5399485297523.3594</v>
      </c>
      <c r="L6039" s="444">
        <f t="shared" ca="1" si="217"/>
        <v>1301275956703129.5</v>
      </c>
      <c r="M6039" s="460">
        <f t="shared" si="219"/>
        <v>0.05</v>
      </c>
      <c r="N6039" s="464">
        <f t="shared" si="220"/>
        <v>234853</v>
      </c>
    </row>
    <row r="6040" spans="7:14" ht="11.25" customHeight="1" x14ac:dyDescent="0.3">
      <c r="G6040" s="459"/>
      <c r="H6040" s="459">
        <v>6033</v>
      </c>
      <c r="I6040" s="444">
        <f t="shared" ca="1" si="218"/>
        <v>1301275956703129.5</v>
      </c>
      <c r="J6040" s="444">
        <f t="array" ref="J6040">IFERROR(INDEX('Retirement Calculator'!J:J,MATCH('Isaac 401k'!N6040,'Retirement Calculator'!A:A,0),0),0)</f>
        <v>0</v>
      </c>
      <c r="K6040" s="444">
        <f t="shared" ca="1" si="216"/>
        <v>5421983152929.7061</v>
      </c>
      <c r="L6040" s="444">
        <f t="shared" ca="1" si="217"/>
        <v>1306697939856059.3</v>
      </c>
      <c r="M6040" s="460">
        <f t="shared" si="219"/>
        <v>0.05</v>
      </c>
      <c r="N6040" s="464">
        <f t="shared" si="220"/>
        <v>234884</v>
      </c>
    </row>
    <row r="6041" spans="7:14" ht="11.25" customHeight="1" x14ac:dyDescent="0.3">
      <c r="G6041" s="459"/>
      <c r="H6041" s="459">
        <v>6034</v>
      </c>
      <c r="I6041" s="444">
        <f t="shared" ca="1" si="218"/>
        <v>1306697939856059.3</v>
      </c>
      <c r="J6041" s="444">
        <f t="array" ref="J6041">IFERROR(INDEX('Retirement Calculator'!J:J,MATCH('Isaac 401k'!N6041,'Retirement Calculator'!A:A,0),0),0)</f>
        <v>0</v>
      </c>
      <c r="K6041" s="444">
        <f t="shared" ca="1" si="216"/>
        <v>5444574749400.2471</v>
      </c>
      <c r="L6041" s="444">
        <f t="shared" ca="1" si="217"/>
        <v>1312142514605459.5</v>
      </c>
      <c r="M6041" s="460">
        <f t="shared" si="219"/>
        <v>0.05</v>
      </c>
      <c r="N6041" s="464">
        <f t="shared" si="220"/>
        <v>234912</v>
      </c>
    </row>
    <row r="6042" spans="7:14" ht="11.25" customHeight="1" x14ac:dyDescent="0.3">
      <c r="G6042" s="459"/>
      <c r="H6042" s="459">
        <v>6035</v>
      </c>
      <c r="I6042" s="444">
        <f t="shared" ca="1" si="218"/>
        <v>1312142514605459.5</v>
      </c>
      <c r="J6042" s="444">
        <f t="array" ref="J6042">IFERROR(INDEX('Retirement Calculator'!J:J,MATCH('Isaac 401k'!N6042,'Retirement Calculator'!A:A,0),0),0)</f>
        <v>0</v>
      </c>
      <c r="K6042" s="444">
        <f t="shared" ca="1" si="216"/>
        <v>5467260477522.748</v>
      </c>
      <c r="L6042" s="444">
        <f t="shared" ca="1" si="217"/>
        <v>1317609775082982.3</v>
      </c>
      <c r="M6042" s="460">
        <f t="shared" si="219"/>
        <v>0.05</v>
      </c>
      <c r="N6042" s="464">
        <f t="shared" si="220"/>
        <v>234943</v>
      </c>
    </row>
    <row r="6043" spans="7:14" ht="11.25" customHeight="1" x14ac:dyDescent="0.3">
      <c r="G6043" s="459"/>
      <c r="H6043" s="459">
        <v>6036</v>
      </c>
      <c r="I6043" s="444">
        <f t="shared" ca="1" si="218"/>
        <v>1317609775082982.3</v>
      </c>
      <c r="J6043" s="444">
        <f t="array" ref="J6043">IFERROR(INDEX('Retirement Calculator'!J:J,MATCH('Isaac 401k'!N6043,'Retirement Calculator'!A:A,0),0),0)</f>
        <v>0</v>
      </c>
      <c r="K6043" s="444">
        <f t="shared" ca="1" si="216"/>
        <v>5490040729512.4258</v>
      </c>
      <c r="L6043" s="444">
        <f t="shared" ca="1" si="217"/>
        <v>1323099815812494.8</v>
      </c>
      <c r="M6043" s="460">
        <f t="shared" si="219"/>
        <v>0.05</v>
      </c>
      <c r="N6043" s="464">
        <f t="shared" si="220"/>
        <v>234973</v>
      </c>
    </row>
    <row r="6044" spans="7:14" ht="11.25" customHeight="1" x14ac:dyDescent="0.3">
      <c r="G6044" s="459"/>
      <c r="H6044" s="459">
        <v>6037</v>
      </c>
      <c r="I6044" s="444">
        <f t="shared" ca="1" si="218"/>
        <v>1323099815812494.8</v>
      </c>
      <c r="J6044" s="444">
        <f t="array" ref="J6044">IFERROR(INDEX('Retirement Calculator'!J:J,MATCH('Isaac 401k'!N6044,'Retirement Calculator'!A:A,0),0),0)</f>
        <v>0</v>
      </c>
      <c r="K6044" s="444">
        <f t="shared" ca="1" si="216"/>
        <v>5512915899218.7285</v>
      </c>
      <c r="L6044" s="444">
        <f t="shared" ca="1" si="217"/>
        <v>1328612731711713.5</v>
      </c>
      <c r="M6044" s="460">
        <f t="shared" si="219"/>
        <v>0.05</v>
      </c>
      <c r="N6044" s="464">
        <f t="shared" si="220"/>
        <v>235004</v>
      </c>
    </row>
    <row r="6045" spans="7:14" ht="11.25" customHeight="1" x14ac:dyDescent="0.3">
      <c r="G6045" s="459"/>
      <c r="H6045" s="459">
        <v>6038</v>
      </c>
      <c r="I6045" s="444">
        <f t="shared" ca="1" si="218"/>
        <v>1328612731711713.5</v>
      </c>
      <c r="J6045" s="444">
        <f t="array" ref="J6045">IFERROR(INDEX('Retirement Calculator'!J:J,MATCH('Isaac 401k'!N6045,'Retirement Calculator'!A:A,0),0),0)</f>
        <v>0</v>
      </c>
      <c r="K6045" s="444">
        <f t="shared" ca="1" si="216"/>
        <v>5535886382132.1396</v>
      </c>
      <c r="L6045" s="444">
        <f t="shared" ca="1" si="217"/>
        <v>1334148618093845.8</v>
      </c>
      <c r="M6045" s="460">
        <f t="shared" si="219"/>
        <v>0.05</v>
      </c>
      <c r="N6045" s="464">
        <f t="shared" si="220"/>
        <v>235034</v>
      </c>
    </row>
    <row r="6046" spans="7:14" ht="11.25" customHeight="1" x14ac:dyDescent="0.3">
      <c r="G6046" s="459"/>
      <c r="H6046" s="459">
        <v>6039</v>
      </c>
      <c r="I6046" s="444">
        <f t="shared" ca="1" si="218"/>
        <v>1334148618093845.8</v>
      </c>
      <c r="J6046" s="444">
        <f t="array" ref="J6046">IFERROR(INDEX('Retirement Calculator'!J:J,MATCH('Isaac 401k'!N6046,'Retirement Calculator'!A:A,0),0),0)</f>
        <v>0</v>
      </c>
      <c r="K6046" s="444">
        <f t="shared" ca="1" si="216"/>
        <v>5558952575391.0234</v>
      </c>
      <c r="L6046" s="444">
        <f t="shared" ca="1" si="217"/>
        <v>1339707570669236.8</v>
      </c>
      <c r="M6046" s="460">
        <f t="shared" si="219"/>
        <v>0.05</v>
      </c>
      <c r="N6046" s="464">
        <f t="shared" si="220"/>
        <v>235065</v>
      </c>
    </row>
    <row r="6047" spans="7:14" ht="11.25" customHeight="1" x14ac:dyDescent="0.3">
      <c r="G6047" s="459"/>
      <c r="H6047" s="459">
        <v>6040</v>
      </c>
      <c r="I6047" s="444">
        <f t="shared" ca="1" si="218"/>
        <v>1339707570669236.8</v>
      </c>
      <c r="J6047" s="444">
        <f t="array" ref="J6047">IFERROR(INDEX('Retirement Calculator'!J:J,MATCH('Isaac 401k'!N6047,'Retirement Calculator'!A:A,0),0),0)</f>
        <v>0</v>
      </c>
      <c r="K6047" s="444">
        <f t="shared" ca="1" si="216"/>
        <v>5582114877788.4863</v>
      </c>
      <c r="L6047" s="444">
        <f t="shared" ca="1" si="217"/>
        <v>1345289685547025.3</v>
      </c>
      <c r="M6047" s="460">
        <f t="shared" si="219"/>
        <v>0.05</v>
      </c>
      <c r="N6047" s="464">
        <f t="shared" si="220"/>
        <v>235096</v>
      </c>
    </row>
    <row r="6048" spans="7:14" ht="11.25" customHeight="1" x14ac:dyDescent="0.3">
      <c r="G6048" s="459"/>
      <c r="H6048" s="459">
        <v>6041</v>
      </c>
      <c r="I6048" s="444">
        <f t="shared" ca="1" si="218"/>
        <v>1345289685547025.3</v>
      </c>
      <c r="J6048" s="444">
        <f t="array" ref="J6048">IFERROR(INDEX('Retirement Calculator'!J:J,MATCH('Isaac 401k'!N6048,'Retirement Calculator'!A:A,0),0),0)</f>
        <v>0</v>
      </c>
      <c r="K6048" s="444">
        <f t="shared" ca="1" si="216"/>
        <v>5605373689779.2715</v>
      </c>
      <c r="L6048" s="444">
        <f t="shared" ca="1" si="217"/>
        <v>1350895059236804.5</v>
      </c>
      <c r="M6048" s="460">
        <f t="shared" si="219"/>
        <v>0.05</v>
      </c>
      <c r="N6048" s="464">
        <f t="shared" si="220"/>
        <v>235126</v>
      </c>
    </row>
    <row r="6049" spans="7:14" ht="11.25" customHeight="1" x14ac:dyDescent="0.3">
      <c r="G6049" s="459"/>
      <c r="H6049" s="459">
        <v>6042</v>
      </c>
      <c r="I6049" s="444">
        <f t="shared" ca="1" si="218"/>
        <v>1350895059236804.5</v>
      </c>
      <c r="J6049" s="444">
        <f t="array" ref="J6049">IFERROR(INDEX('Retirement Calculator'!J:J,MATCH('Isaac 401k'!N6049,'Retirement Calculator'!A:A,0),0),0)</f>
        <v>0</v>
      </c>
      <c r="K6049" s="444">
        <f t="shared" ca="1" si="216"/>
        <v>5628729413486.6855</v>
      </c>
      <c r="L6049" s="444">
        <f t="shared" ca="1" si="217"/>
        <v>1356523788650291.3</v>
      </c>
      <c r="M6049" s="460">
        <f t="shared" si="219"/>
        <v>0.05</v>
      </c>
      <c r="N6049" s="464">
        <f t="shared" si="220"/>
        <v>235157</v>
      </c>
    </row>
    <row r="6050" spans="7:14" ht="11.25" customHeight="1" x14ac:dyDescent="0.3">
      <c r="G6050" s="459"/>
      <c r="H6050" s="459">
        <v>6043</v>
      </c>
      <c r="I6050" s="444">
        <f t="shared" ca="1" si="218"/>
        <v>1356523788650291.3</v>
      </c>
      <c r="J6050" s="444">
        <f t="array" ref="J6050">IFERROR(INDEX('Retirement Calculator'!J:J,MATCH('Isaac 401k'!N6050,'Retirement Calculator'!A:A,0),0),0)</f>
        <v>0</v>
      </c>
      <c r="K6050" s="444">
        <f t="shared" ca="1" si="216"/>
        <v>5652182452709.5469</v>
      </c>
      <c r="L6050" s="444">
        <f t="shared" ca="1" si="217"/>
        <v>1362175971103000.8</v>
      </c>
      <c r="M6050" s="460">
        <f t="shared" si="219"/>
        <v>0.05</v>
      </c>
      <c r="N6050" s="464">
        <f t="shared" si="220"/>
        <v>235187</v>
      </c>
    </row>
    <row r="6051" spans="7:14" ht="11.25" customHeight="1" x14ac:dyDescent="0.3">
      <c r="G6051" s="459"/>
      <c r="H6051" s="459">
        <v>6044</v>
      </c>
      <c r="I6051" s="444">
        <f t="shared" ca="1" si="218"/>
        <v>1362175971103000.8</v>
      </c>
      <c r="J6051" s="444">
        <f t="array" ref="J6051">IFERROR(INDEX('Retirement Calculator'!J:J,MATCH('Isaac 401k'!N6051,'Retirement Calculator'!A:A,0),0),0)</f>
        <v>0</v>
      </c>
      <c r="K6051" s="444">
        <f t="shared" ca="1" si="216"/>
        <v>5675733212929.1699</v>
      </c>
      <c r="L6051" s="444">
        <f t="shared" ca="1" si="217"/>
        <v>1367851704315930</v>
      </c>
      <c r="M6051" s="460">
        <f t="shared" si="219"/>
        <v>0.05</v>
      </c>
      <c r="N6051" s="464">
        <f t="shared" si="220"/>
        <v>235218</v>
      </c>
    </row>
    <row r="6052" spans="7:14" ht="11.25" customHeight="1" x14ac:dyDescent="0.3">
      <c r="G6052" s="459"/>
      <c r="H6052" s="459">
        <v>6045</v>
      </c>
      <c r="I6052" s="444">
        <f t="shared" ca="1" si="218"/>
        <v>1367851704315930</v>
      </c>
      <c r="J6052" s="444">
        <f t="array" ref="J6052">IFERROR(INDEX('Retirement Calculator'!J:J,MATCH('Isaac 401k'!N6052,'Retirement Calculator'!A:A,0),0),0)</f>
        <v>0</v>
      </c>
      <c r="K6052" s="444">
        <f t="shared" ca="1" si="216"/>
        <v>5699382101316.375</v>
      </c>
      <c r="L6052" s="444">
        <f t="shared" ca="1" si="217"/>
        <v>1373551086417246.5</v>
      </c>
      <c r="M6052" s="460">
        <f t="shared" si="219"/>
        <v>0.05</v>
      </c>
      <c r="N6052" s="464">
        <f t="shared" si="220"/>
        <v>235249</v>
      </c>
    </row>
    <row r="6053" spans="7:14" ht="11.25" customHeight="1" x14ac:dyDescent="0.3">
      <c r="G6053" s="459"/>
      <c r="H6053" s="459">
        <v>6046</v>
      </c>
      <c r="I6053" s="444">
        <f t="shared" ca="1" si="218"/>
        <v>1373551086417246.5</v>
      </c>
      <c r="J6053" s="444">
        <f t="array" ref="J6053">IFERROR(INDEX('Retirement Calculator'!J:J,MATCH('Isaac 401k'!N6053,'Retirement Calculator'!A:A,0),0),0)</f>
        <v>0</v>
      </c>
      <c r="K6053" s="444">
        <f t="shared" ca="1" si="216"/>
        <v>5723129526738.5273</v>
      </c>
      <c r="L6053" s="444">
        <f t="shared" ca="1" si="217"/>
        <v>1379274215943985</v>
      </c>
      <c r="M6053" s="460">
        <f t="shared" si="219"/>
        <v>0.05</v>
      </c>
      <c r="N6053" s="464">
        <f t="shared" si="220"/>
        <v>235278</v>
      </c>
    </row>
    <row r="6054" spans="7:14" ht="11.25" customHeight="1" x14ac:dyDescent="0.3">
      <c r="G6054" s="459"/>
      <c r="H6054" s="459">
        <v>6047</v>
      </c>
      <c r="I6054" s="444">
        <f t="shared" ca="1" si="218"/>
        <v>1379274215943985</v>
      </c>
      <c r="J6054" s="444">
        <f t="array" ref="J6054">IFERROR(INDEX('Retirement Calculator'!J:J,MATCH('Isaac 401k'!N6054,'Retirement Calculator'!A:A,0),0),0)</f>
        <v>0</v>
      </c>
      <c r="K6054" s="444">
        <f t="shared" ca="1" si="216"/>
        <v>5746975899766.6045</v>
      </c>
      <c r="L6054" s="444">
        <f t="shared" ca="1" si="217"/>
        <v>1385021191843751.5</v>
      </c>
      <c r="M6054" s="460">
        <f t="shared" si="219"/>
        <v>0.05</v>
      </c>
      <c r="N6054" s="464">
        <f t="shared" si="220"/>
        <v>235309</v>
      </c>
    </row>
    <row r="6055" spans="7:14" ht="11.25" customHeight="1" x14ac:dyDescent="0.3">
      <c r="G6055" s="459"/>
      <c r="H6055" s="459">
        <v>6048</v>
      </c>
      <c r="I6055" s="444">
        <f t="shared" ca="1" si="218"/>
        <v>1385021191843751.5</v>
      </c>
      <c r="J6055" s="444">
        <f t="array" ref="J6055">IFERROR(INDEX('Retirement Calculator'!J:J,MATCH('Isaac 401k'!N6055,'Retirement Calculator'!A:A,0),0),0)</f>
        <v>0</v>
      </c>
      <c r="K6055" s="444">
        <f t="shared" ca="1" si="216"/>
        <v>5770921632682.2979</v>
      </c>
      <c r="L6055" s="444">
        <f t="shared" ca="1" si="217"/>
        <v>1390792113476433.8</v>
      </c>
      <c r="M6055" s="460">
        <f t="shared" si="219"/>
        <v>0.05</v>
      </c>
      <c r="N6055" s="464">
        <f t="shared" si="220"/>
        <v>235339</v>
      </c>
    </row>
    <row r="6056" spans="7:14" ht="11.25" customHeight="1" x14ac:dyDescent="0.3">
      <c r="G6056" s="459"/>
      <c r="H6056" s="459">
        <v>6049</v>
      </c>
      <c r="I6056" s="444">
        <f t="shared" ca="1" si="218"/>
        <v>1390792113476433.8</v>
      </c>
      <c r="J6056" s="444">
        <f t="array" ref="J6056">IFERROR(INDEX('Retirement Calculator'!J:J,MATCH('Isaac 401k'!N6056,'Retirement Calculator'!A:A,0),0),0)</f>
        <v>0</v>
      </c>
      <c r="K6056" s="444">
        <f t="shared" ca="1" si="216"/>
        <v>5794967139485.1406</v>
      </c>
      <c r="L6056" s="444">
        <f t="shared" ca="1" si="217"/>
        <v>1396587080615919</v>
      </c>
      <c r="M6056" s="460">
        <f t="shared" si="219"/>
        <v>0.05</v>
      </c>
      <c r="N6056" s="464">
        <f t="shared" si="220"/>
        <v>235370</v>
      </c>
    </row>
    <row r="6057" spans="7:14" ht="11.25" customHeight="1" x14ac:dyDescent="0.3">
      <c r="G6057" s="459"/>
      <c r="H6057" s="459">
        <v>6050</v>
      </c>
      <c r="I6057" s="444">
        <f t="shared" ca="1" si="218"/>
        <v>1396587080615919</v>
      </c>
      <c r="J6057" s="444">
        <f t="array" ref="J6057">IFERROR(INDEX('Retirement Calculator'!J:J,MATCH('Isaac 401k'!N6057,'Retirement Calculator'!A:A,0),0),0)</f>
        <v>0</v>
      </c>
      <c r="K6057" s="444">
        <f t="shared" ca="1" si="216"/>
        <v>5819112835899.6621</v>
      </c>
      <c r="L6057" s="444">
        <f t="shared" ca="1" si="217"/>
        <v>1402406193451818.8</v>
      </c>
      <c r="M6057" s="460">
        <f t="shared" si="219"/>
        <v>0.05</v>
      </c>
      <c r="N6057" s="464">
        <f t="shared" si="220"/>
        <v>235400</v>
      </c>
    </row>
    <row r="6058" spans="7:14" ht="11.25" customHeight="1" x14ac:dyDescent="0.3">
      <c r="G6058" s="459"/>
      <c r="H6058" s="459">
        <v>6051</v>
      </c>
      <c r="I6058" s="444">
        <f t="shared" ca="1" si="218"/>
        <v>1402406193451818.8</v>
      </c>
      <c r="J6058" s="444">
        <f t="array" ref="J6058">IFERROR(INDEX('Retirement Calculator'!J:J,MATCH('Isaac 401k'!N6058,'Retirement Calculator'!A:A,0),0),0)</f>
        <v>0</v>
      </c>
      <c r="K6058" s="444">
        <f t="shared" ca="1" si="216"/>
        <v>5843359139382.5781</v>
      </c>
      <c r="L6058" s="444">
        <f t="shared" ca="1" si="217"/>
        <v>1408249552591201.3</v>
      </c>
      <c r="M6058" s="460">
        <f t="shared" si="219"/>
        <v>0.05</v>
      </c>
      <c r="N6058" s="464">
        <f t="shared" si="220"/>
        <v>235431</v>
      </c>
    </row>
    <row r="6059" spans="7:14" ht="11.25" customHeight="1" x14ac:dyDescent="0.3">
      <c r="G6059" s="459"/>
      <c r="H6059" s="459">
        <v>6052</v>
      </c>
      <c r="I6059" s="444">
        <f t="shared" ca="1" si="218"/>
        <v>1408249552591201.3</v>
      </c>
      <c r="J6059" s="444">
        <f t="array" ref="J6059">IFERROR(INDEX('Retirement Calculator'!J:J,MATCH('Isaac 401k'!N6059,'Retirement Calculator'!A:A,0),0),0)</f>
        <v>0</v>
      </c>
      <c r="K6059" s="444">
        <f t="shared" ca="1" si="216"/>
        <v>5867706469130.0049</v>
      </c>
      <c r="L6059" s="444">
        <f t="shared" ca="1" si="217"/>
        <v>1414117259060331.3</v>
      </c>
      <c r="M6059" s="460">
        <f t="shared" si="219"/>
        <v>0.05</v>
      </c>
      <c r="N6059" s="464">
        <f t="shared" si="220"/>
        <v>235462</v>
      </c>
    </row>
    <row r="6060" spans="7:14" ht="11.25" customHeight="1" x14ac:dyDescent="0.3">
      <c r="G6060" s="459"/>
      <c r="H6060" s="459">
        <v>6053</v>
      </c>
      <c r="I6060" s="444">
        <f t="shared" ca="1" si="218"/>
        <v>1414117259060331.3</v>
      </c>
      <c r="J6060" s="444">
        <f t="array" ref="J6060">IFERROR(INDEX('Retirement Calculator'!J:J,MATCH('Isaac 401k'!N6060,'Retirement Calculator'!A:A,0),0),0)</f>
        <v>0</v>
      </c>
      <c r="K6060" s="444">
        <f t="shared" ca="1" si="216"/>
        <v>5892155246084.7139</v>
      </c>
      <c r="L6060" s="444">
        <f t="shared" ca="1" si="217"/>
        <v>1420009414306416</v>
      </c>
      <c r="M6060" s="460">
        <f t="shared" si="219"/>
        <v>0.05</v>
      </c>
      <c r="N6060" s="464">
        <f t="shared" si="220"/>
        <v>235492</v>
      </c>
    </row>
    <row r="6061" spans="7:14" ht="11.25" customHeight="1" x14ac:dyDescent="0.3">
      <c r="G6061" s="459"/>
      <c r="H6061" s="459">
        <v>6054</v>
      </c>
      <c r="I6061" s="444">
        <f t="shared" ca="1" si="218"/>
        <v>1420009414306416</v>
      </c>
      <c r="J6061" s="444">
        <f t="array" ref="J6061">IFERROR(INDEX('Retirement Calculator'!J:J,MATCH('Isaac 401k'!N6061,'Retirement Calculator'!A:A,0),0),0)</f>
        <v>0</v>
      </c>
      <c r="K6061" s="444">
        <f t="shared" ca="1" si="216"/>
        <v>5916705892943.4004</v>
      </c>
      <c r="L6061" s="444">
        <f t="shared" ca="1" si="217"/>
        <v>1425926120199359.5</v>
      </c>
      <c r="M6061" s="460">
        <f t="shared" si="219"/>
        <v>0.05</v>
      </c>
      <c r="N6061" s="464">
        <f t="shared" si="220"/>
        <v>235523</v>
      </c>
    </row>
    <row r="6062" spans="7:14" ht="11.25" customHeight="1" x14ac:dyDescent="0.3">
      <c r="G6062" s="459"/>
      <c r="H6062" s="459">
        <v>6055</v>
      </c>
      <c r="I6062" s="444">
        <f t="shared" ca="1" si="218"/>
        <v>1425926120199359.5</v>
      </c>
      <c r="J6062" s="444">
        <f t="array" ref="J6062">IFERROR(INDEX('Retirement Calculator'!J:J,MATCH('Isaac 401k'!N6062,'Retirement Calculator'!A:A,0),0),0)</f>
        <v>0</v>
      </c>
      <c r="K6062" s="444">
        <f t="shared" ca="1" si="216"/>
        <v>5941358834163.998</v>
      </c>
      <c r="L6062" s="444">
        <f t="shared" ca="1" si="217"/>
        <v>1431867479033523.5</v>
      </c>
      <c r="M6062" s="460">
        <f t="shared" si="219"/>
        <v>0.05</v>
      </c>
      <c r="N6062" s="464">
        <f t="shared" si="220"/>
        <v>235553</v>
      </c>
    </row>
    <row r="6063" spans="7:14" ht="11.25" customHeight="1" x14ac:dyDescent="0.3">
      <c r="G6063" s="459"/>
      <c r="H6063" s="459">
        <v>6056</v>
      </c>
      <c r="I6063" s="444">
        <f t="shared" ca="1" si="218"/>
        <v>1431867479033523.5</v>
      </c>
      <c r="J6063" s="444">
        <f t="array" ref="J6063">IFERROR(INDEX('Retirement Calculator'!J:J,MATCH('Isaac 401k'!N6063,'Retirement Calculator'!A:A,0),0),0)</f>
        <v>0</v>
      </c>
      <c r="K6063" s="444">
        <f t="shared" ca="1" si="216"/>
        <v>5966114495973.0146</v>
      </c>
      <c r="L6063" s="444">
        <f t="shared" ca="1" si="217"/>
        <v>1437833593529496.5</v>
      </c>
      <c r="M6063" s="460">
        <f t="shared" si="219"/>
        <v>0.05</v>
      </c>
      <c r="N6063" s="464">
        <f t="shared" si="220"/>
        <v>235584</v>
      </c>
    </row>
    <row r="6064" spans="7:14" ht="11.25" customHeight="1" x14ac:dyDescent="0.3">
      <c r="G6064" s="459"/>
      <c r="H6064" s="459">
        <v>6057</v>
      </c>
      <c r="I6064" s="444">
        <f t="shared" ca="1" si="218"/>
        <v>1437833593529496.5</v>
      </c>
      <c r="J6064" s="444">
        <f t="array" ref="J6064">IFERROR(INDEX('Retirement Calculator'!J:J,MATCH('Isaac 401k'!N6064,'Retirement Calculator'!A:A,0),0),0)</f>
        <v>0</v>
      </c>
      <c r="K6064" s="444">
        <f t="shared" ca="1" si="216"/>
        <v>5990973306372.9023</v>
      </c>
      <c r="L6064" s="444">
        <f t="shared" ca="1" si="217"/>
        <v>1443824566835869.5</v>
      </c>
      <c r="M6064" s="460">
        <f t="shared" si="219"/>
        <v>0.05</v>
      </c>
      <c r="N6064" s="464">
        <f t="shared" si="220"/>
        <v>235615</v>
      </c>
    </row>
    <row r="6065" spans="7:14" ht="11.25" customHeight="1" x14ac:dyDescent="0.3">
      <c r="G6065" s="459"/>
      <c r="H6065" s="459">
        <v>6058</v>
      </c>
      <c r="I6065" s="444">
        <f t="shared" ca="1" si="218"/>
        <v>1443824566835869.5</v>
      </c>
      <c r="J6065" s="444">
        <f t="array" ref="J6065">IFERROR(INDEX('Retirement Calculator'!J:J,MATCH('Isaac 401k'!N6065,'Retirement Calculator'!A:A,0),0),0)</f>
        <v>0</v>
      </c>
      <c r="K6065" s="444">
        <f t="shared" ca="1" si="216"/>
        <v>6015935695149.4561</v>
      </c>
      <c r="L6065" s="444">
        <f t="shared" ca="1" si="217"/>
        <v>1449840502531019</v>
      </c>
      <c r="M6065" s="460">
        <f t="shared" si="219"/>
        <v>0.05</v>
      </c>
      <c r="N6065" s="464">
        <f t="shared" si="220"/>
        <v>235643</v>
      </c>
    </row>
    <row r="6066" spans="7:14" ht="11.25" customHeight="1" x14ac:dyDescent="0.3">
      <c r="G6066" s="459"/>
      <c r="H6066" s="459">
        <v>6059</v>
      </c>
      <c r="I6066" s="444">
        <f t="shared" ca="1" si="218"/>
        <v>1449840502531019</v>
      </c>
      <c r="J6066" s="444">
        <f t="array" ref="J6066">IFERROR(INDEX('Retirement Calculator'!J:J,MATCH('Isaac 401k'!N6066,'Retirement Calculator'!A:A,0),0),0)</f>
        <v>0</v>
      </c>
      <c r="K6066" s="444">
        <f t="shared" ca="1" si="216"/>
        <v>6041002093879.2461</v>
      </c>
      <c r="L6066" s="444">
        <f t="shared" ca="1" si="217"/>
        <v>1455881504624898.3</v>
      </c>
      <c r="M6066" s="460">
        <f t="shared" si="219"/>
        <v>0.05</v>
      </c>
      <c r="N6066" s="464">
        <f t="shared" si="220"/>
        <v>235674</v>
      </c>
    </row>
    <row r="6067" spans="7:14" ht="11.25" customHeight="1" x14ac:dyDescent="0.3">
      <c r="G6067" s="459"/>
      <c r="H6067" s="459">
        <v>6060</v>
      </c>
      <c r="I6067" s="444">
        <f t="shared" ca="1" si="218"/>
        <v>1455881504624898.3</v>
      </c>
      <c r="J6067" s="444">
        <f t="array" ref="J6067">IFERROR(INDEX('Retirement Calculator'!J:J,MATCH('Isaac 401k'!N6067,'Retirement Calculator'!A:A,0),0),0)</f>
        <v>0</v>
      </c>
      <c r="K6067" s="444">
        <f t="shared" ca="1" si="216"/>
        <v>6066172935937.0762</v>
      </c>
      <c r="L6067" s="444">
        <f t="shared" ca="1" si="217"/>
        <v>1461947677560835.3</v>
      </c>
      <c r="M6067" s="460">
        <f t="shared" si="219"/>
        <v>0.05</v>
      </c>
      <c r="N6067" s="464">
        <f t="shared" si="220"/>
        <v>235704</v>
      </c>
    </row>
    <row r="6068" spans="7:14" ht="11.25" customHeight="1" x14ac:dyDescent="0.3">
      <c r="G6068" s="459"/>
      <c r="H6068" s="459">
        <v>6061</v>
      </c>
      <c r="I6068" s="444">
        <f t="shared" ca="1" si="218"/>
        <v>1461947677560835.3</v>
      </c>
      <c r="J6068" s="444">
        <f t="array" ref="J6068">IFERROR(INDEX('Retirement Calculator'!J:J,MATCH('Isaac 401k'!N6068,'Retirement Calculator'!A:A,0),0),0)</f>
        <v>0</v>
      </c>
      <c r="K6068" s="444">
        <f t="shared" ca="1" si="216"/>
        <v>6091448656503.4805</v>
      </c>
      <c r="L6068" s="444">
        <f t="shared" ca="1" si="217"/>
        <v>1468039126217338.8</v>
      </c>
      <c r="M6068" s="460">
        <f t="shared" si="219"/>
        <v>0.05</v>
      </c>
      <c r="N6068" s="464">
        <f t="shared" si="220"/>
        <v>235735</v>
      </c>
    </row>
    <row r="6069" spans="7:14" ht="11.25" customHeight="1" x14ac:dyDescent="0.3">
      <c r="G6069" s="459"/>
      <c r="H6069" s="459">
        <v>6062</v>
      </c>
      <c r="I6069" s="444">
        <f t="shared" ca="1" si="218"/>
        <v>1468039126217338.8</v>
      </c>
      <c r="J6069" s="444">
        <f t="array" ref="J6069">IFERROR(INDEX('Retirement Calculator'!J:J,MATCH('Isaac 401k'!N6069,'Retirement Calculator'!A:A,0),0),0)</f>
        <v>0</v>
      </c>
      <c r="K6069" s="444">
        <f t="shared" ca="1" si="216"/>
        <v>6116829692572.2451</v>
      </c>
      <c r="L6069" s="444">
        <f t="shared" ca="1" si="217"/>
        <v>1474155955909911</v>
      </c>
      <c r="M6069" s="460">
        <f t="shared" si="219"/>
        <v>0.05</v>
      </c>
      <c r="N6069" s="464">
        <f t="shared" si="220"/>
        <v>235765</v>
      </c>
    </row>
    <row r="6070" spans="7:14" ht="11.25" customHeight="1" x14ac:dyDescent="0.3">
      <c r="G6070" s="459"/>
      <c r="H6070" s="459">
        <v>6063</v>
      </c>
      <c r="I6070" s="444">
        <f t="shared" ca="1" si="218"/>
        <v>1474155955909911</v>
      </c>
      <c r="J6070" s="444">
        <f t="array" ref="J6070">IFERROR(INDEX('Retirement Calculator'!J:J,MATCH('Isaac 401k'!N6070,'Retirement Calculator'!A:A,0),0),0)</f>
        <v>0</v>
      </c>
      <c r="K6070" s="444">
        <f t="shared" ca="1" si="216"/>
        <v>6142316482957.9629</v>
      </c>
      <c r="L6070" s="444">
        <f t="shared" ca="1" si="217"/>
        <v>1480298272392869</v>
      </c>
      <c r="M6070" s="460">
        <f t="shared" si="219"/>
        <v>0.05</v>
      </c>
      <c r="N6070" s="464">
        <f t="shared" si="220"/>
        <v>235796</v>
      </c>
    </row>
    <row r="6071" spans="7:14" ht="11.25" customHeight="1" x14ac:dyDescent="0.3">
      <c r="G6071" s="459"/>
      <c r="H6071" s="459">
        <v>6064</v>
      </c>
      <c r="I6071" s="444">
        <f t="shared" ca="1" si="218"/>
        <v>1480298272392869</v>
      </c>
      <c r="J6071" s="444">
        <f t="array" ref="J6071">IFERROR(INDEX('Retirement Calculator'!J:J,MATCH('Isaac 401k'!N6071,'Retirement Calculator'!A:A,0),0),0)</f>
        <v>0</v>
      </c>
      <c r="K6071" s="444">
        <f t="shared" ca="1" si="216"/>
        <v>6167909468303.6211</v>
      </c>
      <c r="L6071" s="444">
        <f t="shared" ca="1" si="217"/>
        <v>1486466181861172.5</v>
      </c>
      <c r="M6071" s="460">
        <f t="shared" si="219"/>
        <v>0.05</v>
      </c>
      <c r="N6071" s="464">
        <f t="shared" si="220"/>
        <v>235827</v>
      </c>
    </row>
    <row r="6072" spans="7:14" ht="11.25" customHeight="1" x14ac:dyDescent="0.3">
      <c r="G6072" s="459"/>
      <c r="H6072" s="459">
        <v>6065</v>
      </c>
      <c r="I6072" s="444">
        <f t="shared" ca="1" si="218"/>
        <v>1486466181861172.5</v>
      </c>
      <c r="J6072" s="444">
        <f t="array" ref="J6072">IFERROR(INDEX('Retirement Calculator'!J:J,MATCH('Isaac 401k'!N6072,'Retirement Calculator'!A:A,0),0),0)</f>
        <v>0</v>
      </c>
      <c r="K6072" s="444">
        <f t="shared" ca="1" si="216"/>
        <v>6193609091088.2188</v>
      </c>
      <c r="L6072" s="444">
        <f t="shared" ca="1" si="217"/>
        <v>1492659790952260.8</v>
      </c>
      <c r="M6072" s="460">
        <f t="shared" si="219"/>
        <v>0.05</v>
      </c>
      <c r="N6072" s="464">
        <f t="shared" si="220"/>
        <v>235857</v>
      </c>
    </row>
    <row r="6073" spans="7:14" ht="11.25" customHeight="1" x14ac:dyDescent="0.3">
      <c r="G6073" s="459"/>
      <c r="H6073" s="459">
        <v>6066</v>
      </c>
      <c r="I6073" s="444">
        <f t="shared" ca="1" si="218"/>
        <v>1492659790952260.8</v>
      </c>
      <c r="J6073" s="444">
        <f t="array" ref="J6073">IFERROR(INDEX('Retirement Calculator'!J:J,MATCH('Isaac 401k'!N6073,'Retirement Calculator'!A:A,0),0),0)</f>
        <v>0</v>
      </c>
      <c r="K6073" s="444">
        <f t="shared" ca="1" si="216"/>
        <v>6219415795634.4199</v>
      </c>
      <c r="L6073" s="444">
        <f t="shared" ca="1" si="217"/>
        <v>1498879206747895.3</v>
      </c>
      <c r="M6073" s="460">
        <f t="shared" si="219"/>
        <v>0.05</v>
      </c>
      <c r="N6073" s="464">
        <f t="shared" si="220"/>
        <v>235888</v>
      </c>
    </row>
    <row r="6074" spans="7:14" ht="11.25" customHeight="1" x14ac:dyDescent="0.3">
      <c r="G6074" s="459"/>
      <c r="H6074" s="459">
        <v>6067</v>
      </c>
      <c r="I6074" s="444">
        <f t="shared" ca="1" si="218"/>
        <v>1498879206747895.3</v>
      </c>
      <c r="J6074" s="444">
        <f t="array" ref="J6074">IFERROR(INDEX('Retirement Calculator'!J:J,MATCH('Isaac 401k'!N6074,'Retirement Calculator'!A:A,0),0),0)</f>
        <v>0</v>
      </c>
      <c r="K6074" s="444">
        <f t="shared" ca="1" si="216"/>
        <v>6245330028116.2305</v>
      </c>
      <c r="L6074" s="444">
        <f t="shared" ca="1" si="217"/>
        <v>1505124536776011.5</v>
      </c>
      <c r="M6074" s="460">
        <f t="shared" si="219"/>
        <v>0.05</v>
      </c>
      <c r="N6074" s="464">
        <f t="shared" si="220"/>
        <v>235918</v>
      </c>
    </row>
    <row r="6075" spans="7:14" ht="11.25" customHeight="1" x14ac:dyDescent="0.3">
      <c r="G6075" s="459"/>
      <c r="H6075" s="459">
        <v>6068</v>
      </c>
      <c r="I6075" s="444">
        <f t="shared" ca="1" si="218"/>
        <v>1505124536776011.5</v>
      </c>
      <c r="J6075" s="444">
        <f t="array" ref="J6075">IFERROR(INDEX('Retirement Calculator'!J:J,MATCH('Isaac 401k'!N6075,'Retirement Calculator'!A:A,0),0),0)</f>
        <v>0</v>
      </c>
      <c r="K6075" s="444">
        <f t="shared" ca="1" si="216"/>
        <v>6271352236566.7148</v>
      </c>
      <c r="L6075" s="444">
        <f t="shared" ca="1" si="217"/>
        <v>1511395889012578.3</v>
      </c>
      <c r="M6075" s="460">
        <f t="shared" si="219"/>
        <v>0.05</v>
      </c>
      <c r="N6075" s="464">
        <f t="shared" si="220"/>
        <v>235949</v>
      </c>
    </row>
    <row r="6076" spans="7:14" ht="11.25" customHeight="1" x14ac:dyDescent="0.3">
      <c r="G6076" s="459"/>
      <c r="H6076" s="459">
        <v>6069</v>
      </c>
      <c r="I6076" s="444">
        <f t="shared" ca="1" si="218"/>
        <v>1511395889012578.3</v>
      </c>
      <c r="J6076" s="444">
        <f t="array" ref="J6076">IFERROR(INDEX('Retirement Calculator'!J:J,MATCH('Isaac 401k'!N6076,'Retirement Calculator'!A:A,0),0),0)</f>
        <v>0</v>
      </c>
      <c r="K6076" s="444">
        <f t="shared" ca="1" si="216"/>
        <v>6297482870885.7422</v>
      </c>
      <c r="L6076" s="444">
        <f t="shared" ca="1" si="217"/>
        <v>1517693371883464</v>
      </c>
      <c r="M6076" s="460">
        <f t="shared" si="219"/>
        <v>0.05</v>
      </c>
      <c r="N6076" s="464">
        <f t="shared" si="220"/>
        <v>235980</v>
      </c>
    </row>
    <row r="6077" spans="7:14" ht="11.25" customHeight="1" x14ac:dyDescent="0.3">
      <c r="G6077" s="459"/>
      <c r="H6077" s="459">
        <v>6070</v>
      </c>
      <c r="I6077" s="444">
        <f t="shared" ca="1" si="218"/>
        <v>1517693371883464</v>
      </c>
      <c r="J6077" s="444">
        <f t="array" ref="J6077">IFERROR(INDEX('Retirement Calculator'!J:J,MATCH('Isaac 401k'!N6077,'Retirement Calculator'!A:A,0),0),0)</f>
        <v>0</v>
      </c>
      <c r="K6077" s="444">
        <f t="shared" ca="1" si="216"/>
        <v>6323722382847.7666</v>
      </c>
      <c r="L6077" s="444">
        <f t="shared" ca="1" si="217"/>
        <v>1524017094266311.8</v>
      </c>
      <c r="M6077" s="460">
        <f t="shared" si="219"/>
        <v>0.05</v>
      </c>
      <c r="N6077" s="464">
        <f t="shared" si="220"/>
        <v>236008</v>
      </c>
    </row>
    <row r="6078" spans="7:14" ht="11.25" customHeight="1" x14ac:dyDescent="0.3">
      <c r="G6078" s="459"/>
      <c r="H6078" s="459">
        <v>6071</v>
      </c>
      <c r="I6078" s="444">
        <f t="shared" ca="1" si="218"/>
        <v>1524017094266311.8</v>
      </c>
      <c r="J6078" s="444">
        <f t="array" ref="J6078">IFERROR(INDEX('Retirement Calculator'!J:J,MATCH('Isaac 401k'!N6078,'Retirement Calculator'!A:A,0),0),0)</f>
        <v>0</v>
      </c>
      <c r="K6078" s="444">
        <f t="shared" ca="1" si="216"/>
        <v>6350071226109.6318</v>
      </c>
      <c r="L6078" s="444">
        <f t="shared" ca="1" si="217"/>
        <v>1530367165492421.5</v>
      </c>
      <c r="M6078" s="460">
        <f t="shared" si="219"/>
        <v>0.05</v>
      </c>
      <c r="N6078" s="464">
        <f t="shared" si="220"/>
        <v>236039</v>
      </c>
    </row>
    <row r="6079" spans="7:14" ht="11.25" customHeight="1" x14ac:dyDescent="0.3">
      <c r="G6079" s="459"/>
      <c r="H6079" s="459">
        <v>6072</v>
      </c>
      <c r="I6079" s="444">
        <f t="shared" ca="1" si="218"/>
        <v>1530367165492421.5</v>
      </c>
      <c r="J6079" s="444">
        <f t="array" ref="J6079">IFERROR(INDEX('Retirement Calculator'!J:J,MATCH('Isaac 401k'!N6079,'Retirement Calculator'!A:A,0),0),0)</f>
        <v>0</v>
      </c>
      <c r="K6079" s="444">
        <f t="shared" ca="1" si="216"/>
        <v>6376529856218.4229</v>
      </c>
      <c r="L6079" s="444">
        <f t="shared" ca="1" si="217"/>
        <v>1536743695348640</v>
      </c>
      <c r="M6079" s="460">
        <f t="shared" si="219"/>
        <v>0.05</v>
      </c>
      <c r="N6079" s="464">
        <f t="shared" si="220"/>
        <v>236069</v>
      </c>
    </row>
    <row r="6080" spans="7:14" ht="11.25" customHeight="1" x14ac:dyDescent="0.3">
      <c r="G6080" s="459"/>
      <c r="H6080" s="459">
        <v>6073</v>
      </c>
      <c r="I6080" s="444">
        <f t="shared" ca="1" si="218"/>
        <v>1536743695348640</v>
      </c>
      <c r="J6080" s="444">
        <f t="array" ref="J6080">IFERROR(INDEX('Retirement Calculator'!J:J,MATCH('Isaac 401k'!N6080,'Retirement Calculator'!A:A,0),0),0)</f>
        <v>0</v>
      </c>
      <c r="K6080" s="444">
        <f t="shared" ca="1" si="216"/>
        <v>6403098730619.333</v>
      </c>
      <c r="L6080" s="444">
        <f t="shared" ca="1" si="217"/>
        <v>1543146794079259.3</v>
      </c>
      <c r="M6080" s="460">
        <f t="shared" si="219"/>
        <v>0.05</v>
      </c>
      <c r="N6080" s="464">
        <f t="shared" si="220"/>
        <v>236100</v>
      </c>
    </row>
    <row r="6081" spans="7:14" ht="11.25" customHeight="1" x14ac:dyDescent="0.3">
      <c r="G6081" s="459"/>
      <c r="H6081" s="459">
        <v>6074</v>
      </c>
      <c r="I6081" s="444">
        <f t="shared" ca="1" si="218"/>
        <v>1543146794079259.3</v>
      </c>
      <c r="J6081" s="444">
        <f t="array" ref="J6081">IFERROR(INDEX('Retirement Calculator'!J:J,MATCH('Isaac 401k'!N6081,'Retirement Calculator'!A:A,0),0),0)</f>
        <v>0</v>
      </c>
      <c r="K6081" s="444">
        <f t="shared" ca="1" si="216"/>
        <v>6429778308663.5801</v>
      </c>
      <c r="L6081" s="444">
        <f t="shared" ca="1" si="217"/>
        <v>1549576572387922.8</v>
      </c>
      <c r="M6081" s="460">
        <f t="shared" si="219"/>
        <v>0.05</v>
      </c>
      <c r="N6081" s="464">
        <f t="shared" si="220"/>
        <v>236130</v>
      </c>
    </row>
    <row r="6082" spans="7:14" ht="11.25" customHeight="1" x14ac:dyDescent="0.3">
      <c r="G6082" s="459"/>
      <c r="H6082" s="459">
        <v>6075</v>
      </c>
      <c r="I6082" s="444">
        <f t="shared" ca="1" si="218"/>
        <v>1549576572387922.8</v>
      </c>
      <c r="J6082" s="444">
        <f t="array" ref="J6082">IFERROR(INDEX('Retirement Calculator'!J:J,MATCH('Isaac 401k'!N6082,'Retirement Calculator'!A:A,0),0),0)</f>
        <v>0</v>
      </c>
      <c r="K6082" s="444">
        <f t="shared" ca="1" si="216"/>
        <v>6456569051616.3447</v>
      </c>
      <c r="L6082" s="444">
        <f t="shared" ca="1" si="217"/>
        <v>1556033141439539</v>
      </c>
      <c r="M6082" s="460">
        <f t="shared" si="219"/>
        <v>0.05</v>
      </c>
      <c r="N6082" s="464">
        <f t="shared" si="220"/>
        <v>236161</v>
      </c>
    </row>
    <row r="6083" spans="7:14" ht="11.25" customHeight="1" x14ac:dyDescent="0.3">
      <c r="G6083" s="459"/>
      <c r="H6083" s="459">
        <v>6076</v>
      </c>
      <c r="I6083" s="444">
        <f t="shared" ca="1" si="218"/>
        <v>1556033141439539</v>
      </c>
      <c r="J6083" s="444">
        <f t="array" ref="J6083">IFERROR(INDEX('Retirement Calculator'!J:J,MATCH('Isaac 401k'!N6083,'Retirement Calculator'!A:A,0),0),0)</f>
        <v>0</v>
      </c>
      <c r="K6083" s="444">
        <f t="shared" ca="1" si="216"/>
        <v>6483471422664.7461</v>
      </c>
      <c r="L6083" s="444">
        <f t="shared" ca="1" si="217"/>
        <v>1562516612862203.8</v>
      </c>
      <c r="M6083" s="460">
        <f t="shared" si="219"/>
        <v>0.05</v>
      </c>
      <c r="N6083" s="464">
        <f t="shared" si="220"/>
        <v>236192</v>
      </c>
    </row>
    <row r="6084" spans="7:14" ht="11.25" customHeight="1" x14ac:dyDescent="0.3">
      <c r="G6084" s="459"/>
      <c r="H6084" s="459">
        <v>6077</v>
      </c>
      <c r="I6084" s="444">
        <f t="shared" ca="1" si="218"/>
        <v>1562516612862203.8</v>
      </c>
      <c r="J6084" s="444">
        <f t="array" ref="J6084">IFERROR(INDEX('Retirement Calculator'!J:J,MATCH('Isaac 401k'!N6084,'Retirement Calculator'!A:A,0),0),0)</f>
        <v>0</v>
      </c>
      <c r="K6084" s="444">
        <f t="shared" ca="1" si="216"/>
        <v>6510485886925.8486</v>
      </c>
      <c r="L6084" s="444">
        <f t="shared" ca="1" si="217"/>
        <v>1569027098749129.5</v>
      </c>
      <c r="M6084" s="460">
        <f t="shared" si="219"/>
        <v>0.05</v>
      </c>
      <c r="N6084" s="464">
        <f t="shared" si="220"/>
        <v>236222</v>
      </c>
    </row>
    <row r="6085" spans="7:14" ht="11.25" customHeight="1" x14ac:dyDescent="0.3">
      <c r="G6085" s="459"/>
      <c r="H6085" s="459">
        <v>6078</v>
      </c>
      <c r="I6085" s="444">
        <f t="shared" ca="1" si="218"/>
        <v>1569027098749129.5</v>
      </c>
      <c r="J6085" s="444">
        <f t="array" ref="J6085">IFERROR(INDEX('Retirement Calculator'!J:J,MATCH('Isaac 401k'!N6085,'Retirement Calculator'!A:A,0),0),0)</f>
        <v>0</v>
      </c>
      <c r="K6085" s="444">
        <f t="shared" ca="1" si="216"/>
        <v>6537612911454.7061</v>
      </c>
      <c r="L6085" s="444">
        <f t="shared" ca="1" si="217"/>
        <v>1575564711660584.3</v>
      </c>
      <c r="M6085" s="460">
        <f t="shared" si="219"/>
        <v>0.05</v>
      </c>
      <c r="N6085" s="464">
        <f t="shared" si="220"/>
        <v>236253</v>
      </c>
    </row>
    <row r="6086" spans="7:14" ht="11.25" customHeight="1" x14ac:dyDescent="0.3">
      <c r="G6086" s="459"/>
      <c r="H6086" s="459">
        <v>6079</v>
      </c>
      <c r="I6086" s="444">
        <f t="shared" ca="1" si="218"/>
        <v>1575564711660584.3</v>
      </c>
      <c r="J6086" s="444">
        <f t="array" ref="J6086">IFERROR(INDEX('Retirement Calculator'!J:J,MATCH('Isaac 401k'!N6086,'Retirement Calculator'!A:A,0),0),0)</f>
        <v>0</v>
      </c>
      <c r="K6086" s="444">
        <f t="shared" ca="1" si="216"/>
        <v>6564852965252.4346</v>
      </c>
      <c r="L6086" s="444">
        <f t="shared" ca="1" si="217"/>
        <v>1582129564625836.8</v>
      </c>
      <c r="M6086" s="460">
        <f t="shared" si="219"/>
        <v>0.05</v>
      </c>
      <c r="N6086" s="464">
        <f t="shared" si="220"/>
        <v>236283</v>
      </c>
    </row>
    <row r="6087" spans="7:14" ht="11.25" customHeight="1" x14ac:dyDescent="0.3">
      <c r="G6087" s="459"/>
      <c r="H6087" s="459">
        <v>6080</v>
      </c>
      <c r="I6087" s="444">
        <f t="shared" ca="1" si="218"/>
        <v>1582129564625836.8</v>
      </c>
      <c r="J6087" s="444">
        <f t="array" ref="J6087">IFERROR(INDEX('Retirement Calculator'!J:J,MATCH('Isaac 401k'!N6087,'Retirement Calculator'!A:A,0),0),0)</f>
        <v>0</v>
      </c>
      <c r="K6087" s="444">
        <f t="shared" ca="1" si="216"/>
        <v>6592206519274.3193</v>
      </c>
      <c r="L6087" s="444">
        <f t="shared" ca="1" si="217"/>
        <v>1588721771145111</v>
      </c>
      <c r="M6087" s="460">
        <f t="shared" si="219"/>
        <v>0.05</v>
      </c>
      <c r="N6087" s="464">
        <f t="shared" si="220"/>
        <v>236314</v>
      </c>
    </row>
    <row r="6088" spans="7:14" ht="11.25" customHeight="1" x14ac:dyDescent="0.3">
      <c r="G6088" s="459"/>
      <c r="H6088" s="459">
        <v>6081</v>
      </c>
      <c r="I6088" s="444">
        <f t="shared" ca="1" si="218"/>
        <v>1588721771145111</v>
      </c>
      <c r="J6088" s="444">
        <f t="array" ref="J6088">IFERROR(INDEX('Retirement Calculator'!J:J,MATCH('Isaac 401k'!N6088,'Retirement Calculator'!A:A,0),0),0)</f>
        <v>0</v>
      </c>
      <c r="K6088" s="444">
        <f t="shared" ca="1" si="216"/>
        <v>6619674046437.9629</v>
      </c>
      <c r="L6088" s="444">
        <f t="shared" ca="1" si="217"/>
        <v>1595341445191549</v>
      </c>
      <c r="M6088" s="460">
        <f t="shared" si="219"/>
        <v>0.05</v>
      </c>
      <c r="N6088" s="464">
        <f t="shared" si="220"/>
        <v>236345</v>
      </c>
    </row>
    <row r="6089" spans="7:14" ht="11.25" customHeight="1" x14ac:dyDescent="0.3">
      <c r="G6089" s="459"/>
      <c r="H6089" s="459">
        <v>6082</v>
      </c>
      <c r="I6089" s="444">
        <f t="shared" ca="1" si="218"/>
        <v>1595341445191549</v>
      </c>
      <c r="J6089" s="444">
        <f t="array" ref="J6089">IFERROR(INDEX('Retirement Calculator'!J:J,MATCH('Isaac 401k'!N6089,'Retirement Calculator'!A:A,0),0),0)</f>
        <v>0</v>
      </c>
      <c r="K6089" s="444">
        <f t="shared" ca="1" si="216"/>
        <v>6647256021631.4541</v>
      </c>
      <c r="L6089" s="444">
        <f t="shared" ca="1" si="217"/>
        <v>1601988701213180.5</v>
      </c>
      <c r="M6089" s="460">
        <f t="shared" si="219"/>
        <v>0.05</v>
      </c>
      <c r="N6089" s="464">
        <f t="shared" si="220"/>
        <v>236373</v>
      </c>
    </row>
    <row r="6090" spans="7:14" ht="11.25" customHeight="1" x14ac:dyDescent="0.3">
      <c r="G6090" s="459"/>
      <c r="H6090" s="459">
        <v>6083</v>
      </c>
      <c r="I6090" s="444">
        <f t="shared" ca="1" si="218"/>
        <v>1601988701213180.5</v>
      </c>
      <c r="J6090" s="444">
        <f t="array" ref="J6090">IFERROR(INDEX('Retirement Calculator'!J:J,MATCH('Isaac 401k'!N6090,'Retirement Calculator'!A:A,0),0),0)</f>
        <v>0</v>
      </c>
      <c r="K6090" s="444">
        <f t="shared" ca="1" si="216"/>
        <v>6674952921721.585</v>
      </c>
      <c r="L6090" s="444">
        <f t="shared" ca="1" si="217"/>
        <v>1608663654134902</v>
      </c>
      <c r="M6090" s="460">
        <f t="shared" si="219"/>
        <v>0.05</v>
      </c>
      <c r="N6090" s="464">
        <f t="shared" si="220"/>
        <v>236404</v>
      </c>
    </row>
    <row r="6091" spans="7:14" ht="11.25" customHeight="1" x14ac:dyDescent="0.3">
      <c r="G6091" s="459"/>
      <c r="H6091" s="459">
        <v>6084</v>
      </c>
      <c r="I6091" s="444">
        <f t="shared" ca="1" si="218"/>
        <v>1608663654134902</v>
      </c>
      <c r="J6091" s="444">
        <f t="array" ref="J6091">IFERROR(INDEX('Retirement Calculator'!J:J,MATCH('Isaac 401k'!N6091,'Retirement Calculator'!A:A,0),0),0)</f>
        <v>0</v>
      </c>
      <c r="K6091" s="444">
        <f t="shared" ca="1" si="216"/>
        <v>6702765225562.0918</v>
      </c>
      <c r="L6091" s="444">
        <f t="shared" ca="1" si="217"/>
        <v>1615366419360464</v>
      </c>
      <c r="M6091" s="460">
        <f t="shared" si="219"/>
        <v>0.05</v>
      </c>
      <c r="N6091" s="464">
        <f t="shared" si="220"/>
        <v>236434</v>
      </c>
    </row>
    <row r="6092" spans="7:14" ht="11.25" customHeight="1" x14ac:dyDescent="0.3">
      <c r="G6092" s="459"/>
      <c r="H6092" s="459">
        <v>6085</v>
      </c>
      <c r="I6092" s="444">
        <f t="shared" ca="1" si="218"/>
        <v>1615366419360464</v>
      </c>
      <c r="J6092" s="444">
        <f t="array" ref="J6092">IFERROR(INDEX('Retirement Calculator'!J:J,MATCH('Isaac 401k'!N6092,'Retirement Calculator'!A:A,0),0),0)</f>
        <v>0</v>
      </c>
      <c r="K6092" s="444">
        <f t="shared" ca="1" si="216"/>
        <v>6730693414001.9336</v>
      </c>
      <c r="L6092" s="444">
        <f t="shared" ca="1" si="217"/>
        <v>1622097112774466</v>
      </c>
      <c r="M6092" s="460">
        <f t="shared" si="219"/>
        <v>0.05</v>
      </c>
      <c r="N6092" s="464">
        <f t="shared" si="220"/>
        <v>236465</v>
      </c>
    </row>
    <row r="6093" spans="7:14" ht="11.25" customHeight="1" x14ac:dyDescent="0.3">
      <c r="G6093" s="459"/>
      <c r="H6093" s="459">
        <v>6086</v>
      </c>
      <c r="I6093" s="444">
        <f t="shared" ca="1" si="218"/>
        <v>1622097112774466</v>
      </c>
      <c r="J6093" s="444">
        <f t="array" ref="J6093">IFERROR(INDEX('Retirement Calculator'!J:J,MATCH('Isaac 401k'!N6093,'Retirement Calculator'!A:A,0),0),0)</f>
        <v>0</v>
      </c>
      <c r="K6093" s="444">
        <f t="shared" ca="1" si="216"/>
        <v>6758737969893.6084</v>
      </c>
      <c r="L6093" s="444">
        <f t="shared" ca="1" si="217"/>
        <v>1628855850744359.5</v>
      </c>
      <c r="M6093" s="460">
        <f t="shared" si="219"/>
        <v>0.05</v>
      </c>
      <c r="N6093" s="464">
        <f t="shared" si="220"/>
        <v>236495</v>
      </c>
    </row>
    <row r="6094" spans="7:14" ht="11.25" customHeight="1" x14ac:dyDescent="0.3">
      <c r="G6094" s="459"/>
      <c r="H6094" s="459">
        <v>6087</v>
      </c>
      <c r="I6094" s="444">
        <f t="shared" ca="1" si="218"/>
        <v>1628855850744359.5</v>
      </c>
      <c r="J6094" s="444">
        <f t="array" ref="J6094">IFERROR(INDEX('Retirement Calculator'!J:J,MATCH('Isaac 401k'!N6094,'Retirement Calculator'!A:A,0),0),0)</f>
        <v>0</v>
      </c>
      <c r="K6094" s="444">
        <f t="shared" ca="1" si="216"/>
        <v>6786899378101.498</v>
      </c>
      <c r="L6094" s="444">
        <f t="shared" ca="1" si="217"/>
        <v>1635642750122461</v>
      </c>
      <c r="M6094" s="460">
        <f t="shared" si="219"/>
        <v>0.05</v>
      </c>
      <c r="N6094" s="464">
        <f t="shared" si="220"/>
        <v>236526</v>
      </c>
    </row>
    <row r="6095" spans="7:14" ht="11.25" customHeight="1" x14ac:dyDescent="0.3">
      <c r="G6095" s="459"/>
      <c r="H6095" s="459">
        <v>6088</v>
      </c>
      <c r="I6095" s="444">
        <f t="shared" ca="1" si="218"/>
        <v>1635642750122461</v>
      </c>
      <c r="J6095" s="444">
        <f t="array" ref="J6095">IFERROR(INDEX('Retirement Calculator'!J:J,MATCH('Isaac 401k'!N6095,'Retirement Calculator'!A:A,0),0),0)</f>
        <v>0</v>
      </c>
      <c r="K6095" s="444">
        <f t="shared" ca="1" si="216"/>
        <v>6815178125510.2539</v>
      </c>
      <c r="L6095" s="444">
        <f t="shared" ca="1" si="217"/>
        <v>1642457928247971.3</v>
      </c>
      <c r="M6095" s="460">
        <f t="shared" si="219"/>
        <v>0.05</v>
      </c>
      <c r="N6095" s="464">
        <f t="shared" si="220"/>
        <v>236557</v>
      </c>
    </row>
    <row r="6096" spans="7:14" ht="11.25" customHeight="1" x14ac:dyDescent="0.3">
      <c r="G6096" s="459"/>
      <c r="H6096" s="459">
        <v>6089</v>
      </c>
      <c r="I6096" s="444">
        <f t="shared" ca="1" si="218"/>
        <v>1642457928247971.3</v>
      </c>
      <c r="J6096" s="444">
        <f t="array" ref="J6096">IFERROR(INDEX('Retirement Calculator'!J:J,MATCH('Isaac 401k'!N6096,'Retirement Calculator'!A:A,0),0),0)</f>
        <v>0</v>
      </c>
      <c r="K6096" s="444">
        <f t="shared" ca="1" si="216"/>
        <v>6843574701033.2139</v>
      </c>
      <c r="L6096" s="444">
        <f t="shared" ca="1" si="217"/>
        <v>1649301502949004.5</v>
      </c>
      <c r="M6096" s="460">
        <f t="shared" si="219"/>
        <v>0.05</v>
      </c>
      <c r="N6096" s="464">
        <f t="shared" si="220"/>
        <v>236587</v>
      </c>
    </row>
    <row r="6097" spans="7:14" ht="11.25" customHeight="1" x14ac:dyDescent="0.3">
      <c r="G6097" s="459"/>
      <c r="H6097" s="459">
        <v>6090</v>
      </c>
      <c r="I6097" s="444">
        <f t="shared" ca="1" si="218"/>
        <v>1649301502949004.5</v>
      </c>
      <c r="J6097" s="444">
        <f t="array" ref="J6097">IFERROR(INDEX('Retirement Calculator'!J:J,MATCH('Isaac 401k'!N6097,'Retirement Calculator'!A:A,0),0),0)</f>
        <v>0</v>
      </c>
      <c r="K6097" s="444">
        <f t="shared" ca="1" si="216"/>
        <v>6872089595620.8516</v>
      </c>
      <c r="L6097" s="444">
        <f t="shared" ca="1" si="217"/>
        <v>1656173592544625.3</v>
      </c>
      <c r="M6097" s="460">
        <f t="shared" si="219"/>
        <v>0.05</v>
      </c>
      <c r="N6097" s="464">
        <f t="shared" si="220"/>
        <v>236618</v>
      </c>
    </row>
    <row r="6098" spans="7:14" ht="11.25" customHeight="1" x14ac:dyDescent="0.3">
      <c r="G6098" s="459"/>
      <c r="H6098" s="459">
        <v>6091</v>
      </c>
      <c r="I6098" s="444">
        <f t="shared" ca="1" si="218"/>
        <v>1656173592544625.3</v>
      </c>
      <c r="J6098" s="444">
        <f t="array" ref="J6098">IFERROR(INDEX('Retirement Calculator'!J:J,MATCH('Isaac 401k'!N6098,'Retirement Calculator'!A:A,0),0),0)</f>
        <v>0</v>
      </c>
      <c r="K6098" s="444">
        <f t="shared" ca="1" si="216"/>
        <v>6900723302269.2715</v>
      </c>
      <c r="L6098" s="444">
        <f t="shared" ca="1" si="217"/>
        <v>1663074315846894.5</v>
      </c>
      <c r="M6098" s="460">
        <f t="shared" si="219"/>
        <v>0.05</v>
      </c>
      <c r="N6098" s="464">
        <f t="shared" si="220"/>
        <v>236648</v>
      </c>
    </row>
    <row r="6099" spans="7:14" ht="11.25" customHeight="1" x14ac:dyDescent="0.3">
      <c r="G6099" s="459"/>
      <c r="H6099" s="459">
        <v>6092</v>
      </c>
      <c r="I6099" s="444">
        <f t="shared" ca="1" si="218"/>
        <v>1663074315846894.5</v>
      </c>
      <c r="J6099" s="444">
        <f t="array" ref="J6099">IFERROR(INDEX('Retirement Calculator'!J:J,MATCH('Isaac 401k'!N6099,'Retirement Calculator'!A:A,0),0),0)</f>
        <v>0</v>
      </c>
      <c r="K6099" s="444">
        <f t="shared" ca="1" si="216"/>
        <v>6929476316028.7266</v>
      </c>
      <c r="L6099" s="444">
        <f t="shared" ca="1" si="217"/>
        <v>1670003792162923.3</v>
      </c>
      <c r="M6099" s="460">
        <f t="shared" si="219"/>
        <v>0.05</v>
      </c>
      <c r="N6099" s="464">
        <f t="shared" si="220"/>
        <v>236679</v>
      </c>
    </row>
    <row r="6100" spans="7:14" ht="11.25" customHeight="1" x14ac:dyDescent="0.3">
      <c r="G6100" s="459"/>
      <c r="H6100" s="459">
        <v>6093</v>
      </c>
      <c r="I6100" s="444">
        <f t="shared" ca="1" si="218"/>
        <v>1670003792162923.3</v>
      </c>
      <c r="J6100" s="444">
        <f t="array" ref="J6100">IFERROR(INDEX('Retirement Calculator'!J:J,MATCH('Isaac 401k'!N6100,'Retirement Calculator'!A:A,0),0),0)</f>
        <v>0</v>
      </c>
      <c r="K6100" s="444">
        <f t="shared" ca="1" si="216"/>
        <v>6958349134012.1797</v>
      </c>
      <c r="L6100" s="444">
        <f t="shared" ca="1" si="217"/>
        <v>1676962141296935.5</v>
      </c>
      <c r="M6100" s="460">
        <f t="shared" si="219"/>
        <v>0.05</v>
      </c>
      <c r="N6100" s="464">
        <f t="shared" si="220"/>
        <v>236710</v>
      </c>
    </row>
    <row r="6101" spans="7:14" ht="11.25" customHeight="1" x14ac:dyDescent="0.3">
      <c r="G6101" s="459"/>
      <c r="H6101" s="459">
        <v>6094</v>
      </c>
      <c r="I6101" s="444">
        <f t="shared" ca="1" si="218"/>
        <v>1676962141296935.5</v>
      </c>
      <c r="J6101" s="444">
        <f t="array" ref="J6101">IFERROR(INDEX('Retirement Calculator'!J:J,MATCH('Isaac 401k'!N6101,'Retirement Calculator'!A:A,0),0),0)</f>
        <v>0</v>
      </c>
      <c r="K6101" s="444">
        <f t="shared" ca="1" si="216"/>
        <v>6987342255403.8975</v>
      </c>
      <c r="L6101" s="444">
        <f t="shared" ca="1" si="217"/>
        <v>1683949483552339.5</v>
      </c>
      <c r="M6101" s="460">
        <f t="shared" si="219"/>
        <v>0.05</v>
      </c>
      <c r="N6101" s="464">
        <f t="shared" si="220"/>
        <v>236739</v>
      </c>
    </row>
    <row r="6102" spans="7:14" ht="11.25" customHeight="1" x14ac:dyDescent="0.3">
      <c r="G6102" s="459"/>
      <c r="H6102" s="459">
        <v>6095</v>
      </c>
      <c r="I6102" s="444">
        <f t="shared" ca="1" si="218"/>
        <v>1683949483552339.5</v>
      </c>
      <c r="J6102" s="444">
        <f t="array" ref="J6102">IFERROR(INDEX('Retirement Calculator'!J:J,MATCH('Isaac 401k'!N6102,'Retirement Calculator'!A:A,0),0),0)</f>
        <v>0</v>
      </c>
      <c r="K6102" s="444">
        <f t="shared" ca="1" si="216"/>
        <v>7016456181468.0811</v>
      </c>
      <c r="L6102" s="444">
        <f t="shared" ca="1" si="217"/>
        <v>1690965939733807.5</v>
      </c>
      <c r="M6102" s="460">
        <f t="shared" si="219"/>
        <v>0.05</v>
      </c>
      <c r="N6102" s="464">
        <f t="shared" si="220"/>
        <v>236770</v>
      </c>
    </row>
    <row r="6103" spans="7:14" ht="11.25" customHeight="1" x14ac:dyDescent="0.3">
      <c r="G6103" s="459"/>
      <c r="H6103" s="459">
        <v>6096</v>
      </c>
      <c r="I6103" s="444">
        <f t="shared" ca="1" si="218"/>
        <v>1690965939733807.5</v>
      </c>
      <c r="J6103" s="444">
        <f t="array" ref="J6103">IFERROR(INDEX('Retirement Calculator'!J:J,MATCH('Isaac 401k'!N6103,'Retirement Calculator'!A:A,0),0),0)</f>
        <v>0</v>
      </c>
      <c r="K6103" s="444">
        <f t="shared" ca="1" si="216"/>
        <v>7045691415557.5313</v>
      </c>
      <c r="L6103" s="444">
        <f t="shared" ca="1" si="217"/>
        <v>1698011631149365</v>
      </c>
      <c r="M6103" s="460">
        <f t="shared" si="219"/>
        <v>0.05</v>
      </c>
      <c r="N6103" s="464">
        <f t="shared" si="220"/>
        <v>236800</v>
      </c>
    </row>
    <row r="6104" spans="7:14" ht="11.25" customHeight="1" x14ac:dyDescent="0.3">
      <c r="G6104" s="459"/>
      <c r="H6104" s="459">
        <v>6097</v>
      </c>
      <c r="I6104" s="444">
        <f t="shared" ca="1" si="218"/>
        <v>1698011631149365</v>
      </c>
      <c r="J6104" s="444">
        <f t="array" ref="J6104">IFERROR(INDEX('Retirement Calculator'!J:J,MATCH('Isaac 401k'!N6104,'Retirement Calculator'!A:A,0),0),0)</f>
        <v>0</v>
      </c>
      <c r="K6104" s="444">
        <f t="shared" ca="1" si="216"/>
        <v>7075048463122.3545</v>
      </c>
      <c r="L6104" s="444">
        <f t="shared" ca="1" si="217"/>
        <v>1705086679612487.3</v>
      </c>
      <c r="M6104" s="460">
        <f t="shared" si="219"/>
        <v>0.05</v>
      </c>
      <c r="N6104" s="464">
        <f t="shared" si="220"/>
        <v>236831</v>
      </c>
    </row>
    <row r="6105" spans="7:14" ht="11.25" customHeight="1" x14ac:dyDescent="0.3">
      <c r="G6105" s="459"/>
      <c r="H6105" s="459">
        <v>6098</v>
      </c>
      <c r="I6105" s="444">
        <f t="shared" ca="1" si="218"/>
        <v>1705086679612487.3</v>
      </c>
      <c r="J6105" s="444">
        <f t="array" ref="J6105">IFERROR(INDEX('Retirement Calculator'!J:J,MATCH('Isaac 401k'!N6105,'Retirement Calculator'!A:A,0),0),0)</f>
        <v>0</v>
      </c>
      <c r="K6105" s="444">
        <f t="shared" ca="1" si="216"/>
        <v>7104527831718.6963</v>
      </c>
      <c r="L6105" s="444">
        <f t="shared" ca="1" si="217"/>
        <v>1712191207444206</v>
      </c>
      <c r="M6105" s="460">
        <f t="shared" si="219"/>
        <v>0.05</v>
      </c>
      <c r="N6105" s="464">
        <f t="shared" si="220"/>
        <v>236861</v>
      </c>
    </row>
    <row r="6106" spans="7:14" ht="11.25" customHeight="1" x14ac:dyDescent="0.3">
      <c r="G6106" s="459"/>
      <c r="H6106" s="459">
        <v>6099</v>
      </c>
      <c r="I6106" s="444">
        <f t="shared" ca="1" si="218"/>
        <v>1712191207444206</v>
      </c>
      <c r="J6106" s="444">
        <f t="array" ref="J6106">IFERROR(INDEX('Retirement Calculator'!J:J,MATCH('Isaac 401k'!N6106,'Retirement Calculator'!A:A,0),0),0)</f>
        <v>0</v>
      </c>
      <c r="K6106" s="444">
        <f t="shared" ca="1" si="216"/>
        <v>7134130031017.5244</v>
      </c>
      <c r="L6106" s="444">
        <f t="shared" ca="1" si="217"/>
        <v>1719325337475223.5</v>
      </c>
      <c r="M6106" s="460">
        <f t="shared" si="219"/>
        <v>0.05</v>
      </c>
      <c r="N6106" s="464">
        <f t="shared" si="220"/>
        <v>236892</v>
      </c>
    </row>
    <row r="6107" spans="7:14" ht="11.25" customHeight="1" x14ac:dyDescent="0.3">
      <c r="G6107" s="459"/>
      <c r="H6107" s="459">
        <v>6100</v>
      </c>
      <c r="I6107" s="444">
        <f t="shared" ca="1" si="218"/>
        <v>1719325337475223.5</v>
      </c>
      <c r="J6107" s="444">
        <f t="array" ref="J6107">IFERROR(INDEX('Retirement Calculator'!J:J,MATCH('Isaac 401k'!N6107,'Retirement Calculator'!A:A,0),0),0)</f>
        <v>0</v>
      </c>
      <c r="K6107" s="444">
        <f t="shared" ca="1" si="216"/>
        <v>7163855572813.4307</v>
      </c>
      <c r="L6107" s="444">
        <f t="shared" ca="1" si="217"/>
        <v>1726489193048037</v>
      </c>
      <c r="M6107" s="460">
        <f t="shared" si="219"/>
        <v>0.05</v>
      </c>
      <c r="N6107" s="464">
        <f t="shared" si="220"/>
        <v>236923</v>
      </c>
    </row>
    <row r="6108" spans="7:14" ht="11.25" customHeight="1" x14ac:dyDescent="0.3">
      <c r="G6108" s="459"/>
      <c r="H6108" s="459">
        <v>6101</v>
      </c>
      <c r="I6108" s="444">
        <f t="shared" ca="1" si="218"/>
        <v>1726489193048037</v>
      </c>
      <c r="J6108" s="444">
        <f t="array" ref="J6108">IFERROR(INDEX('Retirement Calculator'!J:J,MATCH('Isaac 401k'!N6108,'Retirement Calculator'!A:A,0),0),0)</f>
        <v>0</v>
      </c>
      <c r="K6108" s="444">
        <f t="shared" ca="1" si="216"/>
        <v>7193704971033.4873</v>
      </c>
      <c r="L6108" s="444">
        <f t="shared" ca="1" si="217"/>
        <v>1733682898019070.5</v>
      </c>
      <c r="M6108" s="460">
        <f t="shared" si="219"/>
        <v>0.05</v>
      </c>
      <c r="N6108" s="464">
        <f t="shared" si="220"/>
        <v>236953</v>
      </c>
    </row>
    <row r="6109" spans="7:14" ht="11.25" customHeight="1" x14ac:dyDescent="0.3">
      <c r="G6109" s="459"/>
      <c r="H6109" s="459">
        <v>6102</v>
      </c>
      <c r="I6109" s="444">
        <f t="shared" ca="1" si="218"/>
        <v>1733682898019070.5</v>
      </c>
      <c r="J6109" s="444">
        <f t="array" ref="J6109">IFERROR(INDEX('Retirement Calculator'!J:J,MATCH('Isaac 401k'!N6109,'Retirement Calculator'!A:A,0),0),0)</f>
        <v>0</v>
      </c>
      <c r="K6109" s="444">
        <f t="shared" ca="1" si="216"/>
        <v>7223678741746.127</v>
      </c>
      <c r="L6109" s="444">
        <f t="shared" ca="1" si="217"/>
        <v>1740906576760816.8</v>
      </c>
      <c r="M6109" s="460">
        <f t="shared" si="219"/>
        <v>0.05</v>
      </c>
      <c r="N6109" s="464">
        <f t="shared" si="220"/>
        <v>236984</v>
      </c>
    </row>
    <row r="6110" spans="7:14" ht="11.25" customHeight="1" x14ac:dyDescent="0.3">
      <c r="G6110" s="459"/>
      <c r="H6110" s="459">
        <v>6103</v>
      </c>
      <c r="I6110" s="444">
        <f t="shared" ca="1" si="218"/>
        <v>1740906576760816.8</v>
      </c>
      <c r="J6110" s="444">
        <f t="array" ref="J6110">IFERROR(INDEX('Retirement Calculator'!J:J,MATCH('Isaac 401k'!N6110,'Retirement Calculator'!A:A,0),0),0)</f>
        <v>0</v>
      </c>
      <c r="K6110" s="444">
        <f t="shared" ca="1" si="216"/>
        <v>7253777403170.0693</v>
      </c>
      <c r="L6110" s="444">
        <f t="shared" ca="1" si="217"/>
        <v>1748160354163986.8</v>
      </c>
      <c r="M6110" s="460">
        <f t="shared" si="219"/>
        <v>0.05</v>
      </c>
      <c r="N6110" s="464">
        <f t="shared" si="220"/>
        <v>237014</v>
      </c>
    </row>
    <row r="6111" spans="7:14" ht="11.25" customHeight="1" x14ac:dyDescent="0.3">
      <c r="G6111" s="459"/>
      <c r="H6111" s="459">
        <v>6104</v>
      </c>
      <c r="I6111" s="444">
        <f t="shared" ca="1" si="218"/>
        <v>1748160354163986.8</v>
      </c>
      <c r="J6111" s="444">
        <f t="array" ref="J6111">IFERROR(INDEX('Retirement Calculator'!J:J,MATCH('Isaac 401k'!N6111,'Retirement Calculator'!A:A,0),0),0)</f>
        <v>0</v>
      </c>
      <c r="K6111" s="444">
        <f t="shared" ca="1" si="216"/>
        <v>7284001475683.2783</v>
      </c>
      <c r="L6111" s="444">
        <f t="shared" ca="1" si="217"/>
        <v>1755444355639670</v>
      </c>
      <c r="M6111" s="460">
        <f t="shared" si="219"/>
        <v>0.05</v>
      </c>
      <c r="N6111" s="464">
        <f t="shared" si="220"/>
        <v>237045</v>
      </c>
    </row>
    <row r="6112" spans="7:14" ht="11.25" customHeight="1" x14ac:dyDescent="0.3">
      <c r="G6112" s="459"/>
      <c r="H6112" s="459">
        <v>6105</v>
      </c>
      <c r="I6112" s="444">
        <f t="shared" ca="1" si="218"/>
        <v>1755444355639670</v>
      </c>
      <c r="J6112" s="444">
        <f t="array" ref="J6112">IFERROR(INDEX('Retirement Calculator'!J:J,MATCH('Isaac 401k'!N6112,'Retirement Calculator'!A:A,0),0),0)</f>
        <v>0</v>
      </c>
      <c r="K6112" s="444">
        <f t="shared" ca="1" si="216"/>
        <v>7314351481831.958</v>
      </c>
      <c r="L6112" s="444">
        <f t="shared" ca="1" si="217"/>
        <v>1762758707121502</v>
      </c>
      <c r="M6112" s="460">
        <f t="shared" si="219"/>
        <v>0.05</v>
      </c>
      <c r="N6112" s="464">
        <f t="shared" si="220"/>
        <v>237076</v>
      </c>
    </row>
    <row r="6113" spans="7:14" ht="11.25" customHeight="1" x14ac:dyDescent="0.3">
      <c r="G6113" s="459"/>
      <c r="H6113" s="459">
        <v>6106</v>
      </c>
      <c r="I6113" s="444">
        <f t="shared" ca="1" si="218"/>
        <v>1762758707121502</v>
      </c>
      <c r="J6113" s="444">
        <f t="array" ref="J6113">IFERROR(INDEX('Retirement Calculator'!J:J,MATCH('Isaac 401k'!N6113,'Retirement Calculator'!A:A,0),0),0)</f>
        <v>0</v>
      </c>
      <c r="K6113" s="444">
        <f t="shared" ca="1" si="216"/>
        <v>7344827946339.5908</v>
      </c>
      <c r="L6113" s="444">
        <f t="shared" ca="1" si="217"/>
        <v>1770103535067841.5</v>
      </c>
      <c r="M6113" s="460">
        <f t="shared" si="219"/>
        <v>0.05</v>
      </c>
      <c r="N6113" s="464">
        <f t="shared" si="220"/>
        <v>237104</v>
      </c>
    </row>
    <row r="6114" spans="7:14" ht="11.25" customHeight="1" x14ac:dyDescent="0.3">
      <c r="G6114" s="459"/>
      <c r="H6114" s="459">
        <v>6107</v>
      </c>
      <c r="I6114" s="444">
        <f t="shared" ca="1" si="218"/>
        <v>1770103535067841.5</v>
      </c>
      <c r="J6114" s="444">
        <f t="array" ref="J6114">IFERROR(INDEX('Retirement Calculator'!J:J,MATCH('Isaac 401k'!N6114,'Retirement Calculator'!A:A,0),0),0)</f>
        <v>0</v>
      </c>
      <c r="K6114" s="444">
        <f t="shared" ca="1" si="216"/>
        <v>7375431396116.0059</v>
      </c>
      <c r="L6114" s="444">
        <f t="shared" ca="1" si="217"/>
        <v>1777478966463957.5</v>
      </c>
      <c r="M6114" s="460">
        <f t="shared" si="219"/>
        <v>0.05</v>
      </c>
      <c r="N6114" s="464">
        <f t="shared" si="220"/>
        <v>237135</v>
      </c>
    </row>
    <row r="6115" spans="7:14" ht="11.25" customHeight="1" x14ac:dyDescent="0.3">
      <c r="G6115" s="459"/>
      <c r="H6115" s="459">
        <v>6108</v>
      </c>
      <c r="I6115" s="444">
        <f t="shared" ca="1" si="218"/>
        <v>1777478966463957.5</v>
      </c>
      <c r="J6115" s="444">
        <f t="array" ref="J6115">IFERROR(INDEX('Retirement Calculator'!J:J,MATCH('Isaac 401k'!N6115,'Retirement Calculator'!A:A,0),0),0)</f>
        <v>0</v>
      </c>
      <c r="K6115" s="444">
        <f t="shared" ca="1" si="216"/>
        <v>7406162360266.4902</v>
      </c>
      <c r="L6115" s="444">
        <f t="shared" ca="1" si="217"/>
        <v>1784885128824224</v>
      </c>
      <c r="M6115" s="460">
        <f t="shared" si="219"/>
        <v>0.05</v>
      </c>
      <c r="N6115" s="464">
        <f t="shared" si="220"/>
        <v>237165</v>
      </c>
    </row>
    <row r="6116" spans="7:14" ht="11.25" customHeight="1" x14ac:dyDescent="0.3">
      <c r="G6116" s="459"/>
      <c r="H6116" s="459">
        <v>6109</v>
      </c>
      <c r="I6116" s="444">
        <f t="shared" ca="1" si="218"/>
        <v>1784885128824224</v>
      </c>
      <c r="J6116" s="444">
        <f t="array" ref="J6116">IFERROR(INDEX('Retirement Calculator'!J:J,MATCH('Isaac 401k'!N6116,'Retirement Calculator'!A:A,0),0),0)</f>
        <v>0</v>
      </c>
      <c r="K6116" s="444">
        <f t="shared" ca="1" si="216"/>
        <v>7437021370100.9336</v>
      </c>
      <c r="L6116" s="444">
        <f t="shared" ca="1" si="217"/>
        <v>1792322150194325</v>
      </c>
      <c r="M6116" s="460">
        <f t="shared" si="219"/>
        <v>0.05</v>
      </c>
      <c r="N6116" s="464">
        <f t="shared" si="220"/>
        <v>237196</v>
      </c>
    </row>
    <row r="6117" spans="7:14" ht="11.25" customHeight="1" x14ac:dyDescent="0.3">
      <c r="G6117" s="459"/>
      <c r="H6117" s="459">
        <v>6110</v>
      </c>
      <c r="I6117" s="444">
        <f t="shared" ca="1" si="218"/>
        <v>1792322150194325</v>
      </c>
      <c r="J6117" s="444">
        <f t="array" ref="J6117">IFERROR(INDEX('Retirement Calculator'!J:J,MATCH('Isaac 401k'!N6117,'Retirement Calculator'!A:A,0),0),0)</f>
        <v>0</v>
      </c>
      <c r="K6117" s="444">
        <f t="shared" ca="1" si="216"/>
        <v>7468008959143.0205</v>
      </c>
      <c r="L6117" s="444">
        <f t="shared" ca="1" si="217"/>
        <v>1799790159153468</v>
      </c>
      <c r="M6117" s="460">
        <f t="shared" si="219"/>
        <v>0.05</v>
      </c>
      <c r="N6117" s="464">
        <f t="shared" si="220"/>
        <v>237226</v>
      </c>
    </row>
    <row r="6118" spans="7:14" ht="11.25" customHeight="1" x14ac:dyDescent="0.3">
      <c r="G6118" s="459"/>
      <c r="H6118" s="459">
        <v>6111</v>
      </c>
      <c r="I6118" s="444">
        <f t="shared" ca="1" si="218"/>
        <v>1799790159153468</v>
      </c>
      <c r="J6118" s="444">
        <f t="array" ref="J6118">IFERROR(INDEX('Retirement Calculator'!J:J,MATCH('Isaac 401k'!N6118,'Retirement Calculator'!A:A,0),0),0)</f>
        <v>0</v>
      </c>
      <c r="K6118" s="444">
        <f t="shared" ca="1" si="216"/>
        <v>7499125663139.4502</v>
      </c>
      <c r="L6118" s="444">
        <f t="shared" ca="1" si="217"/>
        <v>1807289284816607.5</v>
      </c>
      <c r="M6118" s="460">
        <f t="shared" si="219"/>
        <v>0.05</v>
      </c>
      <c r="N6118" s="464">
        <f t="shared" si="220"/>
        <v>237257</v>
      </c>
    </row>
    <row r="6119" spans="7:14" ht="11.25" customHeight="1" x14ac:dyDescent="0.3">
      <c r="G6119" s="459"/>
      <c r="H6119" s="459">
        <v>6112</v>
      </c>
      <c r="I6119" s="444">
        <f t="shared" ca="1" si="218"/>
        <v>1807289284816607.5</v>
      </c>
      <c r="J6119" s="444">
        <f t="array" ref="J6119">IFERROR(INDEX('Retirement Calculator'!J:J,MATCH('Isaac 401k'!N6119,'Retirement Calculator'!A:A,0),0),0)</f>
        <v>0</v>
      </c>
      <c r="K6119" s="444">
        <f t="shared" ca="1" si="216"/>
        <v>7530372020069.1982</v>
      </c>
      <c r="L6119" s="444">
        <f t="shared" ca="1" si="217"/>
        <v>1814819656836676.8</v>
      </c>
      <c r="M6119" s="460">
        <f t="shared" si="219"/>
        <v>0.05</v>
      </c>
      <c r="N6119" s="464">
        <f t="shared" si="220"/>
        <v>237288</v>
      </c>
    </row>
    <row r="6120" spans="7:14" ht="11.25" customHeight="1" x14ac:dyDescent="0.3">
      <c r="G6120" s="459"/>
      <c r="H6120" s="459">
        <v>6113</v>
      </c>
      <c r="I6120" s="444">
        <f t="shared" ca="1" si="218"/>
        <v>1814819656836676.8</v>
      </c>
      <c r="J6120" s="444">
        <f t="array" ref="J6120">IFERROR(INDEX('Retirement Calculator'!J:J,MATCH('Isaac 401k'!N6120,'Retirement Calculator'!A:A,0),0),0)</f>
        <v>0</v>
      </c>
      <c r="K6120" s="444">
        <f t="shared" ca="1" si="216"/>
        <v>7561748570152.8193</v>
      </c>
      <c r="L6120" s="444">
        <f t="shared" ca="1" si="217"/>
        <v>1822381405406829.5</v>
      </c>
      <c r="M6120" s="460">
        <f t="shared" si="219"/>
        <v>0.05</v>
      </c>
      <c r="N6120" s="464">
        <f t="shared" si="220"/>
        <v>237318</v>
      </c>
    </row>
    <row r="6121" spans="7:14" ht="11.25" customHeight="1" x14ac:dyDescent="0.3">
      <c r="G6121" s="459"/>
      <c r="H6121" s="459">
        <v>6114</v>
      </c>
      <c r="I6121" s="444">
        <f t="shared" ca="1" si="218"/>
        <v>1822381405406829.5</v>
      </c>
      <c r="J6121" s="444">
        <f t="array" ref="J6121">IFERROR(INDEX('Retirement Calculator'!J:J,MATCH('Isaac 401k'!N6121,'Retirement Calculator'!A:A,0),0),0)</f>
        <v>0</v>
      </c>
      <c r="K6121" s="444">
        <f t="shared" ca="1" si="216"/>
        <v>7593255855861.79</v>
      </c>
      <c r="L6121" s="444">
        <f t="shared" ca="1" si="217"/>
        <v>1829974661262691.3</v>
      </c>
      <c r="M6121" s="460">
        <f t="shared" si="219"/>
        <v>0.05</v>
      </c>
      <c r="N6121" s="464">
        <f t="shared" si="220"/>
        <v>237349</v>
      </c>
    </row>
    <row r="6122" spans="7:14" ht="11.25" customHeight="1" x14ac:dyDescent="0.3">
      <c r="G6122" s="459"/>
      <c r="H6122" s="459">
        <v>6115</v>
      </c>
      <c r="I6122" s="444">
        <f t="shared" ca="1" si="218"/>
        <v>1829974661262691.3</v>
      </c>
      <c r="J6122" s="444">
        <f t="array" ref="J6122">IFERROR(INDEX('Retirement Calculator'!J:J,MATCH('Isaac 401k'!N6122,'Retirement Calculator'!A:A,0),0),0)</f>
        <v>0</v>
      </c>
      <c r="K6122" s="444">
        <f t="shared" ca="1" si="216"/>
        <v>7624894421927.8789</v>
      </c>
      <c r="L6122" s="444">
        <f t="shared" ca="1" si="217"/>
        <v>1837599555684619.3</v>
      </c>
      <c r="M6122" s="460">
        <f t="shared" si="219"/>
        <v>0.05</v>
      </c>
      <c r="N6122" s="464">
        <f t="shared" si="220"/>
        <v>237379</v>
      </c>
    </row>
    <row r="6123" spans="7:14" ht="11.25" customHeight="1" x14ac:dyDescent="0.3">
      <c r="G6123" s="459"/>
      <c r="H6123" s="459">
        <v>6116</v>
      </c>
      <c r="I6123" s="444">
        <f t="shared" ca="1" si="218"/>
        <v>1837599555684619.3</v>
      </c>
      <c r="J6123" s="444">
        <f t="array" ref="J6123">IFERROR(INDEX('Retirement Calculator'!J:J,MATCH('Isaac 401k'!N6123,'Retirement Calculator'!A:A,0),0),0)</f>
        <v>0</v>
      </c>
      <c r="K6123" s="444">
        <f t="shared" ca="1" si="216"/>
        <v>7656664815352.5801</v>
      </c>
      <c r="L6123" s="444">
        <f t="shared" ca="1" si="217"/>
        <v>1845256220499971.8</v>
      </c>
      <c r="M6123" s="460">
        <f t="shared" si="219"/>
        <v>0.05</v>
      </c>
      <c r="N6123" s="464">
        <f t="shared" si="220"/>
        <v>237410</v>
      </c>
    </row>
    <row r="6124" spans="7:14" ht="11.25" customHeight="1" x14ac:dyDescent="0.3">
      <c r="G6124" s="459"/>
      <c r="H6124" s="459">
        <v>6117</v>
      </c>
      <c r="I6124" s="444">
        <f t="shared" ca="1" si="218"/>
        <v>1845256220499971.8</v>
      </c>
      <c r="J6124" s="444">
        <f t="array" ref="J6124">IFERROR(INDEX('Retirement Calculator'!J:J,MATCH('Isaac 401k'!N6124,'Retirement Calculator'!A:A,0),0),0)</f>
        <v>0</v>
      </c>
      <c r="K6124" s="444">
        <f t="shared" ca="1" si="216"/>
        <v>7688567585416.5498</v>
      </c>
      <c r="L6124" s="444">
        <f t="shared" ca="1" si="217"/>
        <v>1852944788085388.3</v>
      </c>
      <c r="M6124" s="460">
        <f t="shared" si="219"/>
        <v>0.05</v>
      </c>
      <c r="N6124" s="464">
        <f t="shared" si="220"/>
        <v>237441</v>
      </c>
    </row>
    <row r="6125" spans="7:14" ht="11.25" customHeight="1" x14ac:dyDescent="0.3">
      <c r="G6125" s="459"/>
      <c r="H6125" s="459">
        <v>6118</v>
      </c>
      <c r="I6125" s="444">
        <f t="shared" ca="1" si="218"/>
        <v>1852944788085388.3</v>
      </c>
      <c r="J6125" s="444">
        <f t="array" ref="J6125">IFERROR(INDEX('Retirement Calculator'!J:J,MATCH('Isaac 401k'!N6125,'Retirement Calculator'!A:A,0),0),0)</f>
        <v>0</v>
      </c>
      <c r="K6125" s="444">
        <f t="shared" ca="1" si="216"/>
        <v>7720603283689.1172</v>
      </c>
      <c r="L6125" s="444">
        <f t="shared" ca="1" si="217"/>
        <v>1860665391369077.3</v>
      </c>
      <c r="M6125" s="460">
        <f t="shared" si="219"/>
        <v>0.05</v>
      </c>
      <c r="N6125" s="464">
        <f t="shared" si="220"/>
        <v>237469</v>
      </c>
    </row>
    <row r="6126" spans="7:14" ht="11.25" customHeight="1" x14ac:dyDescent="0.3">
      <c r="G6126" s="459"/>
      <c r="H6126" s="459">
        <v>6119</v>
      </c>
      <c r="I6126" s="444">
        <f t="shared" ca="1" si="218"/>
        <v>1860665391369077.3</v>
      </c>
      <c r="J6126" s="444">
        <f t="array" ref="J6126">IFERROR(INDEX('Retirement Calculator'!J:J,MATCH('Isaac 401k'!N6126,'Retirement Calculator'!A:A,0),0),0)</f>
        <v>0</v>
      </c>
      <c r="K6126" s="444">
        <f t="shared" ca="1" si="216"/>
        <v>7752772464037.8203</v>
      </c>
      <c r="L6126" s="444">
        <f t="shared" ca="1" si="217"/>
        <v>1868418163833115</v>
      </c>
      <c r="M6126" s="460">
        <f t="shared" si="219"/>
        <v>0.05</v>
      </c>
      <c r="N6126" s="464">
        <f t="shared" si="220"/>
        <v>237500</v>
      </c>
    </row>
    <row r="6127" spans="7:14" ht="11.25" customHeight="1" x14ac:dyDescent="0.3">
      <c r="G6127" s="459"/>
      <c r="H6127" s="459">
        <v>6120</v>
      </c>
      <c r="I6127" s="444">
        <f t="shared" ca="1" si="218"/>
        <v>1868418163833115</v>
      </c>
      <c r="J6127" s="444">
        <f t="array" ref="J6127">IFERROR(INDEX('Retirement Calculator'!J:J,MATCH('Isaac 401k'!N6127,'Retirement Calculator'!A:A,0),0),0)</f>
        <v>0</v>
      </c>
      <c r="K6127" s="444">
        <f t="shared" ca="1" si="216"/>
        <v>7785075682637.9805</v>
      </c>
      <c r="L6127" s="444">
        <f t="shared" ca="1" si="217"/>
        <v>1876203239515753</v>
      </c>
      <c r="M6127" s="460">
        <f t="shared" si="219"/>
        <v>0.05</v>
      </c>
      <c r="N6127" s="464">
        <f t="shared" si="220"/>
        <v>237530</v>
      </c>
    </row>
    <row r="6128" spans="7:14" ht="11.25" customHeight="1" x14ac:dyDescent="0.3">
      <c r="G6128" s="459"/>
      <c r="H6128" s="459">
        <v>6121</v>
      </c>
      <c r="I6128" s="444">
        <f t="shared" ca="1" si="218"/>
        <v>1876203239515753</v>
      </c>
      <c r="J6128" s="444">
        <f t="array" ref="J6128">IFERROR(INDEX('Retirement Calculator'!J:J,MATCH('Isaac 401k'!N6128,'Retirement Calculator'!A:A,0),0),0)</f>
        <v>0</v>
      </c>
      <c r="K6128" s="444">
        <f t="shared" ref="K6128:K6250" ca="1" si="221">IPMT(M6128/12,1,12,-I6128+J6128,,0)</f>
        <v>7817513497982.3037</v>
      </c>
      <c r="L6128" s="444">
        <f t="shared" ref="L6128:L6250" ca="1" si="222">I6128-J6128+K6128</f>
        <v>1884020753013735.3</v>
      </c>
      <c r="M6128" s="460">
        <f t="shared" si="219"/>
        <v>0.05</v>
      </c>
      <c r="N6128" s="464">
        <f t="shared" si="220"/>
        <v>237561</v>
      </c>
    </row>
    <row r="6129" spans="7:14" ht="11.25" customHeight="1" x14ac:dyDescent="0.3">
      <c r="G6129" s="459"/>
      <c r="H6129" s="459">
        <v>6122</v>
      </c>
      <c r="I6129" s="444">
        <f t="shared" ref="I6129:I6250" ca="1" si="223">L6128</f>
        <v>1884020753013735.3</v>
      </c>
      <c r="J6129" s="444">
        <f t="array" ref="J6129">IFERROR(INDEX('Retirement Calculator'!J:J,MATCH('Isaac 401k'!N6129,'Retirement Calculator'!A:A,0),0),0)</f>
        <v>0</v>
      </c>
      <c r="K6129" s="444">
        <f t="shared" ca="1" si="221"/>
        <v>7850086470890.5635</v>
      </c>
      <c r="L6129" s="444">
        <f t="shared" ca="1" si="222"/>
        <v>1891870839484625.8</v>
      </c>
      <c r="M6129" s="460">
        <f t="shared" ref="M6129:M6250" si="224">M6128</f>
        <v>0.05</v>
      </c>
      <c r="N6129" s="464">
        <f t="shared" ref="N6129:N6250" si="225">EDATE(N6128,1)</f>
        <v>237591</v>
      </c>
    </row>
    <row r="6130" spans="7:14" ht="11.25" customHeight="1" x14ac:dyDescent="0.3">
      <c r="G6130" s="459"/>
      <c r="H6130" s="459">
        <v>6123</v>
      </c>
      <c r="I6130" s="444">
        <f t="shared" ca="1" si="223"/>
        <v>1891870839484625.8</v>
      </c>
      <c r="J6130" s="444">
        <f t="array" ref="J6130">IFERROR(INDEX('Retirement Calculator'!J:J,MATCH('Isaac 401k'!N6130,'Retirement Calculator'!A:A,0),0),0)</f>
        <v>0</v>
      </c>
      <c r="K6130" s="444">
        <f t="shared" ca="1" si="221"/>
        <v>7882795164519.2744</v>
      </c>
      <c r="L6130" s="444">
        <f t="shared" ca="1" si="222"/>
        <v>1899753634649145</v>
      </c>
      <c r="M6130" s="460">
        <f t="shared" si="224"/>
        <v>0.05</v>
      </c>
      <c r="N6130" s="464">
        <f t="shared" si="225"/>
        <v>237622</v>
      </c>
    </row>
    <row r="6131" spans="7:14" ht="11.25" customHeight="1" x14ac:dyDescent="0.3">
      <c r="G6131" s="459"/>
      <c r="H6131" s="459">
        <v>6124</v>
      </c>
      <c r="I6131" s="444">
        <f t="shared" ca="1" si="223"/>
        <v>1899753634649145</v>
      </c>
      <c r="J6131" s="444">
        <f t="array" ref="J6131">IFERROR(INDEX('Retirement Calculator'!J:J,MATCH('Isaac 401k'!N6131,'Retirement Calculator'!A:A,0),0),0)</f>
        <v>0</v>
      </c>
      <c r="K6131" s="444">
        <f t="shared" ca="1" si="221"/>
        <v>7915640144371.4385</v>
      </c>
      <c r="L6131" s="444">
        <f t="shared" ca="1" si="222"/>
        <v>1907669274793516.5</v>
      </c>
      <c r="M6131" s="460">
        <f t="shared" si="224"/>
        <v>0.05</v>
      </c>
      <c r="N6131" s="464">
        <f t="shared" si="225"/>
        <v>237653</v>
      </c>
    </row>
    <row r="6132" spans="7:14" ht="11.25" customHeight="1" x14ac:dyDescent="0.3">
      <c r="G6132" s="459"/>
      <c r="H6132" s="459">
        <v>6125</v>
      </c>
      <c r="I6132" s="444">
        <f t="shared" ca="1" si="223"/>
        <v>1907669274793516.5</v>
      </c>
      <c r="J6132" s="444">
        <f t="array" ref="J6132">IFERROR(INDEX('Retirement Calculator'!J:J,MATCH('Isaac 401k'!N6132,'Retirement Calculator'!A:A,0),0),0)</f>
        <v>0</v>
      </c>
      <c r="K6132" s="444">
        <f t="shared" ca="1" si="221"/>
        <v>7948621978306.3184</v>
      </c>
      <c r="L6132" s="444">
        <f t="shared" ca="1" si="222"/>
        <v>1915617896771822.8</v>
      </c>
      <c r="M6132" s="460">
        <f t="shared" si="224"/>
        <v>0.05</v>
      </c>
      <c r="N6132" s="464">
        <f t="shared" si="225"/>
        <v>237683</v>
      </c>
    </row>
    <row r="6133" spans="7:14" ht="11.25" customHeight="1" x14ac:dyDescent="0.3">
      <c r="G6133" s="459"/>
      <c r="H6133" s="459">
        <v>6126</v>
      </c>
      <c r="I6133" s="444">
        <f t="shared" ca="1" si="223"/>
        <v>1915617896771822.8</v>
      </c>
      <c r="J6133" s="444">
        <f t="array" ref="J6133">IFERROR(INDEX('Retirement Calculator'!J:J,MATCH('Isaac 401k'!N6133,'Retirement Calculator'!A:A,0),0),0)</f>
        <v>0</v>
      </c>
      <c r="K6133" s="444">
        <f t="shared" ca="1" si="221"/>
        <v>7981741236549.2627</v>
      </c>
      <c r="L6133" s="444">
        <f t="shared" ca="1" si="222"/>
        <v>1923599638008372</v>
      </c>
      <c r="M6133" s="460">
        <f t="shared" si="224"/>
        <v>0.05</v>
      </c>
      <c r="N6133" s="464">
        <f t="shared" si="225"/>
        <v>237714</v>
      </c>
    </row>
    <row r="6134" spans="7:14" ht="11.25" customHeight="1" x14ac:dyDescent="0.3">
      <c r="G6134" s="459"/>
      <c r="H6134" s="459">
        <v>6127</v>
      </c>
      <c r="I6134" s="444">
        <f t="shared" ca="1" si="223"/>
        <v>1923599638008372</v>
      </c>
      <c r="J6134" s="444">
        <f t="array" ref="J6134">IFERROR(INDEX('Retirement Calculator'!J:J,MATCH('Isaac 401k'!N6134,'Retirement Calculator'!A:A,0),0),0)</f>
        <v>0</v>
      </c>
      <c r="K6134" s="444">
        <f t="shared" ca="1" si="221"/>
        <v>8014998491701.5498</v>
      </c>
      <c r="L6134" s="444">
        <f t="shared" ca="1" si="222"/>
        <v>1931614636500073.5</v>
      </c>
      <c r="M6134" s="460">
        <f t="shared" si="224"/>
        <v>0.05</v>
      </c>
      <c r="N6134" s="464">
        <f t="shared" si="225"/>
        <v>237744</v>
      </c>
    </row>
    <row r="6135" spans="7:14" ht="11.25" customHeight="1" x14ac:dyDescent="0.3">
      <c r="G6135" s="459"/>
      <c r="H6135" s="459">
        <v>6128</v>
      </c>
      <c r="I6135" s="444">
        <f t="shared" ca="1" si="223"/>
        <v>1931614636500073.5</v>
      </c>
      <c r="J6135" s="444">
        <f t="array" ref="J6135">IFERROR(INDEX('Retirement Calculator'!J:J,MATCH('Isaac 401k'!N6135,'Retirement Calculator'!A:A,0),0),0)</f>
        <v>0</v>
      </c>
      <c r="K6135" s="444">
        <f t="shared" ca="1" si="221"/>
        <v>8048394318750.3057</v>
      </c>
      <c r="L6135" s="444">
        <f t="shared" ca="1" si="222"/>
        <v>1939663030818823.8</v>
      </c>
      <c r="M6135" s="460">
        <f t="shared" si="224"/>
        <v>0.05</v>
      </c>
      <c r="N6135" s="464">
        <f t="shared" si="225"/>
        <v>237775</v>
      </c>
    </row>
    <row r="6136" spans="7:14" ht="11.25" customHeight="1" x14ac:dyDescent="0.3">
      <c r="G6136" s="459"/>
      <c r="H6136" s="459">
        <v>6129</v>
      </c>
      <c r="I6136" s="444">
        <f t="shared" ca="1" si="223"/>
        <v>1939663030818823.8</v>
      </c>
      <c r="J6136" s="444">
        <f t="array" ref="J6136">IFERROR(INDEX('Retirement Calculator'!J:J,MATCH('Isaac 401k'!N6136,'Retirement Calculator'!A:A,0),0),0)</f>
        <v>0</v>
      </c>
      <c r="K6136" s="444">
        <f t="shared" ca="1" si="221"/>
        <v>8081929295078.4326</v>
      </c>
      <c r="L6136" s="444">
        <f t="shared" ca="1" si="222"/>
        <v>1947744960113902.3</v>
      </c>
      <c r="M6136" s="460">
        <f t="shared" si="224"/>
        <v>0.05</v>
      </c>
      <c r="N6136" s="464">
        <f t="shared" si="225"/>
        <v>237806</v>
      </c>
    </row>
    <row r="6137" spans="7:14" ht="11.25" customHeight="1" x14ac:dyDescent="0.3">
      <c r="G6137" s="459"/>
      <c r="H6137" s="459">
        <v>6130</v>
      </c>
      <c r="I6137" s="444">
        <f t="shared" ca="1" si="223"/>
        <v>1947744960113902.3</v>
      </c>
      <c r="J6137" s="444">
        <f t="array" ref="J6137">IFERROR(INDEX('Retirement Calculator'!J:J,MATCH('Isaac 401k'!N6137,'Retirement Calculator'!A:A,0),0),0)</f>
        <v>0</v>
      </c>
      <c r="K6137" s="444">
        <f t="shared" ca="1" si="221"/>
        <v>8115604000474.5938</v>
      </c>
      <c r="L6137" s="444">
        <f t="shared" ca="1" si="222"/>
        <v>1955860564114376.8</v>
      </c>
      <c r="M6137" s="460">
        <f t="shared" si="224"/>
        <v>0.05</v>
      </c>
      <c r="N6137" s="464">
        <f t="shared" si="225"/>
        <v>237834</v>
      </c>
    </row>
    <row r="6138" spans="7:14" ht="11.25" customHeight="1" x14ac:dyDescent="0.3">
      <c r="G6138" s="459"/>
      <c r="H6138" s="459">
        <v>6131</v>
      </c>
      <c r="I6138" s="444">
        <f t="shared" ca="1" si="223"/>
        <v>1955860564114376.8</v>
      </c>
      <c r="J6138" s="444">
        <f t="array" ref="J6138">IFERROR(INDEX('Retirement Calculator'!J:J,MATCH('Isaac 401k'!N6138,'Retirement Calculator'!A:A,0),0),0)</f>
        <v>0</v>
      </c>
      <c r="K6138" s="444">
        <f t="shared" ca="1" si="221"/>
        <v>8149419017143.2373</v>
      </c>
      <c r="L6138" s="444">
        <f t="shared" ca="1" si="222"/>
        <v>1964009983131520</v>
      </c>
      <c r="M6138" s="460">
        <f t="shared" si="224"/>
        <v>0.05</v>
      </c>
      <c r="N6138" s="464">
        <f t="shared" si="225"/>
        <v>237865</v>
      </c>
    </row>
    <row r="6139" spans="7:14" ht="11.25" customHeight="1" x14ac:dyDescent="0.3">
      <c r="G6139" s="459"/>
      <c r="H6139" s="459">
        <v>6132</v>
      </c>
      <c r="I6139" s="444">
        <f t="shared" ca="1" si="223"/>
        <v>1964009983131520</v>
      </c>
      <c r="J6139" s="444">
        <f t="array" ref="J6139">IFERROR(INDEX('Retirement Calculator'!J:J,MATCH('Isaac 401k'!N6139,'Retirement Calculator'!A:A,0),0),0)</f>
        <v>0</v>
      </c>
      <c r="K6139" s="444">
        <f t="shared" ca="1" si="221"/>
        <v>8183374929714.667</v>
      </c>
      <c r="L6139" s="444">
        <f t="shared" ca="1" si="222"/>
        <v>1972193358061234.8</v>
      </c>
      <c r="M6139" s="460">
        <f t="shared" si="224"/>
        <v>0.05</v>
      </c>
      <c r="N6139" s="464">
        <f t="shared" si="225"/>
        <v>237895</v>
      </c>
    </row>
    <row r="6140" spans="7:14" ht="11.25" customHeight="1" x14ac:dyDescent="0.3">
      <c r="G6140" s="459"/>
      <c r="H6140" s="459">
        <v>6133</v>
      </c>
      <c r="I6140" s="444">
        <f t="shared" ca="1" si="223"/>
        <v>1972193358061234.8</v>
      </c>
      <c r="J6140" s="444">
        <f t="array" ref="J6140">IFERROR(INDEX('Retirement Calculator'!J:J,MATCH('Isaac 401k'!N6140,'Retirement Calculator'!A:A,0),0),0)</f>
        <v>0</v>
      </c>
      <c r="K6140" s="444">
        <f t="shared" ca="1" si="221"/>
        <v>8217472325255.1455</v>
      </c>
      <c r="L6140" s="444">
        <f t="shared" ca="1" si="222"/>
        <v>1980410830386490</v>
      </c>
      <c r="M6140" s="460">
        <f t="shared" si="224"/>
        <v>0.05</v>
      </c>
      <c r="N6140" s="464">
        <f t="shared" si="225"/>
        <v>237926</v>
      </c>
    </row>
    <row r="6141" spans="7:14" ht="11.25" customHeight="1" x14ac:dyDescent="0.3">
      <c r="G6141" s="459"/>
      <c r="H6141" s="459">
        <v>6134</v>
      </c>
      <c r="I6141" s="444">
        <f t="shared" ca="1" si="223"/>
        <v>1980410830386490</v>
      </c>
      <c r="J6141" s="444">
        <f t="array" ref="J6141">IFERROR(INDEX('Retirement Calculator'!J:J,MATCH('Isaac 401k'!N6141,'Retirement Calculator'!A:A,0),0),0)</f>
        <v>0</v>
      </c>
      <c r="K6141" s="444">
        <f t="shared" ca="1" si="221"/>
        <v>8251711793277.042</v>
      </c>
      <c r="L6141" s="444">
        <f t="shared" ca="1" si="222"/>
        <v>1988662542179767</v>
      </c>
      <c r="M6141" s="460">
        <f t="shared" si="224"/>
        <v>0.05</v>
      </c>
      <c r="N6141" s="464">
        <f t="shared" si="225"/>
        <v>237956</v>
      </c>
    </row>
    <row r="6142" spans="7:14" ht="11.25" customHeight="1" x14ac:dyDescent="0.3">
      <c r="G6142" s="459"/>
      <c r="H6142" s="459">
        <v>6135</v>
      </c>
      <c r="I6142" s="444">
        <f t="shared" ca="1" si="223"/>
        <v>1988662542179767</v>
      </c>
      <c r="J6142" s="444">
        <f t="array" ref="J6142">IFERROR(INDEX('Retirement Calculator'!J:J,MATCH('Isaac 401k'!N6142,'Retirement Calculator'!A:A,0),0),0)</f>
        <v>0</v>
      </c>
      <c r="K6142" s="444">
        <f t="shared" ca="1" si="221"/>
        <v>8286093925749.0283</v>
      </c>
      <c r="L6142" s="444">
        <f t="shared" ca="1" si="222"/>
        <v>1996948636105516</v>
      </c>
      <c r="M6142" s="460">
        <f t="shared" si="224"/>
        <v>0.05</v>
      </c>
      <c r="N6142" s="464">
        <f t="shared" si="225"/>
        <v>237987</v>
      </c>
    </row>
    <row r="6143" spans="7:14" ht="11.25" customHeight="1" x14ac:dyDescent="0.3">
      <c r="G6143" s="459"/>
      <c r="H6143" s="459">
        <v>6136</v>
      </c>
      <c r="I6143" s="444">
        <f t="shared" ca="1" si="223"/>
        <v>1996948636105516</v>
      </c>
      <c r="J6143" s="444">
        <f t="array" ref="J6143">IFERROR(INDEX('Retirement Calculator'!J:J,MATCH('Isaac 401k'!N6143,'Retirement Calculator'!A:A,0),0),0)</f>
        <v>0</v>
      </c>
      <c r="K6143" s="444">
        <f t="shared" ca="1" si="221"/>
        <v>8320619317106.3164</v>
      </c>
      <c r="L6143" s="444">
        <f t="shared" ca="1" si="222"/>
        <v>2005269255422622.3</v>
      </c>
      <c r="M6143" s="460">
        <f t="shared" si="224"/>
        <v>0.05</v>
      </c>
      <c r="N6143" s="464">
        <f t="shared" si="225"/>
        <v>238018</v>
      </c>
    </row>
    <row r="6144" spans="7:14" ht="11.25" customHeight="1" x14ac:dyDescent="0.3">
      <c r="G6144" s="459"/>
      <c r="H6144" s="459">
        <v>6137</v>
      </c>
      <c r="I6144" s="444">
        <f t="shared" ca="1" si="223"/>
        <v>2005269255422622.3</v>
      </c>
      <c r="J6144" s="444">
        <f t="array" ref="J6144">IFERROR(INDEX('Retirement Calculator'!J:J,MATCH('Isaac 401k'!N6144,'Retirement Calculator'!A:A,0),0),0)</f>
        <v>0</v>
      </c>
      <c r="K6144" s="444">
        <f t="shared" ca="1" si="221"/>
        <v>8355288564260.9258</v>
      </c>
      <c r="L6144" s="444">
        <f t="shared" ca="1" si="222"/>
        <v>2013624543986883.3</v>
      </c>
      <c r="M6144" s="460">
        <f t="shared" si="224"/>
        <v>0.05</v>
      </c>
      <c r="N6144" s="464">
        <f t="shared" si="225"/>
        <v>238048</v>
      </c>
    </row>
    <row r="6145" spans="7:14" ht="11.25" customHeight="1" x14ac:dyDescent="0.3">
      <c r="G6145" s="459"/>
      <c r="H6145" s="459">
        <v>6138</v>
      </c>
      <c r="I6145" s="444">
        <f t="shared" ca="1" si="223"/>
        <v>2013624543986883.3</v>
      </c>
      <c r="J6145" s="444">
        <f t="array" ref="J6145">IFERROR(INDEX('Retirement Calculator'!J:J,MATCH('Isaac 401k'!N6145,'Retirement Calculator'!A:A,0),0),0)</f>
        <v>0</v>
      </c>
      <c r="K6145" s="444">
        <f t="shared" ca="1" si="221"/>
        <v>8390102266612.0137</v>
      </c>
      <c r="L6145" s="444">
        <f t="shared" ca="1" si="222"/>
        <v>2022014646253495.3</v>
      </c>
      <c r="M6145" s="460">
        <f t="shared" si="224"/>
        <v>0.05</v>
      </c>
      <c r="N6145" s="464">
        <f t="shared" si="225"/>
        <v>238079</v>
      </c>
    </row>
    <row r="6146" spans="7:14" ht="11.25" customHeight="1" x14ac:dyDescent="0.3">
      <c r="G6146" s="459"/>
      <c r="H6146" s="459">
        <v>6139</v>
      </c>
      <c r="I6146" s="444">
        <f t="shared" ca="1" si="223"/>
        <v>2022014646253495.3</v>
      </c>
      <c r="J6146" s="444">
        <f t="array" ref="J6146">IFERROR(INDEX('Retirement Calculator'!J:J,MATCH('Isaac 401k'!N6146,'Retirement Calculator'!A:A,0),0),0)</f>
        <v>0</v>
      </c>
      <c r="K6146" s="444">
        <f t="shared" ca="1" si="221"/>
        <v>8425061026056.2305</v>
      </c>
      <c r="L6146" s="444">
        <f t="shared" ca="1" si="222"/>
        <v>2030439707279551.5</v>
      </c>
      <c r="M6146" s="460">
        <f t="shared" si="224"/>
        <v>0.05</v>
      </c>
      <c r="N6146" s="464">
        <f t="shared" si="225"/>
        <v>238109</v>
      </c>
    </row>
    <row r="6147" spans="7:14" ht="11.25" customHeight="1" x14ac:dyDescent="0.3">
      <c r="G6147" s="459"/>
      <c r="H6147" s="459">
        <v>6140</v>
      </c>
      <c r="I6147" s="444">
        <f t="shared" ca="1" si="223"/>
        <v>2030439707279551.5</v>
      </c>
      <c r="J6147" s="444">
        <f t="array" ref="J6147">IFERROR(INDEX('Retirement Calculator'!J:J,MATCH('Isaac 401k'!N6147,'Retirement Calculator'!A:A,0),0),0)</f>
        <v>0</v>
      </c>
      <c r="K6147" s="444">
        <f t="shared" ca="1" si="221"/>
        <v>8460165446998.1309</v>
      </c>
      <c r="L6147" s="444">
        <f t="shared" ca="1" si="222"/>
        <v>2038899872726549.8</v>
      </c>
      <c r="M6147" s="460">
        <f t="shared" si="224"/>
        <v>0.05</v>
      </c>
      <c r="N6147" s="464">
        <f t="shared" si="225"/>
        <v>238140</v>
      </c>
    </row>
    <row r="6148" spans="7:14" ht="11.25" customHeight="1" x14ac:dyDescent="0.3">
      <c r="G6148" s="459"/>
      <c r="H6148" s="459">
        <v>6141</v>
      </c>
      <c r="I6148" s="444">
        <f t="shared" ca="1" si="223"/>
        <v>2038899872726549.8</v>
      </c>
      <c r="J6148" s="444">
        <f t="array" ref="J6148">IFERROR(INDEX('Retirement Calculator'!J:J,MATCH('Isaac 401k'!N6148,'Retirement Calculator'!A:A,0),0),0)</f>
        <v>0</v>
      </c>
      <c r="K6148" s="444">
        <f t="shared" ca="1" si="221"/>
        <v>8495416136360.625</v>
      </c>
      <c r="L6148" s="444">
        <f t="shared" ca="1" si="222"/>
        <v>2047395288862910.5</v>
      </c>
      <c r="M6148" s="460">
        <f t="shared" si="224"/>
        <v>0.05</v>
      </c>
      <c r="N6148" s="464">
        <f t="shared" si="225"/>
        <v>238171</v>
      </c>
    </row>
    <row r="6149" spans="7:14" ht="11.25" customHeight="1" x14ac:dyDescent="0.3">
      <c r="G6149" s="459"/>
      <c r="H6149" s="459">
        <v>6142</v>
      </c>
      <c r="I6149" s="444">
        <f t="shared" ca="1" si="223"/>
        <v>2047395288862910.5</v>
      </c>
      <c r="J6149" s="444">
        <f t="array" ref="J6149">IFERROR(INDEX('Retirement Calculator'!J:J,MATCH('Isaac 401k'!N6149,'Retirement Calculator'!A:A,0),0),0)</f>
        <v>0</v>
      </c>
      <c r="K6149" s="444">
        <f t="shared" ca="1" si="221"/>
        <v>8530813703595.46</v>
      </c>
      <c r="L6149" s="444">
        <f t="shared" ca="1" si="222"/>
        <v>2055926102566506</v>
      </c>
      <c r="M6149" s="460">
        <f t="shared" si="224"/>
        <v>0.05</v>
      </c>
      <c r="N6149" s="464">
        <f t="shared" si="225"/>
        <v>238200</v>
      </c>
    </row>
    <row r="6150" spans="7:14" ht="11.25" customHeight="1" x14ac:dyDescent="0.3">
      <c r="G6150" s="459"/>
      <c r="H6150" s="459">
        <v>6143</v>
      </c>
      <c r="I6150" s="444">
        <f t="shared" ca="1" si="223"/>
        <v>2055926102566506</v>
      </c>
      <c r="J6150" s="444">
        <f t="array" ref="J6150">IFERROR(INDEX('Retirement Calculator'!J:J,MATCH('Isaac 401k'!N6150,'Retirement Calculator'!A:A,0),0),0)</f>
        <v>0</v>
      </c>
      <c r="K6150" s="444">
        <f t="shared" ca="1" si="221"/>
        <v>8566358760693.7744</v>
      </c>
      <c r="L6150" s="444">
        <f t="shared" ca="1" si="222"/>
        <v>2064492461327199.8</v>
      </c>
      <c r="M6150" s="460">
        <f t="shared" si="224"/>
        <v>0.05</v>
      </c>
      <c r="N6150" s="464">
        <f t="shared" si="225"/>
        <v>238231</v>
      </c>
    </row>
    <row r="6151" spans="7:14" ht="11.25" customHeight="1" x14ac:dyDescent="0.3">
      <c r="G6151" s="459"/>
      <c r="H6151" s="459">
        <v>6144</v>
      </c>
      <c r="I6151" s="444">
        <f t="shared" ca="1" si="223"/>
        <v>2064492461327199.8</v>
      </c>
      <c r="J6151" s="444">
        <f t="array" ref="J6151">IFERROR(INDEX('Retirement Calculator'!J:J,MATCH('Isaac 401k'!N6151,'Retirement Calculator'!A:A,0),0),0)</f>
        <v>0</v>
      </c>
      <c r="K6151" s="444">
        <f t="shared" ca="1" si="221"/>
        <v>8602051922196.665</v>
      </c>
      <c r="L6151" s="444">
        <f t="shared" ca="1" si="222"/>
        <v>2073094513249396.5</v>
      </c>
      <c r="M6151" s="460">
        <f t="shared" si="224"/>
        <v>0.05</v>
      </c>
      <c r="N6151" s="464">
        <f t="shared" si="225"/>
        <v>238261</v>
      </c>
    </row>
    <row r="6152" spans="7:14" ht="11.25" customHeight="1" x14ac:dyDescent="0.3">
      <c r="G6152" s="459"/>
      <c r="H6152" s="459">
        <v>6145</v>
      </c>
      <c r="I6152" s="444">
        <f t="shared" ca="1" si="223"/>
        <v>2073094513249396.5</v>
      </c>
      <c r="J6152" s="444">
        <f t="array" ref="J6152">IFERROR(INDEX('Retirement Calculator'!J:J,MATCH('Isaac 401k'!N6152,'Retirement Calculator'!A:A,0),0),0)</f>
        <v>0</v>
      </c>
      <c r="K6152" s="444">
        <f t="shared" ca="1" si="221"/>
        <v>8637893805205.8184</v>
      </c>
      <c r="L6152" s="444">
        <f t="shared" ca="1" si="222"/>
        <v>2081732407054602.3</v>
      </c>
      <c r="M6152" s="460">
        <f t="shared" si="224"/>
        <v>0.05</v>
      </c>
      <c r="N6152" s="464">
        <f t="shared" si="225"/>
        <v>238292</v>
      </c>
    </row>
    <row r="6153" spans="7:14" ht="11.25" customHeight="1" x14ac:dyDescent="0.3">
      <c r="G6153" s="459"/>
      <c r="H6153" s="459">
        <v>6146</v>
      </c>
      <c r="I6153" s="444">
        <f t="shared" ca="1" si="223"/>
        <v>2081732407054602.3</v>
      </c>
      <c r="J6153" s="444">
        <f t="array" ref="J6153">IFERROR(INDEX('Retirement Calculator'!J:J,MATCH('Isaac 401k'!N6153,'Retirement Calculator'!A:A,0),0),0)</f>
        <v>0</v>
      </c>
      <c r="K6153" s="444">
        <f t="shared" ca="1" si="221"/>
        <v>8673885029394.1758</v>
      </c>
      <c r="L6153" s="444">
        <f t="shared" ca="1" si="222"/>
        <v>2090406292083996.5</v>
      </c>
      <c r="M6153" s="460">
        <f t="shared" si="224"/>
        <v>0.05</v>
      </c>
      <c r="N6153" s="464">
        <f t="shared" si="225"/>
        <v>238322</v>
      </c>
    </row>
    <row r="6154" spans="7:14" ht="11.25" customHeight="1" x14ac:dyDescent="0.3">
      <c r="G6154" s="459"/>
      <c r="H6154" s="459">
        <v>6147</v>
      </c>
      <c r="I6154" s="444">
        <f t="shared" ca="1" si="223"/>
        <v>2090406292083996.5</v>
      </c>
      <c r="J6154" s="444">
        <f t="array" ref="J6154">IFERROR(INDEX('Retirement Calculator'!J:J,MATCH('Isaac 401k'!N6154,'Retirement Calculator'!A:A,0),0),0)</f>
        <v>0</v>
      </c>
      <c r="K6154" s="444">
        <f t="shared" ca="1" si="221"/>
        <v>8710026217016.6523</v>
      </c>
      <c r="L6154" s="444">
        <f t="shared" ca="1" si="222"/>
        <v>2099116318301013.3</v>
      </c>
      <c r="M6154" s="460">
        <f t="shared" si="224"/>
        <v>0.05</v>
      </c>
      <c r="N6154" s="464">
        <f t="shared" si="225"/>
        <v>238353</v>
      </c>
    </row>
    <row r="6155" spans="7:14" ht="11.25" customHeight="1" x14ac:dyDescent="0.3">
      <c r="G6155" s="459"/>
      <c r="H6155" s="459">
        <v>6148</v>
      </c>
      <c r="I6155" s="444">
        <f t="shared" ca="1" si="223"/>
        <v>2099116318301013.3</v>
      </c>
      <c r="J6155" s="444">
        <f t="array" ref="J6155">IFERROR(INDEX('Retirement Calculator'!J:J,MATCH('Isaac 401k'!N6155,'Retirement Calculator'!A:A,0),0),0)</f>
        <v>0</v>
      </c>
      <c r="K6155" s="444">
        <f t="shared" ca="1" si="221"/>
        <v>8746317992920.8887</v>
      </c>
      <c r="L6155" s="444">
        <f t="shared" ca="1" si="222"/>
        <v>2107862636293934.3</v>
      </c>
      <c r="M6155" s="460">
        <f t="shared" si="224"/>
        <v>0.05</v>
      </c>
      <c r="N6155" s="464">
        <f t="shared" si="225"/>
        <v>238384</v>
      </c>
    </row>
    <row r="6156" spans="7:14" ht="11.25" customHeight="1" x14ac:dyDescent="0.3">
      <c r="G6156" s="459"/>
      <c r="H6156" s="459">
        <v>6149</v>
      </c>
      <c r="I6156" s="444">
        <f t="shared" ca="1" si="223"/>
        <v>2107862636293934.3</v>
      </c>
      <c r="J6156" s="444">
        <f t="array" ref="J6156">IFERROR(INDEX('Retirement Calculator'!J:J,MATCH('Isaac 401k'!N6156,'Retirement Calculator'!A:A,0),0),0)</f>
        <v>0</v>
      </c>
      <c r="K6156" s="444">
        <f t="shared" ca="1" si="221"/>
        <v>8782760984558.0605</v>
      </c>
      <c r="L6156" s="444">
        <f t="shared" ca="1" si="222"/>
        <v>2116645397278492.3</v>
      </c>
      <c r="M6156" s="460">
        <f t="shared" si="224"/>
        <v>0.05</v>
      </c>
      <c r="N6156" s="464">
        <f t="shared" si="225"/>
        <v>238414</v>
      </c>
    </row>
    <row r="6157" spans="7:14" ht="11.25" customHeight="1" x14ac:dyDescent="0.3">
      <c r="G6157" s="459"/>
      <c r="H6157" s="459">
        <v>6150</v>
      </c>
      <c r="I6157" s="444">
        <f t="shared" ca="1" si="223"/>
        <v>2116645397278492.3</v>
      </c>
      <c r="J6157" s="444">
        <f t="array" ref="J6157">IFERROR(INDEX('Retirement Calculator'!J:J,MATCH('Isaac 401k'!N6157,'Retirement Calculator'!A:A,0),0),0)</f>
        <v>0</v>
      </c>
      <c r="K6157" s="444">
        <f t="shared" ca="1" si="221"/>
        <v>8819355821993.7168</v>
      </c>
      <c r="L6157" s="444">
        <f t="shared" ca="1" si="222"/>
        <v>2125464753100486</v>
      </c>
      <c r="M6157" s="460">
        <f t="shared" si="224"/>
        <v>0.05</v>
      </c>
      <c r="N6157" s="464">
        <f t="shared" si="225"/>
        <v>238445</v>
      </c>
    </row>
    <row r="6158" spans="7:14" ht="11.25" customHeight="1" x14ac:dyDescent="0.3">
      <c r="G6158" s="459"/>
      <c r="H6158" s="459">
        <v>6151</v>
      </c>
      <c r="I6158" s="444">
        <f t="shared" ca="1" si="223"/>
        <v>2125464753100486</v>
      </c>
      <c r="J6158" s="444">
        <f t="array" ref="J6158">IFERROR(INDEX('Retirement Calculator'!J:J,MATCH('Isaac 401k'!N6158,'Retirement Calculator'!A:A,0),0),0)</f>
        <v>0</v>
      </c>
      <c r="K6158" s="444">
        <f t="shared" ca="1" si="221"/>
        <v>8856103137918.6914</v>
      </c>
      <c r="L6158" s="444">
        <f t="shared" ca="1" si="222"/>
        <v>2134320856238404.8</v>
      </c>
      <c r="M6158" s="460">
        <f t="shared" si="224"/>
        <v>0.05</v>
      </c>
      <c r="N6158" s="464">
        <f t="shared" si="225"/>
        <v>238475</v>
      </c>
    </row>
    <row r="6159" spans="7:14" ht="11.25" customHeight="1" x14ac:dyDescent="0.3">
      <c r="G6159" s="459"/>
      <c r="H6159" s="459">
        <v>6152</v>
      </c>
      <c r="I6159" s="444">
        <f t="shared" ca="1" si="223"/>
        <v>2134320856238404.8</v>
      </c>
      <c r="J6159" s="444">
        <f t="array" ref="J6159">IFERROR(INDEX('Retirement Calculator'!J:J,MATCH('Isaac 401k'!N6159,'Retirement Calculator'!A:A,0),0),0)</f>
        <v>0</v>
      </c>
      <c r="K6159" s="444">
        <f t="shared" ca="1" si="221"/>
        <v>8893003567660.0195</v>
      </c>
      <c r="L6159" s="444">
        <f t="shared" ca="1" si="222"/>
        <v>2143213859806064.8</v>
      </c>
      <c r="M6159" s="460">
        <f t="shared" si="224"/>
        <v>0.05</v>
      </c>
      <c r="N6159" s="464">
        <f t="shared" si="225"/>
        <v>238506</v>
      </c>
    </row>
    <row r="6160" spans="7:14" ht="11.25" customHeight="1" x14ac:dyDescent="0.3">
      <c r="G6160" s="459"/>
      <c r="H6160" s="459">
        <v>6153</v>
      </c>
      <c r="I6160" s="444">
        <f t="shared" ca="1" si="223"/>
        <v>2143213859806064.8</v>
      </c>
      <c r="J6160" s="444">
        <f t="array" ref="J6160">IFERROR(INDEX('Retirement Calculator'!J:J,MATCH('Isaac 401k'!N6160,'Retirement Calculator'!A:A,0),0),0)</f>
        <v>0</v>
      </c>
      <c r="K6160" s="444">
        <f t="shared" ca="1" si="221"/>
        <v>8930057749191.9355</v>
      </c>
      <c r="L6160" s="444">
        <f t="shared" ca="1" si="222"/>
        <v>2152143917555256.8</v>
      </c>
      <c r="M6160" s="460">
        <f t="shared" si="224"/>
        <v>0.05</v>
      </c>
      <c r="N6160" s="464">
        <f t="shared" si="225"/>
        <v>238537</v>
      </c>
    </row>
    <row r="6161" spans="7:14" ht="11.25" customHeight="1" x14ac:dyDescent="0.3">
      <c r="G6161" s="459"/>
      <c r="H6161" s="459">
        <v>6154</v>
      </c>
      <c r="I6161" s="444">
        <f t="shared" ca="1" si="223"/>
        <v>2152143917555256.8</v>
      </c>
      <c r="J6161" s="444">
        <f t="array" ref="J6161">IFERROR(INDEX('Retirement Calculator'!J:J,MATCH('Isaac 401k'!N6161,'Retirement Calculator'!A:A,0),0),0)</f>
        <v>0</v>
      </c>
      <c r="K6161" s="444">
        <f t="shared" ca="1" si="221"/>
        <v>8967266323146.9023</v>
      </c>
      <c r="L6161" s="444">
        <f t="shared" ca="1" si="222"/>
        <v>2161111183878403.8</v>
      </c>
      <c r="M6161" s="460">
        <f t="shared" si="224"/>
        <v>0.05</v>
      </c>
      <c r="N6161" s="464">
        <f t="shared" si="225"/>
        <v>238565</v>
      </c>
    </row>
    <row r="6162" spans="7:14" ht="11.25" customHeight="1" x14ac:dyDescent="0.3">
      <c r="G6162" s="459"/>
      <c r="H6162" s="459">
        <v>6155</v>
      </c>
      <c r="I6162" s="444">
        <f t="shared" ca="1" si="223"/>
        <v>2161111183878403.8</v>
      </c>
      <c r="J6162" s="444">
        <f t="array" ref="J6162">IFERROR(INDEX('Retirement Calculator'!J:J,MATCH('Isaac 401k'!N6162,'Retirement Calculator'!A:A,0),0),0)</f>
        <v>0</v>
      </c>
      <c r="K6162" s="444">
        <f t="shared" ca="1" si="221"/>
        <v>9004629932826.6836</v>
      </c>
      <c r="L6162" s="444">
        <f t="shared" ca="1" si="222"/>
        <v>2170115813811230.5</v>
      </c>
      <c r="M6162" s="460">
        <f t="shared" si="224"/>
        <v>0.05</v>
      </c>
      <c r="N6162" s="464">
        <f t="shared" si="225"/>
        <v>238596</v>
      </c>
    </row>
    <row r="6163" spans="7:14" ht="11.25" customHeight="1" x14ac:dyDescent="0.3">
      <c r="G6163" s="459"/>
      <c r="H6163" s="459">
        <v>6156</v>
      </c>
      <c r="I6163" s="444">
        <f t="shared" ca="1" si="223"/>
        <v>2170115813811230.5</v>
      </c>
      <c r="J6163" s="444">
        <f t="array" ref="J6163">IFERROR(INDEX('Retirement Calculator'!J:J,MATCH('Isaac 401k'!N6163,'Retirement Calculator'!A:A,0),0),0)</f>
        <v>0</v>
      </c>
      <c r="K6163" s="444">
        <f t="shared" ca="1" si="221"/>
        <v>9042149224213.4609</v>
      </c>
      <c r="L6163" s="444">
        <f t="shared" ca="1" si="222"/>
        <v>2179157963035444</v>
      </c>
      <c r="M6163" s="460">
        <f t="shared" si="224"/>
        <v>0.05</v>
      </c>
      <c r="N6163" s="464">
        <f t="shared" si="225"/>
        <v>238626</v>
      </c>
    </row>
    <row r="6164" spans="7:14" ht="11.25" customHeight="1" x14ac:dyDescent="0.3">
      <c r="G6164" s="459"/>
      <c r="H6164" s="459">
        <v>6157</v>
      </c>
      <c r="I6164" s="444">
        <f t="shared" ca="1" si="223"/>
        <v>2179157963035444</v>
      </c>
      <c r="J6164" s="444">
        <f t="array" ref="J6164">IFERROR(INDEX('Retirement Calculator'!J:J,MATCH('Isaac 401k'!N6164,'Retirement Calculator'!A:A,0),0),0)</f>
        <v>0</v>
      </c>
      <c r="K6164" s="444">
        <f t="shared" ca="1" si="221"/>
        <v>9079824845981.0156</v>
      </c>
      <c r="L6164" s="444">
        <f t="shared" ca="1" si="222"/>
        <v>2188237787881425</v>
      </c>
      <c r="M6164" s="460">
        <f t="shared" si="224"/>
        <v>0.05</v>
      </c>
      <c r="N6164" s="464">
        <f t="shared" si="225"/>
        <v>238657</v>
      </c>
    </row>
    <row r="6165" spans="7:14" ht="11.25" customHeight="1" x14ac:dyDescent="0.3">
      <c r="G6165" s="459"/>
      <c r="H6165" s="459">
        <v>6158</v>
      </c>
      <c r="I6165" s="444">
        <f t="shared" ca="1" si="223"/>
        <v>2188237787881425</v>
      </c>
      <c r="J6165" s="444">
        <f t="array" ref="J6165">IFERROR(INDEX('Retirement Calculator'!J:J,MATCH('Isaac 401k'!N6165,'Retirement Calculator'!A:A,0),0),0)</f>
        <v>0</v>
      </c>
      <c r="K6165" s="444">
        <f t="shared" ca="1" si="221"/>
        <v>9117657449505.9375</v>
      </c>
      <c r="L6165" s="444">
        <f t="shared" ca="1" si="222"/>
        <v>2197355445330931</v>
      </c>
      <c r="M6165" s="460">
        <f t="shared" si="224"/>
        <v>0.05</v>
      </c>
      <c r="N6165" s="464">
        <f t="shared" si="225"/>
        <v>238687</v>
      </c>
    </row>
    <row r="6166" spans="7:14" ht="11.25" customHeight="1" x14ac:dyDescent="0.3">
      <c r="G6166" s="459"/>
      <c r="H6166" s="459">
        <v>6159</v>
      </c>
      <c r="I6166" s="444">
        <f t="shared" ca="1" si="223"/>
        <v>2197355445330931</v>
      </c>
      <c r="J6166" s="444">
        <f t="array" ref="J6166">IFERROR(INDEX('Retirement Calculator'!J:J,MATCH('Isaac 401k'!N6166,'Retirement Calculator'!A:A,0),0),0)</f>
        <v>0</v>
      </c>
      <c r="K6166" s="444">
        <f t="shared" ca="1" si="221"/>
        <v>9155647688878.8809</v>
      </c>
      <c r="L6166" s="444">
        <f t="shared" ca="1" si="222"/>
        <v>2206511093019810</v>
      </c>
      <c r="M6166" s="460">
        <f t="shared" si="224"/>
        <v>0.05</v>
      </c>
      <c r="N6166" s="464">
        <f t="shared" si="225"/>
        <v>238718</v>
      </c>
    </row>
    <row r="6167" spans="7:14" ht="11.25" customHeight="1" x14ac:dyDescent="0.3">
      <c r="G6167" s="459"/>
      <c r="H6167" s="459">
        <v>6160</v>
      </c>
      <c r="I6167" s="444">
        <f t="shared" ca="1" si="223"/>
        <v>2206511093019810</v>
      </c>
      <c r="J6167" s="444">
        <f t="array" ref="J6167">IFERROR(INDEX('Retirement Calculator'!J:J,MATCH('Isaac 401k'!N6167,'Retirement Calculator'!A:A,0),0),0)</f>
        <v>0</v>
      </c>
      <c r="K6167" s="444">
        <f t="shared" ca="1" si="221"/>
        <v>9193796220915.875</v>
      </c>
      <c r="L6167" s="444">
        <f t="shared" ca="1" si="222"/>
        <v>2215704889240726</v>
      </c>
      <c r="M6167" s="460">
        <f t="shared" si="224"/>
        <v>0.05</v>
      </c>
      <c r="N6167" s="464">
        <f t="shared" si="225"/>
        <v>238749</v>
      </c>
    </row>
    <row r="6168" spans="7:14" ht="11.25" customHeight="1" x14ac:dyDescent="0.3">
      <c r="G6168" s="459"/>
      <c r="H6168" s="459">
        <v>6161</v>
      </c>
      <c r="I6168" s="444">
        <f t="shared" ca="1" si="223"/>
        <v>2215704889240726</v>
      </c>
      <c r="J6168" s="444">
        <f t="array" ref="J6168">IFERROR(INDEX('Retirement Calculator'!J:J,MATCH('Isaac 401k'!N6168,'Retirement Calculator'!A:A,0),0),0)</f>
        <v>0</v>
      </c>
      <c r="K6168" s="444">
        <f t="shared" ca="1" si="221"/>
        <v>9232103705169.6914</v>
      </c>
      <c r="L6168" s="444">
        <f t="shared" ca="1" si="222"/>
        <v>2224936992945895.8</v>
      </c>
      <c r="M6168" s="460">
        <f t="shared" si="224"/>
        <v>0.05</v>
      </c>
      <c r="N6168" s="464">
        <f t="shared" si="225"/>
        <v>238779</v>
      </c>
    </row>
    <row r="6169" spans="7:14" ht="11.25" customHeight="1" x14ac:dyDescent="0.3">
      <c r="G6169" s="459"/>
      <c r="H6169" s="459">
        <v>6162</v>
      </c>
      <c r="I6169" s="444">
        <f t="shared" ca="1" si="223"/>
        <v>2224936992945895.8</v>
      </c>
      <c r="J6169" s="444">
        <f t="array" ref="J6169">IFERROR(INDEX('Retirement Calculator'!J:J,MATCH('Isaac 401k'!N6169,'Retirement Calculator'!A:A,0),0),0)</f>
        <v>0</v>
      </c>
      <c r="K6169" s="444">
        <f t="shared" ca="1" si="221"/>
        <v>9270570803941.2324</v>
      </c>
      <c r="L6169" s="444">
        <f t="shared" ca="1" si="222"/>
        <v>2234207563749837</v>
      </c>
      <c r="M6169" s="460">
        <f t="shared" si="224"/>
        <v>0.05</v>
      </c>
      <c r="N6169" s="464">
        <f t="shared" si="225"/>
        <v>238810</v>
      </c>
    </row>
    <row r="6170" spans="7:14" ht="11.25" customHeight="1" x14ac:dyDescent="0.3">
      <c r="G6170" s="459"/>
      <c r="H6170" s="459">
        <v>6163</v>
      </c>
      <c r="I6170" s="444">
        <f t="shared" ca="1" si="223"/>
        <v>2234207563749837</v>
      </c>
      <c r="J6170" s="444">
        <f t="array" ref="J6170">IFERROR(INDEX('Retirement Calculator'!J:J,MATCH('Isaac 401k'!N6170,'Retirement Calculator'!A:A,0),0),0)</f>
        <v>0</v>
      </c>
      <c r="K6170" s="444">
        <f t="shared" ca="1" si="221"/>
        <v>9309198182290.9883</v>
      </c>
      <c r="L6170" s="444">
        <f t="shared" ca="1" si="222"/>
        <v>2243516761932128</v>
      </c>
      <c r="M6170" s="460">
        <f t="shared" si="224"/>
        <v>0.05</v>
      </c>
      <c r="N6170" s="464">
        <f t="shared" si="225"/>
        <v>238840</v>
      </c>
    </row>
    <row r="6171" spans="7:14" ht="11.25" customHeight="1" x14ac:dyDescent="0.3">
      <c r="G6171" s="459"/>
      <c r="H6171" s="459">
        <v>6164</v>
      </c>
      <c r="I6171" s="444">
        <f t="shared" ca="1" si="223"/>
        <v>2243516761932128</v>
      </c>
      <c r="J6171" s="444">
        <f t="array" ref="J6171">IFERROR(INDEX('Retirement Calculator'!J:J,MATCH('Isaac 401k'!N6171,'Retirement Calculator'!A:A,0),0),0)</f>
        <v>0</v>
      </c>
      <c r="K6171" s="444">
        <f t="shared" ca="1" si="221"/>
        <v>9347986508050.5332</v>
      </c>
      <c r="L6171" s="444">
        <f t="shared" ca="1" si="222"/>
        <v>2252864748440178.5</v>
      </c>
      <c r="M6171" s="460">
        <f t="shared" si="224"/>
        <v>0.05</v>
      </c>
      <c r="N6171" s="464">
        <f t="shared" si="225"/>
        <v>238871</v>
      </c>
    </row>
    <row r="6172" spans="7:14" ht="11.25" customHeight="1" x14ac:dyDescent="0.3">
      <c r="G6172" s="459"/>
      <c r="H6172" s="459">
        <v>6165</v>
      </c>
      <c r="I6172" s="444">
        <f t="shared" ca="1" si="223"/>
        <v>2252864748440178.5</v>
      </c>
      <c r="J6172" s="444">
        <f t="array" ref="J6172">IFERROR(INDEX('Retirement Calculator'!J:J,MATCH('Isaac 401k'!N6172,'Retirement Calculator'!A:A,0),0),0)</f>
        <v>0</v>
      </c>
      <c r="K6172" s="444">
        <f t="shared" ca="1" si="221"/>
        <v>9386936451834.0762</v>
      </c>
      <c r="L6172" s="444">
        <f t="shared" ca="1" si="222"/>
        <v>2262251684892012.5</v>
      </c>
      <c r="M6172" s="460">
        <f t="shared" si="224"/>
        <v>0.05</v>
      </c>
      <c r="N6172" s="464">
        <f t="shared" si="225"/>
        <v>238902</v>
      </c>
    </row>
    <row r="6173" spans="7:14" ht="11.25" customHeight="1" x14ac:dyDescent="0.3">
      <c r="G6173" s="459"/>
      <c r="H6173" s="459">
        <v>6166</v>
      </c>
      <c r="I6173" s="444">
        <f t="shared" ca="1" si="223"/>
        <v>2262251684892012.5</v>
      </c>
      <c r="J6173" s="444">
        <f t="array" ref="J6173">IFERROR(INDEX('Retirement Calculator'!J:J,MATCH('Isaac 401k'!N6173,'Retirement Calculator'!A:A,0),0),0)</f>
        <v>0</v>
      </c>
      <c r="K6173" s="444">
        <f t="shared" ca="1" si="221"/>
        <v>9426048687050.0527</v>
      </c>
      <c r="L6173" s="444">
        <f t="shared" ca="1" si="222"/>
        <v>2271677733579062.5</v>
      </c>
      <c r="M6173" s="460">
        <f t="shared" si="224"/>
        <v>0.05</v>
      </c>
      <c r="N6173" s="464">
        <f t="shared" si="225"/>
        <v>238930</v>
      </c>
    </row>
    <row r="6174" spans="7:14" ht="11.25" customHeight="1" x14ac:dyDescent="0.3">
      <c r="G6174" s="459"/>
      <c r="H6174" s="459">
        <v>6167</v>
      </c>
      <c r="I6174" s="444">
        <f t="shared" ca="1" si="223"/>
        <v>2271677733579062.5</v>
      </c>
      <c r="J6174" s="444">
        <f t="array" ref="J6174">IFERROR(INDEX('Retirement Calculator'!J:J,MATCH('Isaac 401k'!N6174,'Retirement Calculator'!A:A,0),0),0)</f>
        <v>0</v>
      </c>
      <c r="K6174" s="444">
        <f t="shared" ca="1" si="221"/>
        <v>9465323889912.7598</v>
      </c>
      <c r="L6174" s="444">
        <f t="shared" ca="1" si="222"/>
        <v>2281143057468975.5</v>
      </c>
      <c r="M6174" s="460">
        <f t="shared" si="224"/>
        <v>0.05</v>
      </c>
      <c r="N6174" s="464">
        <f t="shared" si="225"/>
        <v>238961</v>
      </c>
    </row>
    <row r="6175" spans="7:14" ht="11.25" customHeight="1" x14ac:dyDescent="0.3">
      <c r="G6175" s="459"/>
      <c r="H6175" s="459">
        <v>6168</v>
      </c>
      <c r="I6175" s="444">
        <f t="shared" ca="1" si="223"/>
        <v>2281143057468975.5</v>
      </c>
      <c r="J6175" s="444">
        <f t="array" ref="J6175">IFERROR(INDEX('Retirement Calculator'!J:J,MATCH('Isaac 401k'!N6175,'Retirement Calculator'!A:A,0),0),0)</f>
        <v>0</v>
      </c>
      <c r="K6175" s="444">
        <f t="shared" ca="1" si="221"/>
        <v>9504762739454.0645</v>
      </c>
      <c r="L6175" s="444">
        <f t="shared" ca="1" si="222"/>
        <v>2290647820208429.5</v>
      </c>
      <c r="M6175" s="460">
        <f t="shared" si="224"/>
        <v>0.05</v>
      </c>
      <c r="N6175" s="464">
        <f t="shared" si="225"/>
        <v>238991</v>
      </c>
    </row>
    <row r="6176" spans="7:14" ht="11.25" customHeight="1" x14ac:dyDescent="0.3">
      <c r="G6176" s="459"/>
      <c r="H6176" s="459">
        <v>6169</v>
      </c>
      <c r="I6176" s="444">
        <f t="shared" ca="1" si="223"/>
        <v>2290647820208429.5</v>
      </c>
      <c r="J6176" s="444">
        <f t="array" ref="J6176">IFERROR(INDEX('Retirement Calculator'!J:J,MATCH('Isaac 401k'!N6176,'Retirement Calculator'!A:A,0),0),0)</f>
        <v>0</v>
      </c>
      <c r="K6176" s="444">
        <f t="shared" ca="1" si="221"/>
        <v>9544365917535.123</v>
      </c>
      <c r="L6176" s="444">
        <f t="shared" ca="1" si="222"/>
        <v>2300192186125964.5</v>
      </c>
      <c r="M6176" s="460">
        <f t="shared" si="224"/>
        <v>0.05</v>
      </c>
      <c r="N6176" s="464">
        <f t="shared" si="225"/>
        <v>239022</v>
      </c>
    </row>
    <row r="6177" spans="7:14" ht="11.25" customHeight="1" x14ac:dyDescent="0.3">
      <c r="G6177" s="459"/>
      <c r="H6177" s="459">
        <v>6170</v>
      </c>
      <c r="I6177" s="444">
        <f t="shared" ca="1" si="223"/>
        <v>2300192186125964.5</v>
      </c>
      <c r="J6177" s="444">
        <f t="array" ref="J6177">IFERROR(INDEX('Retirement Calculator'!J:J,MATCH('Isaac 401k'!N6177,'Retirement Calculator'!A:A,0),0),0)</f>
        <v>0</v>
      </c>
      <c r="K6177" s="444">
        <f t="shared" ca="1" si="221"/>
        <v>9584134108858.1855</v>
      </c>
      <c r="L6177" s="444">
        <f t="shared" ca="1" si="222"/>
        <v>2309776320234822.5</v>
      </c>
      <c r="M6177" s="460">
        <f t="shared" si="224"/>
        <v>0.05</v>
      </c>
      <c r="N6177" s="464">
        <f t="shared" si="225"/>
        <v>239052</v>
      </c>
    </row>
    <row r="6178" spans="7:14" ht="11.25" customHeight="1" x14ac:dyDescent="0.3">
      <c r="G6178" s="459"/>
      <c r="H6178" s="459">
        <v>6171</v>
      </c>
      <c r="I6178" s="444">
        <f t="shared" ca="1" si="223"/>
        <v>2309776320234822.5</v>
      </c>
      <c r="J6178" s="444">
        <f t="array" ref="J6178">IFERROR(INDEX('Retirement Calculator'!J:J,MATCH('Isaac 401k'!N6178,'Retirement Calculator'!A:A,0),0),0)</f>
        <v>0</v>
      </c>
      <c r="K6178" s="444">
        <f t="shared" ca="1" si="221"/>
        <v>9624068000978.4277</v>
      </c>
      <c r="L6178" s="444">
        <f t="shared" ca="1" si="222"/>
        <v>2319400388235801</v>
      </c>
      <c r="M6178" s="460">
        <f t="shared" si="224"/>
        <v>0.05</v>
      </c>
      <c r="N6178" s="464">
        <f t="shared" si="225"/>
        <v>239083</v>
      </c>
    </row>
    <row r="6179" spans="7:14" ht="11.25" customHeight="1" x14ac:dyDescent="0.3">
      <c r="G6179" s="459"/>
      <c r="H6179" s="459">
        <v>6172</v>
      </c>
      <c r="I6179" s="444">
        <f t="shared" ca="1" si="223"/>
        <v>2319400388235801</v>
      </c>
      <c r="J6179" s="444">
        <f t="array" ref="J6179">IFERROR(INDEX('Retirement Calculator'!J:J,MATCH('Isaac 401k'!N6179,'Retirement Calculator'!A:A,0),0),0)</f>
        <v>0</v>
      </c>
      <c r="K6179" s="444">
        <f t="shared" ca="1" si="221"/>
        <v>9664168284315.8379</v>
      </c>
      <c r="L6179" s="444">
        <f t="shared" ca="1" si="222"/>
        <v>2329064556520117</v>
      </c>
      <c r="M6179" s="460">
        <f t="shared" si="224"/>
        <v>0.05</v>
      </c>
      <c r="N6179" s="464">
        <f t="shared" si="225"/>
        <v>239114</v>
      </c>
    </row>
    <row r="6180" spans="7:14" ht="11.25" customHeight="1" x14ac:dyDescent="0.3">
      <c r="G6180" s="459"/>
      <c r="H6180" s="459">
        <v>6173</v>
      </c>
      <c r="I6180" s="444">
        <f t="shared" ca="1" si="223"/>
        <v>2329064556520117</v>
      </c>
      <c r="J6180" s="444">
        <f t="array" ref="J6180">IFERROR(INDEX('Retirement Calculator'!J:J,MATCH('Isaac 401k'!N6180,'Retirement Calculator'!A:A,0),0),0)</f>
        <v>0</v>
      </c>
      <c r="K6180" s="444">
        <f t="shared" ca="1" si="221"/>
        <v>9704435652167.1543</v>
      </c>
      <c r="L6180" s="444">
        <f t="shared" ca="1" si="222"/>
        <v>2338768992172284</v>
      </c>
      <c r="M6180" s="460">
        <f t="shared" si="224"/>
        <v>0.05</v>
      </c>
      <c r="N6180" s="464">
        <f t="shared" si="225"/>
        <v>239144</v>
      </c>
    </row>
    <row r="6181" spans="7:14" ht="11.25" customHeight="1" x14ac:dyDescent="0.3">
      <c r="G6181" s="459"/>
      <c r="H6181" s="459">
        <v>6174</v>
      </c>
      <c r="I6181" s="444">
        <f t="shared" ca="1" si="223"/>
        <v>2338768992172284</v>
      </c>
      <c r="J6181" s="444">
        <f t="array" ref="J6181">IFERROR(INDEX('Retirement Calculator'!J:J,MATCH('Isaac 401k'!N6181,'Retirement Calculator'!A:A,0),0),0)</f>
        <v>0</v>
      </c>
      <c r="K6181" s="444">
        <f t="shared" ca="1" si="221"/>
        <v>9744870800717.8496</v>
      </c>
      <c r="L6181" s="444">
        <f t="shared" ca="1" si="222"/>
        <v>2348513862973002</v>
      </c>
      <c r="M6181" s="460">
        <f t="shared" si="224"/>
        <v>0.05</v>
      </c>
      <c r="N6181" s="464">
        <f t="shared" si="225"/>
        <v>239175</v>
      </c>
    </row>
    <row r="6182" spans="7:14" ht="11.25" customHeight="1" x14ac:dyDescent="0.3">
      <c r="G6182" s="459"/>
      <c r="H6182" s="459">
        <v>6175</v>
      </c>
      <c r="I6182" s="444">
        <f t="shared" ca="1" si="223"/>
        <v>2348513862973002</v>
      </c>
      <c r="J6182" s="444">
        <f t="array" ref="J6182">IFERROR(INDEX('Retirement Calculator'!J:J,MATCH('Isaac 401k'!N6182,'Retirement Calculator'!A:A,0),0),0)</f>
        <v>0</v>
      </c>
      <c r="K6182" s="444">
        <f t="shared" ca="1" si="221"/>
        <v>9785474429054.1758</v>
      </c>
      <c r="L6182" s="444">
        <f t="shared" ca="1" si="222"/>
        <v>2358299337402056</v>
      </c>
      <c r="M6182" s="460">
        <f t="shared" si="224"/>
        <v>0.05</v>
      </c>
      <c r="N6182" s="464">
        <f t="shared" si="225"/>
        <v>239205</v>
      </c>
    </row>
    <row r="6183" spans="7:14" ht="11.25" customHeight="1" x14ac:dyDescent="0.3">
      <c r="G6183" s="459"/>
      <c r="H6183" s="459">
        <v>6176</v>
      </c>
      <c r="I6183" s="444">
        <f t="shared" ca="1" si="223"/>
        <v>2358299337402056</v>
      </c>
      <c r="J6183" s="444">
        <f t="array" ref="J6183">IFERROR(INDEX('Retirement Calculator'!J:J,MATCH('Isaac 401k'!N6183,'Retirement Calculator'!A:A,0),0),0)</f>
        <v>0</v>
      </c>
      <c r="K6183" s="444">
        <f t="shared" ca="1" si="221"/>
        <v>9826247239175.2324</v>
      </c>
      <c r="L6183" s="444">
        <f t="shared" ca="1" si="222"/>
        <v>2368125584641231</v>
      </c>
      <c r="M6183" s="460">
        <f t="shared" si="224"/>
        <v>0.05</v>
      </c>
      <c r="N6183" s="464">
        <f t="shared" si="225"/>
        <v>239236</v>
      </c>
    </row>
    <row r="6184" spans="7:14" ht="11.25" customHeight="1" x14ac:dyDescent="0.3">
      <c r="G6184" s="459"/>
      <c r="H6184" s="459">
        <v>6177</v>
      </c>
      <c r="I6184" s="444">
        <f t="shared" ca="1" si="223"/>
        <v>2368125584641231</v>
      </c>
      <c r="J6184" s="444">
        <f t="array" ref="J6184">IFERROR(INDEX('Retirement Calculator'!J:J,MATCH('Isaac 401k'!N6184,'Retirement Calculator'!A:A,0),0),0)</f>
        <v>0</v>
      </c>
      <c r="K6184" s="444">
        <f t="shared" ca="1" si="221"/>
        <v>9867189936005.1289</v>
      </c>
      <c r="L6184" s="444">
        <f t="shared" ca="1" si="222"/>
        <v>2377992774577236</v>
      </c>
      <c r="M6184" s="460">
        <f t="shared" si="224"/>
        <v>0.05</v>
      </c>
      <c r="N6184" s="464">
        <f t="shared" si="225"/>
        <v>239267</v>
      </c>
    </row>
    <row r="6185" spans="7:14" ht="11.25" customHeight="1" x14ac:dyDescent="0.3">
      <c r="G6185" s="459"/>
      <c r="H6185" s="459">
        <v>6178</v>
      </c>
      <c r="I6185" s="444">
        <f t="shared" ca="1" si="223"/>
        <v>2377992774577236</v>
      </c>
      <c r="J6185" s="444">
        <f t="array" ref="J6185">IFERROR(INDEX('Retirement Calculator'!J:J,MATCH('Isaac 401k'!N6185,'Retirement Calculator'!A:A,0),0),0)</f>
        <v>0</v>
      </c>
      <c r="K6185" s="444">
        <f t="shared" ca="1" si="221"/>
        <v>9908303227405.1504</v>
      </c>
      <c r="L6185" s="444">
        <f t="shared" ca="1" si="222"/>
        <v>2387901077804641</v>
      </c>
      <c r="M6185" s="460">
        <f t="shared" si="224"/>
        <v>0.05</v>
      </c>
      <c r="N6185" s="464">
        <f t="shared" si="225"/>
        <v>239295</v>
      </c>
    </row>
    <row r="6186" spans="7:14" ht="11.25" customHeight="1" x14ac:dyDescent="0.3">
      <c r="G6186" s="459"/>
      <c r="H6186" s="459">
        <v>6179</v>
      </c>
      <c r="I6186" s="444">
        <f t="shared" ca="1" si="223"/>
        <v>2387901077804641</v>
      </c>
      <c r="J6186" s="444">
        <f t="array" ref="J6186">IFERROR(INDEX('Retirement Calculator'!J:J,MATCH('Isaac 401k'!N6186,'Retirement Calculator'!A:A,0),0),0)</f>
        <v>0</v>
      </c>
      <c r="K6186" s="444">
        <f t="shared" ca="1" si="221"/>
        <v>9949587824186.0039</v>
      </c>
      <c r="L6186" s="444">
        <f t="shared" ca="1" si="222"/>
        <v>2397850665628827</v>
      </c>
      <c r="M6186" s="460">
        <f t="shared" si="224"/>
        <v>0.05</v>
      </c>
      <c r="N6186" s="464">
        <f t="shared" si="225"/>
        <v>239326</v>
      </c>
    </row>
    <row r="6187" spans="7:14" ht="11.25" customHeight="1" x14ac:dyDescent="0.3">
      <c r="G6187" s="459"/>
      <c r="H6187" s="459">
        <v>6180</v>
      </c>
      <c r="I6187" s="444">
        <f t="shared" ca="1" si="223"/>
        <v>2397850665628827</v>
      </c>
      <c r="J6187" s="444">
        <f t="array" ref="J6187">IFERROR(INDEX('Retirement Calculator'!J:J,MATCH('Isaac 401k'!N6187,'Retirement Calculator'!A:A,0),0),0)</f>
        <v>0</v>
      </c>
      <c r="K6187" s="444">
        <f t="shared" ca="1" si="221"/>
        <v>9991044440120.1133</v>
      </c>
      <c r="L6187" s="444">
        <f t="shared" ca="1" si="222"/>
        <v>2407841710068947</v>
      </c>
      <c r="M6187" s="460">
        <f t="shared" si="224"/>
        <v>0.05</v>
      </c>
      <c r="N6187" s="464">
        <f t="shared" si="225"/>
        <v>239356</v>
      </c>
    </row>
    <row r="6188" spans="7:14" ht="11.25" customHeight="1" x14ac:dyDescent="0.3">
      <c r="G6188" s="459"/>
      <c r="H6188" s="459">
        <v>6181</v>
      </c>
      <c r="I6188" s="444">
        <f t="shared" ca="1" si="223"/>
        <v>2407841710068947</v>
      </c>
      <c r="J6188" s="444">
        <f t="array" ref="J6188">IFERROR(INDEX('Retirement Calculator'!J:J,MATCH('Isaac 401k'!N6188,'Retirement Calculator'!A:A,0),0),0)</f>
        <v>0</v>
      </c>
      <c r="K6188" s="444">
        <f t="shared" ca="1" si="221"/>
        <v>10032673791953.945</v>
      </c>
      <c r="L6188" s="444">
        <f t="shared" ca="1" si="222"/>
        <v>2417874383860901</v>
      </c>
      <c r="M6188" s="460">
        <f t="shared" si="224"/>
        <v>0.05</v>
      </c>
      <c r="N6188" s="464">
        <f t="shared" si="225"/>
        <v>239387</v>
      </c>
    </row>
    <row r="6189" spans="7:14" ht="11.25" customHeight="1" x14ac:dyDescent="0.3">
      <c r="G6189" s="459"/>
      <c r="H6189" s="459">
        <v>6182</v>
      </c>
      <c r="I6189" s="444">
        <f t="shared" ca="1" si="223"/>
        <v>2417874383860901</v>
      </c>
      <c r="J6189" s="444">
        <f t="array" ref="J6189">IFERROR(INDEX('Retirement Calculator'!J:J,MATCH('Isaac 401k'!N6189,'Retirement Calculator'!A:A,0),0),0)</f>
        <v>0</v>
      </c>
      <c r="K6189" s="444">
        <f t="shared" ca="1" si="221"/>
        <v>10074476599420.42</v>
      </c>
      <c r="L6189" s="444">
        <f t="shared" ca="1" si="222"/>
        <v>2427948860460321.5</v>
      </c>
      <c r="M6189" s="460">
        <f t="shared" si="224"/>
        <v>0.05</v>
      </c>
      <c r="N6189" s="464">
        <f t="shared" si="225"/>
        <v>239417</v>
      </c>
    </row>
    <row r="6190" spans="7:14" ht="11.25" customHeight="1" x14ac:dyDescent="0.3">
      <c r="G6190" s="459"/>
      <c r="H6190" s="459">
        <v>6183</v>
      </c>
      <c r="I6190" s="444">
        <f t="shared" ca="1" si="223"/>
        <v>2427948860460321.5</v>
      </c>
      <c r="J6190" s="444">
        <f t="array" ref="J6190">IFERROR(INDEX('Retirement Calculator'!J:J,MATCH('Isaac 401k'!N6190,'Retirement Calculator'!A:A,0),0),0)</f>
        <v>0</v>
      </c>
      <c r="K6190" s="444">
        <f t="shared" ca="1" si="221"/>
        <v>10116453585251.34</v>
      </c>
      <c r="L6190" s="444">
        <f t="shared" ca="1" si="222"/>
        <v>2438065314045573</v>
      </c>
      <c r="M6190" s="460">
        <f t="shared" si="224"/>
        <v>0.05</v>
      </c>
      <c r="N6190" s="464">
        <f t="shared" si="225"/>
        <v>239448</v>
      </c>
    </row>
    <row r="6191" spans="7:14" ht="11.25" customHeight="1" x14ac:dyDescent="0.3">
      <c r="G6191" s="459"/>
      <c r="H6191" s="459">
        <v>6184</v>
      </c>
      <c r="I6191" s="444">
        <f t="shared" ca="1" si="223"/>
        <v>2438065314045573</v>
      </c>
      <c r="J6191" s="444">
        <f t="array" ref="J6191">IFERROR(INDEX('Retirement Calculator'!J:J,MATCH('Isaac 401k'!N6191,'Retirement Calculator'!A:A,0),0),0)</f>
        <v>0</v>
      </c>
      <c r="K6191" s="444">
        <f t="shared" ca="1" si="221"/>
        <v>10158605475189.887</v>
      </c>
      <c r="L6191" s="444">
        <f t="shared" ca="1" si="222"/>
        <v>2448223919520763</v>
      </c>
      <c r="M6191" s="460">
        <f t="shared" si="224"/>
        <v>0.05</v>
      </c>
      <c r="N6191" s="464">
        <f t="shared" si="225"/>
        <v>239479</v>
      </c>
    </row>
    <row r="6192" spans="7:14" ht="11.25" customHeight="1" x14ac:dyDescent="0.3">
      <c r="G6192" s="459"/>
      <c r="H6192" s="459">
        <v>6185</v>
      </c>
      <c r="I6192" s="444">
        <f t="shared" ca="1" si="223"/>
        <v>2448223919520763</v>
      </c>
      <c r="J6192" s="444">
        <f t="array" ref="J6192">IFERROR(INDEX('Retirement Calculator'!J:J,MATCH('Isaac 401k'!N6192,'Retirement Calculator'!A:A,0),0),0)</f>
        <v>0</v>
      </c>
      <c r="K6192" s="444">
        <f t="shared" ca="1" si="221"/>
        <v>10200932998003.18</v>
      </c>
      <c r="L6192" s="444">
        <f t="shared" ca="1" si="222"/>
        <v>2458424852518766</v>
      </c>
      <c r="M6192" s="460">
        <f t="shared" si="224"/>
        <v>0.05</v>
      </c>
      <c r="N6192" s="464">
        <f t="shared" si="225"/>
        <v>239509</v>
      </c>
    </row>
    <row r="6193" spans="7:14" ht="11.25" customHeight="1" x14ac:dyDescent="0.3">
      <c r="G6193" s="459"/>
      <c r="H6193" s="459">
        <v>6186</v>
      </c>
      <c r="I6193" s="444">
        <f t="shared" ca="1" si="223"/>
        <v>2458424852518766</v>
      </c>
      <c r="J6193" s="444">
        <f t="array" ref="J6193">IFERROR(INDEX('Retirement Calculator'!J:J,MATCH('Isaac 401k'!N6193,'Retirement Calculator'!A:A,0),0),0)</f>
        <v>0</v>
      </c>
      <c r="K6193" s="444">
        <f t="shared" ca="1" si="221"/>
        <v>10243436885494.857</v>
      </c>
      <c r="L6193" s="444">
        <f t="shared" ca="1" si="222"/>
        <v>2468668289404261</v>
      </c>
      <c r="M6193" s="460">
        <f t="shared" si="224"/>
        <v>0.05</v>
      </c>
      <c r="N6193" s="464">
        <f t="shared" si="225"/>
        <v>239540</v>
      </c>
    </row>
    <row r="6194" spans="7:14" ht="11.25" customHeight="1" x14ac:dyDescent="0.3">
      <c r="G6194" s="459"/>
      <c r="H6194" s="459">
        <v>6187</v>
      </c>
      <c r="I6194" s="444">
        <f t="shared" ca="1" si="223"/>
        <v>2468668289404261</v>
      </c>
      <c r="J6194" s="444">
        <f t="array" ref="J6194">IFERROR(INDEX('Retirement Calculator'!J:J,MATCH('Isaac 401k'!N6194,'Retirement Calculator'!A:A,0),0),0)</f>
        <v>0</v>
      </c>
      <c r="K6194" s="444">
        <f t="shared" ca="1" si="221"/>
        <v>10286117872517.754</v>
      </c>
      <c r="L6194" s="444">
        <f t="shared" ca="1" si="222"/>
        <v>2478954407276779</v>
      </c>
      <c r="M6194" s="460">
        <f t="shared" si="224"/>
        <v>0.05</v>
      </c>
      <c r="N6194" s="464">
        <f t="shared" si="225"/>
        <v>239570</v>
      </c>
    </row>
    <row r="6195" spans="7:14" ht="11.25" customHeight="1" x14ac:dyDescent="0.3">
      <c r="G6195" s="459"/>
      <c r="H6195" s="459">
        <v>6188</v>
      </c>
      <c r="I6195" s="444">
        <f t="shared" ca="1" si="223"/>
        <v>2478954407276779</v>
      </c>
      <c r="J6195" s="444">
        <f t="array" ref="J6195">IFERROR(INDEX('Retirement Calculator'!J:J,MATCH('Isaac 401k'!N6195,'Retirement Calculator'!A:A,0),0),0)</f>
        <v>0</v>
      </c>
      <c r="K6195" s="444">
        <f t="shared" ca="1" si="221"/>
        <v>10328976696986.578</v>
      </c>
      <c r="L6195" s="444">
        <f t="shared" ca="1" si="222"/>
        <v>2489283383973765.5</v>
      </c>
      <c r="M6195" s="460">
        <f t="shared" si="224"/>
        <v>0.05</v>
      </c>
      <c r="N6195" s="464">
        <f t="shared" si="225"/>
        <v>239601</v>
      </c>
    </row>
    <row r="6196" spans="7:14" ht="11.25" customHeight="1" x14ac:dyDescent="0.3">
      <c r="G6196" s="459"/>
      <c r="H6196" s="459">
        <v>6189</v>
      </c>
      <c r="I6196" s="444">
        <f t="shared" ca="1" si="223"/>
        <v>2489283383973765.5</v>
      </c>
      <c r="J6196" s="444">
        <f t="array" ref="J6196">IFERROR(INDEX('Retirement Calculator'!J:J,MATCH('Isaac 401k'!N6196,'Retirement Calculator'!A:A,0),0),0)</f>
        <v>0</v>
      </c>
      <c r="K6196" s="444">
        <f t="shared" ca="1" si="221"/>
        <v>10372014099890.689</v>
      </c>
      <c r="L6196" s="444">
        <f t="shared" ca="1" si="222"/>
        <v>2499655398073656</v>
      </c>
      <c r="M6196" s="460">
        <f t="shared" si="224"/>
        <v>0.05</v>
      </c>
      <c r="N6196" s="464">
        <f t="shared" si="225"/>
        <v>239632</v>
      </c>
    </row>
    <row r="6197" spans="7:14" ht="11.25" customHeight="1" x14ac:dyDescent="0.3">
      <c r="G6197" s="459"/>
      <c r="H6197" s="459">
        <v>6190</v>
      </c>
      <c r="I6197" s="444">
        <f t="shared" ca="1" si="223"/>
        <v>2499655398073656</v>
      </c>
      <c r="J6197" s="444">
        <f t="array" ref="J6197">IFERROR(INDEX('Retirement Calculator'!J:J,MATCH('Isaac 401k'!N6197,'Retirement Calculator'!A:A,0),0),0)</f>
        <v>0</v>
      </c>
      <c r="K6197" s="444">
        <f t="shared" ca="1" si="221"/>
        <v>10415230825306.9</v>
      </c>
      <c r="L6197" s="444">
        <f t="shared" ca="1" si="222"/>
        <v>2510070628898963</v>
      </c>
      <c r="M6197" s="460">
        <f t="shared" si="224"/>
        <v>0.05</v>
      </c>
      <c r="N6197" s="464">
        <f t="shared" si="225"/>
        <v>239661</v>
      </c>
    </row>
    <row r="6198" spans="7:14" ht="11.25" customHeight="1" x14ac:dyDescent="0.3">
      <c r="G6198" s="459"/>
      <c r="H6198" s="459">
        <v>6191</v>
      </c>
      <c r="I6198" s="444">
        <f t="shared" ca="1" si="223"/>
        <v>2510070628898963</v>
      </c>
      <c r="J6198" s="444">
        <f t="array" ref="J6198">IFERROR(INDEX('Retirement Calculator'!J:J,MATCH('Isaac 401k'!N6198,'Retirement Calculator'!A:A,0),0),0)</f>
        <v>0</v>
      </c>
      <c r="K6198" s="444">
        <f t="shared" ca="1" si="221"/>
        <v>10458627620412.346</v>
      </c>
      <c r="L6198" s="444">
        <f t="shared" ca="1" si="222"/>
        <v>2520529256519375.5</v>
      </c>
      <c r="M6198" s="460">
        <f t="shared" si="224"/>
        <v>0.05</v>
      </c>
      <c r="N6198" s="464">
        <f t="shared" si="225"/>
        <v>239692</v>
      </c>
    </row>
    <row r="6199" spans="7:14" ht="11.25" customHeight="1" x14ac:dyDescent="0.3">
      <c r="G6199" s="459"/>
      <c r="H6199" s="459">
        <v>6192</v>
      </c>
      <c r="I6199" s="444">
        <f t="shared" ca="1" si="223"/>
        <v>2520529256519375.5</v>
      </c>
      <c r="J6199" s="444">
        <f t="array" ref="J6199">IFERROR(INDEX('Retirement Calculator'!J:J,MATCH('Isaac 401k'!N6199,'Retirement Calculator'!A:A,0),0),0)</f>
        <v>0</v>
      </c>
      <c r="K6199" s="444">
        <f t="shared" ca="1" si="221"/>
        <v>10502205235497.398</v>
      </c>
      <c r="L6199" s="444">
        <f t="shared" ca="1" si="222"/>
        <v>2531031461754873</v>
      </c>
      <c r="M6199" s="460">
        <f t="shared" si="224"/>
        <v>0.05</v>
      </c>
      <c r="N6199" s="464">
        <f t="shared" si="225"/>
        <v>239722</v>
      </c>
    </row>
    <row r="6200" spans="7:14" ht="11.25" customHeight="1" x14ac:dyDescent="0.3">
      <c r="G6200" s="459"/>
      <c r="H6200" s="459">
        <v>6193</v>
      </c>
      <c r="I6200" s="444">
        <f t="shared" ca="1" si="223"/>
        <v>2531031461754873</v>
      </c>
      <c r="J6200" s="444">
        <f t="array" ref="J6200">IFERROR(INDEX('Retirement Calculator'!J:J,MATCH('Isaac 401k'!N6200,'Retirement Calculator'!A:A,0),0),0)</f>
        <v>0</v>
      </c>
      <c r="K6200" s="444">
        <f t="shared" ca="1" si="221"/>
        <v>10545964423978.637</v>
      </c>
      <c r="L6200" s="444">
        <f t="shared" ca="1" si="222"/>
        <v>2541577426178851.5</v>
      </c>
      <c r="M6200" s="460">
        <f t="shared" si="224"/>
        <v>0.05</v>
      </c>
      <c r="N6200" s="464">
        <f t="shared" si="225"/>
        <v>239753</v>
      </c>
    </row>
    <row r="6201" spans="7:14" ht="11.25" customHeight="1" x14ac:dyDescent="0.3">
      <c r="G6201" s="459"/>
      <c r="H6201" s="459">
        <v>6194</v>
      </c>
      <c r="I6201" s="444">
        <f t="shared" ca="1" si="223"/>
        <v>2541577426178851.5</v>
      </c>
      <c r="J6201" s="444">
        <f t="array" ref="J6201">IFERROR(INDEX('Retirement Calculator'!J:J,MATCH('Isaac 401k'!N6201,'Retirement Calculator'!A:A,0),0),0)</f>
        <v>0</v>
      </c>
      <c r="K6201" s="444">
        <f t="shared" ca="1" si="221"/>
        <v>10589905942411.881</v>
      </c>
      <c r="L6201" s="444">
        <f t="shared" ca="1" si="222"/>
        <v>2552167332121263.5</v>
      </c>
      <c r="M6201" s="460">
        <f t="shared" si="224"/>
        <v>0.05</v>
      </c>
      <c r="N6201" s="464">
        <f t="shared" si="225"/>
        <v>239783</v>
      </c>
    </row>
    <row r="6202" spans="7:14" ht="11.25" customHeight="1" x14ac:dyDescent="0.3">
      <c r="G6202" s="459"/>
      <c r="H6202" s="459">
        <v>6195</v>
      </c>
      <c r="I6202" s="444">
        <f t="shared" ca="1" si="223"/>
        <v>2552167332121263.5</v>
      </c>
      <c r="J6202" s="444">
        <f t="array" ref="J6202">IFERROR(INDEX('Retirement Calculator'!J:J,MATCH('Isaac 401k'!N6202,'Retirement Calculator'!A:A,0),0),0)</f>
        <v>0</v>
      </c>
      <c r="K6202" s="444">
        <f t="shared" ca="1" si="221"/>
        <v>10634030550505.264</v>
      </c>
      <c r="L6202" s="444">
        <f t="shared" ca="1" si="222"/>
        <v>2562801362671769</v>
      </c>
      <c r="M6202" s="460">
        <f t="shared" si="224"/>
        <v>0.05</v>
      </c>
      <c r="N6202" s="464">
        <f t="shared" si="225"/>
        <v>239814</v>
      </c>
    </row>
    <row r="6203" spans="7:14" ht="11.25" customHeight="1" x14ac:dyDescent="0.3">
      <c r="G6203" s="459"/>
      <c r="H6203" s="459">
        <v>6196</v>
      </c>
      <c r="I6203" s="444">
        <f t="shared" ca="1" si="223"/>
        <v>2562801362671769</v>
      </c>
      <c r="J6203" s="444">
        <f t="array" ref="J6203">IFERROR(INDEX('Retirement Calculator'!J:J,MATCH('Isaac 401k'!N6203,'Retirement Calculator'!A:A,0),0),0)</f>
        <v>0</v>
      </c>
      <c r="K6203" s="444">
        <f t="shared" ca="1" si="221"/>
        <v>10678339011132.371</v>
      </c>
      <c r="L6203" s="444">
        <f t="shared" ca="1" si="222"/>
        <v>2573479701682901.5</v>
      </c>
      <c r="M6203" s="460">
        <f t="shared" si="224"/>
        <v>0.05</v>
      </c>
      <c r="N6203" s="464">
        <f t="shared" si="225"/>
        <v>239845</v>
      </c>
    </row>
    <row r="6204" spans="7:14" ht="11.25" customHeight="1" x14ac:dyDescent="0.3">
      <c r="G6204" s="459"/>
      <c r="H6204" s="459">
        <v>6197</v>
      </c>
      <c r="I6204" s="444">
        <f t="shared" ca="1" si="223"/>
        <v>2573479701682901.5</v>
      </c>
      <c r="J6204" s="444">
        <f t="array" ref="J6204">IFERROR(INDEX('Retirement Calculator'!J:J,MATCH('Isaac 401k'!N6204,'Retirement Calculator'!A:A,0),0),0)</f>
        <v>0</v>
      </c>
      <c r="K6204" s="444">
        <f t="shared" ca="1" si="221"/>
        <v>10722832090345.422</v>
      </c>
      <c r="L6204" s="444">
        <f t="shared" ca="1" si="222"/>
        <v>2584202533773247</v>
      </c>
      <c r="M6204" s="460">
        <f t="shared" si="224"/>
        <v>0.05</v>
      </c>
      <c r="N6204" s="464">
        <f t="shared" si="225"/>
        <v>239875</v>
      </c>
    </row>
    <row r="6205" spans="7:14" ht="11.25" customHeight="1" x14ac:dyDescent="0.3">
      <c r="G6205" s="459"/>
      <c r="H6205" s="459">
        <v>6198</v>
      </c>
      <c r="I6205" s="444">
        <f t="shared" ca="1" si="223"/>
        <v>2584202533773247</v>
      </c>
      <c r="J6205" s="444">
        <f t="array" ref="J6205">IFERROR(INDEX('Retirement Calculator'!J:J,MATCH('Isaac 401k'!N6205,'Retirement Calculator'!A:A,0),0),0)</f>
        <v>0</v>
      </c>
      <c r="K6205" s="444">
        <f t="shared" ca="1" si="221"/>
        <v>10767510557388.529</v>
      </c>
      <c r="L6205" s="444">
        <f t="shared" ca="1" si="222"/>
        <v>2594970044330635.5</v>
      </c>
      <c r="M6205" s="460">
        <f t="shared" si="224"/>
        <v>0.05</v>
      </c>
      <c r="N6205" s="464">
        <f t="shared" si="225"/>
        <v>239906</v>
      </c>
    </row>
    <row r="6206" spans="7:14" ht="11.25" customHeight="1" x14ac:dyDescent="0.3">
      <c r="G6206" s="459"/>
      <c r="H6206" s="459">
        <v>6199</v>
      </c>
      <c r="I6206" s="444">
        <f t="shared" ca="1" si="223"/>
        <v>2594970044330635.5</v>
      </c>
      <c r="J6206" s="444">
        <f t="array" ref="J6206">IFERROR(INDEX('Retirement Calculator'!J:J,MATCH('Isaac 401k'!N6206,'Retirement Calculator'!A:A,0),0),0)</f>
        <v>0</v>
      </c>
      <c r="K6206" s="444">
        <f t="shared" ca="1" si="221"/>
        <v>10812375184710.98</v>
      </c>
      <c r="L6206" s="444">
        <f t="shared" ca="1" si="222"/>
        <v>2605782419515346.5</v>
      </c>
      <c r="M6206" s="460">
        <f t="shared" si="224"/>
        <v>0.05</v>
      </c>
      <c r="N6206" s="464">
        <f t="shared" si="225"/>
        <v>239936</v>
      </c>
    </row>
    <row r="6207" spans="7:14" ht="11.25" customHeight="1" x14ac:dyDescent="0.3">
      <c r="G6207" s="459"/>
      <c r="H6207" s="459">
        <v>6200</v>
      </c>
      <c r="I6207" s="444">
        <f t="shared" ca="1" si="223"/>
        <v>2605782419515346.5</v>
      </c>
      <c r="J6207" s="444">
        <f t="array" ref="J6207">IFERROR(INDEX('Retirement Calculator'!J:J,MATCH('Isaac 401k'!N6207,'Retirement Calculator'!A:A,0),0),0)</f>
        <v>0</v>
      </c>
      <c r="K6207" s="444">
        <f t="shared" ca="1" si="221"/>
        <v>10857426747980.609</v>
      </c>
      <c r="L6207" s="444">
        <f t="shared" ca="1" si="222"/>
        <v>2616639846263327</v>
      </c>
      <c r="M6207" s="460">
        <f t="shared" si="224"/>
        <v>0.05</v>
      </c>
      <c r="N6207" s="464">
        <f t="shared" si="225"/>
        <v>239967</v>
      </c>
    </row>
    <row r="6208" spans="7:14" ht="11.25" customHeight="1" x14ac:dyDescent="0.3">
      <c r="G6208" s="459"/>
      <c r="H6208" s="459">
        <v>6201</v>
      </c>
      <c r="I6208" s="444">
        <f t="shared" ca="1" si="223"/>
        <v>2616639846263327</v>
      </c>
      <c r="J6208" s="444">
        <f t="array" ref="J6208">IFERROR(INDEX('Retirement Calculator'!J:J,MATCH('Isaac 401k'!N6208,'Retirement Calculator'!A:A,0),0),0)</f>
        <v>0</v>
      </c>
      <c r="K6208" s="444">
        <f t="shared" ca="1" si="221"/>
        <v>10902666026097.195</v>
      </c>
      <c r="L6208" s="444">
        <f t="shared" ca="1" si="222"/>
        <v>2627542512289424</v>
      </c>
      <c r="M6208" s="460">
        <f t="shared" si="224"/>
        <v>0.05</v>
      </c>
      <c r="N6208" s="464">
        <f t="shared" si="225"/>
        <v>239998</v>
      </c>
    </row>
    <row r="6209" spans="7:14" ht="11.25" customHeight="1" x14ac:dyDescent="0.3">
      <c r="G6209" s="459"/>
      <c r="H6209" s="459">
        <v>6202</v>
      </c>
      <c r="I6209" s="444">
        <f t="shared" ca="1" si="223"/>
        <v>2627542512289424</v>
      </c>
      <c r="J6209" s="444">
        <f t="array" ref="J6209">IFERROR(INDEX('Retirement Calculator'!J:J,MATCH('Isaac 401k'!N6209,'Retirement Calculator'!A:A,0),0),0)</f>
        <v>0</v>
      </c>
      <c r="K6209" s="444">
        <f t="shared" ca="1" si="221"/>
        <v>10948093801205.934</v>
      </c>
      <c r="L6209" s="444">
        <f t="shared" ca="1" si="222"/>
        <v>2638490606090630</v>
      </c>
      <c r="M6209" s="460">
        <f t="shared" si="224"/>
        <v>0.05</v>
      </c>
      <c r="N6209" s="464">
        <f t="shared" si="225"/>
        <v>240026</v>
      </c>
    </row>
    <row r="6210" spans="7:14" ht="11.25" customHeight="1" x14ac:dyDescent="0.3">
      <c r="G6210" s="459"/>
      <c r="H6210" s="459">
        <v>6203</v>
      </c>
      <c r="I6210" s="444">
        <f t="shared" ca="1" si="223"/>
        <v>2638490606090630</v>
      </c>
      <c r="J6210" s="444">
        <f t="array" ref="J6210">IFERROR(INDEX('Retirement Calculator'!J:J,MATCH('Isaac 401k'!N6210,'Retirement Calculator'!A:A,0),0),0)</f>
        <v>0</v>
      </c>
      <c r="K6210" s="444">
        <f t="shared" ca="1" si="221"/>
        <v>10993710858710.959</v>
      </c>
      <c r="L6210" s="444">
        <f t="shared" ca="1" si="222"/>
        <v>2649484316949341</v>
      </c>
      <c r="M6210" s="460">
        <f t="shared" si="224"/>
        <v>0.05</v>
      </c>
      <c r="N6210" s="464">
        <f t="shared" si="225"/>
        <v>240057</v>
      </c>
    </row>
    <row r="6211" spans="7:14" ht="11.25" customHeight="1" x14ac:dyDescent="0.3">
      <c r="G6211" s="459"/>
      <c r="H6211" s="459">
        <v>6204</v>
      </c>
      <c r="I6211" s="444">
        <f t="shared" ca="1" si="223"/>
        <v>2649484316949341</v>
      </c>
      <c r="J6211" s="444">
        <f t="array" ref="J6211">IFERROR(INDEX('Retirement Calculator'!J:J,MATCH('Isaac 401k'!N6211,'Retirement Calculator'!A:A,0),0),0)</f>
        <v>0</v>
      </c>
      <c r="K6211" s="444">
        <f t="shared" ca="1" si="221"/>
        <v>11039517987288.92</v>
      </c>
      <c r="L6211" s="444">
        <f t="shared" ca="1" si="222"/>
        <v>2660523834936630</v>
      </c>
      <c r="M6211" s="460">
        <f t="shared" si="224"/>
        <v>0.05</v>
      </c>
      <c r="N6211" s="464">
        <f t="shared" si="225"/>
        <v>240087</v>
      </c>
    </row>
    <row r="6212" spans="7:14" ht="11.25" customHeight="1" x14ac:dyDescent="0.3">
      <c r="G6212" s="459"/>
      <c r="H6212" s="459">
        <v>6205</v>
      </c>
      <c r="I6212" s="444">
        <f t="shared" ca="1" si="223"/>
        <v>2660523834936630</v>
      </c>
      <c r="J6212" s="444">
        <f t="array" ref="J6212">IFERROR(INDEX('Retirement Calculator'!J:J,MATCH('Isaac 401k'!N6212,'Retirement Calculator'!A:A,0),0),0)</f>
        <v>0</v>
      </c>
      <c r="K6212" s="444">
        <f t="shared" ca="1" si="221"/>
        <v>11085515978902.625</v>
      </c>
      <c r="L6212" s="444">
        <f t="shared" ca="1" si="222"/>
        <v>2671609350915532.5</v>
      </c>
      <c r="M6212" s="460">
        <f t="shared" si="224"/>
        <v>0.05</v>
      </c>
      <c r="N6212" s="464">
        <f t="shared" si="225"/>
        <v>240118</v>
      </c>
    </row>
    <row r="6213" spans="7:14" ht="11.25" customHeight="1" x14ac:dyDescent="0.3">
      <c r="G6213" s="459"/>
      <c r="H6213" s="459">
        <v>6206</v>
      </c>
      <c r="I6213" s="444">
        <f t="shared" ca="1" si="223"/>
        <v>2671609350915532.5</v>
      </c>
      <c r="J6213" s="444">
        <f t="array" ref="J6213">IFERROR(INDEX('Retirement Calculator'!J:J,MATCH('Isaac 401k'!N6213,'Retirement Calculator'!A:A,0),0),0)</f>
        <v>0</v>
      </c>
      <c r="K6213" s="444">
        <f t="shared" ca="1" si="221"/>
        <v>11131705628814.719</v>
      </c>
      <c r="L6213" s="444">
        <f t="shared" ca="1" si="222"/>
        <v>2682741056544347</v>
      </c>
      <c r="M6213" s="460">
        <f t="shared" si="224"/>
        <v>0.05</v>
      </c>
      <c r="N6213" s="464">
        <f t="shared" si="225"/>
        <v>240148</v>
      </c>
    </row>
    <row r="6214" spans="7:14" ht="11.25" customHeight="1" x14ac:dyDescent="0.3">
      <c r="G6214" s="459"/>
      <c r="H6214" s="459">
        <v>6207</v>
      </c>
      <c r="I6214" s="444">
        <f t="shared" ca="1" si="223"/>
        <v>2682741056544347</v>
      </c>
      <c r="J6214" s="444">
        <f t="array" ref="J6214">IFERROR(INDEX('Retirement Calculator'!J:J,MATCH('Isaac 401k'!N6214,'Retirement Calculator'!A:A,0),0),0)</f>
        <v>0</v>
      </c>
      <c r="K6214" s="444">
        <f t="shared" ca="1" si="221"/>
        <v>11178087735601.445</v>
      </c>
      <c r="L6214" s="444">
        <f t="shared" ca="1" si="222"/>
        <v>2693919144279948.5</v>
      </c>
      <c r="M6214" s="460">
        <f t="shared" si="224"/>
        <v>0.05</v>
      </c>
      <c r="N6214" s="464">
        <f t="shared" si="225"/>
        <v>240179</v>
      </c>
    </row>
    <row r="6215" spans="7:14" ht="11.25" customHeight="1" x14ac:dyDescent="0.3">
      <c r="G6215" s="459"/>
      <c r="H6215" s="459">
        <v>6208</v>
      </c>
      <c r="I6215" s="444">
        <f t="shared" ca="1" si="223"/>
        <v>2693919144279948.5</v>
      </c>
      <c r="J6215" s="444">
        <f t="array" ref="J6215">IFERROR(INDEX('Retirement Calculator'!J:J,MATCH('Isaac 401k'!N6215,'Retirement Calculator'!A:A,0),0),0)</f>
        <v>0</v>
      </c>
      <c r="K6215" s="444">
        <f t="shared" ca="1" si="221"/>
        <v>11224663101166.451</v>
      </c>
      <c r="L6215" s="444">
        <f t="shared" ca="1" si="222"/>
        <v>2705143807381115</v>
      </c>
      <c r="M6215" s="460">
        <f t="shared" si="224"/>
        <v>0.05</v>
      </c>
      <c r="N6215" s="464">
        <f t="shared" si="225"/>
        <v>240210</v>
      </c>
    </row>
    <row r="6216" spans="7:14" ht="11.25" customHeight="1" x14ac:dyDescent="0.3">
      <c r="G6216" s="459"/>
      <c r="H6216" s="459">
        <v>6209</v>
      </c>
      <c r="I6216" s="444">
        <f t="shared" ca="1" si="223"/>
        <v>2705143807381115</v>
      </c>
      <c r="J6216" s="444">
        <f t="array" ref="J6216">IFERROR(INDEX('Retirement Calculator'!J:J,MATCH('Isaac 401k'!N6216,'Retirement Calculator'!A:A,0),0),0)</f>
        <v>0</v>
      </c>
      <c r="K6216" s="444">
        <f t="shared" ca="1" si="221"/>
        <v>11271432530754.646</v>
      </c>
      <c r="L6216" s="444">
        <f t="shared" ca="1" si="222"/>
        <v>2716415239911869.5</v>
      </c>
      <c r="M6216" s="460">
        <f t="shared" si="224"/>
        <v>0.05</v>
      </c>
      <c r="N6216" s="464">
        <f t="shared" si="225"/>
        <v>240240</v>
      </c>
    </row>
    <row r="6217" spans="7:14" ht="11.25" customHeight="1" x14ac:dyDescent="0.3">
      <c r="G6217" s="459"/>
      <c r="H6217" s="459">
        <v>6210</v>
      </c>
      <c r="I6217" s="444">
        <f t="shared" ca="1" si="223"/>
        <v>2716415239911869.5</v>
      </c>
      <c r="J6217" s="444">
        <f t="array" ref="J6217">IFERROR(INDEX('Retirement Calculator'!J:J,MATCH('Isaac 401k'!N6217,'Retirement Calculator'!A:A,0),0),0)</f>
        <v>0</v>
      </c>
      <c r="K6217" s="444">
        <f t="shared" ca="1" si="221"/>
        <v>11318396832966.123</v>
      </c>
      <c r="L6217" s="444">
        <f t="shared" ca="1" si="222"/>
        <v>2727733636744835.5</v>
      </c>
      <c r="M6217" s="460">
        <f t="shared" si="224"/>
        <v>0.05</v>
      </c>
      <c r="N6217" s="464">
        <f t="shared" si="225"/>
        <v>240271</v>
      </c>
    </row>
    <row r="6218" spans="7:14" ht="11.25" customHeight="1" x14ac:dyDescent="0.3">
      <c r="G6218" s="459"/>
      <c r="H6218" s="459">
        <v>6211</v>
      </c>
      <c r="I6218" s="444">
        <f t="shared" ca="1" si="223"/>
        <v>2727733636744835.5</v>
      </c>
      <c r="J6218" s="444">
        <f t="array" ref="J6218">IFERROR(INDEX('Retirement Calculator'!J:J,MATCH('Isaac 401k'!N6218,'Retirement Calculator'!A:A,0),0),0)</f>
        <v>0</v>
      </c>
      <c r="K6218" s="444">
        <f t="shared" ca="1" si="221"/>
        <v>11365556819770.148</v>
      </c>
      <c r="L6218" s="444">
        <f t="shared" ca="1" si="222"/>
        <v>2739099193564605.5</v>
      </c>
      <c r="M6218" s="460">
        <f t="shared" si="224"/>
        <v>0.05</v>
      </c>
      <c r="N6218" s="464">
        <f t="shared" si="225"/>
        <v>240301</v>
      </c>
    </row>
    <row r="6219" spans="7:14" ht="11.25" customHeight="1" x14ac:dyDescent="0.3">
      <c r="G6219" s="459"/>
      <c r="H6219" s="459">
        <v>6212</v>
      </c>
      <c r="I6219" s="444">
        <f t="shared" ca="1" si="223"/>
        <v>2739099193564605.5</v>
      </c>
      <c r="J6219" s="444">
        <f t="array" ref="J6219">IFERROR(INDEX('Retirement Calculator'!J:J,MATCH('Isaac 401k'!N6219,'Retirement Calculator'!A:A,0),0),0)</f>
        <v>0</v>
      </c>
      <c r="K6219" s="444">
        <f t="shared" ca="1" si="221"/>
        <v>11412913306519.189</v>
      </c>
      <c r="L6219" s="444">
        <f t="shared" ca="1" si="222"/>
        <v>2750512106871124.5</v>
      </c>
      <c r="M6219" s="460">
        <f t="shared" si="224"/>
        <v>0.05</v>
      </c>
      <c r="N6219" s="464">
        <f t="shared" si="225"/>
        <v>240332</v>
      </c>
    </row>
    <row r="6220" spans="7:14" ht="11.25" customHeight="1" x14ac:dyDescent="0.3">
      <c r="G6220" s="459"/>
      <c r="H6220" s="459">
        <v>6213</v>
      </c>
      <c r="I6220" s="444">
        <f t="shared" ca="1" si="223"/>
        <v>2750512106871124.5</v>
      </c>
      <c r="J6220" s="444">
        <f t="array" ref="J6220">IFERROR(INDEX('Retirement Calculator'!J:J,MATCH('Isaac 401k'!N6220,'Retirement Calculator'!A:A,0),0),0)</f>
        <v>0</v>
      </c>
      <c r="K6220" s="444">
        <f t="shared" ca="1" si="221"/>
        <v>11460467111963.02</v>
      </c>
      <c r="L6220" s="444">
        <f t="shared" ca="1" si="222"/>
        <v>2761972573983087.5</v>
      </c>
      <c r="M6220" s="460">
        <f t="shared" si="224"/>
        <v>0.05</v>
      </c>
      <c r="N6220" s="464">
        <f t="shared" si="225"/>
        <v>240363</v>
      </c>
    </row>
    <row r="6221" spans="7:14" ht="11.25" customHeight="1" x14ac:dyDescent="0.3">
      <c r="G6221" s="459"/>
      <c r="H6221" s="459">
        <v>6214</v>
      </c>
      <c r="I6221" s="444">
        <f t="shared" ca="1" si="223"/>
        <v>2761972573983087.5</v>
      </c>
      <c r="J6221" s="444">
        <f t="array" ref="J6221">IFERROR(INDEX('Retirement Calculator'!J:J,MATCH('Isaac 401k'!N6221,'Retirement Calculator'!A:A,0),0),0)</f>
        <v>0</v>
      </c>
      <c r="K6221" s="444">
        <f t="shared" ca="1" si="221"/>
        <v>11508219058262.865</v>
      </c>
      <c r="L6221" s="444">
        <f t="shared" ca="1" si="222"/>
        <v>2773480793041350.5</v>
      </c>
      <c r="M6221" s="460">
        <f t="shared" si="224"/>
        <v>0.05</v>
      </c>
      <c r="N6221" s="464">
        <f t="shared" si="225"/>
        <v>240391</v>
      </c>
    </row>
    <row r="6222" spans="7:14" ht="11.25" customHeight="1" x14ac:dyDescent="0.3">
      <c r="G6222" s="459"/>
      <c r="H6222" s="459">
        <v>6215</v>
      </c>
      <c r="I6222" s="444">
        <f t="shared" ca="1" si="223"/>
        <v>2773480793041350.5</v>
      </c>
      <c r="J6222" s="444">
        <f t="array" ref="J6222">IFERROR(INDEX('Retirement Calculator'!J:J,MATCH('Isaac 401k'!N6222,'Retirement Calculator'!A:A,0),0),0)</f>
        <v>0</v>
      </c>
      <c r="K6222" s="444">
        <f t="shared" ca="1" si="221"/>
        <v>11556169971005.627</v>
      </c>
      <c r="L6222" s="444">
        <f t="shared" ca="1" si="222"/>
        <v>2785036963012356</v>
      </c>
      <c r="M6222" s="460">
        <f t="shared" si="224"/>
        <v>0.05</v>
      </c>
      <c r="N6222" s="464">
        <f t="shared" si="225"/>
        <v>240422</v>
      </c>
    </row>
    <row r="6223" spans="7:14" ht="11.25" customHeight="1" x14ac:dyDescent="0.3">
      <c r="G6223" s="459"/>
      <c r="H6223" s="459">
        <v>6216</v>
      </c>
      <c r="I6223" s="444">
        <f t="shared" ca="1" si="223"/>
        <v>2785036963012356</v>
      </c>
      <c r="J6223" s="444">
        <f t="array" ref="J6223">IFERROR(INDEX('Retirement Calculator'!J:J,MATCH('Isaac 401k'!N6223,'Retirement Calculator'!A:A,0),0),0)</f>
        <v>0</v>
      </c>
      <c r="K6223" s="444">
        <f t="shared" ca="1" si="221"/>
        <v>11604320679218.15</v>
      </c>
      <c r="L6223" s="444">
        <f t="shared" ca="1" si="222"/>
        <v>2796641283691574</v>
      </c>
      <c r="M6223" s="460">
        <f t="shared" si="224"/>
        <v>0.05</v>
      </c>
      <c r="N6223" s="464">
        <f t="shared" si="225"/>
        <v>240452</v>
      </c>
    </row>
    <row r="6224" spans="7:14" ht="11.25" customHeight="1" x14ac:dyDescent="0.3">
      <c r="G6224" s="459"/>
      <c r="H6224" s="459">
        <v>6217</v>
      </c>
      <c r="I6224" s="444">
        <f t="shared" ca="1" si="223"/>
        <v>2796641283691574</v>
      </c>
      <c r="J6224" s="444">
        <f t="array" ref="J6224">IFERROR(INDEX('Retirement Calculator'!J:J,MATCH('Isaac 401k'!N6224,'Retirement Calculator'!A:A,0),0),0)</f>
        <v>0</v>
      </c>
      <c r="K6224" s="444">
        <f t="shared" ca="1" si="221"/>
        <v>11652672015381.559</v>
      </c>
      <c r="L6224" s="444">
        <f t="shared" ca="1" si="222"/>
        <v>2808293955706955.5</v>
      </c>
      <c r="M6224" s="460">
        <f t="shared" si="224"/>
        <v>0.05</v>
      </c>
      <c r="N6224" s="464">
        <f t="shared" si="225"/>
        <v>240483</v>
      </c>
    </row>
    <row r="6225" spans="7:14" ht="11.25" customHeight="1" x14ac:dyDescent="0.3">
      <c r="G6225" s="459"/>
      <c r="H6225" s="459">
        <v>6218</v>
      </c>
      <c r="I6225" s="444">
        <f t="shared" ca="1" si="223"/>
        <v>2808293955706955.5</v>
      </c>
      <c r="J6225" s="444">
        <f t="array" ref="J6225">IFERROR(INDEX('Retirement Calculator'!J:J,MATCH('Isaac 401k'!N6225,'Retirement Calculator'!A:A,0),0),0)</f>
        <v>0</v>
      </c>
      <c r="K6225" s="444">
        <f t="shared" ca="1" si="221"/>
        <v>11701224815445.648</v>
      </c>
      <c r="L6225" s="444">
        <f t="shared" ca="1" si="222"/>
        <v>2819995180522401</v>
      </c>
      <c r="M6225" s="460">
        <f t="shared" si="224"/>
        <v>0.05</v>
      </c>
      <c r="N6225" s="464">
        <f t="shared" si="225"/>
        <v>240513</v>
      </c>
    </row>
    <row r="6226" spans="7:14" ht="11.25" customHeight="1" x14ac:dyDescent="0.3">
      <c r="G6226" s="459"/>
      <c r="H6226" s="459">
        <v>6219</v>
      </c>
      <c r="I6226" s="444">
        <f t="shared" ca="1" si="223"/>
        <v>2819995180522401</v>
      </c>
      <c r="J6226" s="444">
        <f t="array" ref="J6226">IFERROR(INDEX('Retirement Calculator'!J:J,MATCH('Isaac 401k'!N6226,'Retirement Calculator'!A:A,0),0),0)</f>
        <v>0</v>
      </c>
      <c r="K6226" s="444">
        <f t="shared" ca="1" si="221"/>
        <v>11749979918843.338</v>
      </c>
      <c r="L6226" s="444">
        <f t="shared" ca="1" si="222"/>
        <v>2831745160441244.5</v>
      </c>
      <c r="M6226" s="460">
        <f t="shared" si="224"/>
        <v>0.05</v>
      </c>
      <c r="N6226" s="464">
        <f t="shared" si="225"/>
        <v>240544</v>
      </c>
    </row>
    <row r="6227" spans="7:14" ht="11.25" customHeight="1" x14ac:dyDescent="0.3">
      <c r="G6227" s="459"/>
      <c r="H6227" s="459">
        <v>6220</v>
      </c>
      <c r="I6227" s="444">
        <f t="shared" ca="1" si="223"/>
        <v>2831745160441244.5</v>
      </c>
      <c r="J6227" s="444">
        <f t="array" ref="J6227">IFERROR(INDEX('Retirement Calculator'!J:J,MATCH('Isaac 401k'!N6227,'Retirement Calculator'!A:A,0),0),0)</f>
        <v>0</v>
      </c>
      <c r="K6227" s="444">
        <f t="shared" ca="1" si="221"/>
        <v>11798938168505.186</v>
      </c>
      <c r="L6227" s="444">
        <f t="shared" ca="1" si="222"/>
        <v>2843544098609749.5</v>
      </c>
      <c r="M6227" s="460">
        <f t="shared" si="224"/>
        <v>0.05</v>
      </c>
      <c r="N6227" s="464">
        <f t="shared" si="225"/>
        <v>240575</v>
      </c>
    </row>
    <row r="6228" spans="7:14" ht="11.25" customHeight="1" x14ac:dyDescent="0.3">
      <c r="G6228" s="459"/>
      <c r="H6228" s="459">
        <v>6221</v>
      </c>
      <c r="I6228" s="444">
        <f t="shared" ca="1" si="223"/>
        <v>2843544098609749.5</v>
      </c>
      <c r="J6228" s="444">
        <f t="array" ref="J6228">IFERROR(INDEX('Retirement Calculator'!J:J,MATCH('Isaac 401k'!N6228,'Retirement Calculator'!A:A,0),0),0)</f>
        <v>0</v>
      </c>
      <c r="K6228" s="444">
        <f t="shared" ca="1" si="221"/>
        <v>11848100410873.957</v>
      </c>
      <c r="L6228" s="444">
        <f t="shared" ca="1" si="222"/>
        <v>2855392199020623.5</v>
      </c>
      <c r="M6228" s="460">
        <f t="shared" si="224"/>
        <v>0.05</v>
      </c>
      <c r="N6228" s="464">
        <f t="shared" si="225"/>
        <v>240605</v>
      </c>
    </row>
    <row r="6229" spans="7:14" ht="11.25" customHeight="1" x14ac:dyDescent="0.3">
      <c r="G6229" s="459"/>
      <c r="H6229" s="459">
        <v>6222</v>
      </c>
      <c r="I6229" s="444">
        <f t="shared" ca="1" si="223"/>
        <v>2855392199020623.5</v>
      </c>
      <c r="J6229" s="444">
        <f t="array" ref="J6229">IFERROR(INDEX('Retirement Calculator'!J:J,MATCH('Isaac 401k'!N6229,'Retirement Calculator'!A:A,0),0),0)</f>
        <v>0</v>
      </c>
      <c r="K6229" s="444">
        <f t="shared" ca="1" si="221"/>
        <v>11897467495919.264</v>
      </c>
      <c r="L6229" s="444">
        <f t="shared" ca="1" si="222"/>
        <v>2867289666516543</v>
      </c>
      <c r="M6229" s="460">
        <f t="shared" si="224"/>
        <v>0.05</v>
      </c>
      <c r="N6229" s="464">
        <f t="shared" si="225"/>
        <v>240636</v>
      </c>
    </row>
    <row r="6230" spans="7:14" ht="11.25" customHeight="1" x14ac:dyDescent="0.3">
      <c r="G6230" s="459"/>
      <c r="H6230" s="459">
        <v>6223</v>
      </c>
      <c r="I6230" s="444">
        <f t="shared" ca="1" si="223"/>
        <v>2867289666516543</v>
      </c>
      <c r="J6230" s="444">
        <f t="array" ref="J6230">IFERROR(INDEX('Retirement Calculator'!J:J,MATCH('Isaac 401k'!N6230,'Retirement Calculator'!A:A,0),0),0)</f>
        <v>0</v>
      </c>
      <c r="K6230" s="444">
        <f t="shared" ca="1" si="221"/>
        <v>11947040277152.262</v>
      </c>
      <c r="L6230" s="444">
        <f t="shared" ca="1" si="222"/>
        <v>2879236706793695.5</v>
      </c>
      <c r="M6230" s="460">
        <f t="shared" si="224"/>
        <v>0.05</v>
      </c>
      <c r="N6230" s="464">
        <f t="shared" si="225"/>
        <v>240666</v>
      </c>
    </row>
    <row r="6231" spans="7:14" ht="11.25" customHeight="1" x14ac:dyDescent="0.3">
      <c r="G6231" s="459"/>
      <c r="H6231" s="459">
        <v>6224</v>
      </c>
      <c r="I6231" s="444">
        <f t="shared" ca="1" si="223"/>
        <v>2879236706793695.5</v>
      </c>
      <c r="J6231" s="444">
        <f t="array" ref="J6231">IFERROR(INDEX('Retirement Calculator'!J:J,MATCH('Isaac 401k'!N6231,'Retirement Calculator'!A:A,0),0),0)</f>
        <v>0</v>
      </c>
      <c r="K6231" s="444">
        <f t="shared" ca="1" si="221"/>
        <v>11996819611640.398</v>
      </c>
      <c r="L6231" s="444">
        <f t="shared" ca="1" si="222"/>
        <v>2891233526405336</v>
      </c>
      <c r="M6231" s="460">
        <f t="shared" si="224"/>
        <v>0.05</v>
      </c>
      <c r="N6231" s="464">
        <f t="shared" si="225"/>
        <v>240697</v>
      </c>
    </row>
    <row r="6232" spans="7:14" ht="11.25" customHeight="1" x14ac:dyDescent="0.3">
      <c r="G6232" s="459"/>
      <c r="H6232" s="459">
        <v>6225</v>
      </c>
      <c r="I6232" s="444">
        <f t="shared" ca="1" si="223"/>
        <v>2891233526405336</v>
      </c>
      <c r="J6232" s="444">
        <f t="array" ref="J6232">IFERROR(INDEX('Retirement Calculator'!J:J,MATCH('Isaac 401k'!N6232,'Retirement Calculator'!A:A,0),0),0)</f>
        <v>0</v>
      </c>
      <c r="K6232" s="444">
        <f t="shared" ca="1" si="221"/>
        <v>12046806360022.232</v>
      </c>
      <c r="L6232" s="444">
        <f t="shared" ca="1" si="222"/>
        <v>2903280332765358</v>
      </c>
      <c r="M6232" s="460">
        <f t="shared" si="224"/>
        <v>0.05</v>
      </c>
      <c r="N6232" s="464">
        <f t="shared" si="225"/>
        <v>240728</v>
      </c>
    </row>
    <row r="6233" spans="7:14" ht="11.25" customHeight="1" x14ac:dyDescent="0.3">
      <c r="G6233" s="459"/>
      <c r="H6233" s="459">
        <v>6226</v>
      </c>
      <c r="I6233" s="444">
        <f t="shared" ca="1" si="223"/>
        <v>2903280332765358</v>
      </c>
      <c r="J6233" s="444">
        <f t="array" ref="J6233">IFERROR(INDEX('Retirement Calculator'!J:J,MATCH('Isaac 401k'!N6233,'Retirement Calculator'!A:A,0),0),0)</f>
        <v>0</v>
      </c>
      <c r="K6233" s="444">
        <f t="shared" ca="1" si="221"/>
        <v>12097001386522.324</v>
      </c>
      <c r="L6233" s="444">
        <f t="shared" ca="1" si="222"/>
        <v>2915377334151880.5</v>
      </c>
      <c r="M6233" s="460">
        <f t="shared" si="224"/>
        <v>0.05</v>
      </c>
      <c r="N6233" s="464">
        <f t="shared" si="225"/>
        <v>240756</v>
      </c>
    </row>
    <row r="6234" spans="7:14" ht="11.25" customHeight="1" x14ac:dyDescent="0.3">
      <c r="G6234" s="459"/>
      <c r="H6234" s="459">
        <v>6227</v>
      </c>
      <c r="I6234" s="444">
        <f t="shared" ca="1" si="223"/>
        <v>2915377334151880.5</v>
      </c>
      <c r="J6234" s="444">
        <f t="array" ref="J6234">IFERROR(INDEX('Retirement Calculator'!J:J,MATCH('Isaac 401k'!N6234,'Retirement Calculator'!A:A,0),0),0)</f>
        <v>0</v>
      </c>
      <c r="K6234" s="444">
        <f t="shared" ca="1" si="221"/>
        <v>12147405558966.168</v>
      </c>
      <c r="L6234" s="444">
        <f t="shared" ca="1" si="222"/>
        <v>2927524739710846.5</v>
      </c>
      <c r="M6234" s="460">
        <f t="shared" si="224"/>
        <v>0.05</v>
      </c>
      <c r="N6234" s="464">
        <f t="shared" si="225"/>
        <v>240787</v>
      </c>
    </row>
    <row r="6235" spans="7:14" ht="11.25" customHeight="1" x14ac:dyDescent="0.3">
      <c r="G6235" s="459"/>
      <c r="H6235" s="459">
        <v>6228</v>
      </c>
      <c r="I6235" s="444">
        <f t="shared" ca="1" si="223"/>
        <v>2927524739710846.5</v>
      </c>
      <c r="J6235" s="444">
        <f t="array" ref="J6235">IFERROR(INDEX('Retirement Calculator'!J:J,MATCH('Isaac 401k'!N6235,'Retirement Calculator'!A:A,0),0),0)</f>
        <v>0</v>
      </c>
      <c r="K6235" s="444">
        <f t="shared" ca="1" si="221"/>
        <v>12198019748795.193</v>
      </c>
      <c r="L6235" s="444">
        <f t="shared" ca="1" si="222"/>
        <v>2939722759459641.5</v>
      </c>
      <c r="M6235" s="460">
        <f t="shared" si="224"/>
        <v>0.05</v>
      </c>
      <c r="N6235" s="464">
        <f t="shared" si="225"/>
        <v>240817</v>
      </c>
    </row>
    <row r="6236" spans="7:14" ht="11.25" customHeight="1" x14ac:dyDescent="0.3">
      <c r="G6236" s="459"/>
      <c r="H6236" s="459">
        <v>6229</v>
      </c>
      <c r="I6236" s="444">
        <f t="shared" ca="1" si="223"/>
        <v>2939722759459641.5</v>
      </c>
      <c r="J6236" s="444">
        <f t="array" ref="J6236">IFERROR(INDEX('Retirement Calculator'!J:J,MATCH('Isaac 401k'!N6236,'Retirement Calculator'!A:A,0),0),0)</f>
        <v>0</v>
      </c>
      <c r="K6236" s="444">
        <f t="shared" ca="1" si="221"/>
        <v>12248844831081.84</v>
      </c>
      <c r="L6236" s="444">
        <f t="shared" ca="1" si="222"/>
        <v>2951971604290723.5</v>
      </c>
      <c r="M6236" s="460">
        <f t="shared" si="224"/>
        <v>0.05</v>
      </c>
      <c r="N6236" s="464">
        <f t="shared" si="225"/>
        <v>240848</v>
      </c>
    </row>
    <row r="6237" spans="7:14" ht="11.25" customHeight="1" x14ac:dyDescent="0.3">
      <c r="G6237" s="459"/>
      <c r="H6237" s="459">
        <v>6230</v>
      </c>
      <c r="I6237" s="444">
        <f t="shared" ca="1" si="223"/>
        <v>2951971604290723.5</v>
      </c>
      <c r="J6237" s="444">
        <f t="array" ref="J6237">IFERROR(INDEX('Retirement Calculator'!J:J,MATCH('Isaac 401k'!N6237,'Retirement Calculator'!A:A,0),0),0)</f>
        <v>0</v>
      </c>
      <c r="K6237" s="444">
        <f t="shared" ca="1" si="221"/>
        <v>12299881684544.682</v>
      </c>
      <c r="L6237" s="444">
        <f t="shared" ca="1" si="222"/>
        <v>2964271485975268</v>
      </c>
      <c r="M6237" s="460">
        <f t="shared" si="224"/>
        <v>0.05</v>
      </c>
      <c r="N6237" s="464">
        <f t="shared" si="225"/>
        <v>240878</v>
      </c>
    </row>
    <row r="6238" spans="7:14" ht="11.25" customHeight="1" x14ac:dyDescent="0.3">
      <c r="G6238" s="459"/>
      <c r="H6238" s="459">
        <v>6231</v>
      </c>
      <c r="I6238" s="444">
        <f t="shared" ca="1" si="223"/>
        <v>2964271485975268</v>
      </c>
      <c r="J6238" s="444">
        <f t="array" ref="J6238">IFERROR(INDEX('Retirement Calculator'!J:J,MATCH('Isaac 401k'!N6238,'Retirement Calculator'!A:A,0),0),0)</f>
        <v>0</v>
      </c>
      <c r="K6238" s="444">
        <f t="shared" ca="1" si="221"/>
        <v>12351131191563.617</v>
      </c>
      <c r="L6238" s="444">
        <f t="shared" ca="1" si="222"/>
        <v>2976622617166831.5</v>
      </c>
      <c r="M6238" s="460">
        <f t="shared" si="224"/>
        <v>0.05</v>
      </c>
      <c r="N6238" s="464">
        <f t="shared" si="225"/>
        <v>240909</v>
      </c>
    </row>
    <row r="6239" spans="7:14" ht="11.25" customHeight="1" x14ac:dyDescent="0.3">
      <c r="G6239" s="459"/>
      <c r="H6239" s="459">
        <v>6232</v>
      </c>
      <c r="I6239" s="444">
        <f t="shared" ca="1" si="223"/>
        <v>2976622617166831.5</v>
      </c>
      <c r="J6239" s="444">
        <f t="array" ref="J6239">IFERROR(INDEX('Retirement Calculator'!J:J,MATCH('Isaac 401k'!N6239,'Retirement Calculator'!A:A,0),0),0)</f>
        <v>0</v>
      </c>
      <c r="K6239" s="444">
        <f t="shared" ca="1" si="221"/>
        <v>12402594238195.131</v>
      </c>
      <c r="L6239" s="444">
        <f t="shared" ca="1" si="222"/>
        <v>2989025211405026.5</v>
      </c>
      <c r="M6239" s="460">
        <f t="shared" si="224"/>
        <v>0.05</v>
      </c>
      <c r="N6239" s="464">
        <f t="shared" si="225"/>
        <v>240940</v>
      </c>
    </row>
    <row r="6240" spans="7:14" ht="11.25" customHeight="1" x14ac:dyDescent="0.3">
      <c r="G6240" s="459"/>
      <c r="H6240" s="459">
        <v>6233</v>
      </c>
      <c r="I6240" s="444">
        <f t="shared" ca="1" si="223"/>
        <v>2989025211405026.5</v>
      </c>
      <c r="J6240" s="444">
        <f t="array" ref="J6240">IFERROR(INDEX('Retirement Calculator'!J:J,MATCH('Isaac 401k'!N6240,'Retirement Calculator'!A:A,0),0),0)</f>
        <v>0</v>
      </c>
      <c r="K6240" s="444">
        <f t="shared" ca="1" si="221"/>
        <v>12454271714187.609</v>
      </c>
      <c r="L6240" s="444">
        <f t="shared" ca="1" si="222"/>
        <v>3001479483119214</v>
      </c>
      <c r="M6240" s="460">
        <f t="shared" si="224"/>
        <v>0.05</v>
      </c>
      <c r="N6240" s="464">
        <f t="shared" si="225"/>
        <v>240970</v>
      </c>
    </row>
    <row r="6241" spans="7:14" ht="11.25" customHeight="1" x14ac:dyDescent="0.3">
      <c r="G6241" s="459"/>
      <c r="H6241" s="459">
        <v>6234</v>
      </c>
      <c r="I6241" s="444">
        <f t="shared" ca="1" si="223"/>
        <v>3001479483119214</v>
      </c>
      <c r="J6241" s="444">
        <f t="array" ref="J6241">IFERROR(INDEX('Retirement Calculator'!J:J,MATCH('Isaac 401k'!N6241,'Retirement Calculator'!A:A,0),0),0)</f>
        <v>0</v>
      </c>
      <c r="K6241" s="444">
        <f t="shared" ca="1" si="221"/>
        <v>12506164512996.725</v>
      </c>
      <c r="L6241" s="444">
        <f t="shared" ca="1" si="222"/>
        <v>3013985647632210.5</v>
      </c>
      <c r="M6241" s="460">
        <f t="shared" si="224"/>
        <v>0.05</v>
      </c>
      <c r="N6241" s="464">
        <f t="shared" si="225"/>
        <v>241001</v>
      </c>
    </row>
    <row r="6242" spans="7:14" ht="11.25" customHeight="1" x14ac:dyDescent="0.3">
      <c r="G6242" s="459"/>
      <c r="H6242" s="459">
        <v>6235</v>
      </c>
      <c r="I6242" s="444">
        <f t="shared" ca="1" si="223"/>
        <v>3013985647632210.5</v>
      </c>
      <c r="J6242" s="444">
        <f t="array" ref="J6242">IFERROR(INDEX('Retirement Calculator'!J:J,MATCH('Isaac 401k'!N6242,'Retirement Calculator'!A:A,0),0),0)</f>
        <v>0</v>
      </c>
      <c r="K6242" s="444">
        <f t="shared" ca="1" si="221"/>
        <v>12558273531800.877</v>
      </c>
      <c r="L6242" s="444">
        <f t="shared" ca="1" si="222"/>
        <v>3026543921164011.5</v>
      </c>
      <c r="M6242" s="460">
        <f t="shared" si="224"/>
        <v>0.05</v>
      </c>
      <c r="N6242" s="464">
        <f t="shared" si="225"/>
        <v>241031</v>
      </c>
    </row>
    <row r="6243" spans="7:14" ht="11.25" customHeight="1" x14ac:dyDescent="0.3">
      <c r="G6243" s="459"/>
      <c r="H6243" s="459">
        <v>6236</v>
      </c>
      <c r="I6243" s="444">
        <f t="shared" ca="1" si="223"/>
        <v>3026543921164011.5</v>
      </c>
      <c r="J6243" s="444">
        <f t="array" ref="J6243">IFERROR(INDEX('Retirement Calculator'!J:J,MATCH('Isaac 401k'!N6243,'Retirement Calculator'!A:A,0),0),0)</f>
        <v>0</v>
      </c>
      <c r="K6243" s="444">
        <f t="shared" ca="1" si="221"/>
        <v>12610599671516.715</v>
      </c>
      <c r="L6243" s="444">
        <f t="shared" ca="1" si="222"/>
        <v>3039154520835528</v>
      </c>
      <c r="M6243" s="460">
        <f t="shared" si="224"/>
        <v>0.05</v>
      </c>
      <c r="N6243" s="464">
        <f t="shared" si="225"/>
        <v>241062</v>
      </c>
    </row>
    <row r="6244" spans="7:14" ht="11.25" customHeight="1" x14ac:dyDescent="0.3">
      <c r="G6244" s="459"/>
      <c r="H6244" s="459">
        <v>6237</v>
      </c>
      <c r="I6244" s="444">
        <f t="shared" ca="1" si="223"/>
        <v>3039154520835528</v>
      </c>
      <c r="J6244" s="444">
        <f t="array" ref="J6244">IFERROR(INDEX('Retirement Calculator'!J:J,MATCH('Isaac 401k'!N6244,'Retirement Calculator'!A:A,0),0),0)</f>
        <v>0</v>
      </c>
      <c r="K6244" s="444">
        <f t="shared" ca="1" si="221"/>
        <v>12663143836814.699</v>
      </c>
      <c r="L6244" s="444">
        <f t="shared" ca="1" si="222"/>
        <v>3051817664672342.5</v>
      </c>
      <c r="M6244" s="460">
        <f t="shared" si="224"/>
        <v>0.05</v>
      </c>
      <c r="N6244" s="464">
        <f t="shared" si="225"/>
        <v>241093</v>
      </c>
    </row>
    <row r="6245" spans="7:14" ht="11.25" customHeight="1" x14ac:dyDescent="0.3">
      <c r="G6245" s="459"/>
      <c r="H6245" s="459">
        <v>6238</v>
      </c>
      <c r="I6245" s="444">
        <f t="shared" ca="1" si="223"/>
        <v>3051817664672342.5</v>
      </c>
      <c r="J6245" s="444">
        <f t="array" ref="J6245">IFERROR(INDEX('Retirement Calculator'!J:J,MATCH('Isaac 401k'!N6245,'Retirement Calculator'!A:A,0),0),0)</f>
        <v>0</v>
      </c>
      <c r="K6245" s="444">
        <f t="shared" ca="1" si="221"/>
        <v>12715906936134.76</v>
      </c>
      <c r="L6245" s="444">
        <f t="shared" ca="1" si="222"/>
        <v>3064533571608477.5</v>
      </c>
      <c r="M6245" s="460">
        <f t="shared" si="224"/>
        <v>0.05</v>
      </c>
      <c r="N6245" s="464">
        <f t="shared" si="225"/>
        <v>241122</v>
      </c>
    </row>
    <row r="6246" spans="7:14" ht="11.25" customHeight="1" x14ac:dyDescent="0.3">
      <c r="G6246" s="459"/>
      <c r="H6246" s="459">
        <v>6239</v>
      </c>
      <c r="I6246" s="444">
        <f t="shared" ca="1" si="223"/>
        <v>3064533571608477.5</v>
      </c>
      <c r="J6246" s="444">
        <f t="array" ref="J6246">IFERROR(INDEX('Retirement Calculator'!J:J,MATCH('Isaac 401k'!N6246,'Retirement Calculator'!A:A,0),0),0)</f>
        <v>0</v>
      </c>
      <c r="K6246" s="444">
        <f t="shared" ca="1" si="221"/>
        <v>12768889881701.99</v>
      </c>
      <c r="L6246" s="444">
        <f t="shared" ca="1" si="222"/>
        <v>3077302461490179.5</v>
      </c>
      <c r="M6246" s="460">
        <f t="shared" si="224"/>
        <v>0.05</v>
      </c>
      <c r="N6246" s="464">
        <f t="shared" si="225"/>
        <v>241153</v>
      </c>
    </row>
    <row r="6247" spans="7:14" ht="11.25" customHeight="1" x14ac:dyDescent="0.3">
      <c r="G6247" s="459"/>
      <c r="H6247" s="459">
        <v>6240</v>
      </c>
      <c r="I6247" s="444">
        <f t="shared" ca="1" si="223"/>
        <v>3077302461490179.5</v>
      </c>
      <c r="J6247" s="444">
        <f t="array" ref="J6247">IFERROR(INDEX('Retirement Calculator'!J:J,MATCH('Isaac 401k'!N6247,'Retirement Calculator'!A:A,0),0),0)</f>
        <v>0</v>
      </c>
      <c r="K6247" s="444">
        <f t="shared" ca="1" si="221"/>
        <v>12822093589542.414</v>
      </c>
      <c r="L6247" s="444">
        <f t="shared" ca="1" si="222"/>
        <v>3090124555079722</v>
      </c>
      <c r="M6247" s="460">
        <f t="shared" si="224"/>
        <v>0.05</v>
      </c>
      <c r="N6247" s="464">
        <f t="shared" si="225"/>
        <v>241183</v>
      </c>
    </row>
    <row r="6248" spans="7:14" ht="11.25" customHeight="1" x14ac:dyDescent="0.3">
      <c r="G6248" s="459"/>
      <c r="H6248" s="459">
        <v>6241</v>
      </c>
      <c r="I6248" s="444">
        <f t="shared" ca="1" si="223"/>
        <v>3090124555079722</v>
      </c>
      <c r="J6248" s="444">
        <f t="array" ref="J6248">IFERROR(INDEX('Retirement Calculator'!J:J,MATCH('Isaac 401k'!N6248,'Retirement Calculator'!A:A,0),0),0)</f>
        <v>0</v>
      </c>
      <c r="K6248" s="444">
        <f t="shared" ca="1" si="221"/>
        <v>12875518979498.842</v>
      </c>
      <c r="L6248" s="444">
        <f t="shared" ca="1" si="222"/>
        <v>3103000074059221</v>
      </c>
      <c r="M6248" s="460">
        <f t="shared" si="224"/>
        <v>0.05</v>
      </c>
      <c r="N6248" s="464">
        <f t="shared" si="225"/>
        <v>241214</v>
      </c>
    </row>
    <row r="6249" spans="7:14" ht="11.25" customHeight="1" x14ac:dyDescent="0.3">
      <c r="G6249" s="459"/>
      <c r="H6249" s="459">
        <v>6242</v>
      </c>
      <c r="I6249" s="444">
        <f t="shared" ca="1" si="223"/>
        <v>3103000074059221</v>
      </c>
      <c r="J6249" s="444">
        <f t="array" ref="J6249">IFERROR(INDEX('Retirement Calculator'!J:J,MATCH('Isaac 401k'!N6249,'Retirement Calculator'!A:A,0),0),0)</f>
        <v>0</v>
      </c>
      <c r="K6249" s="444">
        <f t="shared" ca="1" si="221"/>
        <v>12929166975246.754</v>
      </c>
      <c r="L6249" s="444">
        <f t="shared" ca="1" si="222"/>
        <v>3115929241034468</v>
      </c>
      <c r="M6249" s="460">
        <f t="shared" si="224"/>
        <v>0.05</v>
      </c>
      <c r="N6249" s="464">
        <f t="shared" si="225"/>
        <v>241244</v>
      </c>
    </row>
    <row r="6250" spans="7:14" ht="11.25" customHeight="1" x14ac:dyDescent="0.3">
      <c r="G6250" s="459"/>
      <c r="H6250" s="459">
        <v>6243</v>
      </c>
      <c r="I6250" s="444">
        <f t="shared" ca="1" si="223"/>
        <v>3115929241034468</v>
      </c>
      <c r="J6250" s="444">
        <f t="array" ref="J6250">IFERROR(INDEX('Retirement Calculator'!J:J,MATCH('Isaac 401k'!N6250,'Retirement Calculator'!A:A,0),0),0)</f>
        <v>0</v>
      </c>
      <c r="K6250" s="444">
        <f t="shared" ca="1" si="221"/>
        <v>12983038504310.283</v>
      </c>
      <c r="L6250" s="444">
        <f t="shared" ca="1" si="222"/>
        <v>3128912279538778.5</v>
      </c>
      <c r="M6250" s="460">
        <f t="shared" si="224"/>
        <v>0.05</v>
      </c>
      <c r="N6250" s="464">
        <f t="shared" si="225"/>
        <v>241275</v>
      </c>
    </row>
  </sheetData>
  <pageMargins left="0.7" right="0.7" top="0.75" bottom="0.75" header="0" footer="0"/>
  <pageSetup orientation="landscape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dimension ref="A1:N6250"/>
  <sheetViews>
    <sheetView workbookViewId="0">
      <pane ySplit="4" topLeftCell="A5" activePane="bottomLeft" state="frozen"/>
      <selection pane="bottomLeft" activeCell="B6" sqref="B6"/>
    </sheetView>
  </sheetViews>
  <sheetFormatPr defaultColWidth="14.44140625" defaultRowHeight="15" customHeight="1" x14ac:dyDescent="0.3"/>
  <cols>
    <col min="1" max="1" width="14.5546875" customWidth="1"/>
    <col min="2" max="2" width="12.33203125" customWidth="1"/>
    <col min="3" max="4" width="10.44140625" customWidth="1"/>
    <col min="5" max="5" width="11.6640625" customWidth="1"/>
    <col min="6" max="6" width="14.6640625" customWidth="1"/>
    <col min="7" max="7" width="2.6640625" customWidth="1"/>
    <col min="8" max="8" width="5.44140625" customWidth="1"/>
    <col min="9" max="9" width="18" customWidth="1"/>
    <col min="10" max="10" width="9.109375" customWidth="1"/>
    <col min="11" max="11" width="14.88671875" customWidth="1"/>
    <col min="12" max="12" width="18" customWidth="1"/>
    <col min="13" max="13" width="9.44140625" customWidth="1"/>
    <col min="14" max="14" width="14.6640625" customWidth="1"/>
  </cols>
  <sheetData>
    <row r="1" spans="1:14" ht="11.25" customHeight="1" x14ac:dyDescent="0.3">
      <c r="A1" s="459" t="s">
        <v>657</v>
      </c>
      <c r="B1" s="444">
        <f ca="1">'Combined Retirement'!I8+'Combined Retirement'!K8</f>
        <v>3482931.9519024827</v>
      </c>
      <c r="C1" s="446"/>
      <c r="D1" s="446"/>
      <c r="E1" s="446"/>
      <c r="F1" s="446"/>
      <c r="G1" s="459"/>
      <c r="H1" s="459"/>
      <c r="I1" s="431"/>
      <c r="J1" s="431"/>
      <c r="K1" s="431"/>
      <c r="L1" s="431"/>
      <c r="M1" s="462"/>
      <c r="N1" s="464"/>
    </row>
    <row r="2" spans="1:14" ht="11.25" customHeight="1" x14ac:dyDescent="0.3">
      <c r="A2" s="459" t="s">
        <v>658</v>
      </c>
      <c r="B2" s="460">
        <v>0.05</v>
      </c>
      <c r="C2" s="446" t="s">
        <v>667</v>
      </c>
      <c r="D2" s="446"/>
      <c r="E2" s="446"/>
      <c r="F2" s="446"/>
      <c r="G2" s="459"/>
      <c r="H2" s="459"/>
      <c r="I2" s="431"/>
      <c r="J2" s="431"/>
      <c r="K2" s="431"/>
      <c r="L2" s="431"/>
      <c r="M2" s="462"/>
      <c r="N2" s="464"/>
    </row>
    <row r="3" spans="1:14" ht="11.25" customHeight="1" x14ac:dyDescent="0.3">
      <c r="A3" s="459"/>
      <c r="B3" s="446"/>
      <c r="C3" s="446"/>
      <c r="D3" s="446"/>
      <c r="E3" s="446"/>
      <c r="F3" s="446"/>
      <c r="G3" s="459"/>
      <c r="H3" s="459"/>
      <c r="I3" s="431"/>
      <c r="J3" s="431"/>
      <c r="K3" s="431"/>
      <c r="L3" s="431"/>
      <c r="M3" s="462"/>
      <c r="N3" s="464"/>
    </row>
    <row r="4" spans="1:14" ht="11.25" customHeight="1" x14ac:dyDescent="0.3">
      <c r="A4" s="459" t="s">
        <v>660</v>
      </c>
      <c r="B4" s="451">
        <f ca="1">(SUMIFS(H:H,I:I,"&gt;0",L:L,"&lt;0"))/12</f>
        <v>58.25</v>
      </c>
      <c r="C4" s="463">
        <f ca="1">(SUMIFS(H:H,I:I,"&gt;0",L:L,"&lt;0"))</f>
        <v>699</v>
      </c>
      <c r="D4" s="456">
        <f t="array" aca="1" ref="D4" ca="1">INDEX(N:N,MATCH(C4,H:H,0),0)</f>
        <v>72533</v>
      </c>
      <c r="E4" s="446"/>
      <c r="F4" s="446"/>
      <c r="G4" s="459"/>
      <c r="H4" s="459"/>
      <c r="I4" s="446"/>
      <c r="J4" s="431"/>
      <c r="K4" s="431"/>
      <c r="L4" s="431"/>
      <c r="M4" s="462"/>
      <c r="N4" s="464"/>
    </row>
    <row r="5" spans="1:14" ht="11.25" customHeight="1" x14ac:dyDescent="0.3">
      <c r="A5" s="459"/>
      <c r="B5" s="446"/>
      <c r="C5" s="446"/>
      <c r="D5" s="446"/>
      <c r="E5" s="446"/>
      <c r="F5" s="446"/>
      <c r="G5" s="459"/>
      <c r="H5" s="459"/>
      <c r="I5" s="431"/>
      <c r="J5" s="431"/>
      <c r="K5" s="431"/>
      <c r="L5" s="431"/>
      <c r="M5" s="462"/>
      <c r="N5" s="464"/>
    </row>
    <row r="6" spans="1:14" ht="11.25" customHeight="1" x14ac:dyDescent="0.3">
      <c r="A6" s="459"/>
      <c r="B6" s="446"/>
      <c r="C6" s="446"/>
      <c r="D6" s="446"/>
      <c r="E6" s="446"/>
      <c r="F6" s="446"/>
      <c r="G6" s="459"/>
      <c r="H6" s="459"/>
      <c r="I6" s="431"/>
      <c r="J6" s="431"/>
      <c r="K6" s="431"/>
      <c r="L6" s="431"/>
      <c r="M6" s="462"/>
      <c r="N6" s="464"/>
    </row>
    <row r="7" spans="1:14" ht="11.25" customHeight="1" x14ac:dyDescent="0.3">
      <c r="A7" s="459" t="s">
        <v>661</v>
      </c>
      <c r="B7" s="446" t="s">
        <v>662</v>
      </c>
      <c r="C7" s="446" t="s">
        <v>663</v>
      </c>
      <c r="D7" s="446" t="s">
        <v>664</v>
      </c>
      <c r="E7" s="446" t="s">
        <v>665</v>
      </c>
      <c r="F7" s="446"/>
      <c r="G7" s="459" t="s">
        <v>666</v>
      </c>
      <c r="H7" s="459" t="s">
        <v>224</v>
      </c>
      <c r="I7" s="446" t="s">
        <v>662</v>
      </c>
      <c r="J7" s="446" t="s">
        <v>663</v>
      </c>
      <c r="K7" s="446" t="s">
        <v>664</v>
      </c>
      <c r="L7" s="446" t="s">
        <v>665</v>
      </c>
      <c r="M7" s="460"/>
      <c r="N7" s="464" t="s">
        <v>592</v>
      </c>
    </row>
    <row r="8" spans="1:14" ht="11.25" customHeight="1" x14ac:dyDescent="0.3">
      <c r="A8" s="459">
        <v>1</v>
      </c>
      <c r="B8" s="447">
        <f ca="1">B1</f>
        <v>3482931.9519024827</v>
      </c>
      <c r="C8" s="447">
        <f t="shared" ref="C8:C71" si="0">SUMIF(G:G,A8,J:J)</f>
        <v>0</v>
      </c>
      <c r="D8" s="447">
        <f ca="1">SUMIF(G:G,1,K:K)</f>
        <v>178193.40885226044</v>
      </c>
      <c r="E8" s="447">
        <f t="shared" ref="E8:E71" ca="1" si="1">B8-C8+D8</f>
        <v>3661125.3607547432</v>
      </c>
      <c r="F8" s="431"/>
      <c r="G8" s="459">
        <v>1</v>
      </c>
      <c r="H8" s="459">
        <v>1</v>
      </c>
      <c r="I8" s="444">
        <f ca="1">B1</f>
        <v>3482931.9519024827</v>
      </c>
      <c r="J8" s="444">
        <f t="array" ref="J8">IFERROR(INDEX('Retirement Calculator'!K:K,MATCH('Lorri 401b'!N8,'Retirement Calculator'!A:A,0),0),0)</f>
        <v>0</v>
      </c>
      <c r="K8" s="444">
        <f t="shared" ref="K8:K262" ca="1" si="2">IPMT(M8/12,1,12,-I8+J8,,0)</f>
        <v>14512.216466260346</v>
      </c>
      <c r="L8" s="444">
        <f t="shared" ref="L8:L262" ca="1" si="3">I8-J8+K8</f>
        <v>3497444.1683687428</v>
      </c>
      <c r="M8" s="460">
        <f>B2</f>
        <v>0.05</v>
      </c>
      <c r="N8" s="464">
        <f>'Retirement Calculator'!D7</f>
        <v>51288</v>
      </c>
    </row>
    <row r="9" spans="1:14" ht="11.25" customHeight="1" x14ac:dyDescent="0.3">
      <c r="A9" s="459">
        <v>2</v>
      </c>
      <c r="B9" s="447">
        <f t="shared" ref="B9:B71" ca="1" si="4">E8</f>
        <v>3661125.3607547432</v>
      </c>
      <c r="C9" s="447">
        <f t="shared" si="0"/>
        <v>0</v>
      </c>
      <c r="D9" s="447">
        <f ca="1">SUMIF(G:G,2,K:K)</f>
        <v>187310.12183915771</v>
      </c>
      <c r="E9" s="447">
        <f t="shared" ca="1" si="1"/>
        <v>3848435.482593901</v>
      </c>
      <c r="F9" s="431"/>
      <c r="G9" s="459">
        <v>1</v>
      </c>
      <c r="H9" s="459">
        <v>2</v>
      </c>
      <c r="I9" s="444">
        <f t="shared" ref="I9:I263" ca="1" si="5">L8</f>
        <v>3497444.1683687428</v>
      </c>
      <c r="J9" s="444">
        <f t="array" ref="J9">IFERROR(INDEX('Retirement Calculator'!K:K,MATCH('Lorri 401b'!N9,'Retirement Calculator'!A:A,0),0),0)</f>
        <v>0</v>
      </c>
      <c r="K9" s="444">
        <f t="shared" ca="1" si="2"/>
        <v>14572.684034869759</v>
      </c>
      <c r="L9" s="444">
        <f t="shared" ca="1" si="3"/>
        <v>3512016.8524036123</v>
      </c>
      <c r="M9" s="460">
        <f t="shared" ref="M9:M263" si="6">M8</f>
        <v>0.05</v>
      </c>
      <c r="N9" s="464">
        <f t="shared" ref="N9:N263" si="7">EDATE(N8,1)</f>
        <v>51318</v>
      </c>
    </row>
    <row r="10" spans="1:14" ht="11.25" customHeight="1" x14ac:dyDescent="0.3">
      <c r="A10" s="459">
        <v>3</v>
      </c>
      <c r="B10" s="447">
        <f t="shared" ca="1" si="4"/>
        <v>3848435.482593901</v>
      </c>
      <c r="C10" s="447">
        <f t="shared" si="0"/>
        <v>0</v>
      </c>
      <c r="D10" s="447">
        <f ca="1">SUMIF(G:G,3,K:K)</f>
        <v>196893.26316490772</v>
      </c>
      <c r="E10" s="447">
        <f t="shared" ca="1" si="1"/>
        <v>4045328.7457588087</v>
      </c>
      <c r="F10" s="431"/>
      <c r="G10" s="459">
        <v>1</v>
      </c>
      <c r="H10" s="459">
        <v>3</v>
      </c>
      <c r="I10" s="444">
        <f t="shared" ca="1" si="5"/>
        <v>3512016.8524036123</v>
      </c>
      <c r="J10" s="444">
        <f t="array" ref="J10">IFERROR(INDEX('Retirement Calculator'!K:K,MATCH('Lorri 401b'!N10,'Retirement Calculator'!A:A,0),0),0)</f>
        <v>0</v>
      </c>
      <c r="K10" s="444">
        <f t="shared" ca="1" si="2"/>
        <v>14633.403551681718</v>
      </c>
      <c r="L10" s="444">
        <f t="shared" ca="1" si="3"/>
        <v>3526650.2559552942</v>
      </c>
      <c r="M10" s="460">
        <f t="shared" si="6"/>
        <v>0.05</v>
      </c>
      <c r="N10" s="464">
        <f t="shared" si="7"/>
        <v>51349</v>
      </c>
    </row>
    <row r="11" spans="1:14" ht="11.25" customHeight="1" x14ac:dyDescent="0.3">
      <c r="A11" s="459">
        <v>4</v>
      </c>
      <c r="B11" s="447">
        <f t="shared" ca="1" si="4"/>
        <v>4045328.7457588087</v>
      </c>
      <c r="C11" s="447">
        <f t="shared" si="0"/>
        <v>0</v>
      </c>
      <c r="D11" s="447">
        <f ca="1">SUMIF(G:G,4,K:K)</f>
        <v>206966.69618855193</v>
      </c>
      <c r="E11" s="447">
        <f t="shared" ca="1" si="1"/>
        <v>4252295.4419473605</v>
      </c>
      <c r="F11" s="431"/>
      <c r="G11" s="459">
        <v>1</v>
      </c>
      <c r="H11" s="459">
        <v>4</v>
      </c>
      <c r="I11" s="444">
        <f t="shared" ca="1" si="5"/>
        <v>3526650.2559552942</v>
      </c>
      <c r="J11" s="444">
        <f t="array" ref="J11">IFERROR(INDEX('Retirement Calculator'!K:K,MATCH('Lorri 401b'!N11,'Retirement Calculator'!A:A,0),0),0)</f>
        <v>0</v>
      </c>
      <c r="K11" s="444">
        <f t="shared" ca="1" si="2"/>
        <v>14694.376066480394</v>
      </c>
      <c r="L11" s="444">
        <f t="shared" ca="1" si="3"/>
        <v>3541344.6320217745</v>
      </c>
      <c r="M11" s="460">
        <f t="shared" si="6"/>
        <v>0.05</v>
      </c>
      <c r="N11" s="464">
        <f t="shared" si="7"/>
        <v>51380</v>
      </c>
    </row>
    <row r="12" spans="1:14" ht="11.25" customHeight="1" x14ac:dyDescent="0.3">
      <c r="A12" s="459">
        <v>5</v>
      </c>
      <c r="B12" s="447">
        <f t="shared" ca="1" si="4"/>
        <v>4252295.4419473605</v>
      </c>
      <c r="C12" s="447">
        <f t="shared" si="0"/>
        <v>0</v>
      </c>
      <c r="D12" s="447">
        <f ca="1">SUMIF(G:G,5,K:K)</f>
        <v>217555.50516387037</v>
      </c>
      <c r="E12" s="447">
        <f t="shared" ca="1" si="1"/>
        <v>4469850.9471112313</v>
      </c>
      <c r="F12" s="431"/>
      <c r="G12" s="459">
        <v>1</v>
      </c>
      <c r="H12" s="459">
        <v>5</v>
      </c>
      <c r="I12" s="444">
        <f t="shared" ca="1" si="5"/>
        <v>3541344.6320217745</v>
      </c>
      <c r="J12" s="444">
        <f t="array" ref="J12">IFERROR(INDEX('Retirement Calculator'!K:K,MATCH('Lorri 401b'!N12,'Retirement Calculator'!A:A,0),0),0)</f>
        <v>0</v>
      </c>
      <c r="K12" s="444">
        <f t="shared" ca="1" si="2"/>
        <v>14755.602633424061</v>
      </c>
      <c r="L12" s="444">
        <f t="shared" ca="1" si="3"/>
        <v>3556100.2346551986</v>
      </c>
      <c r="M12" s="460">
        <f t="shared" si="6"/>
        <v>0.05</v>
      </c>
      <c r="N12" s="464">
        <f t="shared" si="7"/>
        <v>51410</v>
      </c>
    </row>
    <row r="13" spans="1:14" ht="11.25" customHeight="1" x14ac:dyDescent="0.3">
      <c r="A13" s="459">
        <v>6</v>
      </c>
      <c r="B13" s="447">
        <f t="shared" ca="1" si="4"/>
        <v>4469850.9471112313</v>
      </c>
      <c r="C13" s="447">
        <f t="shared" si="0"/>
        <v>110555.47832289393</v>
      </c>
      <c r="D13" s="447">
        <f ca="1">SUMIF(G:G,6,K:K)</f>
        <v>227296.41272777578</v>
      </c>
      <c r="E13" s="447">
        <f t="shared" ca="1" si="1"/>
        <v>4586591.8815161129</v>
      </c>
      <c r="F13" s="431"/>
      <c r="G13" s="459">
        <v>1</v>
      </c>
      <c r="H13" s="459">
        <v>6</v>
      </c>
      <c r="I13" s="444">
        <f t="shared" ca="1" si="5"/>
        <v>3556100.2346551986</v>
      </c>
      <c r="J13" s="444">
        <f t="array" ref="J13">IFERROR(INDEX('Retirement Calculator'!K:K,MATCH('Lorri 401b'!N13,'Retirement Calculator'!A:A,0),0),0)</f>
        <v>0</v>
      </c>
      <c r="K13" s="444">
        <f t="shared" ca="1" si="2"/>
        <v>14817.084311063325</v>
      </c>
      <c r="L13" s="444">
        <f t="shared" ca="1" si="3"/>
        <v>3570917.318966262</v>
      </c>
      <c r="M13" s="460">
        <f t="shared" si="6"/>
        <v>0.05</v>
      </c>
      <c r="N13" s="464">
        <f t="shared" si="7"/>
        <v>51441</v>
      </c>
    </row>
    <row r="14" spans="1:14" ht="11.25" customHeight="1" x14ac:dyDescent="0.3">
      <c r="A14" s="459">
        <v>7</v>
      </c>
      <c r="B14" s="447">
        <f t="shared" ca="1" si="4"/>
        <v>4586591.8815161129</v>
      </c>
      <c r="C14" s="447">
        <f t="shared" si="0"/>
        <v>265333.14797494543</v>
      </c>
      <c r="D14" s="447">
        <f ca="1">SUMIF(G:G,7,K:K)</f>
        <v>227361.6993971559</v>
      </c>
      <c r="E14" s="447">
        <f t="shared" ca="1" si="1"/>
        <v>4548620.4329383234</v>
      </c>
      <c r="F14" s="431"/>
      <c r="G14" s="459">
        <v>1</v>
      </c>
      <c r="H14" s="459">
        <v>7</v>
      </c>
      <c r="I14" s="444">
        <f t="shared" ca="1" si="5"/>
        <v>3570917.318966262</v>
      </c>
      <c r="J14" s="444">
        <f t="array" ref="J14">IFERROR(INDEX('Retirement Calculator'!K:K,MATCH('Lorri 401b'!N14,'Retirement Calculator'!A:A,0),0),0)</f>
        <v>0</v>
      </c>
      <c r="K14" s="444">
        <f t="shared" ca="1" si="2"/>
        <v>14878.822162359425</v>
      </c>
      <c r="L14" s="444">
        <f t="shared" ca="1" si="3"/>
        <v>3585796.1411286215</v>
      </c>
      <c r="M14" s="460">
        <f t="shared" si="6"/>
        <v>0.05</v>
      </c>
      <c r="N14" s="464">
        <f t="shared" si="7"/>
        <v>51471</v>
      </c>
    </row>
    <row r="15" spans="1:14" ht="11.25" customHeight="1" x14ac:dyDescent="0.3">
      <c r="A15" s="459">
        <v>8</v>
      </c>
      <c r="B15" s="447">
        <f t="shared" ca="1" si="4"/>
        <v>4548620.4329383234</v>
      </c>
      <c r="C15" s="447">
        <f t="shared" si="0"/>
        <v>265333.14797494543</v>
      </c>
      <c r="D15" s="447">
        <f ca="1">SUMIF(G:G,8,K:K)</f>
        <v>225419.0080225977</v>
      </c>
      <c r="E15" s="447">
        <f t="shared" ca="1" si="1"/>
        <v>4508706.2929859757</v>
      </c>
      <c r="F15" s="431"/>
      <c r="G15" s="459">
        <v>1</v>
      </c>
      <c r="H15" s="459">
        <v>8</v>
      </c>
      <c r="I15" s="444">
        <f t="shared" ca="1" si="5"/>
        <v>3585796.1411286215</v>
      </c>
      <c r="J15" s="444">
        <f t="array" ref="J15">IFERROR(INDEX('Retirement Calculator'!K:K,MATCH('Lorri 401b'!N15,'Retirement Calculator'!A:A,0),0),0)</f>
        <v>0</v>
      </c>
      <c r="K15" s="444">
        <f t="shared" ca="1" si="2"/>
        <v>14940.81725470259</v>
      </c>
      <c r="L15" s="444">
        <f t="shared" ca="1" si="3"/>
        <v>3600736.9583833241</v>
      </c>
      <c r="M15" s="460">
        <f t="shared" si="6"/>
        <v>0.05</v>
      </c>
      <c r="N15" s="464">
        <f t="shared" si="7"/>
        <v>51502</v>
      </c>
    </row>
    <row r="16" spans="1:14" ht="11.25" customHeight="1" x14ac:dyDescent="0.3">
      <c r="A16" s="459">
        <v>9</v>
      </c>
      <c r="B16" s="447">
        <f t="shared" ca="1" si="4"/>
        <v>4508706.2929859757</v>
      </c>
      <c r="C16" s="447">
        <f t="shared" si="0"/>
        <v>246150.24357494549</v>
      </c>
      <c r="D16" s="447">
        <f ca="1">SUMIF(G:G,9,K:K)</f>
        <v>223863.22107368987</v>
      </c>
      <c r="E16" s="447">
        <f t="shared" ca="1" si="1"/>
        <v>4486419.2704847204</v>
      </c>
      <c r="F16" s="431"/>
      <c r="G16" s="459">
        <v>1</v>
      </c>
      <c r="H16" s="459">
        <v>9</v>
      </c>
      <c r="I16" s="444">
        <f t="shared" ca="1" si="5"/>
        <v>3600736.9583833241</v>
      </c>
      <c r="J16" s="444">
        <f t="array" ref="J16">IFERROR(INDEX('Retirement Calculator'!K:K,MATCH('Lorri 401b'!N16,'Retirement Calculator'!A:A,0),0),0)</f>
        <v>0</v>
      </c>
      <c r="K16" s="444">
        <f t="shared" ca="1" si="2"/>
        <v>15003.070659930518</v>
      </c>
      <c r="L16" s="444">
        <f t="shared" ca="1" si="3"/>
        <v>3615740.0290432544</v>
      </c>
      <c r="M16" s="460">
        <f t="shared" si="6"/>
        <v>0.05</v>
      </c>
      <c r="N16" s="464">
        <f t="shared" si="7"/>
        <v>51533</v>
      </c>
    </row>
    <row r="17" spans="1:14" ht="11.25" customHeight="1" x14ac:dyDescent="0.3">
      <c r="A17" s="459">
        <v>10</v>
      </c>
      <c r="B17" s="447">
        <f t="shared" ca="1" si="4"/>
        <v>4486419.2704847204</v>
      </c>
      <c r="C17" s="447">
        <f t="shared" si="0"/>
        <v>244406.34317494548</v>
      </c>
      <c r="D17" s="447">
        <f ca="1">SUMIF(G:G,10,K:K)</f>
        <v>222812.19595857343</v>
      </c>
      <c r="E17" s="447">
        <f t="shared" ca="1" si="1"/>
        <v>4464825.1232683482</v>
      </c>
      <c r="F17" s="431"/>
      <c r="G17" s="459">
        <v>1</v>
      </c>
      <c r="H17" s="459">
        <v>10</v>
      </c>
      <c r="I17" s="444">
        <f t="shared" ca="1" si="5"/>
        <v>3615740.0290432544</v>
      </c>
      <c r="J17" s="444">
        <f t="array" ref="J17">IFERROR(INDEX('Retirement Calculator'!K:K,MATCH('Lorri 401b'!N17,'Retirement Calculator'!A:A,0),0),0)</f>
        <v>0</v>
      </c>
      <c r="K17" s="444">
        <f t="shared" ca="1" si="2"/>
        <v>15065.583454346894</v>
      </c>
      <c r="L17" s="444">
        <f t="shared" ca="1" si="3"/>
        <v>3630805.6124976012</v>
      </c>
      <c r="M17" s="460">
        <f t="shared" si="6"/>
        <v>0.05</v>
      </c>
      <c r="N17" s="464">
        <f t="shared" si="7"/>
        <v>51561</v>
      </c>
    </row>
    <row r="18" spans="1:14" ht="11.25" customHeight="1" x14ac:dyDescent="0.3">
      <c r="A18" s="459">
        <v>11</v>
      </c>
      <c r="B18" s="447">
        <f t="shared" ca="1" si="4"/>
        <v>4464825.1232683482</v>
      </c>
      <c r="C18" s="447">
        <f t="shared" si="0"/>
        <v>244406.34317494548</v>
      </c>
      <c r="D18" s="447">
        <f ca="1">SUMIF(G:G,11,K:K)</f>
        <v>221707.39840384637</v>
      </c>
      <c r="E18" s="447">
        <f t="shared" ca="1" si="1"/>
        <v>4442126.1784972493</v>
      </c>
      <c r="F18" s="431"/>
      <c r="G18" s="459">
        <v>1</v>
      </c>
      <c r="H18" s="459">
        <v>11</v>
      </c>
      <c r="I18" s="444">
        <f t="shared" ca="1" si="5"/>
        <v>3630805.6124976012</v>
      </c>
      <c r="J18" s="444">
        <f t="array" ref="J18">IFERROR(INDEX('Retirement Calculator'!K:K,MATCH('Lorri 401b'!N18,'Retirement Calculator'!A:A,0),0),0)</f>
        <v>0</v>
      </c>
      <c r="K18" s="444">
        <f t="shared" ca="1" si="2"/>
        <v>15128.356718740004</v>
      </c>
      <c r="L18" s="444">
        <f t="shared" ca="1" si="3"/>
        <v>3645933.9692163412</v>
      </c>
      <c r="M18" s="460">
        <f t="shared" si="6"/>
        <v>0.05</v>
      </c>
      <c r="N18" s="464">
        <f t="shared" si="7"/>
        <v>51592</v>
      </c>
    </row>
    <row r="19" spans="1:14" ht="11.25" customHeight="1" x14ac:dyDescent="0.3">
      <c r="A19" s="459">
        <v>12</v>
      </c>
      <c r="B19" s="447">
        <f t="shared" ca="1" si="4"/>
        <v>4442126.1784972493</v>
      </c>
      <c r="C19" s="447">
        <f t="shared" si="0"/>
        <v>244406.34317494548</v>
      </c>
      <c r="D19" s="447">
        <f ca="1">SUMIF(G:G,12,K:K)</f>
        <v>220546.07730944431</v>
      </c>
      <c r="E19" s="447">
        <f t="shared" ca="1" si="1"/>
        <v>4418265.9126317482</v>
      </c>
      <c r="F19" s="431"/>
      <c r="G19" s="459">
        <v>1</v>
      </c>
      <c r="H19" s="459">
        <v>12</v>
      </c>
      <c r="I19" s="444">
        <f t="shared" ca="1" si="5"/>
        <v>3645933.9692163412</v>
      </c>
      <c r="J19" s="444">
        <f t="array" ref="J19">IFERROR(INDEX('Retirement Calculator'!K:K,MATCH('Lorri 401b'!N19,'Retirement Calculator'!A:A,0),0),0)</f>
        <v>0</v>
      </c>
      <c r="K19" s="444">
        <f t="shared" ca="1" si="2"/>
        <v>15191.391538401424</v>
      </c>
      <c r="L19" s="444">
        <f t="shared" ca="1" si="3"/>
        <v>3661125.3607547428</v>
      </c>
      <c r="M19" s="460">
        <f t="shared" si="6"/>
        <v>0.05</v>
      </c>
      <c r="N19" s="464">
        <f t="shared" si="7"/>
        <v>51622</v>
      </c>
    </row>
    <row r="20" spans="1:14" ht="11.25" customHeight="1" x14ac:dyDescent="0.3">
      <c r="A20" s="459">
        <v>13</v>
      </c>
      <c r="B20" s="447">
        <f t="shared" ca="1" si="4"/>
        <v>4418265.9126317482</v>
      </c>
      <c r="C20" s="447">
        <f t="shared" si="0"/>
        <v>244406.34317494548</v>
      </c>
      <c r="D20" s="447">
        <f ca="1">SUMIF(G:G,13,K:K)</f>
        <v>219325.34082380246</v>
      </c>
      <c r="E20" s="447">
        <f t="shared" ca="1" si="1"/>
        <v>4393184.9102806048</v>
      </c>
      <c r="F20" s="431"/>
      <c r="G20" s="459">
        <v>2</v>
      </c>
      <c r="H20" s="459">
        <v>13</v>
      </c>
      <c r="I20" s="444">
        <f t="shared" ca="1" si="5"/>
        <v>3661125.3607547428</v>
      </c>
      <c r="J20" s="444">
        <f t="array" ref="J20">IFERROR(INDEX('Retirement Calculator'!K:K,MATCH('Lorri 401b'!N20,'Retirement Calculator'!A:A,0),0),0)</f>
        <v>0</v>
      </c>
      <c r="K20" s="444">
        <f t="shared" ca="1" si="2"/>
        <v>15254.689003144762</v>
      </c>
      <c r="L20" s="444">
        <f t="shared" ca="1" si="3"/>
        <v>3676380.0497578876</v>
      </c>
      <c r="M20" s="460">
        <f t="shared" si="6"/>
        <v>0.05</v>
      </c>
      <c r="N20" s="464">
        <f t="shared" si="7"/>
        <v>51653</v>
      </c>
    </row>
    <row r="21" spans="1:14" ht="11.25" customHeight="1" x14ac:dyDescent="0.3">
      <c r="A21" s="459">
        <v>14</v>
      </c>
      <c r="B21" s="447">
        <f t="shared" ca="1" si="4"/>
        <v>4393184.9102806048</v>
      </c>
      <c r="C21" s="447">
        <f t="shared" si="0"/>
        <v>244406.34317494548</v>
      </c>
      <c r="D21" s="447">
        <f ca="1">SUMIF(G:G,14,K:K)</f>
        <v>218042.14914274175</v>
      </c>
      <c r="E21" s="447">
        <f t="shared" ca="1" si="1"/>
        <v>4366820.7162484014</v>
      </c>
      <c r="F21" s="431"/>
      <c r="G21" s="459">
        <v>2</v>
      </c>
      <c r="H21" s="459">
        <v>14</v>
      </c>
      <c r="I21" s="444">
        <f t="shared" ca="1" si="5"/>
        <v>3676380.0497578876</v>
      </c>
      <c r="J21" s="444">
        <f t="array" ref="J21">IFERROR(INDEX('Retirement Calculator'!K:K,MATCH('Lorri 401b'!N21,'Retirement Calculator'!A:A,0),0),0)</f>
        <v>0</v>
      </c>
      <c r="K21" s="444">
        <f t="shared" ca="1" si="2"/>
        <v>15318.250207324534</v>
      </c>
      <c r="L21" s="444">
        <f t="shared" ca="1" si="3"/>
        <v>3691698.2999652121</v>
      </c>
      <c r="M21" s="460">
        <f t="shared" si="6"/>
        <v>0.05</v>
      </c>
      <c r="N21" s="464">
        <f t="shared" si="7"/>
        <v>51683</v>
      </c>
    </row>
    <row r="22" spans="1:14" ht="11.25" customHeight="1" x14ac:dyDescent="0.3">
      <c r="A22" s="459">
        <v>15</v>
      </c>
      <c r="B22" s="447">
        <f t="shared" ca="1" si="4"/>
        <v>4366820.7162484014</v>
      </c>
      <c r="C22" s="447">
        <f t="shared" si="0"/>
        <v>244406.34317494548</v>
      </c>
      <c r="D22" s="447">
        <f ca="1">SUMIF(G:G,15,K:K)</f>
        <v>216693.30693993194</v>
      </c>
      <c r="E22" s="447">
        <f t="shared" ca="1" si="1"/>
        <v>4339107.6800133875</v>
      </c>
      <c r="F22" s="431"/>
      <c r="G22" s="459">
        <v>2</v>
      </c>
      <c r="H22" s="459">
        <v>15</v>
      </c>
      <c r="I22" s="444">
        <f t="shared" ca="1" si="5"/>
        <v>3691698.2999652121</v>
      </c>
      <c r="J22" s="444">
        <f t="array" ref="J22">IFERROR(INDEX('Retirement Calculator'!K:K,MATCH('Lorri 401b'!N22,'Retirement Calculator'!A:A,0),0),0)</f>
        <v>0</v>
      </c>
      <c r="K22" s="444">
        <f t="shared" ca="1" si="2"/>
        <v>15382.07624985505</v>
      </c>
      <c r="L22" s="444">
        <f t="shared" ca="1" si="3"/>
        <v>3707080.3762150672</v>
      </c>
      <c r="M22" s="460">
        <f t="shared" si="6"/>
        <v>0.05</v>
      </c>
      <c r="N22" s="464">
        <f t="shared" si="7"/>
        <v>51714</v>
      </c>
    </row>
    <row r="23" spans="1:14" ht="11.25" customHeight="1" x14ac:dyDescent="0.3">
      <c r="A23" s="459">
        <v>16</v>
      </c>
      <c r="B23" s="447">
        <f t="shared" ca="1" si="4"/>
        <v>4339107.6800133875</v>
      </c>
      <c r="C23" s="447">
        <f t="shared" si="0"/>
        <v>244406.34317494548</v>
      </c>
      <c r="D23" s="447">
        <f ca="1">SUMIF(G:G,16,K:K)</f>
        <v>215275.45541008341</v>
      </c>
      <c r="E23" s="447">
        <f t="shared" ca="1" si="1"/>
        <v>4309976.7922485257</v>
      </c>
      <c r="F23" s="431"/>
      <c r="G23" s="459">
        <v>2</v>
      </c>
      <c r="H23" s="459">
        <v>16</v>
      </c>
      <c r="I23" s="444">
        <f t="shared" ca="1" si="5"/>
        <v>3707080.3762150672</v>
      </c>
      <c r="J23" s="444">
        <f t="array" ref="J23">IFERROR(INDEX('Retirement Calculator'!K:K,MATCH('Lorri 401b'!N23,'Retirement Calculator'!A:A,0),0),0)</f>
        <v>0</v>
      </c>
      <c r="K23" s="444">
        <f t="shared" ca="1" si="2"/>
        <v>15446.168234229444</v>
      </c>
      <c r="L23" s="444">
        <f t="shared" ca="1" si="3"/>
        <v>3722526.5444492968</v>
      </c>
      <c r="M23" s="460">
        <f t="shared" si="6"/>
        <v>0.05</v>
      </c>
      <c r="N23" s="464">
        <f t="shared" si="7"/>
        <v>51745</v>
      </c>
    </row>
    <row r="24" spans="1:14" ht="11.25" customHeight="1" x14ac:dyDescent="0.3">
      <c r="A24" s="459">
        <v>17</v>
      </c>
      <c r="B24" s="447">
        <f t="shared" ca="1" si="4"/>
        <v>4309976.7922485257</v>
      </c>
      <c r="C24" s="447">
        <f t="shared" si="0"/>
        <v>244406.34317494548</v>
      </c>
      <c r="D24" s="447">
        <f ca="1">SUMIF(G:G,17,K:K)</f>
        <v>213785.06390505334</v>
      </c>
      <c r="E24" s="447">
        <f t="shared" ca="1" si="1"/>
        <v>4279355.5129786339</v>
      </c>
      <c r="F24" s="431"/>
      <c r="G24" s="459">
        <v>2</v>
      </c>
      <c r="H24" s="459">
        <v>17</v>
      </c>
      <c r="I24" s="444">
        <f t="shared" ca="1" si="5"/>
        <v>3722526.5444492968</v>
      </c>
      <c r="J24" s="444">
        <f t="array" ref="J24">IFERROR(INDEX('Retirement Calculator'!K:K,MATCH('Lorri 401b'!N24,'Retirement Calculator'!A:A,0),0),0)</f>
        <v>0</v>
      </c>
      <c r="K24" s="444">
        <f t="shared" ca="1" si="2"/>
        <v>15510.527268538739</v>
      </c>
      <c r="L24" s="444">
        <f t="shared" ca="1" si="3"/>
        <v>3738037.0717178355</v>
      </c>
      <c r="M24" s="460">
        <f t="shared" si="6"/>
        <v>0.05</v>
      </c>
      <c r="N24" s="464">
        <f t="shared" si="7"/>
        <v>51775</v>
      </c>
    </row>
    <row r="25" spans="1:14" ht="11.25" customHeight="1" x14ac:dyDescent="0.3">
      <c r="A25" s="459">
        <v>18</v>
      </c>
      <c r="B25" s="447">
        <f t="shared" ca="1" si="4"/>
        <v>4279355.5129786339</v>
      </c>
      <c r="C25" s="447">
        <f t="shared" si="0"/>
        <v>244406.34317494548</v>
      </c>
      <c r="D25" s="447">
        <f ca="1">SUMIF(G:G,18,K:K)</f>
        <v>212218.42114203912</v>
      </c>
      <c r="E25" s="447">
        <f t="shared" ca="1" si="1"/>
        <v>4247167.5909457272</v>
      </c>
      <c r="F25" s="431"/>
      <c r="G25" s="459">
        <v>2</v>
      </c>
      <c r="H25" s="459">
        <v>18</v>
      </c>
      <c r="I25" s="444">
        <f t="shared" ca="1" si="5"/>
        <v>3738037.0717178355</v>
      </c>
      <c r="J25" s="444">
        <f t="array" ref="J25">IFERROR(INDEX('Retirement Calculator'!K:K,MATCH('Lorri 401b'!N25,'Retirement Calculator'!A:A,0),0),0)</f>
        <v>0</v>
      </c>
      <c r="K25" s="444">
        <f t="shared" ca="1" si="2"/>
        <v>15575.154465490981</v>
      </c>
      <c r="L25" s="444">
        <f t="shared" ca="1" si="3"/>
        <v>3753612.2261833264</v>
      </c>
      <c r="M25" s="460">
        <f t="shared" si="6"/>
        <v>0.05</v>
      </c>
      <c r="N25" s="464">
        <f t="shared" si="7"/>
        <v>51806</v>
      </c>
    </row>
    <row r="26" spans="1:14" ht="11.25" customHeight="1" x14ac:dyDescent="0.3">
      <c r="A26" s="459">
        <v>19</v>
      </c>
      <c r="B26" s="447">
        <f t="shared" ca="1" si="4"/>
        <v>4247167.5909457272</v>
      </c>
      <c r="C26" s="447">
        <f t="shared" si="0"/>
        <v>244406.34317494548</v>
      </c>
      <c r="D26" s="447">
        <f ca="1">SUMIF(G:G,19,K:K)</f>
        <v>210571.62596196643</v>
      </c>
      <c r="E26" s="447">
        <f t="shared" ca="1" si="1"/>
        <v>4213332.8737327484</v>
      </c>
      <c r="F26" s="431"/>
      <c r="G26" s="459">
        <v>2</v>
      </c>
      <c r="H26" s="459">
        <v>19</v>
      </c>
      <c r="I26" s="444">
        <f t="shared" ca="1" si="5"/>
        <v>3753612.2261833264</v>
      </c>
      <c r="J26" s="444">
        <f t="array" ref="J26">IFERROR(INDEX('Retirement Calculator'!K:K,MATCH('Lorri 401b'!N26,'Retirement Calculator'!A:A,0),0),0)</f>
        <v>0</v>
      </c>
      <c r="K26" s="444">
        <f t="shared" ca="1" si="2"/>
        <v>15640.050942430527</v>
      </c>
      <c r="L26" s="444">
        <f t="shared" ca="1" si="3"/>
        <v>3769252.2771257572</v>
      </c>
      <c r="M26" s="460">
        <f t="shared" si="6"/>
        <v>0.05</v>
      </c>
      <c r="N26" s="464">
        <f t="shared" si="7"/>
        <v>51836</v>
      </c>
    </row>
    <row r="27" spans="1:14" ht="11.25" customHeight="1" x14ac:dyDescent="0.3">
      <c r="A27" s="459">
        <v>20</v>
      </c>
      <c r="B27" s="447">
        <f t="shared" ca="1" si="4"/>
        <v>4213332.8737327484</v>
      </c>
      <c r="C27" s="447">
        <f t="shared" si="0"/>
        <v>244406.34317494548</v>
      </c>
      <c r="D27" s="447">
        <f ca="1">SUMIF(G:G,20,K:K)</f>
        <v>208840.57761505869</v>
      </c>
      <c r="E27" s="447">
        <f t="shared" ca="1" si="1"/>
        <v>4177767.1081728614</v>
      </c>
      <c r="F27" s="431"/>
      <c r="G27" s="459">
        <v>2</v>
      </c>
      <c r="H27" s="459">
        <v>20</v>
      </c>
      <c r="I27" s="444">
        <f t="shared" ca="1" si="5"/>
        <v>3769252.2771257572</v>
      </c>
      <c r="J27" s="444">
        <f t="array" ref="J27">IFERROR(INDEX('Retirement Calculator'!K:K,MATCH('Lorri 401b'!N27,'Retirement Calculator'!A:A,0),0),0)</f>
        <v>0</v>
      </c>
      <c r="K27" s="444">
        <f t="shared" ca="1" si="2"/>
        <v>15705.217821357321</v>
      </c>
      <c r="L27" s="444">
        <f t="shared" ca="1" si="3"/>
        <v>3784957.4949471145</v>
      </c>
      <c r="M27" s="460">
        <f t="shared" si="6"/>
        <v>0.05</v>
      </c>
      <c r="N27" s="464">
        <f t="shared" si="7"/>
        <v>51867</v>
      </c>
    </row>
    <row r="28" spans="1:14" ht="11.25" customHeight="1" x14ac:dyDescent="0.3">
      <c r="A28" s="459">
        <v>21</v>
      </c>
      <c r="B28" s="447">
        <f t="shared" ca="1" si="4"/>
        <v>4177767.1081728614</v>
      </c>
      <c r="C28" s="447">
        <f t="shared" si="0"/>
        <v>244406.34317494548</v>
      </c>
      <c r="D28" s="447">
        <f ca="1">SUMIF(G:G,21,K:K)</f>
        <v>207020.9655493981</v>
      </c>
      <c r="E28" s="447">
        <f t="shared" ca="1" si="1"/>
        <v>4140381.730547314</v>
      </c>
      <c r="F28" s="431"/>
      <c r="G28" s="459">
        <v>2</v>
      </c>
      <c r="H28" s="459">
        <v>21</v>
      </c>
      <c r="I28" s="444">
        <f t="shared" ca="1" si="5"/>
        <v>3784957.4949471145</v>
      </c>
      <c r="J28" s="444">
        <f t="array" ref="J28">IFERROR(INDEX('Retirement Calculator'!K:K,MATCH('Lorri 401b'!N28,'Retirement Calculator'!A:A,0),0),0)</f>
        <v>0</v>
      </c>
      <c r="K28" s="444">
        <f t="shared" ca="1" si="2"/>
        <v>15770.656228946313</v>
      </c>
      <c r="L28" s="444">
        <f t="shared" ca="1" si="3"/>
        <v>3800728.151176061</v>
      </c>
      <c r="M28" s="460">
        <f t="shared" si="6"/>
        <v>0.05</v>
      </c>
      <c r="N28" s="464">
        <f t="shared" si="7"/>
        <v>51898</v>
      </c>
    </row>
    <row r="29" spans="1:14" ht="11.25" customHeight="1" x14ac:dyDescent="0.3">
      <c r="A29" s="459">
        <v>22</v>
      </c>
      <c r="B29" s="447">
        <f t="shared" ca="1" si="4"/>
        <v>4140381.730547314</v>
      </c>
      <c r="C29" s="447">
        <f t="shared" si="0"/>
        <v>244406.34317494548</v>
      </c>
      <c r="D29" s="447">
        <f ca="1">SUMIF(G:G,22,K:K)</f>
        <v>205108.25867704983</v>
      </c>
      <c r="E29" s="447">
        <f t="shared" ca="1" si="1"/>
        <v>4101083.6460494185</v>
      </c>
      <c r="F29" s="431"/>
      <c r="G29" s="459">
        <v>2</v>
      </c>
      <c r="H29" s="459">
        <v>22</v>
      </c>
      <c r="I29" s="444">
        <f t="shared" ca="1" si="5"/>
        <v>3800728.151176061</v>
      </c>
      <c r="J29" s="444">
        <f t="array" ref="J29">IFERROR(INDEX('Retirement Calculator'!K:K,MATCH('Lorri 401b'!N29,'Retirement Calculator'!A:A,0),0),0)</f>
        <v>0</v>
      </c>
      <c r="K29" s="444">
        <f t="shared" ca="1" si="2"/>
        <v>15836.367296566921</v>
      </c>
      <c r="L29" s="444">
        <f t="shared" ca="1" si="3"/>
        <v>3816564.5184726277</v>
      </c>
      <c r="M29" s="460">
        <f t="shared" si="6"/>
        <v>0.05</v>
      </c>
      <c r="N29" s="464">
        <f t="shared" si="7"/>
        <v>51926</v>
      </c>
    </row>
    <row r="30" spans="1:14" ht="11.25" customHeight="1" x14ac:dyDescent="0.3">
      <c r="A30" s="459">
        <v>23</v>
      </c>
      <c r="B30" s="447">
        <f t="shared" ca="1" si="4"/>
        <v>4101083.6460494185</v>
      </c>
      <c r="C30" s="447">
        <f t="shared" si="0"/>
        <v>244406.34317494548</v>
      </c>
      <c r="D30" s="447">
        <f ca="1">SUMIF(G:G,23,K:K)</f>
        <v>203097.69409102076</v>
      </c>
      <c r="E30" s="447">
        <f t="shared" ca="1" si="1"/>
        <v>4059774.9969654935</v>
      </c>
      <c r="F30" s="431"/>
      <c r="G30" s="459">
        <v>2</v>
      </c>
      <c r="H30" s="459">
        <v>23</v>
      </c>
      <c r="I30" s="444">
        <f t="shared" ca="1" si="5"/>
        <v>3816564.5184726277</v>
      </c>
      <c r="J30" s="444">
        <f t="array" ref="J30">IFERROR(INDEX('Retirement Calculator'!K:K,MATCH('Lorri 401b'!N30,'Retirement Calculator'!A:A,0),0),0)</f>
        <v>0</v>
      </c>
      <c r="K30" s="444">
        <f t="shared" ca="1" si="2"/>
        <v>15902.352160302615</v>
      </c>
      <c r="L30" s="444">
        <f t="shared" ca="1" si="3"/>
        <v>3832466.8706329302</v>
      </c>
      <c r="M30" s="460">
        <f t="shared" si="6"/>
        <v>0.05</v>
      </c>
      <c r="N30" s="464">
        <f t="shared" si="7"/>
        <v>51957</v>
      </c>
    </row>
    <row r="31" spans="1:14" ht="11.25" customHeight="1" x14ac:dyDescent="0.3">
      <c r="A31" s="459">
        <v>24</v>
      </c>
      <c r="B31" s="447">
        <f t="shared" ca="1" si="4"/>
        <v>4059774.9969654935</v>
      </c>
      <c r="C31" s="447">
        <f t="shared" si="0"/>
        <v>244406.34317494548</v>
      </c>
      <c r="D31" s="447">
        <f ca="1">SUMIF(G:G,24,K:K)</f>
        <v>200984.26520495667</v>
      </c>
      <c r="E31" s="447">
        <f t="shared" ca="1" si="1"/>
        <v>4016352.9189955047</v>
      </c>
      <c r="F31" s="431"/>
      <c r="G31" s="459">
        <v>2</v>
      </c>
      <c r="H31" s="459">
        <v>24</v>
      </c>
      <c r="I31" s="444">
        <f t="shared" ca="1" si="5"/>
        <v>3832466.8706329302</v>
      </c>
      <c r="J31" s="444">
        <f t="array" ref="J31">IFERROR(INDEX('Retirement Calculator'!K:K,MATCH('Lorri 401b'!N31,'Retirement Calculator'!A:A,0),0),0)</f>
        <v>0</v>
      </c>
      <c r="K31" s="444">
        <f t="shared" ca="1" si="2"/>
        <v>15968.611960970542</v>
      </c>
      <c r="L31" s="444">
        <f t="shared" ca="1" si="3"/>
        <v>3848435.4825939005</v>
      </c>
      <c r="M31" s="460">
        <f t="shared" si="6"/>
        <v>0.05</v>
      </c>
      <c r="N31" s="464">
        <f t="shared" si="7"/>
        <v>51987</v>
      </c>
    </row>
    <row r="32" spans="1:14" ht="11.25" customHeight="1" x14ac:dyDescent="0.3">
      <c r="A32" s="459">
        <v>25</v>
      </c>
      <c r="B32" s="447">
        <f t="shared" ca="1" si="4"/>
        <v>4016352.9189955047</v>
      </c>
      <c r="C32" s="447">
        <f t="shared" si="0"/>
        <v>244406.34317494548</v>
      </c>
      <c r="D32" s="447">
        <f ca="1">SUMIF(G:G,25,K:K)</f>
        <v>198762.70928604348</v>
      </c>
      <c r="E32" s="447">
        <f t="shared" ca="1" si="1"/>
        <v>3970709.2851066026</v>
      </c>
      <c r="F32" s="431"/>
      <c r="G32" s="459">
        <v>3</v>
      </c>
      <c r="H32" s="459">
        <v>25</v>
      </c>
      <c r="I32" s="444">
        <f t="shared" ca="1" si="5"/>
        <v>3848435.4825939005</v>
      </c>
      <c r="J32" s="444">
        <f t="array" ref="J32">IFERROR(INDEX('Retirement Calculator'!K:K,MATCH('Lorri 401b'!N32,'Retirement Calculator'!A:A,0),0),0)</f>
        <v>0</v>
      </c>
      <c r="K32" s="444">
        <f t="shared" ca="1" si="2"/>
        <v>16035.147844141253</v>
      </c>
      <c r="L32" s="444">
        <f t="shared" ca="1" si="3"/>
        <v>3864470.6304380419</v>
      </c>
      <c r="M32" s="460">
        <f t="shared" si="6"/>
        <v>0.05</v>
      </c>
      <c r="N32" s="464">
        <f t="shared" si="7"/>
        <v>52018</v>
      </c>
    </row>
    <row r="33" spans="1:14" ht="11.25" customHeight="1" x14ac:dyDescent="0.3">
      <c r="A33" s="459">
        <v>26</v>
      </c>
      <c r="B33" s="447">
        <f t="shared" ca="1" si="4"/>
        <v>3970709.2851066026</v>
      </c>
      <c r="C33" s="447">
        <f t="shared" si="0"/>
        <v>244406.34317494548</v>
      </c>
      <c r="D33" s="447">
        <f ca="1">SUMIF(G:G,26,K:K)</f>
        <v>196427.49435006833</v>
      </c>
      <c r="E33" s="447">
        <f t="shared" ca="1" si="1"/>
        <v>3922730.4362817253</v>
      </c>
      <c r="F33" s="431"/>
      <c r="G33" s="459">
        <v>3</v>
      </c>
      <c r="H33" s="459">
        <v>26</v>
      </c>
      <c r="I33" s="444">
        <f t="shared" ca="1" si="5"/>
        <v>3864470.6304380419</v>
      </c>
      <c r="J33" s="444">
        <f t="array" ref="J33">IFERROR(INDEX('Retirement Calculator'!K:K,MATCH('Lorri 401b'!N33,'Retirement Calculator'!A:A,0),0),0)</f>
        <v>0</v>
      </c>
      <c r="K33" s="444">
        <f t="shared" ca="1" si="2"/>
        <v>16101.960960158505</v>
      </c>
      <c r="L33" s="444">
        <f t="shared" ca="1" si="3"/>
        <v>3880572.5913982005</v>
      </c>
      <c r="M33" s="460">
        <f t="shared" si="6"/>
        <v>0.05</v>
      </c>
      <c r="N33" s="464">
        <f t="shared" si="7"/>
        <v>52048</v>
      </c>
    </row>
    <row r="34" spans="1:14" ht="11.25" customHeight="1" x14ac:dyDescent="0.3">
      <c r="A34" s="459">
        <v>27</v>
      </c>
      <c r="B34" s="447">
        <f t="shared" ca="1" si="4"/>
        <v>3922730.4362817253</v>
      </c>
      <c r="C34" s="447">
        <f t="shared" si="0"/>
        <v>244406.34317494548</v>
      </c>
      <c r="D34" s="447">
        <f ca="1">SUMIF(G:G,27,K:K)</f>
        <v>193972.80538600677</v>
      </c>
      <c r="E34" s="447">
        <f t="shared" ca="1" si="1"/>
        <v>3872296.8984927866</v>
      </c>
      <c r="F34" s="431"/>
      <c r="G34" s="459">
        <v>3</v>
      </c>
      <c r="H34" s="459">
        <v>27</v>
      </c>
      <c r="I34" s="444">
        <f t="shared" ca="1" si="5"/>
        <v>3880572.5913982005</v>
      </c>
      <c r="J34" s="444">
        <f t="array" ref="J34">IFERROR(INDEX('Retirement Calculator'!K:K,MATCH('Lorri 401b'!N34,'Retirement Calculator'!A:A,0),0),0)</f>
        <v>0</v>
      </c>
      <c r="K34" s="444">
        <f t="shared" ca="1" si="2"/>
        <v>16169.052464159167</v>
      </c>
      <c r="L34" s="444">
        <f t="shared" ca="1" si="3"/>
        <v>3896741.6438623597</v>
      </c>
      <c r="M34" s="460">
        <f t="shared" si="6"/>
        <v>0.05</v>
      </c>
      <c r="N34" s="464">
        <f t="shared" si="7"/>
        <v>52079</v>
      </c>
    </row>
    <row r="35" spans="1:14" ht="11.25" customHeight="1" x14ac:dyDescent="0.3">
      <c r="A35" s="459">
        <v>28</v>
      </c>
      <c r="B35" s="447">
        <f t="shared" ca="1" si="4"/>
        <v>3872296.8984927866</v>
      </c>
      <c r="C35" s="447">
        <f t="shared" si="0"/>
        <v>244406.34317494548</v>
      </c>
      <c r="D35" s="447">
        <f ca="1">SUMIF(G:G,28,K:K)</f>
        <v>191392.52987583456</v>
      </c>
      <c r="E35" s="447">
        <f t="shared" ca="1" si="1"/>
        <v>3819283.0851936755</v>
      </c>
      <c r="F35" s="431"/>
      <c r="G35" s="459">
        <v>3</v>
      </c>
      <c r="H35" s="459">
        <v>28</v>
      </c>
      <c r="I35" s="444">
        <f t="shared" ca="1" si="5"/>
        <v>3896741.6438623597</v>
      </c>
      <c r="J35" s="444">
        <f t="array" ref="J35">IFERROR(INDEX('Retirement Calculator'!K:K,MATCH('Lorri 401b'!N35,'Retirement Calculator'!A:A,0),0),0)</f>
        <v>0</v>
      </c>
      <c r="K35" s="444">
        <f t="shared" ca="1" si="2"/>
        <v>16236.423516093166</v>
      </c>
      <c r="L35" s="444">
        <f t="shared" ca="1" si="3"/>
        <v>3912978.067378453</v>
      </c>
      <c r="M35" s="460">
        <f t="shared" si="6"/>
        <v>0.05</v>
      </c>
      <c r="N35" s="464">
        <f t="shared" si="7"/>
        <v>52110</v>
      </c>
    </row>
    <row r="36" spans="1:14" ht="11.25" customHeight="1" x14ac:dyDescent="0.3">
      <c r="A36" s="459">
        <v>29</v>
      </c>
      <c r="B36" s="447">
        <f t="shared" ca="1" si="4"/>
        <v>3819283.0851936755</v>
      </c>
      <c r="C36" s="447">
        <f t="shared" si="0"/>
        <v>244406.34317494548</v>
      </c>
      <c r="D36" s="447">
        <f ca="1">SUMIF(G:G,29,K:K)</f>
        <v>188680.24257350416</v>
      </c>
      <c r="E36" s="447">
        <f t="shared" ca="1" si="1"/>
        <v>3763556.9845922343</v>
      </c>
      <c r="F36" s="431"/>
      <c r="G36" s="459">
        <v>3</v>
      </c>
      <c r="H36" s="459">
        <v>29</v>
      </c>
      <c r="I36" s="444">
        <f t="shared" ca="1" si="5"/>
        <v>3912978.067378453</v>
      </c>
      <c r="J36" s="444">
        <f t="array" ref="J36">IFERROR(INDEX('Retirement Calculator'!K:K,MATCH('Lorri 401b'!N36,'Retirement Calculator'!A:A,0),0),0)</f>
        <v>0</v>
      </c>
      <c r="K36" s="444">
        <f t="shared" ca="1" si="2"/>
        <v>16304.075280743551</v>
      </c>
      <c r="L36" s="444">
        <f t="shared" ca="1" si="3"/>
        <v>3929282.1426591966</v>
      </c>
      <c r="M36" s="460">
        <f t="shared" si="6"/>
        <v>0.05</v>
      </c>
      <c r="N36" s="464">
        <f t="shared" si="7"/>
        <v>52140</v>
      </c>
    </row>
    <row r="37" spans="1:14" ht="11.25" customHeight="1" x14ac:dyDescent="0.3">
      <c r="A37" s="459">
        <v>30</v>
      </c>
      <c r="B37" s="447">
        <f t="shared" ca="1" si="4"/>
        <v>3763556.9845922343</v>
      </c>
      <c r="C37" s="447">
        <f t="shared" si="0"/>
        <v>244406.34317494548</v>
      </c>
      <c r="D37" s="447">
        <f ca="1">SUMIF(G:G,30,K:K)</f>
        <v>185829.18950518599</v>
      </c>
      <c r="E37" s="447">
        <f t="shared" ca="1" si="1"/>
        <v>3704979.8309224746</v>
      </c>
      <c r="F37" s="431"/>
      <c r="G37" s="459">
        <v>3</v>
      </c>
      <c r="H37" s="459">
        <v>30</v>
      </c>
      <c r="I37" s="444">
        <f t="shared" ca="1" si="5"/>
        <v>3929282.1426591966</v>
      </c>
      <c r="J37" s="444">
        <f t="array" ref="J37">IFERROR(INDEX('Retirement Calculator'!K:K,MATCH('Lorri 401b'!N37,'Retirement Calculator'!A:A,0),0),0)</f>
        <v>0</v>
      </c>
      <c r="K37" s="444">
        <f t="shared" ca="1" si="2"/>
        <v>16372.008927746652</v>
      </c>
      <c r="L37" s="444">
        <f t="shared" ca="1" si="3"/>
        <v>3945654.1515869433</v>
      </c>
      <c r="M37" s="460">
        <f t="shared" si="6"/>
        <v>0.05</v>
      </c>
      <c r="N37" s="464">
        <f t="shared" si="7"/>
        <v>52171</v>
      </c>
    </row>
    <row r="38" spans="1:14" ht="11.25" customHeight="1" x14ac:dyDescent="0.3">
      <c r="A38" s="459">
        <v>31</v>
      </c>
      <c r="B38" s="447">
        <f t="shared" ca="1" si="4"/>
        <v>3704979.8309224746</v>
      </c>
      <c r="C38" s="447">
        <f t="shared" si="0"/>
        <v>244406.34317494548</v>
      </c>
      <c r="D38" s="447">
        <f ca="1">SUMIF(G:G,31,K:K)</f>
        <v>182832.27115093113</v>
      </c>
      <c r="E38" s="447">
        <f t="shared" ca="1" si="1"/>
        <v>3643405.7588984603</v>
      </c>
      <c r="F38" s="431"/>
      <c r="G38" s="459">
        <v>3</v>
      </c>
      <c r="H38" s="459">
        <v>31</v>
      </c>
      <c r="I38" s="444">
        <f t="shared" ca="1" si="5"/>
        <v>3945654.1515869433</v>
      </c>
      <c r="J38" s="444">
        <f t="array" ref="J38">IFERROR(INDEX('Retirement Calculator'!K:K,MATCH('Lorri 401b'!N38,'Retirement Calculator'!A:A,0),0),0)</f>
        <v>0</v>
      </c>
      <c r="K38" s="444">
        <f t="shared" ca="1" si="2"/>
        <v>16440.225631612262</v>
      </c>
      <c r="L38" s="444">
        <f t="shared" ca="1" si="3"/>
        <v>3962094.3772185557</v>
      </c>
      <c r="M38" s="460">
        <f t="shared" si="6"/>
        <v>0.05</v>
      </c>
      <c r="N38" s="464">
        <f t="shared" si="7"/>
        <v>52201</v>
      </c>
    </row>
    <row r="39" spans="1:14" ht="11.25" customHeight="1" x14ac:dyDescent="0.3">
      <c r="A39" s="459">
        <v>32</v>
      </c>
      <c r="B39" s="447">
        <f t="shared" ca="1" si="4"/>
        <v>3643405.7588984603</v>
      </c>
      <c r="C39" s="447">
        <f t="shared" si="0"/>
        <v>244406.34317494548</v>
      </c>
      <c r="D39" s="447">
        <f ca="1">SUMIF(G:G,32,K:K)</f>
        <v>179682.02476587598</v>
      </c>
      <c r="E39" s="447">
        <f t="shared" ca="1" si="1"/>
        <v>3578681.4404893909</v>
      </c>
      <c r="F39" s="431"/>
      <c r="G39" s="459">
        <v>3</v>
      </c>
      <c r="H39" s="459">
        <v>32</v>
      </c>
      <c r="I39" s="444">
        <f t="shared" ca="1" si="5"/>
        <v>3962094.3772185557</v>
      </c>
      <c r="J39" s="444">
        <f t="array" ref="J39">IFERROR(INDEX('Retirement Calculator'!K:K,MATCH('Lorri 401b'!N39,'Retirement Calculator'!A:A,0),0),0)</f>
        <v>0</v>
      </c>
      <c r="K39" s="444">
        <f t="shared" ca="1" si="2"/>
        <v>16508.72657174398</v>
      </c>
      <c r="L39" s="444">
        <f t="shared" ca="1" si="3"/>
        <v>3978603.1037902995</v>
      </c>
      <c r="M39" s="460">
        <f t="shared" si="6"/>
        <v>0.05</v>
      </c>
      <c r="N39" s="464">
        <f t="shared" si="7"/>
        <v>52232</v>
      </c>
    </row>
    <row r="40" spans="1:14" ht="11.25" customHeight="1" x14ac:dyDescent="0.3">
      <c r="A40" s="459">
        <v>33</v>
      </c>
      <c r="B40" s="447">
        <f t="shared" ca="1" si="4"/>
        <v>3578681.4404893909</v>
      </c>
      <c r="C40" s="447">
        <f t="shared" si="0"/>
        <v>244406.34317494548</v>
      </c>
      <c r="D40" s="447">
        <f ca="1">SUMIF(G:G,33,K:K)</f>
        <v>176370.60579696638</v>
      </c>
      <c r="E40" s="447">
        <f t="shared" ca="1" si="1"/>
        <v>3510645.7031114115</v>
      </c>
      <c r="F40" s="431"/>
      <c r="G40" s="459">
        <v>3</v>
      </c>
      <c r="H40" s="459">
        <v>33</v>
      </c>
      <c r="I40" s="444">
        <f t="shared" ca="1" si="5"/>
        <v>3978603.1037902995</v>
      </c>
      <c r="J40" s="444">
        <f t="array" ref="J40">IFERROR(INDEX('Retirement Calculator'!K:K,MATCH('Lorri 401b'!N40,'Retirement Calculator'!A:A,0),0),0)</f>
        <v>0</v>
      </c>
      <c r="K40" s="444">
        <f t="shared" ca="1" si="2"/>
        <v>16577.51293245958</v>
      </c>
      <c r="L40" s="444">
        <f t="shared" ca="1" si="3"/>
        <v>3995180.6167227589</v>
      </c>
      <c r="M40" s="460">
        <f t="shared" si="6"/>
        <v>0.05</v>
      </c>
      <c r="N40" s="464">
        <f t="shared" si="7"/>
        <v>52263</v>
      </c>
    </row>
    <row r="41" spans="1:14" ht="11.25" customHeight="1" x14ac:dyDescent="0.3">
      <c r="A41" s="459">
        <v>34</v>
      </c>
      <c r="B41" s="447">
        <f t="shared" ca="1" si="4"/>
        <v>3510645.7031114115</v>
      </c>
      <c r="C41" s="447">
        <f t="shared" si="0"/>
        <v>244406.34317494548</v>
      </c>
      <c r="D41" s="447">
        <f ca="1">SUMIF(G:G,34,K:K)</f>
        <v>172889.76834892583</v>
      </c>
      <c r="E41" s="447">
        <f t="shared" ca="1" si="1"/>
        <v>3439129.1282853917</v>
      </c>
      <c r="F41" s="431"/>
      <c r="G41" s="459">
        <v>3</v>
      </c>
      <c r="H41" s="459">
        <v>34</v>
      </c>
      <c r="I41" s="444">
        <f t="shared" ca="1" si="5"/>
        <v>3995180.6167227589</v>
      </c>
      <c r="J41" s="444">
        <f t="array" ref="J41">IFERROR(INDEX('Retirement Calculator'!K:K,MATCH('Lorri 401b'!N41,'Retirement Calculator'!A:A,0),0),0)</f>
        <v>0</v>
      </c>
      <c r="K41" s="444">
        <f t="shared" ca="1" si="2"/>
        <v>16646.585903011495</v>
      </c>
      <c r="L41" s="444">
        <f t="shared" ca="1" si="3"/>
        <v>4011827.2026257701</v>
      </c>
      <c r="M41" s="460">
        <f t="shared" si="6"/>
        <v>0.05</v>
      </c>
      <c r="N41" s="464">
        <f t="shared" si="7"/>
        <v>52291</v>
      </c>
    </row>
    <row r="42" spans="1:14" ht="11.25" customHeight="1" x14ac:dyDescent="0.3">
      <c r="A42" s="459">
        <v>35</v>
      </c>
      <c r="B42" s="447">
        <f t="shared" ca="1" si="4"/>
        <v>3439129.1282853917</v>
      </c>
      <c r="C42" s="447">
        <f t="shared" si="0"/>
        <v>244406.34317494548</v>
      </c>
      <c r="D42" s="447">
        <f ca="1">SUMIF(G:G,35,K:K)</f>
        <v>169230.84465082569</v>
      </c>
      <c r="E42" s="447">
        <f t="shared" ca="1" si="1"/>
        <v>3363953.6297612716</v>
      </c>
      <c r="F42" s="431"/>
      <c r="G42" s="459">
        <v>3</v>
      </c>
      <c r="H42" s="459">
        <v>35</v>
      </c>
      <c r="I42" s="444">
        <f t="shared" ca="1" si="5"/>
        <v>4011827.2026257701</v>
      </c>
      <c r="J42" s="444">
        <f t="array" ref="J42">IFERROR(INDEX('Retirement Calculator'!K:K,MATCH('Lorri 401b'!N42,'Retirement Calculator'!A:A,0),0),0)</f>
        <v>0</v>
      </c>
      <c r="K42" s="444">
        <f t="shared" ca="1" si="2"/>
        <v>16715.946677607379</v>
      </c>
      <c r="L42" s="444">
        <f t="shared" ca="1" si="3"/>
        <v>4028543.1493033776</v>
      </c>
      <c r="M42" s="460">
        <f t="shared" si="6"/>
        <v>0.05</v>
      </c>
      <c r="N42" s="464">
        <f t="shared" si="7"/>
        <v>52322</v>
      </c>
    </row>
    <row r="43" spans="1:14" ht="11.25" customHeight="1" x14ac:dyDescent="0.3">
      <c r="A43" s="459">
        <v>36</v>
      </c>
      <c r="B43" s="447">
        <f t="shared" ca="1" si="4"/>
        <v>3363953.6297612716</v>
      </c>
      <c r="C43" s="447">
        <f t="shared" si="0"/>
        <v>244406.34317494548</v>
      </c>
      <c r="D43" s="447">
        <f ca="1">SUMIF(G:G,36,K:K)</f>
        <v>165384.72347212626</v>
      </c>
      <c r="E43" s="447">
        <f t="shared" ca="1" si="1"/>
        <v>3284932.0100584524</v>
      </c>
      <c r="F43" s="431"/>
      <c r="G43" s="459">
        <v>3</v>
      </c>
      <c r="H43" s="459">
        <v>36</v>
      </c>
      <c r="I43" s="444">
        <f t="shared" ca="1" si="5"/>
        <v>4028543.1493033776</v>
      </c>
      <c r="J43" s="444">
        <f t="array" ref="J43">IFERROR(INDEX('Retirement Calculator'!K:K,MATCH('Lorri 401b'!N43,'Retirement Calculator'!A:A,0),0),0)</f>
        <v>0</v>
      </c>
      <c r="K43" s="444">
        <f t="shared" ca="1" si="2"/>
        <v>16785.596455430739</v>
      </c>
      <c r="L43" s="444">
        <f t="shared" ca="1" si="3"/>
        <v>4045328.7457588082</v>
      </c>
      <c r="M43" s="460">
        <f t="shared" si="6"/>
        <v>0.05</v>
      </c>
      <c r="N43" s="464">
        <f t="shared" si="7"/>
        <v>52352</v>
      </c>
    </row>
    <row r="44" spans="1:14" ht="11.25" customHeight="1" x14ac:dyDescent="0.3">
      <c r="A44" s="459">
        <v>37</v>
      </c>
      <c r="B44" s="447">
        <f t="shared" ca="1" si="4"/>
        <v>3284932.0100584524</v>
      </c>
      <c r="C44" s="447">
        <f t="shared" si="0"/>
        <v>244406.34317494548</v>
      </c>
      <c r="D44" s="447">
        <f ca="1">SUMIF(G:G,37,K:K)</f>
        <v>161341.82743444154</v>
      </c>
      <c r="E44" s="447">
        <f t="shared" ca="1" si="1"/>
        <v>3201867.4943179484</v>
      </c>
      <c r="F44" s="431"/>
      <c r="G44" s="459">
        <v>4</v>
      </c>
      <c r="H44" s="459">
        <v>37</v>
      </c>
      <c r="I44" s="444">
        <f t="shared" ca="1" si="5"/>
        <v>4045328.7457588082</v>
      </c>
      <c r="J44" s="444">
        <f t="array" ref="J44">IFERROR(INDEX('Retirement Calculator'!K:K,MATCH('Lorri 401b'!N44,'Retirement Calculator'!A:A,0),0),0)</f>
        <v>0</v>
      </c>
      <c r="K44" s="444">
        <f t="shared" ca="1" si="2"/>
        <v>16855.536440661701</v>
      </c>
      <c r="L44" s="444">
        <f t="shared" ca="1" si="3"/>
        <v>4062184.2821994699</v>
      </c>
      <c r="M44" s="460">
        <f t="shared" si="6"/>
        <v>0.05</v>
      </c>
      <c r="N44" s="464">
        <f t="shared" si="7"/>
        <v>52383</v>
      </c>
    </row>
    <row r="45" spans="1:14" ht="11.25" customHeight="1" x14ac:dyDescent="0.3">
      <c r="A45" s="459">
        <v>38</v>
      </c>
      <c r="B45" s="447">
        <f t="shared" ca="1" si="4"/>
        <v>3201867.4943179484</v>
      </c>
      <c r="C45" s="447">
        <f t="shared" si="0"/>
        <v>244406.34317494548</v>
      </c>
      <c r="D45" s="447">
        <f ca="1">SUMIF(G:G,38,K:K)</f>
        <v>157092.08916253023</v>
      </c>
      <c r="E45" s="447">
        <f t="shared" ca="1" si="1"/>
        <v>3114553.2403055332</v>
      </c>
      <c r="F45" s="431"/>
      <c r="G45" s="459">
        <v>4</v>
      </c>
      <c r="H45" s="459">
        <v>38</v>
      </c>
      <c r="I45" s="444">
        <f t="shared" ca="1" si="5"/>
        <v>4062184.2821994699</v>
      </c>
      <c r="J45" s="444">
        <f t="array" ref="J45">IFERROR(INDEX('Retirement Calculator'!K:K,MATCH('Lorri 401b'!N45,'Retirement Calculator'!A:A,0),0),0)</f>
        <v>0</v>
      </c>
      <c r="K45" s="444">
        <f t="shared" ca="1" si="2"/>
        <v>16925.767842497789</v>
      </c>
      <c r="L45" s="444">
        <f t="shared" ca="1" si="3"/>
        <v>4079110.0500419675</v>
      </c>
      <c r="M45" s="460">
        <f t="shared" si="6"/>
        <v>0.05</v>
      </c>
      <c r="N45" s="464">
        <f t="shared" si="7"/>
        <v>52413</v>
      </c>
    </row>
    <row r="46" spans="1:14" ht="11.25" customHeight="1" x14ac:dyDescent="0.3">
      <c r="A46" s="459">
        <v>39</v>
      </c>
      <c r="B46" s="447">
        <f t="shared" ca="1" si="4"/>
        <v>3114553.2403055332</v>
      </c>
      <c r="C46" s="447">
        <f t="shared" si="0"/>
        <v>244406.34317494548</v>
      </c>
      <c r="D46" s="447">
        <f ca="1">SUMIF(G:G,39,K:K)</f>
        <v>152624.92621512731</v>
      </c>
      <c r="E46" s="447">
        <f t="shared" ca="1" si="1"/>
        <v>3022771.8233457147</v>
      </c>
      <c r="F46" s="431"/>
      <c r="G46" s="459">
        <v>4</v>
      </c>
      <c r="H46" s="459">
        <v>39</v>
      </c>
      <c r="I46" s="444">
        <f t="shared" ca="1" si="5"/>
        <v>4079110.0500419675</v>
      </c>
      <c r="J46" s="444">
        <f t="array" ref="J46">IFERROR(INDEX('Retirement Calculator'!K:K,MATCH('Lorri 401b'!N46,'Retirement Calculator'!A:A,0),0),0)</f>
        <v>0</v>
      </c>
      <c r="K46" s="444">
        <f t="shared" ca="1" si="2"/>
        <v>16996.291875174866</v>
      </c>
      <c r="L46" s="444">
        <f t="shared" ca="1" si="3"/>
        <v>4096106.3419171423</v>
      </c>
      <c r="M46" s="460">
        <f t="shared" si="6"/>
        <v>0.05</v>
      </c>
      <c r="N46" s="464">
        <f t="shared" si="7"/>
        <v>52444</v>
      </c>
    </row>
    <row r="47" spans="1:14" ht="11.25" customHeight="1" x14ac:dyDescent="0.3">
      <c r="A47" s="459">
        <v>40</v>
      </c>
      <c r="B47" s="447">
        <f t="shared" ca="1" si="4"/>
        <v>3022771.8233457147</v>
      </c>
      <c r="C47" s="447">
        <f t="shared" si="0"/>
        <v>244406.34317494548</v>
      </c>
      <c r="D47" s="447">
        <f ca="1">SUMIF(G:G,40,K:K)</f>
        <v>147929.2147331883</v>
      </c>
      <c r="E47" s="447">
        <f t="shared" ca="1" si="1"/>
        <v>2926294.6949039577</v>
      </c>
      <c r="F47" s="431"/>
      <c r="G47" s="459">
        <v>4</v>
      </c>
      <c r="H47" s="459">
        <v>40</v>
      </c>
      <c r="I47" s="444">
        <f t="shared" ca="1" si="5"/>
        <v>4096106.3419171423</v>
      </c>
      <c r="J47" s="444">
        <f t="array" ref="J47">IFERROR(INDEX('Retirement Calculator'!K:K,MATCH('Lorri 401b'!N47,'Retirement Calculator'!A:A,0),0),0)</f>
        <v>0</v>
      </c>
      <c r="K47" s="444">
        <f t="shared" ca="1" si="2"/>
        <v>17067.109757988092</v>
      </c>
      <c r="L47" s="444">
        <f t="shared" ca="1" si="3"/>
        <v>4113173.4516751305</v>
      </c>
      <c r="M47" s="460">
        <f t="shared" si="6"/>
        <v>0.05</v>
      </c>
      <c r="N47" s="464">
        <f t="shared" si="7"/>
        <v>52475</v>
      </c>
    </row>
    <row r="48" spans="1:14" ht="11.25" customHeight="1" x14ac:dyDescent="0.3">
      <c r="A48" s="459">
        <v>41</v>
      </c>
      <c r="B48" s="447">
        <f t="shared" ca="1" si="4"/>
        <v>2926294.6949039577</v>
      </c>
      <c r="C48" s="447">
        <f t="shared" si="0"/>
        <v>244406.34317494548</v>
      </c>
      <c r="D48" s="447">
        <f ca="1">SUMIF(G:G,41,K:K)</f>
        <v>142993.26173992825</v>
      </c>
      <c r="E48" s="447">
        <f t="shared" ca="1" si="1"/>
        <v>2824881.6134689404</v>
      </c>
      <c r="F48" s="431"/>
      <c r="G48" s="459">
        <v>4</v>
      </c>
      <c r="H48" s="459">
        <v>41</v>
      </c>
      <c r="I48" s="444">
        <f t="shared" ca="1" si="5"/>
        <v>4113173.4516751305</v>
      </c>
      <c r="J48" s="444">
        <f t="array" ref="J48">IFERROR(INDEX('Retirement Calculator'!K:K,MATCH('Lorri 401b'!N48,'Retirement Calculator'!A:A,0),0),0)</f>
        <v>0</v>
      </c>
      <c r="K48" s="444">
        <f t="shared" ca="1" si="2"/>
        <v>17138.222715313044</v>
      </c>
      <c r="L48" s="444">
        <f t="shared" ca="1" si="3"/>
        <v>4130311.6743904436</v>
      </c>
      <c r="M48" s="460">
        <f t="shared" si="6"/>
        <v>0.05</v>
      </c>
      <c r="N48" s="464">
        <f t="shared" si="7"/>
        <v>52505</v>
      </c>
    </row>
    <row r="49" spans="1:14" ht="11.25" customHeight="1" x14ac:dyDescent="0.3">
      <c r="A49" s="459">
        <v>42</v>
      </c>
      <c r="B49" s="447">
        <f t="shared" ca="1" si="4"/>
        <v>2824881.6134689404</v>
      </c>
      <c r="C49" s="447">
        <f t="shared" si="0"/>
        <v>244406.34317494548</v>
      </c>
      <c r="D49" s="447">
        <f ca="1">SUMIF(G:G,42,K:K)</f>
        <v>137804.77602367799</v>
      </c>
      <c r="E49" s="447">
        <f t="shared" ca="1" si="1"/>
        <v>2718280.0463176728</v>
      </c>
      <c r="F49" s="431"/>
      <c r="G49" s="459">
        <v>4</v>
      </c>
      <c r="H49" s="459">
        <v>42</v>
      </c>
      <c r="I49" s="444">
        <f t="shared" ca="1" si="5"/>
        <v>4130311.6743904436</v>
      </c>
      <c r="J49" s="444">
        <f t="array" ref="J49">IFERROR(INDEX('Retirement Calculator'!K:K,MATCH('Lorri 401b'!N49,'Retirement Calculator'!A:A,0),0),0)</f>
        <v>0</v>
      </c>
      <c r="K49" s="444">
        <f t="shared" ca="1" si="2"/>
        <v>17209.63197662685</v>
      </c>
      <c r="L49" s="444">
        <f t="shared" ca="1" si="3"/>
        <v>4147521.3063670704</v>
      </c>
      <c r="M49" s="460">
        <f t="shared" si="6"/>
        <v>0.05</v>
      </c>
      <c r="N49" s="464">
        <f t="shared" si="7"/>
        <v>52536</v>
      </c>
    </row>
    <row r="50" spans="1:14" ht="11.25" customHeight="1" x14ac:dyDescent="0.3">
      <c r="A50" s="459">
        <v>43</v>
      </c>
      <c r="B50" s="447">
        <f t="shared" ca="1" si="4"/>
        <v>2718280.0463176728</v>
      </c>
      <c r="C50" s="447">
        <f t="shared" si="0"/>
        <v>244406.34317494548</v>
      </c>
      <c r="D50" s="447">
        <f ca="1">SUMIF(G:G,43,K:K)</f>
        <v>132350.83753105215</v>
      </c>
      <c r="E50" s="447">
        <f t="shared" ca="1" si="1"/>
        <v>2606224.5406737793</v>
      </c>
      <c r="F50" s="431"/>
      <c r="G50" s="459">
        <v>4</v>
      </c>
      <c r="H50" s="459">
        <v>43</v>
      </c>
      <c r="I50" s="444">
        <f t="shared" ca="1" si="5"/>
        <v>4147521.3063670704</v>
      </c>
      <c r="J50" s="444">
        <f t="array" ref="J50">IFERROR(INDEX('Retirement Calculator'!K:K,MATCH('Lorri 401b'!N50,'Retirement Calculator'!A:A,0),0),0)</f>
        <v>0</v>
      </c>
      <c r="K50" s="444">
        <f t="shared" ca="1" si="2"/>
        <v>17281.338776529457</v>
      </c>
      <c r="L50" s="444">
        <f t="shared" ca="1" si="3"/>
        <v>4164802.6451435997</v>
      </c>
      <c r="M50" s="460">
        <f t="shared" si="6"/>
        <v>0.05</v>
      </c>
      <c r="N50" s="464">
        <f t="shared" si="7"/>
        <v>52566</v>
      </c>
    </row>
    <row r="51" spans="1:14" ht="11.25" customHeight="1" x14ac:dyDescent="0.3">
      <c r="A51" s="459">
        <v>44</v>
      </c>
      <c r="B51" s="447">
        <f t="shared" ca="1" si="4"/>
        <v>2606224.5406737793</v>
      </c>
      <c r="C51" s="447">
        <f t="shared" si="0"/>
        <v>244406.34317494548</v>
      </c>
      <c r="D51" s="447">
        <f ca="1">SUMIF(G:G,44,K:K)</f>
        <v>126617.86519421329</v>
      </c>
      <c r="E51" s="447">
        <f t="shared" ca="1" si="1"/>
        <v>2488436.0626930469</v>
      </c>
      <c r="F51" s="431"/>
      <c r="G51" s="459">
        <v>4</v>
      </c>
      <c r="H51" s="459">
        <v>44</v>
      </c>
      <c r="I51" s="444">
        <f t="shared" ca="1" si="5"/>
        <v>4164802.6451435997</v>
      </c>
      <c r="J51" s="444">
        <f t="array" ref="J51">IFERROR(INDEX('Retirement Calculator'!K:K,MATCH('Lorri 401b'!N51,'Retirement Calculator'!A:A,0),0),0)</f>
        <v>0</v>
      </c>
      <c r="K51" s="444">
        <f t="shared" ca="1" si="2"/>
        <v>17353.344354764999</v>
      </c>
      <c r="L51" s="444">
        <f t="shared" ca="1" si="3"/>
        <v>4182155.9894983647</v>
      </c>
      <c r="M51" s="460">
        <f t="shared" si="6"/>
        <v>0.05</v>
      </c>
      <c r="N51" s="464">
        <f t="shared" si="7"/>
        <v>52597</v>
      </c>
    </row>
    <row r="52" spans="1:14" ht="11.25" customHeight="1" x14ac:dyDescent="0.3">
      <c r="A52" s="459">
        <v>45</v>
      </c>
      <c r="B52" s="447">
        <f t="shared" ca="1" si="4"/>
        <v>2488436.0626930469</v>
      </c>
      <c r="C52" s="447">
        <f t="shared" si="0"/>
        <v>244406.34317494548</v>
      </c>
      <c r="D52" s="447">
        <f ca="1">SUMIF(G:G,45,K:K)</f>
        <v>120591.58311211827</v>
      </c>
      <c r="E52" s="447">
        <f t="shared" ca="1" si="1"/>
        <v>2364621.3026302196</v>
      </c>
      <c r="F52" s="431"/>
      <c r="G52" s="459">
        <v>4</v>
      </c>
      <c r="H52" s="459">
        <v>45</v>
      </c>
      <c r="I52" s="444">
        <f t="shared" ca="1" si="5"/>
        <v>4182155.9894983647</v>
      </c>
      <c r="J52" s="444">
        <f t="array" ref="J52">IFERROR(INDEX('Retirement Calculator'!K:K,MATCH('Lorri 401b'!N52,'Retirement Calculator'!A:A,0),0),0)</f>
        <v>0</v>
      </c>
      <c r="K52" s="444">
        <f t="shared" ca="1" si="2"/>
        <v>17425.649956243185</v>
      </c>
      <c r="L52" s="444">
        <f t="shared" ca="1" si="3"/>
        <v>4199581.6394546079</v>
      </c>
      <c r="M52" s="460">
        <f t="shared" si="6"/>
        <v>0.05</v>
      </c>
      <c r="N52" s="464">
        <f t="shared" si="7"/>
        <v>52628</v>
      </c>
    </row>
    <row r="53" spans="1:14" ht="11.25" customHeight="1" x14ac:dyDescent="0.3">
      <c r="A53" s="459">
        <v>46</v>
      </c>
      <c r="B53" s="447">
        <f t="shared" ca="1" si="4"/>
        <v>2364621.3026302196</v>
      </c>
      <c r="C53" s="447">
        <f t="shared" si="0"/>
        <v>244406.34317494548</v>
      </c>
      <c r="D53" s="447">
        <f ca="1">SUMIF(G:G,46,K:K)</f>
        <v>114256.98500153259</v>
      </c>
      <c r="E53" s="447">
        <f t="shared" ca="1" si="1"/>
        <v>2234471.9444568064</v>
      </c>
      <c r="F53" s="431"/>
      <c r="G53" s="459">
        <v>4</v>
      </c>
      <c r="H53" s="459">
        <v>46</v>
      </c>
      <c r="I53" s="444">
        <f t="shared" ca="1" si="5"/>
        <v>4199581.6394546079</v>
      </c>
      <c r="J53" s="444">
        <f t="array" ref="J53">IFERROR(INDEX('Retirement Calculator'!K:K,MATCH('Lorri 401b'!N53,'Retirement Calculator'!A:A,0),0),0)</f>
        <v>0</v>
      </c>
      <c r="K53" s="444">
        <f t="shared" ca="1" si="2"/>
        <v>17498.256831060866</v>
      </c>
      <c r="L53" s="444">
        <f t="shared" ca="1" si="3"/>
        <v>4217079.8962856689</v>
      </c>
      <c r="M53" s="460">
        <f t="shared" si="6"/>
        <v>0.05</v>
      </c>
      <c r="N53" s="464">
        <f t="shared" si="7"/>
        <v>52657</v>
      </c>
    </row>
    <row r="54" spans="1:14" ht="11.25" customHeight="1" x14ac:dyDescent="0.3">
      <c r="A54" s="459">
        <v>47</v>
      </c>
      <c r="B54" s="447">
        <f t="shared" ca="1" si="4"/>
        <v>2234471.9444568064</v>
      </c>
      <c r="C54" s="447">
        <f t="shared" si="0"/>
        <v>244406.34317494548</v>
      </c>
      <c r="D54" s="447">
        <f ca="1">SUMIF(G:G,47,K:K)</f>
        <v>107598.29682929133</v>
      </c>
      <c r="E54" s="447">
        <f t="shared" ca="1" si="1"/>
        <v>2097663.898111152</v>
      </c>
      <c r="F54" s="431"/>
      <c r="G54" s="459">
        <v>4</v>
      </c>
      <c r="H54" s="459">
        <v>47</v>
      </c>
      <c r="I54" s="444">
        <f t="shared" ca="1" si="5"/>
        <v>4217079.8962856689</v>
      </c>
      <c r="J54" s="444">
        <f t="array" ref="J54">IFERROR(INDEX('Retirement Calculator'!K:K,MATCH('Lorri 401b'!N54,'Retirement Calculator'!A:A,0),0),0)</f>
        <v>0</v>
      </c>
      <c r="K54" s="444">
        <f t="shared" ca="1" si="2"/>
        <v>17571.166234523622</v>
      </c>
      <c r="L54" s="444">
        <f t="shared" ca="1" si="3"/>
        <v>4234651.0625201929</v>
      </c>
      <c r="M54" s="460">
        <f t="shared" si="6"/>
        <v>0.05</v>
      </c>
      <c r="N54" s="464">
        <f t="shared" si="7"/>
        <v>52688</v>
      </c>
    </row>
    <row r="55" spans="1:14" ht="11.25" customHeight="1" x14ac:dyDescent="0.3">
      <c r="A55" s="459">
        <v>48</v>
      </c>
      <c r="B55" s="447">
        <f t="shared" ca="1" si="4"/>
        <v>2097663.898111152</v>
      </c>
      <c r="C55" s="447">
        <f t="shared" si="0"/>
        <v>244406.34317494548</v>
      </c>
      <c r="D55" s="447">
        <f ca="1">SUMIF(G:G,48,K:K)</f>
        <v>100598.93753275555</v>
      </c>
      <c r="E55" s="447">
        <f t="shared" ca="1" si="1"/>
        <v>1953856.492468962</v>
      </c>
      <c r="F55" s="431"/>
      <c r="G55" s="459">
        <v>4</v>
      </c>
      <c r="H55" s="459">
        <v>48</v>
      </c>
      <c r="I55" s="444">
        <f t="shared" ca="1" si="5"/>
        <v>4234651.0625201929</v>
      </c>
      <c r="J55" s="444">
        <f t="array" ref="J55">IFERROR(INDEX('Retirement Calculator'!K:K,MATCH('Lorri 401b'!N55,'Retirement Calculator'!A:A,0),0),0)</f>
        <v>0</v>
      </c>
      <c r="K55" s="444">
        <f t="shared" ca="1" si="2"/>
        <v>17644.379427167471</v>
      </c>
      <c r="L55" s="444">
        <f t="shared" ca="1" si="3"/>
        <v>4252295.4419473605</v>
      </c>
      <c r="M55" s="460">
        <f t="shared" si="6"/>
        <v>0.05</v>
      </c>
      <c r="N55" s="464">
        <f t="shared" si="7"/>
        <v>52718</v>
      </c>
    </row>
    <row r="56" spans="1:14" ht="11.25" customHeight="1" x14ac:dyDescent="0.3">
      <c r="A56" s="459">
        <v>49</v>
      </c>
      <c r="B56" s="447">
        <f t="shared" ca="1" si="4"/>
        <v>1953856.492468962</v>
      </c>
      <c r="C56" s="447">
        <f t="shared" si="0"/>
        <v>244406.34317494548</v>
      </c>
      <c r="D56" s="447">
        <f ca="1">SUMIF(G:G,49,K:K)</f>
        <v>93241.477730652812</v>
      </c>
      <c r="E56" s="447">
        <f t="shared" ca="1" si="1"/>
        <v>1802691.6270246692</v>
      </c>
      <c r="F56" s="431"/>
      <c r="G56" s="459">
        <f>G55+1</f>
        <v>5</v>
      </c>
      <c r="H56" s="459">
        <v>49</v>
      </c>
      <c r="I56" s="444">
        <f t="shared" ca="1" si="5"/>
        <v>4252295.4419473605</v>
      </c>
      <c r="J56" s="444">
        <f t="array" ref="J56">IFERROR(INDEX('Retirement Calculator'!K:K,MATCH('Lorri 401b'!N56,'Retirement Calculator'!A:A,0),0),0)</f>
        <v>0</v>
      </c>
      <c r="K56" s="444">
        <f t="shared" ca="1" si="2"/>
        <v>17717.89767478067</v>
      </c>
      <c r="L56" s="444">
        <f t="shared" ca="1" si="3"/>
        <v>4270013.3396221409</v>
      </c>
      <c r="M56" s="460">
        <f t="shared" si="6"/>
        <v>0.05</v>
      </c>
      <c r="N56" s="464">
        <f t="shared" si="7"/>
        <v>52749</v>
      </c>
    </row>
    <row r="57" spans="1:14" ht="11.25" customHeight="1" x14ac:dyDescent="0.3">
      <c r="A57" s="459">
        <v>50</v>
      </c>
      <c r="B57" s="447">
        <f t="shared" ca="1" si="4"/>
        <v>1802691.6270246692</v>
      </c>
      <c r="C57" s="447">
        <f t="shared" si="0"/>
        <v>244406.34317494548</v>
      </c>
      <c r="D57" s="447">
        <f ca="1">SUMIF(G:G,50,K:K)</f>
        <v>85507.596321485966</v>
      </c>
      <c r="E57" s="447">
        <f t="shared" ca="1" si="1"/>
        <v>1643792.8801712096</v>
      </c>
      <c r="F57" s="431"/>
      <c r="G57" s="459">
        <f t="shared" ref="G57:G67" si="8">G56</f>
        <v>5</v>
      </c>
      <c r="H57" s="459">
        <v>50</v>
      </c>
      <c r="I57" s="444">
        <f t="shared" ca="1" si="5"/>
        <v>4270013.3396221409</v>
      </c>
      <c r="J57" s="444">
        <f t="array" ref="J57">IFERROR(INDEX('Retirement Calculator'!K:K,MATCH('Lorri 401b'!N57,'Retirement Calculator'!A:A,0),0),0)</f>
        <v>0</v>
      </c>
      <c r="K57" s="444">
        <f t="shared" ca="1" si="2"/>
        <v>17791.722248425587</v>
      </c>
      <c r="L57" s="444">
        <f t="shared" ca="1" si="3"/>
        <v>4287805.0618705666</v>
      </c>
      <c r="M57" s="460">
        <f t="shared" si="6"/>
        <v>0.05</v>
      </c>
      <c r="N57" s="464">
        <f t="shared" si="7"/>
        <v>52779</v>
      </c>
    </row>
    <row r="58" spans="1:14" ht="11.25" customHeight="1" x14ac:dyDescent="0.3">
      <c r="A58" s="459">
        <v>51</v>
      </c>
      <c r="B58" s="447">
        <f t="shared" ca="1" si="4"/>
        <v>1643792.8801712096</v>
      </c>
      <c r="C58" s="447">
        <f t="shared" si="0"/>
        <v>244406.34317494548</v>
      </c>
      <c r="D58" s="447">
        <f ca="1">SUMIF(G:G,51,K:K)</f>
        <v>77378.034861433873</v>
      </c>
      <c r="E58" s="447">
        <f t="shared" ca="1" si="1"/>
        <v>1476764.5718576978</v>
      </c>
      <c r="F58" s="431"/>
      <c r="G58" s="459">
        <f t="shared" si="8"/>
        <v>5</v>
      </c>
      <c r="H58" s="459">
        <v>51</v>
      </c>
      <c r="I58" s="444">
        <f t="shared" ca="1" si="5"/>
        <v>4287805.0618705666</v>
      </c>
      <c r="J58" s="444">
        <f t="array" ref="J58">IFERROR(INDEX('Retirement Calculator'!K:K,MATCH('Lorri 401b'!N58,'Retirement Calculator'!A:A,0),0),0)</f>
        <v>0</v>
      </c>
      <c r="K58" s="444">
        <f t="shared" ca="1" si="2"/>
        <v>17865.854424460693</v>
      </c>
      <c r="L58" s="444">
        <f t="shared" ca="1" si="3"/>
        <v>4305670.9162950274</v>
      </c>
      <c r="M58" s="460">
        <f t="shared" si="6"/>
        <v>0.05</v>
      </c>
      <c r="N58" s="464">
        <f t="shared" si="7"/>
        <v>52810</v>
      </c>
    </row>
    <row r="59" spans="1:14" ht="11.25" customHeight="1" x14ac:dyDescent="0.3">
      <c r="A59" s="459">
        <v>52</v>
      </c>
      <c r="B59" s="447">
        <f t="shared" ca="1" si="4"/>
        <v>1476764.5718576978</v>
      </c>
      <c r="C59" s="447">
        <f t="shared" si="0"/>
        <v>244406.34317494548</v>
      </c>
      <c r="D59" s="447">
        <f ca="1">SUMIF(G:G,52,K:K)</f>
        <v>68832.54960813935</v>
      </c>
      <c r="E59" s="447">
        <f t="shared" ca="1" si="1"/>
        <v>1301190.7782908916</v>
      </c>
      <c r="F59" s="431"/>
      <c r="G59" s="459">
        <f t="shared" si="8"/>
        <v>5</v>
      </c>
      <c r="H59" s="459">
        <v>52</v>
      </c>
      <c r="I59" s="444">
        <f t="shared" ca="1" si="5"/>
        <v>4305670.9162950274</v>
      </c>
      <c r="J59" s="444">
        <f t="array" ref="J59">IFERROR(INDEX('Retirement Calculator'!K:K,MATCH('Lorri 401b'!N59,'Retirement Calculator'!A:A,0),0),0)</f>
        <v>0</v>
      </c>
      <c r="K59" s="444">
        <f t="shared" ca="1" si="2"/>
        <v>17940.295484562615</v>
      </c>
      <c r="L59" s="444">
        <f t="shared" ca="1" si="3"/>
        <v>4323611.2117795898</v>
      </c>
      <c r="M59" s="460">
        <f t="shared" si="6"/>
        <v>0.05</v>
      </c>
      <c r="N59" s="464">
        <f t="shared" si="7"/>
        <v>52841</v>
      </c>
    </row>
    <row r="60" spans="1:14" ht="11.25" customHeight="1" x14ac:dyDescent="0.3">
      <c r="A60" s="459">
        <v>53</v>
      </c>
      <c r="B60" s="447">
        <f t="shared" ca="1" si="4"/>
        <v>1301190.7782908916</v>
      </c>
      <c r="C60" s="447">
        <f t="shared" si="0"/>
        <v>244406.34317494548</v>
      </c>
      <c r="D60" s="447">
        <f ca="1">SUMIF(G:G,53,K:K)</f>
        <v>59849.86111096591</v>
      </c>
      <c r="E60" s="447">
        <f t="shared" ca="1" si="1"/>
        <v>1116634.2962269119</v>
      </c>
      <c r="F60" s="431"/>
      <c r="G60" s="459">
        <f t="shared" si="8"/>
        <v>5</v>
      </c>
      <c r="H60" s="459">
        <v>53</v>
      </c>
      <c r="I60" s="444">
        <f t="shared" ca="1" si="5"/>
        <v>4323611.2117795898</v>
      </c>
      <c r="J60" s="444">
        <f t="array" ref="J60">IFERROR(INDEX('Retirement Calculator'!K:K,MATCH('Lorri 401b'!N60,'Retirement Calculator'!A:A,0),0),0)</f>
        <v>0</v>
      </c>
      <c r="K60" s="444">
        <f t="shared" ca="1" si="2"/>
        <v>18015.046715748289</v>
      </c>
      <c r="L60" s="444">
        <f t="shared" ca="1" si="3"/>
        <v>4341626.2584953383</v>
      </c>
      <c r="M60" s="460">
        <f t="shared" si="6"/>
        <v>0.05</v>
      </c>
      <c r="N60" s="464">
        <f t="shared" si="7"/>
        <v>52871</v>
      </c>
    </row>
    <row r="61" spans="1:14" ht="11.25" customHeight="1" x14ac:dyDescent="0.3">
      <c r="A61" s="459">
        <v>54</v>
      </c>
      <c r="B61" s="447">
        <f t="shared" ca="1" si="4"/>
        <v>1116634.2962269119</v>
      </c>
      <c r="C61" s="447">
        <f t="shared" si="0"/>
        <v>244406.34317494548</v>
      </c>
      <c r="D61" s="447">
        <f ca="1">SUMIF(G:G,54,K:K)</f>
        <v>50407.601222196659</v>
      </c>
      <c r="E61" s="447">
        <f t="shared" ca="1" si="1"/>
        <v>922635.55427416321</v>
      </c>
      <c r="F61" s="431"/>
      <c r="G61" s="459">
        <f t="shared" si="8"/>
        <v>5</v>
      </c>
      <c r="H61" s="459">
        <v>54</v>
      </c>
      <c r="I61" s="444">
        <f t="shared" ca="1" si="5"/>
        <v>4341626.2584953383</v>
      </c>
      <c r="J61" s="444">
        <f t="array" ref="J61">IFERROR(INDEX('Retirement Calculator'!K:K,MATCH('Lorri 401b'!N61,'Retirement Calculator'!A:A,0),0),0)</f>
        <v>0</v>
      </c>
      <c r="K61" s="444">
        <f t="shared" ca="1" si="2"/>
        <v>18090.109410397243</v>
      </c>
      <c r="L61" s="444">
        <f t="shared" ca="1" si="3"/>
        <v>4359716.367905736</v>
      </c>
      <c r="M61" s="460">
        <f t="shared" si="6"/>
        <v>0.05</v>
      </c>
      <c r="N61" s="464">
        <f t="shared" si="7"/>
        <v>52902</v>
      </c>
    </row>
    <row r="62" spans="1:14" ht="11.25" customHeight="1" x14ac:dyDescent="0.3">
      <c r="A62" s="459">
        <v>55</v>
      </c>
      <c r="B62" s="447">
        <f t="shared" ca="1" si="4"/>
        <v>922635.55427416321</v>
      </c>
      <c r="C62" s="447">
        <f t="shared" si="0"/>
        <v>244406.34317494548</v>
      </c>
      <c r="D62" s="447">
        <f ca="1">SUMIF(G:G,55,K:K)</f>
        <v>40482.25739722541</v>
      </c>
      <c r="E62" s="447">
        <f t="shared" ca="1" si="1"/>
        <v>718711.46849644312</v>
      </c>
      <c r="F62" s="431"/>
      <c r="G62" s="459">
        <f t="shared" si="8"/>
        <v>5</v>
      </c>
      <c r="H62" s="459">
        <v>55</v>
      </c>
      <c r="I62" s="444">
        <f t="shared" ca="1" si="5"/>
        <v>4359716.367905736</v>
      </c>
      <c r="J62" s="444">
        <f t="array" ref="J62">IFERROR(INDEX('Retirement Calculator'!K:K,MATCH('Lorri 401b'!N62,'Retirement Calculator'!A:A,0),0),0)</f>
        <v>0</v>
      </c>
      <c r="K62" s="444">
        <f t="shared" ca="1" si="2"/>
        <v>18165.484866273899</v>
      </c>
      <c r="L62" s="444">
        <f t="shared" ca="1" si="3"/>
        <v>4377881.8527720096</v>
      </c>
      <c r="M62" s="460">
        <f t="shared" si="6"/>
        <v>0.05</v>
      </c>
      <c r="N62" s="464">
        <f t="shared" si="7"/>
        <v>52932</v>
      </c>
    </row>
    <row r="63" spans="1:14" ht="11.25" customHeight="1" x14ac:dyDescent="0.3">
      <c r="A63" s="459">
        <v>56</v>
      </c>
      <c r="B63" s="447">
        <f t="shared" ca="1" si="4"/>
        <v>718711.46849644312</v>
      </c>
      <c r="C63" s="447">
        <f t="shared" si="0"/>
        <v>244406.34317494548</v>
      </c>
      <c r="D63" s="447">
        <f ca="1">SUMIF(G:G,56,K:K)</f>
        <v>30049.114145039901</v>
      </c>
      <c r="E63" s="447">
        <f t="shared" ca="1" si="1"/>
        <v>504354.23946653761</v>
      </c>
      <c r="F63" s="431"/>
      <c r="G63" s="459">
        <f t="shared" si="8"/>
        <v>5</v>
      </c>
      <c r="H63" s="459">
        <v>56</v>
      </c>
      <c r="I63" s="444">
        <f t="shared" ca="1" si="5"/>
        <v>4377881.8527720096</v>
      </c>
      <c r="J63" s="444">
        <f t="array" ref="J63">IFERROR(INDEX('Retirement Calculator'!K:K,MATCH('Lorri 401b'!N63,'Retirement Calculator'!A:A,0),0),0)</f>
        <v>0</v>
      </c>
      <c r="K63" s="444">
        <f t="shared" ca="1" si="2"/>
        <v>18241.174386550039</v>
      </c>
      <c r="L63" s="444">
        <f t="shared" ca="1" si="3"/>
        <v>4396123.0271585593</v>
      </c>
      <c r="M63" s="460">
        <f t="shared" si="6"/>
        <v>0.05</v>
      </c>
      <c r="N63" s="464">
        <f t="shared" si="7"/>
        <v>52963</v>
      </c>
    </row>
    <row r="64" spans="1:14" ht="11.25" customHeight="1" x14ac:dyDescent="0.3">
      <c r="A64" s="459">
        <v>57</v>
      </c>
      <c r="B64" s="447">
        <f t="shared" ca="1" si="4"/>
        <v>504354.23946653761</v>
      </c>
      <c r="C64" s="447">
        <f t="shared" si="0"/>
        <v>244406.34317494548</v>
      </c>
      <c r="D64" s="447">
        <f ca="1">SUMIF(G:G,57,K:K)</f>
        <v>19082.191483200575</v>
      </c>
      <c r="E64" s="447">
        <f t="shared" ca="1" si="1"/>
        <v>279030.08777479269</v>
      </c>
      <c r="F64" s="431"/>
      <c r="G64" s="459">
        <f t="shared" si="8"/>
        <v>5</v>
      </c>
      <c r="H64" s="459">
        <v>57</v>
      </c>
      <c r="I64" s="444">
        <f t="shared" ca="1" si="5"/>
        <v>4396123.0271585593</v>
      </c>
      <c r="J64" s="444">
        <f t="array" ref="J64">IFERROR(INDEX('Retirement Calculator'!K:K,MATCH('Lorri 401b'!N64,'Retirement Calculator'!A:A,0),0),0)</f>
        <v>0</v>
      </c>
      <c r="K64" s="444">
        <f t="shared" ca="1" si="2"/>
        <v>18317.179279827331</v>
      </c>
      <c r="L64" s="444">
        <f t="shared" ca="1" si="3"/>
        <v>4414440.2064383868</v>
      </c>
      <c r="M64" s="460">
        <f t="shared" si="6"/>
        <v>0.05</v>
      </c>
      <c r="N64" s="464">
        <f t="shared" si="7"/>
        <v>52994</v>
      </c>
    </row>
    <row r="65" spans="1:14" ht="11.25" customHeight="1" x14ac:dyDescent="0.3">
      <c r="A65" s="459">
        <v>58</v>
      </c>
      <c r="B65" s="447">
        <f t="shared" ca="1" si="4"/>
        <v>279030.08777479269</v>
      </c>
      <c r="C65" s="447">
        <f t="shared" si="0"/>
        <v>244406.34317494548</v>
      </c>
      <c r="D65" s="447">
        <f ca="1">SUMIF(G:G,58,K:K)</f>
        <v>7554.180244059361</v>
      </c>
      <c r="E65" s="447">
        <f t="shared" ca="1" si="1"/>
        <v>42177.92484390657</v>
      </c>
      <c r="F65" s="431"/>
      <c r="G65" s="459">
        <f t="shared" si="8"/>
        <v>5</v>
      </c>
      <c r="H65" s="459">
        <v>58</v>
      </c>
      <c r="I65" s="444">
        <f t="shared" ca="1" si="5"/>
        <v>4414440.2064383868</v>
      </c>
      <c r="J65" s="444">
        <f t="array" ref="J65">IFERROR(INDEX('Retirement Calculator'!K:K,MATCH('Lorri 401b'!N65,'Retirement Calculator'!A:A,0),0),0)</f>
        <v>0</v>
      </c>
      <c r="K65" s="444">
        <f t="shared" ca="1" si="2"/>
        <v>18393.500860159944</v>
      </c>
      <c r="L65" s="444">
        <f t="shared" ca="1" si="3"/>
        <v>4432833.707298547</v>
      </c>
      <c r="M65" s="460">
        <f t="shared" si="6"/>
        <v>0.05</v>
      </c>
      <c r="N65" s="464">
        <f t="shared" si="7"/>
        <v>53022</v>
      </c>
    </row>
    <row r="66" spans="1:14" ht="11.25" customHeight="1" x14ac:dyDescent="0.3">
      <c r="A66" s="459">
        <v>59</v>
      </c>
      <c r="B66" s="447">
        <f t="shared" ca="1" si="4"/>
        <v>42177.92484390657</v>
      </c>
      <c r="C66" s="447">
        <f t="shared" si="0"/>
        <v>244406.34317494548</v>
      </c>
      <c r="D66" s="447">
        <f ca="1">SUMIF(G:G,59,K:K)</f>
        <v>-4563.625928878263</v>
      </c>
      <c r="E66" s="447">
        <f t="shared" ca="1" si="1"/>
        <v>-206792.04425991717</v>
      </c>
      <c r="F66" s="431"/>
      <c r="G66" s="459">
        <f t="shared" si="8"/>
        <v>5</v>
      </c>
      <c r="H66" s="459">
        <v>59</v>
      </c>
      <c r="I66" s="444">
        <f t="shared" ca="1" si="5"/>
        <v>4432833.707298547</v>
      </c>
      <c r="J66" s="444">
        <f t="array" ref="J66">IFERROR(INDEX('Retirement Calculator'!K:K,MATCH('Lorri 401b'!N66,'Retirement Calculator'!A:A,0),0),0)</f>
        <v>0</v>
      </c>
      <c r="K66" s="444">
        <f t="shared" ca="1" si="2"/>
        <v>18470.14044707728</v>
      </c>
      <c r="L66" s="444">
        <f t="shared" ca="1" si="3"/>
        <v>4451303.8477456244</v>
      </c>
      <c r="M66" s="460">
        <f t="shared" si="6"/>
        <v>0.05</v>
      </c>
      <c r="N66" s="464">
        <f t="shared" si="7"/>
        <v>53053</v>
      </c>
    </row>
    <row r="67" spans="1:14" ht="11.25" customHeight="1" x14ac:dyDescent="0.3">
      <c r="A67" s="459">
        <v>60</v>
      </c>
      <c r="B67" s="447">
        <f t="shared" ca="1" si="4"/>
        <v>-206792.04425991717</v>
      </c>
      <c r="C67" s="447">
        <f t="shared" si="0"/>
        <v>244406.34317494548</v>
      </c>
      <c r="D67" s="447">
        <f t="shared" ref="D67:D71" ca="1" si="9">SUMIF(G:G,60,K:K)</f>
        <v>-17301.402063786358</v>
      </c>
      <c r="E67" s="447">
        <f t="shared" ca="1" si="1"/>
        <v>-468499.78949864901</v>
      </c>
      <c r="F67" s="431"/>
      <c r="G67" s="459">
        <f t="shared" si="8"/>
        <v>5</v>
      </c>
      <c r="H67" s="459">
        <v>60</v>
      </c>
      <c r="I67" s="444">
        <f t="shared" ca="1" si="5"/>
        <v>4451303.8477456244</v>
      </c>
      <c r="J67" s="444">
        <f t="array" ref="J67">IFERROR(INDEX('Retirement Calculator'!K:K,MATCH('Lorri 401b'!N67,'Retirement Calculator'!A:A,0),0),0)</f>
        <v>0</v>
      </c>
      <c r="K67" s="444">
        <f t="shared" ca="1" si="2"/>
        <v>18547.099365606769</v>
      </c>
      <c r="L67" s="444">
        <f t="shared" ca="1" si="3"/>
        <v>4469850.9471112313</v>
      </c>
      <c r="M67" s="460">
        <f t="shared" si="6"/>
        <v>0.05</v>
      </c>
      <c r="N67" s="464">
        <f t="shared" si="7"/>
        <v>53083</v>
      </c>
    </row>
    <row r="68" spans="1:14" ht="11.25" customHeight="1" x14ac:dyDescent="0.3">
      <c r="A68" s="459">
        <v>61</v>
      </c>
      <c r="B68" s="447">
        <f t="shared" ca="1" si="4"/>
        <v>-468499.78949864901</v>
      </c>
      <c r="C68" s="447">
        <f t="shared" si="0"/>
        <v>244406.34317494548</v>
      </c>
      <c r="D68" s="447">
        <f t="shared" ca="1" si="9"/>
        <v>-17301.402063786358</v>
      </c>
      <c r="E68" s="447">
        <f t="shared" ca="1" si="1"/>
        <v>-730207.53473738092</v>
      </c>
      <c r="F68" s="431"/>
      <c r="G68" s="459">
        <f>G67+1</f>
        <v>6</v>
      </c>
      <c r="H68" s="459">
        <v>61</v>
      </c>
      <c r="I68" s="444">
        <f t="shared" ca="1" si="5"/>
        <v>4469850.9471112313</v>
      </c>
      <c r="J68" s="444">
        <f t="array" ref="J68">IFERROR(INDEX('Retirement Calculator'!K:K,MATCH('Lorri 401b'!N68,'Retirement Calculator'!A:A,0),0),0)</f>
        <v>0</v>
      </c>
      <c r="K68" s="444">
        <f t="shared" ca="1" si="2"/>
        <v>18624.378946296798</v>
      </c>
      <c r="L68" s="444">
        <f t="shared" ca="1" si="3"/>
        <v>4488475.3260575281</v>
      </c>
      <c r="M68" s="460">
        <f t="shared" si="6"/>
        <v>0.05</v>
      </c>
      <c r="N68" s="464">
        <f t="shared" si="7"/>
        <v>53114</v>
      </c>
    </row>
    <row r="69" spans="1:14" ht="11.25" customHeight="1" x14ac:dyDescent="0.3">
      <c r="A69" s="459">
        <v>62</v>
      </c>
      <c r="B69" s="447">
        <f t="shared" ca="1" si="4"/>
        <v>-730207.53473738092</v>
      </c>
      <c r="C69" s="447">
        <f t="shared" si="0"/>
        <v>244406.34317494548</v>
      </c>
      <c r="D69" s="447">
        <f t="shared" ca="1" si="9"/>
        <v>-17301.402063786358</v>
      </c>
      <c r="E69" s="447">
        <f t="shared" ca="1" si="1"/>
        <v>-991915.27997611277</v>
      </c>
      <c r="F69" s="431"/>
      <c r="G69" s="459">
        <f t="shared" ref="G69:G79" si="10">G68</f>
        <v>6</v>
      </c>
      <c r="H69" s="459">
        <v>62</v>
      </c>
      <c r="I69" s="444">
        <f t="shared" ca="1" si="5"/>
        <v>4488475.3260575281</v>
      </c>
      <c r="J69" s="444">
        <f t="array" ref="J69">IFERROR(INDEX('Retirement Calculator'!K:K,MATCH('Lorri 401b'!N69,'Retirement Calculator'!A:A,0),0),0)</f>
        <v>0</v>
      </c>
      <c r="K69" s="444">
        <f t="shared" ca="1" si="2"/>
        <v>18701.980525239702</v>
      </c>
      <c r="L69" s="444">
        <f t="shared" ca="1" si="3"/>
        <v>4507177.3065827675</v>
      </c>
      <c r="M69" s="460">
        <f t="shared" si="6"/>
        <v>0.05</v>
      </c>
      <c r="N69" s="464">
        <f t="shared" si="7"/>
        <v>53144</v>
      </c>
    </row>
    <row r="70" spans="1:14" ht="11.25" customHeight="1" x14ac:dyDescent="0.3">
      <c r="A70" s="459">
        <v>63</v>
      </c>
      <c r="B70" s="447">
        <f t="shared" ca="1" si="4"/>
        <v>-991915.27997611277</v>
      </c>
      <c r="C70" s="447">
        <f t="shared" si="0"/>
        <v>244406.34317494548</v>
      </c>
      <c r="D70" s="447">
        <f t="shared" ca="1" si="9"/>
        <v>-17301.402063786358</v>
      </c>
      <c r="E70" s="447">
        <f t="shared" ca="1" si="1"/>
        <v>-1253623.0252148446</v>
      </c>
      <c r="F70" s="431"/>
      <c r="G70" s="459">
        <f t="shared" si="10"/>
        <v>6</v>
      </c>
      <c r="H70" s="459">
        <v>63</v>
      </c>
      <c r="I70" s="444">
        <f t="shared" ca="1" si="5"/>
        <v>4507177.3065827675</v>
      </c>
      <c r="J70" s="444">
        <f t="array" ref="J70">IFERROR(INDEX('Retirement Calculator'!K:K,MATCH('Lorri 401b'!N70,'Retirement Calculator'!A:A,0),0),0)</f>
        <v>0</v>
      </c>
      <c r="K70" s="444">
        <f t="shared" ca="1" si="2"/>
        <v>18779.905444094864</v>
      </c>
      <c r="L70" s="444">
        <f t="shared" ca="1" si="3"/>
        <v>4525957.2120268624</v>
      </c>
      <c r="M70" s="460">
        <f t="shared" si="6"/>
        <v>0.05</v>
      </c>
      <c r="N70" s="464">
        <f t="shared" si="7"/>
        <v>53175</v>
      </c>
    </row>
    <row r="71" spans="1:14" ht="11.25" customHeight="1" x14ac:dyDescent="0.3">
      <c r="A71" s="459">
        <v>64</v>
      </c>
      <c r="B71" s="447">
        <f t="shared" ca="1" si="4"/>
        <v>-1253623.0252148446</v>
      </c>
      <c r="C71" s="447">
        <f t="shared" si="0"/>
        <v>244406.34317494548</v>
      </c>
      <c r="D71" s="447">
        <f t="shared" ca="1" si="9"/>
        <v>-17301.402063786358</v>
      </c>
      <c r="E71" s="447">
        <f t="shared" ca="1" si="1"/>
        <v>-1515330.7704535765</v>
      </c>
      <c r="F71" s="431"/>
      <c r="G71" s="459">
        <f t="shared" si="10"/>
        <v>6</v>
      </c>
      <c r="H71" s="459">
        <v>64</v>
      </c>
      <c r="I71" s="444">
        <f t="shared" ca="1" si="5"/>
        <v>4525957.2120268624</v>
      </c>
      <c r="J71" s="444">
        <f t="array" ref="J71">IFERROR(INDEX('Retirement Calculator'!K:K,MATCH('Lorri 401b'!N71,'Retirement Calculator'!A:A,0),0),0)</f>
        <v>0</v>
      </c>
      <c r="K71" s="444">
        <f t="shared" ca="1" si="2"/>
        <v>18858.155050111927</v>
      </c>
      <c r="L71" s="444">
        <f t="shared" ca="1" si="3"/>
        <v>4544815.3670769744</v>
      </c>
      <c r="M71" s="460">
        <f t="shared" si="6"/>
        <v>0.05</v>
      </c>
      <c r="N71" s="464">
        <f t="shared" si="7"/>
        <v>53206</v>
      </c>
    </row>
    <row r="72" spans="1:14" ht="11.25" customHeight="1" x14ac:dyDescent="0.3">
      <c r="A72" s="459">
        <v>65</v>
      </c>
      <c r="B72" s="431"/>
      <c r="C72" s="431"/>
      <c r="D72" s="431"/>
      <c r="E72" s="431"/>
      <c r="F72" s="431"/>
      <c r="G72" s="459">
        <f t="shared" si="10"/>
        <v>6</v>
      </c>
      <c r="H72" s="459">
        <v>65</v>
      </c>
      <c r="I72" s="444">
        <f t="shared" ca="1" si="5"/>
        <v>4544815.3670769744</v>
      </c>
      <c r="J72" s="444">
        <f t="array" ref="J72">IFERROR(INDEX('Retirement Calculator'!K:K,MATCH('Lorri 401b'!N72,'Retirement Calculator'!A:A,0),0),0)</f>
        <v>0</v>
      </c>
      <c r="K72" s="444">
        <f t="shared" ca="1" si="2"/>
        <v>18936.73069615406</v>
      </c>
      <c r="L72" s="444">
        <f t="shared" ca="1" si="3"/>
        <v>4563752.0977731282</v>
      </c>
      <c r="M72" s="460">
        <f t="shared" si="6"/>
        <v>0.05</v>
      </c>
      <c r="N72" s="464">
        <f t="shared" si="7"/>
        <v>53236</v>
      </c>
    </row>
    <row r="73" spans="1:14" ht="11.25" customHeight="1" x14ac:dyDescent="0.3">
      <c r="A73" s="459">
        <v>66</v>
      </c>
      <c r="B73" s="431"/>
      <c r="C73" s="431"/>
      <c r="D73" s="431"/>
      <c r="E73" s="431"/>
      <c r="F73" s="431"/>
      <c r="G73" s="459">
        <f t="shared" si="10"/>
        <v>6</v>
      </c>
      <c r="H73" s="459">
        <v>66</v>
      </c>
      <c r="I73" s="444">
        <f t="shared" ca="1" si="5"/>
        <v>4563752.0977731282</v>
      </c>
      <c r="J73" s="444">
        <f t="array" ref="J73">IFERROR(INDEX('Retirement Calculator'!K:K,MATCH('Lorri 401b'!N73,'Retirement Calculator'!A:A,0),0),0)</f>
        <v>0</v>
      </c>
      <c r="K73" s="444">
        <f t="shared" ca="1" si="2"/>
        <v>19015.633740721369</v>
      </c>
      <c r="L73" s="444">
        <f t="shared" ca="1" si="3"/>
        <v>4582767.7315138495</v>
      </c>
      <c r="M73" s="460">
        <f t="shared" si="6"/>
        <v>0.05</v>
      </c>
      <c r="N73" s="464">
        <f t="shared" si="7"/>
        <v>53267</v>
      </c>
    </row>
    <row r="74" spans="1:14" ht="11.25" customHeight="1" x14ac:dyDescent="0.3">
      <c r="A74" s="459">
        <v>67</v>
      </c>
      <c r="B74" s="431"/>
      <c r="C74" s="431"/>
      <c r="D74" s="431"/>
      <c r="E74" s="431"/>
      <c r="F74" s="431"/>
      <c r="G74" s="459">
        <f t="shared" si="10"/>
        <v>6</v>
      </c>
      <c r="H74" s="459">
        <v>67</v>
      </c>
      <c r="I74" s="444">
        <f t="shared" ca="1" si="5"/>
        <v>4582767.7315138495</v>
      </c>
      <c r="J74" s="444">
        <f t="array" ref="J74">IFERROR(INDEX('Retirement Calculator'!K:K,MATCH('Lorri 401b'!N74,'Retirement Calculator'!A:A,0),0),0)</f>
        <v>0</v>
      </c>
      <c r="K74" s="444">
        <f t="shared" ca="1" si="2"/>
        <v>19094.865547974372</v>
      </c>
      <c r="L74" s="444">
        <f t="shared" ca="1" si="3"/>
        <v>4601862.5970618241</v>
      </c>
      <c r="M74" s="460">
        <f t="shared" si="6"/>
        <v>0.05</v>
      </c>
      <c r="N74" s="464">
        <f t="shared" si="7"/>
        <v>53297</v>
      </c>
    </row>
    <row r="75" spans="1:14" ht="11.25" customHeight="1" x14ac:dyDescent="0.3">
      <c r="A75" s="459">
        <v>68</v>
      </c>
      <c r="B75" s="431"/>
      <c r="C75" s="431"/>
      <c r="D75" s="431"/>
      <c r="E75" s="431"/>
      <c r="F75" s="431"/>
      <c r="G75" s="459">
        <f t="shared" si="10"/>
        <v>6</v>
      </c>
      <c r="H75" s="459">
        <v>68</v>
      </c>
      <c r="I75" s="444">
        <f t="shared" ca="1" si="5"/>
        <v>4601862.5970618241</v>
      </c>
      <c r="J75" s="444">
        <f t="array" ref="J75">IFERROR(INDEX('Retirement Calculator'!K:K,MATCH('Lorri 401b'!N75,'Retirement Calculator'!A:A,0),0),0)</f>
        <v>22111.095664578788</v>
      </c>
      <c r="K75" s="444">
        <f t="shared" ca="1" si="2"/>
        <v>19082.297922488524</v>
      </c>
      <c r="L75" s="444">
        <f t="shared" ca="1" si="3"/>
        <v>4598833.7993197339</v>
      </c>
      <c r="M75" s="460">
        <f t="shared" si="6"/>
        <v>0.05</v>
      </c>
      <c r="N75" s="464">
        <f t="shared" si="7"/>
        <v>53328</v>
      </c>
    </row>
    <row r="76" spans="1:14" ht="11.25" customHeight="1" x14ac:dyDescent="0.3">
      <c r="A76" s="459">
        <v>69</v>
      </c>
      <c r="B76" s="431"/>
      <c r="C76" s="431"/>
      <c r="D76" s="431"/>
      <c r="E76" s="431"/>
      <c r="F76" s="431"/>
      <c r="G76" s="459">
        <f t="shared" si="10"/>
        <v>6</v>
      </c>
      <c r="H76" s="459">
        <v>69</v>
      </c>
      <c r="I76" s="444">
        <f t="shared" ca="1" si="5"/>
        <v>4598833.7993197339</v>
      </c>
      <c r="J76" s="444">
        <f t="array" ref="J76">IFERROR(INDEX('Retirement Calculator'!K:K,MATCH('Lorri 401b'!N76,'Retirement Calculator'!A:A,0),0),0)</f>
        <v>22111.095664578788</v>
      </c>
      <c r="K76" s="444">
        <f t="shared" ca="1" si="2"/>
        <v>19069.67793189648</v>
      </c>
      <c r="L76" s="444">
        <f t="shared" ca="1" si="3"/>
        <v>4595792.3815870518</v>
      </c>
      <c r="M76" s="460">
        <f t="shared" si="6"/>
        <v>0.05</v>
      </c>
      <c r="N76" s="464">
        <f t="shared" si="7"/>
        <v>53359</v>
      </c>
    </row>
    <row r="77" spans="1:14" ht="11.25" customHeight="1" x14ac:dyDescent="0.3">
      <c r="A77" s="459">
        <v>70</v>
      </c>
      <c r="B77" s="431"/>
      <c r="C77" s="431"/>
      <c r="D77" s="431"/>
      <c r="E77" s="431"/>
      <c r="F77" s="431"/>
      <c r="G77" s="459">
        <f t="shared" si="10"/>
        <v>6</v>
      </c>
      <c r="H77" s="459">
        <v>70</v>
      </c>
      <c r="I77" s="444">
        <f t="shared" ca="1" si="5"/>
        <v>4595792.3815870518</v>
      </c>
      <c r="J77" s="444">
        <f t="array" ref="J77">IFERROR(INDEX('Retirement Calculator'!K:K,MATCH('Lorri 401b'!N77,'Retirement Calculator'!A:A,0),0),0)</f>
        <v>22111.095664578788</v>
      </c>
      <c r="K77" s="444">
        <f t="shared" ca="1" si="2"/>
        <v>19057.005358010305</v>
      </c>
      <c r="L77" s="444">
        <f t="shared" ca="1" si="3"/>
        <v>4592738.2912804838</v>
      </c>
      <c r="M77" s="460">
        <f t="shared" si="6"/>
        <v>0.05</v>
      </c>
      <c r="N77" s="464">
        <f t="shared" si="7"/>
        <v>53387</v>
      </c>
    </row>
    <row r="78" spans="1:14" ht="11.25" customHeight="1" x14ac:dyDescent="0.3">
      <c r="A78" s="459">
        <v>71</v>
      </c>
      <c r="B78" s="431"/>
      <c r="C78" s="431"/>
      <c r="D78" s="431"/>
      <c r="E78" s="431"/>
      <c r="F78" s="431"/>
      <c r="G78" s="459">
        <f t="shared" si="10"/>
        <v>6</v>
      </c>
      <c r="H78" s="459">
        <v>71</v>
      </c>
      <c r="I78" s="444">
        <f t="shared" ca="1" si="5"/>
        <v>4592738.2912804838</v>
      </c>
      <c r="J78" s="444">
        <f t="array" ref="J78">IFERROR(INDEX('Retirement Calculator'!K:K,MATCH('Lorri 401b'!N78,'Retirement Calculator'!A:A,0),0),0)</f>
        <v>22111.095664578788</v>
      </c>
      <c r="K78" s="444">
        <f t="shared" ca="1" si="2"/>
        <v>19044.27998173294</v>
      </c>
      <c r="L78" s="444">
        <f t="shared" ca="1" si="3"/>
        <v>4589671.4755976386</v>
      </c>
      <c r="M78" s="460">
        <f t="shared" si="6"/>
        <v>0.05</v>
      </c>
      <c r="N78" s="464">
        <f t="shared" si="7"/>
        <v>53418</v>
      </c>
    </row>
    <row r="79" spans="1:14" ht="11.25" customHeight="1" x14ac:dyDescent="0.3">
      <c r="A79" s="459">
        <v>72</v>
      </c>
      <c r="B79" s="431"/>
      <c r="C79" s="431"/>
      <c r="D79" s="431"/>
      <c r="E79" s="431"/>
      <c r="F79" s="431"/>
      <c r="G79" s="459">
        <f t="shared" si="10"/>
        <v>6</v>
      </c>
      <c r="H79" s="459">
        <v>72</v>
      </c>
      <c r="I79" s="444">
        <f t="shared" ca="1" si="5"/>
        <v>4589671.4755976386</v>
      </c>
      <c r="J79" s="444">
        <f t="array" ref="J79">IFERROR(INDEX('Retirement Calculator'!K:K,MATCH('Lorri 401b'!N79,'Retirement Calculator'!A:A,0),0),0)</f>
        <v>22111.095664578788</v>
      </c>
      <c r="K79" s="444">
        <f t="shared" ca="1" si="2"/>
        <v>19031.501583054418</v>
      </c>
      <c r="L79" s="444">
        <f t="shared" ca="1" si="3"/>
        <v>4586591.8815161148</v>
      </c>
      <c r="M79" s="460">
        <f t="shared" si="6"/>
        <v>0.05</v>
      </c>
      <c r="N79" s="464">
        <f t="shared" si="7"/>
        <v>53448</v>
      </c>
    </row>
    <row r="80" spans="1:14" ht="11.25" customHeight="1" x14ac:dyDescent="0.3">
      <c r="A80" s="459">
        <v>73</v>
      </c>
      <c r="B80" s="431"/>
      <c r="C80" s="431"/>
      <c r="D80" s="431"/>
      <c r="E80" s="431"/>
      <c r="F80" s="431"/>
      <c r="G80" s="459">
        <f>G79+1</f>
        <v>7</v>
      </c>
      <c r="H80" s="459">
        <v>73</v>
      </c>
      <c r="I80" s="444">
        <f t="shared" ca="1" si="5"/>
        <v>4586591.8815161148</v>
      </c>
      <c r="J80" s="444">
        <f t="array" ref="J80">IFERROR(INDEX('Retirement Calculator'!K:K,MATCH('Lorri 401b'!N80,'Retirement Calculator'!A:A,0),0),0)</f>
        <v>22111.095664578788</v>
      </c>
      <c r="K80" s="444">
        <f t="shared" ca="1" si="2"/>
        <v>19018.669941048069</v>
      </c>
      <c r="L80" s="444">
        <f t="shared" ca="1" si="3"/>
        <v>4583499.4557925845</v>
      </c>
      <c r="M80" s="460">
        <f t="shared" si="6"/>
        <v>0.05</v>
      </c>
      <c r="N80" s="464">
        <f t="shared" si="7"/>
        <v>53479</v>
      </c>
    </row>
    <row r="81" spans="1:14" ht="11.25" customHeight="1" x14ac:dyDescent="0.3">
      <c r="A81" s="459">
        <v>74</v>
      </c>
      <c r="B81" s="431"/>
      <c r="C81" s="431"/>
      <c r="D81" s="431"/>
      <c r="E81" s="431"/>
      <c r="F81" s="431"/>
      <c r="G81" s="459">
        <f t="shared" ref="G81:G91" si="11">G80</f>
        <v>7</v>
      </c>
      <c r="H81" s="459">
        <v>74</v>
      </c>
      <c r="I81" s="444">
        <f t="shared" ca="1" si="5"/>
        <v>4583499.4557925845</v>
      </c>
      <c r="J81" s="444">
        <f t="array" ref="J81">IFERROR(INDEX('Retirement Calculator'!K:K,MATCH('Lorri 401b'!N81,'Retirement Calculator'!A:A,0),0),0)</f>
        <v>22111.095664578788</v>
      </c>
      <c r="K81" s="444">
        <f t="shared" ca="1" si="2"/>
        <v>19005.784833866692</v>
      </c>
      <c r="L81" s="444">
        <f t="shared" ca="1" si="3"/>
        <v>4580394.1449618731</v>
      </c>
      <c r="M81" s="460">
        <f t="shared" si="6"/>
        <v>0.05</v>
      </c>
      <c r="N81" s="464">
        <f t="shared" si="7"/>
        <v>53509</v>
      </c>
    </row>
    <row r="82" spans="1:14" ht="11.25" customHeight="1" x14ac:dyDescent="0.3">
      <c r="A82" s="459">
        <v>75</v>
      </c>
      <c r="B82" s="431"/>
      <c r="C82" s="431"/>
      <c r="D82" s="431"/>
      <c r="E82" s="431"/>
      <c r="F82" s="431"/>
      <c r="G82" s="459">
        <f t="shared" si="11"/>
        <v>7</v>
      </c>
      <c r="H82" s="459">
        <v>75</v>
      </c>
      <c r="I82" s="444">
        <f t="shared" ca="1" si="5"/>
        <v>4580394.1449618731</v>
      </c>
      <c r="J82" s="444">
        <f t="array" ref="J82">IFERROR(INDEX('Retirement Calculator'!K:K,MATCH('Lorri 401b'!N82,'Retirement Calculator'!A:A,0),0),0)</f>
        <v>22111.095664578788</v>
      </c>
      <c r="K82" s="444">
        <f t="shared" ca="1" si="2"/>
        <v>18992.846038738728</v>
      </c>
      <c r="L82" s="444">
        <f t="shared" ca="1" si="3"/>
        <v>4577275.8953360328</v>
      </c>
      <c r="M82" s="460">
        <f t="shared" si="6"/>
        <v>0.05</v>
      </c>
      <c r="N82" s="464">
        <f t="shared" si="7"/>
        <v>53540</v>
      </c>
    </row>
    <row r="83" spans="1:14" ht="11.25" customHeight="1" x14ac:dyDescent="0.3">
      <c r="A83" s="459">
        <v>76</v>
      </c>
      <c r="B83" s="431"/>
      <c r="C83" s="431"/>
      <c r="D83" s="431"/>
      <c r="E83" s="431"/>
      <c r="F83" s="431"/>
      <c r="G83" s="459">
        <f t="shared" si="11"/>
        <v>7</v>
      </c>
      <c r="H83" s="459">
        <v>76</v>
      </c>
      <c r="I83" s="444">
        <f t="shared" ca="1" si="5"/>
        <v>4577275.8953360328</v>
      </c>
      <c r="J83" s="444">
        <f t="array" ref="J83">IFERROR(INDEX('Retirement Calculator'!K:K,MATCH('Lorri 401b'!N83,'Retirement Calculator'!A:A,0),0),0)</f>
        <v>22111.095664578788</v>
      </c>
      <c r="K83" s="444">
        <f t="shared" ca="1" si="2"/>
        <v>18979.853331964394</v>
      </c>
      <c r="L83" s="444">
        <f t="shared" ca="1" si="3"/>
        <v>4574144.6530034188</v>
      </c>
      <c r="M83" s="460">
        <f t="shared" si="6"/>
        <v>0.05</v>
      </c>
      <c r="N83" s="464">
        <f t="shared" si="7"/>
        <v>53571</v>
      </c>
    </row>
    <row r="84" spans="1:14" ht="11.25" customHeight="1" x14ac:dyDescent="0.3">
      <c r="A84" s="459">
        <v>77</v>
      </c>
      <c r="B84" s="431"/>
      <c r="C84" s="431"/>
      <c r="D84" s="431"/>
      <c r="E84" s="431"/>
      <c r="F84" s="431"/>
      <c r="G84" s="459">
        <f t="shared" si="11"/>
        <v>7</v>
      </c>
      <c r="H84" s="459">
        <v>77</v>
      </c>
      <c r="I84" s="444">
        <f t="shared" ca="1" si="5"/>
        <v>4574144.6530034188</v>
      </c>
      <c r="J84" s="444">
        <f t="array" ref="J84">IFERROR(INDEX('Retirement Calculator'!K:K,MATCH('Lorri 401b'!N84,'Retirement Calculator'!A:A,0),0),0)</f>
        <v>22111.095664578788</v>
      </c>
      <c r="K84" s="444">
        <f t="shared" ca="1" si="2"/>
        <v>18966.806488911836</v>
      </c>
      <c r="L84" s="444">
        <f t="shared" ca="1" si="3"/>
        <v>4571000.3638277519</v>
      </c>
      <c r="M84" s="460">
        <f t="shared" si="6"/>
        <v>0.05</v>
      </c>
      <c r="N84" s="464">
        <f t="shared" si="7"/>
        <v>53601</v>
      </c>
    </row>
    <row r="85" spans="1:14" ht="11.25" customHeight="1" x14ac:dyDescent="0.3">
      <c r="A85" s="459">
        <v>78</v>
      </c>
      <c r="B85" s="431"/>
      <c r="C85" s="431"/>
      <c r="D85" s="431"/>
      <c r="E85" s="431"/>
      <c r="F85" s="431"/>
      <c r="G85" s="459">
        <f t="shared" si="11"/>
        <v>7</v>
      </c>
      <c r="H85" s="459">
        <v>78</v>
      </c>
      <c r="I85" s="444">
        <f t="shared" ca="1" si="5"/>
        <v>4571000.3638277519</v>
      </c>
      <c r="J85" s="444">
        <f t="array" ref="J85">IFERROR(INDEX('Retirement Calculator'!K:K,MATCH('Lorri 401b'!N85,'Retirement Calculator'!A:A,0),0),0)</f>
        <v>22111.095664578788</v>
      </c>
      <c r="K85" s="444">
        <f t="shared" ca="1" si="2"/>
        <v>18953.705284013224</v>
      </c>
      <c r="L85" s="444">
        <f t="shared" ca="1" si="3"/>
        <v>4567842.9734471869</v>
      </c>
      <c r="M85" s="460">
        <f t="shared" si="6"/>
        <v>0.05</v>
      </c>
      <c r="N85" s="464">
        <f t="shared" si="7"/>
        <v>53632</v>
      </c>
    </row>
    <row r="86" spans="1:14" ht="11.25" customHeight="1" x14ac:dyDescent="0.3">
      <c r="A86" s="459">
        <v>79</v>
      </c>
      <c r="B86" s="431"/>
      <c r="C86" s="431"/>
      <c r="D86" s="431"/>
      <c r="E86" s="431"/>
      <c r="F86" s="431"/>
      <c r="G86" s="459">
        <f t="shared" si="11"/>
        <v>7</v>
      </c>
      <c r="H86" s="459">
        <v>79</v>
      </c>
      <c r="I86" s="444">
        <f t="shared" ca="1" si="5"/>
        <v>4567842.9734471869</v>
      </c>
      <c r="J86" s="444">
        <f t="array" ref="J86">IFERROR(INDEX('Retirement Calculator'!K:K,MATCH('Lorri 401b'!N86,'Retirement Calculator'!A:A,0),0),0)</f>
        <v>22111.095664578788</v>
      </c>
      <c r="K86" s="444">
        <f t="shared" ca="1" si="2"/>
        <v>18940.549490760866</v>
      </c>
      <c r="L86" s="444">
        <f t="shared" ca="1" si="3"/>
        <v>4564672.4272733694</v>
      </c>
      <c r="M86" s="460">
        <f t="shared" si="6"/>
        <v>0.05</v>
      </c>
      <c r="N86" s="464">
        <f t="shared" si="7"/>
        <v>53662</v>
      </c>
    </row>
    <row r="87" spans="1:14" ht="11.25" customHeight="1" x14ac:dyDescent="0.3">
      <c r="A87" s="459">
        <v>80</v>
      </c>
      <c r="B87" s="431"/>
      <c r="C87" s="431"/>
      <c r="D87" s="431"/>
      <c r="E87" s="431"/>
      <c r="F87" s="431"/>
      <c r="G87" s="459">
        <f t="shared" si="11"/>
        <v>7</v>
      </c>
      <c r="H87" s="459">
        <v>80</v>
      </c>
      <c r="I87" s="444">
        <f t="shared" ca="1" si="5"/>
        <v>4564672.4272733694</v>
      </c>
      <c r="J87" s="444">
        <f t="array" ref="J87">IFERROR(INDEX('Retirement Calculator'!K:K,MATCH('Lorri 401b'!N87,'Retirement Calculator'!A:A,0),0),0)</f>
        <v>22111.095664578788</v>
      </c>
      <c r="K87" s="444">
        <f t="shared" ca="1" si="2"/>
        <v>18927.338881703294</v>
      </c>
      <c r="L87" s="444">
        <f t="shared" ca="1" si="3"/>
        <v>4561488.670490494</v>
      </c>
      <c r="M87" s="460">
        <f t="shared" si="6"/>
        <v>0.05</v>
      </c>
      <c r="N87" s="464">
        <f t="shared" si="7"/>
        <v>53693</v>
      </c>
    </row>
    <row r="88" spans="1:14" ht="11.25" customHeight="1" x14ac:dyDescent="0.3">
      <c r="A88" s="459">
        <v>81</v>
      </c>
      <c r="B88" s="431"/>
      <c r="C88" s="431"/>
      <c r="D88" s="431"/>
      <c r="E88" s="431"/>
      <c r="F88" s="431"/>
      <c r="G88" s="459">
        <f t="shared" si="11"/>
        <v>7</v>
      </c>
      <c r="H88" s="459">
        <v>81</v>
      </c>
      <c r="I88" s="444">
        <f t="shared" ca="1" si="5"/>
        <v>4561488.670490494</v>
      </c>
      <c r="J88" s="444">
        <f t="array" ref="J88">IFERROR(INDEX('Retirement Calculator'!K:K,MATCH('Lorri 401b'!N88,'Retirement Calculator'!A:A,0),0),0)</f>
        <v>22111.095664578788</v>
      </c>
      <c r="K88" s="444">
        <f t="shared" ca="1" si="2"/>
        <v>18914.073228441313</v>
      </c>
      <c r="L88" s="444">
        <f t="shared" ca="1" si="3"/>
        <v>4558291.6480543567</v>
      </c>
      <c r="M88" s="460">
        <f t="shared" si="6"/>
        <v>0.05</v>
      </c>
      <c r="N88" s="464">
        <f t="shared" si="7"/>
        <v>53724</v>
      </c>
    </row>
    <row r="89" spans="1:14" ht="11.25" customHeight="1" x14ac:dyDescent="0.3">
      <c r="A89" s="459">
        <v>82</v>
      </c>
      <c r="B89" s="431"/>
      <c r="C89" s="431"/>
      <c r="D89" s="431"/>
      <c r="E89" s="431"/>
      <c r="F89" s="431"/>
      <c r="G89" s="459">
        <f t="shared" si="11"/>
        <v>7</v>
      </c>
      <c r="H89" s="459">
        <v>82</v>
      </c>
      <c r="I89" s="444">
        <f t="shared" ca="1" si="5"/>
        <v>4558291.6480543567</v>
      </c>
      <c r="J89" s="444">
        <f t="array" ref="J89">IFERROR(INDEX('Retirement Calculator'!K:K,MATCH('Lorri 401b'!N89,'Retirement Calculator'!A:A,0),0),0)</f>
        <v>22111.095664578788</v>
      </c>
      <c r="K89" s="444">
        <f t="shared" ca="1" si="2"/>
        <v>18900.752301624074</v>
      </c>
      <c r="L89" s="444">
        <f t="shared" ca="1" si="3"/>
        <v>4555081.3046914022</v>
      </c>
      <c r="M89" s="460">
        <f t="shared" si="6"/>
        <v>0.05</v>
      </c>
      <c r="N89" s="464">
        <f t="shared" si="7"/>
        <v>53752</v>
      </c>
    </row>
    <row r="90" spans="1:14" ht="11.25" customHeight="1" x14ac:dyDescent="0.3">
      <c r="A90" s="459">
        <v>83</v>
      </c>
      <c r="B90" s="431"/>
      <c r="C90" s="431"/>
      <c r="D90" s="431"/>
      <c r="E90" s="431"/>
      <c r="F90" s="431"/>
      <c r="G90" s="459">
        <f t="shared" si="11"/>
        <v>7</v>
      </c>
      <c r="H90" s="459">
        <v>83</v>
      </c>
      <c r="I90" s="444">
        <f t="shared" ca="1" si="5"/>
        <v>4555081.3046914022</v>
      </c>
      <c r="J90" s="444">
        <f t="array" ref="J90">IFERROR(INDEX('Retirement Calculator'!K:K,MATCH('Lorri 401b'!N90,'Retirement Calculator'!A:A,0),0),0)</f>
        <v>22111.095664578788</v>
      </c>
      <c r="K90" s="444">
        <f t="shared" ca="1" si="2"/>
        <v>18887.375870945099</v>
      </c>
      <c r="L90" s="444">
        <f t="shared" ca="1" si="3"/>
        <v>4551857.5848977687</v>
      </c>
      <c r="M90" s="460">
        <f t="shared" si="6"/>
        <v>0.05</v>
      </c>
      <c r="N90" s="464">
        <f t="shared" si="7"/>
        <v>53783</v>
      </c>
    </row>
    <row r="91" spans="1:14" ht="11.25" customHeight="1" x14ac:dyDescent="0.3">
      <c r="A91" s="459">
        <v>84</v>
      </c>
      <c r="B91" s="431"/>
      <c r="C91" s="431"/>
      <c r="D91" s="431"/>
      <c r="E91" s="431"/>
      <c r="F91" s="431"/>
      <c r="G91" s="459">
        <f t="shared" si="11"/>
        <v>7</v>
      </c>
      <c r="H91" s="459">
        <v>84</v>
      </c>
      <c r="I91" s="444">
        <f t="shared" ca="1" si="5"/>
        <v>4551857.5848977687</v>
      </c>
      <c r="J91" s="444">
        <f t="array" ref="J91">IFERROR(INDEX('Retirement Calculator'!K:K,MATCH('Lorri 401b'!N91,'Retirement Calculator'!A:A,0),0),0)</f>
        <v>22111.095664578788</v>
      </c>
      <c r="K91" s="444">
        <f t="shared" ca="1" si="2"/>
        <v>18873.943705138292</v>
      </c>
      <c r="L91" s="444">
        <f t="shared" ca="1" si="3"/>
        <v>4548620.4329383289</v>
      </c>
      <c r="M91" s="460">
        <f t="shared" si="6"/>
        <v>0.05</v>
      </c>
      <c r="N91" s="464">
        <f t="shared" si="7"/>
        <v>53813</v>
      </c>
    </row>
    <row r="92" spans="1:14" ht="11.25" customHeight="1" x14ac:dyDescent="0.3">
      <c r="A92" s="459">
        <v>85</v>
      </c>
      <c r="B92" s="431"/>
      <c r="C92" s="431"/>
      <c r="D92" s="431"/>
      <c r="E92" s="431"/>
      <c r="F92" s="431"/>
      <c r="G92" s="459">
        <f>G91+1</f>
        <v>8</v>
      </c>
      <c r="H92" s="459">
        <v>85</v>
      </c>
      <c r="I92" s="444">
        <f t="shared" ca="1" si="5"/>
        <v>4548620.4329383289</v>
      </c>
      <c r="J92" s="444">
        <f t="array" ref="J92">IFERROR(INDEX('Retirement Calculator'!K:K,MATCH('Lorri 401b'!N92,'Retirement Calculator'!A:A,0),0),0)</f>
        <v>22111.095664578788</v>
      </c>
      <c r="K92" s="444">
        <f t="shared" ca="1" si="2"/>
        <v>18860.455571973958</v>
      </c>
      <c r="L92" s="444">
        <f t="shared" ca="1" si="3"/>
        <v>4545369.7928457242</v>
      </c>
      <c r="M92" s="460">
        <f t="shared" si="6"/>
        <v>0.05</v>
      </c>
      <c r="N92" s="464">
        <f t="shared" si="7"/>
        <v>53844</v>
      </c>
    </row>
    <row r="93" spans="1:14" ht="11.25" customHeight="1" x14ac:dyDescent="0.3">
      <c r="A93" s="459">
        <v>86</v>
      </c>
      <c r="B93" s="431"/>
      <c r="C93" s="431"/>
      <c r="D93" s="431"/>
      <c r="E93" s="431"/>
      <c r="F93" s="431"/>
      <c r="G93" s="459">
        <f t="shared" ref="G93:G103" si="12">G92</f>
        <v>8</v>
      </c>
      <c r="H93" s="459">
        <v>86</v>
      </c>
      <c r="I93" s="444">
        <f t="shared" ca="1" si="5"/>
        <v>4545369.7928457242</v>
      </c>
      <c r="J93" s="444">
        <f t="array" ref="J93">IFERROR(INDEX('Retirement Calculator'!K:K,MATCH('Lorri 401b'!N93,'Retirement Calculator'!A:A,0),0),0)</f>
        <v>22111.095664578788</v>
      </c>
      <c r="K93" s="444">
        <f t="shared" ca="1" si="2"/>
        <v>18846.911238254772</v>
      </c>
      <c r="L93" s="444">
        <f t="shared" ca="1" si="3"/>
        <v>4542105.6084194006</v>
      </c>
      <c r="M93" s="460">
        <f t="shared" si="6"/>
        <v>0.05</v>
      </c>
      <c r="N93" s="464">
        <f t="shared" si="7"/>
        <v>53874</v>
      </c>
    </row>
    <row r="94" spans="1:14" ht="11.25" customHeight="1" x14ac:dyDescent="0.3">
      <c r="A94" s="459">
        <v>87</v>
      </c>
      <c r="B94" s="431"/>
      <c r="C94" s="431"/>
      <c r="D94" s="431"/>
      <c r="E94" s="431"/>
      <c r="F94" s="431"/>
      <c r="G94" s="459">
        <f t="shared" si="12"/>
        <v>8</v>
      </c>
      <c r="H94" s="459">
        <v>87</v>
      </c>
      <c r="I94" s="444">
        <f t="shared" ca="1" si="5"/>
        <v>4542105.6084194006</v>
      </c>
      <c r="J94" s="444">
        <f t="array" ref="J94">IFERROR(INDEX('Retirement Calculator'!K:K,MATCH('Lorri 401b'!N94,'Retirement Calculator'!A:A,0),0),0)</f>
        <v>22111.095664578788</v>
      </c>
      <c r="K94" s="444">
        <f t="shared" ca="1" si="2"/>
        <v>18833.31046981176</v>
      </c>
      <c r="L94" s="444">
        <f t="shared" ca="1" si="3"/>
        <v>4538827.8232246339</v>
      </c>
      <c r="M94" s="460">
        <f t="shared" si="6"/>
        <v>0.05</v>
      </c>
      <c r="N94" s="464">
        <f t="shared" si="7"/>
        <v>53905</v>
      </c>
    </row>
    <row r="95" spans="1:14" ht="11.25" customHeight="1" x14ac:dyDescent="0.3">
      <c r="A95" s="459">
        <v>88</v>
      </c>
      <c r="B95" s="431"/>
      <c r="C95" s="431"/>
      <c r="D95" s="431"/>
      <c r="E95" s="431"/>
      <c r="F95" s="431"/>
      <c r="G95" s="459">
        <f t="shared" si="12"/>
        <v>8</v>
      </c>
      <c r="H95" s="459">
        <v>88</v>
      </c>
      <c r="I95" s="444">
        <f t="shared" ca="1" si="5"/>
        <v>4538827.8232246339</v>
      </c>
      <c r="J95" s="444">
        <f t="array" ref="J95">IFERROR(INDEX('Retirement Calculator'!K:K,MATCH('Lorri 401b'!N95,'Retirement Calculator'!A:A,0),0),0)</f>
        <v>22111.095664578788</v>
      </c>
      <c r="K95" s="444">
        <f t="shared" ca="1" si="2"/>
        <v>18819.653031500231</v>
      </c>
      <c r="L95" s="444">
        <f t="shared" ca="1" si="3"/>
        <v>4535536.3805915555</v>
      </c>
      <c r="M95" s="460">
        <f t="shared" si="6"/>
        <v>0.05</v>
      </c>
      <c r="N95" s="464">
        <f t="shared" si="7"/>
        <v>53936</v>
      </c>
    </row>
    <row r="96" spans="1:14" ht="11.25" customHeight="1" x14ac:dyDescent="0.3">
      <c r="A96" s="459">
        <v>89</v>
      </c>
      <c r="B96" s="431"/>
      <c r="C96" s="431"/>
      <c r="D96" s="431"/>
      <c r="E96" s="431"/>
      <c r="F96" s="431"/>
      <c r="G96" s="459">
        <f t="shared" si="12"/>
        <v>8</v>
      </c>
      <c r="H96" s="459">
        <v>89</v>
      </c>
      <c r="I96" s="444">
        <f t="shared" ca="1" si="5"/>
        <v>4535536.3805915555</v>
      </c>
      <c r="J96" s="444">
        <f t="array" ref="J96">IFERROR(INDEX('Retirement Calculator'!K:K,MATCH('Lorri 401b'!N96,'Retirement Calculator'!A:A,0),0),0)</f>
        <v>22111.095664578788</v>
      </c>
      <c r="K96" s="444">
        <f t="shared" ca="1" si="2"/>
        <v>18805.938687195736</v>
      </c>
      <c r="L96" s="444">
        <f t="shared" ca="1" si="3"/>
        <v>4532231.223614173</v>
      </c>
      <c r="M96" s="460">
        <f t="shared" si="6"/>
        <v>0.05</v>
      </c>
      <c r="N96" s="464">
        <f t="shared" si="7"/>
        <v>53966</v>
      </c>
    </row>
    <row r="97" spans="1:14" ht="11.25" customHeight="1" x14ac:dyDescent="0.3">
      <c r="A97" s="459">
        <v>90</v>
      </c>
      <c r="B97" s="431"/>
      <c r="C97" s="431"/>
      <c r="D97" s="431"/>
      <c r="E97" s="431"/>
      <c r="F97" s="431"/>
      <c r="G97" s="459">
        <f t="shared" si="12"/>
        <v>8</v>
      </c>
      <c r="H97" s="459">
        <v>90</v>
      </c>
      <c r="I97" s="444">
        <f t="shared" ca="1" si="5"/>
        <v>4532231.223614173</v>
      </c>
      <c r="J97" s="444">
        <f t="array" ref="J97">IFERROR(INDEX('Retirement Calculator'!K:K,MATCH('Lorri 401b'!N97,'Retirement Calculator'!A:A,0),0),0)</f>
        <v>22111.095664578788</v>
      </c>
      <c r="K97" s="444">
        <f t="shared" ca="1" si="2"/>
        <v>18792.167199789976</v>
      </c>
      <c r="L97" s="444">
        <f t="shared" ca="1" si="3"/>
        <v>4528912.2951493841</v>
      </c>
      <c r="M97" s="460">
        <f t="shared" si="6"/>
        <v>0.05</v>
      </c>
      <c r="N97" s="464">
        <f t="shared" si="7"/>
        <v>53997</v>
      </c>
    </row>
    <row r="98" spans="1:14" ht="11.25" customHeight="1" x14ac:dyDescent="0.3">
      <c r="A98" s="459">
        <v>91</v>
      </c>
      <c r="B98" s="431"/>
      <c r="C98" s="431"/>
      <c r="D98" s="431"/>
      <c r="E98" s="431"/>
      <c r="F98" s="431"/>
      <c r="G98" s="459">
        <f t="shared" si="12"/>
        <v>8</v>
      </c>
      <c r="H98" s="459">
        <v>91</v>
      </c>
      <c r="I98" s="444">
        <f t="shared" ca="1" si="5"/>
        <v>4528912.2951493841</v>
      </c>
      <c r="J98" s="444">
        <f t="array" ref="J98">IFERROR(INDEX('Retirement Calculator'!K:K,MATCH('Lorri 401b'!N98,'Retirement Calculator'!A:A,0),0),0)</f>
        <v>22111.095664578788</v>
      </c>
      <c r="K98" s="444">
        <f t="shared" ca="1" si="2"/>
        <v>18778.338331186689</v>
      </c>
      <c r="L98" s="444">
        <f t="shared" ca="1" si="3"/>
        <v>4525579.5378159927</v>
      </c>
      <c r="M98" s="460">
        <f t="shared" si="6"/>
        <v>0.05</v>
      </c>
      <c r="N98" s="464">
        <f t="shared" si="7"/>
        <v>54027</v>
      </c>
    </row>
    <row r="99" spans="1:14" ht="11.25" customHeight="1" x14ac:dyDescent="0.3">
      <c r="A99" s="459">
        <v>92</v>
      </c>
      <c r="B99" s="431"/>
      <c r="C99" s="431"/>
      <c r="D99" s="431"/>
      <c r="E99" s="431"/>
      <c r="F99" s="431"/>
      <c r="G99" s="459">
        <f t="shared" si="12"/>
        <v>8</v>
      </c>
      <c r="H99" s="459">
        <v>92</v>
      </c>
      <c r="I99" s="444">
        <f t="shared" ca="1" si="5"/>
        <v>4525579.5378159927</v>
      </c>
      <c r="J99" s="444">
        <f t="array" ref="J99">IFERROR(INDEX('Retirement Calculator'!K:K,MATCH('Lorri 401b'!N99,'Retirement Calculator'!A:A,0),0),0)</f>
        <v>22111.095664578788</v>
      </c>
      <c r="K99" s="444">
        <f t="shared" ca="1" si="2"/>
        <v>18764.45184229756</v>
      </c>
      <c r="L99" s="444">
        <f t="shared" ca="1" si="3"/>
        <v>4522232.893993712</v>
      </c>
      <c r="M99" s="460">
        <f t="shared" si="6"/>
        <v>0.05</v>
      </c>
      <c r="N99" s="464">
        <f t="shared" si="7"/>
        <v>54058</v>
      </c>
    </row>
    <row r="100" spans="1:14" ht="11.25" customHeight="1" x14ac:dyDescent="0.3">
      <c r="A100" s="459">
        <v>93</v>
      </c>
      <c r="B100" s="431"/>
      <c r="C100" s="431"/>
      <c r="D100" s="431"/>
      <c r="E100" s="431"/>
      <c r="F100" s="431"/>
      <c r="G100" s="459">
        <f t="shared" si="12"/>
        <v>8</v>
      </c>
      <c r="H100" s="459">
        <v>93</v>
      </c>
      <c r="I100" s="444">
        <f t="shared" ca="1" si="5"/>
        <v>4522232.893993712</v>
      </c>
      <c r="J100" s="444">
        <f t="array" ref="J100">IFERROR(INDEX('Retirement Calculator'!K:K,MATCH('Lorri 401b'!N100,'Retirement Calculator'!A:A,0),0),0)</f>
        <v>22111.095664578788</v>
      </c>
      <c r="K100" s="444">
        <f t="shared" ca="1" si="2"/>
        <v>18750.507493038058</v>
      </c>
      <c r="L100" s="444">
        <f t="shared" ca="1" si="3"/>
        <v>4518872.3058221713</v>
      </c>
      <c r="M100" s="460">
        <f t="shared" si="6"/>
        <v>0.05</v>
      </c>
      <c r="N100" s="464">
        <f t="shared" si="7"/>
        <v>54089</v>
      </c>
    </row>
    <row r="101" spans="1:14" ht="11.25" customHeight="1" x14ac:dyDescent="0.3">
      <c r="A101" s="459">
        <v>94</v>
      </c>
      <c r="B101" s="431"/>
      <c r="C101" s="431"/>
      <c r="D101" s="431"/>
      <c r="E101" s="431"/>
      <c r="F101" s="431"/>
      <c r="G101" s="459">
        <f t="shared" si="12"/>
        <v>8</v>
      </c>
      <c r="H101" s="459">
        <v>94</v>
      </c>
      <c r="I101" s="444">
        <f t="shared" ca="1" si="5"/>
        <v>4518872.3058221713</v>
      </c>
      <c r="J101" s="444">
        <f t="array" ref="J101">IFERROR(INDEX('Retirement Calculator'!K:K,MATCH('Lorri 401b'!N101,'Retirement Calculator'!A:A,0),0),0)</f>
        <v>22111.095664578788</v>
      </c>
      <c r="K101" s="444">
        <f t="shared" ca="1" si="2"/>
        <v>18736.505042323304</v>
      </c>
      <c r="L101" s="444">
        <f t="shared" ca="1" si="3"/>
        <v>4515497.7151999157</v>
      </c>
      <c r="M101" s="460">
        <f t="shared" si="6"/>
        <v>0.05</v>
      </c>
      <c r="N101" s="464">
        <f t="shared" si="7"/>
        <v>54118</v>
      </c>
    </row>
    <row r="102" spans="1:14" ht="11.25" customHeight="1" x14ac:dyDescent="0.3">
      <c r="A102" s="459">
        <v>95</v>
      </c>
      <c r="B102" s="431"/>
      <c r="C102" s="431"/>
      <c r="D102" s="431"/>
      <c r="E102" s="431"/>
      <c r="F102" s="431"/>
      <c r="G102" s="459">
        <f t="shared" si="12"/>
        <v>8</v>
      </c>
      <c r="H102" s="459">
        <v>95</v>
      </c>
      <c r="I102" s="444">
        <f t="shared" ca="1" si="5"/>
        <v>4515497.7151999157</v>
      </c>
      <c r="J102" s="444">
        <f t="array" ref="J102">IFERROR(INDEX('Retirement Calculator'!K:K,MATCH('Lorri 401b'!N102,'Retirement Calculator'!A:A,0),0),0)</f>
        <v>22111.095664578788</v>
      </c>
      <c r="K102" s="444">
        <f t="shared" ca="1" si="2"/>
        <v>18722.444248063905</v>
      </c>
      <c r="L102" s="444">
        <f t="shared" ca="1" si="3"/>
        <v>4512109.0637834007</v>
      </c>
      <c r="M102" s="460">
        <f t="shared" si="6"/>
        <v>0.05</v>
      </c>
      <c r="N102" s="464">
        <f t="shared" si="7"/>
        <v>54149</v>
      </c>
    </row>
    <row r="103" spans="1:14" ht="11.25" customHeight="1" x14ac:dyDescent="0.3">
      <c r="A103" s="459">
        <v>96</v>
      </c>
      <c r="B103" s="431"/>
      <c r="C103" s="431"/>
      <c r="D103" s="431"/>
      <c r="E103" s="431"/>
      <c r="F103" s="431"/>
      <c r="G103" s="459">
        <f t="shared" si="12"/>
        <v>8</v>
      </c>
      <c r="H103" s="459">
        <v>96</v>
      </c>
      <c r="I103" s="444">
        <f t="shared" ca="1" si="5"/>
        <v>4512109.0637834007</v>
      </c>
      <c r="J103" s="444">
        <f t="array" ref="J103">IFERROR(INDEX('Retirement Calculator'!K:K,MATCH('Lorri 401b'!N103,'Retirement Calculator'!A:A,0),0),0)</f>
        <v>22111.095664578788</v>
      </c>
      <c r="K103" s="444">
        <f t="shared" ca="1" si="2"/>
        <v>18708.324867161758</v>
      </c>
      <c r="L103" s="444">
        <f t="shared" ca="1" si="3"/>
        <v>4508706.2929859841</v>
      </c>
      <c r="M103" s="460">
        <f t="shared" si="6"/>
        <v>0.05</v>
      </c>
      <c r="N103" s="464">
        <f t="shared" si="7"/>
        <v>54179</v>
      </c>
    </row>
    <row r="104" spans="1:14" ht="11.25" customHeight="1" x14ac:dyDescent="0.3">
      <c r="A104" s="459">
        <v>97</v>
      </c>
      <c r="B104" s="431"/>
      <c r="C104" s="431"/>
      <c r="D104" s="431"/>
      <c r="E104" s="431"/>
      <c r="F104" s="431"/>
      <c r="G104" s="459">
        <f>G103+1</f>
        <v>9</v>
      </c>
      <c r="H104" s="459">
        <v>97</v>
      </c>
      <c r="I104" s="444">
        <f t="shared" ca="1" si="5"/>
        <v>4508706.2929859841</v>
      </c>
      <c r="J104" s="444">
        <f t="array" ref="J104">IFERROR(INDEX('Retirement Calculator'!K:K,MATCH('Lorri 401b'!N104,'Retirement Calculator'!A:A,0),0),0)</f>
        <v>22111.095664578788</v>
      </c>
      <c r="K104" s="444">
        <f t="shared" ca="1" si="2"/>
        <v>18694.146655505858</v>
      </c>
      <c r="L104" s="444">
        <f t="shared" ca="1" si="3"/>
        <v>4505289.3439769112</v>
      </c>
      <c r="M104" s="460">
        <f t="shared" si="6"/>
        <v>0.05</v>
      </c>
      <c r="N104" s="464">
        <f t="shared" si="7"/>
        <v>54210</v>
      </c>
    </row>
    <row r="105" spans="1:14" ht="11.25" customHeight="1" x14ac:dyDescent="0.3">
      <c r="A105" s="459">
        <v>98</v>
      </c>
      <c r="B105" s="431"/>
      <c r="C105" s="431"/>
      <c r="D105" s="431"/>
      <c r="E105" s="431"/>
      <c r="F105" s="431"/>
      <c r="G105" s="459">
        <f t="shared" ref="G105:G115" si="13">G104</f>
        <v>9</v>
      </c>
      <c r="H105" s="459">
        <v>98</v>
      </c>
      <c r="I105" s="444">
        <f t="shared" ca="1" si="5"/>
        <v>4505289.3439769112</v>
      </c>
      <c r="J105" s="444">
        <f t="array" ref="J105">IFERROR(INDEX('Retirement Calculator'!K:K,MATCH('Lorri 401b'!N105,'Retirement Calculator'!A:A,0),0),0)</f>
        <v>20367.195264578786</v>
      </c>
      <c r="K105" s="444">
        <f t="shared" ca="1" si="2"/>
        <v>18687.17561963472</v>
      </c>
      <c r="L105" s="444">
        <f t="shared" ca="1" si="3"/>
        <v>4503609.3243319672</v>
      </c>
      <c r="M105" s="460">
        <f t="shared" si="6"/>
        <v>0.05</v>
      </c>
      <c r="N105" s="464">
        <f t="shared" si="7"/>
        <v>54240</v>
      </c>
    </row>
    <row r="106" spans="1:14" ht="11.25" customHeight="1" x14ac:dyDescent="0.3">
      <c r="A106" s="459">
        <v>99</v>
      </c>
      <c r="B106" s="431"/>
      <c r="C106" s="431"/>
      <c r="D106" s="431"/>
      <c r="E106" s="431"/>
      <c r="F106" s="431"/>
      <c r="G106" s="459">
        <f t="shared" si="13"/>
        <v>9</v>
      </c>
      <c r="H106" s="459">
        <v>99</v>
      </c>
      <c r="I106" s="444">
        <f t="shared" ca="1" si="5"/>
        <v>4503609.3243319672</v>
      </c>
      <c r="J106" s="444">
        <f t="array" ref="J106">IFERROR(INDEX('Retirement Calculator'!K:K,MATCH('Lorri 401b'!N106,'Retirement Calculator'!A:A,0),0),0)</f>
        <v>20367.195264578786</v>
      </c>
      <c r="K106" s="444">
        <f t="shared" ca="1" si="2"/>
        <v>18680.175537780786</v>
      </c>
      <c r="L106" s="444">
        <f t="shared" ca="1" si="3"/>
        <v>4501922.3046051692</v>
      </c>
      <c r="M106" s="460">
        <f t="shared" si="6"/>
        <v>0.05</v>
      </c>
      <c r="N106" s="464">
        <f t="shared" si="7"/>
        <v>54271</v>
      </c>
    </row>
    <row r="107" spans="1:14" ht="11.25" customHeight="1" x14ac:dyDescent="0.3">
      <c r="A107" s="459">
        <v>100</v>
      </c>
      <c r="B107" s="431"/>
      <c r="C107" s="431"/>
      <c r="D107" s="431"/>
      <c r="E107" s="431"/>
      <c r="F107" s="431"/>
      <c r="G107" s="459">
        <f t="shared" si="13"/>
        <v>9</v>
      </c>
      <c r="H107" s="459">
        <v>100</v>
      </c>
      <c r="I107" s="444">
        <f t="shared" ca="1" si="5"/>
        <v>4501922.3046051692</v>
      </c>
      <c r="J107" s="444">
        <f t="array" ref="J107">IFERROR(INDEX('Retirement Calculator'!K:K,MATCH('Lorri 401b'!N107,'Retirement Calculator'!A:A,0),0),0)</f>
        <v>20367.195264578786</v>
      </c>
      <c r="K107" s="444">
        <f t="shared" ca="1" si="2"/>
        <v>18673.146288919128</v>
      </c>
      <c r="L107" s="444">
        <f t="shared" ca="1" si="3"/>
        <v>4500228.2556295097</v>
      </c>
      <c r="M107" s="460">
        <f t="shared" si="6"/>
        <v>0.05</v>
      </c>
      <c r="N107" s="464">
        <f t="shared" si="7"/>
        <v>54302</v>
      </c>
    </row>
    <row r="108" spans="1:14" ht="11.25" customHeight="1" x14ac:dyDescent="0.3">
      <c r="A108" s="459">
        <v>101</v>
      </c>
      <c r="B108" s="431"/>
      <c r="C108" s="431"/>
      <c r="D108" s="431"/>
      <c r="E108" s="431"/>
      <c r="F108" s="431"/>
      <c r="G108" s="459">
        <f t="shared" si="13"/>
        <v>9</v>
      </c>
      <c r="H108" s="459">
        <v>101</v>
      </c>
      <c r="I108" s="444">
        <f t="shared" ca="1" si="5"/>
        <v>4500228.2556295097</v>
      </c>
      <c r="J108" s="444">
        <f t="array" ref="J108">IFERROR(INDEX('Retirement Calculator'!K:K,MATCH('Lorri 401b'!N108,'Retirement Calculator'!A:A,0),0),0)</f>
        <v>20367.195264578786</v>
      </c>
      <c r="K108" s="444">
        <f t="shared" ca="1" si="2"/>
        <v>18666.087751520547</v>
      </c>
      <c r="L108" s="444">
        <f t="shared" ca="1" si="3"/>
        <v>4498527.1481164517</v>
      </c>
      <c r="M108" s="460">
        <f t="shared" si="6"/>
        <v>0.05</v>
      </c>
      <c r="N108" s="464">
        <f t="shared" si="7"/>
        <v>54332</v>
      </c>
    </row>
    <row r="109" spans="1:14" ht="11.25" customHeight="1" x14ac:dyDescent="0.3">
      <c r="A109" s="459">
        <v>102</v>
      </c>
      <c r="B109" s="431"/>
      <c r="C109" s="431"/>
      <c r="D109" s="431"/>
      <c r="E109" s="431"/>
      <c r="F109" s="431"/>
      <c r="G109" s="459">
        <f t="shared" si="13"/>
        <v>9</v>
      </c>
      <c r="H109" s="459">
        <v>102</v>
      </c>
      <c r="I109" s="444">
        <f t="shared" ca="1" si="5"/>
        <v>4498527.1481164517</v>
      </c>
      <c r="J109" s="444">
        <f t="array" ref="J109">IFERROR(INDEX('Retirement Calculator'!K:K,MATCH('Lorri 401b'!N109,'Retirement Calculator'!A:A,0),0),0)</f>
        <v>20367.195264578786</v>
      </c>
      <c r="K109" s="444">
        <f t="shared" ca="1" si="2"/>
        <v>18658.999803549472</v>
      </c>
      <c r="L109" s="444">
        <f t="shared" ca="1" si="3"/>
        <v>4496818.9526554225</v>
      </c>
      <c r="M109" s="460">
        <f t="shared" si="6"/>
        <v>0.05</v>
      </c>
      <c r="N109" s="464">
        <f t="shared" si="7"/>
        <v>54363</v>
      </c>
    </row>
    <row r="110" spans="1:14" ht="11.25" customHeight="1" x14ac:dyDescent="0.3">
      <c r="A110" s="459">
        <v>103</v>
      </c>
      <c r="B110" s="431"/>
      <c r="C110" s="431"/>
      <c r="D110" s="431"/>
      <c r="E110" s="431"/>
      <c r="F110" s="431"/>
      <c r="G110" s="459">
        <f t="shared" si="13"/>
        <v>9</v>
      </c>
      <c r="H110" s="459">
        <v>103</v>
      </c>
      <c r="I110" s="444">
        <f t="shared" ca="1" si="5"/>
        <v>4496818.9526554225</v>
      </c>
      <c r="J110" s="444">
        <f t="array" ref="J110">IFERROR(INDEX('Retirement Calculator'!K:K,MATCH('Lorri 401b'!N110,'Retirement Calculator'!A:A,0),0),0)</f>
        <v>20367.195264578786</v>
      </c>
      <c r="K110" s="444">
        <f t="shared" ca="1" si="2"/>
        <v>18651.88232246185</v>
      </c>
      <c r="L110" s="444">
        <f t="shared" ca="1" si="3"/>
        <v>4495103.639713306</v>
      </c>
      <c r="M110" s="460">
        <f t="shared" si="6"/>
        <v>0.05</v>
      </c>
      <c r="N110" s="464">
        <f t="shared" si="7"/>
        <v>54393</v>
      </c>
    </row>
    <row r="111" spans="1:14" ht="11.25" customHeight="1" x14ac:dyDescent="0.3">
      <c r="A111" s="459">
        <v>104</v>
      </c>
      <c r="B111" s="431"/>
      <c r="C111" s="431"/>
      <c r="D111" s="431"/>
      <c r="E111" s="431"/>
      <c r="F111" s="431"/>
      <c r="G111" s="459">
        <f t="shared" si="13"/>
        <v>9</v>
      </c>
      <c r="H111" s="459">
        <v>104</v>
      </c>
      <c r="I111" s="444">
        <f t="shared" ca="1" si="5"/>
        <v>4495103.639713306</v>
      </c>
      <c r="J111" s="444">
        <f t="array" ref="J111">IFERROR(INDEX('Retirement Calculator'!K:K,MATCH('Lorri 401b'!N111,'Retirement Calculator'!A:A,0),0),0)</f>
        <v>20367.195264578786</v>
      </c>
      <c r="K111" s="444">
        <f t="shared" ca="1" si="2"/>
        <v>18644.73518520303</v>
      </c>
      <c r="L111" s="444">
        <f t="shared" ca="1" si="3"/>
        <v>4493381.1796339303</v>
      </c>
      <c r="M111" s="460">
        <f t="shared" si="6"/>
        <v>0.05</v>
      </c>
      <c r="N111" s="464">
        <f t="shared" si="7"/>
        <v>54424</v>
      </c>
    </row>
    <row r="112" spans="1:14" ht="11.25" customHeight="1" x14ac:dyDescent="0.3">
      <c r="A112" s="459">
        <v>105</v>
      </c>
      <c r="B112" s="431"/>
      <c r="C112" s="431"/>
      <c r="D112" s="431"/>
      <c r="E112" s="431"/>
      <c r="F112" s="431"/>
      <c r="G112" s="459">
        <f t="shared" si="13"/>
        <v>9</v>
      </c>
      <c r="H112" s="459">
        <v>105</v>
      </c>
      <c r="I112" s="444">
        <f t="shared" ca="1" si="5"/>
        <v>4493381.1796339303</v>
      </c>
      <c r="J112" s="444">
        <f t="array" ref="J112">IFERROR(INDEX('Retirement Calculator'!K:K,MATCH('Lorri 401b'!N112,'Retirement Calculator'!A:A,0),0),0)</f>
        <v>20367.195264578786</v>
      </c>
      <c r="K112" s="444">
        <f t="shared" ca="1" si="2"/>
        <v>18637.55826820563</v>
      </c>
      <c r="L112" s="444">
        <f t="shared" ca="1" si="3"/>
        <v>4491651.5426375568</v>
      </c>
      <c r="M112" s="460">
        <f t="shared" si="6"/>
        <v>0.05</v>
      </c>
      <c r="N112" s="464">
        <f t="shared" si="7"/>
        <v>54455</v>
      </c>
    </row>
    <row r="113" spans="1:14" ht="11.25" customHeight="1" x14ac:dyDescent="0.3">
      <c r="A113" s="459">
        <v>106</v>
      </c>
      <c r="B113" s="431"/>
      <c r="C113" s="431"/>
      <c r="D113" s="431"/>
      <c r="E113" s="431"/>
      <c r="F113" s="431"/>
      <c r="G113" s="459">
        <f t="shared" si="13"/>
        <v>9</v>
      </c>
      <c r="H113" s="459">
        <v>106</v>
      </c>
      <c r="I113" s="444">
        <f t="shared" ca="1" si="5"/>
        <v>4491651.5426375568</v>
      </c>
      <c r="J113" s="444">
        <f t="array" ref="J113">IFERROR(INDEX('Retirement Calculator'!K:K,MATCH('Lorri 401b'!N113,'Retirement Calculator'!A:A,0),0),0)</f>
        <v>20367.195264578786</v>
      </c>
      <c r="K113" s="444">
        <f t="shared" ca="1" si="2"/>
        <v>18630.351447387409</v>
      </c>
      <c r="L113" s="444">
        <f t="shared" ca="1" si="3"/>
        <v>4489914.6988203656</v>
      </c>
      <c r="M113" s="460">
        <f t="shared" si="6"/>
        <v>0.05</v>
      </c>
      <c r="N113" s="464">
        <f t="shared" si="7"/>
        <v>54483</v>
      </c>
    </row>
    <row r="114" spans="1:14" ht="11.25" customHeight="1" x14ac:dyDescent="0.3">
      <c r="A114" s="459">
        <v>107</v>
      </c>
      <c r="B114" s="431"/>
      <c r="C114" s="431"/>
      <c r="D114" s="431"/>
      <c r="E114" s="431"/>
      <c r="F114" s="431"/>
      <c r="G114" s="459">
        <f t="shared" si="13"/>
        <v>9</v>
      </c>
      <c r="H114" s="459">
        <v>107</v>
      </c>
      <c r="I114" s="444">
        <f t="shared" ca="1" si="5"/>
        <v>4489914.6988203656</v>
      </c>
      <c r="J114" s="444">
        <f t="array" ref="J114">IFERROR(INDEX('Retirement Calculator'!K:K,MATCH('Lorri 401b'!N114,'Retirement Calculator'!A:A,0),0),0)</f>
        <v>20367.195264578786</v>
      </c>
      <c r="K114" s="444">
        <f t="shared" ca="1" si="2"/>
        <v>18623.11459814911</v>
      </c>
      <c r="L114" s="444">
        <f t="shared" ca="1" si="3"/>
        <v>4488170.6181539362</v>
      </c>
      <c r="M114" s="460">
        <f t="shared" si="6"/>
        <v>0.05</v>
      </c>
      <c r="N114" s="464">
        <f t="shared" si="7"/>
        <v>54514</v>
      </c>
    </row>
    <row r="115" spans="1:14" ht="11.25" customHeight="1" x14ac:dyDescent="0.3">
      <c r="A115" s="459">
        <v>108</v>
      </c>
      <c r="B115" s="431"/>
      <c r="C115" s="431"/>
      <c r="D115" s="431"/>
      <c r="E115" s="431"/>
      <c r="F115" s="431"/>
      <c r="G115" s="459">
        <f t="shared" si="13"/>
        <v>9</v>
      </c>
      <c r="H115" s="459">
        <v>108</v>
      </c>
      <c r="I115" s="444">
        <f t="shared" ca="1" si="5"/>
        <v>4488170.6181539362</v>
      </c>
      <c r="J115" s="444">
        <f t="array" ref="J115">IFERROR(INDEX('Retirement Calculator'!K:K,MATCH('Lorri 401b'!N115,'Retirement Calculator'!A:A,0),0),0)</f>
        <v>20367.195264578786</v>
      </c>
      <c r="K115" s="444">
        <f t="shared" ca="1" si="2"/>
        <v>18615.847595372321</v>
      </c>
      <c r="L115" s="444">
        <f t="shared" ca="1" si="3"/>
        <v>4486419.2704847297</v>
      </c>
      <c r="M115" s="460">
        <f t="shared" si="6"/>
        <v>0.05</v>
      </c>
      <c r="N115" s="464">
        <f t="shared" si="7"/>
        <v>54544</v>
      </c>
    </row>
    <row r="116" spans="1:14" ht="11.25" customHeight="1" x14ac:dyDescent="0.3">
      <c r="A116" s="459">
        <v>109</v>
      </c>
      <c r="B116" s="431"/>
      <c r="C116" s="431"/>
      <c r="D116" s="431"/>
      <c r="E116" s="431"/>
      <c r="F116" s="431"/>
      <c r="G116" s="459">
        <f>G115+1</f>
        <v>10</v>
      </c>
      <c r="H116" s="459">
        <v>109</v>
      </c>
      <c r="I116" s="444">
        <f t="shared" ca="1" si="5"/>
        <v>4486419.2704847297</v>
      </c>
      <c r="J116" s="444">
        <f t="array" ref="J116">IFERROR(INDEX('Retirement Calculator'!K:K,MATCH('Lorri 401b'!N116,'Retirement Calculator'!A:A,0),0),0)</f>
        <v>20367.195264578786</v>
      </c>
      <c r="K116" s="444">
        <f t="shared" ca="1" si="2"/>
        <v>18608.550313417294</v>
      </c>
      <c r="L116" s="444">
        <f t="shared" ca="1" si="3"/>
        <v>4484660.6255335677</v>
      </c>
      <c r="M116" s="460">
        <f t="shared" si="6"/>
        <v>0.05</v>
      </c>
      <c r="N116" s="464">
        <f t="shared" si="7"/>
        <v>54575</v>
      </c>
    </row>
    <row r="117" spans="1:14" ht="11.25" customHeight="1" x14ac:dyDescent="0.3">
      <c r="A117" s="459">
        <v>110</v>
      </c>
      <c r="B117" s="431"/>
      <c r="C117" s="431"/>
      <c r="D117" s="431"/>
      <c r="E117" s="431"/>
      <c r="F117" s="431"/>
      <c r="G117" s="459">
        <f t="shared" ref="G117:G127" si="14">G116</f>
        <v>10</v>
      </c>
      <c r="H117" s="459">
        <v>110</v>
      </c>
      <c r="I117" s="444">
        <f t="shared" ca="1" si="5"/>
        <v>4484660.6255335677</v>
      </c>
      <c r="J117" s="444">
        <f t="array" ref="J117">IFERROR(INDEX('Retirement Calculator'!K:K,MATCH('Lorri 401b'!N117,'Retirement Calculator'!A:A,0),0),0)</f>
        <v>20367.195264578786</v>
      </c>
      <c r="K117" s="444">
        <f t="shared" ca="1" si="2"/>
        <v>18601.222626120787</v>
      </c>
      <c r="L117" s="444">
        <f t="shared" ca="1" si="3"/>
        <v>4482894.6528951097</v>
      </c>
      <c r="M117" s="460">
        <f t="shared" si="6"/>
        <v>0.05</v>
      </c>
      <c r="N117" s="464">
        <f t="shared" si="7"/>
        <v>54605</v>
      </c>
    </row>
    <row r="118" spans="1:14" ht="11.25" customHeight="1" x14ac:dyDescent="0.3">
      <c r="A118" s="459">
        <v>111</v>
      </c>
      <c r="B118" s="431"/>
      <c r="C118" s="431"/>
      <c r="D118" s="431"/>
      <c r="E118" s="431"/>
      <c r="F118" s="431"/>
      <c r="G118" s="459">
        <f t="shared" si="14"/>
        <v>10</v>
      </c>
      <c r="H118" s="459">
        <v>111</v>
      </c>
      <c r="I118" s="444">
        <f t="shared" ca="1" si="5"/>
        <v>4482894.6528951097</v>
      </c>
      <c r="J118" s="444">
        <f t="array" ref="J118">IFERROR(INDEX('Retirement Calculator'!K:K,MATCH('Lorri 401b'!N118,'Retirement Calculator'!A:A,0),0),0)</f>
        <v>20367.195264578786</v>
      </c>
      <c r="K118" s="444">
        <f t="shared" ca="1" si="2"/>
        <v>18593.86440679388</v>
      </c>
      <c r="L118" s="444">
        <f t="shared" ca="1" si="3"/>
        <v>4481121.3220373252</v>
      </c>
      <c r="M118" s="460">
        <f t="shared" si="6"/>
        <v>0.05</v>
      </c>
      <c r="N118" s="464">
        <f t="shared" si="7"/>
        <v>54636</v>
      </c>
    </row>
    <row r="119" spans="1:14" ht="11.25" customHeight="1" x14ac:dyDescent="0.3">
      <c r="A119" s="459">
        <v>112</v>
      </c>
      <c r="B119" s="431"/>
      <c r="C119" s="431"/>
      <c r="D119" s="431"/>
      <c r="E119" s="431"/>
      <c r="F119" s="431"/>
      <c r="G119" s="459">
        <f t="shared" si="14"/>
        <v>10</v>
      </c>
      <c r="H119" s="459">
        <v>112</v>
      </c>
      <c r="I119" s="444">
        <f t="shared" ca="1" si="5"/>
        <v>4481121.3220373252</v>
      </c>
      <c r="J119" s="444">
        <f t="array" ref="J119">IFERROR(INDEX('Retirement Calculator'!K:K,MATCH('Lorri 401b'!N119,'Retirement Calculator'!A:A,0),0),0)</f>
        <v>20367.195264578786</v>
      </c>
      <c r="K119" s="444">
        <f t="shared" ca="1" si="2"/>
        <v>18586.475528219777</v>
      </c>
      <c r="L119" s="444">
        <f t="shared" ca="1" si="3"/>
        <v>4479340.6023009662</v>
      </c>
      <c r="M119" s="460">
        <f t="shared" si="6"/>
        <v>0.05</v>
      </c>
      <c r="N119" s="464">
        <f t="shared" si="7"/>
        <v>54667</v>
      </c>
    </row>
    <row r="120" spans="1:14" ht="11.25" customHeight="1" x14ac:dyDescent="0.3">
      <c r="A120" s="459">
        <v>113</v>
      </c>
      <c r="B120" s="431"/>
      <c r="C120" s="431"/>
      <c r="D120" s="431"/>
      <c r="E120" s="431"/>
      <c r="F120" s="431"/>
      <c r="G120" s="459">
        <f t="shared" si="14"/>
        <v>10</v>
      </c>
      <c r="H120" s="459">
        <v>113</v>
      </c>
      <c r="I120" s="444">
        <f t="shared" ca="1" si="5"/>
        <v>4479340.6023009662</v>
      </c>
      <c r="J120" s="444">
        <f t="array" ref="J120">IFERROR(INDEX('Retirement Calculator'!K:K,MATCH('Lorri 401b'!N120,'Retirement Calculator'!A:A,0),0),0)</f>
        <v>20367.195264578786</v>
      </c>
      <c r="K120" s="444">
        <f t="shared" ca="1" si="2"/>
        <v>18579.055862651614</v>
      </c>
      <c r="L120" s="444">
        <f t="shared" ca="1" si="3"/>
        <v>4477552.4628990386</v>
      </c>
      <c r="M120" s="460">
        <f t="shared" si="6"/>
        <v>0.05</v>
      </c>
      <c r="N120" s="464">
        <f t="shared" si="7"/>
        <v>54697</v>
      </c>
    </row>
    <row r="121" spans="1:14" ht="11.25" customHeight="1" x14ac:dyDescent="0.3">
      <c r="A121" s="459">
        <v>114</v>
      </c>
      <c r="B121" s="431"/>
      <c r="C121" s="431"/>
      <c r="D121" s="431"/>
      <c r="E121" s="431"/>
      <c r="F121" s="431"/>
      <c r="G121" s="459">
        <f t="shared" si="14"/>
        <v>10</v>
      </c>
      <c r="H121" s="459">
        <v>114</v>
      </c>
      <c r="I121" s="444">
        <f t="shared" ca="1" si="5"/>
        <v>4477552.4628990386</v>
      </c>
      <c r="J121" s="444">
        <f t="array" ref="J121">IFERROR(INDEX('Retirement Calculator'!K:K,MATCH('Lorri 401b'!N121,'Retirement Calculator'!A:A,0),0),0)</f>
        <v>20367.195264578786</v>
      </c>
      <c r="K121" s="444">
        <f t="shared" ca="1" si="2"/>
        <v>18571.605281810247</v>
      </c>
      <c r="L121" s="444">
        <f t="shared" ca="1" si="3"/>
        <v>4475756.87291627</v>
      </c>
      <c r="M121" s="460">
        <f t="shared" si="6"/>
        <v>0.05</v>
      </c>
      <c r="N121" s="464">
        <f t="shared" si="7"/>
        <v>54728</v>
      </c>
    </row>
    <row r="122" spans="1:14" ht="11.25" customHeight="1" x14ac:dyDescent="0.3">
      <c r="A122" s="459">
        <v>115</v>
      </c>
      <c r="B122" s="431"/>
      <c r="C122" s="431"/>
      <c r="D122" s="431"/>
      <c r="E122" s="431"/>
      <c r="F122" s="431"/>
      <c r="G122" s="459">
        <f t="shared" si="14"/>
        <v>10</v>
      </c>
      <c r="H122" s="459">
        <v>115</v>
      </c>
      <c r="I122" s="444">
        <f t="shared" ca="1" si="5"/>
        <v>4475756.87291627</v>
      </c>
      <c r="J122" s="444">
        <f t="array" ref="J122">IFERROR(INDEX('Retirement Calculator'!K:K,MATCH('Lorri 401b'!N122,'Retirement Calculator'!A:A,0),0),0)</f>
        <v>20367.195264578786</v>
      </c>
      <c r="K122" s="444">
        <f t="shared" ca="1" si="2"/>
        <v>18564.123656882046</v>
      </c>
      <c r="L122" s="444">
        <f t="shared" ca="1" si="3"/>
        <v>4473953.8013085732</v>
      </c>
      <c r="M122" s="460">
        <f t="shared" si="6"/>
        <v>0.05</v>
      </c>
      <c r="N122" s="464">
        <f t="shared" si="7"/>
        <v>54758</v>
      </c>
    </row>
    <row r="123" spans="1:14" ht="11.25" customHeight="1" x14ac:dyDescent="0.3">
      <c r="A123" s="459">
        <v>116</v>
      </c>
      <c r="B123" s="431"/>
      <c r="C123" s="431"/>
      <c r="D123" s="431"/>
      <c r="E123" s="431"/>
      <c r="F123" s="431"/>
      <c r="G123" s="459">
        <f t="shared" si="14"/>
        <v>10</v>
      </c>
      <c r="H123" s="459">
        <v>116</v>
      </c>
      <c r="I123" s="444">
        <f t="shared" ca="1" si="5"/>
        <v>4473953.8013085732</v>
      </c>
      <c r="J123" s="444">
        <f t="array" ref="J123">IFERROR(INDEX('Retirement Calculator'!K:K,MATCH('Lorri 401b'!N123,'Retirement Calculator'!A:A,0),0),0)</f>
        <v>20367.195264578786</v>
      </c>
      <c r="K123" s="444">
        <f t="shared" ca="1" si="2"/>
        <v>18556.610858516644</v>
      </c>
      <c r="L123" s="444">
        <f t="shared" ca="1" si="3"/>
        <v>4472143.2169025112</v>
      </c>
      <c r="M123" s="460">
        <f t="shared" si="6"/>
        <v>0.05</v>
      </c>
      <c r="N123" s="464">
        <f t="shared" si="7"/>
        <v>54789</v>
      </c>
    </row>
    <row r="124" spans="1:14" ht="11.25" customHeight="1" x14ac:dyDescent="0.3">
      <c r="A124" s="459">
        <v>117</v>
      </c>
      <c r="B124" s="431"/>
      <c r="C124" s="431"/>
      <c r="D124" s="431"/>
      <c r="E124" s="431"/>
      <c r="F124" s="431"/>
      <c r="G124" s="459">
        <f t="shared" si="14"/>
        <v>10</v>
      </c>
      <c r="H124" s="459">
        <v>117</v>
      </c>
      <c r="I124" s="444">
        <f t="shared" ca="1" si="5"/>
        <v>4472143.2169025112</v>
      </c>
      <c r="J124" s="444">
        <f t="array" ref="J124">IFERROR(INDEX('Retirement Calculator'!K:K,MATCH('Lorri 401b'!N124,'Retirement Calculator'!A:A,0),0),0)</f>
        <v>20367.195264578786</v>
      </c>
      <c r="K124" s="444">
        <f t="shared" ca="1" si="2"/>
        <v>18549.066756824719</v>
      </c>
      <c r="L124" s="444">
        <f t="shared" ca="1" si="3"/>
        <v>4470325.0883947574</v>
      </c>
      <c r="M124" s="460">
        <f t="shared" si="6"/>
        <v>0.05</v>
      </c>
      <c r="N124" s="464">
        <f t="shared" si="7"/>
        <v>54820</v>
      </c>
    </row>
    <row r="125" spans="1:14" ht="11.25" customHeight="1" x14ac:dyDescent="0.3">
      <c r="A125" s="459">
        <v>118</v>
      </c>
      <c r="B125" s="431"/>
      <c r="C125" s="431"/>
      <c r="D125" s="431"/>
      <c r="E125" s="431"/>
      <c r="F125" s="431"/>
      <c r="G125" s="459">
        <f t="shared" si="14"/>
        <v>10</v>
      </c>
      <c r="H125" s="459">
        <v>118</v>
      </c>
      <c r="I125" s="444">
        <f t="shared" ca="1" si="5"/>
        <v>4470325.0883947574</v>
      </c>
      <c r="J125" s="444">
        <f t="array" ref="J125">IFERROR(INDEX('Retirement Calculator'!K:K,MATCH('Lorri 401b'!N125,'Retirement Calculator'!A:A,0),0),0)</f>
        <v>20367.195264578786</v>
      </c>
      <c r="K125" s="444">
        <f t="shared" ca="1" si="2"/>
        <v>18541.491221375745</v>
      </c>
      <c r="L125" s="444">
        <f t="shared" ca="1" si="3"/>
        <v>4468499.3843515543</v>
      </c>
      <c r="M125" s="460">
        <f t="shared" si="6"/>
        <v>0.05</v>
      </c>
      <c r="N125" s="464">
        <f t="shared" si="7"/>
        <v>54848</v>
      </c>
    </row>
    <row r="126" spans="1:14" ht="11.25" customHeight="1" x14ac:dyDescent="0.3">
      <c r="A126" s="459">
        <v>119</v>
      </c>
      <c r="B126" s="431"/>
      <c r="C126" s="431"/>
      <c r="D126" s="431"/>
      <c r="E126" s="431"/>
      <c r="F126" s="431"/>
      <c r="G126" s="459">
        <f t="shared" si="14"/>
        <v>10</v>
      </c>
      <c r="H126" s="459">
        <v>119</v>
      </c>
      <c r="I126" s="444">
        <f t="shared" ca="1" si="5"/>
        <v>4468499.3843515543</v>
      </c>
      <c r="J126" s="444">
        <f t="array" ref="J126">IFERROR(INDEX('Retirement Calculator'!K:K,MATCH('Lorri 401b'!N126,'Retirement Calculator'!A:A,0),0),0)</f>
        <v>20367.195264578786</v>
      </c>
      <c r="K126" s="444">
        <f t="shared" ca="1" si="2"/>
        <v>18533.88412119573</v>
      </c>
      <c r="L126" s="444">
        <f t="shared" ca="1" si="3"/>
        <v>4466666.0732081709</v>
      </c>
      <c r="M126" s="460">
        <f t="shared" si="6"/>
        <v>0.05</v>
      </c>
      <c r="N126" s="464">
        <f t="shared" si="7"/>
        <v>54879</v>
      </c>
    </row>
    <row r="127" spans="1:14" ht="11.25" customHeight="1" x14ac:dyDescent="0.3">
      <c r="A127" s="459">
        <v>120</v>
      </c>
      <c r="B127" s="431"/>
      <c r="C127" s="431"/>
      <c r="D127" s="431"/>
      <c r="E127" s="431"/>
      <c r="F127" s="431"/>
      <c r="G127" s="459">
        <f t="shared" si="14"/>
        <v>10</v>
      </c>
      <c r="H127" s="459">
        <v>120</v>
      </c>
      <c r="I127" s="444">
        <f t="shared" ca="1" si="5"/>
        <v>4466666.0732081709</v>
      </c>
      <c r="J127" s="444">
        <f t="array" ref="J127">IFERROR(INDEX('Retirement Calculator'!K:K,MATCH('Lorri 401b'!N127,'Retirement Calculator'!A:A,0),0),0)</f>
        <v>20367.195264578786</v>
      </c>
      <c r="K127" s="444">
        <f t="shared" ca="1" si="2"/>
        <v>18526.245324764968</v>
      </c>
      <c r="L127" s="444">
        <f t="shared" ca="1" si="3"/>
        <v>4464825.1232683575</v>
      </c>
      <c r="M127" s="460">
        <f t="shared" si="6"/>
        <v>0.05</v>
      </c>
      <c r="N127" s="464">
        <f t="shared" si="7"/>
        <v>54909</v>
      </c>
    </row>
    <row r="128" spans="1:14" ht="11.25" customHeight="1" x14ac:dyDescent="0.3">
      <c r="A128" s="459">
        <v>121</v>
      </c>
      <c r="B128" s="431"/>
      <c r="C128" s="431"/>
      <c r="D128" s="431"/>
      <c r="E128" s="431"/>
      <c r="F128" s="431"/>
      <c r="G128" s="459">
        <f>G127+1</f>
        <v>11</v>
      </c>
      <c r="H128" s="459">
        <v>121</v>
      </c>
      <c r="I128" s="444">
        <f t="shared" ca="1" si="5"/>
        <v>4464825.1232683575</v>
      </c>
      <c r="J128" s="444">
        <f t="array" ref="J128">IFERROR(INDEX('Retirement Calculator'!K:K,MATCH('Lorri 401b'!N128,'Retirement Calculator'!A:A,0),0),0)</f>
        <v>20367.195264578786</v>
      </c>
      <c r="K128" s="444">
        <f t="shared" ca="1" si="2"/>
        <v>18518.574700015743</v>
      </c>
      <c r="L128" s="444">
        <f t="shared" ca="1" si="3"/>
        <v>4462976.5027037943</v>
      </c>
      <c r="M128" s="460">
        <f t="shared" si="6"/>
        <v>0.05</v>
      </c>
      <c r="N128" s="464">
        <f t="shared" si="7"/>
        <v>54940</v>
      </c>
    </row>
    <row r="129" spans="1:14" ht="11.25" customHeight="1" x14ac:dyDescent="0.3">
      <c r="A129" s="459">
        <v>122</v>
      </c>
      <c r="B129" s="431"/>
      <c r="C129" s="431"/>
      <c r="D129" s="431"/>
      <c r="E129" s="431"/>
      <c r="F129" s="431"/>
      <c r="G129" s="459">
        <f t="shared" ref="G129:G139" si="15">G128</f>
        <v>11</v>
      </c>
      <c r="H129" s="459">
        <v>122</v>
      </c>
      <c r="I129" s="444">
        <f t="shared" ca="1" si="5"/>
        <v>4462976.5027037943</v>
      </c>
      <c r="J129" s="444">
        <f t="array" ref="J129">IFERROR(INDEX('Retirement Calculator'!K:K,MATCH('Lorri 401b'!N129,'Retirement Calculator'!A:A,0),0),0)</f>
        <v>20367.195264578786</v>
      </c>
      <c r="K129" s="444">
        <f t="shared" ca="1" si="2"/>
        <v>18510.872114330065</v>
      </c>
      <c r="L129" s="444">
        <f t="shared" ca="1" si="3"/>
        <v>4461120.179553546</v>
      </c>
      <c r="M129" s="460">
        <f t="shared" si="6"/>
        <v>0.05</v>
      </c>
      <c r="N129" s="464">
        <f t="shared" si="7"/>
        <v>54970</v>
      </c>
    </row>
    <row r="130" spans="1:14" ht="11.25" customHeight="1" x14ac:dyDescent="0.3">
      <c r="A130" s="459">
        <v>123</v>
      </c>
      <c r="B130" s="431"/>
      <c r="C130" s="431"/>
      <c r="D130" s="431"/>
      <c r="E130" s="431"/>
      <c r="F130" s="431"/>
      <c r="G130" s="459">
        <f t="shared" si="15"/>
        <v>11</v>
      </c>
      <c r="H130" s="459">
        <v>123</v>
      </c>
      <c r="I130" s="444">
        <f t="shared" ca="1" si="5"/>
        <v>4461120.179553546</v>
      </c>
      <c r="J130" s="444">
        <f t="array" ref="J130">IFERROR(INDEX('Retirement Calculator'!K:K,MATCH('Lorri 401b'!N130,'Retirement Calculator'!A:A,0),0),0)</f>
        <v>20367.195264578786</v>
      </c>
      <c r="K130" s="444">
        <f t="shared" ca="1" si="2"/>
        <v>18503.137434537362</v>
      </c>
      <c r="L130" s="444">
        <f t="shared" ca="1" si="3"/>
        <v>4459256.1217235047</v>
      </c>
      <c r="M130" s="460">
        <f t="shared" si="6"/>
        <v>0.05</v>
      </c>
      <c r="N130" s="464">
        <f t="shared" si="7"/>
        <v>55001</v>
      </c>
    </row>
    <row r="131" spans="1:14" ht="11.25" customHeight="1" x14ac:dyDescent="0.3">
      <c r="A131" s="459">
        <v>124</v>
      </c>
      <c r="B131" s="431"/>
      <c r="C131" s="431"/>
      <c r="D131" s="431"/>
      <c r="E131" s="431"/>
      <c r="F131" s="431"/>
      <c r="G131" s="459">
        <f t="shared" si="15"/>
        <v>11</v>
      </c>
      <c r="H131" s="459">
        <v>124</v>
      </c>
      <c r="I131" s="444">
        <f t="shared" ca="1" si="5"/>
        <v>4459256.1217235047</v>
      </c>
      <c r="J131" s="444">
        <f t="array" ref="J131">IFERROR(INDEX('Retirement Calculator'!K:K,MATCH('Lorri 401b'!N131,'Retirement Calculator'!A:A,0),0),0)</f>
        <v>20367.195264578786</v>
      </c>
      <c r="K131" s="444">
        <f t="shared" ca="1" si="2"/>
        <v>18495.370526912193</v>
      </c>
      <c r="L131" s="444">
        <f t="shared" ca="1" si="3"/>
        <v>4457384.2969858386</v>
      </c>
      <c r="M131" s="460">
        <f t="shared" si="6"/>
        <v>0.05</v>
      </c>
      <c r="N131" s="464">
        <f t="shared" si="7"/>
        <v>55032</v>
      </c>
    </row>
    <row r="132" spans="1:14" ht="11.25" customHeight="1" x14ac:dyDescent="0.3">
      <c r="A132" s="459">
        <v>125</v>
      </c>
      <c r="B132" s="431"/>
      <c r="C132" s="431"/>
      <c r="D132" s="431"/>
      <c r="E132" s="431"/>
      <c r="F132" s="431"/>
      <c r="G132" s="459">
        <f t="shared" si="15"/>
        <v>11</v>
      </c>
      <c r="H132" s="459">
        <v>125</v>
      </c>
      <c r="I132" s="444">
        <f t="shared" ca="1" si="5"/>
        <v>4457384.2969858386</v>
      </c>
      <c r="J132" s="444">
        <f t="array" ref="J132">IFERROR(INDEX('Retirement Calculator'!K:K,MATCH('Lorri 401b'!N132,'Retirement Calculator'!A:A,0),0),0)</f>
        <v>20367.195264578786</v>
      </c>
      <c r="K132" s="444">
        <f t="shared" ca="1" si="2"/>
        <v>18487.571257171916</v>
      </c>
      <c r="L132" s="444">
        <f t="shared" ca="1" si="3"/>
        <v>4455504.6729784319</v>
      </c>
      <c r="M132" s="460">
        <f t="shared" si="6"/>
        <v>0.05</v>
      </c>
      <c r="N132" s="464">
        <f t="shared" si="7"/>
        <v>55062</v>
      </c>
    </row>
    <row r="133" spans="1:14" ht="11.25" customHeight="1" x14ac:dyDescent="0.3">
      <c r="A133" s="459">
        <v>126</v>
      </c>
      <c r="B133" s="431"/>
      <c r="C133" s="431"/>
      <c r="D133" s="431"/>
      <c r="E133" s="431"/>
      <c r="F133" s="431"/>
      <c r="G133" s="459">
        <f t="shared" si="15"/>
        <v>11</v>
      </c>
      <c r="H133" s="459">
        <v>126</v>
      </c>
      <c r="I133" s="444">
        <f t="shared" ca="1" si="5"/>
        <v>4455504.6729784319</v>
      </c>
      <c r="J133" s="444">
        <f t="array" ref="J133">IFERROR(INDEX('Retirement Calculator'!K:K,MATCH('Lorri 401b'!N133,'Retirement Calculator'!A:A,0),0),0)</f>
        <v>20367.195264578786</v>
      </c>
      <c r="K133" s="444">
        <f t="shared" ca="1" si="2"/>
        <v>18479.739490474389</v>
      </c>
      <c r="L133" s="444">
        <f t="shared" ca="1" si="3"/>
        <v>4453617.2172043277</v>
      </c>
      <c r="M133" s="460">
        <f t="shared" si="6"/>
        <v>0.05</v>
      </c>
      <c r="N133" s="464">
        <f t="shared" si="7"/>
        <v>55093</v>
      </c>
    </row>
    <row r="134" spans="1:14" ht="11.25" customHeight="1" x14ac:dyDescent="0.3">
      <c r="A134" s="459">
        <v>127</v>
      </c>
      <c r="B134" s="431"/>
      <c r="C134" s="431"/>
      <c r="D134" s="431"/>
      <c r="E134" s="431"/>
      <c r="F134" s="431"/>
      <c r="G134" s="459">
        <f t="shared" si="15"/>
        <v>11</v>
      </c>
      <c r="H134" s="459">
        <v>127</v>
      </c>
      <c r="I134" s="444">
        <f t="shared" ca="1" si="5"/>
        <v>4453617.2172043277</v>
      </c>
      <c r="J134" s="444">
        <f t="array" ref="J134">IFERROR(INDEX('Retirement Calculator'!K:K,MATCH('Lorri 401b'!N134,'Retirement Calculator'!A:A,0),0),0)</f>
        <v>20367.195264578786</v>
      </c>
      <c r="K134" s="444">
        <f t="shared" ca="1" si="2"/>
        <v>18471.875091415619</v>
      </c>
      <c r="L134" s="444">
        <f t="shared" ca="1" si="3"/>
        <v>4451721.8970311647</v>
      </c>
      <c r="M134" s="460">
        <f t="shared" si="6"/>
        <v>0.05</v>
      </c>
      <c r="N134" s="464">
        <f t="shared" si="7"/>
        <v>55123</v>
      </c>
    </row>
    <row r="135" spans="1:14" ht="11.25" customHeight="1" x14ac:dyDescent="0.3">
      <c r="A135" s="459">
        <v>128</v>
      </c>
      <c r="B135" s="431"/>
      <c r="C135" s="431"/>
      <c r="D135" s="431"/>
      <c r="E135" s="431"/>
      <c r="F135" s="431"/>
      <c r="G135" s="459">
        <f t="shared" si="15"/>
        <v>11</v>
      </c>
      <c r="H135" s="459">
        <v>128</v>
      </c>
      <c r="I135" s="444">
        <f t="shared" ca="1" si="5"/>
        <v>4451721.8970311647</v>
      </c>
      <c r="J135" s="444">
        <f t="array" ref="J135">IFERROR(INDEX('Retirement Calculator'!K:K,MATCH('Lorri 401b'!N135,'Retirement Calculator'!A:A,0),0),0)</f>
        <v>20367.195264578786</v>
      </c>
      <c r="K135" s="444">
        <f t="shared" ca="1" si="2"/>
        <v>18463.97792402744</v>
      </c>
      <c r="L135" s="444">
        <f t="shared" ca="1" si="3"/>
        <v>4449818.6796906134</v>
      </c>
      <c r="M135" s="460">
        <f t="shared" si="6"/>
        <v>0.05</v>
      </c>
      <c r="N135" s="464">
        <f t="shared" si="7"/>
        <v>55154</v>
      </c>
    </row>
    <row r="136" spans="1:14" ht="11.25" customHeight="1" x14ac:dyDescent="0.3">
      <c r="A136" s="459">
        <v>129</v>
      </c>
      <c r="B136" s="431"/>
      <c r="C136" s="431"/>
      <c r="D136" s="431"/>
      <c r="E136" s="431"/>
      <c r="F136" s="431"/>
      <c r="G136" s="459">
        <f t="shared" si="15"/>
        <v>11</v>
      </c>
      <c r="H136" s="459">
        <v>129</v>
      </c>
      <c r="I136" s="444">
        <f t="shared" ca="1" si="5"/>
        <v>4449818.6796906134</v>
      </c>
      <c r="J136" s="444">
        <f t="array" ref="J136">IFERROR(INDEX('Retirement Calculator'!K:K,MATCH('Lorri 401b'!N136,'Retirement Calculator'!A:A,0),0),0)</f>
        <v>20367.195264578786</v>
      </c>
      <c r="K136" s="444">
        <f t="shared" ca="1" si="2"/>
        <v>18456.047851775143</v>
      </c>
      <c r="L136" s="444">
        <f t="shared" ca="1" si="3"/>
        <v>4447907.5322778095</v>
      </c>
      <c r="M136" s="460">
        <f t="shared" si="6"/>
        <v>0.05</v>
      </c>
      <c r="N136" s="464">
        <f t="shared" si="7"/>
        <v>55185</v>
      </c>
    </row>
    <row r="137" spans="1:14" ht="11.25" customHeight="1" x14ac:dyDescent="0.3">
      <c r="A137" s="459"/>
      <c r="B137" s="431"/>
      <c r="C137" s="431"/>
      <c r="D137" s="431"/>
      <c r="E137" s="431"/>
      <c r="F137" s="431"/>
      <c r="G137" s="459">
        <f t="shared" si="15"/>
        <v>11</v>
      </c>
      <c r="H137" s="459">
        <v>130</v>
      </c>
      <c r="I137" s="444">
        <f t="shared" ca="1" si="5"/>
        <v>4447907.5322778095</v>
      </c>
      <c r="J137" s="444">
        <f t="array" ref="J137">IFERROR(INDEX('Retirement Calculator'!K:K,MATCH('Lorri 401b'!N137,'Retirement Calculator'!A:A,0),0),0)</f>
        <v>20367.195264578786</v>
      </c>
      <c r="K137" s="444">
        <f t="shared" ca="1" si="2"/>
        <v>18448.084737555128</v>
      </c>
      <c r="L137" s="444">
        <f t="shared" ca="1" si="3"/>
        <v>4445988.4217507858</v>
      </c>
      <c r="M137" s="460">
        <f t="shared" si="6"/>
        <v>0.05</v>
      </c>
      <c r="N137" s="464">
        <f t="shared" si="7"/>
        <v>55213</v>
      </c>
    </row>
    <row r="138" spans="1:14" ht="11.25" customHeight="1" x14ac:dyDescent="0.3">
      <c r="A138" s="459"/>
      <c r="B138" s="431"/>
      <c r="C138" s="431"/>
      <c r="D138" s="431"/>
      <c r="E138" s="431"/>
      <c r="F138" s="431"/>
      <c r="G138" s="459">
        <f t="shared" si="15"/>
        <v>11</v>
      </c>
      <c r="H138" s="459">
        <v>131</v>
      </c>
      <c r="I138" s="444">
        <f t="shared" ca="1" si="5"/>
        <v>4445988.4217507858</v>
      </c>
      <c r="J138" s="444">
        <f t="array" ref="J138">IFERROR(INDEX('Retirement Calculator'!K:K,MATCH('Lorri 401b'!N138,'Retirement Calculator'!A:A,0),0),0)</f>
        <v>20367.195264578786</v>
      </c>
      <c r="K138" s="444">
        <f t="shared" ca="1" si="2"/>
        <v>18440.08844369253</v>
      </c>
      <c r="L138" s="444">
        <f t="shared" ca="1" si="3"/>
        <v>4444061.3149298998</v>
      </c>
      <c r="M138" s="460">
        <f t="shared" si="6"/>
        <v>0.05</v>
      </c>
      <c r="N138" s="464">
        <f t="shared" si="7"/>
        <v>55244</v>
      </c>
    </row>
    <row r="139" spans="1:14" ht="11.25" customHeight="1" x14ac:dyDescent="0.3">
      <c r="A139" s="459"/>
      <c r="B139" s="431"/>
      <c r="C139" s="431"/>
      <c r="D139" s="431"/>
      <c r="E139" s="431"/>
      <c r="F139" s="431"/>
      <c r="G139" s="459">
        <f t="shared" si="15"/>
        <v>11</v>
      </c>
      <c r="H139" s="459">
        <v>132</v>
      </c>
      <c r="I139" s="444">
        <f t="shared" ca="1" si="5"/>
        <v>4444061.3149298998</v>
      </c>
      <c r="J139" s="444">
        <f t="array" ref="J139">IFERROR(INDEX('Retirement Calculator'!K:K,MATCH('Lorri 401b'!N139,'Retirement Calculator'!A:A,0),0),0)</f>
        <v>20367.195264578786</v>
      </c>
      <c r="K139" s="444">
        <f t="shared" ca="1" si="2"/>
        <v>18432.058831938837</v>
      </c>
      <c r="L139" s="444">
        <f t="shared" ca="1" si="3"/>
        <v>4442126.1784972595</v>
      </c>
      <c r="M139" s="460">
        <f t="shared" si="6"/>
        <v>0.05</v>
      </c>
      <c r="N139" s="464">
        <f t="shared" si="7"/>
        <v>55274</v>
      </c>
    </row>
    <row r="140" spans="1:14" ht="11.25" customHeight="1" x14ac:dyDescent="0.3">
      <c r="A140" s="459"/>
      <c r="B140" s="431"/>
      <c r="C140" s="431"/>
      <c r="D140" s="431"/>
      <c r="E140" s="431"/>
      <c r="F140" s="431"/>
      <c r="G140" s="459">
        <f>G139+1</f>
        <v>12</v>
      </c>
      <c r="H140" s="459">
        <v>133</v>
      </c>
      <c r="I140" s="444">
        <f t="shared" ca="1" si="5"/>
        <v>4442126.1784972595</v>
      </c>
      <c r="J140" s="444">
        <f t="array" ref="J140">IFERROR(INDEX('Retirement Calculator'!K:K,MATCH('Lorri 401b'!N140,'Retirement Calculator'!A:A,0),0),0)</f>
        <v>20367.195264578786</v>
      </c>
      <c r="K140" s="444">
        <f t="shared" ca="1" si="2"/>
        <v>18423.995763469502</v>
      </c>
      <c r="L140" s="444">
        <f t="shared" ca="1" si="3"/>
        <v>4440182.9789961502</v>
      </c>
      <c r="M140" s="460">
        <f t="shared" si="6"/>
        <v>0.05</v>
      </c>
      <c r="N140" s="464">
        <f t="shared" si="7"/>
        <v>55305</v>
      </c>
    </row>
    <row r="141" spans="1:14" ht="11.25" customHeight="1" x14ac:dyDescent="0.3">
      <c r="A141" s="459"/>
      <c r="B141" s="431"/>
      <c r="C141" s="431"/>
      <c r="D141" s="431"/>
      <c r="E141" s="431"/>
      <c r="F141" s="431"/>
      <c r="G141" s="459">
        <f t="shared" ref="G141:G151" si="16">G140</f>
        <v>12</v>
      </c>
      <c r="H141" s="459">
        <v>134</v>
      </c>
      <c r="I141" s="444">
        <f t="shared" ca="1" si="5"/>
        <v>4440182.9789961502</v>
      </c>
      <c r="J141" s="444">
        <f t="array" ref="J141">IFERROR(INDEX('Retirement Calculator'!K:K,MATCH('Lorri 401b'!N141,'Retirement Calculator'!A:A,0),0),0)</f>
        <v>20367.195264578786</v>
      </c>
      <c r="K141" s="444">
        <f t="shared" ca="1" si="2"/>
        <v>18415.899098881546</v>
      </c>
      <c r="L141" s="444">
        <f t="shared" ca="1" si="3"/>
        <v>4438231.6828304529</v>
      </c>
      <c r="M141" s="460">
        <f t="shared" si="6"/>
        <v>0.05</v>
      </c>
      <c r="N141" s="464">
        <f t="shared" si="7"/>
        <v>55335</v>
      </c>
    </row>
    <row r="142" spans="1:14" ht="11.25" customHeight="1" x14ac:dyDescent="0.3">
      <c r="A142" s="459"/>
      <c r="B142" s="431"/>
      <c r="C142" s="431"/>
      <c r="D142" s="431"/>
      <c r="E142" s="431"/>
      <c r="F142" s="431"/>
      <c r="G142" s="459">
        <f t="shared" si="16"/>
        <v>12</v>
      </c>
      <c r="H142" s="459">
        <v>135</v>
      </c>
      <c r="I142" s="444">
        <f t="shared" ca="1" si="5"/>
        <v>4438231.6828304529</v>
      </c>
      <c r="J142" s="444">
        <f t="array" ref="J142">IFERROR(INDEX('Retirement Calculator'!K:K,MATCH('Lorri 401b'!N142,'Retirement Calculator'!A:A,0),0),0)</f>
        <v>20367.195264578786</v>
      </c>
      <c r="K142" s="444">
        <f t="shared" ca="1" si="2"/>
        <v>18407.768698191143</v>
      </c>
      <c r="L142" s="444">
        <f t="shared" ca="1" si="3"/>
        <v>4436272.2562640654</v>
      </c>
      <c r="M142" s="460">
        <f t="shared" si="6"/>
        <v>0.05</v>
      </c>
      <c r="N142" s="464">
        <f t="shared" si="7"/>
        <v>55366</v>
      </c>
    </row>
    <row r="143" spans="1:14" ht="11.25" customHeight="1" x14ac:dyDescent="0.3">
      <c r="A143" s="459"/>
      <c r="B143" s="431"/>
      <c r="C143" s="431"/>
      <c r="D143" s="431"/>
      <c r="E143" s="431"/>
      <c r="F143" s="431"/>
      <c r="G143" s="459">
        <f t="shared" si="16"/>
        <v>12</v>
      </c>
      <c r="H143" s="459">
        <v>136</v>
      </c>
      <c r="I143" s="444">
        <f t="shared" ca="1" si="5"/>
        <v>4436272.2562640654</v>
      </c>
      <c r="J143" s="444">
        <f t="array" ref="J143">IFERROR(INDEX('Retirement Calculator'!K:K,MATCH('Lorri 401b'!N143,'Retirement Calculator'!A:A,0),0),0)</f>
        <v>20367.195264578786</v>
      </c>
      <c r="K143" s="444">
        <f t="shared" ca="1" si="2"/>
        <v>18399.604420831194</v>
      </c>
      <c r="L143" s="444">
        <f t="shared" ca="1" si="3"/>
        <v>4434304.665420318</v>
      </c>
      <c r="M143" s="460">
        <f t="shared" si="6"/>
        <v>0.05</v>
      </c>
      <c r="N143" s="464">
        <f t="shared" si="7"/>
        <v>55397</v>
      </c>
    </row>
    <row r="144" spans="1:14" ht="11.25" customHeight="1" x14ac:dyDescent="0.3">
      <c r="A144" s="459"/>
      <c r="B144" s="431"/>
      <c r="C144" s="431"/>
      <c r="D144" s="431"/>
      <c r="E144" s="431"/>
      <c r="F144" s="431"/>
      <c r="G144" s="459">
        <f t="shared" si="16"/>
        <v>12</v>
      </c>
      <c r="H144" s="459">
        <v>137</v>
      </c>
      <c r="I144" s="444">
        <f t="shared" ca="1" si="5"/>
        <v>4434304.665420318</v>
      </c>
      <c r="J144" s="444">
        <f t="array" ref="J144">IFERROR(INDEX('Retirement Calculator'!K:K,MATCH('Lorri 401b'!N144,'Retirement Calculator'!A:A,0),0),0)</f>
        <v>20367.195264578786</v>
      </c>
      <c r="K144" s="444">
        <f t="shared" ca="1" si="2"/>
        <v>18391.406125648915</v>
      </c>
      <c r="L144" s="444">
        <f t="shared" ca="1" si="3"/>
        <v>4432328.8762813881</v>
      </c>
      <c r="M144" s="460">
        <f t="shared" si="6"/>
        <v>0.05</v>
      </c>
      <c r="N144" s="464">
        <f t="shared" si="7"/>
        <v>55427</v>
      </c>
    </row>
    <row r="145" spans="7:14" ht="11.25" customHeight="1" x14ac:dyDescent="0.3">
      <c r="G145" s="459">
        <f t="shared" si="16"/>
        <v>12</v>
      </c>
      <c r="H145" s="459">
        <v>138</v>
      </c>
      <c r="I145" s="444">
        <f t="shared" ca="1" si="5"/>
        <v>4432328.8762813881</v>
      </c>
      <c r="J145" s="444">
        <f t="array" ref="J145">IFERROR(INDEX('Retirement Calculator'!K:K,MATCH('Lorri 401b'!N145,'Retirement Calculator'!A:A,0),0),0)</f>
        <v>20367.195264578786</v>
      </c>
      <c r="K145" s="444">
        <f t="shared" ca="1" si="2"/>
        <v>18383.173670903372</v>
      </c>
      <c r="L145" s="444">
        <f t="shared" ca="1" si="3"/>
        <v>4430344.8546877131</v>
      </c>
      <c r="M145" s="460">
        <f t="shared" si="6"/>
        <v>0.05</v>
      </c>
      <c r="N145" s="464">
        <f t="shared" si="7"/>
        <v>55458</v>
      </c>
    </row>
    <row r="146" spans="7:14" ht="11.25" customHeight="1" x14ac:dyDescent="0.3">
      <c r="G146" s="459">
        <f t="shared" si="16"/>
        <v>12</v>
      </c>
      <c r="H146" s="459">
        <v>139</v>
      </c>
      <c r="I146" s="444">
        <f t="shared" ca="1" si="5"/>
        <v>4430344.8546877131</v>
      </c>
      <c r="J146" s="444">
        <f t="array" ref="J146">IFERROR(INDEX('Retirement Calculator'!K:K,MATCH('Lorri 401b'!N146,'Retirement Calculator'!A:A,0),0),0)</f>
        <v>20367.195264578786</v>
      </c>
      <c r="K146" s="444">
        <f t="shared" ca="1" si="2"/>
        <v>18374.906914263058</v>
      </c>
      <c r="L146" s="444">
        <f t="shared" ca="1" si="3"/>
        <v>4428352.5663373973</v>
      </c>
      <c r="M146" s="460">
        <f t="shared" si="6"/>
        <v>0.05</v>
      </c>
      <c r="N146" s="464">
        <f t="shared" si="7"/>
        <v>55488</v>
      </c>
    </row>
    <row r="147" spans="7:14" ht="11.25" customHeight="1" x14ac:dyDescent="0.3">
      <c r="G147" s="459">
        <f t="shared" si="16"/>
        <v>12</v>
      </c>
      <c r="H147" s="459">
        <v>140</v>
      </c>
      <c r="I147" s="444">
        <f t="shared" ca="1" si="5"/>
        <v>4428352.5663373973</v>
      </c>
      <c r="J147" s="444">
        <f t="array" ref="J147">IFERROR(INDEX('Retirement Calculator'!K:K,MATCH('Lorri 401b'!N147,'Retirement Calculator'!A:A,0),0),0)</f>
        <v>20367.195264578786</v>
      </c>
      <c r="K147" s="444">
        <f t="shared" ca="1" si="2"/>
        <v>18366.605712803412</v>
      </c>
      <c r="L147" s="444">
        <f t="shared" ca="1" si="3"/>
        <v>4426351.9767856216</v>
      </c>
      <c r="M147" s="460">
        <f t="shared" si="6"/>
        <v>0.05</v>
      </c>
      <c r="N147" s="464">
        <f t="shared" si="7"/>
        <v>55519</v>
      </c>
    </row>
    <row r="148" spans="7:14" ht="11.25" customHeight="1" x14ac:dyDescent="0.3">
      <c r="G148" s="459">
        <f t="shared" si="16"/>
        <v>12</v>
      </c>
      <c r="H148" s="459">
        <v>141</v>
      </c>
      <c r="I148" s="444">
        <f t="shared" ca="1" si="5"/>
        <v>4426351.9767856216</v>
      </c>
      <c r="J148" s="444">
        <f t="array" ref="J148">IFERROR(INDEX('Retirement Calculator'!K:K,MATCH('Lorri 401b'!N148,'Retirement Calculator'!A:A,0),0),0)</f>
        <v>20367.195264578786</v>
      </c>
      <c r="K148" s="444">
        <f t="shared" ca="1" si="2"/>
        <v>18358.269923004344</v>
      </c>
      <c r="L148" s="444">
        <f t="shared" ca="1" si="3"/>
        <v>4424343.0514440471</v>
      </c>
      <c r="M148" s="460">
        <f t="shared" si="6"/>
        <v>0.05</v>
      </c>
      <c r="N148" s="464">
        <f t="shared" si="7"/>
        <v>55550</v>
      </c>
    </row>
    <row r="149" spans="7:14" ht="11.25" customHeight="1" x14ac:dyDescent="0.3">
      <c r="G149" s="459">
        <f t="shared" si="16"/>
        <v>12</v>
      </c>
      <c r="H149" s="459">
        <v>142</v>
      </c>
      <c r="I149" s="444">
        <f t="shared" ca="1" si="5"/>
        <v>4424343.0514440471</v>
      </c>
      <c r="J149" s="444">
        <f t="array" ref="J149">IFERROR(INDEX('Retirement Calculator'!K:K,MATCH('Lorri 401b'!N149,'Retirement Calculator'!A:A,0),0),0)</f>
        <v>20367.195264578786</v>
      </c>
      <c r="K149" s="444">
        <f t="shared" ca="1" si="2"/>
        <v>18349.899400747785</v>
      </c>
      <c r="L149" s="444">
        <f t="shared" ca="1" si="3"/>
        <v>4422325.7555802157</v>
      </c>
      <c r="M149" s="460">
        <f t="shared" si="6"/>
        <v>0.05</v>
      </c>
      <c r="N149" s="464">
        <f t="shared" si="7"/>
        <v>55579</v>
      </c>
    </row>
    <row r="150" spans="7:14" ht="11.25" customHeight="1" x14ac:dyDescent="0.3">
      <c r="G150" s="459">
        <f t="shared" si="16"/>
        <v>12</v>
      </c>
      <c r="H150" s="459">
        <v>143</v>
      </c>
      <c r="I150" s="444">
        <f t="shared" ca="1" si="5"/>
        <v>4422325.7555802157</v>
      </c>
      <c r="J150" s="444">
        <f t="array" ref="J150">IFERROR(INDEX('Retirement Calculator'!K:K,MATCH('Lorri 401b'!N150,'Retirement Calculator'!A:A,0),0),0)</f>
        <v>20367.195264578786</v>
      </c>
      <c r="K150" s="444">
        <f t="shared" ca="1" si="2"/>
        <v>18341.494001315154</v>
      </c>
      <c r="L150" s="444">
        <f t="shared" ca="1" si="3"/>
        <v>4420300.0543169519</v>
      </c>
      <c r="M150" s="460">
        <f t="shared" si="6"/>
        <v>0.05</v>
      </c>
      <c r="N150" s="464">
        <f t="shared" si="7"/>
        <v>55610</v>
      </c>
    </row>
    <row r="151" spans="7:14" ht="11.25" customHeight="1" x14ac:dyDescent="0.3">
      <c r="G151" s="459">
        <f t="shared" si="16"/>
        <v>12</v>
      </c>
      <c r="H151" s="459">
        <v>144</v>
      </c>
      <c r="I151" s="444">
        <f t="shared" ca="1" si="5"/>
        <v>4420300.0543169519</v>
      </c>
      <c r="J151" s="444">
        <f t="array" ref="J151">IFERROR(INDEX('Retirement Calculator'!K:K,MATCH('Lorri 401b'!N151,'Retirement Calculator'!A:A,0),0),0)</f>
        <v>20367.195264578786</v>
      </c>
      <c r="K151" s="444">
        <f t="shared" ca="1" si="2"/>
        <v>18333.053579384887</v>
      </c>
      <c r="L151" s="444">
        <f t="shared" ca="1" si="3"/>
        <v>4418265.9126317576</v>
      </c>
      <c r="M151" s="460">
        <f t="shared" si="6"/>
        <v>0.05</v>
      </c>
      <c r="N151" s="464">
        <f t="shared" si="7"/>
        <v>55640</v>
      </c>
    </row>
    <row r="152" spans="7:14" ht="11.25" customHeight="1" x14ac:dyDescent="0.3">
      <c r="G152" s="459">
        <f>G151+1</f>
        <v>13</v>
      </c>
      <c r="H152" s="459">
        <v>145</v>
      </c>
      <c r="I152" s="444">
        <f t="shared" ca="1" si="5"/>
        <v>4418265.9126317576</v>
      </c>
      <c r="J152" s="444">
        <f t="array" ref="J152">IFERROR(INDEX('Retirement Calculator'!K:K,MATCH('Lorri 401b'!N152,'Retirement Calculator'!A:A,0),0),0)</f>
        <v>20367.195264578786</v>
      </c>
      <c r="K152" s="444">
        <f t="shared" ca="1" si="2"/>
        <v>18324.577989029913</v>
      </c>
      <c r="L152" s="444">
        <f t="shared" ca="1" si="3"/>
        <v>4416223.2953562085</v>
      </c>
      <c r="M152" s="460">
        <f t="shared" si="6"/>
        <v>0.05</v>
      </c>
      <c r="N152" s="464">
        <f t="shared" si="7"/>
        <v>55671</v>
      </c>
    </row>
    <row r="153" spans="7:14" ht="11.25" customHeight="1" x14ac:dyDescent="0.3">
      <c r="G153" s="459">
        <f t="shared" ref="G153:G163" si="17">G152</f>
        <v>13</v>
      </c>
      <c r="H153" s="459">
        <v>146</v>
      </c>
      <c r="I153" s="444">
        <f t="shared" ca="1" si="5"/>
        <v>4416223.2953562085</v>
      </c>
      <c r="J153" s="444">
        <f t="array" ref="J153">IFERROR(INDEX('Retirement Calculator'!K:K,MATCH('Lorri 401b'!N153,'Retirement Calculator'!A:A,0),0),0)</f>
        <v>20367.195264578786</v>
      </c>
      <c r="K153" s="444">
        <f t="shared" ca="1" si="2"/>
        <v>18316.067083715123</v>
      </c>
      <c r="L153" s="444">
        <f t="shared" ca="1" si="3"/>
        <v>4414172.1671753451</v>
      </c>
      <c r="M153" s="460">
        <f t="shared" si="6"/>
        <v>0.05</v>
      </c>
      <c r="N153" s="464">
        <f t="shared" si="7"/>
        <v>55701</v>
      </c>
    </row>
    <row r="154" spans="7:14" ht="11.25" customHeight="1" x14ac:dyDescent="0.3">
      <c r="G154" s="459">
        <f t="shared" si="17"/>
        <v>13</v>
      </c>
      <c r="H154" s="459">
        <v>147</v>
      </c>
      <c r="I154" s="444">
        <f t="shared" ca="1" si="5"/>
        <v>4414172.1671753451</v>
      </c>
      <c r="J154" s="444">
        <f t="array" ref="J154">IFERROR(INDEX('Retirement Calculator'!K:K,MATCH('Lorri 401b'!N154,'Retirement Calculator'!A:A,0),0),0)</f>
        <v>20367.195264578786</v>
      </c>
      <c r="K154" s="444">
        <f t="shared" ca="1" si="2"/>
        <v>18307.520716294861</v>
      </c>
      <c r="L154" s="444">
        <f t="shared" ca="1" si="3"/>
        <v>4412112.492627061</v>
      </c>
      <c r="M154" s="460">
        <f t="shared" si="6"/>
        <v>0.05</v>
      </c>
      <c r="N154" s="464">
        <f t="shared" si="7"/>
        <v>55732</v>
      </c>
    </row>
    <row r="155" spans="7:14" ht="11.25" customHeight="1" x14ac:dyDescent="0.3">
      <c r="G155" s="459">
        <f t="shared" si="17"/>
        <v>13</v>
      </c>
      <c r="H155" s="459">
        <v>148</v>
      </c>
      <c r="I155" s="444">
        <f t="shared" ca="1" si="5"/>
        <v>4412112.492627061</v>
      </c>
      <c r="J155" s="444">
        <f t="array" ref="J155">IFERROR(INDEX('Retirement Calculator'!K:K,MATCH('Lorri 401b'!N155,'Retirement Calculator'!A:A,0),0),0)</f>
        <v>20367.195264578786</v>
      </c>
      <c r="K155" s="444">
        <f t="shared" ca="1" si="2"/>
        <v>18298.938739010344</v>
      </c>
      <c r="L155" s="444">
        <f t="shared" ca="1" si="3"/>
        <v>4410044.2361014923</v>
      </c>
      <c r="M155" s="460">
        <f t="shared" si="6"/>
        <v>0.05</v>
      </c>
      <c r="N155" s="464">
        <f t="shared" si="7"/>
        <v>55763</v>
      </c>
    </row>
    <row r="156" spans="7:14" ht="11.25" customHeight="1" x14ac:dyDescent="0.3">
      <c r="G156" s="459">
        <f t="shared" si="17"/>
        <v>13</v>
      </c>
      <c r="H156" s="459">
        <v>149</v>
      </c>
      <c r="I156" s="444">
        <f t="shared" ca="1" si="5"/>
        <v>4410044.2361014923</v>
      </c>
      <c r="J156" s="444">
        <f t="array" ref="J156">IFERROR(INDEX('Retirement Calculator'!K:K,MATCH('Lorri 401b'!N156,'Retirement Calculator'!A:A,0),0),0)</f>
        <v>20367.195264578786</v>
      </c>
      <c r="K156" s="444">
        <f t="shared" ca="1" si="2"/>
        <v>18290.321003487141</v>
      </c>
      <c r="L156" s="444">
        <f t="shared" ca="1" si="3"/>
        <v>4407967.3618404008</v>
      </c>
      <c r="M156" s="460">
        <f t="shared" si="6"/>
        <v>0.05</v>
      </c>
      <c r="N156" s="464">
        <f t="shared" si="7"/>
        <v>55793</v>
      </c>
    </row>
    <row r="157" spans="7:14" ht="11.25" customHeight="1" x14ac:dyDescent="0.3">
      <c r="G157" s="459">
        <f t="shared" si="17"/>
        <v>13</v>
      </c>
      <c r="H157" s="459">
        <v>150</v>
      </c>
      <c r="I157" s="444">
        <f t="shared" ca="1" si="5"/>
        <v>4407967.3618404008</v>
      </c>
      <c r="J157" s="444">
        <f t="array" ref="J157">IFERROR(INDEX('Retirement Calculator'!K:K,MATCH('Lorri 401b'!N157,'Retirement Calculator'!A:A,0),0),0)</f>
        <v>20367.195264578786</v>
      </c>
      <c r="K157" s="444">
        <f t="shared" ca="1" si="2"/>
        <v>18281.66736073259</v>
      </c>
      <c r="L157" s="444">
        <f t="shared" ca="1" si="3"/>
        <v>4405881.8339365544</v>
      </c>
      <c r="M157" s="460">
        <f t="shared" si="6"/>
        <v>0.05</v>
      </c>
      <c r="N157" s="464">
        <f t="shared" si="7"/>
        <v>55824</v>
      </c>
    </row>
    <row r="158" spans="7:14" ht="11.25" customHeight="1" x14ac:dyDescent="0.3">
      <c r="G158" s="459">
        <f t="shared" si="17"/>
        <v>13</v>
      </c>
      <c r="H158" s="459">
        <v>151</v>
      </c>
      <c r="I158" s="444">
        <f t="shared" ca="1" si="5"/>
        <v>4405881.8339365544</v>
      </c>
      <c r="J158" s="444">
        <f t="array" ref="J158">IFERROR(INDEX('Retirement Calculator'!K:K,MATCH('Lorri 401b'!N158,'Retirement Calculator'!A:A,0),0),0)</f>
        <v>20367.195264578786</v>
      </c>
      <c r="K158" s="444">
        <f t="shared" ca="1" si="2"/>
        <v>18272.977661133231</v>
      </c>
      <c r="L158" s="444">
        <f t="shared" ca="1" si="3"/>
        <v>4403787.6163331084</v>
      </c>
      <c r="M158" s="460">
        <f t="shared" si="6"/>
        <v>0.05</v>
      </c>
      <c r="N158" s="464">
        <f t="shared" si="7"/>
        <v>55854</v>
      </c>
    </row>
    <row r="159" spans="7:14" ht="11.25" customHeight="1" x14ac:dyDescent="0.3">
      <c r="G159" s="459">
        <f t="shared" si="17"/>
        <v>13</v>
      </c>
      <c r="H159" s="459">
        <v>152</v>
      </c>
      <c r="I159" s="444">
        <f t="shared" ca="1" si="5"/>
        <v>4403787.6163331084</v>
      </c>
      <c r="J159" s="444">
        <f t="array" ref="J159">IFERROR(INDEX('Retirement Calculator'!K:K,MATCH('Lorri 401b'!N159,'Retirement Calculator'!A:A,0),0),0)</f>
        <v>20367.195264578786</v>
      </c>
      <c r="K159" s="444">
        <f t="shared" ca="1" si="2"/>
        <v>18264.251754452205</v>
      </c>
      <c r="L159" s="444">
        <f t="shared" ca="1" si="3"/>
        <v>4401684.6728229821</v>
      </c>
      <c r="M159" s="460">
        <f t="shared" si="6"/>
        <v>0.05</v>
      </c>
      <c r="N159" s="464">
        <f t="shared" si="7"/>
        <v>55885</v>
      </c>
    </row>
    <row r="160" spans="7:14" ht="11.25" customHeight="1" x14ac:dyDescent="0.3">
      <c r="G160" s="459">
        <f t="shared" si="17"/>
        <v>13</v>
      </c>
      <c r="H160" s="459">
        <v>153</v>
      </c>
      <c r="I160" s="444">
        <f t="shared" ca="1" si="5"/>
        <v>4401684.6728229821</v>
      </c>
      <c r="J160" s="444">
        <f t="array" ref="J160">IFERROR(INDEX('Retirement Calculator'!K:K,MATCH('Lorri 401b'!N160,'Retirement Calculator'!A:A,0),0),0)</f>
        <v>20367.195264578786</v>
      </c>
      <c r="K160" s="444">
        <f t="shared" ca="1" si="2"/>
        <v>18255.489489826679</v>
      </c>
      <c r="L160" s="444">
        <f t="shared" ca="1" si="3"/>
        <v>4399572.9670482296</v>
      </c>
      <c r="M160" s="460">
        <f t="shared" si="6"/>
        <v>0.05</v>
      </c>
      <c r="N160" s="464">
        <f t="shared" si="7"/>
        <v>55916</v>
      </c>
    </row>
    <row r="161" spans="7:14" ht="11.25" customHeight="1" x14ac:dyDescent="0.3">
      <c r="G161" s="459">
        <f t="shared" si="17"/>
        <v>13</v>
      </c>
      <c r="H161" s="459">
        <v>154</v>
      </c>
      <c r="I161" s="444">
        <f t="shared" ca="1" si="5"/>
        <v>4399572.9670482296</v>
      </c>
      <c r="J161" s="444">
        <f t="array" ref="J161">IFERROR(INDEX('Retirement Calculator'!K:K,MATCH('Lorri 401b'!N161,'Retirement Calculator'!A:A,0),0),0)</f>
        <v>20367.195264578786</v>
      </c>
      <c r="K161" s="444">
        <f t="shared" ca="1" si="2"/>
        <v>18246.690715765213</v>
      </c>
      <c r="L161" s="444">
        <f t="shared" ca="1" si="3"/>
        <v>4397452.4624994164</v>
      </c>
      <c r="M161" s="460">
        <f t="shared" si="6"/>
        <v>0.05</v>
      </c>
      <c r="N161" s="464">
        <f t="shared" si="7"/>
        <v>55944</v>
      </c>
    </row>
    <row r="162" spans="7:14" ht="11.25" customHeight="1" x14ac:dyDescent="0.3">
      <c r="G162" s="459">
        <f t="shared" si="17"/>
        <v>13</v>
      </c>
      <c r="H162" s="459">
        <v>155</v>
      </c>
      <c r="I162" s="444">
        <f t="shared" ca="1" si="5"/>
        <v>4397452.4624994164</v>
      </c>
      <c r="J162" s="444">
        <f t="array" ref="J162">IFERROR(INDEX('Retirement Calculator'!K:K,MATCH('Lorri 401b'!N162,'Retirement Calculator'!A:A,0),0),0)</f>
        <v>20367.195264578786</v>
      </c>
      <c r="K162" s="444">
        <f t="shared" ca="1" si="2"/>
        <v>18237.855280145155</v>
      </c>
      <c r="L162" s="444">
        <f t="shared" ca="1" si="3"/>
        <v>4395323.1225149827</v>
      </c>
      <c r="M162" s="460">
        <f t="shared" si="6"/>
        <v>0.05</v>
      </c>
      <c r="N162" s="464">
        <f t="shared" si="7"/>
        <v>55975</v>
      </c>
    </row>
    <row r="163" spans="7:14" ht="11.25" customHeight="1" x14ac:dyDescent="0.3">
      <c r="G163" s="459">
        <f t="shared" si="17"/>
        <v>13</v>
      </c>
      <c r="H163" s="459">
        <v>156</v>
      </c>
      <c r="I163" s="444">
        <f t="shared" ca="1" si="5"/>
        <v>4395323.1225149827</v>
      </c>
      <c r="J163" s="444">
        <f t="array" ref="J163">IFERROR(INDEX('Retirement Calculator'!K:K,MATCH('Lorri 401b'!N163,'Retirement Calculator'!A:A,0),0),0)</f>
        <v>20367.195264578786</v>
      </c>
      <c r="K163" s="444">
        <f t="shared" ca="1" si="2"/>
        <v>18228.983030210016</v>
      </c>
      <c r="L163" s="444">
        <f t="shared" ca="1" si="3"/>
        <v>4393184.9102806142</v>
      </c>
      <c r="M163" s="460">
        <f t="shared" si="6"/>
        <v>0.05</v>
      </c>
      <c r="N163" s="464">
        <f t="shared" si="7"/>
        <v>56005</v>
      </c>
    </row>
    <row r="164" spans="7:14" ht="11.25" customHeight="1" x14ac:dyDescent="0.3">
      <c r="G164" s="459">
        <f>G163+1</f>
        <v>14</v>
      </c>
      <c r="H164" s="459">
        <v>157</v>
      </c>
      <c r="I164" s="444">
        <f t="shared" ca="1" si="5"/>
        <v>4393184.9102806142</v>
      </c>
      <c r="J164" s="444">
        <f t="array" ref="J164">IFERROR(INDEX('Retirement Calculator'!K:K,MATCH('Lorri 401b'!N164,'Retirement Calculator'!A:A,0),0),0)</f>
        <v>20367.195264578786</v>
      </c>
      <c r="K164" s="444">
        <f t="shared" ca="1" si="2"/>
        <v>18220.073812566814</v>
      </c>
      <c r="L164" s="444">
        <f t="shared" ca="1" si="3"/>
        <v>4391037.7888286021</v>
      </c>
      <c r="M164" s="460">
        <f t="shared" si="6"/>
        <v>0.05</v>
      </c>
      <c r="N164" s="464">
        <f t="shared" si="7"/>
        <v>56036</v>
      </c>
    </row>
    <row r="165" spans="7:14" ht="11.25" customHeight="1" x14ac:dyDescent="0.3">
      <c r="G165" s="459">
        <f t="shared" ref="G165:G175" si="18">G164</f>
        <v>14</v>
      </c>
      <c r="H165" s="459">
        <v>158</v>
      </c>
      <c r="I165" s="444">
        <f t="shared" ca="1" si="5"/>
        <v>4391037.7888286021</v>
      </c>
      <c r="J165" s="444">
        <f t="array" ref="J165">IFERROR(INDEX('Retirement Calculator'!K:K,MATCH('Lorri 401b'!N165,'Retirement Calculator'!A:A,0),0),0)</f>
        <v>20367.195264578786</v>
      </c>
      <c r="K165" s="444">
        <f t="shared" ca="1" si="2"/>
        <v>18211.127473183431</v>
      </c>
      <c r="L165" s="444">
        <f t="shared" ca="1" si="3"/>
        <v>4388881.7210372062</v>
      </c>
      <c r="M165" s="460">
        <f t="shared" si="6"/>
        <v>0.05</v>
      </c>
      <c r="N165" s="464">
        <f t="shared" si="7"/>
        <v>56066</v>
      </c>
    </row>
    <row r="166" spans="7:14" ht="11.25" customHeight="1" x14ac:dyDescent="0.3">
      <c r="G166" s="459">
        <f t="shared" si="18"/>
        <v>14</v>
      </c>
      <c r="H166" s="459">
        <v>159</v>
      </c>
      <c r="I166" s="444">
        <f t="shared" ca="1" si="5"/>
        <v>4388881.7210372062</v>
      </c>
      <c r="J166" s="444">
        <f t="array" ref="J166">IFERROR(INDEX('Retirement Calculator'!K:K,MATCH('Lorri 401b'!N166,'Retirement Calculator'!A:A,0),0),0)</f>
        <v>20367.195264578786</v>
      </c>
      <c r="K166" s="444">
        <f t="shared" ca="1" si="2"/>
        <v>18202.143857385949</v>
      </c>
      <c r="L166" s="444">
        <f t="shared" ca="1" si="3"/>
        <v>4386716.6696300134</v>
      </c>
      <c r="M166" s="460">
        <f t="shared" si="6"/>
        <v>0.05</v>
      </c>
      <c r="N166" s="464">
        <f t="shared" si="7"/>
        <v>56097</v>
      </c>
    </row>
    <row r="167" spans="7:14" ht="11.25" customHeight="1" x14ac:dyDescent="0.3">
      <c r="G167" s="459">
        <f t="shared" si="18"/>
        <v>14</v>
      </c>
      <c r="H167" s="459">
        <v>160</v>
      </c>
      <c r="I167" s="444">
        <f t="shared" ca="1" si="5"/>
        <v>4386716.6696300134</v>
      </c>
      <c r="J167" s="444">
        <f t="array" ref="J167">IFERROR(INDEX('Retirement Calculator'!K:K,MATCH('Lorri 401b'!N167,'Retirement Calculator'!A:A,0),0),0)</f>
        <v>20367.195264578786</v>
      </c>
      <c r="K167" s="444">
        <f t="shared" ca="1" si="2"/>
        <v>18193.122809855977</v>
      </c>
      <c r="L167" s="444">
        <f t="shared" ca="1" si="3"/>
        <v>4384542.5971752908</v>
      </c>
      <c r="M167" s="460">
        <f t="shared" si="6"/>
        <v>0.05</v>
      </c>
      <c r="N167" s="464">
        <f t="shared" si="7"/>
        <v>56128</v>
      </c>
    </row>
    <row r="168" spans="7:14" ht="11.25" customHeight="1" x14ac:dyDescent="0.3">
      <c r="G168" s="459">
        <f t="shared" si="18"/>
        <v>14</v>
      </c>
      <c r="H168" s="459">
        <v>161</v>
      </c>
      <c r="I168" s="444">
        <f t="shared" ca="1" si="5"/>
        <v>4384542.5971752908</v>
      </c>
      <c r="J168" s="444">
        <f t="array" ref="J168">IFERROR(INDEX('Retirement Calculator'!K:K,MATCH('Lorri 401b'!N168,'Retirement Calculator'!A:A,0),0),0)</f>
        <v>20367.195264578786</v>
      </c>
      <c r="K168" s="444">
        <f t="shared" ca="1" si="2"/>
        <v>18184.064174627965</v>
      </c>
      <c r="L168" s="444">
        <f t="shared" ca="1" si="3"/>
        <v>4382359.4660853399</v>
      </c>
      <c r="M168" s="460">
        <f t="shared" si="6"/>
        <v>0.05</v>
      </c>
      <c r="N168" s="464">
        <f t="shared" si="7"/>
        <v>56158</v>
      </c>
    </row>
    <row r="169" spans="7:14" ht="11.25" customHeight="1" x14ac:dyDescent="0.3">
      <c r="G169" s="459">
        <f t="shared" si="18"/>
        <v>14</v>
      </c>
      <c r="H169" s="459">
        <v>162</v>
      </c>
      <c r="I169" s="444">
        <f t="shared" ca="1" si="5"/>
        <v>4382359.4660853399</v>
      </c>
      <c r="J169" s="444">
        <f t="array" ref="J169">IFERROR(INDEX('Retirement Calculator'!K:K,MATCH('Lorri 401b'!N169,'Retirement Calculator'!A:A,0),0),0)</f>
        <v>20367.195264578786</v>
      </c>
      <c r="K169" s="444">
        <f t="shared" ca="1" si="2"/>
        <v>18174.967795086504</v>
      </c>
      <c r="L169" s="444">
        <f t="shared" ca="1" si="3"/>
        <v>4380167.2386158472</v>
      </c>
      <c r="M169" s="460">
        <f t="shared" si="6"/>
        <v>0.05</v>
      </c>
      <c r="N169" s="464">
        <f t="shared" si="7"/>
        <v>56189</v>
      </c>
    </row>
    <row r="170" spans="7:14" ht="11.25" customHeight="1" x14ac:dyDescent="0.3">
      <c r="G170" s="459">
        <f t="shared" si="18"/>
        <v>14</v>
      </c>
      <c r="H170" s="459">
        <v>163</v>
      </c>
      <c r="I170" s="444">
        <f t="shared" ca="1" si="5"/>
        <v>4380167.2386158472</v>
      </c>
      <c r="J170" s="444">
        <f t="array" ref="J170">IFERROR(INDEX('Retirement Calculator'!K:K,MATCH('Lorri 401b'!N170,'Retirement Calculator'!A:A,0),0),0)</f>
        <v>20367.195264578786</v>
      </c>
      <c r="K170" s="444">
        <f t="shared" ca="1" si="2"/>
        <v>18165.833513963618</v>
      </c>
      <c r="L170" s="444">
        <f t="shared" ca="1" si="3"/>
        <v>4377965.8768652324</v>
      </c>
      <c r="M170" s="460">
        <f t="shared" si="6"/>
        <v>0.05</v>
      </c>
      <c r="N170" s="464">
        <f t="shared" si="7"/>
        <v>56219</v>
      </c>
    </row>
    <row r="171" spans="7:14" ht="11.25" customHeight="1" x14ac:dyDescent="0.3">
      <c r="G171" s="459">
        <f t="shared" si="18"/>
        <v>14</v>
      </c>
      <c r="H171" s="459">
        <v>164</v>
      </c>
      <c r="I171" s="444">
        <f t="shared" ca="1" si="5"/>
        <v>4377965.8768652324</v>
      </c>
      <c r="J171" s="444">
        <f t="array" ref="J171">IFERROR(INDEX('Retirement Calculator'!K:K,MATCH('Lorri 401b'!N171,'Retirement Calculator'!A:A,0),0),0)</f>
        <v>20367.195264578786</v>
      </c>
      <c r="K171" s="444">
        <f t="shared" ca="1" si="2"/>
        <v>18156.661173336055</v>
      </c>
      <c r="L171" s="444">
        <f t="shared" ca="1" si="3"/>
        <v>4375755.3427739898</v>
      </c>
      <c r="M171" s="460">
        <f t="shared" si="6"/>
        <v>0.05</v>
      </c>
      <c r="N171" s="464">
        <f t="shared" si="7"/>
        <v>56250</v>
      </c>
    </row>
    <row r="172" spans="7:14" ht="11.25" customHeight="1" x14ac:dyDescent="0.3">
      <c r="G172" s="459">
        <f t="shared" si="18"/>
        <v>14</v>
      </c>
      <c r="H172" s="459">
        <v>165</v>
      </c>
      <c r="I172" s="444">
        <f t="shared" ca="1" si="5"/>
        <v>4375755.3427739898</v>
      </c>
      <c r="J172" s="444">
        <f t="array" ref="J172">IFERROR(INDEX('Retirement Calculator'!K:K,MATCH('Lorri 401b'!N172,'Retirement Calculator'!A:A,0),0),0)</f>
        <v>20367.195264578786</v>
      </c>
      <c r="K172" s="444">
        <f t="shared" ca="1" si="2"/>
        <v>18147.450614622547</v>
      </c>
      <c r="L172" s="444">
        <f t="shared" ca="1" si="3"/>
        <v>4373535.5981240338</v>
      </c>
      <c r="M172" s="460">
        <f t="shared" si="6"/>
        <v>0.05</v>
      </c>
      <c r="N172" s="464">
        <f t="shared" si="7"/>
        <v>56281</v>
      </c>
    </row>
    <row r="173" spans="7:14" ht="11.25" customHeight="1" x14ac:dyDescent="0.3">
      <c r="G173" s="459">
        <f t="shared" si="18"/>
        <v>14</v>
      </c>
      <c r="H173" s="459">
        <v>166</v>
      </c>
      <c r="I173" s="444">
        <f t="shared" ca="1" si="5"/>
        <v>4373535.5981240338</v>
      </c>
      <c r="J173" s="444">
        <f t="array" ref="J173">IFERROR(INDEX('Retirement Calculator'!K:K,MATCH('Lorri 401b'!N173,'Retirement Calculator'!A:A,0),0),0)</f>
        <v>20367.195264578786</v>
      </c>
      <c r="K173" s="444">
        <f t="shared" ca="1" si="2"/>
        <v>18138.201678581063</v>
      </c>
      <c r="L173" s="444">
        <f t="shared" ca="1" si="3"/>
        <v>4371306.6045380356</v>
      </c>
      <c r="M173" s="460">
        <f t="shared" si="6"/>
        <v>0.05</v>
      </c>
      <c r="N173" s="464">
        <f t="shared" si="7"/>
        <v>56309</v>
      </c>
    </row>
    <row r="174" spans="7:14" ht="11.25" customHeight="1" x14ac:dyDescent="0.3">
      <c r="G174" s="459">
        <f t="shared" si="18"/>
        <v>14</v>
      </c>
      <c r="H174" s="459">
        <v>167</v>
      </c>
      <c r="I174" s="444">
        <f t="shared" ca="1" si="5"/>
        <v>4371306.6045380356</v>
      </c>
      <c r="J174" s="444">
        <f t="array" ref="J174">IFERROR(INDEX('Retirement Calculator'!K:K,MATCH('Lorri 401b'!N174,'Retirement Calculator'!A:A,0),0),0)</f>
        <v>20367.195264578786</v>
      </c>
      <c r="K174" s="444">
        <f t="shared" ca="1" si="2"/>
        <v>18128.914205306071</v>
      </c>
      <c r="L174" s="444">
        <f t="shared" ca="1" si="3"/>
        <v>4369068.323478763</v>
      </c>
      <c r="M174" s="460">
        <f t="shared" si="6"/>
        <v>0.05</v>
      </c>
      <c r="N174" s="464">
        <f t="shared" si="7"/>
        <v>56340</v>
      </c>
    </row>
    <row r="175" spans="7:14" ht="11.25" customHeight="1" x14ac:dyDescent="0.3">
      <c r="G175" s="459">
        <f t="shared" si="18"/>
        <v>14</v>
      </c>
      <c r="H175" s="459">
        <v>168</v>
      </c>
      <c r="I175" s="444">
        <f t="shared" ca="1" si="5"/>
        <v>4369068.323478763</v>
      </c>
      <c r="J175" s="444">
        <f t="array" ref="J175">IFERROR(INDEX('Retirement Calculator'!K:K,MATCH('Lorri 401b'!N175,'Retirement Calculator'!A:A,0),0),0)</f>
        <v>20367.195264578786</v>
      </c>
      <c r="K175" s="444">
        <f t="shared" ca="1" si="2"/>
        <v>18119.588034225766</v>
      </c>
      <c r="L175" s="444">
        <f t="shared" ca="1" si="3"/>
        <v>4366820.7162484098</v>
      </c>
      <c r="M175" s="460">
        <f t="shared" si="6"/>
        <v>0.05</v>
      </c>
      <c r="N175" s="464">
        <f t="shared" si="7"/>
        <v>56370</v>
      </c>
    </row>
    <row r="176" spans="7:14" ht="11.25" customHeight="1" x14ac:dyDescent="0.3">
      <c r="G176" s="459">
        <f>G175+1</f>
        <v>15</v>
      </c>
      <c r="H176" s="459">
        <v>169</v>
      </c>
      <c r="I176" s="444">
        <f t="shared" ca="1" si="5"/>
        <v>4366820.7162484098</v>
      </c>
      <c r="J176" s="444">
        <f t="array" ref="J176">IFERROR(INDEX('Retirement Calculator'!K:K,MATCH('Lorri 401b'!N176,'Retirement Calculator'!A:A,0),0),0)</f>
        <v>20367.195264578786</v>
      </c>
      <c r="K176" s="444">
        <f t="shared" ca="1" si="2"/>
        <v>18110.223004099294</v>
      </c>
      <c r="L176" s="444">
        <f t="shared" ca="1" si="3"/>
        <v>4364563.74398793</v>
      </c>
      <c r="M176" s="460">
        <f t="shared" si="6"/>
        <v>0.05</v>
      </c>
      <c r="N176" s="464">
        <f t="shared" si="7"/>
        <v>56401</v>
      </c>
    </row>
    <row r="177" spans="7:14" ht="11.25" customHeight="1" x14ac:dyDescent="0.3">
      <c r="G177" s="459">
        <f t="shared" ref="G177:G187" si="19">G176</f>
        <v>15</v>
      </c>
      <c r="H177" s="459">
        <v>170</v>
      </c>
      <c r="I177" s="444">
        <f t="shared" ca="1" si="5"/>
        <v>4364563.74398793</v>
      </c>
      <c r="J177" s="444">
        <f t="array" ref="J177">IFERROR(INDEX('Retirement Calculator'!K:K,MATCH('Lorri 401b'!N177,'Retirement Calculator'!A:A,0),0),0)</f>
        <v>20367.195264578786</v>
      </c>
      <c r="K177" s="444">
        <f t="shared" ca="1" si="2"/>
        <v>18100.818953013964</v>
      </c>
      <c r="L177" s="444">
        <f t="shared" ca="1" si="3"/>
        <v>4362297.3676763652</v>
      </c>
      <c r="M177" s="460">
        <f t="shared" si="6"/>
        <v>0.05</v>
      </c>
      <c r="N177" s="464">
        <f t="shared" si="7"/>
        <v>56431</v>
      </c>
    </row>
    <row r="178" spans="7:14" ht="11.25" customHeight="1" x14ac:dyDescent="0.3">
      <c r="G178" s="459">
        <f t="shared" si="19"/>
        <v>15</v>
      </c>
      <c r="H178" s="459">
        <v>171</v>
      </c>
      <c r="I178" s="444">
        <f t="shared" ca="1" si="5"/>
        <v>4362297.3676763652</v>
      </c>
      <c r="J178" s="444">
        <f t="array" ref="J178">IFERROR(INDEX('Retirement Calculator'!K:K,MATCH('Lorri 401b'!N178,'Retirement Calculator'!A:A,0),0),0)</f>
        <v>20367.195264578786</v>
      </c>
      <c r="K178" s="444">
        <f t="shared" ca="1" si="2"/>
        <v>18091.375718382442</v>
      </c>
      <c r="L178" s="444">
        <f t="shared" ca="1" si="3"/>
        <v>4360021.5481301686</v>
      </c>
      <c r="M178" s="460">
        <f t="shared" si="6"/>
        <v>0.05</v>
      </c>
      <c r="N178" s="464">
        <f t="shared" si="7"/>
        <v>56462</v>
      </c>
    </row>
    <row r="179" spans="7:14" ht="11.25" customHeight="1" x14ac:dyDescent="0.3">
      <c r="G179" s="459">
        <f t="shared" si="19"/>
        <v>15</v>
      </c>
      <c r="H179" s="459">
        <v>172</v>
      </c>
      <c r="I179" s="444">
        <f t="shared" ca="1" si="5"/>
        <v>4360021.5481301686</v>
      </c>
      <c r="J179" s="444">
        <f t="array" ref="J179">IFERROR(INDEX('Retirement Calculator'!K:K,MATCH('Lorri 401b'!N179,'Retirement Calculator'!A:A,0),0),0)</f>
        <v>20367.195264578786</v>
      </c>
      <c r="K179" s="444">
        <f t="shared" ca="1" si="2"/>
        <v>18081.893136939958</v>
      </c>
      <c r="L179" s="444">
        <f t="shared" ca="1" si="3"/>
        <v>4357736.2460025297</v>
      </c>
      <c r="M179" s="460">
        <f t="shared" si="6"/>
        <v>0.05</v>
      </c>
      <c r="N179" s="464">
        <f t="shared" si="7"/>
        <v>56493</v>
      </c>
    </row>
    <row r="180" spans="7:14" ht="11.25" customHeight="1" x14ac:dyDescent="0.3">
      <c r="G180" s="459">
        <f t="shared" si="19"/>
        <v>15</v>
      </c>
      <c r="H180" s="459">
        <v>173</v>
      </c>
      <c r="I180" s="444">
        <f t="shared" ca="1" si="5"/>
        <v>4357736.2460025297</v>
      </c>
      <c r="J180" s="444">
        <f t="array" ref="J180">IFERROR(INDEX('Retirement Calculator'!K:K,MATCH('Lorri 401b'!N180,'Retirement Calculator'!A:A,0),0),0)</f>
        <v>20367.195264578786</v>
      </c>
      <c r="K180" s="444">
        <f t="shared" ca="1" si="2"/>
        <v>18072.371044741463</v>
      </c>
      <c r="L180" s="444">
        <f t="shared" ca="1" si="3"/>
        <v>4355441.421782692</v>
      </c>
      <c r="M180" s="460">
        <f t="shared" si="6"/>
        <v>0.05</v>
      </c>
      <c r="N180" s="464">
        <f t="shared" si="7"/>
        <v>56523</v>
      </c>
    </row>
    <row r="181" spans="7:14" ht="11.25" customHeight="1" x14ac:dyDescent="0.3">
      <c r="G181" s="459">
        <f t="shared" si="19"/>
        <v>15</v>
      </c>
      <c r="H181" s="459">
        <v>174</v>
      </c>
      <c r="I181" s="444">
        <f t="shared" ca="1" si="5"/>
        <v>4355441.421782692</v>
      </c>
      <c r="J181" s="444">
        <f t="array" ref="J181">IFERROR(INDEX('Retirement Calculator'!K:K,MATCH('Lorri 401b'!N181,'Retirement Calculator'!A:A,0),0),0)</f>
        <v>20367.195264578786</v>
      </c>
      <c r="K181" s="444">
        <f t="shared" ca="1" si="2"/>
        <v>18062.809277158805</v>
      </c>
      <c r="L181" s="444">
        <f t="shared" ca="1" si="3"/>
        <v>4353137.0357952723</v>
      </c>
      <c r="M181" s="460">
        <f t="shared" si="6"/>
        <v>0.05</v>
      </c>
      <c r="N181" s="464">
        <f t="shared" si="7"/>
        <v>56554</v>
      </c>
    </row>
    <row r="182" spans="7:14" ht="11.25" customHeight="1" x14ac:dyDescent="0.3">
      <c r="G182" s="459">
        <f t="shared" si="19"/>
        <v>15</v>
      </c>
      <c r="H182" s="459">
        <v>175</v>
      </c>
      <c r="I182" s="444">
        <f t="shared" ca="1" si="5"/>
        <v>4353137.0357952723</v>
      </c>
      <c r="J182" s="444">
        <f t="array" ref="J182">IFERROR(INDEX('Retirement Calculator'!K:K,MATCH('Lorri 401b'!N182,'Retirement Calculator'!A:A,0),0),0)</f>
        <v>20367.195264578786</v>
      </c>
      <c r="K182" s="444">
        <f t="shared" ca="1" si="2"/>
        <v>18053.207668877891</v>
      </c>
      <c r="L182" s="444">
        <f t="shared" ca="1" si="3"/>
        <v>4350823.0481995717</v>
      </c>
      <c r="M182" s="460">
        <f t="shared" si="6"/>
        <v>0.05</v>
      </c>
      <c r="N182" s="464">
        <f t="shared" si="7"/>
        <v>56584</v>
      </c>
    </row>
    <row r="183" spans="7:14" ht="11.25" customHeight="1" x14ac:dyDescent="0.3">
      <c r="G183" s="459">
        <f t="shared" si="19"/>
        <v>15</v>
      </c>
      <c r="H183" s="459">
        <v>176</v>
      </c>
      <c r="I183" s="444">
        <f t="shared" ca="1" si="5"/>
        <v>4350823.0481995717</v>
      </c>
      <c r="J183" s="444">
        <f t="array" ref="J183">IFERROR(INDEX('Retirement Calculator'!K:K,MATCH('Lorri 401b'!N183,'Retirement Calculator'!A:A,0),0),0)</f>
        <v>20367.195264578786</v>
      </c>
      <c r="K183" s="444">
        <f t="shared" ca="1" si="2"/>
        <v>18043.566053895804</v>
      </c>
      <c r="L183" s="444">
        <f t="shared" ca="1" si="3"/>
        <v>4348499.4189888891</v>
      </c>
      <c r="M183" s="460">
        <f t="shared" si="6"/>
        <v>0.05</v>
      </c>
      <c r="N183" s="464">
        <f t="shared" si="7"/>
        <v>56615</v>
      </c>
    </row>
    <row r="184" spans="7:14" ht="11.25" customHeight="1" x14ac:dyDescent="0.3">
      <c r="G184" s="459">
        <f t="shared" si="19"/>
        <v>15</v>
      </c>
      <c r="H184" s="459">
        <v>177</v>
      </c>
      <c r="I184" s="444">
        <f t="shared" ca="1" si="5"/>
        <v>4348499.4189888891</v>
      </c>
      <c r="J184" s="444">
        <f t="array" ref="J184">IFERROR(INDEX('Retirement Calculator'!K:K,MATCH('Lorri 401b'!N184,'Retirement Calculator'!A:A,0),0),0)</f>
        <v>20367.195264578786</v>
      </c>
      <c r="K184" s="444">
        <f t="shared" ca="1" si="2"/>
        <v>18033.884265517958</v>
      </c>
      <c r="L184" s="444">
        <f t="shared" ca="1" si="3"/>
        <v>4346166.1079898281</v>
      </c>
      <c r="M184" s="460">
        <f t="shared" si="6"/>
        <v>0.05</v>
      </c>
      <c r="N184" s="464">
        <f t="shared" si="7"/>
        <v>56646</v>
      </c>
    </row>
    <row r="185" spans="7:14" ht="11.25" customHeight="1" x14ac:dyDescent="0.3">
      <c r="G185" s="459">
        <f t="shared" si="19"/>
        <v>15</v>
      </c>
      <c r="H185" s="459">
        <v>178</v>
      </c>
      <c r="I185" s="444">
        <f t="shared" ca="1" si="5"/>
        <v>4346166.1079898281</v>
      </c>
      <c r="J185" s="444">
        <f t="array" ref="J185">IFERROR(INDEX('Retirement Calculator'!K:K,MATCH('Lorri 401b'!N185,'Retirement Calculator'!A:A,0),0),0)</f>
        <v>20367.195264578786</v>
      </c>
      <c r="K185" s="444">
        <f t="shared" ca="1" si="2"/>
        <v>18024.162136355204</v>
      </c>
      <c r="L185" s="444">
        <f t="shared" ca="1" si="3"/>
        <v>4343823.0748616047</v>
      </c>
      <c r="M185" s="460">
        <f t="shared" si="6"/>
        <v>0.05</v>
      </c>
      <c r="N185" s="464">
        <f t="shared" si="7"/>
        <v>56674</v>
      </c>
    </row>
    <row r="186" spans="7:14" ht="11.25" customHeight="1" x14ac:dyDescent="0.3">
      <c r="G186" s="459">
        <f t="shared" si="19"/>
        <v>15</v>
      </c>
      <c r="H186" s="459">
        <v>179</v>
      </c>
      <c r="I186" s="444">
        <f t="shared" ca="1" si="5"/>
        <v>4343823.0748616047</v>
      </c>
      <c r="J186" s="444">
        <f t="array" ref="J186">IFERROR(INDEX('Retirement Calculator'!K:K,MATCH('Lorri 401b'!N186,'Retirement Calculator'!A:A,0),0),0)</f>
        <v>20367.195264578786</v>
      </c>
      <c r="K186" s="444">
        <f t="shared" ca="1" si="2"/>
        <v>18014.399498320941</v>
      </c>
      <c r="L186" s="444">
        <f t="shared" ca="1" si="3"/>
        <v>4341470.279095347</v>
      </c>
      <c r="M186" s="460">
        <f t="shared" si="6"/>
        <v>0.05</v>
      </c>
      <c r="N186" s="464">
        <f t="shared" si="7"/>
        <v>56705</v>
      </c>
    </row>
    <row r="187" spans="7:14" ht="11.25" customHeight="1" x14ac:dyDescent="0.3">
      <c r="G187" s="459">
        <f t="shared" si="19"/>
        <v>15</v>
      </c>
      <c r="H187" s="459">
        <v>180</v>
      </c>
      <c r="I187" s="444">
        <f t="shared" ca="1" si="5"/>
        <v>4341470.279095347</v>
      </c>
      <c r="J187" s="444">
        <f t="array" ref="J187">IFERROR(INDEX('Retirement Calculator'!K:K,MATCH('Lorri 401b'!N187,'Retirement Calculator'!A:A,0),0),0)</f>
        <v>20367.195264578786</v>
      </c>
      <c r="K187" s="444">
        <f t="shared" ca="1" si="2"/>
        <v>18004.5961826282</v>
      </c>
      <c r="L187" s="444">
        <f t="shared" ca="1" si="3"/>
        <v>4339107.6800133968</v>
      </c>
      <c r="M187" s="460">
        <f t="shared" si="6"/>
        <v>0.05</v>
      </c>
      <c r="N187" s="464">
        <f t="shared" si="7"/>
        <v>56735</v>
      </c>
    </row>
    <row r="188" spans="7:14" ht="11.25" customHeight="1" x14ac:dyDescent="0.3">
      <c r="G188" s="459">
        <f>G187+1</f>
        <v>16</v>
      </c>
      <c r="H188" s="459">
        <v>181</v>
      </c>
      <c r="I188" s="444">
        <f t="shared" ca="1" si="5"/>
        <v>4339107.6800133968</v>
      </c>
      <c r="J188" s="444">
        <f t="array" ref="J188">IFERROR(INDEX('Retirement Calculator'!K:K,MATCH('Lorri 401b'!N188,'Retirement Calculator'!A:A,0),0),0)</f>
        <v>20367.195264578786</v>
      </c>
      <c r="K188" s="444">
        <f t="shared" ca="1" si="2"/>
        <v>17994.752019786742</v>
      </c>
      <c r="L188" s="444">
        <f t="shared" ca="1" si="3"/>
        <v>4336735.2367686052</v>
      </c>
      <c r="M188" s="460">
        <f t="shared" si="6"/>
        <v>0.05</v>
      </c>
      <c r="N188" s="464">
        <f t="shared" si="7"/>
        <v>56766</v>
      </c>
    </row>
    <row r="189" spans="7:14" ht="11.25" customHeight="1" x14ac:dyDescent="0.3">
      <c r="G189" s="459">
        <f t="shared" ref="G189:G199" si="20">G188</f>
        <v>16</v>
      </c>
      <c r="H189" s="459">
        <v>182</v>
      </c>
      <c r="I189" s="444">
        <f t="shared" ca="1" si="5"/>
        <v>4336735.2367686052</v>
      </c>
      <c r="J189" s="444">
        <f t="array" ref="J189">IFERROR(INDEX('Retirement Calculator'!K:K,MATCH('Lorri 401b'!N189,'Retirement Calculator'!A:A,0),0),0)</f>
        <v>20367.195264578786</v>
      </c>
      <c r="K189" s="444">
        <f t="shared" ca="1" si="2"/>
        <v>17984.866839600109</v>
      </c>
      <c r="L189" s="444">
        <f t="shared" ca="1" si="3"/>
        <v>4334352.9083436262</v>
      </c>
      <c r="M189" s="460">
        <f t="shared" si="6"/>
        <v>0.05</v>
      </c>
      <c r="N189" s="464">
        <f t="shared" si="7"/>
        <v>56796</v>
      </c>
    </row>
    <row r="190" spans="7:14" ht="11.25" customHeight="1" x14ac:dyDescent="0.3">
      <c r="G190" s="459">
        <f t="shared" si="20"/>
        <v>16</v>
      </c>
      <c r="H190" s="459">
        <v>183</v>
      </c>
      <c r="I190" s="444">
        <f t="shared" ca="1" si="5"/>
        <v>4334352.9083436262</v>
      </c>
      <c r="J190" s="444">
        <f t="array" ref="J190">IFERROR(INDEX('Retirement Calculator'!K:K,MATCH('Lorri 401b'!N190,'Retirement Calculator'!A:A,0),0),0)</f>
        <v>20367.195264578786</v>
      </c>
      <c r="K190" s="444">
        <f t="shared" ca="1" si="2"/>
        <v>17974.940471162696</v>
      </c>
      <c r="L190" s="444">
        <f t="shared" ca="1" si="3"/>
        <v>4331960.6535502104</v>
      </c>
      <c r="M190" s="460">
        <f t="shared" si="6"/>
        <v>0.05</v>
      </c>
      <c r="N190" s="464">
        <f t="shared" si="7"/>
        <v>56827</v>
      </c>
    </row>
    <row r="191" spans="7:14" ht="11.25" customHeight="1" x14ac:dyDescent="0.3">
      <c r="G191" s="459">
        <f t="shared" si="20"/>
        <v>16</v>
      </c>
      <c r="H191" s="459">
        <v>184</v>
      </c>
      <c r="I191" s="444">
        <f t="shared" ca="1" si="5"/>
        <v>4331960.6535502104</v>
      </c>
      <c r="J191" s="444">
        <f t="array" ref="J191">IFERROR(INDEX('Retirement Calculator'!K:K,MATCH('Lorri 401b'!N191,'Retirement Calculator'!A:A,0),0),0)</f>
        <v>20367.195264578786</v>
      </c>
      <c r="K191" s="444">
        <f t="shared" ca="1" si="2"/>
        <v>17964.972742856797</v>
      </c>
      <c r="L191" s="444">
        <f t="shared" ca="1" si="3"/>
        <v>4329558.4310284881</v>
      </c>
      <c r="M191" s="460">
        <f t="shared" si="6"/>
        <v>0.05</v>
      </c>
      <c r="N191" s="464">
        <f t="shared" si="7"/>
        <v>56858</v>
      </c>
    </row>
    <row r="192" spans="7:14" ht="11.25" customHeight="1" x14ac:dyDescent="0.3">
      <c r="G192" s="459">
        <f t="shared" si="20"/>
        <v>16</v>
      </c>
      <c r="H192" s="459">
        <v>185</v>
      </c>
      <c r="I192" s="444">
        <f t="shared" ca="1" si="5"/>
        <v>4329558.4310284881</v>
      </c>
      <c r="J192" s="444">
        <f t="array" ref="J192">IFERROR(INDEX('Retirement Calculator'!K:K,MATCH('Lorri 401b'!N192,'Retirement Calculator'!A:A,0),0),0)</f>
        <v>20367.195264578786</v>
      </c>
      <c r="K192" s="444">
        <f t="shared" ca="1" si="2"/>
        <v>17954.963482349624</v>
      </c>
      <c r="L192" s="444">
        <f t="shared" ca="1" si="3"/>
        <v>4327146.1992462585</v>
      </c>
      <c r="M192" s="460">
        <f t="shared" si="6"/>
        <v>0.05</v>
      </c>
      <c r="N192" s="464">
        <f t="shared" si="7"/>
        <v>56888</v>
      </c>
    </row>
    <row r="193" spans="7:14" ht="11.25" customHeight="1" x14ac:dyDescent="0.3">
      <c r="G193" s="459">
        <f t="shared" si="20"/>
        <v>16</v>
      </c>
      <c r="H193" s="459">
        <v>186</v>
      </c>
      <c r="I193" s="444">
        <f t="shared" ca="1" si="5"/>
        <v>4327146.1992462585</v>
      </c>
      <c r="J193" s="444">
        <f t="array" ref="J193">IFERROR(INDEX('Retirement Calculator'!K:K,MATCH('Lorri 401b'!N193,'Retirement Calculator'!A:A,0),0),0)</f>
        <v>20367.195264578786</v>
      </c>
      <c r="K193" s="444">
        <f t="shared" ca="1" si="2"/>
        <v>17944.912516590332</v>
      </c>
      <c r="L193" s="444">
        <f t="shared" ca="1" si="3"/>
        <v>4324723.9164982699</v>
      </c>
      <c r="M193" s="460">
        <f t="shared" si="6"/>
        <v>0.05</v>
      </c>
      <c r="N193" s="464">
        <f t="shared" si="7"/>
        <v>56919</v>
      </c>
    </row>
    <row r="194" spans="7:14" ht="11.25" customHeight="1" x14ac:dyDescent="0.3">
      <c r="G194" s="459">
        <f t="shared" si="20"/>
        <v>16</v>
      </c>
      <c r="H194" s="459">
        <v>187</v>
      </c>
      <c r="I194" s="444">
        <f t="shared" ca="1" si="5"/>
        <v>4324723.9164982699</v>
      </c>
      <c r="J194" s="444">
        <f t="array" ref="J194">IFERROR(INDEX('Retirement Calculator'!K:K,MATCH('Lorri 401b'!N194,'Retirement Calculator'!A:A,0),0),0)</f>
        <v>20367.195264578786</v>
      </c>
      <c r="K194" s="444">
        <f t="shared" ca="1" si="2"/>
        <v>17934.819671807047</v>
      </c>
      <c r="L194" s="444">
        <f t="shared" ca="1" si="3"/>
        <v>4322291.540905498</v>
      </c>
      <c r="M194" s="460">
        <f t="shared" si="6"/>
        <v>0.05</v>
      </c>
      <c r="N194" s="464">
        <f t="shared" si="7"/>
        <v>56949</v>
      </c>
    </row>
    <row r="195" spans="7:14" ht="11.25" customHeight="1" x14ac:dyDescent="0.3">
      <c r="G195" s="459">
        <f t="shared" si="20"/>
        <v>16</v>
      </c>
      <c r="H195" s="459">
        <v>188</v>
      </c>
      <c r="I195" s="444">
        <f t="shared" ca="1" si="5"/>
        <v>4322291.540905498</v>
      </c>
      <c r="J195" s="444">
        <f t="array" ref="J195">IFERROR(INDEX('Retirement Calculator'!K:K,MATCH('Lorri 401b'!N195,'Retirement Calculator'!A:A,0),0),0)</f>
        <v>20367.195264578786</v>
      </c>
      <c r="K195" s="444">
        <f t="shared" ca="1" si="2"/>
        <v>17924.684773503828</v>
      </c>
      <c r="L195" s="444">
        <f t="shared" ca="1" si="3"/>
        <v>4319849.030414423</v>
      </c>
      <c r="M195" s="460">
        <f t="shared" si="6"/>
        <v>0.05</v>
      </c>
      <c r="N195" s="464">
        <f t="shared" si="7"/>
        <v>56980</v>
      </c>
    </row>
    <row r="196" spans="7:14" ht="11.25" customHeight="1" x14ac:dyDescent="0.3">
      <c r="G196" s="459">
        <f t="shared" si="20"/>
        <v>16</v>
      </c>
      <c r="H196" s="459">
        <v>189</v>
      </c>
      <c r="I196" s="444">
        <f t="shared" ca="1" si="5"/>
        <v>4319849.030414423</v>
      </c>
      <c r="J196" s="444">
        <f t="array" ref="J196">IFERROR(INDEX('Retirement Calculator'!K:K,MATCH('Lorri 401b'!N196,'Retirement Calculator'!A:A,0),0),0)</f>
        <v>20367.195264578786</v>
      </c>
      <c r="K196" s="444">
        <f t="shared" ca="1" si="2"/>
        <v>17914.507646457685</v>
      </c>
      <c r="L196" s="444">
        <f t="shared" ca="1" si="3"/>
        <v>4317396.3427963015</v>
      </c>
      <c r="M196" s="460">
        <f t="shared" si="6"/>
        <v>0.05</v>
      </c>
      <c r="N196" s="464">
        <f t="shared" si="7"/>
        <v>57011</v>
      </c>
    </row>
    <row r="197" spans="7:14" ht="11.25" customHeight="1" x14ac:dyDescent="0.3">
      <c r="G197" s="459">
        <f t="shared" si="20"/>
        <v>16</v>
      </c>
      <c r="H197" s="459">
        <v>190</v>
      </c>
      <c r="I197" s="444">
        <f t="shared" ca="1" si="5"/>
        <v>4317396.3427963015</v>
      </c>
      <c r="J197" s="444">
        <f t="array" ref="J197">IFERROR(INDEX('Retirement Calculator'!K:K,MATCH('Lorri 401b'!N197,'Retirement Calculator'!A:A,0),0),0)</f>
        <v>20367.195264578786</v>
      </c>
      <c r="K197" s="444">
        <f t="shared" ca="1" si="2"/>
        <v>17904.288114715509</v>
      </c>
      <c r="L197" s="444">
        <f t="shared" ca="1" si="3"/>
        <v>4314933.435646438</v>
      </c>
      <c r="M197" s="460">
        <f t="shared" si="6"/>
        <v>0.05</v>
      </c>
      <c r="N197" s="464">
        <f t="shared" si="7"/>
        <v>57040</v>
      </c>
    </row>
    <row r="198" spans="7:14" ht="11.25" customHeight="1" x14ac:dyDescent="0.3">
      <c r="G198" s="459">
        <f t="shared" si="20"/>
        <v>16</v>
      </c>
      <c r="H198" s="459">
        <v>191</v>
      </c>
      <c r="I198" s="444">
        <f t="shared" ca="1" si="5"/>
        <v>4314933.435646438</v>
      </c>
      <c r="J198" s="444">
        <f t="array" ref="J198">IFERROR(INDEX('Retirement Calculator'!K:K,MATCH('Lorri 401b'!N198,'Retirement Calculator'!A:A,0),0),0)</f>
        <v>20367.195264578786</v>
      </c>
      <c r="K198" s="444">
        <f t="shared" ca="1" si="2"/>
        <v>17894.026001591079</v>
      </c>
      <c r="L198" s="444">
        <f t="shared" ca="1" si="3"/>
        <v>4312460.2663834505</v>
      </c>
      <c r="M198" s="460">
        <f t="shared" si="6"/>
        <v>0.05</v>
      </c>
      <c r="N198" s="464">
        <f t="shared" si="7"/>
        <v>57071</v>
      </c>
    </row>
    <row r="199" spans="7:14" ht="11.25" customHeight="1" x14ac:dyDescent="0.3">
      <c r="G199" s="459">
        <f t="shared" si="20"/>
        <v>16</v>
      </c>
      <c r="H199" s="459">
        <v>192</v>
      </c>
      <c r="I199" s="444">
        <f t="shared" ca="1" si="5"/>
        <v>4312460.2663834505</v>
      </c>
      <c r="J199" s="444">
        <f t="array" ref="J199">IFERROR(INDEX('Retirement Calculator'!K:K,MATCH('Lorri 401b'!N199,'Retirement Calculator'!A:A,0),0),0)</f>
        <v>20367.195264578786</v>
      </c>
      <c r="K199" s="444">
        <f t="shared" ca="1" si="2"/>
        <v>17883.721129661964</v>
      </c>
      <c r="L199" s="444">
        <f t="shared" ca="1" si="3"/>
        <v>4309976.792248534</v>
      </c>
      <c r="M199" s="460">
        <f t="shared" si="6"/>
        <v>0.05</v>
      </c>
      <c r="N199" s="464">
        <f t="shared" si="7"/>
        <v>57101</v>
      </c>
    </row>
    <row r="200" spans="7:14" ht="11.25" customHeight="1" x14ac:dyDescent="0.3">
      <c r="G200" s="459">
        <f>G199+1</f>
        <v>17</v>
      </c>
      <c r="H200" s="459">
        <v>193</v>
      </c>
      <c r="I200" s="444">
        <f t="shared" ca="1" si="5"/>
        <v>4309976.792248534</v>
      </c>
      <c r="J200" s="444">
        <f t="array" ref="J200">IFERROR(INDEX('Retirement Calculator'!K:K,MATCH('Lorri 401b'!N200,'Retirement Calculator'!A:A,0),0),0)</f>
        <v>20367.195264578786</v>
      </c>
      <c r="K200" s="444">
        <f t="shared" ca="1" si="2"/>
        <v>17873.373320766481</v>
      </c>
      <c r="L200" s="444">
        <f t="shared" ca="1" si="3"/>
        <v>4307482.970304722</v>
      </c>
      <c r="M200" s="460">
        <f t="shared" si="6"/>
        <v>0.05</v>
      </c>
      <c r="N200" s="464">
        <f t="shared" si="7"/>
        <v>57132</v>
      </c>
    </row>
    <row r="201" spans="7:14" ht="11.25" customHeight="1" x14ac:dyDescent="0.3">
      <c r="G201" s="459">
        <f t="shared" ref="G201:G211" si="21">G200</f>
        <v>17</v>
      </c>
      <c r="H201" s="459">
        <v>194</v>
      </c>
      <c r="I201" s="444">
        <f t="shared" ca="1" si="5"/>
        <v>4307482.970304722</v>
      </c>
      <c r="J201" s="444">
        <f t="array" ref="J201">IFERROR(INDEX('Retirement Calculator'!K:K,MATCH('Lorri 401b'!N201,'Retirement Calculator'!A:A,0),0),0)</f>
        <v>20367.195264578786</v>
      </c>
      <c r="K201" s="444">
        <f t="shared" ca="1" si="2"/>
        <v>17862.982396000596</v>
      </c>
      <c r="L201" s="444">
        <f t="shared" ca="1" si="3"/>
        <v>4304978.7574361442</v>
      </c>
      <c r="M201" s="460">
        <f t="shared" si="6"/>
        <v>0.05</v>
      </c>
      <c r="N201" s="464">
        <f t="shared" si="7"/>
        <v>57162</v>
      </c>
    </row>
    <row r="202" spans="7:14" ht="11.25" customHeight="1" x14ac:dyDescent="0.3">
      <c r="G202" s="459">
        <f t="shared" si="21"/>
        <v>17</v>
      </c>
      <c r="H202" s="459">
        <v>195</v>
      </c>
      <c r="I202" s="444">
        <f t="shared" ca="1" si="5"/>
        <v>4304978.7574361442</v>
      </c>
      <c r="J202" s="444">
        <f t="array" ref="J202">IFERROR(INDEX('Retirement Calculator'!K:K,MATCH('Lorri 401b'!N202,'Retirement Calculator'!A:A,0),0),0)</f>
        <v>20367.195264578786</v>
      </c>
      <c r="K202" s="444">
        <f t="shared" ca="1" si="2"/>
        <v>17852.548175714855</v>
      </c>
      <c r="L202" s="444">
        <f t="shared" ca="1" si="3"/>
        <v>4302464.1103472803</v>
      </c>
      <c r="M202" s="460">
        <f t="shared" si="6"/>
        <v>0.05</v>
      </c>
      <c r="N202" s="464">
        <f t="shared" si="7"/>
        <v>57193</v>
      </c>
    </row>
    <row r="203" spans="7:14" ht="11.25" customHeight="1" x14ac:dyDescent="0.3">
      <c r="G203" s="459">
        <f t="shared" si="21"/>
        <v>17</v>
      </c>
      <c r="H203" s="459">
        <v>196</v>
      </c>
      <c r="I203" s="444">
        <f t="shared" ca="1" si="5"/>
        <v>4302464.1103472803</v>
      </c>
      <c r="J203" s="444">
        <f t="array" ref="J203">IFERROR(INDEX('Retirement Calculator'!K:K,MATCH('Lorri 401b'!N203,'Retirement Calculator'!A:A,0),0),0)</f>
        <v>20367.195264578786</v>
      </c>
      <c r="K203" s="444">
        <f t="shared" ca="1" si="2"/>
        <v>17842.070479511254</v>
      </c>
      <c r="L203" s="444">
        <f t="shared" ca="1" si="3"/>
        <v>4299938.9855622128</v>
      </c>
      <c r="M203" s="460">
        <f t="shared" si="6"/>
        <v>0.05</v>
      </c>
      <c r="N203" s="464">
        <f t="shared" si="7"/>
        <v>57224</v>
      </c>
    </row>
    <row r="204" spans="7:14" ht="11.25" customHeight="1" x14ac:dyDescent="0.3">
      <c r="G204" s="459">
        <f t="shared" si="21"/>
        <v>17</v>
      </c>
      <c r="H204" s="459">
        <v>197</v>
      </c>
      <c r="I204" s="444">
        <f t="shared" ca="1" si="5"/>
        <v>4299938.9855622128</v>
      </c>
      <c r="J204" s="444">
        <f t="array" ref="J204">IFERROR(INDEX('Retirement Calculator'!K:K,MATCH('Lorri 401b'!N204,'Retirement Calculator'!A:A,0),0),0)</f>
        <v>20367.195264578786</v>
      </c>
      <c r="K204" s="444">
        <f t="shared" ca="1" si="2"/>
        <v>17831.549126240141</v>
      </c>
      <c r="L204" s="444">
        <f t="shared" ca="1" si="3"/>
        <v>4297403.3394238744</v>
      </c>
      <c r="M204" s="460">
        <f t="shared" si="6"/>
        <v>0.05</v>
      </c>
      <c r="N204" s="464">
        <f t="shared" si="7"/>
        <v>57254</v>
      </c>
    </row>
    <row r="205" spans="7:14" ht="11.25" customHeight="1" x14ac:dyDescent="0.3">
      <c r="G205" s="459">
        <f t="shared" si="21"/>
        <v>17</v>
      </c>
      <c r="H205" s="459">
        <v>198</v>
      </c>
      <c r="I205" s="444">
        <f t="shared" ca="1" si="5"/>
        <v>4297403.3394238744</v>
      </c>
      <c r="J205" s="444">
        <f t="array" ref="J205">IFERROR(INDEX('Retirement Calculator'!K:K,MATCH('Lorri 401b'!N205,'Retirement Calculator'!A:A,0),0),0)</f>
        <v>20367.195264578786</v>
      </c>
      <c r="K205" s="444">
        <f t="shared" ca="1" si="2"/>
        <v>17820.983933997064</v>
      </c>
      <c r="L205" s="444">
        <f t="shared" ca="1" si="3"/>
        <v>4294857.1280932929</v>
      </c>
      <c r="M205" s="460">
        <f t="shared" si="6"/>
        <v>0.05</v>
      </c>
      <c r="N205" s="464">
        <f t="shared" si="7"/>
        <v>57285</v>
      </c>
    </row>
    <row r="206" spans="7:14" ht="11.25" customHeight="1" x14ac:dyDescent="0.3">
      <c r="G206" s="459">
        <f t="shared" si="21"/>
        <v>17</v>
      </c>
      <c r="H206" s="459">
        <v>199</v>
      </c>
      <c r="I206" s="444">
        <f t="shared" ca="1" si="5"/>
        <v>4294857.1280932929</v>
      </c>
      <c r="J206" s="444">
        <f t="array" ref="J206">IFERROR(INDEX('Retirement Calculator'!K:K,MATCH('Lorri 401b'!N206,'Retirement Calculator'!A:A,0),0),0)</f>
        <v>20367.195264578786</v>
      </c>
      <c r="K206" s="444">
        <f t="shared" ca="1" si="2"/>
        <v>17810.374720119642</v>
      </c>
      <c r="L206" s="444">
        <f t="shared" ca="1" si="3"/>
        <v>4292300.307548834</v>
      </c>
      <c r="M206" s="460">
        <f t="shared" si="6"/>
        <v>0.05</v>
      </c>
      <c r="N206" s="464">
        <f t="shared" si="7"/>
        <v>57315</v>
      </c>
    </row>
    <row r="207" spans="7:14" ht="11.25" customHeight="1" x14ac:dyDescent="0.3">
      <c r="G207" s="459">
        <f t="shared" si="21"/>
        <v>17</v>
      </c>
      <c r="H207" s="459">
        <v>200</v>
      </c>
      <c r="I207" s="444">
        <f t="shared" ca="1" si="5"/>
        <v>4292300.307548834</v>
      </c>
      <c r="J207" s="444">
        <f t="array" ref="J207">IFERROR(INDEX('Retirement Calculator'!K:K,MATCH('Lorri 401b'!N207,'Retirement Calculator'!A:A,0),0),0)</f>
        <v>20367.195264578786</v>
      </c>
      <c r="K207" s="444">
        <f t="shared" ca="1" si="2"/>
        <v>17799.721301184396</v>
      </c>
      <c r="L207" s="444">
        <f t="shared" ca="1" si="3"/>
        <v>4289732.8335854392</v>
      </c>
      <c r="M207" s="460">
        <f t="shared" si="6"/>
        <v>0.05</v>
      </c>
      <c r="N207" s="464">
        <f t="shared" si="7"/>
        <v>57346</v>
      </c>
    </row>
    <row r="208" spans="7:14" ht="11.25" customHeight="1" x14ac:dyDescent="0.3">
      <c r="G208" s="459">
        <f t="shared" si="21"/>
        <v>17</v>
      </c>
      <c r="H208" s="459">
        <v>201</v>
      </c>
      <c r="I208" s="444">
        <f t="shared" ca="1" si="5"/>
        <v>4289732.8335854392</v>
      </c>
      <c r="J208" s="444">
        <f t="array" ref="J208">IFERROR(INDEX('Retirement Calculator'!K:K,MATCH('Lorri 401b'!N208,'Retirement Calculator'!A:A,0),0),0)</f>
        <v>20367.195264578786</v>
      </c>
      <c r="K208" s="444">
        <f t="shared" ca="1" si="2"/>
        <v>17789.023493003584</v>
      </c>
      <c r="L208" s="444">
        <f t="shared" ca="1" si="3"/>
        <v>4287154.6618138645</v>
      </c>
      <c r="M208" s="460">
        <f t="shared" si="6"/>
        <v>0.05</v>
      </c>
      <c r="N208" s="464">
        <f t="shared" si="7"/>
        <v>57377</v>
      </c>
    </row>
    <row r="209" spans="7:14" ht="11.25" customHeight="1" x14ac:dyDescent="0.3">
      <c r="G209" s="459">
        <f t="shared" si="21"/>
        <v>17</v>
      </c>
      <c r="H209" s="459">
        <v>202</v>
      </c>
      <c r="I209" s="444">
        <f t="shared" ca="1" si="5"/>
        <v>4287154.6618138645</v>
      </c>
      <c r="J209" s="444">
        <f t="array" ref="J209">IFERROR(INDEX('Retirement Calculator'!K:K,MATCH('Lorri 401b'!N209,'Retirement Calculator'!A:A,0),0),0)</f>
        <v>20367.195264578786</v>
      </c>
      <c r="K209" s="444">
        <f t="shared" ca="1" si="2"/>
        <v>17778.281110622025</v>
      </c>
      <c r="L209" s="444">
        <f t="shared" ca="1" si="3"/>
        <v>4284565.7476599077</v>
      </c>
      <c r="M209" s="460">
        <f t="shared" si="6"/>
        <v>0.05</v>
      </c>
      <c r="N209" s="464">
        <f t="shared" si="7"/>
        <v>57405</v>
      </c>
    </row>
    <row r="210" spans="7:14" ht="11.25" customHeight="1" x14ac:dyDescent="0.3">
      <c r="G210" s="459">
        <f t="shared" si="21"/>
        <v>17</v>
      </c>
      <c r="H210" s="459">
        <v>203</v>
      </c>
      <c r="I210" s="444">
        <f t="shared" ca="1" si="5"/>
        <v>4284565.7476599077</v>
      </c>
      <c r="J210" s="444">
        <f t="array" ref="J210">IFERROR(INDEX('Retirement Calculator'!K:K,MATCH('Lorri 401b'!N210,'Retirement Calculator'!A:A,0),0),0)</f>
        <v>20367.195264578786</v>
      </c>
      <c r="K210" s="444">
        <f t="shared" ca="1" si="2"/>
        <v>17767.493968313869</v>
      </c>
      <c r="L210" s="444">
        <f t="shared" ca="1" si="3"/>
        <v>4281966.0463636424</v>
      </c>
      <c r="M210" s="460">
        <f t="shared" si="6"/>
        <v>0.05</v>
      </c>
      <c r="N210" s="464">
        <f t="shared" si="7"/>
        <v>57436</v>
      </c>
    </row>
    <row r="211" spans="7:14" ht="11.25" customHeight="1" x14ac:dyDescent="0.3">
      <c r="G211" s="459">
        <f t="shared" si="21"/>
        <v>17</v>
      </c>
      <c r="H211" s="459">
        <v>204</v>
      </c>
      <c r="I211" s="444">
        <f t="shared" ca="1" si="5"/>
        <v>4281966.0463636424</v>
      </c>
      <c r="J211" s="444">
        <f t="array" ref="J211">IFERROR(INDEX('Retirement Calculator'!K:K,MATCH('Lorri 401b'!N211,'Retirement Calculator'!A:A,0),0),0)</f>
        <v>20367.195264578786</v>
      </c>
      <c r="K211" s="444">
        <f t="shared" ca="1" si="2"/>
        <v>17756.661879579431</v>
      </c>
      <c r="L211" s="444">
        <f t="shared" ca="1" si="3"/>
        <v>4279355.5129786432</v>
      </c>
      <c r="M211" s="460">
        <f t="shared" si="6"/>
        <v>0.05</v>
      </c>
      <c r="N211" s="464">
        <f t="shared" si="7"/>
        <v>57466</v>
      </c>
    </row>
    <row r="212" spans="7:14" ht="11.25" customHeight="1" x14ac:dyDescent="0.3">
      <c r="G212" s="459">
        <f>G211+1</f>
        <v>18</v>
      </c>
      <c r="H212" s="459">
        <v>205</v>
      </c>
      <c r="I212" s="444">
        <f t="shared" ca="1" si="5"/>
        <v>4279355.5129786432</v>
      </c>
      <c r="J212" s="444">
        <f t="array" ref="J212">IFERROR(INDEX('Retirement Calculator'!K:K,MATCH('Lorri 401b'!N212,'Retirement Calculator'!A:A,0),0),0)</f>
        <v>20367.195264578786</v>
      </c>
      <c r="K212" s="444">
        <f t="shared" ca="1" si="2"/>
        <v>17745.784657141936</v>
      </c>
      <c r="L212" s="444">
        <f t="shared" ca="1" si="3"/>
        <v>4276734.1023712065</v>
      </c>
      <c r="M212" s="460">
        <f t="shared" si="6"/>
        <v>0.05</v>
      </c>
      <c r="N212" s="464">
        <f t="shared" si="7"/>
        <v>57497</v>
      </c>
    </row>
    <row r="213" spans="7:14" ht="11.25" customHeight="1" x14ac:dyDescent="0.3">
      <c r="G213" s="459">
        <f t="shared" ref="G213:G223" si="22">G212</f>
        <v>18</v>
      </c>
      <c r="H213" s="459">
        <v>206</v>
      </c>
      <c r="I213" s="444">
        <f t="shared" ca="1" si="5"/>
        <v>4276734.1023712065</v>
      </c>
      <c r="J213" s="444">
        <f t="array" ref="J213">IFERROR(INDEX('Retirement Calculator'!K:K,MATCH('Lorri 401b'!N213,'Retirement Calculator'!A:A,0),0),0)</f>
        <v>20367.195264578786</v>
      </c>
      <c r="K213" s="444">
        <f t="shared" ca="1" si="2"/>
        <v>17734.862112944284</v>
      </c>
      <c r="L213" s="444">
        <f t="shared" ca="1" si="3"/>
        <v>4274101.7692195717</v>
      </c>
      <c r="M213" s="460">
        <f t="shared" si="6"/>
        <v>0.05</v>
      </c>
      <c r="N213" s="464">
        <f t="shared" si="7"/>
        <v>57527</v>
      </c>
    </row>
    <row r="214" spans="7:14" ht="11.25" customHeight="1" x14ac:dyDescent="0.3">
      <c r="G214" s="459">
        <f t="shared" si="22"/>
        <v>18</v>
      </c>
      <c r="H214" s="459">
        <v>207</v>
      </c>
      <c r="I214" s="444">
        <f t="shared" ca="1" si="5"/>
        <v>4274101.7692195717</v>
      </c>
      <c r="J214" s="444">
        <f t="array" ref="J214">IFERROR(INDEX('Retirement Calculator'!K:K,MATCH('Lorri 401b'!N214,'Retirement Calculator'!A:A,0),0),0)</f>
        <v>20367.195264578786</v>
      </c>
      <c r="K214" s="444">
        <f t="shared" ca="1" si="2"/>
        <v>17723.894058145805</v>
      </c>
      <c r="L214" s="444">
        <f t="shared" ca="1" si="3"/>
        <v>4271458.4680131385</v>
      </c>
      <c r="M214" s="460">
        <f t="shared" si="6"/>
        <v>0.05</v>
      </c>
      <c r="N214" s="464">
        <f t="shared" si="7"/>
        <v>57558</v>
      </c>
    </row>
    <row r="215" spans="7:14" ht="11.25" customHeight="1" x14ac:dyDescent="0.3">
      <c r="G215" s="459">
        <f t="shared" si="22"/>
        <v>18</v>
      </c>
      <c r="H215" s="459">
        <v>208</v>
      </c>
      <c r="I215" s="444">
        <f t="shared" ca="1" si="5"/>
        <v>4271458.4680131385</v>
      </c>
      <c r="J215" s="444">
        <f t="array" ref="J215">IFERROR(INDEX('Retirement Calculator'!K:K,MATCH('Lorri 401b'!N215,'Retirement Calculator'!A:A,0),0),0)</f>
        <v>20367.195264578786</v>
      </c>
      <c r="K215" s="444">
        <f t="shared" ca="1" si="2"/>
        <v>17712.880303119</v>
      </c>
      <c r="L215" s="444">
        <f t="shared" ca="1" si="3"/>
        <v>4268804.153051679</v>
      </c>
      <c r="M215" s="460">
        <f t="shared" si="6"/>
        <v>0.05</v>
      </c>
      <c r="N215" s="464">
        <f t="shared" si="7"/>
        <v>57589</v>
      </c>
    </row>
    <row r="216" spans="7:14" ht="11.25" customHeight="1" x14ac:dyDescent="0.3">
      <c r="G216" s="459">
        <f t="shared" si="22"/>
        <v>18</v>
      </c>
      <c r="H216" s="459">
        <v>209</v>
      </c>
      <c r="I216" s="444">
        <f t="shared" ca="1" si="5"/>
        <v>4268804.153051679</v>
      </c>
      <c r="J216" s="444">
        <f t="array" ref="J216">IFERROR(INDEX('Retirement Calculator'!K:K,MATCH('Lorri 401b'!N216,'Retirement Calculator'!A:A,0),0),0)</f>
        <v>20367.195264578786</v>
      </c>
      <c r="K216" s="444">
        <f t="shared" ca="1" si="2"/>
        <v>17701.820657446249</v>
      </c>
      <c r="L216" s="444">
        <f t="shared" ca="1" si="3"/>
        <v>4266138.7784445463</v>
      </c>
      <c r="M216" s="460">
        <f t="shared" si="6"/>
        <v>0.05</v>
      </c>
      <c r="N216" s="464">
        <f t="shared" si="7"/>
        <v>57619</v>
      </c>
    </row>
    <row r="217" spans="7:14" ht="11.25" customHeight="1" x14ac:dyDescent="0.3">
      <c r="G217" s="459">
        <f t="shared" si="22"/>
        <v>18</v>
      </c>
      <c r="H217" s="459">
        <v>210</v>
      </c>
      <c r="I217" s="444">
        <f t="shared" ca="1" si="5"/>
        <v>4266138.7784445463</v>
      </c>
      <c r="J217" s="444">
        <f t="array" ref="J217">IFERROR(INDEX('Retirement Calculator'!K:K,MATCH('Lorri 401b'!N217,'Retirement Calculator'!A:A,0),0),0)</f>
        <v>20367.195264578786</v>
      </c>
      <c r="K217" s="444">
        <f t="shared" ca="1" si="2"/>
        <v>17690.714929916532</v>
      </c>
      <c r="L217" s="444">
        <f t="shared" ca="1" si="3"/>
        <v>4263462.2981098844</v>
      </c>
      <c r="M217" s="460">
        <f t="shared" si="6"/>
        <v>0.05</v>
      </c>
      <c r="N217" s="464">
        <f t="shared" si="7"/>
        <v>57650</v>
      </c>
    </row>
    <row r="218" spans="7:14" ht="11.25" customHeight="1" x14ac:dyDescent="0.3">
      <c r="G218" s="459">
        <f t="shared" si="22"/>
        <v>18</v>
      </c>
      <c r="H218" s="459">
        <v>211</v>
      </c>
      <c r="I218" s="444">
        <f t="shared" ca="1" si="5"/>
        <v>4263462.2981098844</v>
      </c>
      <c r="J218" s="444">
        <f t="array" ref="J218">IFERROR(INDEX('Retirement Calculator'!K:K,MATCH('Lorri 401b'!N218,'Retirement Calculator'!A:A,0),0),0)</f>
        <v>20367.195264578786</v>
      </c>
      <c r="K218" s="444">
        <f t="shared" ca="1" si="2"/>
        <v>17679.562928522108</v>
      </c>
      <c r="L218" s="444">
        <f t="shared" ca="1" si="3"/>
        <v>4260774.6657738276</v>
      </c>
      <c r="M218" s="460">
        <f t="shared" si="6"/>
        <v>0.05</v>
      </c>
      <c r="N218" s="464">
        <f t="shared" si="7"/>
        <v>57680</v>
      </c>
    </row>
    <row r="219" spans="7:14" ht="11.25" customHeight="1" x14ac:dyDescent="0.3">
      <c r="G219" s="459">
        <f t="shared" si="22"/>
        <v>18</v>
      </c>
      <c r="H219" s="459">
        <v>212</v>
      </c>
      <c r="I219" s="444">
        <f t="shared" ca="1" si="5"/>
        <v>4260774.6657738276</v>
      </c>
      <c r="J219" s="444">
        <f t="array" ref="J219">IFERROR(INDEX('Retirement Calculator'!K:K,MATCH('Lorri 401b'!N219,'Retirement Calculator'!A:A,0),0),0)</f>
        <v>20367.195264578786</v>
      </c>
      <c r="K219" s="444">
        <f t="shared" ca="1" si="2"/>
        <v>17668.364460455203</v>
      </c>
      <c r="L219" s="444">
        <f t="shared" ca="1" si="3"/>
        <v>4258075.834969704</v>
      </c>
      <c r="M219" s="460">
        <f t="shared" si="6"/>
        <v>0.05</v>
      </c>
      <c r="N219" s="464">
        <f t="shared" si="7"/>
        <v>57711</v>
      </c>
    </row>
    <row r="220" spans="7:14" ht="11.25" customHeight="1" x14ac:dyDescent="0.3">
      <c r="G220" s="459">
        <f t="shared" si="22"/>
        <v>18</v>
      </c>
      <c r="H220" s="459">
        <v>213</v>
      </c>
      <c r="I220" s="444">
        <f t="shared" ca="1" si="5"/>
        <v>4258075.834969704</v>
      </c>
      <c r="J220" s="444">
        <f t="array" ref="J220">IFERROR(INDEX('Retirement Calculator'!K:K,MATCH('Lorri 401b'!N220,'Retirement Calculator'!A:A,0),0),0)</f>
        <v>20367.195264578786</v>
      </c>
      <c r="K220" s="444">
        <f t="shared" ca="1" si="2"/>
        <v>17657.119332104689</v>
      </c>
      <c r="L220" s="444">
        <f t="shared" ca="1" si="3"/>
        <v>4255365.7590372302</v>
      </c>
      <c r="M220" s="460">
        <f t="shared" si="6"/>
        <v>0.05</v>
      </c>
      <c r="N220" s="464">
        <f t="shared" si="7"/>
        <v>57742</v>
      </c>
    </row>
    <row r="221" spans="7:14" ht="11.25" customHeight="1" x14ac:dyDescent="0.3">
      <c r="G221" s="459">
        <f t="shared" si="22"/>
        <v>18</v>
      </c>
      <c r="H221" s="459">
        <v>214</v>
      </c>
      <c r="I221" s="444">
        <f t="shared" ca="1" si="5"/>
        <v>4255365.7590372302</v>
      </c>
      <c r="J221" s="444">
        <f t="array" ref="J221">IFERROR(INDEX('Retirement Calculator'!K:K,MATCH('Lorri 401b'!N221,'Retirement Calculator'!A:A,0),0),0)</f>
        <v>20367.195264578786</v>
      </c>
      <c r="K221" s="444">
        <f t="shared" ca="1" si="2"/>
        <v>17645.827349052714</v>
      </c>
      <c r="L221" s="444">
        <f t="shared" ca="1" si="3"/>
        <v>4252644.3911217041</v>
      </c>
      <c r="M221" s="460">
        <f t="shared" si="6"/>
        <v>0.05</v>
      </c>
      <c r="N221" s="464">
        <f t="shared" si="7"/>
        <v>57770</v>
      </c>
    </row>
    <row r="222" spans="7:14" ht="11.25" customHeight="1" x14ac:dyDescent="0.3">
      <c r="G222" s="459">
        <f t="shared" si="22"/>
        <v>18</v>
      </c>
      <c r="H222" s="459">
        <v>215</v>
      </c>
      <c r="I222" s="444">
        <f t="shared" ca="1" si="5"/>
        <v>4252644.3911217041</v>
      </c>
      <c r="J222" s="444">
        <f t="array" ref="J222">IFERROR(INDEX('Retirement Calculator'!K:K,MATCH('Lorri 401b'!N222,'Retirement Calculator'!A:A,0),0),0)</f>
        <v>20367.195264578786</v>
      </c>
      <c r="K222" s="444">
        <f t="shared" ca="1" si="2"/>
        <v>17634.488316071354</v>
      </c>
      <c r="L222" s="444">
        <f t="shared" ca="1" si="3"/>
        <v>4249911.6841731966</v>
      </c>
      <c r="M222" s="460">
        <f t="shared" si="6"/>
        <v>0.05</v>
      </c>
      <c r="N222" s="464">
        <f t="shared" si="7"/>
        <v>57801</v>
      </c>
    </row>
    <row r="223" spans="7:14" ht="11.25" customHeight="1" x14ac:dyDescent="0.3">
      <c r="G223" s="459">
        <f t="shared" si="22"/>
        <v>18</v>
      </c>
      <c r="H223" s="459">
        <v>216</v>
      </c>
      <c r="I223" s="444">
        <f t="shared" ca="1" si="5"/>
        <v>4249911.6841731966</v>
      </c>
      <c r="J223" s="444">
        <f t="array" ref="J223">IFERROR(INDEX('Retirement Calculator'!K:K,MATCH('Lorri 401b'!N223,'Retirement Calculator'!A:A,0),0),0)</f>
        <v>20367.195264578786</v>
      </c>
      <c r="K223" s="444">
        <f t="shared" ca="1" si="2"/>
        <v>17623.102037119239</v>
      </c>
      <c r="L223" s="444">
        <f t="shared" ca="1" si="3"/>
        <v>4247167.5909457374</v>
      </c>
      <c r="M223" s="460">
        <f t="shared" si="6"/>
        <v>0.05</v>
      </c>
      <c r="N223" s="464">
        <f t="shared" si="7"/>
        <v>57831</v>
      </c>
    </row>
    <row r="224" spans="7:14" ht="11.25" customHeight="1" x14ac:dyDescent="0.3">
      <c r="G224" s="459">
        <f>G223+1</f>
        <v>19</v>
      </c>
      <c r="H224" s="459">
        <v>217</v>
      </c>
      <c r="I224" s="444">
        <f t="shared" ca="1" si="5"/>
        <v>4247167.5909457374</v>
      </c>
      <c r="J224" s="444">
        <f t="array" ref="J224">IFERROR(INDEX('Retirement Calculator'!K:K,MATCH('Lorri 401b'!N224,'Retirement Calculator'!A:A,0),0),0)</f>
        <v>20367.195264578786</v>
      </c>
      <c r="K224" s="444">
        <f t="shared" ca="1" si="2"/>
        <v>17611.66831533816</v>
      </c>
      <c r="L224" s="444">
        <f t="shared" ca="1" si="3"/>
        <v>4244412.0639964966</v>
      </c>
      <c r="M224" s="460">
        <f t="shared" si="6"/>
        <v>0.05</v>
      </c>
      <c r="N224" s="464">
        <f t="shared" si="7"/>
        <v>57862</v>
      </c>
    </row>
    <row r="225" spans="7:14" ht="11.25" customHeight="1" x14ac:dyDescent="0.3">
      <c r="G225" s="459">
        <f t="shared" ref="G225:G235" si="23">G224</f>
        <v>19</v>
      </c>
      <c r="H225" s="459">
        <v>218</v>
      </c>
      <c r="I225" s="444">
        <f t="shared" ca="1" si="5"/>
        <v>4244412.0639964966</v>
      </c>
      <c r="J225" s="444">
        <f t="array" ref="J225">IFERROR(INDEX('Retirement Calculator'!K:K,MATCH('Lorri 401b'!N225,'Retirement Calculator'!A:A,0),0),0)</f>
        <v>20367.195264578786</v>
      </c>
      <c r="K225" s="444">
        <f t="shared" ca="1" si="2"/>
        <v>17600.186953049659</v>
      </c>
      <c r="L225" s="444">
        <f t="shared" ca="1" si="3"/>
        <v>4241645.0556849679</v>
      </c>
      <c r="M225" s="460">
        <f t="shared" si="6"/>
        <v>0.05</v>
      </c>
      <c r="N225" s="464">
        <f t="shared" si="7"/>
        <v>57892</v>
      </c>
    </row>
    <row r="226" spans="7:14" ht="11.25" customHeight="1" x14ac:dyDescent="0.3">
      <c r="G226" s="459">
        <f t="shared" si="23"/>
        <v>19</v>
      </c>
      <c r="H226" s="459">
        <v>219</v>
      </c>
      <c r="I226" s="444">
        <f t="shared" ca="1" si="5"/>
        <v>4241645.0556849679</v>
      </c>
      <c r="J226" s="444">
        <f t="array" ref="J226">IFERROR(INDEX('Retirement Calculator'!K:K,MATCH('Lorri 401b'!N226,'Retirement Calculator'!A:A,0),0),0)</f>
        <v>20367.195264578786</v>
      </c>
      <c r="K226" s="444">
        <f t="shared" ca="1" si="2"/>
        <v>17588.65775175162</v>
      </c>
      <c r="L226" s="444">
        <f t="shared" ca="1" si="3"/>
        <v>4238866.5181721412</v>
      </c>
      <c r="M226" s="460">
        <f t="shared" si="6"/>
        <v>0.05</v>
      </c>
      <c r="N226" s="464">
        <f t="shared" si="7"/>
        <v>57923</v>
      </c>
    </row>
    <row r="227" spans="7:14" ht="11.25" customHeight="1" x14ac:dyDescent="0.3">
      <c r="G227" s="459">
        <f t="shared" si="23"/>
        <v>19</v>
      </c>
      <c r="H227" s="459">
        <v>220</v>
      </c>
      <c r="I227" s="444">
        <f t="shared" ca="1" si="5"/>
        <v>4238866.5181721412</v>
      </c>
      <c r="J227" s="444">
        <f t="array" ref="J227">IFERROR(INDEX('Retirement Calculator'!K:K,MATCH('Lorri 401b'!N227,'Retirement Calculator'!A:A,0),0),0)</f>
        <v>20367.195264578786</v>
      </c>
      <c r="K227" s="444">
        <f t="shared" ca="1" si="2"/>
        <v>17577.080512114844</v>
      </c>
      <c r="L227" s="444">
        <f t="shared" ca="1" si="3"/>
        <v>4236076.4034196772</v>
      </c>
      <c r="M227" s="460">
        <f t="shared" si="6"/>
        <v>0.05</v>
      </c>
      <c r="N227" s="464">
        <f t="shared" si="7"/>
        <v>57954</v>
      </c>
    </row>
    <row r="228" spans="7:14" ht="11.25" customHeight="1" x14ac:dyDescent="0.3">
      <c r="G228" s="459">
        <f t="shared" si="23"/>
        <v>19</v>
      </c>
      <c r="H228" s="459">
        <v>221</v>
      </c>
      <c r="I228" s="444">
        <f t="shared" ca="1" si="5"/>
        <v>4236076.4034196772</v>
      </c>
      <c r="J228" s="444">
        <f t="array" ref="J228">IFERROR(INDEX('Retirement Calculator'!K:K,MATCH('Lorri 401b'!N228,'Retirement Calculator'!A:A,0),0),0)</f>
        <v>20367.195264578786</v>
      </c>
      <c r="K228" s="444">
        <f t="shared" ca="1" si="2"/>
        <v>17565.455033979575</v>
      </c>
      <c r="L228" s="444">
        <f t="shared" ca="1" si="3"/>
        <v>4233274.6631890777</v>
      </c>
      <c r="M228" s="460">
        <f t="shared" si="6"/>
        <v>0.05</v>
      </c>
      <c r="N228" s="464">
        <f t="shared" si="7"/>
        <v>57984</v>
      </c>
    </row>
    <row r="229" spans="7:14" ht="11.25" customHeight="1" x14ac:dyDescent="0.3">
      <c r="G229" s="459">
        <f t="shared" si="23"/>
        <v>19</v>
      </c>
      <c r="H229" s="459">
        <v>222</v>
      </c>
      <c r="I229" s="444">
        <f t="shared" ca="1" si="5"/>
        <v>4233274.6631890777</v>
      </c>
      <c r="J229" s="444">
        <f t="array" ref="J229">IFERROR(INDEX('Retirement Calculator'!K:K,MATCH('Lorri 401b'!N229,'Retirement Calculator'!A:A,0),0),0)</f>
        <v>20367.195264578786</v>
      </c>
      <c r="K229" s="444">
        <f t="shared" ca="1" si="2"/>
        <v>17553.781116352078</v>
      </c>
      <c r="L229" s="444">
        <f t="shared" ca="1" si="3"/>
        <v>4230461.2490408514</v>
      </c>
      <c r="M229" s="460">
        <f t="shared" si="6"/>
        <v>0.05</v>
      </c>
      <c r="N229" s="464">
        <f t="shared" si="7"/>
        <v>58015</v>
      </c>
    </row>
    <row r="230" spans="7:14" ht="11.25" customHeight="1" x14ac:dyDescent="0.3">
      <c r="G230" s="459">
        <f t="shared" si="23"/>
        <v>19</v>
      </c>
      <c r="H230" s="459">
        <v>223</v>
      </c>
      <c r="I230" s="444">
        <f t="shared" ca="1" si="5"/>
        <v>4230461.2490408514</v>
      </c>
      <c r="J230" s="444">
        <f t="array" ref="J230">IFERROR(INDEX('Retirement Calculator'!K:K,MATCH('Lorri 401b'!N230,'Retirement Calculator'!A:A,0),0),0)</f>
        <v>20367.195264578786</v>
      </c>
      <c r="K230" s="444">
        <f t="shared" ca="1" si="2"/>
        <v>17542.058557401135</v>
      </c>
      <c r="L230" s="444">
        <f t="shared" ca="1" si="3"/>
        <v>4227636.112333674</v>
      </c>
      <c r="M230" s="460">
        <f t="shared" si="6"/>
        <v>0.05</v>
      </c>
      <c r="N230" s="464">
        <f t="shared" si="7"/>
        <v>58045</v>
      </c>
    </row>
    <row r="231" spans="7:14" ht="11.25" customHeight="1" x14ac:dyDescent="0.3">
      <c r="G231" s="459">
        <f t="shared" si="23"/>
        <v>19</v>
      </c>
      <c r="H231" s="459">
        <v>224</v>
      </c>
      <c r="I231" s="444">
        <f t="shared" ca="1" si="5"/>
        <v>4227636.112333674</v>
      </c>
      <c r="J231" s="444">
        <f t="array" ref="J231">IFERROR(INDEX('Retirement Calculator'!K:K,MATCH('Lorri 401b'!N231,'Retirement Calculator'!A:A,0),0),0)</f>
        <v>20367.195264578786</v>
      </c>
      <c r="K231" s="444">
        <f t="shared" ca="1" si="2"/>
        <v>17530.287154454563</v>
      </c>
      <c r="L231" s="444">
        <f t="shared" ca="1" si="3"/>
        <v>4224799.2042235499</v>
      </c>
      <c r="M231" s="460">
        <f t="shared" si="6"/>
        <v>0.05</v>
      </c>
      <c r="N231" s="464">
        <f t="shared" si="7"/>
        <v>58076</v>
      </c>
    </row>
    <row r="232" spans="7:14" ht="11.25" customHeight="1" x14ac:dyDescent="0.3">
      <c r="G232" s="459">
        <f t="shared" si="23"/>
        <v>19</v>
      </c>
      <c r="H232" s="459">
        <v>225</v>
      </c>
      <c r="I232" s="444">
        <f t="shared" ca="1" si="5"/>
        <v>4224799.2042235499</v>
      </c>
      <c r="J232" s="444">
        <f t="array" ref="J232">IFERROR(INDEX('Retirement Calculator'!K:K,MATCH('Lorri 401b'!N232,'Retirement Calculator'!A:A,0),0),0)</f>
        <v>20367.195264578786</v>
      </c>
      <c r="K232" s="444">
        <f t="shared" ca="1" si="2"/>
        <v>17518.466703995713</v>
      </c>
      <c r="L232" s="444">
        <f t="shared" ca="1" si="3"/>
        <v>4221950.4756629672</v>
      </c>
      <c r="M232" s="460">
        <f t="shared" si="6"/>
        <v>0.05</v>
      </c>
      <c r="N232" s="464">
        <f t="shared" si="7"/>
        <v>58107</v>
      </c>
    </row>
    <row r="233" spans="7:14" ht="11.25" customHeight="1" x14ac:dyDescent="0.3">
      <c r="G233" s="459">
        <f t="shared" si="23"/>
        <v>19</v>
      </c>
      <c r="H233" s="459">
        <v>226</v>
      </c>
      <c r="I233" s="444">
        <f t="shared" ca="1" si="5"/>
        <v>4221950.4756629672</v>
      </c>
      <c r="J233" s="444">
        <f t="array" ref="J233">IFERROR(INDEX('Retirement Calculator'!K:K,MATCH('Lorri 401b'!N233,'Retirement Calculator'!A:A,0),0),0)</f>
        <v>20367.195264578786</v>
      </c>
      <c r="K233" s="444">
        <f t="shared" ca="1" si="2"/>
        <v>17506.597001659953</v>
      </c>
      <c r="L233" s="444">
        <f t="shared" ca="1" si="3"/>
        <v>4219089.8774000481</v>
      </c>
      <c r="M233" s="460">
        <f t="shared" si="6"/>
        <v>0.05</v>
      </c>
      <c r="N233" s="464">
        <f t="shared" si="7"/>
        <v>58135</v>
      </c>
    </row>
    <row r="234" spans="7:14" ht="11.25" customHeight="1" x14ac:dyDescent="0.3">
      <c r="G234" s="459">
        <f t="shared" si="23"/>
        <v>19</v>
      </c>
      <c r="H234" s="459">
        <v>227</v>
      </c>
      <c r="I234" s="444">
        <f t="shared" ca="1" si="5"/>
        <v>4219089.8774000481</v>
      </c>
      <c r="J234" s="444">
        <f t="array" ref="J234">IFERROR(INDEX('Retirement Calculator'!K:K,MATCH('Lorri 401b'!N234,'Retirement Calculator'!A:A,0),0),0)</f>
        <v>20367.195264578786</v>
      </c>
      <c r="K234" s="444">
        <f t="shared" ca="1" si="2"/>
        <v>17494.677842231122</v>
      </c>
      <c r="L234" s="444">
        <f t="shared" ca="1" si="3"/>
        <v>4216217.3599777007</v>
      </c>
      <c r="M234" s="460">
        <f t="shared" si="6"/>
        <v>0.05</v>
      </c>
      <c r="N234" s="464">
        <f t="shared" si="7"/>
        <v>58166</v>
      </c>
    </row>
    <row r="235" spans="7:14" ht="11.25" customHeight="1" x14ac:dyDescent="0.3">
      <c r="G235" s="459">
        <f t="shared" si="23"/>
        <v>19</v>
      </c>
      <c r="H235" s="459">
        <v>228</v>
      </c>
      <c r="I235" s="444">
        <f t="shared" ca="1" si="5"/>
        <v>4216217.3599777007</v>
      </c>
      <c r="J235" s="444">
        <f t="array" ref="J235">IFERROR(INDEX('Retirement Calculator'!K:K,MATCH('Lorri 401b'!N235,'Retirement Calculator'!A:A,0),0),0)</f>
        <v>20367.195264578786</v>
      </c>
      <c r="K235" s="444">
        <f t="shared" ca="1" si="2"/>
        <v>17482.709019638009</v>
      </c>
      <c r="L235" s="444">
        <f t="shared" ca="1" si="3"/>
        <v>4213332.8737327596</v>
      </c>
      <c r="M235" s="460">
        <f t="shared" si="6"/>
        <v>0.05</v>
      </c>
      <c r="N235" s="464">
        <f t="shared" si="7"/>
        <v>58196</v>
      </c>
    </row>
    <row r="236" spans="7:14" ht="11.25" customHeight="1" x14ac:dyDescent="0.3">
      <c r="G236" s="459">
        <f>G235+1</f>
        <v>20</v>
      </c>
      <c r="H236" s="459">
        <v>229</v>
      </c>
      <c r="I236" s="444">
        <f t="shared" ca="1" si="5"/>
        <v>4213332.8737327596</v>
      </c>
      <c r="J236" s="444">
        <f t="array" ref="J236">IFERROR(INDEX('Retirement Calculator'!K:K,MATCH('Lorri 401b'!N236,'Retirement Calculator'!A:A,0),0),0)</f>
        <v>20367.195264578786</v>
      </c>
      <c r="K236" s="444">
        <f t="shared" ca="1" si="2"/>
        <v>17470.690326950753</v>
      </c>
      <c r="L236" s="444">
        <f t="shared" ca="1" si="3"/>
        <v>4210436.3687951313</v>
      </c>
      <c r="M236" s="460">
        <f t="shared" si="6"/>
        <v>0.05</v>
      </c>
      <c r="N236" s="464">
        <f t="shared" si="7"/>
        <v>58227</v>
      </c>
    </row>
    <row r="237" spans="7:14" ht="11.25" customHeight="1" x14ac:dyDescent="0.3">
      <c r="G237" s="459">
        <f t="shared" ref="G237:G247" si="24">G236</f>
        <v>20</v>
      </c>
      <c r="H237" s="459">
        <v>230</v>
      </c>
      <c r="I237" s="444">
        <f t="shared" ca="1" si="5"/>
        <v>4210436.3687951313</v>
      </c>
      <c r="J237" s="444">
        <f t="array" ref="J237">IFERROR(INDEX('Retirement Calculator'!K:K,MATCH('Lorri 401b'!N237,'Retirement Calculator'!A:A,0),0),0)</f>
        <v>20367.195264578786</v>
      </c>
      <c r="K237" s="444">
        <f t="shared" ca="1" si="2"/>
        <v>17458.6215563773</v>
      </c>
      <c r="L237" s="444">
        <f t="shared" ca="1" si="3"/>
        <v>4207527.7950869296</v>
      </c>
      <c r="M237" s="460">
        <f t="shared" si="6"/>
        <v>0.05</v>
      </c>
      <c r="N237" s="464">
        <f t="shared" si="7"/>
        <v>58257</v>
      </c>
    </row>
    <row r="238" spans="7:14" ht="11.25" customHeight="1" x14ac:dyDescent="0.3">
      <c r="G238" s="459">
        <f t="shared" si="24"/>
        <v>20</v>
      </c>
      <c r="H238" s="459">
        <v>231</v>
      </c>
      <c r="I238" s="444">
        <f t="shared" ca="1" si="5"/>
        <v>4207527.7950869296</v>
      </c>
      <c r="J238" s="444">
        <f t="array" ref="J238">IFERROR(INDEX('Retirement Calculator'!K:K,MATCH('Lorri 401b'!N238,'Retirement Calculator'!A:A,0),0),0)</f>
        <v>20367.195264578786</v>
      </c>
      <c r="K238" s="444">
        <f t="shared" ca="1" si="2"/>
        <v>17446.502499259794</v>
      </c>
      <c r="L238" s="444">
        <f t="shared" ca="1" si="3"/>
        <v>4204607.1023216108</v>
      </c>
      <c r="M238" s="460">
        <f t="shared" si="6"/>
        <v>0.05</v>
      </c>
      <c r="N238" s="464">
        <f t="shared" si="7"/>
        <v>58288</v>
      </c>
    </row>
    <row r="239" spans="7:14" ht="11.25" customHeight="1" x14ac:dyDescent="0.3">
      <c r="G239" s="459">
        <f t="shared" si="24"/>
        <v>20</v>
      </c>
      <c r="H239" s="459">
        <v>232</v>
      </c>
      <c r="I239" s="444">
        <f t="shared" ca="1" si="5"/>
        <v>4204607.1023216108</v>
      </c>
      <c r="J239" s="444">
        <f t="array" ref="J239">IFERROR(INDEX('Retirement Calculator'!K:K,MATCH('Lorri 401b'!N239,'Retirement Calculator'!A:A,0),0),0)</f>
        <v>20367.195264578786</v>
      </c>
      <c r="K239" s="444">
        <f t="shared" ca="1" si="2"/>
        <v>17434.332946070965</v>
      </c>
      <c r="L239" s="444">
        <f t="shared" ca="1" si="3"/>
        <v>4201674.2400031034</v>
      </c>
      <c r="M239" s="460">
        <f t="shared" si="6"/>
        <v>0.05</v>
      </c>
      <c r="N239" s="464">
        <f t="shared" si="7"/>
        <v>58319</v>
      </c>
    </row>
    <row r="240" spans="7:14" ht="11.25" customHeight="1" x14ac:dyDescent="0.3">
      <c r="G240" s="459">
        <f t="shared" si="24"/>
        <v>20</v>
      </c>
      <c r="H240" s="459">
        <v>233</v>
      </c>
      <c r="I240" s="444">
        <f t="shared" ca="1" si="5"/>
        <v>4201674.2400031034</v>
      </c>
      <c r="J240" s="444">
        <f t="array" ref="J240">IFERROR(INDEX('Retirement Calculator'!K:K,MATCH('Lorri 401b'!N240,'Retirement Calculator'!A:A,0),0),0)</f>
        <v>20367.195264578786</v>
      </c>
      <c r="K240" s="444">
        <f t="shared" ca="1" si="2"/>
        <v>17422.112686410517</v>
      </c>
      <c r="L240" s="444">
        <f t="shared" ca="1" si="3"/>
        <v>4198729.1574249351</v>
      </c>
      <c r="M240" s="460">
        <f t="shared" si="6"/>
        <v>0.05</v>
      </c>
      <c r="N240" s="464">
        <f t="shared" si="7"/>
        <v>58349</v>
      </c>
    </row>
    <row r="241" spans="7:14" ht="11.25" customHeight="1" x14ac:dyDescent="0.3">
      <c r="G241" s="459">
        <f t="shared" si="24"/>
        <v>20</v>
      </c>
      <c r="H241" s="459">
        <v>234</v>
      </c>
      <c r="I241" s="444">
        <f t="shared" ca="1" si="5"/>
        <v>4198729.1574249351</v>
      </c>
      <c r="J241" s="444">
        <f t="array" ref="J241">IFERROR(INDEX('Retirement Calculator'!K:K,MATCH('Lorri 401b'!N241,'Retirement Calculator'!A:A,0),0),0)</f>
        <v>20367.195264578786</v>
      </c>
      <c r="K241" s="444">
        <f t="shared" ca="1" si="2"/>
        <v>17409.841509001486</v>
      </c>
      <c r="L241" s="444">
        <f t="shared" ca="1" si="3"/>
        <v>4195771.8036693577</v>
      </c>
      <c r="M241" s="460">
        <f t="shared" si="6"/>
        <v>0.05</v>
      </c>
      <c r="N241" s="464">
        <f t="shared" si="7"/>
        <v>58380</v>
      </c>
    </row>
    <row r="242" spans="7:14" ht="11.25" customHeight="1" x14ac:dyDescent="0.3">
      <c r="G242" s="459">
        <f t="shared" si="24"/>
        <v>20</v>
      </c>
      <c r="H242" s="459">
        <v>235</v>
      </c>
      <c r="I242" s="444">
        <f t="shared" ca="1" si="5"/>
        <v>4195771.8036693577</v>
      </c>
      <c r="J242" s="444">
        <f t="array" ref="J242">IFERROR(INDEX('Retirement Calculator'!K:K,MATCH('Lorri 401b'!N242,'Retirement Calculator'!A:A,0),0),0)</f>
        <v>20367.195264578786</v>
      </c>
      <c r="K242" s="444">
        <f t="shared" ca="1" si="2"/>
        <v>17397.519201686577</v>
      </c>
      <c r="L242" s="444">
        <f t="shared" ca="1" si="3"/>
        <v>4192802.1276064655</v>
      </c>
      <c r="M242" s="460">
        <f t="shared" si="6"/>
        <v>0.05</v>
      </c>
      <c r="N242" s="464">
        <f t="shared" si="7"/>
        <v>58410</v>
      </c>
    </row>
    <row r="243" spans="7:14" ht="11.25" customHeight="1" x14ac:dyDescent="0.3">
      <c r="G243" s="459">
        <f t="shared" si="24"/>
        <v>20</v>
      </c>
      <c r="H243" s="459">
        <v>236</v>
      </c>
      <c r="I243" s="444">
        <f t="shared" ca="1" si="5"/>
        <v>4192802.1276064655</v>
      </c>
      <c r="J243" s="444">
        <f t="array" ref="J243">IFERROR(INDEX('Retirement Calculator'!K:K,MATCH('Lorri 401b'!N243,'Retirement Calculator'!A:A,0),0),0)</f>
        <v>20367.195264578786</v>
      </c>
      <c r="K243" s="444">
        <f t="shared" ca="1" si="2"/>
        <v>17385.145551424528</v>
      </c>
      <c r="L243" s="444">
        <f t="shared" ca="1" si="3"/>
        <v>4189820.0778933112</v>
      </c>
      <c r="M243" s="460">
        <f t="shared" si="6"/>
        <v>0.05</v>
      </c>
      <c r="N243" s="464">
        <f t="shared" si="7"/>
        <v>58441</v>
      </c>
    </row>
    <row r="244" spans="7:14" ht="11.25" customHeight="1" x14ac:dyDescent="0.3">
      <c r="G244" s="459">
        <f t="shared" si="24"/>
        <v>20</v>
      </c>
      <c r="H244" s="459">
        <v>237</v>
      </c>
      <c r="I244" s="444">
        <f t="shared" ca="1" si="5"/>
        <v>4189820.0778933112</v>
      </c>
      <c r="J244" s="444">
        <f t="array" ref="J244">IFERROR(INDEX('Retirement Calculator'!K:K,MATCH('Lorri 401b'!N244,'Retirement Calculator'!A:A,0),0),0)</f>
        <v>20367.195264578786</v>
      </c>
      <c r="K244" s="444">
        <f t="shared" ca="1" si="2"/>
        <v>17372.720344286383</v>
      </c>
      <c r="L244" s="444">
        <f t="shared" ca="1" si="3"/>
        <v>4186825.6029730188</v>
      </c>
      <c r="M244" s="460">
        <f t="shared" si="6"/>
        <v>0.05</v>
      </c>
      <c r="N244" s="464">
        <f t="shared" si="7"/>
        <v>58472</v>
      </c>
    </row>
    <row r="245" spans="7:14" ht="11.25" customHeight="1" x14ac:dyDescent="0.3">
      <c r="G245" s="459">
        <f t="shared" si="24"/>
        <v>20</v>
      </c>
      <c r="H245" s="459">
        <v>238</v>
      </c>
      <c r="I245" s="444">
        <f t="shared" ca="1" si="5"/>
        <v>4186825.6029730188</v>
      </c>
      <c r="J245" s="444">
        <f t="array" ref="J245">IFERROR(INDEX('Retirement Calculator'!K:K,MATCH('Lorri 401b'!N245,'Retirement Calculator'!A:A,0),0),0)</f>
        <v>20367.195264578786</v>
      </c>
      <c r="K245" s="444">
        <f t="shared" ca="1" si="2"/>
        <v>17360.243365451832</v>
      </c>
      <c r="L245" s="444">
        <f t="shared" ca="1" si="3"/>
        <v>4183818.6510738917</v>
      </c>
      <c r="M245" s="460">
        <f t="shared" si="6"/>
        <v>0.05</v>
      </c>
      <c r="N245" s="464">
        <f t="shared" si="7"/>
        <v>58501</v>
      </c>
    </row>
    <row r="246" spans="7:14" ht="11.25" customHeight="1" x14ac:dyDescent="0.3">
      <c r="G246" s="459">
        <f t="shared" si="24"/>
        <v>20</v>
      </c>
      <c r="H246" s="459">
        <v>239</v>
      </c>
      <c r="I246" s="444">
        <f t="shared" ca="1" si="5"/>
        <v>4183818.6510738917</v>
      </c>
      <c r="J246" s="444">
        <f t="array" ref="J246">IFERROR(INDEX('Retirement Calculator'!K:K,MATCH('Lorri 401b'!N246,'Retirement Calculator'!A:A,0),0),0)</f>
        <v>20367.195264578786</v>
      </c>
      <c r="K246" s="444">
        <f t="shared" ca="1" si="2"/>
        <v>17347.71439920547</v>
      </c>
      <c r="L246" s="444">
        <f t="shared" ca="1" si="3"/>
        <v>4180799.1702085184</v>
      </c>
      <c r="M246" s="460">
        <f t="shared" si="6"/>
        <v>0.05</v>
      </c>
      <c r="N246" s="464">
        <f t="shared" si="7"/>
        <v>58532</v>
      </c>
    </row>
    <row r="247" spans="7:14" ht="11.25" customHeight="1" x14ac:dyDescent="0.3">
      <c r="G247" s="459">
        <f t="shared" si="24"/>
        <v>20</v>
      </c>
      <c r="H247" s="459">
        <v>240</v>
      </c>
      <c r="I247" s="444">
        <f t="shared" ca="1" si="5"/>
        <v>4180799.1702085184</v>
      </c>
      <c r="J247" s="444">
        <f t="array" ref="J247">IFERROR(INDEX('Retirement Calculator'!K:K,MATCH('Lorri 401b'!N247,'Retirement Calculator'!A:A,0),0),0)</f>
        <v>20367.195264578786</v>
      </c>
      <c r="K247" s="444">
        <f t="shared" ca="1" si="2"/>
        <v>17335.133228933082</v>
      </c>
      <c r="L247" s="444">
        <f t="shared" ca="1" si="3"/>
        <v>4177767.1081728726</v>
      </c>
      <c r="M247" s="460">
        <f t="shared" si="6"/>
        <v>0.05</v>
      </c>
      <c r="N247" s="464">
        <f t="shared" si="7"/>
        <v>58562</v>
      </c>
    </row>
    <row r="248" spans="7:14" ht="11.25" customHeight="1" x14ac:dyDescent="0.3">
      <c r="G248" s="459">
        <f>G247+1</f>
        <v>21</v>
      </c>
      <c r="H248" s="459">
        <v>241</v>
      </c>
      <c r="I248" s="444">
        <f t="shared" ca="1" si="5"/>
        <v>4177767.1081728726</v>
      </c>
      <c r="J248" s="444">
        <f t="array" ref="J248">IFERROR(INDEX('Retirement Calculator'!K:K,MATCH('Lorri 401b'!N248,'Retirement Calculator'!A:A,0),0),0)</f>
        <v>20367.195264578786</v>
      </c>
      <c r="K248" s="444">
        <f t="shared" ca="1" si="2"/>
        <v>17322.49963711789</v>
      </c>
      <c r="L248" s="444">
        <f t="shared" ca="1" si="3"/>
        <v>4174722.4125454118</v>
      </c>
      <c r="M248" s="460">
        <f t="shared" si="6"/>
        <v>0.05</v>
      </c>
      <c r="N248" s="464">
        <f t="shared" si="7"/>
        <v>58593</v>
      </c>
    </row>
    <row r="249" spans="7:14" ht="11.25" customHeight="1" x14ac:dyDescent="0.3">
      <c r="G249" s="459">
        <f t="shared" ref="G249:G259" si="25">G248</f>
        <v>21</v>
      </c>
      <c r="H249" s="459">
        <v>242</v>
      </c>
      <c r="I249" s="444">
        <f t="shared" ca="1" si="5"/>
        <v>4174722.4125454118</v>
      </c>
      <c r="J249" s="444">
        <f t="array" ref="J249">IFERROR(INDEX('Retirement Calculator'!K:K,MATCH('Lorri 401b'!N249,'Retirement Calculator'!A:A,0),0),0)</f>
        <v>20367.195264578786</v>
      </c>
      <c r="K249" s="444">
        <f t="shared" ca="1" si="2"/>
        <v>17309.813405336801</v>
      </c>
      <c r="L249" s="444">
        <f t="shared" ca="1" si="3"/>
        <v>4171665.0306861699</v>
      </c>
      <c r="M249" s="460">
        <f t="shared" si="6"/>
        <v>0.05</v>
      </c>
      <c r="N249" s="464">
        <f t="shared" si="7"/>
        <v>58623</v>
      </c>
    </row>
    <row r="250" spans="7:14" ht="11.25" customHeight="1" x14ac:dyDescent="0.3">
      <c r="G250" s="459">
        <f t="shared" si="25"/>
        <v>21</v>
      </c>
      <c r="H250" s="459">
        <v>243</v>
      </c>
      <c r="I250" s="444">
        <f t="shared" ca="1" si="5"/>
        <v>4171665.0306861699</v>
      </c>
      <c r="J250" s="444">
        <f t="array" ref="J250">IFERROR(INDEX('Retirement Calculator'!K:K,MATCH('Lorri 401b'!N250,'Retirement Calculator'!A:A,0),0),0)</f>
        <v>20367.195264578786</v>
      </c>
      <c r="K250" s="444">
        <f t="shared" ca="1" si="2"/>
        <v>17297.074314256628</v>
      </c>
      <c r="L250" s="444">
        <f t="shared" ca="1" si="3"/>
        <v>4168594.9097358477</v>
      </c>
      <c r="M250" s="460">
        <f t="shared" si="6"/>
        <v>0.05</v>
      </c>
      <c r="N250" s="464">
        <f t="shared" si="7"/>
        <v>58654</v>
      </c>
    </row>
    <row r="251" spans="7:14" ht="11.25" customHeight="1" x14ac:dyDescent="0.3">
      <c r="G251" s="459">
        <f t="shared" si="25"/>
        <v>21</v>
      </c>
      <c r="H251" s="459">
        <v>244</v>
      </c>
      <c r="I251" s="444">
        <f t="shared" ca="1" si="5"/>
        <v>4168594.9097358477</v>
      </c>
      <c r="J251" s="444">
        <f t="array" ref="J251">IFERROR(INDEX('Retirement Calculator'!K:K,MATCH('Lorri 401b'!N251,'Retirement Calculator'!A:A,0),0),0)</f>
        <v>20367.195264578786</v>
      </c>
      <c r="K251" s="444">
        <f t="shared" ca="1" si="2"/>
        <v>17284.282143630284</v>
      </c>
      <c r="L251" s="444">
        <f t="shared" ca="1" si="3"/>
        <v>4165511.996614899</v>
      </c>
      <c r="M251" s="460">
        <f t="shared" si="6"/>
        <v>0.05</v>
      </c>
      <c r="N251" s="464">
        <f t="shared" si="7"/>
        <v>58685</v>
      </c>
    </row>
    <row r="252" spans="7:14" ht="11.25" customHeight="1" x14ac:dyDescent="0.3">
      <c r="G252" s="459">
        <f t="shared" si="25"/>
        <v>21</v>
      </c>
      <c r="H252" s="459">
        <v>245</v>
      </c>
      <c r="I252" s="444">
        <f t="shared" ca="1" si="5"/>
        <v>4165511.996614899</v>
      </c>
      <c r="J252" s="444">
        <f t="array" ref="J252">IFERROR(INDEX('Retirement Calculator'!K:K,MATCH('Lorri 401b'!N252,'Retirement Calculator'!A:A,0),0),0)</f>
        <v>20367.195264578786</v>
      </c>
      <c r="K252" s="444">
        <f t="shared" ca="1" si="2"/>
        <v>17271.436672292999</v>
      </c>
      <c r="L252" s="444">
        <f t="shared" ca="1" si="3"/>
        <v>4162416.2380226133</v>
      </c>
      <c r="M252" s="460">
        <f t="shared" si="6"/>
        <v>0.05</v>
      </c>
      <c r="N252" s="464">
        <f t="shared" si="7"/>
        <v>58715</v>
      </c>
    </row>
    <row r="253" spans="7:14" ht="11.25" customHeight="1" x14ac:dyDescent="0.3">
      <c r="G253" s="459">
        <f t="shared" si="25"/>
        <v>21</v>
      </c>
      <c r="H253" s="459">
        <v>246</v>
      </c>
      <c r="I253" s="444">
        <f t="shared" ca="1" si="5"/>
        <v>4162416.2380226133</v>
      </c>
      <c r="J253" s="444">
        <f t="array" ref="J253">IFERROR(INDEX('Retirement Calculator'!K:K,MATCH('Lorri 401b'!N253,'Retirement Calculator'!A:A,0),0),0)</f>
        <v>20367.195264578786</v>
      </c>
      <c r="K253" s="444">
        <f t="shared" ca="1" si="2"/>
        <v>17258.537678158478</v>
      </c>
      <c r="L253" s="444">
        <f t="shared" ca="1" si="3"/>
        <v>4159307.5804361929</v>
      </c>
      <c r="M253" s="460">
        <f t="shared" si="6"/>
        <v>0.05</v>
      </c>
      <c r="N253" s="464">
        <f t="shared" si="7"/>
        <v>58746</v>
      </c>
    </row>
    <row r="254" spans="7:14" ht="11.25" customHeight="1" x14ac:dyDescent="0.3">
      <c r="G254" s="459">
        <f t="shared" si="25"/>
        <v>21</v>
      </c>
      <c r="H254" s="459">
        <v>247</v>
      </c>
      <c r="I254" s="444">
        <f t="shared" ca="1" si="5"/>
        <v>4159307.5804361929</v>
      </c>
      <c r="J254" s="444">
        <f t="array" ref="J254">IFERROR(INDEX('Retirement Calculator'!K:K,MATCH('Lorri 401b'!N254,'Retirement Calculator'!A:A,0),0),0)</f>
        <v>20367.195264578786</v>
      </c>
      <c r="K254" s="444">
        <f t="shared" ca="1" si="2"/>
        <v>17245.584938215059</v>
      </c>
      <c r="L254" s="444">
        <f t="shared" ca="1" si="3"/>
        <v>4156185.9701098292</v>
      </c>
      <c r="M254" s="460">
        <f t="shared" si="6"/>
        <v>0.05</v>
      </c>
      <c r="N254" s="464">
        <f t="shared" si="7"/>
        <v>58776</v>
      </c>
    </row>
    <row r="255" spans="7:14" ht="11.25" customHeight="1" x14ac:dyDescent="0.3">
      <c r="G255" s="459">
        <f t="shared" si="25"/>
        <v>21</v>
      </c>
      <c r="H255" s="459">
        <v>248</v>
      </c>
      <c r="I255" s="444">
        <f t="shared" ca="1" si="5"/>
        <v>4156185.9701098292</v>
      </c>
      <c r="J255" s="444">
        <f t="array" ref="J255">IFERROR(INDEX('Retirement Calculator'!K:K,MATCH('Lorri 401b'!N255,'Retirement Calculator'!A:A,0),0),0)</f>
        <v>20367.195264578786</v>
      </c>
      <c r="K255" s="444">
        <f t="shared" ca="1" si="2"/>
        <v>17232.578228521877</v>
      </c>
      <c r="L255" s="444">
        <f t="shared" ca="1" si="3"/>
        <v>4153051.3530737725</v>
      </c>
      <c r="M255" s="460">
        <f t="shared" si="6"/>
        <v>0.05</v>
      </c>
      <c r="N255" s="464">
        <f t="shared" si="7"/>
        <v>58807</v>
      </c>
    </row>
    <row r="256" spans="7:14" ht="11.25" customHeight="1" x14ac:dyDescent="0.3">
      <c r="G256" s="459">
        <f t="shared" si="25"/>
        <v>21</v>
      </c>
      <c r="H256" s="459">
        <v>249</v>
      </c>
      <c r="I256" s="444">
        <f t="shared" ca="1" si="5"/>
        <v>4153051.3530737725</v>
      </c>
      <c r="J256" s="444">
        <f t="array" ref="J256">IFERROR(INDEX('Retirement Calculator'!K:K,MATCH('Lorri 401b'!N256,'Retirement Calculator'!A:A,0),0),0)</f>
        <v>20367.195264578786</v>
      </c>
      <c r="K256" s="444">
        <f t="shared" ca="1" si="2"/>
        <v>17219.517324204975</v>
      </c>
      <c r="L256" s="444">
        <f t="shared" ca="1" si="3"/>
        <v>4149903.6751333987</v>
      </c>
      <c r="M256" s="460">
        <f t="shared" si="6"/>
        <v>0.05</v>
      </c>
      <c r="N256" s="464">
        <f t="shared" si="7"/>
        <v>58838</v>
      </c>
    </row>
    <row r="257" spans="7:14" ht="11.25" customHeight="1" x14ac:dyDescent="0.3">
      <c r="G257" s="459">
        <f t="shared" si="25"/>
        <v>21</v>
      </c>
      <c r="H257" s="459">
        <v>250</v>
      </c>
      <c r="I257" s="444">
        <f t="shared" ca="1" si="5"/>
        <v>4149903.6751333987</v>
      </c>
      <c r="J257" s="444">
        <f t="array" ref="J257">IFERROR(INDEX('Retirement Calculator'!K:K,MATCH('Lorri 401b'!N257,'Retirement Calculator'!A:A,0),0),0)</f>
        <v>20367.195264578786</v>
      </c>
      <c r="K257" s="444">
        <f t="shared" ca="1" si="2"/>
        <v>17206.401999453417</v>
      </c>
      <c r="L257" s="444">
        <f t="shared" ca="1" si="3"/>
        <v>4146742.8818682735</v>
      </c>
      <c r="M257" s="460">
        <f t="shared" si="6"/>
        <v>0.05</v>
      </c>
      <c r="N257" s="464">
        <f t="shared" si="7"/>
        <v>58866</v>
      </c>
    </row>
    <row r="258" spans="7:14" ht="11.25" customHeight="1" x14ac:dyDescent="0.3">
      <c r="G258" s="459">
        <f t="shared" si="25"/>
        <v>21</v>
      </c>
      <c r="H258" s="459">
        <v>251</v>
      </c>
      <c r="I258" s="444">
        <f t="shared" ca="1" si="5"/>
        <v>4146742.8818682735</v>
      </c>
      <c r="J258" s="444">
        <f t="array" ref="J258">IFERROR(INDEX('Retirement Calculator'!K:K,MATCH('Lorri 401b'!N258,'Retirement Calculator'!A:A,0),0),0)</f>
        <v>20367.195264578786</v>
      </c>
      <c r="K258" s="444">
        <f t="shared" ca="1" si="2"/>
        <v>17193.232027515394</v>
      </c>
      <c r="L258" s="444">
        <f t="shared" ca="1" si="3"/>
        <v>4143568.91863121</v>
      </c>
      <c r="M258" s="460">
        <f t="shared" si="6"/>
        <v>0.05</v>
      </c>
      <c r="N258" s="464">
        <f t="shared" si="7"/>
        <v>58897</v>
      </c>
    </row>
    <row r="259" spans="7:14" ht="11.25" customHeight="1" x14ac:dyDescent="0.3">
      <c r="G259" s="459">
        <f t="shared" si="25"/>
        <v>21</v>
      </c>
      <c r="H259" s="459">
        <v>252</v>
      </c>
      <c r="I259" s="444">
        <f t="shared" ca="1" si="5"/>
        <v>4143568.91863121</v>
      </c>
      <c r="J259" s="444">
        <f t="array" ref="J259">IFERROR(INDEX('Retirement Calculator'!K:K,MATCH('Lorri 401b'!N259,'Retirement Calculator'!A:A,0),0),0)</f>
        <v>20367.195264578786</v>
      </c>
      <c r="K259" s="444">
        <f t="shared" ca="1" si="2"/>
        <v>17180.007180694298</v>
      </c>
      <c r="L259" s="444">
        <f t="shared" ca="1" si="3"/>
        <v>4140381.7305473257</v>
      </c>
      <c r="M259" s="460">
        <f t="shared" si="6"/>
        <v>0.05</v>
      </c>
      <c r="N259" s="464">
        <f t="shared" si="7"/>
        <v>58927</v>
      </c>
    </row>
    <row r="260" spans="7:14" ht="11.25" customHeight="1" x14ac:dyDescent="0.3">
      <c r="G260" s="459">
        <f>G259+1</f>
        <v>22</v>
      </c>
      <c r="H260" s="459">
        <v>253</v>
      </c>
      <c r="I260" s="444">
        <f t="shared" ca="1" si="5"/>
        <v>4140381.7305473257</v>
      </c>
      <c r="J260" s="444">
        <f t="array" ref="J260">IFERROR(INDEX('Retirement Calculator'!K:K,MATCH('Lorri 401b'!N260,'Retirement Calculator'!A:A,0),0),0)</f>
        <v>20367.195264578786</v>
      </c>
      <c r="K260" s="444">
        <f t="shared" ca="1" si="2"/>
        <v>17166.727230344779</v>
      </c>
      <c r="L260" s="444">
        <f t="shared" ca="1" si="3"/>
        <v>4137181.2625130918</v>
      </c>
      <c r="M260" s="460">
        <f t="shared" si="6"/>
        <v>0.05</v>
      </c>
      <c r="N260" s="464">
        <f t="shared" si="7"/>
        <v>58958</v>
      </c>
    </row>
    <row r="261" spans="7:14" ht="11.25" customHeight="1" x14ac:dyDescent="0.3">
      <c r="G261" s="459">
        <f t="shared" ref="G261:G271" si="26">G260</f>
        <v>22</v>
      </c>
      <c r="H261" s="459">
        <v>254</v>
      </c>
      <c r="I261" s="444">
        <f t="shared" ca="1" si="5"/>
        <v>4137181.2625130918</v>
      </c>
      <c r="J261" s="444">
        <f t="array" ref="J261">IFERROR(INDEX('Retirement Calculator'!K:K,MATCH('Lorri 401b'!N261,'Retirement Calculator'!A:A,0),0),0)</f>
        <v>20367.195264578786</v>
      </c>
      <c r="K261" s="444">
        <f t="shared" ca="1" si="2"/>
        <v>17153.391946868804</v>
      </c>
      <c r="L261" s="444">
        <f t="shared" ca="1" si="3"/>
        <v>4133967.459195382</v>
      </c>
      <c r="M261" s="460">
        <f t="shared" si="6"/>
        <v>0.05</v>
      </c>
      <c r="N261" s="464">
        <f t="shared" si="7"/>
        <v>58988</v>
      </c>
    </row>
    <row r="262" spans="7:14" ht="11.25" customHeight="1" x14ac:dyDescent="0.3">
      <c r="G262" s="459">
        <f t="shared" si="26"/>
        <v>22</v>
      </c>
      <c r="H262" s="459">
        <v>255</v>
      </c>
      <c r="I262" s="444">
        <f t="shared" ca="1" si="5"/>
        <v>4133967.459195382</v>
      </c>
      <c r="J262" s="444">
        <f t="array" ref="J262">IFERROR(INDEX('Retirement Calculator'!K:K,MATCH('Lorri 401b'!N262,'Retirement Calculator'!A:A,0),0),0)</f>
        <v>20367.195264578786</v>
      </c>
      <c r="K262" s="444">
        <f t="shared" ca="1" si="2"/>
        <v>17140.001099711681</v>
      </c>
      <c r="L262" s="444">
        <f t="shared" ca="1" si="3"/>
        <v>4130740.2650305149</v>
      </c>
      <c r="M262" s="460">
        <f t="shared" si="6"/>
        <v>0.05</v>
      </c>
      <c r="N262" s="464">
        <f t="shared" si="7"/>
        <v>59019</v>
      </c>
    </row>
    <row r="263" spans="7:14" ht="11.25" customHeight="1" x14ac:dyDescent="0.3">
      <c r="G263" s="459">
        <f t="shared" si="26"/>
        <v>22</v>
      </c>
      <c r="H263" s="459">
        <v>256</v>
      </c>
      <c r="I263" s="444">
        <f t="shared" ca="1" si="5"/>
        <v>4130740.2650305149</v>
      </c>
      <c r="J263" s="444">
        <f t="array" ref="J263">IFERROR(INDEX('Retirement Calculator'!K:K,MATCH('Lorri 401b'!N263,'Retirement Calculator'!A:A,0),0),0)</f>
        <v>20367.195264578786</v>
      </c>
      <c r="K263" s="444">
        <f t="shared" ref="K263:K517" ca="1" si="27">IPMT(M263/12,1,12,-I263+J263,,0)</f>
        <v>17126.554457358066</v>
      </c>
      <c r="L263" s="444">
        <f t="shared" ref="L263:L517" ca="1" si="28">I263-J263+K263</f>
        <v>4127499.6242232942</v>
      </c>
      <c r="M263" s="460">
        <f t="shared" si="6"/>
        <v>0.05</v>
      </c>
      <c r="N263" s="464">
        <f t="shared" si="7"/>
        <v>59050</v>
      </c>
    </row>
    <row r="264" spans="7:14" ht="11.25" customHeight="1" x14ac:dyDescent="0.3">
      <c r="G264" s="459">
        <f t="shared" si="26"/>
        <v>22</v>
      </c>
      <c r="H264" s="459">
        <v>257</v>
      </c>
      <c r="I264" s="444">
        <f t="shared" ref="I264:I518" ca="1" si="29">L263</f>
        <v>4127499.6242232942</v>
      </c>
      <c r="J264" s="444">
        <f t="array" ref="J264">IFERROR(INDEX('Retirement Calculator'!K:K,MATCH('Lorri 401b'!N264,'Retirement Calculator'!A:A,0),0),0)</f>
        <v>20367.195264578786</v>
      </c>
      <c r="K264" s="444">
        <f t="shared" ca="1" si="27"/>
        <v>17113.051787327982</v>
      </c>
      <c r="L264" s="444">
        <f t="shared" ca="1" si="28"/>
        <v>4124245.4807460434</v>
      </c>
      <c r="M264" s="460">
        <f t="shared" ref="M264:M518" si="30">M263</f>
        <v>0.05</v>
      </c>
      <c r="N264" s="464">
        <f t="shared" ref="N264:N518" si="31">EDATE(N263,1)</f>
        <v>59080</v>
      </c>
    </row>
    <row r="265" spans="7:14" ht="11.25" customHeight="1" x14ac:dyDescent="0.3">
      <c r="G265" s="459">
        <f t="shared" si="26"/>
        <v>22</v>
      </c>
      <c r="H265" s="459">
        <v>258</v>
      </c>
      <c r="I265" s="444">
        <f t="shared" ca="1" si="29"/>
        <v>4124245.4807460434</v>
      </c>
      <c r="J265" s="444">
        <f t="array" ref="J265">IFERROR(INDEX('Retirement Calculator'!K:K,MATCH('Lorri 401b'!N265,'Retirement Calculator'!A:A,0),0),0)</f>
        <v>20367.195264578786</v>
      </c>
      <c r="K265" s="444">
        <f t="shared" ca="1" si="27"/>
        <v>17099.492856172768</v>
      </c>
      <c r="L265" s="444">
        <f t="shared" ca="1" si="28"/>
        <v>4120977.7783376374</v>
      </c>
      <c r="M265" s="460">
        <f t="shared" si="30"/>
        <v>0.05</v>
      </c>
      <c r="N265" s="464">
        <f t="shared" si="31"/>
        <v>59111</v>
      </c>
    </row>
    <row r="266" spans="7:14" ht="11.25" customHeight="1" x14ac:dyDescent="0.3">
      <c r="G266" s="459">
        <f t="shared" si="26"/>
        <v>22</v>
      </c>
      <c r="H266" s="459">
        <v>259</v>
      </c>
      <c r="I266" s="444">
        <f t="shared" ca="1" si="29"/>
        <v>4120977.7783376374</v>
      </c>
      <c r="J266" s="444">
        <f t="array" ref="J266">IFERROR(INDEX('Retirement Calculator'!K:K,MATCH('Lorri 401b'!N266,'Retirement Calculator'!A:A,0),0),0)</f>
        <v>20367.195264578786</v>
      </c>
      <c r="K266" s="444">
        <f t="shared" ca="1" si="27"/>
        <v>17085.877429471078</v>
      </c>
      <c r="L266" s="444">
        <f t="shared" ca="1" si="28"/>
        <v>4117696.4605025295</v>
      </c>
      <c r="M266" s="460">
        <f t="shared" si="30"/>
        <v>0.05</v>
      </c>
      <c r="N266" s="464">
        <f t="shared" si="31"/>
        <v>59141</v>
      </c>
    </row>
    <row r="267" spans="7:14" ht="11.25" customHeight="1" x14ac:dyDescent="0.3">
      <c r="G267" s="459">
        <f t="shared" si="26"/>
        <v>22</v>
      </c>
      <c r="H267" s="459">
        <v>260</v>
      </c>
      <c r="I267" s="444">
        <f t="shared" ca="1" si="29"/>
        <v>4117696.4605025295</v>
      </c>
      <c r="J267" s="444">
        <f t="array" ref="J267">IFERROR(INDEX('Retirement Calculator'!K:K,MATCH('Lorri 401b'!N267,'Retirement Calculator'!A:A,0),0),0)</f>
        <v>20367.195264578786</v>
      </c>
      <c r="K267" s="444">
        <f t="shared" ca="1" si="27"/>
        <v>17072.205271824794</v>
      </c>
      <c r="L267" s="444">
        <f t="shared" ca="1" si="28"/>
        <v>4114401.4705097754</v>
      </c>
      <c r="M267" s="460">
        <f t="shared" si="30"/>
        <v>0.05</v>
      </c>
      <c r="N267" s="464">
        <f t="shared" si="31"/>
        <v>59172</v>
      </c>
    </row>
    <row r="268" spans="7:14" ht="11.25" customHeight="1" x14ac:dyDescent="0.3">
      <c r="G268" s="459">
        <f t="shared" si="26"/>
        <v>22</v>
      </c>
      <c r="H268" s="459">
        <v>261</v>
      </c>
      <c r="I268" s="444">
        <f t="shared" ca="1" si="29"/>
        <v>4114401.4705097754</v>
      </c>
      <c r="J268" s="444">
        <f t="array" ref="J268">IFERROR(INDEX('Retirement Calculator'!K:K,MATCH('Lorri 401b'!N268,'Retirement Calculator'!A:A,0),0),0)</f>
        <v>20367.195264578786</v>
      </c>
      <c r="K268" s="444">
        <f t="shared" ca="1" si="27"/>
        <v>17058.476146854984</v>
      </c>
      <c r="L268" s="444">
        <f t="shared" ca="1" si="28"/>
        <v>4111092.7513920516</v>
      </c>
      <c r="M268" s="460">
        <f t="shared" si="30"/>
        <v>0.05</v>
      </c>
      <c r="N268" s="464">
        <f t="shared" si="31"/>
        <v>59203</v>
      </c>
    </row>
    <row r="269" spans="7:14" ht="11.25" customHeight="1" x14ac:dyDescent="0.3">
      <c r="G269" s="459">
        <f t="shared" si="26"/>
        <v>22</v>
      </c>
      <c r="H269" s="459">
        <v>262</v>
      </c>
      <c r="I269" s="444">
        <f t="shared" ca="1" si="29"/>
        <v>4111092.7513920516</v>
      </c>
      <c r="J269" s="444">
        <f t="array" ref="J269">IFERROR(INDEX('Retirement Calculator'!K:K,MATCH('Lorri 401b'!N269,'Retirement Calculator'!A:A,0),0),0)</f>
        <v>20367.195264578786</v>
      </c>
      <c r="K269" s="444">
        <f t="shared" ca="1" si="27"/>
        <v>17044.689817197803</v>
      </c>
      <c r="L269" s="444">
        <f t="shared" ca="1" si="28"/>
        <v>4107770.2459446704</v>
      </c>
      <c r="M269" s="460">
        <f t="shared" si="30"/>
        <v>0.05</v>
      </c>
      <c r="N269" s="464">
        <f t="shared" si="31"/>
        <v>59231</v>
      </c>
    </row>
    <row r="270" spans="7:14" ht="11.25" customHeight="1" x14ac:dyDescent="0.3">
      <c r="G270" s="459">
        <f t="shared" si="26"/>
        <v>22</v>
      </c>
      <c r="H270" s="459">
        <v>263</v>
      </c>
      <c r="I270" s="444">
        <f t="shared" ca="1" si="29"/>
        <v>4107770.2459446704</v>
      </c>
      <c r="J270" s="444">
        <f t="array" ref="J270">IFERROR(INDEX('Retirement Calculator'!K:K,MATCH('Lorri 401b'!N270,'Retirement Calculator'!A:A,0),0),0)</f>
        <v>20367.195264578786</v>
      </c>
      <c r="K270" s="444">
        <f t="shared" ca="1" si="27"/>
        <v>17030.84604450038</v>
      </c>
      <c r="L270" s="444">
        <f t="shared" ca="1" si="28"/>
        <v>4104433.896724592</v>
      </c>
      <c r="M270" s="460">
        <f t="shared" si="30"/>
        <v>0.05</v>
      </c>
      <c r="N270" s="464">
        <f t="shared" si="31"/>
        <v>59262</v>
      </c>
    </row>
    <row r="271" spans="7:14" ht="11.25" customHeight="1" x14ac:dyDescent="0.3">
      <c r="G271" s="459">
        <f t="shared" si="26"/>
        <v>22</v>
      </c>
      <c r="H271" s="459">
        <v>264</v>
      </c>
      <c r="I271" s="444">
        <f t="shared" ca="1" si="29"/>
        <v>4104433.896724592</v>
      </c>
      <c r="J271" s="444">
        <f t="array" ref="J271">IFERROR(INDEX('Retirement Calculator'!K:K,MATCH('Lorri 401b'!N271,'Retirement Calculator'!A:A,0),0),0)</f>
        <v>20367.195264578786</v>
      </c>
      <c r="K271" s="444">
        <f t="shared" ca="1" si="27"/>
        <v>17016.944589416722</v>
      </c>
      <c r="L271" s="444">
        <f t="shared" ca="1" si="28"/>
        <v>4101083.6460494297</v>
      </c>
      <c r="M271" s="460">
        <f t="shared" si="30"/>
        <v>0.05</v>
      </c>
      <c r="N271" s="464">
        <f t="shared" si="31"/>
        <v>59292</v>
      </c>
    </row>
    <row r="272" spans="7:14" ht="11.25" customHeight="1" x14ac:dyDescent="0.3">
      <c r="G272" s="459">
        <f>G271+1</f>
        <v>23</v>
      </c>
      <c r="H272" s="459">
        <v>265</v>
      </c>
      <c r="I272" s="444">
        <f t="shared" ca="1" si="29"/>
        <v>4101083.6460494297</v>
      </c>
      <c r="J272" s="444">
        <f t="array" ref="J272">IFERROR(INDEX('Retirement Calculator'!K:K,MATCH('Lorri 401b'!N272,'Retirement Calculator'!A:A,0),0),0)</f>
        <v>20367.195264578786</v>
      </c>
      <c r="K272" s="444">
        <f t="shared" ca="1" si="27"/>
        <v>17002.985211603544</v>
      </c>
      <c r="L272" s="444">
        <f t="shared" ca="1" si="28"/>
        <v>4097719.4359964542</v>
      </c>
      <c r="M272" s="460">
        <f t="shared" si="30"/>
        <v>0.05</v>
      </c>
      <c r="N272" s="464">
        <f t="shared" si="31"/>
        <v>59323</v>
      </c>
    </row>
    <row r="273" spans="7:14" ht="11.25" customHeight="1" x14ac:dyDescent="0.3">
      <c r="G273" s="459">
        <f t="shared" ref="G273:G283" si="32">G272</f>
        <v>23</v>
      </c>
      <c r="H273" s="459">
        <v>266</v>
      </c>
      <c r="I273" s="444">
        <f t="shared" ca="1" si="29"/>
        <v>4097719.4359964542</v>
      </c>
      <c r="J273" s="444">
        <f t="array" ref="J273">IFERROR(INDEX('Retirement Calculator'!K:K,MATCH('Lorri 401b'!N273,'Retirement Calculator'!A:A,0),0),0)</f>
        <v>20367.195264578786</v>
      </c>
      <c r="K273" s="444">
        <f t="shared" ca="1" si="27"/>
        <v>16988.967669716149</v>
      </c>
      <c r="L273" s="444">
        <f t="shared" ca="1" si="28"/>
        <v>4094341.2084015915</v>
      </c>
      <c r="M273" s="460">
        <f t="shared" si="30"/>
        <v>0.05</v>
      </c>
      <c r="N273" s="464">
        <f t="shared" si="31"/>
        <v>59353</v>
      </c>
    </row>
    <row r="274" spans="7:14" ht="11.25" customHeight="1" x14ac:dyDescent="0.3">
      <c r="G274" s="459">
        <f t="shared" si="32"/>
        <v>23</v>
      </c>
      <c r="H274" s="459">
        <v>267</v>
      </c>
      <c r="I274" s="444">
        <f t="shared" ca="1" si="29"/>
        <v>4094341.2084015915</v>
      </c>
      <c r="J274" s="444">
        <f t="array" ref="J274">IFERROR(INDEX('Retirement Calculator'!K:K,MATCH('Lorri 401b'!N274,'Retirement Calculator'!A:A,0),0),0)</f>
        <v>20367.195264578786</v>
      </c>
      <c r="K274" s="444">
        <f t="shared" ca="1" si="27"/>
        <v>16974.891721404223</v>
      </c>
      <c r="L274" s="444">
        <f t="shared" ca="1" si="28"/>
        <v>4090948.9048584169</v>
      </c>
      <c r="M274" s="460">
        <f t="shared" si="30"/>
        <v>0.05</v>
      </c>
      <c r="N274" s="464">
        <f t="shared" si="31"/>
        <v>59384</v>
      </c>
    </row>
    <row r="275" spans="7:14" ht="11.25" customHeight="1" x14ac:dyDescent="0.3">
      <c r="G275" s="459">
        <f t="shared" si="32"/>
        <v>23</v>
      </c>
      <c r="H275" s="459">
        <v>268</v>
      </c>
      <c r="I275" s="444">
        <f t="shared" ca="1" si="29"/>
        <v>4090948.9048584169</v>
      </c>
      <c r="J275" s="444">
        <f t="array" ref="J275">IFERROR(INDEX('Retirement Calculator'!K:K,MATCH('Lorri 401b'!N275,'Retirement Calculator'!A:A,0),0),0)</f>
        <v>20367.195264578786</v>
      </c>
      <c r="K275" s="444">
        <f t="shared" ca="1" si="27"/>
        <v>16960.75712330766</v>
      </c>
      <c r="L275" s="444">
        <f t="shared" ca="1" si="28"/>
        <v>4087542.4667171459</v>
      </c>
      <c r="M275" s="460">
        <f t="shared" si="30"/>
        <v>0.05</v>
      </c>
      <c r="N275" s="464">
        <f t="shared" si="31"/>
        <v>59415</v>
      </c>
    </row>
    <row r="276" spans="7:14" ht="11.25" customHeight="1" x14ac:dyDescent="0.3">
      <c r="G276" s="459">
        <f t="shared" si="32"/>
        <v>23</v>
      </c>
      <c r="H276" s="459">
        <v>269</v>
      </c>
      <c r="I276" s="444">
        <f t="shared" ca="1" si="29"/>
        <v>4087542.4667171459</v>
      </c>
      <c r="J276" s="444">
        <f t="array" ref="J276">IFERROR(INDEX('Retirement Calculator'!K:K,MATCH('Lorri 401b'!N276,'Retirement Calculator'!A:A,0),0),0)</f>
        <v>20367.195264578786</v>
      </c>
      <c r="K276" s="444">
        <f t="shared" ca="1" si="27"/>
        <v>16946.563631052366</v>
      </c>
      <c r="L276" s="444">
        <f t="shared" ca="1" si="28"/>
        <v>4084121.8350836192</v>
      </c>
      <c r="M276" s="460">
        <f t="shared" si="30"/>
        <v>0.05</v>
      </c>
      <c r="N276" s="464">
        <f t="shared" si="31"/>
        <v>59445</v>
      </c>
    </row>
    <row r="277" spans="7:14" ht="11.25" customHeight="1" x14ac:dyDescent="0.3">
      <c r="G277" s="459">
        <f t="shared" si="32"/>
        <v>23</v>
      </c>
      <c r="H277" s="459">
        <v>270</v>
      </c>
      <c r="I277" s="444">
        <f t="shared" ca="1" si="29"/>
        <v>4084121.8350836192</v>
      </c>
      <c r="J277" s="444">
        <f t="array" ref="J277">IFERROR(INDEX('Retirement Calculator'!K:K,MATCH('Lorri 401b'!N277,'Retirement Calculator'!A:A,0),0),0)</f>
        <v>20367.195264578786</v>
      </c>
      <c r="K277" s="444">
        <f t="shared" ca="1" si="27"/>
        <v>16932.310999246001</v>
      </c>
      <c r="L277" s="444">
        <f t="shared" ca="1" si="28"/>
        <v>4080686.9508182863</v>
      </c>
      <c r="M277" s="460">
        <f t="shared" si="30"/>
        <v>0.05</v>
      </c>
      <c r="N277" s="464">
        <f t="shared" si="31"/>
        <v>59476</v>
      </c>
    </row>
    <row r="278" spans="7:14" ht="11.25" customHeight="1" x14ac:dyDescent="0.3">
      <c r="G278" s="459">
        <f t="shared" si="32"/>
        <v>23</v>
      </c>
      <c r="H278" s="459">
        <v>271</v>
      </c>
      <c r="I278" s="444">
        <f t="shared" ca="1" si="29"/>
        <v>4080686.9508182863</v>
      </c>
      <c r="J278" s="444">
        <f t="array" ref="J278">IFERROR(INDEX('Retirement Calculator'!K:K,MATCH('Lorri 401b'!N278,'Retirement Calculator'!A:A,0),0),0)</f>
        <v>20367.195264578786</v>
      </c>
      <c r="K278" s="444">
        <f t="shared" ca="1" si="27"/>
        <v>16917.998981473778</v>
      </c>
      <c r="L278" s="444">
        <f t="shared" ca="1" si="28"/>
        <v>4077237.7545351814</v>
      </c>
      <c r="M278" s="460">
        <f t="shared" si="30"/>
        <v>0.05</v>
      </c>
      <c r="N278" s="464">
        <f t="shared" si="31"/>
        <v>59506</v>
      </c>
    </row>
    <row r="279" spans="7:14" ht="11.25" customHeight="1" x14ac:dyDescent="0.3">
      <c r="G279" s="459">
        <f t="shared" si="32"/>
        <v>23</v>
      </c>
      <c r="H279" s="459">
        <v>272</v>
      </c>
      <c r="I279" s="444">
        <f t="shared" ca="1" si="29"/>
        <v>4077237.7545351814</v>
      </c>
      <c r="J279" s="444">
        <f t="array" ref="J279">IFERROR(INDEX('Retirement Calculator'!K:K,MATCH('Lorri 401b'!N279,'Retirement Calculator'!A:A,0),0),0)</f>
        <v>20367.195264578786</v>
      </c>
      <c r="K279" s="444">
        <f t="shared" ca="1" si="27"/>
        <v>16903.627330294181</v>
      </c>
      <c r="L279" s="444">
        <f t="shared" ca="1" si="28"/>
        <v>4073774.186600897</v>
      </c>
      <c r="M279" s="460">
        <f t="shared" si="30"/>
        <v>0.05</v>
      </c>
      <c r="N279" s="464">
        <f t="shared" si="31"/>
        <v>59537</v>
      </c>
    </row>
    <row r="280" spans="7:14" ht="11.25" customHeight="1" x14ac:dyDescent="0.3">
      <c r="G280" s="459">
        <f t="shared" si="32"/>
        <v>23</v>
      </c>
      <c r="H280" s="459">
        <v>273</v>
      </c>
      <c r="I280" s="444">
        <f t="shared" ca="1" si="29"/>
        <v>4073774.186600897</v>
      </c>
      <c r="J280" s="444">
        <f t="array" ref="J280">IFERROR(INDEX('Retirement Calculator'!K:K,MATCH('Lorri 401b'!N280,'Retirement Calculator'!A:A,0),0),0)</f>
        <v>20367.195264578786</v>
      </c>
      <c r="K280" s="444">
        <f t="shared" ca="1" si="27"/>
        <v>16889.195797234657</v>
      </c>
      <c r="L280" s="444">
        <f t="shared" ca="1" si="28"/>
        <v>4070296.187133553</v>
      </c>
      <c r="M280" s="460">
        <f t="shared" si="30"/>
        <v>0.05</v>
      </c>
      <c r="N280" s="464">
        <f t="shared" si="31"/>
        <v>59568</v>
      </c>
    </row>
    <row r="281" spans="7:14" ht="11.25" customHeight="1" x14ac:dyDescent="0.3">
      <c r="G281" s="459">
        <f t="shared" si="32"/>
        <v>23</v>
      </c>
      <c r="H281" s="459">
        <v>274</v>
      </c>
      <c r="I281" s="444">
        <f t="shared" ca="1" si="29"/>
        <v>4070296.187133553</v>
      </c>
      <c r="J281" s="444">
        <f t="array" ref="J281">IFERROR(INDEX('Retirement Calculator'!K:K,MATCH('Lorri 401b'!N281,'Retirement Calculator'!A:A,0),0),0)</f>
        <v>20367.195264578786</v>
      </c>
      <c r="K281" s="444">
        <f t="shared" ca="1" si="27"/>
        <v>16874.704132787392</v>
      </c>
      <c r="L281" s="444">
        <f t="shared" ca="1" si="28"/>
        <v>4066803.6960017616</v>
      </c>
      <c r="M281" s="460">
        <f t="shared" si="30"/>
        <v>0.05</v>
      </c>
      <c r="N281" s="464">
        <f t="shared" si="31"/>
        <v>59596</v>
      </c>
    </row>
    <row r="282" spans="7:14" ht="11.25" customHeight="1" x14ac:dyDescent="0.3">
      <c r="G282" s="459">
        <f t="shared" si="32"/>
        <v>23</v>
      </c>
      <c r="H282" s="459">
        <v>275</v>
      </c>
      <c r="I282" s="444">
        <f t="shared" ca="1" si="29"/>
        <v>4066803.6960017616</v>
      </c>
      <c r="J282" s="444">
        <f t="array" ref="J282">IFERROR(INDEX('Retirement Calculator'!K:K,MATCH('Lorri 401b'!N282,'Retirement Calculator'!A:A,0),0),0)</f>
        <v>20367.195264578786</v>
      </c>
      <c r="K282" s="444">
        <f t="shared" ca="1" si="27"/>
        <v>16860.152086404927</v>
      </c>
      <c r="L282" s="444">
        <f t="shared" ca="1" si="28"/>
        <v>4063296.6528235879</v>
      </c>
      <c r="M282" s="460">
        <f t="shared" si="30"/>
        <v>0.05</v>
      </c>
      <c r="N282" s="464">
        <f t="shared" si="31"/>
        <v>59627</v>
      </c>
    </row>
    <row r="283" spans="7:14" ht="11.25" customHeight="1" x14ac:dyDescent="0.3">
      <c r="G283" s="459">
        <f t="shared" si="32"/>
        <v>23</v>
      </c>
      <c r="H283" s="459">
        <v>276</v>
      </c>
      <c r="I283" s="444">
        <f t="shared" ca="1" si="29"/>
        <v>4063296.6528235879</v>
      </c>
      <c r="J283" s="444">
        <f t="array" ref="J283">IFERROR(INDEX('Retirement Calculator'!K:K,MATCH('Lorri 401b'!N283,'Retirement Calculator'!A:A,0),0),0)</f>
        <v>20367.195264578786</v>
      </c>
      <c r="K283" s="444">
        <f t="shared" ca="1" si="27"/>
        <v>16845.539406495871</v>
      </c>
      <c r="L283" s="444">
        <f t="shared" ca="1" si="28"/>
        <v>4059774.9969655052</v>
      </c>
      <c r="M283" s="460">
        <f t="shared" si="30"/>
        <v>0.05</v>
      </c>
      <c r="N283" s="464">
        <f t="shared" si="31"/>
        <v>59657</v>
      </c>
    </row>
    <row r="284" spans="7:14" ht="11.25" customHeight="1" x14ac:dyDescent="0.3">
      <c r="G284" s="459">
        <f>G283+1</f>
        <v>24</v>
      </c>
      <c r="H284" s="459">
        <v>277</v>
      </c>
      <c r="I284" s="444">
        <f t="shared" ca="1" si="29"/>
        <v>4059774.9969655052</v>
      </c>
      <c r="J284" s="444">
        <f t="array" ref="J284">IFERROR(INDEX('Retirement Calculator'!K:K,MATCH('Lorri 401b'!N284,'Retirement Calculator'!A:A,0),0),0)</f>
        <v>20367.195264578786</v>
      </c>
      <c r="K284" s="444">
        <f t="shared" ca="1" si="27"/>
        <v>16830.865840420527</v>
      </c>
      <c r="L284" s="444">
        <f t="shared" ca="1" si="28"/>
        <v>4056238.667541347</v>
      </c>
      <c r="M284" s="460">
        <f t="shared" si="30"/>
        <v>0.05</v>
      </c>
      <c r="N284" s="464">
        <f t="shared" si="31"/>
        <v>59688</v>
      </c>
    </row>
    <row r="285" spans="7:14" ht="11.25" customHeight="1" x14ac:dyDescent="0.3">
      <c r="G285" s="459">
        <f t="shared" ref="G285:G295" si="33">G284</f>
        <v>24</v>
      </c>
      <c r="H285" s="459">
        <v>278</v>
      </c>
      <c r="I285" s="444">
        <f t="shared" ca="1" si="29"/>
        <v>4056238.667541347</v>
      </c>
      <c r="J285" s="444">
        <f t="array" ref="J285">IFERROR(INDEX('Retirement Calculator'!K:K,MATCH('Lorri 401b'!N285,'Retirement Calculator'!A:A,0),0),0)</f>
        <v>20367.195264578786</v>
      </c>
      <c r="K285" s="444">
        <f t="shared" ca="1" si="27"/>
        <v>16816.131134486532</v>
      </c>
      <c r="L285" s="444">
        <f t="shared" ca="1" si="28"/>
        <v>4052687.6034112549</v>
      </c>
      <c r="M285" s="460">
        <f t="shared" si="30"/>
        <v>0.05</v>
      </c>
      <c r="N285" s="464">
        <f t="shared" si="31"/>
        <v>59718</v>
      </c>
    </row>
    <row r="286" spans="7:14" ht="11.25" customHeight="1" x14ac:dyDescent="0.3">
      <c r="G286" s="459">
        <f t="shared" si="33"/>
        <v>24</v>
      </c>
      <c r="H286" s="459">
        <v>279</v>
      </c>
      <c r="I286" s="444">
        <f t="shared" ca="1" si="29"/>
        <v>4052687.6034112549</v>
      </c>
      <c r="J286" s="444">
        <f t="array" ref="J286">IFERROR(INDEX('Retirement Calculator'!K:K,MATCH('Lorri 401b'!N286,'Retirement Calculator'!A:A,0),0),0)</f>
        <v>20367.195264578786</v>
      </c>
      <c r="K286" s="444">
        <f t="shared" ca="1" si="27"/>
        <v>16801.335033944481</v>
      </c>
      <c r="L286" s="444">
        <f t="shared" ca="1" si="28"/>
        <v>4049121.7431806205</v>
      </c>
      <c r="M286" s="460">
        <f t="shared" si="30"/>
        <v>0.05</v>
      </c>
      <c r="N286" s="464">
        <f t="shared" si="31"/>
        <v>59749</v>
      </c>
    </row>
    <row r="287" spans="7:14" ht="11.25" customHeight="1" x14ac:dyDescent="0.3">
      <c r="G287" s="459">
        <f t="shared" si="33"/>
        <v>24</v>
      </c>
      <c r="H287" s="459">
        <v>280</v>
      </c>
      <c r="I287" s="444">
        <f t="shared" ca="1" si="29"/>
        <v>4049121.7431806205</v>
      </c>
      <c r="J287" s="444">
        <f t="array" ref="J287">IFERROR(INDEX('Retirement Calculator'!K:K,MATCH('Lorri 401b'!N287,'Retirement Calculator'!A:A,0),0),0)</f>
        <v>20367.195264578786</v>
      </c>
      <c r="K287" s="444">
        <f t="shared" ca="1" si="27"/>
        <v>16786.477282983506</v>
      </c>
      <c r="L287" s="444">
        <f t="shared" ca="1" si="28"/>
        <v>4045541.0251990254</v>
      </c>
      <c r="M287" s="460">
        <f t="shared" si="30"/>
        <v>0.05</v>
      </c>
      <c r="N287" s="464">
        <f t="shared" si="31"/>
        <v>59780</v>
      </c>
    </row>
    <row r="288" spans="7:14" ht="11.25" customHeight="1" x14ac:dyDescent="0.3">
      <c r="G288" s="459">
        <f t="shared" si="33"/>
        <v>24</v>
      </c>
      <c r="H288" s="459">
        <v>281</v>
      </c>
      <c r="I288" s="444">
        <f t="shared" ca="1" si="29"/>
        <v>4045541.0251990254</v>
      </c>
      <c r="J288" s="444">
        <f t="array" ref="J288">IFERROR(INDEX('Retirement Calculator'!K:K,MATCH('Lorri 401b'!N288,'Retirement Calculator'!A:A,0),0),0)</f>
        <v>20367.195264578786</v>
      </c>
      <c r="K288" s="444">
        <f t="shared" ca="1" si="27"/>
        <v>16771.557624726862</v>
      </c>
      <c r="L288" s="444">
        <f t="shared" ca="1" si="28"/>
        <v>4041945.3875591736</v>
      </c>
      <c r="M288" s="460">
        <f t="shared" si="30"/>
        <v>0.05</v>
      </c>
      <c r="N288" s="464">
        <f t="shared" si="31"/>
        <v>59810</v>
      </c>
    </row>
    <row r="289" spans="7:14" ht="11.25" customHeight="1" x14ac:dyDescent="0.3">
      <c r="G289" s="459">
        <f t="shared" si="33"/>
        <v>24</v>
      </c>
      <c r="H289" s="459">
        <v>282</v>
      </c>
      <c r="I289" s="444">
        <f t="shared" ca="1" si="29"/>
        <v>4041945.3875591736</v>
      </c>
      <c r="J289" s="444">
        <f t="array" ref="J289">IFERROR(INDEX('Retirement Calculator'!K:K,MATCH('Lorri 401b'!N289,'Retirement Calculator'!A:A,0),0),0)</f>
        <v>20367.195264578786</v>
      </c>
      <c r="K289" s="444">
        <f t="shared" ca="1" si="27"/>
        <v>16756.575801227478</v>
      </c>
      <c r="L289" s="444">
        <f t="shared" ca="1" si="28"/>
        <v>4038334.7680958225</v>
      </c>
      <c r="M289" s="460">
        <f t="shared" si="30"/>
        <v>0.05</v>
      </c>
      <c r="N289" s="464">
        <f t="shared" si="31"/>
        <v>59841</v>
      </c>
    </row>
    <row r="290" spans="7:14" ht="11.25" customHeight="1" x14ac:dyDescent="0.3">
      <c r="G290" s="459">
        <f t="shared" si="33"/>
        <v>24</v>
      </c>
      <c r="H290" s="459">
        <v>283</v>
      </c>
      <c r="I290" s="444">
        <f t="shared" ca="1" si="29"/>
        <v>4038334.7680958225</v>
      </c>
      <c r="J290" s="444">
        <f t="array" ref="J290">IFERROR(INDEX('Retirement Calculator'!K:K,MATCH('Lorri 401b'!N290,'Retirement Calculator'!A:A,0),0),0)</f>
        <v>20367.195264578786</v>
      </c>
      <c r="K290" s="444">
        <f t="shared" ca="1" si="27"/>
        <v>16741.531553463516</v>
      </c>
      <c r="L290" s="444">
        <f t="shared" ca="1" si="28"/>
        <v>4034709.1043847073</v>
      </c>
      <c r="M290" s="460">
        <f t="shared" si="30"/>
        <v>0.05</v>
      </c>
      <c r="N290" s="464">
        <f t="shared" si="31"/>
        <v>59871</v>
      </c>
    </row>
    <row r="291" spans="7:14" ht="11.25" customHeight="1" x14ac:dyDescent="0.3">
      <c r="G291" s="459">
        <f t="shared" si="33"/>
        <v>24</v>
      </c>
      <c r="H291" s="459">
        <v>284</v>
      </c>
      <c r="I291" s="444">
        <f t="shared" ca="1" si="29"/>
        <v>4034709.1043847073</v>
      </c>
      <c r="J291" s="444">
        <f t="array" ref="J291">IFERROR(INDEX('Retirement Calculator'!K:K,MATCH('Lorri 401b'!N291,'Retirement Calculator'!A:A,0),0),0)</f>
        <v>20367.195264578786</v>
      </c>
      <c r="K291" s="444">
        <f t="shared" ca="1" si="27"/>
        <v>16726.42462133387</v>
      </c>
      <c r="L291" s="444">
        <f t="shared" ca="1" si="28"/>
        <v>4031068.3337414623</v>
      </c>
      <c r="M291" s="460">
        <f t="shared" si="30"/>
        <v>0.05</v>
      </c>
      <c r="N291" s="464">
        <f t="shared" si="31"/>
        <v>59902</v>
      </c>
    </row>
    <row r="292" spans="7:14" ht="11.25" customHeight="1" x14ac:dyDescent="0.3">
      <c r="G292" s="459">
        <f t="shared" si="33"/>
        <v>24</v>
      </c>
      <c r="H292" s="459">
        <v>285</v>
      </c>
      <c r="I292" s="444">
        <f t="shared" ca="1" si="29"/>
        <v>4031068.3337414623</v>
      </c>
      <c r="J292" s="444">
        <f t="array" ref="J292">IFERROR(INDEX('Retirement Calculator'!K:K,MATCH('Lorri 401b'!N292,'Retirement Calculator'!A:A,0),0),0)</f>
        <v>20367.195264578786</v>
      </c>
      <c r="K292" s="444">
        <f t="shared" ca="1" si="27"/>
        <v>16711.254743653681</v>
      </c>
      <c r="L292" s="444">
        <f t="shared" ca="1" si="28"/>
        <v>4027412.3932205373</v>
      </c>
      <c r="M292" s="460">
        <f t="shared" si="30"/>
        <v>0.05</v>
      </c>
      <c r="N292" s="464">
        <f t="shared" si="31"/>
        <v>59933</v>
      </c>
    </row>
    <row r="293" spans="7:14" ht="11.25" customHeight="1" x14ac:dyDescent="0.3">
      <c r="G293" s="459">
        <f t="shared" si="33"/>
        <v>24</v>
      </c>
      <c r="H293" s="459">
        <v>286</v>
      </c>
      <c r="I293" s="444">
        <f t="shared" ca="1" si="29"/>
        <v>4027412.3932205373</v>
      </c>
      <c r="J293" s="444">
        <f t="array" ref="J293">IFERROR(INDEX('Retirement Calculator'!K:K,MATCH('Lorri 401b'!N293,'Retirement Calculator'!A:A,0),0),0)</f>
        <v>20367.195264578786</v>
      </c>
      <c r="K293" s="444">
        <f t="shared" ca="1" si="27"/>
        <v>16696.021658149828</v>
      </c>
      <c r="L293" s="444">
        <f t="shared" ca="1" si="28"/>
        <v>4023741.2196141086</v>
      </c>
      <c r="M293" s="460">
        <f t="shared" si="30"/>
        <v>0.05</v>
      </c>
      <c r="N293" s="464">
        <f t="shared" si="31"/>
        <v>59962</v>
      </c>
    </row>
    <row r="294" spans="7:14" ht="11.25" customHeight="1" x14ac:dyDescent="0.3">
      <c r="G294" s="459">
        <f t="shared" si="33"/>
        <v>24</v>
      </c>
      <c r="H294" s="459">
        <v>287</v>
      </c>
      <c r="I294" s="444">
        <f t="shared" ca="1" si="29"/>
        <v>4023741.2196141086</v>
      </c>
      <c r="J294" s="444">
        <f t="array" ref="J294">IFERROR(INDEX('Retirement Calculator'!K:K,MATCH('Lorri 401b'!N294,'Retirement Calculator'!A:A,0),0),0)</f>
        <v>20367.195264578786</v>
      </c>
      <c r="K294" s="444">
        <f t="shared" ca="1" si="27"/>
        <v>16680.725101456377</v>
      </c>
      <c r="L294" s="444">
        <f t="shared" ca="1" si="28"/>
        <v>4020054.7494509863</v>
      </c>
      <c r="M294" s="460">
        <f t="shared" si="30"/>
        <v>0.05</v>
      </c>
      <c r="N294" s="464">
        <f t="shared" si="31"/>
        <v>59993</v>
      </c>
    </row>
    <row r="295" spans="7:14" ht="11.25" customHeight="1" x14ac:dyDescent="0.3">
      <c r="G295" s="459">
        <f t="shared" si="33"/>
        <v>24</v>
      </c>
      <c r="H295" s="459">
        <v>288</v>
      </c>
      <c r="I295" s="444">
        <f t="shared" ca="1" si="29"/>
        <v>4020054.7494509863</v>
      </c>
      <c r="J295" s="444">
        <f t="array" ref="J295">IFERROR(INDEX('Retirement Calculator'!K:K,MATCH('Lorri 401b'!N295,'Retirement Calculator'!A:A,0),0),0)</f>
        <v>20367.195264578786</v>
      </c>
      <c r="K295" s="444">
        <f t="shared" ca="1" si="27"/>
        <v>16665.364809110029</v>
      </c>
      <c r="L295" s="444">
        <f t="shared" ca="1" si="28"/>
        <v>4016352.9189955173</v>
      </c>
      <c r="M295" s="460">
        <f t="shared" si="30"/>
        <v>0.05</v>
      </c>
      <c r="N295" s="464">
        <f t="shared" si="31"/>
        <v>60023</v>
      </c>
    </row>
    <row r="296" spans="7:14" ht="11.25" customHeight="1" x14ac:dyDescent="0.3">
      <c r="G296" s="459">
        <f>G295+1</f>
        <v>25</v>
      </c>
      <c r="H296" s="459">
        <v>289</v>
      </c>
      <c r="I296" s="444">
        <f t="shared" ca="1" si="29"/>
        <v>4016352.9189955173</v>
      </c>
      <c r="J296" s="444">
        <f t="array" ref="J296">IFERROR(INDEX('Retirement Calculator'!K:K,MATCH('Lorri 401b'!N296,'Retirement Calculator'!A:A,0),0),0)</f>
        <v>20367.195264578786</v>
      </c>
      <c r="K296" s="444">
        <f t="shared" ca="1" si="27"/>
        <v>16649.940515545575</v>
      </c>
      <c r="L296" s="444">
        <f t="shared" ca="1" si="28"/>
        <v>4012635.6642464842</v>
      </c>
      <c r="M296" s="460">
        <f t="shared" si="30"/>
        <v>0.05</v>
      </c>
      <c r="N296" s="464">
        <f t="shared" si="31"/>
        <v>60054</v>
      </c>
    </row>
    <row r="297" spans="7:14" ht="11.25" customHeight="1" x14ac:dyDescent="0.3">
      <c r="G297" s="459">
        <f t="shared" ref="G297:G307" si="34">G296</f>
        <v>25</v>
      </c>
      <c r="H297" s="459">
        <v>290</v>
      </c>
      <c r="I297" s="444">
        <f t="shared" ca="1" si="29"/>
        <v>4012635.6642464842</v>
      </c>
      <c r="J297" s="444">
        <f t="array" ref="J297">IFERROR(INDEX('Retirement Calculator'!K:K,MATCH('Lorri 401b'!N297,'Retirement Calculator'!A:A,0),0),0)</f>
        <v>20367.195264578786</v>
      </c>
      <c r="K297" s="444">
        <f t="shared" ca="1" si="27"/>
        <v>16634.451954091273</v>
      </c>
      <c r="L297" s="444">
        <f t="shared" ca="1" si="28"/>
        <v>4008902.9209359968</v>
      </c>
      <c r="M297" s="460">
        <f t="shared" si="30"/>
        <v>0.05</v>
      </c>
      <c r="N297" s="464">
        <f t="shared" si="31"/>
        <v>60084</v>
      </c>
    </row>
    <row r="298" spans="7:14" ht="11.25" customHeight="1" x14ac:dyDescent="0.3">
      <c r="G298" s="459">
        <f t="shared" si="34"/>
        <v>25</v>
      </c>
      <c r="H298" s="459">
        <v>291</v>
      </c>
      <c r="I298" s="444">
        <f t="shared" ca="1" si="29"/>
        <v>4008902.9209359968</v>
      </c>
      <c r="J298" s="444">
        <f t="array" ref="J298">IFERROR(INDEX('Retirement Calculator'!K:K,MATCH('Lorri 401b'!N298,'Retirement Calculator'!A:A,0),0),0)</f>
        <v>20367.195264578786</v>
      </c>
      <c r="K298" s="444">
        <f t="shared" ca="1" si="27"/>
        <v>16618.898856964242</v>
      </c>
      <c r="L298" s="444">
        <f t="shared" ca="1" si="28"/>
        <v>4005154.6245283824</v>
      </c>
      <c r="M298" s="460">
        <f t="shared" si="30"/>
        <v>0.05</v>
      </c>
      <c r="N298" s="464">
        <f t="shared" si="31"/>
        <v>60115</v>
      </c>
    </row>
    <row r="299" spans="7:14" ht="11.25" customHeight="1" x14ac:dyDescent="0.3">
      <c r="G299" s="459">
        <f t="shared" si="34"/>
        <v>25</v>
      </c>
      <c r="H299" s="459">
        <v>292</v>
      </c>
      <c r="I299" s="444">
        <f t="shared" ca="1" si="29"/>
        <v>4005154.6245283824</v>
      </c>
      <c r="J299" s="444">
        <f t="array" ref="J299">IFERROR(INDEX('Retirement Calculator'!K:K,MATCH('Lorri 401b'!N299,'Retirement Calculator'!A:A,0),0),0)</f>
        <v>20367.195264578786</v>
      </c>
      <c r="K299" s="444">
        <f t="shared" ca="1" si="27"/>
        <v>16603.280955265847</v>
      </c>
      <c r="L299" s="444">
        <f t="shared" ca="1" si="28"/>
        <v>4001390.7102190694</v>
      </c>
      <c r="M299" s="460">
        <f t="shared" si="30"/>
        <v>0.05</v>
      </c>
      <c r="N299" s="464">
        <f t="shared" si="31"/>
        <v>60146</v>
      </c>
    </row>
    <row r="300" spans="7:14" ht="11.25" customHeight="1" x14ac:dyDescent="0.3">
      <c r="G300" s="459">
        <f t="shared" si="34"/>
        <v>25</v>
      </c>
      <c r="H300" s="459">
        <v>293</v>
      </c>
      <c r="I300" s="444">
        <f t="shared" ca="1" si="29"/>
        <v>4001390.7102190694</v>
      </c>
      <c r="J300" s="444">
        <f t="array" ref="J300">IFERROR(INDEX('Retirement Calculator'!K:K,MATCH('Lorri 401b'!N300,'Retirement Calculator'!A:A,0),0),0)</f>
        <v>20367.195264578786</v>
      </c>
      <c r="K300" s="444">
        <f t="shared" ca="1" si="27"/>
        <v>16587.597978977043</v>
      </c>
      <c r="L300" s="444">
        <f t="shared" ca="1" si="28"/>
        <v>3997611.1129334676</v>
      </c>
      <c r="M300" s="460">
        <f t="shared" si="30"/>
        <v>0.05</v>
      </c>
      <c r="N300" s="464">
        <f t="shared" si="31"/>
        <v>60176</v>
      </c>
    </row>
    <row r="301" spans="7:14" ht="11.25" customHeight="1" x14ac:dyDescent="0.3">
      <c r="G301" s="459">
        <f t="shared" si="34"/>
        <v>25</v>
      </c>
      <c r="H301" s="459">
        <v>294</v>
      </c>
      <c r="I301" s="444">
        <f t="shared" ca="1" si="29"/>
        <v>3997611.1129334676</v>
      </c>
      <c r="J301" s="444">
        <f t="array" ref="J301">IFERROR(INDEX('Retirement Calculator'!K:K,MATCH('Lorri 401b'!N301,'Retirement Calculator'!A:A,0),0),0)</f>
        <v>20367.195264578786</v>
      </c>
      <c r="K301" s="444">
        <f t="shared" ca="1" si="27"/>
        <v>16571.849656953706</v>
      </c>
      <c r="L301" s="444">
        <f t="shared" ca="1" si="28"/>
        <v>3993815.7673258423</v>
      </c>
      <c r="M301" s="460">
        <f t="shared" si="30"/>
        <v>0.05</v>
      </c>
      <c r="N301" s="464">
        <f t="shared" si="31"/>
        <v>60207</v>
      </c>
    </row>
    <row r="302" spans="7:14" ht="11.25" customHeight="1" x14ac:dyDescent="0.3">
      <c r="G302" s="459">
        <f t="shared" si="34"/>
        <v>25</v>
      </c>
      <c r="H302" s="459">
        <v>295</v>
      </c>
      <c r="I302" s="444">
        <f t="shared" ca="1" si="29"/>
        <v>3993815.7673258423</v>
      </c>
      <c r="J302" s="444">
        <f t="array" ref="J302">IFERROR(INDEX('Retirement Calculator'!K:K,MATCH('Lorri 401b'!N302,'Retirement Calculator'!A:A,0),0),0)</f>
        <v>20367.195264578786</v>
      </c>
      <c r="K302" s="444">
        <f t="shared" ca="1" si="27"/>
        <v>16556.035716921931</v>
      </c>
      <c r="L302" s="444">
        <f t="shared" ca="1" si="28"/>
        <v>3990004.6077781855</v>
      </c>
      <c r="M302" s="460">
        <f t="shared" si="30"/>
        <v>0.05</v>
      </c>
      <c r="N302" s="464">
        <f t="shared" si="31"/>
        <v>60237</v>
      </c>
    </row>
    <row r="303" spans="7:14" ht="11.25" customHeight="1" x14ac:dyDescent="0.3">
      <c r="G303" s="459">
        <f t="shared" si="34"/>
        <v>25</v>
      </c>
      <c r="H303" s="459">
        <v>296</v>
      </c>
      <c r="I303" s="444">
        <f t="shared" ca="1" si="29"/>
        <v>3990004.6077781855</v>
      </c>
      <c r="J303" s="444">
        <f t="array" ref="J303">IFERROR(INDEX('Retirement Calculator'!K:K,MATCH('Lorri 401b'!N303,'Retirement Calculator'!A:A,0),0),0)</f>
        <v>20367.195264578786</v>
      </c>
      <c r="K303" s="444">
        <f t="shared" ca="1" si="27"/>
        <v>16540.155885473359</v>
      </c>
      <c r="L303" s="444">
        <f t="shared" ca="1" si="28"/>
        <v>3986177.5683990801</v>
      </c>
      <c r="M303" s="460">
        <f t="shared" si="30"/>
        <v>0.05</v>
      </c>
      <c r="N303" s="464">
        <f t="shared" si="31"/>
        <v>60268</v>
      </c>
    </row>
    <row r="304" spans="7:14" ht="11.25" customHeight="1" x14ac:dyDescent="0.3">
      <c r="G304" s="459">
        <f t="shared" si="34"/>
        <v>25</v>
      </c>
      <c r="H304" s="459">
        <v>297</v>
      </c>
      <c r="I304" s="444">
        <f t="shared" ca="1" si="29"/>
        <v>3986177.5683990801</v>
      </c>
      <c r="J304" s="444">
        <f t="array" ref="J304">IFERROR(INDEX('Retirement Calculator'!K:K,MATCH('Lorri 401b'!N304,'Retirement Calculator'!A:A,0),0),0)</f>
        <v>20367.195264578786</v>
      </c>
      <c r="K304" s="444">
        <f t="shared" ca="1" si="27"/>
        <v>16524.209888060421</v>
      </c>
      <c r="L304" s="444">
        <f t="shared" ca="1" si="28"/>
        <v>3982334.5830225619</v>
      </c>
      <c r="M304" s="460">
        <f t="shared" si="30"/>
        <v>0.05</v>
      </c>
      <c r="N304" s="464">
        <f t="shared" si="31"/>
        <v>60299</v>
      </c>
    </row>
    <row r="305" spans="7:14" ht="11.25" customHeight="1" x14ac:dyDescent="0.3">
      <c r="G305" s="459">
        <f t="shared" si="34"/>
        <v>25</v>
      </c>
      <c r="H305" s="459">
        <v>298</v>
      </c>
      <c r="I305" s="444">
        <f t="shared" ca="1" si="29"/>
        <v>3982334.5830225619</v>
      </c>
      <c r="J305" s="444">
        <f t="array" ref="J305">IFERROR(INDEX('Retirement Calculator'!K:K,MATCH('Lorri 401b'!N305,'Retirement Calculator'!A:A,0),0),0)</f>
        <v>20367.195264578786</v>
      </c>
      <c r="K305" s="444">
        <f t="shared" ca="1" si="27"/>
        <v>16508.197448991596</v>
      </c>
      <c r="L305" s="444">
        <f t="shared" ca="1" si="28"/>
        <v>3978475.5852069748</v>
      </c>
      <c r="M305" s="460">
        <f t="shared" si="30"/>
        <v>0.05</v>
      </c>
      <c r="N305" s="464">
        <f t="shared" si="31"/>
        <v>60327</v>
      </c>
    </row>
    <row r="306" spans="7:14" ht="11.25" customHeight="1" x14ac:dyDescent="0.3">
      <c r="G306" s="459">
        <f t="shared" si="34"/>
        <v>25</v>
      </c>
      <c r="H306" s="459">
        <v>299</v>
      </c>
      <c r="I306" s="444">
        <f t="shared" ca="1" si="29"/>
        <v>3978475.5852069748</v>
      </c>
      <c r="J306" s="444">
        <f t="array" ref="J306">IFERROR(INDEX('Retirement Calculator'!K:K,MATCH('Lorri 401b'!N306,'Retirement Calculator'!A:A,0),0),0)</f>
        <v>20367.195264578786</v>
      </c>
      <c r="K306" s="444">
        <f t="shared" ca="1" si="27"/>
        <v>16492.11829142665</v>
      </c>
      <c r="L306" s="444">
        <f t="shared" ca="1" si="28"/>
        <v>3974600.5082338224</v>
      </c>
      <c r="M306" s="460">
        <f t="shared" si="30"/>
        <v>0.05</v>
      </c>
      <c r="N306" s="464">
        <f t="shared" si="31"/>
        <v>60358</v>
      </c>
    </row>
    <row r="307" spans="7:14" ht="11.25" customHeight="1" x14ac:dyDescent="0.3">
      <c r="G307" s="459">
        <f t="shared" si="34"/>
        <v>25</v>
      </c>
      <c r="H307" s="459">
        <v>300</v>
      </c>
      <c r="I307" s="444">
        <f t="shared" ca="1" si="29"/>
        <v>3974600.5082338224</v>
      </c>
      <c r="J307" s="444">
        <f t="array" ref="J307">IFERROR(INDEX('Retirement Calculator'!K:K,MATCH('Lorri 401b'!N307,'Retirement Calculator'!A:A,0),0),0)</f>
        <v>20367.195264578786</v>
      </c>
      <c r="K307" s="444">
        <f t="shared" ca="1" si="27"/>
        <v>16475.972137371849</v>
      </c>
      <c r="L307" s="444">
        <f t="shared" ca="1" si="28"/>
        <v>3970709.2851066156</v>
      </c>
      <c r="M307" s="460">
        <f t="shared" si="30"/>
        <v>0.05</v>
      </c>
      <c r="N307" s="464">
        <f t="shared" si="31"/>
        <v>60388</v>
      </c>
    </row>
    <row r="308" spans="7:14" ht="11.25" customHeight="1" x14ac:dyDescent="0.3">
      <c r="G308" s="459">
        <f>G307+1</f>
        <v>26</v>
      </c>
      <c r="H308" s="459">
        <v>301</v>
      </c>
      <c r="I308" s="444">
        <f t="shared" ca="1" si="29"/>
        <v>3970709.2851066156</v>
      </c>
      <c r="J308" s="444">
        <f t="array" ref="J308">IFERROR(INDEX('Retirement Calculator'!K:K,MATCH('Lorri 401b'!N308,'Retirement Calculator'!A:A,0),0),0)</f>
        <v>20367.195264578786</v>
      </c>
      <c r="K308" s="444">
        <f t="shared" ca="1" si="27"/>
        <v>16459.758707675152</v>
      </c>
      <c r="L308" s="444">
        <f t="shared" ca="1" si="28"/>
        <v>3966801.848549712</v>
      </c>
      <c r="M308" s="460">
        <f t="shared" si="30"/>
        <v>0.05</v>
      </c>
      <c r="N308" s="464">
        <f t="shared" si="31"/>
        <v>60419</v>
      </c>
    </row>
    <row r="309" spans="7:14" ht="11.25" customHeight="1" x14ac:dyDescent="0.3">
      <c r="G309" s="459">
        <f t="shared" ref="G309:G319" si="35">G308</f>
        <v>26</v>
      </c>
      <c r="H309" s="459">
        <v>302</v>
      </c>
      <c r="I309" s="444">
        <f t="shared" ca="1" si="29"/>
        <v>3966801.848549712</v>
      </c>
      <c r="J309" s="444">
        <f t="array" ref="J309">IFERROR(INDEX('Retirement Calculator'!K:K,MATCH('Lorri 401b'!N309,'Retirement Calculator'!A:A,0),0),0)</f>
        <v>20367.195264578786</v>
      </c>
      <c r="K309" s="444">
        <f t="shared" ca="1" si="27"/>
        <v>16443.477722021387</v>
      </c>
      <c r="L309" s="444">
        <f t="shared" ca="1" si="28"/>
        <v>3962878.1310071545</v>
      </c>
      <c r="M309" s="460">
        <f t="shared" si="30"/>
        <v>0.05</v>
      </c>
      <c r="N309" s="464">
        <f t="shared" si="31"/>
        <v>60449</v>
      </c>
    </row>
    <row r="310" spans="7:14" ht="11.25" customHeight="1" x14ac:dyDescent="0.3">
      <c r="G310" s="459">
        <f t="shared" si="35"/>
        <v>26</v>
      </c>
      <c r="H310" s="459">
        <v>303</v>
      </c>
      <c r="I310" s="444">
        <f t="shared" ca="1" si="29"/>
        <v>3962878.1310071545</v>
      </c>
      <c r="J310" s="444">
        <f t="array" ref="J310">IFERROR(INDEX('Retirement Calculator'!K:K,MATCH('Lorri 401b'!N310,'Retirement Calculator'!A:A,0),0),0)</f>
        <v>20367.195264578786</v>
      </c>
      <c r="K310" s="444">
        <f t="shared" ca="1" si="27"/>
        <v>16427.1288989274</v>
      </c>
      <c r="L310" s="444">
        <f t="shared" ca="1" si="28"/>
        <v>3958938.0646415032</v>
      </c>
      <c r="M310" s="460">
        <f t="shared" si="30"/>
        <v>0.05</v>
      </c>
      <c r="N310" s="464">
        <f t="shared" si="31"/>
        <v>60480</v>
      </c>
    </row>
    <row r="311" spans="7:14" ht="11.25" customHeight="1" x14ac:dyDescent="0.3">
      <c r="G311" s="459">
        <f t="shared" si="35"/>
        <v>26</v>
      </c>
      <c r="H311" s="459">
        <v>304</v>
      </c>
      <c r="I311" s="444">
        <f t="shared" ca="1" si="29"/>
        <v>3958938.0646415032</v>
      </c>
      <c r="J311" s="444">
        <f t="array" ref="J311">IFERROR(INDEX('Retirement Calculator'!K:K,MATCH('Lorri 401b'!N311,'Retirement Calculator'!A:A,0),0),0)</f>
        <v>20367.195264578786</v>
      </c>
      <c r="K311" s="444">
        <f t="shared" ca="1" si="27"/>
        <v>16410.711955737184</v>
      </c>
      <c r="L311" s="444">
        <f t="shared" ca="1" si="28"/>
        <v>3954981.5813326617</v>
      </c>
      <c r="M311" s="460">
        <f t="shared" si="30"/>
        <v>0.05</v>
      </c>
      <c r="N311" s="464">
        <f t="shared" si="31"/>
        <v>60511</v>
      </c>
    </row>
    <row r="312" spans="7:14" ht="11.25" customHeight="1" x14ac:dyDescent="0.3">
      <c r="G312" s="459">
        <f t="shared" si="35"/>
        <v>26</v>
      </c>
      <c r="H312" s="459">
        <v>305</v>
      </c>
      <c r="I312" s="444">
        <f t="shared" ca="1" si="29"/>
        <v>3954981.5813326617</v>
      </c>
      <c r="J312" s="444">
        <f t="array" ref="J312">IFERROR(INDEX('Retirement Calculator'!K:K,MATCH('Lorri 401b'!N312,'Retirement Calculator'!A:A,0),0),0)</f>
        <v>20367.195264578786</v>
      </c>
      <c r="K312" s="444">
        <f t="shared" ca="1" si="27"/>
        <v>16394.226608617009</v>
      </c>
      <c r="L312" s="444">
        <f t="shared" ca="1" si="28"/>
        <v>3951008.6126767001</v>
      </c>
      <c r="M312" s="460">
        <f t="shared" si="30"/>
        <v>0.05</v>
      </c>
      <c r="N312" s="464">
        <f t="shared" si="31"/>
        <v>60541</v>
      </c>
    </row>
    <row r="313" spans="7:14" ht="11.25" customHeight="1" x14ac:dyDescent="0.3">
      <c r="G313" s="459">
        <f t="shared" si="35"/>
        <v>26</v>
      </c>
      <c r="H313" s="459">
        <v>306</v>
      </c>
      <c r="I313" s="444">
        <f t="shared" ca="1" si="29"/>
        <v>3951008.6126767001</v>
      </c>
      <c r="J313" s="444">
        <f t="array" ref="J313">IFERROR(INDEX('Retirement Calculator'!K:K,MATCH('Lorri 401b'!N313,'Retirement Calculator'!A:A,0),0),0)</f>
        <v>20367.195264578786</v>
      </c>
      <c r="K313" s="444">
        <f t="shared" ca="1" si="27"/>
        <v>16377.672572550504</v>
      </c>
      <c r="L313" s="444">
        <f t="shared" ca="1" si="28"/>
        <v>3947019.0899846717</v>
      </c>
      <c r="M313" s="460">
        <f t="shared" si="30"/>
        <v>0.05</v>
      </c>
      <c r="N313" s="464">
        <f t="shared" si="31"/>
        <v>60572</v>
      </c>
    </row>
    <row r="314" spans="7:14" ht="11.25" customHeight="1" x14ac:dyDescent="0.3">
      <c r="G314" s="459">
        <f t="shared" si="35"/>
        <v>26</v>
      </c>
      <c r="H314" s="459">
        <v>307</v>
      </c>
      <c r="I314" s="444">
        <f t="shared" ca="1" si="29"/>
        <v>3947019.0899846717</v>
      </c>
      <c r="J314" s="444">
        <f t="array" ref="J314">IFERROR(INDEX('Retirement Calculator'!K:K,MATCH('Lorri 401b'!N314,'Retirement Calculator'!A:A,0),0),0)</f>
        <v>20367.195264578786</v>
      </c>
      <c r="K314" s="444">
        <f t="shared" ca="1" si="27"/>
        <v>16361.049561333721</v>
      </c>
      <c r="L314" s="444">
        <f t="shared" ca="1" si="28"/>
        <v>3943012.9442814267</v>
      </c>
      <c r="M314" s="460">
        <f t="shared" si="30"/>
        <v>0.05</v>
      </c>
      <c r="N314" s="464">
        <f t="shared" si="31"/>
        <v>60602</v>
      </c>
    </row>
    <row r="315" spans="7:14" ht="11.25" customHeight="1" x14ac:dyDescent="0.3">
      <c r="G315" s="459">
        <f t="shared" si="35"/>
        <v>26</v>
      </c>
      <c r="H315" s="459">
        <v>308</v>
      </c>
      <c r="I315" s="444">
        <f t="shared" ca="1" si="29"/>
        <v>3943012.9442814267</v>
      </c>
      <c r="J315" s="444">
        <f t="array" ref="J315">IFERROR(INDEX('Retirement Calculator'!K:K,MATCH('Lorri 401b'!N315,'Retirement Calculator'!A:A,0),0),0)</f>
        <v>20367.195264578786</v>
      </c>
      <c r="K315" s="444">
        <f t="shared" ca="1" si="27"/>
        <v>16344.357287570199</v>
      </c>
      <c r="L315" s="444">
        <f t="shared" ca="1" si="28"/>
        <v>3938990.1063044183</v>
      </c>
      <c r="M315" s="460">
        <f t="shared" si="30"/>
        <v>0.05</v>
      </c>
      <c r="N315" s="464">
        <f t="shared" si="31"/>
        <v>60633</v>
      </c>
    </row>
    <row r="316" spans="7:14" ht="11.25" customHeight="1" x14ac:dyDescent="0.3">
      <c r="G316" s="459">
        <f t="shared" si="35"/>
        <v>26</v>
      </c>
      <c r="H316" s="459">
        <v>309</v>
      </c>
      <c r="I316" s="444">
        <f t="shared" ca="1" si="29"/>
        <v>3938990.1063044183</v>
      </c>
      <c r="J316" s="444">
        <f t="array" ref="J316">IFERROR(INDEX('Retirement Calculator'!K:K,MATCH('Lorri 401b'!N316,'Retirement Calculator'!A:A,0),0),0)</f>
        <v>20367.195264578786</v>
      </c>
      <c r="K316" s="444">
        <f t="shared" ca="1" si="27"/>
        <v>16327.595462665997</v>
      </c>
      <c r="L316" s="444">
        <f t="shared" ca="1" si="28"/>
        <v>3934950.5065025054</v>
      </c>
      <c r="M316" s="460">
        <f t="shared" si="30"/>
        <v>0.05</v>
      </c>
      <c r="N316" s="464">
        <f t="shared" si="31"/>
        <v>60664</v>
      </c>
    </row>
    <row r="317" spans="7:14" ht="11.25" customHeight="1" x14ac:dyDescent="0.3">
      <c r="G317" s="459">
        <f t="shared" si="35"/>
        <v>26</v>
      </c>
      <c r="H317" s="459">
        <v>310</v>
      </c>
      <c r="I317" s="444">
        <f t="shared" ca="1" si="29"/>
        <v>3934950.5065025054</v>
      </c>
      <c r="J317" s="444">
        <f t="array" ref="J317">IFERROR(INDEX('Retirement Calculator'!K:K,MATCH('Lorri 401b'!N317,'Retirement Calculator'!A:A,0),0),0)</f>
        <v>20367.195264578786</v>
      </c>
      <c r="K317" s="444">
        <f t="shared" ca="1" si="27"/>
        <v>16310.763796824696</v>
      </c>
      <c r="L317" s="444">
        <f t="shared" ca="1" si="28"/>
        <v>3930894.0750347511</v>
      </c>
      <c r="M317" s="460">
        <f t="shared" si="30"/>
        <v>0.05</v>
      </c>
      <c r="N317" s="464">
        <f t="shared" si="31"/>
        <v>60692</v>
      </c>
    </row>
    <row r="318" spans="7:14" ht="11.25" customHeight="1" x14ac:dyDescent="0.3">
      <c r="G318" s="459">
        <f t="shared" si="35"/>
        <v>26</v>
      </c>
      <c r="H318" s="459">
        <v>311</v>
      </c>
      <c r="I318" s="444">
        <f t="shared" ca="1" si="29"/>
        <v>3930894.0750347511</v>
      </c>
      <c r="J318" s="444">
        <f t="array" ref="J318">IFERROR(INDEX('Retirement Calculator'!K:K,MATCH('Lorri 401b'!N318,'Retirement Calculator'!A:A,0),0),0)</f>
        <v>20367.195264578786</v>
      </c>
      <c r="K318" s="444">
        <f t="shared" ca="1" si="27"/>
        <v>16293.861999042385</v>
      </c>
      <c r="L318" s="444">
        <f t="shared" ca="1" si="28"/>
        <v>3926820.7417692146</v>
      </c>
      <c r="M318" s="460">
        <f t="shared" si="30"/>
        <v>0.05</v>
      </c>
      <c r="N318" s="464">
        <f t="shared" si="31"/>
        <v>60723</v>
      </c>
    </row>
    <row r="319" spans="7:14" ht="11.25" customHeight="1" x14ac:dyDescent="0.3">
      <c r="G319" s="459">
        <f t="shared" si="35"/>
        <v>26</v>
      </c>
      <c r="H319" s="459">
        <v>312</v>
      </c>
      <c r="I319" s="444">
        <f t="shared" ca="1" si="29"/>
        <v>3926820.7417692146</v>
      </c>
      <c r="J319" s="444">
        <f t="array" ref="J319">IFERROR(INDEX('Retirement Calculator'!K:K,MATCH('Lorri 401b'!N319,'Retirement Calculator'!A:A,0),0),0)</f>
        <v>20367.195264578786</v>
      </c>
      <c r="K319" s="444">
        <f t="shared" ca="1" si="27"/>
        <v>16276.88977710265</v>
      </c>
      <c r="L319" s="444">
        <f t="shared" ca="1" si="28"/>
        <v>3922730.4362817383</v>
      </c>
      <c r="M319" s="460">
        <f t="shared" si="30"/>
        <v>0.05</v>
      </c>
      <c r="N319" s="464">
        <f t="shared" si="31"/>
        <v>60753</v>
      </c>
    </row>
    <row r="320" spans="7:14" ht="11.25" customHeight="1" x14ac:dyDescent="0.3">
      <c r="G320" s="459">
        <f>G319+1</f>
        <v>27</v>
      </c>
      <c r="H320" s="459">
        <v>313</v>
      </c>
      <c r="I320" s="444">
        <f t="shared" ca="1" si="29"/>
        <v>3922730.4362817383</v>
      </c>
      <c r="J320" s="444">
        <f t="array" ref="J320">IFERROR(INDEX('Retirement Calculator'!K:K,MATCH('Lorri 401b'!N320,'Retirement Calculator'!A:A,0),0),0)</f>
        <v>20367.195264578786</v>
      </c>
      <c r="K320" s="444">
        <f t="shared" ca="1" si="27"/>
        <v>16259.846837571497</v>
      </c>
      <c r="L320" s="444">
        <f t="shared" ca="1" si="28"/>
        <v>3918623.0878547309</v>
      </c>
      <c r="M320" s="460">
        <f t="shared" si="30"/>
        <v>0.05</v>
      </c>
      <c r="N320" s="464">
        <f t="shared" si="31"/>
        <v>60784</v>
      </c>
    </row>
    <row r="321" spans="7:14" ht="11.25" customHeight="1" x14ac:dyDescent="0.3">
      <c r="G321" s="459">
        <f t="shared" ref="G321:G331" si="36">G320</f>
        <v>27</v>
      </c>
      <c r="H321" s="459">
        <v>314</v>
      </c>
      <c r="I321" s="444">
        <f t="shared" ca="1" si="29"/>
        <v>3918623.0878547309</v>
      </c>
      <c r="J321" s="444">
        <f t="array" ref="J321">IFERROR(INDEX('Retirement Calculator'!K:K,MATCH('Lorri 401b'!N321,'Retirement Calculator'!A:A,0),0),0)</f>
        <v>20367.195264578786</v>
      </c>
      <c r="K321" s="444">
        <f t="shared" ca="1" si="27"/>
        <v>16242.7328857923</v>
      </c>
      <c r="L321" s="444">
        <f t="shared" ca="1" si="28"/>
        <v>3914498.6254759445</v>
      </c>
      <c r="M321" s="460">
        <f t="shared" si="30"/>
        <v>0.05</v>
      </c>
      <c r="N321" s="464">
        <f t="shared" si="31"/>
        <v>60814</v>
      </c>
    </row>
    <row r="322" spans="7:14" ht="11.25" customHeight="1" x14ac:dyDescent="0.3">
      <c r="G322" s="459">
        <f t="shared" si="36"/>
        <v>27</v>
      </c>
      <c r="H322" s="459">
        <v>315</v>
      </c>
      <c r="I322" s="444">
        <f t="shared" ca="1" si="29"/>
        <v>3914498.6254759445</v>
      </c>
      <c r="J322" s="444">
        <f t="array" ref="J322">IFERROR(INDEX('Retirement Calculator'!K:K,MATCH('Lorri 401b'!N322,'Retirement Calculator'!A:A,0),0),0)</f>
        <v>20367.195264578786</v>
      </c>
      <c r="K322" s="444">
        <f t="shared" ca="1" si="27"/>
        <v>16225.547625880692</v>
      </c>
      <c r="L322" s="444">
        <f t="shared" ca="1" si="28"/>
        <v>3910356.9778372464</v>
      </c>
      <c r="M322" s="460">
        <f t="shared" si="30"/>
        <v>0.05</v>
      </c>
      <c r="N322" s="464">
        <f t="shared" si="31"/>
        <v>60845</v>
      </c>
    </row>
    <row r="323" spans="7:14" ht="11.25" customHeight="1" x14ac:dyDescent="0.3">
      <c r="G323" s="459">
        <f t="shared" si="36"/>
        <v>27</v>
      </c>
      <c r="H323" s="459">
        <v>316</v>
      </c>
      <c r="I323" s="444">
        <f t="shared" ca="1" si="29"/>
        <v>3910356.9778372464</v>
      </c>
      <c r="J323" s="444">
        <f t="array" ref="J323">IFERROR(INDEX('Retirement Calculator'!K:K,MATCH('Lorri 401b'!N323,'Retirement Calculator'!A:A,0),0),0)</f>
        <v>20367.195264578786</v>
      </c>
      <c r="K323" s="444">
        <f t="shared" ca="1" si="27"/>
        <v>16208.290760719447</v>
      </c>
      <c r="L323" s="444">
        <f t="shared" ca="1" si="28"/>
        <v>3906198.0733333868</v>
      </c>
      <c r="M323" s="460">
        <f t="shared" si="30"/>
        <v>0.05</v>
      </c>
      <c r="N323" s="464">
        <f t="shared" si="31"/>
        <v>60876</v>
      </c>
    </row>
    <row r="324" spans="7:14" ht="11.25" customHeight="1" x14ac:dyDescent="0.3">
      <c r="G324" s="459">
        <f t="shared" si="36"/>
        <v>27</v>
      </c>
      <c r="H324" s="459">
        <v>317</v>
      </c>
      <c r="I324" s="444">
        <f t="shared" ca="1" si="29"/>
        <v>3906198.0733333868</v>
      </c>
      <c r="J324" s="444">
        <f t="array" ref="J324">IFERROR(INDEX('Retirement Calculator'!K:K,MATCH('Lorri 401b'!N324,'Retirement Calculator'!A:A,0),0),0)</f>
        <v>20367.195264578786</v>
      </c>
      <c r="K324" s="444">
        <f t="shared" ca="1" si="27"/>
        <v>16190.961991953367</v>
      </c>
      <c r="L324" s="444">
        <f t="shared" ca="1" si="28"/>
        <v>3902021.8400607612</v>
      </c>
      <c r="M324" s="460">
        <f t="shared" si="30"/>
        <v>0.05</v>
      </c>
      <c r="N324" s="464">
        <f t="shared" si="31"/>
        <v>60906</v>
      </c>
    </row>
    <row r="325" spans="7:14" ht="11.25" customHeight="1" x14ac:dyDescent="0.3">
      <c r="G325" s="459">
        <f t="shared" si="36"/>
        <v>27</v>
      </c>
      <c r="H325" s="459">
        <v>318</v>
      </c>
      <c r="I325" s="444">
        <f t="shared" ca="1" si="29"/>
        <v>3902021.8400607612</v>
      </c>
      <c r="J325" s="444">
        <f t="array" ref="J325">IFERROR(INDEX('Retirement Calculator'!K:K,MATCH('Lorri 401b'!N325,'Retirement Calculator'!A:A,0),0),0)</f>
        <v>20367.195264578786</v>
      </c>
      <c r="K325" s="444">
        <f t="shared" ca="1" si="27"/>
        <v>16173.561019984094</v>
      </c>
      <c r="L325" s="444">
        <f t="shared" ca="1" si="28"/>
        <v>3897828.2058161665</v>
      </c>
      <c r="M325" s="460">
        <f t="shared" si="30"/>
        <v>0.05</v>
      </c>
      <c r="N325" s="464">
        <f t="shared" si="31"/>
        <v>60937</v>
      </c>
    </row>
    <row r="326" spans="7:14" ht="11.25" customHeight="1" x14ac:dyDescent="0.3">
      <c r="G326" s="459">
        <f t="shared" si="36"/>
        <v>27</v>
      </c>
      <c r="H326" s="459">
        <v>319</v>
      </c>
      <c r="I326" s="444">
        <f t="shared" ca="1" si="29"/>
        <v>3897828.2058161665</v>
      </c>
      <c r="J326" s="444">
        <f t="array" ref="J326">IFERROR(INDEX('Retirement Calculator'!K:K,MATCH('Lorri 401b'!N326,'Retirement Calculator'!A:A,0),0),0)</f>
        <v>20367.195264578786</v>
      </c>
      <c r="K326" s="444">
        <f t="shared" ca="1" si="27"/>
        <v>16156.087543964946</v>
      </c>
      <c r="L326" s="444">
        <f t="shared" ca="1" si="28"/>
        <v>3893617.0980955525</v>
      </c>
      <c r="M326" s="460">
        <f t="shared" si="30"/>
        <v>0.05</v>
      </c>
      <c r="N326" s="464">
        <f t="shared" si="31"/>
        <v>60967</v>
      </c>
    </row>
    <row r="327" spans="7:14" ht="11.25" customHeight="1" x14ac:dyDescent="0.3">
      <c r="G327" s="459">
        <f t="shared" si="36"/>
        <v>27</v>
      </c>
      <c r="H327" s="459">
        <v>320</v>
      </c>
      <c r="I327" s="444">
        <f t="shared" ca="1" si="29"/>
        <v>3893617.0980955525</v>
      </c>
      <c r="J327" s="444">
        <f t="array" ref="J327">IFERROR(INDEX('Retirement Calculator'!K:K,MATCH('Lorri 401b'!N327,'Retirement Calculator'!A:A,0),0),0)</f>
        <v>20367.195264578786</v>
      </c>
      <c r="K327" s="444">
        <f t="shared" ca="1" si="27"/>
        <v>16138.541261795724</v>
      </c>
      <c r="L327" s="444">
        <f t="shared" ca="1" si="28"/>
        <v>3889388.4440927696</v>
      </c>
      <c r="M327" s="460">
        <f t="shared" si="30"/>
        <v>0.05</v>
      </c>
      <c r="N327" s="464">
        <f t="shared" si="31"/>
        <v>60998</v>
      </c>
    </row>
    <row r="328" spans="7:14" ht="11.25" customHeight="1" x14ac:dyDescent="0.3">
      <c r="G328" s="459">
        <f t="shared" si="36"/>
        <v>27</v>
      </c>
      <c r="H328" s="459">
        <v>321</v>
      </c>
      <c r="I328" s="444">
        <f t="shared" ca="1" si="29"/>
        <v>3889388.4440927696</v>
      </c>
      <c r="J328" s="444">
        <f t="array" ref="J328">IFERROR(INDEX('Retirement Calculator'!K:K,MATCH('Lorri 401b'!N328,'Retirement Calculator'!A:A,0),0),0)</f>
        <v>20367.195264578786</v>
      </c>
      <c r="K328" s="444">
        <f t="shared" ca="1" si="27"/>
        <v>16120.921870117461</v>
      </c>
      <c r="L328" s="444">
        <f t="shared" ca="1" si="28"/>
        <v>3885142.1706983084</v>
      </c>
      <c r="M328" s="460">
        <f t="shared" si="30"/>
        <v>0.05</v>
      </c>
      <c r="N328" s="464">
        <f t="shared" si="31"/>
        <v>61029</v>
      </c>
    </row>
    <row r="329" spans="7:14" ht="11.25" customHeight="1" x14ac:dyDescent="0.3">
      <c r="G329" s="459">
        <f t="shared" si="36"/>
        <v>27</v>
      </c>
      <c r="H329" s="459">
        <v>322</v>
      </c>
      <c r="I329" s="444">
        <f t="shared" ca="1" si="29"/>
        <v>3885142.1706983084</v>
      </c>
      <c r="J329" s="444">
        <f t="array" ref="J329">IFERROR(INDEX('Retirement Calculator'!K:K,MATCH('Lorri 401b'!N329,'Retirement Calculator'!A:A,0),0),0)</f>
        <v>20367.195264578786</v>
      </c>
      <c r="K329" s="444">
        <f t="shared" ca="1" si="27"/>
        <v>16103.229064307206</v>
      </c>
      <c r="L329" s="444">
        <f t="shared" ca="1" si="28"/>
        <v>3880878.2044980368</v>
      </c>
      <c r="M329" s="460">
        <f t="shared" si="30"/>
        <v>0.05</v>
      </c>
      <c r="N329" s="464">
        <f t="shared" si="31"/>
        <v>61057</v>
      </c>
    </row>
    <row r="330" spans="7:14" ht="11.25" customHeight="1" x14ac:dyDescent="0.3">
      <c r="G330" s="459">
        <f t="shared" si="36"/>
        <v>27</v>
      </c>
      <c r="H330" s="459">
        <v>323</v>
      </c>
      <c r="I330" s="444">
        <f t="shared" ca="1" si="29"/>
        <v>3880878.2044980368</v>
      </c>
      <c r="J330" s="444">
        <f t="array" ref="J330">IFERROR(INDEX('Retirement Calculator'!K:K,MATCH('Lorri 401b'!N330,'Retirement Calculator'!A:A,0),0),0)</f>
        <v>20367.195264578786</v>
      </c>
      <c r="K330" s="444">
        <f t="shared" ca="1" si="27"/>
        <v>16085.462538472739</v>
      </c>
      <c r="L330" s="444">
        <f t="shared" ca="1" si="28"/>
        <v>3876596.4717719308</v>
      </c>
      <c r="M330" s="460">
        <f t="shared" si="30"/>
        <v>0.05</v>
      </c>
      <c r="N330" s="464">
        <f t="shared" si="31"/>
        <v>61088</v>
      </c>
    </row>
    <row r="331" spans="7:14" ht="11.25" customHeight="1" x14ac:dyDescent="0.3">
      <c r="G331" s="459">
        <f t="shared" si="36"/>
        <v>27</v>
      </c>
      <c r="H331" s="459">
        <v>324</v>
      </c>
      <c r="I331" s="444">
        <f t="shared" ca="1" si="29"/>
        <v>3876596.4717719308</v>
      </c>
      <c r="J331" s="444">
        <f t="array" ref="J331">IFERROR(INDEX('Retirement Calculator'!K:K,MATCH('Lorri 401b'!N331,'Retirement Calculator'!A:A,0),0),0)</f>
        <v>20367.195264578786</v>
      </c>
      <c r="K331" s="444">
        <f t="shared" ca="1" si="27"/>
        <v>16067.6219854473</v>
      </c>
      <c r="L331" s="444">
        <f t="shared" ca="1" si="28"/>
        <v>3872296.8984927991</v>
      </c>
      <c r="M331" s="460">
        <f t="shared" si="30"/>
        <v>0.05</v>
      </c>
      <c r="N331" s="464">
        <f t="shared" si="31"/>
        <v>61118</v>
      </c>
    </row>
    <row r="332" spans="7:14" ht="11.25" customHeight="1" x14ac:dyDescent="0.3">
      <c r="G332" s="459">
        <f>G331+1</f>
        <v>28</v>
      </c>
      <c r="H332" s="459">
        <v>325</v>
      </c>
      <c r="I332" s="444">
        <f t="shared" ca="1" si="29"/>
        <v>3872296.8984927991</v>
      </c>
      <c r="J332" s="444">
        <f t="array" ref="J332">IFERROR(INDEX('Retirement Calculator'!K:K,MATCH('Lorri 401b'!N332,'Retirement Calculator'!A:A,0),0),0)</f>
        <v>20367.195264578786</v>
      </c>
      <c r="K332" s="444">
        <f t="shared" ca="1" si="27"/>
        <v>16049.707096784252</v>
      </c>
      <c r="L332" s="444">
        <f t="shared" ca="1" si="28"/>
        <v>3867979.4103250047</v>
      </c>
      <c r="M332" s="460">
        <f t="shared" si="30"/>
        <v>0.05</v>
      </c>
      <c r="N332" s="464">
        <f t="shared" si="31"/>
        <v>61149</v>
      </c>
    </row>
    <row r="333" spans="7:14" ht="11.25" customHeight="1" x14ac:dyDescent="0.3">
      <c r="G333" s="459">
        <f t="shared" ref="G333:G343" si="37">G332</f>
        <v>28</v>
      </c>
      <c r="H333" s="459">
        <v>326</v>
      </c>
      <c r="I333" s="444">
        <f t="shared" ca="1" si="29"/>
        <v>3867979.4103250047</v>
      </c>
      <c r="J333" s="444">
        <f t="array" ref="J333">IFERROR(INDEX('Retirement Calculator'!K:K,MATCH('Lorri 401b'!N333,'Retirement Calculator'!A:A,0),0),0)</f>
        <v>20367.195264578786</v>
      </c>
      <c r="K333" s="444">
        <f t="shared" ca="1" si="27"/>
        <v>16031.717562751774</v>
      </c>
      <c r="L333" s="444">
        <f t="shared" ca="1" si="28"/>
        <v>3863643.9326231778</v>
      </c>
      <c r="M333" s="460">
        <f t="shared" si="30"/>
        <v>0.05</v>
      </c>
      <c r="N333" s="464">
        <f t="shared" si="31"/>
        <v>61179</v>
      </c>
    </row>
    <row r="334" spans="7:14" ht="11.25" customHeight="1" x14ac:dyDescent="0.3">
      <c r="G334" s="459">
        <f t="shared" si="37"/>
        <v>28</v>
      </c>
      <c r="H334" s="459">
        <v>327</v>
      </c>
      <c r="I334" s="444">
        <f t="shared" ca="1" si="29"/>
        <v>3863643.9326231778</v>
      </c>
      <c r="J334" s="444">
        <f t="array" ref="J334">IFERROR(INDEX('Retirement Calculator'!K:K,MATCH('Lorri 401b'!N334,'Retirement Calculator'!A:A,0),0),0)</f>
        <v>20367.195264578786</v>
      </c>
      <c r="K334" s="444">
        <f t="shared" ca="1" si="27"/>
        <v>16013.653072327495</v>
      </c>
      <c r="L334" s="444">
        <f t="shared" ca="1" si="28"/>
        <v>3859290.3904309263</v>
      </c>
      <c r="M334" s="460">
        <f t="shared" si="30"/>
        <v>0.05</v>
      </c>
      <c r="N334" s="464">
        <f t="shared" si="31"/>
        <v>61210</v>
      </c>
    </row>
    <row r="335" spans="7:14" ht="11.25" customHeight="1" x14ac:dyDescent="0.3">
      <c r="G335" s="459">
        <f t="shared" si="37"/>
        <v>28</v>
      </c>
      <c r="H335" s="459">
        <v>328</v>
      </c>
      <c r="I335" s="444">
        <f t="shared" ca="1" si="29"/>
        <v>3859290.3904309263</v>
      </c>
      <c r="J335" s="444">
        <f t="array" ref="J335">IFERROR(INDEX('Retirement Calculator'!K:K,MATCH('Lorri 401b'!N335,'Retirement Calculator'!A:A,0),0),0)</f>
        <v>20367.195264578786</v>
      </c>
      <c r="K335" s="444">
        <f t="shared" ca="1" si="27"/>
        <v>15995.513313193114</v>
      </c>
      <c r="L335" s="444">
        <f t="shared" ca="1" si="28"/>
        <v>3854918.7084795409</v>
      </c>
      <c r="M335" s="460">
        <f t="shared" si="30"/>
        <v>0.05</v>
      </c>
      <c r="N335" s="464">
        <f t="shared" si="31"/>
        <v>61241</v>
      </c>
    </row>
    <row r="336" spans="7:14" ht="11.25" customHeight="1" x14ac:dyDescent="0.3">
      <c r="G336" s="459">
        <f t="shared" si="37"/>
        <v>28</v>
      </c>
      <c r="H336" s="459">
        <v>329</v>
      </c>
      <c r="I336" s="444">
        <f t="shared" ca="1" si="29"/>
        <v>3854918.7084795409</v>
      </c>
      <c r="J336" s="444">
        <f t="array" ref="J336">IFERROR(INDEX('Retirement Calculator'!K:K,MATCH('Lorri 401b'!N336,'Retirement Calculator'!A:A,0),0),0)</f>
        <v>20367.195264578786</v>
      </c>
      <c r="K336" s="444">
        <f t="shared" ca="1" si="27"/>
        <v>15977.297971729007</v>
      </c>
      <c r="L336" s="444">
        <f t="shared" ca="1" si="28"/>
        <v>3850528.8111866913</v>
      </c>
      <c r="M336" s="460">
        <f t="shared" si="30"/>
        <v>0.05</v>
      </c>
      <c r="N336" s="464">
        <f t="shared" si="31"/>
        <v>61271</v>
      </c>
    </row>
    <row r="337" spans="7:14" ht="11.25" customHeight="1" x14ac:dyDescent="0.3">
      <c r="G337" s="459">
        <f t="shared" si="37"/>
        <v>28</v>
      </c>
      <c r="H337" s="459">
        <v>330</v>
      </c>
      <c r="I337" s="444">
        <f t="shared" ca="1" si="29"/>
        <v>3850528.8111866913</v>
      </c>
      <c r="J337" s="444">
        <f t="array" ref="J337">IFERROR(INDEX('Retirement Calculator'!K:K,MATCH('Lorri 401b'!N337,'Retirement Calculator'!A:A,0),0),0)</f>
        <v>20367.195264578786</v>
      </c>
      <c r="K337" s="444">
        <f t="shared" ca="1" si="27"/>
        <v>15959.006733008804</v>
      </c>
      <c r="L337" s="444">
        <f t="shared" ca="1" si="28"/>
        <v>3846120.6226551211</v>
      </c>
      <c r="M337" s="460">
        <f t="shared" si="30"/>
        <v>0.05</v>
      </c>
      <c r="N337" s="464">
        <f t="shared" si="31"/>
        <v>61302</v>
      </c>
    </row>
    <row r="338" spans="7:14" ht="11.25" customHeight="1" x14ac:dyDescent="0.3">
      <c r="G338" s="459">
        <f t="shared" si="37"/>
        <v>28</v>
      </c>
      <c r="H338" s="459">
        <v>331</v>
      </c>
      <c r="I338" s="444">
        <f t="shared" ca="1" si="29"/>
        <v>3846120.6226551211</v>
      </c>
      <c r="J338" s="444">
        <f t="array" ref="J338">IFERROR(INDEX('Retirement Calculator'!K:K,MATCH('Lorri 401b'!N338,'Retirement Calculator'!A:A,0),0),0)</f>
        <v>20367.195264578786</v>
      </c>
      <c r="K338" s="444">
        <f t="shared" ca="1" si="27"/>
        <v>15940.639280793928</v>
      </c>
      <c r="L338" s="444">
        <f t="shared" ca="1" si="28"/>
        <v>3841694.0666713361</v>
      </c>
      <c r="M338" s="460">
        <f t="shared" si="30"/>
        <v>0.05</v>
      </c>
      <c r="N338" s="464">
        <f t="shared" si="31"/>
        <v>61332</v>
      </c>
    </row>
    <row r="339" spans="7:14" ht="11.25" customHeight="1" x14ac:dyDescent="0.3">
      <c r="G339" s="459">
        <f t="shared" si="37"/>
        <v>28</v>
      </c>
      <c r="H339" s="459">
        <v>332</v>
      </c>
      <c r="I339" s="444">
        <f t="shared" ca="1" si="29"/>
        <v>3841694.0666713361</v>
      </c>
      <c r="J339" s="444">
        <f t="array" ref="J339">IFERROR(INDEX('Retirement Calculator'!K:K,MATCH('Lorri 401b'!N339,'Retirement Calculator'!A:A,0),0),0)</f>
        <v>20367.195264578786</v>
      </c>
      <c r="K339" s="444">
        <f t="shared" ca="1" si="27"/>
        <v>15922.195297528155</v>
      </c>
      <c r="L339" s="444">
        <f t="shared" ca="1" si="28"/>
        <v>3837249.0667042853</v>
      </c>
      <c r="M339" s="460">
        <f t="shared" si="30"/>
        <v>0.05</v>
      </c>
      <c r="N339" s="464">
        <f t="shared" si="31"/>
        <v>61363</v>
      </c>
    </row>
    <row r="340" spans="7:14" ht="11.25" customHeight="1" x14ac:dyDescent="0.3">
      <c r="G340" s="459">
        <f t="shared" si="37"/>
        <v>28</v>
      </c>
      <c r="H340" s="459">
        <v>333</v>
      </c>
      <c r="I340" s="444">
        <f t="shared" ca="1" si="29"/>
        <v>3837249.0667042853</v>
      </c>
      <c r="J340" s="444">
        <f t="array" ref="J340">IFERROR(INDEX('Retirement Calculator'!K:K,MATCH('Lorri 401b'!N340,'Retirement Calculator'!A:A,0),0),0)</f>
        <v>20367.195264578786</v>
      </c>
      <c r="K340" s="444">
        <f t="shared" ca="1" si="27"/>
        <v>15903.674464332111</v>
      </c>
      <c r="L340" s="444">
        <f t="shared" ca="1" si="28"/>
        <v>3832785.5459040385</v>
      </c>
      <c r="M340" s="460">
        <f t="shared" si="30"/>
        <v>0.05</v>
      </c>
      <c r="N340" s="464">
        <f t="shared" si="31"/>
        <v>61394</v>
      </c>
    </row>
    <row r="341" spans="7:14" ht="11.25" customHeight="1" x14ac:dyDescent="0.3">
      <c r="G341" s="459">
        <f t="shared" si="37"/>
        <v>28</v>
      </c>
      <c r="H341" s="459">
        <v>334</v>
      </c>
      <c r="I341" s="444">
        <f t="shared" ca="1" si="29"/>
        <v>3832785.5459040385</v>
      </c>
      <c r="J341" s="444">
        <f t="array" ref="J341">IFERROR(INDEX('Retirement Calculator'!K:K,MATCH('Lorri 401b'!N341,'Retirement Calculator'!A:A,0),0),0)</f>
        <v>20367.195264578786</v>
      </c>
      <c r="K341" s="444">
        <f t="shared" ca="1" si="27"/>
        <v>15885.07646099775</v>
      </c>
      <c r="L341" s="444">
        <f t="shared" ca="1" si="28"/>
        <v>3828303.4271004573</v>
      </c>
      <c r="M341" s="460">
        <f t="shared" si="30"/>
        <v>0.05</v>
      </c>
      <c r="N341" s="464">
        <f t="shared" si="31"/>
        <v>61423</v>
      </c>
    </row>
    <row r="342" spans="7:14" ht="11.25" customHeight="1" x14ac:dyDescent="0.3">
      <c r="G342" s="459">
        <f t="shared" si="37"/>
        <v>28</v>
      </c>
      <c r="H342" s="459">
        <v>335</v>
      </c>
      <c r="I342" s="444">
        <f t="shared" ca="1" si="29"/>
        <v>3828303.4271004573</v>
      </c>
      <c r="J342" s="444">
        <f t="array" ref="J342">IFERROR(INDEX('Retirement Calculator'!K:K,MATCH('Lorri 401b'!N342,'Retirement Calculator'!A:A,0),0),0)</f>
        <v>20367.195264578786</v>
      </c>
      <c r="K342" s="444">
        <f t="shared" ca="1" si="27"/>
        <v>15866.400965982826</v>
      </c>
      <c r="L342" s="444">
        <f t="shared" ca="1" si="28"/>
        <v>3823802.6328018615</v>
      </c>
      <c r="M342" s="460">
        <f t="shared" si="30"/>
        <v>0.05</v>
      </c>
      <c r="N342" s="464">
        <f t="shared" si="31"/>
        <v>61454</v>
      </c>
    </row>
    <row r="343" spans="7:14" ht="11.25" customHeight="1" x14ac:dyDescent="0.3">
      <c r="G343" s="459">
        <f t="shared" si="37"/>
        <v>28</v>
      </c>
      <c r="H343" s="459">
        <v>336</v>
      </c>
      <c r="I343" s="444">
        <f t="shared" ca="1" si="29"/>
        <v>3823802.6328018615</v>
      </c>
      <c r="J343" s="444">
        <f t="array" ref="J343">IFERROR(INDEX('Retirement Calculator'!K:K,MATCH('Lorri 401b'!N343,'Retirement Calculator'!A:A,0),0),0)</f>
        <v>20367.195264578786</v>
      </c>
      <c r="K343" s="444">
        <f t="shared" ca="1" si="27"/>
        <v>15847.647656405346</v>
      </c>
      <c r="L343" s="444">
        <f t="shared" ca="1" si="28"/>
        <v>3819283.085193688</v>
      </c>
      <c r="M343" s="460">
        <f t="shared" si="30"/>
        <v>0.05</v>
      </c>
      <c r="N343" s="464">
        <f t="shared" si="31"/>
        <v>61484</v>
      </c>
    </row>
    <row r="344" spans="7:14" ht="11.25" customHeight="1" x14ac:dyDescent="0.3">
      <c r="G344" s="459">
        <f>G343+1</f>
        <v>29</v>
      </c>
      <c r="H344" s="459">
        <v>337</v>
      </c>
      <c r="I344" s="444">
        <f t="shared" ca="1" si="29"/>
        <v>3819283.085193688</v>
      </c>
      <c r="J344" s="444">
        <f t="array" ref="J344">IFERROR(INDEX('Retirement Calculator'!K:K,MATCH('Lorri 401b'!N344,'Retirement Calculator'!A:A,0),0),0)</f>
        <v>20367.195264578786</v>
      </c>
      <c r="K344" s="444">
        <f t="shared" ca="1" si="27"/>
        <v>15828.816208037953</v>
      </c>
      <c r="L344" s="444">
        <f t="shared" ca="1" si="28"/>
        <v>3814744.7061371473</v>
      </c>
      <c r="M344" s="460">
        <f t="shared" si="30"/>
        <v>0.05</v>
      </c>
      <c r="N344" s="464">
        <f t="shared" si="31"/>
        <v>61515</v>
      </c>
    </row>
    <row r="345" spans="7:14" ht="11.25" customHeight="1" x14ac:dyDescent="0.3">
      <c r="G345" s="459">
        <f t="shared" ref="G345:G355" si="38">G344</f>
        <v>29</v>
      </c>
      <c r="H345" s="459">
        <v>338</v>
      </c>
      <c r="I345" s="444">
        <f t="shared" ca="1" si="29"/>
        <v>3814744.7061371473</v>
      </c>
      <c r="J345" s="444">
        <f t="array" ref="J345">IFERROR(INDEX('Retirement Calculator'!K:K,MATCH('Lorri 401b'!N345,'Retirement Calculator'!A:A,0),0),0)</f>
        <v>20367.195264578786</v>
      </c>
      <c r="K345" s="444">
        <f t="shared" ca="1" si="27"/>
        <v>15809.906295302368</v>
      </c>
      <c r="L345" s="444">
        <f t="shared" ca="1" si="28"/>
        <v>3810187.4171678708</v>
      </c>
      <c r="M345" s="460">
        <f t="shared" si="30"/>
        <v>0.05</v>
      </c>
      <c r="N345" s="464">
        <f t="shared" si="31"/>
        <v>61545</v>
      </c>
    </row>
    <row r="346" spans="7:14" ht="11.25" customHeight="1" x14ac:dyDescent="0.3">
      <c r="G346" s="459">
        <f t="shared" si="38"/>
        <v>29</v>
      </c>
      <c r="H346" s="459">
        <v>339</v>
      </c>
      <c r="I346" s="444">
        <f t="shared" ca="1" si="29"/>
        <v>3810187.4171678708</v>
      </c>
      <c r="J346" s="444">
        <f t="array" ref="J346">IFERROR(INDEX('Retirement Calculator'!K:K,MATCH('Lorri 401b'!N346,'Retirement Calculator'!A:A,0),0),0)</f>
        <v>20367.195264578786</v>
      </c>
      <c r="K346" s="444">
        <f t="shared" ca="1" si="27"/>
        <v>15790.917591263717</v>
      </c>
      <c r="L346" s="444">
        <f t="shared" ca="1" si="28"/>
        <v>3805611.1394945555</v>
      </c>
      <c r="M346" s="460">
        <f t="shared" si="30"/>
        <v>0.05</v>
      </c>
      <c r="N346" s="464">
        <f t="shared" si="31"/>
        <v>61576</v>
      </c>
    </row>
    <row r="347" spans="7:14" ht="11.25" customHeight="1" x14ac:dyDescent="0.3">
      <c r="G347" s="459">
        <f t="shared" si="38"/>
        <v>29</v>
      </c>
      <c r="H347" s="459">
        <v>340</v>
      </c>
      <c r="I347" s="444">
        <f t="shared" ca="1" si="29"/>
        <v>3805611.1394945555</v>
      </c>
      <c r="J347" s="444">
        <f t="array" ref="J347">IFERROR(INDEX('Retirement Calculator'!K:K,MATCH('Lorri 401b'!N347,'Retirement Calculator'!A:A,0),0),0)</f>
        <v>20367.195264578786</v>
      </c>
      <c r="K347" s="444">
        <f t="shared" ca="1" si="27"/>
        <v>15771.849767624904</v>
      </c>
      <c r="L347" s="444">
        <f t="shared" ca="1" si="28"/>
        <v>3801015.7939976016</v>
      </c>
      <c r="M347" s="460">
        <f t="shared" si="30"/>
        <v>0.05</v>
      </c>
      <c r="N347" s="464">
        <f t="shared" si="31"/>
        <v>61607</v>
      </c>
    </row>
    <row r="348" spans="7:14" ht="11.25" customHeight="1" x14ac:dyDescent="0.3">
      <c r="G348" s="459">
        <f t="shared" si="38"/>
        <v>29</v>
      </c>
      <c r="H348" s="459">
        <v>341</v>
      </c>
      <c r="I348" s="444">
        <f t="shared" ca="1" si="29"/>
        <v>3801015.7939976016</v>
      </c>
      <c r="J348" s="444">
        <f t="array" ref="J348">IFERROR(INDEX('Retirement Calculator'!K:K,MATCH('Lorri 401b'!N348,'Retirement Calculator'!A:A,0),0),0)</f>
        <v>20367.195264578786</v>
      </c>
      <c r="K348" s="444">
        <f t="shared" ca="1" si="27"/>
        <v>15752.70249472093</v>
      </c>
      <c r="L348" s="444">
        <f t="shared" ca="1" si="28"/>
        <v>3796401.3012277437</v>
      </c>
      <c r="M348" s="460">
        <f t="shared" si="30"/>
        <v>0.05</v>
      </c>
      <c r="N348" s="464">
        <f t="shared" si="31"/>
        <v>61637</v>
      </c>
    </row>
    <row r="349" spans="7:14" ht="11.25" customHeight="1" x14ac:dyDescent="0.3">
      <c r="G349" s="459">
        <f t="shared" si="38"/>
        <v>29</v>
      </c>
      <c r="H349" s="459">
        <v>342</v>
      </c>
      <c r="I349" s="444">
        <f t="shared" ca="1" si="29"/>
        <v>3796401.3012277437</v>
      </c>
      <c r="J349" s="444">
        <f t="array" ref="J349">IFERROR(INDEX('Retirement Calculator'!K:K,MATCH('Lorri 401b'!N349,'Retirement Calculator'!A:A,0),0),0)</f>
        <v>20367.195264578786</v>
      </c>
      <c r="K349" s="444">
        <f t="shared" ca="1" si="27"/>
        <v>15733.475441513187</v>
      </c>
      <c r="L349" s="444">
        <f t="shared" ca="1" si="28"/>
        <v>3791767.5814046781</v>
      </c>
      <c r="M349" s="460">
        <f t="shared" si="30"/>
        <v>0.05</v>
      </c>
      <c r="N349" s="464">
        <f t="shared" si="31"/>
        <v>61668</v>
      </c>
    </row>
    <row r="350" spans="7:14" ht="11.25" customHeight="1" x14ac:dyDescent="0.3">
      <c r="G350" s="459">
        <f t="shared" si="38"/>
        <v>29</v>
      </c>
      <c r="H350" s="459">
        <v>343</v>
      </c>
      <c r="I350" s="444">
        <f t="shared" ca="1" si="29"/>
        <v>3791767.5814046781</v>
      </c>
      <c r="J350" s="444">
        <f t="array" ref="J350">IFERROR(INDEX('Retirement Calculator'!K:K,MATCH('Lorri 401b'!N350,'Retirement Calculator'!A:A,0),0),0)</f>
        <v>20367.195264578786</v>
      </c>
      <c r="K350" s="444">
        <f t="shared" ca="1" si="27"/>
        <v>15714.168275583746</v>
      </c>
      <c r="L350" s="444">
        <f t="shared" ca="1" si="28"/>
        <v>3787114.5544156828</v>
      </c>
      <c r="M350" s="460">
        <f t="shared" si="30"/>
        <v>0.05</v>
      </c>
      <c r="N350" s="464">
        <f t="shared" si="31"/>
        <v>61698</v>
      </c>
    </row>
    <row r="351" spans="7:14" ht="11.25" customHeight="1" x14ac:dyDescent="0.3">
      <c r="G351" s="459">
        <f t="shared" si="38"/>
        <v>29</v>
      </c>
      <c r="H351" s="459">
        <v>344</v>
      </c>
      <c r="I351" s="444">
        <f t="shared" ca="1" si="29"/>
        <v>3787114.5544156828</v>
      </c>
      <c r="J351" s="444">
        <f t="array" ref="J351">IFERROR(INDEX('Retirement Calculator'!K:K,MATCH('Lorri 401b'!N351,'Retirement Calculator'!A:A,0),0),0)</f>
        <v>20367.195264578786</v>
      </c>
      <c r="K351" s="444">
        <f t="shared" ca="1" si="27"/>
        <v>15694.780663129603</v>
      </c>
      <c r="L351" s="444">
        <f t="shared" ca="1" si="28"/>
        <v>3782442.1398142334</v>
      </c>
      <c r="M351" s="460">
        <f t="shared" si="30"/>
        <v>0.05</v>
      </c>
      <c r="N351" s="464">
        <f t="shared" si="31"/>
        <v>61729</v>
      </c>
    </row>
    <row r="352" spans="7:14" ht="11.25" customHeight="1" x14ac:dyDescent="0.3">
      <c r="G352" s="459">
        <f t="shared" si="38"/>
        <v>29</v>
      </c>
      <c r="H352" s="459">
        <v>345</v>
      </c>
      <c r="I352" s="444">
        <f t="shared" ca="1" si="29"/>
        <v>3782442.1398142334</v>
      </c>
      <c r="J352" s="444">
        <f t="array" ref="J352">IFERROR(INDEX('Retirement Calculator'!K:K,MATCH('Lorri 401b'!N352,'Retirement Calculator'!A:A,0),0),0)</f>
        <v>20367.195264578786</v>
      </c>
      <c r="K352" s="444">
        <f t="shared" ca="1" si="27"/>
        <v>15675.312268956894</v>
      </c>
      <c r="L352" s="444">
        <f t="shared" ca="1" si="28"/>
        <v>3777750.2568186116</v>
      </c>
      <c r="M352" s="460">
        <f t="shared" si="30"/>
        <v>0.05</v>
      </c>
      <c r="N352" s="464">
        <f t="shared" si="31"/>
        <v>61760</v>
      </c>
    </row>
    <row r="353" spans="7:14" ht="11.25" customHeight="1" x14ac:dyDescent="0.3">
      <c r="G353" s="459">
        <f t="shared" si="38"/>
        <v>29</v>
      </c>
      <c r="H353" s="459">
        <v>346</v>
      </c>
      <c r="I353" s="444">
        <f t="shared" ca="1" si="29"/>
        <v>3777750.2568186116</v>
      </c>
      <c r="J353" s="444">
        <f t="array" ref="J353">IFERROR(INDEX('Retirement Calculator'!K:K,MATCH('Lorri 401b'!N353,'Retirement Calculator'!A:A,0),0),0)</f>
        <v>20367.195264578786</v>
      </c>
      <c r="K353" s="444">
        <f t="shared" ca="1" si="27"/>
        <v>15655.762756475136</v>
      </c>
      <c r="L353" s="444">
        <f t="shared" ca="1" si="28"/>
        <v>3773038.8243105081</v>
      </c>
      <c r="M353" s="460">
        <f t="shared" si="30"/>
        <v>0.05</v>
      </c>
      <c r="N353" s="464">
        <f t="shared" si="31"/>
        <v>61788</v>
      </c>
    </row>
    <row r="354" spans="7:14" ht="11.25" customHeight="1" x14ac:dyDescent="0.3">
      <c r="G354" s="459">
        <f t="shared" si="38"/>
        <v>29</v>
      </c>
      <c r="H354" s="459">
        <v>347</v>
      </c>
      <c r="I354" s="444">
        <f t="shared" ca="1" si="29"/>
        <v>3773038.8243105081</v>
      </c>
      <c r="J354" s="444">
        <f t="array" ref="J354">IFERROR(INDEX('Retirement Calculator'!K:K,MATCH('Lorri 401b'!N354,'Retirement Calculator'!A:A,0),0),0)</f>
        <v>20367.195264578786</v>
      </c>
      <c r="K354" s="444">
        <f t="shared" ca="1" si="27"/>
        <v>15636.131787691373</v>
      </c>
      <c r="L354" s="444">
        <f t="shared" ca="1" si="28"/>
        <v>3768307.7608336206</v>
      </c>
      <c r="M354" s="460">
        <f t="shared" si="30"/>
        <v>0.05</v>
      </c>
      <c r="N354" s="464">
        <f t="shared" si="31"/>
        <v>61819</v>
      </c>
    </row>
    <row r="355" spans="7:14" ht="11.25" customHeight="1" x14ac:dyDescent="0.3">
      <c r="G355" s="459">
        <f t="shared" si="38"/>
        <v>29</v>
      </c>
      <c r="H355" s="459">
        <v>348</v>
      </c>
      <c r="I355" s="444">
        <f t="shared" ca="1" si="29"/>
        <v>3768307.7608336206</v>
      </c>
      <c r="J355" s="444">
        <f t="array" ref="J355">IFERROR(INDEX('Retirement Calculator'!K:K,MATCH('Lorri 401b'!N355,'Retirement Calculator'!A:A,0),0),0)</f>
        <v>20367.195264578786</v>
      </c>
      <c r="K355" s="444">
        <f t="shared" ca="1" si="27"/>
        <v>15616.41902320434</v>
      </c>
      <c r="L355" s="444">
        <f t="shared" ca="1" si="28"/>
        <v>3763556.9845922459</v>
      </c>
      <c r="M355" s="460">
        <f t="shared" si="30"/>
        <v>0.05</v>
      </c>
      <c r="N355" s="464">
        <f t="shared" si="31"/>
        <v>61849</v>
      </c>
    </row>
    <row r="356" spans="7:14" ht="11.25" customHeight="1" x14ac:dyDescent="0.3">
      <c r="G356" s="459">
        <f>G355+1</f>
        <v>30</v>
      </c>
      <c r="H356" s="459">
        <v>349</v>
      </c>
      <c r="I356" s="444">
        <f t="shared" ca="1" si="29"/>
        <v>3763556.9845922459</v>
      </c>
      <c r="J356" s="444">
        <f t="array" ref="J356">IFERROR(INDEX('Retirement Calculator'!K:K,MATCH('Lorri 401b'!N356,'Retirement Calculator'!A:A,0),0),0)</f>
        <v>20367.195264578786</v>
      </c>
      <c r="K356" s="444">
        <f t="shared" ca="1" si="27"/>
        <v>15596.624122198611</v>
      </c>
      <c r="L356" s="444">
        <f t="shared" ca="1" si="28"/>
        <v>3758786.4134498658</v>
      </c>
      <c r="M356" s="460">
        <f t="shared" si="30"/>
        <v>0.05</v>
      </c>
      <c r="N356" s="464">
        <f t="shared" si="31"/>
        <v>61880</v>
      </c>
    </row>
    <row r="357" spans="7:14" ht="11.25" customHeight="1" x14ac:dyDescent="0.3">
      <c r="G357" s="459">
        <f t="shared" ref="G357:G367" si="39">G356</f>
        <v>30</v>
      </c>
      <c r="H357" s="459">
        <v>350</v>
      </c>
      <c r="I357" s="444">
        <f t="shared" ca="1" si="29"/>
        <v>3758786.4134498658</v>
      </c>
      <c r="J357" s="444">
        <f t="array" ref="J357">IFERROR(INDEX('Retirement Calculator'!K:K,MATCH('Lorri 401b'!N357,'Retirement Calculator'!A:A,0),0),0)</f>
        <v>20367.195264578786</v>
      </c>
      <c r="K357" s="444">
        <f t="shared" ca="1" si="27"/>
        <v>15576.746742438696</v>
      </c>
      <c r="L357" s="444">
        <f t="shared" ca="1" si="28"/>
        <v>3753995.9649277255</v>
      </c>
      <c r="M357" s="460">
        <f t="shared" si="30"/>
        <v>0.05</v>
      </c>
      <c r="N357" s="464">
        <f t="shared" si="31"/>
        <v>61910</v>
      </c>
    </row>
    <row r="358" spans="7:14" ht="11.25" customHeight="1" x14ac:dyDescent="0.3">
      <c r="G358" s="459">
        <f t="shared" si="39"/>
        <v>30</v>
      </c>
      <c r="H358" s="459">
        <v>351</v>
      </c>
      <c r="I358" s="444">
        <f t="shared" ca="1" si="29"/>
        <v>3753995.9649277255</v>
      </c>
      <c r="J358" s="444">
        <f t="array" ref="J358">IFERROR(INDEX('Retirement Calculator'!K:K,MATCH('Lorri 401b'!N358,'Retirement Calculator'!A:A,0),0),0)</f>
        <v>20367.195264578786</v>
      </c>
      <c r="K358" s="444">
        <f t="shared" ca="1" si="27"/>
        <v>15556.786540263111</v>
      </c>
      <c r="L358" s="444">
        <f t="shared" ca="1" si="28"/>
        <v>3749185.55620341</v>
      </c>
      <c r="M358" s="460">
        <f t="shared" si="30"/>
        <v>0.05</v>
      </c>
      <c r="N358" s="464">
        <f t="shared" si="31"/>
        <v>61941</v>
      </c>
    </row>
    <row r="359" spans="7:14" ht="11.25" customHeight="1" x14ac:dyDescent="0.3">
      <c r="G359" s="459">
        <f t="shared" si="39"/>
        <v>30</v>
      </c>
      <c r="H359" s="459">
        <v>352</v>
      </c>
      <c r="I359" s="444">
        <f t="shared" ca="1" si="29"/>
        <v>3749185.55620341</v>
      </c>
      <c r="J359" s="444">
        <f t="array" ref="J359">IFERROR(INDEX('Retirement Calculator'!K:K,MATCH('Lorri 401b'!N359,'Retirement Calculator'!A:A,0),0),0)</f>
        <v>20367.195264578786</v>
      </c>
      <c r="K359" s="444">
        <f t="shared" ca="1" si="27"/>
        <v>15536.743170578464</v>
      </c>
      <c r="L359" s="444">
        <f t="shared" ca="1" si="28"/>
        <v>3744355.1041094097</v>
      </c>
      <c r="M359" s="460">
        <f t="shared" si="30"/>
        <v>0.05</v>
      </c>
      <c r="N359" s="464">
        <f t="shared" si="31"/>
        <v>61972</v>
      </c>
    </row>
    <row r="360" spans="7:14" ht="11.25" customHeight="1" x14ac:dyDescent="0.3">
      <c r="G360" s="459">
        <f t="shared" si="39"/>
        <v>30</v>
      </c>
      <c r="H360" s="459">
        <v>353</v>
      </c>
      <c r="I360" s="444">
        <f t="shared" ca="1" si="29"/>
        <v>3744355.1041094097</v>
      </c>
      <c r="J360" s="444">
        <f t="array" ref="J360">IFERROR(INDEX('Retirement Calculator'!K:K,MATCH('Lorri 401b'!N360,'Retirement Calculator'!A:A,0),0),0)</f>
        <v>20367.195264578786</v>
      </c>
      <c r="K360" s="444">
        <f t="shared" ca="1" si="27"/>
        <v>15516.616286853461</v>
      </c>
      <c r="L360" s="444">
        <f t="shared" ca="1" si="28"/>
        <v>3739504.5251316843</v>
      </c>
      <c r="M360" s="460">
        <f t="shared" si="30"/>
        <v>0.05</v>
      </c>
      <c r="N360" s="464">
        <f t="shared" si="31"/>
        <v>62002</v>
      </c>
    </row>
    <row r="361" spans="7:14" ht="11.25" customHeight="1" x14ac:dyDescent="0.3">
      <c r="G361" s="459">
        <f t="shared" si="39"/>
        <v>30</v>
      </c>
      <c r="H361" s="459">
        <v>354</v>
      </c>
      <c r="I361" s="444">
        <f t="shared" ca="1" si="29"/>
        <v>3739504.5251316843</v>
      </c>
      <c r="J361" s="444">
        <f t="array" ref="J361">IFERROR(INDEX('Retirement Calculator'!K:K,MATCH('Lorri 401b'!N361,'Retirement Calculator'!A:A,0),0),0)</f>
        <v>20367.195264578786</v>
      </c>
      <c r="K361" s="444">
        <f t="shared" ca="1" si="27"/>
        <v>15496.405541112939</v>
      </c>
      <c r="L361" s="444">
        <f t="shared" ca="1" si="28"/>
        <v>3734633.7354082186</v>
      </c>
      <c r="M361" s="460">
        <f t="shared" si="30"/>
        <v>0.05</v>
      </c>
      <c r="N361" s="464">
        <f t="shared" si="31"/>
        <v>62033</v>
      </c>
    </row>
    <row r="362" spans="7:14" ht="11.25" customHeight="1" x14ac:dyDescent="0.3">
      <c r="G362" s="459">
        <f t="shared" si="39"/>
        <v>30</v>
      </c>
      <c r="H362" s="459">
        <v>355</v>
      </c>
      <c r="I362" s="444">
        <f t="shared" ca="1" si="29"/>
        <v>3734633.7354082186</v>
      </c>
      <c r="J362" s="444">
        <f t="array" ref="J362">IFERROR(INDEX('Retirement Calculator'!K:K,MATCH('Lorri 401b'!N362,'Retirement Calculator'!A:A,0),0),0)</f>
        <v>20367.195264578786</v>
      </c>
      <c r="K362" s="444">
        <f t="shared" ca="1" si="27"/>
        <v>15476.110583931832</v>
      </c>
      <c r="L362" s="444">
        <f t="shared" ca="1" si="28"/>
        <v>3729742.6507275715</v>
      </c>
      <c r="M362" s="460">
        <f t="shared" si="30"/>
        <v>0.05</v>
      </c>
      <c r="N362" s="464">
        <f t="shared" si="31"/>
        <v>62063</v>
      </c>
    </row>
    <row r="363" spans="7:14" ht="11.25" customHeight="1" x14ac:dyDescent="0.3">
      <c r="G363" s="459">
        <f t="shared" si="39"/>
        <v>30</v>
      </c>
      <c r="H363" s="459">
        <v>356</v>
      </c>
      <c r="I363" s="444">
        <f t="shared" ca="1" si="29"/>
        <v>3729742.6507275715</v>
      </c>
      <c r="J363" s="444">
        <f t="array" ref="J363">IFERROR(INDEX('Retirement Calculator'!K:K,MATCH('Lorri 401b'!N363,'Retirement Calculator'!A:A,0),0),0)</f>
        <v>20367.195264578786</v>
      </c>
      <c r="K363" s="444">
        <f t="shared" ca="1" si="27"/>
        <v>15455.731064429134</v>
      </c>
      <c r="L363" s="444">
        <f t="shared" ca="1" si="28"/>
        <v>3724831.1865274217</v>
      </c>
      <c r="M363" s="460">
        <f t="shared" si="30"/>
        <v>0.05</v>
      </c>
      <c r="N363" s="464">
        <f t="shared" si="31"/>
        <v>62094</v>
      </c>
    </row>
    <row r="364" spans="7:14" ht="11.25" customHeight="1" x14ac:dyDescent="0.3">
      <c r="G364" s="459">
        <f t="shared" si="39"/>
        <v>30</v>
      </c>
      <c r="H364" s="459">
        <v>357</v>
      </c>
      <c r="I364" s="444">
        <f t="shared" ca="1" si="29"/>
        <v>3724831.1865274217</v>
      </c>
      <c r="J364" s="444">
        <f t="array" ref="J364">IFERROR(INDEX('Retirement Calculator'!K:K,MATCH('Lorri 401b'!N364,'Retirement Calculator'!A:A,0),0),0)</f>
        <v>20367.195264578786</v>
      </c>
      <c r="K364" s="444">
        <f t="shared" ca="1" si="27"/>
        <v>15435.266630261845</v>
      </c>
      <c r="L364" s="444">
        <f t="shared" ca="1" si="28"/>
        <v>3719899.2578931046</v>
      </c>
      <c r="M364" s="460">
        <f t="shared" si="30"/>
        <v>0.05</v>
      </c>
      <c r="N364" s="464">
        <f t="shared" si="31"/>
        <v>62125</v>
      </c>
    </row>
    <row r="365" spans="7:14" ht="11.25" customHeight="1" x14ac:dyDescent="0.3">
      <c r="G365" s="459">
        <f t="shared" si="39"/>
        <v>30</v>
      </c>
      <c r="H365" s="459">
        <v>358</v>
      </c>
      <c r="I365" s="444">
        <f t="shared" ca="1" si="29"/>
        <v>3719899.2578931046</v>
      </c>
      <c r="J365" s="444">
        <f t="array" ref="J365">IFERROR(INDEX('Retirement Calculator'!K:K,MATCH('Lorri 401b'!N365,'Retirement Calculator'!A:A,0),0),0)</f>
        <v>20367.195264578786</v>
      </c>
      <c r="K365" s="444">
        <f t="shared" ca="1" si="27"/>
        <v>15414.716927618858</v>
      </c>
      <c r="L365" s="444">
        <f t="shared" ca="1" si="28"/>
        <v>3714946.7795561445</v>
      </c>
      <c r="M365" s="460">
        <f t="shared" si="30"/>
        <v>0.05</v>
      </c>
      <c r="N365" s="464">
        <f t="shared" si="31"/>
        <v>62153</v>
      </c>
    </row>
    <row r="366" spans="7:14" ht="11.25" customHeight="1" x14ac:dyDescent="0.3">
      <c r="G366" s="459">
        <f t="shared" si="39"/>
        <v>30</v>
      </c>
      <c r="H366" s="459">
        <v>359</v>
      </c>
      <c r="I366" s="444">
        <f t="shared" ca="1" si="29"/>
        <v>3714946.7795561445</v>
      </c>
      <c r="J366" s="444">
        <f t="array" ref="J366">IFERROR(INDEX('Retirement Calculator'!K:K,MATCH('Lorri 401b'!N366,'Retirement Calculator'!A:A,0),0),0)</f>
        <v>20367.195264578786</v>
      </c>
      <c r="K366" s="444">
        <f t="shared" ca="1" si="27"/>
        <v>15394.081601214857</v>
      </c>
      <c r="L366" s="444">
        <f t="shared" ca="1" si="28"/>
        <v>3709973.6658927808</v>
      </c>
      <c r="M366" s="460">
        <f t="shared" si="30"/>
        <v>0.05</v>
      </c>
      <c r="N366" s="464">
        <f t="shared" si="31"/>
        <v>62184</v>
      </c>
    </row>
    <row r="367" spans="7:14" ht="11.25" customHeight="1" x14ac:dyDescent="0.3">
      <c r="G367" s="459">
        <f t="shared" si="39"/>
        <v>30</v>
      </c>
      <c r="H367" s="459">
        <v>360</v>
      </c>
      <c r="I367" s="444">
        <f t="shared" ca="1" si="29"/>
        <v>3709973.6658927808</v>
      </c>
      <c r="J367" s="444">
        <f t="array" ref="J367">IFERROR(INDEX('Retirement Calculator'!K:K,MATCH('Lorri 401b'!N367,'Retirement Calculator'!A:A,0),0),0)</f>
        <v>20367.195264578786</v>
      </c>
      <c r="K367" s="444">
        <f t="shared" ca="1" si="27"/>
        <v>15373.360294284175</v>
      </c>
      <c r="L367" s="444">
        <f t="shared" ca="1" si="28"/>
        <v>3704979.8309224863</v>
      </c>
      <c r="M367" s="460">
        <f t="shared" si="30"/>
        <v>0.05</v>
      </c>
      <c r="N367" s="464">
        <f t="shared" si="31"/>
        <v>62214</v>
      </c>
    </row>
    <row r="368" spans="7:14" ht="11.25" customHeight="1" x14ac:dyDescent="0.3">
      <c r="G368" s="459">
        <f>G367+1</f>
        <v>31</v>
      </c>
      <c r="H368" s="459">
        <v>361</v>
      </c>
      <c r="I368" s="444">
        <f t="shared" ca="1" si="29"/>
        <v>3704979.8309224863</v>
      </c>
      <c r="J368" s="444">
        <f t="array" ref="J368">IFERROR(INDEX('Retirement Calculator'!K:K,MATCH('Lorri 401b'!N368,'Retirement Calculator'!A:A,0),0),0)</f>
        <v>20367.195264578786</v>
      </c>
      <c r="K368" s="444">
        <f t="shared" ca="1" si="27"/>
        <v>15352.552648574612</v>
      </c>
      <c r="L368" s="444">
        <f t="shared" ca="1" si="28"/>
        <v>3699965.188306482</v>
      </c>
      <c r="M368" s="460">
        <f t="shared" si="30"/>
        <v>0.05</v>
      </c>
      <c r="N368" s="464">
        <f t="shared" si="31"/>
        <v>62245</v>
      </c>
    </row>
    <row r="369" spans="7:14" ht="11.25" customHeight="1" x14ac:dyDescent="0.3">
      <c r="G369" s="459">
        <f t="shared" ref="G369:G379" si="40">G368</f>
        <v>31</v>
      </c>
      <c r="H369" s="459">
        <v>362</v>
      </c>
      <c r="I369" s="444">
        <f t="shared" ca="1" si="29"/>
        <v>3699965.188306482</v>
      </c>
      <c r="J369" s="444">
        <f t="array" ref="J369">IFERROR(INDEX('Retirement Calculator'!K:K,MATCH('Lorri 401b'!N369,'Retirement Calculator'!A:A,0),0),0)</f>
        <v>20367.195264578786</v>
      </c>
      <c r="K369" s="444">
        <f t="shared" ca="1" si="27"/>
        <v>15331.658304341263</v>
      </c>
      <c r="L369" s="444">
        <f t="shared" ca="1" si="28"/>
        <v>3694929.6513462444</v>
      </c>
      <c r="M369" s="460">
        <f t="shared" si="30"/>
        <v>0.05</v>
      </c>
      <c r="N369" s="464">
        <f t="shared" si="31"/>
        <v>62275</v>
      </c>
    </row>
    <row r="370" spans="7:14" ht="11.25" customHeight="1" x14ac:dyDescent="0.3">
      <c r="G370" s="459">
        <f t="shared" si="40"/>
        <v>31</v>
      </c>
      <c r="H370" s="459">
        <v>363</v>
      </c>
      <c r="I370" s="444">
        <f t="shared" ca="1" si="29"/>
        <v>3694929.6513462444</v>
      </c>
      <c r="J370" s="444">
        <f t="array" ref="J370">IFERROR(INDEX('Retirement Calculator'!K:K,MATCH('Lorri 401b'!N370,'Retirement Calculator'!A:A,0),0),0)</f>
        <v>20367.195264578786</v>
      </c>
      <c r="K370" s="444">
        <f t="shared" ca="1" si="27"/>
        <v>15310.676900340271</v>
      </c>
      <c r="L370" s="444">
        <f t="shared" ca="1" si="28"/>
        <v>3689873.1329820058</v>
      </c>
      <c r="M370" s="460">
        <f t="shared" si="30"/>
        <v>0.05</v>
      </c>
      <c r="N370" s="464">
        <f t="shared" si="31"/>
        <v>62306</v>
      </c>
    </row>
    <row r="371" spans="7:14" ht="11.25" customHeight="1" x14ac:dyDescent="0.3">
      <c r="G371" s="459">
        <f t="shared" si="40"/>
        <v>31</v>
      </c>
      <c r="H371" s="459">
        <v>364</v>
      </c>
      <c r="I371" s="444">
        <f t="shared" ca="1" si="29"/>
        <v>3689873.1329820058</v>
      </c>
      <c r="J371" s="444">
        <f t="array" ref="J371">IFERROR(INDEX('Retirement Calculator'!K:K,MATCH('Lorri 401b'!N371,'Retirement Calculator'!A:A,0),0),0)</f>
        <v>20367.195264578786</v>
      </c>
      <c r="K371" s="444">
        <f t="shared" ca="1" si="27"/>
        <v>15289.608073822612</v>
      </c>
      <c r="L371" s="444">
        <f t="shared" ca="1" si="28"/>
        <v>3684795.5457912497</v>
      </c>
      <c r="M371" s="460">
        <f t="shared" si="30"/>
        <v>0.05</v>
      </c>
      <c r="N371" s="464">
        <f t="shared" si="31"/>
        <v>62337</v>
      </c>
    </row>
    <row r="372" spans="7:14" ht="11.25" customHeight="1" x14ac:dyDescent="0.3">
      <c r="G372" s="459">
        <f t="shared" si="40"/>
        <v>31</v>
      </c>
      <c r="H372" s="459">
        <v>365</v>
      </c>
      <c r="I372" s="444">
        <f t="shared" ca="1" si="29"/>
        <v>3684795.5457912497</v>
      </c>
      <c r="J372" s="444">
        <f t="array" ref="J372">IFERROR(INDEX('Retirement Calculator'!K:K,MATCH('Lorri 401b'!N372,'Retirement Calculator'!A:A,0),0),0)</f>
        <v>20367.195264578786</v>
      </c>
      <c r="K372" s="444">
        <f t="shared" ca="1" si="27"/>
        <v>15268.451460527793</v>
      </c>
      <c r="L372" s="444">
        <f t="shared" ca="1" si="28"/>
        <v>3679696.8019871986</v>
      </c>
      <c r="M372" s="460">
        <f t="shared" si="30"/>
        <v>0.05</v>
      </c>
      <c r="N372" s="464">
        <f t="shared" si="31"/>
        <v>62367</v>
      </c>
    </row>
    <row r="373" spans="7:14" ht="11.25" customHeight="1" x14ac:dyDescent="0.3">
      <c r="G373" s="459">
        <f t="shared" si="40"/>
        <v>31</v>
      </c>
      <c r="H373" s="459">
        <v>366</v>
      </c>
      <c r="I373" s="444">
        <f t="shared" ca="1" si="29"/>
        <v>3679696.8019871986</v>
      </c>
      <c r="J373" s="444">
        <f t="array" ref="J373">IFERROR(INDEX('Retirement Calculator'!K:K,MATCH('Lorri 401b'!N373,'Retirement Calculator'!A:A,0),0),0)</f>
        <v>20367.195264578786</v>
      </c>
      <c r="K373" s="444">
        <f t="shared" ca="1" si="27"/>
        <v>15247.206694677585</v>
      </c>
      <c r="L373" s="444">
        <f t="shared" ca="1" si="28"/>
        <v>3674576.8134172973</v>
      </c>
      <c r="M373" s="460">
        <f t="shared" si="30"/>
        <v>0.05</v>
      </c>
      <c r="N373" s="464">
        <f t="shared" si="31"/>
        <v>62398</v>
      </c>
    </row>
    <row r="374" spans="7:14" ht="11.25" customHeight="1" x14ac:dyDescent="0.3">
      <c r="G374" s="459">
        <f t="shared" si="40"/>
        <v>31</v>
      </c>
      <c r="H374" s="459">
        <v>367</v>
      </c>
      <c r="I374" s="444">
        <f t="shared" ca="1" si="29"/>
        <v>3674576.8134172973</v>
      </c>
      <c r="J374" s="444">
        <f t="array" ref="J374">IFERROR(INDEX('Retirement Calculator'!K:K,MATCH('Lorri 401b'!N374,'Retirement Calculator'!A:A,0),0),0)</f>
        <v>20367.195264578786</v>
      </c>
      <c r="K374" s="444">
        <f t="shared" ca="1" si="27"/>
        <v>15225.873408969661</v>
      </c>
      <c r="L374" s="444">
        <f t="shared" ca="1" si="28"/>
        <v>3669435.491561688</v>
      </c>
      <c r="M374" s="460">
        <f t="shared" si="30"/>
        <v>0.05</v>
      </c>
      <c r="N374" s="464">
        <f t="shared" si="31"/>
        <v>62428</v>
      </c>
    </row>
    <row r="375" spans="7:14" ht="11.25" customHeight="1" x14ac:dyDescent="0.3">
      <c r="G375" s="459">
        <f t="shared" si="40"/>
        <v>31</v>
      </c>
      <c r="H375" s="459">
        <v>368</v>
      </c>
      <c r="I375" s="444">
        <f t="shared" ca="1" si="29"/>
        <v>3669435.491561688</v>
      </c>
      <c r="J375" s="444">
        <f t="array" ref="J375">IFERROR(INDEX('Retirement Calculator'!K:K,MATCH('Lorri 401b'!N375,'Retirement Calculator'!A:A,0),0),0)</f>
        <v>20367.195264578786</v>
      </c>
      <c r="K375" s="444">
        <f t="shared" ca="1" si="27"/>
        <v>15204.451234571288</v>
      </c>
      <c r="L375" s="444">
        <f t="shared" ca="1" si="28"/>
        <v>3664272.7475316804</v>
      </c>
      <c r="M375" s="460">
        <f t="shared" si="30"/>
        <v>0.05</v>
      </c>
      <c r="N375" s="464">
        <f t="shared" si="31"/>
        <v>62459</v>
      </c>
    </row>
    <row r="376" spans="7:14" ht="11.25" customHeight="1" x14ac:dyDescent="0.3">
      <c r="G376" s="459">
        <f t="shared" si="40"/>
        <v>31</v>
      </c>
      <c r="H376" s="459">
        <v>369</v>
      </c>
      <c r="I376" s="444">
        <f t="shared" ca="1" si="29"/>
        <v>3664272.7475316804</v>
      </c>
      <c r="J376" s="444">
        <f t="array" ref="J376">IFERROR(INDEX('Retirement Calculator'!K:K,MATCH('Lorri 401b'!N376,'Retirement Calculator'!A:A,0),0),0)</f>
        <v>20367.195264578786</v>
      </c>
      <c r="K376" s="444">
        <f t="shared" ca="1" si="27"/>
        <v>15182.939801112923</v>
      </c>
      <c r="L376" s="444">
        <f t="shared" ca="1" si="28"/>
        <v>3659088.4920682143</v>
      </c>
      <c r="M376" s="460">
        <f t="shared" si="30"/>
        <v>0.05</v>
      </c>
      <c r="N376" s="464">
        <f t="shared" si="31"/>
        <v>62490</v>
      </c>
    </row>
    <row r="377" spans="7:14" ht="11.25" customHeight="1" x14ac:dyDescent="0.3">
      <c r="G377" s="459">
        <f t="shared" si="40"/>
        <v>31</v>
      </c>
      <c r="H377" s="459">
        <v>370</v>
      </c>
      <c r="I377" s="444">
        <f t="shared" ca="1" si="29"/>
        <v>3659088.4920682143</v>
      </c>
      <c r="J377" s="444">
        <f t="array" ref="J377">IFERROR(INDEX('Retirement Calculator'!K:K,MATCH('Lorri 401b'!N377,'Retirement Calculator'!A:A,0),0),0)</f>
        <v>20367.195264578786</v>
      </c>
      <c r="K377" s="444">
        <f t="shared" ca="1" si="27"/>
        <v>15161.338736681815</v>
      </c>
      <c r="L377" s="444">
        <f t="shared" ca="1" si="28"/>
        <v>3653882.6355403173</v>
      </c>
      <c r="M377" s="460">
        <f t="shared" si="30"/>
        <v>0.05</v>
      </c>
      <c r="N377" s="464">
        <f t="shared" si="31"/>
        <v>62518</v>
      </c>
    </row>
    <row r="378" spans="7:14" ht="11.25" customHeight="1" x14ac:dyDescent="0.3">
      <c r="G378" s="459">
        <f t="shared" si="40"/>
        <v>31</v>
      </c>
      <c r="H378" s="459">
        <v>371</v>
      </c>
      <c r="I378" s="444">
        <f t="shared" ca="1" si="29"/>
        <v>3653882.6355403173</v>
      </c>
      <c r="J378" s="444">
        <f t="array" ref="J378">IFERROR(INDEX('Retirement Calculator'!K:K,MATCH('Lorri 401b'!N378,'Retirement Calculator'!A:A,0),0),0)</f>
        <v>20367.195264578786</v>
      </c>
      <c r="K378" s="444">
        <f t="shared" ca="1" si="27"/>
        <v>15139.647667815576</v>
      </c>
      <c r="L378" s="444">
        <f t="shared" ca="1" si="28"/>
        <v>3648655.0879435539</v>
      </c>
      <c r="M378" s="460">
        <f t="shared" si="30"/>
        <v>0.05</v>
      </c>
      <c r="N378" s="464">
        <f t="shared" si="31"/>
        <v>62549</v>
      </c>
    </row>
    <row r="379" spans="7:14" ht="11.25" customHeight="1" x14ac:dyDescent="0.3">
      <c r="G379" s="459">
        <f t="shared" si="40"/>
        <v>31</v>
      </c>
      <c r="H379" s="459">
        <v>372</v>
      </c>
      <c r="I379" s="444">
        <f t="shared" ca="1" si="29"/>
        <v>3648655.0879435539</v>
      </c>
      <c r="J379" s="444">
        <f t="array" ref="J379">IFERROR(INDEX('Retirement Calculator'!K:K,MATCH('Lorri 401b'!N379,'Retirement Calculator'!A:A,0),0),0)</f>
        <v>20367.195264578786</v>
      </c>
      <c r="K379" s="444">
        <f t="shared" ca="1" si="27"/>
        <v>15117.866219495729</v>
      </c>
      <c r="L379" s="444">
        <f t="shared" ca="1" si="28"/>
        <v>3643405.758898471</v>
      </c>
      <c r="M379" s="460">
        <f t="shared" si="30"/>
        <v>0.05</v>
      </c>
      <c r="N379" s="464">
        <f t="shared" si="31"/>
        <v>62579</v>
      </c>
    </row>
    <row r="380" spans="7:14" ht="11.25" customHeight="1" x14ac:dyDescent="0.3">
      <c r="G380" s="459">
        <f>G379+1</f>
        <v>32</v>
      </c>
      <c r="H380" s="459">
        <v>373</v>
      </c>
      <c r="I380" s="444">
        <f t="shared" ca="1" si="29"/>
        <v>3643405.758898471</v>
      </c>
      <c r="J380" s="444">
        <f t="array" ref="J380">IFERROR(INDEX('Retirement Calculator'!K:K,MATCH('Lorri 401b'!N380,'Retirement Calculator'!A:A,0),0),0)</f>
        <v>20367.195264578786</v>
      </c>
      <c r="K380" s="444">
        <f t="shared" ca="1" si="27"/>
        <v>15095.994015141216</v>
      </c>
      <c r="L380" s="444">
        <f t="shared" ca="1" si="28"/>
        <v>3638134.5576490336</v>
      </c>
      <c r="M380" s="460">
        <f t="shared" si="30"/>
        <v>0.05</v>
      </c>
      <c r="N380" s="464">
        <f t="shared" si="31"/>
        <v>62610</v>
      </c>
    </row>
    <row r="381" spans="7:14" ht="11.25" customHeight="1" x14ac:dyDescent="0.3">
      <c r="G381" s="459">
        <f t="shared" ref="G381:G391" si="41">G380</f>
        <v>32</v>
      </c>
      <c r="H381" s="459">
        <v>374</v>
      </c>
      <c r="I381" s="444">
        <f t="shared" ca="1" si="29"/>
        <v>3638134.5576490336</v>
      </c>
      <c r="J381" s="444">
        <f t="array" ref="J381">IFERROR(INDEX('Retirement Calculator'!K:K,MATCH('Lorri 401b'!N381,'Retirement Calculator'!A:A,0),0),0)</f>
        <v>20367.195264578786</v>
      </c>
      <c r="K381" s="444">
        <f t="shared" ca="1" si="27"/>
        <v>15074.030676601895</v>
      </c>
      <c r="L381" s="444">
        <f t="shared" ca="1" si="28"/>
        <v>3632841.3930610567</v>
      </c>
      <c r="M381" s="460">
        <f t="shared" si="30"/>
        <v>0.05</v>
      </c>
      <c r="N381" s="464">
        <f t="shared" si="31"/>
        <v>62640</v>
      </c>
    </row>
    <row r="382" spans="7:14" ht="11.25" customHeight="1" x14ac:dyDescent="0.3">
      <c r="G382" s="459">
        <f t="shared" si="41"/>
        <v>32</v>
      </c>
      <c r="H382" s="459">
        <v>375</v>
      </c>
      <c r="I382" s="444">
        <f t="shared" ca="1" si="29"/>
        <v>3632841.3930610567</v>
      </c>
      <c r="J382" s="444">
        <f t="array" ref="J382">IFERROR(INDEX('Retirement Calculator'!K:K,MATCH('Lorri 401b'!N382,'Retirement Calculator'!A:A,0),0),0)</f>
        <v>20367.195264578786</v>
      </c>
      <c r="K382" s="444">
        <f t="shared" ca="1" si="27"/>
        <v>15051.975824151994</v>
      </c>
      <c r="L382" s="444">
        <f t="shared" ca="1" si="28"/>
        <v>3627526.1736206301</v>
      </c>
      <c r="M382" s="460">
        <f t="shared" si="30"/>
        <v>0.05</v>
      </c>
      <c r="N382" s="464">
        <f t="shared" si="31"/>
        <v>62671</v>
      </c>
    </row>
    <row r="383" spans="7:14" ht="11.25" customHeight="1" x14ac:dyDescent="0.3">
      <c r="G383" s="459">
        <f t="shared" si="41"/>
        <v>32</v>
      </c>
      <c r="H383" s="459">
        <v>376</v>
      </c>
      <c r="I383" s="444">
        <f t="shared" ca="1" si="29"/>
        <v>3627526.1736206301</v>
      </c>
      <c r="J383" s="444">
        <f t="array" ref="J383">IFERROR(INDEX('Retirement Calculator'!K:K,MATCH('Lorri 401b'!N383,'Retirement Calculator'!A:A,0),0),0)</f>
        <v>20367.195264578786</v>
      </c>
      <c r="K383" s="444">
        <f t="shared" ca="1" si="27"/>
        <v>15029.829076483546</v>
      </c>
      <c r="L383" s="444">
        <f t="shared" ca="1" si="28"/>
        <v>3622188.8074325346</v>
      </c>
      <c r="M383" s="460">
        <f t="shared" si="30"/>
        <v>0.05</v>
      </c>
      <c r="N383" s="464">
        <f t="shared" si="31"/>
        <v>62702</v>
      </c>
    </row>
    <row r="384" spans="7:14" ht="11.25" customHeight="1" x14ac:dyDescent="0.3">
      <c r="G384" s="459">
        <f t="shared" si="41"/>
        <v>32</v>
      </c>
      <c r="H384" s="459">
        <v>377</v>
      </c>
      <c r="I384" s="444">
        <f t="shared" ca="1" si="29"/>
        <v>3622188.8074325346</v>
      </c>
      <c r="J384" s="444">
        <f t="array" ref="J384">IFERROR(INDEX('Retirement Calculator'!K:K,MATCH('Lorri 401b'!N384,'Retirement Calculator'!A:A,0),0),0)</f>
        <v>20367.195264578786</v>
      </c>
      <c r="K384" s="444">
        <f t="shared" ca="1" si="27"/>
        <v>15007.590050699815</v>
      </c>
      <c r="L384" s="444">
        <f t="shared" ca="1" si="28"/>
        <v>3616829.2022186555</v>
      </c>
      <c r="M384" s="460">
        <f t="shared" si="30"/>
        <v>0.05</v>
      </c>
      <c r="N384" s="464">
        <f t="shared" si="31"/>
        <v>62732</v>
      </c>
    </row>
    <row r="385" spans="7:14" ht="11.25" customHeight="1" x14ac:dyDescent="0.3">
      <c r="G385" s="459">
        <f t="shared" si="41"/>
        <v>32</v>
      </c>
      <c r="H385" s="459">
        <v>378</v>
      </c>
      <c r="I385" s="444">
        <f t="shared" ca="1" si="29"/>
        <v>3616829.2022186555</v>
      </c>
      <c r="J385" s="444">
        <f t="array" ref="J385">IFERROR(INDEX('Retirement Calculator'!K:K,MATCH('Lorri 401b'!N385,'Retirement Calculator'!A:A,0),0),0)</f>
        <v>20367.195264578786</v>
      </c>
      <c r="K385" s="444">
        <f t="shared" ca="1" si="27"/>
        <v>14985.258362308652</v>
      </c>
      <c r="L385" s="444">
        <f t="shared" ca="1" si="28"/>
        <v>3611447.2653163853</v>
      </c>
      <c r="M385" s="460">
        <f t="shared" si="30"/>
        <v>0.05</v>
      </c>
      <c r="N385" s="464">
        <f t="shared" si="31"/>
        <v>62763</v>
      </c>
    </row>
    <row r="386" spans="7:14" ht="11.25" customHeight="1" x14ac:dyDescent="0.3">
      <c r="G386" s="459">
        <f t="shared" si="41"/>
        <v>32</v>
      </c>
      <c r="H386" s="459">
        <v>379</v>
      </c>
      <c r="I386" s="444">
        <f t="shared" ca="1" si="29"/>
        <v>3611447.2653163853</v>
      </c>
      <c r="J386" s="444">
        <f t="array" ref="J386">IFERROR(INDEX('Retirement Calculator'!K:K,MATCH('Lorri 401b'!N386,'Retirement Calculator'!A:A,0),0),0)</f>
        <v>20367.195264578786</v>
      </c>
      <c r="K386" s="444">
        <f t="shared" ca="1" si="27"/>
        <v>14962.833625215861</v>
      </c>
      <c r="L386" s="444">
        <f t="shared" ca="1" si="28"/>
        <v>3606042.9036770226</v>
      </c>
      <c r="M386" s="460">
        <f t="shared" si="30"/>
        <v>0.05</v>
      </c>
      <c r="N386" s="464">
        <f t="shared" si="31"/>
        <v>62793</v>
      </c>
    </row>
    <row r="387" spans="7:14" ht="11.25" customHeight="1" x14ac:dyDescent="0.3">
      <c r="G387" s="459">
        <f t="shared" si="41"/>
        <v>32</v>
      </c>
      <c r="H387" s="459">
        <v>380</v>
      </c>
      <c r="I387" s="444">
        <f t="shared" ca="1" si="29"/>
        <v>3606042.9036770226</v>
      </c>
      <c r="J387" s="444">
        <f t="array" ref="J387">IFERROR(INDEX('Retirement Calculator'!K:K,MATCH('Lorri 401b'!N387,'Retirement Calculator'!A:A,0),0),0)</f>
        <v>20367.195264578786</v>
      </c>
      <c r="K387" s="444">
        <f t="shared" ca="1" si="27"/>
        <v>14940.315451718516</v>
      </c>
      <c r="L387" s="444">
        <f t="shared" ca="1" si="28"/>
        <v>3600616.0238641622</v>
      </c>
      <c r="M387" s="460">
        <f t="shared" si="30"/>
        <v>0.05</v>
      </c>
      <c r="N387" s="464">
        <f t="shared" si="31"/>
        <v>62824</v>
      </c>
    </row>
    <row r="388" spans="7:14" ht="11.25" customHeight="1" x14ac:dyDescent="0.3">
      <c r="G388" s="459">
        <f t="shared" si="41"/>
        <v>32</v>
      </c>
      <c r="H388" s="459">
        <v>381</v>
      </c>
      <c r="I388" s="444">
        <f t="shared" ca="1" si="29"/>
        <v>3600616.0238641622</v>
      </c>
      <c r="J388" s="444">
        <f t="array" ref="J388">IFERROR(INDEX('Retirement Calculator'!K:K,MATCH('Lorri 401b'!N388,'Retirement Calculator'!A:A,0),0),0)</f>
        <v>20367.195264578786</v>
      </c>
      <c r="K388" s="444">
        <f t="shared" ca="1" si="27"/>
        <v>14917.703452498265</v>
      </c>
      <c r="L388" s="444">
        <f t="shared" ca="1" si="28"/>
        <v>3595166.5320520815</v>
      </c>
      <c r="M388" s="460">
        <f t="shared" si="30"/>
        <v>0.05</v>
      </c>
      <c r="N388" s="464">
        <f t="shared" si="31"/>
        <v>62855</v>
      </c>
    </row>
    <row r="389" spans="7:14" ht="11.25" customHeight="1" x14ac:dyDescent="0.3">
      <c r="G389" s="459">
        <f t="shared" si="41"/>
        <v>32</v>
      </c>
      <c r="H389" s="459">
        <v>382</v>
      </c>
      <c r="I389" s="444">
        <f t="shared" ca="1" si="29"/>
        <v>3595166.5320520815</v>
      </c>
      <c r="J389" s="444">
        <f t="array" ref="J389">IFERROR(INDEX('Retirement Calculator'!K:K,MATCH('Lorri 401b'!N389,'Retirement Calculator'!A:A,0),0),0)</f>
        <v>20367.195264578786</v>
      </c>
      <c r="K389" s="444">
        <f t="shared" ca="1" si="27"/>
        <v>14894.997236614592</v>
      </c>
      <c r="L389" s="444">
        <f t="shared" ca="1" si="28"/>
        <v>3589694.3340241173</v>
      </c>
      <c r="M389" s="460">
        <f t="shared" si="30"/>
        <v>0.05</v>
      </c>
      <c r="N389" s="464">
        <f t="shared" si="31"/>
        <v>62884</v>
      </c>
    </row>
    <row r="390" spans="7:14" ht="11.25" customHeight="1" x14ac:dyDescent="0.3">
      <c r="G390" s="459">
        <f t="shared" si="41"/>
        <v>32</v>
      </c>
      <c r="H390" s="459">
        <v>383</v>
      </c>
      <c r="I390" s="444">
        <f t="shared" ca="1" si="29"/>
        <v>3589694.3340241173</v>
      </c>
      <c r="J390" s="444">
        <f t="array" ref="J390">IFERROR(INDEX('Retirement Calculator'!K:K,MATCH('Lorri 401b'!N390,'Retirement Calculator'!A:A,0),0),0)</f>
        <v>20367.195264578786</v>
      </c>
      <c r="K390" s="444">
        <f t="shared" ca="1" si="27"/>
        <v>14872.196411498076</v>
      </c>
      <c r="L390" s="444">
        <f t="shared" ca="1" si="28"/>
        <v>3584199.3351710364</v>
      </c>
      <c r="M390" s="460">
        <f t="shared" si="30"/>
        <v>0.05</v>
      </c>
      <c r="N390" s="464">
        <f t="shared" si="31"/>
        <v>62915</v>
      </c>
    </row>
    <row r="391" spans="7:14" ht="11.25" customHeight="1" x14ac:dyDescent="0.3">
      <c r="G391" s="459">
        <f t="shared" si="41"/>
        <v>32</v>
      </c>
      <c r="H391" s="459">
        <v>384</v>
      </c>
      <c r="I391" s="444">
        <f t="shared" ca="1" si="29"/>
        <v>3584199.3351710364</v>
      </c>
      <c r="J391" s="444">
        <f t="array" ref="J391">IFERROR(INDEX('Retirement Calculator'!K:K,MATCH('Lorri 401b'!N391,'Retirement Calculator'!A:A,0),0),0)</f>
        <v>20367.195264578786</v>
      </c>
      <c r="K391" s="444">
        <f t="shared" ca="1" si="27"/>
        <v>14849.300582943571</v>
      </c>
      <c r="L391" s="444">
        <f t="shared" ca="1" si="28"/>
        <v>3578681.4404894011</v>
      </c>
      <c r="M391" s="460">
        <f t="shared" si="30"/>
        <v>0.05</v>
      </c>
      <c r="N391" s="464">
        <f t="shared" si="31"/>
        <v>62945</v>
      </c>
    </row>
    <row r="392" spans="7:14" ht="11.25" customHeight="1" x14ac:dyDescent="0.3">
      <c r="G392" s="459">
        <f>G391+1</f>
        <v>33</v>
      </c>
      <c r="H392" s="459">
        <v>385</v>
      </c>
      <c r="I392" s="444">
        <f t="shared" ca="1" si="29"/>
        <v>3578681.4404894011</v>
      </c>
      <c r="J392" s="444">
        <f t="array" ref="J392">IFERROR(INDEX('Retirement Calculator'!K:K,MATCH('Lorri 401b'!N392,'Retirement Calculator'!A:A,0),0),0)</f>
        <v>20367.195264578786</v>
      </c>
      <c r="K392" s="444">
        <f t="shared" ca="1" si="27"/>
        <v>14826.309355103425</v>
      </c>
      <c r="L392" s="444">
        <f t="shared" ca="1" si="28"/>
        <v>3573140.5545799257</v>
      </c>
      <c r="M392" s="460">
        <f t="shared" si="30"/>
        <v>0.05</v>
      </c>
      <c r="N392" s="464">
        <f t="shared" si="31"/>
        <v>62976</v>
      </c>
    </row>
    <row r="393" spans="7:14" ht="11.25" customHeight="1" x14ac:dyDescent="0.3">
      <c r="G393" s="459">
        <f t="shared" ref="G393:G403" si="42">G392</f>
        <v>33</v>
      </c>
      <c r="H393" s="459">
        <v>386</v>
      </c>
      <c r="I393" s="444">
        <f t="shared" ca="1" si="29"/>
        <v>3573140.5545799257</v>
      </c>
      <c r="J393" s="444">
        <f t="array" ref="J393">IFERROR(INDEX('Retirement Calculator'!K:K,MATCH('Lorri 401b'!N393,'Retirement Calculator'!A:A,0),0),0)</f>
        <v>20367.195264578786</v>
      </c>
      <c r="K393" s="444">
        <f t="shared" ca="1" si="27"/>
        <v>14803.222330480612</v>
      </c>
      <c r="L393" s="444">
        <f t="shared" ca="1" si="28"/>
        <v>3567576.5816458277</v>
      </c>
      <c r="M393" s="460">
        <f t="shared" si="30"/>
        <v>0.05</v>
      </c>
      <c r="N393" s="464">
        <f t="shared" si="31"/>
        <v>63006</v>
      </c>
    </row>
    <row r="394" spans="7:14" ht="11.25" customHeight="1" x14ac:dyDescent="0.3">
      <c r="G394" s="459">
        <f t="shared" si="42"/>
        <v>33</v>
      </c>
      <c r="H394" s="459">
        <v>387</v>
      </c>
      <c r="I394" s="444">
        <f t="shared" ca="1" si="29"/>
        <v>3567576.5816458277</v>
      </c>
      <c r="J394" s="444">
        <f t="array" ref="J394">IFERROR(INDEX('Retirement Calculator'!K:K,MATCH('Lorri 401b'!N394,'Retirement Calculator'!A:A,0),0),0)</f>
        <v>20367.195264578786</v>
      </c>
      <c r="K394" s="444">
        <f t="shared" ca="1" si="27"/>
        <v>14780.03910992187</v>
      </c>
      <c r="L394" s="444">
        <f t="shared" ca="1" si="28"/>
        <v>3561989.425491171</v>
      </c>
      <c r="M394" s="460">
        <f t="shared" si="30"/>
        <v>0.05</v>
      </c>
      <c r="N394" s="464">
        <f t="shared" si="31"/>
        <v>63037</v>
      </c>
    </row>
    <row r="395" spans="7:14" ht="11.25" customHeight="1" x14ac:dyDescent="0.3">
      <c r="G395" s="459">
        <f t="shared" si="42"/>
        <v>33</v>
      </c>
      <c r="H395" s="459">
        <v>388</v>
      </c>
      <c r="I395" s="444">
        <f t="shared" ca="1" si="29"/>
        <v>3561989.425491171</v>
      </c>
      <c r="J395" s="444">
        <f t="array" ref="J395">IFERROR(INDEX('Retirement Calculator'!K:K,MATCH('Lorri 401b'!N395,'Retirement Calculator'!A:A,0),0),0)</f>
        <v>20367.195264578786</v>
      </c>
      <c r="K395" s="444">
        <f t="shared" ca="1" si="27"/>
        <v>14756.759292610801</v>
      </c>
      <c r="L395" s="444">
        <f t="shared" ca="1" si="28"/>
        <v>3556378.9895192031</v>
      </c>
      <c r="M395" s="460">
        <f t="shared" si="30"/>
        <v>0.05</v>
      </c>
      <c r="N395" s="464">
        <f t="shared" si="31"/>
        <v>63068</v>
      </c>
    </row>
    <row r="396" spans="7:14" ht="11.25" customHeight="1" x14ac:dyDescent="0.3">
      <c r="G396" s="459">
        <f t="shared" si="42"/>
        <v>33</v>
      </c>
      <c r="H396" s="459">
        <v>389</v>
      </c>
      <c r="I396" s="444">
        <f t="shared" ca="1" si="29"/>
        <v>3556378.9895192031</v>
      </c>
      <c r="J396" s="444">
        <f t="array" ref="J396">IFERROR(INDEX('Retirement Calculator'!K:K,MATCH('Lorri 401b'!N396,'Retirement Calculator'!A:A,0),0),0)</f>
        <v>20367.195264578786</v>
      </c>
      <c r="K396" s="444">
        <f t="shared" ca="1" si="27"/>
        <v>14733.382476060935</v>
      </c>
      <c r="L396" s="444">
        <f t="shared" ca="1" si="28"/>
        <v>3550745.1767306854</v>
      </c>
      <c r="M396" s="460">
        <f t="shared" si="30"/>
        <v>0.05</v>
      </c>
      <c r="N396" s="464">
        <f t="shared" si="31"/>
        <v>63098</v>
      </c>
    </row>
    <row r="397" spans="7:14" ht="11.25" customHeight="1" x14ac:dyDescent="0.3">
      <c r="G397" s="459">
        <f t="shared" si="42"/>
        <v>33</v>
      </c>
      <c r="H397" s="459">
        <v>390</v>
      </c>
      <c r="I397" s="444">
        <f t="shared" ca="1" si="29"/>
        <v>3550745.1767306854</v>
      </c>
      <c r="J397" s="444">
        <f t="array" ref="J397">IFERROR(INDEX('Retirement Calculator'!K:K,MATCH('Lorri 401b'!N397,'Retirement Calculator'!A:A,0),0),0)</f>
        <v>20367.195264578786</v>
      </c>
      <c r="K397" s="444">
        <f t="shared" ca="1" si="27"/>
        <v>14709.908256108778</v>
      </c>
      <c r="L397" s="444">
        <f t="shared" ca="1" si="28"/>
        <v>3545087.8897222155</v>
      </c>
      <c r="M397" s="460">
        <f t="shared" si="30"/>
        <v>0.05</v>
      </c>
      <c r="N397" s="464">
        <f t="shared" si="31"/>
        <v>63129</v>
      </c>
    </row>
    <row r="398" spans="7:14" ht="11.25" customHeight="1" x14ac:dyDescent="0.3">
      <c r="G398" s="459">
        <f t="shared" si="42"/>
        <v>33</v>
      </c>
      <c r="H398" s="459">
        <v>391</v>
      </c>
      <c r="I398" s="444">
        <f t="shared" ca="1" si="29"/>
        <v>3545087.8897222155</v>
      </c>
      <c r="J398" s="444">
        <f t="array" ref="J398">IFERROR(INDEX('Retirement Calculator'!K:K,MATCH('Lorri 401b'!N398,'Retirement Calculator'!A:A,0),0),0)</f>
        <v>20367.195264578786</v>
      </c>
      <c r="K398" s="444">
        <f t="shared" ca="1" si="27"/>
        <v>14686.336226906818</v>
      </c>
      <c r="L398" s="444">
        <f t="shared" ca="1" si="28"/>
        <v>3539407.0306845433</v>
      </c>
      <c r="M398" s="460">
        <f t="shared" si="30"/>
        <v>0.05</v>
      </c>
      <c r="N398" s="464">
        <f t="shared" si="31"/>
        <v>63159</v>
      </c>
    </row>
    <row r="399" spans="7:14" ht="11.25" customHeight="1" x14ac:dyDescent="0.3">
      <c r="G399" s="459">
        <f t="shared" si="42"/>
        <v>33</v>
      </c>
      <c r="H399" s="459">
        <v>392</v>
      </c>
      <c r="I399" s="444">
        <f t="shared" ca="1" si="29"/>
        <v>3539407.0306845433</v>
      </c>
      <c r="J399" s="444">
        <f t="array" ref="J399">IFERROR(INDEX('Retirement Calculator'!K:K,MATCH('Lorri 401b'!N399,'Retirement Calculator'!A:A,0),0),0)</f>
        <v>20367.195264578786</v>
      </c>
      <c r="K399" s="444">
        <f t="shared" ca="1" si="27"/>
        <v>14662.665980916519</v>
      </c>
      <c r="L399" s="444">
        <f t="shared" ca="1" si="28"/>
        <v>3533702.501400881</v>
      </c>
      <c r="M399" s="460">
        <f t="shared" si="30"/>
        <v>0.05</v>
      </c>
      <c r="N399" s="464">
        <f t="shared" si="31"/>
        <v>63190</v>
      </c>
    </row>
    <row r="400" spans="7:14" ht="11.25" customHeight="1" x14ac:dyDescent="0.3">
      <c r="G400" s="459">
        <f t="shared" si="42"/>
        <v>33</v>
      </c>
      <c r="H400" s="459">
        <v>393</v>
      </c>
      <c r="I400" s="444">
        <f t="shared" ca="1" si="29"/>
        <v>3533702.501400881</v>
      </c>
      <c r="J400" s="444">
        <f t="array" ref="J400">IFERROR(INDEX('Retirement Calculator'!K:K,MATCH('Lorri 401b'!N400,'Retirement Calculator'!A:A,0),0),0)</f>
        <v>20367.195264578786</v>
      </c>
      <c r="K400" s="444">
        <f t="shared" ca="1" si="27"/>
        <v>14638.897108901258</v>
      </c>
      <c r="L400" s="444">
        <f t="shared" ca="1" si="28"/>
        <v>3527974.2032452035</v>
      </c>
      <c r="M400" s="460">
        <f t="shared" si="30"/>
        <v>0.05</v>
      </c>
      <c r="N400" s="464">
        <f t="shared" si="31"/>
        <v>63221</v>
      </c>
    </row>
    <row r="401" spans="7:14" ht="11.25" customHeight="1" x14ac:dyDescent="0.3">
      <c r="G401" s="459">
        <f t="shared" si="42"/>
        <v>33</v>
      </c>
      <c r="H401" s="459">
        <v>394</v>
      </c>
      <c r="I401" s="444">
        <f t="shared" ca="1" si="29"/>
        <v>3527974.2032452035</v>
      </c>
      <c r="J401" s="444">
        <f t="array" ref="J401">IFERROR(INDEX('Retirement Calculator'!K:K,MATCH('Lorri 401b'!N401,'Retirement Calculator'!A:A,0),0),0)</f>
        <v>20367.195264578786</v>
      </c>
      <c r="K401" s="444">
        <f t="shared" ca="1" si="27"/>
        <v>14615.029199919269</v>
      </c>
      <c r="L401" s="444">
        <f t="shared" ca="1" si="28"/>
        <v>3522222.0371805439</v>
      </c>
      <c r="M401" s="460">
        <f t="shared" si="30"/>
        <v>0.05</v>
      </c>
      <c r="N401" s="464">
        <f t="shared" si="31"/>
        <v>63249</v>
      </c>
    </row>
    <row r="402" spans="7:14" ht="11.25" customHeight="1" x14ac:dyDescent="0.3">
      <c r="G402" s="459">
        <f t="shared" si="42"/>
        <v>33</v>
      </c>
      <c r="H402" s="459">
        <v>395</v>
      </c>
      <c r="I402" s="444">
        <f t="shared" ca="1" si="29"/>
        <v>3522222.0371805439</v>
      </c>
      <c r="J402" s="444">
        <f t="array" ref="J402">IFERROR(INDEX('Retirement Calculator'!K:K,MATCH('Lorri 401b'!N402,'Retirement Calculator'!A:A,0),0),0)</f>
        <v>20367.195264578786</v>
      </c>
      <c r="K402" s="444">
        <f t="shared" ca="1" si="27"/>
        <v>14591.061841316521</v>
      </c>
      <c r="L402" s="444">
        <f t="shared" ca="1" si="28"/>
        <v>3516445.9037572816</v>
      </c>
      <c r="M402" s="460">
        <f t="shared" si="30"/>
        <v>0.05</v>
      </c>
      <c r="N402" s="464">
        <f t="shared" si="31"/>
        <v>63280</v>
      </c>
    </row>
    <row r="403" spans="7:14" ht="11.25" customHeight="1" x14ac:dyDescent="0.3">
      <c r="G403" s="459">
        <f t="shared" si="42"/>
        <v>33</v>
      </c>
      <c r="H403" s="459">
        <v>396</v>
      </c>
      <c r="I403" s="444">
        <f t="shared" ca="1" si="29"/>
        <v>3516445.9037572816</v>
      </c>
      <c r="J403" s="444">
        <f t="array" ref="J403">IFERROR(INDEX('Retirement Calculator'!K:K,MATCH('Lorri 401b'!N403,'Retirement Calculator'!A:A,0),0),0)</f>
        <v>20367.195264578786</v>
      </c>
      <c r="K403" s="444">
        <f t="shared" ca="1" si="27"/>
        <v>14566.994618719595</v>
      </c>
      <c r="L403" s="444">
        <f t="shared" ca="1" si="28"/>
        <v>3510645.7031114222</v>
      </c>
      <c r="M403" s="460">
        <f t="shared" si="30"/>
        <v>0.05</v>
      </c>
      <c r="N403" s="464">
        <f t="shared" si="31"/>
        <v>63310</v>
      </c>
    </row>
    <row r="404" spans="7:14" ht="11.25" customHeight="1" x14ac:dyDescent="0.3">
      <c r="G404" s="459">
        <f>G403+1</f>
        <v>34</v>
      </c>
      <c r="H404" s="459">
        <v>397</v>
      </c>
      <c r="I404" s="444">
        <f t="shared" ca="1" si="29"/>
        <v>3510645.7031114222</v>
      </c>
      <c r="J404" s="444">
        <f t="array" ref="J404">IFERROR(INDEX('Retirement Calculator'!K:K,MATCH('Lorri 401b'!N404,'Retirement Calculator'!A:A,0),0),0)</f>
        <v>20367.195264578786</v>
      </c>
      <c r="K404" s="444">
        <f t="shared" ca="1" si="27"/>
        <v>14542.827116028513</v>
      </c>
      <c r="L404" s="444">
        <f t="shared" ca="1" si="28"/>
        <v>3504821.3349628719</v>
      </c>
      <c r="M404" s="460">
        <f t="shared" si="30"/>
        <v>0.05</v>
      </c>
      <c r="N404" s="464">
        <f t="shared" si="31"/>
        <v>63341</v>
      </c>
    </row>
    <row r="405" spans="7:14" ht="11.25" customHeight="1" x14ac:dyDescent="0.3">
      <c r="G405" s="459">
        <f t="shared" ref="G405:G415" si="43">G404</f>
        <v>34</v>
      </c>
      <c r="H405" s="459">
        <v>398</v>
      </c>
      <c r="I405" s="444">
        <f t="shared" ca="1" si="29"/>
        <v>3504821.3349628719</v>
      </c>
      <c r="J405" s="444">
        <f t="array" ref="J405">IFERROR(INDEX('Retirement Calculator'!K:K,MATCH('Lorri 401b'!N405,'Retirement Calculator'!A:A,0),0),0)</f>
        <v>20367.195264578786</v>
      </c>
      <c r="K405" s="444">
        <f t="shared" ca="1" si="27"/>
        <v>14518.558915409554</v>
      </c>
      <c r="L405" s="444">
        <f t="shared" ca="1" si="28"/>
        <v>3498972.6986137028</v>
      </c>
      <c r="M405" s="460">
        <f t="shared" si="30"/>
        <v>0.05</v>
      </c>
      <c r="N405" s="464">
        <f t="shared" si="31"/>
        <v>63371</v>
      </c>
    </row>
    <row r="406" spans="7:14" ht="11.25" customHeight="1" x14ac:dyDescent="0.3">
      <c r="G406" s="459">
        <f t="shared" si="43"/>
        <v>34</v>
      </c>
      <c r="H406" s="459">
        <v>399</v>
      </c>
      <c r="I406" s="444">
        <f t="shared" ca="1" si="29"/>
        <v>3498972.6986137028</v>
      </c>
      <c r="J406" s="444">
        <f t="array" ref="J406">IFERROR(INDEX('Retirement Calculator'!K:K,MATCH('Lorri 401b'!N406,'Retirement Calculator'!A:A,0),0),0)</f>
        <v>20367.195264578786</v>
      </c>
      <c r="K406" s="444">
        <f t="shared" ca="1" si="27"/>
        <v>14494.189597288016</v>
      </c>
      <c r="L406" s="444">
        <f t="shared" ca="1" si="28"/>
        <v>3493099.6929464121</v>
      </c>
      <c r="M406" s="460">
        <f t="shared" si="30"/>
        <v>0.05</v>
      </c>
      <c r="N406" s="464">
        <f t="shared" si="31"/>
        <v>63402</v>
      </c>
    </row>
    <row r="407" spans="7:14" ht="11.25" customHeight="1" x14ac:dyDescent="0.3">
      <c r="G407" s="459">
        <f t="shared" si="43"/>
        <v>34</v>
      </c>
      <c r="H407" s="459">
        <v>400</v>
      </c>
      <c r="I407" s="444">
        <f t="shared" ca="1" si="29"/>
        <v>3493099.6929464121</v>
      </c>
      <c r="J407" s="444">
        <f t="array" ref="J407">IFERROR(INDEX('Retirement Calculator'!K:K,MATCH('Lorri 401b'!N407,'Retirement Calculator'!A:A,0),0),0)</f>
        <v>20367.195264578786</v>
      </c>
      <c r="K407" s="444">
        <f t="shared" ca="1" si="27"/>
        <v>14469.718740340972</v>
      </c>
      <c r="L407" s="444">
        <f t="shared" ca="1" si="28"/>
        <v>3487202.2164221741</v>
      </c>
      <c r="M407" s="460">
        <f t="shared" si="30"/>
        <v>0.05</v>
      </c>
      <c r="N407" s="464">
        <f t="shared" si="31"/>
        <v>63433</v>
      </c>
    </row>
    <row r="408" spans="7:14" ht="11.25" customHeight="1" x14ac:dyDescent="0.3">
      <c r="G408" s="459">
        <f t="shared" si="43"/>
        <v>34</v>
      </c>
      <c r="H408" s="459">
        <v>401</v>
      </c>
      <c r="I408" s="444">
        <f t="shared" ca="1" si="29"/>
        <v>3487202.2164221741</v>
      </c>
      <c r="J408" s="444">
        <f t="array" ref="J408">IFERROR(INDEX('Retirement Calculator'!K:K,MATCH('Lorri 401b'!N408,'Retirement Calculator'!A:A,0),0),0)</f>
        <v>20367.195264578786</v>
      </c>
      <c r="K408" s="444">
        <f t="shared" ca="1" si="27"/>
        <v>14445.145921489981</v>
      </c>
      <c r="L408" s="444">
        <f t="shared" ca="1" si="28"/>
        <v>3481280.1670790855</v>
      </c>
      <c r="M408" s="460">
        <f t="shared" si="30"/>
        <v>0.05</v>
      </c>
      <c r="N408" s="464">
        <f t="shared" si="31"/>
        <v>63463</v>
      </c>
    </row>
    <row r="409" spans="7:14" ht="11.25" customHeight="1" x14ac:dyDescent="0.3">
      <c r="G409" s="459">
        <f t="shared" si="43"/>
        <v>34</v>
      </c>
      <c r="H409" s="459">
        <v>402</v>
      </c>
      <c r="I409" s="444">
        <f t="shared" ca="1" si="29"/>
        <v>3481280.1670790855</v>
      </c>
      <c r="J409" s="444">
        <f t="array" ref="J409">IFERROR(INDEX('Retirement Calculator'!K:K,MATCH('Lorri 401b'!N409,'Retirement Calculator'!A:A,0),0),0)</f>
        <v>20367.195264578786</v>
      </c>
      <c r="K409" s="444">
        <f t="shared" ca="1" si="27"/>
        <v>14420.470715893778</v>
      </c>
      <c r="L409" s="444">
        <f t="shared" ca="1" si="28"/>
        <v>3475333.4425304006</v>
      </c>
      <c r="M409" s="460">
        <f t="shared" si="30"/>
        <v>0.05</v>
      </c>
      <c r="N409" s="464">
        <f t="shared" si="31"/>
        <v>63494</v>
      </c>
    </row>
    <row r="410" spans="7:14" ht="11.25" customHeight="1" x14ac:dyDescent="0.3">
      <c r="G410" s="459">
        <f t="shared" si="43"/>
        <v>34</v>
      </c>
      <c r="H410" s="459">
        <v>403</v>
      </c>
      <c r="I410" s="444">
        <f t="shared" ca="1" si="29"/>
        <v>3475333.4425304006</v>
      </c>
      <c r="J410" s="444">
        <f t="array" ref="J410">IFERROR(INDEX('Retirement Calculator'!K:K,MATCH('Lorri 401b'!N410,'Retirement Calculator'!A:A,0),0),0)</f>
        <v>20367.195264578786</v>
      </c>
      <c r="K410" s="444">
        <f t="shared" ca="1" si="27"/>
        <v>14395.692696940923</v>
      </c>
      <c r="L410" s="444">
        <f t="shared" ca="1" si="28"/>
        <v>3469361.9399627629</v>
      </c>
      <c r="M410" s="460">
        <f t="shared" si="30"/>
        <v>0.05</v>
      </c>
      <c r="N410" s="464">
        <f t="shared" si="31"/>
        <v>63524</v>
      </c>
    </row>
    <row r="411" spans="7:14" ht="11.25" customHeight="1" x14ac:dyDescent="0.3">
      <c r="G411" s="459">
        <f t="shared" si="43"/>
        <v>34</v>
      </c>
      <c r="H411" s="459">
        <v>404</v>
      </c>
      <c r="I411" s="444">
        <f t="shared" ca="1" si="29"/>
        <v>3469361.9399627629</v>
      </c>
      <c r="J411" s="444">
        <f t="array" ref="J411">IFERROR(INDEX('Retirement Calculator'!K:K,MATCH('Lorri 401b'!N411,'Retirement Calculator'!A:A,0),0),0)</f>
        <v>20367.195264578786</v>
      </c>
      <c r="K411" s="444">
        <f t="shared" ca="1" si="27"/>
        <v>14370.811436242433</v>
      </c>
      <c r="L411" s="444">
        <f t="shared" ca="1" si="28"/>
        <v>3463365.5561344265</v>
      </c>
      <c r="M411" s="460">
        <f t="shared" si="30"/>
        <v>0.05</v>
      </c>
      <c r="N411" s="464">
        <f t="shared" si="31"/>
        <v>63555</v>
      </c>
    </row>
    <row r="412" spans="7:14" ht="11.25" customHeight="1" x14ac:dyDescent="0.3">
      <c r="G412" s="459">
        <f t="shared" si="43"/>
        <v>34</v>
      </c>
      <c r="H412" s="459">
        <v>405</v>
      </c>
      <c r="I412" s="444">
        <f t="shared" ca="1" si="29"/>
        <v>3463365.5561344265</v>
      </c>
      <c r="J412" s="444">
        <f t="array" ref="J412">IFERROR(INDEX('Retirement Calculator'!K:K,MATCH('Lorri 401b'!N412,'Retirement Calculator'!A:A,0),0),0)</f>
        <v>20367.195264578786</v>
      </c>
      <c r="K412" s="444">
        <f t="shared" ca="1" si="27"/>
        <v>14345.826503624365</v>
      </c>
      <c r="L412" s="444">
        <f t="shared" ca="1" si="28"/>
        <v>3457344.1873734719</v>
      </c>
      <c r="M412" s="460">
        <f t="shared" si="30"/>
        <v>0.05</v>
      </c>
      <c r="N412" s="464">
        <f t="shared" si="31"/>
        <v>63586</v>
      </c>
    </row>
    <row r="413" spans="7:14" ht="11.25" customHeight="1" x14ac:dyDescent="0.3">
      <c r="G413" s="459">
        <f t="shared" si="43"/>
        <v>34</v>
      </c>
      <c r="H413" s="459">
        <v>406</v>
      </c>
      <c r="I413" s="444">
        <f t="shared" ca="1" si="29"/>
        <v>3457344.1873734719</v>
      </c>
      <c r="J413" s="444">
        <f t="array" ref="J413">IFERROR(INDEX('Retirement Calculator'!K:K,MATCH('Lorri 401b'!N413,'Retirement Calculator'!A:A,0),0),0)</f>
        <v>20367.195264578786</v>
      </c>
      <c r="K413" s="444">
        <f t="shared" ca="1" si="27"/>
        <v>14320.737467120387</v>
      </c>
      <c r="L413" s="444">
        <f t="shared" ca="1" si="28"/>
        <v>3451297.7295760135</v>
      </c>
      <c r="M413" s="460">
        <f t="shared" si="30"/>
        <v>0.05</v>
      </c>
      <c r="N413" s="464">
        <f t="shared" si="31"/>
        <v>63614</v>
      </c>
    </row>
    <row r="414" spans="7:14" ht="11.25" customHeight="1" x14ac:dyDescent="0.3">
      <c r="G414" s="459">
        <f t="shared" si="43"/>
        <v>34</v>
      </c>
      <c r="H414" s="459">
        <v>407</v>
      </c>
      <c r="I414" s="444">
        <f t="shared" ca="1" si="29"/>
        <v>3451297.7295760135</v>
      </c>
      <c r="J414" s="444">
        <f t="array" ref="J414">IFERROR(INDEX('Retirement Calculator'!K:K,MATCH('Lorri 401b'!N414,'Retirement Calculator'!A:A,0),0),0)</f>
        <v>20367.195264578786</v>
      </c>
      <c r="K414" s="444">
        <f t="shared" ca="1" si="27"/>
        <v>14295.543892964311</v>
      </c>
      <c r="L414" s="444">
        <f t="shared" ca="1" si="28"/>
        <v>3445226.078204399</v>
      </c>
      <c r="M414" s="460">
        <f t="shared" si="30"/>
        <v>0.05</v>
      </c>
      <c r="N414" s="464">
        <f t="shared" si="31"/>
        <v>63645</v>
      </c>
    </row>
    <row r="415" spans="7:14" ht="11.25" customHeight="1" x14ac:dyDescent="0.3">
      <c r="G415" s="459">
        <f t="shared" si="43"/>
        <v>34</v>
      </c>
      <c r="H415" s="459">
        <v>408</v>
      </c>
      <c r="I415" s="444">
        <f t="shared" ca="1" si="29"/>
        <v>3445226.078204399</v>
      </c>
      <c r="J415" s="444">
        <f t="array" ref="J415">IFERROR(INDEX('Retirement Calculator'!K:K,MATCH('Lorri 401b'!N415,'Retirement Calculator'!A:A,0),0),0)</f>
        <v>20367.195264578786</v>
      </c>
      <c r="K415" s="444">
        <f t="shared" ca="1" si="27"/>
        <v>14270.245345582583</v>
      </c>
      <c r="L415" s="444">
        <f t="shared" ca="1" si="28"/>
        <v>3439129.1282854029</v>
      </c>
      <c r="M415" s="460">
        <f t="shared" si="30"/>
        <v>0.05</v>
      </c>
      <c r="N415" s="464">
        <f t="shared" si="31"/>
        <v>63675</v>
      </c>
    </row>
    <row r="416" spans="7:14" ht="11.25" customHeight="1" x14ac:dyDescent="0.3">
      <c r="G416" s="459">
        <f>G415+1</f>
        <v>35</v>
      </c>
      <c r="H416" s="459">
        <v>409</v>
      </c>
      <c r="I416" s="444">
        <f t="shared" ca="1" si="29"/>
        <v>3439129.1282854029</v>
      </c>
      <c r="J416" s="444">
        <f t="array" ref="J416">IFERROR(INDEX('Retirement Calculator'!K:K,MATCH('Lorri 401b'!N416,'Retirement Calculator'!A:A,0),0),0)</f>
        <v>20367.195264578786</v>
      </c>
      <c r="K416" s="444">
        <f t="shared" ca="1" si="27"/>
        <v>14244.841387586768</v>
      </c>
      <c r="L416" s="444">
        <f t="shared" ca="1" si="28"/>
        <v>3433006.7744084108</v>
      </c>
      <c r="M416" s="460">
        <f t="shared" si="30"/>
        <v>0.05</v>
      </c>
      <c r="N416" s="464">
        <f t="shared" si="31"/>
        <v>63706</v>
      </c>
    </row>
    <row r="417" spans="7:14" ht="11.25" customHeight="1" x14ac:dyDescent="0.3">
      <c r="G417" s="459">
        <f t="shared" ref="G417:G427" si="44">G416</f>
        <v>35</v>
      </c>
      <c r="H417" s="459">
        <v>410</v>
      </c>
      <c r="I417" s="444">
        <f t="shared" ca="1" si="29"/>
        <v>3433006.7744084108</v>
      </c>
      <c r="J417" s="444">
        <f t="array" ref="J417">IFERROR(INDEX('Retirement Calculator'!K:K,MATCH('Lorri 401b'!N417,'Retirement Calculator'!A:A,0),0),0)</f>
        <v>20367.195264578786</v>
      </c>
      <c r="K417" s="444">
        <f t="shared" ca="1" si="27"/>
        <v>14219.331579765965</v>
      </c>
      <c r="L417" s="444">
        <f t="shared" ca="1" si="28"/>
        <v>3426858.9107235977</v>
      </c>
      <c r="M417" s="460">
        <f t="shared" si="30"/>
        <v>0.05</v>
      </c>
      <c r="N417" s="464">
        <f t="shared" si="31"/>
        <v>63736</v>
      </c>
    </row>
    <row r="418" spans="7:14" ht="11.25" customHeight="1" x14ac:dyDescent="0.3">
      <c r="G418" s="459">
        <f t="shared" si="44"/>
        <v>35</v>
      </c>
      <c r="H418" s="459">
        <v>411</v>
      </c>
      <c r="I418" s="444">
        <f t="shared" ca="1" si="29"/>
        <v>3426858.9107235977</v>
      </c>
      <c r="J418" s="444">
        <f t="array" ref="J418">IFERROR(INDEX('Retirement Calculator'!K:K,MATCH('Lorri 401b'!N418,'Retirement Calculator'!A:A,0),0),0)</f>
        <v>20367.195264578786</v>
      </c>
      <c r="K418" s="444">
        <f t="shared" ca="1" si="27"/>
        <v>14193.715481079245</v>
      </c>
      <c r="L418" s="444">
        <f t="shared" ca="1" si="28"/>
        <v>3420685.4309400981</v>
      </c>
      <c r="M418" s="460">
        <f t="shared" si="30"/>
        <v>0.05</v>
      </c>
      <c r="N418" s="464">
        <f t="shared" si="31"/>
        <v>63767</v>
      </c>
    </row>
    <row r="419" spans="7:14" ht="11.25" customHeight="1" x14ac:dyDescent="0.3">
      <c r="G419" s="459">
        <f t="shared" si="44"/>
        <v>35</v>
      </c>
      <c r="H419" s="459">
        <v>412</v>
      </c>
      <c r="I419" s="444">
        <f t="shared" ca="1" si="29"/>
        <v>3420685.4309400981</v>
      </c>
      <c r="J419" s="444">
        <f t="array" ref="J419">IFERROR(INDEX('Retirement Calculator'!K:K,MATCH('Lorri 401b'!N419,'Retirement Calculator'!A:A,0),0),0)</f>
        <v>20367.195264578786</v>
      </c>
      <c r="K419" s="444">
        <f t="shared" ca="1" si="27"/>
        <v>14167.992648647996</v>
      </c>
      <c r="L419" s="444">
        <f t="shared" ca="1" si="28"/>
        <v>3414486.2283241674</v>
      </c>
      <c r="M419" s="460">
        <f t="shared" si="30"/>
        <v>0.05</v>
      </c>
      <c r="N419" s="464">
        <f t="shared" si="31"/>
        <v>63798</v>
      </c>
    </row>
    <row r="420" spans="7:14" ht="11.25" customHeight="1" x14ac:dyDescent="0.3">
      <c r="G420" s="459">
        <f t="shared" si="44"/>
        <v>35</v>
      </c>
      <c r="H420" s="459">
        <v>413</v>
      </c>
      <c r="I420" s="444">
        <f t="shared" ca="1" si="29"/>
        <v>3414486.2283241674</v>
      </c>
      <c r="J420" s="444">
        <f t="array" ref="J420">IFERROR(INDEX('Retirement Calculator'!K:K,MATCH('Lorri 401b'!N420,'Retirement Calculator'!A:A,0),0),0)</f>
        <v>20367.195264578786</v>
      </c>
      <c r="K420" s="444">
        <f t="shared" ca="1" si="27"/>
        <v>14142.162637748286</v>
      </c>
      <c r="L420" s="444">
        <f t="shared" ca="1" si="28"/>
        <v>3408261.1956973369</v>
      </c>
      <c r="M420" s="460">
        <f t="shared" si="30"/>
        <v>0.05</v>
      </c>
      <c r="N420" s="464">
        <f t="shared" si="31"/>
        <v>63828</v>
      </c>
    </row>
    <row r="421" spans="7:14" ht="11.25" customHeight="1" x14ac:dyDescent="0.3">
      <c r="G421" s="459">
        <f t="shared" si="44"/>
        <v>35</v>
      </c>
      <c r="H421" s="459">
        <v>414</v>
      </c>
      <c r="I421" s="444">
        <f t="shared" ca="1" si="29"/>
        <v>3408261.1956973369</v>
      </c>
      <c r="J421" s="444">
        <f t="array" ref="J421">IFERROR(INDEX('Retirement Calculator'!K:K,MATCH('Lorri 401b'!N421,'Retirement Calculator'!A:A,0),0),0)</f>
        <v>20367.195264578786</v>
      </c>
      <c r="K421" s="444">
        <f t="shared" ca="1" si="27"/>
        <v>14116.225001803159</v>
      </c>
      <c r="L421" s="444">
        <f t="shared" ca="1" si="28"/>
        <v>3402010.2254345613</v>
      </c>
      <c r="M421" s="460">
        <f t="shared" si="30"/>
        <v>0.05</v>
      </c>
      <c r="N421" s="464">
        <f t="shared" si="31"/>
        <v>63859</v>
      </c>
    </row>
    <row r="422" spans="7:14" ht="11.25" customHeight="1" x14ac:dyDescent="0.3">
      <c r="G422" s="459">
        <f t="shared" si="44"/>
        <v>35</v>
      </c>
      <c r="H422" s="459">
        <v>415</v>
      </c>
      <c r="I422" s="444">
        <f t="shared" ca="1" si="29"/>
        <v>3402010.2254345613</v>
      </c>
      <c r="J422" s="444">
        <f t="array" ref="J422">IFERROR(INDEX('Retirement Calculator'!K:K,MATCH('Lorri 401b'!N422,'Retirement Calculator'!A:A,0),0),0)</f>
        <v>20367.195264578786</v>
      </c>
      <c r="K422" s="444">
        <f t="shared" ca="1" si="27"/>
        <v>14090.179292374927</v>
      </c>
      <c r="L422" s="444">
        <f t="shared" ca="1" si="28"/>
        <v>3395733.2094623572</v>
      </c>
      <c r="M422" s="460">
        <f t="shared" si="30"/>
        <v>0.05</v>
      </c>
      <c r="N422" s="464">
        <f t="shared" si="31"/>
        <v>63889</v>
      </c>
    </row>
    <row r="423" spans="7:14" ht="11.25" customHeight="1" x14ac:dyDescent="0.3">
      <c r="G423" s="459">
        <f t="shared" si="44"/>
        <v>35</v>
      </c>
      <c r="H423" s="459">
        <v>416</v>
      </c>
      <c r="I423" s="444">
        <f t="shared" ca="1" si="29"/>
        <v>3395733.2094623572</v>
      </c>
      <c r="J423" s="444">
        <f t="array" ref="J423">IFERROR(INDEX('Retirement Calculator'!K:K,MATCH('Lorri 401b'!N423,'Retirement Calculator'!A:A,0),0),0)</f>
        <v>20367.195264578786</v>
      </c>
      <c r="K423" s="444">
        <f t="shared" ca="1" si="27"/>
        <v>14064.025059157408</v>
      </c>
      <c r="L423" s="444">
        <f t="shared" ca="1" si="28"/>
        <v>3389430.0392569359</v>
      </c>
      <c r="M423" s="460">
        <f t="shared" si="30"/>
        <v>0.05</v>
      </c>
      <c r="N423" s="464">
        <f t="shared" si="31"/>
        <v>63920</v>
      </c>
    </row>
    <row r="424" spans="7:14" ht="11.25" customHeight="1" x14ac:dyDescent="0.3">
      <c r="G424" s="459">
        <f t="shared" si="44"/>
        <v>35</v>
      </c>
      <c r="H424" s="459">
        <v>417</v>
      </c>
      <c r="I424" s="444">
        <f t="shared" ca="1" si="29"/>
        <v>3389430.0392569359</v>
      </c>
      <c r="J424" s="444">
        <f t="array" ref="J424">IFERROR(INDEX('Retirement Calculator'!K:K,MATCH('Lorri 401b'!N424,'Retirement Calculator'!A:A,0),0),0)</f>
        <v>20367.195264578786</v>
      </c>
      <c r="K424" s="444">
        <f t="shared" ca="1" si="27"/>
        <v>14037.761849968154</v>
      </c>
      <c r="L424" s="444">
        <f t="shared" ca="1" si="28"/>
        <v>3383100.6058423254</v>
      </c>
      <c r="M424" s="460">
        <f t="shared" si="30"/>
        <v>0.05</v>
      </c>
      <c r="N424" s="464">
        <f t="shared" si="31"/>
        <v>63951</v>
      </c>
    </row>
    <row r="425" spans="7:14" ht="11.25" customHeight="1" x14ac:dyDescent="0.3">
      <c r="G425" s="459">
        <f t="shared" si="44"/>
        <v>35</v>
      </c>
      <c r="H425" s="459">
        <v>418</v>
      </c>
      <c r="I425" s="444">
        <f t="shared" ca="1" si="29"/>
        <v>3383100.6058423254</v>
      </c>
      <c r="J425" s="444">
        <f t="array" ref="J425">IFERROR(INDEX('Retirement Calculator'!K:K,MATCH('Lorri 401b'!N425,'Retirement Calculator'!A:A,0),0),0)</f>
        <v>20367.195264578786</v>
      </c>
      <c r="K425" s="444">
        <f t="shared" ca="1" si="27"/>
        <v>14011.38921074061</v>
      </c>
      <c r="L425" s="444">
        <f t="shared" ca="1" si="28"/>
        <v>3376744.7997884871</v>
      </c>
      <c r="M425" s="460">
        <f t="shared" si="30"/>
        <v>0.05</v>
      </c>
      <c r="N425" s="464">
        <f t="shared" si="31"/>
        <v>63979</v>
      </c>
    </row>
    <row r="426" spans="7:14" ht="11.25" customHeight="1" x14ac:dyDescent="0.3">
      <c r="G426" s="459">
        <f t="shared" si="44"/>
        <v>35</v>
      </c>
      <c r="H426" s="459">
        <v>419</v>
      </c>
      <c r="I426" s="444">
        <f t="shared" ca="1" si="29"/>
        <v>3376744.7997884871</v>
      </c>
      <c r="J426" s="444">
        <f t="array" ref="J426">IFERROR(INDEX('Retirement Calculator'!K:K,MATCH('Lorri 401b'!N426,'Retirement Calculator'!A:A,0),0),0)</f>
        <v>20367.195264578786</v>
      </c>
      <c r="K426" s="444">
        <f t="shared" ca="1" si="27"/>
        <v>13984.906685516284</v>
      </c>
      <c r="L426" s="444">
        <f t="shared" ca="1" si="28"/>
        <v>3370362.5112094246</v>
      </c>
      <c r="M426" s="460">
        <f t="shared" si="30"/>
        <v>0.05</v>
      </c>
      <c r="N426" s="464">
        <f t="shared" si="31"/>
        <v>64010</v>
      </c>
    </row>
    <row r="427" spans="7:14" ht="11.25" customHeight="1" x14ac:dyDescent="0.3">
      <c r="G427" s="459">
        <f t="shared" si="44"/>
        <v>35</v>
      </c>
      <c r="H427" s="459">
        <v>420</v>
      </c>
      <c r="I427" s="444">
        <f t="shared" ca="1" si="29"/>
        <v>3370362.5112094246</v>
      </c>
      <c r="J427" s="444">
        <f t="array" ref="J427">IFERROR(INDEX('Retirement Calculator'!K:K,MATCH('Lorri 401b'!N427,'Retirement Calculator'!A:A,0),0),0)</f>
        <v>20367.195264578786</v>
      </c>
      <c r="K427" s="444">
        <f t="shared" ca="1" si="27"/>
        <v>13958.313816436857</v>
      </c>
      <c r="L427" s="444">
        <f t="shared" ca="1" si="28"/>
        <v>3363953.6297612828</v>
      </c>
      <c r="M427" s="460">
        <f t="shared" si="30"/>
        <v>0.05</v>
      </c>
      <c r="N427" s="464">
        <f t="shared" si="31"/>
        <v>64040</v>
      </c>
    </row>
    <row r="428" spans="7:14" ht="11.25" customHeight="1" x14ac:dyDescent="0.3">
      <c r="G428" s="459">
        <f>G427+1</f>
        <v>36</v>
      </c>
      <c r="H428" s="459">
        <v>421</v>
      </c>
      <c r="I428" s="444">
        <f t="shared" ca="1" si="29"/>
        <v>3363953.6297612828</v>
      </c>
      <c r="J428" s="444">
        <f t="array" ref="J428">IFERROR(INDEX('Retirement Calculator'!K:K,MATCH('Lorri 401b'!N428,'Retirement Calculator'!A:A,0),0),0)</f>
        <v>20367.195264578786</v>
      </c>
      <c r="K428" s="444">
        <f t="shared" ca="1" si="27"/>
        <v>13931.610143736265</v>
      </c>
      <c r="L428" s="444">
        <f t="shared" ca="1" si="28"/>
        <v>3357518.0446404405</v>
      </c>
      <c r="M428" s="460">
        <f t="shared" si="30"/>
        <v>0.05</v>
      </c>
      <c r="N428" s="464">
        <f t="shared" si="31"/>
        <v>64071</v>
      </c>
    </row>
    <row r="429" spans="7:14" ht="11.25" customHeight="1" x14ac:dyDescent="0.3">
      <c r="G429" s="459">
        <f t="shared" ref="G429:G439" si="45">G428</f>
        <v>36</v>
      </c>
      <c r="H429" s="459">
        <v>422</v>
      </c>
      <c r="I429" s="444">
        <f t="shared" ca="1" si="29"/>
        <v>3357518.0446404405</v>
      </c>
      <c r="J429" s="444">
        <f t="array" ref="J429">IFERROR(INDEX('Retirement Calculator'!K:K,MATCH('Lorri 401b'!N429,'Retirement Calculator'!A:A,0),0),0)</f>
        <v>20367.195264578786</v>
      </c>
      <c r="K429" s="444">
        <f t="shared" ca="1" si="27"/>
        <v>13904.795205732758</v>
      </c>
      <c r="L429" s="444">
        <f t="shared" ca="1" si="28"/>
        <v>3351055.6445815945</v>
      </c>
      <c r="M429" s="460">
        <f t="shared" si="30"/>
        <v>0.05</v>
      </c>
      <c r="N429" s="464">
        <f t="shared" si="31"/>
        <v>64101</v>
      </c>
    </row>
    <row r="430" spans="7:14" ht="11.25" customHeight="1" x14ac:dyDescent="0.3">
      <c r="G430" s="459">
        <f t="shared" si="45"/>
        <v>36</v>
      </c>
      <c r="H430" s="459">
        <v>423</v>
      </c>
      <c r="I430" s="444">
        <f t="shared" ca="1" si="29"/>
        <v>3351055.6445815945</v>
      </c>
      <c r="J430" s="444">
        <f t="array" ref="J430">IFERROR(INDEX('Retirement Calculator'!K:K,MATCH('Lorri 401b'!N430,'Retirement Calculator'!A:A,0),0),0)</f>
        <v>20367.195264578786</v>
      </c>
      <c r="K430" s="444">
        <f t="shared" ca="1" si="27"/>
        <v>13877.868538820898</v>
      </c>
      <c r="L430" s="444">
        <f t="shared" ca="1" si="28"/>
        <v>3344566.3178558368</v>
      </c>
      <c r="M430" s="460">
        <f t="shared" si="30"/>
        <v>0.05</v>
      </c>
      <c r="N430" s="464">
        <f t="shared" si="31"/>
        <v>64132</v>
      </c>
    </row>
    <row r="431" spans="7:14" ht="11.25" customHeight="1" x14ac:dyDescent="0.3">
      <c r="G431" s="459">
        <f t="shared" si="45"/>
        <v>36</v>
      </c>
      <c r="H431" s="459">
        <v>424</v>
      </c>
      <c r="I431" s="444">
        <f t="shared" ca="1" si="29"/>
        <v>3344566.3178558368</v>
      </c>
      <c r="J431" s="444">
        <f t="array" ref="J431">IFERROR(INDEX('Retirement Calculator'!K:K,MATCH('Lorri 401b'!N431,'Retirement Calculator'!A:A,0),0),0)</f>
        <v>20367.195264578786</v>
      </c>
      <c r="K431" s="444">
        <f t="shared" ca="1" si="27"/>
        <v>13850.829677463575</v>
      </c>
      <c r="L431" s="444">
        <f t="shared" ca="1" si="28"/>
        <v>3338049.9522687215</v>
      </c>
      <c r="M431" s="460">
        <f t="shared" si="30"/>
        <v>0.05</v>
      </c>
      <c r="N431" s="464">
        <f t="shared" si="31"/>
        <v>64163</v>
      </c>
    </row>
    <row r="432" spans="7:14" ht="11.25" customHeight="1" x14ac:dyDescent="0.3">
      <c r="G432" s="459">
        <f t="shared" si="45"/>
        <v>36</v>
      </c>
      <c r="H432" s="459">
        <v>425</v>
      </c>
      <c r="I432" s="444">
        <f t="shared" ca="1" si="29"/>
        <v>3338049.9522687215</v>
      </c>
      <c r="J432" s="444">
        <f t="array" ref="J432">IFERROR(INDEX('Retirement Calculator'!K:K,MATCH('Lorri 401b'!N432,'Retirement Calculator'!A:A,0),0),0)</f>
        <v>20367.195264578786</v>
      </c>
      <c r="K432" s="444">
        <f t="shared" ca="1" si="27"/>
        <v>13823.67815418393</v>
      </c>
      <c r="L432" s="444">
        <f t="shared" ca="1" si="28"/>
        <v>3331506.4351583268</v>
      </c>
      <c r="M432" s="460">
        <f t="shared" si="30"/>
        <v>0.05</v>
      </c>
      <c r="N432" s="464">
        <f t="shared" si="31"/>
        <v>64193</v>
      </c>
    </row>
    <row r="433" spans="7:14" ht="11.25" customHeight="1" x14ac:dyDescent="0.3">
      <c r="G433" s="459">
        <f t="shared" si="45"/>
        <v>36</v>
      </c>
      <c r="H433" s="459">
        <v>426</v>
      </c>
      <c r="I433" s="444">
        <f t="shared" ca="1" si="29"/>
        <v>3331506.4351583268</v>
      </c>
      <c r="J433" s="444">
        <f t="array" ref="J433">IFERROR(INDEX('Retirement Calculator'!K:K,MATCH('Lorri 401b'!N433,'Retirement Calculator'!A:A,0),0),0)</f>
        <v>20367.195264578786</v>
      </c>
      <c r="K433" s="444">
        <f t="shared" ca="1" si="27"/>
        <v>13796.413499557284</v>
      </c>
      <c r="L433" s="444">
        <f t="shared" ca="1" si="28"/>
        <v>3324935.6533933054</v>
      </c>
      <c r="M433" s="460">
        <f t="shared" si="30"/>
        <v>0.05</v>
      </c>
      <c r="N433" s="464">
        <f t="shared" si="31"/>
        <v>64224</v>
      </c>
    </row>
    <row r="434" spans="7:14" ht="11.25" customHeight="1" x14ac:dyDescent="0.3">
      <c r="G434" s="459">
        <f t="shared" si="45"/>
        <v>36</v>
      </c>
      <c r="H434" s="459">
        <v>427</v>
      </c>
      <c r="I434" s="444">
        <f t="shared" ca="1" si="29"/>
        <v>3324935.6533933054</v>
      </c>
      <c r="J434" s="444">
        <f t="array" ref="J434">IFERROR(INDEX('Retirement Calculator'!K:K,MATCH('Lorri 401b'!N434,'Retirement Calculator'!A:A,0),0),0)</f>
        <v>20367.195264578786</v>
      </c>
      <c r="K434" s="444">
        <f t="shared" ca="1" si="27"/>
        <v>13769.035242203026</v>
      </c>
      <c r="L434" s="444">
        <f t="shared" ca="1" si="28"/>
        <v>3318337.4933709297</v>
      </c>
      <c r="M434" s="460">
        <f t="shared" si="30"/>
        <v>0.05</v>
      </c>
      <c r="N434" s="464">
        <f t="shared" si="31"/>
        <v>64254</v>
      </c>
    </row>
    <row r="435" spans="7:14" ht="11.25" customHeight="1" x14ac:dyDescent="0.3">
      <c r="G435" s="459">
        <f t="shared" si="45"/>
        <v>36</v>
      </c>
      <c r="H435" s="459">
        <v>428</v>
      </c>
      <c r="I435" s="444">
        <f t="shared" ca="1" si="29"/>
        <v>3318337.4933709297</v>
      </c>
      <c r="J435" s="444">
        <f t="array" ref="J435">IFERROR(INDEX('Retirement Calculator'!K:K,MATCH('Lorri 401b'!N435,'Retirement Calculator'!A:A,0),0),0)</f>
        <v>20367.195264578786</v>
      </c>
      <c r="K435" s="444">
        <f t="shared" ca="1" si="27"/>
        <v>13741.542908776462</v>
      </c>
      <c r="L435" s="444">
        <f t="shared" ca="1" si="28"/>
        <v>3311711.8410151275</v>
      </c>
      <c r="M435" s="460">
        <f t="shared" si="30"/>
        <v>0.05</v>
      </c>
      <c r="N435" s="464">
        <f t="shared" si="31"/>
        <v>64285</v>
      </c>
    </row>
    <row r="436" spans="7:14" ht="11.25" customHeight="1" x14ac:dyDescent="0.3">
      <c r="G436" s="459">
        <f t="shared" si="45"/>
        <v>36</v>
      </c>
      <c r="H436" s="459">
        <v>429</v>
      </c>
      <c r="I436" s="444">
        <f t="shared" ca="1" si="29"/>
        <v>3311711.8410151275</v>
      </c>
      <c r="J436" s="444">
        <f t="array" ref="J436">IFERROR(INDEX('Retirement Calculator'!K:K,MATCH('Lorri 401b'!N436,'Retirement Calculator'!A:A,0),0),0)</f>
        <v>20367.195264578786</v>
      </c>
      <c r="K436" s="444">
        <f t="shared" ca="1" si="27"/>
        <v>13713.936023960619</v>
      </c>
      <c r="L436" s="444">
        <f t="shared" ca="1" si="28"/>
        <v>3305058.5817745095</v>
      </c>
      <c r="M436" s="460">
        <f t="shared" si="30"/>
        <v>0.05</v>
      </c>
      <c r="N436" s="464">
        <f t="shared" si="31"/>
        <v>64316</v>
      </c>
    </row>
    <row r="437" spans="7:14" ht="11.25" customHeight="1" x14ac:dyDescent="0.3">
      <c r="G437" s="459">
        <f t="shared" si="45"/>
        <v>36</v>
      </c>
      <c r="H437" s="459">
        <v>430</v>
      </c>
      <c r="I437" s="444">
        <f t="shared" ca="1" si="29"/>
        <v>3305058.5817745095</v>
      </c>
      <c r="J437" s="444">
        <f t="array" ref="J437">IFERROR(INDEX('Retirement Calculator'!K:K,MATCH('Lorri 401b'!N437,'Retirement Calculator'!A:A,0),0),0)</f>
        <v>20367.195264578786</v>
      </c>
      <c r="K437" s="444">
        <f t="shared" ca="1" si="27"/>
        <v>13686.214110458044</v>
      </c>
      <c r="L437" s="444">
        <f t="shared" ca="1" si="28"/>
        <v>3298377.600620389</v>
      </c>
      <c r="M437" s="460">
        <f t="shared" si="30"/>
        <v>0.05</v>
      </c>
      <c r="N437" s="464">
        <f t="shared" si="31"/>
        <v>64345</v>
      </c>
    </row>
    <row r="438" spans="7:14" ht="11.25" customHeight="1" x14ac:dyDescent="0.3">
      <c r="G438" s="459">
        <f t="shared" si="45"/>
        <v>36</v>
      </c>
      <c r="H438" s="459">
        <v>431</v>
      </c>
      <c r="I438" s="444">
        <f t="shared" ca="1" si="29"/>
        <v>3298377.600620389</v>
      </c>
      <c r="J438" s="444">
        <f t="array" ref="J438">IFERROR(INDEX('Retirement Calculator'!K:K,MATCH('Lorri 401b'!N438,'Retirement Calculator'!A:A,0),0),0)</f>
        <v>20367.195264578786</v>
      </c>
      <c r="K438" s="444">
        <f t="shared" ca="1" si="27"/>
        <v>13658.376688982542</v>
      </c>
      <c r="L438" s="444">
        <f t="shared" ca="1" si="28"/>
        <v>3291668.7820447925</v>
      </c>
      <c r="M438" s="460">
        <f t="shared" si="30"/>
        <v>0.05</v>
      </c>
      <c r="N438" s="464">
        <f t="shared" si="31"/>
        <v>64376</v>
      </c>
    </row>
    <row r="439" spans="7:14" ht="11.25" customHeight="1" x14ac:dyDescent="0.3">
      <c r="G439" s="459">
        <f t="shared" si="45"/>
        <v>36</v>
      </c>
      <c r="H439" s="459">
        <v>432</v>
      </c>
      <c r="I439" s="444">
        <f t="shared" ca="1" si="29"/>
        <v>3291668.7820447925</v>
      </c>
      <c r="J439" s="444">
        <f t="array" ref="J439">IFERROR(INDEX('Retirement Calculator'!K:K,MATCH('Lorri 401b'!N439,'Retirement Calculator'!A:A,0),0),0)</f>
        <v>20367.195264578786</v>
      </c>
      <c r="K439" s="444">
        <f t="shared" ca="1" si="27"/>
        <v>13630.42327825089</v>
      </c>
      <c r="L439" s="444">
        <f t="shared" ca="1" si="28"/>
        <v>3284932.0100584645</v>
      </c>
      <c r="M439" s="460">
        <f t="shared" si="30"/>
        <v>0.05</v>
      </c>
      <c r="N439" s="464">
        <f t="shared" si="31"/>
        <v>64406</v>
      </c>
    </row>
    <row r="440" spans="7:14" ht="11.25" customHeight="1" x14ac:dyDescent="0.3">
      <c r="G440" s="459">
        <f>G439+1</f>
        <v>37</v>
      </c>
      <c r="H440" s="459">
        <v>433</v>
      </c>
      <c r="I440" s="444">
        <f t="shared" ca="1" si="29"/>
        <v>3284932.0100584645</v>
      </c>
      <c r="J440" s="444">
        <f t="array" ref="J440">IFERROR(INDEX('Retirement Calculator'!K:K,MATCH('Lorri 401b'!N440,'Retirement Calculator'!A:A,0),0),0)</f>
        <v>20367.195264578786</v>
      </c>
      <c r="K440" s="444">
        <f t="shared" ca="1" si="27"/>
        <v>13602.353394974523</v>
      </c>
      <c r="L440" s="444">
        <f t="shared" ca="1" si="28"/>
        <v>3278167.1681888602</v>
      </c>
      <c r="M440" s="460">
        <f t="shared" si="30"/>
        <v>0.05</v>
      </c>
      <c r="N440" s="464">
        <f t="shared" si="31"/>
        <v>64437</v>
      </c>
    </row>
    <row r="441" spans="7:14" ht="11.25" customHeight="1" x14ac:dyDescent="0.3">
      <c r="G441" s="459">
        <f t="shared" ref="G441:G451" si="46">G440</f>
        <v>37</v>
      </c>
      <c r="H441" s="459">
        <v>434</v>
      </c>
      <c r="I441" s="444">
        <f t="shared" ca="1" si="29"/>
        <v>3278167.1681888602</v>
      </c>
      <c r="J441" s="444">
        <f t="array" ref="J441">IFERROR(INDEX('Retirement Calculator'!K:K,MATCH('Lorri 401b'!N441,'Retirement Calculator'!A:A,0),0),0)</f>
        <v>20367.195264578786</v>
      </c>
      <c r="K441" s="444">
        <f t="shared" ca="1" si="27"/>
        <v>13574.166553851172</v>
      </c>
      <c r="L441" s="444">
        <f t="shared" ca="1" si="28"/>
        <v>3271374.1394781326</v>
      </c>
      <c r="M441" s="460">
        <f t="shared" si="30"/>
        <v>0.05</v>
      </c>
      <c r="N441" s="464">
        <f t="shared" si="31"/>
        <v>64467</v>
      </c>
    </row>
    <row r="442" spans="7:14" ht="11.25" customHeight="1" x14ac:dyDescent="0.3">
      <c r="G442" s="459">
        <f t="shared" si="46"/>
        <v>37</v>
      </c>
      <c r="H442" s="459">
        <v>435</v>
      </c>
      <c r="I442" s="444">
        <f t="shared" ca="1" si="29"/>
        <v>3271374.1394781326</v>
      </c>
      <c r="J442" s="444">
        <f t="array" ref="J442">IFERROR(INDEX('Retirement Calculator'!K:K,MATCH('Lorri 401b'!N442,'Retirement Calculator'!A:A,0),0),0)</f>
        <v>20367.195264578786</v>
      </c>
      <c r="K442" s="444">
        <f t="shared" ca="1" si="27"/>
        <v>13545.862267556475</v>
      </c>
      <c r="L442" s="444">
        <f t="shared" ca="1" si="28"/>
        <v>3264552.8064811104</v>
      </c>
      <c r="M442" s="460">
        <f t="shared" si="30"/>
        <v>0.05</v>
      </c>
      <c r="N442" s="464">
        <f t="shared" si="31"/>
        <v>64498</v>
      </c>
    </row>
    <row r="443" spans="7:14" ht="11.25" customHeight="1" x14ac:dyDescent="0.3">
      <c r="G443" s="459">
        <f t="shared" si="46"/>
        <v>37</v>
      </c>
      <c r="H443" s="459">
        <v>436</v>
      </c>
      <c r="I443" s="444">
        <f t="shared" ca="1" si="29"/>
        <v>3264552.8064811104</v>
      </c>
      <c r="J443" s="444">
        <f t="array" ref="J443">IFERROR(INDEX('Retirement Calculator'!K:K,MATCH('Lorri 401b'!N443,'Retirement Calculator'!A:A,0),0),0)</f>
        <v>20367.195264578786</v>
      </c>
      <c r="K443" s="444">
        <f t="shared" ca="1" si="27"/>
        <v>13517.440046735548</v>
      </c>
      <c r="L443" s="444">
        <f t="shared" ca="1" si="28"/>
        <v>3257703.0512632672</v>
      </c>
      <c r="M443" s="460">
        <f t="shared" si="30"/>
        <v>0.05</v>
      </c>
      <c r="N443" s="464">
        <f t="shared" si="31"/>
        <v>64529</v>
      </c>
    </row>
    <row r="444" spans="7:14" ht="11.25" customHeight="1" x14ac:dyDescent="0.3">
      <c r="G444" s="459">
        <f t="shared" si="46"/>
        <v>37</v>
      </c>
      <c r="H444" s="459">
        <v>437</v>
      </c>
      <c r="I444" s="444">
        <f t="shared" ca="1" si="29"/>
        <v>3257703.0512632672</v>
      </c>
      <c r="J444" s="444">
        <f t="array" ref="J444">IFERROR(INDEX('Retirement Calculator'!K:K,MATCH('Lorri 401b'!N444,'Retirement Calculator'!A:A,0),0),0)</f>
        <v>20367.195264578786</v>
      </c>
      <c r="K444" s="444">
        <f t="shared" ca="1" si="27"/>
        <v>13488.899399994534</v>
      </c>
      <c r="L444" s="444">
        <f t="shared" ca="1" si="28"/>
        <v>3250824.7553986828</v>
      </c>
      <c r="M444" s="460">
        <f t="shared" si="30"/>
        <v>0.05</v>
      </c>
      <c r="N444" s="464">
        <f t="shared" si="31"/>
        <v>64559</v>
      </c>
    </row>
    <row r="445" spans="7:14" ht="11.25" customHeight="1" x14ac:dyDescent="0.3">
      <c r="G445" s="459">
        <f t="shared" si="46"/>
        <v>37</v>
      </c>
      <c r="H445" s="459">
        <v>438</v>
      </c>
      <c r="I445" s="444">
        <f t="shared" ca="1" si="29"/>
        <v>3250824.7553986828</v>
      </c>
      <c r="J445" s="444">
        <f t="array" ref="J445">IFERROR(INDEX('Retirement Calculator'!K:K,MATCH('Lorri 401b'!N445,'Retirement Calculator'!A:A,0),0),0)</f>
        <v>20367.195264578786</v>
      </c>
      <c r="K445" s="444">
        <f t="shared" ca="1" si="27"/>
        <v>13460.239833892099</v>
      </c>
      <c r="L445" s="444">
        <f t="shared" ca="1" si="28"/>
        <v>3243917.7999679963</v>
      </c>
      <c r="M445" s="460">
        <f t="shared" si="30"/>
        <v>0.05</v>
      </c>
      <c r="N445" s="464">
        <f t="shared" si="31"/>
        <v>64590</v>
      </c>
    </row>
    <row r="446" spans="7:14" ht="11.25" customHeight="1" x14ac:dyDescent="0.3">
      <c r="G446" s="459">
        <f t="shared" si="46"/>
        <v>37</v>
      </c>
      <c r="H446" s="459">
        <v>439</v>
      </c>
      <c r="I446" s="444">
        <f t="shared" ca="1" si="29"/>
        <v>3243917.7999679963</v>
      </c>
      <c r="J446" s="444">
        <f t="array" ref="J446">IFERROR(INDEX('Retirement Calculator'!K:K,MATCH('Lorri 401b'!N446,'Retirement Calculator'!A:A,0),0),0)</f>
        <v>20367.195264578786</v>
      </c>
      <c r="K446" s="444">
        <f t="shared" ca="1" si="27"/>
        <v>13431.460852930906</v>
      </c>
      <c r="L446" s="444">
        <f t="shared" ca="1" si="28"/>
        <v>3236982.0655563483</v>
      </c>
      <c r="M446" s="460">
        <f t="shared" si="30"/>
        <v>0.05</v>
      </c>
      <c r="N446" s="464">
        <f t="shared" si="31"/>
        <v>64620</v>
      </c>
    </row>
    <row r="447" spans="7:14" ht="11.25" customHeight="1" x14ac:dyDescent="0.3">
      <c r="G447" s="459">
        <f t="shared" si="46"/>
        <v>37</v>
      </c>
      <c r="H447" s="459">
        <v>440</v>
      </c>
      <c r="I447" s="444">
        <f t="shared" ca="1" si="29"/>
        <v>3236982.0655563483</v>
      </c>
      <c r="J447" s="444">
        <f t="array" ref="J447">IFERROR(INDEX('Retirement Calculator'!K:K,MATCH('Lorri 401b'!N447,'Retirement Calculator'!A:A,0),0),0)</f>
        <v>20367.195264578786</v>
      </c>
      <c r="K447" s="444">
        <f t="shared" ca="1" si="27"/>
        <v>13402.561959549039</v>
      </c>
      <c r="L447" s="444">
        <f t="shared" ca="1" si="28"/>
        <v>3230017.4322513184</v>
      </c>
      <c r="M447" s="460">
        <f t="shared" si="30"/>
        <v>0.05</v>
      </c>
      <c r="N447" s="464">
        <f t="shared" si="31"/>
        <v>64651</v>
      </c>
    </row>
    <row r="448" spans="7:14" ht="11.25" customHeight="1" x14ac:dyDescent="0.3">
      <c r="G448" s="459">
        <f t="shared" si="46"/>
        <v>37</v>
      </c>
      <c r="H448" s="459">
        <v>441</v>
      </c>
      <c r="I448" s="444">
        <f t="shared" ca="1" si="29"/>
        <v>3230017.4322513184</v>
      </c>
      <c r="J448" s="444">
        <f t="array" ref="J448">IFERROR(INDEX('Retirement Calculator'!K:K,MATCH('Lorri 401b'!N448,'Retirement Calculator'!A:A,0),0),0)</f>
        <v>20367.195264578786</v>
      </c>
      <c r="K448" s="444">
        <f t="shared" ca="1" si="27"/>
        <v>13373.542654111414</v>
      </c>
      <c r="L448" s="444">
        <f t="shared" ca="1" si="28"/>
        <v>3223023.7796408511</v>
      </c>
      <c r="M448" s="460">
        <f t="shared" si="30"/>
        <v>0.05</v>
      </c>
      <c r="N448" s="464">
        <f t="shared" si="31"/>
        <v>64682</v>
      </c>
    </row>
    <row r="449" spans="7:14" ht="11.25" customHeight="1" x14ac:dyDescent="0.3">
      <c r="G449" s="459">
        <f t="shared" si="46"/>
        <v>37</v>
      </c>
      <c r="H449" s="459">
        <v>442</v>
      </c>
      <c r="I449" s="444">
        <f t="shared" ca="1" si="29"/>
        <v>3223023.7796408511</v>
      </c>
      <c r="J449" s="444">
        <f t="array" ref="J449">IFERROR(INDEX('Retirement Calculator'!K:K,MATCH('Lorri 401b'!N449,'Retirement Calculator'!A:A,0),0),0)</f>
        <v>20367.195264578786</v>
      </c>
      <c r="K449" s="444">
        <f t="shared" ca="1" si="27"/>
        <v>13344.402434901134</v>
      </c>
      <c r="L449" s="444">
        <f t="shared" ca="1" si="28"/>
        <v>3216000.9868111736</v>
      </c>
      <c r="M449" s="460">
        <f t="shared" si="30"/>
        <v>0.05</v>
      </c>
      <c r="N449" s="464">
        <f t="shared" si="31"/>
        <v>64710</v>
      </c>
    </row>
    <row r="450" spans="7:14" ht="11.25" customHeight="1" x14ac:dyDescent="0.3">
      <c r="G450" s="459">
        <f t="shared" si="46"/>
        <v>37</v>
      </c>
      <c r="H450" s="459">
        <v>443</v>
      </c>
      <c r="I450" s="444">
        <f t="shared" ca="1" si="29"/>
        <v>3216000.9868111736</v>
      </c>
      <c r="J450" s="444">
        <f t="array" ref="J450">IFERROR(INDEX('Retirement Calculator'!K:K,MATCH('Lorri 401b'!N450,'Retirement Calculator'!A:A,0),0),0)</f>
        <v>20367.195264578786</v>
      </c>
      <c r="K450" s="444">
        <f t="shared" ca="1" si="27"/>
        <v>13315.140798110811</v>
      </c>
      <c r="L450" s="444">
        <f t="shared" ca="1" si="28"/>
        <v>3208948.9323447058</v>
      </c>
      <c r="M450" s="460">
        <f t="shared" si="30"/>
        <v>0.05</v>
      </c>
      <c r="N450" s="464">
        <f t="shared" si="31"/>
        <v>64741</v>
      </c>
    </row>
    <row r="451" spans="7:14" ht="11.25" customHeight="1" x14ac:dyDescent="0.3">
      <c r="G451" s="459">
        <f t="shared" si="46"/>
        <v>37</v>
      </c>
      <c r="H451" s="459">
        <v>444</v>
      </c>
      <c r="I451" s="444">
        <f t="shared" ca="1" si="29"/>
        <v>3208948.9323447058</v>
      </c>
      <c r="J451" s="444">
        <f t="array" ref="J451">IFERROR(INDEX('Retirement Calculator'!K:K,MATCH('Lorri 401b'!N451,'Retirement Calculator'!A:A,0),0),0)</f>
        <v>20367.195264578786</v>
      </c>
      <c r="K451" s="444">
        <f t="shared" ca="1" si="27"/>
        <v>13285.757237833863</v>
      </c>
      <c r="L451" s="444">
        <f t="shared" ca="1" si="28"/>
        <v>3201867.4943179609</v>
      </c>
      <c r="M451" s="460">
        <f t="shared" si="30"/>
        <v>0.05</v>
      </c>
      <c r="N451" s="464">
        <f t="shared" si="31"/>
        <v>64771</v>
      </c>
    </row>
    <row r="452" spans="7:14" ht="11.25" customHeight="1" x14ac:dyDescent="0.3">
      <c r="G452" s="459">
        <f>G451+1</f>
        <v>38</v>
      </c>
      <c r="H452" s="459">
        <v>445</v>
      </c>
      <c r="I452" s="444">
        <f t="shared" ca="1" si="29"/>
        <v>3201867.4943179609</v>
      </c>
      <c r="J452" s="444">
        <f t="array" ref="J452">IFERROR(INDEX('Retirement Calculator'!K:K,MATCH('Lorri 401b'!N452,'Retirement Calculator'!A:A,0),0),0)</f>
        <v>20367.195264578786</v>
      </c>
      <c r="K452" s="444">
        <f t="shared" ca="1" si="27"/>
        <v>13256.251246055759</v>
      </c>
      <c r="L452" s="444">
        <f t="shared" ca="1" si="28"/>
        <v>3194756.5502994377</v>
      </c>
      <c r="M452" s="460">
        <f t="shared" si="30"/>
        <v>0.05</v>
      </c>
      <c r="N452" s="464">
        <f t="shared" si="31"/>
        <v>64802</v>
      </c>
    </row>
    <row r="453" spans="7:14" ht="11.25" customHeight="1" x14ac:dyDescent="0.3">
      <c r="G453" s="459">
        <f t="shared" ref="G453:G463" si="47">G452</f>
        <v>38</v>
      </c>
      <c r="H453" s="459">
        <v>446</v>
      </c>
      <c r="I453" s="444">
        <f t="shared" ca="1" si="29"/>
        <v>3194756.5502994377</v>
      </c>
      <c r="J453" s="444">
        <f t="array" ref="J453">IFERROR(INDEX('Retirement Calculator'!K:K,MATCH('Lorri 401b'!N453,'Retirement Calculator'!A:A,0),0),0)</f>
        <v>20367.195264578786</v>
      </c>
      <c r="K453" s="444">
        <f t="shared" ca="1" si="27"/>
        <v>13226.622312645246</v>
      </c>
      <c r="L453" s="444">
        <f t="shared" ca="1" si="28"/>
        <v>3187615.9773475043</v>
      </c>
      <c r="M453" s="460">
        <f t="shared" si="30"/>
        <v>0.05</v>
      </c>
      <c r="N453" s="464">
        <f t="shared" si="31"/>
        <v>64832</v>
      </c>
    </row>
    <row r="454" spans="7:14" ht="11.25" customHeight="1" x14ac:dyDescent="0.3">
      <c r="G454" s="459">
        <f t="shared" si="47"/>
        <v>38</v>
      </c>
      <c r="H454" s="459">
        <v>447</v>
      </c>
      <c r="I454" s="444">
        <f t="shared" ca="1" si="29"/>
        <v>3187615.9773475043</v>
      </c>
      <c r="J454" s="444">
        <f t="array" ref="J454">IFERROR(INDEX('Retirement Calculator'!K:K,MATCH('Lorri 401b'!N454,'Retirement Calculator'!A:A,0),0),0)</f>
        <v>20367.195264578786</v>
      </c>
      <c r="K454" s="444">
        <f t="shared" ca="1" si="27"/>
        <v>13196.869925345523</v>
      </c>
      <c r="L454" s="444">
        <f t="shared" ca="1" si="28"/>
        <v>3180445.6520082708</v>
      </c>
      <c r="M454" s="460">
        <f t="shared" si="30"/>
        <v>0.05</v>
      </c>
      <c r="N454" s="464">
        <f t="shared" si="31"/>
        <v>64863</v>
      </c>
    </row>
    <row r="455" spans="7:14" ht="11.25" customHeight="1" x14ac:dyDescent="0.3">
      <c r="G455" s="459">
        <f t="shared" si="47"/>
        <v>38</v>
      </c>
      <c r="H455" s="459">
        <v>448</v>
      </c>
      <c r="I455" s="444">
        <f t="shared" ca="1" si="29"/>
        <v>3180445.6520082708</v>
      </c>
      <c r="J455" s="444">
        <f t="array" ref="J455">IFERROR(INDEX('Retirement Calculator'!K:K,MATCH('Lorri 401b'!N455,'Retirement Calculator'!A:A,0),0),0)</f>
        <v>20367.195264578786</v>
      </c>
      <c r="K455" s="444">
        <f t="shared" ca="1" si="27"/>
        <v>13166.993569765384</v>
      </c>
      <c r="L455" s="444">
        <f t="shared" ca="1" si="28"/>
        <v>3173245.4503134573</v>
      </c>
      <c r="M455" s="460">
        <f t="shared" si="30"/>
        <v>0.05</v>
      </c>
      <c r="N455" s="464">
        <f t="shared" si="31"/>
        <v>64894</v>
      </c>
    </row>
    <row r="456" spans="7:14" ht="11.25" customHeight="1" x14ac:dyDescent="0.3">
      <c r="G456" s="459">
        <f t="shared" si="47"/>
        <v>38</v>
      </c>
      <c r="H456" s="459">
        <v>449</v>
      </c>
      <c r="I456" s="444">
        <f t="shared" ca="1" si="29"/>
        <v>3173245.4503134573</v>
      </c>
      <c r="J456" s="444">
        <f t="array" ref="J456">IFERROR(INDEX('Retirement Calculator'!K:K,MATCH('Lorri 401b'!N456,'Retirement Calculator'!A:A,0),0),0)</f>
        <v>20367.195264578786</v>
      </c>
      <c r="K456" s="444">
        <f t="shared" ca="1" si="27"/>
        <v>13136.992729370328</v>
      </c>
      <c r="L456" s="444">
        <f t="shared" ca="1" si="28"/>
        <v>3166015.247778249</v>
      </c>
      <c r="M456" s="460">
        <f t="shared" si="30"/>
        <v>0.05</v>
      </c>
      <c r="N456" s="464">
        <f t="shared" si="31"/>
        <v>64924</v>
      </c>
    </row>
    <row r="457" spans="7:14" ht="11.25" customHeight="1" x14ac:dyDescent="0.3">
      <c r="G457" s="459">
        <f t="shared" si="47"/>
        <v>38</v>
      </c>
      <c r="H457" s="459">
        <v>450</v>
      </c>
      <c r="I457" s="444">
        <f t="shared" ca="1" si="29"/>
        <v>3166015.247778249</v>
      </c>
      <c r="J457" s="444">
        <f t="array" ref="J457">IFERROR(INDEX('Retirement Calculator'!K:K,MATCH('Lorri 401b'!N457,'Retirement Calculator'!A:A,0),0),0)</f>
        <v>20367.195264578786</v>
      </c>
      <c r="K457" s="444">
        <f t="shared" ca="1" si="27"/>
        <v>13106.866885473626</v>
      </c>
      <c r="L457" s="444">
        <f t="shared" ca="1" si="28"/>
        <v>3158754.9193991437</v>
      </c>
      <c r="M457" s="460">
        <f t="shared" si="30"/>
        <v>0.05</v>
      </c>
      <c r="N457" s="464">
        <f t="shared" si="31"/>
        <v>64955</v>
      </c>
    </row>
    <row r="458" spans="7:14" ht="11.25" customHeight="1" x14ac:dyDescent="0.3">
      <c r="G458" s="459">
        <f t="shared" si="47"/>
        <v>38</v>
      </c>
      <c r="H458" s="459">
        <v>451</v>
      </c>
      <c r="I458" s="444">
        <f t="shared" ca="1" si="29"/>
        <v>3158754.9193991437</v>
      </c>
      <c r="J458" s="444">
        <f t="array" ref="J458">IFERROR(INDEX('Retirement Calculator'!K:K,MATCH('Lorri 401b'!N458,'Retirement Calculator'!A:A,0),0),0)</f>
        <v>20367.195264578786</v>
      </c>
      <c r="K458" s="444">
        <f t="shared" ca="1" si="27"/>
        <v>13076.615517227354</v>
      </c>
      <c r="L458" s="444">
        <f t="shared" ca="1" si="28"/>
        <v>3151464.3396517923</v>
      </c>
      <c r="M458" s="460">
        <f t="shared" si="30"/>
        <v>0.05</v>
      </c>
      <c r="N458" s="464">
        <f t="shared" si="31"/>
        <v>64985</v>
      </c>
    </row>
    <row r="459" spans="7:14" ht="11.25" customHeight="1" x14ac:dyDescent="0.3">
      <c r="G459" s="459">
        <f t="shared" si="47"/>
        <v>38</v>
      </c>
      <c r="H459" s="459">
        <v>452</v>
      </c>
      <c r="I459" s="444">
        <f t="shared" ca="1" si="29"/>
        <v>3151464.3396517923</v>
      </c>
      <c r="J459" s="444">
        <f t="array" ref="J459">IFERROR(INDEX('Retirement Calculator'!K:K,MATCH('Lorri 401b'!N459,'Retirement Calculator'!A:A,0),0),0)</f>
        <v>20367.195264578786</v>
      </c>
      <c r="K459" s="444">
        <f t="shared" ca="1" si="27"/>
        <v>13046.23810161339</v>
      </c>
      <c r="L459" s="444">
        <f t="shared" ca="1" si="28"/>
        <v>3144143.3824888268</v>
      </c>
      <c r="M459" s="460">
        <f t="shared" si="30"/>
        <v>0.05</v>
      </c>
      <c r="N459" s="464">
        <f t="shared" si="31"/>
        <v>65016</v>
      </c>
    </row>
    <row r="460" spans="7:14" ht="11.25" customHeight="1" x14ac:dyDescent="0.3">
      <c r="G460" s="459">
        <f t="shared" si="47"/>
        <v>38</v>
      </c>
      <c r="H460" s="459">
        <v>453</v>
      </c>
      <c r="I460" s="444">
        <f t="shared" ca="1" si="29"/>
        <v>3144143.3824888268</v>
      </c>
      <c r="J460" s="444">
        <f t="array" ref="J460">IFERROR(INDEX('Retirement Calculator'!K:K,MATCH('Lorri 401b'!N460,'Retirement Calculator'!A:A,0),0),0)</f>
        <v>20367.195264578786</v>
      </c>
      <c r="K460" s="444">
        <f t="shared" ca="1" si="27"/>
        <v>13015.734113434366</v>
      </c>
      <c r="L460" s="444">
        <f t="shared" ca="1" si="28"/>
        <v>3136791.9213376823</v>
      </c>
      <c r="M460" s="460">
        <f t="shared" si="30"/>
        <v>0.05</v>
      </c>
      <c r="N460" s="464">
        <f t="shared" si="31"/>
        <v>65047</v>
      </c>
    </row>
    <row r="461" spans="7:14" ht="11.25" customHeight="1" x14ac:dyDescent="0.3">
      <c r="G461" s="459">
        <f t="shared" si="47"/>
        <v>38</v>
      </c>
      <c r="H461" s="459">
        <v>454</v>
      </c>
      <c r="I461" s="444">
        <f t="shared" ca="1" si="29"/>
        <v>3136791.9213376823</v>
      </c>
      <c r="J461" s="444">
        <f t="array" ref="J461">IFERROR(INDEX('Retirement Calculator'!K:K,MATCH('Lorri 401b'!N461,'Retirement Calculator'!A:A,0),0),0)</f>
        <v>20367.195264578786</v>
      </c>
      <c r="K461" s="444">
        <f t="shared" ca="1" si="27"/>
        <v>12985.103025304597</v>
      </c>
      <c r="L461" s="444">
        <f t="shared" ca="1" si="28"/>
        <v>3129409.8290984081</v>
      </c>
      <c r="M461" s="460">
        <f t="shared" si="30"/>
        <v>0.05</v>
      </c>
      <c r="N461" s="464">
        <f t="shared" si="31"/>
        <v>65075</v>
      </c>
    </row>
    <row r="462" spans="7:14" ht="11.25" customHeight="1" x14ac:dyDescent="0.3">
      <c r="G462" s="459">
        <f t="shared" si="47"/>
        <v>38</v>
      </c>
      <c r="H462" s="459">
        <v>455</v>
      </c>
      <c r="I462" s="444">
        <f t="shared" ca="1" si="29"/>
        <v>3129409.8290984081</v>
      </c>
      <c r="J462" s="444">
        <f t="array" ref="J462">IFERROR(INDEX('Retirement Calculator'!K:K,MATCH('Lorri 401b'!N462,'Retirement Calculator'!A:A,0),0),0)</f>
        <v>20367.195264578786</v>
      </c>
      <c r="K462" s="444">
        <f t="shared" ca="1" si="27"/>
        <v>12954.344307640955</v>
      </c>
      <c r="L462" s="444">
        <f t="shared" ca="1" si="28"/>
        <v>3121996.9781414703</v>
      </c>
      <c r="M462" s="460">
        <f t="shared" si="30"/>
        <v>0.05</v>
      </c>
      <c r="N462" s="464">
        <f t="shared" si="31"/>
        <v>65106</v>
      </c>
    </row>
    <row r="463" spans="7:14" ht="11.25" customHeight="1" x14ac:dyDescent="0.3">
      <c r="G463" s="459">
        <f t="shared" si="47"/>
        <v>38</v>
      </c>
      <c r="H463" s="459">
        <v>456</v>
      </c>
      <c r="I463" s="444">
        <f t="shared" ca="1" si="29"/>
        <v>3121996.9781414703</v>
      </c>
      <c r="J463" s="444">
        <f t="array" ref="J463">IFERROR(INDEX('Retirement Calculator'!K:K,MATCH('Lorri 401b'!N463,'Retirement Calculator'!A:A,0),0),0)</f>
        <v>20367.195264578786</v>
      </c>
      <c r="K463" s="444">
        <f t="shared" ca="1" si="27"/>
        <v>12923.457428653715</v>
      </c>
      <c r="L463" s="444">
        <f t="shared" ca="1" si="28"/>
        <v>3114553.2403055453</v>
      </c>
      <c r="M463" s="460">
        <f t="shared" si="30"/>
        <v>0.05</v>
      </c>
      <c r="N463" s="464">
        <f t="shared" si="31"/>
        <v>65136</v>
      </c>
    </row>
    <row r="464" spans="7:14" ht="11.25" customHeight="1" x14ac:dyDescent="0.3">
      <c r="G464" s="459">
        <f>G463+1</f>
        <v>39</v>
      </c>
      <c r="H464" s="459">
        <v>457</v>
      </c>
      <c r="I464" s="444">
        <f t="shared" ca="1" si="29"/>
        <v>3114553.2403055453</v>
      </c>
      <c r="J464" s="444">
        <f t="array" ref="J464">IFERROR(INDEX('Retirement Calculator'!K:K,MATCH('Lorri 401b'!N464,'Retirement Calculator'!A:A,0),0),0)</f>
        <v>20367.195264578786</v>
      </c>
      <c r="K464" s="444">
        <f t="shared" ca="1" si="27"/>
        <v>12892.441854337359</v>
      </c>
      <c r="L464" s="444">
        <f t="shared" ca="1" si="28"/>
        <v>3107078.4868953037</v>
      </c>
      <c r="M464" s="460">
        <f t="shared" si="30"/>
        <v>0.05</v>
      </c>
      <c r="N464" s="464">
        <f t="shared" si="31"/>
        <v>65167</v>
      </c>
    </row>
    <row r="465" spans="7:14" ht="11.25" customHeight="1" x14ac:dyDescent="0.3">
      <c r="G465" s="459">
        <f t="shared" ref="G465:G475" si="48">G464</f>
        <v>39</v>
      </c>
      <c r="H465" s="459">
        <v>458</v>
      </c>
      <c r="I465" s="444">
        <f t="shared" ca="1" si="29"/>
        <v>3107078.4868953037</v>
      </c>
      <c r="J465" s="444">
        <f t="array" ref="J465">IFERROR(INDEX('Retirement Calculator'!K:K,MATCH('Lorri 401b'!N465,'Retirement Calculator'!A:A,0),0),0)</f>
        <v>20367.195264578786</v>
      </c>
      <c r="K465" s="444">
        <f t="shared" ca="1" si="27"/>
        <v>12861.297048461354</v>
      </c>
      <c r="L465" s="444">
        <f t="shared" ca="1" si="28"/>
        <v>3099572.5886791861</v>
      </c>
      <c r="M465" s="460">
        <f t="shared" si="30"/>
        <v>0.05</v>
      </c>
      <c r="N465" s="464">
        <f t="shared" si="31"/>
        <v>65197</v>
      </c>
    </row>
    <row r="466" spans="7:14" ht="11.25" customHeight="1" x14ac:dyDescent="0.3">
      <c r="G466" s="459">
        <f t="shared" si="48"/>
        <v>39</v>
      </c>
      <c r="H466" s="459">
        <v>459</v>
      </c>
      <c r="I466" s="444">
        <f t="shared" ca="1" si="29"/>
        <v>3099572.5886791861</v>
      </c>
      <c r="J466" s="444">
        <f t="array" ref="J466">IFERROR(INDEX('Retirement Calculator'!K:K,MATCH('Lorri 401b'!N466,'Retirement Calculator'!A:A,0),0),0)</f>
        <v>20367.195264578786</v>
      </c>
      <c r="K466" s="444">
        <f t="shared" ca="1" si="27"/>
        <v>12830.022472560864</v>
      </c>
      <c r="L466" s="444">
        <f t="shared" ca="1" si="28"/>
        <v>3092035.4158871681</v>
      </c>
      <c r="M466" s="460">
        <f t="shared" si="30"/>
        <v>0.05</v>
      </c>
      <c r="N466" s="464">
        <f t="shared" si="31"/>
        <v>65228</v>
      </c>
    </row>
    <row r="467" spans="7:14" ht="11.25" customHeight="1" x14ac:dyDescent="0.3">
      <c r="G467" s="459">
        <f t="shared" si="48"/>
        <v>39</v>
      </c>
      <c r="H467" s="459">
        <v>460</v>
      </c>
      <c r="I467" s="444">
        <f t="shared" ca="1" si="29"/>
        <v>3092035.4158871681</v>
      </c>
      <c r="J467" s="444">
        <f t="array" ref="J467">IFERROR(INDEX('Retirement Calculator'!K:K,MATCH('Lorri 401b'!N467,'Retirement Calculator'!A:A,0),0),0)</f>
        <v>20367.195264578786</v>
      </c>
      <c r="K467" s="444">
        <f t="shared" ca="1" si="27"/>
        <v>12798.617585927455</v>
      </c>
      <c r="L467" s="444">
        <f t="shared" ca="1" si="28"/>
        <v>3084466.8382085166</v>
      </c>
      <c r="M467" s="460">
        <f t="shared" si="30"/>
        <v>0.05</v>
      </c>
      <c r="N467" s="464">
        <f t="shared" si="31"/>
        <v>65259</v>
      </c>
    </row>
    <row r="468" spans="7:14" ht="11.25" customHeight="1" x14ac:dyDescent="0.3">
      <c r="G468" s="459">
        <f t="shared" si="48"/>
        <v>39</v>
      </c>
      <c r="H468" s="459">
        <v>461</v>
      </c>
      <c r="I468" s="444">
        <f t="shared" ca="1" si="29"/>
        <v>3084466.8382085166</v>
      </c>
      <c r="J468" s="444">
        <f t="array" ref="J468">IFERROR(INDEX('Retirement Calculator'!K:K,MATCH('Lorri 401b'!N468,'Retirement Calculator'!A:A,0),0),0)</f>
        <v>20367.195264578786</v>
      </c>
      <c r="K468" s="444">
        <f t="shared" ca="1" si="27"/>
        <v>12767.081845599741</v>
      </c>
      <c r="L468" s="444">
        <f t="shared" ca="1" si="28"/>
        <v>3076866.7247895375</v>
      </c>
      <c r="M468" s="460">
        <f t="shared" si="30"/>
        <v>0.05</v>
      </c>
      <c r="N468" s="464">
        <f t="shared" si="31"/>
        <v>65289</v>
      </c>
    </row>
    <row r="469" spans="7:14" ht="11.25" customHeight="1" x14ac:dyDescent="0.3">
      <c r="G469" s="459">
        <f t="shared" si="48"/>
        <v>39</v>
      </c>
      <c r="H469" s="459">
        <v>462</v>
      </c>
      <c r="I469" s="444">
        <f t="shared" ca="1" si="29"/>
        <v>3076866.7247895375</v>
      </c>
      <c r="J469" s="444">
        <f t="array" ref="J469">IFERROR(INDEX('Retirement Calculator'!K:K,MATCH('Lorri 401b'!N469,'Retirement Calculator'!A:A,0),0),0)</f>
        <v>20367.195264578786</v>
      </c>
      <c r="K469" s="444">
        <f t="shared" ca="1" si="27"/>
        <v>12735.414706353995</v>
      </c>
      <c r="L469" s="444">
        <f t="shared" ca="1" si="28"/>
        <v>3069234.9442313127</v>
      </c>
      <c r="M469" s="460">
        <f t="shared" si="30"/>
        <v>0.05</v>
      </c>
      <c r="N469" s="464">
        <f t="shared" si="31"/>
        <v>65320</v>
      </c>
    </row>
    <row r="470" spans="7:14" ht="11.25" customHeight="1" x14ac:dyDescent="0.3">
      <c r="G470" s="459">
        <f t="shared" si="48"/>
        <v>39</v>
      </c>
      <c r="H470" s="459">
        <v>463</v>
      </c>
      <c r="I470" s="444">
        <f t="shared" ca="1" si="29"/>
        <v>3069234.9442313127</v>
      </c>
      <c r="J470" s="444">
        <f t="array" ref="J470">IFERROR(INDEX('Retirement Calculator'!K:K,MATCH('Lorri 401b'!N470,'Retirement Calculator'!A:A,0),0),0)</f>
        <v>20367.195264578786</v>
      </c>
      <c r="K470" s="444">
        <f t="shared" ca="1" si="27"/>
        <v>12703.615620694725</v>
      </c>
      <c r="L470" s="444">
        <f t="shared" ca="1" si="28"/>
        <v>3061571.3645874285</v>
      </c>
      <c r="M470" s="460">
        <f t="shared" si="30"/>
        <v>0.05</v>
      </c>
      <c r="N470" s="464">
        <f t="shared" si="31"/>
        <v>65350</v>
      </c>
    </row>
    <row r="471" spans="7:14" ht="11.25" customHeight="1" x14ac:dyDescent="0.3">
      <c r="G471" s="459">
        <f t="shared" si="48"/>
        <v>39</v>
      </c>
      <c r="H471" s="459">
        <v>464</v>
      </c>
      <c r="I471" s="444">
        <f t="shared" ca="1" si="29"/>
        <v>3061571.3645874285</v>
      </c>
      <c r="J471" s="444">
        <f t="array" ref="J471">IFERROR(INDEX('Retirement Calculator'!K:K,MATCH('Lorri 401b'!N471,'Retirement Calculator'!A:A,0),0),0)</f>
        <v>20367.195264578786</v>
      </c>
      <c r="K471" s="444">
        <f t="shared" ca="1" si="27"/>
        <v>12671.684038845207</v>
      </c>
      <c r="L471" s="444">
        <f t="shared" ca="1" si="28"/>
        <v>3053875.8533616951</v>
      </c>
      <c r="M471" s="460">
        <f t="shared" si="30"/>
        <v>0.05</v>
      </c>
      <c r="N471" s="464">
        <f t="shared" si="31"/>
        <v>65381</v>
      </c>
    </row>
    <row r="472" spans="7:14" ht="11.25" customHeight="1" x14ac:dyDescent="0.3">
      <c r="G472" s="459">
        <f t="shared" si="48"/>
        <v>39</v>
      </c>
      <c r="H472" s="459">
        <v>465</v>
      </c>
      <c r="I472" s="444">
        <f t="shared" ca="1" si="29"/>
        <v>3053875.8533616951</v>
      </c>
      <c r="J472" s="444">
        <f t="array" ref="J472">IFERROR(INDEX('Retirement Calculator'!K:K,MATCH('Lorri 401b'!N472,'Retirement Calculator'!A:A,0),0),0)</f>
        <v>20367.195264578786</v>
      </c>
      <c r="K472" s="444">
        <f t="shared" ca="1" si="27"/>
        <v>12639.619408737984</v>
      </c>
      <c r="L472" s="444">
        <f t="shared" ca="1" si="28"/>
        <v>3046148.2775058541</v>
      </c>
      <c r="M472" s="460">
        <f t="shared" si="30"/>
        <v>0.05</v>
      </c>
      <c r="N472" s="464">
        <f t="shared" si="31"/>
        <v>65412</v>
      </c>
    </row>
    <row r="473" spans="7:14" ht="11.25" customHeight="1" x14ac:dyDescent="0.3">
      <c r="G473" s="459">
        <f t="shared" si="48"/>
        <v>39</v>
      </c>
      <c r="H473" s="459">
        <v>466</v>
      </c>
      <c r="I473" s="444">
        <f t="shared" ca="1" si="29"/>
        <v>3046148.2775058541</v>
      </c>
      <c r="J473" s="444">
        <f t="array" ref="J473">IFERROR(INDEX('Retirement Calculator'!K:K,MATCH('Lorri 401b'!N473,'Retirement Calculator'!A:A,0),0),0)</f>
        <v>20367.195264578786</v>
      </c>
      <c r="K473" s="444">
        <f t="shared" ca="1" si="27"/>
        <v>12607.421176005313</v>
      </c>
      <c r="L473" s="444">
        <f t="shared" ca="1" si="28"/>
        <v>3038388.5034172805</v>
      </c>
      <c r="M473" s="460">
        <f t="shared" si="30"/>
        <v>0.05</v>
      </c>
      <c r="N473" s="464">
        <f t="shared" si="31"/>
        <v>65440</v>
      </c>
    </row>
    <row r="474" spans="7:14" ht="11.25" customHeight="1" x14ac:dyDescent="0.3">
      <c r="G474" s="459">
        <f t="shared" si="48"/>
        <v>39</v>
      </c>
      <c r="H474" s="459">
        <v>467</v>
      </c>
      <c r="I474" s="444">
        <f t="shared" ca="1" si="29"/>
        <v>3038388.5034172805</v>
      </c>
      <c r="J474" s="444">
        <f t="array" ref="J474">IFERROR(INDEX('Retirement Calculator'!K:K,MATCH('Lorri 401b'!N474,'Retirement Calculator'!A:A,0),0),0)</f>
        <v>20367.195264578786</v>
      </c>
      <c r="K474" s="444">
        <f t="shared" ca="1" si="27"/>
        <v>12575.08878396959</v>
      </c>
      <c r="L474" s="444">
        <f t="shared" ca="1" si="28"/>
        <v>3030596.3969366713</v>
      </c>
      <c r="M474" s="460">
        <f t="shared" si="30"/>
        <v>0.05</v>
      </c>
      <c r="N474" s="464">
        <f t="shared" si="31"/>
        <v>65471</v>
      </c>
    </row>
    <row r="475" spans="7:14" ht="11.25" customHeight="1" x14ac:dyDescent="0.3">
      <c r="G475" s="459">
        <f t="shared" si="48"/>
        <v>39</v>
      </c>
      <c r="H475" s="459">
        <v>468</v>
      </c>
      <c r="I475" s="444">
        <f t="shared" ca="1" si="29"/>
        <v>3030596.3969366713</v>
      </c>
      <c r="J475" s="444">
        <f t="array" ref="J475">IFERROR(INDEX('Retirement Calculator'!K:K,MATCH('Lorri 401b'!N475,'Retirement Calculator'!A:A,0),0),0)</f>
        <v>20367.195264578786</v>
      </c>
      <c r="K475" s="444">
        <f t="shared" ca="1" si="27"/>
        <v>12542.621673633719</v>
      </c>
      <c r="L475" s="444">
        <f t="shared" ca="1" si="28"/>
        <v>3022771.8233457264</v>
      </c>
      <c r="M475" s="460">
        <f t="shared" si="30"/>
        <v>0.05</v>
      </c>
      <c r="N475" s="464">
        <f t="shared" si="31"/>
        <v>65501</v>
      </c>
    </row>
    <row r="476" spans="7:14" ht="11.25" customHeight="1" x14ac:dyDescent="0.3">
      <c r="G476" s="459">
        <f>G475+1</f>
        <v>40</v>
      </c>
      <c r="H476" s="459">
        <v>469</v>
      </c>
      <c r="I476" s="444">
        <f t="shared" ca="1" si="29"/>
        <v>3022771.8233457264</v>
      </c>
      <c r="J476" s="444">
        <f t="array" ref="J476">IFERROR(INDEX('Retirement Calculator'!K:K,MATCH('Lorri 401b'!N476,'Retirement Calculator'!A:A,0),0),0)</f>
        <v>20367.195264578786</v>
      </c>
      <c r="K476" s="444">
        <f t="shared" ca="1" si="27"/>
        <v>12510.019283671449</v>
      </c>
      <c r="L476" s="444">
        <f t="shared" ca="1" si="28"/>
        <v>3014914.647364819</v>
      </c>
      <c r="M476" s="460">
        <f t="shared" si="30"/>
        <v>0.05</v>
      </c>
      <c r="N476" s="464">
        <f t="shared" si="31"/>
        <v>65532</v>
      </c>
    </row>
    <row r="477" spans="7:14" ht="11.25" customHeight="1" x14ac:dyDescent="0.3">
      <c r="G477" s="459">
        <f t="shared" ref="G477:G487" si="49">G476</f>
        <v>40</v>
      </c>
      <c r="H477" s="459">
        <v>470</v>
      </c>
      <c r="I477" s="444">
        <f t="shared" ca="1" si="29"/>
        <v>3014914.647364819</v>
      </c>
      <c r="J477" s="444">
        <f t="array" ref="J477">IFERROR(INDEX('Retirement Calculator'!K:K,MATCH('Lorri 401b'!N477,'Retirement Calculator'!A:A,0),0),0)</f>
        <v>20367.195264578786</v>
      </c>
      <c r="K477" s="444">
        <f t="shared" ca="1" si="27"/>
        <v>12477.281050417667</v>
      </c>
      <c r="L477" s="444">
        <f t="shared" ca="1" si="28"/>
        <v>3007024.7331506577</v>
      </c>
      <c r="M477" s="460">
        <f t="shared" si="30"/>
        <v>0.05</v>
      </c>
      <c r="N477" s="464">
        <f t="shared" si="31"/>
        <v>65562</v>
      </c>
    </row>
    <row r="478" spans="7:14" ht="11.25" customHeight="1" x14ac:dyDescent="0.3">
      <c r="G478" s="459">
        <f t="shared" si="49"/>
        <v>40</v>
      </c>
      <c r="H478" s="459">
        <v>471</v>
      </c>
      <c r="I478" s="444">
        <f t="shared" ca="1" si="29"/>
        <v>3007024.7331506577</v>
      </c>
      <c r="J478" s="444">
        <f t="array" ref="J478">IFERROR(INDEX('Retirement Calculator'!K:K,MATCH('Lorri 401b'!N478,'Retirement Calculator'!A:A,0),0),0)</f>
        <v>20367.195264578786</v>
      </c>
      <c r="K478" s="444">
        <f t="shared" ca="1" si="27"/>
        <v>12444.406407858662</v>
      </c>
      <c r="L478" s="444">
        <f t="shared" ca="1" si="28"/>
        <v>2999101.9442939376</v>
      </c>
      <c r="M478" s="460">
        <f t="shared" si="30"/>
        <v>0.05</v>
      </c>
      <c r="N478" s="464">
        <f t="shared" si="31"/>
        <v>65593</v>
      </c>
    </row>
    <row r="479" spans="7:14" ht="11.25" customHeight="1" x14ac:dyDescent="0.3">
      <c r="G479" s="459">
        <f t="shared" si="49"/>
        <v>40</v>
      </c>
      <c r="H479" s="459">
        <v>472</v>
      </c>
      <c r="I479" s="444">
        <f t="shared" ca="1" si="29"/>
        <v>2999101.9442939376</v>
      </c>
      <c r="J479" s="444">
        <f t="array" ref="J479">IFERROR(INDEX('Retirement Calculator'!K:K,MATCH('Lorri 401b'!N479,'Retirement Calculator'!A:A,0),0),0)</f>
        <v>20367.195264578786</v>
      </c>
      <c r="K479" s="444">
        <f t="shared" ca="1" si="27"/>
        <v>12411.394787622328</v>
      </c>
      <c r="L479" s="444">
        <f t="shared" ca="1" si="28"/>
        <v>2991146.143816981</v>
      </c>
      <c r="M479" s="460">
        <f t="shared" si="30"/>
        <v>0.05</v>
      </c>
      <c r="N479" s="464">
        <f t="shared" si="31"/>
        <v>65624</v>
      </c>
    </row>
    <row r="480" spans="7:14" ht="11.25" customHeight="1" x14ac:dyDescent="0.3">
      <c r="G480" s="459">
        <f t="shared" si="49"/>
        <v>40</v>
      </c>
      <c r="H480" s="459">
        <v>473</v>
      </c>
      <c r="I480" s="444">
        <f t="shared" ca="1" si="29"/>
        <v>2991146.143816981</v>
      </c>
      <c r="J480" s="444">
        <f t="array" ref="J480">IFERROR(INDEX('Retirement Calculator'!K:K,MATCH('Lorri 401b'!N480,'Retirement Calculator'!A:A,0),0),0)</f>
        <v>20367.195264578786</v>
      </c>
      <c r="K480" s="444">
        <f t="shared" ca="1" si="27"/>
        <v>12378.245618968342</v>
      </c>
      <c r="L480" s="444">
        <f t="shared" ca="1" si="28"/>
        <v>2983157.1941713705</v>
      </c>
      <c r="M480" s="460">
        <f t="shared" si="30"/>
        <v>0.05</v>
      </c>
      <c r="N480" s="464">
        <f t="shared" si="31"/>
        <v>65654</v>
      </c>
    </row>
    <row r="481" spans="7:14" ht="11.25" customHeight="1" x14ac:dyDescent="0.3">
      <c r="G481" s="459">
        <f t="shared" si="49"/>
        <v>40</v>
      </c>
      <c r="H481" s="459">
        <v>474</v>
      </c>
      <c r="I481" s="444">
        <f t="shared" ca="1" si="29"/>
        <v>2983157.1941713705</v>
      </c>
      <c r="J481" s="444">
        <f t="array" ref="J481">IFERROR(INDEX('Retirement Calculator'!K:K,MATCH('Lorri 401b'!N481,'Retirement Calculator'!A:A,0),0),0)</f>
        <v>20367.195264578786</v>
      </c>
      <c r="K481" s="444">
        <f t="shared" ca="1" si="27"/>
        <v>12344.958328778299</v>
      </c>
      <c r="L481" s="444">
        <f t="shared" ca="1" si="28"/>
        <v>2975134.9572355701</v>
      </c>
      <c r="M481" s="460">
        <f t="shared" si="30"/>
        <v>0.05</v>
      </c>
      <c r="N481" s="464">
        <f t="shared" si="31"/>
        <v>65685</v>
      </c>
    </row>
    <row r="482" spans="7:14" ht="11.25" customHeight="1" x14ac:dyDescent="0.3">
      <c r="G482" s="459">
        <f t="shared" si="49"/>
        <v>40</v>
      </c>
      <c r="H482" s="459">
        <v>475</v>
      </c>
      <c r="I482" s="444">
        <f t="shared" ca="1" si="29"/>
        <v>2975134.9572355701</v>
      </c>
      <c r="J482" s="444">
        <f t="array" ref="J482">IFERROR(INDEX('Retirement Calculator'!K:K,MATCH('Lorri 401b'!N482,'Retirement Calculator'!A:A,0),0),0)</f>
        <v>20367.195264578786</v>
      </c>
      <c r="K482" s="444">
        <f t="shared" ca="1" si="27"/>
        <v>12311.532341545797</v>
      </c>
      <c r="L482" s="444">
        <f t="shared" ca="1" si="28"/>
        <v>2967079.2943125372</v>
      </c>
      <c r="M482" s="460">
        <f t="shared" si="30"/>
        <v>0.05</v>
      </c>
      <c r="N482" s="464">
        <f t="shared" si="31"/>
        <v>65715</v>
      </c>
    </row>
    <row r="483" spans="7:14" ht="11.25" customHeight="1" x14ac:dyDescent="0.3">
      <c r="G483" s="459">
        <f t="shared" si="49"/>
        <v>40</v>
      </c>
      <c r="H483" s="459">
        <v>476</v>
      </c>
      <c r="I483" s="444">
        <f t="shared" ca="1" si="29"/>
        <v>2967079.2943125372</v>
      </c>
      <c r="J483" s="444">
        <f t="array" ref="J483">IFERROR(INDEX('Retirement Calculator'!K:K,MATCH('Lorri 401b'!N483,'Retirement Calculator'!A:A,0),0),0)</f>
        <v>20367.195264578786</v>
      </c>
      <c r="K483" s="444">
        <f t="shared" ca="1" si="27"/>
        <v>12277.967079366494</v>
      </c>
      <c r="L483" s="444">
        <f t="shared" ca="1" si="28"/>
        <v>2958990.0661273249</v>
      </c>
      <c r="M483" s="460">
        <f t="shared" si="30"/>
        <v>0.05</v>
      </c>
      <c r="N483" s="464">
        <f t="shared" si="31"/>
        <v>65746</v>
      </c>
    </row>
    <row r="484" spans="7:14" ht="11.25" customHeight="1" x14ac:dyDescent="0.3">
      <c r="G484" s="459">
        <f t="shared" si="49"/>
        <v>40</v>
      </c>
      <c r="H484" s="459">
        <v>477</v>
      </c>
      <c r="I484" s="444">
        <f t="shared" ca="1" si="29"/>
        <v>2958990.0661273249</v>
      </c>
      <c r="J484" s="444">
        <f t="array" ref="J484">IFERROR(INDEX('Retirement Calculator'!K:K,MATCH('Lorri 401b'!N484,'Retirement Calculator'!A:A,0),0),0)</f>
        <v>20367.195264578786</v>
      </c>
      <c r="K484" s="444">
        <f t="shared" ca="1" si="27"/>
        <v>12244.261961928109</v>
      </c>
      <c r="L484" s="444">
        <f t="shared" ca="1" si="28"/>
        <v>2950867.1328246742</v>
      </c>
      <c r="M484" s="460">
        <f t="shared" si="30"/>
        <v>0.05</v>
      </c>
      <c r="N484" s="464">
        <f t="shared" si="31"/>
        <v>65777</v>
      </c>
    </row>
    <row r="485" spans="7:14" ht="11.25" customHeight="1" x14ac:dyDescent="0.3">
      <c r="G485" s="459">
        <f t="shared" si="49"/>
        <v>40</v>
      </c>
      <c r="H485" s="459">
        <v>478</v>
      </c>
      <c r="I485" s="444">
        <f t="shared" ca="1" si="29"/>
        <v>2950867.1328246742</v>
      </c>
      <c r="J485" s="444">
        <f t="array" ref="J485">IFERROR(INDEX('Retirement Calculator'!K:K,MATCH('Lorri 401b'!N485,'Retirement Calculator'!A:A,0),0),0)</f>
        <v>20367.195264578786</v>
      </c>
      <c r="K485" s="444">
        <f t="shared" ca="1" si="27"/>
        <v>12210.416406500397</v>
      </c>
      <c r="L485" s="444">
        <f t="shared" ca="1" si="28"/>
        <v>2942710.3539665961</v>
      </c>
      <c r="M485" s="460">
        <f t="shared" si="30"/>
        <v>0.05</v>
      </c>
      <c r="N485" s="464">
        <f t="shared" si="31"/>
        <v>65806</v>
      </c>
    </row>
    <row r="486" spans="7:14" ht="11.25" customHeight="1" x14ac:dyDescent="0.3">
      <c r="G486" s="459">
        <f t="shared" si="49"/>
        <v>40</v>
      </c>
      <c r="H486" s="459">
        <v>479</v>
      </c>
      <c r="I486" s="444">
        <f t="shared" ca="1" si="29"/>
        <v>2942710.3539665961</v>
      </c>
      <c r="J486" s="444">
        <f t="array" ref="J486">IFERROR(INDEX('Retirement Calculator'!K:K,MATCH('Lorri 401b'!N486,'Retirement Calculator'!A:A,0),0),0)</f>
        <v>20367.195264578786</v>
      </c>
      <c r="K486" s="444">
        <f t="shared" ca="1" si="27"/>
        <v>12176.429827925072</v>
      </c>
      <c r="L486" s="444">
        <f t="shared" ca="1" si="28"/>
        <v>2934519.5885299426</v>
      </c>
      <c r="M486" s="460">
        <f t="shared" si="30"/>
        <v>0.05</v>
      </c>
      <c r="N486" s="464">
        <f t="shared" si="31"/>
        <v>65837</v>
      </c>
    </row>
    <row r="487" spans="7:14" ht="11.25" customHeight="1" x14ac:dyDescent="0.3">
      <c r="G487" s="459">
        <f t="shared" si="49"/>
        <v>40</v>
      </c>
      <c r="H487" s="459">
        <v>480</v>
      </c>
      <c r="I487" s="444">
        <f t="shared" ca="1" si="29"/>
        <v>2934519.5885299426</v>
      </c>
      <c r="J487" s="444">
        <f t="array" ref="J487">IFERROR(INDEX('Retirement Calculator'!K:K,MATCH('Lorri 401b'!N487,'Retirement Calculator'!A:A,0),0),0)</f>
        <v>20367.195264578786</v>
      </c>
      <c r="K487" s="444">
        <f t="shared" ca="1" si="27"/>
        <v>12142.301638605682</v>
      </c>
      <c r="L487" s="444">
        <f t="shared" ca="1" si="28"/>
        <v>2926294.6949039693</v>
      </c>
      <c r="M487" s="460">
        <f t="shared" si="30"/>
        <v>0.05</v>
      </c>
      <c r="N487" s="464">
        <f t="shared" si="31"/>
        <v>65867</v>
      </c>
    </row>
    <row r="488" spans="7:14" ht="11.25" customHeight="1" x14ac:dyDescent="0.3">
      <c r="G488" s="459">
        <f>G487+1</f>
        <v>41</v>
      </c>
      <c r="H488" s="459">
        <v>481</v>
      </c>
      <c r="I488" s="444">
        <f t="shared" ca="1" si="29"/>
        <v>2926294.6949039693</v>
      </c>
      <c r="J488" s="444">
        <f t="array" ref="J488">IFERROR(INDEX('Retirement Calculator'!K:K,MATCH('Lorri 401b'!N488,'Retirement Calculator'!A:A,0),0),0)</f>
        <v>20367.195264578786</v>
      </c>
      <c r="K488" s="444">
        <f t="shared" ca="1" si="27"/>
        <v>12108.03124849746</v>
      </c>
      <c r="L488" s="444">
        <f t="shared" ca="1" si="28"/>
        <v>2918035.5308878878</v>
      </c>
      <c r="M488" s="460">
        <f t="shared" si="30"/>
        <v>0.05</v>
      </c>
      <c r="N488" s="464">
        <f t="shared" si="31"/>
        <v>65898</v>
      </c>
    </row>
    <row r="489" spans="7:14" ht="11.25" customHeight="1" x14ac:dyDescent="0.3">
      <c r="G489" s="459">
        <f t="shared" ref="G489:G499" si="50">G488</f>
        <v>41</v>
      </c>
      <c r="H489" s="459">
        <v>482</v>
      </c>
      <c r="I489" s="444">
        <f t="shared" ca="1" si="29"/>
        <v>2918035.5308878878</v>
      </c>
      <c r="J489" s="444">
        <f t="array" ref="J489">IFERROR(INDEX('Retirement Calculator'!K:K,MATCH('Lorri 401b'!N489,'Retirement Calculator'!A:A,0),0),0)</f>
        <v>20367.195264578786</v>
      </c>
      <c r="K489" s="444">
        <f t="shared" ca="1" si="27"/>
        <v>12073.61806509712</v>
      </c>
      <c r="L489" s="444">
        <f t="shared" ca="1" si="28"/>
        <v>2909741.9536884059</v>
      </c>
      <c r="M489" s="460">
        <f t="shared" si="30"/>
        <v>0.05</v>
      </c>
      <c r="N489" s="464">
        <f t="shared" si="31"/>
        <v>65928</v>
      </c>
    </row>
    <row r="490" spans="7:14" ht="11.25" customHeight="1" x14ac:dyDescent="0.3">
      <c r="G490" s="459">
        <f t="shared" si="50"/>
        <v>41</v>
      </c>
      <c r="H490" s="459">
        <v>483</v>
      </c>
      <c r="I490" s="444">
        <f t="shared" ca="1" si="29"/>
        <v>2909741.9536884059</v>
      </c>
      <c r="J490" s="444">
        <f t="array" ref="J490">IFERROR(INDEX('Retirement Calculator'!K:K,MATCH('Lorri 401b'!N490,'Retirement Calculator'!A:A,0),0),0)</f>
        <v>20367.195264578786</v>
      </c>
      <c r="K490" s="444">
        <f t="shared" ca="1" si="27"/>
        <v>12039.061493432613</v>
      </c>
      <c r="L490" s="444">
        <f t="shared" ca="1" si="28"/>
        <v>2901413.8199172597</v>
      </c>
      <c r="M490" s="460">
        <f t="shared" si="30"/>
        <v>0.05</v>
      </c>
      <c r="N490" s="464">
        <f t="shared" si="31"/>
        <v>65959</v>
      </c>
    </row>
    <row r="491" spans="7:14" ht="11.25" customHeight="1" x14ac:dyDescent="0.3">
      <c r="G491" s="459">
        <f t="shared" si="50"/>
        <v>41</v>
      </c>
      <c r="H491" s="459">
        <v>484</v>
      </c>
      <c r="I491" s="444">
        <f t="shared" ca="1" si="29"/>
        <v>2901413.8199172597</v>
      </c>
      <c r="J491" s="444">
        <f t="array" ref="J491">IFERROR(INDEX('Retirement Calculator'!K:K,MATCH('Lorri 401b'!N491,'Retirement Calculator'!A:A,0),0),0)</f>
        <v>20367.195264578786</v>
      </c>
      <c r="K491" s="444">
        <f t="shared" ca="1" si="27"/>
        <v>12004.360936052837</v>
      </c>
      <c r="L491" s="444">
        <f t="shared" ca="1" si="28"/>
        <v>2893050.9855887336</v>
      </c>
      <c r="M491" s="460">
        <f t="shared" si="30"/>
        <v>0.05</v>
      </c>
      <c r="N491" s="464">
        <f t="shared" si="31"/>
        <v>65990</v>
      </c>
    </row>
    <row r="492" spans="7:14" ht="11.25" customHeight="1" x14ac:dyDescent="0.3">
      <c r="G492" s="459">
        <f t="shared" si="50"/>
        <v>41</v>
      </c>
      <c r="H492" s="459">
        <v>485</v>
      </c>
      <c r="I492" s="444">
        <f t="shared" ca="1" si="29"/>
        <v>2893050.9855887336</v>
      </c>
      <c r="J492" s="444">
        <f t="array" ref="J492">IFERROR(INDEX('Retirement Calculator'!K:K,MATCH('Lorri 401b'!N492,'Retirement Calculator'!A:A,0),0),0)</f>
        <v>20367.195264578786</v>
      </c>
      <c r="K492" s="444">
        <f t="shared" ca="1" si="27"/>
        <v>11969.515793017312</v>
      </c>
      <c r="L492" s="444">
        <f t="shared" ca="1" si="28"/>
        <v>2884653.3061171719</v>
      </c>
      <c r="M492" s="460">
        <f t="shared" si="30"/>
        <v>0.05</v>
      </c>
      <c r="N492" s="464">
        <f t="shared" si="31"/>
        <v>66020</v>
      </c>
    </row>
    <row r="493" spans="7:14" ht="11.25" customHeight="1" x14ac:dyDescent="0.3">
      <c r="G493" s="459">
        <f t="shared" si="50"/>
        <v>41</v>
      </c>
      <c r="H493" s="459">
        <v>486</v>
      </c>
      <c r="I493" s="444">
        <f t="shared" ca="1" si="29"/>
        <v>2884653.3061171719</v>
      </c>
      <c r="J493" s="444">
        <f t="array" ref="J493">IFERROR(INDEX('Retirement Calculator'!K:K,MATCH('Lorri 401b'!N493,'Retirement Calculator'!A:A,0),0),0)</f>
        <v>20367.195264578786</v>
      </c>
      <c r="K493" s="444">
        <f t="shared" ca="1" si="27"/>
        <v>11934.525461885805</v>
      </c>
      <c r="L493" s="444">
        <f t="shared" ca="1" si="28"/>
        <v>2876220.6363144787</v>
      </c>
      <c r="M493" s="460">
        <f t="shared" si="30"/>
        <v>0.05</v>
      </c>
      <c r="N493" s="464">
        <f t="shared" si="31"/>
        <v>66051</v>
      </c>
    </row>
    <row r="494" spans="7:14" ht="11.25" customHeight="1" x14ac:dyDescent="0.3">
      <c r="G494" s="459">
        <f t="shared" si="50"/>
        <v>41</v>
      </c>
      <c r="H494" s="459">
        <v>487</v>
      </c>
      <c r="I494" s="444">
        <f t="shared" ca="1" si="29"/>
        <v>2876220.6363144787</v>
      </c>
      <c r="J494" s="444">
        <f t="array" ref="J494">IFERROR(INDEX('Retirement Calculator'!K:K,MATCH('Lorri 401b'!N494,'Retirement Calculator'!A:A,0),0),0)</f>
        <v>20367.195264578786</v>
      </c>
      <c r="K494" s="444">
        <f t="shared" ca="1" si="27"/>
        <v>11899.389337707917</v>
      </c>
      <c r="L494" s="444">
        <f t="shared" ca="1" si="28"/>
        <v>2867752.8303876077</v>
      </c>
      <c r="M494" s="460">
        <f t="shared" si="30"/>
        <v>0.05</v>
      </c>
      <c r="N494" s="464">
        <f t="shared" si="31"/>
        <v>66081</v>
      </c>
    </row>
    <row r="495" spans="7:14" ht="11.25" customHeight="1" x14ac:dyDescent="0.3">
      <c r="G495" s="459">
        <f t="shared" si="50"/>
        <v>41</v>
      </c>
      <c r="H495" s="459">
        <v>488</v>
      </c>
      <c r="I495" s="444">
        <f t="shared" ca="1" si="29"/>
        <v>2867752.8303876077</v>
      </c>
      <c r="J495" s="444">
        <f t="array" ref="J495">IFERROR(INDEX('Retirement Calculator'!K:K,MATCH('Lorri 401b'!N495,'Retirement Calculator'!A:A,0),0),0)</f>
        <v>20367.195264578786</v>
      </c>
      <c r="K495" s="444">
        <f t="shared" ca="1" si="27"/>
        <v>11864.10681301262</v>
      </c>
      <c r="L495" s="444">
        <f t="shared" ca="1" si="28"/>
        <v>2859249.7419360415</v>
      </c>
      <c r="M495" s="460">
        <f t="shared" si="30"/>
        <v>0.05</v>
      </c>
      <c r="N495" s="464">
        <f t="shared" si="31"/>
        <v>66112</v>
      </c>
    </row>
    <row r="496" spans="7:14" ht="11.25" customHeight="1" x14ac:dyDescent="0.3">
      <c r="G496" s="459">
        <f t="shared" si="50"/>
        <v>41</v>
      </c>
      <c r="H496" s="459">
        <v>489</v>
      </c>
      <c r="I496" s="444">
        <f t="shared" ca="1" si="29"/>
        <v>2859249.7419360415</v>
      </c>
      <c r="J496" s="444">
        <f t="array" ref="J496">IFERROR(INDEX('Retirement Calculator'!K:K,MATCH('Lorri 401b'!N496,'Retirement Calculator'!A:A,0),0),0)</f>
        <v>20367.195264578786</v>
      </c>
      <c r="K496" s="444">
        <f t="shared" ca="1" si="27"/>
        <v>11828.67727779776</v>
      </c>
      <c r="L496" s="444">
        <f t="shared" ca="1" si="28"/>
        <v>2850711.2239492605</v>
      </c>
      <c r="M496" s="460">
        <f t="shared" si="30"/>
        <v>0.05</v>
      </c>
      <c r="N496" s="464">
        <f t="shared" si="31"/>
        <v>66143</v>
      </c>
    </row>
    <row r="497" spans="7:14" ht="11.25" customHeight="1" x14ac:dyDescent="0.3">
      <c r="G497" s="459">
        <f t="shared" si="50"/>
        <v>41</v>
      </c>
      <c r="H497" s="459">
        <v>490</v>
      </c>
      <c r="I497" s="444">
        <f t="shared" ca="1" si="29"/>
        <v>2850711.2239492605</v>
      </c>
      <c r="J497" s="444">
        <f t="array" ref="J497">IFERROR(INDEX('Retirement Calculator'!K:K,MATCH('Lorri 401b'!N497,'Retirement Calculator'!A:A,0),0),0)</f>
        <v>20367.195264578786</v>
      </c>
      <c r="K497" s="444">
        <f t="shared" ca="1" si="27"/>
        <v>11793.100119519508</v>
      </c>
      <c r="L497" s="444">
        <f t="shared" ca="1" si="28"/>
        <v>2842137.1288042013</v>
      </c>
      <c r="M497" s="460">
        <f t="shared" si="30"/>
        <v>0.05</v>
      </c>
      <c r="N497" s="464">
        <f t="shared" si="31"/>
        <v>66171</v>
      </c>
    </row>
    <row r="498" spans="7:14" ht="11.25" customHeight="1" x14ac:dyDescent="0.3">
      <c r="G498" s="459">
        <f t="shared" si="50"/>
        <v>41</v>
      </c>
      <c r="H498" s="459">
        <v>491</v>
      </c>
      <c r="I498" s="444">
        <f t="shared" ca="1" si="29"/>
        <v>2842137.1288042013</v>
      </c>
      <c r="J498" s="444">
        <f t="array" ref="J498">IFERROR(INDEX('Retirement Calculator'!K:K,MATCH('Lorri 401b'!N498,'Retirement Calculator'!A:A,0),0),0)</f>
        <v>20367.195264578786</v>
      </c>
      <c r="K498" s="444">
        <f t="shared" ca="1" si="27"/>
        <v>11757.374723081761</v>
      </c>
      <c r="L498" s="444">
        <f t="shared" ca="1" si="28"/>
        <v>2833527.3082627044</v>
      </c>
      <c r="M498" s="460">
        <f t="shared" si="30"/>
        <v>0.05</v>
      </c>
      <c r="N498" s="464">
        <f t="shared" si="31"/>
        <v>66202</v>
      </c>
    </row>
    <row r="499" spans="7:14" ht="11.25" customHeight="1" x14ac:dyDescent="0.3">
      <c r="G499" s="459">
        <f t="shared" si="50"/>
        <v>41</v>
      </c>
      <c r="H499" s="459">
        <v>492</v>
      </c>
      <c r="I499" s="444">
        <f t="shared" ca="1" si="29"/>
        <v>2833527.3082627044</v>
      </c>
      <c r="J499" s="444">
        <f t="array" ref="J499">IFERROR(INDEX('Retirement Calculator'!K:K,MATCH('Lorri 401b'!N499,'Retirement Calculator'!A:A,0),0),0)</f>
        <v>20367.195264578786</v>
      </c>
      <c r="K499" s="444">
        <f t="shared" ca="1" si="27"/>
        <v>11721.500470825524</v>
      </c>
      <c r="L499" s="444">
        <f t="shared" ca="1" si="28"/>
        <v>2824881.6134689511</v>
      </c>
      <c r="M499" s="460">
        <f t="shared" si="30"/>
        <v>0.05</v>
      </c>
      <c r="N499" s="464">
        <f t="shared" si="31"/>
        <v>66232</v>
      </c>
    </row>
    <row r="500" spans="7:14" ht="11.25" customHeight="1" x14ac:dyDescent="0.3">
      <c r="G500" s="459">
        <f>G499+1</f>
        <v>42</v>
      </c>
      <c r="H500" s="459">
        <v>493</v>
      </c>
      <c r="I500" s="444">
        <f t="shared" ca="1" si="29"/>
        <v>2824881.6134689511</v>
      </c>
      <c r="J500" s="444">
        <f t="array" ref="J500">IFERROR(INDEX('Retirement Calculator'!K:K,MATCH('Lorri 401b'!N500,'Retirement Calculator'!A:A,0),0),0)</f>
        <v>20367.195264578786</v>
      </c>
      <c r="K500" s="444">
        <f t="shared" ca="1" si="27"/>
        <v>11685.476742518218</v>
      </c>
      <c r="L500" s="444">
        <f t="shared" ca="1" si="28"/>
        <v>2816199.8949468904</v>
      </c>
      <c r="M500" s="460">
        <f t="shared" si="30"/>
        <v>0.05</v>
      </c>
      <c r="N500" s="464">
        <f t="shared" si="31"/>
        <v>66263</v>
      </c>
    </row>
    <row r="501" spans="7:14" ht="11.25" customHeight="1" x14ac:dyDescent="0.3">
      <c r="G501" s="459">
        <f t="shared" ref="G501:G511" si="51">G500</f>
        <v>42</v>
      </c>
      <c r="H501" s="459">
        <v>494</v>
      </c>
      <c r="I501" s="444">
        <f t="shared" ca="1" si="29"/>
        <v>2816199.8949468904</v>
      </c>
      <c r="J501" s="444">
        <f t="array" ref="J501">IFERROR(INDEX('Retirement Calculator'!K:K,MATCH('Lorri 401b'!N501,'Retirement Calculator'!A:A,0),0),0)</f>
        <v>20367.195264578786</v>
      </c>
      <c r="K501" s="444">
        <f t="shared" ca="1" si="27"/>
        <v>11649.302915342965</v>
      </c>
      <c r="L501" s="444">
        <f t="shared" ca="1" si="28"/>
        <v>2807482.0025976547</v>
      </c>
      <c r="M501" s="460">
        <f t="shared" si="30"/>
        <v>0.05</v>
      </c>
      <c r="N501" s="464">
        <f t="shared" si="31"/>
        <v>66293</v>
      </c>
    </row>
    <row r="502" spans="7:14" ht="11.25" customHeight="1" x14ac:dyDescent="0.3">
      <c r="G502" s="459">
        <f t="shared" si="51"/>
        <v>42</v>
      </c>
      <c r="H502" s="459">
        <v>495</v>
      </c>
      <c r="I502" s="444">
        <f t="shared" ca="1" si="29"/>
        <v>2807482.0025976547</v>
      </c>
      <c r="J502" s="444">
        <f t="array" ref="J502">IFERROR(INDEX('Retirement Calculator'!K:K,MATCH('Lorri 401b'!N502,'Retirement Calculator'!A:A,0),0),0)</f>
        <v>20367.195264578786</v>
      </c>
      <c r="K502" s="444">
        <f t="shared" ca="1" si="27"/>
        <v>11612.978363887816</v>
      </c>
      <c r="L502" s="444">
        <f t="shared" ca="1" si="28"/>
        <v>2798727.7856969638</v>
      </c>
      <c r="M502" s="460">
        <f t="shared" si="30"/>
        <v>0.05</v>
      </c>
      <c r="N502" s="464">
        <f t="shared" si="31"/>
        <v>66324</v>
      </c>
    </row>
    <row r="503" spans="7:14" ht="11.25" customHeight="1" x14ac:dyDescent="0.3">
      <c r="G503" s="459">
        <f t="shared" si="51"/>
        <v>42</v>
      </c>
      <c r="H503" s="459">
        <v>496</v>
      </c>
      <c r="I503" s="444">
        <f t="shared" ca="1" si="29"/>
        <v>2798727.7856969638</v>
      </c>
      <c r="J503" s="444">
        <f t="array" ref="J503">IFERROR(INDEX('Retirement Calculator'!K:K,MATCH('Lorri 401b'!N503,'Retirement Calculator'!A:A,0),0),0)</f>
        <v>20367.195264578786</v>
      </c>
      <c r="K503" s="444">
        <f t="shared" ca="1" si="27"/>
        <v>11576.502460134938</v>
      </c>
      <c r="L503" s="444">
        <f t="shared" ca="1" si="28"/>
        <v>2789937.0928925201</v>
      </c>
      <c r="M503" s="460">
        <f t="shared" si="30"/>
        <v>0.05</v>
      </c>
      <c r="N503" s="464">
        <f t="shared" si="31"/>
        <v>66355</v>
      </c>
    </row>
    <row r="504" spans="7:14" ht="11.25" customHeight="1" x14ac:dyDescent="0.3">
      <c r="G504" s="459">
        <f t="shared" si="51"/>
        <v>42</v>
      </c>
      <c r="H504" s="459">
        <v>497</v>
      </c>
      <c r="I504" s="444">
        <f t="shared" ca="1" si="29"/>
        <v>2789937.0928925201</v>
      </c>
      <c r="J504" s="444">
        <f t="array" ref="J504">IFERROR(INDEX('Retirement Calculator'!K:K,MATCH('Lorri 401b'!N504,'Retirement Calculator'!A:A,0),0),0)</f>
        <v>20367.195264578786</v>
      </c>
      <c r="K504" s="444">
        <f t="shared" ca="1" si="27"/>
        <v>11539.874573449755</v>
      </c>
      <c r="L504" s="444">
        <f t="shared" ca="1" si="28"/>
        <v>2781109.7722013909</v>
      </c>
      <c r="M504" s="460">
        <f t="shared" si="30"/>
        <v>0.05</v>
      </c>
      <c r="N504" s="464">
        <f t="shared" si="31"/>
        <v>66385</v>
      </c>
    </row>
    <row r="505" spans="7:14" ht="11.25" customHeight="1" x14ac:dyDescent="0.3">
      <c r="G505" s="459">
        <f t="shared" si="51"/>
        <v>42</v>
      </c>
      <c r="H505" s="459">
        <v>498</v>
      </c>
      <c r="I505" s="444">
        <f t="shared" ca="1" si="29"/>
        <v>2781109.7722013909</v>
      </c>
      <c r="J505" s="444">
        <f t="array" ref="J505">IFERROR(INDEX('Retirement Calculator'!K:K,MATCH('Lorri 401b'!N505,'Retirement Calculator'!A:A,0),0),0)</f>
        <v>20367.195264578786</v>
      </c>
      <c r="K505" s="444">
        <f t="shared" ca="1" si="27"/>
        <v>11503.09407057005</v>
      </c>
      <c r="L505" s="444">
        <f t="shared" ca="1" si="28"/>
        <v>2772245.6710073822</v>
      </c>
      <c r="M505" s="460">
        <f t="shared" si="30"/>
        <v>0.05</v>
      </c>
      <c r="N505" s="464">
        <f t="shared" si="31"/>
        <v>66416</v>
      </c>
    </row>
    <row r="506" spans="7:14" ht="11.25" customHeight="1" x14ac:dyDescent="0.3">
      <c r="G506" s="459">
        <f t="shared" si="51"/>
        <v>42</v>
      </c>
      <c r="H506" s="459">
        <v>499</v>
      </c>
      <c r="I506" s="444">
        <f t="shared" ca="1" si="29"/>
        <v>2772245.6710073822</v>
      </c>
      <c r="J506" s="444">
        <f t="array" ref="J506">IFERROR(INDEX('Retirement Calculator'!K:K,MATCH('Lorri 401b'!N506,'Retirement Calculator'!A:A,0),0),0)</f>
        <v>20367.195264578786</v>
      </c>
      <c r="K506" s="444">
        <f t="shared" ca="1" si="27"/>
        <v>11466.160315595014</v>
      </c>
      <c r="L506" s="444">
        <f t="shared" ca="1" si="28"/>
        <v>2763344.6360583985</v>
      </c>
      <c r="M506" s="460">
        <f t="shared" si="30"/>
        <v>0.05</v>
      </c>
      <c r="N506" s="464">
        <f t="shared" si="31"/>
        <v>66446</v>
      </c>
    </row>
    <row r="507" spans="7:14" ht="11.25" customHeight="1" x14ac:dyDescent="0.3">
      <c r="G507" s="459">
        <f t="shared" si="51"/>
        <v>42</v>
      </c>
      <c r="H507" s="459">
        <v>500</v>
      </c>
      <c r="I507" s="444">
        <f t="shared" ca="1" si="29"/>
        <v>2763344.6360583985</v>
      </c>
      <c r="J507" s="444">
        <f t="array" ref="J507">IFERROR(INDEX('Retirement Calculator'!K:K,MATCH('Lorri 401b'!N507,'Retirement Calculator'!A:A,0),0),0)</f>
        <v>20367.195264578786</v>
      </c>
      <c r="K507" s="444">
        <f t="shared" ca="1" si="27"/>
        <v>11429.072669974248</v>
      </c>
      <c r="L507" s="444">
        <f t="shared" ca="1" si="28"/>
        <v>2754406.5134637938</v>
      </c>
      <c r="M507" s="460">
        <f t="shared" si="30"/>
        <v>0.05</v>
      </c>
      <c r="N507" s="464">
        <f t="shared" si="31"/>
        <v>66477</v>
      </c>
    </row>
    <row r="508" spans="7:14" ht="11.25" customHeight="1" x14ac:dyDescent="0.3">
      <c r="G508" s="459">
        <f t="shared" si="51"/>
        <v>42</v>
      </c>
      <c r="H508" s="459">
        <v>501</v>
      </c>
      <c r="I508" s="444">
        <f t="shared" ca="1" si="29"/>
        <v>2754406.5134637938</v>
      </c>
      <c r="J508" s="444">
        <f t="array" ref="J508">IFERROR(INDEX('Retirement Calculator'!K:K,MATCH('Lorri 401b'!N508,'Retirement Calculator'!A:A,0),0),0)</f>
        <v>20367.195264578786</v>
      </c>
      <c r="K508" s="444">
        <f t="shared" ca="1" si="27"/>
        <v>11391.830492496729</v>
      </c>
      <c r="L508" s="444">
        <f t="shared" ca="1" si="28"/>
        <v>2745431.1486917119</v>
      </c>
      <c r="M508" s="460">
        <f t="shared" si="30"/>
        <v>0.05</v>
      </c>
      <c r="N508" s="464">
        <f t="shared" si="31"/>
        <v>66508</v>
      </c>
    </row>
    <row r="509" spans="7:14" ht="11.25" customHeight="1" x14ac:dyDescent="0.3">
      <c r="G509" s="459">
        <f t="shared" si="51"/>
        <v>42</v>
      </c>
      <c r="H509" s="459">
        <v>502</v>
      </c>
      <c r="I509" s="444">
        <f t="shared" ca="1" si="29"/>
        <v>2745431.1486917119</v>
      </c>
      <c r="J509" s="444">
        <f t="array" ref="J509">IFERROR(INDEX('Retirement Calculator'!K:K,MATCH('Lorri 401b'!N509,'Retirement Calculator'!A:A,0),0),0)</f>
        <v>20367.195264578786</v>
      </c>
      <c r="K509" s="444">
        <f t="shared" ca="1" si="27"/>
        <v>11354.433139279721</v>
      </c>
      <c r="L509" s="444">
        <f t="shared" ca="1" si="28"/>
        <v>2736418.3865664131</v>
      </c>
      <c r="M509" s="460">
        <f t="shared" si="30"/>
        <v>0.05</v>
      </c>
      <c r="N509" s="464">
        <f t="shared" si="31"/>
        <v>66536</v>
      </c>
    </row>
    <row r="510" spans="7:14" ht="11.25" customHeight="1" x14ac:dyDescent="0.3">
      <c r="G510" s="459">
        <f t="shared" si="51"/>
        <v>42</v>
      </c>
      <c r="H510" s="459">
        <v>503</v>
      </c>
      <c r="I510" s="444">
        <f t="shared" ca="1" si="29"/>
        <v>2736418.3865664131</v>
      </c>
      <c r="J510" s="444">
        <f t="array" ref="J510">IFERROR(INDEX('Retirement Calculator'!K:K,MATCH('Lorri 401b'!N510,'Retirement Calculator'!A:A,0),0),0)</f>
        <v>20367.195264578786</v>
      </c>
      <c r="K510" s="444">
        <f t="shared" ca="1" si="27"/>
        <v>11316.879963757643</v>
      </c>
      <c r="L510" s="444">
        <f t="shared" ca="1" si="28"/>
        <v>2727368.0712655918</v>
      </c>
      <c r="M510" s="460">
        <f t="shared" si="30"/>
        <v>0.05</v>
      </c>
      <c r="N510" s="464">
        <f t="shared" si="31"/>
        <v>66567</v>
      </c>
    </row>
    <row r="511" spans="7:14" ht="11.25" customHeight="1" x14ac:dyDescent="0.3">
      <c r="G511" s="459">
        <f t="shared" si="51"/>
        <v>42</v>
      </c>
      <c r="H511" s="459">
        <v>504</v>
      </c>
      <c r="I511" s="444">
        <f t="shared" ca="1" si="29"/>
        <v>2727368.0712655918</v>
      </c>
      <c r="J511" s="444">
        <f t="array" ref="J511">IFERROR(INDEX('Retirement Calculator'!K:K,MATCH('Lorri 401b'!N511,'Retirement Calculator'!A:A,0),0),0)</f>
        <v>20367.195264578786</v>
      </c>
      <c r="K511" s="444">
        <f t="shared" ca="1" si="27"/>
        <v>11279.170316670887</v>
      </c>
      <c r="L511" s="444">
        <f t="shared" ca="1" si="28"/>
        <v>2718280.046317684</v>
      </c>
      <c r="M511" s="460">
        <f t="shared" si="30"/>
        <v>0.05</v>
      </c>
      <c r="N511" s="464">
        <f t="shared" si="31"/>
        <v>66597</v>
      </c>
    </row>
    <row r="512" spans="7:14" ht="11.25" customHeight="1" x14ac:dyDescent="0.3">
      <c r="G512" s="459">
        <f>G511+1</f>
        <v>43</v>
      </c>
      <c r="H512" s="459">
        <v>505</v>
      </c>
      <c r="I512" s="444">
        <f t="shared" ca="1" si="29"/>
        <v>2718280.046317684</v>
      </c>
      <c r="J512" s="444">
        <f t="array" ref="J512">IFERROR(INDEX('Retirement Calculator'!K:K,MATCH('Lorri 401b'!N512,'Retirement Calculator'!A:A,0),0),0)</f>
        <v>20367.195264578786</v>
      </c>
      <c r="K512" s="444">
        <f t="shared" ca="1" si="27"/>
        <v>11241.303546054605</v>
      </c>
      <c r="L512" s="444">
        <f t="shared" ca="1" si="28"/>
        <v>2709154.15459916</v>
      </c>
      <c r="M512" s="460">
        <f t="shared" si="30"/>
        <v>0.05</v>
      </c>
      <c r="N512" s="464">
        <f t="shared" si="31"/>
        <v>66628</v>
      </c>
    </row>
    <row r="513" spans="7:14" ht="11.25" customHeight="1" x14ac:dyDescent="0.3">
      <c r="G513" s="459">
        <f t="shared" ref="G513:G523" si="52">G512</f>
        <v>43</v>
      </c>
      <c r="H513" s="459">
        <v>506</v>
      </c>
      <c r="I513" s="444">
        <f t="shared" ca="1" si="29"/>
        <v>2709154.15459916</v>
      </c>
      <c r="J513" s="444">
        <f t="array" ref="J513">IFERROR(INDEX('Retirement Calculator'!K:K,MATCH('Lorri 401b'!N513,'Retirement Calculator'!A:A,0),0),0)</f>
        <v>20367.195264578786</v>
      </c>
      <c r="K513" s="444">
        <f t="shared" ca="1" si="27"/>
        <v>11203.278997227422</v>
      </c>
      <c r="L513" s="444">
        <f t="shared" ca="1" si="28"/>
        <v>2699990.2383318087</v>
      </c>
      <c r="M513" s="460">
        <f t="shared" si="30"/>
        <v>0.05</v>
      </c>
      <c r="N513" s="464">
        <f t="shared" si="31"/>
        <v>66658</v>
      </c>
    </row>
    <row r="514" spans="7:14" ht="11.25" customHeight="1" x14ac:dyDescent="0.3">
      <c r="G514" s="459">
        <f t="shared" si="52"/>
        <v>43</v>
      </c>
      <c r="H514" s="459">
        <v>507</v>
      </c>
      <c r="I514" s="444">
        <f t="shared" ca="1" si="29"/>
        <v>2699990.2383318087</v>
      </c>
      <c r="J514" s="444">
        <f t="array" ref="J514">IFERROR(INDEX('Retirement Calculator'!K:K,MATCH('Lorri 401b'!N514,'Retirement Calculator'!A:A,0),0),0)</f>
        <v>20367.195264578786</v>
      </c>
      <c r="K514" s="444">
        <f t="shared" ca="1" si="27"/>
        <v>11165.096012780125</v>
      </c>
      <c r="L514" s="444">
        <f t="shared" ca="1" si="28"/>
        <v>2690788.1390800099</v>
      </c>
      <c r="M514" s="460">
        <f t="shared" si="30"/>
        <v>0.05</v>
      </c>
      <c r="N514" s="464">
        <f t="shared" si="31"/>
        <v>66689</v>
      </c>
    </row>
    <row r="515" spans="7:14" ht="11.25" customHeight="1" x14ac:dyDescent="0.3">
      <c r="G515" s="459">
        <f t="shared" si="52"/>
        <v>43</v>
      </c>
      <c r="H515" s="459">
        <v>508</v>
      </c>
      <c r="I515" s="444">
        <f t="shared" ca="1" si="29"/>
        <v>2690788.1390800099</v>
      </c>
      <c r="J515" s="444">
        <f t="array" ref="J515">IFERROR(INDEX('Retirement Calculator'!K:K,MATCH('Lorri 401b'!N515,'Retirement Calculator'!A:A,0),0),0)</f>
        <v>20367.195264578786</v>
      </c>
      <c r="K515" s="444">
        <f t="shared" ca="1" si="27"/>
        <v>11126.753932564296</v>
      </c>
      <c r="L515" s="444">
        <f t="shared" ca="1" si="28"/>
        <v>2681547.6977479956</v>
      </c>
      <c r="M515" s="460">
        <f t="shared" si="30"/>
        <v>0.05</v>
      </c>
      <c r="N515" s="464">
        <f t="shared" si="31"/>
        <v>66720</v>
      </c>
    </row>
    <row r="516" spans="7:14" ht="11.25" customHeight="1" x14ac:dyDescent="0.3">
      <c r="G516" s="459">
        <f t="shared" si="52"/>
        <v>43</v>
      </c>
      <c r="H516" s="459">
        <v>509</v>
      </c>
      <c r="I516" s="444">
        <f t="shared" ca="1" si="29"/>
        <v>2681547.6977479956</v>
      </c>
      <c r="J516" s="444">
        <f t="array" ref="J516">IFERROR(INDEX('Retirement Calculator'!K:K,MATCH('Lorri 401b'!N516,'Retirement Calculator'!A:A,0),0),0)</f>
        <v>20367.195264578786</v>
      </c>
      <c r="K516" s="444">
        <f t="shared" ca="1" si="27"/>
        <v>11088.252093680903</v>
      </c>
      <c r="L516" s="444">
        <f t="shared" ca="1" si="28"/>
        <v>2672268.7545770979</v>
      </c>
      <c r="M516" s="460">
        <f t="shared" si="30"/>
        <v>0.05</v>
      </c>
      <c r="N516" s="464">
        <f t="shared" si="31"/>
        <v>66750</v>
      </c>
    </row>
    <row r="517" spans="7:14" ht="11.25" customHeight="1" x14ac:dyDescent="0.3">
      <c r="G517" s="459">
        <f t="shared" si="52"/>
        <v>43</v>
      </c>
      <c r="H517" s="459">
        <v>510</v>
      </c>
      <c r="I517" s="444">
        <f t="shared" ca="1" si="29"/>
        <v>2672268.7545770979</v>
      </c>
      <c r="J517" s="444">
        <f t="array" ref="J517">IFERROR(INDEX('Retirement Calculator'!K:K,MATCH('Lorri 401b'!N517,'Retirement Calculator'!A:A,0),0),0)</f>
        <v>20367.195264578786</v>
      </c>
      <c r="K517" s="444">
        <f t="shared" ca="1" si="27"/>
        <v>11049.589830468829</v>
      </c>
      <c r="L517" s="444">
        <f t="shared" ca="1" si="28"/>
        <v>2662951.149142988</v>
      </c>
      <c r="M517" s="460">
        <f t="shared" si="30"/>
        <v>0.05</v>
      </c>
      <c r="N517" s="464">
        <f t="shared" si="31"/>
        <v>66781</v>
      </c>
    </row>
    <row r="518" spans="7:14" ht="11.25" customHeight="1" x14ac:dyDescent="0.3">
      <c r="G518" s="459">
        <f t="shared" si="52"/>
        <v>43</v>
      </c>
      <c r="H518" s="459">
        <v>511</v>
      </c>
      <c r="I518" s="444">
        <f t="shared" ca="1" si="29"/>
        <v>2662951.149142988</v>
      </c>
      <c r="J518" s="444">
        <f t="array" ref="J518">IFERROR(INDEX('Retirement Calculator'!K:K,MATCH('Lorri 401b'!N518,'Retirement Calculator'!A:A,0),0),0)</f>
        <v>20367.195264578786</v>
      </c>
      <c r="K518" s="444">
        <f t="shared" ref="K518:K772" ca="1" si="53">IPMT(M518/12,1,12,-I518+J518,,0)</f>
        <v>11010.766474493372</v>
      </c>
      <c r="L518" s="444">
        <f t="shared" ref="L518:L772" ca="1" si="54">I518-J518+K518</f>
        <v>2653594.7203529025</v>
      </c>
      <c r="M518" s="460">
        <f t="shared" si="30"/>
        <v>0.05</v>
      </c>
      <c r="N518" s="464">
        <f t="shared" si="31"/>
        <v>66811</v>
      </c>
    </row>
    <row r="519" spans="7:14" ht="11.25" customHeight="1" x14ac:dyDescent="0.3">
      <c r="G519" s="459">
        <f t="shared" si="52"/>
        <v>43</v>
      </c>
      <c r="H519" s="459">
        <v>512</v>
      </c>
      <c r="I519" s="444">
        <f t="shared" ref="I519:I773" ca="1" si="55">L518</f>
        <v>2653594.7203529025</v>
      </c>
      <c r="J519" s="444">
        <f t="array" ref="J519">IFERROR(INDEX('Retirement Calculator'!K:K,MATCH('Lorri 401b'!N519,'Retirement Calculator'!A:A,0),0),0)</f>
        <v>20367.195264578786</v>
      </c>
      <c r="K519" s="444">
        <f t="shared" ca="1" si="53"/>
        <v>10971.781354534682</v>
      </c>
      <c r="L519" s="444">
        <f t="shared" ca="1" si="54"/>
        <v>2644199.3064428587</v>
      </c>
      <c r="M519" s="460">
        <f t="shared" ref="M519:M773" si="56">M518</f>
        <v>0.05</v>
      </c>
      <c r="N519" s="464">
        <f t="shared" ref="N519:N773" si="57">EDATE(N518,1)</f>
        <v>66842</v>
      </c>
    </row>
    <row r="520" spans="7:14" ht="11.25" customHeight="1" x14ac:dyDescent="0.3">
      <c r="G520" s="459">
        <f t="shared" si="52"/>
        <v>43</v>
      </c>
      <c r="H520" s="459">
        <v>513</v>
      </c>
      <c r="I520" s="444">
        <f t="shared" ca="1" si="55"/>
        <v>2644199.3064428587</v>
      </c>
      <c r="J520" s="444">
        <f t="array" ref="J520">IFERROR(INDEX('Retirement Calculator'!K:K,MATCH('Lorri 401b'!N520,'Retirement Calculator'!A:A,0),0),0)</f>
        <v>20367.195264578786</v>
      </c>
      <c r="K520" s="444">
        <f t="shared" ca="1" si="53"/>
        <v>10932.633796576167</v>
      </c>
      <c r="L520" s="444">
        <f t="shared" ca="1" si="54"/>
        <v>2634764.7449748558</v>
      </c>
      <c r="M520" s="460">
        <f t="shared" si="56"/>
        <v>0.05</v>
      </c>
      <c r="N520" s="464">
        <f t="shared" si="57"/>
        <v>66873</v>
      </c>
    </row>
    <row r="521" spans="7:14" ht="11.25" customHeight="1" x14ac:dyDescent="0.3">
      <c r="G521" s="459">
        <f t="shared" si="52"/>
        <v>43</v>
      </c>
      <c r="H521" s="459">
        <v>514</v>
      </c>
      <c r="I521" s="444">
        <f t="shared" ca="1" si="55"/>
        <v>2634764.7449748558</v>
      </c>
      <c r="J521" s="444">
        <f t="array" ref="J521">IFERROR(INDEX('Retirement Calculator'!K:K,MATCH('Lorri 401b'!N521,'Retirement Calculator'!A:A,0),0),0)</f>
        <v>20367.195264578786</v>
      </c>
      <c r="K521" s="444">
        <f t="shared" ca="1" si="53"/>
        <v>10893.323123792821</v>
      </c>
      <c r="L521" s="444">
        <f t="shared" ca="1" si="54"/>
        <v>2625290.8728340697</v>
      </c>
      <c r="M521" s="460">
        <f t="shared" si="56"/>
        <v>0.05</v>
      </c>
      <c r="N521" s="464">
        <f t="shared" si="57"/>
        <v>66901</v>
      </c>
    </row>
    <row r="522" spans="7:14" ht="11.25" customHeight="1" x14ac:dyDescent="0.3">
      <c r="G522" s="459">
        <f t="shared" si="52"/>
        <v>43</v>
      </c>
      <c r="H522" s="459">
        <v>515</v>
      </c>
      <c r="I522" s="444">
        <f t="shared" ca="1" si="55"/>
        <v>2625290.8728340697</v>
      </c>
      <c r="J522" s="444">
        <f t="array" ref="J522">IFERROR(INDEX('Retirement Calculator'!K:K,MATCH('Lorri 401b'!N522,'Retirement Calculator'!A:A,0),0),0)</f>
        <v>20367.195264578786</v>
      </c>
      <c r="K522" s="444">
        <f t="shared" ca="1" si="53"/>
        <v>10853.848656539545</v>
      </c>
      <c r="L522" s="444">
        <f t="shared" ca="1" si="54"/>
        <v>2615777.5262260302</v>
      </c>
      <c r="M522" s="460">
        <f t="shared" si="56"/>
        <v>0.05</v>
      </c>
      <c r="N522" s="464">
        <f t="shared" si="57"/>
        <v>66932</v>
      </c>
    </row>
    <row r="523" spans="7:14" ht="11.25" customHeight="1" x14ac:dyDescent="0.3">
      <c r="G523" s="459">
        <f t="shared" si="52"/>
        <v>43</v>
      </c>
      <c r="H523" s="459">
        <v>516</v>
      </c>
      <c r="I523" s="444">
        <f t="shared" ca="1" si="55"/>
        <v>2615777.5262260302</v>
      </c>
      <c r="J523" s="444">
        <f t="array" ref="J523">IFERROR(INDEX('Retirement Calculator'!K:K,MATCH('Lorri 401b'!N523,'Retirement Calculator'!A:A,0),0),0)</f>
        <v>20367.195264578786</v>
      </c>
      <c r="K523" s="444">
        <f t="shared" ca="1" si="53"/>
        <v>10814.209712339381</v>
      </c>
      <c r="L523" s="444">
        <f t="shared" ca="1" si="54"/>
        <v>2606224.540673791</v>
      </c>
      <c r="M523" s="460">
        <f t="shared" si="56"/>
        <v>0.05</v>
      </c>
      <c r="N523" s="464">
        <f t="shared" si="57"/>
        <v>66962</v>
      </c>
    </row>
    <row r="524" spans="7:14" ht="11.25" customHeight="1" x14ac:dyDescent="0.3">
      <c r="G524" s="459">
        <f>G523+1</f>
        <v>44</v>
      </c>
      <c r="H524" s="459">
        <v>517</v>
      </c>
      <c r="I524" s="444">
        <f t="shared" ca="1" si="55"/>
        <v>2606224.540673791</v>
      </c>
      <c r="J524" s="444">
        <f t="array" ref="J524">IFERROR(INDEX('Retirement Calculator'!K:K,MATCH('Lorri 401b'!N524,'Retirement Calculator'!A:A,0),0),0)</f>
        <v>20367.195264578786</v>
      </c>
      <c r="K524" s="444">
        <f t="shared" ca="1" si="53"/>
        <v>10774.405605871718</v>
      </c>
      <c r="L524" s="444">
        <f t="shared" ca="1" si="54"/>
        <v>2596631.7510150839</v>
      </c>
      <c r="M524" s="460">
        <f t="shared" si="56"/>
        <v>0.05</v>
      </c>
      <c r="N524" s="464">
        <f t="shared" si="57"/>
        <v>66993</v>
      </c>
    </row>
    <row r="525" spans="7:14" ht="11.25" customHeight="1" x14ac:dyDescent="0.3">
      <c r="G525" s="459">
        <f t="shared" ref="G525:G535" si="58">G524</f>
        <v>44</v>
      </c>
      <c r="H525" s="459">
        <v>518</v>
      </c>
      <c r="I525" s="444">
        <f t="shared" ca="1" si="55"/>
        <v>2596631.7510150839</v>
      </c>
      <c r="J525" s="444">
        <f t="array" ref="J525">IFERROR(INDEX('Retirement Calculator'!K:K,MATCH('Lorri 401b'!N525,'Retirement Calculator'!A:A,0),0),0)</f>
        <v>20367.195264578786</v>
      </c>
      <c r="K525" s="444">
        <f t="shared" ca="1" si="53"/>
        <v>10734.435648960438</v>
      </c>
      <c r="L525" s="444">
        <f t="shared" ca="1" si="54"/>
        <v>2586998.9913994656</v>
      </c>
      <c r="M525" s="460">
        <f t="shared" si="56"/>
        <v>0.05</v>
      </c>
      <c r="N525" s="464">
        <f t="shared" si="57"/>
        <v>67023</v>
      </c>
    </row>
    <row r="526" spans="7:14" ht="11.25" customHeight="1" x14ac:dyDescent="0.3">
      <c r="G526" s="459">
        <f t="shared" si="58"/>
        <v>44</v>
      </c>
      <c r="H526" s="459">
        <v>519</v>
      </c>
      <c r="I526" s="444">
        <f t="shared" ca="1" si="55"/>
        <v>2586998.9913994656</v>
      </c>
      <c r="J526" s="444">
        <f t="array" ref="J526">IFERROR(INDEX('Retirement Calculator'!K:K,MATCH('Lorri 401b'!N526,'Retirement Calculator'!A:A,0),0),0)</f>
        <v>20367.195264578786</v>
      </c>
      <c r="K526" s="444">
        <f t="shared" ca="1" si="53"/>
        <v>10694.299150562028</v>
      </c>
      <c r="L526" s="444">
        <f t="shared" ca="1" si="54"/>
        <v>2577326.0952854487</v>
      </c>
      <c r="M526" s="460">
        <f t="shared" si="56"/>
        <v>0.05</v>
      </c>
      <c r="N526" s="464">
        <f t="shared" si="57"/>
        <v>67054</v>
      </c>
    </row>
    <row r="527" spans="7:14" ht="11.25" customHeight="1" x14ac:dyDescent="0.3">
      <c r="G527" s="459">
        <f t="shared" si="58"/>
        <v>44</v>
      </c>
      <c r="H527" s="459">
        <v>520</v>
      </c>
      <c r="I527" s="444">
        <f t="shared" ca="1" si="55"/>
        <v>2577326.0952854487</v>
      </c>
      <c r="J527" s="444">
        <f t="array" ref="J527">IFERROR(INDEX('Retirement Calculator'!K:K,MATCH('Lorri 401b'!N527,'Retirement Calculator'!A:A,0),0),0)</f>
        <v>20367.195264578786</v>
      </c>
      <c r="K527" s="444">
        <f t="shared" ca="1" si="53"/>
        <v>10653.995416753625</v>
      </c>
      <c r="L527" s="444">
        <f t="shared" ca="1" si="54"/>
        <v>2567612.8954376234</v>
      </c>
      <c r="M527" s="460">
        <f t="shared" si="56"/>
        <v>0.05</v>
      </c>
      <c r="N527" s="464">
        <f t="shared" si="57"/>
        <v>67085</v>
      </c>
    </row>
    <row r="528" spans="7:14" ht="11.25" customHeight="1" x14ac:dyDescent="0.3">
      <c r="G528" s="459">
        <f t="shared" si="58"/>
        <v>44</v>
      </c>
      <c r="H528" s="459">
        <v>521</v>
      </c>
      <c r="I528" s="444">
        <f t="shared" ca="1" si="55"/>
        <v>2567612.8954376234</v>
      </c>
      <c r="J528" s="444">
        <f t="array" ref="J528">IFERROR(INDEX('Retirement Calculator'!K:K,MATCH('Lorri 401b'!N528,'Retirement Calculator'!A:A,0),0),0)</f>
        <v>20367.195264578786</v>
      </c>
      <c r="K528" s="444">
        <f t="shared" ca="1" si="53"/>
        <v>10613.523750721019</v>
      </c>
      <c r="L528" s="444">
        <f t="shared" ca="1" si="54"/>
        <v>2557859.2239237656</v>
      </c>
      <c r="M528" s="460">
        <f t="shared" si="56"/>
        <v>0.05</v>
      </c>
      <c r="N528" s="464">
        <f t="shared" si="57"/>
        <v>67115</v>
      </c>
    </row>
    <row r="529" spans="7:14" ht="11.25" customHeight="1" x14ac:dyDescent="0.3">
      <c r="G529" s="459">
        <f t="shared" si="58"/>
        <v>44</v>
      </c>
      <c r="H529" s="459">
        <v>522</v>
      </c>
      <c r="I529" s="444">
        <f t="shared" ca="1" si="55"/>
        <v>2557859.2239237656</v>
      </c>
      <c r="J529" s="444">
        <f t="array" ref="J529">IFERROR(INDEX('Retirement Calculator'!K:K,MATCH('Lorri 401b'!N529,'Retirement Calculator'!A:A,0),0),0)</f>
        <v>20367.195264578786</v>
      </c>
      <c r="K529" s="444">
        <f t="shared" ca="1" si="53"/>
        <v>10572.883452746612</v>
      </c>
      <c r="L529" s="444">
        <f t="shared" ca="1" si="54"/>
        <v>2548064.9121119333</v>
      </c>
      <c r="M529" s="460">
        <f t="shared" si="56"/>
        <v>0.05</v>
      </c>
      <c r="N529" s="464">
        <f t="shared" si="57"/>
        <v>67146</v>
      </c>
    </row>
    <row r="530" spans="7:14" ht="11.25" customHeight="1" x14ac:dyDescent="0.3">
      <c r="G530" s="459">
        <f t="shared" si="58"/>
        <v>44</v>
      </c>
      <c r="H530" s="459">
        <v>523</v>
      </c>
      <c r="I530" s="444">
        <f t="shared" ca="1" si="55"/>
        <v>2548064.9121119333</v>
      </c>
      <c r="J530" s="444">
        <f t="array" ref="J530">IFERROR(INDEX('Retirement Calculator'!K:K,MATCH('Lorri 401b'!N530,'Retirement Calculator'!A:A,0),0),0)</f>
        <v>20367.195264578786</v>
      </c>
      <c r="K530" s="444">
        <f t="shared" ca="1" si="53"/>
        <v>10532.073820197311</v>
      </c>
      <c r="L530" s="444">
        <f t="shared" ca="1" si="54"/>
        <v>2538229.790667552</v>
      </c>
      <c r="M530" s="460">
        <f t="shared" si="56"/>
        <v>0.05</v>
      </c>
      <c r="N530" s="464">
        <f t="shared" si="57"/>
        <v>67176</v>
      </c>
    </row>
    <row r="531" spans="7:14" ht="11.25" customHeight="1" x14ac:dyDescent="0.3">
      <c r="G531" s="459">
        <f t="shared" si="58"/>
        <v>44</v>
      </c>
      <c r="H531" s="459">
        <v>524</v>
      </c>
      <c r="I531" s="444">
        <f t="shared" ca="1" si="55"/>
        <v>2538229.790667552</v>
      </c>
      <c r="J531" s="444">
        <f t="array" ref="J531">IFERROR(INDEX('Retirement Calculator'!K:K,MATCH('Lorri 401b'!N531,'Retirement Calculator'!A:A,0),0),0)</f>
        <v>20367.195264578786</v>
      </c>
      <c r="K531" s="444">
        <f t="shared" ca="1" si="53"/>
        <v>10491.094147512389</v>
      </c>
      <c r="L531" s="444">
        <f t="shared" ca="1" si="54"/>
        <v>2528353.6895504855</v>
      </c>
      <c r="M531" s="460">
        <f t="shared" si="56"/>
        <v>0.05</v>
      </c>
      <c r="N531" s="464">
        <f t="shared" si="57"/>
        <v>67207</v>
      </c>
    </row>
    <row r="532" spans="7:14" ht="11.25" customHeight="1" x14ac:dyDescent="0.3">
      <c r="G532" s="459">
        <f t="shared" si="58"/>
        <v>44</v>
      </c>
      <c r="H532" s="459">
        <v>525</v>
      </c>
      <c r="I532" s="444">
        <f t="shared" ca="1" si="55"/>
        <v>2528353.6895504855</v>
      </c>
      <c r="J532" s="444">
        <f t="array" ref="J532">IFERROR(INDEX('Retirement Calculator'!K:K,MATCH('Lorri 401b'!N532,'Retirement Calculator'!A:A,0),0),0)</f>
        <v>20367.195264578786</v>
      </c>
      <c r="K532" s="444">
        <f t="shared" ca="1" si="53"/>
        <v>10449.943726191277</v>
      </c>
      <c r="L532" s="444">
        <f t="shared" ca="1" si="54"/>
        <v>2518436.438012098</v>
      </c>
      <c r="M532" s="460">
        <f t="shared" si="56"/>
        <v>0.05</v>
      </c>
      <c r="N532" s="464">
        <f t="shared" si="57"/>
        <v>67238</v>
      </c>
    </row>
    <row r="533" spans="7:14" ht="11.25" customHeight="1" x14ac:dyDescent="0.3">
      <c r="G533" s="459">
        <f t="shared" si="58"/>
        <v>44</v>
      </c>
      <c r="H533" s="459">
        <v>526</v>
      </c>
      <c r="I533" s="444">
        <f t="shared" ca="1" si="55"/>
        <v>2518436.438012098</v>
      </c>
      <c r="J533" s="444">
        <f t="array" ref="J533">IFERROR(INDEX('Retirement Calculator'!K:K,MATCH('Lorri 401b'!N533,'Retirement Calculator'!A:A,0),0),0)</f>
        <v>20367.195264578786</v>
      </c>
      <c r="K533" s="444">
        <f t="shared" ca="1" si="53"/>
        <v>10408.62184478133</v>
      </c>
      <c r="L533" s="444">
        <f t="shared" ca="1" si="54"/>
        <v>2508477.8645923007</v>
      </c>
      <c r="M533" s="460">
        <f t="shared" si="56"/>
        <v>0.05</v>
      </c>
      <c r="N533" s="464">
        <f t="shared" si="57"/>
        <v>67267</v>
      </c>
    </row>
    <row r="534" spans="7:14" ht="11.25" customHeight="1" x14ac:dyDescent="0.3">
      <c r="G534" s="459">
        <f t="shared" si="58"/>
        <v>44</v>
      </c>
      <c r="H534" s="459">
        <v>527</v>
      </c>
      <c r="I534" s="444">
        <f t="shared" ca="1" si="55"/>
        <v>2508477.8645923007</v>
      </c>
      <c r="J534" s="444">
        <f t="array" ref="J534">IFERROR(INDEX('Retirement Calculator'!K:K,MATCH('Lorri 401b'!N534,'Retirement Calculator'!A:A,0),0),0)</f>
        <v>20367.195264578786</v>
      </c>
      <c r="K534" s="444">
        <f t="shared" ca="1" si="53"/>
        <v>10367.127788865508</v>
      </c>
      <c r="L534" s="444">
        <f t="shared" ca="1" si="54"/>
        <v>2498477.7971165874</v>
      </c>
      <c r="M534" s="460">
        <f t="shared" si="56"/>
        <v>0.05</v>
      </c>
      <c r="N534" s="464">
        <f t="shared" si="57"/>
        <v>67298</v>
      </c>
    </row>
    <row r="535" spans="7:14" ht="11.25" customHeight="1" x14ac:dyDescent="0.3">
      <c r="G535" s="459">
        <f t="shared" si="58"/>
        <v>44</v>
      </c>
      <c r="H535" s="459">
        <v>528</v>
      </c>
      <c r="I535" s="444">
        <f t="shared" ca="1" si="55"/>
        <v>2498477.7971165874</v>
      </c>
      <c r="J535" s="444">
        <f t="array" ref="J535">IFERROR(INDEX('Retirement Calculator'!K:K,MATCH('Lorri 401b'!N535,'Retirement Calculator'!A:A,0),0),0)</f>
        <v>20367.195264578786</v>
      </c>
      <c r="K535" s="444">
        <f t="shared" ca="1" si="53"/>
        <v>10325.460841050035</v>
      </c>
      <c r="L535" s="444">
        <f t="shared" ca="1" si="54"/>
        <v>2488436.0626930585</v>
      </c>
      <c r="M535" s="460">
        <f t="shared" si="56"/>
        <v>0.05</v>
      </c>
      <c r="N535" s="464">
        <f t="shared" si="57"/>
        <v>67328</v>
      </c>
    </row>
    <row r="536" spans="7:14" ht="11.25" customHeight="1" x14ac:dyDescent="0.3">
      <c r="G536" s="459">
        <f>G535+1</f>
        <v>45</v>
      </c>
      <c r="H536" s="459">
        <v>529</v>
      </c>
      <c r="I536" s="444">
        <f t="shared" ca="1" si="55"/>
        <v>2488436.0626930585</v>
      </c>
      <c r="J536" s="444">
        <f t="array" ref="J536">IFERROR(INDEX('Retirement Calculator'!K:K,MATCH('Lorri 401b'!N536,'Retirement Calculator'!A:A,0),0),0)</f>
        <v>20367.195264578786</v>
      </c>
      <c r="K536" s="444">
        <f t="shared" ca="1" si="53"/>
        <v>10283.620280951998</v>
      </c>
      <c r="L536" s="444">
        <f t="shared" ca="1" si="54"/>
        <v>2478352.4877094319</v>
      </c>
      <c r="M536" s="460">
        <f t="shared" si="56"/>
        <v>0.05</v>
      </c>
      <c r="N536" s="464">
        <f t="shared" si="57"/>
        <v>67359</v>
      </c>
    </row>
    <row r="537" spans="7:14" ht="11.25" customHeight="1" x14ac:dyDescent="0.3">
      <c r="G537" s="459">
        <f t="shared" ref="G537:G547" si="59">G536</f>
        <v>45</v>
      </c>
      <c r="H537" s="459">
        <v>530</v>
      </c>
      <c r="I537" s="444">
        <f t="shared" ca="1" si="55"/>
        <v>2478352.4877094319</v>
      </c>
      <c r="J537" s="444">
        <f t="array" ref="J537">IFERROR(INDEX('Retirement Calculator'!K:K,MATCH('Lorri 401b'!N537,'Retirement Calculator'!A:A,0),0),0)</f>
        <v>20367.195264578786</v>
      </c>
      <c r="K537" s="444">
        <f t="shared" ca="1" si="53"/>
        <v>10241.605385186887</v>
      </c>
      <c r="L537" s="444">
        <f t="shared" ca="1" si="54"/>
        <v>2468226.8978300402</v>
      </c>
      <c r="M537" s="460">
        <f t="shared" si="56"/>
        <v>0.05</v>
      </c>
      <c r="N537" s="464">
        <f t="shared" si="57"/>
        <v>67389</v>
      </c>
    </row>
    <row r="538" spans="7:14" ht="11.25" customHeight="1" x14ac:dyDescent="0.3">
      <c r="G538" s="459">
        <f t="shared" si="59"/>
        <v>45</v>
      </c>
      <c r="H538" s="459">
        <v>531</v>
      </c>
      <c r="I538" s="444">
        <f t="shared" ca="1" si="55"/>
        <v>2468226.8978300402</v>
      </c>
      <c r="J538" s="444">
        <f t="array" ref="J538">IFERROR(INDEX('Retirement Calculator'!K:K,MATCH('Lorri 401b'!N538,'Retirement Calculator'!A:A,0),0),0)</f>
        <v>20367.195264578786</v>
      </c>
      <c r="K538" s="444">
        <f t="shared" ca="1" si="53"/>
        <v>10199.415427356089</v>
      </c>
      <c r="L538" s="444">
        <f t="shared" ca="1" si="54"/>
        <v>2458059.1179928174</v>
      </c>
      <c r="M538" s="460">
        <f t="shared" si="56"/>
        <v>0.05</v>
      </c>
      <c r="N538" s="464">
        <f t="shared" si="57"/>
        <v>67420</v>
      </c>
    </row>
    <row r="539" spans="7:14" ht="11.25" customHeight="1" x14ac:dyDescent="0.3">
      <c r="G539" s="459">
        <f t="shared" si="59"/>
        <v>45</v>
      </c>
      <c r="H539" s="459">
        <v>532</v>
      </c>
      <c r="I539" s="444">
        <f t="shared" ca="1" si="55"/>
        <v>2458059.1179928174</v>
      </c>
      <c r="J539" s="444">
        <f t="array" ref="J539">IFERROR(INDEX('Retirement Calculator'!K:K,MATCH('Lorri 401b'!N539,'Retirement Calculator'!A:A,0),0),0)</f>
        <v>20367.195264578786</v>
      </c>
      <c r="K539" s="444">
        <f t="shared" ca="1" si="53"/>
        <v>10157.049678034327</v>
      </c>
      <c r="L539" s="444">
        <f t="shared" ca="1" si="54"/>
        <v>2447848.9724062728</v>
      </c>
      <c r="M539" s="460">
        <f t="shared" si="56"/>
        <v>0.05</v>
      </c>
      <c r="N539" s="464">
        <f t="shared" si="57"/>
        <v>67451</v>
      </c>
    </row>
    <row r="540" spans="7:14" ht="11.25" customHeight="1" x14ac:dyDescent="0.3">
      <c r="G540" s="459">
        <f t="shared" si="59"/>
        <v>45</v>
      </c>
      <c r="H540" s="459">
        <v>533</v>
      </c>
      <c r="I540" s="444">
        <f t="shared" ca="1" si="55"/>
        <v>2447848.9724062728</v>
      </c>
      <c r="J540" s="444">
        <f t="array" ref="J540">IFERROR(INDEX('Retirement Calculator'!K:K,MATCH('Lorri 401b'!N540,'Retirement Calculator'!A:A,0),0),0)</f>
        <v>20367.195264578786</v>
      </c>
      <c r="K540" s="444">
        <f t="shared" ca="1" si="53"/>
        <v>10114.507404757058</v>
      </c>
      <c r="L540" s="444">
        <f t="shared" ca="1" si="54"/>
        <v>2437596.2845464512</v>
      </c>
      <c r="M540" s="460">
        <f t="shared" si="56"/>
        <v>0.05</v>
      </c>
      <c r="N540" s="464">
        <f t="shared" si="57"/>
        <v>67481</v>
      </c>
    </row>
    <row r="541" spans="7:14" ht="11.25" customHeight="1" x14ac:dyDescent="0.3">
      <c r="G541" s="459">
        <f t="shared" si="59"/>
        <v>45</v>
      </c>
      <c r="H541" s="459">
        <v>534</v>
      </c>
      <c r="I541" s="444">
        <f t="shared" ca="1" si="55"/>
        <v>2437596.2845464512</v>
      </c>
      <c r="J541" s="444">
        <f t="array" ref="J541">IFERROR(INDEX('Retirement Calculator'!K:K,MATCH('Lorri 401b'!N541,'Retirement Calculator'!A:A,0),0),0)</f>
        <v>20367.195264578786</v>
      </c>
      <c r="K541" s="444">
        <f t="shared" ca="1" si="53"/>
        <v>10071.787872007801</v>
      </c>
      <c r="L541" s="444">
        <f t="shared" ca="1" si="54"/>
        <v>2427300.87715388</v>
      </c>
      <c r="M541" s="460">
        <f t="shared" si="56"/>
        <v>0.05</v>
      </c>
      <c r="N541" s="464">
        <f t="shared" si="57"/>
        <v>67512</v>
      </c>
    </row>
    <row r="542" spans="7:14" ht="11.25" customHeight="1" x14ac:dyDescent="0.3">
      <c r="G542" s="459">
        <f t="shared" si="59"/>
        <v>45</v>
      </c>
      <c r="H542" s="459">
        <v>535</v>
      </c>
      <c r="I542" s="444">
        <f t="shared" ca="1" si="55"/>
        <v>2427300.87715388</v>
      </c>
      <c r="J542" s="444">
        <f t="array" ref="J542">IFERROR(INDEX('Retirement Calculator'!K:K,MATCH('Lorri 401b'!N542,'Retirement Calculator'!A:A,0),0),0)</f>
        <v>20367.195264578786</v>
      </c>
      <c r="K542" s="444">
        <f t="shared" ca="1" si="53"/>
        <v>10028.890341205421</v>
      </c>
      <c r="L542" s="444">
        <f t="shared" ca="1" si="54"/>
        <v>2416962.5722305067</v>
      </c>
      <c r="M542" s="460">
        <f t="shared" si="56"/>
        <v>0.05</v>
      </c>
      <c r="N542" s="464">
        <f t="shared" si="57"/>
        <v>67542</v>
      </c>
    </row>
    <row r="543" spans="7:14" ht="11.25" customHeight="1" x14ac:dyDescent="0.3">
      <c r="G543" s="459">
        <f t="shared" si="59"/>
        <v>45</v>
      </c>
      <c r="H543" s="459">
        <v>536</v>
      </c>
      <c r="I543" s="444">
        <f t="shared" ca="1" si="55"/>
        <v>2416962.5722305067</v>
      </c>
      <c r="J543" s="444">
        <f t="array" ref="J543">IFERROR(INDEX('Retirement Calculator'!K:K,MATCH('Lorri 401b'!N543,'Retirement Calculator'!A:A,0),0),0)</f>
        <v>20367.195264578786</v>
      </c>
      <c r="K543" s="444">
        <f t="shared" ca="1" si="53"/>
        <v>9985.8140706913655</v>
      </c>
      <c r="L543" s="444">
        <f t="shared" ca="1" si="54"/>
        <v>2406581.1910366192</v>
      </c>
      <c r="M543" s="460">
        <f t="shared" si="56"/>
        <v>0.05</v>
      </c>
      <c r="N543" s="464">
        <f t="shared" si="57"/>
        <v>67573</v>
      </c>
    </row>
    <row r="544" spans="7:14" ht="11.25" customHeight="1" x14ac:dyDescent="0.3">
      <c r="G544" s="459">
        <f t="shared" si="59"/>
        <v>45</v>
      </c>
      <c r="H544" s="459">
        <v>537</v>
      </c>
      <c r="I544" s="444">
        <f t="shared" ca="1" si="55"/>
        <v>2406581.1910366192</v>
      </c>
      <c r="J544" s="444">
        <f t="array" ref="J544">IFERROR(INDEX('Retirement Calculator'!K:K,MATCH('Lorri 401b'!N544,'Retirement Calculator'!A:A,0),0),0)</f>
        <v>20367.195264578786</v>
      </c>
      <c r="K544" s="444">
        <f t="shared" ca="1" si="53"/>
        <v>9942.5583157168348</v>
      </c>
      <c r="L544" s="444">
        <f t="shared" ca="1" si="54"/>
        <v>2396156.5540877571</v>
      </c>
      <c r="M544" s="460">
        <f t="shared" si="56"/>
        <v>0.05</v>
      </c>
      <c r="N544" s="464">
        <f t="shared" si="57"/>
        <v>67604</v>
      </c>
    </row>
    <row r="545" spans="7:14" ht="11.25" customHeight="1" x14ac:dyDescent="0.3">
      <c r="G545" s="459">
        <f t="shared" si="59"/>
        <v>45</v>
      </c>
      <c r="H545" s="459">
        <v>538</v>
      </c>
      <c r="I545" s="444">
        <f t="shared" ca="1" si="55"/>
        <v>2396156.5540877571</v>
      </c>
      <c r="J545" s="444">
        <f t="array" ref="J545">IFERROR(INDEX('Retirement Calculator'!K:K,MATCH('Lorri 401b'!N545,'Retirement Calculator'!A:A,0),0),0)</f>
        <v>20367.195264578786</v>
      </c>
      <c r="K545" s="444">
        <f t="shared" ca="1" si="53"/>
        <v>9899.1223284299103</v>
      </c>
      <c r="L545" s="444">
        <f t="shared" ca="1" si="54"/>
        <v>2385688.4811516083</v>
      </c>
      <c r="M545" s="460">
        <f t="shared" si="56"/>
        <v>0.05</v>
      </c>
      <c r="N545" s="464">
        <f t="shared" si="57"/>
        <v>67632</v>
      </c>
    </row>
    <row r="546" spans="7:14" ht="11.25" customHeight="1" x14ac:dyDescent="0.3">
      <c r="G546" s="459">
        <f t="shared" si="59"/>
        <v>45</v>
      </c>
      <c r="H546" s="459">
        <v>539</v>
      </c>
      <c r="I546" s="444">
        <f t="shared" ca="1" si="55"/>
        <v>2385688.4811516083</v>
      </c>
      <c r="J546" s="444">
        <f t="array" ref="J546">IFERROR(INDEX('Retirement Calculator'!K:K,MATCH('Lorri 401b'!N546,'Retirement Calculator'!A:A,0),0),0)</f>
        <v>20367.195264578786</v>
      </c>
      <c r="K546" s="444">
        <f t="shared" ca="1" si="53"/>
        <v>9855.505357862623</v>
      </c>
      <c r="L546" s="444">
        <f t="shared" ca="1" si="54"/>
        <v>2375176.7912448919</v>
      </c>
      <c r="M546" s="460">
        <f t="shared" si="56"/>
        <v>0.05</v>
      </c>
      <c r="N546" s="464">
        <f t="shared" si="57"/>
        <v>67663</v>
      </c>
    </row>
    <row r="547" spans="7:14" ht="11.25" customHeight="1" x14ac:dyDescent="0.3">
      <c r="G547" s="459">
        <f t="shared" si="59"/>
        <v>45</v>
      </c>
      <c r="H547" s="459">
        <v>540</v>
      </c>
      <c r="I547" s="444">
        <f t="shared" ca="1" si="55"/>
        <v>2375176.7912448919</v>
      </c>
      <c r="J547" s="444">
        <f t="array" ref="J547">IFERROR(INDEX('Retirement Calculator'!K:K,MATCH('Lorri 401b'!N547,'Retirement Calculator'!A:A,0),0),0)</f>
        <v>20367.195264578786</v>
      </c>
      <c r="K547" s="444">
        <f t="shared" ca="1" si="53"/>
        <v>9811.7066499179709</v>
      </c>
      <c r="L547" s="444">
        <f t="shared" ca="1" si="54"/>
        <v>2364621.3026302313</v>
      </c>
      <c r="M547" s="460">
        <f t="shared" si="56"/>
        <v>0.05</v>
      </c>
      <c r="N547" s="464">
        <f t="shared" si="57"/>
        <v>67693</v>
      </c>
    </row>
    <row r="548" spans="7:14" ht="11.25" customHeight="1" x14ac:dyDescent="0.3">
      <c r="G548" s="459">
        <f>G547+1</f>
        <v>46</v>
      </c>
      <c r="H548" s="459">
        <v>541</v>
      </c>
      <c r="I548" s="444">
        <f t="shared" ca="1" si="55"/>
        <v>2364621.3026302313</v>
      </c>
      <c r="J548" s="444">
        <f t="array" ref="J548">IFERROR(INDEX('Retirement Calculator'!K:K,MATCH('Lorri 401b'!N548,'Retirement Calculator'!A:A,0),0),0)</f>
        <v>20367.195264578786</v>
      </c>
      <c r="K548" s="444">
        <f t="shared" ca="1" si="53"/>
        <v>9767.7254473568846</v>
      </c>
      <c r="L548" s="444">
        <f t="shared" ca="1" si="54"/>
        <v>2354021.8328130092</v>
      </c>
      <c r="M548" s="460">
        <f t="shared" si="56"/>
        <v>0.05</v>
      </c>
      <c r="N548" s="464">
        <f t="shared" si="57"/>
        <v>67724</v>
      </c>
    </row>
    <row r="549" spans="7:14" ht="11.25" customHeight="1" x14ac:dyDescent="0.3">
      <c r="G549" s="459">
        <f t="shared" ref="G549:G559" si="60">G548</f>
        <v>46</v>
      </c>
      <c r="H549" s="459">
        <v>542</v>
      </c>
      <c r="I549" s="444">
        <f t="shared" ca="1" si="55"/>
        <v>2354021.8328130092</v>
      </c>
      <c r="J549" s="444">
        <f t="array" ref="J549">IFERROR(INDEX('Retirement Calculator'!K:K,MATCH('Lorri 401b'!N549,'Retirement Calculator'!A:A,0),0),0)</f>
        <v>20367.195264578786</v>
      </c>
      <c r="K549" s="444">
        <f t="shared" ca="1" si="53"/>
        <v>9723.5609897851264</v>
      </c>
      <c r="L549" s="444">
        <f t="shared" ca="1" si="54"/>
        <v>2343378.1985382154</v>
      </c>
      <c r="M549" s="460">
        <f t="shared" si="56"/>
        <v>0.05</v>
      </c>
      <c r="N549" s="464">
        <f t="shared" si="57"/>
        <v>67754</v>
      </c>
    </row>
    <row r="550" spans="7:14" ht="11.25" customHeight="1" x14ac:dyDescent="0.3">
      <c r="G550" s="459">
        <f t="shared" si="60"/>
        <v>46</v>
      </c>
      <c r="H550" s="459">
        <v>543</v>
      </c>
      <c r="I550" s="444">
        <f t="shared" ca="1" si="55"/>
        <v>2343378.1985382154</v>
      </c>
      <c r="J550" s="444">
        <f t="array" ref="J550">IFERROR(INDEX('Retirement Calculator'!K:K,MATCH('Lorri 401b'!N550,'Retirement Calculator'!A:A,0),0),0)</f>
        <v>20367.195264578786</v>
      </c>
      <c r="K550" s="444">
        <f t="shared" ca="1" si="53"/>
        <v>9679.2125136401519</v>
      </c>
      <c r="L550" s="444">
        <f t="shared" ca="1" si="54"/>
        <v>2332690.2157872766</v>
      </c>
      <c r="M550" s="460">
        <f t="shared" si="56"/>
        <v>0.05</v>
      </c>
      <c r="N550" s="464">
        <f t="shared" si="57"/>
        <v>67785</v>
      </c>
    </row>
    <row r="551" spans="7:14" ht="11.25" customHeight="1" x14ac:dyDescent="0.3">
      <c r="G551" s="459">
        <f t="shared" si="60"/>
        <v>46</v>
      </c>
      <c r="H551" s="459">
        <v>544</v>
      </c>
      <c r="I551" s="444">
        <f t="shared" ca="1" si="55"/>
        <v>2332690.2157872766</v>
      </c>
      <c r="J551" s="444">
        <f t="array" ref="J551">IFERROR(INDEX('Retirement Calculator'!K:K,MATCH('Lorri 401b'!N551,'Retirement Calculator'!A:A,0),0),0)</f>
        <v>20367.195264578786</v>
      </c>
      <c r="K551" s="444">
        <f t="shared" ca="1" si="53"/>
        <v>9634.679252177908</v>
      </c>
      <c r="L551" s="444">
        <f t="shared" ca="1" si="54"/>
        <v>2321957.6997748758</v>
      </c>
      <c r="M551" s="460">
        <f t="shared" si="56"/>
        <v>0.05</v>
      </c>
      <c r="N551" s="464">
        <f t="shared" si="57"/>
        <v>67816</v>
      </c>
    </row>
    <row r="552" spans="7:14" ht="11.25" customHeight="1" x14ac:dyDescent="0.3">
      <c r="G552" s="459">
        <f t="shared" si="60"/>
        <v>46</v>
      </c>
      <c r="H552" s="459">
        <v>545</v>
      </c>
      <c r="I552" s="444">
        <f t="shared" ca="1" si="55"/>
        <v>2321957.6997748758</v>
      </c>
      <c r="J552" s="444">
        <f t="array" ref="J552">IFERROR(INDEX('Retirement Calculator'!K:K,MATCH('Lorri 401b'!N552,'Retirement Calculator'!A:A,0),0),0)</f>
        <v>20367.195264578786</v>
      </c>
      <c r="K552" s="444">
        <f t="shared" ca="1" si="53"/>
        <v>9589.9604354595704</v>
      </c>
      <c r="L552" s="444">
        <f t="shared" ca="1" si="54"/>
        <v>2311180.4649457564</v>
      </c>
      <c r="M552" s="460">
        <f t="shared" si="56"/>
        <v>0.05</v>
      </c>
      <c r="N552" s="464">
        <f t="shared" si="57"/>
        <v>67846</v>
      </c>
    </row>
    <row r="553" spans="7:14" ht="11.25" customHeight="1" x14ac:dyDescent="0.3">
      <c r="G553" s="459">
        <f t="shared" si="60"/>
        <v>46</v>
      </c>
      <c r="H553" s="459">
        <v>546</v>
      </c>
      <c r="I553" s="444">
        <f t="shared" ca="1" si="55"/>
        <v>2311180.4649457564</v>
      </c>
      <c r="J553" s="444">
        <f t="array" ref="J553">IFERROR(INDEX('Retirement Calculator'!K:K,MATCH('Lorri 401b'!N553,'Retirement Calculator'!A:A,0),0),0)</f>
        <v>20367.195264578786</v>
      </c>
      <c r="K553" s="444">
        <f t="shared" ca="1" si="53"/>
        <v>9545.0552903382395</v>
      </c>
      <c r="L553" s="444">
        <f t="shared" ca="1" si="54"/>
        <v>2300358.3249715157</v>
      </c>
      <c r="M553" s="460">
        <f t="shared" si="56"/>
        <v>0.05</v>
      </c>
      <c r="N553" s="464">
        <f t="shared" si="57"/>
        <v>67877</v>
      </c>
    </row>
    <row r="554" spans="7:14" ht="11.25" customHeight="1" x14ac:dyDescent="0.3">
      <c r="G554" s="459">
        <f t="shared" si="60"/>
        <v>46</v>
      </c>
      <c r="H554" s="459">
        <v>547</v>
      </c>
      <c r="I554" s="444">
        <f t="shared" ca="1" si="55"/>
        <v>2300358.3249715157</v>
      </c>
      <c r="J554" s="444">
        <f t="array" ref="J554">IFERROR(INDEX('Retirement Calculator'!K:K,MATCH('Lorri 401b'!N554,'Retirement Calculator'!A:A,0),0),0)</f>
        <v>20367.195264578786</v>
      </c>
      <c r="K554" s="444">
        <f t="shared" ca="1" si="53"/>
        <v>9499.9630404455711</v>
      </c>
      <c r="L554" s="444">
        <f t="shared" ca="1" si="54"/>
        <v>2289491.0927473824</v>
      </c>
      <c r="M554" s="460">
        <f t="shared" si="56"/>
        <v>0.05</v>
      </c>
      <c r="N554" s="464">
        <f t="shared" si="57"/>
        <v>67907</v>
      </c>
    </row>
    <row r="555" spans="7:14" ht="11.25" customHeight="1" x14ac:dyDescent="0.3">
      <c r="G555" s="459">
        <f t="shared" si="60"/>
        <v>46</v>
      </c>
      <c r="H555" s="459">
        <v>548</v>
      </c>
      <c r="I555" s="444">
        <f t="shared" ca="1" si="55"/>
        <v>2289491.0927473824</v>
      </c>
      <c r="J555" s="444">
        <f t="array" ref="J555">IFERROR(INDEX('Retirement Calculator'!K:K,MATCH('Lorri 401b'!N555,'Retirement Calculator'!A:A,0),0),0)</f>
        <v>20367.195264578786</v>
      </c>
      <c r="K555" s="444">
        <f t="shared" ca="1" si="53"/>
        <v>9454.6829061783483</v>
      </c>
      <c r="L555" s="444">
        <f t="shared" ca="1" si="54"/>
        <v>2278578.5803889818</v>
      </c>
      <c r="M555" s="460">
        <f t="shared" si="56"/>
        <v>0.05</v>
      </c>
      <c r="N555" s="464">
        <f t="shared" si="57"/>
        <v>67938</v>
      </c>
    </row>
    <row r="556" spans="7:14" ht="11.25" customHeight="1" x14ac:dyDescent="0.3">
      <c r="G556" s="459">
        <f t="shared" si="60"/>
        <v>46</v>
      </c>
      <c r="H556" s="459">
        <v>549</v>
      </c>
      <c r="I556" s="444">
        <f t="shared" ca="1" si="55"/>
        <v>2278578.5803889818</v>
      </c>
      <c r="J556" s="444">
        <f t="array" ref="J556">IFERROR(INDEX('Retirement Calculator'!K:K,MATCH('Lorri 401b'!N556,'Retirement Calculator'!A:A,0),0),0)</f>
        <v>20367.195264578786</v>
      </c>
      <c r="K556" s="444">
        <f t="shared" ca="1" si="53"/>
        <v>9409.214104685012</v>
      </c>
      <c r="L556" s="444">
        <f t="shared" ca="1" si="54"/>
        <v>2267620.5992290881</v>
      </c>
      <c r="M556" s="460">
        <f t="shared" si="56"/>
        <v>0.05</v>
      </c>
      <c r="N556" s="464">
        <f t="shared" si="57"/>
        <v>67969</v>
      </c>
    </row>
    <row r="557" spans="7:14" ht="11.25" customHeight="1" x14ac:dyDescent="0.3">
      <c r="G557" s="459">
        <f t="shared" si="60"/>
        <v>46</v>
      </c>
      <c r="H557" s="459">
        <v>550</v>
      </c>
      <c r="I557" s="444">
        <f t="shared" ca="1" si="55"/>
        <v>2267620.5992290881</v>
      </c>
      <c r="J557" s="444">
        <f t="array" ref="J557">IFERROR(INDEX('Retirement Calculator'!K:K,MATCH('Lorri 401b'!N557,'Retirement Calculator'!A:A,0),0),0)</f>
        <v>20367.195264578786</v>
      </c>
      <c r="K557" s="444">
        <f t="shared" ca="1" si="53"/>
        <v>9363.5558498521223</v>
      </c>
      <c r="L557" s="444">
        <f t="shared" ca="1" si="54"/>
        <v>2256616.9598143613</v>
      </c>
      <c r="M557" s="460">
        <f t="shared" si="56"/>
        <v>0.05</v>
      </c>
      <c r="N557" s="464">
        <f t="shared" si="57"/>
        <v>67997</v>
      </c>
    </row>
    <row r="558" spans="7:14" ht="11.25" customHeight="1" x14ac:dyDescent="0.3">
      <c r="G558" s="459">
        <f t="shared" si="60"/>
        <v>46</v>
      </c>
      <c r="H558" s="459">
        <v>551</v>
      </c>
      <c r="I558" s="444">
        <f t="shared" ca="1" si="55"/>
        <v>2256616.9598143613</v>
      </c>
      <c r="J558" s="444">
        <f t="array" ref="J558">IFERROR(INDEX('Retirement Calculator'!K:K,MATCH('Lorri 401b'!N558,'Retirement Calculator'!A:A,0),0),0)</f>
        <v>20367.195264578786</v>
      </c>
      <c r="K558" s="444">
        <f t="shared" ca="1" si="53"/>
        <v>9317.7073522907594</v>
      </c>
      <c r="L558" s="444">
        <f t="shared" ca="1" si="54"/>
        <v>2245567.4719020734</v>
      </c>
      <c r="M558" s="460">
        <f t="shared" si="56"/>
        <v>0.05</v>
      </c>
      <c r="N558" s="464">
        <f t="shared" si="57"/>
        <v>68028</v>
      </c>
    </row>
    <row r="559" spans="7:14" ht="11.25" customHeight="1" x14ac:dyDescent="0.3">
      <c r="G559" s="459">
        <f t="shared" si="60"/>
        <v>46</v>
      </c>
      <c r="H559" s="459">
        <v>552</v>
      </c>
      <c r="I559" s="444">
        <f t="shared" ca="1" si="55"/>
        <v>2245567.4719020734</v>
      </c>
      <c r="J559" s="444">
        <f t="array" ref="J559">IFERROR(INDEX('Retirement Calculator'!K:K,MATCH('Lorri 401b'!N559,'Retirement Calculator'!A:A,0),0),0)</f>
        <v>20367.195264578786</v>
      </c>
      <c r="K559" s="444">
        <f t="shared" ca="1" si="53"/>
        <v>9271.6678193228945</v>
      </c>
      <c r="L559" s="444">
        <f t="shared" ca="1" si="54"/>
        <v>2234471.9444568176</v>
      </c>
      <c r="M559" s="460">
        <f t="shared" si="56"/>
        <v>0.05</v>
      </c>
      <c r="N559" s="464">
        <f t="shared" si="57"/>
        <v>68058</v>
      </c>
    </row>
    <row r="560" spans="7:14" ht="11.25" customHeight="1" x14ac:dyDescent="0.3">
      <c r="G560" s="459">
        <f>G559+1</f>
        <v>47</v>
      </c>
      <c r="H560" s="459">
        <v>553</v>
      </c>
      <c r="I560" s="444">
        <f t="shared" ca="1" si="55"/>
        <v>2234471.9444568176</v>
      </c>
      <c r="J560" s="444">
        <f t="array" ref="J560">IFERROR(INDEX('Retirement Calculator'!K:K,MATCH('Lorri 401b'!N560,'Retirement Calculator'!A:A,0),0),0)</f>
        <v>20367.195264578786</v>
      </c>
      <c r="K560" s="444">
        <f t="shared" ca="1" si="53"/>
        <v>9225.4364549676611</v>
      </c>
      <c r="L560" s="444">
        <f t="shared" ca="1" si="54"/>
        <v>2223330.1856472064</v>
      </c>
      <c r="M560" s="460">
        <f t="shared" si="56"/>
        <v>0.05</v>
      </c>
      <c r="N560" s="464">
        <f t="shared" si="57"/>
        <v>68089</v>
      </c>
    </row>
    <row r="561" spans="7:14" ht="11.25" customHeight="1" x14ac:dyDescent="0.3">
      <c r="G561" s="459">
        <f t="shared" ref="G561:G571" si="61">G560</f>
        <v>47</v>
      </c>
      <c r="H561" s="459">
        <v>554</v>
      </c>
      <c r="I561" s="444">
        <f t="shared" ca="1" si="55"/>
        <v>2223330.1856472064</v>
      </c>
      <c r="J561" s="444">
        <f t="array" ref="J561">IFERROR(INDEX('Retirement Calculator'!K:K,MATCH('Lorri 401b'!N561,'Retirement Calculator'!A:A,0),0),0)</f>
        <v>20367.195264578786</v>
      </c>
      <c r="K561" s="444">
        <f t="shared" ca="1" si="53"/>
        <v>9179.0124599276151</v>
      </c>
      <c r="L561" s="444">
        <f t="shared" ca="1" si="54"/>
        <v>2212142.0028425553</v>
      </c>
      <c r="M561" s="460">
        <f t="shared" si="56"/>
        <v>0.05</v>
      </c>
      <c r="N561" s="464">
        <f t="shared" si="57"/>
        <v>68119</v>
      </c>
    </row>
    <row r="562" spans="7:14" ht="11.25" customHeight="1" x14ac:dyDescent="0.3">
      <c r="G562" s="459">
        <f t="shared" si="61"/>
        <v>47</v>
      </c>
      <c r="H562" s="459">
        <v>555</v>
      </c>
      <c r="I562" s="444">
        <f t="shared" ca="1" si="55"/>
        <v>2212142.0028425553</v>
      </c>
      <c r="J562" s="444">
        <f t="array" ref="J562">IFERROR(INDEX('Retirement Calculator'!K:K,MATCH('Lorri 401b'!N562,'Retirement Calculator'!A:A,0),0),0)</f>
        <v>20367.195264578786</v>
      </c>
      <c r="K562" s="444">
        <f t="shared" ca="1" si="53"/>
        <v>9132.3950315749025</v>
      </c>
      <c r="L562" s="444">
        <f t="shared" ca="1" si="54"/>
        <v>2200907.2026095516</v>
      </c>
      <c r="M562" s="460">
        <f t="shared" si="56"/>
        <v>0.05</v>
      </c>
      <c r="N562" s="464">
        <f t="shared" si="57"/>
        <v>68150</v>
      </c>
    </row>
    <row r="563" spans="7:14" ht="11.25" customHeight="1" x14ac:dyDescent="0.3">
      <c r="G563" s="459">
        <f t="shared" si="61"/>
        <v>47</v>
      </c>
      <c r="H563" s="459">
        <v>556</v>
      </c>
      <c r="I563" s="444">
        <f t="shared" ca="1" si="55"/>
        <v>2200907.2026095516</v>
      </c>
      <c r="J563" s="444">
        <f t="array" ref="J563">IFERROR(INDEX('Retirement Calculator'!K:K,MATCH('Lorri 401b'!N563,'Retirement Calculator'!A:A,0),0),0)</f>
        <v>20367.195264578786</v>
      </c>
      <c r="K563" s="444">
        <f t="shared" ca="1" si="53"/>
        <v>9085.5833639373868</v>
      </c>
      <c r="L563" s="444">
        <f t="shared" ca="1" si="54"/>
        <v>2189625.59070891</v>
      </c>
      <c r="M563" s="460">
        <f t="shared" si="56"/>
        <v>0.05</v>
      </c>
      <c r="N563" s="464">
        <f t="shared" si="57"/>
        <v>68181</v>
      </c>
    </row>
    <row r="564" spans="7:14" ht="11.25" customHeight="1" x14ac:dyDescent="0.3">
      <c r="G564" s="459">
        <f t="shared" si="61"/>
        <v>47</v>
      </c>
      <c r="H564" s="459">
        <v>557</v>
      </c>
      <c r="I564" s="444">
        <f t="shared" ca="1" si="55"/>
        <v>2189625.59070891</v>
      </c>
      <c r="J564" s="444">
        <f t="array" ref="J564">IFERROR(INDEX('Retirement Calculator'!K:K,MATCH('Lorri 401b'!N564,'Retirement Calculator'!A:A,0),0),0)</f>
        <v>20367.195264578786</v>
      </c>
      <c r="K564" s="444">
        <f t="shared" ca="1" si="53"/>
        <v>9038.576647684713</v>
      </c>
      <c r="L564" s="444">
        <f t="shared" ca="1" si="54"/>
        <v>2178296.9720920161</v>
      </c>
      <c r="M564" s="460">
        <f t="shared" si="56"/>
        <v>0.05</v>
      </c>
      <c r="N564" s="464">
        <f t="shared" si="57"/>
        <v>68211</v>
      </c>
    </row>
    <row r="565" spans="7:14" ht="11.25" customHeight="1" x14ac:dyDescent="0.3">
      <c r="G565" s="459">
        <f t="shared" si="61"/>
        <v>47</v>
      </c>
      <c r="H565" s="459">
        <v>558</v>
      </c>
      <c r="I565" s="444">
        <f t="shared" ca="1" si="55"/>
        <v>2178296.9720920161</v>
      </c>
      <c r="J565" s="444">
        <f t="array" ref="J565">IFERROR(INDEX('Retirement Calculator'!K:K,MATCH('Lorri 401b'!N565,'Retirement Calculator'!A:A,0),0),0)</f>
        <v>20367.195264578786</v>
      </c>
      <c r="K565" s="444">
        <f t="shared" ca="1" si="53"/>
        <v>8991.3740701143215</v>
      </c>
      <c r="L565" s="444">
        <f t="shared" ca="1" si="54"/>
        <v>2166921.1508975518</v>
      </c>
      <c r="M565" s="460">
        <f t="shared" si="56"/>
        <v>0.05</v>
      </c>
      <c r="N565" s="464">
        <f t="shared" si="57"/>
        <v>68242</v>
      </c>
    </row>
    <row r="566" spans="7:14" ht="11.25" customHeight="1" x14ac:dyDescent="0.3">
      <c r="G566" s="459">
        <f t="shared" si="61"/>
        <v>47</v>
      </c>
      <c r="H566" s="459">
        <v>559</v>
      </c>
      <c r="I566" s="444">
        <f t="shared" ca="1" si="55"/>
        <v>2166921.1508975518</v>
      </c>
      <c r="J566" s="444">
        <f t="array" ref="J566">IFERROR(INDEX('Retirement Calculator'!K:K,MATCH('Lorri 401b'!N566,'Retirement Calculator'!A:A,0),0),0)</f>
        <v>20367.195264578786</v>
      </c>
      <c r="K566" s="444">
        <f t="shared" ca="1" si="53"/>
        <v>8943.9748151373878</v>
      </c>
      <c r="L566" s="444">
        <f t="shared" ca="1" si="54"/>
        <v>2155497.9304481102</v>
      </c>
      <c r="M566" s="460">
        <f t="shared" si="56"/>
        <v>0.05</v>
      </c>
      <c r="N566" s="464">
        <f t="shared" si="57"/>
        <v>68272</v>
      </c>
    </row>
    <row r="567" spans="7:14" ht="11.25" customHeight="1" x14ac:dyDescent="0.3">
      <c r="G567" s="459">
        <f t="shared" si="61"/>
        <v>47</v>
      </c>
      <c r="H567" s="459">
        <v>560</v>
      </c>
      <c r="I567" s="444">
        <f t="shared" ca="1" si="55"/>
        <v>2155497.9304481102</v>
      </c>
      <c r="J567" s="444">
        <f t="array" ref="J567">IFERROR(INDEX('Retirement Calculator'!K:K,MATCH('Lorri 401b'!N567,'Retirement Calculator'!A:A,0),0),0)</f>
        <v>20367.195264578786</v>
      </c>
      <c r="K567" s="444">
        <f t="shared" ca="1" si="53"/>
        <v>8896.378063264714</v>
      </c>
      <c r="L567" s="444">
        <f t="shared" ca="1" si="54"/>
        <v>2144027.1132467962</v>
      </c>
      <c r="M567" s="460">
        <f t="shared" si="56"/>
        <v>0.05</v>
      </c>
      <c r="N567" s="464">
        <f t="shared" si="57"/>
        <v>68303</v>
      </c>
    </row>
    <row r="568" spans="7:14" ht="11.25" customHeight="1" x14ac:dyDescent="0.3">
      <c r="G568" s="459">
        <f t="shared" si="61"/>
        <v>47</v>
      </c>
      <c r="H568" s="459">
        <v>561</v>
      </c>
      <c r="I568" s="444">
        <f t="shared" ca="1" si="55"/>
        <v>2144027.1132467962</v>
      </c>
      <c r="J568" s="444">
        <f t="array" ref="J568">IFERROR(INDEX('Retirement Calculator'!K:K,MATCH('Lorri 401b'!N568,'Retirement Calculator'!A:A,0),0),0)</f>
        <v>20367.195264578786</v>
      </c>
      <c r="K568" s="444">
        <f t="shared" ca="1" si="53"/>
        <v>8848.5829915925715</v>
      </c>
      <c r="L568" s="444">
        <f t="shared" ca="1" si="54"/>
        <v>2132508.50097381</v>
      </c>
      <c r="M568" s="460">
        <f t="shared" si="56"/>
        <v>0.05</v>
      </c>
      <c r="N568" s="464">
        <f t="shared" si="57"/>
        <v>68334</v>
      </c>
    </row>
    <row r="569" spans="7:14" ht="11.25" customHeight="1" x14ac:dyDescent="0.3">
      <c r="G569" s="459">
        <f t="shared" si="61"/>
        <v>47</v>
      </c>
      <c r="H569" s="459">
        <v>562</v>
      </c>
      <c r="I569" s="444">
        <f t="shared" ca="1" si="55"/>
        <v>2132508.50097381</v>
      </c>
      <c r="J569" s="444">
        <f t="array" ref="J569">IFERROR(INDEX('Retirement Calculator'!K:K,MATCH('Lorri 401b'!N569,'Retirement Calculator'!A:A,0),0),0)</f>
        <v>20367.195264578786</v>
      </c>
      <c r="K569" s="444">
        <f t="shared" ca="1" si="53"/>
        <v>8800.5887737884623</v>
      </c>
      <c r="L569" s="444">
        <f t="shared" ca="1" si="54"/>
        <v>2120941.8944830196</v>
      </c>
      <c r="M569" s="460">
        <f t="shared" si="56"/>
        <v>0.05</v>
      </c>
      <c r="N569" s="464">
        <f t="shared" si="57"/>
        <v>68362</v>
      </c>
    </row>
    <row r="570" spans="7:14" ht="11.25" customHeight="1" x14ac:dyDescent="0.3">
      <c r="G570" s="459">
        <f t="shared" si="61"/>
        <v>47</v>
      </c>
      <c r="H570" s="459">
        <v>563</v>
      </c>
      <c r="I570" s="444">
        <f t="shared" ca="1" si="55"/>
        <v>2120941.8944830196</v>
      </c>
      <c r="J570" s="444">
        <f t="array" ref="J570">IFERROR(INDEX('Retirement Calculator'!K:K,MATCH('Lorri 401b'!N570,'Retirement Calculator'!A:A,0),0),0)</f>
        <v>20367.195264578786</v>
      </c>
      <c r="K570" s="444">
        <f t="shared" ca="1" si="53"/>
        <v>8752.3945800768361</v>
      </c>
      <c r="L570" s="444">
        <f t="shared" ca="1" si="54"/>
        <v>2109327.0937985177</v>
      </c>
      <c r="M570" s="460">
        <f t="shared" si="56"/>
        <v>0.05</v>
      </c>
      <c r="N570" s="464">
        <f t="shared" si="57"/>
        <v>68393</v>
      </c>
    </row>
    <row r="571" spans="7:14" ht="11.25" customHeight="1" x14ac:dyDescent="0.3">
      <c r="G571" s="459">
        <f t="shared" si="61"/>
        <v>47</v>
      </c>
      <c r="H571" s="459">
        <v>564</v>
      </c>
      <c r="I571" s="444">
        <f t="shared" ca="1" si="55"/>
        <v>2109327.0937985177</v>
      </c>
      <c r="J571" s="444">
        <f t="array" ref="J571">IFERROR(INDEX('Retirement Calculator'!K:K,MATCH('Lorri 401b'!N571,'Retirement Calculator'!A:A,0),0),0)</f>
        <v>20367.195264578786</v>
      </c>
      <c r="K571" s="444">
        <f t="shared" ca="1" si="53"/>
        <v>8703.9995772247457</v>
      </c>
      <c r="L571" s="444">
        <f t="shared" ca="1" si="54"/>
        <v>2097663.8981111636</v>
      </c>
      <c r="M571" s="460">
        <f t="shared" si="56"/>
        <v>0.05</v>
      </c>
      <c r="N571" s="464">
        <f t="shared" si="57"/>
        <v>68423</v>
      </c>
    </row>
    <row r="572" spans="7:14" ht="11.25" customHeight="1" x14ac:dyDescent="0.3">
      <c r="G572" s="459">
        <f>G571+1</f>
        <v>48</v>
      </c>
      <c r="H572" s="459">
        <v>565</v>
      </c>
      <c r="I572" s="444">
        <f t="shared" ca="1" si="55"/>
        <v>2097663.8981111636</v>
      </c>
      <c r="J572" s="444">
        <f t="array" ref="J572">IFERROR(INDEX('Retirement Calculator'!K:K,MATCH('Lorri 401b'!N572,'Retirement Calculator'!A:A,0),0),0)</f>
        <v>20367.195264578786</v>
      </c>
      <c r="K572" s="444">
        <f t="shared" ca="1" si="53"/>
        <v>8655.4029285274373</v>
      </c>
      <c r="L572" s="444">
        <f t="shared" ca="1" si="54"/>
        <v>2085952.1057751123</v>
      </c>
      <c r="M572" s="460">
        <f t="shared" si="56"/>
        <v>0.05</v>
      </c>
      <c r="N572" s="464">
        <f t="shared" si="57"/>
        <v>68454</v>
      </c>
    </row>
    <row r="573" spans="7:14" ht="11.25" customHeight="1" x14ac:dyDescent="0.3">
      <c r="G573" s="459">
        <f t="shared" ref="G573:G583" si="62">G572</f>
        <v>48</v>
      </c>
      <c r="H573" s="459">
        <v>566</v>
      </c>
      <c r="I573" s="444">
        <f t="shared" ca="1" si="55"/>
        <v>2085952.1057751123</v>
      </c>
      <c r="J573" s="444">
        <f t="array" ref="J573">IFERROR(INDEX('Retirement Calculator'!K:K,MATCH('Lorri 401b'!N573,'Retirement Calculator'!A:A,0),0),0)</f>
        <v>20367.195264578786</v>
      </c>
      <c r="K573" s="444">
        <f t="shared" ca="1" si="53"/>
        <v>8606.6037937938891</v>
      </c>
      <c r="L573" s="444">
        <f t="shared" ca="1" si="54"/>
        <v>2074191.5143043273</v>
      </c>
      <c r="M573" s="460">
        <f t="shared" si="56"/>
        <v>0.05</v>
      </c>
      <c r="N573" s="464">
        <f t="shared" si="57"/>
        <v>68484</v>
      </c>
    </row>
    <row r="574" spans="7:14" ht="11.25" customHeight="1" x14ac:dyDescent="0.3">
      <c r="G574" s="459">
        <f t="shared" si="62"/>
        <v>48</v>
      </c>
      <c r="H574" s="459">
        <v>567</v>
      </c>
      <c r="I574" s="444">
        <f t="shared" ca="1" si="55"/>
        <v>2074191.5143043273</v>
      </c>
      <c r="J574" s="444">
        <f t="array" ref="J574">IFERROR(INDEX('Retirement Calculator'!K:K,MATCH('Lorri 401b'!N574,'Retirement Calculator'!A:A,0),0),0)</f>
        <v>20367.195264578786</v>
      </c>
      <c r="K574" s="444">
        <f t="shared" ca="1" si="53"/>
        <v>8557.6013293322849</v>
      </c>
      <c r="L574" s="444">
        <f t="shared" ca="1" si="54"/>
        <v>2062381.9203690807</v>
      </c>
      <c r="M574" s="460">
        <f t="shared" si="56"/>
        <v>0.05</v>
      </c>
      <c r="N574" s="464">
        <f t="shared" si="57"/>
        <v>68515</v>
      </c>
    </row>
    <row r="575" spans="7:14" ht="11.25" customHeight="1" x14ac:dyDescent="0.3">
      <c r="G575" s="459">
        <f t="shared" si="62"/>
        <v>48</v>
      </c>
      <c r="H575" s="459">
        <v>568</v>
      </c>
      <c r="I575" s="444">
        <f t="shared" ca="1" si="55"/>
        <v>2062381.9203690807</v>
      </c>
      <c r="J575" s="444">
        <f t="array" ref="J575">IFERROR(INDEX('Retirement Calculator'!K:K,MATCH('Lorri 401b'!N575,'Retirement Calculator'!A:A,0),0),0)</f>
        <v>20367.195264578786</v>
      </c>
      <c r="K575" s="444">
        <f t="shared" ca="1" si="53"/>
        <v>8508.3946879354262</v>
      </c>
      <c r="L575" s="444">
        <f t="shared" ca="1" si="54"/>
        <v>2050523.1197924374</v>
      </c>
      <c r="M575" s="460">
        <f t="shared" si="56"/>
        <v>0.05</v>
      </c>
      <c r="N575" s="464">
        <f t="shared" si="57"/>
        <v>68546</v>
      </c>
    </row>
    <row r="576" spans="7:14" ht="11.25" customHeight="1" x14ac:dyDescent="0.3">
      <c r="G576" s="459">
        <f t="shared" si="62"/>
        <v>48</v>
      </c>
      <c r="H576" s="459">
        <v>569</v>
      </c>
      <c r="I576" s="444">
        <f t="shared" ca="1" si="55"/>
        <v>2050523.1197924374</v>
      </c>
      <c r="J576" s="444">
        <f t="array" ref="J576">IFERROR(INDEX('Retirement Calculator'!K:K,MATCH('Lorri 401b'!N576,'Retirement Calculator'!A:A,0),0),0)</f>
        <v>20367.195264578786</v>
      </c>
      <c r="K576" s="444">
        <f t="shared" ca="1" si="53"/>
        <v>8458.9830188660781</v>
      </c>
      <c r="L576" s="444">
        <f t="shared" ca="1" si="54"/>
        <v>2038614.9075467247</v>
      </c>
      <c r="M576" s="460">
        <f t="shared" si="56"/>
        <v>0.05</v>
      </c>
      <c r="N576" s="464">
        <f t="shared" si="57"/>
        <v>68576</v>
      </c>
    </row>
    <row r="577" spans="7:14" ht="11.25" customHeight="1" x14ac:dyDescent="0.3">
      <c r="G577" s="459">
        <f t="shared" si="62"/>
        <v>48</v>
      </c>
      <c r="H577" s="459">
        <v>570</v>
      </c>
      <c r="I577" s="444">
        <f t="shared" ca="1" si="55"/>
        <v>2038614.9075467247</v>
      </c>
      <c r="J577" s="444">
        <f t="array" ref="J577">IFERROR(INDEX('Retirement Calculator'!K:K,MATCH('Lorri 401b'!N577,'Retirement Calculator'!A:A,0),0),0)</f>
        <v>20367.195264578786</v>
      </c>
      <c r="K577" s="444">
        <f t="shared" ca="1" si="53"/>
        <v>8409.3654678422736</v>
      </c>
      <c r="L577" s="444">
        <f t="shared" ca="1" si="54"/>
        <v>2026657.0777499881</v>
      </c>
      <c r="M577" s="460">
        <f t="shared" si="56"/>
        <v>0.05</v>
      </c>
      <c r="N577" s="464">
        <f t="shared" si="57"/>
        <v>68607</v>
      </c>
    </row>
    <row r="578" spans="7:14" ht="11.25" customHeight="1" x14ac:dyDescent="0.3">
      <c r="G578" s="459">
        <f t="shared" si="62"/>
        <v>48</v>
      </c>
      <c r="H578" s="459">
        <v>571</v>
      </c>
      <c r="I578" s="444">
        <f t="shared" ca="1" si="55"/>
        <v>2026657.0777499881</v>
      </c>
      <c r="J578" s="444">
        <f t="array" ref="J578">IFERROR(INDEX('Retirement Calculator'!K:K,MATCH('Lorri 401b'!N578,'Retirement Calculator'!A:A,0),0),0)</f>
        <v>20367.195264578786</v>
      </c>
      <c r="K578" s="444">
        <f t="shared" ca="1" si="53"/>
        <v>8359.5411770225382</v>
      </c>
      <c r="L578" s="444">
        <f t="shared" ca="1" si="54"/>
        <v>2014649.4236624318</v>
      </c>
      <c r="M578" s="460">
        <f t="shared" si="56"/>
        <v>0.05</v>
      </c>
      <c r="N578" s="464">
        <f t="shared" si="57"/>
        <v>68637</v>
      </c>
    </row>
    <row r="579" spans="7:14" ht="11.25" customHeight="1" x14ac:dyDescent="0.3">
      <c r="G579" s="459">
        <f t="shared" si="62"/>
        <v>48</v>
      </c>
      <c r="H579" s="459">
        <v>572</v>
      </c>
      <c r="I579" s="444">
        <f t="shared" ca="1" si="55"/>
        <v>2014649.4236624318</v>
      </c>
      <c r="J579" s="444">
        <f t="array" ref="J579">IFERROR(INDEX('Retirement Calculator'!K:K,MATCH('Lorri 401b'!N579,'Retirement Calculator'!A:A,0),0),0)</f>
        <v>20367.195264578786</v>
      </c>
      <c r="K579" s="444">
        <f t="shared" ca="1" si="53"/>
        <v>8309.5092849910543</v>
      </c>
      <c r="L579" s="444">
        <f t="shared" ca="1" si="54"/>
        <v>2002591.737682844</v>
      </c>
      <c r="M579" s="460">
        <f t="shared" si="56"/>
        <v>0.05</v>
      </c>
      <c r="N579" s="464">
        <f t="shared" si="57"/>
        <v>68668</v>
      </c>
    </row>
    <row r="580" spans="7:14" ht="11.25" customHeight="1" x14ac:dyDescent="0.3">
      <c r="G580" s="459">
        <f t="shared" si="62"/>
        <v>48</v>
      </c>
      <c r="H580" s="459">
        <v>573</v>
      </c>
      <c r="I580" s="444">
        <f t="shared" ca="1" si="55"/>
        <v>2002591.737682844</v>
      </c>
      <c r="J580" s="444">
        <f t="array" ref="J580">IFERROR(INDEX('Retirement Calculator'!K:K,MATCH('Lorri 401b'!N580,'Retirement Calculator'!A:A,0),0),0)</f>
        <v>20367.195264578786</v>
      </c>
      <c r="K580" s="444">
        <f t="shared" ca="1" si="53"/>
        <v>8259.2689267427722</v>
      </c>
      <c r="L580" s="444">
        <f t="shared" ca="1" si="54"/>
        <v>1990483.811345008</v>
      </c>
      <c r="M580" s="460">
        <f t="shared" si="56"/>
        <v>0.05</v>
      </c>
      <c r="N580" s="464">
        <f t="shared" si="57"/>
        <v>68699</v>
      </c>
    </row>
    <row r="581" spans="7:14" ht="11.25" customHeight="1" x14ac:dyDescent="0.3">
      <c r="G581" s="459">
        <f t="shared" si="62"/>
        <v>48</v>
      </c>
      <c r="H581" s="459">
        <v>574</v>
      </c>
      <c r="I581" s="444">
        <f t="shared" ca="1" si="55"/>
        <v>1990483.811345008</v>
      </c>
      <c r="J581" s="444">
        <f t="array" ref="J581">IFERROR(INDEX('Retirement Calculator'!K:K,MATCH('Lorri 401b'!N581,'Retirement Calculator'!A:A,0),0),0)</f>
        <v>20367.195264578786</v>
      </c>
      <c r="K581" s="444">
        <f t="shared" ca="1" si="53"/>
        <v>8208.8192336684533</v>
      </c>
      <c r="L581" s="444">
        <f t="shared" ca="1" si="54"/>
        <v>1978325.4353140977</v>
      </c>
      <c r="M581" s="460">
        <f t="shared" si="56"/>
        <v>0.05</v>
      </c>
      <c r="N581" s="464">
        <f t="shared" si="57"/>
        <v>68728</v>
      </c>
    </row>
    <row r="582" spans="7:14" ht="11.25" customHeight="1" x14ac:dyDescent="0.3">
      <c r="G582" s="459">
        <f t="shared" si="62"/>
        <v>48</v>
      </c>
      <c r="H582" s="459">
        <v>575</v>
      </c>
      <c r="I582" s="444">
        <f t="shared" ca="1" si="55"/>
        <v>1978325.4353140977</v>
      </c>
      <c r="J582" s="444">
        <f t="array" ref="J582">IFERROR(INDEX('Retirement Calculator'!K:K,MATCH('Lorri 401b'!N582,'Retirement Calculator'!A:A,0),0),0)</f>
        <v>20367.195264578786</v>
      </c>
      <c r="K582" s="444">
        <f t="shared" ca="1" si="53"/>
        <v>8158.159333539661</v>
      </c>
      <c r="L582" s="444">
        <f t="shared" ca="1" si="54"/>
        <v>1966116.3993830585</v>
      </c>
      <c r="M582" s="460">
        <f t="shared" si="56"/>
        <v>0.05</v>
      </c>
      <c r="N582" s="464">
        <f t="shared" si="57"/>
        <v>68759</v>
      </c>
    </row>
    <row r="583" spans="7:14" ht="11.25" customHeight="1" x14ac:dyDescent="0.3">
      <c r="G583" s="459">
        <f t="shared" si="62"/>
        <v>48</v>
      </c>
      <c r="H583" s="459">
        <v>576</v>
      </c>
      <c r="I583" s="444">
        <f t="shared" ca="1" si="55"/>
        <v>1966116.3993830585</v>
      </c>
      <c r="J583" s="444">
        <f t="array" ref="J583">IFERROR(INDEX('Retirement Calculator'!K:K,MATCH('Lorri 401b'!N583,'Retirement Calculator'!A:A,0),0),0)</f>
        <v>20367.195264578786</v>
      </c>
      <c r="K583" s="444">
        <f t="shared" ca="1" si="53"/>
        <v>8107.2883504936663</v>
      </c>
      <c r="L583" s="444">
        <f t="shared" ca="1" si="54"/>
        <v>1953856.4924689734</v>
      </c>
      <c r="M583" s="460">
        <f t="shared" si="56"/>
        <v>0.05</v>
      </c>
      <c r="N583" s="464">
        <f t="shared" si="57"/>
        <v>68789</v>
      </c>
    </row>
    <row r="584" spans="7:14" ht="11.25" customHeight="1" x14ac:dyDescent="0.3">
      <c r="G584" s="459">
        <f>G583+1</f>
        <v>49</v>
      </c>
      <c r="H584" s="459">
        <v>577</v>
      </c>
      <c r="I584" s="444">
        <f t="shared" ca="1" si="55"/>
        <v>1953856.4924689734</v>
      </c>
      <c r="J584" s="444">
        <f t="array" ref="J584">IFERROR(INDEX('Retirement Calculator'!K:K,MATCH('Lorri 401b'!N584,'Retirement Calculator'!A:A,0),0),0)</f>
        <v>20367.195264578786</v>
      </c>
      <c r="K584" s="444">
        <f t="shared" ca="1" si="53"/>
        <v>8056.2054050183115</v>
      </c>
      <c r="L584" s="444">
        <f t="shared" ca="1" si="54"/>
        <v>1941545.5026094129</v>
      </c>
      <c r="M584" s="460">
        <f t="shared" si="56"/>
        <v>0.05</v>
      </c>
      <c r="N584" s="464">
        <f t="shared" si="57"/>
        <v>68820</v>
      </c>
    </row>
    <row r="585" spans="7:14" ht="11.25" customHeight="1" x14ac:dyDescent="0.3">
      <c r="G585" s="459">
        <f t="shared" ref="G585:G595" si="63">G584</f>
        <v>49</v>
      </c>
      <c r="H585" s="459">
        <v>578</v>
      </c>
      <c r="I585" s="444">
        <f t="shared" ca="1" si="55"/>
        <v>1941545.5026094129</v>
      </c>
      <c r="J585" s="444">
        <f t="array" ref="J585">IFERROR(INDEX('Retirement Calculator'!K:K,MATCH('Lorri 401b'!N585,'Retirement Calculator'!A:A,0),0),0)</f>
        <v>20367.195264578786</v>
      </c>
      <c r="K585" s="444">
        <f t="shared" ca="1" si="53"/>
        <v>8004.9096139368085</v>
      </c>
      <c r="L585" s="444">
        <f t="shared" ca="1" si="54"/>
        <v>1929183.216958771</v>
      </c>
      <c r="M585" s="460">
        <f t="shared" si="56"/>
        <v>0.05</v>
      </c>
      <c r="N585" s="464">
        <f t="shared" si="57"/>
        <v>68850</v>
      </c>
    </row>
    <row r="586" spans="7:14" ht="11.25" customHeight="1" x14ac:dyDescent="0.3">
      <c r="G586" s="459">
        <f t="shared" si="63"/>
        <v>49</v>
      </c>
      <c r="H586" s="459">
        <v>579</v>
      </c>
      <c r="I586" s="444">
        <f t="shared" ca="1" si="55"/>
        <v>1929183.216958771</v>
      </c>
      <c r="J586" s="444">
        <f t="array" ref="J586">IFERROR(INDEX('Retirement Calculator'!K:K,MATCH('Lorri 401b'!N586,'Retirement Calculator'!A:A,0),0),0)</f>
        <v>20367.195264578786</v>
      </c>
      <c r="K586" s="444">
        <f t="shared" ca="1" si="53"/>
        <v>7953.4000903924671</v>
      </c>
      <c r="L586" s="444">
        <f t="shared" ca="1" si="54"/>
        <v>1916769.4217845846</v>
      </c>
      <c r="M586" s="460">
        <f t="shared" si="56"/>
        <v>0.05</v>
      </c>
      <c r="N586" s="464">
        <f t="shared" si="57"/>
        <v>68881</v>
      </c>
    </row>
    <row r="587" spans="7:14" ht="11.25" customHeight="1" x14ac:dyDescent="0.3">
      <c r="G587" s="459">
        <f t="shared" si="63"/>
        <v>49</v>
      </c>
      <c r="H587" s="459">
        <v>580</v>
      </c>
      <c r="I587" s="444">
        <f t="shared" ca="1" si="55"/>
        <v>1916769.4217845846</v>
      </c>
      <c r="J587" s="444">
        <f t="array" ref="J587">IFERROR(INDEX('Retirement Calculator'!K:K,MATCH('Lorri 401b'!N587,'Retirement Calculator'!A:A,0),0),0)</f>
        <v>20367.195264578786</v>
      </c>
      <c r="K587" s="444">
        <f t="shared" ca="1" si="53"/>
        <v>7901.6759438333575</v>
      </c>
      <c r="L587" s="444">
        <f t="shared" ca="1" si="54"/>
        <v>1904303.9024638392</v>
      </c>
      <c r="M587" s="460">
        <f t="shared" si="56"/>
        <v>0.05</v>
      </c>
      <c r="N587" s="464">
        <f t="shared" si="57"/>
        <v>68912</v>
      </c>
    </row>
    <row r="588" spans="7:14" ht="11.25" customHeight="1" x14ac:dyDescent="0.3">
      <c r="G588" s="459">
        <f t="shared" si="63"/>
        <v>49</v>
      </c>
      <c r="H588" s="459">
        <v>581</v>
      </c>
      <c r="I588" s="444">
        <f t="shared" ca="1" si="55"/>
        <v>1904303.9024638392</v>
      </c>
      <c r="J588" s="444">
        <f t="array" ref="J588">IFERROR(INDEX('Retirement Calculator'!K:K,MATCH('Lorri 401b'!N588,'Retirement Calculator'!A:A,0),0),0)</f>
        <v>20367.195264578786</v>
      </c>
      <c r="K588" s="444">
        <f t="shared" ca="1" si="53"/>
        <v>7849.7362799969187</v>
      </c>
      <c r="L588" s="444">
        <f t="shared" ca="1" si="54"/>
        <v>1891786.4434792572</v>
      </c>
      <c r="M588" s="460">
        <f t="shared" si="56"/>
        <v>0.05</v>
      </c>
      <c r="N588" s="464">
        <f t="shared" si="57"/>
        <v>68942</v>
      </c>
    </row>
    <row r="589" spans="7:14" ht="11.25" customHeight="1" x14ac:dyDescent="0.3">
      <c r="G589" s="459">
        <f t="shared" si="63"/>
        <v>49</v>
      </c>
      <c r="H589" s="459">
        <v>582</v>
      </c>
      <c r="I589" s="444">
        <f t="shared" ca="1" si="55"/>
        <v>1891786.4434792572</v>
      </c>
      <c r="J589" s="444">
        <f t="array" ref="J589">IFERROR(INDEX('Retirement Calculator'!K:K,MATCH('Lorri 401b'!N589,'Retirement Calculator'!A:A,0),0),0)</f>
        <v>20367.195264578786</v>
      </c>
      <c r="K589" s="444">
        <f t="shared" ca="1" si="53"/>
        <v>7797.5802008944929</v>
      </c>
      <c r="L589" s="444">
        <f t="shared" ca="1" si="54"/>
        <v>1879216.8284155729</v>
      </c>
      <c r="M589" s="460">
        <f t="shared" si="56"/>
        <v>0.05</v>
      </c>
      <c r="N589" s="464">
        <f t="shared" si="57"/>
        <v>68973</v>
      </c>
    </row>
    <row r="590" spans="7:14" ht="11.25" customHeight="1" x14ac:dyDescent="0.3">
      <c r="G590" s="459">
        <f t="shared" si="63"/>
        <v>49</v>
      </c>
      <c r="H590" s="459">
        <v>583</v>
      </c>
      <c r="I590" s="444">
        <f t="shared" ca="1" si="55"/>
        <v>1879216.8284155729</v>
      </c>
      <c r="J590" s="444">
        <f t="array" ref="J590">IFERROR(INDEX('Retirement Calculator'!K:K,MATCH('Lorri 401b'!N590,'Retirement Calculator'!A:A,0),0),0)</f>
        <v>20367.195264578786</v>
      </c>
      <c r="K590" s="444">
        <f t="shared" ca="1" si="53"/>
        <v>7745.2068047958082</v>
      </c>
      <c r="L590" s="444">
        <f t="shared" ca="1" si="54"/>
        <v>1866594.83995579</v>
      </c>
      <c r="M590" s="460">
        <f t="shared" si="56"/>
        <v>0.05</v>
      </c>
      <c r="N590" s="464">
        <f t="shared" si="57"/>
        <v>69003</v>
      </c>
    </row>
    <row r="591" spans="7:14" ht="11.25" customHeight="1" x14ac:dyDescent="0.3">
      <c r="G591" s="459">
        <f t="shared" si="63"/>
        <v>49</v>
      </c>
      <c r="H591" s="459">
        <v>584</v>
      </c>
      <c r="I591" s="444">
        <f t="shared" ca="1" si="55"/>
        <v>1866594.83995579</v>
      </c>
      <c r="J591" s="444">
        <f t="array" ref="J591">IFERROR(INDEX('Retirement Calculator'!K:K,MATCH('Lorri 401b'!N591,'Retirement Calculator'!A:A,0),0),0)</f>
        <v>20367.195264578786</v>
      </c>
      <c r="K591" s="444">
        <f t="shared" ca="1" si="53"/>
        <v>7692.6151862133802</v>
      </c>
      <c r="L591" s="444">
        <f t="shared" ca="1" si="54"/>
        <v>1853920.2598774245</v>
      </c>
      <c r="M591" s="460">
        <f t="shared" si="56"/>
        <v>0.05</v>
      </c>
      <c r="N591" s="464">
        <f t="shared" si="57"/>
        <v>69034</v>
      </c>
    </row>
    <row r="592" spans="7:14" ht="11.25" customHeight="1" x14ac:dyDescent="0.3">
      <c r="G592" s="459">
        <f t="shared" si="63"/>
        <v>49</v>
      </c>
      <c r="H592" s="459">
        <v>585</v>
      </c>
      <c r="I592" s="444">
        <f t="shared" ca="1" si="55"/>
        <v>1853920.2598774245</v>
      </c>
      <c r="J592" s="444">
        <f t="array" ref="J592">IFERROR(INDEX('Retirement Calculator'!K:K,MATCH('Lorri 401b'!N592,'Retirement Calculator'!A:A,0),0),0)</f>
        <v>20367.195264578786</v>
      </c>
      <c r="K592" s="444">
        <f t="shared" ca="1" si="53"/>
        <v>7639.8044358868556</v>
      </c>
      <c r="L592" s="444">
        <f t="shared" ca="1" si="54"/>
        <v>1841192.8690487326</v>
      </c>
      <c r="M592" s="460">
        <f t="shared" si="56"/>
        <v>0.05</v>
      </c>
      <c r="N592" s="464">
        <f t="shared" si="57"/>
        <v>69065</v>
      </c>
    </row>
    <row r="593" spans="7:14" ht="11.25" customHeight="1" x14ac:dyDescent="0.3">
      <c r="G593" s="459">
        <f t="shared" si="63"/>
        <v>49</v>
      </c>
      <c r="H593" s="459">
        <v>586</v>
      </c>
      <c r="I593" s="444">
        <f t="shared" ca="1" si="55"/>
        <v>1841192.8690487326</v>
      </c>
      <c r="J593" s="444">
        <f t="array" ref="J593">IFERROR(INDEX('Retirement Calculator'!K:K,MATCH('Lorri 401b'!N593,'Retirement Calculator'!A:A,0),0),0)</f>
        <v>20367.195264578786</v>
      </c>
      <c r="K593" s="444">
        <f t="shared" ca="1" si="53"/>
        <v>7586.7736407673083</v>
      </c>
      <c r="L593" s="444">
        <f t="shared" ca="1" si="54"/>
        <v>1828412.447424921</v>
      </c>
      <c r="M593" s="460">
        <f t="shared" si="56"/>
        <v>0.05</v>
      </c>
      <c r="N593" s="464">
        <f t="shared" si="57"/>
        <v>69093</v>
      </c>
    </row>
    <row r="594" spans="7:14" ht="11.25" customHeight="1" x14ac:dyDescent="0.3">
      <c r="G594" s="459">
        <f t="shared" si="63"/>
        <v>49</v>
      </c>
      <c r="H594" s="459">
        <v>587</v>
      </c>
      <c r="I594" s="444">
        <f t="shared" ca="1" si="55"/>
        <v>1828412.447424921</v>
      </c>
      <c r="J594" s="444">
        <f t="array" ref="J594">IFERROR(INDEX('Retirement Calculator'!K:K,MATCH('Lorri 401b'!N594,'Retirement Calculator'!A:A,0),0),0)</f>
        <v>20367.195264578786</v>
      </c>
      <c r="K594" s="444">
        <f t="shared" ca="1" si="53"/>
        <v>7533.5218840014259</v>
      </c>
      <c r="L594" s="444">
        <f t="shared" ca="1" si="54"/>
        <v>1815578.7740443435</v>
      </c>
      <c r="M594" s="460">
        <f t="shared" si="56"/>
        <v>0.05</v>
      </c>
      <c r="N594" s="464">
        <f t="shared" si="57"/>
        <v>69124</v>
      </c>
    </row>
    <row r="595" spans="7:14" ht="11.25" customHeight="1" x14ac:dyDescent="0.3">
      <c r="G595" s="459">
        <f t="shared" si="63"/>
        <v>49</v>
      </c>
      <c r="H595" s="459">
        <v>588</v>
      </c>
      <c r="I595" s="444">
        <f t="shared" ca="1" si="55"/>
        <v>1815578.7740443435</v>
      </c>
      <c r="J595" s="444">
        <f t="array" ref="J595">IFERROR(INDEX('Retirement Calculator'!K:K,MATCH('Lorri 401b'!N595,'Retirement Calculator'!A:A,0),0),0)</f>
        <v>20367.195264578786</v>
      </c>
      <c r="K595" s="444">
        <f t="shared" ca="1" si="53"/>
        <v>7480.0482449156862</v>
      </c>
      <c r="L595" s="444">
        <f t="shared" ca="1" si="54"/>
        <v>1802691.6270246804</v>
      </c>
      <c r="M595" s="460">
        <f t="shared" si="56"/>
        <v>0.05</v>
      </c>
      <c r="N595" s="464">
        <f t="shared" si="57"/>
        <v>69154</v>
      </c>
    </row>
    <row r="596" spans="7:14" ht="11.25" customHeight="1" x14ac:dyDescent="0.3">
      <c r="G596" s="459">
        <f>G595+1</f>
        <v>50</v>
      </c>
      <c r="H596" s="459">
        <v>589</v>
      </c>
      <c r="I596" s="444">
        <f t="shared" ca="1" si="55"/>
        <v>1802691.6270246804</v>
      </c>
      <c r="J596" s="444">
        <f t="array" ref="J596">IFERROR(INDEX('Retirement Calculator'!K:K,MATCH('Lorri 401b'!N596,'Retirement Calculator'!A:A,0),0),0)</f>
        <v>20367.195264578786</v>
      </c>
      <c r="K596" s="444">
        <f t="shared" ca="1" si="53"/>
        <v>7426.3517990004229</v>
      </c>
      <c r="L596" s="444">
        <f t="shared" ca="1" si="54"/>
        <v>1789750.7835591021</v>
      </c>
      <c r="M596" s="460">
        <f t="shared" si="56"/>
        <v>0.05</v>
      </c>
      <c r="N596" s="464">
        <f t="shared" si="57"/>
        <v>69185</v>
      </c>
    </row>
    <row r="597" spans="7:14" ht="11.25" customHeight="1" x14ac:dyDescent="0.3">
      <c r="G597" s="459">
        <f t="shared" ref="G597:G607" si="64">G596</f>
        <v>50</v>
      </c>
      <c r="H597" s="459">
        <v>590</v>
      </c>
      <c r="I597" s="444">
        <f t="shared" ca="1" si="55"/>
        <v>1789750.7835591021</v>
      </c>
      <c r="J597" s="444">
        <f t="array" ref="J597">IFERROR(INDEX('Retirement Calculator'!K:K,MATCH('Lorri 401b'!N597,'Retirement Calculator'!A:A,0),0),0)</f>
        <v>20367.195264578786</v>
      </c>
      <c r="K597" s="444">
        <f t="shared" ca="1" si="53"/>
        <v>7372.431617893847</v>
      </c>
      <c r="L597" s="444">
        <f t="shared" ca="1" si="54"/>
        <v>1776756.019912417</v>
      </c>
      <c r="M597" s="460">
        <f t="shared" si="56"/>
        <v>0.05</v>
      </c>
      <c r="N597" s="464">
        <f t="shared" si="57"/>
        <v>69215</v>
      </c>
    </row>
    <row r="598" spans="7:14" ht="11.25" customHeight="1" x14ac:dyDescent="0.3">
      <c r="G598" s="459">
        <f t="shared" si="64"/>
        <v>50</v>
      </c>
      <c r="H598" s="459">
        <v>591</v>
      </c>
      <c r="I598" s="444">
        <f t="shared" ca="1" si="55"/>
        <v>1776756.019912417</v>
      </c>
      <c r="J598" s="444">
        <f t="array" ref="J598">IFERROR(INDEX('Retirement Calculator'!K:K,MATCH('Lorri 401b'!N598,'Retirement Calculator'!A:A,0),0),0)</f>
        <v>20367.195264578786</v>
      </c>
      <c r="K598" s="444">
        <f t="shared" ca="1" si="53"/>
        <v>7318.2867693659928</v>
      </c>
      <c r="L598" s="444">
        <f t="shared" ca="1" si="54"/>
        <v>1763707.1114172041</v>
      </c>
      <c r="M598" s="460">
        <f t="shared" si="56"/>
        <v>0.05</v>
      </c>
      <c r="N598" s="464">
        <f t="shared" si="57"/>
        <v>69246</v>
      </c>
    </row>
    <row r="599" spans="7:14" ht="11.25" customHeight="1" x14ac:dyDescent="0.3">
      <c r="G599" s="459">
        <f t="shared" si="64"/>
        <v>50</v>
      </c>
      <c r="H599" s="459">
        <v>592</v>
      </c>
      <c r="I599" s="444">
        <f t="shared" ca="1" si="55"/>
        <v>1763707.1114172041</v>
      </c>
      <c r="J599" s="444">
        <f t="array" ref="J599">IFERROR(INDEX('Retirement Calculator'!K:K,MATCH('Lorri 401b'!N599,'Retirement Calculator'!A:A,0),0),0)</f>
        <v>20367.195264578786</v>
      </c>
      <c r="K599" s="444">
        <f t="shared" ca="1" si="53"/>
        <v>7263.9163173026063</v>
      </c>
      <c r="L599" s="444">
        <f t="shared" ca="1" si="54"/>
        <v>1750603.8324699278</v>
      </c>
      <c r="M599" s="460">
        <f t="shared" si="56"/>
        <v>0.05</v>
      </c>
      <c r="N599" s="464">
        <f t="shared" si="57"/>
        <v>69277</v>
      </c>
    </row>
    <row r="600" spans="7:14" ht="11.25" customHeight="1" x14ac:dyDescent="0.3">
      <c r="G600" s="459">
        <f t="shared" si="64"/>
        <v>50</v>
      </c>
      <c r="H600" s="459">
        <v>593</v>
      </c>
      <c r="I600" s="444">
        <f t="shared" ca="1" si="55"/>
        <v>1750603.8324699278</v>
      </c>
      <c r="J600" s="444">
        <f t="array" ref="J600">IFERROR(INDEX('Retirement Calculator'!K:K,MATCH('Lorri 401b'!N600,'Retirement Calculator'!A:A,0),0),0)</f>
        <v>20367.195264578786</v>
      </c>
      <c r="K600" s="444">
        <f t="shared" ca="1" si="53"/>
        <v>7209.3193216889531</v>
      </c>
      <c r="L600" s="444">
        <f t="shared" ca="1" si="54"/>
        <v>1737445.956527038</v>
      </c>
      <c r="M600" s="460">
        <f t="shared" si="56"/>
        <v>0.05</v>
      </c>
      <c r="N600" s="464">
        <f t="shared" si="57"/>
        <v>69307</v>
      </c>
    </row>
    <row r="601" spans="7:14" ht="11.25" customHeight="1" x14ac:dyDescent="0.3">
      <c r="G601" s="459">
        <f t="shared" si="64"/>
        <v>50</v>
      </c>
      <c r="H601" s="459">
        <v>594</v>
      </c>
      <c r="I601" s="444">
        <f t="shared" ca="1" si="55"/>
        <v>1737445.956527038</v>
      </c>
      <c r="J601" s="444">
        <f t="array" ref="J601">IFERROR(INDEX('Retirement Calculator'!K:K,MATCH('Lorri 401b'!N601,'Retirement Calculator'!A:A,0),0),0)</f>
        <v>20367.195264578786</v>
      </c>
      <c r="K601" s="444">
        <f t="shared" ca="1" si="53"/>
        <v>7154.4948385935795</v>
      </c>
      <c r="L601" s="444">
        <f t="shared" ca="1" si="54"/>
        <v>1724233.2561010527</v>
      </c>
      <c r="M601" s="460">
        <f t="shared" si="56"/>
        <v>0.05</v>
      </c>
      <c r="N601" s="464">
        <f t="shared" si="57"/>
        <v>69338</v>
      </c>
    </row>
    <row r="602" spans="7:14" ht="11.25" customHeight="1" x14ac:dyDescent="0.3">
      <c r="G602" s="459">
        <f t="shared" si="64"/>
        <v>50</v>
      </c>
      <c r="H602" s="459">
        <v>595</v>
      </c>
      <c r="I602" s="444">
        <f t="shared" ca="1" si="55"/>
        <v>1724233.2561010527</v>
      </c>
      <c r="J602" s="444">
        <f t="array" ref="J602">IFERROR(INDEX('Retirement Calculator'!K:K,MATCH('Lorri 401b'!N602,'Retirement Calculator'!A:A,0),0),0)</f>
        <v>20367.195264578786</v>
      </c>
      <c r="K602" s="444">
        <f t="shared" ca="1" si="53"/>
        <v>7099.441920151975</v>
      </c>
      <c r="L602" s="444">
        <f t="shared" ca="1" si="54"/>
        <v>1710965.5027566259</v>
      </c>
      <c r="M602" s="460">
        <f t="shared" si="56"/>
        <v>0.05</v>
      </c>
      <c r="N602" s="464">
        <f t="shared" si="57"/>
        <v>69368</v>
      </c>
    </row>
    <row r="603" spans="7:14" ht="11.25" customHeight="1" x14ac:dyDescent="0.3">
      <c r="G603" s="459">
        <f t="shared" si="64"/>
        <v>50</v>
      </c>
      <c r="H603" s="459">
        <v>596</v>
      </c>
      <c r="I603" s="444">
        <f t="shared" ca="1" si="55"/>
        <v>1710965.5027566259</v>
      </c>
      <c r="J603" s="444">
        <f t="array" ref="J603">IFERROR(INDEX('Retirement Calculator'!K:K,MATCH('Lorri 401b'!N603,'Retirement Calculator'!A:A,0),0),0)</f>
        <v>20367.195264578786</v>
      </c>
      <c r="K603" s="444">
        <f t="shared" ca="1" si="53"/>
        <v>7044.1596145501971</v>
      </c>
      <c r="L603" s="444">
        <f t="shared" ca="1" si="54"/>
        <v>1697642.4671065973</v>
      </c>
      <c r="M603" s="460">
        <f t="shared" si="56"/>
        <v>0.05</v>
      </c>
      <c r="N603" s="464">
        <f t="shared" si="57"/>
        <v>69399</v>
      </c>
    </row>
    <row r="604" spans="7:14" ht="11.25" customHeight="1" x14ac:dyDescent="0.3">
      <c r="G604" s="459">
        <f t="shared" si="64"/>
        <v>50</v>
      </c>
      <c r="H604" s="459">
        <v>597</v>
      </c>
      <c r="I604" s="444">
        <f t="shared" ca="1" si="55"/>
        <v>1697642.4671065973</v>
      </c>
      <c r="J604" s="444">
        <f t="array" ref="J604">IFERROR(INDEX('Retirement Calculator'!K:K,MATCH('Lorri 401b'!N604,'Retirement Calculator'!A:A,0),0),0)</f>
        <v>20367.195264578786</v>
      </c>
      <c r="K604" s="444">
        <f t="shared" ca="1" si="53"/>
        <v>6988.6469660084103</v>
      </c>
      <c r="L604" s="444">
        <f t="shared" ca="1" si="54"/>
        <v>1684263.9188080269</v>
      </c>
      <c r="M604" s="460">
        <f t="shared" si="56"/>
        <v>0.05</v>
      </c>
      <c r="N604" s="464">
        <f t="shared" si="57"/>
        <v>69430</v>
      </c>
    </row>
    <row r="605" spans="7:14" ht="11.25" customHeight="1" x14ac:dyDescent="0.3">
      <c r="G605" s="459">
        <f t="shared" si="64"/>
        <v>50</v>
      </c>
      <c r="H605" s="459">
        <v>598</v>
      </c>
      <c r="I605" s="444">
        <f t="shared" ca="1" si="55"/>
        <v>1684263.9188080269</v>
      </c>
      <c r="J605" s="444">
        <f t="array" ref="J605">IFERROR(INDEX('Retirement Calculator'!K:K,MATCH('Lorri 401b'!N605,'Retirement Calculator'!A:A,0),0),0)</f>
        <v>20367.195264578786</v>
      </c>
      <c r="K605" s="444">
        <f t="shared" ca="1" si="53"/>
        <v>6932.9030147643671</v>
      </c>
      <c r="L605" s="444">
        <f t="shared" ca="1" si="54"/>
        <v>1670829.6265582126</v>
      </c>
      <c r="M605" s="460">
        <f t="shared" si="56"/>
        <v>0.05</v>
      </c>
      <c r="N605" s="464">
        <f t="shared" si="57"/>
        <v>69458</v>
      </c>
    </row>
    <row r="606" spans="7:14" ht="11.25" customHeight="1" x14ac:dyDescent="0.3">
      <c r="G606" s="459">
        <f t="shared" si="64"/>
        <v>50</v>
      </c>
      <c r="H606" s="459">
        <v>599</v>
      </c>
      <c r="I606" s="444">
        <f t="shared" ca="1" si="55"/>
        <v>1670829.6265582126</v>
      </c>
      <c r="J606" s="444">
        <f t="array" ref="J606">IFERROR(INDEX('Retirement Calculator'!K:K,MATCH('Lorri 401b'!N606,'Retirement Calculator'!A:A,0),0),0)</f>
        <v>20367.195264578786</v>
      </c>
      <c r="K606" s="444">
        <f t="shared" ca="1" si="53"/>
        <v>6876.9267970568071</v>
      </c>
      <c r="L606" s="444">
        <f t="shared" ca="1" si="54"/>
        <v>1657339.3580906906</v>
      </c>
      <c r="M606" s="460">
        <f t="shared" si="56"/>
        <v>0.05</v>
      </c>
      <c r="N606" s="464">
        <f t="shared" si="57"/>
        <v>69489</v>
      </c>
    </row>
    <row r="607" spans="7:14" ht="11.25" customHeight="1" x14ac:dyDescent="0.3">
      <c r="G607" s="459">
        <f t="shared" si="64"/>
        <v>50</v>
      </c>
      <c r="H607" s="459">
        <v>600</v>
      </c>
      <c r="I607" s="444">
        <f t="shared" ca="1" si="55"/>
        <v>1657339.3580906906</v>
      </c>
      <c r="J607" s="444">
        <f t="array" ref="J607">IFERROR(INDEX('Retirement Calculator'!K:K,MATCH('Lorri 401b'!N607,'Retirement Calculator'!A:A,0),0),0)</f>
        <v>20367.195264578786</v>
      </c>
      <c r="K607" s="444">
        <f t="shared" ca="1" si="53"/>
        <v>6820.7173451087992</v>
      </c>
      <c r="L607" s="444">
        <f t="shared" ca="1" si="54"/>
        <v>1643792.8801712205</v>
      </c>
      <c r="M607" s="460">
        <f t="shared" si="56"/>
        <v>0.05</v>
      </c>
      <c r="N607" s="464">
        <f t="shared" si="57"/>
        <v>69519</v>
      </c>
    </row>
    <row r="608" spans="7:14" ht="11.25" customHeight="1" x14ac:dyDescent="0.3">
      <c r="G608" s="459">
        <f>G607+1</f>
        <v>51</v>
      </c>
      <c r="H608" s="459">
        <v>601</v>
      </c>
      <c r="I608" s="444">
        <f t="shared" ca="1" si="55"/>
        <v>1643792.8801712205</v>
      </c>
      <c r="J608" s="444">
        <f t="array" ref="J608">IFERROR(INDEX('Retirement Calculator'!K:K,MATCH('Lorri 401b'!N608,'Retirement Calculator'!A:A,0),0),0)</f>
        <v>20367.195264578786</v>
      </c>
      <c r="K608" s="444">
        <f t="shared" ca="1" si="53"/>
        <v>6764.2736871110073</v>
      </c>
      <c r="L608" s="444">
        <f t="shared" ca="1" si="54"/>
        <v>1630189.9585937527</v>
      </c>
      <c r="M608" s="460">
        <f t="shared" si="56"/>
        <v>0.05</v>
      </c>
      <c r="N608" s="464">
        <f t="shared" si="57"/>
        <v>69550</v>
      </c>
    </row>
    <row r="609" spans="7:14" ht="11.25" customHeight="1" x14ac:dyDescent="0.3">
      <c r="G609" s="459">
        <f t="shared" ref="G609:G619" si="65">G608</f>
        <v>51</v>
      </c>
      <c r="H609" s="459">
        <v>602</v>
      </c>
      <c r="I609" s="444">
        <f t="shared" ca="1" si="55"/>
        <v>1630189.9585937527</v>
      </c>
      <c r="J609" s="444">
        <f t="array" ref="J609">IFERROR(INDEX('Retirement Calculator'!K:K,MATCH('Lorri 401b'!N609,'Retirement Calculator'!A:A,0),0),0)</f>
        <v>20367.195264578786</v>
      </c>
      <c r="K609" s="444">
        <f t="shared" ca="1" si="53"/>
        <v>6707.5948472048913</v>
      </c>
      <c r="L609" s="444">
        <f t="shared" ca="1" si="54"/>
        <v>1616530.3581763788</v>
      </c>
      <c r="M609" s="460">
        <f t="shared" si="56"/>
        <v>0.05</v>
      </c>
      <c r="N609" s="464">
        <f t="shared" si="57"/>
        <v>69580</v>
      </c>
    </row>
    <row r="610" spans="7:14" ht="11.25" customHeight="1" x14ac:dyDescent="0.3">
      <c r="G610" s="459">
        <f t="shared" si="65"/>
        <v>51</v>
      </c>
      <c r="H610" s="459">
        <v>603</v>
      </c>
      <c r="I610" s="444">
        <f t="shared" ca="1" si="55"/>
        <v>1616530.3581763788</v>
      </c>
      <c r="J610" s="444">
        <f t="array" ref="J610">IFERROR(INDEX('Retirement Calculator'!K:K,MATCH('Lorri 401b'!N610,'Retirement Calculator'!A:A,0),0),0)</f>
        <v>20367.195264578786</v>
      </c>
      <c r="K610" s="444">
        <f t="shared" ca="1" si="53"/>
        <v>6650.6798454658328</v>
      </c>
      <c r="L610" s="444">
        <f t="shared" ca="1" si="54"/>
        <v>1602813.8427572658</v>
      </c>
      <c r="M610" s="460">
        <f t="shared" si="56"/>
        <v>0.05</v>
      </c>
      <c r="N610" s="464">
        <f t="shared" si="57"/>
        <v>69611</v>
      </c>
    </row>
    <row r="611" spans="7:14" ht="11.25" customHeight="1" x14ac:dyDescent="0.3">
      <c r="G611" s="459">
        <f t="shared" si="65"/>
        <v>51</v>
      </c>
      <c r="H611" s="459">
        <v>604</v>
      </c>
      <c r="I611" s="444">
        <f t="shared" ca="1" si="55"/>
        <v>1602813.8427572658</v>
      </c>
      <c r="J611" s="444">
        <f t="array" ref="J611">IFERROR(INDEX('Retirement Calculator'!K:K,MATCH('Lorri 401b'!N611,'Retirement Calculator'!A:A,0),0),0)</f>
        <v>20367.195264578786</v>
      </c>
      <c r="K611" s="444">
        <f t="shared" ca="1" si="53"/>
        <v>6593.5276978861957</v>
      </c>
      <c r="L611" s="444">
        <f t="shared" ca="1" si="54"/>
        <v>1589040.1751905731</v>
      </c>
      <c r="M611" s="460">
        <f t="shared" si="56"/>
        <v>0.05</v>
      </c>
      <c r="N611" s="464">
        <f t="shared" si="57"/>
        <v>69642</v>
      </c>
    </row>
    <row r="612" spans="7:14" ht="11.25" customHeight="1" x14ac:dyDescent="0.3">
      <c r="G612" s="459">
        <f t="shared" si="65"/>
        <v>51</v>
      </c>
      <c r="H612" s="459">
        <v>605</v>
      </c>
      <c r="I612" s="444">
        <f t="shared" ca="1" si="55"/>
        <v>1589040.1751905731</v>
      </c>
      <c r="J612" s="444">
        <f t="array" ref="J612">IFERROR(INDEX('Retirement Calculator'!K:K,MATCH('Lorri 401b'!N612,'Retirement Calculator'!A:A,0),0),0)</f>
        <v>20367.195264578786</v>
      </c>
      <c r="K612" s="444">
        <f t="shared" ca="1" si="53"/>
        <v>6536.1374163583096</v>
      </c>
      <c r="L612" s="444">
        <f t="shared" ca="1" si="54"/>
        <v>1575209.1173423526</v>
      </c>
      <c r="M612" s="460">
        <f t="shared" si="56"/>
        <v>0.05</v>
      </c>
      <c r="N612" s="464">
        <f t="shared" si="57"/>
        <v>69672</v>
      </c>
    </row>
    <row r="613" spans="7:14" ht="11.25" customHeight="1" x14ac:dyDescent="0.3">
      <c r="G613" s="459">
        <f t="shared" si="65"/>
        <v>51</v>
      </c>
      <c r="H613" s="459">
        <v>606</v>
      </c>
      <c r="I613" s="444">
        <f t="shared" ca="1" si="55"/>
        <v>1575209.1173423526</v>
      </c>
      <c r="J613" s="444">
        <f t="array" ref="J613">IFERROR(INDEX('Retirement Calculator'!K:K,MATCH('Lorri 401b'!N613,'Retirement Calculator'!A:A,0),0),0)</f>
        <v>20367.195264578786</v>
      </c>
      <c r="K613" s="444">
        <f t="shared" ca="1" si="53"/>
        <v>6478.5080086573907</v>
      </c>
      <c r="L613" s="444">
        <f t="shared" ca="1" si="54"/>
        <v>1561320.4300864313</v>
      </c>
      <c r="M613" s="460">
        <f t="shared" si="56"/>
        <v>0.05</v>
      </c>
      <c r="N613" s="464">
        <f t="shared" si="57"/>
        <v>69703</v>
      </c>
    </row>
    <row r="614" spans="7:14" ht="11.25" customHeight="1" x14ac:dyDescent="0.3">
      <c r="G614" s="459">
        <f t="shared" si="65"/>
        <v>51</v>
      </c>
      <c r="H614" s="459">
        <v>607</v>
      </c>
      <c r="I614" s="444">
        <f t="shared" ca="1" si="55"/>
        <v>1561320.4300864313</v>
      </c>
      <c r="J614" s="444">
        <f t="array" ref="J614">IFERROR(INDEX('Retirement Calculator'!K:K,MATCH('Lorri 401b'!N614,'Retirement Calculator'!A:A,0),0),0)</f>
        <v>20367.195264578786</v>
      </c>
      <c r="K614" s="444">
        <f t="shared" ca="1" si="53"/>
        <v>6420.6384784243855</v>
      </c>
      <c r="L614" s="444">
        <f t="shared" ca="1" si="54"/>
        <v>1547373.8733002769</v>
      </c>
      <c r="M614" s="460">
        <f t="shared" si="56"/>
        <v>0.05</v>
      </c>
      <c r="N614" s="464">
        <f t="shared" si="57"/>
        <v>69733</v>
      </c>
    </row>
    <row r="615" spans="7:14" ht="11.25" customHeight="1" x14ac:dyDescent="0.3">
      <c r="G615" s="459">
        <f t="shared" si="65"/>
        <v>51</v>
      </c>
      <c r="H615" s="459">
        <v>608</v>
      </c>
      <c r="I615" s="444">
        <f t="shared" ca="1" si="55"/>
        <v>1547373.8733002769</v>
      </c>
      <c r="J615" s="444">
        <f t="array" ref="J615">IFERROR(INDEX('Retirement Calculator'!K:K,MATCH('Lorri 401b'!N615,'Retirement Calculator'!A:A,0),0),0)</f>
        <v>20367.195264578786</v>
      </c>
      <c r="K615" s="444">
        <f t="shared" ca="1" si="53"/>
        <v>6362.5278251487425</v>
      </c>
      <c r="L615" s="444">
        <f t="shared" ca="1" si="54"/>
        <v>1533369.2058608469</v>
      </c>
      <c r="M615" s="460">
        <f t="shared" si="56"/>
        <v>0.05</v>
      </c>
      <c r="N615" s="464">
        <f t="shared" si="57"/>
        <v>69764</v>
      </c>
    </row>
    <row r="616" spans="7:14" ht="11.25" customHeight="1" x14ac:dyDescent="0.3">
      <c r="G616" s="459">
        <f t="shared" si="65"/>
        <v>51</v>
      </c>
      <c r="H616" s="459">
        <v>609</v>
      </c>
      <c r="I616" s="444">
        <f t="shared" ca="1" si="55"/>
        <v>1533369.2058608469</v>
      </c>
      <c r="J616" s="444">
        <f t="array" ref="J616">IFERROR(INDEX('Retirement Calculator'!K:K,MATCH('Lorri 401b'!N616,'Retirement Calculator'!A:A,0),0),0)</f>
        <v>20367.195264578786</v>
      </c>
      <c r="K616" s="444">
        <f t="shared" ca="1" si="53"/>
        <v>6304.1750441511167</v>
      </c>
      <c r="L616" s="444">
        <f t="shared" ca="1" si="54"/>
        <v>1519306.1856404191</v>
      </c>
      <c r="M616" s="460">
        <f t="shared" si="56"/>
        <v>0.05</v>
      </c>
      <c r="N616" s="464">
        <f t="shared" si="57"/>
        <v>69795</v>
      </c>
    </row>
    <row r="617" spans="7:14" ht="11.25" customHeight="1" x14ac:dyDescent="0.3">
      <c r="G617" s="459">
        <f t="shared" si="65"/>
        <v>51</v>
      </c>
      <c r="H617" s="459">
        <v>610</v>
      </c>
      <c r="I617" s="444">
        <f t="shared" ca="1" si="55"/>
        <v>1519306.1856404191</v>
      </c>
      <c r="J617" s="444">
        <f t="array" ref="J617">IFERROR(INDEX('Retirement Calculator'!K:K,MATCH('Lorri 401b'!N617,'Retirement Calculator'!A:A,0),0),0)</f>
        <v>20367.195264578786</v>
      </c>
      <c r="K617" s="444">
        <f t="shared" ca="1" si="53"/>
        <v>6245.5791265660009</v>
      </c>
      <c r="L617" s="444">
        <f t="shared" ca="1" si="54"/>
        <v>1505184.5695024063</v>
      </c>
      <c r="M617" s="460">
        <f t="shared" si="56"/>
        <v>0.05</v>
      </c>
      <c r="N617" s="464">
        <f t="shared" si="57"/>
        <v>69823</v>
      </c>
    </row>
    <row r="618" spans="7:14" ht="11.25" customHeight="1" x14ac:dyDescent="0.3">
      <c r="G618" s="459">
        <f t="shared" si="65"/>
        <v>51</v>
      </c>
      <c r="H618" s="459">
        <v>611</v>
      </c>
      <c r="I618" s="444">
        <f t="shared" ca="1" si="55"/>
        <v>1505184.5695024063</v>
      </c>
      <c r="J618" s="444">
        <f t="array" ref="J618">IFERROR(INDEX('Retirement Calculator'!K:K,MATCH('Lorri 401b'!N618,'Retirement Calculator'!A:A,0),0),0)</f>
        <v>20367.195264578786</v>
      </c>
      <c r="K618" s="444">
        <f t="shared" ca="1" si="53"/>
        <v>6186.7390593242808</v>
      </c>
      <c r="L618" s="444">
        <f t="shared" ca="1" si="54"/>
        <v>1491004.1132971519</v>
      </c>
      <c r="M618" s="460">
        <f t="shared" si="56"/>
        <v>0.05</v>
      </c>
      <c r="N618" s="464">
        <f t="shared" si="57"/>
        <v>69854</v>
      </c>
    </row>
    <row r="619" spans="7:14" ht="11.25" customHeight="1" x14ac:dyDescent="0.3">
      <c r="G619" s="459">
        <f t="shared" si="65"/>
        <v>51</v>
      </c>
      <c r="H619" s="459">
        <v>612</v>
      </c>
      <c r="I619" s="444">
        <f t="shared" ca="1" si="55"/>
        <v>1491004.1132971519</v>
      </c>
      <c r="J619" s="444">
        <f t="array" ref="J619">IFERROR(INDEX('Retirement Calculator'!K:K,MATCH('Lorri 401b'!N619,'Retirement Calculator'!A:A,0),0),0)</f>
        <v>20367.195264578786</v>
      </c>
      <c r="K619" s="444">
        <f t="shared" ca="1" si="53"/>
        <v>6127.6538251357215</v>
      </c>
      <c r="L619" s="444">
        <f t="shared" ca="1" si="54"/>
        <v>1476764.5718577087</v>
      </c>
      <c r="M619" s="460">
        <f t="shared" si="56"/>
        <v>0.05</v>
      </c>
      <c r="N619" s="464">
        <f t="shared" si="57"/>
        <v>69884</v>
      </c>
    </row>
    <row r="620" spans="7:14" ht="11.25" customHeight="1" x14ac:dyDescent="0.3">
      <c r="G620" s="459">
        <f>G619+1</f>
        <v>52</v>
      </c>
      <c r="H620" s="459">
        <v>613</v>
      </c>
      <c r="I620" s="444">
        <f t="shared" ca="1" si="55"/>
        <v>1476764.5718577087</v>
      </c>
      <c r="J620" s="444">
        <f t="array" ref="J620">IFERROR(INDEX('Retirement Calculator'!K:K,MATCH('Lorri 401b'!N620,'Retirement Calculator'!A:A,0),0),0)</f>
        <v>20367.195264578786</v>
      </c>
      <c r="K620" s="444">
        <f t="shared" ca="1" si="53"/>
        <v>6068.3224024713745</v>
      </c>
      <c r="L620" s="444">
        <f t="shared" ca="1" si="54"/>
        <v>1462465.6989956014</v>
      </c>
      <c r="M620" s="460">
        <f t="shared" si="56"/>
        <v>0.05</v>
      </c>
      <c r="N620" s="464">
        <f t="shared" si="57"/>
        <v>69915</v>
      </c>
    </row>
    <row r="621" spans="7:14" ht="11.25" customHeight="1" x14ac:dyDescent="0.3">
      <c r="G621" s="459">
        <f t="shared" ref="G621:G631" si="66">G620</f>
        <v>52</v>
      </c>
      <c r="H621" s="459">
        <v>614</v>
      </c>
      <c r="I621" s="444">
        <f t="shared" ca="1" si="55"/>
        <v>1462465.6989956014</v>
      </c>
      <c r="J621" s="444">
        <f t="array" ref="J621">IFERROR(INDEX('Retirement Calculator'!K:K,MATCH('Lorri 401b'!N621,'Retirement Calculator'!A:A,0),0),0)</f>
        <v>20367.195264578786</v>
      </c>
      <c r="K621" s="444">
        <f t="shared" ca="1" si="53"/>
        <v>6008.7437655459271</v>
      </c>
      <c r="L621" s="444">
        <f t="shared" ca="1" si="54"/>
        <v>1448107.2474965686</v>
      </c>
      <c r="M621" s="460">
        <f t="shared" si="56"/>
        <v>0.05</v>
      </c>
      <c r="N621" s="464">
        <f t="shared" si="57"/>
        <v>69945</v>
      </c>
    </row>
    <row r="622" spans="7:14" ht="11.25" customHeight="1" x14ac:dyDescent="0.3">
      <c r="G622" s="459">
        <f t="shared" si="66"/>
        <v>52</v>
      </c>
      <c r="H622" s="459">
        <v>615</v>
      </c>
      <c r="I622" s="444">
        <f t="shared" ca="1" si="55"/>
        <v>1448107.2474965686</v>
      </c>
      <c r="J622" s="444">
        <f t="array" ref="J622">IFERROR(INDEX('Retirement Calculator'!K:K,MATCH('Lorri 401b'!N622,'Retirement Calculator'!A:A,0),0),0)</f>
        <v>20367.195264578786</v>
      </c>
      <c r="K622" s="444">
        <f t="shared" ca="1" si="53"/>
        <v>5948.916884299957</v>
      </c>
      <c r="L622" s="444">
        <f t="shared" ca="1" si="54"/>
        <v>1433688.9691162899</v>
      </c>
      <c r="M622" s="460">
        <f t="shared" si="56"/>
        <v>0.05</v>
      </c>
      <c r="N622" s="464">
        <f t="shared" si="57"/>
        <v>69976</v>
      </c>
    </row>
    <row r="623" spans="7:14" ht="11.25" customHeight="1" x14ac:dyDescent="0.3">
      <c r="G623" s="459">
        <f t="shared" si="66"/>
        <v>52</v>
      </c>
      <c r="H623" s="459">
        <v>616</v>
      </c>
      <c r="I623" s="444">
        <f t="shared" ca="1" si="55"/>
        <v>1433688.9691162899</v>
      </c>
      <c r="J623" s="444">
        <f t="array" ref="J623">IFERROR(INDEX('Retirement Calculator'!K:K,MATCH('Lorri 401b'!N623,'Retirement Calculator'!A:A,0),0),0)</f>
        <v>20367.195264578786</v>
      </c>
      <c r="K623" s="444">
        <f t="shared" ca="1" si="53"/>
        <v>5888.8407243821293</v>
      </c>
      <c r="L623" s="444">
        <f t="shared" ca="1" si="54"/>
        <v>1419210.6145760932</v>
      </c>
      <c r="M623" s="460">
        <f t="shared" si="56"/>
        <v>0.05</v>
      </c>
      <c r="N623" s="464">
        <f t="shared" si="57"/>
        <v>70007</v>
      </c>
    </row>
    <row r="624" spans="7:14" ht="11.25" customHeight="1" x14ac:dyDescent="0.3">
      <c r="G624" s="459">
        <f t="shared" si="66"/>
        <v>52</v>
      </c>
      <c r="H624" s="459">
        <v>617</v>
      </c>
      <c r="I624" s="444">
        <f t="shared" ca="1" si="55"/>
        <v>1419210.6145760932</v>
      </c>
      <c r="J624" s="444">
        <f t="array" ref="J624">IFERROR(INDEX('Retirement Calculator'!K:K,MATCH('Lorri 401b'!N624,'Retirement Calculator'!A:A,0),0),0)</f>
        <v>20367.195264578786</v>
      </c>
      <c r="K624" s="444">
        <f t="shared" ca="1" si="53"/>
        <v>5828.5142471313102</v>
      </c>
      <c r="L624" s="444">
        <f t="shared" ca="1" si="54"/>
        <v>1404671.9335586457</v>
      </c>
      <c r="M624" s="460">
        <f t="shared" si="56"/>
        <v>0.05</v>
      </c>
      <c r="N624" s="464">
        <f t="shared" si="57"/>
        <v>70037</v>
      </c>
    </row>
    <row r="625" spans="7:14" ht="11.25" customHeight="1" x14ac:dyDescent="0.3">
      <c r="G625" s="459">
        <f t="shared" si="66"/>
        <v>52</v>
      </c>
      <c r="H625" s="459">
        <v>618</v>
      </c>
      <c r="I625" s="444">
        <f t="shared" ca="1" si="55"/>
        <v>1404671.9335586457</v>
      </c>
      <c r="J625" s="444">
        <f t="array" ref="J625">IFERROR(INDEX('Retirement Calculator'!K:K,MATCH('Lorri 401b'!N625,'Retirement Calculator'!A:A,0),0),0)</f>
        <v>20367.195264578786</v>
      </c>
      <c r="K625" s="444">
        <f t="shared" ca="1" si="53"/>
        <v>5767.9364095586116</v>
      </c>
      <c r="L625" s="444">
        <f t="shared" ca="1" si="54"/>
        <v>1390072.6747036255</v>
      </c>
      <c r="M625" s="460">
        <f t="shared" si="56"/>
        <v>0.05</v>
      </c>
      <c r="N625" s="464">
        <f t="shared" si="57"/>
        <v>70068</v>
      </c>
    </row>
    <row r="626" spans="7:14" ht="11.25" customHeight="1" x14ac:dyDescent="0.3">
      <c r="G626" s="459">
        <f t="shared" si="66"/>
        <v>52</v>
      </c>
      <c r="H626" s="459">
        <v>619</v>
      </c>
      <c r="I626" s="444">
        <f t="shared" ca="1" si="55"/>
        <v>1390072.6747036255</v>
      </c>
      <c r="J626" s="444">
        <f t="array" ref="J626">IFERROR(INDEX('Retirement Calculator'!K:K,MATCH('Lorri 401b'!N626,'Retirement Calculator'!A:A,0),0),0)</f>
        <v>20367.195264578786</v>
      </c>
      <c r="K626" s="444">
        <f t="shared" ca="1" si="53"/>
        <v>5707.1061643293615</v>
      </c>
      <c r="L626" s="444">
        <f t="shared" ca="1" si="54"/>
        <v>1375412.5856033762</v>
      </c>
      <c r="M626" s="460">
        <f t="shared" si="56"/>
        <v>0.05</v>
      </c>
      <c r="N626" s="464">
        <f t="shared" si="57"/>
        <v>70098</v>
      </c>
    </row>
    <row r="627" spans="7:14" ht="11.25" customHeight="1" x14ac:dyDescent="0.3">
      <c r="G627" s="459">
        <f t="shared" si="66"/>
        <v>52</v>
      </c>
      <c r="H627" s="459">
        <v>620</v>
      </c>
      <c r="I627" s="444">
        <f t="shared" ca="1" si="55"/>
        <v>1375412.5856033762</v>
      </c>
      <c r="J627" s="444">
        <f t="array" ref="J627">IFERROR(INDEX('Retirement Calculator'!K:K,MATCH('Lorri 401b'!N627,'Retirement Calculator'!A:A,0),0),0)</f>
        <v>20367.195264578786</v>
      </c>
      <c r="K627" s="444">
        <f t="shared" ca="1" si="53"/>
        <v>5646.0224597449887</v>
      </c>
      <c r="L627" s="444">
        <f t="shared" ca="1" si="54"/>
        <v>1360691.4127985423</v>
      </c>
      <c r="M627" s="460">
        <f t="shared" si="56"/>
        <v>0.05</v>
      </c>
      <c r="N627" s="464">
        <f t="shared" si="57"/>
        <v>70129</v>
      </c>
    </row>
    <row r="628" spans="7:14" ht="11.25" customHeight="1" x14ac:dyDescent="0.3">
      <c r="G628" s="459">
        <f t="shared" si="66"/>
        <v>52</v>
      </c>
      <c r="H628" s="459">
        <v>621</v>
      </c>
      <c r="I628" s="444">
        <f t="shared" ca="1" si="55"/>
        <v>1360691.4127985423</v>
      </c>
      <c r="J628" s="444">
        <f t="array" ref="J628">IFERROR(INDEX('Retirement Calculator'!K:K,MATCH('Lorri 401b'!N628,'Retirement Calculator'!A:A,0),0),0)</f>
        <v>20367.195264578786</v>
      </c>
      <c r="K628" s="444">
        <f t="shared" ca="1" si="53"/>
        <v>5584.6842397248474</v>
      </c>
      <c r="L628" s="444">
        <f t="shared" ca="1" si="54"/>
        <v>1345908.9017736884</v>
      </c>
      <c r="M628" s="460">
        <f t="shared" si="56"/>
        <v>0.05</v>
      </c>
      <c r="N628" s="464">
        <f t="shared" si="57"/>
        <v>70160</v>
      </c>
    </row>
    <row r="629" spans="7:14" ht="11.25" customHeight="1" x14ac:dyDescent="0.3">
      <c r="G629" s="459">
        <f t="shared" si="66"/>
        <v>52</v>
      </c>
      <c r="H629" s="459">
        <v>622</v>
      </c>
      <c r="I629" s="444">
        <f t="shared" ca="1" si="55"/>
        <v>1345908.9017736884</v>
      </c>
      <c r="J629" s="444">
        <f t="array" ref="J629">IFERROR(INDEX('Retirement Calculator'!K:K,MATCH('Lorri 401b'!N629,'Retirement Calculator'!A:A,0),0),0)</f>
        <v>20367.195264578786</v>
      </c>
      <c r="K629" s="444">
        <f t="shared" ca="1" si="53"/>
        <v>5523.0904437879562</v>
      </c>
      <c r="L629" s="444">
        <f t="shared" ca="1" si="54"/>
        <v>1331064.7969528974</v>
      </c>
      <c r="M629" s="460">
        <f t="shared" si="56"/>
        <v>0.05</v>
      </c>
      <c r="N629" s="464">
        <f t="shared" si="57"/>
        <v>70189</v>
      </c>
    </row>
    <row r="630" spans="7:14" ht="11.25" customHeight="1" x14ac:dyDescent="0.3">
      <c r="G630" s="459">
        <f t="shared" si="66"/>
        <v>52</v>
      </c>
      <c r="H630" s="459">
        <v>623</v>
      </c>
      <c r="I630" s="444">
        <f t="shared" ca="1" si="55"/>
        <v>1331064.7969528974</v>
      </c>
      <c r="J630" s="444">
        <f t="array" ref="J630">IFERROR(INDEX('Retirement Calculator'!K:K,MATCH('Lorri 401b'!N630,'Retirement Calculator'!A:A,0),0),0)</f>
        <v>20367.195264578786</v>
      </c>
      <c r="K630" s="444">
        <f t="shared" ca="1" si="53"/>
        <v>5461.2400070346612</v>
      </c>
      <c r="L630" s="444">
        <f t="shared" ca="1" si="54"/>
        <v>1316158.8416953534</v>
      </c>
      <c r="M630" s="460">
        <f t="shared" si="56"/>
        <v>0.05</v>
      </c>
      <c r="N630" s="464">
        <f t="shared" si="57"/>
        <v>70220</v>
      </c>
    </row>
    <row r="631" spans="7:14" ht="11.25" customHeight="1" x14ac:dyDescent="0.3">
      <c r="G631" s="459">
        <f t="shared" si="66"/>
        <v>52</v>
      </c>
      <c r="H631" s="459">
        <v>624</v>
      </c>
      <c r="I631" s="444">
        <f t="shared" ca="1" si="55"/>
        <v>1316158.8416953534</v>
      </c>
      <c r="J631" s="444">
        <f t="array" ref="J631">IFERROR(INDEX('Retirement Calculator'!K:K,MATCH('Lorri 401b'!N631,'Retirement Calculator'!A:A,0),0),0)</f>
        <v>20367.195264578786</v>
      </c>
      <c r="K631" s="444">
        <f t="shared" ca="1" si="53"/>
        <v>5399.1318601282273</v>
      </c>
      <c r="L631" s="444">
        <f t="shared" ca="1" si="54"/>
        <v>1301190.7782909027</v>
      </c>
      <c r="M631" s="460">
        <f t="shared" si="56"/>
        <v>0.05</v>
      </c>
      <c r="N631" s="464">
        <f t="shared" si="57"/>
        <v>70250</v>
      </c>
    </row>
    <row r="632" spans="7:14" ht="11.25" customHeight="1" x14ac:dyDescent="0.3">
      <c r="G632" s="459">
        <f>G631+1</f>
        <v>53</v>
      </c>
      <c r="H632" s="459">
        <v>625</v>
      </c>
      <c r="I632" s="444">
        <f t="shared" ca="1" si="55"/>
        <v>1301190.7782909027</v>
      </c>
      <c r="J632" s="444">
        <f t="array" ref="J632">IFERROR(INDEX('Retirement Calculator'!K:K,MATCH('Lorri 401b'!N632,'Retirement Calculator'!A:A,0),0),0)</f>
        <v>20367.195264578786</v>
      </c>
      <c r="K632" s="444">
        <f t="shared" ca="1" si="53"/>
        <v>5336.7649292763499</v>
      </c>
      <c r="L632" s="444">
        <f t="shared" ca="1" si="54"/>
        <v>1286160.3479556004</v>
      </c>
      <c r="M632" s="460">
        <f t="shared" si="56"/>
        <v>0.05</v>
      </c>
      <c r="N632" s="464">
        <f t="shared" si="57"/>
        <v>70281</v>
      </c>
    </row>
    <row r="633" spans="7:14" ht="11.25" customHeight="1" x14ac:dyDescent="0.3">
      <c r="G633" s="459">
        <f t="shared" ref="G633:G643" si="67">G632</f>
        <v>53</v>
      </c>
      <c r="H633" s="459">
        <v>626</v>
      </c>
      <c r="I633" s="444">
        <f t="shared" ca="1" si="55"/>
        <v>1286160.3479556004</v>
      </c>
      <c r="J633" s="444">
        <f t="array" ref="J633">IFERROR(INDEX('Retirement Calculator'!K:K,MATCH('Lorri 401b'!N633,'Retirement Calculator'!A:A,0),0),0)</f>
        <v>20367.195264578786</v>
      </c>
      <c r="K633" s="444">
        <f t="shared" ca="1" si="53"/>
        <v>5274.1381362125894</v>
      </c>
      <c r="L633" s="444">
        <f t="shared" ca="1" si="54"/>
        <v>1271067.290827234</v>
      </c>
      <c r="M633" s="460">
        <f t="shared" si="56"/>
        <v>0.05</v>
      </c>
      <c r="N633" s="464">
        <f t="shared" si="57"/>
        <v>70311</v>
      </c>
    </row>
    <row r="634" spans="7:14" ht="11.25" customHeight="1" x14ac:dyDescent="0.3">
      <c r="G634" s="459">
        <f t="shared" si="67"/>
        <v>53</v>
      </c>
      <c r="H634" s="459">
        <v>627</v>
      </c>
      <c r="I634" s="444">
        <f t="shared" ca="1" si="55"/>
        <v>1271067.290827234</v>
      </c>
      <c r="J634" s="444">
        <f t="array" ref="J634">IFERROR(INDEX('Retirement Calculator'!K:K,MATCH('Lorri 401b'!N634,'Retirement Calculator'!A:A,0),0),0)</f>
        <v>20367.195264578786</v>
      </c>
      <c r="K634" s="444">
        <f t="shared" ca="1" si="53"/>
        <v>5211.2503981777299</v>
      </c>
      <c r="L634" s="444">
        <f t="shared" ca="1" si="54"/>
        <v>1255911.3459608329</v>
      </c>
      <c r="M634" s="460">
        <f t="shared" si="56"/>
        <v>0.05</v>
      </c>
      <c r="N634" s="464">
        <f t="shared" si="57"/>
        <v>70342</v>
      </c>
    </row>
    <row r="635" spans="7:14" ht="11.25" customHeight="1" x14ac:dyDescent="0.3">
      <c r="G635" s="459">
        <f t="shared" si="67"/>
        <v>53</v>
      </c>
      <c r="H635" s="459">
        <v>628</v>
      </c>
      <c r="I635" s="444">
        <f t="shared" ca="1" si="55"/>
        <v>1255911.3459608329</v>
      </c>
      <c r="J635" s="444">
        <f t="array" ref="J635">IFERROR(INDEX('Retirement Calculator'!K:K,MATCH('Lorri 401b'!N635,'Retirement Calculator'!A:A,0),0),0)</f>
        <v>20367.195264578786</v>
      </c>
      <c r="K635" s="444">
        <f t="shared" ca="1" si="53"/>
        <v>5148.1006279010589</v>
      </c>
      <c r="L635" s="444">
        <f t="shared" ca="1" si="54"/>
        <v>1240692.2513241551</v>
      </c>
      <c r="M635" s="460">
        <f t="shared" si="56"/>
        <v>0.05</v>
      </c>
      <c r="N635" s="464">
        <f t="shared" si="57"/>
        <v>70373</v>
      </c>
    </row>
    <row r="636" spans="7:14" ht="11.25" customHeight="1" x14ac:dyDescent="0.3">
      <c r="G636" s="459">
        <f t="shared" si="67"/>
        <v>53</v>
      </c>
      <c r="H636" s="459">
        <v>629</v>
      </c>
      <c r="I636" s="444">
        <f t="shared" ca="1" si="55"/>
        <v>1240692.2513241551</v>
      </c>
      <c r="J636" s="444">
        <f t="array" ref="J636">IFERROR(INDEX('Retirement Calculator'!K:K,MATCH('Lorri 401b'!N636,'Retirement Calculator'!A:A,0),0),0)</f>
        <v>20367.195264578786</v>
      </c>
      <c r="K636" s="444">
        <f t="shared" ca="1" si="53"/>
        <v>5084.687733581568</v>
      </c>
      <c r="L636" s="444">
        <f t="shared" ca="1" si="54"/>
        <v>1225409.7437931579</v>
      </c>
      <c r="M636" s="460">
        <f t="shared" si="56"/>
        <v>0.05</v>
      </c>
      <c r="N636" s="464">
        <f t="shared" si="57"/>
        <v>70403</v>
      </c>
    </row>
    <row r="637" spans="7:14" ht="11.25" customHeight="1" x14ac:dyDescent="0.3">
      <c r="G637" s="459">
        <f t="shared" si="67"/>
        <v>53</v>
      </c>
      <c r="H637" s="459">
        <v>630</v>
      </c>
      <c r="I637" s="444">
        <f t="shared" ca="1" si="55"/>
        <v>1225409.7437931579</v>
      </c>
      <c r="J637" s="444">
        <f t="array" ref="J637">IFERROR(INDEX('Retirement Calculator'!K:K,MATCH('Lorri 401b'!N637,'Retirement Calculator'!A:A,0),0),0)</f>
        <v>20367.195264578786</v>
      </c>
      <c r="K637" s="444">
        <f t="shared" ca="1" si="53"/>
        <v>5021.0106188690797</v>
      </c>
      <c r="L637" s="444">
        <f t="shared" ca="1" si="54"/>
        <v>1210063.559147448</v>
      </c>
      <c r="M637" s="460">
        <f t="shared" si="56"/>
        <v>0.05</v>
      </c>
      <c r="N637" s="464">
        <f t="shared" si="57"/>
        <v>70434</v>
      </c>
    </row>
    <row r="638" spans="7:14" ht="11.25" customHeight="1" x14ac:dyDescent="0.3">
      <c r="G638" s="459">
        <f t="shared" si="67"/>
        <v>53</v>
      </c>
      <c r="H638" s="459">
        <v>631</v>
      </c>
      <c r="I638" s="444">
        <f t="shared" ca="1" si="55"/>
        <v>1210063.559147448</v>
      </c>
      <c r="J638" s="444">
        <f t="array" ref="J638">IFERROR(INDEX('Retirement Calculator'!K:K,MATCH('Lorri 401b'!N638,'Retirement Calculator'!A:A,0),0),0)</f>
        <v>20367.195264578786</v>
      </c>
      <c r="K638" s="444">
        <f t="shared" ca="1" si="53"/>
        <v>4957.0681828452889</v>
      </c>
      <c r="L638" s="444">
        <f t="shared" ca="1" si="54"/>
        <v>1194653.4320657146</v>
      </c>
      <c r="M638" s="460">
        <f t="shared" si="56"/>
        <v>0.05</v>
      </c>
      <c r="N638" s="464">
        <f t="shared" si="57"/>
        <v>70464</v>
      </c>
    </row>
    <row r="639" spans="7:14" ht="11.25" customHeight="1" x14ac:dyDescent="0.3">
      <c r="G639" s="459">
        <f t="shared" si="67"/>
        <v>53</v>
      </c>
      <c r="H639" s="459">
        <v>632</v>
      </c>
      <c r="I639" s="444">
        <f t="shared" ca="1" si="55"/>
        <v>1194653.4320657146</v>
      </c>
      <c r="J639" s="444">
        <f t="array" ref="J639">IFERROR(INDEX('Retirement Calculator'!K:K,MATCH('Lorri 401b'!N639,'Retirement Calculator'!A:A,0),0),0)</f>
        <v>20367.195264578786</v>
      </c>
      <c r="K639" s="444">
        <f t="shared" ca="1" si="53"/>
        <v>4892.8593200047326</v>
      </c>
      <c r="L639" s="444">
        <f t="shared" ca="1" si="54"/>
        <v>1179179.0961211405</v>
      </c>
      <c r="M639" s="460">
        <f t="shared" si="56"/>
        <v>0.05</v>
      </c>
      <c r="N639" s="464">
        <f t="shared" si="57"/>
        <v>70495</v>
      </c>
    </row>
    <row r="640" spans="7:14" ht="11.25" customHeight="1" x14ac:dyDescent="0.3">
      <c r="G640" s="459">
        <f t="shared" si="67"/>
        <v>53</v>
      </c>
      <c r="H640" s="459">
        <v>633</v>
      </c>
      <c r="I640" s="444">
        <f t="shared" ca="1" si="55"/>
        <v>1179179.0961211405</v>
      </c>
      <c r="J640" s="444">
        <f t="array" ref="J640">IFERROR(INDEX('Retirement Calculator'!K:K,MATCH('Lorri 401b'!N640,'Retirement Calculator'!A:A,0),0),0)</f>
        <v>20367.195264578786</v>
      </c>
      <c r="K640" s="444">
        <f t="shared" ca="1" si="53"/>
        <v>4828.3829202356737</v>
      </c>
      <c r="L640" s="444">
        <f t="shared" ca="1" si="54"/>
        <v>1163640.2837767974</v>
      </c>
      <c r="M640" s="460">
        <f t="shared" si="56"/>
        <v>0.05</v>
      </c>
      <c r="N640" s="464">
        <f t="shared" si="57"/>
        <v>70526</v>
      </c>
    </row>
    <row r="641" spans="7:14" ht="11.25" customHeight="1" x14ac:dyDescent="0.3">
      <c r="G641" s="459">
        <f t="shared" si="67"/>
        <v>53</v>
      </c>
      <c r="H641" s="459">
        <v>634</v>
      </c>
      <c r="I641" s="444">
        <f t="shared" ca="1" si="55"/>
        <v>1163640.2837767974</v>
      </c>
      <c r="J641" s="444">
        <f t="array" ref="J641">IFERROR(INDEX('Retirement Calculator'!K:K,MATCH('Lorri 401b'!N641,'Retirement Calculator'!A:A,0),0),0)</f>
        <v>20367.195264578786</v>
      </c>
      <c r="K641" s="444">
        <f t="shared" ca="1" si="53"/>
        <v>4763.6378688009108</v>
      </c>
      <c r="L641" s="444">
        <f t="shared" ca="1" si="54"/>
        <v>1148036.7263810195</v>
      </c>
      <c r="M641" s="460">
        <f t="shared" si="56"/>
        <v>0.05</v>
      </c>
      <c r="N641" s="464">
        <f t="shared" si="57"/>
        <v>70554</v>
      </c>
    </row>
    <row r="642" spans="7:14" ht="11.25" customHeight="1" x14ac:dyDescent="0.3">
      <c r="G642" s="459">
        <f t="shared" si="67"/>
        <v>53</v>
      </c>
      <c r="H642" s="459">
        <v>635</v>
      </c>
      <c r="I642" s="444">
        <f t="shared" ca="1" si="55"/>
        <v>1148036.7263810195</v>
      </c>
      <c r="J642" s="444">
        <f t="array" ref="J642">IFERROR(INDEX('Retirement Calculator'!K:K,MATCH('Lorri 401b'!N642,'Retirement Calculator'!A:A,0),0),0)</f>
        <v>20367.195264578786</v>
      </c>
      <c r="K642" s="444">
        <f t="shared" ca="1" si="53"/>
        <v>4698.6230463185029</v>
      </c>
      <c r="L642" s="444">
        <f t="shared" ca="1" si="54"/>
        <v>1132368.1541627592</v>
      </c>
      <c r="M642" s="460">
        <f t="shared" si="56"/>
        <v>0.05</v>
      </c>
      <c r="N642" s="464">
        <f t="shared" si="57"/>
        <v>70585</v>
      </c>
    </row>
    <row r="643" spans="7:14" ht="11.25" customHeight="1" x14ac:dyDescent="0.3">
      <c r="G643" s="459">
        <f t="shared" si="67"/>
        <v>53</v>
      </c>
      <c r="H643" s="459">
        <v>636</v>
      </c>
      <c r="I643" s="444">
        <f t="shared" ca="1" si="55"/>
        <v>1132368.1541627592</v>
      </c>
      <c r="J643" s="444">
        <f t="array" ref="J643">IFERROR(INDEX('Retirement Calculator'!K:K,MATCH('Lorri 401b'!N643,'Retirement Calculator'!A:A,0),0),0)</f>
        <v>20367.195264578786</v>
      </c>
      <c r="K643" s="444">
        <f t="shared" ca="1" si="53"/>
        <v>4633.3373287424183</v>
      </c>
      <c r="L643" s="444">
        <f t="shared" ca="1" si="54"/>
        <v>1116634.2962269229</v>
      </c>
      <c r="M643" s="460">
        <f t="shared" si="56"/>
        <v>0.05</v>
      </c>
      <c r="N643" s="464">
        <f t="shared" si="57"/>
        <v>70615</v>
      </c>
    </row>
    <row r="644" spans="7:14" ht="11.25" customHeight="1" x14ac:dyDescent="0.3">
      <c r="G644" s="459">
        <f>G643+1</f>
        <v>54</v>
      </c>
      <c r="H644" s="459">
        <v>637</v>
      </c>
      <c r="I644" s="444">
        <f t="shared" ca="1" si="55"/>
        <v>1116634.2962269229</v>
      </c>
      <c r="J644" s="444">
        <f t="array" ref="J644">IFERROR(INDEX('Retirement Calculator'!K:K,MATCH('Lorri 401b'!N644,'Retirement Calculator'!A:A,0),0),0)</f>
        <v>20367.195264578786</v>
      </c>
      <c r="K644" s="444">
        <f t="shared" ca="1" si="53"/>
        <v>4567.7795873431005</v>
      </c>
      <c r="L644" s="444">
        <f t="shared" ca="1" si="54"/>
        <v>1100834.8805496872</v>
      </c>
      <c r="M644" s="460">
        <f t="shared" si="56"/>
        <v>0.05</v>
      </c>
      <c r="N644" s="464">
        <f t="shared" si="57"/>
        <v>70646</v>
      </c>
    </row>
    <row r="645" spans="7:14" ht="11.25" customHeight="1" x14ac:dyDescent="0.3">
      <c r="G645" s="459">
        <f t="shared" ref="G645:G655" si="68">G644</f>
        <v>54</v>
      </c>
      <c r="H645" s="459">
        <v>638</v>
      </c>
      <c r="I645" s="444">
        <f t="shared" ca="1" si="55"/>
        <v>1100834.8805496872</v>
      </c>
      <c r="J645" s="444">
        <f t="array" ref="J645">IFERROR(INDEX('Retirement Calculator'!K:K,MATCH('Lorri 401b'!N645,'Retirement Calculator'!A:A,0),0),0)</f>
        <v>20367.195264578786</v>
      </c>
      <c r="K645" s="444">
        <f t="shared" ca="1" si="53"/>
        <v>4501.9486886879513</v>
      </c>
      <c r="L645" s="444">
        <f t="shared" ca="1" si="54"/>
        <v>1084969.6339737964</v>
      </c>
      <c r="M645" s="460">
        <f t="shared" si="56"/>
        <v>0.05</v>
      </c>
      <c r="N645" s="464">
        <f t="shared" si="57"/>
        <v>70676</v>
      </c>
    </row>
    <row r="646" spans="7:14" ht="11.25" customHeight="1" x14ac:dyDescent="0.3">
      <c r="G646" s="459">
        <f t="shared" si="68"/>
        <v>54</v>
      </c>
      <c r="H646" s="459">
        <v>639</v>
      </c>
      <c r="I646" s="444">
        <f t="shared" ca="1" si="55"/>
        <v>1084969.6339737964</v>
      </c>
      <c r="J646" s="444">
        <f t="array" ref="J646">IFERROR(INDEX('Retirement Calculator'!K:K,MATCH('Lorri 401b'!N646,'Retirement Calculator'!A:A,0),0),0)</f>
        <v>20367.195264578786</v>
      </c>
      <c r="K646" s="444">
        <f t="shared" ca="1" si="53"/>
        <v>4435.8434946217403</v>
      </c>
      <c r="L646" s="444">
        <f t="shared" ca="1" si="54"/>
        <v>1069038.2822038394</v>
      </c>
      <c r="M646" s="460">
        <f t="shared" si="56"/>
        <v>0.05</v>
      </c>
      <c r="N646" s="464">
        <f t="shared" si="57"/>
        <v>70707</v>
      </c>
    </row>
    <row r="647" spans="7:14" ht="11.25" customHeight="1" x14ac:dyDescent="0.3">
      <c r="G647" s="459">
        <f t="shared" si="68"/>
        <v>54</v>
      </c>
      <c r="H647" s="459">
        <v>640</v>
      </c>
      <c r="I647" s="444">
        <f t="shared" ca="1" si="55"/>
        <v>1069038.2822038394</v>
      </c>
      <c r="J647" s="444">
        <f t="array" ref="J647">IFERROR(INDEX('Retirement Calculator'!K:K,MATCH('Lorri 401b'!N647,'Retirement Calculator'!A:A,0),0),0)</f>
        <v>20367.195264578786</v>
      </c>
      <c r="K647" s="444">
        <f t="shared" ca="1" si="53"/>
        <v>4369.462862246919</v>
      </c>
      <c r="L647" s="444">
        <f t="shared" ca="1" si="54"/>
        <v>1053040.5498015075</v>
      </c>
      <c r="M647" s="460">
        <f t="shared" si="56"/>
        <v>0.05</v>
      </c>
      <c r="N647" s="464">
        <f t="shared" si="57"/>
        <v>70738</v>
      </c>
    </row>
    <row r="648" spans="7:14" ht="11.25" customHeight="1" x14ac:dyDescent="0.3">
      <c r="G648" s="459">
        <f t="shared" si="68"/>
        <v>54</v>
      </c>
      <c r="H648" s="459">
        <v>641</v>
      </c>
      <c r="I648" s="444">
        <f t="shared" ca="1" si="55"/>
        <v>1053040.5498015075</v>
      </c>
      <c r="J648" s="444">
        <f t="array" ref="J648">IFERROR(INDEX('Retirement Calculator'!K:K,MATCH('Lorri 401b'!N648,'Retirement Calculator'!A:A,0),0),0)</f>
        <v>20367.195264578786</v>
      </c>
      <c r="K648" s="444">
        <f t="shared" ca="1" si="53"/>
        <v>4302.8056439038692</v>
      </c>
      <c r="L648" s="444">
        <f t="shared" ca="1" si="54"/>
        <v>1036976.1601808326</v>
      </c>
      <c r="M648" s="460">
        <f t="shared" si="56"/>
        <v>0.05</v>
      </c>
      <c r="N648" s="464">
        <f t="shared" si="57"/>
        <v>70768</v>
      </c>
    </row>
    <row r="649" spans="7:14" ht="11.25" customHeight="1" x14ac:dyDescent="0.3">
      <c r="G649" s="459">
        <f t="shared" si="68"/>
        <v>54</v>
      </c>
      <c r="H649" s="459">
        <v>642</v>
      </c>
      <c r="I649" s="444">
        <f t="shared" ca="1" si="55"/>
        <v>1036976.1601808326</v>
      </c>
      <c r="J649" s="444">
        <f t="array" ref="J649">IFERROR(INDEX('Retirement Calculator'!K:K,MATCH('Lorri 401b'!N649,'Retirement Calculator'!A:A,0),0),0)</f>
        <v>20367.195264578786</v>
      </c>
      <c r="K649" s="444">
        <f t="shared" ca="1" si="53"/>
        <v>4235.8706871510576</v>
      </c>
      <c r="L649" s="444">
        <f t="shared" ca="1" si="54"/>
        <v>1020844.8356034049</v>
      </c>
      <c r="M649" s="460">
        <f t="shared" si="56"/>
        <v>0.05</v>
      </c>
      <c r="N649" s="464">
        <f t="shared" si="57"/>
        <v>70799</v>
      </c>
    </row>
    <row r="650" spans="7:14" ht="11.25" customHeight="1" x14ac:dyDescent="0.3">
      <c r="G650" s="459">
        <f t="shared" si="68"/>
        <v>54</v>
      </c>
      <c r="H650" s="459">
        <v>643</v>
      </c>
      <c r="I650" s="444">
        <f t="shared" ca="1" si="55"/>
        <v>1020844.8356034049</v>
      </c>
      <c r="J650" s="444">
        <f t="array" ref="J650">IFERROR(INDEX('Retirement Calculator'!K:K,MATCH('Lorri 401b'!N650,'Retirement Calculator'!A:A,0),0),0)</f>
        <v>20367.195264578786</v>
      </c>
      <c r="K650" s="444">
        <f t="shared" ca="1" si="53"/>
        <v>4168.6568347451084</v>
      </c>
      <c r="L650" s="444">
        <f t="shared" ca="1" si="54"/>
        <v>1004646.2971735712</v>
      </c>
      <c r="M650" s="460">
        <f t="shared" si="56"/>
        <v>0.05</v>
      </c>
      <c r="N650" s="464">
        <f t="shared" si="57"/>
        <v>70829</v>
      </c>
    </row>
    <row r="651" spans="7:14" ht="11.25" customHeight="1" x14ac:dyDescent="0.3">
      <c r="G651" s="459">
        <f t="shared" si="68"/>
        <v>54</v>
      </c>
      <c r="H651" s="459">
        <v>644</v>
      </c>
      <c r="I651" s="444">
        <f t="shared" ca="1" si="55"/>
        <v>1004646.2971735712</v>
      </c>
      <c r="J651" s="444">
        <f t="array" ref="J651">IFERROR(INDEX('Retirement Calculator'!K:K,MATCH('Lorri 401b'!N651,'Retirement Calculator'!A:A,0),0),0)</f>
        <v>20367.195264578786</v>
      </c>
      <c r="K651" s="444">
        <f t="shared" ca="1" si="53"/>
        <v>4101.1629246208013</v>
      </c>
      <c r="L651" s="444">
        <f t="shared" ca="1" si="54"/>
        <v>988380.26483361318</v>
      </c>
      <c r="M651" s="460">
        <f t="shared" si="56"/>
        <v>0.05</v>
      </c>
      <c r="N651" s="464">
        <f t="shared" si="57"/>
        <v>70860</v>
      </c>
    </row>
    <row r="652" spans="7:14" ht="11.25" customHeight="1" x14ac:dyDescent="0.3">
      <c r="G652" s="459">
        <f t="shared" si="68"/>
        <v>54</v>
      </c>
      <c r="H652" s="459">
        <v>645</v>
      </c>
      <c r="I652" s="444">
        <f t="shared" ca="1" si="55"/>
        <v>988380.26483361318</v>
      </c>
      <c r="J652" s="444">
        <f t="array" ref="J652">IFERROR(INDEX('Retirement Calculator'!K:K,MATCH('Lorri 401b'!N652,'Retirement Calculator'!A:A,0),0),0)</f>
        <v>20367.195264578786</v>
      </c>
      <c r="K652" s="444">
        <f t="shared" ca="1" si="53"/>
        <v>4033.3877898709761</v>
      </c>
      <c r="L652" s="444">
        <f t="shared" ca="1" si="54"/>
        <v>972046.45735890535</v>
      </c>
      <c r="M652" s="460">
        <f t="shared" si="56"/>
        <v>0.05</v>
      </c>
      <c r="N652" s="464">
        <f t="shared" si="57"/>
        <v>70891</v>
      </c>
    </row>
    <row r="653" spans="7:14" ht="11.25" customHeight="1" x14ac:dyDescent="0.3">
      <c r="G653" s="459">
        <f t="shared" si="68"/>
        <v>54</v>
      </c>
      <c r="H653" s="459">
        <v>646</v>
      </c>
      <c r="I653" s="444">
        <f t="shared" ca="1" si="55"/>
        <v>972046.45735890535</v>
      </c>
      <c r="J653" s="444">
        <f t="array" ref="J653">IFERROR(INDEX('Retirement Calculator'!K:K,MATCH('Lorri 401b'!N653,'Retirement Calculator'!A:A,0),0),0)</f>
        <v>20367.195264578786</v>
      </c>
      <c r="K653" s="444">
        <f t="shared" ca="1" si="53"/>
        <v>3965.3302587263611</v>
      </c>
      <c r="L653" s="444">
        <f t="shared" ca="1" si="54"/>
        <v>955644.59235305293</v>
      </c>
      <c r="M653" s="460">
        <f t="shared" si="56"/>
        <v>0.05</v>
      </c>
      <c r="N653" s="464">
        <f t="shared" si="57"/>
        <v>70919</v>
      </c>
    </row>
    <row r="654" spans="7:14" ht="11.25" customHeight="1" x14ac:dyDescent="0.3">
      <c r="G654" s="459">
        <f t="shared" si="68"/>
        <v>54</v>
      </c>
      <c r="H654" s="459">
        <v>647</v>
      </c>
      <c r="I654" s="444">
        <f t="shared" ca="1" si="55"/>
        <v>955644.59235305293</v>
      </c>
      <c r="J654" s="444">
        <f t="array" ref="J654">IFERROR(INDEX('Retirement Calculator'!K:K,MATCH('Lorri 401b'!N654,'Retirement Calculator'!A:A,0),0),0)</f>
        <v>20367.195264578786</v>
      </c>
      <c r="K654" s="444">
        <f t="shared" ca="1" si="53"/>
        <v>3896.9891545353094</v>
      </c>
      <c r="L654" s="444">
        <f t="shared" ca="1" si="54"/>
        <v>939174.38624300947</v>
      </c>
      <c r="M654" s="460">
        <f t="shared" si="56"/>
        <v>0.05</v>
      </c>
      <c r="N654" s="464">
        <f t="shared" si="57"/>
        <v>70950</v>
      </c>
    </row>
    <row r="655" spans="7:14" ht="11.25" customHeight="1" x14ac:dyDescent="0.3">
      <c r="G655" s="459">
        <f t="shared" si="68"/>
        <v>54</v>
      </c>
      <c r="H655" s="459">
        <v>648</v>
      </c>
      <c r="I655" s="444">
        <f t="shared" ca="1" si="55"/>
        <v>939174.38624300947</v>
      </c>
      <c r="J655" s="444">
        <f t="array" ref="J655">IFERROR(INDEX('Retirement Calculator'!K:K,MATCH('Lorri 401b'!N655,'Retirement Calculator'!A:A,0),0),0)</f>
        <v>20367.195264578786</v>
      </c>
      <c r="K655" s="444">
        <f t="shared" ca="1" si="53"/>
        <v>3828.3632957434611</v>
      </c>
      <c r="L655" s="444">
        <f t="shared" ca="1" si="54"/>
        <v>922635.55427417415</v>
      </c>
      <c r="M655" s="460">
        <f t="shared" si="56"/>
        <v>0.05</v>
      </c>
      <c r="N655" s="464">
        <f t="shared" si="57"/>
        <v>70980</v>
      </c>
    </row>
    <row r="656" spans="7:14" ht="11.25" customHeight="1" x14ac:dyDescent="0.3">
      <c r="G656" s="459">
        <f>G655+1</f>
        <v>55</v>
      </c>
      <c r="H656" s="459">
        <v>649</v>
      </c>
      <c r="I656" s="444">
        <f t="shared" ca="1" si="55"/>
        <v>922635.55427417415</v>
      </c>
      <c r="J656" s="444">
        <f t="array" ref="J656">IFERROR(INDEX('Retirement Calculator'!K:K,MATCH('Lorri 401b'!N656,'Retirement Calculator'!A:A,0),0),0)</f>
        <v>20367.195264578786</v>
      </c>
      <c r="K656" s="444">
        <f t="shared" ca="1" si="53"/>
        <v>3759.4514958733134</v>
      </c>
      <c r="L656" s="444">
        <f t="shared" ca="1" si="54"/>
        <v>906027.81050546863</v>
      </c>
      <c r="M656" s="460">
        <f t="shared" si="56"/>
        <v>0.05</v>
      </c>
      <c r="N656" s="464">
        <f t="shared" si="57"/>
        <v>71011</v>
      </c>
    </row>
    <row r="657" spans="7:14" ht="11.25" customHeight="1" x14ac:dyDescent="0.3">
      <c r="G657" s="459">
        <f t="shared" ref="G657:G667" si="69">G656</f>
        <v>55</v>
      </c>
      <c r="H657" s="459">
        <v>650</v>
      </c>
      <c r="I657" s="444">
        <f t="shared" ca="1" si="55"/>
        <v>906027.81050546863</v>
      </c>
      <c r="J657" s="444">
        <f t="array" ref="J657">IFERROR(INDEX('Retirement Calculator'!K:K,MATCH('Lorri 401b'!N657,'Retirement Calculator'!A:A,0),0),0)</f>
        <v>20367.195264578786</v>
      </c>
      <c r="K657" s="444">
        <f t="shared" ca="1" si="53"/>
        <v>3690.2525635037077</v>
      </c>
      <c r="L657" s="444">
        <f t="shared" ca="1" si="54"/>
        <v>889350.86780439352</v>
      </c>
      <c r="M657" s="460">
        <f t="shared" si="56"/>
        <v>0.05</v>
      </c>
      <c r="N657" s="464">
        <f t="shared" si="57"/>
        <v>71041</v>
      </c>
    </row>
    <row r="658" spans="7:14" ht="11.25" customHeight="1" x14ac:dyDescent="0.3">
      <c r="G658" s="459">
        <f t="shared" si="69"/>
        <v>55</v>
      </c>
      <c r="H658" s="459">
        <v>651</v>
      </c>
      <c r="I658" s="444">
        <f t="shared" ca="1" si="55"/>
        <v>889350.86780439352</v>
      </c>
      <c r="J658" s="444">
        <f t="array" ref="J658">IFERROR(INDEX('Retirement Calculator'!K:K,MATCH('Lorri 401b'!N658,'Retirement Calculator'!A:A,0),0),0)</f>
        <v>20367.195264578786</v>
      </c>
      <c r="K658" s="444">
        <f t="shared" ca="1" si="53"/>
        <v>3620.7653022492282</v>
      </c>
      <c r="L658" s="444">
        <f t="shared" ca="1" si="54"/>
        <v>872604.43784206396</v>
      </c>
      <c r="M658" s="460">
        <f t="shared" si="56"/>
        <v>0.05</v>
      </c>
      <c r="N658" s="464">
        <f t="shared" si="57"/>
        <v>71072</v>
      </c>
    </row>
    <row r="659" spans="7:14" ht="11.25" customHeight="1" x14ac:dyDescent="0.3">
      <c r="G659" s="459">
        <f t="shared" si="69"/>
        <v>55</v>
      </c>
      <c r="H659" s="459">
        <v>652</v>
      </c>
      <c r="I659" s="444">
        <f t="shared" ca="1" si="55"/>
        <v>872604.43784206396</v>
      </c>
      <c r="J659" s="444">
        <f t="array" ref="J659">IFERROR(INDEX('Retirement Calculator'!K:K,MATCH('Lorri 401b'!N659,'Retirement Calculator'!A:A,0),0),0)</f>
        <v>20367.195264578786</v>
      </c>
      <c r="K659" s="444">
        <f t="shared" ca="1" si="53"/>
        <v>3550.9885107395216</v>
      </c>
      <c r="L659" s="444">
        <f t="shared" ca="1" si="54"/>
        <v>855788.23108822468</v>
      </c>
      <c r="M659" s="460">
        <f t="shared" si="56"/>
        <v>0.05</v>
      </c>
      <c r="N659" s="464">
        <f t="shared" si="57"/>
        <v>71103</v>
      </c>
    </row>
    <row r="660" spans="7:14" ht="11.25" customHeight="1" x14ac:dyDescent="0.3">
      <c r="G660" s="459">
        <f t="shared" si="69"/>
        <v>55</v>
      </c>
      <c r="H660" s="459">
        <v>653</v>
      </c>
      <c r="I660" s="444">
        <f t="shared" ca="1" si="55"/>
        <v>855788.23108822468</v>
      </c>
      <c r="J660" s="444">
        <f t="array" ref="J660">IFERROR(INDEX('Retirement Calculator'!K:K,MATCH('Lorri 401b'!N660,'Retirement Calculator'!A:A,0),0),0)</f>
        <v>20367.195264578786</v>
      </c>
      <c r="K660" s="444">
        <f t="shared" ca="1" si="53"/>
        <v>3480.9209825985249</v>
      </c>
      <c r="L660" s="444">
        <f t="shared" ca="1" si="54"/>
        <v>838901.95680624445</v>
      </c>
      <c r="M660" s="460">
        <f t="shared" si="56"/>
        <v>0.05</v>
      </c>
      <c r="N660" s="464">
        <f t="shared" si="57"/>
        <v>71133</v>
      </c>
    </row>
    <row r="661" spans="7:14" ht="11.25" customHeight="1" x14ac:dyDescent="0.3">
      <c r="G661" s="459">
        <f t="shared" si="69"/>
        <v>55</v>
      </c>
      <c r="H661" s="459">
        <v>654</v>
      </c>
      <c r="I661" s="444">
        <f t="shared" ca="1" si="55"/>
        <v>838901.95680624445</v>
      </c>
      <c r="J661" s="444">
        <f t="array" ref="J661">IFERROR(INDEX('Retirement Calculator'!K:K,MATCH('Lorri 401b'!N661,'Retirement Calculator'!A:A,0),0),0)</f>
        <v>20367.195264578786</v>
      </c>
      <c r="K661" s="444">
        <f t="shared" ca="1" si="53"/>
        <v>3410.5615064236067</v>
      </c>
      <c r="L661" s="444">
        <f t="shared" ca="1" si="54"/>
        <v>821945.32304808928</v>
      </c>
      <c r="M661" s="460">
        <f t="shared" si="56"/>
        <v>0.05</v>
      </c>
      <c r="N661" s="464">
        <f t="shared" si="57"/>
        <v>71164</v>
      </c>
    </row>
    <row r="662" spans="7:14" ht="11.25" customHeight="1" x14ac:dyDescent="0.3">
      <c r="G662" s="459">
        <f t="shared" si="69"/>
        <v>55</v>
      </c>
      <c r="H662" s="459">
        <v>655</v>
      </c>
      <c r="I662" s="444">
        <f t="shared" ca="1" si="55"/>
        <v>821945.32304808928</v>
      </c>
      <c r="J662" s="444">
        <f t="array" ref="J662">IFERROR(INDEX('Retirement Calculator'!K:K,MATCH('Lorri 401b'!N662,'Retirement Calculator'!A:A,0),0),0)</f>
        <v>20367.195264578786</v>
      </c>
      <c r="K662" s="444">
        <f t="shared" ca="1" si="53"/>
        <v>3339.9088657646271</v>
      </c>
      <c r="L662" s="444">
        <f t="shared" ca="1" si="54"/>
        <v>804918.03664927511</v>
      </c>
      <c r="M662" s="460">
        <f t="shared" si="56"/>
        <v>0.05</v>
      </c>
      <c r="N662" s="464">
        <f t="shared" si="57"/>
        <v>71194</v>
      </c>
    </row>
    <row r="663" spans="7:14" ht="11.25" customHeight="1" x14ac:dyDescent="0.3">
      <c r="G663" s="459">
        <f t="shared" si="69"/>
        <v>55</v>
      </c>
      <c r="H663" s="459">
        <v>656</v>
      </c>
      <c r="I663" s="444">
        <f t="shared" ca="1" si="55"/>
        <v>804918.03664927511</v>
      </c>
      <c r="J663" s="444">
        <f t="array" ref="J663">IFERROR(INDEX('Retirement Calculator'!K:K,MATCH('Lorri 401b'!N663,'Retirement Calculator'!A:A,0),0),0)</f>
        <v>20367.195264578786</v>
      </c>
      <c r="K663" s="444">
        <f t="shared" ca="1" si="53"/>
        <v>3268.9618391029012</v>
      </c>
      <c r="L663" s="444">
        <f t="shared" ca="1" si="54"/>
        <v>787819.80322379922</v>
      </c>
      <c r="M663" s="460">
        <f t="shared" si="56"/>
        <v>0.05</v>
      </c>
      <c r="N663" s="464">
        <f t="shared" si="57"/>
        <v>71225</v>
      </c>
    </row>
    <row r="664" spans="7:14" ht="11.25" customHeight="1" x14ac:dyDescent="0.3">
      <c r="G664" s="459">
        <f t="shared" si="69"/>
        <v>55</v>
      </c>
      <c r="H664" s="459">
        <v>657</v>
      </c>
      <c r="I664" s="444">
        <f t="shared" ca="1" si="55"/>
        <v>787819.80322379922</v>
      </c>
      <c r="J664" s="444">
        <f t="array" ref="J664">IFERROR(INDEX('Retirement Calculator'!K:K,MATCH('Lorri 401b'!N664,'Retirement Calculator'!A:A,0),0),0)</f>
        <v>20367.195264578786</v>
      </c>
      <c r="K664" s="444">
        <f t="shared" ca="1" si="53"/>
        <v>3197.719199830085</v>
      </c>
      <c r="L664" s="444">
        <f t="shared" ca="1" si="54"/>
        <v>770650.3271590505</v>
      </c>
      <c r="M664" s="460">
        <f t="shared" si="56"/>
        <v>0.05</v>
      </c>
      <c r="N664" s="464">
        <f t="shared" si="57"/>
        <v>71256</v>
      </c>
    </row>
    <row r="665" spans="7:14" ht="11.25" customHeight="1" x14ac:dyDescent="0.3">
      <c r="G665" s="459">
        <f t="shared" si="69"/>
        <v>55</v>
      </c>
      <c r="H665" s="459">
        <v>658</v>
      </c>
      <c r="I665" s="444">
        <f t="shared" ca="1" si="55"/>
        <v>770650.3271590505</v>
      </c>
      <c r="J665" s="444">
        <f t="array" ref="J665">IFERROR(INDEX('Retirement Calculator'!K:K,MATCH('Lorri 401b'!N665,'Retirement Calculator'!A:A,0),0),0)</f>
        <v>20367.195264578786</v>
      </c>
      <c r="K665" s="444">
        <f t="shared" ca="1" si="53"/>
        <v>3126.1797162269654</v>
      </c>
      <c r="L665" s="444">
        <f t="shared" ca="1" si="54"/>
        <v>753409.3116106987</v>
      </c>
      <c r="M665" s="460">
        <f t="shared" si="56"/>
        <v>0.05</v>
      </c>
      <c r="N665" s="464">
        <f t="shared" si="57"/>
        <v>71284</v>
      </c>
    </row>
    <row r="666" spans="7:14" ht="11.25" customHeight="1" x14ac:dyDescent="0.3">
      <c r="G666" s="459">
        <f t="shared" si="69"/>
        <v>55</v>
      </c>
      <c r="H666" s="459">
        <v>659</v>
      </c>
      <c r="I666" s="444">
        <f t="shared" ca="1" si="55"/>
        <v>753409.3116106987</v>
      </c>
      <c r="J666" s="444">
        <f t="array" ref="J666">IFERROR(INDEX('Retirement Calculator'!K:K,MATCH('Lorri 401b'!N666,'Retirement Calculator'!A:A,0),0),0)</f>
        <v>20367.195264578786</v>
      </c>
      <c r="K666" s="444">
        <f t="shared" ca="1" si="53"/>
        <v>3054.3421514421661</v>
      </c>
      <c r="L666" s="444">
        <f t="shared" ca="1" si="54"/>
        <v>736096.4584975621</v>
      </c>
      <c r="M666" s="460">
        <f t="shared" si="56"/>
        <v>0.05</v>
      </c>
      <c r="N666" s="464">
        <f t="shared" si="57"/>
        <v>71315</v>
      </c>
    </row>
    <row r="667" spans="7:14" ht="11.25" customHeight="1" x14ac:dyDescent="0.3">
      <c r="G667" s="459">
        <f t="shared" si="69"/>
        <v>55</v>
      </c>
      <c r="H667" s="459">
        <v>660</v>
      </c>
      <c r="I667" s="444">
        <f t="shared" ca="1" si="55"/>
        <v>736096.4584975621</v>
      </c>
      <c r="J667" s="444">
        <f t="array" ref="J667">IFERROR(INDEX('Retirement Calculator'!K:K,MATCH('Lorri 401b'!N667,'Retirement Calculator'!A:A,0),0),0)</f>
        <v>20367.195264578786</v>
      </c>
      <c r="K667" s="444">
        <f t="shared" ca="1" si="53"/>
        <v>2982.2052634707638</v>
      </c>
      <c r="L667" s="444">
        <f t="shared" ca="1" si="54"/>
        <v>718711.46849645406</v>
      </c>
      <c r="M667" s="460">
        <f t="shared" si="56"/>
        <v>0.05</v>
      </c>
      <c r="N667" s="464">
        <f t="shared" si="57"/>
        <v>71345</v>
      </c>
    </row>
    <row r="668" spans="7:14" ht="11.25" customHeight="1" x14ac:dyDescent="0.3">
      <c r="G668" s="459">
        <f>G667+1</f>
        <v>56</v>
      </c>
      <c r="H668" s="459">
        <v>661</v>
      </c>
      <c r="I668" s="444">
        <f t="shared" ca="1" si="55"/>
        <v>718711.46849645406</v>
      </c>
      <c r="J668" s="444">
        <f t="array" ref="J668">IFERROR(INDEX('Retirement Calculator'!K:K,MATCH('Lorri 401b'!N668,'Retirement Calculator'!A:A,0),0),0)</f>
        <v>20367.195264578786</v>
      </c>
      <c r="K668" s="444">
        <f t="shared" ca="1" si="53"/>
        <v>2909.7678051328135</v>
      </c>
      <c r="L668" s="444">
        <f t="shared" ca="1" si="54"/>
        <v>701254.04103700805</v>
      </c>
      <c r="M668" s="460">
        <f t="shared" si="56"/>
        <v>0.05</v>
      </c>
      <c r="N668" s="464">
        <f t="shared" si="57"/>
        <v>71376</v>
      </c>
    </row>
    <row r="669" spans="7:14" ht="11.25" customHeight="1" x14ac:dyDescent="0.3">
      <c r="G669" s="459">
        <f t="shared" ref="G669:G679" si="70">G668</f>
        <v>56</v>
      </c>
      <c r="H669" s="459">
        <v>662</v>
      </c>
      <c r="I669" s="444">
        <f t="shared" ca="1" si="55"/>
        <v>701254.04103700805</v>
      </c>
      <c r="J669" s="444">
        <f t="array" ref="J669">IFERROR(INDEX('Retirement Calculator'!K:K,MATCH('Lorri 401b'!N669,'Retirement Calculator'!A:A,0),0),0)</f>
        <v>20367.195264578786</v>
      </c>
      <c r="K669" s="444">
        <f t="shared" ca="1" si="53"/>
        <v>2837.0285240517887</v>
      </c>
      <c r="L669" s="444">
        <f t="shared" ca="1" si="54"/>
        <v>683723.87429648102</v>
      </c>
      <c r="M669" s="460">
        <f t="shared" si="56"/>
        <v>0.05</v>
      </c>
      <c r="N669" s="464">
        <f t="shared" si="57"/>
        <v>71406</v>
      </c>
    </row>
    <row r="670" spans="7:14" ht="11.25" customHeight="1" x14ac:dyDescent="0.3">
      <c r="G670" s="459">
        <f t="shared" si="70"/>
        <v>56</v>
      </c>
      <c r="H670" s="459">
        <v>663</v>
      </c>
      <c r="I670" s="444">
        <f t="shared" ca="1" si="55"/>
        <v>683723.87429648102</v>
      </c>
      <c r="J670" s="444">
        <f t="array" ref="J670">IFERROR(INDEX('Retirement Calculator'!K:K,MATCH('Lorri 401b'!N670,'Retirement Calculator'!A:A,0),0),0)</f>
        <v>20367.195264578786</v>
      </c>
      <c r="K670" s="444">
        <f t="shared" ca="1" si="53"/>
        <v>2763.9861626329257</v>
      </c>
      <c r="L670" s="444">
        <f t="shared" ca="1" si="54"/>
        <v>666120.66519453516</v>
      </c>
      <c r="M670" s="460">
        <f t="shared" si="56"/>
        <v>0.05</v>
      </c>
      <c r="N670" s="464">
        <f t="shared" si="57"/>
        <v>71437</v>
      </c>
    </row>
    <row r="671" spans="7:14" ht="11.25" customHeight="1" x14ac:dyDescent="0.3">
      <c r="G671" s="459">
        <f t="shared" si="70"/>
        <v>56</v>
      </c>
      <c r="H671" s="459">
        <v>664</v>
      </c>
      <c r="I671" s="444">
        <f t="shared" ca="1" si="55"/>
        <v>666120.66519453516</v>
      </c>
      <c r="J671" s="444">
        <f t="array" ref="J671">IFERROR(INDEX('Retirement Calculator'!K:K,MATCH('Lorri 401b'!N671,'Retirement Calculator'!A:A,0),0),0)</f>
        <v>20367.195264578786</v>
      </c>
      <c r="K671" s="444">
        <f t="shared" ca="1" si="53"/>
        <v>2690.6394580414849</v>
      </c>
      <c r="L671" s="444">
        <f t="shared" ca="1" si="54"/>
        <v>648444.10938799789</v>
      </c>
      <c r="M671" s="460">
        <f t="shared" si="56"/>
        <v>0.05</v>
      </c>
      <c r="N671" s="464">
        <f t="shared" si="57"/>
        <v>71468</v>
      </c>
    </row>
    <row r="672" spans="7:14" ht="11.25" customHeight="1" x14ac:dyDescent="0.3">
      <c r="G672" s="459">
        <f t="shared" si="70"/>
        <v>56</v>
      </c>
      <c r="H672" s="459">
        <v>665</v>
      </c>
      <c r="I672" s="444">
        <f t="shared" ca="1" si="55"/>
        <v>648444.10938799789</v>
      </c>
      <c r="J672" s="444">
        <f t="array" ref="J672">IFERROR(INDEX('Retirement Calculator'!K:K,MATCH('Lorri 401b'!N672,'Retirement Calculator'!A:A,0),0),0)</f>
        <v>20367.195264578786</v>
      </c>
      <c r="K672" s="444">
        <f t="shared" ca="1" si="53"/>
        <v>2616.987142180913</v>
      </c>
      <c r="L672" s="444">
        <f t="shared" ca="1" si="54"/>
        <v>630693.9012656</v>
      </c>
      <c r="M672" s="460">
        <f t="shared" si="56"/>
        <v>0.05</v>
      </c>
      <c r="N672" s="464">
        <f t="shared" si="57"/>
        <v>71498</v>
      </c>
    </row>
    <row r="673" spans="7:14" ht="11.25" customHeight="1" x14ac:dyDescent="0.3">
      <c r="G673" s="459">
        <f t="shared" si="70"/>
        <v>56</v>
      </c>
      <c r="H673" s="459">
        <v>666</v>
      </c>
      <c r="I673" s="444">
        <f t="shared" ca="1" si="55"/>
        <v>630693.9012656</v>
      </c>
      <c r="J673" s="444">
        <f t="array" ref="J673">IFERROR(INDEX('Retirement Calculator'!K:K,MATCH('Lorri 401b'!N673,'Retirement Calculator'!A:A,0),0),0)</f>
        <v>20367.195264578786</v>
      </c>
      <c r="K673" s="444">
        <f t="shared" ca="1" si="53"/>
        <v>2543.0279416709218</v>
      </c>
      <c r="L673" s="444">
        <f t="shared" ca="1" si="54"/>
        <v>612869.73394269217</v>
      </c>
      <c r="M673" s="460">
        <f t="shared" si="56"/>
        <v>0.05</v>
      </c>
      <c r="N673" s="464">
        <f t="shared" si="57"/>
        <v>71529</v>
      </c>
    </row>
    <row r="674" spans="7:14" ht="11.25" customHeight="1" x14ac:dyDescent="0.3">
      <c r="G674" s="459">
        <f t="shared" si="70"/>
        <v>56</v>
      </c>
      <c r="H674" s="459">
        <v>667</v>
      </c>
      <c r="I674" s="444">
        <f t="shared" ca="1" si="55"/>
        <v>612869.73394269217</v>
      </c>
      <c r="J674" s="444">
        <f t="array" ref="J674">IFERROR(INDEX('Retirement Calculator'!K:K,MATCH('Lorri 401b'!N674,'Retirement Calculator'!A:A,0),0),0)</f>
        <v>20367.195264578786</v>
      </c>
      <c r="K674" s="444">
        <f t="shared" ca="1" si="53"/>
        <v>2468.7605778254724</v>
      </c>
      <c r="L674" s="444">
        <f t="shared" ca="1" si="54"/>
        <v>594971.29925593885</v>
      </c>
      <c r="M674" s="460">
        <f t="shared" si="56"/>
        <v>0.05</v>
      </c>
      <c r="N674" s="464">
        <f t="shared" si="57"/>
        <v>71559</v>
      </c>
    </row>
    <row r="675" spans="7:14" ht="11.25" customHeight="1" x14ac:dyDescent="0.3">
      <c r="G675" s="459">
        <f t="shared" si="70"/>
        <v>56</v>
      </c>
      <c r="H675" s="459">
        <v>668</v>
      </c>
      <c r="I675" s="444">
        <f t="shared" ca="1" si="55"/>
        <v>594971.29925593885</v>
      </c>
      <c r="J675" s="444">
        <f t="array" ref="J675">IFERROR(INDEX('Retirement Calculator'!K:K,MATCH('Lorri 401b'!N675,'Retirement Calculator'!A:A,0),0),0)</f>
        <v>20367.195264578786</v>
      </c>
      <c r="K675" s="444">
        <f t="shared" ca="1" si="53"/>
        <v>2394.1837666306669</v>
      </c>
      <c r="L675" s="444">
        <f t="shared" ca="1" si="54"/>
        <v>576998.28775799077</v>
      </c>
      <c r="M675" s="460">
        <f t="shared" si="56"/>
        <v>0.05</v>
      </c>
      <c r="N675" s="464">
        <f t="shared" si="57"/>
        <v>71590</v>
      </c>
    </row>
    <row r="676" spans="7:14" ht="11.25" customHeight="1" x14ac:dyDescent="0.3">
      <c r="G676" s="459">
        <f t="shared" si="70"/>
        <v>56</v>
      </c>
      <c r="H676" s="459">
        <v>669</v>
      </c>
      <c r="I676" s="444">
        <f t="shared" ca="1" si="55"/>
        <v>576998.28775799077</v>
      </c>
      <c r="J676" s="444">
        <f t="array" ref="J676">IFERROR(INDEX('Retirement Calculator'!K:K,MATCH('Lorri 401b'!N676,'Retirement Calculator'!A:A,0),0),0)</f>
        <v>20367.195264578786</v>
      </c>
      <c r="K676" s="444">
        <f t="shared" ca="1" si="53"/>
        <v>2319.2962187225498</v>
      </c>
      <c r="L676" s="444">
        <f t="shared" ca="1" si="54"/>
        <v>558950.38871213456</v>
      </c>
      <c r="M676" s="460">
        <f t="shared" si="56"/>
        <v>0.05</v>
      </c>
      <c r="N676" s="464">
        <f t="shared" si="57"/>
        <v>71621</v>
      </c>
    </row>
    <row r="677" spans="7:14" ht="11.25" customHeight="1" x14ac:dyDescent="0.3">
      <c r="G677" s="459">
        <f t="shared" si="70"/>
        <v>56</v>
      </c>
      <c r="H677" s="459">
        <v>670</v>
      </c>
      <c r="I677" s="444">
        <f t="shared" ca="1" si="55"/>
        <v>558950.38871213456</v>
      </c>
      <c r="J677" s="444">
        <f t="array" ref="J677">IFERROR(INDEX('Retirement Calculator'!K:K,MATCH('Lorri 401b'!N677,'Retirement Calculator'!A:A,0),0),0)</f>
        <v>20367.195264578786</v>
      </c>
      <c r="K677" s="444">
        <f t="shared" ca="1" si="53"/>
        <v>2244.0966393648155</v>
      </c>
      <c r="L677" s="444">
        <f t="shared" ca="1" si="54"/>
        <v>540827.29008692061</v>
      </c>
      <c r="M677" s="460">
        <f t="shared" si="56"/>
        <v>0.05</v>
      </c>
      <c r="N677" s="464">
        <f t="shared" si="57"/>
        <v>71650</v>
      </c>
    </row>
    <row r="678" spans="7:14" ht="11.25" customHeight="1" x14ac:dyDescent="0.3">
      <c r="G678" s="459">
        <f t="shared" si="70"/>
        <v>56</v>
      </c>
      <c r="H678" s="459">
        <v>671</v>
      </c>
      <c r="I678" s="444">
        <f t="shared" ca="1" si="55"/>
        <v>540827.29008692061</v>
      </c>
      <c r="J678" s="444">
        <f t="array" ref="J678">IFERROR(INDEX('Retirement Calculator'!K:K,MATCH('Lorri 401b'!N678,'Retirement Calculator'!A:A,0),0),0)</f>
        <v>20367.195264578786</v>
      </c>
      <c r="K678" s="444">
        <f t="shared" ca="1" si="53"/>
        <v>2168.5837284264244</v>
      </c>
      <c r="L678" s="444">
        <f t="shared" ca="1" si="54"/>
        <v>522628.67855076824</v>
      </c>
      <c r="M678" s="460">
        <f t="shared" si="56"/>
        <v>0.05</v>
      </c>
      <c r="N678" s="464">
        <f t="shared" si="57"/>
        <v>71681</v>
      </c>
    </row>
    <row r="679" spans="7:14" ht="11.25" customHeight="1" x14ac:dyDescent="0.3">
      <c r="G679" s="459">
        <f t="shared" si="70"/>
        <v>56</v>
      </c>
      <c r="H679" s="459">
        <v>672</v>
      </c>
      <c r="I679" s="444">
        <f t="shared" ca="1" si="55"/>
        <v>522628.67855076824</v>
      </c>
      <c r="J679" s="444">
        <f t="array" ref="J679">IFERROR(INDEX('Retirement Calculator'!K:K,MATCH('Lorri 401b'!N679,'Retirement Calculator'!A:A,0),0),0)</f>
        <v>20367.195264578786</v>
      </c>
      <c r="K679" s="444">
        <f t="shared" ca="1" si="53"/>
        <v>2092.7561803591225</v>
      </c>
      <c r="L679" s="444">
        <f t="shared" ca="1" si="54"/>
        <v>504354.23946654855</v>
      </c>
      <c r="M679" s="460">
        <f t="shared" si="56"/>
        <v>0.05</v>
      </c>
      <c r="N679" s="464">
        <f t="shared" si="57"/>
        <v>71711</v>
      </c>
    </row>
    <row r="680" spans="7:14" ht="11.25" customHeight="1" x14ac:dyDescent="0.3">
      <c r="G680" s="459">
        <f>G679+1</f>
        <v>57</v>
      </c>
      <c r="H680" s="459">
        <v>673</v>
      </c>
      <c r="I680" s="444">
        <f t="shared" ca="1" si="55"/>
        <v>504354.23946654855</v>
      </c>
      <c r="J680" s="444">
        <f t="array" ref="J680">IFERROR(INDEX('Retirement Calculator'!K:K,MATCH('Lorri 401b'!N680,'Retirement Calculator'!A:A,0),0),0)</f>
        <v>20367.195264578786</v>
      </c>
      <c r="K680" s="444">
        <f t="shared" ca="1" si="53"/>
        <v>2016.6126841748739</v>
      </c>
      <c r="L680" s="444">
        <f t="shared" ca="1" si="54"/>
        <v>486003.6568861446</v>
      </c>
      <c r="M680" s="460">
        <f t="shared" si="56"/>
        <v>0.05</v>
      </c>
      <c r="N680" s="464">
        <f t="shared" si="57"/>
        <v>71742</v>
      </c>
    </row>
    <row r="681" spans="7:14" ht="11.25" customHeight="1" x14ac:dyDescent="0.3">
      <c r="G681" s="459">
        <f t="shared" ref="G681:G691" si="71">G680</f>
        <v>57</v>
      </c>
      <c r="H681" s="459">
        <v>674</v>
      </c>
      <c r="I681" s="444">
        <f t="shared" ca="1" si="55"/>
        <v>486003.6568861446</v>
      </c>
      <c r="J681" s="444">
        <f t="array" ref="J681">IFERROR(INDEX('Retirement Calculator'!K:K,MATCH('Lorri 401b'!N681,'Retirement Calculator'!A:A,0),0),0)</f>
        <v>20367.195264578786</v>
      </c>
      <c r="K681" s="444">
        <f t="shared" ca="1" si="53"/>
        <v>1940.1519234231905</v>
      </c>
      <c r="L681" s="444">
        <f t="shared" ca="1" si="54"/>
        <v>467576.61354498897</v>
      </c>
      <c r="M681" s="460">
        <f t="shared" si="56"/>
        <v>0.05</v>
      </c>
      <c r="N681" s="464">
        <f t="shared" si="57"/>
        <v>71772</v>
      </c>
    </row>
    <row r="682" spans="7:14" ht="11.25" customHeight="1" x14ac:dyDescent="0.3">
      <c r="G682" s="459">
        <f t="shared" si="71"/>
        <v>57</v>
      </c>
      <c r="H682" s="459">
        <v>675</v>
      </c>
      <c r="I682" s="444">
        <f t="shared" ca="1" si="55"/>
        <v>467576.61354498897</v>
      </c>
      <c r="J682" s="444">
        <f t="array" ref="J682">IFERROR(INDEX('Retirement Calculator'!K:K,MATCH('Lorri 401b'!N682,'Retirement Calculator'!A:A,0),0),0)</f>
        <v>20367.195264578786</v>
      </c>
      <c r="K682" s="444">
        <f t="shared" ca="1" si="53"/>
        <v>1863.3725761683756</v>
      </c>
      <c r="L682" s="444">
        <f t="shared" ca="1" si="54"/>
        <v>449072.79085657856</v>
      </c>
      <c r="M682" s="460">
        <f t="shared" si="56"/>
        <v>0.05</v>
      </c>
      <c r="N682" s="464">
        <f t="shared" si="57"/>
        <v>71803</v>
      </c>
    </row>
    <row r="683" spans="7:14" ht="11.25" customHeight="1" x14ac:dyDescent="0.3">
      <c r="G683" s="459">
        <f t="shared" si="71"/>
        <v>57</v>
      </c>
      <c r="H683" s="459">
        <v>676</v>
      </c>
      <c r="I683" s="444">
        <f t="shared" ca="1" si="55"/>
        <v>449072.79085657856</v>
      </c>
      <c r="J683" s="444">
        <f t="array" ref="J683">IFERROR(INDEX('Retirement Calculator'!K:K,MATCH('Lorri 401b'!N683,'Retirement Calculator'!A:A,0),0),0)</f>
        <v>20367.195264578786</v>
      </c>
      <c r="K683" s="444">
        <f t="shared" ca="1" si="53"/>
        <v>1786.2733149666656</v>
      </c>
      <c r="L683" s="444">
        <f t="shared" ca="1" si="54"/>
        <v>430491.86890696641</v>
      </c>
      <c r="M683" s="460">
        <f t="shared" si="56"/>
        <v>0.05</v>
      </c>
      <c r="N683" s="464">
        <f t="shared" si="57"/>
        <v>71834</v>
      </c>
    </row>
    <row r="684" spans="7:14" ht="11.25" customHeight="1" x14ac:dyDescent="0.3">
      <c r="G684" s="459">
        <f t="shared" si="71"/>
        <v>57</v>
      </c>
      <c r="H684" s="459">
        <v>677</v>
      </c>
      <c r="I684" s="444">
        <f t="shared" ca="1" si="55"/>
        <v>430491.86890696641</v>
      </c>
      <c r="J684" s="444">
        <f t="array" ref="J684">IFERROR(INDEX('Retirement Calculator'!K:K,MATCH('Lorri 401b'!N684,'Retirement Calculator'!A:A,0),0),0)</f>
        <v>20367.195264578786</v>
      </c>
      <c r="K684" s="444">
        <f t="shared" ca="1" si="53"/>
        <v>1708.8528068432818</v>
      </c>
      <c r="L684" s="444">
        <f t="shared" ca="1" si="54"/>
        <v>411833.52644923091</v>
      </c>
      <c r="M684" s="460">
        <f t="shared" si="56"/>
        <v>0.05</v>
      </c>
      <c r="N684" s="464">
        <f t="shared" si="57"/>
        <v>71864</v>
      </c>
    </row>
    <row r="685" spans="7:14" ht="11.25" customHeight="1" x14ac:dyDescent="0.3">
      <c r="G685" s="459">
        <f t="shared" si="71"/>
        <v>57</v>
      </c>
      <c r="H685" s="459">
        <v>678</v>
      </c>
      <c r="I685" s="444">
        <f t="shared" ca="1" si="55"/>
        <v>411833.52644923091</v>
      </c>
      <c r="J685" s="444">
        <f t="array" ref="J685">IFERROR(INDEX('Retirement Calculator'!K:K,MATCH('Lorri 401b'!N685,'Retirement Calculator'!A:A,0),0),0)</f>
        <v>20367.195264578786</v>
      </c>
      <c r="K685" s="444">
        <f t="shared" ca="1" si="53"/>
        <v>1631.1097132693837</v>
      </c>
      <c r="L685" s="444">
        <f t="shared" ca="1" si="54"/>
        <v>393097.44089792151</v>
      </c>
      <c r="M685" s="460">
        <f t="shared" si="56"/>
        <v>0.05</v>
      </c>
      <c r="N685" s="464">
        <f t="shared" si="57"/>
        <v>71895</v>
      </c>
    </row>
    <row r="686" spans="7:14" ht="11.25" customHeight="1" x14ac:dyDescent="0.3">
      <c r="G686" s="459">
        <f t="shared" si="71"/>
        <v>57</v>
      </c>
      <c r="H686" s="459">
        <v>679</v>
      </c>
      <c r="I686" s="444">
        <f t="shared" ca="1" si="55"/>
        <v>393097.44089792151</v>
      </c>
      <c r="J686" s="444">
        <f t="array" ref="J686">IFERROR(INDEX('Retirement Calculator'!K:K,MATCH('Lorri 401b'!N686,'Retirement Calculator'!A:A,0),0),0)</f>
        <v>20367.195264578786</v>
      </c>
      <c r="K686" s="444">
        <f t="shared" ca="1" si="53"/>
        <v>1553.042690138928</v>
      </c>
      <c r="L686" s="444">
        <f t="shared" ca="1" si="54"/>
        <v>374283.28832348163</v>
      </c>
      <c r="M686" s="460">
        <f t="shared" si="56"/>
        <v>0.05</v>
      </c>
      <c r="N686" s="464">
        <f t="shared" si="57"/>
        <v>71925</v>
      </c>
    </row>
    <row r="687" spans="7:14" ht="11.25" customHeight="1" x14ac:dyDescent="0.3">
      <c r="G687" s="459">
        <f t="shared" si="71"/>
        <v>57</v>
      </c>
      <c r="H687" s="459">
        <v>680</v>
      </c>
      <c r="I687" s="444">
        <f t="shared" ca="1" si="55"/>
        <v>374283.28832348163</v>
      </c>
      <c r="J687" s="444">
        <f t="array" ref="J687">IFERROR(INDEX('Retirement Calculator'!K:K,MATCH('Lorri 401b'!N687,'Retirement Calculator'!A:A,0),0),0)</f>
        <v>20367.195264578786</v>
      </c>
      <c r="K687" s="444">
        <f t="shared" ca="1" si="53"/>
        <v>1474.6503877454284</v>
      </c>
      <c r="L687" s="444">
        <f t="shared" ca="1" si="54"/>
        <v>355390.74344664824</v>
      </c>
      <c r="M687" s="460">
        <f t="shared" si="56"/>
        <v>0.05</v>
      </c>
      <c r="N687" s="464">
        <f t="shared" si="57"/>
        <v>71956</v>
      </c>
    </row>
    <row r="688" spans="7:14" ht="11.25" customHeight="1" x14ac:dyDescent="0.3">
      <c r="G688" s="459">
        <f t="shared" si="71"/>
        <v>57</v>
      </c>
      <c r="H688" s="459">
        <v>681</v>
      </c>
      <c r="I688" s="444">
        <f t="shared" ca="1" si="55"/>
        <v>355390.74344664824</v>
      </c>
      <c r="J688" s="444">
        <f t="array" ref="J688">IFERROR(INDEX('Retirement Calculator'!K:K,MATCH('Lorri 401b'!N688,'Retirement Calculator'!A:A,0),0),0)</f>
        <v>20367.195264578786</v>
      </c>
      <c r="K688" s="444">
        <f t="shared" ca="1" si="53"/>
        <v>1395.9314507586228</v>
      </c>
      <c r="L688" s="444">
        <f t="shared" ca="1" si="54"/>
        <v>336419.47963282804</v>
      </c>
      <c r="M688" s="460">
        <f t="shared" si="56"/>
        <v>0.05</v>
      </c>
      <c r="N688" s="464">
        <f t="shared" si="57"/>
        <v>71987</v>
      </c>
    </row>
    <row r="689" spans="7:14" ht="11.25" customHeight="1" x14ac:dyDescent="0.3">
      <c r="G689" s="459">
        <f t="shared" si="71"/>
        <v>57</v>
      </c>
      <c r="H689" s="459">
        <v>682</v>
      </c>
      <c r="I689" s="444">
        <f t="shared" ca="1" si="55"/>
        <v>336419.47963282804</v>
      </c>
      <c r="J689" s="444">
        <f t="array" ref="J689">IFERROR(INDEX('Retirement Calculator'!K:K,MATCH('Lorri 401b'!N689,'Retirement Calculator'!A:A,0),0),0)</f>
        <v>20367.195264578786</v>
      </c>
      <c r="K689" s="444">
        <f t="shared" ca="1" si="53"/>
        <v>1316.8845182010384</v>
      </c>
      <c r="L689" s="444">
        <f t="shared" ca="1" si="54"/>
        <v>317369.16888645029</v>
      </c>
      <c r="M689" s="460">
        <f t="shared" si="56"/>
        <v>0.05</v>
      </c>
      <c r="N689" s="464">
        <f t="shared" si="57"/>
        <v>72015</v>
      </c>
    </row>
    <row r="690" spans="7:14" ht="11.25" customHeight="1" x14ac:dyDescent="0.3">
      <c r="G690" s="459">
        <f t="shared" si="71"/>
        <v>57</v>
      </c>
      <c r="H690" s="459">
        <v>683</v>
      </c>
      <c r="I690" s="444">
        <f t="shared" ca="1" si="55"/>
        <v>317369.16888645029</v>
      </c>
      <c r="J690" s="444">
        <f t="array" ref="J690">IFERROR(INDEX('Retirement Calculator'!K:K,MATCH('Lorri 401b'!N690,'Retirement Calculator'!A:A,0),0),0)</f>
        <v>20367.195264578786</v>
      </c>
      <c r="K690" s="444">
        <f t="shared" ca="1" si="53"/>
        <v>1237.5082234244646</v>
      </c>
      <c r="L690" s="444">
        <f t="shared" ca="1" si="54"/>
        <v>298239.48184529599</v>
      </c>
      <c r="M690" s="460">
        <f t="shared" si="56"/>
        <v>0.05</v>
      </c>
      <c r="N690" s="464">
        <f t="shared" si="57"/>
        <v>72046</v>
      </c>
    </row>
    <row r="691" spans="7:14" ht="11.25" customHeight="1" x14ac:dyDescent="0.3">
      <c r="G691" s="459">
        <f t="shared" si="71"/>
        <v>57</v>
      </c>
      <c r="H691" s="459">
        <v>684</v>
      </c>
      <c r="I691" s="444">
        <f t="shared" ca="1" si="55"/>
        <v>298239.48184529599</v>
      </c>
      <c r="J691" s="444">
        <f t="array" ref="J691">IFERROR(INDEX('Retirement Calculator'!K:K,MATCH('Lorri 401b'!N691,'Retirement Calculator'!A:A,0),0),0)</f>
        <v>20367.195264578786</v>
      </c>
      <c r="K691" s="444">
        <f t="shared" ca="1" si="53"/>
        <v>1157.8011940863216</v>
      </c>
      <c r="L691" s="444">
        <f t="shared" ca="1" si="54"/>
        <v>279030.08777480351</v>
      </c>
      <c r="M691" s="460">
        <f t="shared" si="56"/>
        <v>0.05</v>
      </c>
      <c r="N691" s="464">
        <f t="shared" si="57"/>
        <v>72076</v>
      </c>
    </row>
    <row r="692" spans="7:14" ht="11.25" customHeight="1" x14ac:dyDescent="0.3">
      <c r="G692" s="459">
        <f>G691+1</f>
        <v>58</v>
      </c>
      <c r="H692" s="459">
        <v>685</v>
      </c>
      <c r="I692" s="444">
        <f t="shared" ca="1" si="55"/>
        <v>279030.08777480351</v>
      </c>
      <c r="J692" s="444">
        <f t="array" ref="J692">IFERROR(INDEX('Retirement Calculator'!K:K,MATCH('Lorri 401b'!N692,'Retirement Calculator'!A:A,0),0),0)</f>
        <v>20367.195264578786</v>
      </c>
      <c r="K692" s="444">
        <f t="shared" ca="1" si="53"/>
        <v>1077.7620521259364</v>
      </c>
      <c r="L692" s="444">
        <f t="shared" ca="1" si="54"/>
        <v>259740.65456235065</v>
      </c>
      <c r="M692" s="460">
        <f t="shared" si="56"/>
        <v>0.05</v>
      </c>
      <c r="N692" s="464">
        <f t="shared" si="57"/>
        <v>72107</v>
      </c>
    </row>
    <row r="693" spans="7:14" ht="11.25" customHeight="1" x14ac:dyDescent="0.3">
      <c r="G693" s="459">
        <f t="shared" ref="G693:G703" si="72">G692</f>
        <v>58</v>
      </c>
      <c r="H693" s="459">
        <v>686</v>
      </c>
      <c r="I693" s="444">
        <f t="shared" ca="1" si="55"/>
        <v>259740.65456235065</v>
      </c>
      <c r="J693" s="444">
        <f t="array" ref="J693">IFERROR(INDEX('Retirement Calculator'!K:K,MATCH('Lorri 401b'!N693,'Retirement Calculator'!A:A,0),0),0)</f>
        <v>20367.195264578786</v>
      </c>
      <c r="K693" s="444">
        <f t="shared" ca="1" si="53"/>
        <v>997.38941374071612</v>
      </c>
      <c r="L693" s="444">
        <f t="shared" ca="1" si="54"/>
        <v>240370.84871151258</v>
      </c>
      <c r="M693" s="460">
        <f t="shared" si="56"/>
        <v>0.05</v>
      </c>
      <c r="N693" s="464">
        <f t="shared" si="57"/>
        <v>72137</v>
      </c>
    </row>
    <row r="694" spans="7:14" ht="11.25" customHeight="1" x14ac:dyDescent="0.3">
      <c r="G694" s="459">
        <f t="shared" si="72"/>
        <v>58</v>
      </c>
      <c r="H694" s="459">
        <v>687</v>
      </c>
      <c r="I694" s="444">
        <f t="shared" ca="1" si="55"/>
        <v>240370.84871151258</v>
      </c>
      <c r="J694" s="444">
        <f t="array" ref="J694">IFERROR(INDEX('Retirement Calculator'!K:K,MATCH('Lorri 401b'!N694,'Retirement Calculator'!A:A,0),0),0)</f>
        <v>20367.195264578786</v>
      </c>
      <c r="K694" s="444">
        <f t="shared" ca="1" si="53"/>
        <v>916.68188936222407</v>
      </c>
      <c r="L694" s="444">
        <f t="shared" ca="1" si="54"/>
        <v>220920.335336296</v>
      </c>
      <c r="M694" s="460">
        <f t="shared" si="56"/>
        <v>0.05</v>
      </c>
      <c r="N694" s="464">
        <f t="shared" si="57"/>
        <v>72168</v>
      </c>
    </row>
    <row r="695" spans="7:14" ht="11.25" customHeight="1" x14ac:dyDescent="0.3">
      <c r="G695" s="459">
        <f t="shared" si="72"/>
        <v>58</v>
      </c>
      <c r="H695" s="459">
        <v>688</v>
      </c>
      <c r="I695" s="444">
        <f t="shared" ca="1" si="55"/>
        <v>220920.335336296</v>
      </c>
      <c r="J695" s="444">
        <f t="array" ref="J695">IFERROR(INDEX('Retirement Calculator'!K:K,MATCH('Lorri 401b'!N695,'Retirement Calculator'!A:A,0),0),0)</f>
        <v>20367.195264578786</v>
      </c>
      <c r="K695" s="444">
        <f t="shared" ca="1" si="53"/>
        <v>835.63808363215503</v>
      </c>
      <c r="L695" s="444">
        <f t="shared" ca="1" si="54"/>
        <v>201388.77815534937</v>
      </c>
      <c r="M695" s="460">
        <f t="shared" si="56"/>
        <v>0.05</v>
      </c>
      <c r="N695" s="464">
        <f t="shared" si="57"/>
        <v>72199</v>
      </c>
    </row>
    <row r="696" spans="7:14" ht="11.25" customHeight="1" x14ac:dyDescent="0.3">
      <c r="G696" s="459">
        <f t="shared" si="72"/>
        <v>58</v>
      </c>
      <c r="H696" s="459">
        <v>689</v>
      </c>
      <c r="I696" s="444">
        <f t="shared" ca="1" si="55"/>
        <v>201388.77815534937</v>
      </c>
      <c r="J696" s="444">
        <f t="array" ref="J696">IFERROR(INDEX('Retirement Calculator'!K:K,MATCH('Lorri 401b'!N696,'Retirement Calculator'!A:A,0),0),0)</f>
        <v>20367.195264578786</v>
      </c>
      <c r="K696" s="444">
        <f t="shared" ca="1" si="53"/>
        <v>754.2565953782107</v>
      </c>
      <c r="L696" s="444">
        <f t="shared" ca="1" si="54"/>
        <v>181775.83948614879</v>
      </c>
      <c r="M696" s="460">
        <f t="shared" si="56"/>
        <v>0.05</v>
      </c>
      <c r="N696" s="464">
        <f t="shared" si="57"/>
        <v>72229</v>
      </c>
    </row>
    <row r="697" spans="7:14" ht="11.25" customHeight="1" x14ac:dyDescent="0.3">
      <c r="G697" s="459">
        <f t="shared" si="72"/>
        <v>58</v>
      </c>
      <c r="H697" s="459">
        <v>690</v>
      </c>
      <c r="I697" s="444">
        <f t="shared" ca="1" si="55"/>
        <v>181775.83948614879</v>
      </c>
      <c r="J697" s="444">
        <f t="array" ref="J697">IFERROR(INDEX('Retirement Calculator'!K:K,MATCH('Lorri 401b'!N697,'Retirement Calculator'!A:A,0),0),0)</f>
        <v>20367.195264578786</v>
      </c>
      <c r="K697" s="444">
        <f t="shared" ca="1" si="53"/>
        <v>672.53601758987497</v>
      </c>
      <c r="L697" s="444">
        <f t="shared" ca="1" si="54"/>
        <v>162081.18023915988</v>
      </c>
      <c r="M697" s="460">
        <f t="shared" si="56"/>
        <v>0.05</v>
      </c>
      <c r="N697" s="464">
        <f t="shared" si="57"/>
        <v>72260</v>
      </c>
    </row>
    <row r="698" spans="7:14" ht="11.25" customHeight="1" x14ac:dyDescent="0.3">
      <c r="G698" s="459">
        <f t="shared" si="72"/>
        <v>58</v>
      </c>
      <c r="H698" s="459">
        <v>691</v>
      </c>
      <c r="I698" s="444">
        <f t="shared" ca="1" si="55"/>
        <v>162081.18023915988</v>
      </c>
      <c r="J698" s="444">
        <f t="array" ref="J698">IFERROR(INDEX('Retirement Calculator'!K:K,MATCH('Lorri 401b'!N698,'Retirement Calculator'!A:A,0),0),0)</f>
        <v>20367.195264578786</v>
      </c>
      <c r="K698" s="444">
        <f t="shared" ca="1" si="53"/>
        <v>590.47493739408787</v>
      </c>
      <c r="L698" s="444">
        <f t="shared" ca="1" si="54"/>
        <v>142304.45991197517</v>
      </c>
      <c r="M698" s="460">
        <f t="shared" si="56"/>
        <v>0.05</v>
      </c>
      <c r="N698" s="464">
        <f t="shared" si="57"/>
        <v>72290</v>
      </c>
    </row>
    <row r="699" spans="7:14" ht="11.25" customHeight="1" x14ac:dyDescent="0.3">
      <c r="G699" s="459">
        <f t="shared" si="72"/>
        <v>58</v>
      </c>
      <c r="H699" s="459">
        <v>692</v>
      </c>
      <c r="I699" s="444">
        <f t="shared" ca="1" si="55"/>
        <v>142304.45991197517</v>
      </c>
      <c r="J699" s="444">
        <f t="array" ref="J699">IFERROR(INDEX('Retirement Calculator'!K:K,MATCH('Lorri 401b'!N699,'Retirement Calculator'!A:A,0),0),0)</f>
        <v>20367.195264578786</v>
      </c>
      <c r="K699" s="444">
        <f t="shared" ca="1" si="53"/>
        <v>508.07193603081828</v>
      </c>
      <c r="L699" s="444">
        <f t="shared" ca="1" si="54"/>
        <v>122445.3365834272</v>
      </c>
      <c r="M699" s="460">
        <f t="shared" si="56"/>
        <v>0.05</v>
      </c>
      <c r="N699" s="464">
        <f t="shared" si="57"/>
        <v>72321</v>
      </c>
    </row>
    <row r="700" spans="7:14" ht="11.25" customHeight="1" x14ac:dyDescent="0.3">
      <c r="G700" s="459">
        <f t="shared" si="72"/>
        <v>58</v>
      </c>
      <c r="H700" s="459">
        <v>693</v>
      </c>
      <c r="I700" s="444">
        <f t="shared" ca="1" si="55"/>
        <v>122445.3365834272</v>
      </c>
      <c r="J700" s="444">
        <f t="array" ref="J700">IFERROR(INDEX('Retirement Calculator'!K:K,MATCH('Lorri 401b'!N700,'Retirement Calculator'!A:A,0),0),0)</f>
        <v>20367.195264578786</v>
      </c>
      <c r="K700" s="444">
        <f t="shared" ca="1" si="53"/>
        <v>425.32558882853505</v>
      </c>
      <c r="L700" s="444">
        <f t="shared" ca="1" si="54"/>
        <v>102503.46690767695</v>
      </c>
      <c r="M700" s="460">
        <f t="shared" si="56"/>
        <v>0.05</v>
      </c>
      <c r="N700" s="464">
        <f t="shared" si="57"/>
        <v>72352</v>
      </c>
    </row>
    <row r="701" spans="7:14" ht="11.25" customHeight="1" x14ac:dyDescent="0.3">
      <c r="G701" s="459">
        <f t="shared" si="72"/>
        <v>58</v>
      </c>
      <c r="H701" s="459">
        <v>694</v>
      </c>
      <c r="I701" s="444">
        <f t="shared" ca="1" si="55"/>
        <v>102503.46690767695</v>
      </c>
      <c r="J701" s="444">
        <f t="array" ref="J701">IFERROR(INDEX('Retirement Calculator'!K:K,MATCH('Lorri 401b'!N701,'Retirement Calculator'!A:A,0),0),0)</f>
        <v>20367.195264578786</v>
      </c>
      <c r="K701" s="444">
        <f t="shared" ca="1" si="53"/>
        <v>342.23446517957569</v>
      </c>
      <c r="L701" s="444">
        <f t="shared" ca="1" si="54"/>
        <v>82478.506108277739</v>
      </c>
      <c r="M701" s="460">
        <f t="shared" si="56"/>
        <v>0.05</v>
      </c>
      <c r="N701" s="464">
        <f t="shared" si="57"/>
        <v>72380</v>
      </c>
    </row>
    <row r="702" spans="7:14" ht="11.25" customHeight="1" x14ac:dyDescent="0.3">
      <c r="G702" s="459">
        <f t="shared" si="72"/>
        <v>58</v>
      </c>
      <c r="H702" s="459">
        <v>695</v>
      </c>
      <c r="I702" s="444">
        <f t="shared" ca="1" si="55"/>
        <v>82478.506108277739</v>
      </c>
      <c r="J702" s="444">
        <f t="array" ref="J702">IFERROR(INDEX('Retirement Calculator'!K:K,MATCH('Lorri 401b'!N702,'Retirement Calculator'!A:A,0),0),0)</f>
        <v>20367.195264578786</v>
      </c>
      <c r="K702" s="444">
        <f t="shared" ca="1" si="53"/>
        <v>258.79712851541234</v>
      </c>
      <c r="L702" s="444">
        <f t="shared" ca="1" si="54"/>
        <v>62370.10797221437</v>
      </c>
      <c r="M702" s="460">
        <f t="shared" si="56"/>
        <v>0.05</v>
      </c>
      <c r="N702" s="464">
        <f t="shared" si="57"/>
        <v>72411</v>
      </c>
    </row>
    <row r="703" spans="7:14" ht="11.25" customHeight="1" x14ac:dyDescent="0.3">
      <c r="G703" s="459">
        <f t="shared" si="72"/>
        <v>58</v>
      </c>
      <c r="H703" s="459">
        <v>696</v>
      </c>
      <c r="I703" s="444">
        <f t="shared" ca="1" si="55"/>
        <v>62370.10797221437</v>
      </c>
      <c r="J703" s="444">
        <f t="array" ref="J703">IFERROR(INDEX('Retirement Calculator'!K:K,MATCH('Lorri 401b'!N703,'Retirement Calculator'!A:A,0),0),0)</f>
        <v>20367.195264578786</v>
      </c>
      <c r="K703" s="444">
        <f t="shared" ca="1" si="53"/>
        <v>175.01213628181492</v>
      </c>
      <c r="L703" s="444">
        <f t="shared" ca="1" si="54"/>
        <v>42177.924843917397</v>
      </c>
      <c r="M703" s="460">
        <f t="shared" si="56"/>
        <v>0.05</v>
      </c>
      <c r="N703" s="464">
        <f t="shared" si="57"/>
        <v>72441</v>
      </c>
    </row>
    <row r="704" spans="7:14" ht="11.25" customHeight="1" x14ac:dyDescent="0.3">
      <c r="G704" s="459">
        <f>G703+1</f>
        <v>59</v>
      </c>
      <c r="H704" s="459">
        <v>697</v>
      </c>
      <c r="I704" s="444">
        <f t="shared" ca="1" si="55"/>
        <v>42177.924843917397</v>
      </c>
      <c r="J704" s="444">
        <f t="array" ref="J704">IFERROR(INDEX('Retirement Calculator'!K:K,MATCH('Lorri 401b'!N704,'Retirement Calculator'!A:A,0),0),0)</f>
        <v>20367.195264578786</v>
      </c>
      <c r="K704" s="444">
        <f t="shared" ca="1" si="53"/>
        <v>90.878039913910882</v>
      </c>
      <c r="L704" s="444">
        <f t="shared" ca="1" si="54"/>
        <v>21901.607619252522</v>
      </c>
      <c r="M704" s="460">
        <f t="shared" si="56"/>
        <v>0.05</v>
      </c>
      <c r="N704" s="464">
        <f t="shared" si="57"/>
        <v>72472</v>
      </c>
    </row>
    <row r="705" spans="7:14" ht="11.25" customHeight="1" x14ac:dyDescent="0.3">
      <c r="G705" s="459">
        <f t="shared" ref="G705:G715" si="73">G704</f>
        <v>59</v>
      </c>
      <c r="H705" s="459">
        <v>698</v>
      </c>
      <c r="I705" s="444">
        <f t="shared" ca="1" si="55"/>
        <v>21901.607619252522</v>
      </c>
      <c r="J705" s="444">
        <f t="array" ref="J705">IFERROR(INDEX('Retirement Calculator'!K:K,MATCH('Lorri 401b'!N705,'Retirement Calculator'!A:A,0),0),0)</f>
        <v>20367.195264578786</v>
      </c>
      <c r="K705" s="444">
        <f t="shared" ca="1" si="53"/>
        <v>6.3933848111405647</v>
      </c>
      <c r="L705" s="444">
        <f t="shared" ca="1" si="54"/>
        <v>1540.8057394848761</v>
      </c>
      <c r="M705" s="460">
        <f t="shared" si="56"/>
        <v>0.05</v>
      </c>
      <c r="N705" s="464">
        <f t="shared" si="57"/>
        <v>72502</v>
      </c>
    </row>
    <row r="706" spans="7:14" ht="11.25" customHeight="1" x14ac:dyDescent="0.3">
      <c r="G706" s="459">
        <f t="shared" si="73"/>
        <v>59</v>
      </c>
      <c r="H706" s="459">
        <v>699</v>
      </c>
      <c r="I706" s="444">
        <f t="shared" ca="1" si="55"/>
        <v>1540.8057394848761</v>
      </c>
      <c r="J706" s="444">
        <f t="array" ref="J706">IFERROR(INDEX('Retirement Calculator'!K:K,MATCH('Lorri 401b'!N706,'Retirement Calculator'!A:A,0),0),0)</f>
        <v>20367.195264578786</v>
      </c>
      <c r="K706" s="444">
        <f t="shared" ca="1" si="53"/>
        <v>-78.443289687891294</v>
      </c>
      <c r="L706" s="444">
        <f t="shared" ca="1" si="54"/>
        <v>-18904.832814781799</v>
      </c>
      <c r="M706" s="460">
        <f t="shared" si="56"/>
        <v>0.05</v>
      </c>
      <c r="N706" s="464">
        <f t="shared" si="57"/>
        <v>72533</v>
      </c>
    </row>
    <row r="707" spans="7:14" ht="11.25" customHeight="1" x14ac:dyDescent="0.3">
      <c r="G707" s="459">
        <f t="shared" si="73"/>
        <v>59</v>
      </c>
      <c r="H707" s="459">
        <v>700</v>
      </c>
      <c r="I707" s="444">
        <f t="shared" ca="1" si="55"/>
        <v>-18904.832814781799</v>
      </c>
      <c r="J707" s="444">
        <f t="array" ref="J707">IFERROR(INDEX('Retirement Calculator'!K:K,MATCH('Lorri 401b'!N707,'Retirement Calculator'!A:A,0),0),0)</f>
        <v>20367.195264578786</v>
      </c>
      <c r="K707" s="444">
        <f t="shared" ca="1" si="53"/>
        <v>-163.63345033066909</v>
      </c>
      <c r="L707" s="444">
        <f t="shared" ca="1" si="54"/>
        <v>-39435.661529691257</v>
      </c>
      <c r="M707" s="460">
        <f t="shared" si="56"/>
        <v>0.05</v>
      </c>
      <c r="N707" s="464">
        <f t="shared" si="57"/>
        <v>72564</v>
      </c>
    </row>
    <row r="708" spans="7:14" ht="11.25" customHeight="1" x14ac:dyDescent="0.3">
      <c r="G708" s="459">
        <f t="shared" si="73"/>
        <v>59</v>
      </c>
      <c r="H708" s="459">
        <v>701</v>
      </c>
      <c r="I708" s="444">
        <f t="shared" ca="1" si="55"/>
        <v>-39435.661529691257</v>
      </c>
      <c r="J708" s="444">
        <f t="array" ref="J708">IFERROR(INDEX('Retirement Calculator'!K:K,MATCH('Lorri 401b'!N708,'Retirement Calculator'!A:A,0),0),0)</f>
        <v>20367.195264578786</v>
      </c>
      <c r="K708" s="444">
        <f t="shared" ca="1" si="53"/>
        <v>-249.1785699761252</v>
      </c>
      <c r="L708" s="444">
        <f t="shared" ca="1" si="54"/>
        <v>-60052.035364246171</v>
      </c>
      <c r="M708" s="460">
        <f t="shared" si="56"/>
        <v>0.05</v>
      </c>
      <c r="N708" s="464">
        <f t="shared" si="57"/>
        <v>72594</v>
      </c>
    </row>
    <row r="709" spans="7:14" ht="11.25" customHeight="1" x14ac:dyDescent="0.3">
      <c r="G709" s="459">
        <f t="shared" si="73"/>
        <v>59</v>
      </c>
      <c r="H709" s="459">
        <v>702</v>
      </c>
      <c r="I709" s="444">
        <f t="shared" ca="1" si="55"/>
        <v>-60052.035364246171</v>
      </c>
      <c r="J709" s="444">
        <f t="array" ref="J709">IFERROR(INDEX('Retirement Calculator'!K:K,MATCH('Lorri 401b'!N709,'Retirement Calculator'!A:A,0),0),0)</f>
        <v>20367.195264578786</v>
      </c>
      <c r="K709" s="444">
        <f t="shared" ca="1" si="53"/>
        <v>-335.08012762010395</v>
      </c>
      <c r="L709" s="444">
        <f t="shared" ca="1" si="54"/>
        <v>-80754.310756445062</v>
      </c>
      <c r="M709" s="460">
        <f t="shared" si="56"/>
        <v>0.05</v>
      </c>
      <c r="N709" s="464">
        <f t="shared" si="57"/>
        <v>72625</v>
      </c>
    </row>
    <row r="710" spans="7:14" ht="11.25" customHeight="1" x14ac:dyDescent="0.3">
      <c r="G710" s="459">
        <f t="shared" si="73"/>
        <v>59</v>
      </c>
      <c r="H710" s="459">
        <v>703</v>
      </c>
      <c r="I710" s="444">
        <f t="shared" ca="1" si="55"/>
        <v>-80754.310756445062</v>
      </c>
      <c r="J710" s="444">
        <f t="array" ref="J710">IFERROR(INDEX('Retirement Calculator'!K:K,MATCH('Lorri 401b'!N710,'Retirement Calculator'!A:A,0),0),0)</f>
        <v>20367.195264578786</v>
      </c>
      <c r="K710" s="444">
        <f t="shared" ca="1" si="53"/>
        <v>-421.33960842093268</v>
      </c>
      <c r="L710" s="444">
        <f t="shared" ca="1" si="54"/>
        <v>-101542.84562944478</v>
      </c>
      <c r="M710" s="460">
        <f t="shared" si="56"/>
        <v>0.05</v>
      </c>
      <c r="N710" s="464">
        <f t="shared" si="57"/>
        <v>72655</v>
      </c>
    </row>
    <row r="711" spans="7:14" ht="11.25" customHeight="1" x14ac:dyDescent="0.3">
      <c r="G711" s="459">
        <f t="shared" si="73"/>
        <v>59</v>
      </c>
      <c r="H711" s="459">
        <v>704</v>
      </c>
      <c r="I711" s="444">
        <f t="shared" ca="1" si="55"/>
        <v>-101542.84562944478</v>
      </c>
      <c r="J711" s="444">
        <f t="array" ref="J711">IFERROR(INDEX('Retirement Calculator'!K:K,MATCH('Lorri 401b'!N711,'Retirement Calculator'!A:A,0),0),0)</f>
        <v>20367.195264578786</v>
      </c>
      <c r="K711" s="444">
        <f t="shared" ca="1" si="53"/>
        <v>-507.95850372509818</v>
      </c>
      <c r="L711" s="444">
        <f t="shared" ca="1" si="54"/>
        <v>-122417.99939774866</v>
      </c>
      <c r="M711" s="460">
        <f t="shared" si="56"/>
        <v>0.05</v>
      </c>
      <c r="N711" s="464">
        <f t="shared" si="57"/>
        <v>72686</v>
      </c>
    </row>
    <row r="712" spans="7:14" ht="11.25" customHeight="1" x14ac:dyDescent="0.3">
      <c r="G712" s="459">
        <f t="shared" si="73"/>
        <v>59</v>
      </c>
      <c r="H712" s="459">
        <v>705</v>
      </c>
      <c r="I712" s="444">
        <f t="shared" ca="1" si="55"/>
        <v>-122417.99939774866</v>
      </c>
      <c r="J712" s="444">
        <f t="array" ref="J712">IFERROR(INDEX('Retirement Calculator'!K:K,MATCH('Lorri 401b'!N712,'Retirement Calculator'!A:A,0),0),0)</f>
        <v>20367.195264578786</v>
      </c>
      <c r="K712" s="444">
        <f t="shared" ca="1" si="53"/>
        <v>-594.93831109303096</v>
      </c>
      <c r="L712" s="444">
        <f t="shared" ca="1" si="54"/>
        <v>-143380.13297342046</v>
      </c>
      <c r="M712" s="460">
        <f t="shared" si="56"/>
        <v>0.05</v>
      </c>
      <c r="N712" s="464">
        <f t="shared" si="57"/>
        <v>72717</v>
      </c>
    </row>
    <row r="713" spans="7:14" ht="11.25" customHeight="1" x14ac:dyDescent="0.3">
      <c r="G713" s="459">
        <f t="shared" si="73"/>
        <v>59</v>
      </c>
      <c r="H713" s="459">
        <v>706</v>
      </c>
      <c r="I713" s="444">
        <f t="shared" ca="1" si="55"/>
        <v>-143380.13297342046</v>
      </c>
      <c r="J713" s="444">
        <f t="array" ref="J713">IFERROR(INDEX('Retirement Calculator'!K:K,MATCH('Lorri 401b'!N713,'Retirement Calculator'!A:A,0),0),0)</f>
        <v>20367.195264578786</v>
      </c>
      <c r="K713" s="444">
        <f t="shared" ca="1" si="53"/>
        <v>-682.28053432499689</v>
      </c>
      <c r="L713" s="444">
        <f t="shared" ca="1" si="54"/>
        <v>-164429.60877232425</v>
      </c>
      <c r="M713" s="460">
        <f t="shared" si="56"/>
        <v>0.05</v>
      </c>
      <c r="N713" s="464">
        <f t="shared" si="57"/>
        <v>72745</v>
      </c>
    </row>
    <row r="714" spans="7:14" ht="11.25" customHeight="1" x14ac:dyDescent="0.3">
      <c r="G714" s="459">
        <f t="shared" si="73"/>
        <v>59</v>
      </c>
      <c r="H714" s="459">
        <v>707</v>
      </c>
      <c r="I714" s="444">
        <f t="shared" ca="1" si="55"/>
        <v>-164429.60877232425</v>
      </c>
      <c r="J714" s="444">
        <f t="array" ref="J714">IFERROR(INDEX('Retirement Calculator'!K:K,MATCH('Lorri 401b'!N714,'Retirement Calculator'!A:A,0),0),0)</f>
        <v>20367.195264578786</v>
      </c>
      <c r="K714" s="444">
        <f t="shared" ca="1" si="53"/>
        <v>-769.986683487096</v>
      </c>
      <c r="L714" s="444">
        <f t="shared" ca="1" si="54"/>
        <v>-185566.79072039016</v>
      </c>
      <c r="M714" s="460">
        <f t="shared" si="56"/>
        <v>0.05</v>
      </c>
      <c r="N714" s="464">
        <f t="shared" si="57"/>
        <v>72776</v>
      </c>
    </row>
    <row r="715" spans="7:14" ht="11.25" customHeight="1" x14ac:dyDescent="0.3">
      <c r="G715" s="459">
        <f t="shared" si="73"/>
        <v>59</v>
      </c>
      <c r="H715" s="459">
        <v>708</v>
      </c>
      <c r="I715" s="444">
        <f t="shared" ca="1" si="55"/>
        <v>-185566.79072039016</v>
      </c>
      <c r="J715" s="444">
        <f t="array" ref="J715">IFERROR(INDEX('Retirement Calculator'!K:K,MATCH('Lorri 401b'!N715,'Retirement Calculator'!A:A,0),0),0)</f>
        <v>20367.195264578786</v>
      </c>
      <c r="K715" s="444">
        <f t="shared" ca="1" si="53"/>
        <v>-858.05827493737058</v>
      </c>
      <c r="L715" s="444">
        <f t="shared" ca="1" si="54"/>
        <v>-206792.04425990631</v>
      </c>
      <c r="M715" s="460">
        <f t="shared" si="56"/>
        <v>0.05</v>
      </c>
      <c r="N715" s="464">
        <f t="shared" si="57"/>
        <v>72806</v>
      </c>
    </row>
    <row r="716" spans="7:14" ht="11.25" customHeight="1" x14ac:dyDescent="0.3">
      <c r="G716" s="459">
        <f>G715+1</f>
        <v>60</v>
      </c>
      <c r="H716" s="459">
        <v>709</v>
      </c>
      <c r="I716" s="444">
        <f t="shared" ca="1" si="55"/>
        <v>-206792.04425990631</v>
      </c>
      <c r="J716" s="444">
        <f t="array" ref="J716">IFERROR(INDEX('Retirement Calculator'!K:K,MATCH('Lorri 401b'!N716,'Retirement Calculator'!A:A,0),0),0)</f>
        <v>20367.195264578786</v>
      </c>
      <c r="K716" s="444">
        <f t="shared" ca="1" si="53"/>
        <v>-946.49683135202122</v>
      </c>
      <c r="L716" s="444">
        <f t="shared" ca="1" si="54"/>
        <v>-228105.73635583711</v>
      </c>
      <c r="M716" s="460">
        <f t="shared" si="56"/>
        <v>0.05</v>
      </c>
      <c r="N716" s="464">
        <f t="shared" si="57"/>
        <v>72837</v>
      </c>
    </row>
    <row r="717" spans="7:14" ht="11.25" customHeight="1" x14ac:dyDescent="0.3">
      <c r="G717" s="459">
        <f t="shared" ref="G717:G727" si="74">G716</f>
        <v>60</v>
      </c>
      <c r="H717" s="459">
        <v>710</v>
      </c>
      <c r="I717" s="444">
        <f t="shared" ca="1" si="55"/>
        <v>-228105.73635583711</v>
      </c>
      <c r="J717" s="444">
        <f t="array" ref="J717">IFERROR(INDEX('Retirement Calculator'!K:K,MATCH('Lorri 401b'!N717,'Retirement Calculator'!A:A,0),0),0)</f>
        <v>20367.195264578786</v>
      </c>
      <c r="K717" s="444">
        <f t="shared" ca="1" si="53"/>
        <v>-1035.3038817517331</v>
      </c>
      <c r="L717" s="444">
        <f t="shared" ca="1" si="54"/>
        <v>-249508.23550216763</v>
      </c>
      <c r="M717" s="460">
        <f t="shared" si="56"/>
        <v>0.05</v>
      </c>
      <c r="N717" s="464">
        <f t="shared" si="57"/>
        <v>72867</v>
      </c>
    </row>
    <row r="718" spans="7:14" ht="11.25" customHeight="1" x14ac:dyDescent="0.3">
      <c r="G718" s="459">
        <f t="shared" si="74"/>
        <v>60</v>
      </c>
      <c r="H718" s="459">
        <v>711</v>
      </c>
      <c r="I718" s="444">
        <f t="shared" ca="1" si="55"/>
        <v>-249508.23550216763</v>
      </c>
      <c r="J718" s="444">
        <f t="array" ref="J718">IFERROR(INDEX('Retirement Calculator'!K:K,MATCH('Lorri 401b'!N718,'Retirement Calculator'!A:A,0),0),0)</f>
        <v>20367.195264578786</v>
      </c>
      <c r="K718" s="444">
        <f t="shared" ca="1" si="53"/>
        <v>-1124.4809615281099</v>
      </c>
      <c r="L718" s="444">
        <f t="shared" ca="1" si="54"/>
        <v>-270999.91172827448</v>
      </c>
      <c r="M718" s="460">
        <f t="shared" si="56"/>
        <v>0.05</v>
      </c>
      <c r="N718" s="464">
        <f t="shared" si="57"/>
        <v>72898</v>
      </c>
    </row>
    <row r="719" spans="7:14" ht="11.25" customHeight="1" x14ac:dyDescent="0.3">
      <c r="G719" s="459">
        <f t="shared" si="74"/>
        <v>60</v>
      </c>
      <c r="H719" s="459">
        <v>712</v>
      </c>
      <c r="I719" s="444">
        <f t="shared" ca="1" si="55"/>
        <v>-270999.91172827448</v>
      </c>
      <c r="J719" s="444">
        <f t="array" ref="J719">IFERROR(INDEX('Retirement Calculator'!K:K,MATCH('Lorri 401b'!N719,'Retirement Calculator'!A:A,0),0),0)</f>
        <v>20367.195264578786</v>
      </c>
      <c r="K719" s="444">
        <f t="shared" ca="1" si="53"/>
        <v>-1214.029612470222</v>
      </c>
      <c r="L719" s="444">
        <f t="shared" ca="1" si="54"/>
        <v>-292581.13660532353</v>
      </c>
      <c r="M719" s="460">
        <f t="shared" si="56"/>
        <v>0.05</v>
      </c>
      <c r="N719" s="464">
        <f t="shared" si="57"/>
        <v>72929</v>
      </c>
    </row>
    <row r="720" spans="7:14" ht="11.25" customHeight="1" x14ac:dyDescent="0.3">
      <c r="G720" s="459">
        <f t="shared" si="74"/>
        <v>60</v>
      </c>
      <c r="H720" s="459">
        <v>713</v>
      </c>
      <c r="I720" s="444">
        <f t="shared" ca="1" si="55"/>
        <v>-292581.13660532353</v>
      </c>
      <c r="J720" s="444">
        <f t="array" ref="J720">IFERROR(INDEX('Retirement Calculator'!K:K,MATCH('Lorri 401b'!N720,'Retirement Calculator'!A:A,0),0),0)</f>
        <v>20367.195264578786</v>
      </c>
      <c r="K720" s="444">
        <f t="shared" ca="1" si="53"/>
        <v>-1303.9513827912597</v>
      </c>
      <c r="L720" s="444">
        <f t="shared" ca="1" si="54"/>
        <v>-314252.2832526936</v>
      </c>
      <c r="M720" s="460">
        <f t="shared" si="56"/>
        <v>0.05</v>
      </c>
      <c r="N720" s="464">
        <f t="shared" si="57"/>
        <v>72959</v>
      </c>
    </row>
    <row r="721" spans="7:14" ht="11.25" customHeight="1" x14ac:dyDescent="0.3">
      <c r="G721" s="459">
        <f t="shared" si="74"/>
        <v>60</v>
      </c>
      <c r="H721" s="459">
        <v>714</v>
      </c>
      <c r="I721" s="444">
        <f t="shared" ca="1" si="55"/>
        <v>-314252.2832526936</v>
      </c>
      <c r="J721" s="444">
        <f t="array" ref="J721">IFERROR(INDEX('Retirement Calculator'!K:K,MATCH('Lorri 401b'!N721,'Retirement Calculator'!A:A,0),0),0)</f>
        <v>20367.195264578786</v>
      </c>
      <c r="K721" s="444">
        <f t="shared" ca="1" si="53"/>
        <v>-1394.2478271553016</v>
      </c>
      <c r="L721" s="444">
        <f t="shared" ca="1" si="54"/>
        <v>-336013.72634442768</v>
      </c>
      <c r="M721" s="460">
        <f t="shared" si="56"/>
        <v>0.05</v>
      </c>
      <c r="N721" s="464">
        <f t="shared" si="57"/>
        <v>72990</v>
      </c>
    </row>
    <row r="722" spans="7:14" ht="11.25" customHeight="1" x14ac:dyDescent="0.3">
      <c r="G722" s="459">
        <f t="shared" si="74"/>
        <v>60</v>
      </c>
      <c r="H722" s="459">
        <v>715</v>
      </c>
      <c r="I722" s="444">
        <f t="shared" ca="1" si="55"/>
        <v>-336013.72634442768</v>
      </c>
      <c r="J722" s="444">
        <f t="array" ref="J722">IFERROR(INDEX('Retirement Calculator'!K:K,MATCH('Lorri 401b'!N722,'Retirement Calculator'!A:A,0),0),0)</f>
        <v>20367.195264578786</v>
      </c>
      <c r="K722" s="444">
        <f t="shared" ca="1" si="53"/>
        <v>-1484.9205067041937</v>
      </c>
      <c r="L722" s="444">
        <f t="shared" ca="1" si="54"/>
        <v>-357865.84211571066</v>
      </c>
      <c r="M722" s="460">
        <f t="shared" si="56"/>
        <v>0.05</v>
      </c>
      <c r="N722" s="464">
        <f t="shared" si="57"/>
        <v>73020</v>
      </c>
    </row>
    <row r="723" spans="7:14" ht="11.25" customHeight="1" x14ac:dyDescent="0.3">
      <c r="G723" s="459">
        <f t="shared" si="74"/>
        <v>60</v>
      </c>
      <c r="H723" s="459">
        <v>716</v>
      </c>
      <c r="I723" s="444">
        <f t="shared" ca="1" si="55"/>
        <v>-357865.84211571066</v>
      </c>
      <c r="J723" s="444">
        <f t="array" ref="J723">IFERROR(INDEX('Retirement Calculator'!K:K,MATCH('Lorri 401b'!N723,'Retirement Calculator'!A:A,0),0),0)</f>
        <v>20367.195264578786</v>
      </c>
      <c r="K723" s="444">
        <f t="shared" ca="1" si="53"/>
        <v>-1575.9709890845395</v>
      </c>
      <c r="L723" s="444">
        <f t="shared" ca="1" si="54"/>
        <v>-379809.00836937397</v>
      </c>
      <c r="M723" s="460">
        <f t="shared" si="56"/>
        <v>0.05</v>
      </c>
      <c r="N723" s="464">
        <f t="shared" si="57"/>
        <v>73051</v>
      </c>
    </row>
    <row r="724" spans="7:14" ht="11.25" customHeight="1" x14ac:dyDescent="0.3">
      <c r="G724" s="459">
        <f t="shared" si="74"/>
        <v>60</v>
      </c>
      <c r="H724" s="459">
        <v>717</v>
      </c>
      <c r="I724" s="444">
        <f t="shared" ca="1" si="55"/>
        <v>-379809.00836937397</v>
      </c>
      <c r="J724" s="444">
        <f t="array" ref="J724">IFERROR(INDEX('Retirement Calculator'!K:K,MATCH('Lorri 401b'!N724,'Retirement Calculator'!A:A,0),0),0)</f>
        <v>20367.195264578786</v>
      </c>
      <c r="K724" s="444">
        <f t="shared" ca="1" si="53"/>
        <v>-1667.4008484748031</v>
      </c>
      <c r="L724" s="444">
        <f t="shared" ca="1" si="54"/>
        <v>-401843.60448242759</v>
      </c>
      <c r="M724" s="460">
        <f t="shared" si="56"/>
        <v>0.05</v>
      </c>
      <c r="N724" s="464">
        <f t="shared" si="57"/>
        <v>73082</v>
      </c>
    </row>
    <row r="725" spans="7:14" ht="11.25" customHeight="1" x14ac:dyDescent="0.3">
      <c r="G725" s="459">
        <f t="shared" si="74"/>
        <v>60</v>
      </c>
      <c r="H725" s="459">
        <v>718</v>
      </c>
      <c r="I725" s="444">
        <f t="shared" ca="1" si="55"/>
        <v>-401843.60448242759</v>
      </c>
      <c r="J725" s="444">
        <f t="array" ref="J725">IFERROR(INDEX('Retirement Calculator'!K:K,MATCH('Lorri 401b'!N725,'Retirement Calculator'!A:A,0),0),0)</f>
        <v>20367.195264578786</v>
      </c>
      <c r="K725" s="444">
        <f t="shared" ca="1" si="53"/>
        <v>-1759.2116656125263</v>
      </c>
      <c r="L725" s="444">
        <f t="shared" ca="1" si="54"/>
        <v>-423970.01141261891</v>
      </c>
      <c r="M725" s="460">
        <f t="shared" si="56"/>
        <v>0.05</v>
      </c>
      <c r="N725" s="464">
        <f t="shared" si="57"/>
        <v>73110</v>
      </c>
    </row>
    <row r="726" spans="7:14" ht="11.25" customHeight="1" x14ac:dyDescent="0.3">
      <c r="G726" s="459">
        <f t="shared" si="74"/>
        <v>60</v>
      </c>
      <c r="H726" s="459">
        <v>719</v>
      </c>
      <c r="I726" s="444">
        <f t="shared" ca="1" si="55"/>
        <v>-423970.01141261891</v>
      </c>
      <c r="J726" s="444">
        <f t="array" ref="J726">IFERROR(INDEX('Retirement Calculator'!K:K,MATCH('Lorri 401b'!N726,'Retirement Calculator'!A:A,0),0),0)</f>
        <v>20367.195264578786</v>
      </c>
      <c r="K726" s="444">
        <f t="shared" ca="1" si="53"/>
        <v>-1851.4050278216569</v>
      </c>
      <c r="L726" s="444">
        <f t="shared" ca="1" si="54"/>
        <v>-446188.61170501937</v>
      </c>
      <c r="M726" s="460">
        <f t="shared" si="56"/>
        <v>0.05</v>
      </c>
      <c r="N726" s="464">
        <f t="shared" si="57"/>
        <v>73141</v>
      </c>
    </row>
    <row r="727" spans="7:14" ht="11.25" customHeight="1" x14ac:dyDescent="0.3">
      <c r="G727" s="459">
        <f t="shared" si="74"/>
        <v>60</v>
      </c>
      <c r="H727" s="459">
        <v>720</v>
      </c>
      <c r="I727" s="444">
        <f t="shared" ca="1" si="55"/>
        <v>-446188.61170501937</v>
      </c>
      <c r="J727" s="444">
        <f t="array" ref="J727">IFERROR(INDEX('Retirement Calculator'!K:K,MATCH('Lorri 401b'!N727,'Retirement Calculator'!A:A,0),0),0)</f>
        <v>20367.195264578786</v>
      </c>
      <c r="K727" s="444">
        <f t="shared" ca="1" si="53"/>
        <v>-1943.9825290399924</v>
      </c>
      <c r="L727" s="444">
        <f t="shared" ca="1" si="54"/>
        <v>-468499.78949863819</v>
      </c>
      <c r="M727" s="460">
        <f t="shared" si="56"/>
        <v>0.05</v>
      </c>
      <c r="N727" s="464">
        <f t="shared" si="57"/>
        <v>73171</v>
      </c>
    </row>
    <row r="728" spans="7:14" ht="11.25" customHeight="1" x14ac:dyDescent="0.3">
      <c r="G728" s="459">
        <f>G727+1</f>
        <v>61</v>
      </c>
      <c r="H728" s="459">
        <v>721</v>
      </c>
      <c r="I728" s="444">
        <f t="shared" ca="1" si="55"/>
        <v>-468499.78949863819</v>
      </c>
      <c r="J728" s="444">
        <f t="array" ref="J728">IFERROR(INDEX('Retirement Calculator'!K:K,MATCH('Lorri 401b'!N728,'Retirement Calculator'!A:A,0),0),0)</f>
        <v>20367.195264578786</v>
      </c>
      <c r="K728" s="444">
        <f t="shared" ca="1" si="53"/>
        <v>-2036.9457698467372</v>
      </c>
      <c r="L728" s="444">
        <f t="shared" ca="1" si="54"/>
        <v>-490903.93053306371</v>
      </c>
      <c r="M728" s="460">
        <f t="shared" si="56"/>
        <v>0.05</v>
      </c>
      <c r="N728" s="464">
        <f t="shared" si="57"/>
        <v>73202</v>
      </c>
    </row>
    <row r="729" spans="7:14" ht="11.25" customHeight="1" x14ac:dyDescent="0.3">
      <c r="G729" s="459">
        <f t="shared" ref="G729:G739" si="75">G728</f>
        <v>61</v>
      </c>
      <c r="H729" s="459">
        <v>722</v>
      </c>
      <c r="I729" s="444">
        <f t="shared" ca="1" si="55"/>
        <v>-490903.93053306371</v>
      </c>
      <c r="J729" s="444">
        <f t="array" ref="J729">IFERROR(INDEX('Retirement Calculator'!K:K,MATCH('Lorri 401b'!N729,'Retirement Calculator'!A:A,0),0),0)</f>
        <v>20367.195264578786</v>
      </c>
      <c r="K729" s="444">
        <f t="shared" ca="1" si="53"/>
        <v>-2130.2963574901769</v>
      </c>
      <c r="L729" s="444">
        <f t="shared" ca="1" si="54"/>
        <v>-513401.42215513269</v>
      </c>
      <c r="M729" s="460">
        <f t="shared" si="56"/>
        <v>0.05</v>
      </c>
      <c r="N729" s="464">
        <f t="shared" si="57"/>
        <v>73232</v>
      </c>
    </row>
    <row r="730" spans="7:14" ht="11.25" customHeight="1" x14ac:dyDescent="0.3">
      <c r="G730" s="459">
        <f t="shared" si="75"/>
        <v>61</v>
      </c>
      <c r="H730" s="459">
        <v>723</v>
      </c>
      <c r="I730" s="444">
        <f t="shared" ca="1" si="55"/>
        <v>-513401.42215513269</v>
      </c>
      <c r="J730" s="444">
        <f t="array" ref="J730">IFERROR(INDEX('Retirement Calculator'!K:K,MATCH('Lorri 401b'!N730,'Retirement Calculator'!A:A,0),0),0)</f>
        <v>20367.195264578786</v>
      </c>
      <c r="K730" s="444">
        <f t="shared" ca="1" si="53"/>
        <v>-2224.0359059154644</v>
      </c>
      <c r="L730" s="444">
        <f t="shared" ca="1" si="54"/>
        <v>-535992.65332562686</v>
      </c>
      <c r="M730" s="460">
        <f t="shared" si="56"/>
        <v>0.05</v>
      </c>
      <c r="N730" s="464">
        <f t="shared" si="57"/>
        <v>73263</v>
      </c>
    </row>
    <row r="731" spans="7:14" ht="11.25" customHeight="1" x14ac:dyDescent="0.3">
      <c r="G731" s="459">
        <f t="shared" si="75"/>
        <v>61</v>
      </c>
      <c r="H731" s="459">
        <v>724</v>
      </c>
      <c r="I731" s="444">
        <f t="shared" ca="1" si="55"/>
        <v>-535992.65332562686</v>
      </c>
      <c r="J731" s="444">
        <f t="array" ref="J731">IFERROR(INDEX('Retirement Calculator'!K:K,MATCH('Lorri 401b'!N731,'Retirement Calculator'!A:A,0),0),0)</f>
        <v>20367.195264578786</v>
      </c>
      <c r="K731" s="444">
        <f t="shared" ca="1" si="53"/>
        <v>-2318.1660357925234</v>
      </c>
      <c r="L731" s="444">
        <f t="shared" ca="1" si="54"/>
        <v>-558678.01462599821</v>
      </c>
      <c r="M731" s="460">
        <f t="shared" si="56"/>
        <v>0.05</v>
      </c>
      <c r="N731" s="464">
        <f t="shared" si="57"/>
        <v>73294</v>
      </c>
    </row>
    <row r="732" spans="7:14" ht="11.25" customHeight="1" x14ac:dyDescent="0.3">
      <c r="G732" s="459">
        <f t="shared" si="75"/>
        <v>61</v>
      </c>
      <c r="H732" s="459">
        <v>725</v>
      </c>
      <c r="I732" s="444">
        <f t="shared" ca="1" si="55"/>
        <v>-558678.01462599821</v>
      </c>
      <c r="J732" s="444">
        <f t="array" ref="J732">IFERROR(INDEX('Retirement Calculator'!K:K,MATCH('Lorri 401b'!N732,'Retirement Calculator'!A:A,0),0),0)</f>
        <v>20367.195264578786</v>
      </c>
      <c r="K732" s="444">
        <f t="shared" ca="1" si="53"/>
        <v>-2412.6883745440709</v>
      </c>
      <c r="L732" s="444">
        <f t="shared" ca="1" si="54"/>
        <v>-581457.89826512104</v>
      </c>
      <c r="M732" s="460">
        <f t="shared" si="56"/>
        <v>0.05</v>
      </c>
      <c r="N732" s="464">
        <f t="shared" si="57"/>
        <v>73324</v>
      </c>
    </row>
    <row r="733" spans="7:14" ht="11.25" customHeight="1" x14ac:dyDescent="0.3">
      <c r="G733" s="459">
        <f t="shared" si="75"/>
        <v>61</v>
      </c>
      <c r="H733" s="459">
        <v>726</v>
      </c>
      <c r="I733" s="444">
        <f t="shared" ca="1" si="55"/>
        <v>-581457.89826512104</v>
      </c>
      <c r="J733" s="444">
        <f t="array" ref="J733">IFERROR(INDEX('Retirement Calculator'!K:K,MATCH('Lorri 401b'!N733,'Retirement Calculator'!A:A,0),0),0)</f>
        <v>20367.195264578786</v>
      </c>
      <c r="K733" s="444">
        <f t="shared" ca="1" si="53"/>
        <v>-2507.6045563737493</v>
      </c>
      <c r="L733" s="444">
        <f t="shared" ca="1" si="54"/>
        <v>-604332.69808607362</v>
      </c>
      <c r="M733" s="460">
        <f t="shared" si="56"/>
        <v>0.05</v>
      </c>
      <c r="N733" s="464">
        <f t="shared" si="57"/>
        <v>73355</v>
      </c>
    </row>
    <row r="734" spans="7:14" ht="11.25" customHeight="1" x14ac:dyDescent="0.3">
      <c r="G734" s="459">
        <f t="shared" si="75"/>
        <v>61</v>
      </c>
      <c r="H734" s="459">
        <v>727</v>
      </c>
      <c r="I734" s="444">
        <f t="shared" ca="1" si="55"/>
        <v>-604332.69808607362</v>
      </c>
      <c r="J734" s="444">
        <f t="array" ref="J734">IFERROR(INDEX('Retirement Calculator'!K:K,MATCH('Lorri 401b'!N734,'Retirement Calculator'!A:A,0),0),0)</f>
        <v>20367.195264578786</v>
      </c>
      <c r="K734" s="444">
        <f t="shared" ca="1" si="53"/>
        <v>-2602.9162222943851</v>
      </c>
      <c r="L734" s="444">
        <f t="shared" ca="1" si="54"/>
        <v>-627302.80957294675</v>
      </c>
      <c r="M734" s="460">
        <f t="shared" si="56"/>
        <v>0.05</v>
      </c>
      <c r="N734" s="464">
        <f t="shared" si="57"/>
        <v>73385</v>
      </c>
    </row>
    <row r="735" spans="7:14" ht="11.25" customHeight="1" x14ac:dyDescent="0.3">
      <c r="G735" s="459">
        <f t="shared" si="75"/>
        <v>61</v>
      </c>
      <c r="H735" s="459">
        <v>728</v>
      </c>
      <c r="I735" s="444">
        <f t="shared" ca="1" si="55"/>
        <v>-627302.80957294675</v>
      </c>
      <c r="J735" s="444">
        <f t="array" ref="J735">IFERROR(INDEX('Retirement Calculator'!K:K,MATCH('Lorri 401b'!N735,'Retirement Calculator'!A:A,0),0),0)</f>
        <v>20367.195264578786</v>
      </c>
      <c r="K735" s="444">
        <f t="shared" ca="1" si="53"/>
        <v>-2698.6250201563562</v>
      </c>
      <c r="L735" s="444">
        <f t="shared" ca="1" si="54"/>
        <v>-650368.62985768192</v>
      </c>
      <c r="M735" s="460">
        <f t="shared" si="56"/>
        <v>0.05</v>
      </c>
      <c r="N735" s="464">
        <f t="shared" si="57"/>
        <v>73416</v>
      </c>
    </row>
    <row r="736" spans="7:14" ht="11.25" customHeight="1" x14ac:dyDescent="0.3">
      <c r="G736" s="459">
        <f t="shared" si="75"/>
        <v>61</v>
      </c>
      <c r="H736" s="459">
        <v>729</v>
      </c>
      <c r="I736" s="444">
        <f t="shared" ca="1" si="55"/>
        <v>-650368.62985768192</v>
      </c>
      <c r="J736" s="444">
        <f t="array" ref="J736">IFERROR(INDEX('Retirement Calculator'!K:K,MATCH('Lorri 401b'!N736,'Retirement Calculator'!A:A,0),0),0)</f>
        <v>20367.195264578786</v>
      </c>
      <c r="K736" s="444">
        <f t="shared" ca="1" si="53"/>
        <v>-2794.7326046760863</v>
      </c>
      <c r="L736" s="444">
        <f t="shared" ca="1" si="54"/>
        <v>-673530.55772693676</v>
      </c>
      <c r="M736" s="460">
        <f t="shared" si="56"/>
        <v>0.05</v>
      </c>
      <c r="N736" s="464">
        <f t="shared" si="57"/>
        <v>73447</v>
      </c>
    </row>
    <row r="737" spans="7:14" ht="11.25" customHeight="1" x14ac:dyDescent="0.3">
      <c r="G737" s="459">
        <f t="shared" si="75"/>
        <v>61</v>
      </c>
      <c r="H737" s="459">
        <v>730</v>
      </c>
      <c r="I737" s="444">
        <f t="shared" ca="1" si="55"/>
        <v>-673530.55772693676</v>
      </c>
      <c r="J737" s="444">
        <f t="array" ref="J737">IFERROR(INDEX('Retirement Calculator'!K:K,MATCH('Lorri 401b'!N737,'Retirement Calculator'!A:A,0),0),0)</f>
        <v>20367.195264578786</v>
      </c>
      <c r="K737" s="444">
        <f t="shared" ca="1" si="53"/>
        <v>-2891.240637464648</v>
      </c>
      <c r="L737" s="444">
        <f t="shared" ca="1" si="54"/>
        <v>-696788.99362898024</v>
      </c>
      <c r="M737" s="460">
        <f t="shared" si="56"/>
        <v>0.05</v>
      </c>
      <c r="N737" s="464">
        <f t="shared" si="57"/>
        <v>73475</v>
      </c>
    </row>
    <row r="738" spans="7:14" ht="11.25" customHeight="1" x14ac:dyDescent="0.3">
      <c r="G738" s="459">
        <f t="shared" si="75"/>
        <v>61</v>
      </c>
      <c r="H738" s="459">
        <v>731</v>
      </c>
      <c r="I738" s="444">
        <f t="shared" ca="1" si="55"/>
        <v>-696788.99362898024</v>
      </c>
      <c r="J738" s="444">
        <f t="array" ref="J738">IFERROR(INDEX('Retirement Calculator'!K:K,MATCH('Lorri 401b'!N738,'Retirement Calculator'!A:A,0),0),0)</f>
        <v>20367.195264578786</v>
      </c>
      <c r="K738" s="444">
        <f t="shared" ca="1" si="53"/>
        <v>-2988.150787056496</v>
      </c>
      <c r="L738" s="444">
        <f t="shared" ca="1" si="54"/>
        <v>-720144.33968061558</v>
      </c>
      <c r="M738" s="460">
        <f t="shared" si="56"/>
        <v>0.05</v>
      </c>
      <c r="N738" s="464">
        <f t="shared" si="57"/>
        <v>73506</v>
      </c>
    </row>
    <row r="739" spans="7:14" ht="11.25" customHeight="1" x14ac:dyDescent="0.3">
      <c r="G739" s="459">
        <f t="shared" si="75"/>
        <v>61</v>
      </c>
      <c r="H739" s="459">
        <v>732</v>
      </c>
      <c r="I739" s="444">
        <f t="shared" ca="1" si="55"/>
        <v>-720144.33968061558</v>
      </c>
      <c r="J739" s="444">
        <f t="array" ref="J739">IFERROR(INDEX('Retirement Calculator'!K:K,MATCH('Lorri 401b'!N739,'Retirement Calculator'!A:A,0),0),0)</f>
        <v>20367.195264578786</v>
      </c>
      <c r="K739" s="444">
        <f t="shared" ca="1" si="53"/>
        <v>-3085.4647289383097</v>
      </c>
      <c r="L739" s="444">
        <f t="shared" ca="1" si="54"/>
        <v>-743596.99967413268</v>
      </c>
      <c r="M739" s="460">
        <f t="shared" si="56"/>
        <v>0.05</v>
      </c>
      <c r="N739" s="464">
        <f t="shared" si="57"/>
        <v>73536</v>
      </c>
    </row>
    <row r="740" spans="7:14" ht="11.25" customHeight="1" x14ac:dyDescent="0.3">
      <c r="G740" s="459">
        <f>G739+1</f>
        <v>62</v>
      </c>
      <c r="H740" s="459">
        <v>733</v>
      </c>
      <c r="I740" s="444">
        <f t="shared" ca="1" si="55"/>
        <v>-743596.99967413268</v>
      </c>
      <c r="J740" s="444">
        <f t="array" ref="J740">IFERROR(INDEX('Retirement Calculator'!K:K,MATCH('Lorri 401b'!N740,'Retirement Calculator'!A:A,0),0),0)</f>
        <v>20367.195264578786</v>
      </c>
      <c r="K740" s="444">
        <f t="shared" ca="1" si="53"/>
        <v>-3183.1841455779645</v>
      </c>
      <c r="L740" s="444">
        <f t="shared" ca="1" si="54"/>
        <v>-767147.37908428942</v>
      </c>
      <c r="M740" s="460">
        <f t="shared" si="56"/>
        <v>0.05</v>
      </c>
      <c r="N740" s="464">
        <f t="shared" si="57"/>
        <v>73567</v>
      </c>
    </row>
    <row r="741" spans="7:14" ht="11.25" customHeight="1" x14ac:dyDescent="0.3">
      <c r="G741" s="459">
        <f t="shared" ref="G741:G751" si="76">G740</f>
        <v>62</v>
      </c>
      <c r="H741" s="459">
        <v>734</v>
      </c>
      <c r="I741" s="444">
        <f t="shared" ca="1" si="55"/>
        <v>-767147.37908428942</v>
      </c>
      <c r="J741" s="444">
        <f t="array" ref="J741">IFERROR(INDEX('Retirement Calculator'!K:K,MATCH('Lorri 401b'!N741,'Retirement Calculator'!A:A,0),0),0)</f>
        <v>20367.195264578786</v>
      </c>
      <c r="K741" s="444">
        <f t="shared" ca="1" si="53"/>
        <v>-3281.3107264536175</v>
      </c>
      <c r="L741" s="444">
        <f t="shared" ca="1" si="54"/>
        <v>-790795.88507532189</v>
      </c>
      <c r="M741" s="460">
        <f t="shared" si="56"/>
        <v>0.05</v>
      </c>
      <c r="N741" s="464">
        <f t="shared" si="57"/>
        <v>73597</v>
      </c>
    </row>
    <row r="742" spans="7:14" ht="11.25" customHeight="1" x14ac:dyDescent="0.3">
      <c r="G742" s="459">
        <f t="shared" si="76"/>
        <v>62</v>
      </c>
      <c r="H742" s="459">
        <v>735</v>
      </c>
      <c r="I742" s="444">
        <f t="shared" ca="1" si="55"/>
        <v>-790795.88507532189</v>
      </c>
      <c r="J742" s="444">
        <f t="array" ref="J742">IFERROR(INDEX('Retirement Calculator'!K:K,MATCH('Lorri 401b'!N742,'Retirement Calculator'!A:A,0),0),0)</f>
        <v>20367.195264578786</v>
      </c>
      <c r="K742" s="444">
        <f t="shared" ca="1" si="53"/>
        <v>-3379.8461680829196</v>
      </c>
      <c r="L742" s="444">
        <f t="shared" ca="1" si="54"/>
        <v>-814542.92650798359</v>
      </c>
      <c r="M742" s="460">
        <f t="shared" si="56"/>
        <v>0.05</v>
      </c>
      <c r="N742" s="464">
        <f t="shared" si="57"/>
        <v>73628</v>
      </c>
    </row>
    <row r="743" spans="7:14" ht="11.25" customHeight="1" x14ac:dyDescent="0.3">
      <c r="G743" s="459">
        <f t="shared" si="76"/>
        <v>62</v>
      </c>
      <c r="H743" s="459">
        <v>736</v>
      </c>
      <c r="I743" s="444">
        <f t="shared" ca="1" si="55"/>
        <v>-814542.92650798359</v>
      </c>
      <c r="J743" s="444">
        <f t="array" ref="J743">IFERROR(INDEX('Retirement Calculator'!K:K,MATCH('Lorri 401b'!N743,'Retirement Calculator'!A:A,0),0),0)</f>
        <v>20367.195264578786</v>
      </c>
      <c r="K743" s="444">
        <f t="shared" ca="1" si="53"/>
        <v>-3478.7921740523434</v>
      </c>
      <c r="L743" s="444">
        <f t="shared" ca="1" si="54"/>
        <v>-838388.91394661472</v>
      </c>
      <c r="M743" s="460">
        <f t="shared" si="56"/>
        <v>0.05</v>
      </c>
      <c r="N743" s="464">
        <f t="shared" si="57"/>
        <v>73659</v>
      </c>
    </row>
    <row r="744" spans="7:14" ht="11.25" customHeight="1" x14ac:dyDescent="0.3">
      <c r="G744" s="459">
        <f t="shared" si="76"/>
        <v>62</v>
      </c>
      <c r="H744" s="459">
        <v>737</v>
      </c>
      <c r="I744" s="444">
        <f t="shared" ca="1" si="55"/>
        <v>-838388.91394661472</v>
      </c>
      <c r="J744" s="444">
        <f t="array" ref="J744">IFERROR(INDEX('Retirement Calculator'!K:K,MATCH('Lorri 401b'!N744,'Retirement Calculator'!A:A,0),0),0)</f>
        <v>20367.195264578786</v>
      </c>
      <c r="K744" s="444">
        <f t="shared" ca="1" si="53"/>
        <v>-3578.1504550466393</v>
      </c>
      <c r="L744" s="444">
        <f t="shared" ca="1" si="54"/>
        <v>-862334.25966624019</v>
      </c>
      <c r="M744" s="460">
        <f t="shared" si="56"/>
        <v>0.05</v>
      </c>
      <c r="N744" s="464">
        <f t="shared" si="57"/>
        <v>73689</v>
      </c>
    </row>
    <row r="745" spans="7:14" ht="11.25" customHeight="1" x14ac:dyDescent="0.3">
      <c r="G745" s="459">
        <f t="shared" si="76"/>
        <v>62</v>
      </c>
      <c r="H745" s="459">
        <v>738</v>
      </c>
      <c r="I745" s="444">
        <f t="shared" ca="1" si="55"/>
        <v>-862334.25966624019</v>
      </c>
      <c r="J745" s="444">
        <f t="array" ref="J745">IFERROR(INDEX('Retirement Calculator'!K:K,MATCH('Lorri 401b'!N745,'Retirement Calculator'!A:A,0),0),0)</f>
        <v>20367.195264578786</v>
      </c>
      <c r="K745" s="444">
        <f t="shared" ca="1" si="53"/>
        <v>-3677.9227288784123</v>
      </c>
      <c r="L745" s="444">
        <f t="shared" ca="1" si="54"/>
        <v>-886379.37765969743</v>
      </c>
      <c r="M745" s="460">
        <f t="shared" si="56"/>
        <v>0.05</v>
      </c>
      <c r="N745" s="464">
        <f t="shared" si="57"/>
        <v>73720</v>
      </c>
    </row>
    <row r="746" spans="7:14" ht="11.25" customHeight="1" x14ac:dyDescent="0.3">
      <c r="G746" s="459">
        <f t="shared" si="76"/>
        <v>62</v>
      </c>
      <c r="H746" s="459">
        <v>739</v>
      </c>
      <c r="I746" s="444">
        <f t="shared" ca="1" si="55"/>
        <v>-886379.37765969743</v>
      </c>
      <c r="J746" s="444">
        <f t="array" ref="J746">IFERROR(INDEX('Retirement Calculator'!K:K,MATCH('Lorri 401b'!N746,'Retirement Calculator'!A:A,0),0),0)</f>
        <v>20367.195264578786</v>
      </c>
      <c r="K746" s="444">
        <f t="shared" ca="1" si="53"/>
        <v>-3778.1107205178178</v>
      </c>
      <c r="L746" s="444">
        <f t="shared" ca="1" si="54"/>
        <v>-910524.68364479404</v>
      </c>
      <c r="M746" s="460">
        <f t="shared" si="56"/>
        <v>0.05</v>
      </c>
      <c r="N746" s="464">
        <f t="shared" si="57"/>
        <v>73750</v>
      </c>
    </row>
    <row r="747" spans="7:14" ht="11.25" customHeight="1" x14ac:dyDescent="0.3">
      <c r="G747" s="459">
        <f t="shared" si="76"/>
        <v>62</v>
      </c>
      <c r="H747" s="459">
        <v>740</v>
      </c>
      <c r="I747" s="444">
        <f t="shared" ca="1" si="55"/>
        <v>-910524.68364479404</v>
      </c>
      <c r="J747" s="444">
        <f t="array" ref="J747">IFERROR(INDEX('Retirement Calculator'!K:K,MATCH('Lorri 401b'!N747,'Retirement Calculator'!A:A,0),0),0)</f>
        <v>20367.195264578786</v>
      </c>
      <c r="K747" s="444">
        <f t="shared" ca="1" si="53"/>
        <v>-3878.7161621223868</v>
      </c>
      <c r="L747" s="444">
        <f t="shared" ca="1" si="54"/>
        <v>-934770.59507149528</v>
      </c>
      <c r="M747" s="460">
        <f t="shared" si="56"/>
        <v>0.05</v>
      </c>
      <c r="N747" s="464">
        <f t="shared" si="57"/>
        <v>73781</v>
      </c>
    </row>
    <row r="748" spans="7:14" ht="11.25" customHeight="1" x14ac:dyDescent="0.3">
      <c r="G748" s="459">
        <f t="shared" si="76"/>
        <v>62</v>
      </c>
      <c r="H748" s="459">
        <v>741</v>
      </c>
      <c r="I748" s="444">
        <f t="shared" ca="1" si="55"/>
        <v>-934770.59507149528</v>
      </c>
      <c r="J748" s="444">
        <f t="array" ref="J748">IFERROR(INDEX('Retirement Calculator'!K:K,MATCH('Lorri 401b'!N748,'Retirement Calculator'!A:A,0),0),0)</f>
        <v>20367.195264578786</v>
      </c>
      <c r="K748" s="444">
        <f t="shared" ca="1" si="53"/>
        <v>-3979.7407930669747</v>
      </c>
      <c r="L748" s="444">
        <f t="shared" ca="1" si="54"/>
        <v>-959117.53112914111</v>
      </c>
      <c r="M748" s="460">
        <f t="shared" si="56"/>
        <v>0.05</v>
      </c>
      <c r="N748" s="464">
        <f t="shared" si="57"/>
        <v>73812</v>
      </c>
    </row>
    <row r="749" spans="7:14" ht="11.25" customHeight="1" x14ac:dyDescent="0.3">
      <c r="G749" s="459">
        <f t="shared" si="76"/>
        <v>62</v>
      </c>
      <c r="H749" s="459">
        <v>742</v>
      </c>
      <c r="I749" s="444">
        <f t="shared" ca="1" si="55"/>
        <v>-959117.53112914111</v>
      </c>
      <c r="J749" s="444">
        <f t="array" ref="J749">IFERROR(INDEX('Retirement Calculator'!K:K,MATCH('Lorri 401b'!N749,'Retirement Calculator'!A:A,0),0),0)</f>
        <v>20367.195264578786</v>
      </c>
      <c r="K749" s="444">
        <f t="shared" ca="1" si="53"/>
        <v>-4081.1863599738331</v>
      </c>
      <c r="L749" s="444">
        <f t="shared" ca="1" si="54"/>
        <v>-983565.91275369376</v>
      </c>
      <c r="M749" s="460">
        <f t="shared" si="56"/>
        <v>0.05</v>
      </c>
      <c r="N749" s="464">
        <f t="shared" si="57"/>
        <v>73840</v>
      </c>
    </row>
    <row r="750" spans="7:14" ht="11.25" customHeight="1" x14ac:dyDescent="0.3">
      <c r="G750" s="459">
        <f t="shared" si="76"/>
        <v>62</v>
      </c>
      <c r="H750" s="459">
        <v>743</v>
      </c>
      <c r="I750" s="444">
        <f t="shared" ca="1" si="55"/>
        <v>-983565.91275369376</v>
      </c>
      <c r="J750" s="444">
        <f t="array" ref="J750">IFERROR(INDEX('Retirement Calculator'!K:K,MATCH('Lorri 401b'!N750,'Retirement Calculator'!A:A,0),0),0)</f>
        <v>20367.195264578786</v>
      </c>
      <c r="K750" s="444">
        <f t="shared" ca="1" si="53"/>
        <v>-4183.0546167428029</v>
      </c>
      <c r="L750" s="444">
        <f t="shared" ca="1" si="54"/>
        <v>-1008116.1626350153</v>
      </c>
      <c r="M750" s="460">
        <f t="shared" si="56"/>
        <v>0.05</v>
      </c>
      <c r="N750" s="464">
        <f t="shared" si="57"/>
        <v>73871</v>
      </c>
    </row>
    <row r="751" spans="7:14" ht="11.25" customHeight="1" x14ac:dyDescent="0.3">
      <c r="G751" s="459">
        <f t="shared" si="76"/>
        <v>62</v>
      </c>
      <c r="H751" s="459">
        <v>744</v>
      </c>
      <c r="I751" s="444">
        <f t="shared" ca="1" si="55"/>
        <v>-1008116.1626350153</v>
      </c>
      <c r="J751" s="444">
        <f t="array" ref="J751">IFERROR(INDEX('Retirement Calculator'!K:K,MATCH('Lorri 401b'!N751,'Retirement Calculator'!A:A,0),0),0)</f>
        <v>20367.195264578786</v>
      </c>
      <c r="K751" s="444">
        <f t="shared" ca="1" si="53"/>
        <v>-4285.3473245816422</v>
      </c>
      <c r="L751" s="444">
        <f t="shared" ca="1" si="54"/>
        <v>-1032768.7052241757</v>
      </c>
      <c r="M751" s="460">
        <f t="shared" si="56"/>
        <v>0.05</v>
      </c>
      <c r="N751" s="464">
        <f t="shared" si="57"/>
        <v>73901</v>
      </c>
    </row>
    <row r="752" spans="7:14" ht="11.25" customHeight="1" x14ac:dyDescent="0.3">
      <c r="G752" s="459">
        <f>G751+1</f>
        <v>63</v>
      </c>
      <c r="H752" s="459">
        <v>745</v>
      </c>
      <c r="I752" s="444">
        <f t="shared" ca="1" si="55"/>
        <v>-1032768.7052241757</v>
      </c>
      <c r="J752" s="444">
        <f t="array" ref="J752">IFERROR(INDEX('Retirement Calculator'!K:K,MATCH('Lorri 401b'!N752,'Retirement Calculator'!A:A,0),0),0)</f>
        <v>20367.195264578786</v>
      </c>
      <c r="K752" s="444">
        <f t="shared" ca="1" si="53"/>
        <v>-4388.0662520364767</v>
      </c>
      <c r="L752" s="444">
        <f t="shared" ca="1" si="54"/>
        <v>-1057523.966740791</v>
      </c>
      <c r="M752" s="460">
        <f t="shared" si="56"/>
        <v>0.05</v>
      </c>
      <c r="N752" s="464">
        <f t="shared" si="57"/>
        <v>73932</v>
      </c>
    </row>
    <row r="753" spans="7:14" ht="11.25" customHeight="1" x14ac:dyDescent="0.3">
      <c r="G753" s="459">
        <f t="shared" ref="G753:G763" si="77">G752</f>
        <v>63</v>
      </c>
      <c r="H753" s="459">
        <v>746</v>
      </c>
      <c r="I753" s="444">
        <f t="shared" ca="1" si="55"/>
        <v>-1057523.966740791</v>
      </c>
      <c r="J753" s="444">
        <f t="array" ref="J753">IFERROR(INDEX('Retirement Calculator'!K:K,MATCH('Lorri 401b'!N753,'Retirement Calculator'!A:A,0),0),0)</f>
        <v>20367.195264578786</v>
      </c>
      <c r="K753" s="444">
        <f t="shared" ca="1" si="53"/>
        <v>-4491.2131750223743</v>
      </c>
      <c r="L753" s="444">
        <f t="shared" ca="1" si="54"/>
        <v>-1082382.3751803921</v>
      </c>
      <c r="M753" s="460">
        <f t="shared" si="56"/>
        <v>0.05</v>
      </c>
      <c r="N753" s="464">
        <f t="shared" si="57"/>
        <v>73962</v>
      </c>
    </row>
    <row r="754" spans="7:14" ht="11.25" customHeight="1" x14ac:dyDescent="0.3">
      <c r="G754" s="459">
        <f t="shared" si="77"/>
        <v>63</v>
      </c>
      <c r="H754" s="459">
        <v>747</v>
      </c>
      <c r="I754" s="444">
        <f t="shared" ca="1" si="55"/>
        <v>-1082382.3751803921</v>
      </c>
      <c r="J754" s="444">
        <f t="array" ref="J754">IFERROR(INDEX('Retirement Calculator'!K:K,MATCH('Lorri 401b'!N754,'Retirement Calculator'!A:A,0),0),0)</f>
        <v>20367.195264578786</v>
      </c>
      <c r="K754" s="444">
        <f t="shared" ca="1" si="53"/>
        <v>-4594.7898768540454</v>
      </c>
      <c r="L754" s="444">
        <f t="shared" ca="1" si="54"/>
        <v>-1107344.3603218249</v>
      </c>
      <c r="M754" s="460">
        <f t="shared" si="56"/>
        <v>0.05</v>
      </c>
      <c r="N754" s="464">
        <f t="shared" si="57"/>
        <v>73993</v>
      </c>
    </row>
    <row r="755" spans="7:14" ht="11.25" customHeight="1" x14ac:dyDescent="0.3">
      <c r="G755" s="459">
        <f t="shared" si="77"/>
        <v>63</v>
      </c>
      <c r="H755" s="459">
        <v>748</v>
      </c>
      <c r="I755" s="444">
        <f t="shared" ca="1" si="55"/>
        <v>-1107344.3603218249</v>
      </c>
      <c r="J755" s="444">
        <f t="array" ref="J755">IFERROR(INDEX('Retirement Calculator'!K:K,MATCH('Lorri 401b'!N755,'Retirement Calculator'!A:A,0),0),0)</f>
        <v>20367.195264578786</v>
      </c>
      <c r="K755" s="444">
        <f t="shared" ca="1" si="53"/>
        <v>-4698.7981482766818</v>
      </c>
      <c r="L755" s="444">
        <f t="shared" ca="1" si="54"/>
        <v>-1132410.3537346805</v>
      </c>
      <c r="M755" s="460">
        <f t="shared" si="56"/>
        <v>0.05</v>
      </c>
      <c r="N755" s="464">
        <f t="shared" si="57"/>
        <v>74024</v>
      </c>
    </row>
    <row r="756" spans="7:14" ht="11.25" customHeight="1" x14ac:dyDescent="0.3">
      <c r="G756" s="459">
        <f t="shared" si="77"/>
        <v>63</v>
      </c>
      <c r="H756" s="459">
        <v>749</v>
      </c>
      <c r="I756" s="444">
        <f t="shared" ca="1" si="55"/>
        <v>-1132410.3537346805</v>
      </c>
      <c r="J756" s="444">
        <f t="array" ref="J756">IFERROR(INDEX('Retirement Calculator'!K:K,MATCH('Lorri 401b'!N756,'Retirement Calculator'!A:A,0),0),0)</f>
        <v>20367.195264578786</v>
      </c>
      <c r="K756" s="444">
        <f t="shared" ca="1" si="53"/>
        <v>-4803.2397874969138</v>
      </c>
      <c r="L756" s="444">
        <f t="shared" ca="1" si="54"/>
        <v>-1157580.7887867561</v>
      </c>
      <c r="M756" s="460">
        <f t="shared" si="56"/>
        <v>0.05</v>
      </c>
      <c r="N756" s="464">
        <f t="shared" si="57"/>
        <v>74054</v>
      </c>
    </row>
    <row r="757" spans="7:14" ht="11.25" customHeight="1" x14ac:dyDescent="0.3">
      <c r="G757" s="459">
        <f t="shared" si="77"/>
        <v>63</v>
      </c>
      <c r="H757" s="459">
        <v>750</v>
      </c>
      <c r="I757" s="444">
        <f t="shared" ca="1" si="55"/>
        <v>-1157580.7887867561</v>
      </c>
      <c r="J757" s="444">
        <f t="array" ref="J757">IFERROR(INDEX('Retirement Calculator'!K:K,MATCH('Lorri 401b'!N757,'Retirement Calculator'!A:A,0),0),0)</f>
        <v>20367.195264578786</v>
      </c>
      <c r="K757" s="444">
        <f t="shared" ca="1" si="53"/>
        <v>-4908.1166002138953</v>
      </c>
      <c r="L757" s="444">
        <f t="shared" ca="1" si="54"/>
        <v>-1182856.1006515487</v>
      </c>
      <c r="M757" s="460">
        <f t="shared" si="56"/>
        <v>0.05</v>
      </c>
      <c r="N757" s="464">
        <f t="shared" si="57"/>
        <v>74085</v>
      </c>
    </row>
    <row r="758" spans="7:14" ht="11.25" customHeight="1" x14ac:dyDescent="0.3">
      <c r="G758" s="459">
        <f t="shared" si="77"/>
        <v>63</v>
      </c>
      <c r="H758" s="459">
        <v>751</v>
      </c>
      <c r="I758" s="444">
        <f t="shared" ca="1" si="55"/>
        <v>-1182856.1006515487</v>
      </c>
      <c r="J758" s="444">
        <f t="array" ref="J758">IFERROR(INDEX('Retirement Calculator'!K:K,MATCH('Lorri 401b'!N758,'Retirement Calculator'!A:A,0),0),0)</f>
        <v>20367.195264578786</v>
      </c>
      <c r="K758" s="444">
        <f t="shared" ca="1" si="53"/>
        <v>-5013.4303996505314</v>
      </c>
      <c r="L758" s="444">
        <f t="shared" ca="1" si="54"/>
        <v>-1208236.726315778</v>
      </c>
      <c r="M758" s="460">
        <f t="shared" si="56"/>
        <v>0.05</v>
      </c>
      <c r="N758" s="464">
        <f t="shared" si="57"/>
        <v>74115</v>
      </c>
    </row>
    <row r="759" spans="7:14" ht="11.25" customHeight="1" x14ac:dyDescent="0.3">
      <c r="G759" s="459">
        <f t="shared" si="77"/>
        <v>63</v>
      </c>
      <c r="H759" s="459">
        <v>752</v>
      </c>
      <c r="I759" s="444">
        <f t="shared" ca="1" si="55"/>
        <v>-1208236.726315778</v>
      </c>
      <c r="J759" s="444">
        <f t="array" ref="J759">IFERROR(INDEX('Retirement Calculator'!K:K,MATCH('Lorri 401b'!N759,'Retirement Calculator'!A:A,0),0),0)</f>
        <v>20367.195264578786</v>
      </c>
      <c r="K759" s="444">
        <f t="shared" ca="1" si="53"/>
        <v>-5119.1830065848199</v>
      </c>
      <c r="L759" s="444">
        <f t="shared" ca="1" si="54"/>
        <v>-1233723.1045869417</v>
      </c>
      <c r="M759" s="460">
        <f t="shared" si="56"/>
        <v>0.05</v>
      </c>
      <c r="N759" s="464">
        <f t="shared" si="57"/>
        <v>74146</v>
      </c>
    </row>
    <row r="760" spans="7:14" ht="11.25" customHeight="1" x14ac:dyDescent="0.3">
      <c r="G760" s="459">
        <f t="shared" si="77"/>
        <v>63</v>
      </c>
      <c r="H760" s="459">
        <v>753</v>
      </c>
      <c r="I760" s="444">
        <f t="shared" ca="1" si="55"/>
        <v>-1233723.1045869417</v>
      </c>
      <c r="J760" s="444">
        <f t="array" ref="J760">IFERROR(INDEX('Retirement Calculator'!K:K,MATCH('Lorri 401b'!N760,'Retirement Calculator'!A:A,0),0),0)</f>
        <v>20367.195264578786</v>
      </c>
      <c r="K760" s="444">
        <f t="shared" ca="1" si="53"/>
        <v>-5225.3762493813356</v>
      </c>
      <c r="L760" s="444">
        <f t="shared" ca="1" si="54"/>
        <v>-1259315.6761009018</v>
      </c>
      <c r="M760" s="460">
        <f t="shared" si="56"/>
        <v>0.05</v>
      </c>
      <c r="N760" s="464">
        <f t="shared" si="57"/>
        <v>74177</v>
      </c>
    </row>
    <row r="761" spans="7:14" ht="11.25" customHeight="1" x14ac:dyDescent="0.3">
      <c r="G761" s="459">
        <f t="shared" si="77"/>
        <v>63</v>
      </c>
      <c r="H761" s="459">
        <v>754</v>
      </c>
      <c r="I761" s="444">
        <f t="shared" ca="1" si="55"/>
        <v>-1259315.6761009018</v>
      </c>
      <c r="J761" s="444">
        <f t="array" ref="J761">IFERROR(INDEX('Retirement Calculator'!K:K,MATCH('Lorri 401b'!N761,'Retirement Calculator'!A:A,0),0),0)</f>
        <v>20367.195264578786</v>
      </c>
      <c r="K761" s="444">
        <f t="shared" ca="1" si="53"/>
        <v>-5332.0119640228359</v>
      </c>
      <c r="L761" s="444">
        <f t="shared" ca="1" si="54"/>
        <v>-1285014.8833295035</v>
      </c>
      <c r="M761" s="460">
        <f t="shared" si="56"/>
        <v>0.05</v>
      </c>
      <c r="N761" s="464">
        <f t="shared" si="57"/>
        <v>74205</v>
      </c>
    </row>
    <row r="762" spans="7:14" ht="11.25" customHeight="1" x14ac:dyDescent="0.3">
      <c r="G762" s="459">
        <f t="shared" si="77"/>
        <v>63</v>
      </c>
      <c r="H762" s="459">
        <v>755</v>
      </c>
      <c r="I762" s="444">
        <f t="shared" ca="1" si="55"/>
        <v>-1285014.8833295035</v>
      </c>
      <c r="J762" s="444">
        <f t="array" ref="J762">IFERROR(INDEX('Retirement Calculator'!K:K,MATCH('Lorri 401b'!N762,'Retirement Calculator'!A:A,0),0),0)</f>
        <v>20367.195264578786</v>
      </c>
      <c r="K762" s="444">
        <f t="shared" ca="1" si="53"/>
        <v>-5439.0919941420098</v>
      </c>
      <c r="L762" s="444">
        <f t="shared" ca="1" si="54"/>
        <v>-1310821.1705882242</v>
      </c>
      <c r="M762" s="460">
        <f t="shared" si="56"/>
        <v>0.05</v>
      </c>
      <c r="N762" s="464">
        <f t="shared" si="57"/>
        <v>74236</v>
      </c>
    </row>
    <row r="763" spans="7:14" ht="11.25" customHeight="1" x14ac:dyDescent="0.3">
      <c r="G763" s="459">
        <f t="shared" si="77"/>
        <v>63</v>
      </c>
      <c r="H763" s="459">
        <v>756</v>
      </c>
      <c r="I763" s="444">
        <f t="shared" ca="1" si="55"/>
        <v>-1310821.1705882242</v>
      </c>
      <c r="J763" s="444">
        <f t="array" ref="J763">IFERROR(INDEX('Retirement Calculator'!K:K,MATCH('Lorri 401b'!N763,'Retirement Calculator'!A:A,0),0),0)</f>
        <v>20367.195264578786</v>
      </c>
      <c r="K763" s="444">
        <f t="shared" ca="1" si="53"/>
        <v>-5546.618191053346</v>
      </c>
      <c r="L763" s="444">
        <f t="shared" ca="1" si="54"/>
        <v>-1336734.9840438564</v>
      </c>
      <c r="M763" s="460">
        <f t="shared" si="56"/>
        <v>0.05</v>
      </c>
      <c r="N763" s="464">
        <f t="shared" si="57"/>
        <v>74266</v>
      </c>
    </row>
    <row r="764" spans="7:14" ht="11.25" customHeight="1" x14ac:dyDescent="0.3">
      <c r="G764" s="459">
        <f>G763+1</f>
        <v>64</v>
      </c>
      <c r="H764" s="459">
        <v>757</v>
      </c>
      <c r="I764" s="444">
        <f t="shared" ca="1" si="55"/>
        <v>-1336734.9840438564</v>
      </c>
      <c r="J764" s="444">
        <f t="array" ref="J764">IFERROR(INDEX('Retirement Calculator'!K:K,MATCH('Lorri 401b'!N764,'Retirement Calculator'!A:A,0),0),0)</f>
        <v>20367.195264578786</v>
      </c>
      <c r="K764" s="444">
        <f t="shared" ca="1" si="53"/>
        <v>-5654.5924137851462</v>
      </c>
      <c r="L764" s="444">
        <f t="shared" ca="1" si="54"/>
        <v>-1362756.7717222204</v>
      </c>
      <c r="M764" s="460">
        <f t="shared" si="56"/>
        <v>0.05</v>
      </c>
      <c r="N764" s="464">
        <f t="shared" si="57"/>
        <v>74297</v>
      </c>
    </row>
    <row r="765" spans="7:14" ht="11.25" customHeight="1" x14ac:dyDescent="0.3">
      <c r="G765" s="459">
        <f t="shared" ref="G765:G775" si="78">G764</f>
        <v>64</v>
      </c>
      <c r="H765" s="459">
        <v>758</v>
      </c>
      <c r="I765" s="444">
        <f t="shared" ca="1" si="55"/>
        <v>-1362756.7717222204</v>
      </c>
      <c r="J765" s="444">
        <f t="array" ref="J765">IFERROR(INDEX('Retirement Calculator'!K:K,MATCH('Lorri 401b'!N765,'Retirement Calculator'!A:A,0),0),0)</f>
        <v>20367.195264578786</v>
      </c>
      <c r="K765" s="444">
        <f t="shared" ca="1" si="53"/>
        <v>-5763.0165291116627</v>
      </c>
      <c r="L765" s="444">
        <f t="shared" ca="1" si="54"/>
        <v>-1388886.9835159108</v>
      </c>
      <c r="M765" s="460">
        <f t="shared" si="56"/>
        <v>0.05</v>
      </c>
      <c r="N765" s="464">
        <f t="shared" si="57"/>
        <v>74327</v>
      </c>
    </row>
    <row r="766" spans="7:14" ht="11.25" customHeight="1" x14ac:dyDescent="0.3">
      <c r="G766" s="459">
        <f t="shared" si="78"/>
        <v>64</v>
      </c>
      <c r="H766" s="459">
        <v>759</v>
      </c>
      <c r="I766" s="444">
        <f t="shared" ca="1" si="55"/>
        <v>-1388886.9835159108</v>
      </c>
      <c r="J766" s="444">
        <f t="array" ref="J766">IFERROR(INDEX('Retirement Calculator'!K:K,MATCH('Lorri 401b'!N766,'Retirement Calculator'!A:A,0),0),0)</f>
        <v>20367.195264578786</v>
      </c>
      <c r="K766" s="444">
        <f t="shared" ca="1" si="53"/>
        <v>-5871.8924115853733</v>
      </c>
      <c r="L766" s="444">
        <f t="shared" ca="1" si="54"/>
        <v>-1415126.071192075</v>
      </c>
      <c r="M766" s="460">
        <f t="shared" si="56"/>
        <v>0.05</v>
      </c>
      <c r="N766" s="464">
        <f t="shared" si="57"/>
        <v>74358</v>
      </c>
    </row>
    <row r="767" spans="7:14" ht="11.25" customHeight="1" x14ac:dyDescent="0.3">
      <c r="G767" s="459">
        <f t="shared" si="78"/>
        <v>64</v>
      </c>
      <c r="H767" s="459">
        <v>760</v>
      </c>
      <c r="I767" s="444">
        <f t="shared" ca="1" si="55"/>
        <v>-1415126.071192075</v>
      </c>
      <c r="J767" s="444">
        <f t="array" ref="J767">IFERROR(INDEX('Retirement Calculator'!K:K,MATCH('Lorri 401b'!N767,'Retirement Calculator'!A:A,0),0),0)</f>
        <v>20367.195264578786</v>
      </c>
      <c r="K767" s="444">
        <f t="shared" ca="1" si="53"/>
        <v>-5981.2219435693905</v>
      </c>
      <c r="L767" s="444">
        <f t="shared" ca="1" si="54"/>
        <v>-1441474.4884002232</v>
      </c>
      <c r="M767" s="460">
        <f t="shared" si="56"/>
        <v>0.05</v>
      </c>
      <c r="N767" s="464">
        <f t="shared" si="57"/>
        <v>74389</v>
      </c>
    </row>
    <row r="768" spans="7:14" ht="11.25" customHeight="1" x14ac:dyDescent="0.3">
      <c r="G768" s="459">
        <f t="shared" si="78"/>
        <v>64</v>
      </c>
      <c r="H768" s="459">
        <v>761</v>
      </c>
      <c r="I768" s="444">
        <f t="shared" ca="1" si="55"/>
        <v>-1441474.4884002232</v>
      </c>
      <c r="J768" s="444">
        <f t="array" ref="J768">IFERROR(INDEX('Retirement Calculator'!K:K,MATCH('Lorri 401b'!N768,'Retirement Calculator'!A:A,0),0),0)</f>
        <v>20367.195264578786</v>
      </c>
      <c r="K768" s="444">
        <f t="shared" ca="1" si="53"/>
        <v>-6091.0070152700082</v>
      </c>
      <c r="L768" s="444">
        <f t="shared" ca="1" si="54"/>
        <v>-1467932.6906800719</v>
      </c>
      <c r="M768" s="460">
        <f t="shared" si="56"/>
        <v>0.05</v>
      </c>
      <c r="N768" s="464">
        <f t="shared" si="57"/>
        <v>74419</v>
      </c>
    </row>
    <row r="769" spans="7:14" ht="11.25" customHeight="1" x14ac:dyDescent="0.3">
      <c r="G769" s="459">
        <f t="shared" si="78"/>
        <v>64</v>
      </c>
      <c r="H769" s="459">
        <v>762</v>
      </c>
      <c r="I769" s="444">
        <f t="shared" ca="1" si="55"/>
        <v>-1467932.6906800719</v>
      </c>
      <c r="J769" s="444">
        <f t="array" ref="J769">IFERROR(INDEX('Retirement Calculator'!K:K,MATCH('Lorri 401b'!N769,'Retirement Calculator'!A:A,0),0),0)</f>
        <v>20367.195264578786</v>
      </c>
      <c r="K769" s="444">
        <f t="shared" ca="1" si="53"/>
        <v>-6201.2495247693778</v>
      </c>
      <c r="L769" s="444">
        <f t="shared" ca="1" si="54"/>
        <v>-1494501.1354694201</v>
      </c>
      <c r="M769" s="460">
        <f t="shared" si="56"/>
        <v>0.05</v>
      </c>
      <c r="N769" s="464">
        <f t="shared" si="57"/>
        <v>74450</v>
      </c>
    </row>
    <row r="770" spans="7:14" ht="11.25" customHeight="1" x14ac:dyDescent="0.3">
      <c r="G770" s="459">
        <f t="shared" si="78"/>
        <v>64</v>
      </c>
      <c r="H770" s="459">
        <v>763</v>
      </c>
      <c r="I770" s="444">
        <f t="shared" ca="1" si="55"/>
        <v>-1494501.1354694201</v>
      </c>
      <c r="J770" s="444">
        <f t="array" ref="J770">IFERROR(INDEX('Retirement Calculator'!K:K,MATCH('Lorri 401b'!N770,'Retirement Calculator'!A:A,0),0),0)</f>
        <v>20367.195264578786</v>
      </c>
      <c r="K770" s="444">
        <f t="shared" ca="1" si="53"/>
        <v>-6311.9513780583284</v>
      </c>
      <c r="L770" s="444">
        <f t="shared" ca="1" si="54"/>
        <v>-1521180.2821120573</v>
      </c>
      <c r="M770" s="460">
        <f t="shared" si="56"/>
        <v>0.05</v>
      </c>
      <c r="N770" s="464">
        <f t="shared" si="57"/>
        <v>74480</v>
      </c>
    </row>
    <row r="771" spans="7:14" ht="11.25" customHeight="1" x14ac:dyDescent="0.3">
      <c r="G771" s="459">
        <f t="shared" si="78"/>
        <v>64</v>
      </c>
      <c r="H771" s="459">
        <v>764</v>
      </c>
      <c r="I771" s="444">
        <f t="shared" ca="1" si="55"/>
        <v>-1521180.2821120573</v>
      </c>
      <c r="J771" s="444">
        <f t="array" ref="J771">IFERROR(INDEX('Retirement Calculator'!K:K,MATCH('Lorri 401b'!N771,'Retirement Calculator'!A:A,0),0),0)</f>
        <v>20367.195264578786</v>
      </c>
      <c r="K771" s="444">
        <f t="shared" ca="1" si="53"/>
        <v>-6423.1144890693167</v>
      </c>
      <c r="L771" s="444">
        <f t="shared" ca="1" si="54"/>
        <v>-1547970.5918657053</v>
      </c>
      <c r="M771" s="460">
        <f t="shared" si="56"/>
        <v>0.05</v>
      </c>
      <c r="N771" s="464">
        <f t="shared" si="57"/>
        <v>74511</v>
      </c>
    </row>
    <row r="772" spans="7:14" ht="11.25" customHeight="1" x14ac:dyDescent="0.3">
      <c r="G772" s="459">
        <f t="shared" si="78"/>
        <v>64</v>
      </c>
      <c r="H772" s="459">
        <v>765</v>
      </c>
      <c r="I772" s="444">
        <f t="shared" ca="1" si="55"/>
        <v>-1547970.5918657053</v>
      </c>
      <c r="J772" s="444">
        <f t="array" ref="J772">IFERROR(INDEX('Retirement Calculator'!K:K,MATCH('Lorri 401b'!N772,'Retirement Calculator'!A:A,0),0),0)</f>
        <v>20367.195264578786</v>
      </c>
      <c r="K772" s="444">
        <f t="shared" ca="1" si="53"/>
        <v>-6534.7407797095175</v>
      </c>
      <c r="L772" s="444">
        <f t="shared" ca="1" si="54"/>
        <v>-1574872.5279099937</v>
      </c>
      <c r="M772" s="460">
        <f t="shared" si="56"/>
        <v>0.05</v>
      </c>
      <c r="N772" s="464">
        <f t="shared" si="57"/>
        <v>74542</v>
      </c>
    </row>
    <row r="773" spans="7:14" ht="11.25" customHeight="1" x14ac:dyDescent="0.3">
      <c r="G773" s="459">
        <f t="shared" si="78"/>
        <v>64</v>
      </c>
      <c r="H773" s="459">
        <v>766</v>
      </c>
      <c r="I773" s="444">
        <f t="shared" ca="1" si="55"/>
        <v>-1574872.5279099937</v>
      </c>
      <c r="J773" s="444">
        <f t="array" ref="J773">IFERROR(INDEX('Retirement Calculator'!K:K,MATCH('Lorri 401b'!N773,'Retirement Calculator'!A:A,0),0),0)</f>
        <v>20367.195264578786</v>
      </c>
      <c r="K773" s="444">
        <f t="shared" ref="K773:K1027" ca="1" si="79">IPMT(M773/12,1,12,-I773+J773,,0)</f>
        <v>-6646.8321798940515</v>
      </c>
      <c r="L773" s="444">
        <f t="shared" ref="L773:L1027" ca="1" si="80">I773-J773+K773</f>
        <v>-1601886.5553544664</v>
      </c>
      <c r="M773" s="460">
        <f t="shared" si="56"/>
        <v>0.05</v>
      </c>
      <c r="N773" s="464">
        <f t="shared" si="57"/>
        <v>74571</v>
      </c>
    </row>
    <row r="774" spans="7:14" ht="11.25" customHeight="1" x14ac:dyDescent="0.3">
      <c r="G774" s="459">
        <f t="shared" si="78"/>
        <v>64</v>
      </c>
      <c r="H774" s="459">
        <v>767</v>
      </c>
      <c r="I774" s="444">
        <f t="shared" ref="I774:I1028" ca="1" si="81">L773</f>
        <v>-1601886.5553544664</v>
      </c>
      <c r="J774" s="444">
        <f t="array" ref="J774">IFERROR(INDEX('Retirement Calculator'!K:K,MATCH('Lorri 401b'!N774,'Retirement Calculator'!A:A,0),0),0)</f>
        <v>20367.195264578786</v>
      </c>
      <c r="K774" s="444">
        <f t="shared" ca="1" si="79"/>
        <v>-6759.3906275793552</v>
      </c>
      <c r="L774" s="444">
        <f t="shared" ca="1" si="80"/>
        <v>-1629013.1412466245</v>
      </c>
      <c r="M774" s="460">
        <f t="shared" ref="M774:M1028" si="82">M773</f>
        <v>0.05</v>
      </c>
      <c r="N774" s="464">
        <f t="shared" ref="N774:N1028" si="83">EDATE(N773,1)</f>
        <v>74602</v>
      </c>
    </row>
    <row r="775" spans="7:14" ht="11.25" customHeight="1" x14ac:dyDescent="0.3">
      <c r="G775" s="459">
        <f t="shared" si="78"/>
        <v>64</v>
      </c>
      <c r="H775" s="459">
        <v>768</v>
      </c>
      <c r="I775" s="444">
        <f t="shared" ca="1" si="81"/>
        <v>-1629013.1412466245</v>
      </c>
      <c r="J775" s="444">
        <f t="array" ref="J775">IFERROR(INDEX('Retirement Calculator'!K:K,MATCH('Lorri 401b'!N775,'Retirement Calculator'!A:A,0),0),0)</f>
        <v>20367.195264578786</v>
      </c>
      <c r="K775" s="444">
        <f t="shared" ca="1" si="79"/>
        <v>-6872.41806879668</v>
      </c>
      <c r="L775" s="444">
        <f t="shared" ca="1" si="80"/>
        <v>-1656252.7545799999</v>
      </c>
      <c r="M775" s="460">
        <f t="shared" si="82"/>
        <v>0.05</v>
      </c>
      <c r="N775" s="464">
        <f t="shared" si="83"/>
        <v>74632</v>
      </c>
    </row>
    <row r="776" spans="7:14" ht="11.25" customHeight="1" x14ac:dyDescent="0.3">
      <c r="G776" s="459">
        <f>G775+1</f>
        <v>65</v>
      </c>
      <c r="H776" s="459">
        <v>769</v>
      </c>
      <c r="I776" s="444">
        <f t="shared" ca="1" si="81"/>
        <v>-1656252.7545799999</v>
      </c>
      <c r="J776" s="444">
        <f t="array" ref="J776">IFERROR(INDEX('Retirement Calculator'!K:K,MATCH('Lorri 401b'!N776,'Retirement Calculator'!A:A,0),0),0)</f>
        <v>20367.195264578786</v>
      </c>
      <c r="K776" s="444">
        <f t="shared" ca="1" si="79"/>
        <v>-6985.9164576857447</v>
      </c>
      <c r="L776" s="444">
        <f t="shared" ca="1" si="80"/>
        <v>-1683605.8663022644</v>
      </c>
      <c r="M776" s="460">
        <f t="shared" si="82"/>
        <v>0.05</v>
      </c>
      <c r="N776" s="464">
        <f t="shared" si="83"/>
        <v>74663</v>
      </c>
    </row>
    <row r="777" spans="7:14" ht="11.25" customHeight="1" x14ac:dyDescent="0.3">
      <c r="G777" s="459">
        <f t="shared" ref="G777:G787" si="84">G776</f>
        <v>65</v>
      </c>
      <c r="H777" s="459">
        <v>770</v>
      </c>
      <c r="I777" s="444">
        <f t="shared" ca="1" si="81"/>
        <v>-1683605.8663022644</v>
      </c>
      <c r="J777" s="444">
        <f t="array" ref="J777">IFERROR(INDEX('Retirement Calculator'!K:K,MATCH('Lorri 401b'!N777,'Retirement Calculator'!A:A,0),0),0)</f>
        <v>20367.195264578786</v>
      </c>
      <c r="K777" s="444">
        <f t="shared" ca="1" si="79"/>
        <v>-7099.8877565285138</v>
      </c>
      <c r="L777" s="444">
        <f t="shared" ca="1" si="80"/>
        <v>-1711072.9493233718</v>
      </c>
      <c r="M777" s="460">
        <f t="shared" si="82"/>
        <v>0.05</v>
      </c>
      <c r="N777" s="464">
        <f t="shared" si="83"/>
        <v>74693</v>
      </c>
    </row>
    <row r="778" spans="7:14" ht="11.25" customHeight="1" x14ac:dyDescent="0.3">
      <c r="G778" s="459">
        <f t="shared" si="84"/>
        <v>65</v>
      </c>
      <c r="H778" s="459">
        <v>771</v>
      </c>
      <c r="I778" s="444">
        <f t="shared" ca="1" si="81"/>
        <v>-1711072.9493233718</v>
      </c>
      <c r="J778" s="444">
        <f t="array" ref="J778">IFERROR(INDEX('Retirement Calculator'!K:K,MATCH('Lorri 401b'!N778,'Retirement Calculator'!A:A,0),0),0)</f>
        <v>20367.195264578786</v>
      </c>
      <c r="K778" s="444">
        <f t="shared" ca="1" si="79"/>
        <v>-7214.3339357831273</v>
      </c>
      <c r="L778" s="444">
        <f t="shared" ca="1" si="80"/>
        <v>-1738654.4785237336</v>
      </c>
      <c r="M778" s="460">
        <f t="shared" si="82"/>
        <v>0.05</v>
      </c>
      <c r="N778" s="464">
        <f t="shared" si="83"/>
        <v>74724</v>
      </c>
    </row>
    <row r="779" spans="7:14" ht="11.25" customHeight="1" x14ac:dyDescent="0.3">
      <c r="G779" s="459">
        <f t="shared" si="84"/>
        <v>65</v>
      </c>
      <c r="H779" s="459">
        <v>772</v>
      </c>
      <c r="I779" s="444">
        <f t="shared" ca="1" si="81"/>
        <v>-1738654.4785237336</v>
      </c>
      <c r="J779" s="444">
        <f t="array" ref="J779">IFERROR(INDEX('Retirement Calculator'!K:K,MATCH('Lorri 401b'!N779,'Retirement Calculator'!A:A,0),0),0)</f>
        <v>20367.195264578786</v>
      </c>
      <c r="K779" s="444">
        <f t="shared" ca="1" si="79"/>
        <v>-7329.2569741179677</v>
      </c>
      <c r="L779" s="444">
        <f t="shared" ca="1" si="80"/>
        <v>-1766350.9307624304</v>
      </c>
      <c r="M779" s="460">
        <f t="shared" si="82"/>
        <v>0.05</v>
      </c>
      <c r="N779" s="464">
        <f t="shared" si="83"/>
        <v>74755</v>
      </c>
    </row>
    <row r="780" spans="7:14" ht="11.25" customHeight="1" x14ac:dyDescent="0.3">
      <c r="G780" s="459">
        <f t="shared" si="84"/>
        <v>65</v>
      </c>
      <c r="H780" s="459">
        <v>773</v>
      </c>
      <c r="I780" s="444">
        <f t="shared" ca="1" si="81"/>
        <v>-1766350.9307624304</v>
      </c>
      <c r="J780" s="444">
        <f t="array" ref="J780">IFERROR(INDEX('Retirement Calculator'!K:K,MATCH('Lorri 401b'!N780,'Retirement Calculator'!A:A,0),0),0)</f>
        <v>20367.195264578786</v>
      </c>
      <c r="K780" s="444">
        <f t="shared" ca="1" si="79"/>
        <v>-7444.6588584458714</v>
      </c>
      <c r="L780" s="444">
        <f t="shared" ca="1" si="80"/>
        <v>-1794162.7848854552</v>
      </c>
      <c r="M780" s="460">
        <f t="shared" si="82"/>
        <v>0.05</v>
      </c>
      <c r="N780" s="464">
        <f t="shared" si="83"/>
        <v>74785</v>
      </c>
    </row>
    <row r="781" spans="7:14" ht="11.25" customHeight="1" x14ac:dyDescent="0.3">
      <c r="G781" s="459">
        <f t="shared" si="84"/>
        <v>65</v>
      </c>
      <c r="H781" s="459">
        <v>774</v>
      </c>
      <c r="I781" s="444">
        <f t="shared" ca="1" si="81"/>
        <v>-1794162.7848854552</v>
      </c>
      <c r="J781" s="444">
        <f t="array" ref="J781">IFERROR(INDEX('Retirement Calculator'!K:K,MATCH('Lorri 401b'!N781,'Retirement Calculator'!A:A,0),0),0)</f>
        <v>20367.195264578786</v>
      </c>
      <c r="K781" s="444">
        <f t="shared" ca="1" si="79"/>
        <v>-7560.5415839584748</v>
      </c>
      <c r="L781" s="444">
        <f t="shared" ca="1" si="80"/>
        <v>-1822090.5217339925</v>
      </c>
      <c r="M781" s="460">
        <f t="shared" si="82"/>
        <v>0.05</v>
      </c>
      <c r="N781" s="464">
        <f t="shared" si="83"/>
        <v>74816</v>
      </c>
    </row>
    <row r="782" spans="7:14" ht="11.25" customHeight="1" x14ac:dyDescent="0.3">
      <c r="G782" s="459">
        <f t="shared" si="84"/>
        <v>65</v>
      </c>
      <c r="H782" s="459">
        <v>775</v>
      </c>
      <c r="I782" s="444">
        <f t="shared" ca="1" si="81"/>
        <v>-1822090.5217339925</v>
      </c>
      <c r="J782" s="444">
        <f t="array" ref="J782">IFERROR(INDEX('Retirement Calculator'!K:K,MATCH('Lorri 401b'!N782,'Retirement Calculator'!A:A,0),0),0)</f>
        <v>20367.195264578786</v>
      </c>
      <c r="K782" s="444">
        <f t="shared" ca="1" si="79"/>
        <v>-7676.9071541607145</v>
      </c>
      <c r="L782" s="444">
        <f t="shared" ca="1" si="80"/>
        <v>-1850134.6241527321</v>
      </c>
      <c r="M782" s="460">
        <f t="shared" si="82"/>
        <v>0.05</v>
      </c>
      <c r="N782" s="464">
        <f t="shared" si="83"/>
        <v>74846</v>
      </c>
    </row>
    <row r="783" spans="7:14" ht="11.25" customHeight="1" x14ac:dyDescent="0.3">
      <c r="G783" s="459">
        <f t="shared" si="84"/>
        <v>65</v>
      </c>
      <c r="H783" s="459">
        <v>776</v>
      </c>
      <c r="I783" s="444">
        <f t="shared" ca="1" si="81"/>
        <v>-1850134.6241527321</v>
      </c>
      <c r="J783" s="444">
        <f t="array" ref="J783">IFERROR(INDEX('Retirement Calculator'!K:K,MATCH('Lorri 401b'!N783,'Retirement Calculator'!A:A,0),0),0)</f>
        <v>20367.195264578786</v>
      </c>
      <c r="K783" s="444">
        <f t="shared" ca="1" si="79"/>
        <v>-7793.7575809054615</v>
      </c>
      <c r="L783" s="444">
        <f t="shared" ca="1" si="80"/>
        <v>-1878295.5769982163</v>
      </c>
      <c r="M783" s="460">
        <f t="shared" si="82"/>
        <v>0.05</v>
      </c>
      <c r="N783" s="464">
        <f t="shared" si="83"/>
        <v>74877</v>
      </c>
    </row>
    <row r="784" spans="7:14" ht="11.25" customHeight="1" x14ac:dyDescent="0.3">
      <c r="G784" s="459">
        <f t="shared" si="84"/>
        <v>65</v>
      </c>
      <c r="H784" s="459">
        <v>777</v>
      </c>
      <c r="I784" s="444">
        <f t="shared" ca="1" si="81"/>
        <v>-1878295.5769982163</v>
      </c>
      <c r="J784" s="444">
        <f t="array" ref="J784">IFERROR(INDEX('Retirement Calculator'!K:K,MATCH('Lorri 401b'!N784,'Retirement Calculator'!A:A,0),0),0)</f>
        <v>20367.195264578786</v>
      </c>
      <c r="K784" s="444">
        <f t="shared" ca="1" si="79"/>
        <v>-7911.094884428313</v>
      </c>
      <c r="L784" s="444">
        <f t="shared" ca="1" si="80"/>
        <v>-1906573.8671472236</v>
      </c>
      <c r="M784" s="460">
        <f t="shared" si="82"/>
        <v>0.05</v>
      </c>
      <c r="N784" s="464">
        <f t="shared" si="83"/>
        <v>74908</v>
      </c>
    </row>
    <row r="785" spans="7:14" ht="11.25" customHeight="1" x14ac:dyDescent="0.3">
      <c r="G785" s="459">
        <f t="shared" si="84"/>
        <v>65</v>
      </c>
      <c r="H785" s="459">
        <v>778</v>
      </c>
      <c r="I785" s="444">
        <f t="shared" ca="1" si="81"/>
        <v>-1906573.8671472236</v>
      </c>
      <c r="J785" s="444">
        <f t="array" ref="J785">IFERROR(INDEX('Retirement Calculator'!K:K,MATCH('Lorri 401b'!N785,'Retirement Calculator'!A:A,0),0),0)</f>
        <v>20367.195264578786</v>
      </c>
      <c r="K785" s="444">
        <f t="shared" ca="1" si="79"/>
        <v>-8028.9210933825098</v>
      </c>
      <c r="L785" s="444">
        <f t="shared" ca="1" si="80"/>
        <v>-1934969.9835051848</v>
      </c>
      <c r="M785" s="460">
        <f t="shared" si="82"/>
        <v>0.05</v>
      </c>
      <c r="N785" s="464">
        <f t="shared" si="83"/>
        <v>74936</v>
      </c>
    </row>
    <row r="786" spans="7:14" ht="11.25" customHeight="1" x14ac:dyDescent="0.3">
      <c r="G786" s="459">
        <f t="shared" si="84"/>
        <v>65</v>
      </c>
      <c r="H786" s="459">
        <v>779</v>
      </c>
      <c r="I786" s="444">
        <f t="shared" ca="1" si="81"/>
        <v>-1934969.9835051848</v>
      </c>
      <c r="J786" s="444">
        <f t="array" ref="J786">IFERROR(INDEX('Retirement Calculator'!K:K,MATCH('Lorri 401b'!N786,'Retirement Calculator'!A:A,0),0),0)</f>
        <v>20367.195264578786</v>
      </c>
      <c r="K786" s="444">
        <f t="shared" ca="1" si="79"/>
        <v>-8147.2382448740145</v>
      </c>
      <c r="L786" s="444">
        <f t="shared" ca="1" si="80"/>
        <v>-1963484.4170146375</v>
      </c>
      <c r="M786" s="460">
        <f t="shared" si="82"/>
        <v>0.05</v>
      </c>
      <c r="N786" s="464">
        <f t="shared" si="83"/>
        <v>74967</v>
      </c>
    </row>
    <row r="787" spans="7:14" ht="11.25" customHeight="1" x14ac:dyDescent="0.3">
      <c r="G787" s="459">
        <f t="shared" si="84"/>
        <v>65</v>
      </c>
      <c r="H787" s="459">
        <v>780</v>
      </c>
      <c r="I787" s="444">
        <f t="shared" ca="1" si="81"/>
        <v>-1963484.4170146375</v>
      </c>
      <c r="J787" s="444">
        <f t="array" ref="J787">IFERROR(INDEX('Retirement Calculator'!K:K,MATCH('Lorri 401b'!N787,'Retirement Calculator'!A:A,0),0),0)</f>
        <v>20367.195264578786</v>
      </c>
      <c r="K787" s="444">
        <f t="shared" ca="1" si="79"/>
        <v>-8266.0483844967348</v>
      </c>
      <c r="L787" s="444">
        <f t="shared" ca="1" si="80"/>
        <v>-1992117.660663713</v>
      </c>
      <c r="M787" s="460">
        <f t="shared" si="82"/>
        <v>0.05</v>
      </c>
      <c r="N787" s="464">
        <f t="shared" si="83"/>
        <v>74997</v>
      </c>
    </row>
    <row r="788" spans="7:14" ht="11.25" customHeight="1" x14ac:dyDescent="0.3">
      <c r="G788" s="459">
        <f>G787+1</f>
        <v>66</v>
      </c>
      <c r="H788" s="459">
        <v>781</v>
      </c>
      <c r="I788" s="444">
        <f t="shared" ca="1" si="81"/>
        <v>-1992117.660663713</v>
      </c>
      <c r="J788" s="444">
        <f t="array" ref="J788">IFERROR(INDEX('Retirement Calculator'!K:K,MATCH('Lorri 401b'!N788,'Retirement Calculator'!A:A,0),0),0)</f>
        <v>20367.195264578786</v>
      </c>
      <c r="K788" s="444">
        <f t="shared" ca="1" si="79"/>
        <v>-8385.3535663678831</v>
      </c>
      <c r="L788" s="444">
        <f t="shared" ca="1" si="80"/>
        <v>-2020870.2094946597</v>
      </c>
      <c r="M788" s="460">
        <f t="shared" si="82"/>
        <v>0.05</v>
      </c>
      <c r="N788" s="464">
        <f t="shared" si="83"/>
        <v>75028</v>
      </c>
    </row>
    <row r="789" spans="7:14" ht="11.25" customHeight="1" x14ac:dyDescent="0.3">
      <c r="G789" s="459">
        <f t="shared" ref="G789:G799" si="85">G788</f>
        <v>66</v>
      </c>
      <c r="H789" s="459">
        <v>782</v>
      </c>
      <c r="I789" s="444">
        <f t="shared" ca="1" si="81"/>
        <v>-2020870.2094946597</v>
      </c>
      <c r="J789" s="444">
        <f t="array" ref="J789">IFERROR(INDEX('Retirement Calculator'!K:K,MATCH('Lorri 401b'!N789,'Retirement Calculator'!A:A,0),0),0)</f>
        <v>20367.195264578786</v>
      </c>
      <c r="K789" s="444">
        <f t="shared" ca="1" si="79"/>
        <v>-8505.1558531634928</v>
      </c>
      <c r="L789" s="444">
        <f t="shared" ca="1" si="80"/>
        <v>-2049742.5606124019</v>
      </c>
      <c r="M789" s="460">
        <f t="shared" si="82"/>
        <v>0.05</v>
      </c>
      <c r="N789" s="464">
        <f t="shared" si="83"/>
        <v>75058</v>
      </c>
    </row>
    <row r="790" spans="7:14" ht="11.25" customHeight="1" x14ac:dyDescent="0.3">
      <c r="G790" s="459">
        <f t="shared" si="85"/>
        <v>66</v>
      </c>
      <c r="H790" s="459">
        <v>783</v>
      </c>
      <c r="I790" s="444">
        <f t="shared" ca="1" si="81"/>
        <v>-2049742.5606124019</v>
      </c>
      <c r="J790" s="444">
        <f t="array" ref="J790">IFERROR(INDEX('Retirement Calculator'!K:K,MATCH('Lorri 401b'!N790,'Retirement Calculator'!A:A,0),0),0)</f>
        <v>20367.195264578786</v>
      </c>
      <c r="K790" s="444">
        <f t="shared" ca="1" si="79"/>
        <v>-8625.4573161540866</v>
      </c>
      <c r="L790" s="444">
        <f t="shared" ca="1" si="80"/>
        <v>-2078735.2131931349</v>
      </c>
      <c r="M790" s="460">
        <f t="shared" si="82"/>
        <v>0.05</v>
      </c>
      <c r="N790" s="464">
        <f t="shared" si="83"/>
        <v>75089</v>
      </c>
    </row>
    <row r="791" spans="7:14" ht="11.25" customHeight="1" x14ac:dyDescent="0.3">
      <c r="G791" s="459">
        <f t="shared" si="85"/>
        <v>66</v>
      </c>
      <c r="H791" s="459">
        <v>784</v>
      </c>
      <c r="I791" s="444">
        <f t="shared" ca="1" si="81"/>
        <v>-2078735.2131931349</v>
      </c>
      <c r="J791" s="444">
        <f t="array" ref="J791">IFERROR(INDEX('Retirement Calculator'!K:K,MATCH('Lorri 401b'!N791,'Retirement Calculator'!A:A,0),0),0)</f>
        <v>20367.195264578786</v>
      </c>
      <c r="K791" s="444">
        <f t="shared" ca="1" si="79"/>
        <v>-8746.2600352404734</v>
      </c>
      <c r="L791" s="444">
        <f t="shared" ca="1" si="80"/>
        <v>-2107848.6684929542</v>
      </c>
      <c r="M791" s="460">
        <f t="shared" si="82"/>
        <v>0.05</v>
      </c>
      <c r="N791" s="464">
        <f t="shared" si="83"/>
        <v>75120</v>
      </c>
    </row>
    <row r="792" spans="7:14" ht="11.25" customHeight="1" x14ac:dyDescent="0.3">
      <c r="G792" s="459">
        <f t="shared" si="85"/>
        <v>66</v>
      </c>
      <c r="H792" s="459">
        <v>785</v>
      </c>
      <c r="I792" s="444">
        <f t="shared" ca="1" si="81"/>
        <v>-2107848.6684929542</v>
      </c>
      <c r="J792" s="444">
        <f t="array" ref="J792">IFERROR(INDEX('Retirement Calculator'!K:K,MATCH('Lorri 401b'!N792,'Retirement Calculator'!A:A,0),0),0)</f>
        <v>20367.195264578786</v>
      </c>
      <c r="K792" s="444">
        <f t="shared" ca="1" si="79"/>
        <v>-8867.5660989897206</v>
      </c>
      <c r="L792" s="444">
        <f t="shared" ca="1" si="80"/>
        <v>-2137083.4298565229</v>
      </c>
      <c r="M792" s="460">
        <f t="shared" si="82"/>
        <v>0.05</v>
      </c>
      <c r="N792" s="464">
        <f t="shared" si="83"/>
        <v>75150</v>
      </c>
    </row>
    <row r="793" spans="7:14" ht="11.25" customHeight="1" x14ac:dyDescent="0.3">
      <c r="G793" s="459">
        <f t="shared" si="85"/>
        <v>66</v>
      </c>
      <c r="H793" s="459">
        <v>786</v>
      </c>
      <c r="I793" s="444">
        <f t="shared" ca="1" si="81"/>
        <v>-2137083.4298565229</v>
      </c>
      <c r="J793" s="444">
        <f t="array" ref="J793">IFERROR(INDEX('Retirement Calculator'!K:K,MATCH('Lorri 401b'!N793,'Retirement Calculator'!A:A,0),0),0)</f>
        <v>20367.195264578786</v>
      </c>
      <c r="K793" s="444">
        <f t="shared" ca="1" si="79"/>
        <v>-8989.3776046712574</v>
      </c>
      <c r="L793" s="444">
        <f t="shared" ca="1" si="80"/>
        <v>-2166440.002725773</v>
      </c>
      <c r="M793" s="460">
        <f t="shared" si="82"/>
        <v>0.05</v>
      </c>
      <c r="N793" s="464">
        <f t="shared" si="83"/>
        <v>75181</v>
      </c>
    </row>
    <row r="794" spans="7:14" ht="11.25" customHeight="1" x14ac:dyDescent="0.3">
      <c r="G794" s="459">
        <f t="shared" si="85"/>
        <v>66</v>
      </c>
      <c r="H794" s="459">
        <v>787</v>
      </c>
      <c r="I794" s="444">
        <f t="shared" ca="1" si="81"/>
        <v>-2166440.002725773</v>
      </c>
      <c r="J794" s="444">
        <f t="array" ref="J794">IFERROR(INDEX('Retirement Calculator'!K:K,MATCH('Lorri 401b'!N794,'Retirement Calculator'!A:A,0),0),0)</f>
        <v>20367.195264578786</v>
      </c>
      <c r="K794" s="444">
        <f t="shared" ca="1" si="79"/>
        <v>-9111.6966582931327</v>
      </c>
      <c r="L794" s="444">
        <f t="shared" ca="1" si="80"/>
        <v>-2195918.8946486451</v>
      </c>
      <c r="M794" s="460">
        <f t="shared" si="82"/>
        <v>0.05</v>
      </c>
      <c r="N794" s="464">
        <f t="shared" si="83"/>
        <v>75211</v>
      </c>
    </row>
    <row r="795" spans="7:14" ht="11.25" customHeight="1" x14ac:dyDescent="0.3">
      <c r="G795" s="459">
        <f t="shared" si="85"/>
        <v>66</v>
      </c>
      <c r="H795" s="459">
        <v>788</v>
      </c>
      <c r="I795" s="444">
        <f t="shared" ca="1" si="81"/>
        <v>-2195918.8946486451</v>
      </c>
      <c r="J795" s="444">
        <f t="array" ref="J795">IFERROR(INDEX('Retirement Calculator'!K:K,MATCH('Lorri 401b'!N795,'Retirement Calculator'!A:A,0),0),0)</f>
        <v>20367.195264578786</v>
      </c>
      <c r="K795" s="444">
        <f t="shared" ca="1" si="79"/>
        <v>-9234.5253746384333</v>
      </c>
      <c r="L795" s="444">
        <f t="shared" ca="1" si="80"/>
        <v>-2225520.6152878623</v>
      </c>
      <c r="M795" s="460">
        <f t="shared" si="82"/>
        <v>0.05</v>
      </c>
      <c r="N795" s="464">
        <f t="shared" si="83"/>
        <v>75242</v>
      </c>
    </row>
    <row r="796" spans="7:14" ht="11.25" customHeight="1" x14ac:dyDescent="0.3">
      <c r="G796" s="459">
        <f t="shared" si="85"/>
        <v>66</v>
      </c>
      <c r="H796" s="459">
        <v>789</v>
      </c>
      <c r="I796" s="444">
        <f t="shared" ca="1" si="81"/>
        <v>-2225520.6152878623</v>
      </c>
      <c r="J796" s="444">
        <f t="array" ref="J796">IFERROR(INDEX('Retirement Calculator'!K:K,MATCH('Lorri 401b'!N796,'Retirement Calculator'!A:A,0),0),0)</f>
        <v>20367.195264578786</v>
      </c>
      <c r="K796" s="444">
        <f t="shared" ca="1" si="79"/>
        <v>-9357.8658773018378</v>
      </c>
      <c r="L796" s="444">
        <f t="shared" ca="1" si="80"/>
        <v>-2255245.6764297429</v>
      </c>
      <c r="M796" s="460">
        <f t="shared" si="82"/>
        <v>0.05</v>
      </c>
      <c r="N796" s="464">
        <f t="shared" si="83"/>
        <v>75273</v>
      </c>
    </row>
    <row r="797" spans="7:14" ht="11.25" customHeight="1" x14ac:dyDescent="0.3">
      <c r="G797" s="459">
        <f t="shared" si="85"/>
        <v>66</v>
      </c>
      <c r="H797" s="459">
        <v>790</v>
      </c>
      <c r="I797" s="444">
        <f t="shared" ca="1" si="81"/>
        <v>-2255245.6764297429</v>
      </c>
      <c r="J797" s="444">
        <f t="array" ref="J797">IFERROR(INDEX('Retirement Calculator'!K:K,MATCH('Lorri 401b'!N797,'Retirement Calculator'!A:A,0),0),0)</f>
        <v>20367.195264578786</v>
      </c>
      <c r="K797" s="444">
        <f t="shared" ca="1" si="79"/>
        <v>-9481.7202987263408</v>
      </c>
      <c r="L797" s="444">
        <f t="shared" ca="1" si="80"/>
        <v>-2285094.5919930479</v>
      </c>
      <c r="M797" s="460">
        <f t="shared" si="82"/>
        <v>0.05</v>
      </c>
      <c r="N797" s="464">
        <f t="shared" si="83"/>
        <v>75301</v>
      </c>
    </row>
    <row r="798" spans="7:14" ht="11.25" customHeight="1" x14ac:dyDescent="0.3">
      <c r="G798" s="459">
        <f t="shared" si="85"/>
        <v>66</v>
      </c>
      <c r="H798" s="459">
        <v>791</v>
      </c>
      <c r="I798" s="444">
        <f t="shared" ca="1" si="81"/>
        <v>-2285094.5919930479</v>
      </c>
      <c r="J798" s="444">
        <f t="array" ref="J798">IFERROR(INDEX('Retirement Calculator'!K:K,MATCH('Lorri 401b'!N798,'Retirement Calculator'!A:A,0),0),0)</f>
        <v>20367.195264578786</v>
      </c>
      <c r="K798" s="444">
        <f t="shared" ca="1" si="79"/>
        <v>-9606.0907802401107</v>
      </c>
      <c r="L798" s="444">
        <f t="shared" ca="1" si="80"/>
        <v>-2315067.8780378667</v>
      </c>
      <c r="M798" s="460">
        <f t="shared" si="82"/>
        <v>0.05</v>
      </c>
      <c r="N798" s="464">
        <f t="shared" si="83"/>
        <v>75332</v>
      </c>
    </row>
    <row r="799" spans="7:14" ht="11.25" customHeight="1" x14ac:dyDescent="0.3">
      <c r="G799" s="459">
        <f t="shared" si="85"/>
        <v>66</v>
      </c>
      <c r="H799" s="459">
        <v>792</v>
      </c>
      <c r="I799" s="444">
        <f t="shared" ca="1" si="81"/>
        <v>-2315067.8780378667</v>
      </c>
      <c r="J799" s="444">
        <f t="array" ref="J799">IFERROR(INDEX('Retirement Calculator'!K:K,MATCH('Lorri 401b'!N799,'Retirement Calculator'!A:A,0),0),0)</f>
        <v>20367.195264578786</v>
      </c>
      <c r="K799" s="444">
        <f t="shared" ca="1" si="79"/>
        <v>-9730.9794720935224</v>
      </c>
      <c r="L799" s="444">
        <f t="shared" ca="1" si="80"/>
        <v>-2345166.0527745392</v>
      </c>
      <c r="M799" s="460">
        <f t="shared" si="82"/>
        <v>0.05</v>
      </c>
      <c r="N799" s="464">
        <f t="shared" si="83"/>
        <v>75362</v>
      </c>
    </row>
    <row r="800" spans="7:14" ht="11.25" customHeight="1" x14ac:dyDescent="0.3">
      <c r="G800" s="459">
        <f>G799+1</f>
        <v>67</v>
      </c>
      <c r="H800" s="459">
        <v>793</v>
      </c>
      <c r="I800" s="444">
        <f t="shared" ca="1" si="81"/>
        <v>-2345166.0527745392</v>
      </c>
      <c r="J800" s="444">
        <f t="array" ref="J800">IFERROR(INDEX('Retirement Calculator'!K:K,MATCH('Lorri 401b'!N800,'Retirement Calculator'!A:A,0),0),0)</f>
        <v>20367.195264578786</v>
      </c>
      <c r="K800" s="444">
        <f t="shared" ca="1" si="79"/>
        <v>-9856.3885334963252</v>
      </c>
      <c r="L800" s="444">
        <f t="shared" ca="1" si="80"/>
        <v>-2375389.6365726143</v>
      </c>
      <c r="M800" s="460">
        <f t="shared" si="82"/>
        <v>0.05</v>
      </c>
      <c r="N800" s="464">
        <f t="shared" si="83"/>
        <v>75393</v>
      </c>
    </row>
    <row r="801" spans="7:14" ht="11.25" customHeight="1" x14ac:dyDescent="0.3">
      <c r="G801" s="459">
        <f t="shared" ref="G801:G811" si="86">G800</f>
        <v>67</v>
      </c>
      <c r="H801" s="459">
        <v>794</v>
      </c>
      <c r="I801" s="444">
        <f t="shared" ca="1" si="81"/>
        <v>-2375389.6365726143</v>
      </c>
      <c r="J801" s="444">
        <f t="array" ref="J801">IFERROR(INDEX('Retirement Calculator'!K:K,MATCH('Lorri 401b'!N801,'Retirement Calculator'!A:A,0),0),0)</f>
        <v>20367.195264578786</v>
      </c>
      <c r="K801" s="444">
        <f t="shared" ca="1" si="79"/>
        <v>-9982.3201326549715</v>
      </c>
      <c r="L801" s="444">
        <f t="shared" ca="1" si="80"/>
        <v>-2405739.1519698482</v>
      </c>
      <c r="M801" s="460">
        <f t="shared" si="82"/>
        <v>0.05</v>
      </c>
      <c r="N801" s="464">
        <f t="shared" si="83"/>
        <v>75423</v>
      </c>
    </row>
    <row r="802" spans="7:14" ht="11.25" customHeight="1" x14ac:dyDescent="0.3">
      <c r="G802" s="459">
        <f t="shared" si="86"/>
        <v>67</v>
      </c>
      <c r="H802" s="459">
        <v>795</v>
      </c>
      <c r="I802" s="444">
        <f t="shared" ca="1" si="81"/>
        <v>-2405739.1519698482</v>
      </c>
      <c r="J802" s="444">
        <f t="array" ref="J802">IFERROR(INDEX('Retirement Calculator'!K:K,MATCH('Lorri 401b'!N802,'Retirement Calculator'!A:A,0),0),0)</f>
        <v>20367.195264578786</v>
      </c>
      <c r="K802" s="444">
        <f t="shared" ca="1" si="79"/>
        <v>-10108.776446810112</v>
      </c>
      <c r="L802" s="444">
        <f t="shared" ca="1" si="80"/>
        <v>-2436215.123681237</v>
      </c>
      <c r="M802" s="460">
        <f t="shared" si="82"/>
        <v>0.05</v>
      </c>
      <c r="N802" s="464">
        <f t="shared" si="83"/>
        <v>75454</v>
      </c>
    </row>
    <row r="803" spans="7:14" ht="11.25" customHeight="1" x14ac:dyDescent="0.3">
      <c r="G803" s="459">
        <f t="shared" si="86"/>
        <v>67</v>
      </c>
      <c r="H803" s="459">
        <v>796</v>
      </c>
      <c r="I803" s="444">
        <f t="shared" ca="1" si="81"/>
        <v>-2436215.123681237</v>
      </c>
      <c r="J803" s="444">
        <f t="array" ref="J803">IFERROR(INDEX('Retirement Calculator'!K:K,MATCH('Lorri 401b'!N803,'Retirement Calculator'!A:A,0),0),0)</f>
        <v>20367.195264578786</v>
      </c>
      <c r="K803" s="444">
        <f t="shared" ca="1" si="79"/>
        <v>-10235.759662274233</v>
      </c>
      <c r="L803" s="444">
        <f t="shared" ca="1" si="80"/>
        <v>-2466818.0786080901</v>
      </c>
      <c r="M803" s="460">
        <f t="shared" si="82"/>
        <v>0.05</v>
      </c>
      <c r="N803" s="464">
        <f t="shared" si="83"/>
        <v>75485</v>
      </c>
    </row>
    <row r="804" spans="7:14" ht="11.25" customHeight="1" x14ac:dyDescent="0.3">
      <c r="G804" s="459">
        <f t="shared" si="86"/>
        <v>67</v>
      </c>
      <c r="H804" s="459">
        <v>797</v>
      </c>
      <c r="I804" s="444">
        <f t="shared" ca="1" si="81"/>
        <v>-2466818.0786080901</v>
      </c>
      <c r="J804" s="444">
        <f t="array" ref="J804">IFERROR(INDEX('Retirement Calculator'!K:K,MATCH('Lorri 401b'!N804,'Retirement Calculator'!A:A,0),0),0)</f>
        <v>20367.195264578786</v>
      </c>
      <c r="K804" s="444">
        <f t="shared" ca="1" si="79"/>
        <v>-10363.271974469453</v>
      </c>
      <c r="L804" s="444">
        <f t="shared" ca="1" si="80"/>
        <v>-2497548.5458471384</v>
      </c>
      <c r="M804" s="460">
        <f t="shared" si="82"/>
        <v>0.05</v>
      </c>
      <c r="N804" s="464">
        <f t="shared" si="83"/>
        <v>75515</v>
      </c>
    </row>
    <row r="805" spans="7:14" ht="11.25" customHeight="1" x14ac:dyDescent="0.3">
      <c r="G805" s="459">
        <f t="shared" si="86"/>
        <v>67</v>
      </c>
      <c r="H805" s="459">
        <v>798</v>
      </c>
      <c r="I805" s="444">
        <f t="shared" ca="1" si="81"/>
        <v>-2497548.5458471384</v>
      </c>
      <c r="J805" s="444">
        <f t="array" ref="J805">IFERROR(INDEX('Retirement Calculator'!K:K,MATCH('Lorri 401b'!N805,'Retirement Calculator'!A:A,0),0),0)</f>
        <v>20367.195264578786</v>
      </c>
      <c r="K805" s="444">
        <f t="shared" ca="1" si="79"/>
        <v>-10491.315587965488</v>
      </c>
      <c r="L805" s="444">
        <f t="shared" ca="1" si="80"/>
        <v>-2528407.0566996825</v>
      </c>
      <c r="M805" s="460">
        <f t="shared" si="82"/>
        <v>0.05</v>
      </c>
      <c r="N805" s="464">
        <f t="shared" si="83"/>
        <v>75546</v>
      </c>
    </row>
    <row r="806" spans="7:14" ht="11.25" customHeight="1" x14ac:dyDescent="0.3">
      <c r="G806" s="459">
        <f t="shared" si="86"/>
        <v>67</v>
      </c>
      <c r="H806" s="459">
        <v>799</v>
      </c>
      <c r="I806" s="444">
        <f t="shared" ca="1" si="81"/>
        <v>-2528407.0566996825</v>
      </c>
      <c r="J806" s="444">
        <f t="array" ref="J806">IFERROR(INDEX('Retirement Calculator'!K:K,MATCH('Lorri 401b'!N806,'Retirement Calculator'!A:A,0),0),0)</f>
        <v>20367.195264578786</v>
      </c>
      <c r="K806" s="444">
        <f t="shared" ca="1" si="79"/>
        <v>-10619.892716517756</v>
      </c>
      <c r="L806" s="444">
        <f t="shared" ca="1" si="80"/>
        <v>-2559394.144680779</v>
      </c>
      <c r="M806" s="460">
        <f t="shared" si="82"/>
        <v>0.05</v>
      </c>
      <c r="N806" s="464">
        <f t="shared" si="83"/>
        <v>75576</v>
      </c>
    </row>
    <row r="807" spans="7:14" ht="11.25" customHeight="1" x14ac:dyDescent="0.3">
      <c r="G807" s="459">
        <f t="shared" si="86"/>
        <v>67</v>
      </c>
      <c r="H807" s="459">
        <v>800</v>
      </c>
      <c r="I807" s="444">
        <f t="shared" ca="1" si="81"/>
        <v>-2559394.144680779</v>
      </c>
      <c r="J807" s="444">
        <f t="array" ref="J807">IFERROR(INDEX('Retirement Calculator'!K:K,MATCH('Lorri 401b'!N807,'Retirement Calculator'!A:A,0),0),0)</f>
        <v>20367.195264578786</v>
      </c>
      <c r="K807" s="444">
        <f t="shared" ca="1" si="79"/>
        <v>-10749.005583105658</v>
      </c>
      <c r="L807" s="444">
        <f t="shared" ca="1" si="80"/>
        <v>-2590510.3455284634</v>
      </c>
      <c r="M807" s="460">
        <f t="shared" si="82"/>
        <v>0.05</v>
      </c>
      <c r="N807" s="464">
        <f t="shared" si="83"/>
        <v>75607</v>
      </c>
    </row>
    <row r="808" spans="7:14" ht="11.25" customHeight="1" x14ac:dyDescent="0.3">
      <c r="G808" s="459">
        <f t="shared" si="86"/>
        <v>67</v>
      </c>
      <c r="H808" s="459">
        <v>801</v>
      </c>
      <c r="I808" s="444">
        <f t="shared" ca="1" si="81"/>
        <v>-2590510.3455284634</v>
      </c>
      <c r="J808" s="444">
        <f t="array" ref="J808">IFERROR(INDEX('Retirement Calculator'!K:K,MATCH('Lorri 401b'!N808,'Retirement Calculator'!A:A,0),0),0)</f>
        <v>20367.195264578786</v>
      </c>
      <c r="K808" s="444">
        <f t="shared" ca="1" si="79"/>
        <v>-10878.656419971008</v>
      </c>
      <c r="L808" s="444">
        <f t="shared" ca="1" si="80"/>
        <v>-2621756.1972130132</v>
      </c>
      <c r="M808" s="460">
        <f t="shared" si="82"/>
        <v>0.05</v>
      </c>
      <c r="N808" s="464">
        <f t="shared" si="83"/>
        <v>75638</v>
      </c>
    </row>
    <row r="809" spans="7:14" ht="11.25" customHeight="1" x14ac:dyDescent="0.3">
      <c r="G809" s="459">
        <f t="shared" si="86"/>
        <v>67</v>
      </c>
      <c r="H809" s="459">
        <v>802</v>
      </c>
      <c r="I809" s="444">
        <f t="shared" ca="1" si="81"/>
        <v>-2621756.1972130132</v>
      </c>
      <c r="J809" s="444">
        <f t="array" ref="J809">IFERROR(INDEX('Retirement Calculator'!K:K,MATCH('Lorri 401b'!N809,'Retirement Calculator'!A:A,0),0),0)</f>
        <v>20367.195264578786</v>
      </c>
      <c r="K809" s="444">
        <f t="shared" ca="1" si="79"/>
        <v>-11008.847468656633</v>
      </c>
      <c r="L809" s="444">
        <f t="shared" ca="1" si="80"/>
        <v>-2653132.2399462485</v>
      </c>
      <c r="M809" s="460">
        <f t="shared" si="82"/>
        <v>0.05</v>
      </c>
      <c r="N809" s="464">
        <f t="shared" si="83"/>
        <v>75666</v>
      </c>
    </row>
    <row r="810" spans="7:14" ht="11.25" customHeight="1" x14ac:dyDescent="0.3">
      <c r="G810" s="459">
        <f t="shared" si="86"/>
        <v>67</v>
      </c>
      <c r="H810" s="459">
        <v>803</v>
      </c>
      <c r="I810" s="444">
        <f t="shared" ca="1" si="81"/>
        <v>-2653132.2399462485</v>
      </c>
      <c r="J810" s="444">
        <f t="array" ref="J810">IFERROR(INDEX('Retirement Calculator'!K:K,MATCH('Lorri 401b'!N810,'Retirement Calculator'!A:A,0),0),0)</f>
        <v>20367.195264578786</v>
      </c>
      <c r="K810" s="444">
        <f t="shared" ca="1" si="79"/>
        <v>-11139.580980045113</v>
      </c>
      <c r="L810" s="444">
        <f t="shared" ca="1" si="80"/>
        <v>-2684639.0161908725</v>
      </c>
      <c r="M810" s="460">
        <f t="shared" si="82"/>
        <v>0.05</v>
      </c>
      <c r="N810" s="464">
        <f t="shared" si="83"/>
        <v>75697</v>
      </c>
    </row>
    <row r="811" spans="7:14" ht="11.25" customHeight="1" x14ac:dyDescent="0.3">
      <c r="G811" s="459">
        <f t="shared" si="86"/>
        <v>67</v>
      </c>
      <c r="H811" s="459">
        <v>804</v>
      </c>
      <c r="I811" s="444">
        <f t="shared" ca="1" si="81"/>
        <v>-2684639.0161908725</v>
      </c>
      <c r="J811" s="444">
        <f t="array" ref="J811">IFERROR(INDEX('Retirement Calculator'!K:K,MATCH('Lorri 401b'!N811,'Retirement Calculator'!A:A,0),0),0)</f>
        <v>20367.195264578786</v>
      </c>
      <c r="K811" s="444">
        <f t="shared" ca="1" si="79"/>
        <v>-11270.859214397713</v>
      </c>
      <c r="L811" s="444">
        <f t="shared" ca="1" si="80"/>
        <v>-2716277.0706698489</v>
      </c>
      <c r="M811" s="460">
        <f t="shared" si="82"/>
        <v>0.05</v>
      </c>
      <c r="N811" s="464">
        <f t="shared" si="83"/>
        <v>75727</v>
      </c>
    </row>
    <row r="812" spans="7:14" ht="11.25" customHeight="1" x14ac:dyDescent="0.3">
      <c r="G812" s="459">
        <f>G811+1</f>
        <v>68</v>
      </c>
      <c r="H812" s="459">
        <v>805</v>
      </c>
      <c r="I812" s="444">
        <f t="shared" ca="1" si="81"/>
        <v>-2716277.0706698489</v>
      </c>
      <c r="J812" s="444">
        <f t="array" ref="J812">IFERROR(INDEX('Retirement Calculator'!K:K,MATCH('Lorri 401b'!N812,'Retirement Calculator'!A:A,0),0),0)</f>
        <v>20367.195264578786</v>
      </c>
      <c r="K812" s="444">
        <f t="shared" ca="1" si="79"/>
        <v>-11402.684441393449</v>
      </c>
      <c r="L812" s="444">
        <f t="shared" ca="1" si="80"/>
        <v>-2748046.950375821</v>
      </c>
      <c r="M812" s="460">
        <f t="shared" si="82"/>
        <v>0.05</v>
      </c>
      <c r="N812" s="464">
        <f t="shared" si="83"/>
        <v>75758</v>
      </c>
    </row>
    <row r="813" spans="7:14" ht="11.25" customHeight="1" x14ac:dyDescent="0.3">
      <c r="G813" s="459">
        <f t="shared" ref="G813:G823" si="87">G812</f>
        <v>68</v>
      </c>
      <c r="H813" s="459">
        <v>806</v>
      </c>
      <c r="I813" s="444">
        <f t="shared" ca="1" si="81"/>
        <v>-2748046.950375821</v>
      </c>
      <c r="J813" s="444">
        <f t="array" ref="J813">IFERROR(INDEX('Retirement Calculator'!K:K,MATCH('Lorri 401b'!N813,'Retirement Calculator'!A:A,0),0),0)</f>
        <v>20367.195264578786</v>
      </c>
      <c r="K813" s="444">
        <f t="shared" ca="1" si="79"/>
        <v>-11535.058940168332</v>
      </c>
      <c r="L813" s="444">
        <f t="shared" ca="1" si="80"/>
        <v>-2779949.2045805682</v>
      </c>
      <c r="M813" s="460">
        <f t="shared" si="82"/>
        <v>0.05</v>
      </c>
      <c r="N813" s="464">
        <f t="shared" si="83"/>
        <v>75788</v>
      </c>
    </row>
    <row r="814" spans="7:14" ht="11.25" customHeight="1" x14ac:dyDescent="0.3">
      <c r="G814" s="459">
        <f t="shared" si="87"/>
        <v>68</v>
      </c>
      <c r="H814" s="459">
        <v>807</v>
      </c>
      <c r="I814" s="444">
        <f t="shared" ca="1" si="81"/>
        <v>-2779949.2045805682</v>
      </c>
      <c r="J814" s="444">
        <f t="array" ref="J814">IFERROR(INDEX('Retirement Calculator'!K:K,MATCH('Lorri 401b'!N814,'Retirement Calculator'!A:A,0),0),0)</f>
        <v>20367.195264578786</v>
      </c>
      <c r="K814" s="444">
        <f t="shared" ca="1" si="79"/>
        <v>-11667.98499935478</v>
      </c>
      <c r="L814" s="444">
        <f t="shared" ca="1" si="80"/>
        <v>-2811984.384844502</v>
      </c>
      <c r="M814" s="460">
        <f t="shared" si="82"/>
        <v>0.05</v>
      </c>
      <c r="N814" s="464">
        <f t="shared" si="83"/>
        <v>75819</v>
      </c>
    </row>
    <row r="815" spans="7:14" ht="11.25" customHeight="1" x14ac:dyDescent="0.3">
      <c r="G815" s="459">
        <f t="shared" si="87"/>
        <v>68</v>
      </c>
      <c r="H815" s="459">
        <v>808</v>
      </c>
      <c r="I815" s="444">
        <f t="shared" ca="1" si="81"/>
        <v>-2811984.384844502</v>
      </c>
      <c r="J815" s="444">
        <f t="array" ref="J815">IFERROR(INDEX('Retirement Calculator'!K:K,MATCH('Lorri 401b'!N815,'Retirement Calculator'!A:A,0),0),0)</f>
        <v>20367.195264578786</v>
      </c>
      <c r="K815" s="444">
        <f t="shared" ca="1" si="79"/>
        <v>-11801.464917121169</v>
      </c>
      <c r="L815" s="444">
        <f t="shared" ca="1" si="80"/>
        <v>-2844153.0450262018</v>
      </c>
      <c r="M815" s="460">
        <f t="shared" si="82"/>
        <v>0.05</v>
      </c>
      <c r="N815" s="464">
        <f t="shared" si="83"/>
        <v>75850</v>
      </c>
    </row>
    <row r="816" spans="7:14" ht="11.25" customHeight="1" x14ac:dyDescent="0.3">
      <c r="G816" s="459">
        <f t="shared" si="87"/>
        <v>68</v>
      </c>
      <c r="H816" s="459">
        <v>809</v>
      </c>
      <c r="I816" s="444">
        <f t="shared" ca="1" si="81"/>
        <v>-2844153.0450262018</v>
      </c>
      <c r="J816" s="444">
        <f t="array" ref="J816">IFERROR(INDEX('Retirement Calculator'!K:K,MATCH('Lorri 401b'!N816,'Retirement Calculator'!A:A,0),0),0)</f>
        <v>20367.195264578786</v>
      </c>
      <c r="K816" s="444">
        <f t="shared" ca="1" si="79"/>
        <v>-11935.501001211585</v>
      </c>
      <c r="L816" s="444">
        <f t="shared" ca="1" si="80"/>
        <v>-2876455.7412919924</v>
      </c>
      <c r="M816" s="460">
        <f t="shared" si="82"/>
        <v>0.05</v>
      </c>
      <c r="N816" s="464">
        <f t="shared" si="83"/>
        <v>75880</v>
      </c>
    </row>
    <row r="817" spans="7:14" ht="11.25" customHeight="1" x14ac:dyDescent="0.3">
      <c r="G817" s="459">
        <f t="shared" si="87"/>
        <v>68</v>
      </c>
      <c r="H817" s="459">
        <v>810</v>
      </c>
      <c r="I817" s="444">
        <f t="shared" ca="1" si="81"/>
        <v>-2876455.7412919924</v>
      </c>
      <c r="J817" s="444">
        <f t="array" ref="J817">IFERROR(INDEX('Retirement Calculator'!K:K,MATCH('Lorri 401b'!N817,'Retirement Calculator'!A:A,0),0),0)</f>
        <v>20367.195264578786</v>
      </c>
      <c r="K817" s="444">
        <f t="shared" ca="1" si="79"/>
        <v>-12070.095568985713</v>
      </c>
      <c r="L817" s="444">
        <f t="shared" ca="1" si="80"/>
        <v>-2908893.0321255568</v>
      </c>
      <c r="M817" s="460">
        <f t="shared" si="82"/>
        <v>0.05</v>
      </c>
      <c r="N817" s="464">
        <f t="shared" si="83"/>
        <v>75911</v>
      </c>
    </row>
    <row r="818" spans="7:14" ht="11.25" customHeight="1" x14ac:dyDescent="0.3">
      <c r="G818" s="459">
        <f t="shared" si="87"/>
        <v>68</v>
      </c>
      <c r="H818" s="459">
        <v>811</v>
      </c>
      <c r="I818" s="444">
        <f t="shared" ca="1" si="81"/>
        <v>-2908893.0321255568</v>
      </c>
      <c r="J818" s="444">
        <f t="array" ref="J818">IFERROR(INDEX('Retirement Calculator'!K:K,MATCH('Lorri 401b'!N818,'Retirement Calculator'!A:A,0),0),0)</f>
        <v>20367.195264578786</v>
      </c>
      <c r="K818" s="444">
        <f t="shared" ca="1" si="79"/>
        <v>-12205.250947458899</v>
      </c>
      <c r="L818" s="444">
        <f t="shared" ca="1" si="80"/>
        <v>-2941465.4783375943</v>
      </c>
      <c r="M818" s="460">
        <f t="shared" si="82"/>
        <v>0.05</v>
      </c>
      <c r="N818" s="464">
        <f t="shared" si="83"/>
        <v>75941</v>
      </c>
    </row>
    <row r="819" spans="7:14" ht="11.25" customHeight="1" x14ac:dyDescent="0.3">
      <c r="G819" s="459">
        <f t="shared" si="87"/>
        <v>68</v>
      </c>
      <c r="H819" s="459">
        <v>812</v>
      </c>
      <c r="I819" s="444">
        <f t="shared" ca="1" si="81"/>
        <v>-2941465.4783375943</v>
      </c>
      <c r="J819" s="444">
        <f t="array" ref="J819">IFERROR(INDEX('Retirement Calculator'!K:K,MATCH('Lorri 401b'!N819,'Retirement Calculator'!A:A,0),0),0)</f>
        <v>20367.195264578786</v>
      </c>
      <c r="K819" s="444">
        <f t="shared" ca="1" si="79"/>
        <v>-12340.969473342388</v>
      </c>
      <c r="L819" s="444">
        <f t="shared" ca="1" si="80"/>
        <v>-2974173.6430755155</v>
      </c>
      <c r="M819" s="460">
        <f t="shared" si="82"/>
        <v>0.05</v>
      </c>
      <c r="N819" s="464">
        <f t="shared" si="83"/>
        <v>75972</v>
      </c>
    </row>
    <row r="820" spans="7:14" ht="11.25" customHeight="1" x14ac:dyDescent="0.3">
      <c r="G820" s="459">
        <f t="shared" si="87"/>
        <v>68</v>
      </c>
      <c r="H820" s="459">
        <v>813</v>
      </c>
      <c r="I820" s="444">
        <f t="shared" ca="1" si="81"/>
        <v>-2974173.6430755155</v>
      </c>
      <c r="J820" s="444">
        <f t="array" ref="J820">IFERROR(INDEX('Retirement Calculator'!K:K,MATCH('Lorri 401b'!N820,'Retirement Calculator'!A:A,0),0),0)</f>
        <v>20367.195264578786</v>
      </c>
      <c r="K820" s="444">
        <f t="shared" ca="1" si="79"/>
        <v>-12477.253493083726</v>
      </c>
      <c r="L820" s="444">
        <f t="shared" ca="1" si="80"/>
        <v>-3007018.091833178</v>
      </c>
      <c r="M820" s="460">
        <f t="shared" si="82"/>
        <v>0.05</v>
      </c>
      <c r="N820" s="464">
        <f t="shared" si="83"/>
        <v>76003</v>
      </c>
    </row>
    <row r="821" spans="7:14" ht="11.25" customHeight="1" x14ac:dyDescent="0.3">
      <c r="G821" s="459">
        <f t="shared" si="87"/>
        <v>68</v>
      </c>
      <c r="H821" s="459">
        <v>814</v>
      </c>
      <c r="I821" s="444">
        <f t="shared" ca="1" si="81"/>
        <v>-3007018.091833178</v>
      </c>
      <c r="J821" s="444">
        <f t="array" ref="J821">IFERROR(INDEX('Retirement Calculator'!K:K,MATCH('Lorri 401b'!N821,'Retirement Calculator'!A:A,0),0),0)</f>
        <v>20367.195264578786</v>
      </c>
      <c r="K821" s="444">
        <f t="shared" ca="1" si="79"/>
        <v>-12614.105362907319</v>
      </c>
      <c r="L821" s="444">
        <f t="shared" ca="1" si="80"/>
        <v>-3039999.3924606643</v>
      </c>
      <c r="M821" s="460">
        <f t="shared" si="82"/>
        <v>0.05</v>
      </c>
      <c r="N821" s="464">
        <f t="shared" si="83"/>
        <v>76032</v>
      </c>
    </row>
    <row r="822" spans="7:14" ht="11.25" customHeight="1" x14ac:dyDescent="0.3">
      <c r="G822" s="459">
        <f t="shared" si="87"/>
        <v>68</v>
      </c>
      <c r="H822" s="459">
        <v>815</v>
      </c>
      <c r="I822" s="444">
        <f t="shared" ca="1" si="81"/>
        <v>-3039999.3924606643</v>
      </c>
      <c r="J822" s="444">
        <f t="array" ref="J822">IFERROR(INDEX('Retirement Calculator'!K:K,MATCH('Lorri 401b'!N822,'Retirement Calculator'!A:A,0),0),0)</f>
        <v>20367.195264578786</v>
      </c>
      <c r="K822" s="444">
        <f t="shared" ca="1" si="79"/>
        <v>-12751.527448855179</v>
      </c>
      <c r="L822" s="444">
        <f t="shared" ca="1" si="80"/>
        <v>-3073118.1151740984</v>
      </c>
      <c r="M822" s="460">
        <f t="shared" si="82"/>
        <v>0.05</v>
      </c>
      <c r="N822" s="464">
        <f t="shared" si="83"/>
        <v>76063</v>
      </c>
    </row>
    <row r="823" spans="7:14" ht="11.25" customHeight="1" x14ac:dyDescent="0.3">
      <c r="G823" s="459">
        <f t="shared" si="87"/>
        <v>68</v>
      </c>
      <c r="H823" s="459">
        <v>816</v>
      </c>
      <c r="I823" s="444">
        <f t="shared" ca="1" si="81"/>
        <v>-3073118.1151740984</v>
      </c>
      <c r="J823" s="444">
        <f t="array" ref="J823">IFERROR(INDEX('Retirement Calculator'!K:K,MATCH('Lorri 401b'!N823,'Retirement Calculator'!A:A,0),0),0)</f>
        <v>20367.195264578786</v>
      </c>
      <c r="K823" s="444">
        <f t="shared" ca="1" si="79"/>
        <v>-12889.522126827822</v>
      </c>
      <c r="L823" s="444">
        <f t="shared" ca="1" si="80"/>
        <v>-3106374.8325655051</v>
      </c>
      <c r="M823" s="460">
        <f t="shared" si="82"/>
        <v>0.05</v>
      </c>
      <c r="N823" s="464">
        <f t="shared" si="83"/>
        <v>76093</v>
      </c>
    </row>
    <row r="824" spans="7:14" ht="11.25" customHeight="1" x14ac:dyDescent="0.3">
      <c r="G824" s="459">
        <f>G823+1</f>
        <v>69</v>
      </c>
      <c r="H824" s="459">
        <v>817</v>
      </c>
      <c r="I824" s="444">
        <f t="shared" ca="1" si="81"/>
        <v>-3106374.8325655051</v>
      </c>
      <c r="J824" s="444">
        <f t="array" ref="J824">IFERROR(INDEX('Retirement Calculator'!K:K,MATCH('Lorri 401b'!N824,'Retirement Calculator'!A:A,0),0),0)</f>
        <v>20367.195264578786</v>
      </c>
      <c r="K824" s="444">
        <f t="shared" ca="1" si="79"/>
        <v>-13028.09178262535</v>
      </c>
      <c r="L824" s="444">
        <f t="shared" ca="1" si="80"/>
        <v>-3139770.1196127092</v>
      </c>
      <c r="M824" s="460">
        <f t="shared" si="82"/>
        <v>0.05</v>
      </c>
      <c r="N824" s="464">
        <f t="shared" si="83"/>
        <v>76124</v>
      </c>
    </row>
    <row r="825" spans="7:14" ht="11.25" customHeight="1" x14ac:dyDescent="0.3">
      <c r="G825" s="459">
        <f t="shared" ref="G825:G835" si="88">G824</f>
        <v>69</v>
      </c>
      <c r="H825" s="459">
        <v>818</v>
      </c>
      <c r="I825" s="444">
        <f t="shared" ca="1" si="81"/>
        <v>-3139770.1196127092</v>
      </c>
      <c r="J825" s="444">
        <f t="array" ref="J825">IFERROR(INDEX('Retirement Calculator'!K:K,MATCH('Lorri 401b'!N825,'Retirement Calculator'!A:A,0),0),0)</f>
        <v>20367.195264578786</v>
      </c>
      <c r="K825" s="444">
        <f t="shared" ca="1" si="79"/>
        <v>-13167.2388119887</v>
      </c>
      <c r="L825" s="444">
        <f t="shared" ca="1" si="80"/>
        <v>-3173304.5536892768</v>
      </c>
      <c r="M825" s="460">
        <f t="shared" si="82"/>
        <v>0.05</v>
      </c>
      <c r="N825" s="464">
        <f t="shared" si="83"/>
        <v>76154</v>
      </c>
    </row>
    <row r="826" spans="7:14" ht="11.25" customHeight="1" x14ac:dyDescent="0.3">
      <c r="G826" s="459">
        <f t="shared" si="88"/>
        <v>69</v>
      </c>
      <c r="H826" s="459">
        <v>819</v>
      </c>
      <c r="I826" s="444">
        <f t="shared" ca="1" si="81"/>
        <v>-3173304.5536892768</v>
      </c>
      <c r="J826" s="444">
        <f t="array" ref="J826">IFERROR(INDEX('Retirement Calculator'!K:K,MATCH('Lorri 401b'!N826,'Retirement Calculator'!A:A,0),0),0)</f>
        <v>20367.195264578786</v>
      </c>
      <c r="K826" s="444">
        <f t="shared" ca="1" si="79"/>
        <v>-13306.965620641065</v>
      </c>
      <c r="L826" s="444">
        <f t="shared" ca="1" si="80"/>
        <v>-3206978.7145744967</v>
      </c>
      <c r="M826" s="460">
        <f t="shared" si="82"/>
        <v>0.05</v>
      </c>
      <c r="N826" s="464">
        <f t="shared" si="83"/>
        <v>76185</v>
      </c>
    </row>
    <row r="827" spans="7:14" ht="11.25" customHeight="1" x14ac:dyDescent="0.3">
      <c r="G827" s="459">
        <f t="shared" si="88"/>
        <v>69</v>
      </c>
      <c r="H827" s="459">
        <v>820</v>
      </c>
      <c r="I827" s="444">
        <f t="shared" ca="1" si="81"/>
        <v>-3206978.7145744967</v>
      </c>
      <c r="J827" s="444">
        <f t="array" ref="J827">IFERROR(INDEX('Retirement Calculator'!K:K,MATCH('Lorri 401b'!N827,'Retirement Calculator'!A:A,0),0),0)</f>
        <v>20367.195264578786</v>
      </c>
      <c r="K827" s="444">
        <f t="shared" ca="1" si="79"/>
        <v>-13447.274624329481</v>
      </c>
      <c r="L827" s="444">
        <f t="shared" ca="1" si="80"/>
        <v>-3240793.1844634051</v>
      </c>
      <c r="M827" s="460">
        <f t="shared" si="82"/>
        <v>0.05</v>
      </c>
      <c r="N827" s="464">
        <f t="shared" si="83"/>
        <v>76216</v>
      </c>
    </row>
    <row r="828" spans="7:14" ht="11.25" customHeight="1" x14ac:dyDescent="0.3">
      <c r="G828" s="459">
        <f t="shared" si="88"/>
        <v>69</v>
      </c>
      <c r="H828" s="459">
        <v>821</v>
      </c>
      <c r="I828" s="444">
        <f t="shared" ca="1" si="81"/>
        <v>-3240793.1844634051</v>
      </c>
      <c r="J828" s="444">
        <f t="array" ref="J828">IFERROR(INDEX('Retirement Calculator'!K:K,MATCH('Lorri 401b'!N828,'Retirement Calculator'!A:A,0),0),0)</f>
        <v>20367.195264578786</v>
      </c>
      <c r="K828" s="444">
        <f t="shared" ca="1" si="79"/>
        <v>-13588.168248866599</v>
      </c>
      <c r="L828" s="444">
        <f t="shared" ca="1" si="80"/>
        <v>-3274748.5479768505</v>
      </c>
      <c r="M828" s="460">
        <f t="shared" si="82"/>
        <v>0.05</v>
      </c>
      <c r="N828" s="464">
        <f t="shared" si="83"/>
        <v>76246</v>
      </c>
    </row>
    <row r="829" spans="7:14" ht="11.25" customHeight="1" x14ac:dyDescent="0.3">
      <c r="G829" s="459">
        <f t="shared" si="88"/>
        <v>69</v>
      </c>
      <c r="H829" s="459">
        <v>822</v>
      </c>
      <c r="I829" s="444">
        <f t="shared" ca="1" si="81"/>
        <v>-3274748.5479768505</v>
      </c>
      <c r="J829" s="444">
        <f t="array" ref="J829">IFERROR(INDEX('Retirement Calculator'!K:K,MATCH('Lorri 401b'!N829,'Retirement Calculator'!A:A,0),0),0)</f>
        <v>20367.195264578786</v>
      </c>
      <c r="K829" s="444">
        <f t="shared" ca="1" si="79"/>
        <v>-13729.648930172621</v>
      </c>
      <c r="L829" s="444">
        <f t="shared" ca="1" si="80"/>
        <v>-3308845.3921716018</v>
      </c>
      <c r="M829" s="460">
        <f t="shared" si="82"/>
        <v>0.05</v>
      </c>
      <c r="N829" s="464">
        <f t="shared" si="83"/>
        <v>76277</v>
      </c>
    </row>
    <row r="830" spans="7:14" ht="11.25" customHeight="1" x14ac:dyDescent="0.3">
      <c r="G830" s="459">
        <f t="shared" si="88"/>
        <v>69</v>
      </c>
      <c r="H830" s="459">
        <v>823</v>
      </c>
      <c r="I830" s="444">
        <f t="shared" ca="1" si="81"/>
        <v>-3308845.3921716018</v>
      </c>
      <c r="J830" s="444">
        <f t="array" ref="J830">IFERROR(INDEX('Retirement Calculator'!K:K,MATCH('Lorri 401b'!N830,'Retirement Calculator'!A:A,0),0),0)</f>
        <v>20367.195264578786</v>
      </c>
      <c r="K830" s="444">
        <f t="shared" ca="1" si="79"/>
        <v>-13871.719114317417</v>
      </c>
      <c r="L830" s="444">
        <f t="shared" ca="1" si="80"/>
        <v>-3343084.3065504981</v>
      </c>
      <c r="M830" s="460">
        <f t="shared" si="82"/>
        <v>0.05</v>
      </c>
      <c r="N830" s="464">
        <f t="shared" si="83"/>
        <v>76307</v>
      </c>
    </row>
    <row r="831" spans="7:14" ht="11.25" customHeight="1" x14ac:dyDescent="0.3">
      <c r="G831" s="459">
        <f t="shared" si="88"/>
        <v>69</v>
      </c>
      <c r="H831" s="459">
        <v>824</v>
      </c>
      <c r="I831" s="444">
        <f t="shared" ca="1" si="81"/>
        <v>-3343084.3065504981</v>
      </c>
      <c r="J831" s="444">
        <f t="array" ref="J831">IFERROR(INDEX('Retirement Calculator'!K:K,MATCH('Lorri 401b'!N831,'Retirement Calculator'!A:A,0),0),0)</f>
        <v>20367.195264578786</v>
      </c>
      <c r="K831" s="444">
        <f t="shared" ca="1" si="79"/>
        <v>-14014.38125756282</v>
      </c>
      <c r="L831" s="444">
        <f t="shared" ca="1" si="80"/>
        <v>-3377465.8830726398</v>
      </c>
      <c r="M831" s="460">
        <f t="shared" si="82"/>
        <v>0.05</v>
      </c>
      <c r="N831" s="464">
        <f t="shared" si="83"/>
        <v>76338</v>
      </c>
    </row>
    <row r="832" spans="7:14" ht="11.25" customHeight="1" x14ac:dyDescent="0.3">
      <c r="G832" s="459">
        <f t="shared" si="88"/>
        <v>69</v>
      </c>
      <c r="H832" s="459">
        <v>825</v>
      </c>
      <c r="I832" s="444">
        <f t="shared" ca="1" si="81"/>
        <v>-3377465.8830726398</v>
      </c>
      <c r="J832" s="444">
        <f t="array" ref="J832">IFERROR(INDEX('Retirement Calculator'!K:K,MATCH('Lorri 401b'!N832,'Retirement Calculator'!A:A,0),0),0)</f>
        <v>20367.195264578786</v>
      </c>
      <c r="K832" s="444">
        <f t="shared" ca="1" si="79"/>
        <v>-14157.637826405075</v>
      </c>
      <c r="L832" s="444">
        <f t="shared" ca="1" si="80"/>
        <v>-3411990.7161636236</v>
      </c>
      <c r="M832" s="460">
        <f t="shared" si="82"/>
        <v>0.05</v>
      </c>
      <c r="N832" s="464">
        <f t="shared" si="83"/>
        <v>76369</v>
      </c>
    </row>
    <row r="833" spans="7:14" ht="11.25" customHeight="1" x14ac:dyDescent="0.3">
      <c r="G833" s="459">
        <f t="shared" si="88"/>
        <v>69</v>
      </c>
      <c r="H833" s="459">
        <v>826</v>
      </c>
      <c r="I833" s="444">
        <f t="shared" ca="1" si="81"/>
        <v>-3411990.7161636236</v>
      </c>
      <c r="J833" s="444">
        <f t="array" ref="J833">IFERROR(INDEX('Retirement Calculator'!K:K,MATCH('Lorri 401b'!N833,'Retirement Calculator'!A:A,0),0),0)</f>
        <v>20367.195264578786</v>
      </c>
      <c r="K833" s="444">
        <f t="shared" ca="1" si="79"/>
        <v>-14301.491297617511</v>
      </c>
      <c r="L833" s="444">
        <f t="shared" ca="1" si="80"/>
        <v>-3446659.40272582</v>
      </c>
      <c r="M833" s="460">
        <f t="shared" si="82"/>
        <v>0.05</v>
      </c>
      <c r="N833" s="464">
        <f t="shared" si="83"/>
        <v>76397</v>
      </c>
    </row>
    <row r="834" spans="7:14" ht="11.25" customHeight="1" x14ac:dyDescent="0.3">
      <c r="G834" s="459">
        <f t="shared" si="88"/>
        <v>69</v>
      </c>
      <c r="H834" s="459">
        <v>827</v>
      </c>
      <c r="I834" s="444">
        <f t="shared" ca="1" si="81"/>
        <v>-3446659.40272582</v>
      </c>
      <c r="J834" s="444">
        <f t="array" ref="J834">IFERROR(INDEX('Retirement Calculator'!K:K,MATCH('Lorri 401b'!N834,'Retirement Calculator'!A:A,0),0),0)</f>
        <v>20367.195264578786</v>
      </c>
      <c r="K834" s="444">
        <f t="shared" ca="1" si="79"/>
        <v>-14445.944158293327</v>
      </c>
      <c r="L834" s="444">
        <f t="shared" ca="1" si="80"/>
        <v>-3481472.5421486921</v>
      </c>
      <c r="M834" s="460">
        <f t="shared" si="82"/>
        <v>0.05</v>
      </c>
      <c r="N834" s="464">
        <f t="shared" si="83"/>
        <v>76428</v>
      </c>
    </row>
    <row r="835" spans="7:14" ht="11.25" customHeight="1" x14ac:dyDescent="0.3">
      <c r="G835" s="459">
        <f t="shared" si="88"/>
        <v>69</v>
      </c>
      <c r="H835" s="459">
        <v>828</v>
      </c>
      <c r="I835" s="444">
        <f t="shared" ca="1" si="81"/>
        <v>-3481472.5421486921</v>
      </c>
      <c r="J835" s="444">
        <f t="array" ref="J835">IFERROR(INDEX('Retirement Calculator'!K:K,MATCH('Lorri 401b'!N835,'Retirement Calculator'!A:A,0),0),0)</f>
        <v>20367.195264578786</v>
      </c>
      <c r="K835" s="444">
        <f t="shared" ca="1" si="79"/>
        <v>-14590.998905888629</v>
      </c>
      <c r="L835" s="444">
        <f t="shared" ca="1" si="80"/>
        <v>-3516430.7363191596</v>
      </c>
      <c r="M835" s="460">
        <f t="shared" si="82"/>
        <v>0.05</v>
      </c>
      <c r="N835" s="464">
        <f t="shared" si="83"/>
        <v>76458</v>
      </c>
    </row>
    <row r="836" spans="7:14" ht="11.25" customHeight="1" x14ac:dyDescent="0.3">
      <c r="G836" s="459">
        <f>G835+1</f>
        <v>70</v>
      </c>
      <c r="H836" s="459">
        <v>829</v>
      </c>
      <c r="I836" s="444">
        <f t="shared" ca="1" si="81"/>
        <v>-3516430.7363191596</v>
      </c>
      <c r="J836" s="444">
        <f t="array" ref="J836">IFERROR(INDEX('Retirement Calculator'!K:K,MATCH('Lorri 401b'!N836,'Retirement Calculator'!A:A,0),0),0)</f>
        <v>20367.195264578786</v>
      </c>
      <c r="K836" s="444">
        <f t="shared" ca="1" si="79"/>
        <v>-14736.658048265577</v>
      </c>
      <c r="L836" s="444">
        <f t="shared" ca="1" si="80"/>
        <v>-3551534.589632004</v>
      </c>
      <c r="M836" s="460">
        <f t="shared" si="82"/>
        <v>0.05</v>
      </c>
      <c r="N836" s="464">
        <f t="shared" si="83"/>
        <v>76489</v>
      </c>
    </row>
    <row r="837" spans="7:14" ht="11.25" customHeight="1" x14ac:dyDescent="0.3">
      <c r="G837" s="459">
        <f t="shared" ref="G837:G847" si="89">G836</f>
        <v>70</v>
      </c>
      <c r="H837" s="459">
        <v>830</v>
      </c>
      <c r="I837" s="444">
        <f t="shared" ca="1" si="81"/>
        <v>-3551534.589632004</v>
      </c>
      <c r="J837" s="444">
        <f t="array" ref="J837">IFERROR(INDEX('Retirement Calculator'!K:K,MATCH('Lorri 401b'!N837,'Retirement Calculator'!A:A,0),0),0)</f>
        <v>20367.195264578786</v>
      </c>
      <c r="K837" s="444">
        <f t="shared" ca="1" si="79"/>
        <v>-14882.924103735759</v>
      </c>
      <c r="L837" s="444">
        <f t="shared" ca="1" si="80"/>
        <v>-3586784.7090003188</v>
      </c>
      <c r="M837" s="460">
        <f t="shared" si="82"/>
        <v>0.05</v>
      </c>
      <c r="N837" s="464">
        <f t="shared" si="83"/>
        <v>76519</v>
      </c>
    </row>
    <row r="838" spans="7:14" ht="11.25" customHeight="1" x14ac:dyDescent="0.3">
      <c r="G838" s="459">
        <f t="shared" si="89"/>
        <v>70</v>
      </c>
      <c r="H838" s="459">
        <v>831</v>
      </c>
      <c r="I838" s="444">
        <f t="shared" ca="1" si="81"/>
        <v>-3586784.7090003188</v>
      </c>
      <c r="J838" s="444">
        <f t="array" ref="J838">IFERROR(INDEX('Retirement Calculator'!K:K,MATCH('Lorri 401b'!N838,'Retirement Calculator'!A:A,0),0),0)</f>
        <v>20367.195264578786</v>
      </c>
      <c r="K838" s="444">
        <f t="shared" ca="1" si="79"/>
        <v>-15029.799601103738</v>
      </c>
      <c r="L838" s="444">
        <f t="shared" ca="1" si="80"/>
        <v>-3622181.7038660012</v>
      </c>
      <c r="M838" s="460">
        <f t="shared" si="82"/>
        <v>0.05</v>
      </c>
      <c r="N838" s="464">
        <f t="shared" si="83"/>
        <v>76550</v>
      </c>
    </row>
    <row r="839" spans="7:14" ht="11.25" customHeight="1" x14ac:dyDescent="0.3">
      <c r="G839" s="459">
        <f t="shared" si="89"/>
        <v>70</v>
      </c>
      <c r="H839" s="459">
        <v>832</v>
      </c>
      <c r="I839" s="444">
        <f t="shared" ca="1" si="81"/>
        <v>-3622181.7038660012</v>
      </c>
      <c r="J839" s="444">
        <f t="array" ref="J839">IFERROR(INDEX('Retirement Calculator'!K:K,MATCH('Lorri 401b'!N839,'Retirement Calculator'!A:A,0),0),0)</f>
        <v>20367.195264578786</v>
      </c>
      <c r="K839" s="444">
        <f t="shared" ca="1" si="79"/>
        <v>-15177.28707971075</v>
      </c>
      <c r="L839" s="444">
        <f t="shared" ca="1" si="80"/>
        <v>-3657726.186210291</v>
      </c>
      <c r="M839" s="460">
        <f t="shared" si="82"/>
        <v>0.05</v>
      </c>
      <c r="N839" s="464">
        <f t="shared" si="83"/>
        <v>76581</v>
      </c>
    </row>
    <row r="840" spans="7:14" ht="11.25" customHeight="1" x14ac:dyDescent="0.3">
      <c r="G840" s="459">
        <f t="shared" si="89"/>
        <v>70</v>
      </c>
      <c r="H840" s="459">
        <v>833</v>
      </c>
      <c r="I840" s="444">
        <f t="shared" ca="1" si="81"/>
        <v>-3657726.186210291</v>
      </c>
      <c r="J840" s="444">
        <f t="array" ref="J840">IFERROR(INDEX('Retirement Calculator'!K:K,MATCH('Lorri 401b'!N840,'Retirement Calculator'!A:A,0),0),0)</f>
        <v>20367.195264578786</v>
      </c>
      <c r="K840" s="444">
        <f t="shared" ca="1" si="79"/>
        <v>-15325.389089478624</v>
      </c>
      <c r="L840" s="444">
        <f t="shared" ca="1" si="80"/>
        <v>-3693418.7705643484</v>
      </c>
      <c r="M840" s="460">
        <f t="shared" si="82"/>
        <v>0.05</v>
      </c>
      <c r="N840" s="464">
        <f t="shared" si="83"/>
        <v>76611</v>
      </c>
    </row>
    <row r="841" spans="7:14" ht="11.25" customHeight="1" x14ac:dyDescent="0.3">
      <c r="G841" s="459">
        <f t="shared" si="89"/>
        <v>70</v>
      </c>
      <c r="H841" s="459">
        <v>834</v>
      </c>
      <c r="I841" s="444">
        <f t="shared" ca="1" si="81"/>
        <v>-3693418.7705643484</v>
      </c>
      <c r="J841" s="444">
        <f t="array" ref="J841">IFERROR(INDEX('Retirement Calculator'!K:K,MATCH('Lorri 401b'!N841,'Retirement Calculator'!A:A,0),0),0)</f>
        <v>20367.195264578786</v>
      </c>
      <c r="K841" s="444">
        <f t="shared" ca="1" si="79"/>
        <v>-15474.108190953863</v>
      </c>
      <c r="L841" s="444">
        <f t="shared" ca="1" si="80"/>
        <v>-3729260.074019881</v>
      </c>
      <c r="M841" s="460">
        <f t="shared" si="82"/>
        <v>0.05</v>
      </c>
      <c r="N841" s="464">
        <f t="shared" si="83"/>
        <v>76642</v>
      </c>
    </row>
    <row r="842" spans="7:14" ht="11.25" customHeight="1" x14ac:dyDescent="0.3">
      <c r="G842" s="459">
        <f t="shared" si="89"/>
        <v>70</v>
      </c>
      <c r="H842" s="459">
        <v>835</v>
      </c>
      <c r="I842" s="444">
        <f t="shared" ca="1" si="81"/>
        <v>-3729260.074019881</v>
      </c>
      <c r="J842" s="444">
        <f t="array" ref="J842">IFERROR(INDEX('Retirement Calculator'!K:K,MATCH('Lorri 401b'!N842,'Retirement Calculator'!A:A,0),0),0)</f>
        <v>20367.195264578786</v>
      </c>
      <c r="K842" s="444">
        <f t="shared" ca="1" si="79"/>
        <v>-15623.446955351917</v>
      </c>
      <c r="L842" s="444">
        <f t="shared" ca="1" si="80"/>
        <v>-3765250.7162398119</v>
      </c>
      <c r="M842" s="460">
        <f t="shared" si="82"/>
        <v>0.05</v>
      </c>
      <c r="N842" s="464">
        <f t="shared" si="83"/>
        <v>76672</v>
      </c>
    </row>
    <row r="843" spans="7:14" ht="11.25" customHeight="1" x14ac:dyDescent="0.3">
      <c r="G843" s="459">
        <f t="shared" si="89"/>
        <v>70</v>
      </c>
      <c r="H843" s="459">
        <v>836</v>
      </c>
      <c r="I843" s="444">
        <f t="shared" ca="1" si="81"/>
        <v>-3765250.7162398119</v>
      </c>
      <c r="J843" s="444">
        <f t="array" ref="J843">IFERROR(INDEX('Retirement Calculator'!K:K,MATCH('Lorri 401b'!N843,'Retirement Calculator'!A:A,0),0),0)</f>
        <v>20367.195264578786</v>
      </c>
      <c r="K843" s="444">
        <f t="shared" ca="1" si="79"/>
        <v>-15773.407964601627</v>
      </c>
      <c r="L843" s="444">
        <f t="shared" ca="1" si="80"/>
        <v>-3801391.3194689923</v>
      </c>
      <c r="M843" s="460">
        <f t="shared" si="82"/>
        <v>0.05</v>
      </c>
      <c r="N843" s="464">
        <f t="shared" si="83"/>
        <v>76703</v>
      </c>
    </row>
    <row r="844" spans="7:14" ht="11.25" customHeight="1" x14ac:dyDescent="0.3">
      <c r="G844" s="459">
        <f t="shared" si="89"/>
        <v>70</v>
      </c>
      <c r="H844" s="459">
        <v>837</v>
      </c>
      <c r="I844" s="444">
        <f t="shared" ca="1" si="81"/>
        <v>-3801391.3194689923</v>
      </c>
      <c r="J844" s="444">
        <f t="array" ref="J844">IFERROR(INDEX('Retirement Calculator'!K:K,MATCH('Lorri 401b'!N844,'Retirement Calculator'!A:A,0),0),0)</f>
        <v>20367.195264578786</v>
      </c>
      <c r="K844" s="444">
        <f t="shared" ca="1" si="79"/>
        <v>-15923.993811389877</v>
      </c>
      <c r="L844" s="444">
        <f t="shared" ca="1" si="80"/>
        <v>-3837682.508544961</v>
      </c>
      <c r="M844" s="460">
        <f t="shared" si="82"/>
        <v>0.05</v>
      </c>
      <c r="N844" s="464">
        <f t="shared" si="83"/>
        <v>76734</v>
      </c>
    </row>
    <row r="845" spans="7:14" ht="11.25" customHeight="1" x14ac:dyDescent="0.3">
      <c r="G845" s="459">
        <f t="shared" si="89"/>
        <v>70</v>
      </c>
      <c r="H845" s="459">
        <v>838</v>
      </c>
      <c r="I845" s="444">
        <f t="shared" ca="1" si="81"/>
        <v>-3837682.508544961</v>
      </c>
      <c r="J845" s="444">
        <f t="array" ref="J845">IFERROR(INDEX('Retirement Calculator'!K:K,MATCH('Lorri 401b'!N845,'Retirement Calculator'!A:A,0),0),0)</f>
        <v>20367.195264578786</v>
      </c>
      <c r="K845" s="444">
        <f t="shared" ca="1" si="79"/>
        <v>-16075.207099206416</v>
      </c>
      <c r="L845" s="444">
        <f t="shared" ca="1" si="80"/>
        <v>-3874124.9109087461</v>
      </c>
      <c r="M845" s="460">
        <f t="shared" si="82"/>
        <v>0.05</v>
      </c>
      <c r="N845" s="464">
        <f t="shared" si="83"/>
        <v>76762</v>
      </c>
    </row>
    <row r="846" spans="7:14" ht="11.25" customHeight="1" x14ac:dyDescent="0.3">
      <c r="G846" s="459">
        <f t="shared" si="89"/>
        <v>70</v>
      </c>
      <c r="H846" s="459">
        <v>839</v>
      </c>
      <c r="I846" s="444">
        <f t="shared" ca="1" si="81"/>
        <v>-3874124.9109087461</v>
      </c>
      <c r="J846" s="444">
        <f t="array" ref="J846">IFERROR(INDEX('Retirement Calculator'!K:K,MATCH('Lorri 401b'!N846,'Retirement Calculator'!A:A,0),0),0)</f>
        <v>20367.195264578786</v>
      </c>
      <c r="K846" s="444">
        <f t="shared" ca="1" si="79"/>
        <v>-16227.050442388854</v>
      </c>
      <c r="L846" s="444">
        <f t="shared" ca="1" si="80"/>
        <v>-3910719.1566157136</v>
      </c>
      <c r="M846" s="460">
        <f t="shared" si="82"/>
        <v>0.05</v>
      </c>
      <c r="N846" s="464">
        <f t="shared" si="83"/>
        <v>76793</v>
      </c>
    </row>
    <row r="847" spans="7:14" ht="11.25" customHeight="1" x14ac:dyDescent="0.3">
      <c r="G847" s="459">
        <f t="shared" si="89"/>
        <v>70</v>
      </c>
      <c r="H847" s="459">
        <v>840</v>
      </c>
      <c r="I847" s="444">
        <f t="shared" ca="1" si="81"/>
        <v>-3910719.1566157136</v>
      </c>
      <c r="J847" s="444">
        <f t="array" ref="J847">IFERROR(INDEX('Retirement Calculator'!K:K,MATCH('Lorri 401b'!N847,'Retirement Calculator'!A:A,0),0),0)</f>
        <v>20367.195264578786</v>
      </c>
      <c r="K847" s="444">
        <f t="shared" ca="1" si="79"/>
        <v>-16379.526466167885</v>
      </c>
      <c r="L847" s="444">
        <f t="shared" ca="1" si="80"/>
        <v>-3947465.8783464604</v>
      </c>
      <c r="M847" s="460">
        <f t="shared" si="82"/>
        <v>0.05</v>
      </c>
      <c r="N847" s="464">
        <f t="shared" si="83"/>
        <v>76823</v>
      </c>
    </row>
    <row r="848" spans="7:14" ht="11.25" customHeight="1" x14ac:dyDescent="0.3">
      <c r="G848" s="459">
        <f>G847+1</f>
        <v>71</v>
      </c>
      <c r="H848" s="459">
        <v>841</v>
      </c>
      <c r="I848" s="444">
        <f t="shared" ca="1" si="81"/>
        <v>-3947465.8783464604</v>
      </c>
      <c r="J848" s="444">
        <f t="array" ref="J848">IFERROR(INDEX('Retirement Calculator'!K:K,MATCH('Lorri 401b'!N848,'Retirement Calculator'!A:A,0),0),0)</f>
        <v>20367.195264578786</v>
      </c>
      <c r="K848" s="444">
        <f t="shared" ca="1" si="79"/>
        <v>-16532.637806712664</v>
      </c>
      <c r="L848" s="444">
        <f t="shared" ca="1" si="80"/>
        <v>-3984365.7114177519</v>
      </c>
      <c r="M848" s="460">
        <f t="shared" si="82"/>
        <v>0.05</v>
      </c>
      <c r="N848" s="464">
        <f t="shared" si="83"/>
        <v>76854</v>
      </c>
    </row>
    <row r="849" spans="7:14" ht="11.25" customHeight="1" x14ac:dyDescent="0.3">
      <c r="G849" s="459">
        <f t="shared" ref="G849:G859" si="90">G848</f>
        <v>71</v>
      </c>
      <c r="H849" s="459">
        <v>842</v>
      </c>
      <c r="I849" s="444">
        <f t="shared" ca="1" si="81"/>
        <v>-3984365.7114177519</v>
      </c>
      <c r="J849" s="444">
        <f t="array" ref="J849">IFERROR(INDEX('Retirement Calculator'!K:K,MATCH('Lorri 401b'!N849,'Retirement Calculator'!A:A,0),0),0)</f>
        <v>20367.195264578786</v>
      </c>
      <c r="K849" s="444">
        <f t="shared" ca="1" si="79"/>
        <v>-16686.387111176376</v>
      </c>
      <c r="L849" s="444">
        <f t="shared" ca="1" si="80"/>
        <v>-4021419.2937935069</v>
      </c>
      <c r="M849" s="460">
        <f t="shared" si="82"/>
        <v>0.05</v>
      </c>
      <c r="N849" s="464">
        <f t="shared" si="83"/>
        <v>76884</v>
      </c>
    </row>
    <row r="850" spans="7:14" ht="11.25" customHeight="1" x14ac:dyDescent="0.3">
      <c r="G850" s="459">
        <f t="shared" si="90"/>
        <v>71</v>
      </c>
      <c r="H850" s="459">
        <v>843</v>
      </c>
      <c r="I850" s="444">
        <f t="shared" ca="1" si="81"/>
        <v>-4021419.2937935069</v>
      </c>
      <c r="J850" s="444">
        <f t="array" ref="J850">IFERROR(INDEX('Retirement Calculator'!K:K,MATCH('Lorri 401b'!N850,'Retirement Calculator'!A:A,0),0),0)</f>
        <v>20367.195264578786</v>
      </c>
      <c r="K850" s="444">
        <f t="shared" ca="1" si="79"/>
        <v>-16840.777037742024</v>
      </c>
      <c r="L850" s="444">
        <f t="shared" ca="1" si="80"/>
        <v>-4058627.2660958278</v>
      </c>
      <c r="M850" s="460">
        <f t="shared" si="82"/>
        <v>0.05</v>
      </c>
      <c r="N850" s="464">
        <f t="shared" si="83"/>
        <v>76915</v>
      </c>
    </row>
    <row r="851" spans="7:14" ht="11.25" customHeight="1" x14ac:dyDescent="0.3">
      <c r="G851" s="459">
        <f t="shared" si="90"/>
        <v>71</v>
      </c>
      <c r="H851" s="459">
        <v>844</v>
      </c>
      <c r="I851" s="444">
        <f t="shared" ca="1" si="81"/>
        <v>-4058627.2660958278</v>
      </c>
      <c r="J851" s="444">
        <f t="array" ref="J851">IFERROR(INDEX('Retirement Calculator'!K:K,MATCH('Lorri 401b'!N851,'Retirement Calculator'!A:A,0),0),0)</f>
        <v>20367.195264578786</v>
      </c>
      <c r="K851" s="444">
        <f t="shared" ca="1" si="79"/>
        <v>-16995.810255668359</v>
      </c>
      <c r="L851" s="444">
        <f t="shared" ca="1" si="80"/>
        <v>-4095990.2716160752</v>
      </c>
      <c r="M851" s="460">
        <f t="shared" si="82"/>
        <v>0.05</v>
      </c>
      <c r="N851" s="464">
        <f t="shared" si="83"/>
        <v>76946</v>
      </c>
    </row>
    <row r="852" spans="7:14" ht="11.25" customHeight="1" x14ac:dyDescent="0.3">
      <c r="G852" s="459">
        <f t="shared" si="90"/>
        <v>71</v>
      </c>
      <c r="H852" s="459">
        <v>845</v>
      </c>
      <c r="I852" s="444">
        <f t="shared" ca="1" si="81"/>
        <v>-4095990.2716160752</v>
      </c>
      <c r="J852" s="444">
        <f t="array" ref="J852">IFERROR(INDEX('Retirement Calculator'!K:K,MATCH('Lorri 401b'!N852,'Retirement Calculator'!A:A,0),0),0)</f>
        <v>20367.195264578786</v>
      </c>
      <c r="K852" s="444">
        <f t="shared" ca="1" si="79"/>
        <v>-17151.489445336061</v>
      </c>
      <c r="L852" s="444">
        <f t="shared" ca="1" si="80"/>
        <v>-4133508.9563259901</v>
      </c>
      <c r="M852" s="460">
        <f t="shared" si="82"/>
        <v>0.05</v>
      </c>
      <c r="N852" s="464">
        <f t="shared" si="83"/>
        <v>76976</v>
      </c>
    </row>
    <row r="853" spans="7:14" ht="11.25" customHeight="1" x14ac:dyDescent="0.3">
      <c r="G853" s="459">
        <f t="shared" si="90"/>
        <v>71</v>
      </c>
      <c r="H853" s="459">
        <v>846</v>
      </c>
      <c r="I853" s="444">
        <f t="shared" ca="1" si="81"/>
        <v>-4133508.9563259901</v>
      </c>
      <c r="J853" s="444">
        <f t="array" ref="J853">IFERROR(INDEX('Retirement Calculator'!K:K,MATCH('Lorri 401b'!N853,'Retirement Calculator'!A:A,0),0),0)</f>
        <v>20367.195264578786</v>
      </c>
      <c r="K853" s="444">
        <f t="shared" ca="1" si="79"/>
        <v>-17307.817298294038</v>
      </c>
      <c r="L853" s="444">
        <f t="shared" ca="1" si="80"/>
        <v>-4171183.968888863</v>
      </c>
      <c r="M853" s="460">
        <f t="shared" si="82"/>
        <v>0.05</v>
      </c>
      <c r="N853" s="464">
        <f t="shared" si="83"/>
        <v>77007</v>
      </c>
    </row>
    <row r="854" spans="7:14" ht="11.25" customHeight="1" x14ac:dyDescent="0.3">
      <c r="G854" s="459">
        <f t="shared" si="90"/>
        <v>71</v>
      </c>
      <c r="H854" s="459">
        <v>847</v>
      </c>
      <c r="I854" s="444">
        <f t="shared" ca="1" si="81"/>
        <v>-4171183.968888863</v>
      </c>
      <c r="J854" s="444">
        <f t="array" ref="J854">IFERROR(INDEX('Retirement Calculator'!K:K,MATCH('Lorri 401b'!N854,'Retirement Calculator'!A:A,0),0),0)</f>
        <v>20367.195264578786</v>
      </c>
      <c r="K854" s="444">
        <f t="shared" ca="1" si="79"/>
        <v>-17464.796517306007</v>
      </c>
      <c r="L854" s="444">
        <f t="shared" ca="1" si="80"/>
        <v>-4209015.9606707478</v>
      </c>
      <c r="M854" s="460">
        <f t="shared" si="82"/>
        <v>0.05</v>
      </c>
      <c r="N854" s="464">
        <f t="shared" si="83"/>
        <v>77037</v>
      </c>
    </row>
    <row r="855" spans="7:14" ht="11.25" customHeight="1" x14ac:dyDescent="0.3">
      <c r="G855" s="459">
        <f t="shared" si="90"/>
        <v>71</v>
      </c>
      <c r="H855" s="459">
        <v>848</v>
      </c>
      <c r="I855" s="444">
        <f t="shared" ca="1" si="81"/>
        <v>-4209015.9606707478</v>
      </c>
      <c r="J855" s="444">
        <f t="array" ref="J855">IFERROR(INDEX('Retirement Calculator'!K:K,MATCH('Lorri 401b'!N855,'Retirement Calculator'!A:A,0),0),0)</f>
        <v>20367.195264578786</v>
      </c>
      <c r="K855" s="444">
        <f t="shared" ca="1" si="79"/>
        <v>-17622.429816397194</v>
      </c>
      <c r="L855" s="444">
        <f t="shared" ca="1" si="80"/>
        <v>-4247005.5857517235</v>
      </c>
      <c r="M855" s="460">
        <f t="shared" si="82"/>
        <v>0.05</v>
      </c>
      <c r="N855" s="464">
        <f t="shared" si="83"/>
        <v>77068</v>
      </c>
    </row>
    <row r="856" spans="7:14" ht="11.25" customHeight="1" x14ac:dyDescent="0.3">
      <c r="G856" s="459">
        <f t="shared" si="90"/>
        <v>71</v>
      </c>
      <c r="H856" s="459">
        <v>849</v>
      </c>
      <c r="I856" s="444">
        <f t="shared" ca="1" si="81"/>
        <v>-4247005.5857517235</v>
      </c>
      <c r="J856" s="444">
        <f t="array" ref="J856">IFERROR(INDEX('Retirement Calculator'!K:K,MATCH('Lorri 401b'!N856,'Retirement Calculator'!A:A,0),0),0)</f>
        <v>20367.195264578786</v>
      </c>
      <c r="K856" s="444">
        <f t="shared" ca="1" si="79"/>
        <v>-17780.719920901258</v>
      </c>
      <c r="L856" s="444">
        <f t="shared" ca="1" si="80"/>
        <v>-4285153.5009372039</v>
      </c>
      <c r="M856" s="460">
        <f t="shared" si="82"/>
        <v>0.05</v>
      </c>
      <c r="N856" s="464">
        <f t="shared" si="83"/>
        <v>77099</v>
      </c>
    </row>
    <row r="857" spans="7:14" ht="11.25" customHeight="1" x14ac:dyDescent="0.3">
      <c r="G857" s="459">
        <f t="shared" si="90"/>
        <v>71</v>
      </c>
      <c r="H857" s="459">
        <v>850</v>
      </c>
      <c r="I857" s="444">
        <f t="shared" ca="1" si="81"/>
        <v>-4285153.5009372039</v>
      </c>
      <c r="J857" s="444">
        <f t="array" ref="J857">IFERROR(INDEX('Retirement Calculator'!K:K,MATCH('Lorri 401b'!N857,'Retirement Calculator'!A:A,0),0),0)</f>
        <v>20367.195264578786</v>
      </c>
      <c r="K857" s="444">
        <f t="shared" ca="1" si="79"/>
        <v>-17939.669567507426</v>
      </c>
      <c r="L857" s="444">
        <f t="shared" ca="1" si="80"/>
        <v>-4323460.3657692904</v>
      </c>
      <c r="M857" s="460">
        <f t="shared" si="82"/>
        <v>0.05</v>
      </c>
      <c r="N857" s="464">
        <f t="shared" si="83"/>
        <v>77127</v>
      </c>
    </row>
    <row r="858" spans="7:14" ht="11.25" customHeight="1" x14ac:dyDescent="0.3">
      <c r="G858" s="459">
        <f t="shared" si="90"/>
        <v>71</v>
      </c>
      <c r="H858" s="459">
        <v>851</v>
      </c>
      <c r="I858" s="444">
        <f t="shared" ca="1" si="81"/>
        <v>-4323460.3657692904</v>
      </c>
      <c r="J858" s="444">
        <f t="array" ref="J858">IFERROR(INDEX('Retirement Calculator'!K:K,MATCH('Lorri 401b'!N858,'Retirement Calculator'!A:A,0),0),0)</f>
        <v>20367.195264578786</v>
      </c>
      <c r="K858" s="444">
        <f t="shared" ca="1" si="79"/>
        <v>-18099.281504307786</v>
      </c>
      <c r="L858" s="444">
        <f t="shared" ca="1" si="80"/>
        <v>-4361926.842538177</v>
      </c>
      <c r="M858" s="460">
        <f t="shared" si="82"/>
        <v>0.05</v>
      </c>
      <c r="N858" s="464">
        <f t="shared" si="83"/>
        <v>77158</v>
      </c>
    </row>
    <row r="859" spans="7:14" ht="11.25" customHeight="1" x14ac:dyDescent="0.3">
      <c r="G859" s="459">
        <f t="shared" si="90"/>
        <v>71</v>
      </c>
      <c r="H859" s="459">
        <v>852</v>
      </c>
      <c r="I859" s="444">
        <f t="shared" ca="1" si="81"/>
        <v>-4361926.842538177</v>
      </c>
      <c r="J859" s="444">
        <f t="array" ref="J859">IFERROR(INDEX('Retirement Calculator'!K:K,MATCH('Lorri 401b'!N859,'Retirement Calculator'!A:A,0),0),0)</f>
        <v>20367.195264578786</v>
      </c>
      <c r="K859" s="444">
        <f t="shared" ca="1" si="79"/>
        <v>-18259.558490844815</v>
      </c>
      <c r="L859" s="444">
        <f t="shared" ca="1" si="80"/>
        <v>-4400553.5962936003</v>
      </c>
      <c r="M859" s="460">
        <f t="shared" si="82"/>
        <v>0.05</v>
      </c>
      <c r="N859" s="464">
        <f t="shared" si="83"/>
        <v>77188</v>
      </c>
    </row>
    <row r="860" spans="7:14" ht="11.25" customHeight="1" x14ac:dyDescent="0.3">
      <c r="G860" s="459">
        <f>G859+1</f>
        <v>72</v>
      </c>
      <c r="H860" s="459">
        <v>853</v>
      </c>
      <c r="I860" s="444">
        <f t="shared" ca="1" si="81"/>
        <v>-4400553.5962936003</v>
      </c>
      <c r="J860" s="444">
        <f t="array" ref="J860">IFERROR(INDEX('Retirement Calculator'!K:K,MATCH('Lorri 401b'!N860,'Retirement Calculator'!A:A,0),0),0)</f>
        <v>20367.195264578786</v>
      </c>
      <c r="K860" s="444">
        <f t="shared" ca="1" si="79"/>
        <v>-18420.503298159078</v>
      </c>
      <c r="L860" s="444">
        <f t="shared" ca="1" si="80"/>
        <v>-4439341.2948563378</v>
      </c>
      <c r="M860" s="460">
        <f t="shared" si="82"/>
        <v>0.05</v>
      </c>
      <c r="N860" s="464">
        <f t="shared" si="83"/>
        <v>77219</v>
      </c>
    </row>
    <row r="861" spans="7:14" ht="11.25" customHeight="1" x14ac:dyDescent="0.3">
      <c r="G861" s="459">
        <f t="shared" ref="G861:G871" si="91">G860</f>
        <v>72</v>
      </c>
      <c r="H861" s="459">
        <v>854</v>
      </c>
      <c r="I861" s="444">
        <f t="shared" ca="1" si="81"/>
        <v>-4439341.2948563378</v>
      </c>
      <c r="J861" s="444">
        <f t="array" ref="J861">IFERROR(INDEX('Retirement Calculator'!K:K,MATCH('Lorri 401b'!N861,'Retirement Calculator'!A:A,0),0),0)</f>
        <v>20367.195264578786</v>
      </c>
      <c r="K861" s="444">
        <f t="shared" ca="1" si="79"/>
        <v>-18582.118708837152</v>
      </c>
      <c r="L861" s="444">
        <f t="shared" ca="1" si="80"/>
        <v>-4478290.6088297535</v>
      </c>
      <c r="M861" s="460">
        <f t="shared" si="82"/>
        <v>0.05</v>
      </c>
      <c r="N861" s="464">
        <f t="shared" si="83"/>
        <v>77249</v>
      </c>
    </row>
    <row r="862" spans="7:14" ht="11.25" customHeight="1" x14ac:dyDescent="0.3">
      <c r="G862" s="459">
        <f t="shared" si="91"/>
        <v>72</v>
      </c>
      <c r="H862" s="459">
        <v>855</v>
      </c>
      <c r="I862" s="444">
        <f t="shared" ca="1" si="81"/>
        <v>-4478290.6088297535</v>
      </c>
      <c r="J862" s="444">
        <f t="array" ref="J862">IFERROR(INDEX('Retirement Calculator'!K:K,MATCH('Lorri 401b'!N862,'Retirement Calculator'!A:A,0),0),0)</f>
        <v>20367.195264578786</v>
      </c>
      <c r="K862" s="444">
        <f t="shared" ca="1" si="79"/>
        <v>-18744.407517059717</v>
      </c>
      <c r="L862" s="444">
        <f t="shared" ca="1" si="80"/>
        <v>-4517402.211611392</v>
      </c>
      <c r="M862" s="460">
        <f t="shared" si="82"/>
        <v>0.05</v>
      </c>
      <c r="N862" s="464">
        <f t="shared" si="83"/>
        <v>77280</v>
      </c>
    </row>
    <row r="863" spans="7:14" ht="11.25" customHeight="1" x14ac:dyDescent="0.3">
      <c r="G863" s="459">
        <f t="shared" si="91"/>
        <v>72</v>
      </c>
      <c r="H863" s="459">
        <v>856</v>
      </c>
      <c r="I863" s="444">
        <f t="shared" ca="1" si="81"/>
        <v>-4517402.211611392</v>
      </c>
      <c r="J863" s="444">
        <f t="array" ref="J863">IFERROR(INDEX('Retirement Calculator'!K:K,MATCH('Lorri 401b'!N863,'Retirement Calculator'!A:A,0),0),0)</f>
        <v>20367.195264578786</v>
      </c>
      <c r="K863" s="444">
        <f t="shared" ca="1" si="79"/>
        <v>-18907.372528649877</v>
      </c>
      <c r="L863" s="444">
        <f t="shared" ca="1" si="80"/>
        <v>-4556676.7794046206</v>
      </c>
      <c r="M863" s="460">
        <f t="shared" si="82"/>
        <v>0.05</v>
      </c>
      <c r="N863" s="464">
        <f t="shared" si="83"/>
        <v>77311</v>
      </c>
    </row>
    <row r="864" spans="7:14" ht="11.25" customHeight="1" x14ac:dyDescent="0.3">
      <c r="G864" s="459">
        <f t="shared" si="91"/>
        <v>72</v>
      </c>
      <c r="H864" s="459">
        <v>857</v>
      </c>
      <c r="I864" s="444">
        <f t="shared" ca="1" si="81"/>
        <v>-4556676.7794046206</v>
      </c>
      <c r="J864" s="444">
        <f t="array" ref="J864">IFERROR(INDEX('Retirement Calculator'!K:K,MATCH('Lorri 401b'!N864,'Retirement Calculator'!A:A,0),0),0)</f>
        <v>20367.195264578786</v>
      </c>
      <c r="K864" s="444">
        <f t="shared" ca="1" si="79"/>
        <v>-19071.016561121665</v>
      </c>
      <c r="L864" s="444">
        <f t="shared" ca="1" si="80"/>
        <v>-4596114.9912303211</v>
      </c>
      <c r="M864" s="460">
        <f t="shared" si="82"/>
        <v>0.05</v>
      </c>
      <c r="N864" s="464">
        <f t="shared" si="83"/>
        <v>77341</v>
      </c>
    </row>
    <row r="865" spans="7:14" ht="11.25" customHeight="1" x14ac:dyDescent="0.3">
      <c r="G865" s="459">
        <f t="shared" si="91"/>
        <v>72</v>
      </c>
      <c r="H865" s="459">
        <v>858</v>
      </c>
      <c r="I865" s="444">
        <f t="shared" ca="1" si="81"/>
        <v>-4596114.9912303211</v>
      </c>
      <c r="J865" s="444">
        <f t="array" ref="J865">IFERROR(INDEX('Retirement Calculator'!K:K,MATCH('Lorri 401b'!N865,'Retirement Calculator'!A:A,0),0),0)</f>
        <v>20367.195264578786</v>
      </c>
      <c r="K865" s="444">
        <f t="shared" ca="1" si="79"/>
        <v>-19235.34244372875</v>
      </c>
      <c r="L865" s="444">
        <f t="shared" ca="1" si="80"/>
        <v>-4635717.5289386287</v>
      </c>
      <c r="M865" s="460">
        <f t="shared" si="82"/>
        <v>0.05</v>
      </c>
      <c r="N865" s="464">
        <f t="shared" si="83"/>
        <v>77372</v>
      </c>
    </row>
    <row r="866" spans="7:14" ht="11.25" customHeight="1" x14ac:dyDescent="0.3">
      <c r="G866" s="459">
        <f t="shared" si="91"/>
        <v>72</v>
      </c>
      <c r="H866" s="459">
        <v>859</v>
      </c>
      <c r="I866" s="444">
        <f t="shared" ca="1" si="81"/>
        <v>-4635717.5289386287</v>
      </c>
      <c r="J866" s="444">
        <f t="array" ref="J866">IFERROR(INDEX('Retirement Calculator'!K:K,MATCH('Lorri 401b'!N866,'Retirement Calculator'!A:A,0),0),0)</f>
        <v>20367.195264578786</v>
      </c>
      <c r="K866" s="444">
        <f t="shared" ca="1" si="79"/>
        <v>-19400.353017513364</v>
      </c>
      <c r="L866" s="444">
        <f t="shared" ca="1" si="80"/>
        <v>-4675485.0772207212</v>
      </c>
      <c r="M866" s="460">
        <f t="shared" si="82"/>
        <v>0.05</v>
      </c>
      <c r="N866" s="464">
        <f t="shared" si="83"/>
        <v>77402</v>
      </c>
    </row>
    <row r="867" spans="7:14" ht="11.25" customHeight="1" x14ac:dyDescent="0.3">
      <c r="G867" s="459">
        <f t="shared" si="91"/>
        <v>72</v>
      </c>
      <c r="H867" s="459">
        <v>860</v>
      </c>
      <c r="I867" s="444">
        <f t="shared" ca="1" si="81"/>
        <v>-4675485.0772207212</v>
      </c>
      <c r="J867" s="444">
        <f t="array" ref="J867">IFERROR(INDEX('Retirement Calculator'!K:K,MATCH('Lorri 401b'!N867,'Retirement Calculator'!A:A,0),0),0)</f>
        <v>20367.195264578786</v>
      </c>
      <c r="K867" s="444">
        <f t="shared" ca="1" si="79"/>
        <v>-19566.051135355418</v>
      </c>
      <c r="L867" s="444">
        <f t="shared" ca="1" si="80"/>
        <v>-4715418.3236206556</v>
      </c>
      <c r="M867" s="460">
        <f t="shared" si="82"/>
        <v>0.05</v>
      </c>
      <c r="N867" s="464">
        <f t="shared" si="83"/>
        <v>77433</v>
      </c>
    </row>
    <row r="868" spans="7:14" ht="11.25" customHeight="1" x14ac:dyDescent="0.3">
      <c r="G868" s="459">
        <f t="shared" si="91"/>
        <v>72</v>
      </c>
      <c r="H868" s="459">
        <v>861</v>
      </c>
      <c r="I868" s="444">
        <f t="shared" ca="1" si="81"/>
        <v>-4715418.3236206556</v>
      </c>
      <c r="J868" s="444">
        <f t="array" ref="J868">IFERROR(INDEX('Retirement Calculator'!K:K,MATCH('Lorri 401b'!N868,'Retirement Calculator'!A:A,0),0),0)</f>
        <v>20367.195264578786</v>
      </c>
      <c r="K868" s="444">
        <f t="shared" ca="1" si="79"/>
        <v>-19732.43966202181</v>
      </c>
      <c r="L868" s="444">
        <f t="shared" ca="1" si="80"/>
        <v>-4755517.958547256</v>
      </c>
      <c r="M868" s="460">
        <f t="shared" si="82"/>
        <v>0.05</v>
      </c>
      <c r="N868" s="464">
        <f t="shared" si="83"/>
        <v>77464</v>
      </c>
    </row>
    <row r="869" spans="7:14" ht="11.25" customHeight="1" x14ac:dyDescent="0.3">
      <c r="G869" s="459">
        <f t="shared" si="91"/>
        <v>72</v>
      </c>
      <c r="H869" s="459">
        <v>862</v>
      </c>
      <c r="I869" s="444">
        <f t="shared" ca="1" si="81"/>
        <v>-4755517.958547256</v>
      </c>
      <c r="J869" s="444">
        <f t="array" ref="J869">IFERROR(INDEX('Retirement Calculator'!K:K,MATCH('Lorri 401b'!N869,'Retirement Calculator'!A:A,0),0),0)</f>
        <v>20367.195264578786</v>
      </c>
      <c r="K869" s="444">
        <f t="shared" ca="1" si="79"/>
        <v>-19899.521474215977</v>
      </c>
      <c r="L869" s="444">
        <f t="shared" ca="1" si="80"/>
        <v>-4795784.6752860509</v>
      </c>
      <c r="M869" s="460">
        <f t="shared" si="82"/>
        <v>0.05</v>
      </c>
      <c r="N869" s="464">
        <f t="shared" si="83"/>
        <v>77493</v>
      </c>
    </row>
    <row r="870" spans="7:14" ht="11.25" customHeight="1" x14ac:dyDescent="0.3">
      <c r="G870" s="459">
        <f t="shared" si="91"/>
        <v>72</v>
      </c>
      <c r="H870" s="459">
        <v>863</v>
      </c>
      <c r="I870" s="444">
        <f t="shared" ca="1" si="81"/>
        <v>-4795784.6752860509</v>
      </c>
      <c r="J870" s="444">
        <f t="array" ref="J870">IFERROR(INDEX('Retirement Calculator'!K:K,MATCH('Lorri 401b'!N870,'Retirement Calculator'!A:A,0),0),0)</f>
        <v>20367.195264578786</v>
      </c>
      <c r="K870" s="444">
        <f t="shared" ca="1" si="79"/>
        <v>-20067.299460627622</v>
      </c>
      <c r="L870" s="444">
        <f t="shared" ca="1" si="80"/>
        <v>-4836219.1700112578</v>
      </c>
      <c r="M870" s="460">
        <f t="shared" si="82"/>
        <v>0.05</v>
      </c>
      <c r="N870" s="464">
        <f t="shared" si="83"/>
        <v>77524</v>
      </c>
    </row>
    <row r="871" spans="7:14" ht="11.25" customHeight="1" x14ac:dyDescent="0.3">
      <c r="G871" s="459">
        <f t="shared" si="91"/>
        <v>72</v>
      </c>
      <c r="H871" s="459">
        <v>864</v>
      </c>
      <c r="I871" s="444">
        <f t="shared" ca="1" si="81"/>
        <v>-4836219.1700112578</v>
      </c>
      <c r="J871" s="444">
        <f t="array" ref="J871">IFERROR(INDEX('Retirement Calculator'!K:K,MATCH('Lorri 401b'!N871,'Retirement Calculator'!A:A,0),0),0)</f>
        <v>20367.195264578786</v>
      </c>
      <c r="K871" s="444">
        <f t="shared" ca="1" si="79"/>
        <v>-20235.776521982651</v>
      </c>
      <c r="L871" s="444">
        <f t="shared" ca="1" si="80"/>
        <v>-4876822.1417978192</v>
      </c>
      <c r="M871" s="460">
        <f t="shared" si="82"/>
        <v>0.05</v>
      </c>
      <c r="N871" s="464">
        <f t="shared" si="83"/>
        <v>77554</v>
      </c>
    </row>
    <row r="872" spans="7:14" ht="11.25" customHeight="1" x14ac:dyDescent="0.3">
      <c r="G872" s="459">
        <f>G871+1</f>
        <v>73</v>
      </c>
      <c r="H872" s="459">
        <v>865</v>
      </c>
      <c r="I872" s="444">
        <f t="shared" ca="1" si="81"/>
        <v>-4876822.1417978192</v>
      </c>
      <c r="J872" s="444">
        <f t="array" ref="J872">IFERROR(INDEX('Retirement Calculator'!K:K,MATCH('Lorri 401b'!N872,'Retirement Calculator'!A:A,0),0),0)</f>
        <v>20367.195264578786</v>
      </c>
      <c r="K872" s="444">
        <f t="shared" ca="1" si="79"/>
        <v>-20404.955571093324</v>
      </c>
      <c r="L872" s="444">
        <f t="shared" ca="1" si="80"/>
        <v>-4917594.2926334916</v>
      </c>
      <c r="M872" s="460">
        <f t="shared" si="82"/>
        <v>0.05</v>
      </c>
      <c r="N872" s="464">
        <f t="shared" si="83"/>
        <v>77585</v>
      </c>
    </row>
    <row r="873" spans="7:14" ht="11.25" customHeight="1" x14ac:dyDescent="0.3">
      <c r="G873" s="459">
        <f t="shared" ref="G873:G883" si="92">G872</f>
        <v>73</v>
      </c>
      <c r="H873" s="459">
        <v>866</v>
      </c>
      <c r="I873" s="444">
        <f t="shared" ca="1" si="81"/>
        <v>-4917594.2926334916</v>
      </c>
      <c r="J873" s="444">
        <f t="array" ref="J873">IFERROR(INDEX('Retirement Calculator'!K:K,MATCH('Lorri 401b'!N873,'Retirement Calculator'!A:A,0),0),0)</f>
        <v>20367.195264578786</v>
      </c>
      <c r="K873" s="444">
        <f t="shared" ca="1" si="79"/>
        <v>-20574.839532908627</v>
      </c>
      <c r="L873" s="444">
        <f t="shared" ca="1" si="80"/>
        <v>-4958536.3274309793</v>
      </c>
      <c r="M873" s="460">
        <f t="shared" si="82"/>
        <v>0.05</v>
      </c>
      <c r="N873" s="464">
        <f t="shared" si="83"/>
        <v>77615</v>
      </c>
    </row>
    <row r="874" spans="7:14" ht="11.25" customHeight="1" x14ac:dyDescent="0.3">
      <c r="G874" s="459">
        <f t="shared" si="92"/>
        <v>73</v>
      </c>
      <c r="H874" s="459">
        <v>867</v>
      </c>
      <c r="I874" s="444">
        <f t="shared" ca="1" si="81"/>
        <v>-4958536.3274309793</v>
      </c>
      <c r="J874" s="444">
        <f t="array" ref="J874">IFERROR(INDEX('Retirement Calculator'!K:K,MATCH('Lorri 401b'!N874,'Retirement Calculator'!A:A,0),0),0)</f>
        <v>20367.195264578786</v>
      </c>
      <c r="K874" s="444">
        <f t="shared" ca="1" si="79"/>
        <v>-20745.431344564826</v>
      </c>
      <c r="L874" s="444">
        <f t="shared" ca="1" si="80"/>
        <v>-4999648.9540401231</v>
      </c>
      <c r="M874" s="460">
        <f t="shared" si="82"/>
        <v>0.05</v>
      </c>
      <c r="N874" s="464">
        <f t="shared" si="83"/>
        <v>77646</v>
      </c>
    </row>
    <row r="875" spans="7:14" ht="11.25" customHeight="1" x14ac:dyDescent="0.3">
      <c r="G875" s="459">
        <f t="shared" si="92"/>
        <v>73</v>
      </c>
      <c r="H875" s="459">
        <v>868</v>
      </c>
      <c r="I875" s="444">
        <f t="shared" ca="1" si="81"/>
        <v>-4999648.9540401231</v>
      </c>
      <c r="J875" s="444">
        <f t="array" ref="J875">IFERROR(INDEX('Retirement Calculator'!K:K,MATCH('Lorri 401b'!N875,'Retirement Calculator'!A:A,0),0),0)</f>
        <v>20367.195264578786</v>
      </c>
      <c r="K875" s="444">
        <f t="shared" ca="1" si="79"/>
        <v>-20916.733955436259</v>
      </c>
      <c r="L875" s="444">
        <f t="shared" ca="1" si="80"/>
        <v>-5040932.8832601383</v>
      </c>
      <c r="M875" s="460">
        <f t="shared" si="82"/>
        <v>0.05</v>
      </c>
      <c r="N875" s="464">
        <f t="shared" si="83"/>
        <v>77677</v>
      </c>
    </row>
    <row r="876" spans="7:14" ht="11.25" customHeight="1" x14ac:dyDescent="0.3">
      <c r="G876" s="459">
        <f t="shared" si="92"/>
        <v>73</v>
      </c>
      <c r="H876" s="459">
        <v>869</v>
      </c>
      <c r="I876" s="444">
        <f t="shared" ca="1" si="81"/>
        <v>-5040932.8832601383</v>
      </c>
      <c r="J876" s="444">
        <f t="array" ref="J876">IFERROR(INDEX('Retirement Calculator'!K:K,MATCH('Lorri 401b'!N876,'Retirement Calculator'!A:A,0),0),0)</f>
        <v>20367.195264578786</v>
      </c>
      <c r="K876" s="444">
        <f t="shared" ca="1" si="79"/>
        <v>-21088.750327186321</v>
      </c>
      <c r="L876" s="444">
        <f t="shared" ca="1" si="80"/>
        <v>-5082388.8288519038</v>
      </c>
      <c r="M876" s="460">
        <f t="shared" si="82"/>
        <v>0.05</v>
      </c>
      <c r="N876" s="464">
        <f t="shared" si="83"/>
        <v>77707</v>
      </c>
    </row>
    <row r="877" spans="7:14" ht="11.25" customHeight="1" x14ac:dyDescent="0.3">
      <c r="G877" s="459">
        <f t="shared" si="92"/>
        <v>73</v>
      </c>
      <c r="H877" s="459">
        <v>870</v>
      </c>
      <c r="I877" s="444">
        <f t="shared" ca="1" si="81"/>
        <v>-5082388.8288519038</v>
      </c>
      <c r="J877" s="444">
        <f t="array" ref="J877">IFERROR(INDEX('Retirement Calculator'!K:K,MATCH('Lorri 401b'!N877,'Retirement Calculator'!A:A,0),0),0)</f>
        <v>20367.195264578786</v>
      </c>
      <c r="K877" s="444">
        <f t="shared" ca="1" si="79"/>
        <v>-21261.483433818677</v>
      </c>
      <c r="L877" s="444">
        <f t="shared" ca="1" si="80"/>
        <v>-5124017.507550301</v>
      </c>
      <c r="M877" s="460">
        <f t="shared" si="82"/>
        <v>0.05</v>
      </c>
      <c r="N877" s="464">
        <f t="shared" si="83"/>
        <v>77738</v>
      </c>
    </row>
    <row r="878" spans="7:14" ht="11.25" customHeight="1" x14ac:dyDescent="0.3">
      <c r="G878" s="459">
        <f t="shared" si="92"/>
        <v>73</v>
      </c>
      <c r="H878" s="459">
        <v>871</v>
      </c>
      <c r="I878" s="444">
        <f t="shared" ca="1" si="81"/>
        <v>-5124017.507550301</v>
      </c>
      <c r="J878" s="444">
        <f t="array" ref="J878">IFERROR(INDEX('Retirement Calculator'!K:K,MATCH('Lorri 401b'!N878,'Retirement Calculator'!A:A,0),0),0)</f>
        <v>20367.195264578786</v>
      </c>
      <c r="K878" s="444">
        <f t="shared" ca="1" si="79"/>
        <v>-21434.936261728664</v>
      </c>
      <c r="L878" s="444">
        <f t="shared" ca="1" si="80"/>
        <v>-5165819.6390766082</v>
      </c>
      <c r="M878" s="460">
        <f t="shared" si="82"/>
        <v>0.05</v>
      </c>
      <c r="N878" s="464">
        <f t="shared" si="83"/>
        <v>77768</v>
      </c>
    </row>
    <row r="879" spans="7:14" ht="11.25" customHeight="1" x14ac:dyDescent="0.3">
      <c r="G879" s="459">
        <f t="shared" si="92"/>
        <v>73</v>
      </c>
      <c r="H879" s="459">
        <v>872</v>
      </c>
      <c r="I879" s="444">
        <f t="shared" ca="1" si="81"/>
        <v>-5165819.6390766082</v>
      </c>
      <c r="J879" s="444">
        <f t="array" ref="J879">IFERROR(INDEX('Retirement Calculator'!K:K,MATCH('Lorri 401b'!N879,'Retirement Calculator'!A:A,0),0),0)</f>
        <v>20367.195264578786</v>
      </c>
      <c r="K879" s="444">
        <f t="shared" ca="1" si="79"/>
        <v>-21609.111809754944</v>
      </c>
      <c r="L879" s="444">
        <f t="shared" ca="1" si="80"/>
        <v>-5207795.9461509418</v>
      </c>
      <c r="M879" s="460">
        <f t="shared" si="82"/>
        <v>0.05</v>
      </c>
      <c r="N879" s="464">
        <f t="shared" si="83"/>
        <v>77799</v>
      </c>
    </row>
    <row r="880" spans="7:14" ht="11.25" customHeight="1" x14ac:dyDescent="0.3">
      <c r="G880" s="459">
        <f t="shared" si="92"/>
        <v>73</v>
      </c>
      <c r="H880" s="459">
        <v>873</v>
      </c>
      <c r="I880" s="444">
        <f t="shared" ca="1" si="81"/>
        <v>-5207795.9461509418</v>
      </c>
      <c r="J880" s="444">
        <f t="array" ref="J880">IFERROR(INDEX('Retirement Calculator'!K:K,MATCH('Lorri 401b'!N880,'Retirement Calculator'!A:A,0),0),0)</f>
        <v>20367.195264578786</v>
      </c>
      <c r="K880" s="444">
        <f t="shared" ca="1" si="79"/>
        <v>-21784.013089231335</v>
      </c>
      <c r="L880" s="444">
        <f t="shared" ca="1" si="80"/>
        <v>-5249947.1545047518</v>
      </c>
      <c r="M880" s="460">
        <f t="shared" si="82"/>
        <v>0.05</v>
      </c>
      <c r="N880" s="464">
        <f t="shared" si="83"/>
        <v>77830</v>
      </c>
    </row>
    <row r="881" spans="7:14" ht="11.25" customHeight="1" x14ac:dyDescent="0.3">
      <c r="G881" s="459">
        <f t="shared" si="92"/>
        <v>73</v>
      </c>
      <c r="H881" s="459">
        <v>874</v>
      </c>
      <c r="I881" s="444">
        <f t="shared" ca="1" si="81"/>
        <v>-5249947.1545047518</v>
      </c>
      <c r="J881" s="444">
        <f t="array" ref="J881">IFERROR(INDEX('Retirement Calculator'!K:K,MATCH('Lorri 401b'!N881,'Retirement Calculator'!A:A,0),0),0)</f>
        <v>20367.195264578786</v>
      </c>
      <c r="K881" s="444">
        <f t="shared" ca="1" si="79"/>
        <v>-21959.643124038877</v>
      </c>
      <c r="L881" s="444">
        <f t="shared" ca="1" si="80"/>
        <v>-5292273.9928933699</v>
      </c>
      <c r="M881" s="460">
        <f t="shared" si="82"/>
        <v>0.05</v>
      </c>
      <c r="N881" s="464">
        <f t="shared" si="83"/>
        <v>77858</v>
      </c>
    </row>
    <row r="882" spans="7:14" ht="11.25" customHeight="1" x14ac:dyDescent="0.3">
      <c r="G882" s="459">
        <f t="shared" si="92"/>
        <v>73</v>
      </c>
      <c r="H882" s="459">
        <v>875</v>
      </c>
      <c r="I882" s="444">
        <f t="shared" ca="1" si="81"/>
        <v>-5292273.9928933699</v>
      </c>
      <c r="J882" s="444">
        <f t="array" ref="J882">IFERROR(INDEX('Retirement Calculator'!K:K,MATCH('Lorri 401b'!N882,'Retirement Calculator'!A:A,0),0),0)</f>
        <v>20367.195264578786</v>
      </c>
      <c r="K882" s="444">
        <f t="shared" ca="1" si="79"/>
        <v>-22136.00495065812</v>
      </c>
      <c r="L882" s="444">
        <f t="shared" ca="1" si="80"/>
        <v>-5334777.1931086071</v>
      </c>
      <c r="M882" s="460">
        <f t="shared" si="82"/>
        <v>0.05</v>
      </c>
      <c r="N882" s="464">
        <f t="shared" si="83"/>
        <v>77889</v>
      </c>
    </row>
    <row r="883" spans="7:14" ht="11.25" customHeight="1" x14ac:dyDescent="0.3">
      <c r="G883" s="459">
        <f t="shared" si="92"/>
        <v>73</v>
      </c>
      <c r="H883" s="459">
        <v>876</v>
      </c>
      <c r="I883" s="444">
        <f t="shared" ca="1" si="81"/>
        <v>-5334777.1931086071</v>
      </c>
      <c r="J883" s="444">
        <f t="array" ref="J883">IFERROR(INDEX('Retirement Calculator'!K:K,MATCH('Lorri 401b'!N883,'Retirement Calculator'!A:A,0),0),0)</f>
        <v>20367.195264578786</v>
      </c>
      <c r="K883" s="444">
        <f t="shared" ca="1" si="79"/>
        <v>-22313.101618221608</v>
      </c>
      <c r="L883" s="444">
        <f t="shared" ca="1" si="80"/>
        <v>-5377457.4899914078</v>
      </c>
      <c r="M883" s="460">
        <f t="shared" si="82"/>
        <v>0.05</v>
      </c>
      <c r="N883" s="464">
        <f t="shared" si="83"/>
        <v>77919</v>
      </c>
    </row>
    <row r="884" spans="7:14" ht="11.25" customHeight="1" x14ac:dyDescent="0.3">
      <c r="G884" s="459">
        <f>G883+1</f>
        <v>74</v>
      </c>
      <c r="H884" s="459">
        <v>877</v>
      </c>
      <c r="I884" s="444">
        <f t="shared" ca="1" si="81"/>
        <v>-5377457.4899914078</v>
      </c>
      <c r="J884" s="444">
        <f t="array" ref="J884">IFERROR(INDEX('Retirement Calculator'!K:K,MATCH('Lorri 401b'!N884,'Retirement Calculator'!A:A,0),0),0)</f>
        <v>20367.195264578786</v>
      </c>
      <c r="K884" s="444">
        <f t="shared" ca="1" si="79"/>
        <v>-22490.936188566611</v>
      </c>
      <c r="L884" s="444">
        <f t="shared" ca="1" si="80"/>
        <v>-5420315.6214445531</v>
      </c>
      <c r="M884" s="460">
        <f t="shared" si="82"/>
        <v>0.05</v>
      </c>
      <c r="N884" s="464">
        <f t="shared" si="83"/>
        <v>77950</v>
      </c>
    </row>
    <row r="885" spans="7:14" ht="11.25" customHeight="1" x14ac:dyDescent="0.3">
      <c r="G885" s="459">
        <f t="shared" ref="G885:G895" si="93">G884</f>
        <v>74</v>
      </c>
      <c r="H885" s="459">
        <v>878</v>
      </c>
      <c r="I885" s="444">
        <f t="shared" ca="1" si="81"/>
        <v>-5420315.6214445531</v>
      </c>
      <c r="J885" s="444">
        <f t="array" ref="J885">IFERROR(INDEX('Retirement Calculator'!K:K,MATCH('Lorri 401b'!N885,'Retirement Calculator'!A:A,0),0),0)</f>
        <v>20367.195264578786</v>
      </c>
      <c r="K885" s="444">
        <f t="shared" ca="1" si="79"/>
        <v>-22669.511736288048</v>
      </c>
      <c r="L885" s="444">
        <f t="shared" ca="1" si="80"/>
        <v>-5463352.3284454197</v>
      </c>
      <c r="M885" s="460">
        <f t="shared" si="82"/>
        <v>0.05</v>
      </c>
      <c r="N885" s="464">
        <f t="shared" si="83"/>
        <v>77980</v>
      </c>
    </row>
    <row r="886" spans="7:14" ht="11.25" customHeight="1" x14ac:dyDescent="0.3">
      <c r="G886" s="459">
        <f t="shared" si="93"/>
        <v>74</v>
      </c>
      <c r="H886" s="459">
        <v>879</v>
      </c>
      <c r="I886" s="444">
        <f t="shared" ca="1" si="81"/>
        <v>-5463352.3284454197</v>
      </c>
      <c r="J886" s="444">
        <f t="array" ref="J886">IFERROR(INDEX('Retirement Calculator'!K:K,MATCH('Lorri 401b'!N886,'Retirement Calculator'!A:A,0),0),0)</f>
        <v>20367.195264578786</v>
      </c>
      <c r="K886" s="444">
        <f t="shared" ca="1" si="79"/>
        <v>-22848.83134879166</v>
      </c>
      <c r="L886" s="444">
        <f t="shared" ca="1" si="80"/>
        <v>-5506568.3550587902</v>
      </c>
      <c r="M886" s="460">
        <f t="shared" si="82"/>
        <v>0.05</v>
      </c>
      <c r="N886" s="464">
        <f t="shared" si="83"/>
        <v>78011</v>
      </c>
    </row>
    <row r="887" spans="7:14" ht="11.25" customHeight="1" x14ac:dyDescent="0.3">
      <c r="G887" s="459">
        <f t="shared" si="93"/>
        <v>74</v>
      </c>
      <c r="H887" s="459">
        <v>880</v>
      </c>
      <c r="I887" s="444">
        <f t="shared" ca="1" si="81"/>
        <v>-5506568.3550587902</v>
      </c>
      <c r="J887" s="444">
        <f t="array" ref="J887">IFERROR(INDEX('Retirement Calculator'!K:K,MATCH('Lorri 401b'!N887,'Retirement Calculator'!A:A,0),0),0)</f>
        <v>20367.195264578786</v>
      </c>
      <c r="K887" s="444">
        <f t="shared" ca="1" si="79"/>
        <v>-23028.898126347369</v>
      </c>
      <c r="L887" s="444">
        <f t="shared" ca="1" si="80"/>
        <v>-5549964.448449716</v>
      </c>
      <c r="M887" s="460">
        <f t="shared" si="82"/>
        <v>0.05</v>
      </c>
      <c r="N887" s="464">
        <f t="shared" si="83"/>
        <v>78042</v>
      </c>
    </row>
    <row r="888" spans="7:14" ht="11.25" customHeight="1" x14ac:dyDescent="0.3">
      <c r="G888" s="459">
        <f t="shared" si="93"/>
        <v>74</v>
      </c>
      <c r="H888" s="459">
        <v>881</v>
      </c>
      <c r="I888" s="444">
        <f t="shared" ca="1" si="81"/>
        <v>-5549964.448449716</v>
      </c>
      <c r="J888" s="444">
        <f t="array" ref="J888">IFERROR(INDEX('Retirement Calculator'!K:K,MATCH('Lorri 401b'!N888,'Retirement Calculator'!A:A,0),0),0)</f>
        <v>20367.195264578786</v>
      </c>
      <c r="K888" s="444">
        <f t="shared" ca="1" si="79"/>
        <v>-23209.715182142896</v>
      </c>
      <c r="L888" s="444">
        <f t="shared" ca="1" si="80"/>
        <v>-5593541.358896438</v>
      </c>
      <c r="M888" s="460">
        <f t="shared" si="82"/>
        <v>0.05</v>
      </c>
      <c r="N888" s="464">
        <f t="shared" si="83"/>
        <v>78072</v>
      </c>
    </row>
    <row r="889" spans="7:14" ht="11.25" customHeight="1" x14ac:dyDescent="0.3">
      <c r="G889" s="459">
        <f t="shared" si="93"/>
        <v>74</v>
      </c>
      <c r="H889" s="459">
        <v>882</v>
      </c>
      <c r="I889" s="444">
        <f t="shared" ca="1" si="81"/>
        <v>-5593541.358896438</v>
      </c>
      <c r="J889" s="444">
        <f t="array" ref="J889">IFERROR(INDEX('Retirement Calculator'!K:K,MATCH('Lorri 401b'!N889,'Retirement Calculator'!A:A,0),0),0)</f>
        <v>20367.195264578786</v>
      </c>
      <c r="K889" s="444">
        <f t="shared" ca="1" si="79"/>
        <v>-23391.285642337571</v>
      </c>
      <c r="L889" s="444">
        <f t="shared" ca="1" si="80"/>
        <v>-5637299.8398033548</v>
      </c>
      <c r="M889" s="460">
        <f t="shared" si="82"/>
        <v>0.05</v>
      </c>
      <c r="N889" s="464">
        <f t="shared" si="83"/>
        <v>78103</v>
      </c>
    </row>
    <row r="890" spans="7:14" ht="11.25" customHeight="1" x14ac:dyDescent="0.3">
      <c r="G890" s="459">
        <f t="shared" si="93"/>
        <v>74</v>
      </c>
      <c r="H890" s="459">
        <v>883</v>
      </c>
      <c r="I890" s="444">
        <f t="shared" ca="1" si="81"/>
        <v>-5637299.8398033548</v>
      </c>
      <c r="J890" s="444">
        <f t="array" ref="J890">IFERROR(INDEX('Retirement Calculator'!K:K,MATCH('Lorri 401b'!N890,'Retirement Calculator'!A:A,0),0),0)</f>
        <v>20367.195264578786</v>
      </c>
      <c r="K890" s="444">
        <f t="shared" ca="1" si="79"/>
        <v>-23573.612646116391</v>
      </c>
      <c r="L890" s="444">
        <f t="shared" ca="1" si="80"/>
        <v>-5681240.6477140496</v>
      </c>
      <c r="M890" s="460">
        <f t="shared" si="82"/>
        <v>0.05</v>
      </c>
      <c r="N890" s="464">
        <f t="shared" si="83"/>
        <v>78133</v>
      </c>
    </row>
    <row r="891" spans="7:14" ht="11.25" customHeight="1" x14ac:dyDescent="0.3">
      <c r="G891" s="459">
        <f t="shared" si="93"/>
        <v>74</v>
      </c>
      <c r="H891" s="459">
        <v>884</v>
      </c>
      <c r="I891" s="444">
        <f t="shared" ca="1" si="81"/>
        <v>-5681240.6477140496</v>
      </c>
      <c r="J891" s="444">
        <f t="array" ref="J891">IFERROR(INDEX('Retirement Calculator'!K:K,MATCH('Lorri 401b'!N891,'Retirement Calculator'!A:A,0),0),0)</f>
        <v>20367.195264578786</v>
      </c>
      <c r="K891" s="444">
        <f t="shared" ca="1" si="79"/>
        <v>-23756.699345744284</v>
      </c>
      <c r="L891" s="444">
        <f t="shared" ca="1" si="80"/>
        <v>-5725364.5423243726</v>
      </c>
      <c r="M891" s="460">
        <f t="shared" si="82"/>
        <v>0.05</v>
      </c>
      <c r="N891" s="464">
        <f t="shared" si="83"/>
        <v>78164</v>
      </c>
    </row>
    <row r="892" spans="7:14" ht="11.25" customHeight="1" x14ac:dyDescent="0.3">
      <c r="G892" s="459">
        <f t="shared" si="93"/>
        <v>74</v>
      </c>
      <c r="H892" s="459">
        <v>885</v>
      </c>
      <c r="I892" s="444">
        <f t="shared" ca="1" si="81"/>
        <v>-5725364.5423243726</v>
      </c>
      <c r="J892" s="444">
        <f t="array" ref="J892">IFERROR(INDEX('Retirement Calculator'!K:K,MATCH('Lorri 401b'!N892,'Retirement Calculator'!A:A,0),0),0)</f>
        <v>20367.195264578786</v>
      </c>
      <c r="K892" s="444">
        <f t="shared" ca="1" si="79"/>
        <v>-23940.548906620632</v>
      </c>
      <c r="L892" s="444">
        <f t="shared" ca="1" si="80"/>
        <v>-5769672.286495572</v>
      </c>
      <c r="M892" s="460">
        <f t="shared" si="82"/>
        <v>0.05</v>
      </c>
      <c r="N892" s="464">
        <f t="shared" si="83"/>
        <v>78195</v>
      </c>
    </row>
    <row r="893" spans="7:14" ht="11.25" customHeight="1" x14ac:dyDescent="0.3">
      <c r="G893" s="459">
        <f t="shared" si="93"/>
        <v>74</v>
      </c>
      <c r="H893" s="459">
        <v>886</v>
      </c>
      <c r="I893" s="444">
        <f t="shared" ca="1" si="81"/>
        <v>-5769672.286495572</v>
      </c>
      <c r="J893" s="444">
        <f t="array" ref="J893">IFERROR(INDEX('Retirement Calculator'!K:K,MATCH('Lorri 401b'!N893,'Retirement Calculator'!A:A,0),0),0)</f>
        <v>20367.195264578786</v>
      </c>
      <c r="K893" s="444">
        <f t="shared" ca="1" si="79"/>
        <v>-24125.164507333961</v>
      </c>
      <c r="L893" s="444">
        <f t="shared" ca="1" si="80"/>
        <v>-5814164.6462674849</v>
      </c>
      <c r="M893" s="460">
        <f t="shared" si="82"/>
        <v>0.05</v>
      </c>
      <c r="N893" s="464">
        <f t="shared" si="83"/>
        <v>78223</v>
      </c>
    </row>
    <row r="894" spans="7:14" ht="11.25" customHeight="1" x14ac:dyDescent="0.3">
      <c r="G894" s="459">
        <f t="shared" si="93"/>
        <v>74</v>
      </c>
      <c r="H894" s="459">
        <v>887</v>
      </c>
      <c r="I894" s="444">
        <f t="shared" ca="1" si="81"/>
        <v>-5814164.6462674849</v>
      </c>
      <c r="J894" s="444">
        <f t="array" ref="J894">IFERROR(INDEX('Retirement Calculator'!K:K,MATCH('Lorri 401b'!N894,'Retirement Calculator'!A:A,0),0),0)</f>
        <v>20367.195264578786</v>
      </c>
      <c r="K894" s="444">
        <f t="shared" ca="1" si="79"/>
        <v>-24310.54933971693</v>
      </c>
      <c r="L894" s="444">
        <f t="shared" ca="1" si="80"/>
        <v>-5858842.3908717809</v>
      </c>
      <c r="M894" s="460">
        <f t="shared" si="82"/>
        <v>0.05</v>
      </c>
      <c r="N894" s="464">
        <f t="shared" si="83"/>
        <v>78254</v>
      </c>
    </row>
    <row r="895" spans="7:14" ht="11.25" customHeight="1" x14ac:dyDescent="0.3">
      <c r="G895" s="459">
        <f t="shared" si="93"/>
        <v>74</v>
      </c>
      <c r="H895" s="459">
        <v>888</v>
      </c>
      <c r="I895" s="444">
        <f t="shared" ca="1" si="81"/>
        <v>-5858842.3908717809</v>
      </c>
      <c r="J895" s="444">
        <f t="array" ref="J895">IFERROR(INDEX('Retirement Calculator'!K:K,MATCH('Lorri 401b'!N895,'Retirement Calculator'!A:A,0),0),0)</f>
        <v>20367.195264578786</v>
      </c>
      <c r="K895" s="444">
        <f t="shared" ca="1" si="79"/>
        <v>-24496.706608901499</v>
      </c>
      <c r="L895" s="444">
        <f t="shared" ca="1" si="80"/>
        <v>-5903706.2927452615</v>
      </c>
      <c r="M895" s="460">
        <f t="shared" si="82"/>
        <v>0.05</v>
      </c>
      <c r="N895" s="464">
        <f t="shared" si="83"/>
        <v>78284</v>
      </c>
    </row>
    <row r="896" spans="7:14" ht="11.25" customHeight="1" x14ac:dyDescent="0.3">
      <c r="G896" s="459">
        <f>G895+1</f>
        <v>75</v>
      </c>
      <c r="H896" s="459">
        <v>889</v>
      </c>
      <c r="I896" s="444">
        <f t="shared" ca="1" si="81"/>
        <v>-5903706.2927452615</v>
      </c>
      <c r="J896" s="444">
        <f t="array" ref="J896">IFERROR(INDEX('Retirement Calculator'!K:K,MATCH('Lorri 401b'!N896,'Retirement Calculator'!A:A,0),0),0)</f>
        <v>20367.195264578786</v>
      </c>
      <c r="K896" s="444">
        <f t="shared" ca="1" si="79"/>
        <v>-24683.639533374335</v>
      </c>
      <c r="L896" s="444">
        <f t="shared" ca="1" si="80"/>
        <v>-5948757.1275432147</v>
      </c>
      <c r="M896" s="460">
        <f t="shared" si="82"/>
        <v>0.05</v>
      </c>
      <c r="N896" s="464">
        <f t="shared" si="83"/>
        <v>78315</v>
      </c>
    </row>
    <row r="897" spans="7:14" ht="11.25" customHeight="1" x14ac:dyDescent="0.3">
      <c r="G897" s="459">
        <f t="shared" ref="G897:G907" si="94">G896</f>
        <v>75</v>
      </c>
      <c r="H897" s="459">
        <v>890</v>
      </c>
      <c r="I897" s="444">
        <f t="shared" ca="1" si="81"/>
        <v>-5948757.1275432147</v>
      </c>
      <c r="J897" s="444">
        <f t="array" ref="J897">IFERROR(INDEX('Retirement Calculator'!K:K,MATCH('Lorri 401b'!N897,'Retirement Calculator'!A:A,0),0),0)</f>
        <v>20367.195264578786</v>
      </c>
      <c r="K897" s="444">
        <f t="shared" ca="1" si="79"/>
        <v>-24871.351345032472</v>
      </c>
      <c r="L897" s="444">
        <f t="shared" ca="1" si="80"/>
        <v>-5993995.674152826</v>
      </c>
      <c r="M897" s="460">
        <f t="shared" si="82"/>
        <v>0.05</v>
      </c>
      <c r="N897" s="464">
        <f t="shared" si="83"/>
        <v>78345</v>
      </c>
    </row>
    <row r="898" spans="7:14" ht="11.25" customHeight="1" x14ac:dyDescent="0.3">
      <c r="G898" s="459">
        <f t="shared" si="94"/>
        <v>75</v>
      </c>
      <c r="H898" s="459">
        <v>891</v>
      </c>
      <c r="I898" s="444">
        <f t="shared" ca="1" si="81"/>
        <v>-5993995.674152826</v>
      </c>
      <c r="J898" s="444">
        <f t="array" ref="J898">IFERROR(INDEX('Retirement Calculator'!K:K,MATCH('Lorri 401b'!N898,'Retirement Calculator'!A:A,0),0),0)</f>
        <v>20367.195264578786</v>
      </c>
      <c r="K898" s="444">
        <f t="shared" ca="1" si="79"/>
        <v>-25059.845289239187</v>
      </c>
      <c r="L898" s="444">
        <f t="shared" ca="1" si="80"/>
        <v>-6039422.7147066435</v>
      </c>
      <c r="M898" s="460">
        <f t="shared" si="82"/>
        <v>0.05</v>
      </c>
      <c r="N898" s="464">
        <f t="shared" si="83"/>
        <v>78376</v>
      </c>
    </row>
    <row r="899" spans="7:14" ht="11.25" customHeight="1" x14ac:dyDescent="0.3">
      <c r="G899" s="459">
        <f t="shared" si="94"/>
        <v>75</v>
      </c>
      <c r="H899" s="459">
        <v>892</v>
      </c>
      <c r="I899" s="444">
        <f t="shared" ca="1" si="81"/>
        <v>-6039422.7147066435</v>
      </c>
      <c r="J899" s="444">
        <f t="array" ref="J899">IFERROR(INDEX('Retirement Calculator'!K:K,MATCH('Lorri 401b'!N899,'Retirement Calculator'!A:A,0),0),0)</f>
        <v>20367.195264578786</v>
      </c>
      <c r="K899" s="444">
        <f t="shared" ca="1" si="79"/>
        <v>-25249.124624880093</v>
      </c>
      <c r="L899" s="444">
        <f t="shared" ca="1" si="80"/>
        <v>-6085039.0345961023</v>
      </c>
      <c r="M899" s="460">
        <f t="shared" si="82"/>
        <v>0.05</v>
      </c>
      <c r="N899" s="464">
        <f t="shared" si="83"/>
        <v>78407</v>
      </c>
    </row>
    <row r="900" spans="7:14" ht="11.25" customHeight="1" x14ac:dyDescent="0.3">
      <c r="G900" s="459">
        <f t="shared" si="94"/>
        <v>75</v>
      </c>
      <c r="H900" s="459">
        <v>893</v>
      </c>
      <c r="I900" s="444">
        <f t="shared" ca="1" si="81"/>
        <v>-6085039.0345961023</v>
      </c>
      <c r="J900" s="444">
        <f t="array" ref="J900">IFERROR(INDEX('Retirement Calculator'!K:K,MATCH('Lorri 401b'!N900,'Retirement Calculator'!A:A,0),0),0)</f>
        <v>20367.195264578786</v>
      </c>
      <c r="K900" s="444">
        <f t="shared" ca="1" si="79"/>
        <v>-25439.192624419506</v>
      </c>
      <c r="L900" s="444">
        <f t="shared" ca="1" si="80"/>
        <v>-6130845.422485101</v>
      </c>
      <c r="M900" s="460">
        <f t="shared" si="82"/>
        <v>0.05</v>
      </c>
      <c r="N900" s="464">
        <f t="shared" si="83"/>
        <v>78437</v>
      </c>
    </row>
    <row r="901" spans="7:14" ht="11.25" customHeight="1" x14ac:dyDescent="0.3">
      <c r="G901" s="459">
        <f t="shared" si="94"/>
        <v>75</v>
      </c>
      <c r="H901" s="459">
        <v>894</v>
      </c>
      <c r="I901" s="444">
        <f t="shared" ca="1" si="81"/>
        <v>-6130845.422485101</v>
      </c>
      <c r="J901" s="444">
        <f t="array" ref="J901">IFERROR(INDEX('Retirement Calculator'!K:K,MATCH('Lorri 401b'!N901,'Retirement Calculator'!A:A,0),0),0)</f>
        <v>20367.195264578786</v>
      </c>
      <c r="K901" s="444">
        <f t="shared" ca="1" si="79"/>
        <v>-25630.052573957</v>
      </c>
      <c r="L901" s="444">
        <f t="shared" ca="1" si="80"/>
        <v>-6176842.6703236364</v>
      </c>
      <c r="M901" s="460">
        <f t="shared" si="82"/>
        <v>0.05</v>
      </c>
      <c r="N901" s="464">
        <f t="shared" si="83"/>
        <v>78468</v>
      </c>
    </row>
    <row r="902" spans="7:14" ht="11.25" customHeight="1" x14ac:dyDescent="0.3">
      <c r="G902" s="459">
        <f t="shared" si="94"/>
        <v>75</v>
      </c>
      <c r="H902" s="459">
        <v>895</v>
      </c>
      <c r="I902" s="444">
        <f t="shared" ca="1" si="81"/>
        <v>-6176842.6703236364</v>
      </c>
      <c r="J902" s="444">
        <f t="array" ref="J902">IFERROR(INDEX('Retirement Calculator'!K:K,MATCH('Lorri 401b'!N902,'Retirement Calculator'!A:A,0),0),0)</f>
        <v>20367.195264578786</v>
      </c>
      <c r="K902" s="444">
        <f t="shared" ca="1" si="79"/>
        <v>-25821.70777328423</v>
      </c>
      <c r="L902" s="444">
        <f t="shared" ca="1" si="80"/>
        <v>-6223031.5733614992</v>
      </c>
      <c r="M902" s="460">
        <f t="shared" si="82"/>
        <v>0.05</v>
      </c>
      <c r="N902" s="464">
        <f t="shared" si="83"/>
        <v>78498</v>
      </c>
    </row>
    <row r="903" spans="7:14" ht="11.25" customHeight="1" x14ac:dyDescent="0.3">
      <c r="G903" s="459">
        <f t="shared" si="94"/>
        <v>75</v>
      </c>
      <c r="H903" s="459">
        <v>896</v>
      </c>
      <c r="I903" s="444">
        <f t="shared" ca="1" si="81"/>
        <v>-6223031.5733614992</v>
      </c>
      <c r="J903" s="444">
        <f t="array" ref="J903">IFERROR(INDEX('Retirement Calculator'!K:K,MATCH('Lorri 401b'!N903,'Retirement Calculator'!A:A,0),0),0)</f>
        <v>20367.195264578786</v>
      </c>
      <c r="K903" s="444">
        <f t="shared" ca="1" si="79"/>
        <v>-26014.161535941992</v>
      </c>
      <c r="L903" s="444">
        <f t="shared" ca="1" si="80"/>
        <v>-6269412.93016202</v>
      </c>
      <c r="M903" s="460">
        <f t="shared" si="82"/>
        <v>0.05</v>
      </c>
      <c r="N903" s="464">
        <f t="shared" si="83"/>
        <v>78529</v>
      </c>
    </row>
    <row r="904" spans="7:14" ht="11.25" customHeight="1" x14ac:dyDescent="0.3">
      <c r="G904" s="459">
        <f t="shared" si="94"/>
        <v>75</v>
      </c>
      <c r="H904" s="459">
        <v>897</v>
      </c>
      <c r="I904" s="444">
        <f t="shared" ca="1" si="81"/>
        <v>-6269412.93016202</v>
      </c>
      <c r="J904" s="444">
        <f t="array" ref="J904">IFERROR(INDEX('Retirement Calculator'!K:K,MATCH('Lorri 401b'!N904,'Retirement Calculator'!A:A,0),0),0)</f>
        <v>20367.195264578786</v>
      </c>
      <c r="K904" s="444">
        <f t="shared" ca="1" si="79"/>
        <v>-26207.417189277494</v>
      </c>
      <c r="L904" s="444">
        <f t="shared" ca="1" si="80"/>
        <v>-6315987.5426158765</v>
      </c>
      <c r="M904" s="460">
        <f t="shared" si="82"/>
        <v>0.05</v>
      </c>
      <c r="N904" s="464">
        <f t="shared" si="83"/>
        <v>78560</v>
      </c>
    </row>
    <row r="905" spans="7:14" ht="11.25" customHeight="1" x14ac:dyDescent="0.3">
      <c r="G905" s="459">
        <f t="shared" si="94"/>
        <v>75</v>
      </c>
      <c r="H905" s="459">
        <v>898</v>
      </c>
      <c r="I905" s="444">
        <f t="shared" ca="1" si="81"/>
        <v>-6315987.5426158765</v>
      </c>
      <c r="J905" s="444">
        <f t="array" ref="J905">IFERROR(INDEX('Retirement Calculator'!K:K,MATCH('Lorri 401b'!N905,'Retirement Calculator'!A:A,0),0),0)</f>
        <v>20367.195264578786</v>
      </c>
      <c r="K905" s="444">
        <f t="shared" ca="1" si="79"/>
        <v>-26401.478074501898</v>
      </c>
      <c r="L905" s="444">
        <f t="shared" ca="1" si="80"/>
        <v>-6362756.2159549575</v>
      </c>
      <c r="M905" s="460">
        <f t="shared" si="82"/>
        <v>0.05</v>
      </c>
      <c r="N905" s="464">
        <f t="shared" si="83"/>
        <v>78588</v>
      </c>
    </row>
    <row r="906" spans="7:14" ht="11.25" customHeight="1" x14ac:dyDescent="0.3">
      <c r="G906" s="459">
        <f t="shared" si="94"/>
        <v>75</v>
      </c>
      <c r="H906" s="459">
        <v>899</v>
      </c>
      <c r="I906" s="444">
        <f t="shared" ca="1" si="81"/>
        <v>-6362756.2159549575</v>
      </c>
      <c r="J906" s="444">
        <f t="array" ref="J906">IFERROR(INDEX('Retirement Calculator'!K:K,MATCH('Lorri 401b'!N906,'Retirement Calculator'!A:A,0),0),0)</f>
        <v>20367.195264578786</v>
      </c>
      <c r="K906" s="444">
        <f t="shared" ca="1" si="79"/>
        <v>-26596.347546748068</v>
      </c>
      <c r="L906" s="444">
        <f t="shared" ca="1" si="80"/>
        <v>-6409719.7587662842</v>
      </c>
      <c r="M906" s="460">
        <f t="shared" si="82"/>
        <v>0.05</v>
      </c>
      <c r="N906" s="464">
        <f t="shared" si="83"/>
        <v>78619</v>
      </c>
    </row>
    <row r="907" spans="7:14" ht="11.25" customHeight="1" x14ac:dyDescent="0.3">
      <c r="G907" s="459">
        <f t="shared" si="94"/>
        <v>75</v>
      </c>
      <c r="H907" s="459">
        <v>900</v>
      </c>
      <c r="I907" s="444">
        <f t="shared" ca="1" si="81"/>
        <v>-6409719.7587662842</v>
      </c>
      <c r="J907" s="444">
        <f t="array" ref="J907">IFERROR(INDEX('Retirement Calculator'!K:K,MATCH('Lorri 401b'!N907,'Retirement Calculator'!A:A,0),0),0)</f>
        <v>20367.195264578786</v>
      </c>
      <c r="K907" s="444">
        <f t="shared" ca="1" si="79"/>
        <v>-26792.028975128596</v>
      </c>
      <c r="L907" s="444">
        <f t="shared" ca="1" si="80"/>
        <v>-6456878.9830059912</v>
      </c>
      <c r="M907" s="460">
        <f t="shared" si="82"/>
        <v>0.05</v>
      </c>
      <c r="N907" s="464">
        <f t="shared" si="83"/>
        <v>78649</v>
      </c>
    </row>
    <row r="908" spans="7:14" ht="11.25" customHeight="1" x14ac:dyDescent="0.3">
      <c r="G908" s="459">
        <f>G907+1</f>
        <v>76</v>
      </c>
      <c r="H908" s="459">
        <v>901</v>
      </c>
      <c r="I908" s="444">
        <f t="shared" ca="1" si="81"/>
        <v>-6456878.9830059912</v>
      </c>
      <c r="J908" s="444">
        <f t="array" ref="J908">IFERROR(INDEX('Retirement Calculator'!K:K,MATCH('Lorri 401b'!N908,'Retirement Calculator'!A:A,0),0),0)</f>
        <v>20367.195264578786</v>
      </c>
      <c r="K908" s="444">
        <f t="shared" ca="1" si="79"/>
        <v>-26988.525742794041</v>
      </c>
      <c r="L908" s="444">
        <f t="shared" ca="1" si="80"/>
        <v>-6504234.7040133644</v>
      </c>
      <c r="M908" s="460">
        <f t="shared" si="82"/>
        <v>0.05</v>
      </c>
      <c r="N908" s="464">
        <f t="shared" si="83"/>
        <v>78680</v>
      </c>
    </row>
    <row r="909" spans="7:14" ht="11.25" customHeight="1" x14ac:dyDescent="0.3">
      <c r="G909" s="459">
        <f t="shared" ref="G909:G919" si="95">G908</f>
        <v>76</v>
      </c>
      <c r="H909" s="459">
        <v>902</v>
      </c>
      <c r="I909" s="444">
        <f t="shared" ca="1" si="81"/>
        <v>-6504234.7040133644</v>
      </c>
      <c r="J909" s="444">
        <f t="array" ref="J909">IFERROR(INDEX('Retirement Calculator'!K:K,MATCH('Lorri 401b'!N909,'Retirement Calculator'!A:A,0),0),0)</f>
        <v>20367.195264578786</v>
      </c>
      <c r="K909" s="444">
        <f t="shared" ca="1" si="79"/>
        <v>-27185.841246991429</v>
      </c>
      <c r="L909" s="444">
        <f t="shared" ca="1" si="80"/>
        <v>-6551787.7405249346</v>
      </c>
      <c r="M909" s="460">
        <f t="shared" si="82"/>
        <v>0.05</v>
      </c>
      <c r="N909" s="464">
        <f t="shared" si="83"/>
        <v>78710</v>
      </c>
    </row>
    <row r="910" spans="7:14" ht="11.25" customHeight="1" x14ac:dyDescent="0.3">
      <c r="G910" s="459">
        <f t="shared" si="95"/>
        <v>76</v>
      </c>
      <c r="H910" s="459">
        <v>903</v>
      </c>
      <c r="I910" s="444">
        <f t="shared" ca="1" si="81"/>
        <v>-6551787.7405249346</v>
      </c>
      <c r="J910" s="444">
        <f t="array" ref="J910">IFERROR(INDEX('Retirement Calculator'!K:K,MATCH('Lorri 401b'!N910,'Retirement Calculator'!A:A,0),0),0)</f>
        <v>20367.195264578786</v>
      </c>
      <c r="K910" s="444">
        <f t="shared" ca="1" si="79"/>
        <v>-27383.978899122976</v>
      </c>
      <c r="L910" s="444">
        <f t="shared" ca="1" si="80"/>
        <v>-6599538.9146886365</v>
      </c>
      <c r="M910" s="460">
        <f t="shared" si="82"/>
        <v>0.05</v>
      </c>
      <c r="N910" s="464">
        <f t="shared" si="83"/>
        <v>78741</v>
      </c>
    </row>
    <row r="911" spans="7:14" ht="11.25" customHeight="1" x14ac:dyDescent="0.3">
      <c r="G911" s="459">
        <f t="shared" si="95"/>
        <v>76</v>
      </c>
      <c r="H911" s="459">
        <v>904</v>
      </c>
      <c r="I911" s="444">
        <f t="shared" ca="1" si="81"/>
        <v>-6599538.9146886365</v>
      </c>
      <c r="J911" s="444">
        <f t="array" ref="J911">IFERROR(INDEX('Retirement Calculator'!K:K,MATCH('Lorri 401b'!N911,'Retirement Calculator'!A:A,0),0),0)</f>
        <v>20367.195264578786</v>
      </c>
      <c r="K911" s="444">
        <f t="shared" ca="1" si="79"/>
        <v>-27582.942124805068</v>
      </c>
      <c r="L911" s="444">
        <f t="shared" ca="1" si="80"/>
        <v>-6647489.0520780208</v>
      </c>
      <c r="M911" s="460">
        <f t="shared" si="82"/>
        <v>0.05</v>
      </c>
      <c r="N911" s="464">
        <f t="shared" si="83"/>
        <v>78772</v>
      </c>
    </row>
    <row r="912" spans="7:14" ht="11.25" customHeight="1" x14ac:dyDescent="0.3">
      <c r="G912" s="459">
        <f t="shared" si="95"/>
        <v>76</v>
      </c>
      <c r="H912" s="459">
        <v>905</v>
      </c>
      <c r="I912" s="444">
        <f t="shared" ca="1" si="81"/>
        <v>-6647489.0520780208</v>
      </c>
      <c r="J912" s="444">
        <f t="array" ref="J912">IFERROR(INDEX('Retirement Calculator'!K:K,MATCH('Lorri 401b'!N912,'Retirement Calculator'!A:A,0),0),0)</f>
        <v>20367.195264578786</v>
      </c>
      <c r="K912" s="444">
        <f t="shared" ca="1" si="79"/>
        <v>-27782.734363927499</v>
      </c>
      <c r="L912" s="444">
        <f t="shared" ca="1" si="80"/>
        <v>-6695638.9817065271</v>
      </c>
      <c r="M912" s="460">
        <f t="shared" si="82"/>
        <v>0.05</v>
      </c>
      <c r="N912" s="464">
        <f t="shared" si="83"/>
        <v>78802</v>
      </c>
    </row>
    <row r="913" spans="7:14" ht="11.25" customHeight="1" x14ac:dyDescent="0.3">
      <c r="G913" s="459">
        <f t="shared" si="95"/>
        <v>76</v>
      </c>
      <c r="H913" s="459">
        <v>906</v>
      </c>
      <c r="I913" s="444">
        <f t="shared" ca="1" si="81"/>
        <v>-6695638.9817065271</v>
      </c>
      <c r="J913" s="444">
        <f t="array" ref="J913">IFERROR(INDEX('Retirement Calculator'!K:K,MATCH('Lorri 401b'!N913,'Retirement Calculator'!A:A,0),0),0)</f>
        <v>20367.195264578786</v>
      </c>
      <c r="K913" s="444">
        <f t="shared" ca="1" si="79"/>
        <v>-27983.359070712937</v>
      </c>
      <c r="L913" s="444">
        <f t="shared" ca="1" si="80"/>
        <v>-6743989.5360418186</v>
      </c>
      <c r="M913" s="460">
        <f t="shared" si="82"/>
        <v>0.05</v>
      </c>
      <c r="N913" s="464">
        <f t="shared" si="83"/>
        <v>78833</v>
      </c>
    </row>
    <row r="914" spans="7:14" ht="11.25" customHeight="1" x14ac:dyDescent="0.3">
      <c r="G914" s="459">
        <f t="shared" si="95"/>
        <v>76</v>
      </c>
      <c r="H914" s="459">
        <v>907</v>
      </c>
      <c r="I914" s="444">
        <f t="shared" ca="1" si="81"/>
        <v>-6743989.5360418186</v>
      </c>
      <c r="J914" s="444">
        <f t="array" ref="J914">IFERROR(INDEX('Retirement Calculator'!K:K,MATCH('Lorri 401b'!N914,'Retirement Calculator'!A:A,0),0),0)</f>
        <v>20367.195264578786</v>
      </c>
      <c r="K914" s="444">
        <f t="shared" ca="1" si="79"/>
        <v>-28184.819713776655</v>
      </c>
      <c r="L914" s="444">
        <f t="shared" ca="1" si="80"/>
        <v>-6792541.5510201743</v>
      </c>
      <c r="M914" s="460">
        <f t="shared" si="82"/>
        <v>0.05</v>
      </c>
      <c r="N914" s="464">
        <f t="shared" si="83"/>
        <v>78863</v>
      </c>
    </row>
    <row r="915" spans="7:14" ht="11.25" customHeight="1" x14ac:dyDescent="0.3">
      <c r="G915" s="459">
        <f t="shared" si="95"/>
        <v>76</v>
      </c>
      <c r="H915" s="459">
        <v>908</v>
      </c>
      <c r="I915" s="444">
        <f t="shared" ca="1" si="81"/>
        <v>-6792541.5510201743</v>
      </c>
      <c r="J915" s="444">
        <f t="array" ref="J915">IFERROR(INDEX('Retirement Calculator'!K:K,MATCH('Lorri 401b'!N915,'Retirement Calculator'!A:A,0),0),0)</f>
        <v>20367.195264578786</v>
      </c>
      <c r="K915" s="444">
        <f t="shared" ca="1" si="79"/>
        <v>-28387.119776186471</v>
      </c>
      <c r="L915" s="444">
        <f t="shared" ca="1" si="80"/>
        <v>-6841295.8660609396</v>
      </c>
      <c r="M915" s="460">
        <f t="shared" si="82"/>
        <v>0.05</v>
      </c>
      <c r="N915" s="464">
        <f t="shared" si="83"/>
        <v>78894</v>
      </c>
    </row>
    <row r="916" spans="7:14" ht="11.25" customHeight="1" x14ac:dyDescent="0.3">
      <c r="G916" s="459">
        <f t="shared" si="95"/>
        <v>76</v>
      </c>
      <c r="H916" s="459">
        <v>909</v>
      </c>
      <c r="I916" s="444">
        <f t="shared" ca="1" si="81"/>
        <v>-6841295.8660609396</v>
      </c>
      <c r="J916" s="444">
        <f t="array" ref="J916">IFERROR(INDEX('Retirement Calculator'!K:K,MATCH('Lorri 401b'!N916,'Retirement Calculator'!A:A,0),0),0)</f>
        <v>20367.195264578786</v>
      </c>
      <c r="K916" s="444">
        <f t="shared" ca="1" si="79"/>
        <v>-28590.262755522992</v>
      </c>
      <c r="L916" s="444">
        <f t="shared" ca="1" si="80"/>
        <v>-6890253.3240810419</v>
      </c>
      <c r="M916" s="460">
        <f t="shared" si="82"/>
        <v>0.05</v>
      </c>
      <c r="N916" s="464">
        <f t="shared" si="83"/>
        <v>78925</v>
      </c>
    </row>
    <row r="917" spans="7:14" ht="11.25" customHeight="1" x14ac:dyDescent="0.3">
      <c r="G917" s="459">
        <f t="shared" si="95"/>
        <v>76</v>
      </c>
      <c r="H917" s="459">
        <v>910</v>
      </c>
      <c r="I917" s="444">
        <f t="shared" ca="1" si="81"/>
        <v>-6890253.3240810419</v>
      </c>
      <c r="J917" s="444">
        <f t="array" ref="J917">IFERROR(INDEX('Retirement Calculator'!K:K,MATCH('Lorri 401b'!N917,'Retirement Calculator'!A:A,0),0),0)</f>
        <v>20367.195264578786</v>
      </c>
      <c r="K917" s="444">
        <f t="shared" ca="1" si="79"/>
        <v>-28794.252163940084</v>
      </c>
      <c r="L917" s="444">
        <f t="shared" ca="1" si="80"/>
        <v>-6939414.7715095608</v>
      </c>
      <c r="M917" s="460">
        <f t="shared" si="82"/>
        <v>0.05</v>
      </c>
      <c r="N917" s="464">
        <f t="shared" si="83"/>
        <v>78954</v>
      </c>
    </row>
    <row r="918" spans="7:14" ht="11.25" customHeight="1" x14ac:dyDescent="0.3">
      <c r="G918" s="459">
        <f t="shared" si="95"/>
        <v>76</v>
      </c>
      <c r="H918" s="459">
        <v>911</v>
      </c>
      <c r="I918" s="444">
        <f t="shared" ca="1" si="81"/>
        <v>-6939414.7715095608</v>
      </c>
      <c r="J918" s="444">
        <f t="array" ref="J918">IFERROR(INDEX('Retirement Calculator'!K:K,MATCH('Lorri 401b'!N918,'Retirement Calculator'!A:A,0),0),0)</f>
        <v>20367.195264578786</v>
      </c>
      <c r="K918" s="444">
        <f t="shared" ca="1" si="79"/>
        <v>-28999.091528225577</v>
      </c>
      <c r="L918" s="444">
        <f t="shared" ca="1" si="80"/>
        <v>-6988781.0583023652</v>
      </c>
      <c r="M918" s="460">
        <f t="shared" si="82"/>
        <v>0.05</v>
      </c>
      <c r="N918" s="464">
        <f t="shared" si="83"/>
        <v>78985</v>
      </c>
    </row>
    <row r="919" spans="7:14" ht="11.25" customHeight="1" x14ac:dyDescent="0.3">
      <c r="G919" s="459">
        <f t="shared" si="95"/>
        <v>76</v>
      </c>
      <c r="H919" s="459">
        <v>912</v>
      </c>
      <c r="I919" s="444">
        <f t="shared" ca="1" si="81"/>
        <v>-6988781.0583023652</v>
      </c>
      <c r="J919" s="444">
        <f t="array" ref="J919">IFERROR(INDEX('Retirement Calculator'!K:K,MATCH('Lorri 401b'!N919,'Retirement Calculator'!A:A,0),0),0)</f>
        <v>20367.195264578786</v>
      </c>
      <c r="K919" s="444">
        <f t="shared" ca="1" si="79"/>
        <v>-29204.784389862263</v>
      </c>
      <c r="L919" s="444">
        <f t="shared" ca="1" si="80"/>
        <v>-7038353.0379568059</v>
      </c>
      <c r="M919" s="460">
        <f t="shared" si="82"/>
        <v>0.05</v>
      </c>
      <c r="N919" s="464">
        <f t="shared" si="83"/>
        <v>79015</v>
      </c>
    </row>
    <row r="920" spans="7:14" ht="11.25" customHeight="1" x14ac:dyDescent="0.3">
      <c r="G920" s="459">
        <f>G919+1</f>
        <v>77</v>
      </c>
      <c r="H920" s="459">
        <v>913</v>
      </c>
      <c r="I920" s="444">
        <f t="shared" ca="1" si="81"/>
        <v>-7038353.0379568059</v>
      </c>
      <c r="J920" s="444">
        <f t="array" ref="J920">IFERROR(INDEX('Retirement Calculator'!K:K,MATCH('Lorri 401b'!N920,'Retirement Calculator'!A:A,0),0),0)</f>
        <v>20367.195264578786</v>
      </c>
      <c r="K920" s="444">
        <f t="shared" ca="1" si="79"/>
        <v>-29411.334305089102</v>
      </c>
      <c r="L920" s="444">
        <f t="shared" ca="1" si="80"/>
        <v>-7088131.5675264737</v>
      </c>
      <c r="M920" s="460">
        <f t="shared" si="82"/>
        <v>0.05</v>
      </c>
      <c r="N920" s="464">
        <f t="shared" si="83"/>
        <v>79046</v>
      </c>
    </row>
    <row r="921" spans="7:14" ht="11.25" customHeight="1" x14ac:dyDescent="0.3">
      <c r="G921" s="459">
        <f t="shared" ref="G921:G931" si="96">G920</f>
        <v>77</v>
      </c>
      <c r="H921" s="459">
        <v>914</v>
      </c>
      <c r="I921" s="444">
        <f t="shared" ca="1" si="81"/>
        <v>-7088131.5675264737</v>
      </c>
      <c r="J921" s="444">
        <f t="array" ref="J921">IFERROR(INDEX('Retirement Calculator'!K:K,MATCH('Lorri 401b'!N921,'Retirement Calculator'!A:A,0),0),0)</f>
        <v>20367.195264578786</v>
      </c>
      <c r="K921" s="444">
        <f t="shared" ca="1" si="79"/>
        <v>-29618.744844962719</v>
      </c>
      <c r="L921" s="444">
        <f t="shared" ca="1" si="80"/>
        <v>-7138117.5076360153</v>
      </c>
      <c r="M921" s="460">
        <f t="shared" si="82"/>
        <v>0.05</v>
      </c>
      <c r="N921" s="464">
        <f t="shared" si="83"/>
        <v>79076</v>
      </c>
    </row>
    <row r="922" spans="7:14" ht="11.25" customHeight="1" x14ac:dyDescent="0.3">
      <c r="G922" s="459">
        <f t="shared" si="96"/>
        <v>77</v>
      </c>
      <c r="H922" s="459">
        <v>915</v>
      </c>
      <c r="I922" s="444">
        <f t="shared" ca="1" si="81"/>
        <v>-7138117.5076360153</v>
      </c>
      <c r="J922" s="444">
        <f t="array" ref="J922">IFERROR(INDEX('Retirement Calculator'!K:K,MATCH('Lorri 401b'!N922,'Retirement Calculator'!A:A,0),0),0)</f>
        <v>20367.195264578786</v>
      </c>
      <c r="K922" s="444">
        <f t="shared" ca="1" si="79"/>
        <v>-29827.01959541914</v>
      </c>
      <c r="L922" s="444">
        <f t="shared" ca="1" si="80"/>
        <v>-7188311.7224960132</v>
      </c>
      <c r="M922" s="460">
        <f t="shared" si="82"/>
        <v>0.05</v>
      </c>
      <c r="N922" s="464">
        <f t="shared" si="83"/>
        <v>79107</v>
      </c>
    </row>
    <row r="923" spans="7:14" ht="11.25" customHeight="1" x14ac:dyDescent="0.3">
      <c r="G923" s="459">
        <f t="shared" si="96"/>
        <v>77</v>
      </c>
      <c r="H923" s="459">
        <v>916</v>
      </c>
      <c r="I923" s="444">
        <f t="shared" ca="1" si="81"/>
        <v>-7188311.7224960132</v>
      </c>
      <c r="J923" s="444">
        <f t="array" ref="J923">IFERROR(INDEX('Retirement Calculator'!K:K,MATCH('Lorri 401b'!N923,'Retirement Calculator'!A:A,0),0),0)</f>
        <v>20367.195264578786</v>
      </c>
      <c r="K923" s="444">
        <f t="shared" ca="1" si="79"/>
        <v>-30036.162157335799</v>
      </c>
      <c r="L923" s="444">
        <f t="shared" ca="1" si="80"/>
        <v>-7238715.0799179282</v>
      </c>
      <c r="M923" s="460">
        <f t="shared" si="82"/>
        <v>0.05</v>
      </c>
      <c r="N923" s="464">
        <f t="shared" si="83"/>
        <v>79138</v>
      </c>
    </row>
    <row r="924" spans="7:14" ht="11.25" customHeight="1" x14ac:dyDescent="0.3">
      <c r="G924" s="459">
        <f t="shared" si="96"/>
        <v>77</v>
      </c>
      <c r="H924" s="459">
        <v>917</v>
      </c>
      <c r="I924" s="444">
        <f t="shared" ca="1" si="81"/>
        <v>-7238715.0799179282</v>
      </c>
      <c r="J924" s="444">
        <f t="array" ref="J924">IFERROR(INDEX('Retirement Calculator'!K:K,MATCH('Lorri 401b'!N924,'Retirement Calculator'!A:A,0),0),0)</f>
        <v>20367.195264578786</v>
      </c>
      <c r="K924" s="444">
        <f t="shared" ca="1" si="79"/>
        <v>-30246.176146593782</v>
      </c>
      <c r="L924" s="444">
        <f t="shared" ca="1" si="80"/>
        <v>-7289328.4513291009</v>
      </c>
      <c r="M924" s="460">
        <f t="shared" si="82"/>
        <v>0.05</v>
      </c>
      <c r="N924" s="464">
        <f t="shared" si="83"/>
        <v>79168</v>
      </c>
    </row>
    <row r="925" spans="7:14" ht="11.25" customHeight="1" x14ac:dyDescent="0.3">
      <c r="G925" s="459">
        <f t="shared" si="96"/>
        <v>77</v>
      </c>
      <c r="H925" s="459">
        <v>918</v>
      </c>
      <c r="I925" s="444">
        <f t="shared" ca="1" si="81"/>
        <v>-7289328.4513291009</v>
      </c>
      <c r="J925" s="444">
        <f t="array" ref="J925">IFERROR(INDEX('Retirement Calculator'!K:K,MATCH('Lorri 401b'!N925,'Retirement Calculator'!A:A,0),0),0)</f>
        <v>20367.195264578786</v>
      </c>
      <c r="K925" s="444">
        <f t="shared" ca="1" si="79"/>
        <v>-30457.06519414033</v>
      </c>
      <c r="L925" s="444">
        <f t="shared" ca="1" si="80"/>
        <v>-7340152.7117878199</v>
      </c>
      <c r="M925" s="460">
        <f t="shared" si="82"/>
        <v>0.05</v>
      </c>
      <c r="N925" s="464">
        <f t="shared" si="83"/>
        <v>79199</v>
      </c>
    </row>
    <row r="926" spans="7:14" ht="11.25" customHeight="1" x14ac:dyDescent="0.3">
      <c r="G926" s="459">
        <f t="shared" si="96"/>
        <v>77</v>
      </c>
      <c r="H926" s="459">
        <v>919</v>
      </c>
      <c r="I926" s="444">
        <f t="shared" ca="1" si="81"/>
        <v>-7340152.7117878199</v>
      </c>
      <c r="J926" s="444">
        <f t="array" ref="J926">IFERROR(INDEX('Retirement Calculator'!K:K,MATCH('Lorri 401b'!N926,'Retirement Calculator'!A:A,0),0),0)</f>
        <v>20367.195264578786</v>
      </c>
      <c r="K926" s="444">
        <f t="shared" ca="1" si="79"/>
        <v>-30668.832946051658</v>
      </c>
      <c r="L926" s="444">
        <f t="shared" ca="1" si="80"/>
        <v>-7391188.7399984505</v>
      </c>
      <c r="M926" s="460">
        <f t="shared" si="82"/>
        <v>0.05</v>
      </c>
      <c r="N926" s="464">
        <f t="shared" si="83"/>
        <v>79229</v>
      </c>
    </row>
    <row r="927" spans="7:14" ht="11.25" customHeight="1" x14ac:dyDescent="0.3">
      <c r="G927" s="459">
        <f t="shared" si="96"/>
        <v>77</v>
      </c>
      <c r="H927" s="459">
        <v>920</v>
      </c>
      <c r="I927" s="444">
        <f t="shared" ca="1" si="81"/>
        <v>-7391188.7399984505</v>
      </c>
      <c r="J927" s="444">
        <f t="array" ref="J927">IFERROR(INDEX('Retirement Calculator'!K:K,MATCH('Lorri 401b'!N927,'Retirement Calculator'!A:A,0),0),0)</f>
        <v>20367.195264578786</v>
      </c>
      <c r="K927" s="444">
        <f t="shared" ca="1" si="79"/>
        <v>-30881.483063595955</v>
      </c>
      <c r="L927" s="444">
        <f t="shared" ca="1" si="80"/>
        <v>-7442437.4183266256</v>
      </c>
      <c r="M927" s="460">
        <f t="shared" si="82"/>
        <v>0.05</v>
      </c>
      <c r="N927" s="464">
        <f t="shared" si="83"/>
        <v>79260</v>
      </c>
    </row>
    <row r="928" spans="7:14" ht="11.25" customHeight="1" x14ac:dyDescent="0.3">
      <c r="G928" s="459">
        <f t="shared" si="96"/>
        <v>77</v>
      </c>
      <c r="H928" s="459">
        <v>921</v>
      </c>
      <c r="I928" s="444">
        <f t="shared" ca="1" si="81"/>
        <v>-7442437.4183266256</v>
      </c>
      <c r="J928" s="444">
        <f t="array" ref="J928">IFERROR(INDEX('Retirement Calculator'!K:K,MATCH('Lorri 401b'!N928,'Retirement Calculator'!A:A,0),0),0)</f>
        <v>20367.195264578786</v>
      </c>
      <c r="K928" s="444">
        <f t="shared" ca="1" si="79"/>
        <v>-31095.019223296687</v>
      </c>
      <c r="L928" s="444">
        <f t="shared" ca="1" si="80"/>
        <v>-7493899.6328145014</v>
      </c>
      <c r="M928" s="460">
        <f t="shared" si="82"/>
        <v>0.05</v>
      </c>
      <c r="N928" s="464">
        <f t="shared" si="83"/>
        <v>79291</v>
      </c>
    </row>
    <row r="929" spans="7:14" ht="11.25" customHeight="1" x14ac:dyDescent="0.3">
      <c r="G929" s="459">
        <f t="shared" si="96"/>
        <v>77</v>
      </c>
      <c r="H929" s="459">
        <v>922</v>
      </c>
      <c r="I929" s="444">
        <f t="shared" ca="1" si="81"/>
        <v>-7493899.6328145014</v>
      </c>
      <c r="J929" s="444">
        <f t="array" ref="J929">IFERROR(INDEX('Retirement Calculator'!K:K,MATCH('Lorri 401b'!N929,'Retirement Calculator'!A:A,0),0),0)</f>
        <v>20367.195264578786</v>
      </c>
      <c r="K929" s="444">
        <f t="shared" ca="1" si="79"/>
        <v>-31309.445116996169</v>
      </c>
      <c r="L929" s="444">
        <f t="shared" ca="1" si="80"/>
        <v>-7545576.273196076</v>
      </c>
      <c r="M929" s="460">
        <f t="shared" si="82"/>
        <v>0.05</v>
      </c>
      <c r="N929" s="464">
        <f t="shared" si="83"/>
        <v>79319</v>
      </c>
    </row>
    <row r="930" spans="7:14" ht="11.25" customHeight="1" x14ac:dyDescent="0.3">
      <c r="G930" s="459">
        <f t="shared" si="96"/>
        <v>77</v>
      </c>
      <c r="H930" s="459">
        <v>923</v>
      </c>
      <c r="I930" s="444">
        <f t="shared" ca="1" si="81"/>
        <v>-7545576.273196076</v>
      </c>
      <c r="J930" s="444">
        <f t="array" ref="J930">IFERROR(INDEX('Retirement Calculator'!K:K,MATCH('Lorri 401b'!N930,'Retirement Calculator'!A:A,0),0),0)</f>
        <v>20367.195264578786</v>
      </c>
      <c r="K930" s="444">
        <f t="shared" ca="1" si="79"/>
        <v>-31524.764451919389</v>
      </c>
      <c r="L930" s="444">
        <f t="shared" ca="1" si="80"/>
        <v>-7597468.232912574</v>
      </c>
      <c r="M930" s="460">
        <f t="shared" si="82"/>
        <v>0.05</v>
      </c>
      <c r="N930" s="464">
        <f t="shared" si="83"/>
        <v>79350</v>
      </c>
    </row>
    <row r="931" spans="7:14" ht="11.25" customHeight="1" x14ac:dyDescent="0.3">
      <c r="G931" s="459">
        <f t="shared" si="96"/>
        <v>77</v>
      </c>
      <c r="H931" s="459">
        <v>924</v>
      </c>
      <c r="I931" s="444">
        <f t="shared" ca="1" si="81"/>
        <v>-7597468.232912574</v>
      </c>
      <c r="J931" s="444">
        <f t="array" ref="J931">IFERROR(INDEX('Retirement Calculator'!K:K,MATCH('Lorri 401b'!N931,'Retirement Calculator'!A:A,0),0),0)</f>
        <v>20367.195264578786</v>
      </c>
      <c r="K931" s="444">
        <f t="shared" ca="1" si="79"/>
        <v>-31740.980950738136</v>
      </c>
      <c r="L931" s="444">
        <f t="shared" ca="1" si="80"/>
        <v>-7649576.4091278911</v>
      </c>
      <c r="M931" s="460">
        <f t="shared" si="82"/>
        <v>0.05</v>
      </c>
      <c r="N931" s="464">
        <f t="shared" si="83"/>
        <v>79380</v>
      </c>
    </row>
    <row r="932" spans="7:14" ht="11.25" customHeight="1" x14ac:dyDescent="0.3">
      <c r="G932" s="459">
        <f>G931+1</f>
        <v>78</v>
      </c>
      <c r="H932" s="459">
        <v>925</v>
      </c>
      <c r="I932" s="444">
        <f t="shared" ca="1" si="81"/>
        <v>-7649576.4091278911</v>
      </c>
      <c r="J932" s="444">
        <f t="array" ref="J932">IFERROR(INDEX('Retirement Calculator'!K:K,MATCH('Lorri 401b'!N932,'Retirement Calculator'!A:A,0),0),0)</f>
        <v>20367.195264578786</v>
      </c>
      <c r="K932" s="444">
        <f t="shared" ca="1" si="79"/>
        <v>-31958.098351635286</v>
      </c>
      <c r="L932" s="444">
        <f t="shared" ca="1" si="80"/>
        <v>-7701901.7027441049</v>
      </c>
      <c r="M932" s="460">
        <f t="shared" si="82"/>
        <v>0.05</v>
      </c>
      <c r="N932" s="464">
        <f t="shared" si="83"/>
        <v>79411</v>
      </c>
    </row>
    <row r="933" spans="7:14" ht="11.25" customHeight="1" x14ac:dyDescent="0.3">
      <c r="G933" s="459">
        <f t="shared" ref="G933:G943" si="97">G932</f>
        <v>78</v>
      </c>
      <c r="H933" s="459">
        <v>926</v>
      </c>
      <c r="I933" s="444">
        <f t="shared" ca="1" si="81"/>
        <v>-7701901.7027441049</v>
      </c>
      <c r="J933" s="444">
        <f t="array" ref="J933">IFERROR(INDEX('Retirement Calculator'!K:K,MATCH('Lorri 401b'!N933,'Retirement Calculator'!A:A,0),0),0)</f>
        <v>20367.195264578786</v>
      </c>
      <c r="K933" s="444">
        <f t="shared" ca="1" si="79"/>
        <v>-32176.120408369512</v>
      </c>
      <c r="L933" s="444">
        <f t="shared" ca="1" si="80"/>
        <v>-7754445.0184170529</v>
      </c>
      <c r="M933" s="460">
        <f t="shared" si="82"/>
        <v>0.05</v>
      </c>
      <c r="N933" s="464">
        <f t="shared" si="83"/>
        <v>79441</v>
      </c>
    </row>
    <row r="934" spans="7:14" ht="11.25" customHeight="1" x14ac:dyDescent="0.3">
      <c r="G934" s="459">
        <f t="shared" si="97"/>
        <v>78</v>
      </c>
      <c r="H934" s="459">
        <v>927</v>
      </c>
      <c r="I934" s="444">
        <f t="shared" ca="1" si="81"/>
        <v>-7754445.0184170529</v>
      </c>
      <c r="J934" s="444">
        <f t="array" ref="J934">IFERROR(INDEX('Retirement Calculator'!K:K,MATCH('Lorri 401b'!N934,'Retirement Calculator'!A:A,0),0),0)</f>
        <v>20367.195264578786</v>
      </c>
      <c r="K934" s="444">
        <f t="shared" ca="1" si="79"/>
        <v>-32395.050890340128</v>
      </c>
      <c r="L934" s="444">
        <f t="shared" ca="1" si="80"/>
        <v>-7807207.2645719722</v>
      </c>
      <c r="M934" s="460">
        <f t="shared" si="82"/>
        <v>0.05</v>
      </c>
      <c r="N934" s="464">
        <f t="shared" si="83"/>
        <v>79472</v>
      </c>
    </row>
    <row r="935" spans="7:14" ht="11.25" customHeight="1" x14ac:dyDescent="0.3">
      <c r="G935" s="459">
        <f t="shared" si="97"/>
        <v>78</v>
      </c>
      <c r="H935" s="459">
        <v>928</v>
      </c>
      <c r="I935" s="444">
        <f t="shared" ca="1" si="81"/>
        <v>-7807207.2645719722</v>
      </c>
      <c r="J935" s="444">
        <f t="array" ref="J935">IFERROR(INDEX('Retirement Calculator'!K:K,MATCH('Lorri 401b'!N935,'Retirement Calculator'!A:A,0),0),0)</f>
        <v>20367.195264578786</v>
      </c>
      <c r="K935" s="444">
        <f t="shared" ca="1" si="79"/>
        <v>-32614.893582652294</v>
      </c>
      <c r="L935" s="444">
        <f t="shared" ca="1" si="80"/>
        <v>-7860189.3534192033</v>
      </c>
      <c r="M935" s="460">
        <f t="shared" si="82"/>
        <v>0.05</v>
      </c>
      <c r="N935" s="464">
        <f t="shared" si="83"/>
        <v>79503</v>
      </c>
    </row>
    <row r="936" spans="7:14" ht="11.25" customHeight="1" x14ac:dyDescent="0.3">
      <c r="G936" s="459">
        <f t="shared" si="97"/>
        <v>78</v>
      </c>
      <c r="H936" s="459">
        <v>929</v>
      </c>
      <c r="I936" s="444">
        <f t="shared" ca="1" si="81"/>
        <v>-7860189.3534192033</v>
      </c>
      <c r="J936" s="444">
        <f t="array" ref="J936">IFERROR(INDEX('Retirement Calculator'!K:K,MATCH('Lorri 401b'!N936,'Retirement Calculator'!A:A,0),0),0)</f>
        <v>20367.195264578786</v>
      </c>
      <c r="K936" s="444">
        <f t="shared" ca="1" si="79"/>
        <v>-32835.652286182427</v>
      </c>
      <c r="L936" s="444">
        <f t="shared" ca="1" si="80"/>
        <v>-7913392.2009699643</v>
      </c>
      <c r="M936" s="460">
        <f t="shared" si="82"/>
        <v>0.05</v>
      </c>
      <c r="N936" s="464">
        <f t="shared" si="83"/>
        <v>79533</v>
      </c>
    </row>
    <row r="937" spans="7:14" ht="11.25" customHeight="1" x14ac:dyDescent="0.3">
      <c r="G937" s="459">
        <f t="shared" si="97"/>
        <v>78</v>
      </c>
      <c r="H937" s="459">
        <v>930</v>
      </c>
      <c r="I937" s="444">
        <f t="shared" ca="1" si="81"/>
        <v>-7913392.2009699643</v>
      </c>
      <c r="J937" s="444">
        <f t="array" ref="J937">IFERROR(INDEX('Retirement Calculator'!K:K,MATCH('Lorri 401b'!N937,'Retirement Calculator'!A:A,0),0),0)</f>
        <v>20367.195264578786</v>
      </c>
      <c r="K937" s="444">
        <f t="shared" ca="1" si="79"/>
        <v>-33057.330817643931</v>
      </c>
      <c r="L937" s="444">
        <f t="shared" ca="1" si="80"/>
        <v>-7966816.7270521866</v>
      </c>
      <c r="M937" s="460">
        <f t="shared" si="82"/>
        <v>0.05</v>
      </c>
      <c r="N937" s="464">
        <f t="shared" si="83"/>
        <v>79564</v>
      </c>
    </row>
    <row r="938" spans="7:14" ht="11.25" customHeight="1" x14ac:dyDescent="0.3">
      <c r="G938" s="459">
        <f t="shared" si="97"/>
        <v>78</v>
      </c>
      <c r="H938" s="459">
        <v>931</v>
      </c>
      <c r="I938" s="444">
        <f t="shared" ca="1" si="81"/>
        <v>-7966816.7270521866</v>
      </c>
      <c r="J938" s="444">
        <f t="array" ref="J938">IFERROR(INDEX('Retirement Calculator'!K:K,MATCH('Lorri 401b'!N938,'Retirement Calculator'!A:A,0),0),0)</f>
        <v>20367.195264578786</v>
      </c>
      <c r="K938" s="444">
        <f t="shared" ca="1" si="79"/>
        <v>-33279.933009653192</v>
      </c>
      <c r="L938" s="444">
        <f t="shared" ca="1" si="80"/>
        <v>-8020463.8553264188</v>
      </c>
      <c r="M938" s="460">
        <f t="shared" si="82"/>
        <v>0.05</v>
      </c>
      <c r="N938" s="464">
        <f t="shared" si="83"/>
        <v>79594</v>
      </c>
    </row>
    <row r="939" spans="7:14" ht="11.25" customHeight="1" x14ac:dyDescent="0.3">
      <c r="G939" s="459">
        <f t="shared" si="97"/>
        <v>78</v>
      </c>
      <c r="H939" s="459">
        <v>932</v>
      </c>
      <c r="I939" s="444">
        <f t="shared" ca="1" si="81"/>
        <v>-8020463.8553264188</v>
      </c>
      <c r="J939" s="444">
        <f t="array" ref="J939">IFERROR(INDEX('Retirement Calculator'!K:K,MATCH('Lorri 401b'!N939,'Retirement Calculator'!A:A,0),0),0)</f>
        <v>20367.195264578786</v>
      </c>
      <c r="K939" s="444">
        <f t="shared" ca="1" si="79"/>
        <v>-33503.462710795822</v>
      </c>
      <c r="L939" s="444">
        <f t="shared" ca="1" si="80"/>
        <v>-8074334.5133017935</v>
      </c>
      <c r="M939" s="460">
        <f t="shared" si="82"/>
        <v>0.05</v>
      </c>
      <c r="N939" s="464">
        <f t="shared" si="83"/>
        <v>79625</v>
      </c>
    </row>
    <row r="940" spans="7:14" ht="11.25" customHeight="1" x14ac:dyDescent="0.3">
      <c r="G940" s="459">
        <f t="shared" si="97"/>
        <v>78</v>
      </c>
      <c r="H940" s="459">
        <v>933</v>
      </c>
      <c r="I940" s="444">
        <f t="shared" ca="1" si="81"/>
        <v>-8074334.5133017935</v>
      </c>
      <c r="J940" s="444">
        <f t="array" ref="J940">IFERROR(INDEX('Retirement Calculator'!K:K,MATCH('Lorri 401b'!N940,'Retirement Calculator'!A:A,0),0),0)</f>
        <v>20367.195264578786</v>
      </c>
      <c r="K940" s="444">
        <f t="shared" ca="1" si="79"/>
        <v>-33727.923785693216</v>
      </c>
      <c r="L940" s="444">
        <f t="shared" ca="1" si="80"/>
        <v>-8128429.6323520653</v>
      </c>
      <c r="M940" s="460">
        <f t="shared" si="82"/>
        <v>0.05</v>
      </c>
      <c r="N940" s="464">
        <f t="shared" si="83"/>
        <v>79656</v>
      </c>
    </row>
    <row r="941" spans="7:14" ht="11.25" customHeight="1" x14ac:dyDescent="0.3">
      <c r="G941" s="459">
        <f t="shared" si="97"/>
        <v>78</v>
      </c>
      <c r="H941" s="459">
        <v>934</v>
      </c>
      <c r="I941" s="444">
        <f t="shared" ca="1" si="81"/>
        <v>-8128429.6323520653</v>
      </c>
      <c r="J941" s="444">
        <f t="array" ref="J941">IFERROR(INDEX('Retirement Calculator'!K:K,MATCH('Lorri 401b'!N941,'Retirement Calculator'!A:A,0),0),0)</f>
        <v>20367.195264578786</v>
      </c>
      <c r="K941" s="444">
        <f t="shared" ca="1" si="79"/>
        <v>-33953.320115069349</v>
      </c>
      <c r="L941" s="444">
        <f t="shared" ca="1" si="80"/>
        <v>-8182750.147731713</v>
      </c>
      <c r="M941" s="460">
        <f t="shared" si="82"/>
        <v>0.05</v>
      </c>
      <c r="N941" s="464">
        <f t="shared" si="83"/>
        <v>79684</v>
      </c>
    </row>
    <row r="942" spans="7:14" ht="11.25" customHeight="1" x14ac:dyDescent="0.3">
      <c r="G942" s="459">
        <f t="shared" si="97"/>
        <v>78</v>
      </c>
      <c r="H942" s="459">
        <v>935</v>
      </c>
      <c r="I942" s="444">
        <f t="shared" ca="1" si="81"/>
        <v>-8182750.147731713</v>
      </c>
      <c r="J942" s="444">
        <f t="array" ref="J942">IFERROR(INDEX('Retirement Calculator'!K:K,MATCH('Lorri 401b'!N942,'Retirement Calculator'!A:A,0),0),0)</f>
        <v>20367.195264578786</v>
      </c>
      <c r="K942" s="444">
        <f t="shared" ca="1" si="79"/>
        <v>-34179.65559581788</v>
      </c>
      <c r="L942" s="444">
        <f t="shared" ca="1" si="80"/>
        <v>-8237296.9985921094</v>
      </c>
      <c r="M942" s="460">
        <f t="shared" si="82"/>
        <v>0.05</v>
      </c>
      <c r="N942" s="464">
        <f t="shared" si="83"/>
        <v>79715</v>
      </c>
    </row>
    <row r="943" spans="7:14" ht="11.25" customHeight="1" x14ac:dyDescent="0.3">
      <c r="G943" s="459">
        <f t="shared" si="97"/>
        <v>78</v>
      </c>
      <c r="H943" s="459">
        <v>936</v>
      </c>
      <c r="I943" s="444">
        <f t="shared" ca="1" si="81"/>
        <v>-8237296.9985921094</v>
      </c>
      <c r="J943" s="444">
        <f t="array" ref="J943">IFERROR(INDEX('Retirement Calculator'!K:K,MATCH('Lorri 401b'!N943,'Retirement Calculator'!A:A,0),0),0)</f>
        <v>20367.195264578786</v>
      </c>
      <c r="K943" s="444">
        <f t="shared" ca="1" si="79"/>
        <v>-34406.934141069534</v>
      </c>
      <c r="L943" s="444">
        <f t="shared" ca="1" si="80"/>
        <v>-8292071.1279977579</v>
      </c>
      <c r="M943" s="460">
        <f t="shared" si="82"/>
        <v>0.05</v>
      </c>
      <c r="N943" s="464">
        <f t="shared" si="83"/>
        <v>79745</v>
      </c>
    </row>
    <row r="944" spans="7:14" ht="11.25" customHeight="1" x14ac:dyDescent="0.3">
      <c r="G944" s="459">
        <f>G943+1</f>
        <v>79</v>
      </c>
      <c r="H944" s="459">
        <v>937</v>
      </c>
      <c r="I944" s="444">
        <f t="shared" ca="1" si="81"/>
        <v>-8292071.1279977579</v>
      </c>
      <c r="J944" s="444">
        <f t="array" ref="J944">IFERROR(INDEX('Retirement Calculator'!K:K,MATCH('Lorri 401b'!N944,'Retirement Calculator'!A:A,0),0),0)</f>
        <v>20367.195264578786</v>
      </c>
      <c r="K944" s="444">
        <f t="shared" ca="1" si="79"/>
        <v>-34635.159680259734</v>
      </c>
      <c r="L944" s="444">
        <f t="shared" ca="1" si="80"/>
        <v>-8347073.4829425961</v>
      </c>
      <c r="M944" s="460">
        <f t="shared" si="82"/>
        <v>0.05</v>
      </c>
      <c r="N944" s="464">
        <f t="shared" si="83"/>
        <v>79776</v>
      </c>
    </row>
    <row r="945" spans="7:14" ht="11.25" customHeight="1" x14ac:dyDescent="0.3">
      <c r="G945" s="459">
        <f t="shared" ref="G945:G955" si="98">G944</f>
        <v>79</v>
      </c>
      <c r="H945" s="459">
        <v>938</v>
      </c>
      <c r="I945" s="444">
        <f t="shared" ca="1" si="81"/>
        <v>-8347073.4829425961</v>
      </c>
      <c r="J945" s="444">
        <f t="array" ref="J945">IFERROR(INDEX('Retirement Calculator'!K:K,MATCH('Lorri 401b'!N945,'Retirement Calculator'!A:A,0),0),0)</f>
        <v>20367.195264578786</v>
      </c>
      <c r="K945" s="444">
        <f t="shared" ca="1" si="79"/>
        <v>-34864.336159196566</v>
      </c>
      <c r="L945" s="444">
        <f t="shared" ca="1" si="80"/>
        <v>-8402305.0143663716</v>
      </c>
      <c r="M945" s="460">
        <f t="shared" si="82"/>
        <v>0.05</v>
      </c>
      <c r="N945" s="464">
        <f t="shared" si="83"/>
        <v>79806</v>
      </c>
    </row>
    <row r="946" spans="7:14" ht="11.25" customHeight="1" x14ac:dyDescent="0.3">
      <c r="G946" s="459">
        <f t="shared" si="98"/>
        <v>79</v>
      </c>
      <c r="H946" s="459">
        <v>939</v>
      </c>
      <c r="I946" s="444">
        <f t="shared" ca="1" si="81"/>
        <v>-8402305.0143663716</v>
      </c>
      <c r="J946" s="444">
        <f t="array" ref="J946">IFERROR(INDEX('Retirement Calculator'!K:K,MATCH('Lorri 401b'!N946,'Retirement Calculator'!A:A,0),0),0)</f>
        <v>20367.195264578786</v>
      </c>
      <c r="K946" s="444">
        <f t="shared" ca="1" si="79"/>
        <v>-35094.467540128957</v>
      </c>
      <c r="L946" s="444">
        <f t="shared" ca="1" si="80"/>
        <v>-8457766.6771710776</v>
      </c>
      <c r="M946" s="460">
        <f t="shared" si="82"/>
        <v>0.05</v>
      </c>
      <c r="N946" s="464">
        <f t="shared" si="83"/>
        <v>79837</v>
      </c>
    </row>
    <row r="947" spans="7:14" ht="11.25" customHeight="1" x14ac:dyDescent="0.3">
      <c r="G947" s="459">
        <f t="shared" si="98"/>
        <v>79</v>
      </c>
      <c r="H947" s="459">
        <v>940</v>
      </c>
      <c r="I947" s="444">
        <f t="shared" ca="1" si="81"/>
        <v>-8457766.6771710776</v>
      </c>
      <c r="J947" s="444">
        <f t="array" ref="J947">IFERROR(INDEX('Retirement Calculator'!K:K,MATCH('Lorri 401b'!N947,'Retirement Calculator'!A:A,0),0),0)</f>
        <v>20367.195264578786</v>
      </c>
      <c r="K947" s="444">
        <f t="shared" ca="1" si="79"/>
        <v>-35325.55780181523</v>
      </c>
      <c r="L947" s="444">
        <f t="shared" ca="1" si="80"/>
        <v>-8513459.4302374702</v>
      </c>
      <c r="M947" s="460">
        <f t="shared" si="82"/>
        <v>0.05</v>
      </c>
      <c r="N947" s="464">
        <f t="shared" si="83"/>
        <v>79868</v>
      </c>
    </row>
    <row r="948" spans="7:14" ht="11.25" customHeight="1" x14ac:dyDescent="0.3">
      <c r="G948" s="459">
        <f t="shared" si="98"/>
        <v>79</v>
      </c>
      <c r="H948" s="459">
        <v>941</v>
      </c>
      <c r="I948" s="444">
        <f t="shared" ca="1" si="81"/>
        <v>-8513459.4302374702</v>
      </c>
      <c r="J948" s="444">
        <f t="array" ref="J948">IFERROR(INDEX('Retirement Calculator'!K:K,MATCH('Lorri 401b'!N948,'Retirement Calculator'!A:A,0),0),0)</f>
        <v>20367.195264578786</v>
      </c>
      <c r="K948" s="444">
        <f t="shared" ca="1" si="79"/>
        <v>-35557.610939591868</v>
      </c>
      <c r="L948" s="444">
        <f t="shared" ca="1" si="80"/>
        <v>-8569384.2364416402</v>
      </c>
      <c r="M948" s="460">
        <f t="shared" si="82"/>
        <v>0.05</v>
      </c>
      <c r="N948" s="464">
        <f t="shared" si="83"/>
        <v>79898</v>
      </c>
    </row>
    <row r="949" spans="7:14" ht="11.25" customHeight="1" x14ac:dyDescent="0.3">
      <c r="G949" s="459">
        <f t="shared" si="98"/>
        <v>79</v>
      </c>
      <c r="H949" s="459">
        <v>942</v>
      </c>
      <c r="I949" s="444">
        <f t="shared" ca="1" si="81"/>
        <v>-8569384.2364416402</v>
      </c>
      <c r="J949" s="444">
        <f t="array" ref="J949">IFERROR(INDEX('Retirement Calculator'!K:K,MATCH('Lorri 401b'!N949,'Retirement Calculator'!A:A,0),0),0)</f>
        <v>20367.195264578786</v>
      </c>
      <c r="K949" s="444">
        <f t="shared" ca="1" si="79"/>
        <v>-35790.630965442571</v>
      </c>
      <c r="L949" s="444">
        <f t="shared" ca="1" si="80"/>
        <v>-8625542.0626716614</v>
      </c>
      <c r="M949" s="460">
        <f t="shared" si="82"/>
        <v>0.05</v>
      </c>
      <c r="N949" s="464">
        <f t="shared" si="83"/>
        <v>79929</v>
      </c>
    </row>
    <row r="950" spans="7:14" ht="11.25" customHeight="1" x14ac:dyDescent="0.3">
      <c r="G950" s="459">
        <f t="shared" si="98"/>
        <v>79</v>
      </c>
      <c r="H950" s="459">
        <v>943</v>
      </c>
      <c r="I950" s="444">
        <f t="shared" ca="1" si="81"/>
        <v>-8625542.0626716614</v>
      </c>
      <c r="J950" s="444">
        <f t="array" ref="J950">IFERROR(INDEX('Retirement Calculator'!K:K,MATCH('Lorri 401b'!N950,'Retirement Calculator'!A:A,0),0),0)</f>
        <v>20367.195264578786</v>
      </c>
      <c r="K950" s="444">
        <f t="shared" ca="1" si="79"/>
        <v>-36024.62190806766</v>
      </c>
      <c r="L950" s="444">
        <f t="shared" ca="1" si="80"/>
        <v>-8681933.879844306</v>
      </c>
      <c r="M950" s="460">
        <f t="shared" si="82"/>
        <v>0.05</v>
      </c>
      <c r="N950" s="464">
        <f t="shared" si="83"/>
        <v>79959</v>
      </c>
    </row>
    <row r="951" spans="7:14" ht="11.25" customHeight="1" x14ac:dyDescent="0.3">
      <c r="G951" s="459">
        <f t="shared" si="98"/>
        <v>79</v>
      </c>
      <c r="H951" s="459">
        <v>944</v>
      </c>
      <c r="I951" s="444">
        <f t="shared" ca="1" si="81"/>
        <v>-8681933.879844306</v>
      </c>
      <c r="J951" s="444">
        <f t="array" ref="J951">IFERROR(INDEX('Retirement Calculator'!K:K,MATCH('Lorri 401b'!N951,'Retirement Calculator'!A:A,0),0),0)</f>
        <v>20367.195264578786</v>
      </c>
      <c r="K951" s="444">
        <f t="shared" ca="1" si="79"/>
        <v>-36259.58781295368</v>
      </c>
      <c r="L951" s="444">
        <f t="shared" ca="1" si="80"/>
        <v>-8738560.6629218385</v>
      </c>
      <c r="M951" s="460">
        <f t="shared" si="82"/>
        <v>0.05</v>
      </c>
      <c r="N951" s="464">
        <f t="shared" si="83"/>
        <v>79990</v>
      </c>
    </row>
    <row r="952" spans="7:14" ht="11.25" customHeight="1" x14ac:dyDescent="0.3">
      <c r="G952" s="459">
        <f t="shared" si="98"/>
        <v>79</v>
      </c>
      <c r="H952" s="459">
        <v>945</v>
      </c>
      <c r="I952" s="444">
        <f t="shared" ca="1" si="81"/>
        <v>-8738560.6629218385</v>
      </c>
      <c r="J952" s="444">
        <f t="array" ref="J952">IFERROR(INDEX('Retirement Calculator'!K:K,MATCH('Lorri 401b'!N952,'Retirement Calculator'!A:A,0),0),0)</f>
        <v>20367.195264578786</v>
      </c>
      <c r="K952" s="444">
        <f t="shared" ca="1" si="79"/>
        <v>-36495.5327424434</v>
      </c>
      <c r="L952" s="444">
        <f t="shared" ca="1" si="80"/>
        <v>-8795423.3909288589</v>
      </c>
      <c r="M952" s="460">
        <f t="shared" si="82"/>
        <v>0.05</v>
      </c>
      <c r="N952" s="464">
        <f t="shared" si="83"/>
        <v>80021</v>
      </c>
    </row>
    <row r="953" spans="7:14" ht="11.25" customHeight="1" x14ac:dyDescent="0.3">
      <c r="G953" s="459">
        <f t="shared" si="98"/>
        <v>79</v>
      </c>
      <c r="H953" s="459">
        <v>946</v>
      </c>
      <c r="I953" s="444">
        <f t="shared" ca="1" si="81"/>
        <v>-8795423.3909288589</v>
      </c>
      <c r="J953" s="444">
        <f t="array" ref="J953">IFERROR(INDEX('Retirement Calculator'!K:K,MATCH('Lorri 401b'!N953,'Retirement Calculator'!A:A,0),0),0)</f>
        <v>20367.195264578786</v>
      </c>
      <c r="K953" s="444">
        <f t="shared" ca="1" si="79"/>
        <v>-36732.460775805986</v>
      </c>
      <c r="L953" s="444">
        <f t="shared" ca="1" si="80"/>
        <v>-8852523.0469692424</v>
      </c>
      <c r="M953" s="460">
        <f t="shared" si="82"/>
        <v>0.05</v>
      </c>
      <c r="N953" s="464">
        <f t="shared" si="83"/>
        <v>80049</v>
      </c>
    </row>
    <row r="954" spans="7:14" ht="11.25" customHeight="1" x14ac:dyDescent="0.3">
      <c r="G954" s="459">
        <f t="shared" si="98"/>
        <v>79</v>
      </c>
      <c r="H954" s="459">
        <v>947</v>
      </c>
      <c r="I954" s="444">
        <f t="shared" ca="1" si="81"/>
        <v>-8852523.0469692424</v>
      </c>
      <c r="J954" s="444">
        <f t="array" ref="J954">IFERROR(INDEX('Retirement Calculator'!K:K,MATCH('Lorri 401b'!N954,'Retirement Calculator'!A:A,0),0),0)</f>
        <v>20367.195264578786</v>
      </c>
      <c r="K954" s="444">
        <f t="shared" ca="1" si="79"/>
        <v>-36970.376009307583</v>
      </c>
      <c r="L954" s="444">
        <f t="shared" ca="1" si="80"/>
        <v>-8909860.6182431281</v>
      </c>
      <c r="M954" s="460">
        <f t="shared" si="82"/>
        <v>0.05</v>
      </c>
      <c r="N954" s="464">
        <f t="shared" si="83"/>
        <v>80080</v>
      </c>
    </row>
    <row r="955" spans="7:14" ht="11.25" customHeight="1" x14ac:dyDescent="0.3">
      <c r="G955" s="459">
        <f t="shared" si="98"/>
        <v>79</v>
      </c>
      <c r="H955" s="459">
        <v>948</v>
      </c>
      <c r="I955" s="444">
        <f t="shared" ca="1" si="81"/>
        <v>-8909860.6182431281</v>
      </c>
      <c r="J955" s="444">
        <f t="array" ref="J955">IFERROR(INDEX('Retirement Calculator'!K:K,MATCH('Lorri 401b'!N955,'Retirement Calculator'!A:A,0),0),0)</f>
        <v>20367.195264578786</v>
      </c>
      <c r="K955" s="444">
        <f t="shared" ca="1" si="79"/>
        <v>-37209.282556282109</v>
      </c>
      <c r="L955" s="444">
        <f t="shared" ca="1" si="80"/>
        <v>-8967437.0960639883</v>
      </c>
      <c r="M955" s="460">
        <f t="shared" si="82"/>
        <v>0.05</v>
      </c>
      <c r="N955" s="464">
        <f t="shared" si="83"/>
        <v>80110</v>
      </c>
    </row>
    <row r="956" spans="7:14" ht="11.25" customHeight="1" x14ac:dyDescent="0.3">
      <c r="G956" s="459">
        <f>G955+1</f>
        <v>80</v>
      </c>
      <c r="H956" s="459">
        <v>949</v>
      </c>
      <c r="I956" s="444">
        <f t="shared" ca="1" si="81"/>
        <v>-8967437.0960639883</v>
      </c>
      <c r="J956" s="444">
        <f t="array" ref="J956">IFERROR(INDEX('Retirement Calculator'!K:K,MATCH('Lorri 401b'!N956,'Retirement Calculator'!A:A,0),0),0)</f>
        <v>20367.195264578786</v>
      </c>
      <c r="K956" s="444">
        <f t="shared" ca="1" si="79"/>
        <v>-37449.184547202356</v>
      </c>
      <c r="L956" s="444">
        <f t="shared" ca="1" si="80"/>
        <v>-9025253.4758757688</v>
      </c>
      <c r="M956" s="460">
        <f t="shared" si="82"/>
        <v>0.05</v>
      </c>
      <c r="N956" s="464">
        <f t="shared" si="83"/>
        <v>80141</v>
      </c>
    </row>
    <row r="957" spans="7:14" ht="11.25" customHeight="1" x14ac:dyDescent="0.3">
      <c r="G957" s="459">
        <f t="shared" ref="G957:G967" si="99">G956</f>
        <v>80</v>
      </c>
      <c r="H957" s="459">
        <v>950</v>
      </c>
      <c r="I957" s="444">
        <f t="shared" ca="1" si="81"/>
        <v>-9025253.4758757688</v>
      </c>
      <c r="J957" s="444">
        <f t="array" ref="J957">IFERROR(INDEX('Retirement Calculator'!K:K,MATCH('Lorri 401b'!N957,'Retirement Calculator'!A:A,0),0),0)</f>
        <v>20367.195264578786</v>
      </c>
      <c r="K957" s="444">
        <f t="shared" ca="1" si="79"/>
        <v>-37690.086129751442</v>
      </c>
      <c r="L957" s="444">
        <f t="shared" ca="1" si="80"/>
        <v>-9083310.7572700977</v>
      </c>
      <c r="M957" s="460">
        <f t="shared" si="82"/>
        <v>0.05</v>
      </c>
      <c r="N957" s="464">
        <f t="shared" si="83"/>
        <v>80171</v>
      </c>
    </row>
    <row r="958" spans="7:14" ht="11.25" customHeight="1" x14ac:dyDescent="0.3">
      <c r="G958" s="459">
        <f t="shared" si="99"/>
        <v>80</v>
      </c>
      <c r="H958" s="459">
        <v>951</v>
      </c>
      <c r="I958" s="444">
        <f t="shared" ca="1" si="81"/>
        <v>-9083310.7572700977</v>
      </c>
      <c r="J958" s="444">
        <f t="array" ref="J958">IFERROR(INDEX('Retirement Calculator'!K:K,MATCH('Lorri 401b'!N958,'Retirement Calculator'!A:A,0),0),0)</f>
        <v>20367.195264578786</v>
      </c>
      <c r="K958" s="444">
        <f t="shared" ca="1" si="79"/>
        <v>-37931.991468894485</v>
      </c>
      <c r="L958" s="444">
        <f t="shared" ca="1" si="80"/>
        <v>-9141609.9440035708</v>
      </c>
      <c r="M958" s="460">
        <f t="shared" si="82"/>
        <v>0.05</v>
      </c>
      <c r="N958" s="464">
        <f t="shared" si="83"/>
        <v>80202</v>
      </c>
    </row>
    <row r="959" spans="7:14" ht="11.25" customHeight="1" x14ac:dyDescent="0.3">
      <c r="G959" s="459">
        <f t="shared" si="99"/>
        <v>80</v>
      </c>
      <c r="H959" s="459">
        <v>952</v>
      </c>
      <c r="I959" s="444">
        <f t="shared" ca="1" si="81"/>
        <v>-9141609.9440035708</v>
      </c>
      <c r="J959" s="444">
        <f t="array" ref="J959">IFERROR(INDEX('Retirement Calculator'!K:K,MATCH('Lorri 401b'!N959,'Retirement Calculator'!A:A,0),0),0)</f>
        <v>20367.195264578786</v>
      </c>
      <c r="K959" s="444">
        <f t="shared" ca="1" si="79"/>
        <v>-38174.904746950619</v>
      </c>
      <c r="L959" s="444">
        <f t="shared" ca="1" si="80"/>
        <v>-9200152.0440151002</v>
      </c>
      <c r="M959" s="460">
        <f t="shared" si="82"/>
        <v>0.05</v>
      </c>
      <c r="N959" s="464">
        <f t="shared" si="83"/>
        <v>80233</v>
      </c>
    </row>
    <row r="960" spans="7:14" ht="11.25" customHeight="1" x14ac:dyDescent="0.3">
      <c r="G960" s="459">
        <f t="shared" si="99"/>
        <v>80</v>
      </c>
      <c r="H960" s="459">
        <v>953</v>
      </c>
      <c r="I960" s="444">
        <f t="shared" ca="1" si="81"/>
        <v>-9200152.0440151002</v>
      </c>
      <c r="J960" s="444">
        <f t="array" ref="J960">IFERROR(INDEX('Retirement Calculator'!K:K,MATCH('Lorri 401b'!N960,'Retirement Calculator'!A:A,0),0),0)</f>
        <v>20367.195264578786</v>
      </c>
      <c r="K960" s="444">
        <f t="shared" ca="1" si="79"/>
        <v>-38418.830163665327</v>
      </c>
      <c r="L960" s="444">
        <f t="shared" ca="1" si="80"/>
        <v>-9258938.0694433432</v>
      </c>
      <c r="M960" s="460">
        <f t="shared" si="82"/>
        <v>0.05</v>
      </c>
      <c r="N960" s="464">
        <f t="shared" si="83"/>
        <v>80263</v>
      </c>
    </row>
    <row r="961" spans="7:14" ht="11.25" customHeight="1" x14ac:dyDescent="0.3">
      <c r="G961" s="459">
        <f t="shared" si="99"/>
        <v>80</v>
      </c>
      <c r="H961" s="459">
        <v>954</v>
      </c>
      <c r="I961" s="444">
        <f t="shared" ca="1" si="81"/>
        <v>-9258938.0694433432</v>
      </c>
      <c r="J961" s="444">
        <f t="array" ref="J961">IFERROR(INDEX('Retirement Calculator'!K:K,MATCH('Lorri 401b'!N961,'Retirement Calculator'!A:A,0),0),0)</f>
        <v>20367.195264578786</v>
      </c>
      <c r="K961" s="444">
        <f t="shared" ca="1" si="79"/>
        <v>-38663.771936283003</v>
      </c>
      <c r="L961" s="444">
        <f t="shared" ca="1" si="80"/>
        <v>-9317969.0366442036</v>
      </c>
      <c r="M961" s="460">
        <f t="shared" si="82"/>
        <v>0.05</v>
      </c>
      <c r="N961" s="464">
        <f t="shared" si="83"/>
        <v>80294</v>
      </c>
    </row>
    <row r="962" spans="7:14" ht="11.25" customHeight="1" x14ac:dyDescent="0.3">
      <c r="G962" s="459">
        <f t="shared" si="99"/>
        <v>80</v>
      </c>
      <c r="H962" s="459">
        <v>955</v>
      </c>
      <c r="I962" s="444">
        <f t="shared" ca="1" si="81"/>
        <v>-9317969.0366442036</v>
      </c>
      <c r="J962" s="444">
        <f t="array" ref="J962">IFERROR(INDEX('Retirement Calculator'!K:K,MATCH('Lorri 401b'!N962,'Retirement Calculator'!A:A,0),0),0)</f>
        <v>20367.195264578786</v>
      </c>
      <c r="K962" s="444">
        <f t="shared" ca="1" si="79"/>
        <v>-38909.734299619922</v>
      </c>
      <c r="L962" s="444">
        <f t="shared" ca="1" si="80"/>
        <v>-9377245.9662084021</v>
      </c>
      <c r="M962" s="460">
        <f t="shared" si="82"/>
        <v>0.05</v>
      </c>
      <c r="N962" s="464">
        <f t="shared" si="83"/>
        <v>80324</v>
      </c>
    </row>
    <row r="963" spans="7:14" ht="11.25" customHeight="1" x14ac:dyDescent="0.3">
      <c r="G963" s="459">
        <f t="shared" si="99"/>
        <v>80</v>
      </c>
      <c r="H963" s="459">
        <v>956</v>
      </c>
      <c r="I963" s="444">
        <f t="shared" ca="1" si="81"/>
        <v>-9377245.9662084021</v>
      </c>
      <c r="J963" s="444">
        <f t="array" ref="J963">IFERROR(INDEX('Retirement Calculator'!K:K,MATCH('Lorri 401b'!N963,'Retirement Calculator'!A:A,0),0),0)</f>
        <v>20367.195264578786</v>
      </c>
      <c r="K963" s="444">
        <f t="shared" ca="1" si="79"/>
        <v>-39156.721506137415</v>
      </c>
      <c r="L963" s="444">
        <f t="shared" ca="1" si="80"/>
        <v>-9436769.8829791173</v>
      </c>
      <c r="M963" s="460">
        <f t="shared" si="82"/>
        <v>0.05</v>
      </c>
      <c r="N963" s="464">
        <f t="shared" si="83"/>
        <v>80355</v>
      </c>
    </row>
    <row r="964" spans="7:14" ht="11.25" customHeight="1" x14ac:dyDescent="0.3">
      <c r="G964" s="459">
        <f t="shared" si="99"/>
        <v>80</v>
      </c>
      <c r="H964" s="459">
        <v>957</v>
      </c>
      <c r="I964" s="444">
        <f t="shared" ca="1" si="81"/>
        <v>-9436769.8829791173</v>
      </c>
      <c r="J964" s="444">
        <f t="array" ref="J964">IFERROR(INDEX('Retirement Calculator'!K:K,MATCH('Lorri 401b'!N964,'Retirement Calculator'!A:A,0),0),0)</f>
        <v>20367.195264578786</v>
      </c>
      <c r="K964" s="444">
        <f t="shared" ca="1" si="79"/>
        <v>-39404.737826015393</v>
      </c>
      <c r="L964" s="444">
        <f t="shared" ca="1" si="80"/>
        <v>-9496541.816069711</v>
      </c>
      <c r="M964" s="460">
        <f t="shared" si="82"/>
        <v>0.05</v>
      </c>
      <c r="N964" s="464">
        <f t="shared" si="83"/>
        <v>80386</v>
      </c>
    </row>
    <row r="965" spans="7:14" ht="11.25" customHeight="1" x14ac:dyDescent="0.3">
      <c r="G965" s="459">
        <f t="shared" si="99"/>
        <v>80</v>
      </c>
      <c r="H965" s="459">
        <v>958</v>
      </c>
      <c r="I965" s="444">
        <f t="shared" ca="1" si="81"/>
        <v>-9496541.816069711</v>
      </c>
      <c r="J965" s="444">
        <f t="array" ref="J965">IFERROR(INDEX('Retirement Calculator'!K:K,MATCH('Lorri 401b'!N965,'Retirement Calculator'!A:A,0),0),0)</f>
        <v>20367.195264578786</v>
      </c>
      <c r="K965" s="444">
        <f t="shared" ca="1" si="79"/>
        <v>-39653.787547226202</v>
      </c>
      <c r="L965" s="444">
        <f t="shared" ca="1" si="80"/>
        <v>-9556562.7988815159</v>
      </c>
      <c r="M965" s="460">
        <f t="shared" si="82"/>
        <v>0.05</v>
      </c>
      <c r="N965" s="464">
        <f t="shared" si="83"/>
        <v>80415</v>
      </c>
    </row>
    <row r="966" spans="7:14" ht="11.25" customHeight="1" x14ac:dyDescent="0.3">
      <c r="G966" s="459">
        <f t="shared" si="99"/>
        <v>80</v>
      </c>
      <c r="H966" s="459">
        <v>959</v>
      </c>
      <c r="I966" s="444">
        <f t="shared" ca="1" si="81"/>
        <v>-9556562.7988815159</v>
      </c>
      <c r="J966" s="444">
        <f t="array" ref="J966">IFERROR(INDEX('Retirement Calculator'!K:K,MATCH('Lorri 401b'!N966,'Retirement Calculator'!A:A,0),0),0)</f>
        <v>20367.195264578786</v>
      </c>
      <c r="K966" s="444">
        <f t="shared" ca="1" si="79"/>
        <v>-39903.87497560872</v>
      </c>
      <c r="L966" s="444">
        <f t="shared" ca="1" si="80"/>
        <v>-9616833.8691217024</v>
      </c>
      <c r="M966" s="460">
        <f t="shared" si="82"/>
        <v>0.05</v>
      </c>
      <c r="N966" s="464">
        <f t="shared" si="83"/>
        <v>80446</v>
      </c>
    </row>
    <row r="967" spans="7:14" ht="11.25" customHeight="1" x14ac:dyDescent="0.3">
      <c r="G967" s="459">
        <f t="shared" si="99"/>
        <v>80</v>
      </c>
      <c r="H967" s="459">
        <v>960</v>
      </c>
      <c r="I967" s="444">
        <f t="shared" ca="1" si="81"/>
        <v>-9616833.8691217024</v>
      </c>
      <c r="J967" s="444">
        <f t="array" ref="J967">IFERROR(INDEX('Retirement Calculator'!K:K,MATCH('Lorri 401b'!N967,'Retirement Calculator'!A:A,0),0),0)</f>
        <v>20367.195264578786</v>
      </c>
      <c r="K967" s="444">
        <f t="shared" ca="1" si="79"/>
        <v>-40155.004434942835</v>
      </c>
      <c r="L967" s="444">
        <f t="shared" ca="1" si="80"/>
        <v>-9677356.0688212235</v>
      </c>
      <c r="M967" s="460">
        <f t="shared" si="82"/>
        <v>0.05</v>
      </c>
      <c r="N967" s="464">
        <f t="shared" si="83"/>
        <v>80476</v>
      </c>
    </row>
    <row r="968" spans="7:14" ht="11.25" customHeight="1" x14ac:dyDescent="0.3">
      <c r="G968" s="459">
        <f>G967+1</f>
        <v>81</v>
      </c>
      <c r="H968" s="459">
        <v>961</v>
      </c>
      <c r="I968" s="444">
        <f t="shared" ca="1" si="81"/>
        <v>-9677356.0688212235</v>
      </c>
      <c r="J968" s="444">
        <f t="array" ref="J968">IFERROR(INDEX('Retirement Calculator'!K:K,MATCH('Lorri 401b'!N968,'Retirement Calculator'!A:A,0),0),0)</f>
        <v>20367.195264578786</v>
      </c>
      <c r="K968" s="444">
        <f t="shared" ca="1" si="79"/>
        <v>-40407.180267024174</v>
      </c>
      <c r="L968" s="444">
        <f t="shared" ca="1" si="80"/>
        <v>-9738130.4443528261</v>
      </c>
      <c r="M968" s="460">
        <f t="shared" si="82"/>
        <v>0.05</v>
      </c>
      <c r="N968" s="464">
        <f t="shared" si="83"/>
        <v>80507</v>
      </c>
    </row>
    <row r="969" spans="7:14" ht="11.25" customHeight="1" x14ac:dyDescent="0.3">
      <c r="G969" s="459">
        <f t="shared" ref="G969:G979" si="100">G968</f>
        <v>81</v>
      </c>
      <c r="H969" s="459">
        <v>962</v>
      </c>
      <c r="I969" s="444">
        <f t="shared" ca="1" si="81"/>
        <v>-9738130.4443528261</v>
      </c>
      <c r="J969" s="444">
        <f t="array" ref="J969">IFERROR(INDEX('Retirement Calculator'!K:K,MATCH('Lorri 401b'!N969,'Retirement Calculator'!A:A,0),0),0)</f>
        <v>20367.195264578786</v>
      </c>
      <c r="K969" s="444">
        <f t="shared" ca="1" si="79"/>
        <v>-40660.406831739179</v>
      </c>
      <c r="L969" s="444">
        <f t="shared" ca="1" si="80"/>
        <v>-9799158.0464491434</v>
      </c>
      <c r="M969" s="460">
        <f t="shared" si="82"/>
        <v>0.05</v>
      </c>
      <c r="N969" s="464">
        <f t="shared" si="83"/>
        <v>80537</v>
      </c>
    </row>
    <row r="970" spans="7:14" ht="11.25" customHeight="1" x14ac:dyDescent="0.3">
      <c r="G970" s="459">
        <f t="shared" si="100"/>
        <v>81</v>
      </c>
      <c r="H970" s="459">
        <v>963</v>
      </c>
      <c r="I970" s="444">
        <f t="shared" ca="1" si="81"/>
        <v>-9799158.0464491434</v>
      </c>
      <c r="J970" s="444">
        <f t="array" ref="J970">IFERROR(INDEX('Retirement Calculator'!K:K,MATCH('Lorri 401b'!N970,'Retirement Calculator'!A:A,0),0),0)</f>
        <v>20367.195264578786</v>
      </c>
      <c r="K970" s="444">
        <f t="shared" ca="1" si="79"/>
        <v>-40914.688507140505</v>
      </c>
      <c r="L970" s="444">
        <f t="shared" ca="1" si="80"/>
        <v>-9860439.930220861</v>
      </c>
      <c r="M970" s="460">
        <f t="shared" si="82"/>
        <v>0.05</v>
      </c>
      <c r="N970" s="464">
        <f t="shared" si="83"/>
        <v>80568</v>
      </c>
    </row>
    <row r="971" spans="7:14" ht="11.25" customHeight="1" x14ac:dyDescent="0.3">
      <c r="G971" s="459">
        <f t="shared" si="100"/>
        <v>81</v>
      </c>
      <c r="H971" s="459">
        <v>964</v>
      </c>
      <c r="I971" s="444">
        <f t="shared" ca="1" si="81"/>
        <v>-9860439.930220861</v>
      </c>
      <c r="J971" s="444">
        <f t="array" ref="J971">IFERROR(INDEX('Retirement Calculator'!K:K,MATCH('Lorri 401b'!N971,'Retirement Calculator'!A:A,0),0),0)</f>
        <v>20367.195264578786</v>
      </c>
      <c r="K971" s="444">
        <f t="shared" ca="1" si="79"/>
        <v>-41170.029689522664</v>
      </c>
      <c r="L971" s="444">
        <f t="shared" ca="1" si="80"/>
        <v>-9921977.1551749613</v>
      </c>
      <c r="M971" s="460">
        <f t="shared" si="82"/>
        <v>0.05</v>
      </c>
      <c r="N971" s="464">
        <f t="shared" si="83"/>
        <v>80599</v>
      </c>
    </row>
    <row r="972" spans="7:14" ht="11.25" customHeight="1" x14ac:dyDescent="0.3">
      <c r="G972" s="459">
        <f t="shared" si="100"/>
        <v>81</v>
      </c>
      <c r="H972" s="459">
        <v>965</v>
      </c>
      <c r="I972" s="444">
        <f t="shared" ca="1" si="81"/>
        <v>-9921977.1551749613</v>
      </c>
      <c r="J972" s="444">
        <f t="array" ref="J972">IFERROR(INDEX('Retirement Calculator'!K:K,MATCH('Lorri 401b'!N972,'Retirement Calculator'!A:A,0),0),0)</f>
        <v>20367.195264578786</v>
      </c>
      <c r="K972" s="444">
        <f t="shared" ca="1" si="79"/>
        <v>-41426.434793498076</v>
      </c>
      <c r="L972" s="444">
        <f t="shared" ca="1" si="80"/>
        <v>-9983770.7852330375</v>
      </c>
      <c r="M972" s="460">
        <f t="shared" si="82"/>
        <v>0.05</v>
      </c>
      <c r="N972" s="464">
        <f t="shared" si="83"/>
        <v>80629</v>
      </c>
    </row>
    <row r="973" spans="7:14" ht="11.25" customHeight="1" x14ac:dyDescent="0.3">
      <c r="G973" s="459">
        <f t="shared" si="100"/>
        <v>81</v>
      </c>
      <c r="H973" s="459">
        <v>966</v>
      </c>
      <c r="I973" s="444">
        <f t="shared" ca="1" si="81"/>
        <v>-9983770.7852330375</v>
      </c>
      <c r="J973" s="444">
        <f t="array" ref="J973">IFERROR(INDEX('Retirement Calculator'!K:K,MATCH('Lorri 401b'!N973,'Retirement Calculator'!A:A,0),0),0)</f>
        <v>20367.195264578786</v>
      </c>
      <c r="K973" s="444">
        <f t="shared" ca="1" si="79"/>
        <v>-41683.908252073394</v>
      </c>
      <c r="L973" s="444">
        <f t="shared" ca="1" si="80"/>
        <v>-10045821.888749689</v>
      </c>
      <c r="M973" s="460">
        <f t="shared" si="82"/>
        <v>0.05</v>
      </c>
      <c r="N973" s="464">
        <f t="shared" si="83"/>
        <v>80660</v>
      </c>
    </row>
    <row r="974" spans="7:14" ht="11.25" customHeight="1" x14ac:dyDescent="0.3">
      <c r="G974" s="459">
        <f t="shared" si="100"/>
        <v>81</v>
      </c>
      <c r="H974" s="459">
        <v>967</v>
      </c>
      <c r="I974" s="444">
        <f t="shared" ca="1" si="81"/>
        <v>-10045821.888749689</v>
      </c>
      <c r="J974" s="444">
        <f t="array" ref="J974">IFERROR(INDEX('Retirement Calculator'!K:K,MATCH('Lorri 401b'!N974,'Retirement Calculator'!A:A,0),0),0)</f>
        <v>20367.195264578786</v>
      </c>
      <c r="K974" s="444">
        <f t="shared" ca="1" si="79"/>
        <v>-41942.454516726109</v>
      </c>
      <c r="L974" s="444">
        <f t="shared" ca="1" si="80"/>
        <v>-10108131.538530992</v>
      </c>
      <c r="M974" s="460">
        <f t="shared" si="82"/>
        <v>0.05</v>
      </c>
      <c r="N974" s="464">
        <f t="shared" si="83"/>
        <v>80690</v>
      </c>
    </row>
    <row r="975" spans="7:14" ht="11.25" customHeight="1" x14ac:dyDescent="0.3">
      <c r="G975" s="459">
        <f t="shared" si="100"/>
        <v>81</v>
      </c>
      <c r="H975" s="459">
        <v>968</v>
      </c>
      <c r="I975" s="444">
        <f t="shared" ca="1" si="81"/>
        <v>-10108131.538530992</v>
      </c>
      <c r="J975" s="444">
        <f t="array" ref="J975">IFERROR(INDEX('Retirement Calculator'!K:K,MATCH('Lorri 401b'!N975,'Retirement Calculator'!A:A,0),0),0)</f>
        <v>20367.195264578786</v>
      </c>
      <c r="K975" s="444">
        <f t="shared" ca="1" si="79"/>
        <v>-42202.078057481544</v>
      </c>
      <c r="L975" s="444">
        <f t="shared" ca="1" si="80"/>
        <v>-10170700.811853051</v>
      </c>
      <c r="M975" s="460">
        <f t="shared" si="82"/>
        <v>0.05</v>
      </c>
      <c r="N975" s="464">
        <f t="shared" si="83"/>
        <v>80721</v>
      </c>
    </row>
    <row r="976" spans="7:14" ht="11.25" customHeight="1" x14ac:dyDescent="0.3">
      <c r="G976" s="459">
        <f t="shared" si="100"/>
        <v>81</v>
      </c>
      <c r="H976" s="459">
        <v>969</v>
      </c>
      <c r="I976" s="444">
        <f t="shared" ca="1" si="81"/>
        <v>-10170700.811853051</v>
      </c>
      <c r="J976" s="444">
        <f t="array" ref="J976">IFERROR(INDEX('Retirement Calculator'!K:K,MATCH('Lorri 401b'!N976,'Retirement Calculator'!A:A,0),0),0)</f>
        <v>20367.195264578786</v>
      </c>
      <c r="K976" s="444">
        <f t="shared" ca="1" si="79"/>
        <v>-42462.783362990122</v>
      </c>
      <c r="L976" s="444">
        <f t="shared" ca="1" si="80"/>
        <v>-10233530.790480619</v>
      </c>
      <c r="M976" s="460">
        <f t="shared" si="82"/>
        <v>0.05</v>
      </c>
      <c r="N976" s="464">
        <f t="shared" si="83"/>
        <v>80752</v>
      </c>
    </row>
    <row r="977" spans="7:14" ht="11.25" customHeight="1" x14ac:dyDescent="0.3">
      <c r="G977" s="459">
        <f t="shared" si="100"/>
        <v>81</v>
      </c>
      <c r="H977" s="459">
        <v>970</v>
      </c>
      <c r="I977" s="444">
        <f t="shared" ca="1" si="81"/>
        <v>-10233530.790480619</v>
      </c>
      <c r="J977" s="444">
        <f t="array" ref="J977">IFERROR(INDEX('Retirement Calculator'!K:K,MATCH('Lorri 401b'!N977,'Retirement Calculator'!A:A,0),0),0)</f>
        <v>20367.195264578786</v>
      </c>
      <c r="K977" s="444">
        <f t="shared" ca="1" si="79"/>
        <v>-42724.574940604987</v>
      </c>
      <c r="L977" s="444">
        <f t="shared" ca="1" si="80"/>
        <v>-10296622.560685802</v>
      </c>
      <c r="M977" s="460">
        <f t="shared" si="82"/>
        <v>0.05</v>
      </c>
      <c r="N977" s="464">
        <f t="shared" si="83"/>
        <v>80780</v>
      </c>
    </row>
    <row r="978" spans="7:14" ht="11.25" customHeight="1" x14ac:dyDescent="0.3">
      <c r="G978" s="459">
        <f t="shared" si="100"/>
        <v>81</v>
      </c>
      <c r="H978" s="459">
        <v>971</v>
      </c>
      <c r="I978" s="444">
        <f t="shared" ca="1" si="81"/>
        <v>-10296622.560685802</v>
      </c>
      <c r="J978" s="444">
        <f t="array" ref="J978">IFERROR(INDEX('Retirement Calculator'!K:K,MATCH('Lorri 401b'!N978,'Retirement Calculator'!A:A,0),0),0)</f>
        <v>20367.195264578786</v>
      </c>
      <c r="K978" s="444">
        <f t="shared" ca="1" si="79"/>
        <v>-42987.457316459913</v>
      </c>
      <c r="L978" s="444">
        <f t="shared" ca="1" si="80"/>
        <v>-10359977.21326684</v>
      </c>
      <c r="M978" s="460">
        <f t="shared" si="82"/>
        <v>0.05</v>
      </c>
      <c r="N978" s="464">
        <f t="shared" si="83"/>
        <v>80811</v>
      </c>
    </row>
    <row r="979" spans="7:14" ht="11.25" customHeight="1" x14ac:dyDescent="0.3">
      <c r="G979" s="459">
        <f t="shared" si="100"/>
        <v>81</v>
      </c>
      <c r="H979" s="459">
        <v>972</v>
      </c>
      <c r="I979" s="444">
        <f t="shared" ca="1" si="81"/>
        <v>-10359977.21326684</v>
      </c>
      <c r="J979" s="444">
        <f t="array" ref="J979">IFERROR(INDEX('Retirement Calculator'!K:K,MATCH('Lorri 401b'!N979,'Retirement Calculator'!A:A,0),0),0)</f>
        <v>20367.195264578786</v>
      </c>
      <c r="K979" s="444">
        <f t="shared" ca="1" si="79"/>
        <v>-43251.435035547576</v>
      </c>
      <c r="L979" s="444">
        <f t="shared" ca="1" si="80"/>
        <v>-10423595.843566965</v>
      </c>
      <c r="M979" s="460">
        <f t="shared" si="82"/>
        <v>0.05</v>
      </c>
      <c r="N979" s="464">
        <f t="shared" si="83"/>
        <v>80841</v>
      </c>
    </row>
    <row r="980" spans="7:14" ht="11.25" customHeight="1" x14ac:dyDescent="0.3">
      <c r="G980" s="459">
        <f>G979+1</f>
        <v>82</v>
      </c>
      <c r="H980" s="459">
        <v>973</v>
      </c>
      <c r="I980" s="444">
        <f t="shared" ca="1" si="81"/>
        <v>-10423595.843566965</v>
      </c>
      <c r="J980" s="444">
        <f t="array" ref="J980">IFERROR(INDEX('Retirement Calculator'!K:K,MATCH('Lorri 401b'!N980,'Retirement Calculator'!A:A,0),0),0)</f>
        <v>20367.195264578786</v>
      </c>
      <c r="K980" s="444">
        <f t="shared" ca="1" si="79"/>
        <v>-43516.512661798093</v>
      </c>
      <c r="L980" s="444">
        <f t="shared" ca="1" si="80"/>
        <v>-10487479.551493341</v>
      </c>
      <c r="M980" s="460">
        <f t="shared" si="82"/>
        <v>0.05</v>
      </c>
      <c r="N980" s="464">
        <f t="shared" si="83"/>
        <v>80872</v>
      </c>
    </row>
    <row r="981" spans="7:14" ht="11.25" customHeight="1" x14ac:dyDescent="0.3">
      <c r="G981" s="459">
        <f t="shared" ref="G981:G991" si="101">G980</f>
        <v>82</v>
      </c>
      <c r="H981" s="459">
        <v>974</v>
      </c>
      <c r="I981" s="444">
        <f t="shared" ca="1" si="81"/>
        <v>-10487479.551493341</v>
      </c>
      <c r="J981" s="444">
        <f t="array" ref="J981">IFERROR(INDEX('Retirement Calculator'!K:K,MATCH('Lorri 401b'!N981,'Retirement Calculator'!A:A,0),0),0)</f>
        <v>20367.195264578786</v>
      </c>
      <c r="K981" s="444">
        <f t="shared" ca="1" si="79"/>
        <v>-43782.694778157995</v>
      </c>
      <c r="L981" s="444">
        <f t="shared" ca="1" si="80"/>
        <v>-10551629.441536076</v>
      </c>
      <c r="M981" s="460">
        <f t="shared" si="82"/>
        <v>0.05</v>
      </c>
      <c r="N981" s="464">
        <f t="shared" si="83"/>
        <v>80902</v>
      </c>
    </row>
    <row r="982" spans="7:14" ht="11.25" customHeight="1" x14ac:dyDescent="0.3">
      <c r="G982" s="459">
        <f t="shared" si="101"/>
        <v>82</v>
      </c>
      <c r="H982" s="459">
        <v>975</v>
      </c>
      <c r="I982" s="444">
        <f t="shared" ca="1" si="81"/>
        <v>-10551629.441536076</v>
      </c>
      <c r="J982" s="444">
        <f t="array" ref="J982">IFERROR(INDEX('Retirement Calculator'!K:K,MATCH('Lorri 401b'!N982,'Retirement Calculator'!A:A,0),0),0)</f>
        <v>20367.195264578786</v>
      </c>
      <c r="K982" s="444">
        <f t="shared" ca="1" si="79"/>
        <v>-44049.985986669395</v>
      </c>
      <c r="L982" s="444">
        <f t="shared" ca="1" si="80"/>
        <v>-10616046.622787323</v>
      </c>
      <c r="M982" s="460">
        <f t="shared" si="82"/>
        <v>0.05</v>
      </c>
      <c r="N982" s="464">
        <f t="shared" si="83"/>
        <v>80933</v>
      </c>
    </row>
    <row r="983" spans="7:14" ht="11.25" customHeight="1" x14ac:dyDescent="0.3">
      <c r="G983" s="459">
        <f t="shared" si="101"/>
        <v>82</v>
      </c>
      <c r="H983" s="459">
        <v>976</v>
      </c>
      <c r="I983" s="444">
        <f t="shared" ca="1" si="81"/>
        <v>-10616046.622787323</v>
      </c>
      <c r="J983" s="444">
        <f t="array" ref="J983">IFERROR(INDEX('Retirement Calculator'!K:K,MATCH('Lorri 401b'!N983,'Retirement Calculator'!A:A,0),0),0)</f>
        <v>20367.195264578786</v>
      </c>
      <c r="K983" s="444">
        <f t="shared" ca="1" si="79"/>
        <v>-44318.390908549583</v>
      </c>
      <c r="L983" s="444">
        <f t="shared" ca="1" si="80"/>
        <v>-10680732.208960451</v>
      </c>
      <c r="M983" s="460">
        <f t="shared" si="82"/>
        <v>0.05</v>
      </c>
      <c r="N983" s="464">
        <f t="shared" si="83"/>
        <v>80964</v>
      </c>
    </row>
    <row r="984" spans="7:14" ht="11.25" customHeight="1" x14ac:dyDescent="0.3">
      <c r="G984" s="459">
        <f t="shared" si="101"/>
        <v>82</v>
      </c>
      <c r="H984" s="459">
        <v>977</v>
      </c>
      <c r="I984" s="444">
        <f t="shared" ca="1" si="81"/>
        <v>-10680732.208960451</v>
      </c>
      <c r="J984" s="444">
        <f t="array" ref="J984">IFERROR(INDEX('Retirement Calculator'!K:K,MATCH('Lorri 401b'!N984,'Retirement Calculator'!A:A,0),0),0)</f>
        <v>20367.195264578786</v>
      </c>
      <c r="K984" s="444">
        <f t="shared" ca="1" si="79"/>
        <v>-44587.91418427095</v>
      </c>
      <c r="L984" s="444">
        <f t="shared" ca="1" si="80"/>
        <v>-10745687.318409299</v>
      </c>
      <c r="M984" s="460">
        <f t="shared" si="82"/>
        <v>0.05</v>
      </c>
      <c r="N984" s="464">
        <f t="shared" si="83"/>
        <v>80994</v>
      </c>
    </row>
    <row r="985" spans="7:14" ht="11.25" customHeight="1" x14ac:dyDescent="0.3">
      <c r="G985" s="459">
        <f t="shared" si="101"/>
        <v>82</v>
      </c>
      <c r="H985" s="459">
        <v>978</v>
      </c>
      <c r="I985" s="444">
        <f t="shared" ca="1" si="81"/>
        <v>-10745687.318409299</v>
      </c>
      <c r="J985" s="444">
        <f t="array" ref="J985">IFERROR(INDEX('Retirement Calculator'!K:K,MATCH('Lorri 401b'!N985,'Retirement Calculator'!A:A,0),0),0)</f>
        <v>20367.195264578786</v>
      </c>
      <c r="K985" s="444">
        <f t="shared" ca="1" si="79"/>
        <v>-44858.560473641155</v>
      </c>
      <c r="L985" s="444">
        <f t="shared" ca="1" si="80"/>
        <v>-10810913.074147519</v>
      </c>
      <c r="M985" s="460">
        <f t="shared" si="82"/>
        <v>0.05</v>
      </c>
      <c r="N985" s="464">
        <f t="shared" si="83"/>
        <v>81025</v>
      </c>
    </row>
    <row r="986" spans="7:14" ht="11.25" customHeight="1" x14ac:dyDescent="0.3">
      <c r="G986" s="459">
        <f t="shared" si="101"/>
        <v>82</v>
      </c>
      <c r="H986" s="459">
        <v>979</v>
      </c>
      <c r="I986" s="444">
        <f t="shared" ca="1" si="81"/>
        <v>-10810913.074147519</v>
      </c>
      <c r="J986" s="444">
        <f t="array" ref="J986">IFERROR(INDEX('Retirement Calculator'!K:K,MATCH('Lorri 401b'!N986,'Retirement Calculator'!A:A,0),0),0)</f>
        <v>20367.195264578786</v>
      </c>
      <c r="K986" s="444">
        <f t="shared" ca="1" si="79"/>
        <v>-45130.334455883734</v>
      </c>
      <c r="L986" s="444">
        <f t="shared" ca="1" si="80"/>
        <v>-10876410.60386798</v>
      </c>
      <c r="M986" s="460">
        <f t="shared" si="82"/>
        <v>0.05</v>
      </c>
      <c r="N986" s="464">
        <f t="shared" si="83"/>
        <v>81055</v>
      </c>
    </row>
    <row r="987" spans="7:14" ht="11.25" customHeight="1" x14ac:dyDescent="0.3">
      <c r="G987" s="459">
        <f t="shared" si="101"/>
        <v>82</v>
      </c>
      <c r="H987" s="459">
        <v>980</v>
      </c>
      <c r="I987" s="444">
        <f t="shared" ca="1" si="81"/>
        <v>-10876410.60386798</v>
      </c>
      <c r="J987" s="444">
        <f t="array" ref="J987">IFERROR(INDEX('Retirement Calculator'!K:K,MATCH('Lorri 401b'!N987,'Retirement Calculator'!A:A,0),0),0)</f>
        <v>20367.195264578786</v>
      </c>
      <c r="K987" s="444">
        <f t="shared" ca="1" si="79"/>
        <v>-45403.24082971899</v>
      </c>
      <c r="L987" s="444">
        <f t="shared" ca="1" si="80"/>
        <v>-10942181.039962277</v>
      </c>
      <c r="M987" s="460">
        <f t="shared" si="82"/>
        <v>0.05</v>
      </c>
      <c r="N987" s="464">
        <f t="shared" si="83"/>
        <v>81086</v>
      </c>
    </row>
    <row r="988" spans="7:14" ht="11.25" customHeight="1" x14ac:dyDescent="0.3">
      <c r="G988" s="459">
        <f t="shared" si="101"/>
        <v>82</v>
      </c>
      <c r="H988" s="459">
        <v>981</v>
      </c>
      <c r="I988" s="444">
        <f t="shared" ca="1" si="81"/>
        <v>-10942181.039962277</v>
      </c>
      <c r="J988" s="444">
        <f t="array" ref="J988">IFERROR(INDEX('Retirement Calculator'!K:K,MATCH('Lorri 401b'!N988,'Retirement Calculator'!A:A,0),0),0)</f>
        <v>20367.195264578786</v>
      </c>
      <c r="K988" s="444">
        <f t="shared" ca="1" si="79"/>
        <v>-45677.284313445227</v>
      </c>
      <c r="L988" s="444">
        <f t="shared" ca="1" si="80"/>
        <v>-11008225.519540301</v>
      </c>
      <c r="M988" s="460">
        <f t="shared" si="82"/>
        <v>0.05</v>
      </c>
      <c r="N988" s="464">
        <f t="shared" si="83"/>
        <v>81117</v>
      </c>
    </row>
    <row r="989" spans="7:14" ht="11.25" customHeight="1" x14ac:dyDescent="0.3">
      <c r="G989" s="459">
        <f t="shared" si="101"/>
        <v>82</v>
      </c>
      <c r="H989" s="459">
        <v>982</v>
      </c>
      <c r="I989" s="444">
        <f t="shared" ca="1" si="81"/>
        <v>-11008225.519540301</v>
      </c>
      <c r="J989" s="444">
        <f t="array" ref="J989">IFERROR(INDEX('Retirement Calculator'!K:K,MATCH('Lorri 401b'!N989,'Retirement Calculator'!A:A,0),0),0)</f>
        <v>20367.195264578786</v>
      </c>
      <c r="K989" s="444">
        <f t="shared" ca="1" si="79"/>
        <v>-45952.469645020326</v>
      </c>
      <c r="L989" s="444">
        <f t="shared" ca="1" si="80"/>
        <v>-11074545.184449898</v>
      </c>
      <c r="M989" s="460">
        <f t="shared" si="82"/>
        <v>0.05</v>
      </c>
      <c r="N989" s="464">
        <f t="shared" si="83"/>
        <v>81145</v>
      </c>
    </row>
    <row r="990" spans="7:14" ht="11.25" customHeight="1" x14ac:dyDescent="0.3">
      <c r="G990" s="459">
        <f t="shared" si="101"/>
        <v>82</v>
      </c>
      <c r="H990" s="459">
        <v>983</v>
      </c>
      <c r="I990" s="444">
        <f t="shared" ca="1" si="81"/>
        <v>-11074545.184449898</v>
      </c>
      <c r="J990" s="444">
        <f t="array" ref="J990">IFERROR(INDEX('Retirement Calculator'!K:K,MATCH('Lorri 401b'!N990,'Retirement Calculator'!A:A,0),0),0)</f>
        <v>20367.195264578786</v>
      </c>
      <c r="K990" s="444">
        <f t="shared" ca="1" si="79"/>
        <v>-46228.801582143649</v>
      </c>
      <c r="L990" s="444">
        <f t="shared" ca="1" si="80"/>
        <v>-11141141.181296621</v>
      </c>
      <c r="M990" s="460">
        <f t="shared" si="82"/>
        <v>0.05</v>
      </c>
      <c r="N990" s="464">
        <f t="shared" si="83"/>
        <v>81176</v>
      </c>
    </row>
    <row r="991" spans="7:14" ht="11.25" customHeight="1" x14ac:dyDescent="0.3">
      <c r="G991" s="459">
        <f t="shared" si="101"/>
        <v>82</v>
      </c>
      <c r="H991" s="459">
        <v>984</v>
      </c>
      <c r="I991" s="444">
        <f t="shared" ca="1" si="81"/>
        <v>-11141141.181296621</v>
      </c>
      <c r="J991" s="444">
        <f t="array" ref="J991">IFERROR(INDEX('Retirement Calculator'!K:K,MATCH('Lorri 401b'!N991,'Retirement Calculator'!A:A,0),0),0)</f>
        <v>20367.195264578786</v>
      </c>
      <c r="K991" s="444">
        <f t="shared" ca="1" si="79"/>
        <v>-46506.284902338324</v>
      </c>
      <c r="L991" s="444">
        <f t="shared" ca="1" si="80"/>
        <v>-11208014.661463536</v>
      </c>
      <c r="M991" s="460">
        <f t="shared" si="82"/>
        <v>0.05</v>
      </c>
      <c r="N991" s="464">
        <f t="shared" si="83"/>
        <v>81206</v>
      </c>
    </row>
    <row r="992" spans="7:14" ht="11.25" customHeight="1" x14ac:dyDescent="0.3">
      <c r="G992" s="459">
        <f>G991+1</f>
        <v>83</v>
      </c>
      <c r="H992" s="459">
        <v>985</v>
      </c>
      <c r="I992" s="444">
        <f t="shared" ca="1" si="81"/>
        <v>-11208014.661463536</v>
      </c>
      <c r="J992" s="444">
        <f t="array" ref="J992">IFERROR(INDEX('Retirement Calculator'!K:K,MATCH('Lorri 401b'!N992,'Retirement Calculator'!A:A,0),0),0)</f>
        <v>20367.195264578786</v>
      </c>
      <c r="K992" s="444">
        <f t="shared" ca="1" si="79"/>
        <v>-46784.924403033809</v>
      </c>
      <c r="L992" s="444">
        <f t="shared" ca="1" si="80"/>
        <v>-11275166.781131148</v>
      </c>
      <c r="M992" s="460">
        <f t="shared" si="82"/>
        <v>0.05</v>
      </c>
      <c r="N992" s="464">
        <f t="shared" si="83"/>
        <v>81237</v>
      </c>
    </row>
    <row r="993" spans="7:14" ht="11.25" customHeight="1" x14ac:dyDescent="0.3">
      <c r="G993" s="459">
        <f t="shared" ref="G993:G1003" si="102">G992</f>
        <v>83</v>
      </c>
      <c r="H993" s="459">
        <v>986</v>
      </c>
      <c r="I993" s="444">
        <f t="shared" ca="1" si="81"/>
        <v>-11275166.781131148</v>
      </c>
      <c r="J993" s="444">
        <f t="array" ref="J993">IFERROR(INDEX('Retirement Calculator'!K:K,MATCH('Lorri 401b'!N993,'Retirement Calculator'!A:A,0),0),0)</f>
        <v>20367.195264578786</v>
      </c>
      <c r="K993" s="444">
        <f t="shared" ca="1" si="79"/>
        <v>-47064.724901648857</v>
      </c>
      <c r="L993" s="444">
        <f t="shared" ca="1" si="80"/>
        <v>-11342598.701297374</v>
      </c>
      <c r="M993" s="460">
        <f t="shared" si="82"/>
        <v>0.05</v>
      </c>
      <c r="N993" s="464">
        <f t="shared" si="83"/>
        <v>81267</v>
      </c>
    </row>
    <row r="994" spans="7:14" ht="11.25" customHeight="1" x14ac:dyDescent="0.3">
      <c r="G994" s="459">
        <f t="shared" si="102"/>
        <v>83</v>
      </c>
      <c r="H994" s="459">
        <v>987</v>
      </c>
      <c r="I994" s="444">
        <f t="shared" ca="1" si="81"/>
        <v>-11342598.701297374</v>
      </c>
      <c r="J994" s="444">
        <f t="array" ref="J994">IFERROR(INDEX('Retirement Calculator'!K:K,MATCH('Lorri 401b'!N994,'Retirement Calculator'!A:A,0),0),0)</f>
        <v>20367.195264578786</v>
      </c>
      <c r="K994" s="444">
        <f t="shared" ca="1" si="79"/>
        <v>-47345.6912356748</v>
      </c>
      <c r="L994" s="444">
        <f t="shared" ca="1" si="80"/>
        <v>-11410311.587797627</v>
      </c>
      <c r="M994" s="460">
        <f t="shared" si="82"/>
        <v>0.05</v>
      </c>
      <c r="N994" s="464">
        <f t="shared" si="83"/>
        <v>81298</v>
      </c>
    </row>
    <row r="995" spans="7:14" ht="11.25" customHeight="1" x14ac:dyDescent="0.3">
      <c r="G995" s="459">
        <f t="shared" si="102"/>
        <v>83</v>
      </c>
      <c r="H995" s="459">
        <v>988</v>
      </c>
      <c r="I995" s="444">
        <f t="shared" ca="1" si="81"/>
        <v>-11410311.587797627</v>
      </c>
      <c r="J995" s="444">
        <f t="array" ref="J995">IFERROR(INDEX('Retirement Calculator'!K:K,MATCH('Lorri 401b'!N995,'Retirement Calculator'!A:A,0),0),0)</f>
        <v>20367.195264578786</v>
      </c>
      <c r="K995" s="444">
        <f t="shared" ca="1" si="79"/>
        <v>-47627.828262759183</v>
      </c>
      <c r="L995" s="444">
        <f t="shared" ca="1" si="80"/>
        <v>-11478306.611324964</v>
      </c>
      <c r="M995" s="460">
        <f t="shared" si="82"/>
        <v>0.05</v>
      </c>
      <c r="N995" s="464">
        <f t="shared" si="83"/>
        <v>81329</v>
      </c>
    </row>
    <row r="996" spans="7:14" ht="11.25" customHeight="1" x14ac:dyDescent="0.3">
      <c r="G996" s="459">
        <f t="shared" si="102"/>
        <v>83</v>
      </c>
      <c r="H996" s="459">
        <v>989</v>
      </c>
      <c r="I996" s="444">
        <f t="shared" ca="1" si="81"/>
        <v>-11478306.611324964</v>
      </c>
      <c r="J996" s="444">
        <f t="array" ref="J996">IFERROR(INDEX('Retirement Calculator'!K:K,MATCH('Lorri 401b'!N996,'Retirement Calculator'!A:A,0),0),0)</f>
        <v>20367.195264578786</v>
      </c>
      <c r="K996" s="444">
        <f t="shared" ca="1" si="79"/>
        <v>-47911.140860789761</v>
      </c>
      <c r="L996" s="444">
        <f t="shared" ca="1" si="80"/>
        <v>-11546584.947450332</v>
      </c>
      <c r="M996" s="460">
        <f t="shared" si="82"/>
        <v>0.05</v>
      </c>
      <c r="N996" s="464">
        <f t="shared" si="83"/>
        <v>81359</v>
      </c>
    </row>
    <row r="997" spans="7:14" ht="11.25" customHeight="1" x14ac:dyDescent="0.3">
      <c r="G997" s="459">
        <f t="shared" si="102"/>
        <v>83</v>
      </c>
      <c r="H997" s="459">
        <v>990</v>
      </c>
      <c r="I997" s="444">
        <f t="shared" ca="1" si="81"/>
        <v>-11546584.947450332</v>
      </c>
      <c r="J997" s="444">
        <f t="array" ref="J997">IFERROR(INDEX('Retirement Calculator'!K:K,MATCH('Lorri 401b'!N997,'Retirement Calculator'!A:A,0),0),0)</f>
        <v>20367.195264578786</v>
      </c>
      <c r="K997" s="444">
        <f t="shared" ca="1" si="79"/>
        <v>-48195.633927978794</v>
      </c>
      <c r="L997" s="444">
        <f t="shared" ca="1" si="80"/>
        <v>-11615147.776642889</v>
      </c>
      <c r="M997" s="460">
        <f t="shared" si="82"/>
        <v>0.05</v>
      </c>
      <c r="N997" s="464">
        <f t="shared" si="83"/>
        <v>81390</v>
      </c>
    </row>
    <row r="998" spans="7:14" ht="11.25" customHeight="1" x14ac:dyDescent="0.3">
      <c r="G998" s="459">
        <f t="shared" si="102"/>
        <v>83</v>
      </c>
      <c r="H998" s="459">
        <v>991</v>
      </c>
      <c r="I998" s="444">
        <f t="shared" ca="1" si="81"/>
        <v>-11615147.776642889</v>
      </c>
      <c r="J998" s="444">
        <f t="array" ref="J998">IFERROR(INDEX('Retirement Calculator'!K:K,MATCH('Lorri 401b'!N998,'Retirement Calculator'!A:A,0),0),0)</f>
        <v>20367.195264578786</v>
      </c>
      <c r="K998" s="444">
        <f t="shared" ca="1" si="79"/>
        <v>-48481.312382947777</v>
      </c>
      <c r="L998" s="444">
        <f t="shared" ca="1" si="80"/>
        <v>-11683996.284290414</v>
      </c>
      <c r="M998" s="460">
        <f t="shared" si="82"/>
        <v>0.05</v>
      </c>
      <c r="N998" s="464">
        <f t="shared" si="83"/>
        <v>81420</v>
      </c>
    </row>
    <row r="999" spans="7:14" ht="11.25" customHeight="1" x14ac:dyDescent="0.3">
      <c r="G999" s="459">
        <f t="shared" si="102"/>
        <v>83</v>
      </c>
      <c r="H999" s="459">
        <v>992</v>
      </c>
      <c r="I999" s="444">
        <f t="shared" ca="1" si="81"/>
        <v>-11683996.284290414</v>
      </c>
      <c r="J999" s="444">
        <f t="array" ref="J999">IFERROR(INDEX('Retirement Calculator'!K:K,MATCH('Lorri 401b'!N999,'Retirement Calculator'!A:A,0),0),0)</f>
        <v>20367.195264578786</v>
      </c>
      <c r="K999" s="444">
        <f t="shared" ca="1" si="79"/>
        <v>-48768.181164812464</v>
      </c>
      <c r="L999" s="444">
        <f t="shared" ca="1" si="80"/>
        <v>-11753131.660719804</v>
      </c>
      <c r="M999" s="460">
        <f t="shared" si="82"/>
        <v>0.05</v>
      </c>
      <c r="N999" s="464">
        <f t="shared" si="83"/>
        <v>81451</v>
      </c>
    </row>
    <row r="1000" spans="7:14" ht="11.25" customHeight="1" x14ac:dyDescent="0.3">
      <c r="G1000" s="459">
        <f t="shared" si="102"/>
        <v>83</v>
      </c>
      <c r="H1000" s="459">
        <v>993</v>
      </c>
      <c r="I1000" s="444">
        <f t="shared" ca="1" si="81"/>
        <v>-11753131.660719804</v>
      </c>
      <c r="J1000" s="444">
        <f t="array" ref="J1000">IFERROR(INDEX('Retirement Calculator'!K:K,MATCH('Lorri 401b'!N1000,'Retirement Calculator'!A:A,0),0),0)</f>
        <v>20367.195264578786</v>
      </c>
      <c r="K1000" s="444">
        <f t="shared" ca="1" si="79"/>
        <v>-49056.245233268259</v>
      </c>
      <c r="L1000" s="444">
        <f t="shared" ca="1" si="80"/>
        <v>-11822555.10121765</v>
      </c>
      <c r="M1000" s="460">
        <f t="shared" si="82"/>
        <v>0.05</v>
      </c>
      <c r="N1000" s="464">
        <f t="shared" si="83"/>
        <v>81482</v>
      </c>
    </row>
    <row r="1001" spans="7:14" ht="11.25" customHeight="1" x14ac:dyDescent="0.3">
      <c r="G1001" s="459">
        <f t="shared" si="102"/>
        <v>83</v>
      </c>
      <c r="H1001" s="459">
        <v>994</v>
      </c>
      <c r="I1001" s="444">
        <f t="shared" ca="1" si="81"/>
        <v>-11822555.10121765</v>
      </c>
      <c r="J1001" s="444">
        <f t="array" ref="J1001">IFERROR(INDEX('Retirement Calculator'!K:K,MATCH('Lorri 401b'!N1001,'Retirement Calculator'!A:A,0),0),0)</f>
        <v>20367.195264578786</v>
      </c>
      <c r="K1001" s="444">
        <f t="shared" ca="1" si="79"/>
        <v>-49345.509568675945</v>
      </c>
      <c r="L1001" s="444">
        <f t="shared" ca="1" si="80"/>
        <v>-11892267.806050904</v>
      </c>
      <c r="M1001" s="460">
        <f t="shared" si="82"/>
        <v>0.05</v>
      </c>
      <c r="N1001" s="464">
        <f t="shared" si="83"/>
        <v>81510</v>
      </c>
    </row>
    <row r="1002" spans="7:14" ht="11.25" customHeight="1" x14ac:dyDescent="0.3">
      <c r="G1002" s="459">
        <f t="shared" si="102"/>
        <v>83</v>
      </c>
      <c r="H1002" s="459">
        <v>995</v>
      </c>
      <c r="I1002" s="444">
        <f t="shared" ca="1" si="81"/>
        <v>-11892267.806050904</v>
      </c>
      <c r="J1002" s="444">
        <f t="array" ref="J1002">IFERROR(INDEX('Retirement Calculator'!K:K,MATCH('Lorri 401b'!N1002,'Retirement Calculator'!A:A,0),0),0)</f>
        <v>20367.195264578786</v>
      </c>
      <c r="K1002" s="444">
        <f t="shared" ca="1" si="79"/>
        <v>-49635.97917214784</v>
      </c>
      <c r="L1002" s="444">
        <f t="shared" ca="1" si="80"/>
        <v>-11962270.98048763</v>
      </c>
      <c r="M1002" s="460">
        <f t="shared" si="82"/>
        <v>0.05</v>
      </c>
      <c r="N1002" s="464">
        <f t="shared" si="83"/>
        <v>81541</v>
      </c>
    </row>
    <row r="1003" spans="7:14" ht="11.25" customHeight="1" x14ac:dyDescent="0.3">
      <c r="G1003" s="459">
        <f t="shared" si="102"/>
        <v>83</v>
      </c>
      <c r="H1003" s="459">
        <v>996</v>
      </c>
      <c r="I1003" s="444">
        <f t="shared" ca="1" si="81"/>
        <v>-11962270.98048763</v>
      </c>
      <c r="J1003" s="444">
        <f t="array" ref="J1003">IFERROR(INDEX('Retirement Calculator'!K:K,MATCH('Lorri 401b'!N1003,'Retirement Calculator'!A:A,0),0),0)</f>
        <v>20367.195264578786</v>
      </c>
      <c r="K1003" s="444">
        <f t="shared" ca="1" si="79"/>
        <v>-49927.659065634201</v>
      </c>
      <c r="L1003" s="444">
        <f t="shared" ca="1" si="80"/>
        <v>-12032565.834817842</v>
      </c>
      <c r="M1003" s="460">
        <f t="shared" si="82"/>
        <v>0.05</v>
      </c>
      <c r="N1003" s="464">
        <f t="shared" si="83"/>
        <v>81571</v>
      </c>
    </row>
    <row r="1004" spans="7:14" ht="11.25" customHeight="1" x14ac:dyDescent="0.3">
      <c r="G1004" s="459"/>
      <c r="H1004" s="459">
        <v>997</v>
      </c>
      <c r="I1004" s="444">
        <f t="shared" ca="1" si="81"/>
        <v>-12032565.834817842</v>
      </c>
      <c r="J1004" s="444">
        <f t="array" ref="J1004">IFERROR(INDEX('Retirement Calculator'!K:K,MATCH('Lorri 401b'!N1004,'Retirement Calculator'!A:A,0),0),0)</f>
        <v>20367.195264578786</v>
      </c>
      <c r="K1004" s="444">
        <f t="shared" ca="1" si="79"/>
        <v>-50220.554292010078</v>
      </c>
      <c r="L1004" s="444">
        <f t="shared" ca="1" si="80"/>
        <v>-12103153.58437443</v>
      </c>
      <c r="M1004" s="460">
        <f t="shared" si="82"/>
        <v>0.05</v>
      </c>
      <c r="N1004" s="464">
        <f t="shared" si="83"/>
        <v>81602</v>
      </c>
    </row>
    <row r="1005" spans="7:14" ht="11.25" customHeight="1" x14ac:dyDescent="0.3">
      <c r="G1005" s="459"/>
      <c r="H1005" s="459">
        <v>998</v>
      </c>
      <c r="I1005" s="444">
        <f t="shared" ca="1" si="81"/>
        <v>-12103153.58437443</v>
      </c>
      <c r="J1005" s="444">
        <f t="array" ref="J1005">IFERROR(INDEX('Retirement Calculator'!K:K,MATCH('Lorri 401b'!N1005,'Retirement Calculator'!A:A,0),0),0)</f>
        <v>20367.195264578786</v>
      </c>
      <c r="K1005" s="444">
        <f t="shared" ca="1" si="79"/>
        <v>-50514.669915162529</v>
      </c>
      <c r="L1005" s="444">
        <f t="shared" ca="1" si="80"/>
        <v>-12174035.44955417</v>
      </c>
      <c r="M1005" s="460">
        <f t="shared" si="82"/>
        <v>0.05</v>
      </c>
      <c r="N1005" s="464">
        <f t="shared" si="83"/>
        <v>81632</v>
      </c>
    </row>
    <row r="1006" spans="7:14" ht="11.25" customHeight="1" x14ac:dyDescent="0.3">
      <c r="G1006" s="459"/>
      <c r="H1006" s="459">
        <v>999</v>
      </c>
      <c r="I1006" s="444">
        <f t="shared" ca="1" si="81"/>
        <v>-12174035.44955417</v>
      </c>
      <c r="J1006" s="444">
        <f t="array" ref="J1006">IFERROR(INDEX('Retirement Calculator'!K:K,MATCH('Lorri 401b'!N1006,'Retirement Calculator'!A:A,0),0),0)</f>
        <v>20367.195264578786</v>
      </c>
      <c r="K1006" s="444">
        <f t="shared" ca="1" si="79"/>
        <v>-50810.011020078113</v>
      </c>
      <c r="L1006" s="444">
        <f t="shared" ca="1" si="80"/>
        <v>-12245212.655838825</v>
      </c>
      <c r="M1006" s="460">
        <f t="shared" si="82"/>
        <v>0.05</v>
      </c>
      <c r="N1006" s="464">
        <f t="shared" si="83"/>
        <v>81663</v>
      </c>
    </row>
    <row r="1007" spans="7:14" ht="11.25" customHeight="1" x14ac:dyDescent="0.3">
      <c r="G1007" s="459"/>
      <c r="H1007" s="459">
        <v>1000</v>
      </c>
      <c r="I1007" s="444">
        <f t="shared" ca="1" si="81"/>
        <v>-12245212.655838825</v>
      </c>
      <c r="J1007" s="444">
        <f t="array" ref="J1007">IFERROR(INDEX('Retirement Calculator'!K:K,MATCH('Lorri 401b'!N1007,'Retirement Calculator'!A:A,0),0),0)</f>
        <v>20367.195264578786</v>
      </c>
      <c r="K1007" s="444">
        <f t="shared" ca="1" si="79"/>
        <v>-51106.582712930845</v>
      </c>
      <c r="L1007" s="444">
        <f t="shared" ca="1" si="80"/>
        <v>-12316686.433816334</v>
      </c>
      <c r="M1007" s="460">
        <f t="shared" si="82"/>
        <v>0.05</v>
      </c>
      <c r="N1007" s="464">
        <f t="shared" si="83"/>
        <v>81694</v>
      </c>
    </row>
    <row r="1008" spans="7:14" ht="11.25" customHeight="1" x14ac:dyDescent="0.3">
      <c r="G1008" s="459"/>
      <c r="H1008" s="459">
        <v>1001</v>
      </c>
      <c r="I1008" s="444">
        <f t="shared" ca="1" si="81"/>
        <v>-12316686.433816334</v>
      </c>
      <c r="J1008" s="444">
        <f t="array" ref="J1008">IFERROR(INDEX('Retirement Calculator'!K:K,MATCH('Lorri 401b'!N1008,'Retirement Calculator'!A:A,0),0),0)</f>
        <v>20367.195264578786</v>
      </c>
      <c r="K1008" s="444">
        <f t="shared" ca="1" si="79"/>
        <v>-51404.390121170465</v>
      </c>
      <c r="L1008" s="444">
        <f t="shared" ca="1" si="80"/>
        <v>-12388458.019202083</v>
      </c>
      <c r="M1008" s="460">
        <f t="shared" si="82"/>
        <v>0.05</v>
      </c>
      <c r="N1008" s="464">
        <f t="shared" si="83"/>
        <v>81724</v>
      </c>
    </row>
    <row r="1009" spans="7:14" ht="11.25" customHeight="1" x14ac:dyDescent="0.3">
      <c r="G1009" s="459"/>
      <c r="H1009" s="459">
        <v>1002</v>
      </c>
      <c r="I1009" s="444">
        <f t="shared" ca="1" si="81"/>
        <v>-12388458.019202083</v>
      </c>
      <c r="J1009" s="444">
        <f t="array" ref="J1009">IFERROR(INDEX('Retirement Calculator'!K:K,MATCH('Lorri 401b'!N1009,'Retirement Calculator'!A:A,0),0),0)</f>
        <v>20367.195264578786</v>
      </c>
      <c r="K1009" s="444">
        <f t="shared" ca="1" si="79"/>
        <v>-51703.43839361109</v>
      </c>
      <c r="L1009" s="444">
        <f t="shared" ca="1" si="80"/>
        <v>-12460528.652860273</v>
      </c>
      <c r="M1009" s="460">
        <f t="shared" si="82"/>
        <v>0.05</v>
      </c>
      <c r="N1009" s="464">
        <f t="shared" si="83"/>
        <v>81755</v>
      </c>
    </row>
    <row r="1010" spans="7:14" ht="11.25" customHeight="1" x14ac:dyDescent="0.3">
      <c r="G1010" s="459"/>
      <c r="H1010" s="459">
        <v>1003</v>
      </c>
      <c r="I1010" s="444">
        <f t="shared" ca="1" si="81"/>
        <v>-12460528.652860273</v>
      </c>
      <c r="J1010" s="444">
        <f t="array" ref="J1010">IFERROR(INDEX('Retirement Calculator'!K:K,MATCH('Lorri 401b'!N1010,'Retirement Calculator'!A:A,0),0),0)</f>
        <v>20367.195264578786</v>
      </c>
      <c r="K1010" s="444">
        <f t="shared" ca="1" si="79"/>
        <v>-52003.73270052021</v>
      </c>
      <c r="L1010" s="444">
        <f t="shared" ca="1" si="80"/>
        <v>-12532899.580825372</v>
      </c>
      <c r="M1010" s="460">
        <f t="shared" si="82"/>
        <v>0.05</v>
      </c>
      <c r="N1010" s="464">
        <f t="shared" si="83"/>
        <v>81785</v>
      </c>
    </row>
    <row r="1011" spans="7:14" ht="11.25" customHeight="1" x14ac:dyDescent="0.3">
      <c r="G1011" s="459"/>
      <c r="H1011" s="459">
        <v>1004</v>
      </c>
      <c r="I1011" s="444">
        <f t="shared" ca="1" si="81"/>
        <v>-12532899.580825372</v>
      </c>
      <c r="J1011" s="444">
        <f t="array" ref="J1011">IFERROR(INDEX('Retirement Calculator'!K:K,MATCH('Lorri 401b'!N1011,'Retirement Calculator'!A:A,0),0),0)</f>
        <v>20367.195264578786</v>
      </c>
      <c r="K1011" s="444">
        <f t="shared" ca="1" si="79"/>
        <v>-52305.278233708123</v>
      </c>
      <c r="L1011" s="444">
        <f t="shared" ca="1" si="80"/>
        <v>-12605572.054323658</v>
      </c>
      <c r="M1011" s="460">
        <f t="shared" si="82"/>
        <v>0.05</v>
      </c>
      <c r="N1011" s="464">
        <f t="shared" si="83"/>
        <v>81816</v>
      </c>
    </row>
    <row r="1012" spans="7:14" ht="11.25" customHeight="1" x14ac:dyDescent="0.3">
      <c r="G1012" s="459"/>
      <c r="H1012" s="459">
        <v>1005</v>
      </c>
      <c r="I1012" s="444">
        <f t="shared" ca="1" si="81"/>
        <v>-12605572.054323658</v>
      </c>
      <c r="J1012" s="444">
        <f t="array" ref="J1012">IFERROR(INDEX('Retirement Calculator'!K:K,MATCH('Lorri 401b'!N1012,'Retirement Calculator'!A:A,0),0),0)</f>
        <v>20367.195264578786</v>
      </c>
      <c r="K1012" s="444">
        <f t="shared" ca="1" si="79"/>
        <v>-52608.080206617647</v>
      </c>
      <c r="L1012" s="444">
        <f t="shared" ca="1" si="80"/>
        <v>-12678547.329794854</v>
      </c>
      <c r="M1012" s="460">
        <f t="shared" si="82"/>
        <v>0.05</v>
      </c>
      <c r="N1012" s="464">
        <f t="shared" si="83"/>
        <v>81847</v>
      </c>
    </row>
    <row r="1013" spans="7:14" ht="11.25" customHeight="1" x14ac:dyDescent="0.3">
      <c r="G1013" s="459"/>
      <c r="H1013" s="459">
        <v>1006</v>
      </c>
      <c r="I1013" s="444">
        <f t="shared" ca="1" si="81"/>
        <v>-12678547.329794854</v>
      </c>
      <c r="J1013" s="444">
        <f t="array" ref="J1013">IFERROR(INDEX('Retirement Calculator'!K:K,MATCH('Lorri 401b'!N1013,'Retirement Calculator'!A:A,0),0),0)</f>
        <v>20367.195264578786</v>
      </c>
      <c r="K1013" s="444">
        <f t="shared" ca="1" si="79"/>
        <v>-52912.143854414295</v>
      </c>
      <c r="L1013" s="444">
        <f t="shared" ca="1" si="80"/>
        <v>-12751826.668913847</v>
      </c>
      <c r="M1013" s="460">
        <f t="shared" si="82"/>
        <v>0.05</v>
      </c>
      <c r="N1013" s="464">
        <f t="shared" si="83"/>
        <v>81876</v>
      </c>
    </row>
    <row r="1014" spans="7:14" ht="11.25" customHeight="1" x14ac:dyDescent="0.3">
      <c r="G1014" s="459"/>
      <c r="H1014" s="459">
        <v>1007</v>
      </c>
      <c r="I1014" s="444">
        <f t="shared" ca="1" si="81"/>
        <v>-12751826.668913847</v>
      </c>
      <c r="J1014" s="444">
        <f t="array" ref="J1014">IFERROR(INDEX('Retirement Calculator'!K:K,MATCH('Lorri 401b'!N1014,'Retirement Calculator'!A:A,0),0),0)</f>
        <v>20367.195264578786</v>
      </c>
      <c r="K1014" s="444">
        <f t="shared" ca="1" si="79"/>
        <v>-53217.474434076772</v>
      </c>
      <c r="L1014" s="444">
        <f t="shared" ca="1" si="80"/>
        <v>-12825411.338612501</v>
      </c>
      <c r="M1014" s="460">
        <f t="shared" si="82"/>
        <v>0.05</v>
      </c>
      <c r="N1014" s="464">
        <f t="shared" si="83"/>
        <v>81907</v>
      </c>
    </row>
    <row r="1015" spans="7:14" ht="11.25" customHeight="1" x14ac:dyDescent="0.3">
      <c r="G1015" s="459"/>
      <c r="H1015" s="459">
        <v>1008</v>
      </c>
      <c r="I1015" s="444">
        <f t="shared" ca="1" si="81"/>
        <v>-12825411.338612501</v>
      </c>
      <c r="J1015" s="444">
        <f t="array" ref="J1015">IFERROR(INDEX('Retirement Calculator'!K:K,MATCH('Lorri 401b'!N1015,'Retirement Calculator'!A:A,0),0),0)</f>
        <v>20367.195264578786</v>
      </c>
      <c r="K1015" s="444">
        <f t="shared" ca="1" si="79"/>
        <v>-53524.077224487824</v>
      </c>
      <c r="L1015" s="444">
        <f t="shared" ca="1" si="80"/>
        <v>-12899302.611101566</v>
      </c>
      <c r="M1015" s="460">
        <f t="shared" si="82"/>
        <v>0.05</v>
      </c>
      <c r="N1015" s="464">
        <f t="shared" si="83"/>
        <v>81937</v>
      </c>
    </row>
    <row r="1016" spans="7:14" ht="11.25" customHeight="1" x14ac:dyDescent="0.3">
      <c r="G1016" s="459"/>
      <c r="H1016" s="459">
        <v>1009</v>
      </c>
      <c r="I1016" s="444">
        <f t="shared" ca="1" si="81"/>
        <v>-12899302.611101566</v>
      </c>
      <c r="J1016" s="444">
        <f t="array" ref="J1016">IFERROR(INDEX('Retirement Calculator'!K:K,MATCH('Lorri 401b'!N1016,'Retirement Calculator'!A:A,0),0),0)</f>
        <v>20367.195264578786</v>
      </c>
      <c r="K1016" s="444">
        <f t="shared" ca="1" si="79"/>
        <v>-53831.957526525599</v>
      </c>
      <c r="L1016" s="444">
        <f t="shared" ca="1" si="80"/>
        <v>-12973501.763892669</v>
      </c>
      <c r="M1016" s="460">
        <f t="shared" si="82"/>
        <v>0.05</v>
      </c>
      <c r="N1016" s="464">
        <f t="shared" si="83"/>
        <v>81968</v>
      </c>
    </row>
    <row r="1017" spans="7:14" ht="11.25" customHeight="1" x14ac:dyDescent="0.3">
      <c r="G1017" s="459"/>
      <c r="H1017" s="459">
        <v>1010</v>
      </c>
      <c r="I1017" s="444">
        <f t="shared" ca="1" si="81"/>
        <v>-12973501.763892669</v>
      </c>
      <c r="J1017" s="444">
        <f t="array" ref="J1017">IFERROR(INDEX('Retirement Calculator'!K:K,MATCH('Lorri 401b'!N1017,'Retirement Calculator'!A:A,0),0),0)</f>
        <v>20367.195264578786</v>
      </c>
      <c r="K1017" s="444">
        <f t="shared" ca="1" si="79"/>
        <v>-54141.120663155198</v>
      </c>
      <c r="L1017" s="444">
        <f t="shared" ca="1" si="80"/>
        <v>-13048010.079820402</v>
      </c>
      <c r="M1017" s="460">
        <f t="shared" si="82"/>
        <v>0.05</v>
      </c>
      <c r="N1017" s="464">
        <f t="shared" si="83"/>
        <v>81998</v>
      </c>
    </row>
    <row r="1018" spans="7:14" ht="11.25" customHeight="1" x14ac:dyDescent="0.3">
      <c r="G1018" s="459"/>
      <c r="H1018" s="459">
        <v>1011</v>
      </c>
      <c r="I1018" s="444">
        <f t="shared" ca="1" si="81"/>
        <v>-13048010.079820402</v>
      </c>
      <c r="J1018" s="444">
        <f t="array" ref="J1018">IFERROR(INDEX('Retirement Calculator'!K:K,MATCH('Lorri 401b'!N1018,'Retirement Calculator'!A:A,0),0),0)</f>
        <v>20367.195264578786</v>
      </c>
      <c r="K1018" s="444">
        <f t="shared" ca="1" si="79"/>
        <v>-54451.571979520748</v>
      </c>
      <c r="L1018" s="444">
        <f t="shared" ca="1" si="80"/>
        <v>-13122828.847064501</v>
      </c>
      <c r="M1018" s="460">
        <f t="shared" si="82"/>
        <v>0.05</v>
      </c>
      <c r="N1018" s="464">
        <f t="shared" si="83"/>
        <v>82029</v>
      </c>
    </row>
    <row r="1019" spans="7:14" ht="11.25" customHeight="1" x14ac:dyDescent="0.3">
      <c r="G1019" s="459"/>
      <c r="H1019" s="459">
        <v>1012</v>
      </c>
      <c r="I1019" s="444">
        <f t="shared" ca="1" si="81"/>
        <v>-13122828.847064501</v>
      </c>
      <c r="J1019" s="444">
        <f t="array" ref="J1019">IFERROR(INDEX('Retirement Calculator'!K:K,MATCH('Lorri 401b'!N1019,'Retirement Calculator'!A:A,0),0),0)</f>
        <v>20367.195264578786</v>
      </c>
      <c r="K1019" s="444">
        <f t="shared" ca="1" si="79"/>
        <v>-54763.316843037828</v>
      </c>
      <c r="L1019" s="444">
        <f t="shared" ca="1" si="80"/>
        <v>-13197959.359172117</v>
      </c>
      <c r="M1019" s="460">
        <f t="shared" si="82"/>
        <v>0.05</v>
      </c>
      <c r="N1019" s="464">
        <f t="shared" si="83"/>
        <v>82060</v>
      </c>
    </row>
    <row r="1020" spans="7:14" ht="11.25" customHeight="1" x14ac:dyDescent="0.3">
      <c r="G1020" s="459"/>
      <c r="H1020" s="459">
        <v>1013</v>
      </c>
      <c r="I1020" s="444">
        <f t="shared" ca="1" si="81"/>
        <v>-13197959.359172117</v>
      </c>
      <c r="J1020" s="444">
        <f t="array" ref="J1020">IFERROR(INDEX('Retirement Calculator'!K:K,MATCH('Lorri 401b'!N1020,'Retirement Calculator'!A:A,0),0),0)</f>
        <v>20367.195264578786</v>
      </c>
      <c r="K1020" s="444">
        <f t="shared" ca="1" si="79"/>
        <v>-55076.360643486238</v>
      </c>
      <c r="L1020" s="444">
        <f t="shared" ca="1" si="80"/>
        <v>-13273402.91508018</v>
      </c>
      <c r="M1020" s="460">
        <f t="shared" si="82"/>
        <v>0.05</v>
      </c>
      <c r="N1020" s="464">
        <f t="shared" si="83"/>
        <v>82090</v>
      </c>
    </row>
    <row r="1021" spans="7:14" ht="11.25" customHeight="1" x14ac:dyDescent="0.3">
      <c r="G1021" s="459"/>
      <c r="H1021" s="459">
        <v>1014</v>
      </c>
      <c r="I1021" s="444">
        <f t="shared" ca="1" si="81"/>
        <v>-13273402.91508018</v>
      </c>
      <c r="J1021" s="444">
        <f t="array" ref="J1021">IFERROR(INDEX('Retirement Calculator'!K:K,MATCH('Lorri 401b'!N1021,'Retirement Calculator'!A:A,0),0),0)</f>
        <v>20367.195264578786</v>
      </c>
      <c r="K1021" s="444">
        <f t="shared" ca="1" si="79"/>
        <v>-55390.708793103156</v>
      </c>
      <c r="L1021" s="444">
        <f t="shared" ca="1" si="80"/>
        <v>-13349160.819137862</v>
      </c>
      <c r="M1021" s="460">
        <f t="shared" si="82"/>
        <v>0.05</v>
      </c>
      <c r="N1021" s="464">
        <f t="shared" si="83"/>
        <v>82121</v>
      </c>
    </row>
    <row r="1022" spans="7:14" ht="11.25" customHeight="1" x14ac:dyDescent="0.3">
      <c r="G1022" s="459"/>
      <c r="H1022" s="459">
        <v>1015</v>
      </c>
      <c r="I1022" s="444">
        <f t="shared" ca="1" si="81"/>
        <v>-13349160.819137862</v>
      </c>
      <c r="J1022" s="444">
        <f t="array" ref="J1022">IFERROR(INDEX('Retirement Calculator'!K:K,MATCH('Lorri 401b'!N1022,'Retirement Calculator'!A:A,0),0),0)</f>
        <v>20367.195264578786</v>
      </c>
      <c r="K1022" s="444">
        <f t="shared" ca="1" si="79"/>
        <v>-55706.366726676832</v>
      </c>
      <c r="L1022" s="444">
        <f t="shared" ca="1" si="80"/>
        <v>-13425234.381129116</v>
      </c>
      <c r="M1022" s="460">
        <f t="shared" si="82"/>
        <v>0.05</v>
      </c>
      <c r="N1022" s="464">
        <f t="shared" si="83"/>
        <v>82151</v>
      </c>
    </row>
    <row r="1023" spans="7:14" ht="11.25" customHeight="1" x14ac:dyDescent="0.3">
      <c r="G1023" s="459"/>
      <c r="H1023" s="459">
        <v>1016</v>
      </c>
      <c r="I1023" s="444">
        <f t="shared" ca="1" si="81"/>
        <v>-13425234.381129116</v>
      </c>
      <c r="J1023" s="444">
        <f t="array" ref="J1023">IFERROR(INDEX('Retirement Calculator'!K:K,MATCH('Lorri 401b'!N1023,'Retirement Calculator'!A:A,0),0),0)</f>
        <v>20367.195264578786</v>
      </c>
      <c r="K1023" s="444">
        <f t="shared" ca="1" si="79"/>
        <v>-56023.339901640393</v>
      </c>
      <c r="L1023" s="444">
        <f t="shared" ca="1" si="80"/>
        <v>-13501624.916295335</v>
      </c>
      <c r="M1023" s="460">
        <f t="shared" si="82"/>
        <v>0.05</v>
      </c>
      <c r="N1023" s="464">
        <f t="shared" si="83"/>
        <v>82182</v>
      </c>
    </row>
    <row r="1024" spans="7:14" ht="11.25" customHeight="1" x14ac:dyDescent="0.3">
      <c r="G1024" s="459"/>
      <c r="H1024" s="459">
        <v>1017</v>
      </c>
      <c r="I1024" s="444">
        <f t="shared" ca="1" si="81"/>
        <v>-13501624.916295335</v>
      </c>
      <c r="J1024" s="444">
        <f t="array" ref="J1024">IFERROR(INDEX('Retirement Calculator'!K:K,MATCH('Lorri 401b'!N1024,'Retirement Calculator'!A:A,0),0),0)</f>
        <v>20367.195264578786</v>
      </c>
      <c r="K1024" s="444">
        <f t="shared" ca="1" si="79"/>
        <v>-56341.633798166302</v>
      </c>
      <c r="L1024" s="444">
        <f t="shared" ca="1" si="80"/>
        <v>-13578333.74535808</v>
      </c>
      <c r="M1024" s="460">
        <f t="shared" si="82"/>
        <v>0.05</v>
      </c>
      <c r="N1024" s="464">
        <f t="shared" si="83"/>
        <v>82213</v>
      </c>
    </row>
    <row r="1025" spans="7:14" ht="11.25" customHeight="1" x14ac:dyDescent="0.3">
      <c r="G1025" s="459"/>
      <c r="H1025" s="459">
        <v>1018</v>
      </c>
      <c r="I1025" s="444">
        <f t="shared" ca="1" si="81"/>
        <v>-13578333.74535808</v>
      </c>
      <c r="J1025" s="444">
        <f t="array" ref="J1025">IFERROR(INDEX('Retirement Calculator'!K:K,MATCH('Lorri 401b'!N1025,'Retirement Calculator'!A:A,0),0),0)</f>
        <v>20367.195264578786</v>
      </c>
      <c r="K1025" s="444">
        <f t="shared" ca="1" si="79"/>
        <v>-56661.253919261071</v>
      </c>
      <c r="L1025" s="444">
        <f t="shared" ca="1" si="80"/>
        <v>-13655362.194541918</v>
      </c>
      <c r="M1025" s="460">
        <f t="shared" si="82"/>
        <v>0.05</v>
      </c>
      <c r="N1025" s="464">
        <f t="shared" si="83"/>
        <v>82241</v>
      </c>
    </row>
    <row r="1026" spans="7:14" ht="11.25" customHeight="1" x14ac:dyDescent="0.3">
      <c r="G1026" s="459"/>
      <c r="H1026" s="459">
        <v>1019</v>
      </c>
      <c r="I1026" s="444">
        <f t="shared" ca="1" si="81"/>
        <v>-13655362.194541918</v>
      </c>
      <c r="J1026" s="444">
        <f t="array" ref="J1026">IFERROR(INDEX('Retirement Calculator'!K:K,MATCH('Lorri 401b'!N1026,'Retirement Calculator'!A:A,0),0),0)</f>
        <v>20367.195264578786</v>
      </c>
      <c r="K1026" s="444">
        <f t="shared" ca="1" si="79"/>
        <v>-56982.205790860404</v>
      </c>
      <c r="L1026" s="444">
        <f t="shared" ca="1" si="80"/>
        <v>-13732711.595597357</v>
      </c>
      <c r="M1026" s="460">
        <f t="shared" si="82"/>
        <v>0.05</v>
      </c>
      <c r="N1026" s="464">
        <f t="shared" si="83"/>
        <v>82272</v>
      </c>
    </row>
    <row r="1027" spans="7:14" ht="11.25" customHeight="1" x14ac:dyDescent="0.3">
      <c r="G1027" s="459"/>
      <c r="H1027" s="459">
        <v>1020</v>
      </c>
      <c r="I1027" s="444">
        <f t="shared" ca="1" si="81"/>
        <v>-13732711.595597357</v>
      </c>
      <c r="J1027" s="444">
        <f t="array" ref="J1027">IFERROR(INDEX('Retirement Calculator'!K:K,MATCH('Lorri 401b'!N1027,'Retirement Calculator'!A:A,0),0),0)</f>
        <v>20367.195264578786</v>
      </c>
      <c r="K1027" s="444">
        <f t="shared" ca="1" si="79"/>
        <v>-57304.494961924727</v>
      </c>
      <c r="L1027" s="444">
        <f t="shared" ca="1" si="80"/>
        <v>-13810383.285823859</v>
      </c>
      <c r="M1027" s="460">
        <f t="shared" si="82"/>
        <v>0.05</v>
      </c>
      <c r="N1027" s="464">
        <f t="shared" si="83"/>
        <v>82302</v>
      </c>
    </row>
    <row r="1028" spans="7:14" ht="11.25" customHeight="1" x14ac:dyDescent="0.3">
      <c r="G1028" s="459"/>
      <c r="H1028" s="459">
        <v>1021</v>
      </c>
      <c r="I1028" s="444">
        <f t="shared" ca="1" si="81"/>
        <v>-13810383.285823859</v>
      </c>
      <c r="J1028" s="444">
        <f t="array" ref="J1028">IFERROR(INDEX('Retirement Calculator'!K:K,MATCH('Lorri 401b'!N1028,'Retirement Calculator'!A:A,0),0),0)</f>
        <v>20367.195264578786</v>
      </c>
      <c r="K1028" s="444">
        <f t="shared" ref="K1028:K1282" ca="1" si="103">IPMT(M1028/12,1,12,-I1028+J1028,,0)</f>
        <v>-57628.127004535156</v>
      </c>
      <c r="L1028" s="444">
        <f t="shared" ref="L1028:L1282" ca="1" si="104">I1028-J1028+K1028</f>
        <v>-13888378.608092973</v>
      </c>
      <c r="M1028" s="460">
        <f t="shared" si="82"/>
        <v>0.05</v>
      </c>
      <c r="N1028" s="464">
        <f t="shared" si="83"/>
        <v>82333</v>
      </c>
    </row>
    <row r="1029" spans="7:14" ht="11.25" customHeight="1" x14ac:dyDescent="0.3">
      <c r="G1029" s="459"/>
      <c r="H1029" s="459">
        <v>1022</v>
      </c>
      <c r="I1029" s="444">
        <f t="shared" ref="I1029:I1283" ca="1" si="105">L1028</f>
        <v>-13888378.608092973</v>
      </c>
      <c r="J1029" s="444">
        <f t="array" ref="J1029">IFERROR(INDEX('Retirement Calculator'!K:K,MATCH('Lorri 401b'!N1029,'Retirement Calculator'!A:A,0),0),0)</f>
        <v>20367.195264578786</v>
      </c>
      <c r="K1029" s="444">
        <f t="shared" ca="1" si="103"/>
        <v>-57953.107513989795</v>
      </c>
      <c r="L1029" s="444">
        <f t="shared" ca="1" si="104"/>
        <v>-13966698.910871541</v>
      </c>
      <c r="M1029" s="460">
        <f t="shared" ref="M1029:M1283" si="106">M1028</f>
        <v>0.05</v>
      </c>
      <c r="N1029" s="464">
        <f t="shared" ref="N1029:N1283" si="107">EDATE(N1028,1)</f>
        <v>82363</v>
      </c>
    </row>
    <row r="1030" spans="7:14" ht="11.25" customHeight="1" x14ac:dyDescent="0.3">
      <c r="G1030" s="459"/>
      <c r="H1030" s="459">
        <v>1023</v>
      </c>
      <c r="I1030" s="444">
        <f t="shared" ca="1" si="105"/>
        <v>-13966698.910871541</v>
      </c>
      <c r="J1030" s="444">
        <f t="array" ref="J1030">IFERROR(INDEX('Retirement Calculator'!K:K,MATCH('Lorri 401b'!N1030,'Retirement Calculator'!A:A,0),0),0)</f>
        <v>20367.195264578786</v>
      </c>
      <c r="K1030" s="444">
        <f t="shared" ca="1" si="103"/>
        <v>-58279.442108900497</v>
      </c>
      <c r="L1030" s="444">
        <f t="shared" ca="1" si="104"/>
        <v>-14045345.54824502</v>
      </c>
      <c r="M1030" s="460">
        <f t="shared" si="106"/>
        <v>0.05</v>
      </c>
      <c r="N1030" s="464">
        <f t="shared" si="107"/>
        <v>82394</v>
      </c>
    </row>
    <row r="1031" spans="7:14" ht="11.25" customHeight="1" x14ac:dyDescent="0.3">
      <c r="G1031" s="459"/>
      <c r="H1031" s="459">
        <v>1024</v>
      </c>
      <c r="I1031" s="444">
        <f t="shared" ca="1" si="105"/>
        <v>-14045345.54824502</v>
      </c>
      <c r="J1031" s="444">
        <f t="array" ref="J1031">IFERROR(INDEX('Retirement Calculator'!K:K,MATCH('Lorri 401b'!N1031,'Retirement Calculator'!A:A,0),0),0)</f>
        <v>20367.195264578786</v>
      </c>
      <c r="K1031" s="444">
        <f t="shared" ca="1" si="103"/>
        <v>-58607.13643128999</v>
      </c>
      <c r="L1031" s="444">
        <f t="shared" ca="1" si="104"/>
        <v>-14124319.879940888</v>
      </c>
      <c r="M1031" s="460">
        <f t="shared" si="106"/>
        <v>0.05</v>
      </c>
      <c r="N1031" s="464">
        <f t="shared" si="107"/>
        <v>82425</v>
      </c>
    </row>
    <row r="1032" spans="7:14" ht="11.25" customHeight="1" x14ac:dyDescent="0.3">
      <c r="G1032" s="459"/>
      <c r="H1032" s="459">
        <v>1025</v>
      </c>
      <c r="I1032" s="444">
        <f t="shared" ca="1" si="105"/>
        <v>-14124319.879940888</v>
      </c>
      <c r="J1032" s="444">
        <f t="array" ref="J1032">IFERROR(INDEX('Retirement Calculator'!K:K,MATCH('Lorri 401b'!N1032,'Retirement Calculator'!A:A,0),0),0)</f>
        <v>20367.195264578786</v>
      </c>
      <c r="K1032" s="444">
        <f t="shared" ca="1" si="103"/>
        <v>-58936.19614668945</v>
      </c>
      <c r="L1032" s="444">
        <f t="shared" ca="1" si="104"/>
        <v>-14203623.271352155</v>
      </c>
      <c r="M1032" s="460">
        <f t="shared" si="106"/>
        <v>0.05</v>
      </c>
      <c r="N1032" s="464">
        <f t="shared" si="107"/>
        <v>82455</v>
      </c>
    </row>
    <row r="1033" spans="7:14" ht="11.25" customHeight="1" x14ac:dyDescent="0.3">
      <c r="G1033" s="459"/>
      <c r="H1033" s="459">
        <v>1026</v>
      </c>
      <c r="I1033" s="444">
        <f t="shared" ca="1" si="105"/>
        <v>-14203623.271352155</v>
      </c>
      <c r="J1033" s="444">
        <f t="array" ref="J1033">IFERROR(INDEX('Retirement Calculator'!K:K,MATCH('Lorri 401b'!N1033,'Retirement Calculator'!A:A,0),0),0)</f>
        <v>20367.195264578786</v>
      </c>
      <c r="K1033" s="444">
        <f t="shared" ca="1" si="103"/>
        <v>-59266.626944236385</v>
      </c>
      <c r="L1033" s="444">
        <f t="shared" ca="1" si="104"/>
        <v>-14283257.093560969</v>
      </c>
      <c r="M1033" s="460">
        <f t="shared" si="106"/>
        <v>0.05</v>
      </c>
      <c r="N1033" s="464">
        <f t="shared" si="107"/>
        <v>82486</v>
      </c>
    </row>
    <row r="1034" spans="7:14" ht="11.25" customHeight="1" x14ac:dyDescent="0.3">
      <c r="G1034" s="459"/>
      <c r="H1034" s="459">
        <v>1027</v>
      </c>
      <c r="I1034" s="444">
        <f t="shared" ca="1" si="105"/>
        <v>-14283257.093560969</v>
      </c>
      <c r="J1034" s="444">
        <f t="array" ref="J1034">IFERROR(INDEX('Retirement Calculator'!K:K,MATCH('Lorri 401b'!N1034,'Retirement Calculator'!A:A,0),0),0)</f>
        <v>20367.195264578786</v>
      </c>
      <c r="K1034" s="444">
        <f t="shared" ca="1" si="103"/>
        <v>-59598.434536773108</v>
      </c>
      <c r="L1034" s="444">
        <f t="shared" ca="1" si="104"/>
        <v>-14363222.723362321</v>
      </c>
      <c r="M1034" s="460">
        <f t="shared" si="106"/>
        <v>0.05</v>
      </c>
      <c r="N1034" s="464">
        <f t="shared" si="107"/>
        <v>82516</v>
      </c>
    </row>
    <row r="1035" spans="7:14" ht="11.25" customHeight="1" x14ac:dyDescent="0.3">
      <c r="G1035" s="459"/>
      <c r="H1035" s="459">
        <v>1028</v>
      </c>
      <c r="I1035" s="444">
        <f t="shared" ca="1" si="105"/>
        <v>-14363222.723362321</v>
      </c>
      <c r="J1035" s="444">
        <f t="array" ref="J1035">IFERROR(INDEX('Retirement Calculator'!K:K,MATCH('Lorri 401b'!N1035,'Retirement Calculator'!A:A,0),0),0)</f>
        <v>20367.195264578786</v>
      </c>
      <c r="K1035" s="444">
        <f t="shared" ca="1" si="103"/>
        <v>-59931.62466094541</v>
      </c>
      <c r="L1035" s="444">
        <f t="shared" ca="1" si="104"/>
        <v>-14443521.543287843</v>
      </c>
      <c r="M1035" s="460">
        <f t="shared" si="106"/>
        <v>0.05</v>
      </c>
      <c r="N1035" s="464">
        <f t="shared" si="107"/>
        <v>82547</v>
      </c>
    </row>
    <row r="1036" spans="7:14" ht="11.25" customHeight="1" x14ac:dyDescent="0.3">
      <c r="G1036" s="459"/>
      <c r="H1036" s="459">
        <v>1029</v>
      </c>
      <c r="I1036" s="444">
        <f t="shared" ca="1" si="105"/>
        <v>-14443521.543287843</v>
      </c>
      <c r="J1036" s="444">
        <f t="array" ref="J1036">IFERROR(INDEX('Retirement Calculator'!K:K,MATCH('Lorri 401b'!N1036,'Retirement Calculator'!A:A,0),0),0)</f>
        <v>20367.195264578786</v>
      </c>
      <c r="K1036" s="444">
        <f t="shared" ca="1" si="103"/>
        <v>-60266.203077301754</v>
      </c>
      <c r="L1036" s="444">
        <f t="shared" ca="1" si="104"/>
        <v>-14524154.941629723</v>
      </c>
      <c r="M1036" s="460">
        <f t="shared" si="106"/>
        <v>0.05</v>
      </c>
      <c r="N1036" s="464">
        <f t="shared" si="107"/>
        <v>82578</v>
      </c>
    </row>
    <row r="1037" spans="7:14" ht="11.25" customHeight="1" x14ac:dyDescent="0.3">
      <c r="G1037" s="459"/>
      <c r="H1037" s="459">
        <v>1030</v>
      </c>
      <c r="I1037" s="444">
        <f t="shared" ca="1" si="105"/>
        <v>-14524154.941629723</v>
      </c>
      <c r="J1037" s="444">
        <f t="array" ref="J1037">IFERROR(INDEX('Retirement Calculator'!K:K,MATCH('Lorri 401b'!N1037,'Retirement Calculator'!A:A,0),0),0)</f>
        <v>20367.195264578786</v>
      </c>
      <c r="K1037" s="444">
        <f t="shared" ca="1" si="103"/>
        <v>-60602.175570392908</v>
      </c>
      <c r="L1037" s="444">
        <f t="shared" ca="1" si="104"/>
        <v>-14605124.312464694</v>
      </c>
      <c r="M1037" s="460">
        <f t="shared" si="106"/>
        <v>0.05</v>
      </c>
      <c r="N1037" s="464">
        <f t="shared" si="107"/>
        <v>82606</v>
      </c>
    </row>
    <row r="1038" spans="7:14" ht="11.25" customHeight="1" x14ac:dyDescent="0.3">
      <c r="G1038" s="459"/>
      <c r="H1038" s="459">
        <v>1031</v>
      </c>
      <c r="I1038" s="444">
        <f t="shared" ca="1" si="105"/>
        <v>-14605124.312464694</v>
      </c>
      <c r="J1038" s="444">
        <f t="array" ref="J1038">IFERROR(INDEX('Retirement Calculator'!K:K,MATCH('Lorri 401b'!N1038,'Retirement Calculator'!A:A,0),0),0)</f>
        <v>20367.195264578786</v>
      </c>
      <c r="K1038" s="444">
        <f t="shared" ca="1" si="103"/>
        <v>-60939.547948871965</v>
      </c>
      <c r="L1038" s="444">
        <f t="shared" ca="1" si="104"/>
        <v>-14686431.055678144</v>
      </c>
      <c r="M1038" s="460">
        <f t="shared" si="106"/>
        <v>0.05</v>
      </c>
      <c r="N1038" s="464">
        <f t="shared" si="107"/>
        <v>82637</v>
      </c>
    </row>
    <row r="1039" spans="7:14" ht="11.25" customHeight="1" x14ac:dyDescent="0.3">
      <c r="G1039" s="459"/>
      <c r="H1039" s="459">
        <v>1032</v>
      </c>
      <c r="I1039" s="444">
        <f t="shared" ca="1" si="105"/>
        <v>-14686431.055678144</v>
      </c>
      <c r="J1039" s="444">
        <f t="array" ref="J1039">IFERROR(INDEX('Retirement Calculator'!K:K,MATCH('Lorri 401b'!N1039,'Retirement Calculator'!A:A,0),0),0)</f>
        <v>20367.195264578786</v>
      </c>
      <c r="K1039" s="444">
        <f t="shared" ca="1" si="103"/>
        <v>-61278.326045594673</v>
      </c>
      <c r="L1039" s="444">
        <f t="shared" ca="1" si="104"/>
        <v>-14768076.576988317</v>
      </c>
      <c r="M1039" s="460">
        <f t="shared" si="106"/>
        <v>0.05</v>
      </c>
      <c r="N1039" s="464">
        <f t="shared" si="107"/>
        <v>82667</v>
      </c>
    </row>
    <row r="1040" spans="7:14" ht="11.25" customHeight="1" x14ac:dyDescent="0.3">
      <c r="G1040" s="459"/>
      <c r="H1040" s="459">
        <v>1033</v>
      </c>
      <c r="I1040" s="444">
        <f t="shared" ca="1" si="105"/>
        <v>-14768076.576988317</v>
      </c>
      <c r="J1040" s="444">
        <f t="array" ref="J1040">IFERROR(INDEX('Retirement Calculator'!K:K,MATCH('Lorri 401b'!N1040,'Retirement Calculator'!A:A,0),0),0)</f>
        <v>20367.195264578786</v>
      </c>
      <c r="K1040" s="444">
        <f t="shared" ca="1" si="103"/>
        <v>-61618.515717720395</v>
      </c>
      <c r="L1040" s="444">
        <f t="shared" ca="1" si="104"/>
        <v>-14850062.287970616</v>
      </c>
      <c r="M1040" s="460">
        <f t="shared" si="106"/>
        <v>0.05</v>
      </c>
      <c r="N1040" s="464">
        <f t="shared" si="107"/>
        <v>82698</v>
      </c>
    </row>
    <row r="1041" spans="7:14" ht="11.25" customHeight="1" x14ac:dyDescent="0.3">
      <c r="G1041" s="459"/>
      <c r="H1041" s="459">
        <v>1034</v>
      </c>
      <c r="I1041" s="444">
        <f t="shared" ca="1" si="105"/>
        <v>-14850062.287970616</v>
      </c>
      <c r="J1041" s="444">
        <f t="array" ref="J1041">IFERROR(INDEX('Retirement Calculator'!K:K,MATCH('Lorri 401b'!N1041,'Retirement Calculator'!A:A,0),0),0)</f>
        <v>20367.195264578786</v>
      </c>
      <c r="K1041" s="444">
        <f t="shared" ca="1" si="103"/>
        <v>-61960.122846813305</v>
      </c>
      <c r="L1041" s="444">
        <f t="shared" ca="1" si="104"/>
        <v>-14932389.606082007</v>
      </c>
      <c r="M1041" s="460">
        <f t="shared" si="106"/>
        <v>0.05</v>
      </c>
      <c r="N1041" s="464">
        <f t="shared" si="107"/>
        <v>82728</v>
      </c>
    </row>
    <row r="1042" spans="7:14" ht="11.25" customHeight="1" x14ac:dyDescent="0.3">
      <c r="G1042" s="459"/>
      <c r="H1042" s="459">
        <v>1035</v>
      </c>
      <c r="I1042" s="444">
        <f t="shared" ca="1" si="105"/>
        <v>-14932389.606082007</v>
      </c>
      <c r="J1042" s="444">
        <f t="array" ref="J1042">IFERROR(INDEX('Retirement Calculator'!K:K,MATCH('Lorri 401b'!N1042,'Retirement Calculator'!A:A,0),0),0)</f>
        <v>20367.195264578786</v>
      </c>
      <c r="K1042" s="444">
        <f t="shared" ca="1" si="103"/>
        <v>-62303.15333894411</v>
      </c>
      <c r="L1042" s="444">
        <f t="shared" ca="1" si="104"/>
        <v>-15015059.95468553</v>
      </c>
      <c r="M1042" s="460">
        <f t="shared" si="106"/>
        <v>0.05</v>
      </c>
      <c r="N1042" s="464">
        <f t="shared" si="107"/>
        <v>82759</v>
      </c>
    </row>
    <row r="1043" spans="7:14" ht="11.25" customHeight="1" x14ac:dyDescent="0.3">
      <c r="G1043" s="459"/>
      <c r="H1043" s="459">
        <v>1036</v>
      </c>
      <c r="I1043" s="444">
        <f t="shared" ca="1" si="105"/>
        <v>-15015059.95468553</v>
      </c>
      <c r="J1043" s="444">
        <f t="array" ref="J1043">IFERROR(INDEX('Retirement Calculator'!K:K,MATCH('Lorri 401b'!N1043,'Retirement Calculator'!A:A,0),0),0)</f>
        <v>20367.195264578786</v>
      </c>
      <c r="K1043" s="444">
        <f t="shared" ca="1" si="103"/>
        <v>-62647.613124792115</v>
      </c>
      <c r="L1043" s="444">
        <f t="shared" ca="1" si="104"/>
        <v>-15098074.763074899</v>
      </c>
      <c r="M1043" s="460">
        <f t="shared" si="106"/>
        <v>0.05</v>
      </c>
      <c r="N1043" s="464">
        <f t="shared" si="107"/>
        <v>82790</v>
      </c>
    </row>
    <row r="1044" spans="7:14" ht="11.25" customHeight="1" x14ac:dyDescent="0.3">
      <c r="G1044" s="459"/>
      <c r="H1044" s="459">
        <v>1037</v>
      </c>
      <c r="I1044" s="444">
        <f t="shared" ca="1" si="105"/>
        <v>-15098074.763074899</v>
      </c>
      <c r="J1044" s="444">
        <f t="array" ref="J1044">IFERROR(INDEX('Retirement Calculator'!K:K,MATCH('Lorri 401b'!N1044,'Retirement Calculator'!A:A,0),0),0)</f>
        <v>20367.195264578786</v>
      </c>
      <c r="K1044" s="444">
        <f t="shared" ca="1" si="103"/>
        <v>-62993.508159747813</v>
      </c>
      <c r="L1044" s="444">
        <f t="shared" ca="1" si="104"/>
        <v>-15181435.466499224</v>
      </c>
      <c r="M1044" s="460">
        <f t="shared" si="106"/>
        <v>0.05</v>
      </c>
      <c r="N1044" s="464">
        <f t="shared" si="107"/>
        <v>82820</v>
      </c>
    </row>
    <row r="1045" spans="7:14" ht="11.25" customHeight="1" x14ac:dyDescent="0.3">
      <c r="G1045" s="459"/>
      <c r="H1045" s="459">
        <v>1038</v>
      </c>
      <c r="I1045" s="444">
        <f t="shared" ca="1" si="105"/>
        <v>-15181435.466499224</v>
      </c>
      <c r="J1045" s="444">
        <f t="array" ref="J1045">IFERROR(INDEX('Retirement Calculator'!K:K,MATCH('Lorri 401b'!N1045,'Retirement Calculator'!A:A,0),0),0)</f>
        <v>20367.195264578786</v>
      </c>
      <c r="K1045" s="444">
        <f t="shared" ca="1" si="103"/>
        <v>-63340.844424015835</v>
      </c>
      <c r="L1045" s="444">
        <f t="shared" ca="1" si="104"/>
        <v>-15265143.506187817</v>
      </c>
      <c r="M1045" s="460">
        <f t="shared" si="106"/>
        <v>0.05</v>
      </c>
      <c r="N1045" s="464">
        <f t="shared" si="107"/>
        <v>82851</v>
      </c>
    </row>
    <row r="1046" spans="7:14" ht="11.25" customHeight="1" x14ac:dyDescent="0.3">
      <c r="G1046" s="459"/>
      <c r="H1046" s="459">
        <v>1039</v>
      </c>
      <c r="I1046" s="444">
        <f t="shared" ca="1" si="105"/>
        <v>-15265143.506187817</v>
      </c>
      <c r="J1046" s="444">
        <f t="array" ref="J1046">IFERROR(INDEX('Retirement Calculator'!K:K,MATCH('Lorri 401b'!N1046,'Retirement Calculator'!A:A,0),0),0)</f>
        <v>20367.195264578786</v>
      </c>
      <c r="K1046" s="444">
        <f t="shared" ca="1" si="103"/>
        <v>-63689.627922718311</v>
      </c>
      <c r="L1046" s="444">
        <f t="shared" ca="1" si="104"/>
        <v>-15349200.329375112</v>
      </c>
      <c r="M1046" s="460">
        <f t="shared" si="106"/>
        <v>0.05</v>
      </c>
      <c r="N1046" s="464">
        <f t="shared" si="107"/>
        <v>82881</v>
      </c>
    </row>
    <row r="1047" spans="7:14" ht="11.25" customHeight="1" x14ac:dyDescent="0.3">
      <c r="G1047" s="459"/>
      <c r="H1047" s="459">
        <v>1040</v>
      </c>
      <c r="I1047" s="444">
        <f t="shared" ca="1" si="105"/>
        <v>-15349200.329375112</v>
      </c>
      <c r="J1047" s="444">
        <f t="array" ref="J1047">IFERROR(INDEX('Retirement Calculator'!K:K,MATCH('Lorri 401b'!N1047,'Retirement Calculator'!A:A,0),0),0)</f>
        <v>20367.195264578786</v>
      </c>
      <c r="K1047" s="444">
        <f t="shared" ca="1" si="103"/>
        <v>-64039.864685998706</v>
      </c>
      <c r="L1047" s="444">
        <f t="shared" ca="1" si="104"/>
        <v>-15433607.38932569</v>
      </c>
      <c r="M1047" s="460">
        <f t="shared" si="106"/>
        <v>0.05</v>
      </c>
      <c r="N1047" s="464">
        <f t="shared" si="107"/>
        <v>82912</v>
      </c>
    </row>
    <row r="1048" spans="7:14" ht="11.25" customHeight="1" x14ac:dyDescent="0.3">
      <c r="G1048" s="459"/>
      <c r="H1048" s="459">
        <v>1041</v>
      </c>
      <c r="I1048" s="444">
        <f t="shared" ca="1" si="105"/>
        <v>-15433607.38932569</v>
      </c>
      <c r="J1048" s="444">
        <f t="array" ref="J1048">IFERROR(INDEX('Retirement Calculator'!K:K,MATCH('Lorri 401b'!N1048,'Retirement Calculator'!A:A,0),0),0)</f>
        <v>20367.195264578786</v>
      </c>
      <c r="K1048" s="444">
        <f t="shared" ca="1" si="103"/>
        <v>-64391.56076912611</v>
      </c>
      <c r="L1048" s="444">
        <f t="shared" ca="1" si="104"/>
        <v>-15518366.145359393</v>
      </c>
      <c r="M1048" s="460">
        <f t="shared" si="106"/>
        <v>0.05</v>
      </c>
      <c r="N1048" s="464">
        <f t="shared" si="107"/>
        <v>82943</v>
      </c>
    </row>
    <row r="1049" spans="7:14" ht="11.25" customHeight="1" x14ac:dyDescent="0.3">
      <c r="G1049" s="459"/>
      <c r="H1049" s="459">
        <v>1042</v>
      </c>
      <c r="I1049" s="444">
        <f t="shared" ca="1" si="105"/>
        <v>-15518366.145359393</v>
      </c>
      <c r="J1049" s="444">
        <f t="array" ref="J1049">IFERROR(INDEX('Retirement Calculator'!K:K,MATCH('Lorri 401b'!N1049,'Retirement Calculator'!A:A,0),0),0)</f>
        <v>20367.195264578786</v>
      </c>
      <c r="K1049" s="444">
        <f t="shared" ca="1" si="103"/>
        <v>-64744.722252599873</v>
      </c>
      <c r="L1049" s="444">
        <f t="shared" ca="1" si="104"/>
        <v>-15603478.062876571</v>
      </c>
      <c r="M1049" s="460">
        <f t="shared" si="106"/>
        <v>0.05</v>
      </c>
      <c r="N1049" s="464">
        <f t="shared" si="107"/>
        <v>82971</v>
      </c>
    </row>
    <row r="1050" spans="7:14" ht="11.25" customHeight="1" x14ac:dyDescent="0.3">
      <c r="G1050" s="459"/>
      <c r="H1050" s="459">
        <v>1043</v>
      </c>
      <c r="I1050" s="444">
        <f t="shared" ca="1" si="105"/>
        <v>-15603478.062876571</v>
      </c>
      <c r="J1050" s="444">
        <f t="array" ref="J1050">IFERROR(INDEX('Retirement Calculator'!K:K,MATCH('Lorri 401b'!N1050,'Retirement Calculator'!A:A,0),0),0)</f>
        <v>20367.195264578786</v>
      </c>
      <c r="K1050" s="444">
        <f t="shared" ca="1" si="103"/>
        <v>-65099.355242254787</v>
      </c>
      <c r="L1050" s="444">
        <f t="shared" ca="1" si="104"/>
        <v>-15688944.613383403</v>
      </c>
      <c r="M1050" s="460">
        <f t="shared" si="106"/>
        <v>0.05</v>
      </c>
      <c r="N1050" s="464">
        <f t="shared" si="107"/>
        <v>83002</v>
      </c>
    </row>
    <row r="1051" spans="7:14" ht="11.25" customHeight="1" x14ac:dyDescent="0.3">
      <c r="G1051" s="459"/>
      <c r="H1051" s="459">
        <v>1044</v>
      </c>
      <c r="I1051" s="444">
        <f t="shared" ca="1" si="105"/>
        <v>-15688944.613383403</v>
      </c>
      <c r="J1051" s="444">
        <f t="array" ref="J1051">IFERROR(INDEX('Retirement Calculator'!K:K,MATCH('Lorri 401b'!N1051,'Retirement Calculator'!A:A,0),0),0)</f>
        <v>20367.195264578786</v>
      </c>
      <c r="K1051" s="444">
        <f t="shared" ca="1" si="103"/>
        <v>-65455.465869366584</v>
      </c>
      <c r="L1051" s="444">
        <f t="shared" ca="1" si="104"/>
        <v>-15774767.274517348</v>
      </c>
      <c r="M1051" s="460">
        <f t="shared" si="106"/>
        <v>0.05</v>
      </c>
      <c r="N1051" s="464">
        <f t="shared" si="107"/>
        <v>83032</v>
      </c>
    </row>
    <row r="1052" spans="7:14" ht="11.25" customHeight="1" x14ac:dyDescent="0.3">
      <c r="G1052" s="459"/>
      <c r="H1052" s="459">
        <v>1045</v>
      </c>
      <c r="I1052" s="444">
        <f t="shared" ca="1" si="105"/>
        <v>-15774767.274517348</v>
      </c>
      <c r="J1052" s="444">
        <f t="array" ref="J1052">IFERROR(INDEX('Retirement Calculator'!K:K,MATCH('Lorri 401b'!N1052,'Retirement Calculator'!A:A,0),0),0)</f>
        <v>20367.195264578786</v>
      </c>
      <c r="K1052" s="444">
        <f t="shared" ca="1" si="103"/>
        <v>-65813.060290758018</v>
      </c>
      <c r="L1052" s="444">
        <f t="shared" ca="1" si="104"/>
        <v>-15860947.530072683</v>
      </c>
      <c r="M1052" s="460">
        <f t="shared" si="106"/>
        <v>0.05</v>
      </c>
      <c r="N1052" s="464">
        <f t="shared" si="107"/>
        <v>83063</v>
      </c>
    </row>
    <row r="1053" spans="7:14" ht="11.25" customHeight="1" x14ac:dyDescent="0.3">
      <c r="G1053" s="459"/>
      <c r="H1053" s="459">
        <v>1046</v>
      </c>
      <c r="I1053" s="444">
        <f t="shared" ca="1" si="105"/>
        <v>-15860947.530072683</v>
      </c>
      <c r="J1053" s="444">
        <f t="array" ref="J1053">IFERROR(INDEX('Retirement Calculator'!K:K,MATCH('Lorri 401b'!N1053,'Retirement Calculator'!A:A,0),0),0)</f>
        <v>20367.195264578786</v>
      </c>
      <c r="K1053" s="444">
        <f t="shared" ca="1" si="103"/>
        <v>-66172.14468890526</v>
      </c>
      <c r="L1053" s="444">
        <f t="shared" ca="1" si="104"/>
        <v>-15947486.870026167</v>
      </c>
      <c r="M1053" s="460">
        <f t="shared" si="106"/>
        <v>0.05</v>
      </c>
      <c r="N1053" s="464">
        <f t="shared" si="107"/>
        <v>83093</v>
      </c>
    </row>
    <row r="1054" spans="7:14" ht="11.25" customHeight="1" x14ac:dyDescent="0.3">
      <c r="G1054" s="459"/>
      <c r="H1054" s="459">
        <v>1047</v>
      </c>
      <c r="I1054" s="444">
        <f t="shared" ca="1" si="105"/>
        <v>-15947486.870026167</v>
      </c>
      <c r="J1054" s="444">
        <f t="array" ref="J1054">IFERROR(INDEX('Retirement Calculator'!K:K,MATCH('Lorri 401b'!N1054,'Retirement Calculator'!A:A,0),0),0)</f>
        <v>20367.195264578786</v>
      </c>
      <c r="K1054" s="444">
        <f t="shared" ca="1" si="103"/>
        <v>-66532.725272044772</v>
      </c>
      <c r="L1054" s="444">
        <f t="shared" ca="1" si="104"/>
        <v>-16034386.79056279</v>
      </c>
      <c r="M1054" s="460">
        <f t="shared" si="106"/>
        <v>0.05</v>
      </c>
      <c r="N1054" s="464">
        <f t="shared" si="107"/>
        <v>83124</v>
      </c>
    </row>
    <row r="1055" spans="7:14" ht="11.25" customHeight="1" x14ac:dyDescent="0.3">
      <c r="G1055" s="459"/>
      <c r="H1055" s="459">
        <v>1048</v>
      </c>
      <c r="I1055" s="444">
        <f t="shared" ca="1" si="105"/>
        <v>-16034386.79056279</v>
      </c>
      <c r="J1055" s="444">
        <f t="array" ref="J1055">IFERROR(INDEX('Retirement Calculator'!K:K,MATCH('Lorri 401b'!N1055,'Retirement Calculator'!A:A,0),0),0)</f>
        <v>20367.195264578786</v>
      </c>
      <c r="K1055" s="444">
        <f t="shared" ca="1" si="103"/>
        <v>-66894.808274280702</v>
      </c>
      <c r="L1055" s="444">
        <f t="shared" ca="1" si="104"/>
        <v>-16121648.794101648</v>
      </c>
      <c r="M1055" s="460">
        <f t="shared" si="106"/>
        <v>0.05</v>
      </c>
      <c r="N1055" s="464">
        <f t="shared" si="107"/>
        <v>83155</v>
      </c>
    </row>
    <row r="1056" spans="7:14" ht="11.25" customHeight="1" x14ac:dyDescent="0.3">
      <c r="G1056" s="459"/>
      <c r="H1056" s="459">
        <v>1049</v>
      </c>
      <c r="I1056" s="444">
        <f t="shared" ca="1" si="105"/>
        <v>-16121648.794101648</v>
      </c>
      <c r="J1056" s="444">
        <f t="array" ref="J1056">IFERROR(INDEX('Retirement Calculator'!K:K,MATCH('Lorri 401b'!N1056,'Retirement Calculator'!A:A,0),0),0)</f>
        <v>20367.195264578786</v>
      </c>
      <c r="K1056" s="444">
        <f t="shared" ca="1" si="103"/>
        <v>-67258.399955692614</v>
      </c>
      <c r="L1056" s="444">
        <f t="shared" ca="1" si="104"/>
        <v>-16209274.389321918</v>
      </c>
      <c r="M1056" s="460">
        <f t="shared" si="106"/>
        <v>0.05</v>
      </c>
      <c r="N1056" s="464">
        <f t="shared" si="107"/>
        <v>83185</v>
      </c>
    </row>
    <row r="1057" spans="7:14" ht="11.25" customHeight="1" x14ac:dyDescent="0.3">
      <c r="G1057" s="459"/>
      <c r="H1057" s="459">
        <v>1050</v>
      </c>
      <c r="I1057" s="444">
        <f t="shared" ca="1" si="105"/>
        <v>-16209274.389321918</v>
      </c>
      <c r="J1057" s="444">
        <f t="array" ref="J1057">IFERROR(INDEX('Retirement Calculator'!K:K,MATCH('Lorri 401b'!N1057,'Retirement Calculator'!A:A,0),0),0)</f>
        <v>20367.195264578786</v>
      </c>
      <c r="K1057" s="444">
        <f t="shared" ca="1" si="103"/>
        <v>-67623.506602443726</v>
      </c>
      <c r="L1057" s="444">
        <f t="shared" ca="1" si="104"/>
        <v>-16297265.091188939</v>
      </c>
      <c r="M1057" s="460">
        <f t="shared" si="106"/>
        <v>0.05</v>
      </c>
      <c r="N1057" s="464">
        <f t="shared" si="107"/>
        <v>83216</v>
      </c>
    </row>
    <row r="1058" spans="7:14" ht="11.25" customHeight="1" x14ac:dyDescent="0.3">
      <c r="G1058" s="459"/>
      <c r="H1058" s="459">
        <v>1051</v>
      </c>
      <c r="I1058" s="444">
        <f t="shared" ca="1" si="105"/>
        <v>-16297265.091188939</v>
      </c>
      <c r="J1058" s="444">
        <f t="array" ref="J1058">IFERROR(INDEX('Retirement Calculator'!K:K,MATCH('Lorri 401b'!N1058,'Retirement Calculator'!A:A,0),0),0)</f>
        <v>20367.195264578786</v>
      </c>
      <c r="K1058" s="444">
        <f t="shared" ca="1" si="103"/>
        <v>-67990.134526889655</v>
      </c>
      <c r="L1058" s="444">
        <f t="shared" ca="1" si="104"/>
        <v>-16385622.420980407</v>
      </c>
      <c r="M1058" s="460">
        <f t="shared" si="106"/>
        <v>0.05</v>
      </c>
      <c r="N1058" s="464">
        <f t="shared" si="107"/>
        <v>83246</v>
      </c>
    </row>
    <row r="1059" spans="7:14" ht="11.25" customHeight="1" x14ac:dyDescent="0.3">
      <c r="G1059" s="459"/>
      <c r="H1059" s="459">
        <v>1052</v>
      </c>
      <c r="I1059" s="444">
        <f t="shared" ca="1" si="105"/>
        <v>-16385622.420980407</v>
      </c>
      <c r="J1059" s="444">
        <f t="array" ref="J1059">IFERROR(INDEX('Retirement Calculator'!K:K,MATCH('Lorri 401b'!N1059,'Retirement Calculator'!A:A,0),0),0)</f>
        <v>20367.195264578786</v>
      </c>
      <c r="K1059" s="444">
        <f t="shared" ca="1" si="103"/>
        <v>-68358.290067687441</v>
      </c>
      <c r="L1059" s="444">
        <f t="shared" ca="1" si="104"/>
        <v>-16474347.906312672</v>
      </c>
      <c r="M1059" s="460">
        <f t="shared" si="106"/>
        <v>0.05</v>
      </c>
      <c r="N1059" s="464">
        <f t="shared" si="107"/>
        <v>83277</v>
      </c>
    </row>
    <row r="1060" spans="7:14" ht="11.25" customHeight="1" x14ac:dyDescent="0.3">
      <c r="G1060" s="459"/>
      <c r="H1060" s="459">
        <v>1053</v>
      </c>
      <c r="I1060" s="444">
        <f t="shared" ca="1" si="105"/>
        <v>-16474347.906312672</v>
      </c>
      <c r="J1060" s="444">
        <f t="array" ref="J1060">IFERROR(INDEX('Retirement Calculator'!K:K,MATCH('Lorri 401b'!N1060,'Retirement Calculator'!A:A,0),0),0)</f>
        <v>20367.195264578786</v>
      </c>
      <c r="K1060" s="444">
        <f t="shared" ca="1" si="103"/>
        <v>-68727.979589905197</v>
      </c>
      <c r="L1060" s="444">
        <f t="shared" ca="1" si="104"/>
        <v>-16563443.081167156</v>
      </c>
      <c r="M1060" s="460">
        <f t="shared" si="106"/>
        <v>0.05</v>
      </c>
      <c r="N1060" s="464">
        <f t="shared" si="107"/>
        <v>83308</v>
      </c>
    </row>
    <row r="1061" spans="7:14" ht="11.25" customHeight="1" x14ac:dyDescent="0.3">
      <c r="G1061" s="459"/>
      <c r="H1061" s="459">
        <v>1054</v>
      </c>
      <c r="I1061" s="444">
        <f t="shared" ca="1" si="105"/>
        <v>-16563443.081167156</v>
      </c>
      <c r="J1061" s="444">
        <f t="array" ref="J1061">IFERROR(INDEX('Retirement Calculator'!K:K,MATCH('Lorri 401b'!N1061,'Retirement Calculator'!A:A,0),0),0)</f>
        <v>20367.195264578786</v>
      </c>
      <c r="K1061" s="444">
        <f t="shared" ca="1" si="103"/>
        <v>-69099.209485132218</v>
      </c>
      <c r="L1061" s="444">
        <f t="shared" ca="1" si="104"/>
        <v>-16652909.485916866</v>
      </c>
      <c r="M1061" s="460">
        <f t="shared" si="106"/>
        <v>0.05</v>
      </c>
      <c r="N1061" s="464">
        <f t="shared" si="107"/>
        <v>83337</v>
      </c>
    </row>
    <row r="1062" spans="7:14" ht="11.25" customHeight="1" x14ac:dyDescent="0.3">
      <c r="G1062" s="459"/>
      <c r="H1062" s="459">
        <v>1055</v>
      </c>
      <c r="I1062" s="444">
        <f t="shared" ca="1" si="105"/>
        <v>-16652909.485916866</v>
      </c>
      <c r="J1062" s="444">
        <f t="array" ref="J1062">IFERROR(INDEX('Retirement Calculator'!K:K,MATCH('Lorri 401b'!N1062,'Retirement Calculator'!A:A,0),0),0)</f>
        <v>20367.195264578786</v>
      </c>
      <c r="K1062" s="444">
        <f t="shared" ca="1" si="103"/>
        <v>-69471.986171589349</v>
      </c>
      <c r="L1062" s="444">
        <f t="shared" ca="1" si="104"/>
        <v>-16742748.667353034</v>
      </c>
      <c r="M1062" s="460">
        <f t="shared" si="106"/>
        <v>0.05</v>
      </c>
      <c r="N1062" s="464">
        <f t="shared" si="107"/>
        <v>83368</v>
      </c>
    </row>
    <row r="1063" spans="7:14" ht="11.25" customHeight="1" x14ac:dyDescent="0.3">
      <c r="G1063" s="459"/>
      <c r="H1063" s="459">
        <v>1056</v>
      </c>
      <c r="I1063" s="444">
        <f t="shared" ca="1" si="105"/>
        <v>-16742748.667353034</v>
      </c>
      <c r="J1063" s="444">
        <f t="array" ref="J1063">IFERROR(INDEX('Retirement Calculator'!K:K,MATCH('Lorri 401b'!N1063,'Retirement Calculator'!A:A,0),0),0)</f>
        <v>20367.195264578786</v>
      </c>
      <c r="K1063" s="444">
        <f t="shared" ca="1" si="103"/>
        <v>-69846.316094240043</v>
      </c>
      <c r="L1063" s="444">
        <f t="shared" ca="1" si="104"/>
        <v>-16832962.17871185</v>
      </c>
      <c r="M1063" s="460">
        <f t="shared" si="106"/>
        <v>0.05</v>
      </c>
      <c r="N1063" s="464">
        <f t="shared" si="107"/>
        <v>83398</v>
      </c>
    </row>
    <row r="1064" spans="7:14" ht="11.25" customHeight="1" x14ac:dyDescent="0.3">
      <c r="G1064" s="459"/>
      <c r="H1064" s="459">
        <v>1057</v>
      </c>
      <c r="I1064" s="444">
        <f t="shared" ca="1" si="105"/>
        <v>-16832962.17871185</v>
      </c>
      <c r="J1064" s="444">
        <f t="array" ref="J1064">IFERROR(INDEX('Retirement Calculator'!K:K,MATCH('Lorri 401b'!N1064,'Retirement Calculator'!A:A,0),0),0)</f>
        <v>20367.195264578786</v>
      </c>
      <c r="K1064" s="444">
        <f t="shared" ca="1" si="103"/>
        <v>-70222.205724901782</v>
      </c>
      <c r="L1064" s="444">
        <f t="shared" ca="1" si="104"/>
        <v>-16923551.579701331</v>
      </c>
      <c r="M1064" s="460">
        <f t="shared" si="106"/>
        <v>0.05</v>
      </c>
      <c r="N1064" s="464">
        <f t="shared" si="107"/>
        <v>83429</v>
      </c>
    </row>
    <row r="1065" spans="7:14" ht="11.25" customHeight="1" x14ac:dyDescent="0.3">
      <c r="G1065" s="459"/>
      <c r="H1065" s="459">
        <v>1058</v>
      </c>
      <c r="I1065" s="444">
        <f t="shared" ca="1" si="105"/>
        <v>-16923551.579701331</v>
      </c>
      <c r="J1065" s="444">
        <f t="array" ref="J1065">IFERROR(INDEX('Retirement Calculator'!K:K,MATCH('Lorri 401b'!N1065,'Retirement Calculator'!A:A,0),0),0)</f>
        <v>20367.195264578786</v>
      </c>
      <c r="K1065" s="444">
        <f t="shared" ca="1" si="103"/>
        <v>-70599.661562357956</v>
      </c>
      <c r="L1065" s="444">
        <f t="shared" ca="1" si="104"/>
        <v>-17014518.436528265</v>
      </c>
      <c r="M1065" s="460">
        <f t="shared" si="106"/>
        <v>0.05</v>
      </c>
      <c r="N1065" s="464">
        <f t="shared" si="107"/>
        <v>83459</v>
      </c>
    </row>
    <row r="1066" spans="7:14" ht="11.25" customHeight="1" x14ac:dyDescent="0.3">
      <c r="G1066" s="459"/>
      <c r="H1066" s="459">
        <v>1059</v>
      </c>
      <c r="I1066" s="444">
        <f t="shared" ca="1" si="105"/>
        <v>-17014518.436528265</v>
      </c>
      <c r="J1066" s="444">
        <f t="array" ref="J1066">IFERROR(INDEX('Retirement Calculator'!K:K,MATCH('Lorri 401b'!N1066,'Retirement Calculator'!A:A,0),0),0)</f>
        <v>20367.195264578786</v>
      </c>
      <c r="K1066" s="444">
        <f t="shared" ca="1" si="103"/>
        <v>-70978.690132470176</v>
      </c>
      <c r="L1066" s="444">
        <f t="shared" ca="1" si="104"/>
        <v>-17105864.321925312</v>
      </c>
      <c r="M1066" s="460">
        <f t="shared" si="106"/>
        <v>0.05</v>
      </c>
      <c r="N1066" s="464">
        <f t="shared" si="107"/>
        <v>83490</v>
      </c>
    </row>
    <row r="1067" spans="7:14" ht="11.25" customHeight="1" x14ac:dyDescent="0.3">
      <c r="G1067" s="459"/>
      <c r="H1067" s="459">
        <v>1060</v>
      </c>
      <c r="I1067" s="444">
        <f t="shared" ca="1" si="105"/>
        <v>-17105864.321925312</v>
      </c>
      <c r="J1067" s="444">
        <f t="array" ref="J1067">IFERROR(INDEX('Retirement Calculator'!K:K,MATCH('Lorri 401b'!N1067,'Retirement Calculator'!A:A,0),0),0)</f>
        <v>20367.195264578786</v>
      </c>
      <c r="K1067" s="444">
        <f t="shared" ca="1" si="103"/>
        <v>-71359.297988291204</v>
      </c>
      <c r="L1067" s="444">
        <f t="shared" ca="1" si="104"/>
        <v>-17197590.815178182</v>
      </c>
      <c r="M1067" s="460">
        <f t="shared" si="106"/>
        <v>0.05</v>
      </c>
      <c r="N1067" s="464">
        <f t="shared" si="107"/>
        <v>83521</v>
      </c>
    </row>
    <row r="1068" spans="7:14" ht="11.25" customHeight="1" x14ac:dyDescent="0.3">
      <c r="G1068" s="459"/>
      <c r="H1068" s="459">
        <v>1061</v>
      </c>
      <c r="I1068" s="444">
        <f t="shared" ca="1" si="105"/>
        <v>-17197590.815178182</v>
      </c>
      <c r="J1068" s="444">
        <f t="array" ref="J1068">IFERROR(INDEX('Retirement Calculator'!K:K,MATCH('Lorri 401b'!N1068,'Retirement Calculator'!A:A,0),0),0)</f>
        <v>20367.195264578786</v>
      </c>
      <c r="K1068" s="444">
        <f t="shared" ca="1" si="103"/>
        <v>-71741.491710178161</v>
      </c>
      <c r="L1068" s="444">
        <f t="shared" ca="1" si="104"/>
        <v>-17289699.502152938</v>
      </c>
      <c r="M1068" s="460">
        <f t="shared" si="106"/>
        <v>0.05</v>
      </c>
      <c r="N1068" s="464">
        <f t="shared" si="107"/>
        <v>83551</v>
      </c>
    </row>
    <row r="1069" spans="7:14" ht="11.25" customHeight="1" x14ac:dyDescent="0.3">
      <c r="G1069" s="459"/>
      <c r="H1069" s="459">
        <v>1062</v>
      </c>
      <c r="I1069" s="444">
        <f t="shared" ca="1" si="105"/>
        <v>-17289699.502152938</v>
      </c>
      <c r="J1069" s="444">
        <f t="array" ref="J1069">IFERROR(INDEX('Retirement Calculator'!K:K,MATCH('Lorri 401b'!N1069,'Retirement Calculator'!A:A,0),0),0)</f>
        <v>20367.195264578786</v>
      </c>
      <c r="K1069" s="444">
        <f t="shared" ca="1" si="103"/>
        <v>-72125.277905906318</v>
      </c>
      <c r="L1069" s="444">
        <f t="shared" ca="1" si="104"/>
        <v>-17382191.975323424</v>
      </c>
      <c r="M1069" s="460">
        <f t="shared" si="106"/>
        <v>0.05</v>
      </c>
      <c r="N1069" s="464">
        <f t="shared" si="107"/>
        <v>83582</v>
      </c>
    </row>
    <row r="1070" spans="7:14" ht="11.25" customHeight="1" x14ac:dyDescent="0.3">
      <c r="G1070" s="459"/>
      <c r="H1070" s="459">
        <v>1063</v>
      </c>
      <c r="I1070" s="444">
        <f t="shared" ca="1" si="105"/>
        <v>-17382191.975323424</v>
      </c>
      <c r="J1070" s="444">
        <f t="array" ref="J1070">IFERROR(INDEX('Retirement Calculator'!K:K,MATCH('Lorri 401b'!N1070,'Retirement Calculator'!A:A,0),0),0)</f>
        <v>20367.195264578786</v>
      </c>
      <c r="K1070" s="444">
        <f t="shared" ca="1" si="103"/>
        <v>-72510.663210783343</v>
      </c>
      <c r="L1070" s="444">
        <f t="shared" ca="1" si="104"/>
        <v>-17475069.833798785</v>
      </c>
      <c r="M1070" s="460">
        <f t="shared" si="106"/>
        <v>0.05</v>
      </c>
      <c r="N1070" s="464">
        <f t="shared" si="107"/>
        <v>83612</v>
      </c>
    </row>
    <row r="1071" spans="7:14" ht="11.25" customHeight="1" x14ac:dyDescent="0.3">
      <c r="G1071" s="459"/>
      <c r="H1071" s="459">
        <v>1064</v>
      </c>
      <c r="I1071" s="444">
        <f t="shared" ca="1" si="105"/>
        <v>-17475069.833798785</v>
      </c>
      <c r="J1071" s="444">
        <f t="array" ref="J1071">IFERROR(INDEX('Retirement Calculator'!K:K,MATCH('Lorri 401b'!N1071,'Retirement Calculator'!A:A,0),0),0)</f>
        <v>20367.195264578786</v>
      </c>
      <c r="K1071" s="444">
        <f t="shared" ca="1" si="103"/>
        <v>-72897.654287764017</v>
      </c>
      <c r="L1071" s="444">
        <f t="shared" ca="1" si="104"/>
        <v>-17568334.683351126</v>
      </c>
      <c r="M1071" s="460">
        <f t="shared" si="106"/>
        <v>0.05</v>
      </c>
      <c r="N1071" s="464">
        <f t="shared" si="107"/>
        <v>83643</v>
      </c>
    </row>
    <row r="1072" spans="7:14" ht="11.25" customHeight="1" x14ac:dyDescent="0.3">
      <c r="G1072" s="459"/>
      <c r="H1072" s="459">
        <v>1065</v>
      </c>
      <c r="I1072" s="444">
        <f t="shared" ca="1" si="105"/>
        <v>-17568334.683351126</v>
      </c>
      <c r="J1072" s="444">
        <f t="array" ref="J1072">IFERROR(INDEX('Retirement Calculator'!K:K,MATCH('Lorri 401b'!N1072,'Retirement Calculator'!A:A,0),0),0)</f>
        <v>20367.195264578786</v>
      </c>
      <c r="K1072" s="444">
        <f t="shared" ca="1" si="103"/>
        <v>-73286.257827565423</v>
      </c>
      <c r="L1072" s="444">
        <f t="shared" ca="1" si="104"/>
        <v>-17661988.136443269</v>
      </c>
      <c r="M1072" s="460">
        <f t="shared" si="106"/>
        <v>0.05</v>
      </c>
      <c r="N1072" s="464">
        <f t="shared" si="107"/>
        <v>83674</v>
      </c>
    </row>
    <row r="1073" spans="7:14" ht="11.25" customHeight="1" x14ac:dyDescent="0.3">
      <c r="G1073" s="459"/>
      <c r="H1073" s="459">
        <v>1066</v>
      </c>
      <c r="I1073" s="444">
        <f t="shared" ca="1" si="105"/>
        <v>-17661988.136443269</v>
      </c>
      <c r="J1073" s="444">
        <f t="array" ref="J1073">IFERROR(INDEX('Retirement Calculator'!K:K,MATCH('Lorri 401b'!N1073,'Retirement Calculator'!A:A,0),0),0)</f>
        <v>20367.195264578786</v>
      </c>
      <c r="K1073" s="444">
        <f t="shared" ca="1" si="103"/>
        <v>-73676.480548782696</v>
      </c>
      <c r="L1073" s="444">
        <f t="shared" ca="1" si="104"/>
        <v>-17756031.812256631</v>
      </c>
      <c r="M1073" s="460">
        <f t="shared" si="106"/>
        <v>0.05</v>
      </c>
      <c r="N1073" s="464">
        <f t="shared" si="107"/>
        <v>83702</v>
      </c>
    </row>
    <row r="1074" spans="7:14" ht="11.25" customHeight="1" x14ac:dyDescent="0.3">
      <c r="G1074" s="459"/>
      <c r="H1074" s="459">
        <v>1067</v>
      </c>
      <c r="I1074" s="444">
        <f t="shared" ca="1" si="105"/>
        <v>-17756031.812256631</v>
      </c>
      <c r="J1074" s="444">
        <f t="array" ref="J1074">IFERROR(INDEX('Retirement Calculator'!K:K,MATCH('Lorri 401b'!N1074,'Retirement Calculator'!A:A,0),0),0)</f>
        <v>20367.195264578786</v>
      </c>
      <c r="K1074" s="444">
        <f t="shared" ca="1" si="103"/>
        <v>-74068.329198005027</v>
      </c>
      <c r="L1074" s="444">
        <f t="shared" ca="1" si="104"/>
        <v>-17850467.336719215</v>
      </c>
      <c r="M1074" s="460">
        <f t="shared" si="106"/>
        <v>0.05</v>
      </c>
      <c r="N1074" s="464">
        <f t="shared" si="107"/>
        <v>83733</v>
      </c>
    </row>
    <row r="1075" spans="7:14" ht="11.25" customHeight="1" x14ac:dyDescent="0.3">
      <c r="G1075" s="459"/>
      <c r="H1075" s="459">
        <v>1068</v>
      </c>
      <c r="I1075" s="444">
        <f t="shared" ca="1" si="105"/>
        <v>-17850467.336719215</v>
      </c>
      <c r="J1075" s="444">
        <f t="array" ref="J1075">IFERROR(INDEX('Retirement Calculator'!K:K,MATCH('Lorri 401b'!N1075,'Retirement Calculator'!A:A,0),0),0)</f>
        <v>20367.195264578786</v>
      </c>
      <c r="K1075" s="444">
        <f t="shared" ca="1" si="103"/>
        <v>-74461.810549932474</v>
      </c>
      <c r="L1075" s="444">
        <f t="shared" ca="1" si="104"/>
        <v>-17945296.342533726</v>
      </c>
      <c r="M1075" s="460">
        <f t="shared" si="106"/>
        <v>0.05</v>
      </c>
      <c r="N1075" s="464">
        <f t="shared" si="107"/>
        <v>83763</v>
      </c>
    </row>
    <row r="1076" spans="7:14" ht="11.25" customHeight="1" x14ac:dyDescent="0.3">
      <c r="G1076" s="459"/>
      <c r="H1076" s="459">
        <v>1069</v>
      </c>
      <c r="I1076" s="444">
        <f t="shared" ca="1" si="105"/>
        <v>-17945296.342533726</v>
      </c>
      <c r="J1076" s="444">
        <f t="array" ref="J1076">IFERROR(INDEX('Retirement Calculator'!K:K,MATCH('Lorri 401b'!N1076,'Retirement Calculator'!A:A,0),0),0)</f>
        <v>20367.195264578786</v>
      </c>
      <c r="K1076" s="444">
        <f t="shared" ca="1" si="103"/>
        <v>-74856.931407492928</v>
      </c>
      <c r="L1076" s="444">
        <f t="shared" ca="1" si="104"/>
        <v>-18040520.469205797</v>
      </c>
      <c r="M1076" s="460">
        <f t="shared" si="106"/>
        <v>0.05</v>
      </c>
      <c r="N1076" s="464">
        <f t="shared" si="107"/>
        <v>83794</v>
      </c>
    </row>
    <row r="1077" spans="7:14" ht="11.25" customHeight="1" x14ac:dyDescent="0.3">
      <c r="G1077" s="459"/>
      <c r="H1077" s="459">
        <v>1070</v>
      </c>
      <c r="I1077" s="444">
        <f t="shared" ca="1" si="105"/>
        <v>-18040520.469205797</v>
      </c>
      <c r="J1077" s="444">
        <f t="array" ref="J1077">IFERROR(INDEX('Retirement Calculator'!K:K,MATCH('Lorri 401b'!N1077,'Retirement Calculator'!A:A,0),0),0)</f>
        <v>20367.195264578786</v>
      </c>
      <c r="K1077" s="444">
        <f t="shared" ca="1" si="103"/>
        <v>-75253.698601959899</v>
      </c>
      <c r="L1077" s="444">
        <f t="shared" ca="1" si="104"/>
        <v>-18136141.363072336</v>
      </c>
      <c r="M1077" s="460">
        <f t="shared" si="106"/>
        <v>0.05</v>
      </c>
      <c r="N1077" s="464">
        <f t="shared" si="107"/>
        <v>83824</v>
      </c>
    </row>
    <row r="1078" spans="7:14" ht="11.25" customHeight="1" x14ac:dyDescent="0.3">
      <c r="G1078" s="459"/>
      <c r="H1078" s="459">
        <v>1071</v>
      </c>
      <c r="I1078" s="444">
        <f t="shared" ca="1" si="105"/>
        <v>-18136141.363072336</v>
      </c>
      <c r="J1078" s="444">
        <f t="array" ref="J1078">IFERROR(INDEX('Retirement Calculator'!K:K,MATCH('Lorri 401b'!N1078,'Retirement Calculator'!A:A,0),0),0)</f>
        <v>20367.195264578786</v>
      </c>
      <c r="K1078" s="444">
        <f t="shared" ca="1" si="103"/>
        <v>-75652.118993070471</v>
      </c>
      <c r="L1078" s="444">
        <f t="shared" ca="1" si="104"/>
        <v>-18232160.677329984</v>
      </c>
      <c r="M1078" s="460">
        <f t="shared" si="106"/>
        <v>0.05</v>
      </c>
      <c r="N1078" s="464">
        <f t="shared" si="107"/>
        <v>83855</v>
      </c>
    </row>
    <row r="1079" spans="7:14" ht="11.25" customHeight="1" x14ac:dyDescent="0.3">
      <c r="G1079" s="459"/>
      <c r="H1079" s="459">
        <v>1072</v>
      </c>
      <c r="I1079" s="444">
        <f t="shared" ca="1" si="105"/>
        <v>-18232160.677329984</v>
      </c>
      <c r="J1079" s="444">
        <f t="array" ref="J1079">IFERROR(INDEX('Retirement Calculator'!K:K,MATCH('Lorri 401b'!N1079,'Retirement Calculator'!A:A,0),0),0)</f>
        <v>20367.195264578786</v>
      </c>
      <c r="K1079" s="444">
        <f t="shared" ca="1" si="103"/>
        <v>-76052.199469144005</v>
      </c>
      <c r="L1079" s="444">
        <f t="shared" ca="1" si="104"/>
        <v>-18328580.072063707</v>
      </c>
      <c r="M1079" s="460">
        <f t="shared" si="106"/>
        <v>0.05</v>
      </c>
      <c r="N1079" s="464">
        <f t="shared" si="107"/>
        <v>83886</v>
      </c>
    </row>
    <row r="1080" spans="7:14" ht="11.25" customHeight="1" x14ac:dyDescent="0.3">
      <c r="G1080" s="459"/>
      <c r="H1080" s="459">
        <v>1073</v>
      </c>
      <c r="I1080" s="444">
        <f t="shared" ca="1" si="105"/>
        <v>-18328580.072063707</v>
      </c>
      <c r="J1080" s="444">
        <f t="array" ref="J1080">IFERROR(INDEX('Retirement Calculator'!K:K,MATCH('Lorri 401b'!N1080,'Retirement Calculator'!A:A,0),0),0)</f>
        <v>20367.195264578786</v>
      </c>
      <c r="K1080" s="444">
        <f t="shared" ca="1" si="103"/>
        <v>-76453.946947201184</v>
      </c>
      <c r="L1080" s="444">
        <f t="shared" ca="1" si="104"/>
        <v>-18425401.214275487</v>
      </c>
      <c r="M1080" s="460">
        <f t="shared" si="106"/>
        <v>0.05</v>
      </c>
      <c r="N1080" s="464">
        <f t="shared" si="107"/>
        <v>83916</v>
      </c>
    </row>
    <row r="1081" spans="7:14" ht="11.25" customHeight="1" x14ac:dyDescent="0.3">
      <c r="G1081" s="459"/>
      <c r="H1081" s="459">
        <v>1074</v>
      </c>
      <c r="I1081" s="444">
        <f t="shared" ca="1" si="105"/>
        <v>-18425401.214275487</v>
      </c>
      <c r="J1081" s="444">
        <f t="array" ref="J1081">IFERROR(INDEX('Retirement Calculator'!K:K,MATCH('Lorri 401b'!N1081,'Retirement Calculator'!A:A,0),0),0)</f>
        <v>20367.195264578786</v>
      </c>
      <c r="K1081" s="444">
        <f t="shared" ca="1" si="103"/>
        <v>-76857.368373083606</v>
      </c>
      <c r="L1081" s="444">
        <f t="shared" ca="1" si="104"/>
        <v>-18522625.777913149</v>
      </c>
      <c r="M1081" s="460">
        <f t="shared" si="106"/>
        <v>0.05</v>
      </c>
      <c r="N1081" s="464">
        <f t="shared" si="107"/>
        <v>83947</v>
      </c>
    </row>
    <row r="1082" spans="7:14" ht="11.25" customHeight="1" x14ac:dyDescent="0.3">
      <c r="G1082" s="459"/>
      <c r="H1082" s="459">
        <v>1075</v>
      </c>
      <c r="I1082" s="444">
        <f t="shared" ca="1" si="105"/>
        <v>-18522625.777913149</v>
      </c>
      <c r="J1082" s="444">
        <f t="array" ref="J1082">IFERROR(INDEX('Retirement Calculator'!K:K,MATCH('Lorri 401b'!N1082,'Retirement Calculator'!A:A,0),0),0)</f>
        <v>20367.195264578786</v>
      </c>
      <c r="K1082" s="444">
        <f t="shared" ca="1" si="103"/>
        <v>-77262.47072157386</v>
      </c>
      <c r="L1082" s="444">
        <f t="shared" ca="1" si="104"/>
        <v>-18620255.4438993</v>
      </c>
      <c r="M1082" s="460">
        <f t="shared" si="106"/>
        <v>0.05</v>
      </c>
      <c r="N1082" s="464">
        <f t="shared" si="107"/>
        <v>83977</v>
      </c>
    </row>
    <row r="1083" spans="7:14" ht="11.25" customHeight="1" x14ac:dyDescent="0.3">
      <c r="G1083" s="459"/>
      <c r="H1083" s="459">
        <v>1076</v>
      </c>
      <c r="I1083" s="444">
        <f t="shared" ca="1" si="105"/>
        <v>-18620255.4438993</v>
      </c>
      <c r="J1083" s="444">
        <f t="array" ref="J1083">IFERROR(INDEX('Retirement Calculator'!K:K,MATCH('Lorri 401b'!N1083,'Retirement Calculator'!A:A,0),0),0)</f>
        <v>20367.195264578786</v>
      </c>
      <c r="K1083" s="444">
        <f t="shared" ca="1" si="103"/>
        <v>-77669.260996516154</v>
      </c>
      <c r="L1083" s="444">
        <f t="shared" ca="1" si="104"/>
        <v>-18718291.900160395</v>
      </c>
      <c r="M1083" s="460">
        <f t="shared" si="106"/>
        <v>0.05</v>
      </c>
      <c r="N1083" s="464">
        <f t="shared" si="107"/>
        <v>84008</v>
      </c>
    </row>
    <row r="1084" spans="7:14" ht="11.25" customHeight="1" x14ac:dyDescent="0.3">
      <c r="G1084" s="459"/>
      <c r="H1084" s="459">
        <v>1077</v>
      </c>
      <c r="I1084" s="444">
        <f t="shared" ca="1" si="105"/>
        <v>-18718291.900160395</v>
      </c>
      <c r="J1084" s="444">
        <f t="array" ref="J1084">IFERROR(INDEX('Retirement Calculator'!K:K,MATCH('Lorri 401b'!N1084,'Retirement Calculator'!A:A,0),0),0)</f>
        <v>20367.195264578786</v>
      </c>
      <c r="K1084" s="444">
        <f t="shared" ca="1" si="103"/>
        <v>-78077.74623093738</v>
      </c>
      <c r="L1084" s="444">
        <f t="shared" ca="1" si="104"/>
        <v>-18816736.84165591</v>
      </c>
      <c r="M1084" s="460">
        <f t="shared" si="106"/>
        <v>0.05</v>
      </c>
      <c r="N1084" s="464">
        <f t="shared" si="107"/>
        <v>84039</v>
      </c>
    </row>
    <row r="1085" spans="7:14" ht="11.25" customHeight="1" x14ac:dyDescent="0.3">
      <c r="G1085" s="459"/>
      <c r="H1085" s="459">
        <v>1078</v>
      </c>
      <c r="I1085" s="444">
        <f t="shared" ca="1" si="105"/>
        <v>-18816736.84165591</v>
      </c>
      <c r="J1085" s="444">
        <f t="array" ref="J1085">IFERROR(INDEX('Retirement Calculator'!K:K,MATCH('Lorri 401b'!N1085,'Retirement Calculator'!A:A,0),0),0)</f>
        <v>20367.195264578786</v>
      </c>
      <c r="K1085" s="444">
        <f t="shared" ca="1" si="103"/>
        <v>-78487.933487168702</v>
      </c>
      <c r="L1085" s="444">
        <f t="shared" ca="1" si="104"/>
        <v>-18915591.970407657</v>
      </c>
      <c r="M1085" s="460">
        <f t="shared" si="106"/>
        <v>0.05</v>
      </c>
      <c r="N1085" s="464">
        <f t="shared" si="107"/>
        <v>84067</v>
      </c>
    </row>
    <row r="1086" spans="7:14" ht="11.25" customHeight="1" x14ac:dyDescent="0.3">
      <c r="G1086" s="459"/>
      <c r="H1086" s="459">
        <v>1079</v>
      </c>
      <c r="I1086" s="444">
        <f t="shared" ca="1" si="105"/>
        <v>-18915591.970407657</v>
      </c>
      <c r="J1086" s="444">
        <f t="array" ref="J1086">IFERROR(INDEX('Retirement Calculator'!K:K,MATCH('Lorri 401b'!N1086,'Retirement Calculator'!A:A,0),0),0)</f>
        <v>20367.195264578786</v>
      </c>
      <c r="K1086" s="444">
        <f t="shared" ca="1" si="103"/>
        <v>-78899.829856967641</v>
      </c>
      <c r="L1086" s="444">
        <f t="shared" ca="1" si="104"/>
        <v>-19014858.995529205</v>
      </c>
      <c r="M1086" s="460">
        <f t="shared" si="106"/>
        <v>0.05</v>
      </c>
      <c r="N1086" s="464">
        <f t="shared" si="107"/>
        <v>84098</v>
      </c>
    </row>
    <row r="1087" spans="7:14" ht="11.25" customHeight="1" x14ac:dyDescent="0.3">
      <c r="G1087" s="459"/>
      <c r="H1087" s="459">
        <v>1080</v>
      </c>
      <c r="I1087" s="444">
        <f t="shared" ca="1" si="105"/>
        <v>-19014858.995529205</v>
      </c>
      <c r="J1087" s="444">
        <f t="array" ref="J1087">IFERROR(INDEX('Retirement Calculator'!K:K,MATCH('Lorri 401b'!N1087,'Retirement Calculator'!A:A,0),0),0)</f>
        <v>20367.195264578786</v>
      </c>
      <c r="K1087" s="444">
        <f t="shared" ca="1" si="103"/>
        <v>-79313.442461640763</v>
      </c>
      <c r="L1087" s="444">
        <f t="shared" ca="1" si="104"/>
        <v>-19114539.633255422</v>
      </c>
      <c r="M1087" s="460">
        <f t="shared" si="106"/>
        <v>0.05</v>
      </c>
      <c r="N1087" s="464">
        <f t="shared" si="107"/>
        <v>84128</v>
      </c>
    </row>
    <row r="1088" spans="7:14" ht="11.25" customHeight="1" x14ac:dyDescent="0.3">
      <c r="G1088" s="459"/>
      <c r="H1088" s="459">
        <v>1081</v>
      </c>
      <c r="I1088" s="444">
        <f t="shared" ca="1" si="105"/>
        <v>-19114539.633255422</v>
      </c>
      <c r="J1088" s="444">
        <f t="array" ref="J1088">IFERROR(INDEX('Retirement Calculator'!K:K,MATCH('Lorri 401b'!N1088,'Retirement Calculator'!A:A,0),0),0)</f>
        <v>20367.195264578786</v>
      </c>
      <c r="K1088" s="444">
        <f t="shared" ca="1" si="103"/>
        <v>-79728.778452166662</v>
      </c>
      <c r="L1088" s="444">
        <f t="shared" ca="1" si="104"/>
        <v>-19214635.606972165</v>
      </c>
      <c r="M1088" s="460">
        <f t="shared" si="106"/>
        <v>0.05</v>
      </c>
      <c r="N1088" s="464">
        <f t="shared" si="107"/>
        <v>84159</v>
      </c>
    </row>
    <row r="1089" spans="7:14" ht="11.25" customHeight="1" x14ac:dyDescent="0.3">
      <c r="G1089" s="459"/>
      <c r="H1089" s="459">
        <v>1082</v>
      </c>
      <c r="I1089" s="444">
        <f t="shared" ca="1" si="105"/>
        <v>-19214635.606972165</v>
      </c>
      <c r="J1089" s="444">
        <f t="array" ref="J1089">IFERROR(INDEX('Retirement Calculator'!K:K,MATCH('Lorri 401b'!N1089,'Retirement Calculator'!A:A,0),0),0)</f>
        <v>20367.195264578786</v>
      </c>
      <c r="K1089" s="444">
        <f t="shared" ca="1" si="103"/>
        <v>-80145.845009319761</v>
      </c>
      <c r="L1089" s="444">
        <f t="shared" ca="1" si="104"/>
        <v>-19315148.647246063</v>
      </c>
      <c r="M1089" s="460">
        <f t="shared" si="106"/>
        <v>0.05</v>
      </c>
      <c r="N1089" s="464">
        <f t="shared" si="107"/>
        <v>84189</v>
      </c>
    </row>
    <row r="1090" spans="7:14" ht="11.25" customHeight="1" x14ac:dyDescent="0.3">
      <c r="G1090" s="459"/>
      <c r="H1090" s="459">
        <v>1083</v>
      </c>
      <c r="I1090" s="444">
        <f t="shared" ca="1" si="105"/>
        <v>-19315148.647246063</v>
      </c>
      <c r="J1090" s="444">
        <f t="array" ref="J1090">IFERROR(INDEX('Retirement Calculator'!K:K,MATCH('Lorri 401b'!N1090,'Retirement Calculator'!A:A,0),0),0)</f>
        <v>20367.195264578786</v>
      </c>
      <c r="K1090" s="444">
        <f t="shared" ca="1" si="103"/>
        <v>-80564.649343794328</v>
      </c>
      <c r="L1090" s="444">
        <f t="shared" ca="1" si="104"/>
        <v>-19416080.491854437</v>
      </c>
      <c r="M1090" s="460">
        <f t="shared" si="106"/>
        <v>0.05</v>
      </c>
      <c r="N1090" s="464">
        <f t="shared" si="107"/>
        <v>84220</v>
      </c>
    </row>
    <row r="1091" spans="7:14" ht="11.25" customHeight="1" x14ac:dyDescent="0.3">
      <c r="G1091" s="459"/>
      <c r="H1091" s="459">
        <v>1084</v>
      </c>
      <c r="I1091" s="444">
        <f t="shared" ca="1" si="105"/>
        <v>-19416080.491854437</v>
      </c>
      <c r="J1091" s="444">
        <f t="array" ref="J1091">IFERROR(INDEX('Retirement Calculator'!K:K,MATCH('Lorri 401b'!N1091,'Retirement Calculator'!A:A,0),0),0)</f>
        <v>20367.195264578786</v>
      </c>
      <c r="K1091" s="444">
        <f t="shared" ca="1" si="103"/>
        <v>-80985.198696329229</v>
      </c>
      <c r="L1091" s="444">
        <f t="shared" ca="1" si="104"/>
        <v>-19517432.885815345</v>
      </c>
      <c r="M1091" s="460">
        <f t="shared" si="106"/>
        <v>0.05</v>
      </c>
      <c r="N1091" s="464">
        <f t="shared" si="107"/>
        <v>84251</v>
      </c>
    </row>
    <row r="1092" spans="7:14" ht="11.25" customHeight="1" x14ac:dyDescent="0.3">
      <c r="G1092" s="459"/>
      <c r="H1092" s="459">
        <v>1085</v>
      </c>
      <c r="I1092" s="444">
        <f t="shared" ca="1" si="105"/>
        <v>-19517432.885815345</v>
      </c>
      <c r="J1092" s="444">
        <f t="array" ref="J1092">IFERROR(INDEX('Retirement Calculator'!K:K,MATCH('Lorri 401b'!N1092,'Retirement Calculator'!A:A,0),0),0)</f>
        <v>20367.195264578786</v>
      </c>
      <c r="K1092" s="444">
        <f t="shared" ca="1" si="103"/>
        <v>-81407.500337833015</v>
      </c>
      <c r="L1092" s="444">
        <f t="shared" ca="1" si="104"/>
        <v>-19619207.581417754</v>
      </c>
      <c r="M1092" s="460">
        <f t="shared" si="106"/>
        <v>0.05</v>
      </c>
      <c r="N1092" s="464">
        <f t="shared" si="107"/>
        <v>84281</v>
      </c>
    </row>
    <row r="1093" spans="7:14" ht="11.25" customHeight="1" x14ac:dyDescent="0.3">
      <c r="G1093" s="459"/>
      <c r="H1093" s="459">
        <v>1086</v>
      </c>
      <c r="I1093" s="444">
        <f t="shared" ca="1" si="105"/>
        <v>-19619207.581417754</v>
      </c>
      <c r="J1093" s="444">
        <f t="array" ref="J1093">IFERROR(INDEX('Retirement Calculator'!K:K,MATCH('Lorri 401b'!N1093,'Retirement Calculator'!A:A,0),0),0)</f>
        <v>20367.195264578786</v>
      </c>
      <c r="K1093" s="444">
        <f t="shared" ca="1" si="103"/>
        <v>-81831.561569509722</v>
      </c>
      <c r="L1093" s="444">
        <f t="shared" ca="1" si="104"/>
        <v>-19721406.33825184</v>
      </c>
      <c r="M1093" s="460">
        <f t="shared" si="106"/>
        <v>0.05</v>
      </c>
      <c r="N1093" s="464">
        <f t="shared" si="107"/>
        <v>84312</v>
      </c>
    </row>
    <row r="1094" spans="7:14" ht="11.25" customHeight="1" x14ac:dyDescent="0.3">
      <c r="G1094" s="459"/>
      <c r="H1094" s="459">
        <v>1087</v>
      </c>
      <c r="I1094" s="444">
        <f t="shared" ca="1" si="105"/>
        <v>-19721406.33825184</v>
      </c>
      <c r="J1094" s="444">
        <f t="array" ref="J1094">IFERROR(INDEX('Retirement Calculator'!K:K,MATCH('Lorri 401b'!N1094,'Retirement Calculator'!A:A,0),0),0)</f>
        <v>20367.195264578786</v>
      </c>
      <c r="K1094" s="444">
        <f t="shared" ca="1" si="103"/>
        <v>-82257.38972298507</v>
      </c>
      <c r="L1094" s="444">
        <f t="shared" ca="1" si="104"/>
        <v>-19824030.923239402</v>
      </c>
      <c r="M1094" s="460">
        <f t="shared" si="106"/>
        <v>0.05</v>
      </c>
      <c r="N1094" s="464">
        <f t="shared" si="107"/>
        <v>84342</v>
      </c>
    </row>
    <row r="1095" spans="7:14" ht="11.25" customHeight="1" x14ac:dyDescent="0.3">
      <c r="G1095" s="459"/>
      <c r="H1095" s="459">
        <v>1088</v>
      </c>
      <c r="I1095" s="444">
        <f t="shared" ca="1" si="105"/>
        <v>-19824030.923239402</v>
      </c>
      <c r="J1095" s="444">
        <f t="array" ref="J1095">IFERROR(INDEX('Retirement Calculator'!K:K,MATCH('Lorri 401b'!N1095,'Retirement Calculator'!A:A,0),0),0)</f>
        <v>20367.195264578786</v>
      </c>
      <c r="K1095" s="444">
        <f t="shared" ca="1" si="103"/>
        <v>-82684.992160433249</v>
      </c>
      <c r="L1095" s="444">
        <f t="shared" ca="1" si="104"/>
        <v>-19927083.110664412</v>
      </c>
      <c r="M1095" s="460">
        <f t="shared" si="106"/>
        <v>0.05</v>
      </c>
      <c r="N1095" s="464">
        <f t="shared" si="107"/>
        <v>84373</v>
      </c>
    </row>
    <row r="1096" spans="7:14" ht="11.25" customHeight="1" x14ac:dyDescent="0.3">
      <c r="G1096" s="459"/>
      <c r="H1096" s="459">
        <v>1089</v>
      </c>
      <c r="I1096" s="444">
        <f t="shared" ca="1" si="105"/>
        <v>-19927083.110664412</v>
      </c>
      <c r="J1096" s="444">
        <f t="array" ref="J1096">IFERROR(INDEX('Retirement Calculator'!K:K,MATCH('Lorri 401b'!N1096,'Retirement Calculator'!A:A,0),0),0)</f>
        <v>20367.195264578786</v>
      </c>
      <c r="K1096" s="444">
        <f t="shared" ca="1" si="103"/>
        <v>-83114.376274704118</v>
      </c>
      <c r="L1096" s="444">
        <f t="shared" ca="1" si="104"/>
        <v>-20030564.682203695</v>
      </c>
      <c r="M1096" s="460">
        <f t="shared" si="106"/>
        <v>0.05</v>
      </c>
      <c r="N1096" s="464">
        <f t="shared" si="107"/>
        <v>84404</v>
      </c>
    </row>
    <row r="1097" spans="7:14" ht="11.25" customHeight="1" x14ac:dyDescent="0.3">
      <c r="G1097" s="459"/>
      <c r="H1097" s="459">
        <v>1090</v>
      </c>
      <c r="I1097" s="444">
        <f t="shared" ca="1" si="105"/>
        <v>-20030564.682203695</v>
      </c>
      <c r="J1097" s="444">
        <f t="array" ref="J1097">IFERROR(INDEX('Retirement Calculator'!K:K,MATCH('Lorri 401b'!N1097,'Retirement Calculator'!A:A,0),0),0)</f>
        <v>20367.195264578786</v>
      </c>
      <c r="K1097" s="444">
        <f t="shared" ca="1" si="103"/>
        <v>-83545.549489451136</v>
      </c>
      <c r="L1097" s="444">
        <f t="shared" ca="1" si="104"/>
        <v>-20134477.426957723</v>
      </c>
      <c r="M1097" s="460">
        <f t="shared" si="106"/>
        <v>0.05</v>
      </c>
      <c r="N1097" s="464">
        <f t="shared" si="107"/>
        <v>84432</v>
      </c>
    </row>
    <row r="1098" spans="7:14" ht="11.25" customHeight="1" x14ac:dyDescent="0.3">
      <c r="G1098" s="459"/>
      <c r="H1098" s="459">
        <v>1091</v>
      </c>
      <c r="I1098" s="444">
        <f t="shared" ca="1" si="105"/>
        <v>-20134477.426957723</v>
      </c>
      <c r="J1098" s="444">
        <f t="array" ref="J1098">IFERROR(INDEX('Retirement Calculator'!K:K,MATCH('Lorri 401b'!N1098,'Retirement Calculator'!A:A,0),0),0)</f>
        <v>20367.195264578786</v>
      </c>
      <c r="K1098" s="444">
        <f t="shared" ca="1" si="103"/>
        <v>-83978.519259259585</v>
      </c>
      <c r="L1098" s="444">
        <f t="shared" ca="1" si="104"/>
        <v>-20238823.14148156</v>
      </c>
      <c r="M1098" s="460">
        <f t="shared" si="106"/>
        <v>0.05</v>
      </c>
      <c r="N1098" s="464">
        <f t="shared" si="107"/>
        <v>84463</v>
      </c>
    </row>
    <row r="1099" spans="7:14" ht="11.25" customHeight="1" x14ac:dyDescent="0.3">
      <c r="G1099" s="459"/>
      <c r="H1099" s="459">
        <v>1092</v>
      </c>
      <c r="I1099" s="444">
        <f t="shared" ca="1" si="105"/>
        <v>-20238823.14148156</v>
      </c>
      <c r="J1099" s="444">
        <f t="array" ref="J1099">IFERROR(INDEX('Retirement Calculator'!K:K,MATCH('Lorri 401b'!N1099,'Retirement Calculator'!A:A,0),0),0)</f>
        <v>20367.195264578786</v>
      </c>
      <c r="K1099" s="444">
        <f t="shared" ca="1" si="103"/>
        <v>-84413.293069775566</v>
      </c>
      <c r="L1099" s="444">
        <f t="shared" ca="1" si="104"/>
        <v>-20343603.629815914</v>
      </c>
      <c r="M1099" s="460">
        <f t="shared" si="106"/>
        <v>0.05</v>
      </c>
      <c r="N1099" s="464">
        <f t="shared" si="107"/>
        <v>84493</v>
      </c>
    </row>
    <row r="1100" spans="7:14" ht="11.25" customHeight="1" x14ac:dyDescent="0.3">
      <c r="G1100" s="459"/>
      <c r="H1100" s="459">
        <v>1093</v>
      </c>
      <c r="I1100" s="444">
        <f t="shared" ca="1" si="105"/>
        <v>-20343603.629815914</v>
      </c>
      <c r="J1100" s="444">
        <f t="array" ref="J1100">IFERROR(INDEX('Retirement Calculator'!K:K,MATCH('Lorri 401b'!N1100,'Retirement Calculator'!A:A,0),0),0)</f>
        <v>20367.195264578786</v>
      </c>
      <c r="K1100" s="444">
        <f t="shared" ca="1" si="103"/>
        <v>-84849.878437835374</v>
      </c>
      <c r="L1100" s="444">
        <f t="shared" ca="1" si="104"/>
        <v>-20448820.703518327</v>
      </c>
      <c r="M1100" s="460">
        <f t="shared" si="106"/>
        <v>0.05</v>
      </c>
      <c r="N1100" s="464">
        <f t="shared" si="107"/>
        <v>84524</v>
      </c>
    </row>
    <row r="1101" spans="7:14" ht="11.25" customHeight="1" x14ac:dyDescent="0.3">
      <c r="G1101" s="459"/>
      <c r="H1101" s="459">
        <v>1094</v>
      </c>
      <c r="I1101" s="444">
        <f t="shared" ca="1" si="105"/>
        <v>-20448820.703518327</v>
      </c>
      <c r="J1101" s="444">
        <f t="array" ref="J1101">IFERROR(INDEX('Retirement Calculator'!K:K,MATCH('Lorri 401b'!N1101,'Retirement Calculator'!A:A,0),0),0)</f>
        <v>20367.195264578786</v>
      </c>
      <c r="K1101" s="444">
        <f t="shared" ca="1" si="103"/>
        <v>-85288.282911595437</v>
      </c>
      <c r="L1101" s="444">
        <f t="shared" ca="1" si="104"/>
        <v>-20554476.1816945</v>
      </c>
      <c r="M1101" s="460">
        <f t="shared" si="106"/>
        <v>0.05</v>
      </c>
      <c r="N1101" s="464">
        <f t="shared" si="107"/>
        <v>84554</v>
      </c>
    </row>
    <row r="1102" spans="7:14" ht="11.25" customHeight="1" x14ac:dyDescent="0.3">
      <c r="G1102" s="459"/>
      <c r="H1102" s="459">
        <v>1095</v>
      </c>
      <c r="I1102" s="444">
        <f t="shared" ca="1" si="105"/>
        <v>-20554476.1816945</v>
      </c>
      <c r="J1102" s="444">
        <f t="array" ref="J1102">IFERROR(INDEX('Retirement Calculator'!K:K,MATCH('Lorri 401b'!N1102,'Retirement Calculator'!A:A,0),0),0)</f>
        <v>20367.195264578786</v>
      </c>
      <c r="K1102" s="444">
        <f t="shared" ca="1" si="103"/>
        <v>-85728.51407066283</v>
      </c>
      <c r="L1102" s="444">
        <f t="shared" ca="1" si="104"/>
        <v>-20660571.891029742</v>
      </c>
      <c r="M1102" s="460">
        <f t="shared" si="106"/>
        <v>0.05</v>
      </c>
      <c r="N1102" s="464">
        <f t="shared" si="107"/>
        <v>84585</v>
      </c>
    </row>
    <row r="1103" spans="7:14" ht="11.25" customHeight="1" x14ac:dyDescent="0.3">
      <c r="G1103" s="459"/>
      <c r="H1103" s="459">
        <v>1096</v>
      </c>
      <c r="I1103" s="444">
        <f t="shared" ca="1" si="105"/>
        <v>-20660571.891029742</v>
      </c>
      <c r="J1103" s="444">
        <f t="array" ref="J1103">IFERROR(INDEX('Retirement Calculator'!K:K,MATCH('Lorri 401b'!N1103,'Retirement Calculator'!A:A,0),0),0)</f>
        <v>20367.195264578786</v>
      </c>
      <c r="K1103" s="444">
        <f t="shared" ca="1" si="103"/>
        <v>-86170.579526226327</v>
      </c>
      <c r="L1103" s="444">
        <f t="shared" ca="1" si="104"/>
        <v>-20767109.665820546</v>
      </c>
      <c r="M1103" s="460">
        <f t="shared" si="106"/>
        <v>0.05</v>
      </c>
      <c r="N1103" s="464">
        <f t="shared" si="107"/>
        <v>84616</v>
      </c>
    </row>
    <row r="1104" spans="7:14" ht="11.25" customHeight="1" x14ac:dyDescent="0.3">
      <c r="G1104" s="459"/>
      <c r="H1104" s="459">
        <v>1097</v>
      </c>
      <c r="I1104" s="444">
        <f t="shared" ca="1" si="105"/>
        <v>-20767109.665820546</v>
      </c>
      <c r="J1104" s="444">
        <f t="array" ref="J1104">IFERROR(INDEX('Retirement Calculator'!K:K,MATCH('Lorri 401b'!N1104,'Retirement Calculator'!A:A,0),0),0)</f>
        <v>20367.195264578786</v>
      </c>
      <c r="K1104" s="444">
        <f t="shared" ca="1" si="103"/>
        <v>-86614.486921188014</v>
      </c>
      <c r="L1104" s="444">
        <f t="shared" ca="1" si="104"/>
        <v>-20874091.348006312</v>
      </c>
      <c r="M1104" s="460">
        <f t="shared" si="106"/>
        <v>0.05</v>
      </c>
      <c r="N1104" s="464">
        <f t="shared" si="107"/>
        <v>84646</v>
      </c>
    </row>
    <row r="1105" spans="7:14" ht="11.25" customHeight="1" x14ac:dyDescent="0.3">
      <c r="G1105" s="459"/>
      <c r="H1105" s="459">
        <v>1098</v>
      </c>
      <c r="I1105" s="444">
        <f t="shared" ca="1" si="105"/>
        <v>-20874091.348006312</v>
      </c>
      <c r="J1105" s="444">
        <f t="array" ref="J1105">IFERROR(INDEX('Retirement Calculator'!K:K,MATCH('Lorri 401b'!N1105,'Retirement Calculator'!A:A,0),0),0)</f>
        <v>20367.195264578786</v>
      </c>
      <c r="K1105" s="444">
        <f t="shared" ca="1" si="103"/>
        <v>-87060.243930295372</v>
      </c>
      <c r="L1105" s="444">
        <f t="shared" ca="1" si="104"/>
        <v>-20981518.787201185</v>
      </c>
      <c r="M1105" s="460">
        <f t="shared" si="106"/>
        <v>0.05</v>
      </c>
      <c r="N1105" s="464">
        <f t="shared" si="107"/>
        <v>84677</v>
      </c>
    </row>
    <row r="1106" spans="7:14" ht="11.25" customHeight="1" x14ac:dyDescent="0.3">
      <c r="G1106" s="459"/>
      <c r="H1106" s="459">
        <v>1099</v>
      </c>
      <c r="I1106" s="444">
        <f t="shared" ca="1" si="105"/>
        <v>-20981518.787201185</v>
      </c>
      <c r="J1106" s="444">
        <f t="array" ref="J1106">IFERROR(INDEX('Retirement Calculator'!K:K,MATCH('Lorri 401b'!N1106,'Retirement Calculator'!A:A,0),0),0)</f>
        <v>20367.195264578786</v>
      </c>
      <c r="K1106" s="444">
        <f t="shared" ca="1" si="103"/>
        <v>-87507.858260274006</v>
      </c>
      <c r="L1106" s="444">
        <f t="shared" ca="1" si="104"/>
        <v>-21089393.840726037</v>
      </c>
      <c r="M1106" s="460">
        <f t="shared" si="106"/>
        <v>0.05</v>
      </c>
      <c r="N1106" s="464">
        <f t="shared" si="107"/>
        <v>84707</v>
      </c>
    </row>
    <row r="1107" spans="7:14" ht="11.25" customHeight="1" x14ac:dyDescent="0.3">
      <c r="G1107" s="459"/>
      <c r="H1107" s="459">
        <v>1100</v>
      </c>
      <c r="I1107" s="444">
        <f t="shared" ca="1" si="105"/>
        <v>-21089393.840726037</v>
      </c>
      <c r="J1107" s="444">
        <f t="array" ref="J1107">IFERROR(INDEX('Retirement Calculator'!K:K,MATCH('Lorri 401b'!N1107,'Retirement Calculator'!A:A,0),0),0)</f>
        <v>20367.195264578786</v>
      </c>
      <c r="K1107" s="444">
        <f t="shared" ca="1" si="103"/>
        <v>-87957.337649960886</v>
      </c>
      <c r="L1107" s="444">
        <f t="shared" ca="1" si="104"/>
        <v>-21197718.373640575</v>
      </c>
      <c r="M1107" s="460">
        <f t="shared" si="106"/>
        <v>0.05</v>
      </c>
      <c r="N1107" s="464">
        <f t="shared" si="107"/>
        <v>84738</v>
      </c>
    </row>
    <row r="1108" spans="7:14" ht="11.25" customHeight="1" x14ac:dyDescent="0.3">
      <c r="G1108" s="459"/>
      <c r="H1108" s="459">
        <v>1101</v>
      </c>
      <c r="I1108" s="444">
        <f t="shared" ca="1" si="105"/>
        <v>-21197718.373640575</v>
      </c>
      <c r="J1108" s="444">
        <f t="array" ref="J1108">IFERROR(INDEX('Retirement Calculator'!K:K,MATCH('Lorri 401b'!N1108,'Retirement Calculator'!A:A,0),0),0)</f>
        <v>20367.195264578786</v>
      </c>
      <c r="K1108" s="444">
        <f t="shared" ca="1" si="103"/>
        <v>-88408.689870438131</v>
      </c>
      <c r="L1108" s="444">
        <f t="shared" ca="1" si="104"/>
        <v>-21306494.258775592</v>
      </c>
      <c r="M1108" s="460">
        <f t="shared" si="106"/>
        <v>0.05</v>
      </c>
      <c r="N1108" s="464">
        <f t="shared" si="107"/>
        <v>84769</v>
      </c>
    </row>
    <row r="1109" spans="7:14" ht="11.25" customHeight="1" x14ac:dyDescent="0.3">
      <c r="G1109" s="459"/>
      <c r="H1109" s="459">
        <v>1102</v>
      </c>
      <c r="I1109" s="444">
        <f t="shared" ca="1" si="105"/>
        <v>-21306494.258775592</v>
      </c>
      <c r="J1109" s="444">
        <f t="array" ref="J1109">IFERROR(INDEX('Retirement Calculator'!K:K,MATCH('Lorri 401b'!N1109,'Retirement Calculator'!A:A,0),0),0)</f>
        <v>20367.195264578786</v>
      </c>
      <c r="K1109" s="444">
        <f t="shared" ca="1" si="103"/>
        <v>-88861.922725167373</v>
      </c>
      <c r="L1109" s="444">
        <f t="shared" ca="1" si="104"/>
        <v>-21415723.376765337</v>
      </c>
      <c r="M1109" s="460">
        <f t="shared" si="106"/>
        <v>0.05</v>
      </c>
      <c r="N1109" s="464">
        <f t="shared" si="107"/>
        <v>84798</v>
      </c>
    </row>
    <row r="1110" spans="7:14" ht="11.25" customHeight="1" x14ac:dyDescent="0.3">
      <c r="G1110" s="459"/>
      <c r="H1110" s="459">
        <v>1103</v>
      </c>
      <c r="I1110" s="444">
        <f t="shared" ca="1" si="105"/>
        <v>-21415723.376765337</v>
      </c>
      <c r="J1110" s="444">
        <f t="array" ref="J1110">IFERROR(INDEX('Retirement Calculator'!K:K,MATCH('Lorri 401b'!N1110,'Retirement Calculator'!A:A,0),0),0)</f>
        <v>20367.195264578786</v>
      </c>
      <c r="K1110" s="444">
        <f t="shared" ca="1" si="103"/>
        <v>-89317.044050124648</v>
      </c>
      <c r="L1110" s="444">
        <f t="shared" ca="1" si="104"/>
        <v>-21525407.616080038</v>
      </c>
      <c r="M1110" s="460">
        <f t="shared" si="106"/>
        <v>0.05</v>
      </c>
      <c r="N1110" s="464">
        <f t="shared" si="107"/>
        <v>84829</v>
      </c>
    </row>
    <row r="1111" spans="7:14" ht="11.25" customHeight="1" x14ac:dyDescent="0.3">
      <c r="G1111" s="459"/>
      <c r="H1111" s="459">
        <v>1104</v>
      </c>
      <c r="I1111" s="444">
        <f t="shared" ca="1" si="105"/>
        <v>-21525407.616080038</v>
      </c>
      <c r="J1111" s="444">
        <f t="array" ref="J1111">IFERROR(INDEX('Retirement Calculator'!K:K,MATCH('Lorri 401b'!N1111,'Retirement Calculator'!A:A,0),0),0)</f>
        <v>20367.195264578786</v>
      </c>
      <c r="K1111" s="444">
        <f t="shared" ca="1" si="103"/>
        <v>-89774.061713935895</v>
      </c>
      <c r="L1111" s="444">
        <f t="shared" ca="1" si="104"/>
        <v>-21635548.873058554</v>
      </c>
      <c r="M1111" s="460">
        <f t="shared" si="106"/>
        <v>0.05</v>
      </c>
      <c r="N1111" s="464">
        <f t="shared" si="107"/>
        <v>84859</v>
      </c>
    </row>
    <row r="1112" spans="7:14" ht="11.25" customHeight="1" x14ac:dyDescent="0.3">
      <c r="G1112" s="459"/>
      <c r="H1112" s="459">
        <v>1105</v>
      </c>
      <c r="I1112" s="444">
        <f t="shared" ca="1" si="105"/>
        <v>-21635548.873058554</v>
      </c>
      <c r="J1112" s="444">
        <f t="array" ref="J1112">IFERROR(INDEX('Retirement Calculator'!K:K,MATCH('Lorri 401b'!N1112,'Retirement Calculator'!A:A,0),0),0)</f>
        <v>20367.195264578786</v>
      </c>
      <c r="K1112" s="444">
        <f t="shared" ca="1" si="103"/>
        <v>-90232.983618013051</v>
      </c>
      <c r="L1112" s="444">
        <f t="shared" ca="1" si="104"/>
        <v>-21746149.051941145</v>
      </c>
      <c r="M1112" s="460">
        <f t="shared" si="106"/>
        <v>0.05</v>
      </c>
      <c r="N1112" s="464">
        <f t="shared" si="107"/>
        <v>84890</v>
      </c>
    </row>
    <row r="1113" spans="7:14" ht="11.25" customHeight="1" x14ac:dyDescent="0.3">
      <c r="G1113" s="459"/>
      <c r="H1113" s="459">
        <v>1106</v>
      </c>
      <c r="I1113" s="444">
        <f t="shared" ca="1" si="105"/>
        <v>-21746149.051941145</v>
      </c>
      <c r="J1113" s="444">
        <f t="array" ref="J1113">IFERROR(INDEX('Retirement Calculator'!K:K,MATCH('Lorri 401b'!N1113,'Retirement Calculator'!A:A,0),0),0)</f>
        <v>20367.195264578786</v>
      </c>
      <c r="K1113" s="444">
        <f t="shared" ca="1" si="103"/>
        <v>-90693.817696690516</v>
      </c>
      <c r="L1113" s="444">
        <f t="shared" ca="1" si="104"/>
        <v>-21857210.064902414</v>
      </c>
      <c r="M1113" s="460">
        <f t="shared" si="106"/>
        <v>0.05</v>
      </c>
      <c r="N1113" s="464">
        <f t="shared" si="107"/>
        <v>84920</v>
      </c>
    </row>
    <row r="1114" spans="7:14" ht="11.25" customHeight="1" x14ac:dyDescent="0.3">
      <c r="G1114" s="459"/>
      <c r="H1114" s="459">
        <v>1107</v>
      </c>
      <c r="I1114" s="444">
        <f t="shared" ca="1" si="105"/>
        <v>-21857210.064902414</v>
      </c>
      <c r="J1114" s="444">
        <f t="array" ref="J1114">IFERROR(INDEX('Retirement Calculator'!K:K,MATCH('Lorri 401b'!N1114,'Retirement Calculator'!A:A,0),0),0)</f>
        <v>20367.195264578786</v>
      </c>
      <c r="K1114" s="444">
        <f t="shared" ca="1" si="103"/>
        <v>-91156.571917362468</v>
      </c>
      <c r="L1114" s="444">
        <f t="shared" ca="1" si="104"/>
        <v>-21968733.832084354</v>
      </c>
      <c r="M1114" s="460">
        <f t="shared" si="106"/>
        <v>0.05</v>
      </c>
      <c r="N1114" s="464">
        <f t="shared" si="107"/>
        <v>84951</v>
      </c>
    </row>
    <row r="1115" spans="7:14" ht="11.25" customHeight="1" x14ac:dyDescent="0.3">
      <c r="G1115" s="459"/>
      <c r="H1115" s="459">
        <v>1108</v>
      </c>
      <c r="I1115" s="444">
        <f t="shared" ca="1" si="105"/>
        <v>-21968733.832084354</v>
      </c>
      <c r="J1115" s="444">
        <f t="array" ref="J1115">IFERROR(INDEX('Retirement Calculator'!K:K,MATCH('Lorri 401b'!N1115,'Retirement Calculator'!A:A,0),0),0)</f>
        <v>20367.195264578786</v>
      </c>
      <c r="K1115" s="444">
        <f t="shared" ca="1" si="103"/>
        <v>-91621.254280620546</v>
      </c>
      <c r="L1115" s="444">
        <f t="shared" ca="1" si="104"/>
        <v>-22080722.281629551</v>
      </c>
      <c r="M1115" s="460">
        <f t="shared" si="106"/>
        <v>0.05</v>
      </c>
      <c r="N1115" s="464">
        <f t="shared" si="107"/>
        <v>84982</v>
      </c>
    </row>
    <row r="1116" spans="7:14" ht="11.25" customHeight="1" x14ac:dyDescent="0.3">
      <c r="G1116" s="459"/>
      <c r="H1116" s="459">
        <v>1109</v>
      </c>
      <c r="I1116" s="444">
        <f t="shared" ca="1" si="105"/>
        <v>-22080722.281629551</v>
      </c>
      <c r="J1116" s="444">
        <f t="array" ref="J1116">IFERROR(INDEX('Retirement Calculator'!K:K,MATCH('Lorri 401b'!N1116,'Retirement Calculator'!A:A,0),0),0)</f>
        <v>20367.195264578786</v>
      </c>
      <c r="K1116" s="444">
        <f t="shared" ca="1" si="103"/>
        <v>-92087.872820392207</v>
      </c>
      <c r="L1116" s="444">
        <f t="shared" ca="1" si="104"/>
        <v>-22193177.349714521</v>
      </c>
      <c r="M1116" s="460">
        <f t="shared" si="106"/>
        <v>0.05</v>
      </c>
      <c r="N1116" s="464">
        <f t="shared" si="107"/>
        <v>85012</v>
      </c>
    </row>
    <row r="1117" spans="7:14" ht="11.25" customHeight="1" x14ac:dyDescent="0.3">
      <c r="G1117" s="459"/>
      <c r="H1117" s="459">
        <v>1110</v>
      </c>
      <c r="I1117" s="444">
        <f t="shared" ca="1" si="105"/>
        <v>-22193177.349714521</v>
      </c>
      <c r="J1117" s="444">
        <f t="array" ref="J1117">IFERROR(INDEX('Retirement Calculator'!K:K,MATCH('Lorri 401b'!N1117,'Retirement Calculator'!A:A,0),0),0)</f>
        <v>20367.195264578786</v>
      </c>
      <c r="K1117" s="444">
        <f t="shared" ca="1" si="103"/>
        <v>-92556.435604079583</v>
      </c>
      <c r="L1117" s="444">
        <f t="shared" ca="1" si="104"/>
        <v>-22306100.98058318</v>
      </c>
      <c r="M1117" s="460">
        <f t="shared" si="106"/>
        <v>0.05</v>
      </c>
      <c r="N1117" s="464">
        <f t="shared" si="107"/>
        <v>85043</v>
      </c>
    </row>
    <row r="1118" spans="7:14" ht="11.25" customHeight="1" x14ac:dyDescent="0.3">
      <c r="G1118" s="459"/>
      <c r="H1118" s="459">
        <v>1111</v>
      </c>
      <c r="I1118" s="444">
        <f t="shared" ca="1" si="105"/>
        <v>-22306100.98058318</v>
      </c>
      <c r="J1118" s="444">
        <f t="array" ref="J1118">IFERROR(INDEX('Retirement Calculator'!K:K,MATCH('Lorri 401b'!N1118,'Retirement Calculator'!A:A,0),0),0)</f>
        <v>20367.195264578786</v>
      </c>
      <c r="K1118" s="444">
        <f t="shared" ca="1" si="103"/>
        <v>-93026.950732698984</v>
      </c>
      <c r="L1118" s="444">
        <f t="shared" ca="1" si="104"/>
        <v>-22419495.126580458</v>
      </c>
      <c r="M1118" s="460">
        <f t="shared" si="106"/>
        <v>0.05</v>
      </c>
      <c r="N1118" s="464">
        <f t="shared" si="107"/>
        <v>85073</v>
      </c>
    </row>
    <row r="1119" spans="7:14" ht="11.25" customHeight="1" x14ac:dyDescent="0.3">
      <c r="G1119" s="459"/>
      <c r="H1119" s="459">
        <v>1112</v>
      </c>
      <c r="I1119" s="444">
        <f t="shared" ca="1" si="105"/>
        <v>-22419495.126580458</v>
      </c>
      <c r="J1119" s="444">
        <f t="array" ref="J1119">IFERROR(INDEX('Retirement Calculator'!K:K,MATCH('Lorri 401b'!N1119,'Retirement Calculator'!A:A,0),0),0)</f>
        <v>20367.195264578786</v>
      </c>
      <c r="K1119" s="444">
        <f t="shared" ca="1" si="103"/>
        <v>-93499.426341020982</v>
      </c>
      <c r="L1119" s="444">
        <f t="shared" ca="1" si="104"/>
        <v>-22533361.748186056</v>
      </c>
      <c r="M1119" s="460">
        <f t="shared" si="106"/>
        <v>0.05</v>
      </c>
      <c r="N1119" s="464">
        <f t="shared" si="107"/>
        <v>85104</v>
      </c>
    </row>
    <row r="1120" spans="7:14" ht="11.25" customHeight="1" x14ac:dyDescent="0.3">
      <c r="G1120" s="459"/>
      <c r="H1120" s="459">
        <v>1113</v>
      </c>
      <c r="I1120" s="444">
        <f t="shared" ca="1" si="105"/>
        <v>-22533361.748186056</v>
      </c>
      <c r="J1120" s="444">
        <f t="array" ref="J1120">IFERROR(INDEX('Retirement Calculator'!K:K,MATCH('Lorri 401b'!N1120,'Retirement Calculator'!A:A,0),0),0)</f>
        <v>20367.195264578786</v>
      </c>
      <c r="K1120" s="444">
        <f t="shared" ca="1" si="103"/>
        <v>-93973.870597710978</v>
      </c>
      <c r="L1120" s="444">
        <f t="shared" ca="1" si="104"/>
        <v>-22647702.814048346</v>
      </c>
      <c r="M1120" s="460">
        <f t="shared" si="106"/>
        <v>0.05</v>
      </c>
      <c r="N1120" s="464">
        <f t="shared" si="107"/>
        <v>85135</v>
      </c>
    </row>
    <row r="1121" spans="7:14" ht="11.25" customHeight="1" x14ac:dyDescent="0.3">
      <c r="G1121" s="459"/>
      <c r="H1121" s="459">
        <v>1114</v>
      </c>
      <c r="I1121" s="444">
        <f t="shared" ca="1" si="105"/>
        <v>-22647702.814048346</v>
      </c>
      <c r="J1121" s="444">
        <f t="array" ref="J1121">IFERROR(INDEX('Retirement Calculator'!K:K,MATCH('Lorri 401b'!N1121,'Retirement Calculator'!A:A,0),0),0)</f>
        <v>20367.195264578786</v>
      </c>
      <c r="K1121" s="444">
        <f t="shared" ca="1" si="103"/>
        <v>-94450.291705470518</v>
      </c>
      <c r="L1121" s="444">
        <f t="shared" ca="1" si="104"/>
        <v>-22762520.301018395</v>
      </c>
      <c r="M1121" s="460">
        <f t="shared" si="106"/>
        <v>0.05</v>
      </c>
      <c r="N1121" s="464">
        <f t="shared" si="107"/>
        <v>85163</v>
      </c>
    </row>
    <row r="1122" spans="7:14" ht="11.25" customHeight="1" x14ac:dyDescent="0.3">
      <c r="G1122" s="459"/>
      <c r="H1122" s="459">
        <v>1115</v>
      </c>
      <c r="I1122" s="444">
        <f t="shared" ca="1" si="105"/>
        <v>-22762520.301018395</v>
      </c>
      <c r="J1122" s="444">
        <f t="array" ref="J1122">IFERROR(INDEX('Retirement Calculator'!K:K,MATCH('Lorri 401b'!N1122,'Retirement Calculator'!A:A,0),0),0)</f>
        <v>20367.195264578786</v>
      </c>
      <c r="K1122" s="444">
        <f t="shared" ca="1" si="103"/>
        <v>-94928.697901179054</v>
      </c>
      <c r="L1122" s="444">
        <f t="shared" ca="1" si="104"/>
        <v>-22877816.194184151</v>
      </c>
      <c r="M1122" s="460">
        <f t="shared" si="106"/>
        <v>0.05</v>
      </c>
      <c r="N1122" s="464">
        <f t="shared" si="107"/>
        <v>85194</v>
      </c>
    </row>
    <row r="1123" spans="7:14" ht="11.25" customHeight="1" x14ac:dyDescent="0.3">
      <c r="G1123" s="459"/>
      <c r="H1123" s="459">
        <v>1116</v>
      </c>
      <c r="I1123" s="444">
        <f t="shared" ca="1" si="105"/>
        <v>-22877816.194184151</v>
      </c>
      <c r="J1123" s="444">
        <f t="array" ref="J1123">IFERROR(INDEX('Retirement Calculator'!K:K,MATCH('Lorri 401b'!N1123,'Retirement Calculator'!A:A,0),0),0)</f>
        <v>20367.195264578786</v>
      </c>
      <c r="K1123" s="444">
        <f t="shared" ca="1" si="103"/>
        <v>-95409.097456036368</v>
      </c>
      <c r="L1123" s="444">
        <f t="shared" ca="1" si="104"/>
        <v>-22993592.486904766</v>
      </c>
      <c r="M1123" s="460">
        <f t="shared" si="106"/>
        <v>0.05</v>
      </c>
      <c r="N1123" s="464">
        <f t="shared" si="107"/>
        <v>85224</v>
      </c>
    </row>
    <row r="1124" spans="7:14" ht="11.25" customHeight="1" x14ac:dyDescent="0.3">
      <c r="G1124" s="459"/>
      <c r="H1124" s="459">
        <v>1117</v>
      </c>
      <c r="I1124" s="444">
        <f t="shared" ca="1" si="105"/>
        <v>-22993592.486904766</v>
      </c>
      <c r="J1124" s="444">
        <f t="array" ref="J1124">IFERROR(INDEX('Retirement Calculator'!K:K,MATCH('Lorri 401b'!N1124,'Retirement Calculator'!A:A,0),0),0)</f>
        <v>20367.195264578786</v>
      </c>
      <c r="K1124" s="444">
        <f t="shared" ca="1" si="103"/>
        <v>-95891.498675705603</v>
      </c>
      <c r="L1124" s="444">
        <f t="shared" ca="1" si="104"/>
        <v>-23109851.180845048</v>
      </c>
      <c r="M1124" s="460">
        <f t="shared" si="106"/>
        <v>0.05</v>
      </c>
      <c r="N1124" s="464">
        <f t="shared" si="107"/>
        <v>85255</v>
      </c>
    </row>
    <row r="1125" spans="7:14" ht="11.25" customHeight="1" x14ac:dyDescent="0.3">
      <c r="G1125" s="459"/>
      <c r="H1125" s="459">
        <v>1118</v>
      </c>
      <c r="I1125" s="444">
        <f t="shared" ca="1" si="105"/>
        <v>-23109851.180845048</v>
      </c>
      <c r="J1125" s="444">
        <f t="array" ref="J1125">IFERROR(INDEX('Retirement Calculator'!K:K,MATCH('Lorri 401b'!N1125,'Retirement Calculator'!A:A,0),0),0)</f>
        <v>20367.195264578786</v>
      </c>
      <c r="K1125" s="444">
        <f t="shared" ca="1" si="103"/>
        <v>-96375.909900456769</v>
      </c>
      <c r="L1125" s="444">
        <f t="shared" ca="1" si="104"/>
        <v>-23226594.286010083</v>
      </c>
      <c r="M1125" s="460">
        <f t="shared" si="106"/>
        <v>0.05</v>
      </c>
      <c r="N1125" s="464">
        <f t="shared" si="107"/>
        <v>85285</v>
      </c>
    </row>
    <row r="1126" spans="7:14" ht="11.25" customHeight="1" x14ac:dyDescent="0.3">
      <c r="G1126" s="459"/>
      <c r="H1126" s="459">
        <v>1119</v>
      </c>
      <c r="I1126" s="444">
        <f t="shared" ca="1" si="105"/>
        <v>-23226594.286010083</v>
      </c>
      <c r="J1126" s="444">
        <f t="array" ref="J1126">IFERROR(INDEX('Retirement Calculator'!K:K,MATCH('Lorri 401b'!N1126,'Retirement Calculator'!A:A,0),0),0)</f>
        <v>20367.195264578786</v>
      </c>
      <c r="K1126" s="444">
        <f t="shared" ca="1" si="103"/>
        <v>-96862.339505311087</v>
      </c>
      <c r="L1126" s="444">
        <f t="shared" ca="1" si="104"/>
        <v>-23343823.820779972</v>
      </c>
      <c r="M1126" s="460">
        <f t="shared" si="106"/>
        <v>0.05</v>
      </c>
      <c r="N1126" s="464">
        <f t="shared" si="107"/>
        <v>85316</v>
      </c>
    </row>
    <row r="1127" spans="7:14" ht="11.25" customHeight="1" x14ac:dyDescent="0.3">
      <c r="G1127" s="459"/>
      <c r="H1127" s="459">
        <v>1120</v>
      </c>
      <c r="I1127" s="444">
        <f t="shared" ca="1" si="105"/>
        <v>-23343823.820779972</v>
      </c>
      <c r="J1127" s="444">
        <f t="array" ref="J1127">IFERROR(INDEX('Retirement Calculator'!K:K,MATCH('Lorri 401b'!N1127,'Retirement Calculator'!A:A,0),0),0)</f>
        <v>20367.195264578786</v>
      </c>
      <c r="K1127" s="444">
        <f t="shared" ca="1" si="103"/>
        <v>-97350.795900185622</v>
      </c>
      <c r="L1127" s="444">
        <f t="shared" ca="1" si="104"/>
        <v>-23461541.811944734</v>
      </c>
      <c r="M1127" s="460">
        <f t="shared" si="106"/>
        <v>0.05</v>
      </c>
      <c r="N1127" s="464">
        <f t="shared" si="107"/>
        <v>85347</v>
      </c>
    </row>
    <row r="1128" spans="7:14" ht="11.25" customHeight="1" x14ac:dyDescent="0.3">
      <c r="G1128" s="459"/>
      <c r="H1128" s="459">
        <v>1121</v>
      </c>
      <c r="I1128" s="444">
        <f t="shared" ca="1" si="105"/>
        <v>-23461541.811944734</v>
      </c>
      <c r="J1128" s="444">
        <f t="array" ref="J1128">IFERROR(INDEX('Retirement Calculator'!K:K,MATCH('Lorri 401b'!N1128,'Retirement Calculator'!A:A,0),0),0)</f>
        <v>20367.195264578786</v>
      </c>
      <c r="K1128" s="444">
        <f t="shared" ca="1" si="103"/>
        <v>-97841.287530038797</v>
      </c>
      <c r="L1128" s="444">
        <f t="shared" ca="1" si="104"/>
        <v>-23579750.294739351</v>
      </c>
      <c r="M1128" s="460">
        <f t="shared" si="106"/>
        <v>0.05</v>
      </c>
      <c r="N1128" s="464">
        <f t="shared" si="107"/>
        <v>85377</v>
      </c>
    </row>
    <row r="1129" spans="7:14" ht="11.25" customHeight="1" x14ac:dyDescent="0.3">
      <c r="G1129" s="459"/>
      <c r="H1129" s="459">
        <v>1122</v>
      </c>
      <c r="I1129" s="444">
        <f t="shared" ca="1" si="105"/>
        <v>-23579750.294739351</v>
      </c>
      <c r="J1129" s="444">
        <f t="array" ref="J1129">IFERROR(INDEX('Retirement Calculator'!K:K,MATCH('Lorri 401b'!N1129,'Retirement Calculator'!A:A,0),0),0)</f>
        <v>20367.195264578786</v>
      </c>
      <c r="K1129" s="444">
        <f t="shared" ca="1" si="103"/>
        <v>-98333.822875016369</v>
      </c>
      <c r="L1129" s="444">
        <f t="shared" ca="1" si="104"/>
        <v>-23698451.312878944</v>
      </c>
      <c r="M1129" s="460">
        <f t="shared" si="106"/>
        <v>0.05</v>
      </c>
      <c r="N1129" s="464">
        <f t="shared" si="107"/>
        <v>85408</v>
      </c>
    </row>
    <row r="1130" spans="7:14" ht="11.25" customHeight="1" x14ac:dyDescent="0.3">
      <c r="G1130" s="459"/>
      <c r="H1130" s="459">
        <v>1123</v>
      </c>
      <c r="I1130" s="444">
        <f t="shared" ca="1" si="105"/>
        <v>-23698451.312878944</v>
      </c>
      <c r="J1130" s="444">
        <f t="array" ref="J1130">IFERROR(INDEX('Retirement Calculator'!K:K,MATCH('Lorri 401b'!N1130,'Retirement Calculator'!A:A,0),0),0)</f>
        <v>20367.195264578786</v>
      </c>
      <c r="K1130" s="444">
        <f t="shared" ca="1" si="103"/>
        <v>-98828.410450598007</v>
      </c>
      <c r="L1130" s="444">
        <f t="shared" ca="1" si="104"/>
        <v>-23817646.918594118</v>
      </c>
      <c r="M1130" s="460">
        <f t="shared" si="106"/>
        <v>0.05</v>
      </c>
      <c r="N1130" s="464">
        <f t="shared" si="107"/>
        <v>85438</v>
      </c>
    </row>
    <row r="1131" spans="7:14" ht="11.25" customHeight="1" x14ac:dyDescent="0.3">
      <c r="G1131" s="459"/>
      <c r="H1131" s="459">
        <v>1124</v>
      </c>
      <c r="I1131" s="444">
        <f t="shared" ca="1" si="105"/>
        <v>-23817646.918594118</v>
      </c>
      <c r="J1131" s="444">
        <f t="array" ref="J1131">IFERROR(INDEX('Retirement Calculator'!K:K,MATCH('Lorri 401b'!N1131,'Retirement Calculator'!A:A,0),0),0)</f>
        <v>20367.195264578786</v>
      </c>
      <c r="K1131" s="444">
        <f t="shared" ca="1" si="103"/>
        <v>-99325.058807744572</v>
      </c>
      <c r="L1131" s="444">
        <f t="shared" ca="1" si="104"/>
        <v>-23937339.172666442</v>
      </c>
      <c r="M1131" s="460">
        <f t="shared" si="106"/>
        <v>0.05</v>
      </c>
      <c r="N1131" s="464">
        <f t="shared" si="107"/>
        <v>85469</v>
      </c>
    </row>
    <row r="1132" spans="7:14" ht="11.25" customHeight="1" x14ac:dyDescent="0.3">
      <c r="G1132" s="459"/>
      <c r="H1132" s="459">
        <v>1125</v>
      </c>
      <c r="I1132" s="444">
        <f t="shared" ca="1" si="105"/>
        <v>-23937339.172666442</v>
      </c>
      <c r="J1132" s="444">
        <f t="array" ref="J1132">IFERROR(INDEX('Retirement Calculator'!K:K,MATCH('Lorri 401b'!N1132,'Retirement Calculator'!A:A,0),0),0)</f>
        <v>20367.195264578786</v>
      </c>
      <c r="K1132" s="444">
        <f t="shared" ca="1" si="103"/>
        <v>-99823.776533045908</v>
      </c>
      <c r="L1132" s="444">
        <f t="shared" ca="1" si="104"/>
        <v>-24057530.144464064</v>
      </c>
      <c r="M1132" s="460">
        <f t="shared" si="106"/>
        <v>0.05</v>
      </c>
      <c r="N1132" s="464">
        <f t="shared" si="107"/>
        <v>85500</v>
      </c>
    </row>
    <row r="1133" spans="7:14" ht="11.25" customHeight="1" x14ac:dyDescent="0.3">
      <c r="G1133" s="459"/>
      <c r="H1133" s="459">
        <v>1126</v>
      </c>
      <c r="I1133" s="444">
        <f t="shared" ca="1" si="105"/>
        <v>-24057530.144464064</v>
      </c>
      <c r="J1133" s="444">
        <f t="array" ref="J1133">IFERROR(INDEX('Retirement Calculator'!K:K,MATCH('Lorri 401b'!N1133,'Retirement Calculator'!A:A,0),0),0)</f>
        <v>20367.195264578786</v>
      </c>
      <c r="K1133" s="444">
        <f t="shared" ca="1" si="103"/>
        <v>-100324.57224886934</v>
      </c>
      <c r="L1133" s="444">
        <f t="shared" ca="1" si="104"/>
        <v>-24178221.911977511</v>
      </c>
      <c r="M1133" s="460">
        <f t="shared" si="106"/>
        <v>0.05</v>
      </c>
      <c r="N1133" s="464">
        <f t="shared" si="107"/>
        <v>85528</v>
      </c>
    </row>
    <row r="1134" spans="7:14" ht="11.25" customHeight="1" x14ac:dyDescent="0.3">
      <c r="G1134" s="459"/>
      <c r="H1134" s="459">
        <v>1127</v>
      </c>
      <c r="I1134" s="444">
        <f t="shared" ca="1" si="105"/>
        <v>-24178221.911977511</v>
      </c>
      <c r="J1134" s="444">
        <f t="array" ref="J1134">IFERROR(INDEX('Retirement Calculator'!K:K,MATCH('Lorri 401b'!N1134,'Retirement Calculator'!A:A,0),0),0)</f>
        <v>20367.195264578786</v>
      </c>
      <c r="K1134" s="444">
        <f t="shared" ca="1" si="103"/>
        <v>-100827.4546135087</v>
      </c>
      <c r="L1134" s="444">
        <f t="shared" ca="1" si="104"/>
        <v>-24299416.561855599</v>
      </c>
      <c r="M1134" s="460">
        <f t="shared" si="106"/>
        <v>0.05</v>
      </c>
      <c r="N1134" s="464">
        <f t="shared" si="107"/>
        <v>85559</v>
      </c>
    </row>
    <row r="1135" spans="7:14" ht="11.25" customHeight="1" x14ac:dyDescent="0.3">
      <c r="G1135" s="459"/>
      <c r="H1135" s="459">
        <v>1128</v>
      </c>
      <c r="I1135" s="444">
        <f t="shared" ca="1" si="105"/>
        <v>-24299416.561855599</v>
      </c>
      <c r="J1135" s="444">
        <f t="array" ref="J1135">IFERROR(INDEX('Retirement Calculator'!K:K,MATCH('Lorri 401b'!N1135,'Retirement Calculator'!A:A,0),0),0)</f>
        <v>20367.195264578786</v>
      </c>
      <c r="K1135" s="444">
        <f t="shared" ca="1" si="103"/>
        <v>-101332.43232133407</v>
      </c>
      <c r="L1135" s="444">
        <f t="shared" ca="1" si="104"/>
        <v>-24421116.18944151</v>
      </c>
      <c r="M1135" s="460">
        <f t="shared" si="106"/>
        <v>0.05</v>
      </c>
      <c r="N1135" s="464">
        <f t="shared" si="107"/>
        <v>85589</v>
      </c>
    </row>
    <row r="1136" spans="7:14" ht="11.25" customHeight="1" x14ac:dyDescent="0.3">
      <c r="G1136" s="459"/>
      <c r="H1136" s="459">
        <v>1129</v>
      </c>
      <c r="I1136" s="444">
        <f t="shared" ca="1" si="105"/>
        <v>-24421116.18944151</v>
      </c>
      <c r="J1136" s="444">
        <f t="array" ref="J1136">IFERROR(INDEX('Retirement Calculator'!K:K,MATCH('Lorri 401b'!N1136,'Retirement Calculator'!A:A,0),0),0)</f>
        <v>20367.195264578786</v>
      </c>
      <c r="K1136" s="444">
        <f t="shared" ca="1" si="103"/>
        <v>-101839.51410294203</v>
      </c>
      <c r="L1136" s="444">
        <f t="shared" ca="1" si="104"/>
        <v>-24543322.898809031</v>
      </c>
      <c r="M1136" s="460">
        <f t="shared" si="106"/>
        <v>0.05</v>
      </c>
      <c r="N1136" s="464">
        <f t="shared" si="107"/>
        <v>85620</v>
      </c>
    </row>
    <row r="1137" spans="7:14" ht="11.25" customHeight="1" x14ac:dyDescent="0.3">
      <c r="G1137" s="459"/>
      <c r="H1137" s="459">
        <v>1130</v>
      </c>
      <c r="I1137" s="444">
        <f t="shared" ca="1" si="105"/>
        <v>-24543322.898809031</v>
      </c>
      <c r="J1137" s="444">
        <f t="array" ref="J1137">IFERROR(INDEX('Retirement Calculator'!K:K,MATCH('Lorri 401b'!N1137,'Retirement Calculator'!A:A,0),0),0)</f>
        <v>20367.195264578786</v>
      </c>
      <c r="K1137" s="444">
        <f t="shared" ca="1" si="103"/>
        <v>-102348.7087253067</v>
      </c>
      <c r="L1137" s="444">
        <f t="shared" ca="1" si="104"/>
        <v>-24666038.802798916</v>
      </c>
      <c r="M1137" s="460">
        <f t="shared" si="106"/>
        <v>0.05</v>
      </c>
      <c r="N1137" s="464">
        <f t="shared" si="107"/>
        <v>85650</v>
      </c>
    </row>
    <row r="1138" spans="7:14" ht="11.25" customHeight="1" x14ac:dyDescent="0.3">
      <c r="G1138" s="459"/>
      <c r="H1138" s="459">
        <v>1131</v>
      </c>
      <c r="I1138" s="444">
        <f t="shared" ca="1" si="105"/>
        <v>-24666038.802798916</v>
      </c>
      <c r="J1138" s="444">
        <f t="array" ref="J1138">IFERROR(INDEX('Retirement Calculator'!K:K,MATCH('Lorri 401b'!N1138,'Retirement Calculator'!A:A,0),0),0)</f>
        <v>20367.195264578786</v>
      </c>
      <c r="K1138" s="444">
        <f t="shared" ca="1" si="103"/>
        <v>-102860.02499193122</v>
      </c>
      <c r="L1138" s="444">
        <f t="shared" ca="1" si="104"/>
        <v>-24789266.023055423</v>
      </c>
      <c r="M1138" s="460">
        <f t="shared" si="106"/>
        <v>0.05</v>
      </c>
      <c r="N1138" s="464">
        <f t="shared" si="107"/>
        <v>85681</v>
      </c>
    </row>
    <row r="1139" spans="7:14" ht="11.25" customHeight="1" x14ac:dyDescent="0.3">
      <c r="G1139" s="459"/>
      <c r="H1139" s="459">
        <v>1132</v>
      </c>
      <c r="I1139" s="444">
        <f t="shared" ca="1" si="105"/>
        <v>-24789266.023055423</v>
      </c>
      <c r="J1139" s="444">
        <f t="array" ref="J1139">IFERROR(INDEX('Retirement Calculator'!K:K,MATCH('Lorri 401b'!N1139,'Retirement Calculator'!A:A,0),0),0)</f>
        <v>20367.195264578786</v>
      </c>
      <c r="K1139" s="444">
        <f t="shared" ca="1" si="103"/>
        <v>-103373.471743</v>
      </c>
      <c r="L1139" s="444">
        <f t="shared" ca="1" si="104"/>
        <v>-24913006.690063</v>
      </c>
      <c r="M1139" s="460">
        <f t="shared" si="106"/>
        <v>0.05</v>
      </c>
      <c r="N1139" s="464">
        <f t="shared" si="107"/>
        <v>85712</v>
      </c>
    </row>
    <row r="1140" spans="7:14" ht="11.25" customHeight="1" x14ac:dyDescent="0.3">
      <c r="G1140" s="459"/>
      <c r="H1140" s="459">
        <v>1133</v>
      </c>
      <c r="I1140" s="444">
        <f t="shared" ca="1" si="105"/>
        <v>-24913006.690063</v>
      </c>
      <c r="J1140" s="444">
        <f t="array" ref="J1140">IFERROR(INDEX('Retirement Calculator'!K:K,MATCH('Lorri 401b'!N1140,'Retirement Calculator'!A:A,0),0),0)</f>
        <v>20367.195264578786</v>
      </c>
      <c r="K1140" s="444">
        <f t="shared" ca="1" si="103"/>
        <v>-103889.05785553157</v>
      </c>
      <c r="L1140" s="444">
        <f t="shared" ca="1" si="104"/>
        <v>-25037262.943183109</v>
      </c>
      <c r="M1140" s="460">
        <f t="shared" si="106"/>
        <v>0.05</v>
      </c>
      <c r="N1140" s="464">
        <f t="shared" si="107"/>
        <v>85742</v>
      </c>
    </row>
    <row r="1141" spans="7:14" ht="11.25" customHeight="1" x14ac:dyDescent="0.3">
      <c r="G1141" s="459"/>
      <c r="H1141" s="459">
        <v>1134</v>
      </c>
      <c r="I1141" s="444">
        <f t="shared" ca="1" si="105"/>
        <v>-25037262.943183109</v>
      </c>
      <c r="J1141" s="444">
        <f t="array" ref="J1141">IFERROR(INDEX('Retirement Calculator'!K:K,MATCH('Lorri 401b'!N1141,'Retirement Calculator'!A:A,0),0),0)</f>
        <v>20367.195264578786</v>
      </c>
      <c r="K1141" s="444">
        <f t="shared" ca="1" si="103"/>
        <v>-104406.79224353202</v>
      </c>
      <c r="L1141" s="444">
        <f t="shared" ca="1" si="104"/>
        <v>-25162036.93069122</v>
      </c>
      <c r="M1141" s="460">
        <f t="shared" si="106"/>
        <v>0.05</v>
      </c>
      <c r="N1141" s="464">
        <f t="shared" si="107"/>
        <v>85773</v>
      </c>
    </row>
    <row r="1142" spans="7:14" ht="11.25" customHeight="1" x14ac:dyDescent="0.3">
      <c r="G1142" s="459"/>
      <c r="H1142" s="459">
        <v>1135</v>
      </c>
      <c r="I1142" s="444">
        <f t="shared" ca="1" si="105"/>
        <v>-25162036.93069122</v>
      </c>
      <c r="J1142" s="444">
        <f t="array" ref="J1142">IFERROR(INDEX('Retirement Calculator'!K:K,MATCH('Lorri 401b'!N1142,'Retirement Calculator'!A:A,0),0),0)</f>
        <v>20367.195264578786</v>
      </c>
      <c r="K1142" s="444">
        <f t="shared" ca="1" si="103"/>
        <v>-104926.68385814916</v>
      </c>
      <c r="L1142" s="444">
        <f t="shared" ca="1" si="104"/>
        <v>-25287330.809813946</v>
      </c>
      <c r="M1142" s="460">
        <f t="shared" si="106"/>
        <v>0.05</v>
      </c>
      <c r="N1142" s="464">
        <f t="shared" si="107"/>
        <v>85803</v>
      </c>
    </row>
    <row r="1143" spans="7:14" ht="11.25" customHeight="1" x14ac:dyDescent="0.3">
      <c r="G1143" s="459"/>
      <c r="H1143" s="459">
        <v>1136</v>
      </c>
      <c r="I1143" s="444">
        <f t="shared" ca="1" si="105"/>
        <v>-25287330.809813946</v>
      </c>
      <c r="J1143" s="444">
        <f t="array" ref="J1143">IFERROR(INDEX('Retirement Calculator'!K:K,MATCH('Lorri 401b'!N1143,'Retirement Calculator'!A:A,0),0),0)</f>
        <v>20367.195264578786</v>
      </c>
      <c r="K1143" s="444">
        <f t="shared" ca="1" si="103"/>
        <v>-105448.74168782718</v>
      </c>
      <c r="L1143" s="444">
        <f t="shared" ca="1" si="104"/>
        <v>-25413146.746766351</v>
      </c>
      <c r="M1143" s="460">
        <f t="shared" si="106"/>
        <v>0.05</v>
      </c>
      <c r="N1143" s="464">
        <f t="shared" si="107"/>
        <v>85834</v>
      </c>
    </row>
    <row r="1144" spans="7:14" ht="11.25" customHeight="1" x14ac:dyDescent="0.3">
      <c r="G1144" s="459"/>
      <c r="H1144" s="459">
        <v>1137</v>
      </c>
      <c r="I1144" s="444">
        <f t="shared" ca="1" si="105"/>
        <v>-25413146.746766351</v>
      </c>
      <c r="J1144" s="444">
        <f t="array" ref="J1144">IFERROR(INDEX('Retirement Calculator'!K:K,MATCH('Lorri 401b'!N1144,'Retirement Calculator'!A:A,0),0),0)</f>
        <v>20367.195264578786</v>
      </c>
      <c r="K1144" s="444">
        <f t="shared" ca="1" si="103"/>
        <v>-105972.97475846221</v>
      </c>
      <c r="L1144" s="444">
        <f t="shared" ca="1" si="104"/>
        <v>-25539486.91678939</v>
      </c>
      <c r="M1144" s="460">
        <f t="shared" si="106"/>
        <v>0.05</v>
      </c>
      <c r="N1144" s="464">
        <f t="shared" si="107"/>
        <v>85865</v>
      </c>
    </row>
    <row r="1145" spans="7:14" ht="11.25" customHeight="1" x14ac:dyDescent="0.3">
      <c r="G1145" s="459"/>
      <c r="H1145" s="459">
        <v>1138</v>
      </c>
      <c r="I1145" s="444">
        <f t="shared" ca="1" si="105"/>
        <v>-25539486.91678939</v>
      </c>
      <c r="J1145" s="444">
        <f t="array" ref="J1145">IFERROR(INDEX('Retirement Calculator'!K:K,MATCH('Lorri 401b'!N1145,'Retirement Calculator'!A:A,0),0),0)</f>
        <v>20367.195264578786</v>
      </c>
      <c r="K1145" s="444">
        <f t="shared" ca="1" si="103"/>
        <v>-106499.3921335582</v>
      </c>
      <c r="L1145" s="444">
        <f t="shared" ca="1" si="104"/>
        <v>-25666353.504187528</v>
      </c>
      <c r="M1145" s="460">
        <f t="shared" si="106"/>
        <v>0.05</v>
      </c>
      <c r="N1145" s="464">
        <f t="shared" si="107"/>
        <v>85893</v>
      </c>
    </row>
    <row r="1146" spans="7:14" ht="11.25" customHeight="1" x14ac:dyDescent="0.3">
      <c r="G1146" s="459"/>
      <c r="H1146" s="459">
        <v>1139</v>
      </c>
      <c r="I1146" s="444">
        <f t="shared" ca="1" si="105"/>
        <v>-25666353.504187528</v>
      </c>
      <c r="J1146" s="444">
        <f t="array" ref="J1146">IFERROR(INDEX('Retirement Calculator'!K:K,MATCH('Lorri 401b'!N1146,'Retirement Calculator'!A:A,0),0),0)</f>
        <v>20367.195264578786</v>
      </c>
      <c r="K1146" s="444">
        <f t="shared" ca="1" si="103"/>
        <v>-107028.00291438377</v>
      </c>
      <c r="L1146" s="444">
        <f t="shared" ca="1" si="104"/>
        <v>-25793748.70236649</v>
      </c>
      <c r="M1146" s="460">
        <f t="shared" si="106"/>
        <v>0.05</v>
      </c>
      <c r="N1146" s="464">
        <f t="shared" si="107"/>
        <v>85924</v>
      </c>
    </row>
    <row r="1147" spans="7:14" ht="11.25" customHeight="1" x14ac:dyDescent="0.3">
      <c r="G1147" s="459"/>
      <c r="H1147" s="459">
        <v>1140</v>
      </c>
      <c r="I1147" s="444">
        <f t="shared" ca="1" si="105"/>
        <v>-25793748.70236649</v>
      </c>
      <c r="J1147" s="444">
        <f t="array" ref="J1147">IFERROR(INDEX('Retirement Calculator'!K:K,MATCH('Lorri 401b'!N1147,'Retirement Calculator'!A:A,0),0),0)</f>
        <v>20367.195264578786</v>
      </c>
      <c r="K1147" s="444">
        <f t="shared" ca="1" si="103"/>
        <v>-107558.81624012945</v>
      </c>
      <c r="L1147" s="444">
        <f t="shared" ca="1" si="104"/>
        <v>-25921674.713871196</v>
      </c>
      <c r="M1147" s="460">
        <f t="shared" si="106"/>
        <v>0.05</v>
      </c>
      <c r="N1147" s="464">
        <f t="shared" si="107"/>
        <v>85954</v>
      </c>
    </row>
    <row r="1148" spans="7:14" ht="11.25" customHeight="1" x14ac:dyDescent="0.3">
      <c r="G1148" s="459"/>
      <c r="H1148" s="459">
        <v>1141</v>
      </c>
      <c r="I1148" s="444">
        <f t="shared" ca="1" si="105"/>
        <v>-25921674.713871196</v>
      </c>
      <c r="J1148" s="444">
        <f t="array" ref="J1148">IFERROR(INDEX('Retirement Calculator'!K:K,MATCH('Lorri 401b'!N1148,'Retirement Calculator'!A:A,0),0),0)</f>
        <v>20367.195264578786</v>
      </c>
      <c r="K1148" s="444">
        <f t="shared" ca="1" si="103"/>
        <v>-108091.84128806573</v>
      </c>
      <c r="L1148" s="444">
        <f t="shared" ca="1" si="104"/>
        <v>-26050133.750423841</v>
      </c>
      <c r="M1148" s="460">
        <f t="shared" si="106"/>
        <v>0.05</v>
      </c>
      <c r="N1148" s="464">
        <f t="shared" si="107"/>
        <v>85985</v>
      </c>
    </row>
    <row r="1149" spans="7:14" ht="11.25" customHeight="1" x14ac:dyDescent="0.3">
      <c r="G1149" s="459"/>
      <c r="H1149" s="459">
        <v>1142</v>
      </c>
      <c r="I1149" s="444">
        <f t="shared" ca="1" si="105"/>
        <v>-26050133.750423841</v>
      </c>
      <c r="J1149" s="444">
        <f t="array" ref="J1149">IFERROR(INDEX('Retirement Calculator'!K:K,MATCH('Lorri 401b'!N1149,'Retirement Calculator'!A:A,0),0),0)</f>
        <v>20367.195264578786</v>
      </c>
      <c r="K1149" s="444">
        <f t="shared" ca="1" si="103"/>
        <v>-108627.08727370175</v>
      </c>
      <c r="L1149" s="444">
        <f t="shared" ca="1" si="104"/>
        <v>-26179128.032962121</v>
      </c>
      <c r="M1149" s="460">
        <f t="shared" si="106"/>
        <v>0.05</v>
      </c>
      <c r="N1149" s="464">
        <f t="shared" si="107"/>
        <v>86015</v>
      </c>
    </row>
    <row r="1150" spans="7:14" ht="11.25" customHeight="1" x14ac:dyDescent="0.3">
      <c r="G1150" s="459"/>
      <c r="H1150" s="459">
        <v>1143</v>
      </c>
      <c r="I1150" s="444">
        <f t="shared" ca="1" si="105"/>
        <v>-26179128.032962121</v>
      </c>
      <c r="J1150" s="444">
        <f t="array" ref="J1150">IFERROR(INDEX('Retirement Calculator'!K:K,MATCH('Lorri 401b'!N1150,'Retirement Calculator'!A:A,0),0),0)</f>
        <v>20367.195264578786</v>
      </c>
      <c r="K1150" s="444">
        <f t="shared" ca="1" si="103"/>
        <v>-109164.56345094457</v>
      </c>
      <c r="L1150" s="444">
        <f t="shared" ca="1" si="104"/>
        <v>-26308659.791677643</v>
      </c>
      <c r="M1150" s="460">
        <f t="shared" si="106"/>
        <v>0.05</v>
      </c>
      <c r="N1150" s="464">
        <f t="shared" si="107"/>
        <v>86046</v>
      </c>
    </row>
    <row r="1151" spans="7:14" ht="11.25" customHeight="1" x14ac:dyDescent="0.3">
      <c r="G1151" s="459"/>
      <c r="H1151" s="459">
        <v>1144</v>
      </c>
      <c r="I1151" s="444">
        <f t="shared" ca="1" si="105"/>
        <v>-26308659.791677643</v>
      </c>
      <c r="J1151" s="444">
        <f t="array" ref="J1151">IFERROR(INDEX('Retirement Calculator'!K:K,MATCH('Lorri 401b'!N1151,'Retirement Calculator'!A:A,0),0),0)</f>
        <v>20367.195264578786</v>
      </c>
      <c r="K1151" s="444">
        <f t="shared" ca="1" si="103"/>
        <v>-109704.27911225925</v>
      </c>
      <c r="L1151" s="444">
        <f t="shared" ca="1" si="104"/>
        <v>-26438731.266054481</v>
      </c>
      <c r="M1151" s="460">
        <f t="shared" si="106"/>
        <v>0.05</v>
      </c>
      <c r="N1151" s="464">
        <f t="shared" si="107"/>
        <v>86077</v>
      </c>
    </row>
    <row r="1152" spans="7:14" ht="11.25" customHeight="1" x14ac:dyDescent="0.3">
      <c r="G1152" s="459"/>
      <c r="H1152" s="459">
        <v>1145</v>
      </c>
      <c r="I1152" s="444">
        <f t="shared" ca="1" si="105"/>
        <v>-26438731.266054481</v>
      </c>
      <c r="J1152" s="444">
        <f t="array" ref="J1152">IFERROR(INDEX('Retirement Calculator'!K:K,MATCH('Lorri 401b'!N1152,'Retirement Calculator'!A:A,0),0),0)</f>
        <v>20367.195264578786</v>
      </c>
      <c r="K1152" s="444">
        <f t="shared" ca="1" si="103"/>
        <v>-110246.2435888294</v>
      </c>
      <c r="L1152" s="444">
        <f t="shared" ca="1" si="104"/>
        <v>-26569344.704907887</v>
      </c>
      <c r="M1152" s="460">
        <f t="shared" si="106"/>
        <v>0.05</v>
      </c>
      <c r="N1152" s="464">
        <f t="shared" si="107"/>
        <v>86107</v>
      </c>
    </row>
    <row r="1153" spans="7:14" ht="11.25" customHeight="1" x14ac:dyDescent="0.3">
      <c r="G1153" s="459"/>
      <c r="H1153" s="459">
        <v>1146</v>
      </c>
      <c r="I1153" s="444">
        <f t="shared" ca="1" si="105"/>
        <v>-26569344.704907887</v>
      </c>
      <c r="J1153" s="444">
        <f t="array" ref="J1153">IFERROR(INDEX('Retirement Calculator'!K:K,MATCH('Lorri 401b'!N1153,'Retirement Calculator'!A:A,0),0),0)</f>
        <v>20367.195264578786</v>
      </c>
      <c r="K1153" s="444">
        <f t="shared" ca="1" si="103"/>
        <v>-110790.4662507186</v>
      </c>
      <c r="L1153" s="444">
        <f t="shared" ca="1" si="104"/>
        <v>-26700502.366423182</v>
      </c>
      <c r="M1153" s="460">
        <f t="shared" si="106"/>
        <v>0.05</v>
      </c>
      <c r="N1153" s="464">
        <f t="shared" si="107"/>
        <v>86138</v>
      </c>
    </row>
    <row r="1154" spans="7:14" ht="11.25" customHeight="1" x14ac:dyDescent="0.3">
      <c r="G1154" s="459"/>
      <c r="H1154" s="459">
        <v>1147</v>
      </c>
      <c r="I1154" s="444">
        <f t="shared" ca="1" si="105"/>
        <v>-26700502.366423182</v>
      </c>
      <c r="J1154" s="444">
        <f t="array" ref="J1154">IFERROR(INDEX('Retirement Calculator'!K:K,MATCH('Lorri 401b'!N1154,'Retirement Calculator'!A:A,0),0),0)</f>
        <v>20367.195264578786</v>
      </c>
      <c r="K1154" s="444">
        <f t="shared" ca="1" si="103"/>
        <v>-111336.95650703233</v>
      </c>
      <c r="L1154" s="444">
        <f t="shared" ca="1" si="104"/>
        <v>-26832206.518194791</v>
      </c>
      <c r="M1154" s="460">
        <f t="shared" si="106"/>
        <v>0.05</v>
      </c>
      <c r="N1154" s="464">
        <f t="shared" si="107"/>
        <v>86168</v>
      </c>
    </row>
    <row r="1155" spans="7:14" ht="11.25" customHeight="1" x14ac:dyDescent="0.3">
      <c r="G1155" s="459"/>
      <c r="H1155" s="459">
        <v>1148</v>
      </c>
      <c r="I1155" s="444">
        <f t="shared" ca="1" si="105"/>
        <v>-26832206.518194791</v>
      </c>
      <c r="J1155" s="444">
        <f t="array" ref="J1155">IFERROR(INDEX('Retirement Calculator'!K:K,MATCH('Lorri 401b'!N1155,'Retirement Calculator'!A:A,0),0),0)</f>
        <v>20367.195264578786</v>
      </c>
      <c r="K1155" s="444">
        <f t="shared" ca="1" si="103"/>
        <v>-111885.7238060807</v>
      </c>
      <c r="L1155" s="444">
        <f t="shared" ca="1" si="104"/>
        <v>-26964459.437265448</v>
      </c>
      <c r="M1155" s="460">
        <f t="shared" si="106"/>
        <v>0.05</v>
      </c>
      <c r="N1155" s="464">
        <f t="shared" si="107"/>
        <v>86199</v>
      </c>
    </row>
    <row r="1156" spans="7:14" ht="11.25" customHeight="1" x14ac:dyDescent="0.3">
      <c r="G1156" s="459"/>
      <c r="H1156" s="459">
        <v>1149</v>
      </c>
      <c r="I1156" s="444">
        <f t="shared" ca="1" si="105"/>
        <v>-26964459.437265448</v>
      </c>
      <c r="J1156" s="444">
        <f t="array" ref="J1156">IFERROR(INDEX('Retirement Calculator'!K:K,MATCH('Lorri 401b'!N1156,'Retirement Calculator'!A:A,0),0),0)</f>
        <v>20367.195264578786</v>
      </c>
      <c r="K1156" s="444">
        <f t="shared" ca="1" si="103"/>
        <v>-112436.77763554176</v>
      </c>
      <c r="L1156" s="444">
        <f t="shared" ca="1" si="104"/>
        <v>-27097263.410165567</v>
      </c>
      <c r="M1156" s="460">
        <f t="shared" si="106"/>
        <v>0.05</v>
      </c>
      <c r="N1156" s="464">
        <f t="shared" si="107"/>
        <v>86230</v>
      </c>
    </row>
    <row r="1157" spans="7:14" ht="11.25" customHeight="1" x14ac:dyDescent="0.3">
      <c r="G1157" s="459"/>
      <c r="H1157" s="459">
        <v>1150</v>
      </c>
      <c r="I1157" s="444">
        <f t="shared" ca="1" si="105"/>
        <v>-27097263.410165567</v>
      </c>
      <c r="J1157" s="444">
        <f t="array" ref="J1157">IFERROR(INDEX('Retirement Calculator'!K:K,MATCH('Lorri 401b'!N1157,'Retirement Calculator'!A:A,0),0),0)</f>
        <v>20367.195264578786</v>
      </c>
      <c r="K1157" s="444">
        <f t="shared" ca="1" si="103"/>
        <v>-112990.12752262561</v>
      </c>
      <c r="L1157" s="444">
        <f t="shared" ca="1" si="104"/>
        <v>-27230620.73295277</v>
      </c>
      <c r="M1157" s="460">
        <f t="shared" si="106"/>
        <v>0.05</v>
      </c>
      <c r="N1157" s="464">
        <f t="shared" si="107"/>
        <v>86259</v>
      </c>
    </row>
    <row r="1158" spans="7:14" ht="11.25" customHeight="1" x14ac:dyDescent="0.3">
      <c r="G1158" s="459"/>
      <c r="H1158" s="459">
        <v>1151</v>
      </c>
      <c r="I1158" s="444">
        <f t="shared" ca="1" si="105"/>
        <v>-27230620.73295277</v>
      </c>
      <c r="J1158" s="444">
        <f t="array" ref="J1158">IFERROR(INDEX('Retirement Calculator'!K:K,MATCH('Lorri 401b'!N1158,'Retirement Calculator'!A:A,0),0),0)</f>
        <v>20367.195264578786</v>
      </c>
      <c r="K1158" s="444">
        <f t="shared" ca="1" si="103"/>
        <v>-113545.78303423895</v>
      </c>
      <c r="L1158" s="444">
        <f t="shared" ca="1" si="104"/>
        <v>-27364533.711251587</v>
      </c>
      <c r="M1158" s="460">
        <f t="shared" si="106"/>
        <v>0.05</v>
      </c>
      <c r="N1158" s="464">
        <f t="shared" si="107"/>
        <v>86290</v>
      </c>
    </row>
    <row r="1159" spans="7:14" ht="11.25" customHeight="1" x14ac:dyDescent="0.3">
      <c r="G1159" s="459"/>
      <c r="H1159" s="459">
        <v>1152</v>
      </c>
      <c r="I1159" s="444">
        <f t="shared" ca="1" si="105"/>
        <v>-27364533.711251587</v>
      </c>
      <c r="J1159" s="444">
        <f t="array" ref="J1159">IFERROR(INDEX('Retirement Calculator'!K:K,MATCH('Lorri 401b'!N1159,'Retirement Calculator'!A:A,0),0),0)</f>
        <v>20367.195264578786</v>
      </c>
      <c r="K1159" s="444">
        <f t="shared" ca="1" si="103"/>
        <v>-114103.75377715066</v>
      </c>
      <c r="L1159" s="444">
        <f t="shared" ca="1" si="104"/>
        <v>-27499004.660293315</v>
      </c>
      <c r="M1159" s="460">
        <f t="shared" si="106"/>
        <v>0.05</v>
      </c>
      <c r="N1159" s="464">
        <f t="shared" si="107"/>
        <v>86320</v>
      </c>
    </row>
    <row r="1160" spans="7:14" ht="11.25" customHeight="1" x14ac:dyDescent="0.3">
      <c r="G1160" s="459"/>
      <c r="H1160" s="459">
        <v>1153</v>
      </c>
      <c r="I1160" s="444">
        <f t="shared" ca="1" si="105"/>
        <v>-27499004.660293315</v>
      </c>
      <c r="J1160" s="444">
        <f t="array" ref="J1160">IFERROR(INDEX('Retirement Calculator'!K:K,MATCH('Lorri 401b'!N1160,'Retirement Calculator'!A:A,0),0),0)</f>
        <v>20367.195264578786</v>
      </c>
      <c r="K1160" s="444">
        <f t="shared" ca="1" si="103"/>
        <v>-114664.04939815788</v>
      </c>
      <c r="L1160" s="444">
        <f t="shared" ca="1" si="104"/>
        <v>-27634035.90495605</v>
      </c>
      <c r="M1160" s="460">
        <f t="shared" si="106"/>
        <v>0.05</v>
      </c>
      <c r="N1160" s="464">
        <f t="shared" si="107"/>
        <v>86351</v>
      </c>
    </row>
    <row r="1161" spans="7:14" ht="11.25" customHeight="1" x14ac:dyDescent="0.3">
      <c r="G1161" s="459"/>
      <c r="H1161" s="459">
        <v>1154</v>
      </c>
      <c r="I1161" s="444">
        <f t="shared" ca="1" si="105"/>
        <v>-27634035.90495605</v>
      </c>
      <c r="J1161" s="444">
        <f t="array" ref="J1161">IFERROR(INDEX('Retirement Calculator'!K:K,MATCH('Lorri 401b'!N1161,'Retirement Calculator'!A:A,0),0),0)</f>
        <v>20367.195264578786</v>
      </c>
      <c r="K1161" s="444">
        <f t="shared" ca="1" si="103"/>
        <v>-115226.6795842526</v>
      </c>
      <c r="L1161" s="444">
        <f t="shared" ca="1" si="104"/>
        <v>-27769629.779804882</v>
      </c>
      <c r="M1161" s="460">
        <f t="shared" si="106"/>
        <v>0.05</v>
      </c>
      <c r="N1161" s="464">
        <f t="shared" si="107"/>
        <v>86381</v>
      </c>
    </row>
    <row r="1162" spans="7:14" ht="11.25" customHeight="1" x14ac:dyDescent="0.3">
      <c r="G1162" s="459"/>
      <c r="H1162" s="459">
        <v>1155</v>
      </c>
      <c r="I1162" s="444">
        <f t="shared" ca="1" si="105"/>
        <v>-27769629.779804882</v>
      </c>
      <c r="J1162" s="444">
        <f t="array" ref="J1162">IFERROR(INDEX('Retirement Calculator'!K:K,MATCH('Lorri 401b'!N1162,'Retirement Calculator'!A:A,0),0),0)</f>
        <v>20367.195264578786</v>
      </c>
      <c r="K1162" s="444">
        <f t="shared" ca="1" si="103"/>
        <v>-115791.65406278941</v>
      </c>
      <c r="L1162" s="444">
        <f t="shared" ca="1" si="104"/>
        <v>-27905788.629132248</v>
      </c>
      <c r="M1162" s="460">
        <f t="shared" si="106"/>
        <v>0.05</v>
      </c>
      <c r="N1162" s="464">
        <f t="shared" si="107"/>
        <v>86412</v>
      </c>
    </row>
    <row r="1163" spans="7:14" ht="11.25" customHeight="1" x14ac:dyDescent="0.3">
      <c r="G1163" s="459"/>
      <c r="H1163" s="459">
        <v>1156</v>
      </c>
      <c r="I1163" s="444">
        <f t="shared" ca="1" si="105"/>
        <v>-27905788.629132248</v>
      </c>
      <c r="J1163" s="444">
        <f t="array" ref="J1163">IFERROR(INDEX('Retirement Calculator'!K:K,MATCH('Lorri 401b'!N1163,'Retirement Calculator'!A:A,0),0),0)</f>
        <v>20367.195264578786</v>
      </c>
      <c r="K1163" s="444">
        <f t="shared" ca="1" si="103"/>
        <v>-116358.98260165345</v>
      </c>
      <c r="L1163" s="444">
        <f t="shared" ca="1" si="104"/>
        <v>-28042514.80699848</v>
      </c>
      <c r="M1163" s="460">
        <f t="shared" si="106"/>
        <v>0.05</v>
      </c>
      <c r="N1163" s="464">
        <f t="shared" si="107"/>
        <v>86443</v>
      </c>
    </row>
    <row r="1164" spans="7:14" ht="11.25" customHeight="1" x14ac:dyDescent="0.3">
      <c r="G1164" s="459"/>
      <c r="H1164" s="459">
        <v>1157</v>
      </c>
      <c r="I1164" s="444">
        <f t="shared" ca="1" si="105"/>
        <v>-28042514.80699848</v>
      </c>
      <c r="J1164" s="444">
        <f t="array" ref="J1164">IFERROR(INDEX('Retirement Calculator'!K:K,MATCH('Lorri 401b'!N1164,'Retirement Calculator'!A:A,0),0),0)</f>
        <v>20367.195264578786</v>
      </c>
      <c r="K1164" s="444">
        <f t="shared" ca="1" si="103"/>
        <v>-116928.67500942941</v>
      </c>
      <c r="L1164" s="444">
        <f t="shared" ca="1" si="104"/>
        <v>-28179810.677272487</v>
      </c>
      <c r="M1164" s="460">
        <f t="shared" si="106"/>
        <v>0.05</v>
      </c>
      <c r="N1164" s="464">
        <f t="shared" si="107"/>
        <v>86473</v>
      </c>
    </row>
    <row r="1165" spans="7:14" ht="11.25" customHeight="1" x14ac:dyDescent="0.3">
      <c r="G1165" s="459"/>
      <c r="H1165" s="459">
        <v>1158</v>
      </c>
      <c r="I1165" s="444">
        <f t="shared" ca="1" si="105"/>
        <v>-28179810.677272487</v>
      </c>
      <c r="J1165" s="444">
        <f t="array" ref="J1165">IFERROR(INDEX('Retirement Calculator'!K:K,MATCH('Lorri 401b'!N1165,'Retirement Calculator'!A:A,0),0),0)</f>
        <v>20367.195264578786</v>
      </c>
      <c r="K1165" s="444">
        <f t="shared" ca="1" si="103"/>
        <v>-117500.74113557111</v>
      </c>
      <c r="L1165" s="444">
        <f t="shared" ca="1" si="104"/>
        <v>-28317678.613672636</v>
      </c>
      <c r="M1165" s="460">
        <f t="shared" si="106"/>
        <v>0.05</v>
      </c>
      <c r="N1165" s="464">
        <f t="shared" si="107"/>
        <v>86504</v>
      </c>
    </row>
    <row r="1166" spans="7:14" ht="11.25" customHeight="1" x14ac:dyDescent="0.3">
      <c r="G1166" s="459"/>
      <c r="H1166" s="459">
        <v>1159</v>
      </c>
      <c r="I1166" s="444">
        <f t="shared" ca="1" si="105"/>
        <v>-28317678.613672636</v>
      </c>
      <c r="J1166" s="444">
        <f t="array" ref="J1166">IFERROR(INDEX('Retirement Calculator'!K:K,MATCH('Lorri 401b'!N1166,'Retirement Calculator'!A:A,0),0),0)</f>
        <v>20367.195264578786</v>
      </c>
      <c r="K1166" s="444">
        <f t="shared" ca="1" si="103"/>
        <v>-118075.19087057171</v>
      </c>
      <c r="L1166" s="444">
        <f t="shared" ca="1" si="104"/>
        <v>-28456120.999807786</v>
      </c>
      <c r="M1166" s="460">
        <f t="shared" si="106"/>
        <v>0.05</v>
      </c>
      <c r="N1166" s="464">
        <f t="shared" si="107"/>
        <v>86534</v>
      </c>
    </row>
    <row r="1167" spans="7:14" ht="11.25" customHeight="1" x14ac:dyDescent="0.3">
      <c r="G1167" s="459"/>
      <c r="H1167" s="459">
        <v>1160</v>
      </c>
      <c r="I1167" s="444">
        <f t="shared" ca="1" si="105"/>
        <v>-28456120.999807786</v>
      </c>
      <c r="J1167" s="444">
        <f t="array" ref="J1167">IFERROR(INDEX('Retirement Calculator'!K:K,MATCH('Lorri 401b'!N1167,'Retirement Calculator'!A:A,0),0),0)</f>
        <v>20367.195264578786</v>
      </c>
      <c r="K1167" s="444">
        <f t="shared" ca="1" si="103"/>
        <v>-118652.03414613483</v>
      </c>
      <c r="L1167" s="444">
        <f t="shared" ca="1" si="104"/>
        <v>-28595140.229218498</v>
      </c>
      <c r="M1167" s="460">
        <f t="shared" si="106"/>
        <v>0.05</v>
      </c>
      <c r="N1167" s="464">
        <f t="shared" si="107"/>
        <v>86565</v>
      </c>
    </row>
    <row r="1168" spans="7:14" ht="11.25" customHeight="1" x14ac:dyDescent="0.3">
      <c r="G1168" s="459"/>
      <c r="H1168" s="459">
        <v>1161</v>
      </c>
      <c r="I1168" s="444">
        <f t="shared" ca="1" si="105"/>
        <v>-28595140.229218498</v>
      </c>
      <c r="J1168" s="444">
        <f t="array" ref="J1168">IFERROR(INDEX('Retirement Calculator'!K:K,MATCH('Lorri 401b'!N1168,'Retirement Calculator'!A:A,0),0),0)</f>
        <v>20367.195264578786</v>
      </c>
      <c r="K1168" s="444">
        <f t="shared" ca="1" si="103"/>
        <v>-119231.28093534615</v>
      </c>
      <c r="L1168" s="444">
        <f t="shared" ca="1" si="104"/>
        <v>-28734738.705418423</v>
      </c>
      <c r="M1168" s="460">
        <f t="shared" si="106"/>
        <v>0.05</v>
      </c>
      <c r="N1168" s="464">
        <f t="shared" si="107"/>
        <v>86596</v>
      </c>
    </row>
    <row r="1169" spans="7:14" ht="11.25" customHeight="1" x14ac:dyDescent="0.3">
      <c r="G1169" s="459"/>
      <c r="H1169" s="459">
        <v>1162</v>
      </c>
      <c r="I1169" s="444">
        <f t="shared" ca="1" si="105"/>
        <v>-28734738.705418423</v>
      </c>
      <c r="J1169" s="444">
        <f t="array" ref="J1169">IFERROR(INDEX('Retirement Calculator'!K:K,MATCH('Lorri 401b'!N1169,'Retirement Calculator'!A:A,0),0),0)</f>
        <v>0</v>
      </c>
      <c r="K1169" s="444">
        <f t="shared" ca="1" si="103"/>
        <v>-119728.07793924345</v>
      </c>
      <c r="L1169" s="444">
        <f t="shared" ca="1" si="104"/>
        <v>-28854466.783357665</v>
      </c>
      <c r="M1169" s="460">
        <f t="shared" si="106"/>
        <v>0.05</v>
      </c>
      <c r="N1169" s="464">
        <f t="shared" si="107"/>
        <v>86624</v>
      </c>
    </row>
    <row r="1170" spans="7:14" ht="11.25" customHeight="1" x14ac:dyDescent="0.3">
      <c r="G1170" s="459"/>
      <c r="H1170" s="459">
        <v>1163</v>
      </c>
      <c r="I1170" s="444">
        <f t="shared" ca="1" si="105"/>
        <v>-28854466.783357665</v>
      </c>
      <c r="J1170" s="444">
        <f t="array" ref="J1170">IFERROR(INDEX('Retirement Calculator'!K:K,MATCH('Lorri 401b'!N1170,'Retirement Calculator'!A:A,0),0),0)</f>
        <v>0</v>
      </c>
      <c r="K1170" s="444">
        <f t="shared" ca="1" si="103"/>
        <v>-120226.94493065694</v>
      </c>
      <c r="L1170" s="444">
        <f t="shared" ca="1" si="104"/>
        <v>-28974693.728288323</v>
      </c>
      <c r="M1170" s="460">
        <f t="shared" si="106"/>
        <v>0.05</v>
      </c>
      <c r="N1170" s="464">
        <f t="shared" si="107"/>
        <v>86655</v>
      </c>
    </row>
    <row r="1171" spans="7:14" ht="11.25" customHeight="1" x14ac:dyDescent="0.3">
      <c r="G1171" s="459"/>
      <c r="H1171" s="459">
        <v>1164</v>
      </c>
      <c r="I1171" s="444">
        <f t="shared" ca="1" si="105"/>
        <v>-28974693.728288323</v>
      </c>
      <c r="J1171" s="444">
        <f t="array" ref="J1171">IFERROR(INDEX('Retirement Calculator'!K:K,MATCH('Lorri 401b'!N1171,'Retirement Calculator'!A:A,0),0),0)</f>
        <v>0</v>
      </c>
      <c r="K1171" s="444">
        <f t="shared" ca="1" si="103"/>
        <v>-120727.89053453467</v>
      </c>
      <c r="L1171" s="444">
        <f t="shared" ca="1" si="104"/>
        <v>-29095421.618822858</v>
      </c>
      <c r="M1171" s="460">
        <f t="shared" si="106"/>
        <v>0.05</v>
      </c>
      <c r="N1171" s="464">
        <f t="shared" si="107"/>
        <v>86685</v>
      </c>
    </row>
    <row r="1172" spans="7:14" ht="11.25" customHeight="1" x14ac:dyDescent="0.3">
      <c r="G1172" s="459"/>
      <c r="H1172" s="459">
        <v>1165</v>
      </c>
      <c r="I1172" s="444">
        <f t="shared" ca="1" si="105"/>
        <v>-29095421.618822858</v>
      </c>
      <c r="J1172" s="444">
        <f t="array" ref="J1172">IFERROR(INDEX('Retirement Calculator'!K:K,MATCH('Lorri 401b'!N1172,'Retirement Calculator'!A:A,0),0),0)</f>
        <v>0</v>
      </c>
      <c r="K1172" s="444">
        <f t="shared" ca="1" si="103"/>
        <v>-121230.92341176191</v>
      </c>
      <c r="L1172" s="444">
        <f t="shared" ca="1" si="104"/>
        <v>-29216652.542234618</v>
      </c>
      <c r="M1172" s="460">
        <f t="shared" si="106"/>
        <v>0.05</v>
      </c>
      <c r="N1172" s="464">
        <f t="shared" si="107"/>
        <v>86716</v>
      </c>
    </row>
    <row r="1173" spans="7:14" ht="11.25" customHeight="1" x14ac:dyDescent="0.3">
      <c r="G1173" s="459"/>
      <c r="H1173" s="459">
        <v>1166</v>
      </c>
      <c r="I1173" s="444">
        <f t="shared" ca="1" si="105"/>
        <v>-29216652.542234618</v>
      </c>
      <c r="J1173" s="444">
        <f t="array" ref="J1173">IFERROR(INDEX('Retirement Calculator'!K:K,MATCH('Lorri 401b'!N1173,'Retirement Calculator'!A:A,0),0),0)</f>
        <v>0</v>
      </c>
      <c r="K1173" s="444">
        <f t="shared" ca="1" si="103"/>
        <v>-121736.05225931091</v>
      </c>
      <c r="L1173" s="444">
        <f t="shared" ca="1" si="104"/>
        <v>-29338388.594493929</v>
      </c>
      <c r="M1173" s="460">
        <f t="shared" si="106"/>
        <v>0.05</v>
      </c>
      <c r="N1173" s="464">
        <f t="shared" si="107"/>
        <v>86746</v>
      </c>
    </row>
    <row r="1174" spans="7:14" ht="11.25" customHeight="1" x14ac:dyDescent="0.3">
      <c r="G1174" s="459"/>
      <c r="H1174" s="459">
        <v>1167</v>
      </c>
      <c r="I1174" s="444">
        <f t="shared" ca="1" si="105"/>
        <v>-29338388.594493929</v>
      </c>
      <c r="J1174" s="444">
        <f t="array" ref="J1174">IFERROR(INDEX('Retirement Calculator'!K:K,MATCH('Lorri 401b'!N1174,'Retirement Calculator'!A:A,0),0),0)</f>
        <v>0</v>
      </c>
      <c r="K1174" s="444">
        <f t="shared" ca="1" si="103"/>
        <v>-122243.28581039137</v>
      </c>
      <c r="L1174" s="444">
        <f t="shared" ca="1" si="104"/>
        <v>-29460631.880304322</v>
      </c>
      <c r="M1174" s="460">
        <f t="shared" si="106"/>
        <v>0.05</v>
      </c>
      <c r="N1174" s="464">
        <f t="shared" si="107"/>
        <v>86777</v>
      </c>
    </row>
    <row r="1175" spans="7:14" ht="11.25" customHeight="1" x14ac:dyDescent="0.3">
      <c r="G1175" s="459"/>
      <c r="H1175" s="459">
        <v>1168</v>
      </c>
      <c r="I1175" s="444">
        <f t="shared" ca="1" si="105"/>
        <v>-29460631.880304322</v>
      </c>
      <c r="J1175" s="444">
        <f t="array" ref="J1175">IFERROR(INDEX('Retirement Calculator'!K:K,MATCH('Lorri 401b'!N1175,'Retirement Calculator'!A:A,0),0),0)</f>
        <v>0</v>
      </c>
      <c r="K1175" s="444">
        <f t="shared" ca="1" si="103"/>
        <v>-122752.63283460133</v>
      </c>
      <c r="L1175" s="444">
        <f t="shared" ca="1" si="104"/>
        <v>-29583384.513138924</v>
      </c>
      <c r="M1175" s="460">
        <f t="shared" si="106"/>
        <v>0.05</v>
      </c>
      <c r="N1175" s="464">
        <f t="shared" si="107"/>
        <v>86808</v>
      </c>
    </row>
    <row r="1176" spans="7:14" ht="11.25" customHeight="1" x14ac:dyDescent="0.3">
      <c r="G1176" s="459"/>
      <c r="H1176" s="459">
        <v>1169</v>
      </c>
      <c r="I1176" s="444">
        <f t="shared" ca="1" si="105"/>
        <v>-29583384.513138924</v>
      </c>
      <c r="J1176" s="444">
        <f t="array" ref="J1176">IFERROR(INDEX('Retirement Calculator'!K:K,MATCH('Lorri 401b'!N1176,'Retirement Calculator'!A:A,0),0),0)</f>
        <v>0</v>
      </c>
      <c r="K1176" s="444">
        <f t="shared" ca="1" si="103"/>
        <v>-123264.10213807883</v>
      </c>
      <c r="L1176" s="444">
        <f t="shared" ca="1" si="104"/>
        <v>-29706648.615277003</v>
      </c>
      <c r="M1176" s="460">
        <f t="shared" si="106"/>
        <v>0.05</v>
      </c>
      <c r="N1176" s="464">
        <f t="shared" si="107"/>
        <v>86838</v>
      </c>
    </row>
    <row r="1177" spans="7:14" ht="11.25" customHeight="1" x14ac:dyDescent="0.3">
      <c r="G1177" s="459"/>
      <c r="H1177" s="459">
        <v>1170</v>
      </c>
      <c r="I1177" s="444">
        <f t="shared" ca="1" si="105"/>
        <v>-29706648.615277003</v>
      </c>
      <c r="J1177" s="444">
        <f t="array" ref="J1177">IFERROR(INDEX('Retirement Calculator'!K:K,MATCH('Lorri 401b'!N1177,'Retirement Calculator'!A:A,0),0),0)</f>
        <v>0</v>
      </c>
      <c r="K1177" s="444">
        <f t="shared" ca="1" si="103"/>
        <v>-123777.70256365418</v>
      </c>
      <c r="L1177" s="444">
        <f t="shared" ca="1" si="104"/>
        <v>-29830426.317840658</v>
      </c>
      <c r="M1177" s="460">
        <f t="shared" si="106"/>
        <v>0.05</v>
      </c>
      <c r="N1177" s="464">
        <f t="shared" si="107"/>
        <v>86869</v>
      </c>
    </row>
    <row r="1178" spans="7:14" ht="11.25" customHeight="1" x14ac:dyDescent="0.3">
      <c r="G1178" s="459"/>
      <c r="H1178" s="459">
        <v>1171</v>
      </c>
      <c r="I1178" s="444">
        <f t="shared" ca="1" si="105"/>
        <v>-29830426.317840658</v>
      </c>
      <c r="J1178" s="444">
        <f t="array" ref="J1178">IFERROR(INDEX('Retirement Calculator'!K:K,MATCH('Lorri 401b'!N1178,'Retirement Calculator'!A:A,0),0),0)</f>
        <v>0</v>
      </c>
      <c r="K1178" s="444">
        <f t="shared" ca="1" si="103"/>
        <v>-124293.44299100275</v>
      </c>
      <c r="L1178" s="444">
        <f t="shared" ca="1" si="104"/>
        <v>-29954719.760831662</v>
      </c>
      <c r="M1178" s="460">
        <f t="shared" si="106"/>
        <v>0.05</v>
      </c>
      <c r="N1178" s="464">
        <f t="shared" si="107"/>
        <v>86899</v>
      </c>
    </row>
    <row r="1179" spans="7:14" ht="11.25" customHeight="1" x14ac:dyDescent="0.3">
      <c r="G1179" s="459"/>
      <c r="H1179" s="459">
        <v>1172</v>
      </c>
      <c r="I1179" s="444">
        <f t="shared" ca="1" si="105"/>
        <v>-29954719.760831662</v>
      </c>
      <c r="J1179" s="444">
        <f t="array" ref="J1179">IFERROR(INDEX('Retirement Calculator'!K:K,MATCH('Lorri 401b'!N1179,'Retirement Calculator'!A:A,0),0),0)</f>
        <v>0</v>
      </c>
      <c r="K1179" s="444">
        <f t="shared" ca="1" si="103"/>
        <v>-124811.3323367986</v>
      </c>
      <c r="L1179" s="444">
        <f t="shared" ca="1" si="104"/>
        <v>-30079531.09316846</v>
      </c>
      <c r="M1179" s="460">
        <f t="shared" si="106"/>
        <v>0.05</v>
      </c>
      <c r="N1179" s="464">
        <f t="shared" si="107"/>
        <v>86930</v>
      </c>
    </row>
    <row r="1180" spans="7:14" ht="11.25" customHeight="1" x14ac:dyDescent="0.3">
      <c r="G1180" s="459"/>
      <c r="H1180" s="459">
        <v>1173</v>
      </c>
      <c r="I1180" s="444">
        <f t="shared" ca="1" si="105"/>
        <v>-30079531.09316846</v>
      </c>
      <c r="J1180" s="444">
        <f t="array" ref="J1180">IFERROR(INDEX('Retirement Calculator'!K:K,MATCH('Lorri 401b'!N1180,'Retirement Calculator'!A:A,0),0),0)</f>
        <v>0</v>
      </c>
      <c r="K1180" s="444">
        <f t="shared" ca="1" si="103"/>
        <v>-125331.37955486856</v>
      </c>
      <c r="L1180" s="444">
        <f t="shared" ca="1" si="104"/>
        <v>-30204862.472723328</v>
      </c>
      <c r="M1180" s="460">
        <f t="shared" si="106"/>
        <v>0.05</v>
      </c>
      <c r="N1180" s="464">
        <f t="shared" si="107"/>
        <v>86961</v>
      </c>
    </row>
    <row r="1181" spans="7:14" ht="11.25" customHeight="1" x14ac:dyDescent="0.3">
      <c r="G1181" s="459"/>
      <c r="H1181" s="459">
        <v>1174</v>
      </c>
      <c r="I1181" s="444">
        <f t="shared" ca="1" si="105"/>
        <v>-30204862.472723328</v>
      </c>
      <c r="J1181" s="444">
        <f t="array" ref="J1181">IFERROR(INDEX('Retirement Calculator'!K:K,MATCH('Lorri 401b'!N1181,'Retirement Calculator'!A:A,0),0),0)</f>
        <v>0</v>
      </c>
      <c r="K1181" s="444">
        <f t="shared" ca="1" si="103"/>
        <v>-125853.59363634721</v>
      </c>
      <c r="L1181" s="444">
        <f t="shared" ca="1" si="104"/>
        <v>-30330716.066359676</v>
      </c>
      <c r="M1181" s="460">
        <f t="shared" si="106"/>
        <v>0.05</v>
      </c>
      <c r="N1181" s="464">
        <f t="shared" si="107"/>
        <v>86989</v>
      </c>
    </row>
    <row r="1182" spans="7:14" ht="11.25" customHeight="1" x14ac:dyDescent="0.3">
      <c r="G1182" s="459"/>
      <c r="H1182" s="459">
        <v>1175</v>
      </c>
      <c r="I1182" s="444">
        <f t="shared" ca="1" si="105"/>
        <v>-30330716.066359676</v>
      </c>
      <c r="J1182" s="444">
        <f t="array" ref="J1182">IFERROR(INDEX('Retirement Calculator'!K:K,MATCH('Lorri 401b'!N1182,'Retirement Calculator'!A:A,0),0),0)</f>
        <v>0</v>
      </c>
      <c r="K1182" s="444">
        <f t="shared" ca="1" si="103"/>
        <v>-126377.98360983199</v>
      </c>
      <c r="L1182" s="444">
        <f t="shared" ca="1" si="104"/>
        <v>-30457094.049969509</v>
      </c>
      <c r="M1182" s="460">
        <f t="shared" si="106"/>
        <v>0.05</v>
      </c>
      <c r="N1182" s="464">
        <f t="shared" si="107"/>
        <v>87020</v>
      </c>
    </row>
    <row r="1183" spans="7:14" ht="11.25" customHeight="1" x14ac:dyDescent="0.3">
      <c r="G1183" s="459"/>
      <c r="H1183" s="459">
        <v>1176</v>
      </c>
      <c r="I1183" s="444">
        <f t="shared" ca="1" si="105"/>
        <v>-30457094.049969509</v>
      </c>
      <c r="J1183" s="444">
        <f t="array" ref="J1183">IFERROR(INDEX('Retirement Calculator'!K:K,MATCH('Lorri 401b'!N1183,'Retirement Calculator'!A:A,0),0),0)</f>
        <v>0</v>
      </c>
      <c r="K1183" s="444">
        <f t="shared" ca="1" si="103"/>
        <v>-126904.55854153961</v>
      </c>
      <c r="L1183" s="444">
        <f t="shared" ca="1" si="104"/>
        <v>-30583998.608511049</v>
      </c>
      <c r="M1183" s="460">
        <f t="shared" si="106"/>
        <v>0.05</v>
      </c>
      <c r="N1183" s="464">
        <f t="shared" si="107"/>
        <v>87050</v>
      </c>
    </row>
    <row r="1184" spans="7:14" ht="11.25" customHeight="1" x14ac:dyDescent="0.3">
      <c r="G1184" s="459"/>
      <c r="H1184" s="459">
        <v>1177</v>
      </c>
      <c r="I1184" s="444">
        <f t="shared" ca="1" si="105"/>
        <v>-30583998.608511049</v>
      </c>
      <c r="J1184" s="444">
        <f t="array" ref="J1184">IFERROR(INDEX('Retirement Calculator'!K:K,MATCH('Lorri 401b'!N1184,'Retirement Calculator'!A:A,0),0),0)</f>
        <v>0</v>
      </c>
      <c r="K1184" s="444">
        <f t="shared" ca="1" si="103"/>
        <v>-127433.32753546273</v>
      </c>
      <c r="L1184" s="444">
        <f t="shared" ca="1" si="104"/>
        <v>-30711431.936046511</v>
      </c>
      <c r="M1184" s="460">
        <f t="shared" si="106"/>
        <v>0.05</v>
      </c>
      <c r="N1184" s="464">
        <f t="shared" si="107"/>
        <v>87081</v>
      </c>
    </row>
    <row r="1185" spans="7:14" ht="11.25" customHeight="1" x14ac:dyDescent="0.3">
      <c r="G1185" s="459"/>
      <c r="H1185" s="459">
        <v>1178</v>
      </c>
      <c r="I1185" s="444">
        <f t="shared" ca="1" si="105"/>
        <v>-30711431.936046511</v>
      </c>
      <c r="J1185" s="444">
        <f t="array" ref="J1185">IFERROR(INDEX('Retirement Calculator'!K:K,MATCH('Lorri 401b'!N1185,'Retirement Calculator'!A:A,0),0),0)</f>
        <v>0</v>
      </c>
      <c r="K1185" s="444">
        <f t="shared" ca="1" si="103"/>
        <v>-127964.29973352712</v>
      </c>
      <c r="L1185" s="444">
        <f t="shared" ca="1" si="104"/>
        <v>-30839396.235780038</v>
      </c>
      <c r="M1185" s="460">
        <f t="shared" si="106"/>
        <v>0.05</v>
      </c>
      <c r="N1185" s="464">
        <f t="shared" si="107"/>
        <v>87111</v>
      </c>
    </row>
    <row r="1186" spans="7:14" ht="11.25" customHeight="1" x14ac:dyDescent="0.3">
      <c r="G1186" s="459"/>
      <c r="H1186" s="459">
        <v>1179</v>
      </c>
      <c r="I1186" s="444">
        <f t="shared" ca="1" si="105"/>
        <v>-30839396.235780038</v>
      </c>
      <c r="J1186" s="444">
        <f t="array" ref="J1186">IFERROR(INDEX('Retirement Calculator'!K:K,MATCH('Lorri 401b'!N1186,'Retirement Calculator'!A:A,0),0),0)</f>
        <v>0</v>
      </c>
      <c r="K1186" s="444">
        <f t="shared" ca="1" si="103"/>
        <v>-128497.48431575016</v>
      </c>
      <c r="L1186" s="444">
        <f t="shared" ca="1" si="104"/>
        <v>-30967893.720095787</v>
      </c>
      <c r="M1186" s="460">
        <f t="shared" si="106"/>
        <v>0.05</v>
      </c>
      <c r="N1186" s="464">
        <f t="shared" si="107"/>
        <v>87142</v>
      </c>
    </row>
    <row r="1187" spans="7:14" ht="11.25" customHeight="1" x14ac:dyDescent="0.3">
      <c r="G1187" s="459"/>
      <c r="H1187" s="459">
        <v>1180</v>
      </c>
      <c r="I1187" s="444">
        <f t="shared" ca="1" si="105"/>
        <v>-30967893.720095787</v>
      </c>
      <c r="J1187" s="444">
        <f t="array" ref="J1187">IFERROR(INDEX('Retirement Calculator'!K:K,MATCH('Lorri 401b'!N1187,'Retirement Calculator'!A:A,0),0),0)</f>
        <v>0</v>
      </c>
      <c r="K1187" s="444">
        <f t="shared" ca="1" si="103"/>
        <v>-129032.89050039912</v>
      </c>
      <c r="L1187" s="444">
        <f t="shared" ca="1" si="104"/>
        <v>-31096926.610596187</v>
      </c>
      <c r="M1187" s="460">
        <f t="shared" si="106"/>
        <v>0.05</v>
      </c>
      <c r="N1187" s="464">
        <f t="shared" si="107"/>
        <v>87173</v>
      </c>
    </row>
    <row r="1188" spans="7:14" ht="11.25" customHeight="1" x14ac:dyDescent="0.3">
      <c r="G1188" s="459"/>
      <c r="H1188" s="459">
        <v>1181</v>
      </c>
      <c r="I1188" s="444">
        <f t="shared" ca="1" si="105"/>
        <v>-31096926.610596187</v>
      </c>
      <c r="J1188" s="444">
        <f t="array" ref="J1188">IFERROR(INDEX('Retirement Calculator'!K:K,MATCH('Lorri 401b'!N1188,'Retirement Calculator'!A:A,0),0),0)</f>
        <v>0</v>
      </c>
      <c r="K1188" s="444">
        <f t="shared" ca="1" si="103"/>
        <v>-129570.52754415078</v>
      </c>
      <c r="L1188" s="444">
        <f t="shared" ca="1" si="104"/>
        <v>-31226497.138140339</v>
      </c>
      <c r="M1188" s="460">
        <f t="shared" si="106"/>
        <v>0.05</v>
      </c>
      <c r="N1188" s="464">
        <f t="shared" si="107"/>
        <v>87203</v>
      </c>
    </row>
    <row r="1189" spans="7:14" ht="11.25" customHeight="1" x14ac:dyDescent="0.3">
      <c r="G1189" s="459"/>
      <c r="H1189" s="459">
        <v>1182</v>
      </c>
      <c r="I1189" s="444">
        <f t="shared" ca="1" si="105"/>
        <v>-31226497.138140339</v>
      </c>
      <c r="J1189" s="444">
        <f t="array" ref="J1189">IFERROR(INDEX('Retirement Calculator'!K:K,MATCH('Lorri 401b'!N1189,'Retirement Calculator'!A:A,0),0),0)</f>
        <v>0</v>
      </c>
      <c r="K1189" s="444">
        <f t="shared" ca="1" si="103"/>
        <v>-130110.40474225141</v>
      </c>
      <c r="L1189" s="444">
        <f t="shared" ca="1" si="104"/>
        <v>-31356607.542882591</v>
      </c>
      <c r="M1189" s="460">
        <f t="shared" si="106"/>
        <v>0.05</v>
      </c>
      <c r="N1189" s="464">
        <f t="shared" si="107"/>
        <v>87234</v>
      </c>
    </row>
    <row r="1190" spans="7:14" ht="11.25" customHeight="1" x14ac:dyDescent="0.3">
      <c r="G1190" s="459"/>
      <c r="H1190" s="459">
        <v>1183</v>
      </c>
      <c r="I1190" s="444">
        <f t="shared" ca="1" si="105"/>
        <v>-31356607.542882591</v>
      </c>
      <c r="J1190" s="444">
        <f t="array" ref="J1190">IFERROR(INDEX('Retirement Calculator'!K:K,MATCH('Lorri 401b'!N1190,'Retirement Calculator'!A:A,0),0),0)</f>
        <v>0</v>
      </c>
      <c r="K1190" s="444">
        <f t="shared" ca="1" si="103"/>
        <v>-130652.53142867748</v>
      </c>
      <c r="L1190" s="444">
        <f t="shared" ca="1" si="104"/>
        <v>-31487260.074311268</v>
      </c>
      <c r="M1190" s="460">
        <f t="shared" si="106"/>
        <v>0.05</v>
      </c>
      <c r="N1190" s="464">
        <f t="shared" si="107"/>
        <v>87264</v>
      </c>
    </row>
    <row r="1191" spans="7:14" ht="11.25" customHeight="1" x14ac:dyDescent="0.3">
      <c r="G1191" s="459"/>
      <c r="H1191" s="459">
        <v>1184</v>
      </c>
      <c r="I1191" s="444">
        <f t="shared" ca="1" si="105"/>
        <v>-31487260.074311268</v>
      </c>
      <c r="J1191" s="444">
        <f t="array" ref="J1191">IFERROR(INDEX('Retirement Calculator'!K:K,MATCH('Lorri 401b'!N1191,'Retirement Calculator'!A:A,0),0),0)</f>
        <v>0</v>
      </c>
      <c r="K1191" s="444">
        <f t="shared" ca="1" si="103"/>
        <v>-131196.91697629695</v>
      </c>
      <c r="L1191" s="444">
        <f t="shared" ca="1" si="104"/>
        <v>-31618456.991287563</v>
      </c>
      <c r="M1191" s="460">
        <f t="shared" si="106"/>
        <v>0.05</v>
      </c>
      <c r="N1191" s="464">
        <f t="shared" si="107"/>
        <v>87295</v>
      </c>
    </row>
    <row r="1192" spans="7:14" ht="11.25" customHeight="1" x14ac:dyDescent="0.3">
      <c r="G1192" s="459"/>
      <c r="H1192" s="459">
        <v>1185</v>
      </c>
      <c r="I1192" s="444">
        <f t="shared" ca="1" si="105"/>
        <v>-31618456.991287563</v>
      </c>
      <c r="J1192" s="444">
        <f t="array" ref="J1192">IFERROR(INDEX('Retirement Calculator'!K:K,MATCH('Lorri 401b'!N1192,'Retirement Calculator'!A:A,0),0),0)</f>
        <v>0</v>
      </c>
      <c r="K1192" s="444">
        <f t="shared" ca="1" si="103"/>
        <v>-131743.57079703151</v>
      </c>
      <c r="L1192" s="444">
        <f t="shared" ca="1" si="104"/>
        <v>-31750200.562084593</v>
      </c>
      <c r="M1192" s="460">
        <f t="shared" si="106"/>
        <v>0.05</v>
      </c>
      <c r="N1192" s="464">
        <f t="shared" si="107"/>
        <v>87326</v>
      </c>
    </row>
    <row r="1193" spans="7:14" ht="11.25" customHeight="1" x14ac:dyDescent="0.3">
      <c r="G1193" s="459"/>
      <c r="H1193" s="459">
        <v>1186</v>
      </c>
      <c r="I1193" s="444">
        <f t="shared" ca="1" si="105"/>
        <v>-31750200.562084593</v>
      </c>
      <c r="J1193" s="444">
        <f t="array" ref="J1193">IFERROR(INDEX('Retirement Calculator'!K:K,MATCH('Lorri 401b'!N1193,'Retirement Calculator'!A:A,0),0),0)</f>
        <v>0</v>
      </c>
      <c r="K1193" s="444">
        <f t="shared" ca="1" si="103"/>
        <v>-132292.50234201914</v>
      </c>
      <c r="L1193" s="444">
        <f t="shared" ca="1" si="104"/>
        <v>-31882493.064426612</v>
      </c>
      <c r="M1193" s="460">
        <f t="shared" si="106"/>
        <v>0.05</v>
      </c>
      <c r="N1193" s="464">
        <f t="shared" si="107"/>
        <v>87354</v>
      </c>
    </row>
    <row r="1194" spans="7:14" ht="11.25" customHeight="1" x14ac:dyDescent="0.3">
      <c r="G1194" s="459"/>
      <c r="H1194" s="459">
        <v>1187</v>
      </c>
      <c r="I1194" s="444">
        <f t="shared" ca="1" si="105"/>
        <v>-31882493.064426612</v>
      </c>
      <c r="J1194" s="444">
        <f t="array" ref="J1194">IFERROR(INDEX('Retirement Calculator'!K:K,MATCH('Lorri 401b'!N1194,'Retirement Calculator'!A:A,0),0),0)</f>
        <v>0</v>
      </c>
      <c r="K1194" s="444">
        <f t="shared" ca="1" si="103"/>
        <v>-132843.72110177754</v>
      </c>
      <c r="L1194" s="444">
        <f t="shared" ca="1" si="104"/>
        <v>-32015336.785528388</v>
      </c>
      <c r="M1194" s="460">
        <f t="shared" si="106"/>
        <v>0.05</v>
      </c>
      <c r="N1194" s="464">
        <f t="shared" si="107"/>
        <v>87385</v>
      </c>
    </row>
    <row r="1195" spans="7:14" ht="11.25" customHeight="1" x14ac:dyDescent="0.3">
      <c r="G1195" s="459"/>
      <c r="H1195" s="459">
        <v>1188</v>
      </c>
      <c r="I1195" s="444">
        <f t="shared" ca="1" si="105"/>
        <v>-32015336.785528388</v>
      </c>
      <c r="J1195" s="444">
        <f t="array" ref="J1195">IFERROR(INDEX('Retirement Calculator'!K:K,MATCH('Lorri 401b'!N1195,'Retirement Calculator'!A:A,0),0),0)</f>
        <v>0</v>
      </c>
      <c r="K1195" s="444">
        <f t="shared" ca="1" si="103"/>
        <v>-133397.23660636827</v>
      </c>
      <c r="L1195" s="444">
        <f t="shared" ca="1" si="104"/>
        <v>-32148734.022134755</v>
      </c>
      <c r="M1195" s="460">
        <f t="shared" si="106"/>
        <v>0.05</v>
      </c>
      <c r="N1195" s="464">
        <f t="shared" si="107"/>
        <v>87415</v>
      </c>
    </row>
    <row r="1196" spans="7:14" ht="11.25" customHeight="1" x14ac:dyDescent="0.3">
      <c r="G1196" s="459"/>
      <c r="H1196" s="459">
        <v>1189</v>
      </c>
      <c r="I1196" s="444">
        <f t="shared" ca="1" si="105"/>
        <v>-32148734.022134755</v>
      </c>
      <c r="J1196" s="444">
        <f t="array" ref="J1196">IFERROR(INDEX('Retirement Calculator'!K:K,MATCH('Lorri 401b'!N1196,'Retirement Calculator'!A:A,0),0),0)</f>
        <v>0</v>
      </c>
      <c r="K1196" s="444">
        <f t="shared" ca="1" si="103"/>
        <v>-133953.05842556147</v>
      </c>
      <c r="L1196" s="444">
        <f t="shared" ca="1" si="104"/>
        <v>-32282687.080560315</v>
      </c>
      <c r="M1196" s="460">
        <f t="shared" si="106"/>
        <v>0.05</v>
      </c>
      <c r="N1196" s="464">
        <f t="shared" si="107"/>
        <v>87446</v>
      </c>
    </row>
    <row r="1197" spans="7:14" ht="11.25" customHeight="1" x14ac:dyDescent="0.3">
      <c r="G1197" s="459"/>
      <c r="H1197" s="459">
        <v>1190</v>
      </c>
      <c r="I1197" s="444">
        <f t="shared" ca="1" si="105"/>
        <v>-32282687.080560315</v>
      </c>
      <c r="J1197" s="444">
        <f t="array" ref="J1197">IFERROR(INDEX('Retirement Calculator'!K:K,MATCH('Lorri 401b'!N1197,'Retirement Calculator'!A:A,0),0),0)</f>
        <v>0</v>
      </c>
      <c r="K1197" s="444">
        <f t="shared" ca="1" si="103"/>
        <v>-134511.19616900131</v>
      </c>
      <c r="L1197" s="444">
        <f t="shared" ca="1" si="104"/>
        <v>-32417198.276729316</v>
      </c>
      <c r="M1197" s="460">
        <f t="shared" si="106"/>
        <v>0.05</v>
      </c>
      <c r="N1197" s="464">
        <f t="shared" si="107"/>
        <v>87476</v>
      </c>
    </row>
    <row r="1198" spans="7:14" ht="11.25" customHeight="1" x14ac:dyDescent="0.3">
      <c r="G1198" s="459"/>
      <c r="H1198" s="459">
        <v>1191</v>
      </c>
      <c r="I1198" s="444">
        <f t="shared" ca="1" si="105"/>
        <v>-32417198.276729316</v>
      </c>
      <c r="J1198" s="444">
        <f t="array" ref="J1198">IFERROR(INDEX('Retirement Calculator'!K:K,MATCH('Lorri 401b'!N1198,'Retirement Calculator'!A:A,0),0),0)</f>
        <v>0</v>
      </c>
      <c r="K1198" s="444">
        <f t="shared" ca="1" si="103"/>
        <v>-135071.65948637214</v>
      </c>
      <c r="L1198" s="444">
        <f t="shared" ca="1" si="104"/>
        <v>-32552269.936215688</v>
      </c>
      <c r="M1198" s="460">
        <f t="shared" si="106"/>
        <v>0.05</v>
      </c>
      <c r="N1198" s="464">
        <f t="shared" si="107"/>
        <v>87507</v>
      </c>
    </row>
    <row r="1199" spans="7:14" ht="11.25" customHeight="1" x14ac:dyDescent="0.3">
      <c r="G1199" s="459"/>
      <c r="H1199" s="459">
        <v>1192</v>
      </c>
      <c r="I1199" s="444">
        <f t="shared" ca="1" si="105"/>
        <v>-32552269.936215688</v>
      </c>
      <c r="J1199" s="444">
        <f t="array" ref="J1199">IFERROR(INDEX('Retirement Calculator'!K:K,MATCH('Lorri 401b'!N1199,'Retirement Calculator'!A:A,0),0),0)</f>
        <v>0</v>
      </c>
      <c r="K1199" s="444">
        <f t="shared" ca="1" si="103"/>
        <v>-135634.45806756537</v>
      </c>
      <c r="L1199" s="444">
        <f t="shared" ca="1" si="104"/>
        <v>-32687904.394283254</v>
      </c>
      <c r="M1199" s="460">
        <f t="shared" si="106"/>
        <v>0.05</v>
      </c>
      <c r="N1199" s="464">
        <f t="shared" si="107"/>
        <v>87538</v>
      </c>
    </row>
    <row r="1200" spans="7:14" ht="11.25" customHeight="1" x14ac:dyDescent="0.3">
      <c r="G1200" s="459"/>
      <c r="H1200" s="459">
        <v>1193</v>
      </c>
      <c r="I1200" s="444">
        <f t="shared" ca="1" si="105"/>
        <v>-32687904.394283254</v>
      </c>
      <c r="J1200" s="444">
        <f t="array" ref="J1200">IFERROR(INDEX('Retirement Calculator'!K:K,MATCH('Lorri 401b'!N1200,'Retirement Calculator'!A:A,0),0),0)</f>
        <v>0</v>
      </c>
      <c r="K1200" s="444">
        <f t="shared" ca="1" si="103"/>
        <v>-136199.60164284689</v>
      </c>
      <c r="L1200" s="444">
        <f t="shared" ca="1" si="104"/>
        <v>-32824103.995926101</v>
      </c>
      <c r="M1200" s="460">
        <f t="shared" si="106"/>
        <v>0.05</v>
      </c>
      <c r="N1200" s="464">
        <f t="shared" si="107"/>
        <v>87568</v>
      </c>
    </row>
    <row r="1201" spans="7:14" ht="11.25" customHeight="1" x14ac:dyDescent="0.3">
      <c r="G1201" s="459"/>
      <c r="H1201" s="459">
        <v>1194</v>
      </c>
      <c r="I1201" s="444">
        <f t="shared" ca="1" si="105"/>
        <v>-32824103.995926101</v>
      </c>
      <c r="J1201" s="444">
        <f t="array" ref="J1201">IFERROR(INDEX('Retirement Calculator'!K:K,MATCH('Lorri 401b'!N1201,'Retirement Calculator'!A:A,0),0),0)</f>
        <v>0</v>
      </c>
      <c r="K1201" s="444">
        <f t="shared" ca="1" si="103"/>
        <v>-136767.09998302543</v>
      </c>
      <c r="L1201" s="444">
        <f t="shared" ca="1" si="104"/>
        <v>-32960871.095909126</v>
      </c>
      <c r="M1201" s="460">
        <f t="shared" si="106"/>
        <v>0.05</v>
      </c>
      <c r="N1201" s="464">
        <f t="shared" si="107"/>
        <v>87599</v>
      </c>
    </row>
    <row r="1202" spans="7:14" ht="11.25" customHeight="1" x14ac:dyDescent="0.3">
      <c r="G1202" s="459"/>
      <c r="H1202" s="459">
        <v>1195</v>
      </c>
      <c r="I1202" s="444">
        <f t="shared" ca="1" si="105"/>
        <v>-32960871.095909126</v>
      </c>
      <c r="J1202" s="444">
        <f t="array" ref="J1202">IFERROR(INDEX('Retirement Calculator'!K:K,MATCH('Lorri 401b'!N1202,'Retirement Calculator'!A:A,0),0),0)</f>
        <v>0</v>
      </c>
      <c r="K1202" s="444">
        <f t="shared" ca="1" si="103"/>
        <v>-137336.96289962134</v>
      </c>
      <c r="L1202" s="444">
        <f t="shared" ca="1" si="104"/>
        <v>-33098208.058808748</v>
      </c>
      <c r="M1202" s="460">
        <f t="shared" si="106"/>
        <v>0.05</v>
      </c>
      <c r="N1202" s="464">
        <f t="shared" si="107"/>
        <v>87629</v>
      </c>
    </row>
    <row r="1203" spans="7:14" ht="11.25" customHeight="1" x14ac:dyDescent="0.3">
      <c r="G1203" s="459"/>
      <c r="H1203" s="459">
        <v>1196</v>
      </c>
      <c r="I1203" s="444">
        <f t="shared" ca="1" si="105"/>
        <v>-33098208.058808748</v>
      </c>
      <c r="J1203" s="444">
        <f t="array" ref="J1203">IFERROR(INDEX('Retirement Calculator'!K:K,MATCH('Lorri 401b'!N1203,'Retirement Calculator'!A:A,0),0),0)</f>
        <v>0</v>
      </c>
      <c r="K1203" s="444">
        <f t="shared" ca="1" si="103"/>
        <v>-137909.20024503645</v>
      </c>
      <c r="L1203" s="444">
        <f t="shared" ca="1" si="104"/>
        <v>-33236117.259053785</v>
      </c>
      <c r="M1203" s="460">
        <f t="shared" si="106"/>
        <v>0.05</v>
      </c>
      <c r="N1203" s="464">
        <f t="shared" si="107"/>
        <v>87660</v>
      </c>
    </row>
    <row r="1204" spans="7:14" ht="11.25" customHeight="1" x14ac:dyDescent="0.3">
      <c r="G1204" s="459"/>
      <c r="H1204" s="459">
        <v>1197</v>
      </c>
      <c r="I1204" s="444">
        <f t="shared" ca="1" si="105"/>
        <v>-33236117.259053785</v>
      </c>
      <c r="J1204" s="444">
        <f t="array" ref="J1204">IFERROR(INDEX('Retirement Calculator'!K:K,MATCH('Lorri 401b'!N1204,'Retirement Calculator'!A:A,0),0),0)</f>
        <v>0</v>
      </c>
      <c r="K1204" s="444">
        <f t="shared" ca="1" si="103"/>
        <v>-138483.82191272412</v>
      </c>
      <c r="L1204" s="444">
        <f t="shared" ca="1" si="104"/>
        <v>-33374601.08096651</v>
      </c>
      <c r="M1204" s="460">
        <f t="shared" si="106"/>
        <v>0.05</v>
      </c>
      <c r="N1204" s="464">
        <f t="shared" si="107"/>
        <v>87691</v>
      </c>
    </row>
    <row r="1205" spans="7:14" ht="11.25" customHeight="1" x14ac:dyDescent="0.3">
      <c r="G1205" s="459"/>
      <c r="H1205" s="459">
        <v>1198</v>
      </c>
      <c r="I1205" s="444">
        <f t="shared" ca="1" si="105"/>
        <v>-33374601.08096651</v>
      </c>
      <c r="J1205" s="444">
        <f t="array" ref="J1205">IFERROR(INDEX('Retirement Calculator'!K:K,MATCH('Lorri 401b'!N1205,'Retirement Calculator'!A:A,0),0),0)</f>
        <v>0</v>
      </c>
      <c r="K1205" s="444">
        <f t="shared" ca="1" si="103"/>
        <v>-139060.83783736045</v>
      </c>
      <c r="L1205" s="444">
        <f t="shared" ca="1" si="104"/>
        <v>-33513661.918803871</v>
      </c>
      <c r="M1205" s="460">
        <f t="shared" si="106"/>
        <v>0.05</v>
      </c>
      <c r="N1205" s="464">
        <f t="shared" si="107"/>
        <v>87720</v>
      </c>
    </row>
    <row r="1206" spans="7:14" ht="11.25" customHeight="1" x14ac:dyDescent="0.3">
      <c r="G1206" s="459"/>
      <c r="H1206" s="459">
        <v>1199</v>
      </c>
      <c r="I1206" s="444">
        <f t="shared" ca="1" si="105"/>
        <v>-33513661.918803871</v>
      </c>
      <c r="J1206" s="444">
        <f t="array" ref="J1206">IFERROR(INDEX('Retirement Calculator'!K:K,MATCH('Lorri 401b'!N1206,'Retirement Calculator'!A:A,0),0),0)</f>
        <v>0</v>
      </c>
      <c r="K1206" s="444">
        <f t="shared" ca="1" si="103"/>
        <v>-139640.25799501612</v>
      </c>
      <c r="L1206" s="444">
        <f t="shared" ca="1" si="104"/>
        <v>-33653302.176798888</v>
      </c>
      <c r="M1206" s="460">
        <f t="shared" si="106"/>
        <v>0.05</v>
      </c>
      <c r="N1206" s="464">
        <f t="shared" si="107"/>
        <v>87751</v>
      </c>
    </row>
    <row r="1207" spans="7:14" ht="11.25" customHeight="1" x14ac:dyDescent="0.3">
      <c r="G1207" s="459"/>
      <c r="H1207" s="459">
        <v>1200</v>
      </c>
      <c r="I1207" s="444">
        <f t="shared" ca="1" si="105"/>
        <v>-33653302.176798888</v>
      </c>
      <c r="J1207" s="444">
        <f t="array" ref="J1207">IFERROR(INDEX('Retirement Calculator'!K:K,MATCH('Lorri 401b'!N1207,'Retirement Calculator'!A:A,0),0),0)</f>
        <v>0</v>
      </c>
      <c r="K1207" s="444">
        <f t="shared" ca="1" si="103"/>
        <v>-140222.09240332869</v>
      </c>
      <c r="L1207" s="444">
        <f t="shared" ca="1" si="104"/>
        <v>-33793524.269202217</v>
      </c>
      <c r="M1207" s="460">
        <f t="shared" si="106"/>
        <v>0.05</v>
      </c>
      <c r="N1207" s="464">
        <f t="shared" si="107"/>
        <v>87781</v>
      </c>
    </row>
    <row r="1208" spans="7:14" ht="11.25" customHeight="1" x14ac:dyDescent="0.3">
      <c r="G1208" s="459"/>
      <c r="H1208" s="459">
        <v>1201</v>
      </c>
      <c r="I1208" s="444">
        <f t="shared" ca="1" si="105"/>
        <v>-33793524.269202217</v>
      </c>
      <c r="J1208" s="444">
        <f t="array" ref="J1208">IFERROR(INDEX('Retirement Calculator'!K:K,MATCH('Lorri 401b'!N1208,'Retirement Calculator'!A:A,0),0),0)</f>
        <v>0</v>
      </c>
      <c r="K1208" s="444">
        <f t="shared" ca="1" si="103"/>
        <v>-140806.35112167589</v>
      </c>
      <c r="L1208" s="444">
        <f t="shared" ca="1" si="104"/>
        <v>-33934330.620323896</v>
      </c>
      <c r="M1208" s="460">
        <f t="shared" si="106"/>
        <v>0.05</v>
      </c>
      <c r="N1208" s="464">
        <f t="shared" si="107"/>
        <v>87812</v>
      </c>
    </row>
    <row r="1209" spans="7:14" ht="11.25" customHeight="1" x14ac:dyDescent="0.3">
      <c r="G1209" s="459"/>
      <c r="H1209" s="459">
        <v>1202</v>
      </c>
      <c r="I1209" s="444">
        <f t="shared" ca="1" si="105"/>
        <v>-33934330.620323896</v>
      </c>
      <c r="J1209" s="444">
        <f t="array" ref="J1209">IFERROR(INDEX('Retirement Calculator'!K:K,MATCH('Lorri 401b'!N1209,'Retirement Calculator'!A:A,0),0),0)</f>
        <v>0</v>
      </c>
      <c r="K1209" s="444">
        <f t="shared" ca="1" si="103"/>
        <v>-141393.04425134958</v>
      </c>
      <c r="L1209" s="444">
        <f t="shared" ca="1" si="104"/>
        <v>-34075723.664575249</v>
      </c>
      <c r="M1209" s="460">
        <f t="shared" si="106"/>
        <v>0.05</v>
      </c>
      <c r="N1209" s="464">
        <f t="shared" si="107"/>
        <v>87842</v>
      </c>
    </row>
    <row r="1210" spans="7:14" ht="11.25" customHeight="1" x14ac:dyDescent="0.3">
      <c r="G1210" s="459"/>
      <c r="H1210" s="459">
        <v>1203</v>
      </c>
      <c r="I1210" s="444">
        <f t="shared" ca="1" si="105"/>
        <v>-34075723.664575249</v>
      </c>
      <c r="J1210" s="444">
        <f t="array" ref="J1210">IFERROR(INDEX('Retirement Calculator'!K:K,MATCH('Lorri 401b'!N1210,'Retirement Calculator'!A:A,0),0),0)</f>
        <v>0</v>
      </c>
      <c r="K1210" s="444">
        <f t="shared" ca="1" si="103"/>
        <v>-141982.18193573022</v>
      </c>
      <c r="L1210" s="444">
        <f t="shared" ca="1" si="104"/>
        <v>-34217705.846510977</v>
      </c>
      <c r="M1210" s="460">
        <f t="shared" si="106"/>
        <v>0.05</v>
      </c>
      <c r="N1210" s="464">
        <f t="shared" si="107"/>
        <v>87873</v>
      </c>
    </row>
    <row r="1211" spans="7:14" ht="11.25" customHeight="1" x14ac:dyDescent="0.3">
      <c r="G1211" s="459"/>
      <c r="H1211" s="459">
        <v>1204</v>
      </c>
      <c r="I1211" s="444">
        <f t="shared" ca="1" si="105"/>
        <v>-34217705.846510977</v>
      </c>
      <c r="J1211" s="444">
        <f t="array" ref="J1211">IFERROR(INDEX('Retirement Calculator'!K:K,MATCH('Lorri 401b'!N1211,'Retirement Calculator'!A:A,0),0),0)</f>
        <v>0</v>
      </c>
      <c r="K1211" s="444">
        <f t="shared" ca="1" si="103"/>
        <v>-142573.77436046241</v>
      </c>
      <c r="L1211" s="444">
        <f t="shared" ca="1" si="104"/>
        <v>-34360279.62087144</v>
      </c>
      <c r="M1211" s="460">
        <f t="shared" si="106"/>
        <v>0.05</v>
      </c>
      <c r="N1211" s="464">
        <f t="shared" si="107"/>
        <v>87904</v>
      </c>
    </row>
    <row r="1212" spans="7:14" ht="11.25" customHeight="1" x14ac:dyDescent="0.3">
      <c r="G1212" s="459"/>
      <c r="H1212" s="459">
        <v>1205</v>
      </c>
      <c r="I1212" s="444">
        <f t="shared" ca="1" si="105"/>
        <v>-34360279.62087144</v>
      </c>
      <c r="J1212" s="444">
        <f t="array" ref="J1212">IFERROR(INDEX('Retirement Calculator'!K:K,MATCH('Lorri 401b'!N1212,'Retirement Calculator'!A:A,0),0),0)</f>
        <v>0</v>
      </c>
      <c r="K1212" s="444">
        <f t="shared" ca="1" si="103"/>
        <v>-143167.83175363101</v>
      </c>
      <c r="L1212" s="444">
        <f t="shared" ca="1" si="104"/>
        <v>-34503447.452625073</v>
      </c>
      <c r="M1212" s="460">
        <f t="shared" si="106"/>
        <v>0.05</v>
      </c>
      <c r="N1212" s="464">
        <f t="shared" si="107"/>
        <v>87934</v>
      </c>
    </row>
    <row r="1213" spans="7:14" ht="11.25" customHeight="1" x14ac:dyDescent="0.3">
      <c r="G1213" s="459"/>
      <c r="H1213" s="459">
        <v>1206</v>
      </c>
      <c r="I1213" s="444">
        <f t="shared" ca="1" si="105"/>
        <v>-34503447.452625073</v>
      </c>
      <c r="J1213" s="444">
        <f t="array" ref="J1213">IFERROR(INDEX('Retirement Calculator'!K:K,MATCH('Lorri 401b'!N1213,'Retirement Calculator'!A:A,0),0),0)</f>
        <v>0</v>
      </c>
      <c r="K1213" s="444">
        <f t="shared" ca="1" si="103"/>
        <v>-143764.36438593781</v>
      </c>
      <c r="L1213" s="444">
        <f t="shared" ca="1" si="104"/>
        <v>-34647211.817011014</v>
      </c>
      <c r="M1213" s="460">
        <f t="shared" si="106"/>
        <v>0.05</v>
      </c>
      <c r="N1213" s="464">
        <f t="shared" si="107"/>
        <v>87965</v>
      </c>
    </row>
    <row r="1214" spans="7:14" ht="11.25" customHeight="1" x14ac:dyDescent="0.3">
      <c r="G1214" s="459"/>
      <c r="H1214" s="459">
        <v>1207</v>
      </c>
      <c r="I1214" s="444">
        <f t="shared" ca="1" si="105"/>
        <v>-34647211.817011014</v>
      </c>
      <c r="J1214" s="444">
        <f t="array" ref="J1214">IFERROR(INDEX('Retirement Calculator'!K:K,MATCH('Lorri 401b'!N1214,'Retirement Calculator'!A:A,0),0),0)</f>
        <v>0</v>
      </c>
      <c r="K1214" s="444">
        <f t="shared" ca="1" si="103"/>
        <v>-144363.38257087921</v>
      </c>
      <c r="L1214" s="444">
        <f t="shared" ca="1" si="104"/>
        <v>-34791575.199581891</v>
      </c>
      <c r="M1214" s="460">
        <f t="shared" si="106"/>
        <v>0.05</v>
      </c>
      <c r="N1214" s="464">
        <f t="shared" si="107"/>
        <v>87995</v>
      </c>
    </row>
    <row r="1215" spans="7:14" ht="11.25" customHeight="1" x14ac:dyDescent="0.3">
      <c r="G1215" s="459"/>
      <c r="H1215" s="459">
        <v>1208</v>
      </c>
      <c r="I1215" s="444">
        <f t="shared" ca="1" si="105"/>
        <v>-34791575.199581891</v>
      </c>
      <c r="J1215" s="444">
        <f t="array" ref="J1215">IFERROR(INDEX('Retirement Calculator'!K:K,MATCH('Lorri 401b'!N1215,'Retirement Calculator'!A:A,0),0),0)</f>
        <v>0</v>
      </c>
      <c r="K1215" s="444">
        <f t="shared" ca="1" si="103"/>
        <v>-144964.89666492454</v>
      </c>
      <c r="L1215" s="444">
        <f t="shared" ca="1" si="104"/>
        <v>-34936540.096246816</v>
      </c>
      <c r="M1215" s="460">
        <f t="shared" si="106"/>
        <v>0.05</v>
      </c>
      <c r="N1215" s="464">
        <f t="shared" si="107"/>
        <v>88026</v>
      </c>
    </row>
    <row r="1216" spans="7:14" ht="11.25" customHeight="1" x14ac:dyDescent="0.3">
      <c r="G1216" s="459"/>
      <c r="H1216" s="459">
        <v>1209</v>
      </c>
      <c r="I1216" s="444">
        <f t="shared" ca="1" si="105"/>
        <v>-34936540.096246816</v>
      </c>
      <c r="J1216" s="444">
        <f t="array" ref="J1216">IFERROR(INDEX('Retirement Calculator'!K:K,MATCH('Lorri 401b'!N1216,'Retirement Calculator'!A:A,0),0),0)</f>
        <v>0</v>
      </c>
      <c r="K1216" s="444">
        <f t="shared" ca="1" si="103"/>
        <v>-145568.91706769506</v>
      </c>
      <c r="L1216" s="444">
        <f t="shared" ca="1" si="104"/>
        <v>-35082109.013314508</v>
      </c>
      <c r="M1216" s="460">
        <f t="shared" si="106"/>
        <v>0.05</v>
      </c>
      <c r="N1216" s="464">
        <f t="shared" si="107"/>
        <v>88057</v>
      </c>
    </row>
    <row r="1217" spans="7:14" ht="11.25" customHeight="1" x14ac:dyDescent="0.3">
      <c r="G1217" s="459"/>
      <c r="H1217" s="459">
        <v>1210</v>
      </c>
      <c r="I1217" s="444">
        <f t="shared" ca="1" si="105"/>
        <v>-35082109.013314508</v>
      </c>
      <c r="J1217" s="444">
        <f t="array" ref="J1217">IFERROR(INDEX('Retirement Calculator'!K:K,MATCH('Lorri 401b'!N1217,'Retirement Calculator'!A:A,0),0),0)</f>
        <v>0</v>
      </c>
      <c r="K1217" s="444">
        <f t="shared" ca="1" si="103"/>
        <v>-146175.45422214377</v>
      </c>
      <c r="L1217" s="444">
        <f t="shared" ca="1" si="104"/>
        <v>-35228284.467536651</v>
      </c>
      <c r="M1217" s="460">
        <f t="shared" si="106"/>
        <v>0.05</v>
      </c>
      <c r="N1217" s="464">
        <f t="shared" si="107"/>
        <v>88085</v>
      </c>
    </row>
    <row r="1218" spans="7:14" ht="11.25" customHeight="1" x14ac:dyDescent="0.3">
      <c r="G1218" s="459"/>
      <c r="H1218" s="459">
        <v>1211</v>
      </c>
      <c r="I1218" s="444">
        <f t="shared" ca="1" si="105"/>
        <v>-35228284.467536651</v>
      </c>
      <c r="J1218" s="444">
        <f t="array" ref="J1218">IFERROR(INDEX('Retirement Calculator'!K:K,MATCH('Lorri 401b'!N1218,'Retirement Calculator'!A:A,0),0),0)</f>
        <v>0</v>
      </c>
      <c r="K1218" s="444">
        <f t="shared" ca="1" si="103"/>
        <v>-146784.51861473604</v>
      </c>
      <c r="L1218" s="444">
        <f t="shared" ca="1" si="104"/>
        <v>-35375068.98615139</v>
      </c>
      <c r="M1218" s="460">
        <f t="shared" si="106"/>
        <v>0.05</v>
      </c>
      <c r="N1218" s="464">
        <f t="shared" si="107"/>
        <v>88116</v>
      </c>
    </row>
    <row r="1219" spans="7:14" ht="11.25" customHeight="1" x14ac:dyDescent="0.3">
      <c r="G1219" s="459"/>
      <c r="H1219" s="459">
        <v>1212</v>
      </c>
      <c r="I1219" s="444">
        <f t="shared" ca="1" si="105"/>
        <v>-35375068.98615139</v>
      </c>
      <c r="J1219" s="444">
        <f t="array" ref="J1219">IFERROR(INDEX('Retirement Calculator'!K:K,MATCH('Lorri 401b'!N1219,'Retirement Calculator'!A:A,0),0),0)</f>
        <v>0</v>
      </c>
      <c r="K1219" s="444">
        <f t="shared" ca="1" si="103"/>
        <v>-147396.12077563078</v>
      </c>
      <c r="L1219" s="444">
        <f t="shared" ca="1" si="104"/>
        <v>-35522465.106927022</v>
      </c>
      <c r="M1219" s="460">
        <f t="shared" si="106"/>
        <v>0.05</v>
      </c>
      <c r="N1219" s="464">
        <f t="shared" si="107"/>
        <v>88146</v>
      </c>
    </row>
    <row r="1220" spans="7:14" ht="11.25" customHeight="1" x14ac:dyDescent="0.3">
      <c r="G1220" s="459"/>
      <c r="H1220" s="459">
        <v>1213</v>
      </c>
      <c r="I1220" s="444">
        <f t="shared" ca="1" si="105"/>
        <v>-35522465.106927022</v>
      </c>
      <c r="J1220" s="444">
        <f t="array" ref="J1220">IFERROR(INDEX('Retirement Calculator'!K:K,MATCH('Lorri 401b'!N1220,'Retirement Calculator'!A:A,0),0),0)</f>
        <v>0</v>
      </c>
      <c r="K1220" s="444">
        <f t="shared" ca="1" si="103"/>
        <v>-148010.27127886258</v>
      </c>
      <c r="L1220" s="444">
        <f t="shared" ca="1" si="104"/>
        <v>-35670475.378205888</v>
      </c>
      <c r="M1220" s="460">
        <f t="shared" si="106"/>
        <v>0.05</v>
      </c>
      <c r="N1220" s="464">
        <f t="shared" si="107"/>
        <v>88177</v>
      </c>
    </row>
    <row r="1221" spans="7:14" ht="11.25" customHeight="1" x14ac:dyDescent="0.3">
      <c r="G1221" s="459"/>
      <c r="H1221" s="459">
        <v>1214</v>
      </c>
      <c r="I1221" s="444">
        <f t="shared" ca="1" si="105"/>
        <v>-35670475.378205888</v>
      </c>
      <c r="J1221" s="444">
        <f t="array" ref="J1221">IFERROR(INDEX('Retirement Calculator'!K:K,MATCH('Lorri 401b'!N1221,'Retirement Calculator'!A:A,0),0),0)</f>
        <v>0</v>
      </c>
      <c r="K1221" s="444">
        <f t="shared" ca="1" si="103"/>
        <v>-148626.98074252452</v>
      </c>
      <c r="L1221" s="444">
        <f t="shared" ca="1" si="104"/>
        <v>-35819102.35894841</v>
      </c>
      <c r="M1221" s="460">
        <f t="shared" si="106"/>
        <v>0.05</v>
      </c>
      <c r="N1221" s="464">
        <f t="shared" si="107"/>
        <v>88207</v>
      </c>
    </row>
    <row r="1222" spans="7:14" ht="11.25" customHeight="1" x14ac:dyDescent="0.3">
      <c r="G1222" s="459"/>
      <c r="H1222" s="459">
        <v>1215</v>
      </c>
      <c r="I1222" s="444">
        <f t="shared" ca="1" si="105"/>
        <v>-35819102.35894841</v>
      </c>
      <c r="J1222" s="444">
        <f t="array" ref="J1222">IFERROR(INDEX('Retirement Calculator'!K:K,MATCH('Lorri 401b'!N1222,'Retirement Calculator'!A:A,0),0),0)</f>
        <v>0</v>
      </c>
      <c r="K1222" s="444">
        <f t="shared" ca="1" si="103"/>
        <v>-149246.2598289517</v>
      </c>
      <c r="L1222" s="444">
        <f t="shared" ca="1" si="104"/>
        <v>-35968348.618777364</v>
      </c>
      <c r="M1222" s="460">
        <f t="shared" si="106"/>
        <v>0.05</v>
      </c>
      <c r="N1222" s="464">
        <f t="shared" si="107"/>
        <v>88238</v>
      </c>
    </row>
    <row r="1223" spans="7:14" ht="11.25" customHeight="1" x14ac:dyDescent="0.3">
      <c r="G1223" s="459"/>
      <c r="H1223" s="459">
        <v>1216</v>
      </c>
      <c r="I1223" s="444">
        <f t="shared" ca="1" si="105"/>
        <v>-35968348.618777364</v>
      </c>
      <c r="J1223" s="444">
        <f t="array" ref="J1223">IFERROR(INDEX('Retirement Calculator'!K:K,MATCH('Lorri 401b'!N1223,'Retirement Calculator'!A:A,0),0),0)</f>
        <v>0</v>
      </c>
      <c r="K1223" s="444">
        <f t="shared" ca="1" si="103"/>
        <v>-149868.11924490568</v>
      </c>
      <c r="L1223" s="444">
        <f t="shared" ca="1" si="104"/>
        <v>-36118216.738022268</v>
      </c>
      <c r="M1223" s="460">
        <f t="shared" si="106"/>
        <v>0.05</v>
      </c>
      <c r="N1223" s="464">
        <f t="shared" si="107"/>
        <v>88269</v>
      </c>
    </row>
    <row r="1224" spans="7:14" ht="11.25" customHeight="1" x14ac:dyDescent="0.3">
      <c r="G1224" s="459"/>
      <c r="H1224" s="459">
        <v>1217</v>
      </c>
      <c r="I1224" s="444">
        <f t="shared" ca="1" si="105"/>
        <v>-36118216.738022268</v>
      </c>
      <c r="J1224" s="444">
        <f t="array" ref="J1224">IFERROR(INDEX('Retirement Calculator'!K:K,MATCH('Lorri 401b'!N1224,'Retirement Calculator'!A:A,0),0),0)</f>
        <v>0</v>
      </c>
      <c r="K1224" s="444">
        <f t="shared" ca="1" si="103"/>
        <v>-150492.56974175945</v>
      </c>
      <c r="L1224" s="444">
        <f t="shared" ca="1" si="104"/>
        <v>-36268709.307764024</v>
      </c>
      <c r="M1224" s="460">
        <f t="shared" si="106"/>
        <v>0.05</v>
      </c>
      <c r="N1224" s="464">
        <f t="shared" si="107"/>
        <v>88299</v>
      </c>
    </row>
    <row r="1225" spans="7:14" ht="11.25" customHeight="1" x14ac:dyDescent="0.3">
      <c r="G1225" s="459"/>
      <c r="H1225" s="459">
        <v>1218</v>
      </c>
      <c r="I1225" s="444">
        <f t="shared" ca="1" si="105"/>
        <v>-36268709.307764024</v>
      </c>
      <c r="J1225" s="444">
        <f t="array" ref="J1225">IFERROR(INDEX('Retirement Calculator'!K:K,MATCH('Lorri 401b'!N1225,'Retirement Calculator'!A:A,0),0),0)</f>
        <v>0</v>
      </c>
      <c r="K1225" s="444">
        <f t="shared" ca="1" si="103"/>
        <v>-151119.62211568342</v>
      </c>
      <c r="L1225" s="444">
        <f t="shared" ca="1" si="104"/>
        <v>-36419828.92987971</v>
      </c>
      <c r="M1225" s="460">
        <f t="shared" si="106"/>
        <v>0.05</v>
      </c>
      <c r="N1225" s="464">
        <f t="shared" si="107"/>
        <v>88330</v>
      </c>
    </row>
    <row r="1226" spans="7:14" ht="11.25" customHeight="1" x14ac:dyDescent="0.3">
      <c r="G1226" s="459"/>
      <c r="H1226" s="459">
        <v>1219</v>
      </c>
      <c r="I1226" s="444">
        <f t="shared" ca="1" si="105"/>
        <v>-36419828.92987971</v>
      </c>
      <c r="J1226" s="444">
        <f t="array" ref="J1226">IFERROR(INDEX('Retirement Calculator'!K:K,MATCH('Lorri 401b'!N1226,'Retirement Calculator'!A:A,0),0),0)</f>
        <v>0</v>
      </c>
      <c r="K1226" s="444">
        <f t="shared" ca="1" si="103"/>
        <v>-151749.28720783212</v>
      </c>
      <c r="L1226" s="444">
        <f t="shared" ca="1" si="104"/>
        <v>-36571578.217087545</v>
      </c>
      <c r="M1226" s="460">
        <f t="shared" si="106"/>
        <v>0.05</v>
      </c>
      <c r="N1226" s="464">
        <f t="shared" si="107"/>
        <v>88360</v>
      </c>
    </row>
    <row r="1227" spans="7:14" ht="11.25" customHeight="1" x14ac:dyDescent="0.3">
      <c r="G1227" s="459"/>
      <c r="H1227" s="459">
        <v>1220</v>
      </c>
      <c r="I1227" s="444">
        <f t="shared" ca="1" si="105"/>
        <v>-36571578.217087545</v>
      </c>
      <c r="J1227" s="444">
        <f t="array" ref="J1227">IFERROR(INDEX('Retirement Calculator'!K:K,MATCH('Lorri 401b'!N1227,'Retirement Calculator'!A:A,0),0),0)</f>
        <v>0</v>
      </c>
      <c r="K1227" s="444">
        <f t="shared" ca="1" si="103"/>
        <v>-152381.57590453143</v>
      </c>
      <c r="L1227" s="444">
        <f t="shared" ca="1" si="104"/>
        <v>-36723959.792992078</v>
      </c>
      <c r="M1227" s="460">
        <f t="shared" si="106"/>
        <v>0.05</v>
      </c>
      <c r="N1227" s="464">
        <f t="shared" si="107"/>
        <v>88391</v>
      </c>
    </row>
    <row r="1228" spans="7:14" ht="11.25" customHeight="1" x14ac:dyDescent="0.3">
      <c r="G1228" s="459"/>
      <c r="H1228" s="459">
        <v>1221</v>
      </c>
      <c r="I1228" s="444">
        <f t="shared" ca="1" si="105"/>
        <v>-36723959.792992078</v>
      </c>
      <c r="J1228" s="444">
        <f t="array" ref="J1228">IFERROR(INDEX('Retirement Calculator'!K:K,MATCH('Lorri 401b'!N1228,'Retirement Calculator'!A:A,0),0),0)</f>
        <v>0</v>
      </c>
      <c r="K1228" s="444">
        <f t="shared" ca="1" si="103"/>
        <v>-153016.49913746698</v>
      </c>
      <c r="L1228" s="444">
        <f t="shared" ca="1" si="104"/>
        <v>-36876976.292129546</v>
      </c>
      <c r="M1228" s="460">
        <f t="shared" si="106"/>
        <v>0.05</v>
      </c>
      <c r="N1228" s="464">
        <f t="shared" si="107"/>
        <v>88422</v>
      </c>
    </row>
    <row r="1229" spans="7:14" ht="11.25" customHeight="1" x14ac:dyDescent="0.3">
      <c r="G1229" s="459"/>
      <c r="H1229" s="459">
        <v>1222</v>
      </c>
      <c r="I1229" s="444">
        <f t="shared" ca="1" si="105"/>
        <v>-36876976.292129546</v>
      </c>
      <c r="J1229" s="444">
        <f t="array" ref="J1229">IFERROR(INDEX('Retirement Calculator'!K:K,MATCH('Lorri 401b'!N1229,'Retirement Calculator'!A:A,0),0),0)</f>
        <v>0</v>
      </c>
      <c r="K1229" s="444">
        <f t="shared" ca="1" si="103"/>
        <v>-153654.0678838731</v>
      </c>
      <c r="L1229" s="444">
        <f t="shared" ca="1" si="104"/>
        <v>-37030630.360013418</v>
      </c>
      <c r="M1229" s="460">
        <f t="shared" si="106"/>
        <v>0.05</v>
      </c>
      <c r="N1229" s="464">
        <f t="shared" si="107"/>
        <v>88450</v>
      </c>
    </row>
    <row r="1230" spans="7:14" ht="11.25" customHeight="1" x14ac:dyDescent="0.3">
      <c r="G1230" s="459"/>
      <c r="H1230" s="459">
        <v>1223</v>
      </c>
      <c r="I1230" s="444">
        <f t="shared" ca="1" si="105"/>
        <v>-37030630.360013418</v>
      </c>
      <c r="J1230" s="444">
        <f t="array" ref="J1230">IFERROR(INDEX('Retirement Calculator'!K:K,MATCH('Lorri 401b'!N1230,'Retirement Calculator'!A:A,0),0),0)</f>
        <v>0</v>
      </c>
      <c r="K1230" s="444">
        <f t="shared" ca="1" si="103"/>
        <v>-154294.29316672258</v>
      </c>
      <c r="L1230" s="444">
        <f t="shared" ca="1" si="104"/>
        <v>-37184924.653180137</v>
      </c>
      <c r="M1230" s="460">
        <f t="shared" si="106"/>
        <v>0.05</v>
      </c>
      <c r="N1230" s="464">
        <f t="shared" si="107"/>
        <v>88481</v>
      </c>
    </row>
    <row r="1231" spans="7:14" ht="11.25" customHeight="1" x14ac:dyDescent="0.3">
      <c r="G1231" s="459"/>
      <c r="H1231" s="459">
        <v>1224</v>
      </c>
      <c r="I1231" s="444">
        <f t="shared" ca="1" si="105"/>
        <v>-37184924.653180137</v>
      </c>
      <c r="J1231" s="444">
        <f t="array" ref="J1231">IFERROR(INDEX('Retirement Calculator'!K:K,MATCH('Lorri 401b'!N1231,'Retirement Calculator'!A:A,0),0),0)</f>
        <v>0</v>
      </c>
      <c r="K1231" s="444">
        <f t="shared" ca="1" si="103"/>
        <v>-154937.18605491723</v>
      </c>
      <c r="L1231" s="444">
        <f t="shared" ca="1" si="104"/>
        <v>-37339861.839235052</v>
      </c>
      <c r="M1231" s="460">
        <f t="shared" si="106"/>
        <v>0.05</v>
      </c>
      <c r="N1231" s="464">
        <f t="shared" si="107"/>
        <v>88511</v>
      </c>
    </row>
    <row r="1232" spans="7:14" ht="11.25" customHeight="1" x14ac:dyDescent="0.3">
      <c r="G1232" s="459"/>
      <c r="H1232" s="459">
        <v>1225</v>
      </c>
      <c r="I1232" s="444">
        <f t="shared" ca="1" si="105"/>
        <v>-37339861.839235052</v>
      </c>
      <c r="J1232" s="444">
        <f t="array" ref="J1232">IFERROR(INDEX('Retirement Calculator'!K:K,MATCH('Lorri 401b'!N1232,'Retirement Calculator'!A:A,0),0),0)</f>
        <v>0</v>
      </c>
      <c r="K1232" s="444">
        <f t="shared" ca="1" si="103"/>
        <v>-155582.75766347939</v>
      </c>
      <c r="L1232" s="444">
        <f t="shared" ca="1" si="104"/>
        <v>-37495444.596898533</v>
      </c>
      <c r="M1232" s="460">
        <f t="shared" si="106"/>
        <v>0.05</v>
      </c>
      <c r="N1232" s="464">
        <f t="shared" si="107"/>
        <v>88542</v>
      </c>
    </row>
    <row r="1233" spans="7:14" ht="11.25" customHeight="1" x14ac:dyDescent="0.3">
      <c r="G1233" s="459"/>
      <c r="H1233" s="459">
        <v>1226</v>
      </c>
      <c r="I1233" s="444">
        <f t="shared" ca="1" si="105"/>
        <v>-37495444.596898533</v>
      </c>
      <c r="J1233" s="444">
        <f t="array" ref="J1233">IFERROR(INDEX('Retirement Calculator'!K:K,MATCH('Lorri 401b'!N1233,'Retirement Calculator'!A:A,0),0),0)</f>
        <v>0</v>
      </c>
      <c r="K1233" s="444">
        <f t="shared" ca="1" si="103"/>
        <v>-156231.0191537439</v>
      </c>
      <c r="L1233" s="444">
        <f t="shared" ca="1" si="104"/>
        <v>-37651675.616052277</v>
      </c>
      <c r="M1233" s="460">
        <f t="shared" si="106"/>
        <v>0.05</v>
      </c>
      <c r="N1233" s="464">
        <f t="shared" si="107"/>
        <v>88572</v>
      </c>
    </row>
    <row r="1234" spans="7:14" ht="11.25" customHeight="1" x14ac:dyDescent="0.3">
      <c r="G1234" s="459"/>
      <c r="H1234" s="459">
        <v>1227</v>
      </c>
      <c r="I1234" s="444">
        <f t="shared" ca="1" si="105"/>
        <v>-37651675.616052277</v>
      </c>
      <c r="J1234" s="444">
        <f t="array" ref="J1234">IFERROR(INDEX('Retirement Calculator'!K:K,MATCH('Lorri 401b'!N1234,'Retirement Calculator'!A:A,0),0),0)</f>
        <v>0</v>
      </c>
      <c r="K1234" s="444">
        <f t="shared" ca="1" si="103"/>
        <v>-156881.98173355116</v>
      </c>
      <c r="L1234" s="444">
        <f t="shared" ca="1" si="104"/>
        <v>-37808557.59778583</v>
      </c>
      <c r="M1234" s="460">
        <f t="shared" si="106"/>
        <v>0.05</v>
      </c>
      <c r="N1234" s="464">
        <f t="shared" si="107"/>
        <v>88603</v>
      </c>
    </row>
    <row r="1235" spans="7:14" ht="11.25" customHeight="1" x14ac:dyDescent="0.3">
      <c r="G1235" s="459"/>
      <c r="H1235" s="459">
        <v>1228</v>
      </c>
      <c r="I1235" s="444">
        <f t="shared" ca="1" si="105"/>
        <v>-37808557.59778583</v>
      </c>
      <c r="J1235" s="444">
        <f t="array" ref="J1235">IFERROR(INDEX('Retirement Calculator'!K:K,MATCH('Lorri 401b'!N1235,'Retirement Calculator'!A:A,0),0),0)</f>
        <v>0</v>
      </c>
      <c r="K1235" s="444">
        <f t="shared" ca="1" si="103"/>
        <v>-157535.65665744097</v>
      </c>
      <c r="L1235" s="444">
        <f t="shared" ca="1" si="104"/>
        <v>-37966093.254443273</v>
      </c>
      <c r="M1235" s="460">
        <f t="shared" si="106"/>
        <v>0.05</v>
      </c>
      <c r="N1235" s="464">
        <f t="shared" si="107"/>
        <v>88634</v>
      </c>
    </row>
    <row r="1236" spans="7:14" ht="11.25" customHeight="1" x14ac:dyDescent="0.3">
      <c r="G1236" s="459"/>
      <c r="H1236" s="459">
        <v>1229</v>
      </c>
      <c r="I1236" s="444">
        <f t="shared" ca="1" si="105"/>
        <v>-37966093.254443273</v>
      </c>
      <c r="J1236" s="444">
        <f t="array" ref="J1236">IFERROR(INDEX('Retirement Calculator'!K:K,MATCH('Lorri 401b'!N1236,'Retirement Calculator'!A:A,0),0),0)</f>
        <v>0</v>
      </c>
      <c r="K1236" s="444">
        <f t="shared" ca="1" si="103"/>
        <v>-158192.05522684698</v>
      </c>
      <c r="L1236" s="444">
        <f t="shared" ca="1" si="104"/>
        <v>-38124285.30967012</v>
      </c>
      <c r="M1236" s="460">
        <f t="shared" si="106"/>
        <v>0.05</v>
      </c>
      <c r="N1236" s="464">
        <f t="shared" si="107"/>
        <v>88664</v>
      </c>
    </row>
    <row r="1237" spans="7:14" ht="11.25" customHeight="1" x14ac:dyDescent="0.3">
      <c r="G1237" s="459"/>
      <c r="H1237" s="459">
        <v>1230</v>
      </c>
      <c r="I1237" s="444">
        <f t="shared" ca="1" si="105"/>
        <v>-38124285.30967012</v>
      </c>
      <c r="J1237" s="444">
        <f t="array" ref="J1237">IFERROR(INDEX('Retirement Calculator'!K:K,MATCH('Lorri 401b'!N1237,'Retirement Calculator'!A:A,0),0),0)</f>
        <v>0</v>
      </c>
      <c r="K1237" s="444">
        <f t="shared" ca="1" si="103"/>
        <v>-158851.18879029216</v>
      </c>
      <c r="L1237" s="444">
        <f t="shared" ca="1" si="104"/>
        <v>-38283136.498460412</v>
      </c>
      <c r="M1237" s="460">
        <f t="shared" si="106"/>
        <v>0.05</v>
      </c>
      <c r="N1237" s="464">
        <f t="shared" si="107"/>
        <v>88695</v>
      </c>
    </row>
    <row r="1238" spans="7:14" ht="11.25" customHeight="1" x14ac:dyDescent="0.3">
      <c r="G1238" s="459"/>
      <c r="H1238" s="459">
        <v>1231</v>
      </c>
      <c r="I1238" s="444">
        <f t="shared" ca="1" si="105"/>
        <v>-38283136.498460412</v>
      </c>
      <c r="J1238" s="444">
        <f t="array" ref="J1238">IFERROR(INDEX('Retirement Calculator'!K:K,MATCH('Lorri 401b'!N1238,'Retirement Calculator'!A:A,0),0),0)</f>
        <v>0</v>
      </c>
      <c r="K1238" s="444">
        <f t="shared" ca="1" si="103"/>
        <v>-159513.06874358506</v>
      </c>
      <c r="L1238" s="444">
        <f t="shared" ca="1" si="104"/>
        <v>-38442649.567203999</v>
      </c>
      <c r="M1238" s="460">
        <f t="shared" si="106"/>
        <v>0.05</v>
      </c>
      <c r="N1238" s="464">
        <f t="shared" si="107"/>
        <v>88725</v>
      </c>
    </row>
    <row r="1239" spans="7:14" ht="11.25" customHeight="1" x14ac:dyDescent="0.3">
      <c r="G1239" s="459"/>
      <c r="H1239" s="459">
        <v>1232</v>
      </c>
      <c r="I1239" s="444">
        <f t="shared" ca="1" si="105"/>
        <v>-38442649.567203999</v>
      </c>
      <c r="J1239" s="444">
        <f t="array" ref="J1239">IFERROR(INDEX('Retirement Calculator'!K:K,MATCH('Lorri 401b'!N1239,'Retirement Calculator'!A:A,0),0),0)</f>
        <v>0</v>
      </c>
      <c r="K1239" s="444">
        <f t="shared" ca="1" si="103"/>
        <v>-160177.70653001667</v>
      </c>
      <c r="L1239" s="444">
        <f t="shared" ca="1" si="104"/>
        <v>-38602827.273734018</v>
      </c>
      <c r="M1239" s="460">
        <f t="shared" si="106"/>
        <v>0.05</v>
      </c>
      <c r="N1239" s="464">
        <f t="shared" si="107"/>
        <v>88756</v>
      </c>
    </row>
    <row r="1240" spans="7:14" ht="11.25" customHeight="1" x14ac:dyDescent="0.3">
      <c r="G1240" s="459"/>
      <c r="H1240" s="459">
        <v>1233</v>
      </c>
      <c r="I1240" s="444">
        <f t="shared" ca="1" si="105"/>
        <v>-38602827.273734018</v>
      </c>
      <c r="J1240" s="444">
        <f t="array" ref="J1240">IFERROR(INDEX('Retirement Calculator'!K:K,MATCH('Lorri 401b'!N1240,'Retirement Calculator'!A:A,0),0),0)</f>
        <v>0</v>
      </c>
      <c r="K1240" s="444">
        <f t="shared" ca="1" si="103"/>
        <v>-160845.11364055841</v>
      </c>
      <c r="L1240" s="444">
        <f t="shared" ca="1" si="104"/>
        <v>-38763672.38737458</v>
      </c>
      <c r="M1240" s="460">
        <f t="shared" si="106"/>
        <v>0.05</v>
      </c>
      <c r="N1240" s="464">
        <f t="shared" si="107"/>
        <v>88787</v>
      </c>
    </row>
    <row r="1241" spans="7:14" ht="11.25" customHeight="1" x14ac:dyDescent="0.3">
      <c r="G1241" s="459"/>
      <c r="H1241" s="459">
        <v>1234</v>
      </c>
      <c r="I1241" s="444">
        <f t="shared" ca="1" si="105"/>
        <v>-38763672.38737458</v>
      </c>
      <c r="J1241" s="444">
        <f t="array" ref="J1241">IFERROR(INDEX('Retirement Calculator'!K:K,MATCH('Lorri 401b'!N1241,'Retirement Calculator'!A:A,0),0),0)</f>
        <v>0</v>
      </c>
      <c r="K1241" s="444">
        <f t="shared" ca="1" si="103"/>
        <v>-161515.30161406074</v>
      </c>
      <c r="L1241" s="444">
        <f t="shared" ca="1" si="104"/>
        <v>-38925187.688988641</v>
      </c>
      <c r="M1241" s="460">
        <f t="shared" si="106"/>
        <v>0.05</v>
      </c>
      <c r="N1241" s="464">
        <f t="shared" si="107"/>
        <v>88815</v>
      </c>
    </row>
    <row r="1242" spans="7:14" ht="11.25" customHeight="1" x14ac:dyDescent="0.3">
      <c r="G1242" s="459"/>
      <c r="H1242" s="459">
        <v>1235</v>
      </c>
      <c r="I1242" s="444">
        <f t="shared" ca="1" si="105"/>
        <v>-38925187.688988641</v>
      </c>
      <c r="J1242" s="444">
        <f t="array" ref="J1242">IFERROR(INDEX('Retirement Calculator'!K:K,MATCH('Lorri 401b'!N1242,'Retirement Calculator'!A:A,0),0),0)</f>
        <v>0</v>
      </c>
      <c r="K1242" s="444">
        <f t="shared" ca="1" si="103"/>
        <v>-162188.28203745268</v>
      </c>
      <c r="L1242" s="444">
        <f t="shared" ca="1" si="104"/>
        <v>-39087375.971026093</v>
      </c>
      <c r="M1242" s="460">
        <f t="shared" si="106"/>
        <v>0.05</v>
      </c>
      <c r="N1242" s="464">
        <f t="shared" si="107"/>
        <v>88846</v>
      </c>
    </row>
    <row r="1243" spans="7:14" ht="11.25" customHeight="1" x14ac:dyDescent="0.3">
      <c r="G1243" s="459"/>
      <c r="H1243" s="459">
        <v>1236</v>
      </c>
      <c r="I1243" s="444">
        <f t="shared" ca="1" si="105"/>
        <v>-39087375.971026093</v>
      </c>
      <c r="J1243" s="444">
        <f t="array" ref="J1243">IFERROR(INDEX('Retirement Calculator'!K:K,MATCH('Lorri 401b'!N1243,'Retirement Calculator'!A:A,0),0),0)</f>
        <v>0</v>
      </c>
      <c r="K1243" s="444">
        <f t="shared" ca="1" si="103"/>
        <v>-162864.06654594204</v>
      </c>
      <c r="L1243" s="444">
        <f t="shared" ca="1" si="104"/>
        <v>-39250240.037572034</v>
      </c>
      <c r="M1243" s="460">
        <f t="shared" si="106"/>
        <v>0.05</v>
      </c>
      <c r="N1243" s="464">
        <f t="shared" si="107"/>
        <v>88876</v>
      </c>
    </row>
    <row r="1244" spans="7:14" ht="11.25" customHeight="1" x14ac:dyDescent="0.3">
      <c r="G1244" s="459"/>
      <c r="H1244" s="459">
        <v>1237</v>
      </c>
      <c r="I1244" s="444">
        <f t="shared" ca="1" si="105"/>
        <v>-39250240.037572034</v>
      </c>
      <c r="J1244" s="444">
        <f t="array" ref="J1244">IFERROR(INDEX('Retirement Calculator'!K:K,MATCH('Lorri 401b'!N1244,'Retirement Calculator'!A:A,0),0),0)</f>
        <v>0</v>
      </c>
      <c r="K1244" s="444">
        <f t="shared" ca="1" si="103"/>
        <v>-163542.6668232168</v>
      </c>
      <c r="L1244" s="444">
        <f t="shared" ca="1" si="104"/>
        <v>-39413782.704395249</v>
      </c>
      <c r="M1244" s="460">
        <f t="shared" si="106"/>
        <v>0.05</v>
      </c>
      <c r="N1244" s="464">
        <f t="shared" si="107"/>
        <v>88907</v>
      </c>
    </row>
    <row r="1245" spans="7:14" ht="11.25" customHeight="1" x14ac:dyDescent="0.3">
      <c r="G1245" s="459"/>
      <c r="H1245" s="459">
        <v>1238</v>
      </c>
      <c r="I1245" s="444">
        <f t="shared" ca="1" si="105"/>
        <v>-39413782.704395249</v>
      </c>
      <c r="J1245" s="444">
        <f t="array" ref="J1245">IFERROR(INDEX('Retirement Calculator'!K:K,MATCH('Lorri 401b'!N1245,'Retirement Calculator'!A:A,0),0),0)</f>
        <v>0</v>
      </c>
      <c r="K1245" s="444">
        <f t="shared" ca="1" si="103"/>
        <v>-164224.09460164688</v>
      </c>
      <c r="L1245" s="444">
        <f t="shared" ca="1" si="104"/>
        <v>-39578006.798996896</v>
      </c>
      <c r="M1245" s="460">
        <f t="shared" si="106"/>
        <v>0.05</v>
      </c>
      <c r="N1245" s="464">
        <f t="shared" si="107"/>
        <v>88937</v>
      </c>
    </row>
    <row r="1246" spans="7:14" ht="11.25" customHeight="1" x14ac:dyDescent="0.3">
      <c r="G1246" s="459"/>
      <c r="H1246" s="459">
        <v>1239</v>
      </c>
      <c r="I1246" s="444">
        <f t="shared" ca="1" si="105"/>
        <v>-39578006.798996896</v>
      </c>
      <c r="J1246" s="444">
        <f t="array" ref="J1246">IFERROR(INDEX('Retirement Calculator'!K:K,MATCH('Lorri 401b'!N1246,'Retirement Calculator'!A:A,0),0),0)</f>
        <v>0</v>
      </c>
      <c r="K1246" s="444">
        <f t="shared" ca="1" si="103"/>
        <v>-164908.36166248706</v>
      </c>
      <c r="L1246" s="444">
        <f t="shared" ca="1" si="104"/>
        <v>-39742915.16065938</v>
      </c>
      <c r="M1246" s="460">
        <f t="shared" si="106"/>
        <v>0.05</v>
      </c>
      <c r="N1246" s="464">
        <f t="shared" si="107"/>
        <v>88968</v>
      </c>
    </row>
    <row r="1247" spans="7:14" ht="11.25" customHeight="1" x14ac:dyDescent="0.3">
      <c r="G1247" s="459"/>
      <c r="H1247" s="459">
        <v>1240</v>
      </c>
      <c r="I1247" s="444">
        <f t="shared" ca="1" si="105"/>
        <v>-39742915.16065938</v>
      </c>
      <c r="J1247" s="444">
        <f t="array" ref="J1247">IFERROR(INDEX('Retirement Calculator'!K:K,MATCH('Lorri 401b'!N1247,'Retirement Calculator'!A:A,0),0),0)</f>
        <v>0</v>
      </c>
      <c r="K1247" s="444">
        <f t="shared" ca="1" si="103"/>
        <v>-165595.47983608075</v>
      </c>
      <c r="L1247" s="444">
        <f t="shared" ca="1" si="104"/>
        <v>-39908510.640495464</v>
      </c>
      <c r="M1247" s="460">
        <f t="shared" si="106"/>
        <v>0.05</v>
      </c>
      <c r="N1247" s="464">
        <f t="shared" si="107"/>
        <v>88999</v>
      </c>
    </row>
    <row r="1248" spans="7:14" ht="11.25" customHeight="1" x14ac:dyDescent="0.3">
      <c r="G1248" s="459"/>
      <c r="H1248" s="459">
        <v>1241</v>
      </c>
      <c r="I1248" s="444">
        <f t="shared" ca="1" si="105"/>
        <v>-39908510.640495464</v>
      </c>
      <c r="J1248" s="444">
        <f t="array" ref="J1248">IFERROR(INDEX('Retirement Calculator'!K:K,MATCH('Lorri 401b'!N1248,'Retirement Calculator'!A:A,0),0),0)</f>
        <v>0</v>
      </c>
      <c r="K1248" s="444">
        <f t="shared" ca="1" si="103"/>
        <v>-166285.46100206443</v>
      </c>
      <c r="L1248" s="444">
        <f t="shared" ca="1" si="104"/>
        <v>-40074796.101497531</v>
      </c>
      <c r="M1248" s="460">
        <f t="shared" si="106"/>
        <v>0.05</v>
      </c>
      <c r="N1248" s="464">
        <f t="shared" si="107"/>
        <v>89029</v>
      </c>
    </row>
    <row r="1249" spans="7:14" ht="11.25" customHeight="1" x14ac:dyDescent="0.3">
      <c r="G1249" s="459"/>
      <c r="H1249" s="459">
        <v>1242</v>
      </c>
      <c r="I1249" s="444">
        <f t="shared" ca="1" si="105"/>
        <v>-40074796.101497531</v>
      </c>
      <c r="J1249" s="444">
        <f t="array" ref="J1249">IFERROR(INDEX('Retirement Calculator'!K:K,MATCH('Lorri 401b'!N1249,'Retirement Calculator'!A:A,0),0),0)</f>
        <v>0</v>
      </c>
      <c r="K1249" s="444">
        <f t="shared" ca="1" si="103"/>
        <v>-166978.31708957304</v>
      </c>
      <c r="L1249" s="444">
        <f t="shared" ca="1" si="104"/>
        <v>-40241774.418587103</v>
      </c>
      <c r="M1249" s="460">
        <f t="shared" si="106"/>
        <v>0.05</v>
      </c>
      <c r="N1249" s="464">
        <f t="shared" si="107"/>
        <v>89060</v>
      </c>
    </row>
    <row r="1250" spans="7:14" ht="11.25" customHeight="1" x14ac:dyDescent="0.3">
      <c r="G1250" s="459"/>
      <c r="H1250" s="459">
        <v>1243</v>
      </c>
      <c r="I1250" s="444">
        <f t="shared" ca="1" si="105"/>
        <v>-40241774.418587103</v>
      </c>
      <c r="J1250" s="444">
        <f t="array" ref="J1250">IFERROR(INDEX('Retirement Calculator'!K:K,MATCH('Lorri 401b'!N1250,'Retirement Calculator'!A:A,0),0),0)</f>
        <v>0</v>
      </c>
      <c r="K1250" s="444">
        <f t="shared" ca="1" si="103"/>
        <v>-167674.06007744625</v>
      </c>
      <c r="L1250" s="444">
        <f t="shared" ca="1" si="104"/>
        <v>-40409448.478664547</v>
      </c>
      <c r="M1250" s="460">
        <f t="shared" si="106"/>
        <v>0.05</v>
      </c>
      <c r="N1250" s="464">
        <f t="shared" si="107"/>
        <v>89090</v>
      </c>
    </row>
    <row r="1251" spans="7:14" ht="11.25" customHeight="1" x14ac:dyDescent="0.3">
      <c r="G1251" s="459"/>
      <c r="H1251" s="459">
        <v>1244</v>
      </c>
      <c r="I1251" s="444">
        <f t="shared" ca="1" si="105"/>
        <v>-40409448.478664547</v>
      </c>
      <c r="J1251" s="444">
        <f t="array" ref="J1251">IFERROR(INDEX('Retirement Calculator'!K:K,MATCH('Lorri 401b'!N1251,'Retirement Calculator'!A:A,0),0),0)</f>
        <v>0</v>
      </c>
      <c r="K1251" s="444">
        <f t="shared" ca="1" si="103"/>
        <v>-168372.7019944356</v>
      </c>
      <c r="L1251" s="444">
        <f t="shared" ca="1" si="104"/>
        <v>-40577821.180658981</v>
      </c>
      <c r="M1251" s="460">
        <f t="shared" si="106"/>
        <v>0.05</v>
      </c>
      <c r="N1251" s="464">
        <f t="shared" si="107"/>
        <v>89121</v>
      </c>
    </row>
    <row r="1252" spans="7:14" ht="11.25" customHeight="1" x14ac:dyDescent="0.3">
      <c r="G1252" s="459"/>
      <c r="H1252" s="459">
        <v>1245</v>
      </c>
      <c r="I1252" s="444">
        <f t="shared" ca="1" si="105"/>
        <v>-40577821.180658981</v>
      </c>
      <c r="J1252" s="444">
        <f t="array" ref="J1252">IFERROR(INDEX('Retirement Calculator'!K:K,MATCH('Lorri 401b'!N1252,'Retirement Calculator'!A:A,0),0),0)</f>
        <v>0</v>
      </c>
      <c r="K1252" s="444">
        <f t="shared" ca="1" si="103"/>
        <v>-169074.25491941243</v>
      </c>
      <c r="L1252" s="444">
        <f t="shared" ca="1" si="104"/>
        <v>-40746895.435578391</v>
      </c>
      <c r="M1252" s="460">
        <f t="shared" si="106"/>
        <v>0.05</v>
      </c>
      <c r="N1252" s="464">
        <f t="shared" si="107"/>
        <v>89152</v>
      </c>
    </row>
    <row r="1253" spans="7:14" ht="11.25" customHeight="1" x14ac:dyDescent="0.3">
      <c r="G1253" s="459"/>
      <c r="H1253" s="459">
        <v>1246</v>
      </c>
      <c r="I1253" s="444">
        <f t="shared" ca="1" si="105"/>
        <v>-40746895.435578391</v>
      </c>
      <c r="J1253" s="444">
        <f t="array" ref="J1253">IFERROR(INDEX('Retirement Calculator'!K:K,MATCH('Lorri 401b'!N1253,'Retirement Calculator'!A:A,0),0),0)</f>
        <v>0</v>
      </c>
      <c r="K1253" s="444">
        <f t="shared" ca="1" si="103"/>
        <v>-169778.73098157663</v>
      </c>
      <c r="L1253" s="444">
        <f t="shared" ca="1" si="104"/>
        <v>-40916674.166559964</v>
      </c>
      <c r="M1253" s="460">
        <f t="shared" si="106"/>
        <v>0.05</v>
      </c>
      <c r="N1253" s="464">
        <f t="shared" si="107"/>
        <v>89181</v>
      </c>
    </row>
    <row r="1254" spans="7:14" ht="11.25" customHeight="1" x14ac:dyDescent="0.3">
      <c r="G1254" s="459"/>
      <c r="H1254" s="459">
        <v>1247</v>
      </c>
      <c r="I1254" s="444">
        <f t="shared" ca="1" si="105"/>
        <v>-40916674.166559964</v>
      </c>
      <c r="J1254" s="444">
        <f t="array" ref="J1254">IFERROR(INDEX('Retirement Calculator'!K:K,MATCH('Lorri 401b'!N1254,'Retirement Calculator'!A:A,0),0),0)</f>
        <v>0</v>
      </c>
      <c r="K1254" s="444">
        <f t="shared" ca="1" si="103"/>
        <v>-170486.1423606665</v>
      </c>
      <c r="L1254" s="444">
        <f t="shared" ca="1" si="104"/>
        <v>-41087160.308920629</v>
      </c>
      <c r="M1254" s="460">
        <f t="shared" si="106"/>
        <v>0.05</v>
      </c>
      <c r="N1254" s="464">
        <f t="shared" si="107"/>
        <v>89212</v>
      </c>
    </row>
    <row r="1255" spans="7:14" ht="11.25" customHeight="1" x14ac:dyDescent="0.3">
      <c r="G1255" s="459"/>
      <c r="H1255" s="459">
        <v>1248</v>
      </c>
      <c r="I1255" s="444">
        <f t="shared" ca="1" si="105"/>
        <v>-41087160.308920629</v>
      </c>
      <c r="J1255" s="444">
        <f t="array" ref="J1255">IFERROR(INDEX('Retirement Calculator'!K:K,MATCH('Lorri 401b'!N1255,'Retirement Calculator'!A:A,0),0),0)</f>
        <v>0</v>
      </c>
      <c r="K1255" s="444">
        <f t="shared" ca="1" si="103"/>
        <v>-171196.50128716929</v>
      </c>
      <c r="L1255" s="444">
        <f t="shared" ca="1" si="104"/>
        <v>-41258356.810207799</v>
      </c>
      <c r="M1255" s="460">
        <f t="shared" si="106"/>
        <v>0.05</v>
      </c>
      <c r="N1255" s="464">
        <f t="shared" si="107"/>
        <v>89242</v>
      </c>
    </row>
    <row r="1256" spans="7:14" ht="11.25" customHeight="1" x14ac:dyDescent="0.3">
      <c r="G1256" s="459"/>
      <c r="H1256" s="459">
        <v>1249</v>
      </c>
      <c r="I1256" s="444">
        <f t="shared" ca="1" si="105"/>
        <v>-41258356.810207799</v>
      </c>
      <c r="J1256" s="444">
        <f t="array" ref="J1256">IFERROR(INDEX('Retirement Calculator'!K:K,MATCH('Lorri 401b'!N1256,'Retirement Calculator'!A:A,0),0),0)</f>
        <v>0</v>
      </c>
      <c r="K1256" s="444">
        <f t="shared" ca="1" si="103"/>
        <v>-171909.82004253249</v>
      </c>
      <c r="L1256" s="444">
        <f t="shared" ca="1" si="104"/>
        <v>-41430266.630250335</v>
      </c>
      <c r="M1256" s="460">
        <f t="shared" si="106"/>
        <v>0.05</v>
      </c>
      <c r="N1256" s="464">
        <f t="shared" si="107"/>
        <v>89273</v>
      </c>
    </row>
    <row r="1257" spans="7:14" ht="11.25" customHeight="1" x14ac:dyDescent="0.3">
      <c r="G1257" s="459"/>
      <c r="H1257" s="459">
        <v>1250</v>
      </c>
      <c r="I1257" s="444">
        <f t="shared" ca="1" si="105"/>
        <v>-41430266.630250335</v>
      </c>
      <c r="J1257" s="444">
        <f t="array" ref="J1257">IFERROR(INDEX('Retirement Calculator'!K:K,MATCH('Lorri 401b'!N1257,'Retirement Calculator'!A:A,0),0),0)</f>
        <v>0</v>
      </c>
      <c r="K1257" s="444">
        <f t="shared" ca="1" si="103"/>
        <v>-172626.11095937638</v>
      </c>
      <c r="L1257" s="444">
        <f t="shared" ca="1" si="104"/>
        <v>-41602892.741209708</v>
      </c>
      <c r="M1257" s="460">
        <f t="shared" si="106"/>
        <v>0.05</v>
      </c>
      <c r="N1257" s="464">
        <f t="shared" si="107"/>
        <v>89303</v>
      </c>
    </row>
    <row r="1258" spans="7:14" ht="11.25" customHeight="1" x14ac:dyDescent="0.3">
      <c r="G1258" s="459"/>
      <c r="H1258" s="459">
        <v>1251</v>
      </c>
      <c r="I1258" s="444">
        <f t="shared" ca="1" si="105"/>
        <v>-41602892.741209708</v>
      </c>
      <c r="J1258" s="444">
        <f t="array" ref="J1258">IFERROR(INDEX('Retirement Calculator'!K:K,MATCH('Lorri 401b'!N1258,'Retirement Calculator'!A:A,0),0),0)</f>
        <v>0</v>
      </c>
      <c r="K1258" s="444">
        <f t="shared" ca="1" si="103"/>
        <v>-173345.38642170711</v>
      </c>
      <c r="L1258" s="444">
        <f t="shared" ca="1" si="104"/>
        <v>-41776238.127631418</v>
      </c>
      <c r="M1258" s="460">
        <f t="shared" si="106"/>
        <v>0.05</v>
      </c>
      <c r="N1258" s="464">
        <f t="shared" si="107"/>
        <v>89334</v>
      </c>
    </row>
    <row r="1259" spans="7:14" ht="11.25" customHeight="1" x14ac:dyDescent="0.3">
      <c r="G1259" s="459"/>
      <c r="H1259" s="459">
        <v>1252</v>
      </c>
      <c r="I1259" s="444">
        <f t="shared" ca="1" si="105"/>
        <v>-41776238.127631418</v>
      </c>
      <c r="J1259" s="444">
        <f t="array" ref="J1259">IFERROR(INDEX('Retirement Calculator'!K:K,MATCH('Lorri 401b'!N1259,'Retirement Calculator'!A:A,0),0),0)</f>
        <v>0</v>
      </c>
      <c r="K1259" s="444">
        <f t="shared" ca="1" si="103"/>
        <v>-174067.65886513091</v>
      </c>
      <c r="L1259" s="444">
        <f t="shared" ca="1" si="104"/>
        <v>-41950305.78649655</v>
      </c>
      <c r="M1259" s="460">
        <f t="shared" si="106"/>
        <v>0.05</v>
      </c>
      <c r="N1259" s="464">
        <f t="shared" si="107"/>
        <v>89365</v>
      </c>
    </row>
    <row r="1260" spans="7:14" ht="11.25" customHeight="1" x14ac:dyDescent="0.3">
      <c r="G1260" s="459"/>
      <c r="H1260" s="459">
        <v>1253</v>
      </c>
      <c r="I1260" s="444">
        <f t="shared" ca="1" si="105"/>
        <v>-41950305.78649655</v>
      </c>
      <c r="J1260" s="444">
        <f t="array" ref="J1260">IFERROR(INDEX('Retirement Calculator'!K:K,MATCH('Lorri 401b'!N1260,'Retirement Calculator'!A:A,0),0),0)</f>
        <v>0</v>
      </c>
      <c r="K1260" s="444">
        <f t="shared" ca="1" si="103"/>
        <v>-174792.94077706896</v>
      </c>
      <c r="L1260" s="444">
        <f t="shared" ca="1" si="104"/>
        <v>-42125098.727273621</v>
      </c>
      <c r="M1260" s="460">
        <f t="shared" si="106"/>
        <v>0.05</v>
      </c>
      <c r="N1260" s="464">
        <f t="shared" si="107"/>
        <v>89395</v>
      </c>
    </row>
    <row r="1261" spans="7:14" ht="11.25" customHeight="1" x14ac:dyDescent="0.3">
      <c r="G1261" s="459"/>
      <c r="H1261" s="459">
        <v>1254</v>
      </c>
      <c r="I1261" s="444">
        <f t="shared" ca="1" si="105"/>
        <v>-42125098.727273621</v>
      </c>
      <c r="J1261" s="444">
        <f t="array" ref="J1261">IFERROR(INDEX('Retirement Calculator'!K:K,MATCH('Lorri 401b'!N1261,'Retirement Calculator'!A:A,0),0),0)</f>
        <v>0</v>
      </c>
      <c r="K1261" s="444">
        <f t="shared" ca="1" si="103"/>
        <v>-175521.24469697342</v>
      </c>
      <c r="L1261" s="444">
        <f t="shared" ca="1" si="104"/>
        <v>-42300619.971970595</v>
      </c>
      <c r="M1261" s="460">
        <f t="shared" si="106"/>
        <v>0.05</v>
      </c>
      <c r="N1261" s="464">
        <f t="shared" si="107"/>
        <v>89426</v>
      </c>
    </row>
    <row r="1262" spans="7:14" ht="11.25" customHeight="1" x14ac:dyDescent="0.3">
      <c r="G1262" s="459"/>
      <c r="H1262" s="459">
        <v>1255</v>
      </c>
      <c r="I1262" s="444">
        <f t="shared" ca="1" si="105"/>
        <v>-42300619.971970595</v>
      </c>
      <c r="J1262" s="444">
        <f t="array" ref="J1262">IFERROR(INDEX('Retirement Calculator'!K:K,MATCH('Lorri 401b'!N1262,'Retirement Calculator'!A:A,0),0),0)</f>
        <v>0</v>
      </c>
      <c r="K1262" s="444">
        <f t="shared" ca="1" si="103"/>
        <v>-176252.58321654415</v>
      </c>
      <c r="L1262" s="444">
        <f t="shared" ca="1" si="104"/>
        <v>-42476872.555187136</v>
      </c>
      <c r="M1262" s="460">
        <f t="shared" si="106"/>
        <v>0.05</v>
      </c>
      <c r="N1262" s="464">
        <f t="shared" si="107"/>
        <v>89456</v>
      </c>
    </row>
    <row r="1263" spans="7:14" ht="11.25" customHeight="1" x14ac:dyDescent="0.3">
      <c r="G1263" s="459"/>
      <c r="H1263" s="459">
        <v>1256</v>
      </c>
      <c r="I1263" s="444">
        <f t="shared" ca="1" si="105"/>
        <v>-42476872.555187136</v>
      </c>
      <c r="J1263" s="444">
        <f t="array" ref="J1263">IFERROR(INDEX('Retirement Calculator'!K:K,MATCH('Lorri 401b'!N1263,'Retirement Calculator'!A:A,0),0),0)</f>
        <v>0</v>
      </c>
      <c r="K1263" s="444">
        <f t="shared" ca="1" si="103"/>
        <v>-176986.9689799464</v>
      </c>
      <c r="L1263" s="444">
        <f t="shared" ca="1" si="104"/>
        <v>-42653859.524167083</v>
      </c>
      <c r="M1263" s="460">
        <f t="shared" si="106"/>
        <v>0.05</v>
      </c>
      <c r="N1263" s="464">
        <f t="shared" si="107"/>
        <v>89487</v>
      </c>
    </row>
    <row r="1264" spans="7:14" ht="11.25" customHeight="1" x14ac:dyDescent="0.3">
      <c r="G1264" s="459"/>
      <c r="H1264" s="459">
        <v>1257</v>
      </c>
      <c r="I1264" s="444">
        <f t="shared" ca="1" si="105"/>
        <v>-42653859.524167083</v>
      </c>
      <c r="J1264" s="444">
        <f t="array" ref="J1264">IFERROR(INDEX('Retirement Calculator'!K:K,MATCH('Lorri 401b'!N1264,'Retirement Calculator'!A:A,0),0),0)</f>
        <v>0</v>
      </c>
      <c r="K1264" s="444">
        <f t="shared" ca="1" si="103"/>
        <v>-177724.4146840295</v>
      </c>
      <c r="L1264" s="444">
        <f t="shared" ca="1" si="104"/>
        <v>-42831583.938851111</v>
      </c>
      <c r="M1264" s="460">
        <f t="shared" si="106"/>
        <v>0.05</v>
      </c>
      <c r="N1264" s="464">
        <f t="shared" si="107"/>
        <v>89518</v>
      </c>
    </row>
    <row r="1265" spans="7:14" ht="11.25" customHeight="1" x14ac:dyDescent="0.3">
      <c r="G1265" s="459"/>
      <c r="H1265" s="459">
        <v>1258</v>
      </c>
      <c r="I1265" s="444">
        <f t="shared" ca="1" si="105"/>
        <v>-42831583.938851111</v>
      </c>
      <c r="J1265" s="444">
        <f t="array" ref="J1265">IFERROR(INDEX('Retirement Calculator'!K:K,MATCH('Lorri 401b'!N1265,'Retirement Calculator'!A:A,0),0),0)</f>
        <v>0</v>
      </c>
      <c r="K1265" s="444">
        <f t="shared" ca="1" si="103"/>
        <v>-178464.93307854628</v>
      </c>
      <c r="L1265" s="444">
        <f t="shared" ca="1" si="104"/>
        <v>-43010048.87192966</v>
      </c>
      <c r="M1265" s="460">
        <f t="shared" si="106"/>
        <v>0.05</v>
      </c>
      <c r="N1265" s="464">
        <f t="shared" si="107"/>
        <v>89546</v>
      </c>
    </row>
    <row r="1266" spans="7:14" ht="11.25" customHeight="1" x14ac:dyDescent="0.3">
      <c r="G1266" s="459"/>
      <c r="H1266" s="459">
        <v>1259</v>
      </c>
      <c r="I1266" s="444">
        <f t="shared" ca="1" si="105"/>
        <v>-43010048.87192966</v>
      </c>
      <c r="J1266" s="444">
        <f t="array" ref="J1266">IFERROR(INDEX('Retirement Calculator'!K:K,MATCH('Lorri 401b'!N1266,'Retirement Calculator'!A:A,0),0),0)</f>
        <v>0</v>
      </c>
      <c r="K1266" s="444">
        <f t="shared" ca="1" si="103"/>
        <v>-179208.53696637359</v>
      </c>
      <c r="L1266" s="444">
        <f t="shared" ca="1" si="104"/>
        <v>-43189257.408896036</v>
      </c>
      <c r="M1266" s="460">
        <f t="shared" si="106"/>
        <v>0.05</v>
      </c>
      <c r="N1266" s="464">
        <f t="shared" si="107"/>
        <v>89577</v>
      </c>
    </row>
    <row r="1267" spans="7:14" ht="11.25" customHeight="1" x14ac:dyDescent="0.3">
      <c r="G1267" s="459"/>
      <c r="H1267" s="459">
        <v>1260</v>
      </c>
      <c r="I1267" s="444">
        <f t="shared" ca="1" si="105"/>
        <v>-43189257.408896036</v>
      </c>
      <c r="J1267" s="444">
        <f t="array" ref="J1267">IFERROR(INDEX('Retirement Calculator'!K:K,MATCH('Lorri 401b'!N1267,'Retirement Calculator'!A:A,0),0),0)</f>
        <v>0</v>
      </c>
      <c r="K1267" s="444">
        <f t="shared" ca="1" si="103"/>
        <v>-179955.23920373348</v>
      </c>
      <c r="L1267" s="444">
        <f t="shared" ca="1" si="104"/>
        <v>-43369212.648099773</v>
      </c>
      <c r="M1267" s="460">
        <f t="shared" si="106"/>
        <v>0.05</v>
      </c>
      <c r="N1267" s="464">
        <f t="shared" si="107"/>
        <v>89607</v>
      </c>
    </row>
    <row r="1268" spans="7:14" ht="11.25" customHeight="1" x14ac:dyDescent="0.3">
      <c r="G1268" s="459"/>
      <c r="H1268" s="459">
        <v>1261</v>
      </c>
      <c r="I1268" s="444">
        <f t="shared" ca="1" si="105"/>
        <v>-43369212.648099773</v>
      </c>
      <c r="J1268" s="444">
        <f t="array" ref="J1268">IFERROR(INDEX('Retirement Calculator'!K:K,MATCH('Lorri 401b'!N1268,'Retirement Calculator'!A:A,0),0),0)</f>
        <v>0</v>
      </c>
      <c r="K1268" s="444">
        <f t="shared" ca="1" si="103"/>
        <v>-180705.05270041572</v>
      </c>
      <c r="L1268" s="444">
        <f t="shared" ca="1" si="104"/>
        <v>-43549917.700800188</v>
      </c>
      <c r="M1268" s="460">
        <f t="shared" si="106"/>
        <v>0.05</v>
      </c>
      <c r="N1268" s="464">
        <f t="shared" si="107"/>
        <v>89638</v>
      </c>
    </row>
    <row r="1269" spans="7:14" ht="11.25" customHeight="1" x14ac:dyDescent="0.3">
      <c r="G1269" s="459"/>
      <c r="H1269" s="459">
        <v>1262</v>
      </c>
      <c r="I1269" s="444">
        <f t="shared" ca="1" si="105"/>
        <v>-43549917.700800188</v>
      </c>
      <c r="J1269" s="444">
        <f t="array" ref="J1269">IFERROR(INDEX('Retirement Calculator'!K:K,MATCH('Lorri 401b'!N1269,'Retirement Calculator'!A:A,0),0),0)</f>
        <v>0</v>
      </c>
      <c r="K1269" s="444">
        <f t="shared" ca="1" si="103"/>
        <v>-181457.99042000077</v>
      </c>
      <c r="L1269" s="444">
        <f t="shared" ca="1" si="104"/>
        <v>-43731375.691220187</v>
      </c>
      <c r="M1269" s="460">
        <f t="shared" si="106"/>
        <v>0.05</v>
      </c>
      <c r="N1269" s="464">
        <f t="shared" si="107"/>
        <v>89668</v>
      </c>
    </row>
    <row r="1270" spans="7:14" ht="11.25" customHeight="1" x14ac:dyDescent="0.3">
      <c r="G1270" s="459"/>
      <c r="H1270" s="459">
        <v>1263</v>
      </c>
      <c r="I1270" s="444">
        <f t="shared" ca="1" si="105"/>
        <v>-43731375.691220187</v>
      </c>
      <c r="J1270" s="444">
        <f t="array" ref="J1270">IFERROR(INDEX('Retirement Calculator'!K:K,MATCH('Lorri 401b'!N1270,'Retirement Calculator'!A:A,0),0),0)</f>
        <v>0</v>
      </c>
      <c r="K1270" s="444">
        <f t="shared" ca="1" si="103"/>
        <v>-182214.0653800841</v>
      </c>
      <c r="L1270" s="444">
        <f t="shared" ca="1" si="104"/>
        <v>-43913589.756600268</v>
      </c>
      <c r="M1270" s="460">
        <f t="shared" si="106"/>
        <v>0.05</v>
      </c>
      <c r="N1270" s="464">
        <f t="shared" si="107"/>
        <v>89699</v>
      </c>
    </row>
    <row r="1271" spans="7:14" ht="11.25" customHeight="1" x14ac:dyDescent="0.3">
      <c r="G1271" s="459"/>
      <c r="H1271" s="459">
        <v>1264</v>
      </c>
      <c r="I1271" s="444">
        <f t="shared" ca="1" si="105"/>
        <v>-43913589.756600268</v>
      </c>
      <c r="J1271" s="444">
        <f t="array" ref="J1271">IFERROR(INDEX('Retirement Calculator'!K:K,MATCH('Lorri 401b'!N1271,'Retirement Calculator'!A:A,0),0),0)</f>
        <v>0</v>
      </c>
      <c r="K1271" s="444">
        <f t="shared" ca="1" si="103"/>
        <v>-182973.29065250111</v>
      </c>
      <c r="L1271" s="444">
        <f t="shared" ca="1" si="104"/>
        <v>-44096563.047252767</v>
      </c>
      <c r="M1271" s="460">
        <f t="shared" si="106"/>
        <v>0.05</v>
      </c>
      <c r="N1271" s="464">
        <f t="shared" si="107"/>
        <v>89730</v>
      </c>
    </row>
    <row r="1272" spans="7:14" ht="11.25" customHeight="1" x14ac:dyDescent="0.3">
      <c r="G1272" s="459"/>
      <c r="H1272" s="459">
        <v>1265</v>
      </c>
      <c r="I1272" s="444">
        <f t="shared" ca="1" si="105"/>
        <v>-44096563.047252767</v>
      </c>
      <c r="J1272" s="444">
        <f t="array" ref="J1272">IFERROR(INDEX('Retirement Calculator'!K:K,MATCH('Lorri 401b'!N1272,'Retirement Calculator'!A:A,0),0),0)</f>
        <v>0</v>
      </c>
      <c r="K1272" s="444">
        <f t="shared" ca="1" si="103"/>
        <v>-183735.67936355318</v>
      </c>
      <c r="L1272" s="444">
        <f t="shared" ca="1" si="104"/>
        <v>-44280298.726616323</v>
      </c>
      <c r="M1272" s="460">
        <f t="shared" si="106"/>
        <v>0.05</v>
      </c>
      <c r="N1272" s="464">
        <f t="shared" si="107"/>
        <v>89760</v>
      </c>
    </row>
    <row r="1273" spans="7:14" ht="11.25" customHeight="1" x14ac:dyDescent="0.3">
      <c r="G1273" s="459"/>
      <c r="H1273" s="459">
        <v>1266</v>
      </c>
      <c r="I1273" s="444">
        <f t="shared" ca="1" si="105"/>
        <v>-44280298.726616323</v>
      </c>
      <c r="J1273" s="444">
        <f t="array" ref="J1273">IFERROR(INDEX('Retirement Calculator'!K:K,MATCH('Lorri 401b'!N1273,'Retirement Calculator'!A:A,0),0),0)</f>
        <v>0</v>
      </c>
      <c r="K1273" s="444">
        <f t="shared" ca="1" si="103"/>
        <v>-184501.24469423469</v>
      </c>
      <c r="L1273" s="444">
        <f t="shared" ca="1" si="104"/>
        <v>-44464799.971310556</v>
      </c>
      <c r="M1273" s="460">
        <f t="shared" si="106"/>
        <v>0.05</v>
      </c>
      <c r="N1273" s="464">
        <f t="shared" si="107"/>
        <v>89791</v>
      </c>
    </row>
    <row r="1274" spans="7:14" ht="11.25" customHeight="1" x14ac:dyDescent="0.3">
      <c r="G1274" s="459"/>
      <c r="H1274" s="459">
        <v>1267</v>
      </c>
      <c r="I1274" s="444">
        <f t="shared" ca="1" si="105"/>
        <v>-44464799.971310556</v>
      </c>
      <c r="J1274" s="444">
        <f t="array" ref="J1274">IFERROR(INDEX('Retirement Calculator'!K:K,MATCH('Lorri 401b'!N1274,'Retirement Calculator'!A:A,0),0),0)</f>
        <v>0</v>
      </c>
      <c r="K1274" s="444">
        <f t="shared" ca="1" si="103"/>
        <v>-185269.99988046064</v>
      </c>
      <c r="L1274" s="444">
        <f t="shared" ca="1" si="104"/>
        <v>-44650069.971191019</v>
      </c>
      <c r="M1274" s="460">
        <f t="shared" si="106"/>
        <v>0.05</v>
      </c>
      <c r="N1274" s="464">
        <f t="shared" si="107"/>
        <v>89821</v>
      </c>
    </row>
    <row r="1275" spans="7:14" ht="11.25" customHeight="1" x14ac:dyDescent="0.3">
      <c r="G1275" s="459"/>
      <c r="H1275" s="459">
        <v>1268</v>
      </c>
      <c r="I1275" s="444">
        <f t="shared" ca="1" si="105"/>
        <v>-44650069.971191019</v>
      </c>
      <c r="J1275" s="444">
        <f t="array" ref="J1275">IFERROR(INDEX('Retirement Calculator'!K:K,MATCH('Lorri 401b'!N1275,'Retirement Calculator'!A:A,0),0),0)</f>
        <v>0</v>
      </c>
      <c r="K1275" s="444">
        <f t="shared" ca="1" si="103"/>
        <v>-186041.9582132959</v>
      </c>
      <c r="L1275" s="444">
        <f t="shared" ca="1" si="104"/>
        <v>-44836111.929404318</v>
      </c>
      <c r="M1275" s="460">
        <f t="shared" si="106"/>
        <v>0.05</v>
      </c>
      <c r="N1275" s="464">
        <f t="shared" si="107"/>
        <v>89852</v>
      </c>
    </row>
    <row r="1276" spans="7:14" ht="11.25" customHeight="1" x14ac:dyDescent="0.3">
      <c r="G1276" s="459"/>
      <c r="H1276" s="459">
        <v>1269</v>
      </c>
      <c r="I1276" s="444">
        <f t="shared" ca="1" si="105"/>
        <v>-44836111.929404318</v>
      </c>
      <c r="J1276" s="444">
        <f t="array" ref="J1276">IFERROR(INDEX('Retirement Calculator'!K:K,MATCH('Lorri 401b'!N1276,'Retirement Calculator'!A:A,0),0),0)</f>
        <v>0</v>
      </c>
      <c r="K1276" s="444">
        <f t="shared" ca="1" si="103"/>
        <v>-186817.13303918467</v>
      </c>
      <c r="L1276" s="444">
        <f t="shared" ca="1" si="104"/>
        <v>-45022929.062443502</v>
      </c>
      <c r="M1276" s="460">
        <f t="shared" si="106"/>
        <v>0.05</v>
      </c>
      <c r="N1276" s="464">
        <f t="shared" si="107"/>
        <v>89883</v>
      </c>
    </row>
    <row r="1277" spans="7:14" ht="11.25" customHeight="1" x14ac:dyDescent="0.3">
      <c r="G1277" s="459"/>
      <c r="H1277" s="459">
        <v>1270</v>
      </c>
      <c r="I1277" s="444">
        <f t="shared" ca="1" si="105"/>
        <v>-45022929.062443502</v>
      </c>
      <c r="J1277" s="444">
        <f t="array" ref="J1277">IFERROR(INDEX('Retirement Calculator'!K:K,MATCH('Lorri 401b'!N1277,'Retirement Calculator'!A:A,0),0),0)</f>
        <v>0</v>
      </c>
      <c r="K1277" s="444">
        <f t="shared" ca="1" si="103"/>
        <v>-187595.53776018127</v>
      </c>
      <c r="L1277" s="444">
        <f t="shared" ca="1" si="104"/>
        <v>-45210524.600203685</v>
      </c>
      <c r="M1277" s="460">
        <f t="shared" si="106"/>
        <v>0.05</v>
      </c>
      <c r="N1277" s="464">
        <f t="shared" si="107"/>
        <v>89911</v>
      </c>
    </row>
    <row r="1278" spans="7:14" ht="11.25" customHeight="1" x14ac:dyDescent="0.3">
      <c r="G1278" s="459"/>
      <c r="H1278" s="459">
        <v>1271</v>
      </c>
      <c r="I1278" s="444">
        <f t="shared" ca="1" si="105"/>
        <v>-45210524.600203685</v>
      </c>
      <c r="J1278" s="444">
        <f t="array" ref="J1278">IFERROR(INDEX('Retirement Calculator'!K:K,MATCH('Lorri 401b'!N1278,'Retirement Calculator'!A:A,0),0),0)</f>
        <v>0</v>
      </c>
      <c r="K1278" s="444">
        <f t="shared" ca="1" si="103"/>
        <v>-188377.18583418202</v>
      </c>
      <c r="L1278" s="444">
        <f t="shared" ca="1" si="104"/>
        <v>-45398901.78603787</v>
      </c>
      <c r="M1278" s="460">
        <f t="shared" si="106"/>
        <v>0.05</v>
      </c>
      <c r="N1278" s="464">
        <f t="shared" si="107"/>
        <v>89942</v>
      </c>
    </row>
    <row r="1279" spans="7:14" ht="11.25" customHeight="1" x14ac:dyDescent="0.3">
      <c r="G1279" s="459"/>
      <c r="H1279" s="459">
        <v>1272</v>
      </c>
      <c r="I1279" s="444">
        <f t="shared" ca="1" si="105"/>
        <v>-45398901.78603787</v>
      </c>
      <c r="J1279" s="444">
        <f t="array" ref="J1279">IFERROR(INDEX('Retirement Calculator'!K:K,MATCH('Lorri 401b'!N1279,'Retirement Calculator'!A:A,0),0),0)</f>
        <v>0</v>
      </c>
      <c r="K1279" s="444">
        <f t="shared" ca="1" si="103"/>
        <v>-189162.09077515779</v>
      </c>
      <c r="L1279" s="444">
        <f t="shared" ca="1" si="104"/>
        <v>-45588063.876813024</v>
      </c>
      <c r="M1279" s="460">
        <f t="shared" si="106"/>
        <v>0.05</v>
      </c>
      <c r="N1279" s="464">
        <f t="shared" si="107"/>
        <v>89972</v>
      </c>
    </row>
    <row r="1280" spans="7:14" ht="11.25" customHeight="1" x14ac:dyDescent="0.3">
      <c r="G1280" s="459"/>
      <c r="H1280" s="459">
        <v>1273</v>
      </c>
      <c r="I1280" s="444">
        <f t="shared" ca="1" si="105"/>
        <v>-45588063.876813024</v>
      </c>
      <c r="J1280" s="444">
        <f t="array" ref="J1280">IFERROR(INDEX('Retirement Calculator'!K:K,MATCH('Lorri 401b'!N1280,'Retirement Calculator'!A:A,0),0),0)</f>
        <v>0</v>
      </c>
      <c r="K1280" s="444">
        <f t="shared" ca="1" si="103"/>
        <v>-189950.26615338761</v>
      </c>
      <c r="L1280" s="444">
        <f t="shared" ca="1" si="104"/>
        <v>-45778014.142966412</v>
      </c>
      <c r="M1280" s="460">
        <f t="shared" si="106"/>
        <v>0.05</v>
      </c>
      <c r="N1280" s="464">
        <f t="shared" si="107"/>
        <v>90003</v>
      </c>
    </row>
    <row r="1281" spans="7:14" ht="11.25" customHeight="1" x14ac:dyDescent="0.3">
      <c r="G1281" s="459"/>
      <c r="H1281" s="459">
        <v>1274</v>
      </c>
      <c r="I1281" s="444">
        <f t="shared" ca="1" si="105"/>
        <v>-45778014.142966412</v>
      </c>
      <c r="J1281" s="444">
        <f t="array" ref="J1281">IFERROR(INDEX('Retirement Calculator'!K:K,MATCH('Lorri 401b'!N1281,'Retirement Calculator'!A:A,0),0),0)</f>
        <v>0</v>
      </c>
      <c r="K1281" s="444">
        <f t="shared" ca="1" si="103"/>
        <v>-190741.7255956934</v>
      </c>
      <c r="L1281" s="444">
        <f t="shared" ca="1" si="104"/>
        <v>-45968755.868562102</v>
      </c>
      <c r="M1281" s="460">
        <f t="shared" si="106"/>
        <v>0.05</v>
      </c>
      <c r="N1281" s="464">
        <f t="shared" si="107"/>
        <v>90033</v>
      </c>
    </row>
    <row r="1282" spans="7:14" ht="11.25" customHeight="1" x14ac:dyDescent="0.3">
      <c r="G1282" s="459"/>
      <c r="H1282" s="459">
        <v>1275</v>
      </c>
      <c r="I1282" s="444">
        <f t="shared" ca="1" si="105"/>
        <v>-45968755.868562102</v>
      </c>
      <c r="J1282" s="444">
        <f t="array" ref="J1282">IFERROR(INDEX('Retirement Calculator'!K:K,MATCH('Lorri 401b'!N1282,'Retirement Calculator'!A:A,0),0),0)</f>
        <v>0</v>
      </c>
      <c r="K1282" s="444">
        <f t="shared" ca="1" si="103"/>
        <v>-191536.48278567541</v>
      </c>
      <c r="L1282" s="444">
        <f t="shared" ca="1" si="104"/>
        <v>-46160292.351347774</v>
      </c>
      <c r="M1282" s="460">
        <f t="shared" si="106"/>
        <v>0.05</v>
      </c>
      <c r="N1282" s="464">
        <f t="shared" si="107"/>
        <v>90064</v>
      </c>
    </row>
    <row r="1283" spans="7:14" ht="11.25" customHeight="1" x14ac:dyDescent="0.3">
      <c r="G1283" s="459"/>
      <c r="H1283" s="459">
        <v>1276</v>
      </c>
      <c r="I1283" s="444">
        <f t="shared" ca="1" si="105"/>
        <v>-46160292.351347774</v>
      </c>
      <c r="J1283" s="444">
        <f t="array" ref="J1283">IFERROR(INDEX('Retirement Calculator'!K:K,MATCH('Lorri 401b'!N1283,'Retirement Calculator'!A:A,0),0),0)</f>
        <v>0</v>
      </c>
      <c r="K1283" s="444">
        <f t="shared" ref="K1283:K1537" ca="1" si="108">IPMT(M1283/12,1,12,-I1283+J1283,,0)</f>
        <v>-192334.55146394906</v>
      </c>
      <c r="L1283" s="444">
        <f t="shared" ref="L1283:L1537" ca="1" si="109">I1283-J1283+K1283</f>
        <v>-46352626.902811721</v>
      </c>
      <c r="M1283" s="460">
        <f t="shared" si="106"/>
        <v>0.05</v>
      </c>
      <c r="N1283" s="464">
        <f t="shared" si="107"/>
        <v>90095</v>
      </c>
    </row>
    <row r="1284" spans="7:14" ht="11.25" customHeight="1" x14ac:dyDescent="0.3">
      <c r="G1284" s="459"/>
      <c r="H1284" s="459">
        <v>1277</v>
      </c>
      <c r="I1284" s="444">
        <f t="shared" ref="I1284:I1538" ca="1" si="110">L1283</f>
        <v>-46352626.902811721</v>
      </c>
      <c r="J1284" s="444">
        <f t="array" ref="J1284">IFERROR(INDEX('Retirement Calculator'!K:K,MATCH('Lorri 401b'!N1284,'Retirement Calculator'!A:A,0),0),0)</f>
        <v>0</v>
      </c>
      <c r="K1284" s="444">
        <f t="shared" ca="1" si="108"/>
        <v>-193135.94542838217</v>
      </c>
      <c r="L1284" s="444">
        <f t="shared" ca="1" si="109"/>
        <v>-46545762.8482401</v>
      </c>
      <c r="M1284" s="460">
        <f t="shared" ref="M1284:M1538" si="111">M1283</f>
        <v>0.05</v>
      </c>
      <c r="N1284" s="464">
        <f t="shared" ref="N1284:N1538" si="112">EDATE(N1283,1)</f>
        <v>90125</v>
      </c>
    </row>
    <row r="1285" spans="7:14" ht="11.25" customHeight="1" x14ac:dyDescent="0.3">
      <c r="G1285" s="459"/>
      <c r="H1285" s="459">
        <v>1278</v>
      </c>
      <c r="I1285" s="444">
        <f t="shared" ca="1" si="110"/>
        <v>-46545762.8482401</v>
      </c>
      <c r="J1285" s="444">
        <f t="array" ref="J1285">IFERROR(INDEX('Retirement Calculator'!K:K,MATCH('Lorri 401b'!N1285,'Retirement Calculator'!A:A,0),0),0)</f>
        <v>0</v>
      </c>
      <c r="K1285" s="444">
        <f t="shared" ca="1" si="108"/>
        <v>-193940.67853433374</v>
      </c>
      <c r="L1285" s="444">
        <f t="shared" ca="1" si="109"/>
        <v>-46739703.526774436</v>
      </c>
      <c r="M1285" s="460">
        <f t="shared" si="111"/>
        <v>0.05</v>
      </c>
      <c r="N1285" s="464">
        <f t="shared" si="112"/>
        <v>90156</v>
      </c>
    </row>
    <row r="1286" spans="7:14" ht="11.25" customHeight="1" x14ac:dyDescent="0.3">
      <c r="G1286" s="459"/>
      <c r="H1286" s="459">
        <v>1279</v>
      </c>
      <c r="I1286" s="444">
        <f t="shared" ca="1" si="110"/>
        <v>-46739703.526774436</v>
      </c>
      <c r="J1286" s="444">
        <f t="array" ref="J1286">IFERROR(INDEX('Retirement Calculator'!K:K,MATCH('Lorri 401b'!N1286,'Retirement Calculator'!A:A,0),0),0)</f>
        <v>0</v>
      </c>
      <c r="K1286" s="444">
        <f t="shared" ca="1" si="108"/>
        <v>-194748.76469489347</v>
      </c>
      <c r="L1286" s="444">
        <f t="shared" ca="1" si="109"/>
        <v>-46934452.291469328</v>
      </c>
      <c r="M1286" s="460">
        <f t="shared" si="111"/>
        <v>0.05</v>
      </c>
      <c r="N1286" s="464">
        <f t="shared" si="112"/>
        <v>90186</v>
      </c>
    </row>
    <row r="1287" spans="7:14" ht="11.25" customHeight="1" x14ac:dyDescent="0.3">
      <c r="G1287" s="459"/>
      <c r="H1287" s="459">
        <v>1280</v>
      </c>
      <c r="I1287" s="444">
        <f t="shared" ca="1" si="110"/>
        <v>-46934452.291469328</v>
      </c>
      <c r="J1287" s="444">
        <f t="array" ref="J1287">IFERROR(INDEX('Retirement Calculator'!K:K,MATCH('Lorri 401b'!N1287,'Retirement Calculator'!A:A,0),0),0)</f>
        <v>0</v>
      </c>
      <c r="K1287" s="444">
        <f t="shared" ca="1" si="108"/>
        <v>-195560.2178811222</v>
      </c>
      <c r="L1287" s="444">
        <f t="shared" ca="1" si="109"/>
        <v>-47130012.509350449</v>
      </c>
      <c r="M1287" s="460">
        <f t="shared" si="111"/>
        <v>0.05</v>
      </c>
      <c r="N1287" s="464">
        <f t="shared" si="112"/>
        <v>90217</v>
      </c>
    </row>
    <row r="1288" spans="7:14" ht="11.25" customHeight="1" x14ac:dyDescent="0.3">
      <c r="G1288" s="459"/>
      <c r="H1288" s="459">
        <v>1281</v>
      </c>
      <c r="I1288" s="444">
        <f t="shared" ca="1" si="110"/>
        <v>-47130012.509350449</v>
      </c>
      <c r="J1288" s="444">
        <f t="array" ref="J1288">IFERROR(INDEX('Retirement Calculator'!K:K,MATCH('Lorri 401b'!N1288,'Retirement Calculator'!A:A,0),0),0)</f>
        <v>0</v>
      </c>
      <c r="K1288" s="444">
        <f t="shared" ca="1" si="108"/>
        <v>-196375.05212229353</v>
      </c>
      <c r="L1288" s="444">
        <f t="shared" ca="1" si="109"/>
        <v>-47326387.561472744</v>
      </c>
      <c r="M1288" s="460">
        <f t="shared" si="111"/>
        <v>0.05</v>
      </c>
      <c r="N1288" s="464">
        <f t="shared" si="112"/>
        <v>90248</v>
      </c>
    </row>
    <row r="1289" spans="7:14" ht="11.25" customHeight="1" x14ac:dyDescent="0.3">
      <c r="G1289" s="459"/>
      <c r="H1289" s="459">
        <v>1282</v>
      </c>
      <c r="I1289" s="444">
        <f t="shared" ca="1" si="110"/>
        <v>-47326387.561472744</v>
      </c>
      <c r="J1289" s="444">
        <f t="array" ref="J1289">IFERROR(INDEX('Retirement Calculator'!K:K,MATCH('Lorri 401b'!N1289,'Retirement Calculator'!A:A,0),0),0)</f>
        <v>0</v>
      </c>
      <c r="K1289" s="444">
        <f t="shared" ca="1" si="108"/>
        <v>-197193.28150613644</v>
      </c>
      <c r="L1289" s="444">
        <f t="shared" ca="1" si="109"/>
        <v>-47523580.84297888</v>
      </c>
      <c r="M1289" s="460">
        <f t="shared" si="111"/>
        <v>0.05</v>
      </c>
      <c r="N1289" s="464">
        <f t="shared" si="112"/>
        <v>90276</v>
      </c>
    </row>
    <row r="1290" spans="7:14" ht="11.25" customHeight="1" x14ac:dyDescent="0.3">
      <c r="G1290" s="459"/>
      <c r="H1290" s="459">
        <v>1283</v>
      </c>
      <c r="I1290" s="444">
        <f t="shared" ca="1" si="110"/>
        <v>-47523580.84297888</v>
      </c>
      <c r="J1290" s="444">
        <f t="array" ref="J1290">IFERROR(INDEX('Retirement Calculator'!K:K,MATCH('Lorri 401b'!N1290,'Retirement Calculator'!A:A,0),0),0)</f>
        <v>0</v>
      </c>
      <c r="K1290" s="444">
        <f t="shared" ca="1" si="108"/>
        <v>-198014.92017907868</v>
      </c>
      <c r="L1290" s="444">
        <f t="shared" ca="1" si="109"/>
        <v>-47721595.763157956</v>
      </c>
      <c r="M1290" s="460">
        <f t="shared" si="111"/>
        <v>0.05</v>
      </c>
      <c r="N1290" s="464">
        <f t="shared" si="112"/>
        <v>90307</v>
      </c>
    </row>
    <row r="1291" spans="7:14" ht="11.25" customHeight="1" x14ac:dyDescent="0.3">
      <c r="G1291" s="459"/>
      <c r="H1291" s="459">
        <v>1284</v>
      </c>
      <c r="I1291" s="444">
        <f t="shared" ca="1" si="110"/>
        <v>-47721595.763157956</v>
      </c>
      <c r="J1291" s="444">
        <f t="array" ref="J1291">IFERROR(INDEX('Retirement Calculator'!K:K,MATCH('Lorri 401b'!N1291,'Retirement Calculator'!A:A,0),0),0)</f>
        <v>0</v>
      </c>
      <c r="K1291" s="444">
        <f t="shared" ca="1" si="108"/>
        <v>-198839.98234649148</v>
      </c>
      <c r="L1291" s="444">
        <f t="shared" ca="1" si="109"/>
        <v>-47920435.745504446</v>
      </c>
      <c r="M1291" s="460">
        <f t="shared" si="111"/>
        <v>0.05</v>
      </c>
      <c r="N1291" s="464">
        <f t="shared" si="112"/>
        <v>90337</v>
      </c>
    </row>
    <row r="1292" spans="7:14" ht="11.25" customHeight="1" x14ac:dyDescent="0.3">
      <c r="G1292" s="459"/>
      <c r="H1292" s="459">
        <v>1285</v>
      </c>
      <c r="I1292" s="444">
        <f t="shared" ca="1" si="110"/>
        <v>-47920435.745504446</v>
      </c>
      <c r="J1292" s="444">
        <f t="array" ref="J1292">IFERROR(INDEX('Retirement Calculator'!K:K,MATCH('Lorri 401b'!N1292,'Retirement Calculator'!A:A,0),0),0)</f>
        <v>0</v>
      </c>
      <c r="K1292" s="444">
        <f t="shared" ca="1" si="108"/>
        <v>-199668.48227293519</v>
      </c>
      <c r="L1292" s="444">
        <f t="shared" ca="1" si="109"/>
        <v>-48120104.227777384</v>
      </c>
      <c r="M1292" s="460">
        <f t="shared" si="111"/>
        <v>0.05</v>
      </c>
      <c r="N1292" s="464">
        <f t="shared" si="112"/>
        <v>90368</v>
      </c>
    </row>
    <row r="1293" spans="7:14" ht="11.25" customHeight="1" x14ac:dyDescent="0.3">
      <c r="G1293" s="459"/>
      <c r="H1293" s="459">
        <v>1286</v>
      </c>
      <c r="I1293" s="444">
        <f t="shared" ca="1" si="110"/>
        <v>-48120104.227777384</v>
      </c>
      <c r="J1293" s="444">
        <f t="array" ref="J1293">IFERROR(INDEX('Retirement Calculator'!K:K,MATCH('Lorri 401b'!N1293,'Retirement Calculator'!A:A,0),0),0)</f>
        <v>0</v>
      </c>
      <c r="K1293" s="444">
        <f t="shared" ca="1" si="108"/>
        <v>-200500.43428240577</v>
      </c>
      <c r="L1293" s="444">
        <f t="shared" ca="1" si="109"/>
        <v>-48320604.662059791</v>
      </c>
      <c r="M1293" s="460">
        <f t="shared" si="111"/>
        <v>0.05</v>
      </c>
      <c r="N1293" s="464">
        <f t="shared" si="112"/>
        <v>90398</v>
      </c>
    </row>
    <row r="1294" spans="7:14" ht="11.25" customHeight="1" x14ac:dyDescent="0.3">
      <c r="G1294" s="459"/>
      <c r="H1294" s="459">
        <v>1287</v>
      </c>
      <c r="I1294" s="444">
        <f t="shared" ca="1" si="110"/>
        <v>-48320604.662059791</v>
      </c>
      <c r="J1294" s="444">
        <f t="array" ref="J1294">IFERROR(INDEX('Retirement Calculator'!K:K,MATCH('Lorri 401b'!N1294,'Retirement Calculator'!A:A,0),0),0)</f>
        <v>0</v>
      </c>
      <c r="K1294" s="444">
        <f t="shared" ca="1" si="108"/>
        <v>-201335.85275858245</v>
      </c>
      <c r="L1294" s="444">
        <f t="shared" ca="1" si="109"/>
        <v>-48521940.51481837</v>
      </c>
      <c r="M1294" s="460">
        <f t="shared" si="111"/>
        <v>0.05</v>
      </c>
      <c r="N1294" s="464">
        <f t="shared" si="112"/>
        <v>90429</v>
      </c>
    </row>
    <row r="1295" spans="7:14" ht="11.25" customHeight="1" x14ac:dyDescent="0.3">
      <c r="G1295" s="459"/>
      <c r="H1295" s="459">
        <v>1288</v>
      </c>
      <c r="I1295" s="444">
        <f t="shared" ca="1" si="110"/>
        <v>-48521940.51481837</v>
      </c>
      <c r="J1295" s="444">
        <f t="array" ref="J1295">IFERROR(INDEX('Retirement Calculator'!K:K,MATCH('Lorri 401b'!N1295,'Retirement Calculator'!A:A,0),0),0)</f>
        <v>0</v>
      </c>
      <c r="K1295" s="444">
        <f t="shared" ca="1" si="108"/>
        <v>-202174.75214507655</v>
      </c>
      <c r="L1295" s="444">
        <f t="shared" ca="1" si="109"/>
        <v>-48724115.266963445</v>
      </c>
      <c r="M1295" s="460">
        <f t="shared" si="111"/>
        <v>0.05</v>
      </c>
      <c r="N1295" s="464">
        <f t="shared" si="112"/>
        <v>90460</v>
      </c>
    </row>
    <row r="1296" spans="7:14" ht="11.25" customHeight="1" x14ac:dyDescent="0.3">
      <c r="G1296" s="459"/>
      <c r="H1296" s="459">
        <v>1289</v>
      </c>
      <c r="I1296" s="444">
        <f t="shared" ca="1" si="110"/>
        <v>-48724115.266963445</v>
      </c>
      <c r="J1296" s="444">
        <f t="array" ref="J1296">IFERROR(INDEX('Retirement Calculator'!K:K,MATCH('Lorri 401b'!N1296,'Retirement Calculator'!A:A,0),0),0)</f>
        <v>0</v>
      </c>
      <c r="K1296" s="444">
        <f t="shared" ca="1" si="108"/>
        <v>-203017.14694568102</v>
      </c>
      <c r="L1296" s="444">
        <f t="shared" ca="1" si="109"/>
        <v>-48927132.413909122</v>
      </c>
      <c r="M1296" s="460">
        <f t="shared" si="111"/>
        <v>0.05</v>
      </c>
      <c r="N1296" s="464">
        <f t="shared" si="112"/>
        <v>90490</v>
      </c>
    </row>
    <row r="1297" spans="7:14" ht="11.25" customHeight="1" x14ac:dyDescent="0.3">
      <c r="G1297" s="459"/>
      <c r="H1297" s="459">
        <v>1290</v>
      </c>
      <c r="I1297" s="444">
        <f t="shared" ca="1" si="110"/>
        <v>-48927132.413909122</v>
      </c>
      <c r="J1297" s="444">
        <f t="array" ref="J1297">IFERROR(INDEX('Retirement Calculator'!K:K,MATCH('Lorri 401b'!N1297,'Retirement Calculator'!A:A,0),0),0)</f>
        <v>0</v>
      </c>
      <c r="K1297" s="444">
        <f t="shared" ca="1" si="108"/>
        <v>-203863.05172462133</v>
      </c>
      <c r="L1297" s="444">
        <f t="shared" ca="1" si="109"/>
        <v>-49130995.465633743</v>
      </c>
      <c r="M1297" s="460">
        <f t="shared" si="111"/>
        <v>0.05</v>
      </c>
      <c r="N1297" s="464">
        <f t="shared" si="112"/>
        <v>90521</v>
      </c>
    </row>
    <row r="1298" spans="7:14" ht="11.25" customHeight="1" x14ac:dyDescent="0.3">
      <c r="G1298" s="459"/>
      <c r="H1298" s="459">
        <v>1291</v>
      </c>
      <c r="I1298" s="444">
        <f t="shared" ca="1" si="110"/>
        <v>-49130995.465633743</v>
      </c>
      <c r="J1298" s="444">
        <f t="array" ref="J1298">IFERROR(INDEX('Retirement Calculator'!K:K,MATCH('Lorri 401b'!N1298,'Retirement Calculator'!A:A,0),0),0)</f>
        <v>0</v>
      </c>
      <c r="K1298" s="444">
        <f t="shared" ca="1" si="108"/>
        <v>-204712.48110680724</v>
      </c>
      <c r="L1298" s="444">
        <f t="shared" ca="1" si="109"/>
        <v>-49335707.946740553</v>
      </c>
      <c r="M1298" s="460">
        <f t="shared" si="111"/>
        <v>0.05</v>
      </c>
      <c r="N1298" s="464">
        <f t="shared" si="112"/>
        <v>90551</v>
      </c>
    </row>
    <row r="1299" spans="7:14" ht="11.25" customHeight="1" x14ac:dyDescent="0.3">
      <c r="G1299" s="459"/>
      <c r="H1299" s="459">
        <v>1292</v>
      </c>
      <c r="I1299" s="444">
        <f t="shared" ca="1" si="110"/>
        <v>-49335707.946740553</v>
      </c>
      <c r="J1299" s="444">
        <f t="array" ref="J1299">IFERROR(INDEX('Retirement Calculator'!K:K,MATCH('Lorri 401b'!N1299,'Retirement Calculator'!A:A,0),0),0)</f>
        <v>0</v>
      </c>
      <c r="K1299" s="444">
        <f t="shared" ca="1" si="108"/>
        <v>-205565.44977808563</v>
      </c>
      <c r="L1299" s="444">
        <f t="shared" ca="1" si="109"/>
        <v>-49541273.39651864</v>
      </c>
      <c r="M1299" s="460">
        <f t="shared" si="111"/>
        <v>0.05</v>
      </c>
      <c r="N1299" s="464">
        <f t="shared" si="112"/>
        <v>90582</v>
      </c>
    </row>
    <row r="1300" spans="7:14" ht="11.25" customHeight="1" x14ac:dyDescent="0.3">
      <c r="G1300" s="459"/>
      <c r="H1300" s="459">
        <v>1293</v>
      </c>
      <c r="I1300" s="444">
        <f t="shared" ca="1" si="110"/>
        <v>-49541273.39651864</v>
      </c>
      <c r="J1300" s="444">
        <f t="array" ref="J1300">IFERROR(INDEX('Retirement Calculator'!K:K,MATCH('Lorri 401b'!N1300,'Retirement Calculator'!A:A,0),0),0)</f>
        <v>0</v>
      </c>
      <c r="K1300" s="444">
        <f t="shared" ca="1" si="108"/>
        <v>-206421.97248549433</v>
      </c>
      <c r="L1300" s="444">
        <f t="shared" ca="1" si="109"/>
        <v>-49747695.369004138</v>
      </c>
      <c r="M1300" s="460">
        <f t="shared" si="111"/>
        <v>0.05</v>
      </c>
      <c r="N1300" s="464">
        <f t="shared" si="112"/>
        <v>90613</v>
      </c>
    </row>
    <row r="1301" spans="7:14" ht="11.25" customHeight="1" x14ac:dyDescent="0.3">
      <c r="G1301" s="459"/>
      <c r="H1301" s="459">
        <v>1294</v>
      </c>
      <c r="I1301" s="444">
        <f t="shared" ca="1" si="110"/>
        <v>-49747695.369004138</v>
      </c>
      <c r="J1301" s="444">
        <f t="array" ref="J1301">IFERROR(INDEX('Retirement Calculator'!K:K,MATCH('Lorri 401b'!N1301,'Retirement Calculator'!A:A,0),0),0)</f>
        <v>0</v>
      </c>
      <c r="K1301" s="444">
        <f t="shared" ca="1" si="108"/>
        <v>-207282.06403751724</v>
      </c>
      <c r="L1301" s="444">
        <f t="shared" ca="1" si="109"/>
        <v>-49954977.433041655</v>
      </c>
      <c r="M1301" s="460">
        <f t="shared" si="111"/>
        <v>0.05</v>
      </c>
      <c r="N1301" s="464">
        <f t="shared" si="112"/>
        <v>90642</v>
      </c>
    </row>
    <row r="1302" spans="7:14" ht="11.25" customHeight="1" x14ac:dyDescent="0.3">
      <c r="G1302" s="459"/>
      <c r="H1302" s="459">
        <v>1295</v>
      </c>
      <c r="I1302" s="444">
        <f t="shared" ca="1" si="110"/>
        <v>-49954977.433041655</v>
      </c>
      <c r="J1302" s="444">
        <f t="array" ref="J1302">IFERROR(INDEX('Retirement Calculator'!K:K,MATCH('Lorri 401b'!N1302,'Retirement Calculator'!A:A,0),0),0)</f>
        <v>0</v>
      </c>
      <c r="K1302" s="444">
        <f t="shared" ca="1" si="108"/>
        <v>-208145.73930434021</v>
      </c>
      <c r="L1302" s="444">
        <f t="shared" ca="1" si="109"/>
        <v>-50163123.172345996</v>
      </c>
      <c r="M1302" s="460">
        <f t="shared" si="111"/>
        <v>0.05</v>
      </c>
      <c r="N1302" s="464">
        <f t="shared" si="112"/>
        <v>90673</v>
      </c>
    </row>
    <row r="1303" spans="7:14" ht="11.25" customHeight="1" x14ac:dyDescent="0.3">
      <c r="G1303" s="459"/>
      <c r="H1303" s="459">
        <v>1296</v>
      </c>
      <c r="I1303" s="444">
        <f t="shared" ca="1" si="110"/>
        <v>-50163123.172345996</v>
      </c>
      <c r="J1303" s="444">
        <f t="array" ref="J1303">IFERROR(INDEX('Retirement Calculator'!K:K,MATCH('Lorri 401b'!N1303,'Retirement Calculator'!A:A,0),0),0)</f>
        <v>0</v>
      </c>
      <c r="K1303" s="444">
        <f t="shared" ca="1" si="108"/>
        <v>-209013.0132181083</v>
      </c>
      <c r="L1303" s="444">
        <f t="shared" ca="1" si="109"/>
        <v>-50372136.185564101</v>
      </c>
      <c r="M1303" s="460">
        <f t="shared" si="111"/>
        <v>0.05</v>
      </c>
      <c r="N1303" s="464">
        <f t="shared" si="112"/>
        <v>90703</v>
      </c>
    </row>
    <row r="1304" spans="7:14" ht="11.25" customHeight="1" x14ac:dyDescent="0.3">
      <c r="G1304" s="459"/>
      <c r="H1304" s="459">
        <v>1297</v>
      </c>
      <c r="I1304" s="444">
        <f t="shared" ca="1" si="110"/>
        <v>-50372136.185564101</v>
      </c>
      <c r="J1304" s="444">
        <f t="array" ref="J1304">IFERROR(INDEX('Retirement Calculator'!K:K,MATCH('Lorri 401b'!N1304,'Retirement Calculator'!A:A,0),0),0)</f>
        <v>0</v>
      </c>
      <c r="K1304" s="444">
        <f t="shared" ca="1" si="108"/>
        <v>-209883.90077318376</v>
      </c>
      <c r="L1304" s="444">
        <f t="shared" ca="1" si="109"/>
        <v>-50582020.086337283</v>
      </c>
      <c r="M1304" s="460">
        <f t="shared" si="111"/>
        <v>0.05</v>
      </c>
      <c r="N1304" s="464">
        <f t="shared" si="112"/>
        <v>90734</v>
      </c>
    </row>
    <row r="1305" spans="7:14" ht="11.25" customHeight="1" x14ac:dyDescent="0.3">
      <c r="G1305" s="459"/>
      <c r="H1305" s="459">
        <v>1298</v>
      </c>
      <c r="I1305" s="444">
        <f t="shared" ca="1" si="110"/>
        <v>-50582020.086337283</v>
      </c>
      <c r="J1305" s="444">
        <f t="array" ref="J1305">IFERROR(INDEX('Retirement Calculator'!K:K,MATCH('Lorri 401b'!N1305,'Retirement Calculator'!A:A,0),0),0)</f>
        <v>0</v>
      </c>
      <c r="K1305" s="444">
        <f t="shared" ca="1" si="108"/>
        <v>-210758.41702640534</v>
      </c>
      <c r="L1305" s="444">
        <f t="shared" ca="1" si="109"/>
        <v>-50792778.503363691</v>
      </c>
      <c r="M1305" s="460">
        <f t="shared" si="111"/>
        <v>0.05</v>
      </c>
      <c r="N1305" s="464">
        <f t="shared" si="112"/>
        <v>90764</v>
      </c>
    </row>
    <row r="1306" spans="7:14" ht="11.25" customHeight="1" x14ac:dyDescent="0.3">
      <c r="G1306" s="459"/>
      <c r="H1306" s="459">
        <v>1299</v>
      </c>
      <c r="I1306" s="444">
        <f t="shared" ca="1" si="110"/>
        <v>-50792778.503363691</v>
      </c>
      <c r="J1306" s="444">
        <f t="array" ref="J1306">IFERROR(INDEX('Retirement Calculator'!K:K,MATCH('Lorri 401b'!N1306,'Retirement Calculator'!A:A,0),0),0)</f>
        <v>0</v>
      </c>
      <c r="K1306" s="444">
        <f t="shared" ca="1" si="108"/>
        <v>-211636.57709734872</v>
      </c>
      <c r="L1306" s="444">
        <f t="shared" ca="1" si="109"/>
        <v>-51004415.08046104</v>
      </c>
      <c r="M1306" s="460">
        <f t="shared" si="111"/>
        <v>0.05</v>
      </c>
      <c r="N1306" s="464">
        <f t="shared" si="112"/>
        <v>90795</v>
      </c>
    </row>
    <row r="1307" spans="7:14" ht="11.25" customHeight="1" x14ac:dyDescent="0.3">
      <c r="G1307" s="459"/>
      <c r="H1307" s="459">
        <v>1300</v>
      </c>
      <c r="I1307" s="444">
        <f t="shared" ca="1" si="110"/>
        <v>-51004415.08046104</v>
      </c>
      <c r="J1307" s="444">
        <f t="array" ref="J1307">IFERROR(INDEX('Retirement Calculator'!K:K,MATCH('Lorri 401b'!N1307,'Retirement Calculator'!A:A,0),0),0)</f>
        <v>0</v>
      </c>
      <c r="K1307" s="444">
        <f t="shared" ca="1" si="108"/>
        <v>-212518.39616858767</v>
      </c>
      <c r="L1307" s="444">
        <f t="shared" ca="1" si="109"/>
        <v>-51216933.47662963</v>
      </c>
      <c r="M1307" s="460">
        <f t="shared" si="111"/>
        <v>0.05</v>
      </c>
      <c r="N1307" s="464">
        <f t="shared" si="112"/>
        <v>90826</v>
      </c>
    </row>
    <row r="1308" spans="7:14" ht="11.25" customHeight="1" x14ac:dyDescent="0.3">
      <c r="G1308" s="459"/>
      <c r="H1308" s="459">
        <v>1301</v>
      </c>
      <c r="I1308" s="444">
        <f t="shared" ca="1" si="110"/>
        <v>-51216933.47662963</v>
      </c>
      <c r="J1308" s="444">
        <f t="array" ref="J1308">IFERROR(INDEX('Retirement Calculator'!K:K,MATCH('Lorri 401b'!N1308,'Retirement Calculator'!A:A,0),0),0)</f>
        <v>0</v>
      </c>
      <c r="K1308" s="444">
        <f t="shared" ca="1" si="108"/>
        <v>-213403.88948595678</v>
      </c>
      <c r="L1308" s="444">
        <f t="shared" ca="1" si="109"/>
        <v>-51430337.366115585</v>
      </c>
      <c r="M1308" s="460">
        <f t="shared" si="111"/>
        <v>0.05</v>
      </c>
      <c r="N1308" s="464">
        <f t="shared" si="112"/>
        <v>90856</v>
      </c>
    </row>
    <row r="1309" spans="7:14" ht="11.25" customHeight="1" x14ac:dyDescent="0.3">
      <c r="G1309" s="459"/>
      <c r="H1309" s="459">
        <v>1302</v>
      </c>
      <c r="I1309" s="444">
        <f t="shared" ca="1" si="110"/>
        <v>-51430337.366115585</v>
      </c>
      <c r="J1309" s="444">
        <f t="array" ref="J1309">IFERROR(INDEX('Retirement Calculator'!K:K,MATCH('Lorri 401b'!N1309,'Retirement Calculator'!A:A,0),0),0)</f>
        <v>0</v>
      </c>
      <c r="K1309" s="444">
        <f t="shared" ca="1" si="108"/>
        <v>-214293.07235881494</v>
      </c>
      <c r="L1309" s="444">
        <f t="shared" ca="1" si="109"/>
        <v>-51644630.438474402</v>
      </c>
      <c r="M1309" s="460">
        <f t="shared" si="111"/>
        <v>0.05</v>
      </c>
      <c r="N1309" s="464">
        <f t="shared" si="112"/>
        <v>90887</v>
      </c>
    </row>
    <row r="1310" spans="7:14" ht="11.25" customHeight="1" x14ac:dyDescent="0.3">
      <c r="G1310" s="459"/>
      <c r="H1310" s="459">
        <v>1303</v>
      </c>
      <c r="I1310" s="444">
        <f t="shared" ca="1" si="110"/>
        <v>-51644630.438474402</v>
      </c>
      <c r="J1310" s="444">
        <f t="array" ref="J1310">IFERROR(INDEX('Retirement Calculator'!K:K,MATCH('Lorri 401b'!N1310,'Retirement Calculator'!A:A,0),0),0)</f>
        <v>0</v>
      </c>
      <c r="K1310" s="444">
        <f t="shared" ca="1" si="108"/>
        <v>-215185.96016031</v>
      </c>
      <c r="L1310" s="444">
        <f t="shared" ca="1" si="109"/>
        <v>-51859816.398634709</v>
      </c>
      <c r="M1310" s="460">
        <f t="shared" si="111"/>
        <v>0.05</v>
      </c>
      <c r="N1310" s="464">
        <f t="shared" si="112"/>
        <v>90917</v>
      </c>
    </row>
    <row r="1311" spans="7:14" ht="11.25" customHeight="1" x14ac:dyDescent="0.3">
      <c r="G1311" s="459"/>
      <c r="H1311" s="459">
        <v>1304</v>
      </c>
      <c r="I1311" s="444">
        <f t="shared" ca="1" si="110"/>
        <v>-51859816.398634709</v>
      </c>
      <c r="J1311" s="444">
        <f t="array" ref="J1311">IFERROR(INDEX('Retirement Calculator'!K:K,MATCH('Lorri 401b'!N1311,'Retirement Calculator'!A:A,0),0),0)</f>
        <v>0</v>
      </c>
      <c r="K1311" s="444">
        <f t="shared" ca="1" si="108"/>
        <v>-216082.56832764461</v>
      </c>
      <c r="L1311" s="444">
        <f t="shared" ca="1" si="109"/>
        <v>-52075898.966962352</v>
      </c>
      <c r="M1311" s="460">
        <f t="shared" si="111"/>
        <v>0.05</v>
      </c>
      <c r="N1311" s="464">
        <f t="shared" si="112"/>
        <v>90948</v>
      </c>
    </row>
    <row r="1312" spans="7:14" ht="11.25" customHeight="1" x14ac:dyDescent="0.3">
      <c r="G1312" s="459"/>
      <c r="H1312" s="459">
        <v>1305</v>
      </c>
      <c r="I1312" s="444">
        <f t="shared" ca="1" si="110"/>
        <v>-52075898.966962352</v>
      </c>
      <c r="J1312" s="444">
        <f t="array" ref="J1312">IFERROR(INDEX('Retirement Calculator'!K:K,MATCH('Lorri 401b'!N1312,'Retirement Calculator'!A:A,0),0),0)</f>
        <v>0</v>
      </c>
      <c r="K1312" s="444">
        <f t="shared" ca="1" si="108"/>
        <v>-216982.91236234314</v>
      </c>
      <c r="L1312" s="444">
        <f t="shared" ca="1" si="109"/>
        <v>-52292881.879324697</v>
      </c>
      <c r="M1312" s="460">
        <f t="shared" si="111"/>
        <v>0.05</v>
      </c>
      <c r="N1312" s="464">
        <f t="shared" si="112"/>
        <v>90979</v>
      </c>
    </row>
    <row r="1313" spans="7:14" ht="11.25" customHeight="1" x14ac:dyDescent="0.3">
      <c r="G1313" s="459"/>
      <c r="H1313" s="459">
        <v>1306</v>
      </c>
      <c r="I1313" s="444">
        <f t="shared" ca="1" si="110"/>
        <v>-52292881.879324697</v>
      </c>
      <c r="J1313" s="444">
        <f t="array" ref="J1313">IFERROR(INDEX('Retirement Calculator'!K:K,MATCH('Lorri 401b'!N1313,'Retirement Calculator'!A:A,0),0),0)</f>
        <v>0</v>
      </c>
      <c r="K1313" s="444">
        <f t="shared" ca="1" si="108"/>
        <v>-217887.00783051955</v>
      </c>
      <c r="L1313" s="444">
        <f t="shared" ca="1" si="109"/>
        <v>-52510768.88715522</v>
      </c>
      <c r="M1313" s="460">
        <f t="shared" si="111"/>
        <v>0.05</v>
      </c>
      <c r="N1313" s="464">
        <f t="shared" si="112"/>
        <v>91007</v>
      </c>
    </row>
    <row r="1314" spans="7:14" ht="11.25" customHeight="1" x14ac:dyDescent="0.3">
      <c r="G1314" s="459"/>
      <c r="H1314" s="459">
        <v>1307</v>
      </c>
      <c r="I1314" s="444">
        <f t="shared" ca="1" si="110"/>
        <v>-52510768.88715522</v>
      </c>
      <c r="J1314" s="444">
        <f t="array" ref="J1314">IFERROR(INDEX('Retirement Calculator'!K:K,MATCH('Lorri 401b'!N1314,'Retirement Calculator'!A:A,0),0),0)</f>
        <v>0</v>
      </c>
      <c r="K1314" s="444">
        <f t="shared" ca="1" si="108"/>
        <v>-218794.87036314677</v>
      </c>
      <c r="L1314" s="444">
        <f t="shared" ca="1" si="109"/>
        <v>-52729563.757518366</v>
      </c>
      <c r="M1314" s="460">
        <f t="shared" si="111"/>
        <v>0.05</v>
      </c>
      <c r="N1314" s="464">
        <f t="shared" si="112"/>
        <v>91038</v>
      </c>
    </row>
    <row r="1315" spans="7:14" ht="11.25" customHeight="1" x14ac:dyDescent="0.3">
      <c r="G1315" s="459"/>
      <c r="H1315" s="459">
        <v>1308</v>
      </c>
      <c r="I1315" s="444">
        <f t="shared" ca="1" si="110"/>
        <v>-52729563.757518366</v>
      </c>
      <c r="J1315" s="444">
        <f t="array" ref="J1315">IFERROR(INDEX('Retirement Calculator'!K:K,MATCH('Lorri 401b'!N1315,'Retirement Calculator'!A:A,0),0),0)</f>
        <v>0</v>
      </c>
      <c r="K1315" s="444">
        <f t="shared" ca="1" si="108"/>
        <v>-219706.51565632652</v>
      </c>
      <c r="L1315" s="444">
        <f t="shared" ca="1" si="109"/>
        <v>-52949270.273174696</v>
      </c>
      <c r="M1315" s="460">
        <f t="shared" si="111"/>
        <v>0.05</v>
      </c>
      <c r="N1315" s="464">
        <f t="shared" si="112"/>
        <v>91068</v>
      </c>
    </row>
    <row r="1316" spans="7:14" ht="11.25" customHeight="1" x14ac:dyDescent="0.3">
      <c r="G1316" s="459"/>
      <c r="H1316" s="459">
        <v>1309</v>
      </c>
      <c r="I1316" s="444">
        <f t="shared" ca="1" si="110"/>
        <v>-52949270.273174696</v>
      </c>
      <c r="J1316" s="444">
        <f t="array" ref="J1316">IFERROR(INDEX('Retirement Calculator'!K:K,MATCH('Lorri 401b'!N1316,'Retirement Calculator'!A:A,0),0),0)</f>
        <v>0</v>
      </c>
      <c r="K1316" s="444">
        <f t="shared" ca="1" si="108"/>
        <v>-220621.95947156122</v>
      </c>
      <c r="L1316" s="444">
        <f t="shared" ca="1" si="109"/>
        <v>-53169892.232646257</v>
      </c>
      <c r="M1316" s="460">
        <f t="shared" si="111"/>
        <v>0.05</v>
      </c>
      <c r="N1316" s="464">
        <f t="shared" si="112"/>
        <v>91099</v>
      </c>
    </row>
    <row r="1317" spans="7:14" ht="11.25" customHeight="1" x14ac:dyDescent="0.3">
      <c r="G1317" s="459"/>
      <c r="H1317" s="459">
        <v>1310</v>
      </c>
      <c r="I1317" s="444">
        <f t="shared" ca="1" si="110"/>
        <v>-53169892.232646257</v>
      </c>
      <c r="J1317" s="444">
        <f t="array" ref="J1317">IFERROR(INDEX('Retirement Calculator'!K:K,MATCH('Lorri 401b'!N1317,'Retirement Calculator'!A:A,0),0),0)</f>
        <v>0</v>
      </c>
      <c r="K1317" s="444">
        <f t="shared" ca="1" si="108"/>
        <v>-221541.21763602606</v>
      </c>
      <c r="L1317" s="444">
        <f t="shared" ca="1" si="109"/>
        <v>-53391433.450282283</v>
      </c>
      <c r="M1317" s="460">
        <f t="shared" si="111"/>
        <v>0.05</v>
      </c>
      <c r="N1317" s="464">
        <f t="shared" si="112"/>
        <v>91129</v>
      </c>
    </row>
    <row r="1318" spans="7:14" ht="11.25" customHeight="1" x14ac:dyDescent="0.3">
      <c r="G1318" s="459"/>
      <c r="H1318" s="459">
        <v>1311</v>
      </c>
      <c r="I1318" s="444">
        <f t="shared" ca="1" si="110"/>
        <v>-53391433.450282283</v>
      </c>
      <c r="J1318" s="444">
        <f t="array" ref="J1318">IFERROR(INDEX('Retirement Calculator'!K:K,MATCH('Lorri 401b'!N1318,'Retirement Calculator'!A:A,0),0),0)</f>
        <v>0</v>
      </c>
      <c r="K1318" s="444">
        <f t="shared" ca="1" si="108"/>
        <v>-222464.30604284283</v>
      </c>
      <c r="L1318" s="444">
        <f t="shared" ca="1" si="109"/>
        <v>-53613897.756325126</v>
      </c>
      <c r="M1318" s="460">
        <f t="shared" si="111"/>
        <v>0.05</v>
      </c>
      <c r="N1318" s="464">
        <f t="shared" si="112"/>
        <v>91160</v>
      </c>
    </row>
    <row r="1319" spans="7:14" ht="11.25" customHeight="1" x14ac:dyDescent="0.3">
      <c r="G1319" s="459"/>
      <c r="H1319" s="459">
        <v>1312</v>
      </c>
      <c r="I1319" s="444">
        <f t="shared" ca="1" si="110"/>
        <v>-53613897.756325126</v>
      </c>
      <c r="J1319" s="444">
        <f t="array" ref="J1319">IFERROR(INDEX('Retirement Calculator'!K:K,MATCH('Lorri 401b'!N1319,'Retirement Calculator'!A:A,0),0),0)</f>
        <v>0</v>
      </c>
      <c r="K1319" s="444">
        <f t="shared" ca="1" si="108"/>
        <v>-223391.24065135469</v>
      </c>
      <c r="L1319" s="444">
        <f t="shared" ca="1" si="109"/>
        <v>-53837288.99697648</v>
      </c>
      <c r="M1319" s="460">
        <f t="shared" si="111"/>
        <v>0.05</v>
      </c>
      <c r="N1319" s="464">
        <f t="shared" si="112"/>
        <v>91191</v>
      </c>
    </row>
    <row r="1320" spans="7:14" ht="11.25" customHeight="1" x14ac:dyDescent="0.3">
      <c r="G1320" s="459"/>
      <c r="H1320" s="459">
        <v>1313</v>
      </c>
      <c r="I1320" s="444">
        <f t="shared" ca="1" si="110"/>
        <v>-53837288.99697648</v>
      </c>
      <c r="J1320" s="444">
        <f t="array" ref="J1320">IFERROR(INDEX('Retirement Calculator'!K:K,MATCH('Lorri 401b'!N1320,'Retirement Calculator'!A:A,0),0),0)</f>
        <v>0</v>
      </c>
      <c r="K1320" s="444">
        <f t="shared" ca="1" si="108"/>
        <v>-224322.03748740201</v>
      </c>
      <c r="L1320" s="444">
        <f t="shared" ca="1" si="109"/>
        <v>-54061611.034463882</v>
      </c>
      <c r="M1320" s="460">
        <f t="shared" si="111"/>
        <v>0.05</v>
      </c>
      <c r="N1320" s="464">
        <f t="shared" si="112"/>
        <v>91221</v>
      </c>
    </row>
    <row r="1321" spans="7:14" ht="11.25" customHeight="1" x14ac:dyDescent="0.3">
      <c r="G1321" s="459"/>
      <c r="H1321" s="459">
        <v>1314</v>
      </c>
      <c r="I1321" s="444">
        <f t="shared" ca="1" si="110"/>
        <v>-54061611.034463882</v>
      </c>
      <c r="J1321" s="444">
        <f t="array" ref="J1321">IFERROR(INDEX('Retirement Calculator'!K:K,MATCH('Lorri 401b'!N1321,'Retirement Calculator'!A:A,0),0),0)</f>
        <v>0</v>
      </c>
      <c r="K1321" s="444">
        <f t="shared" ca="1" si="108"/>
        <v>-225256.71264359952</v>
      </c>
      <c r="L1321" s="444">
        <f t="shared" ca="1" si="109"/>
        <v>-54286867.747107483</v>
      </c>
      <c r="M1321" s="460">
        <f t="shared" si="111"/>
        <v>0.05</v>
      </c>
      <c r="N1321" s="464">
        <f t="shared" si="112"/>
        <v>91252</v>
      </c>
    </row>
    <row r="1322" spans="7:14" ht="11.25" customHeight="1" x14ac:dyDescent="0.3">
      <c r="G1322" s="459"/>
      <c r="H1322" s="459">
        <v>1315</v>
      </c>
      <c r="I1322" s="444">
        <f t="shared" ca="1" si="110"/>
        <v>-54286867.747107483</v>
      </c>
      <c r="J1322" s="444">
        <f t="array" ref="J1322">IFERROR(INDEX('Retirement Calculator'!K:K,MATCH('Lorri 401b'!N1322,'Retirement Calculator'!A:A,0),0),0)</f>
        <v>0</v>
      </c>
      <c r="K1322" s="444">
        <f t="shared" ca="1" si="108"/>
        <v>-226195.2822796145</v>
      </c>
      <c r="L1322" s="444">
        <f t="shared" ca="1" si="109"/>
        <v>-54513063.029387102</v>
      </c>
      <c r="M1322" s="460">
        <f t="shared" si="111"/>
        <v>0.05</v>
      </c>
      <c r="N1322" s="464">
        <f t="shared" si="112"/>
        <v>91282</v>
      </c>
    </row>
    <row r="1323" spans="7:14" ht="11.25" customHeight="1" x14ac:dyDescent="0.3">
      <c r="G1323" s="459"/>
      <c r="H1323" s="459">
        <v>1316</v>
      </c>
      <c r="I1323" s="444">
        <f t="shared" ca="1" si="110"/>
        <v>-54513063.029387102</v>
      </c>
      <c r="J1323" s="444">
        <f t="array" ref="J1323">IFERROR(INDEX('Retirement Calculator'!K:K,MATCH('Lorri 401b'!N1323,'Retirement Calculator'!A:A,0),0),0)</f>
        <v>0</v>
      </c>
      <c r="K1323" s="444">
        <f t="shared" ca="1" si="108"/>
        <v>-227137.76262244626</v>
      </c>
      <c r="L1323" s="444">
        <f t="shared" ca="1" si="109"/>
        <v>-54740200.792009547</v>
      </c>
      <c r="M1323" s="460">
        <f t="shared" si="111"/>
        <v>0.05</v>
      </c>
      <c r="N1323" s="464">
        <f t="shared" si="112"/>
        <v>91313</v>
      </c>
    </row>
    <row r="1324" spans="7:14" ht="11.25" customHeight="1" x14ac:dyDescent="0.3">
      <c r="G1324" s="459"/>
      <c r="H1324" s="459">
        <v>1317</v>
      </c>
      <c r="I1324" s="444">
        <f t="shared" ca="1" si="110"/>
        <v>-54740200.792009547</v>
      </c>
      <c r="J1324" s="444">
        <f t="array" ref="J1324">IFERROR(INDEX('Retirement Calculator'!K:K,MATCH('Lorri 401b'!N1324,'Retirement Calculator'!A:A,0),0),0)</f>
        <v>0</v>
      </c>
      <c r="K1324" s="444">
        <f t="shared" ca="1" si="108"/>
        <v>-228084.16996670645</v>
      </c>
      <c r="L1324" s="444">
        <f t="shared" ca="1" si="109"/>
        <v>-54968284.961976252</v>
      </c>
      <c r="M1324" s="460">
        <f t="shared" si="111"/>
        <v>0.05</v>
      </c>
      <c r="N1324" s="464">
        <f t="shared" si="112"/>
        <v>91344</v>
      </c>
    </row>
    <row r="1325" spans="7:14" ht="11.25" customHeight="1" x14ac:dyDescent="0.3">
      <c r="G1325" s="459"/>
      <c r="H1325" s="459">
        <v>1318</v>
      </c>
      <c r="I1325" s="444">
        <f t="shared" ca="1" si="110"/>
        <v>-54968284.961976252</v>
      </c>
      <c r="J1325" s="444">
        <f t="array" ref="J1325">IFERROR(INDEX('Retirement Calculator'!K:K,MATCH('Lorri 401b'!N1325,'Retirement Calculator'!A:A,0),0),0)</f>
        <v>0</v>
      </c>
      <c r="K1325" s="444">
        <f t="shared" ca="1" si="108"/>
        <v>-229034.52067490105</v>
      </c>
      <c r="L1325" s="444">
        <f t="shared" ca="1" si="109"/>
        <v>-55197319.482651152</v>
      </c>
      <c r="M1325" s="460">
        <f t="shared" si="111"/>
        <v>0.05</v>
      </c>
      <c r="N1325" s="464">
        <f t="shared" si="112"/>
        <v>91372</v>
      </c>
    </row>
    <row r="1326" spans="7:14" ht="11.25" customHeight="1" x14ac:dyDescent="0.3">
      <c r="G1326" s="459"/>
      <c r="H1326" s="459">
        <v>1319</v>
      </c>
      <c r="I1326" s="444">
        <f t="shared" ca="1" si="110"/>
        <v>-55197319.482651152</v>
      </c>
      <c r="J1326" s="444">
        <f t="array" ref="J1326">IFERROR(INDEX('Retirement Calculator'!K:K,MATCH('Lorri 401b'!N1326,'Retirement Calculator'!A:A,0),0),0)</f>
        <v>0</v>
      </c>
      <c r="K1326" s="444">
        <f t="shared" ca="1" si="108"/>
        <v>-229988.83117771315</v>
      </c>
      <c r="L1326" s="444">
        <f t="shared" ca="1" si="109"/>
        <v>-55427308.313828863</v>
      </c>
      <c r="M1326" s="460">
        <f t="shared" si="111"/>
        <v>0.05</v>
      </c>
      <c r="N1326" s="464">
        <f t="shared" si="112"/>
        <v>91403</v>
      </c>
    </row>
    <row r="1327" spans="7:14" ht="11.25" customHeight="1" x14ac:dyDescent="0.3">
      <c r="G1327" s="459"/>
      <c r="H1327" s="459">
        <v>1320</v>
      </c>
      <c r="I1327" s="444">
        <f t="shared" ca="1" si="110"/>
        <v>-55427308.313828863</v>
      </c>
      <c r="J1327" s="444">
        <f t="array" ref="J1327">IFERROR(INDEX('Retirement Calculator'!K:K,MATCH('Lorri 401b'!N1327,'Retirement Calculator'!A:A,0),0),0)</f>
        <v>0</v>
      </c>
      <c r="K1327" s="444">
        <f t="shared" ca="1" si="108"/>
        <v>-230947.11797428696</v>
      </c>
      <c r="L1327" s="444">
        <f t="shared" ca="1" si="109"/>
        <v>-55658255.431803152</v>
      </c>
      <c r="M1327" s="460">
        <f t="shared" si="111"/>
        <v>0.05</v>
      </c>
      <c r="N1327" s="464">
        <f t="shared" si="112"/>
        <v>91433</v>
      </c>
    </row>
    <row r="1328" spans="7:14" ht="11.25" customHeight="1" x14ac:dyDescent="0.3">
      <c r="G1328" s="459"/>
      <c r="H1328" s="459">
        <v>1321</v>
      </c>
      <c r="I1328" s="444">
        <f t="shared" ca="1" si="110"/>
        <v>-55658255.431803152</v>
      </c>
      <c r="J1328" s="444">
        <f t="array" ref="J1328">IFERROR(INDEX('Retirement Calculator'!K:K,MATCH('Lorri 401b'!N1328,'Retirement Calculator'!A:A,0),0),0)</f>
        <v>0</v>
      </c>
      <c r="K1328" s="444">
        <f t="shared" ca="1" si="108"/>
        <v>-231909.39763251314</v>
      </c>
      <c r="L1328" s="444">
        <f t="shared" ca="1" si="109"/>
        <v>-55890164.829435661</v>
      </c>
      <c r="M1328" s="460">
        <f t="shared" si="111"/>
        <v>0.05</v>
      </c>
      <c r="N1328" s="464">
        <f t="shared" si="112"/>
        <v>91464</v>
      </c>
    </row>
    <row r="1329" spans="7:14" ht="11.25" customHeight="1" x14ac:dyDescent="0.3">
      <c r="G1329" s="459"/>
      <c r="H1329" s="459">
        <v>1322</v>
      </c>
      <c r="I1329" s="444">
        <f t="shared" ca="1" si="110"/>
        <v>-55890164.829435661</v>
      </c>
      <c r="J1329" s="444">
        <f t="array" ref="J1329">IFERROR(INDEX('Retirement Calculator'!K:K,MATCH('Lorri 401b'!N1329,'Retirement Calculator'!A:A,0),0),0)</f>
        <v>0</v>
      </c>
      <c r="K1329" s="444">
        <f t="shared" ca="1" si="108"/>
        <v>-232875.68678931525</v>
      </c>
      <c r="L1329" s="444">
        <f t="shared" ca="1" si="109"/>
        <v>-56123040.51622498</v>
      </c>
      <c r="M1329" s="460">
        <f t="shared" si="111"/>
        <v>0.05</v>
      </c>
      <c r="N1329" s="464">
        <f t="shared" si="112"/>
        <v>91494</v>
      </c>
    </row>
    <row r="1330" spans="7:14" ht="11.25" customHeight="1" x14ac:dyDescent="0.3">
      <c r="G1330" s="459"/>
      <c r="H1330" s="459">
        <v>1323</v>
      </c>
      <c r="I1330" s="444">
        <f t="shared" ca="1" si="110"/>
        <v>-56123040.51622498</v>
      </c>
      <c r="J1330" s="444">
        <f t="array" ref="J1330">IFERROR(INDEX('Retirement Calculator'!K:K,MATCH('Lorri 401b'!N1330,'Retirement Calculator'!A:A,0),0),0)</f>
        <v>0</v>
      </c>
      <c r="K1330" s="444">
        <f t="shared" ca="1" si="108"/>
        <v>-233846.00215093739</v>
      </c>
      <c r="L1330" s="444">
        <f t="shared" ca="1" si="109"/>
        <v>-56356886.518375918</v>
      </c>
      <c r="M1330" s="460">
        <f t="shared" si="111"/>
        <v>0.05</v>
      </c>
      <c r="N1330" s="464">
        <f t="shared" si="112"/>
        <v>91525</v>
      </c>
    </row>
    <row r="1331" spans="7:14" ht="11.25" customHeight="1" x14ac:dyDescent="0.3">
      <c r="G1331" s="459"/>
      <c r="H1331" s="459">
        <v>1324</v>
      </c>
      <c r="I1331" s="444">
        <f t="shared" ca="1" si="110"/>
        <v>-56356886.518375918</v>
      </c>
      <c r="J1331" s="444">
        <f t="array" ref="J1331">IFERROR(INDEX('Retirement Calculator'!K:K,MATCH('Lorri 401b'!N1331,'Retirement Calculator'!A:A,0),0),0)</f>
        <v>0</v>
      </c>
      <c r="K1331" s="444">
        <f t="shared" ca="1" si="108"/>
        <v>-234820.36049323299</v>
      </c>
      <c r="L1331" s="444">
        <f t="shared" ca="1" si="109"/>
        <v>-56591706.878869154</v>
      </c>
      <c r="M1331" s="460">
        <f t="shared" si="111"/>
        <v>0.05</v>
      </c>
      <c r="N1331" s="464">
        <f t="shared" si="112"/>
        <v>91556</v>
      </c>
    </row>
    <row r="1332" spans="7:14" ht="11.25" customHeight="1" x14ac:dyDescent="0.3">
      <c r="G1332" s="459"/>
      <c r="H1332" s="459">
        <v>1325</v>
      </c>
      <c r="I1332" s="444">
        <f t="shared" ca="1" si="110"/>
        <v>-56591706.878869154</v>
      </c>
      <c r="J1332" s="444">
        <f t="array" ref="J1332">IFERROR(INDEX('Retirement Calculator'!K:K,MATCH('Lorri 401b'!N1332,'Retirement Calculator'!A:A,0),0),0)</f>
        <v>0</v>
      </c>
      <c r="K1332" s="444">
        <f t="shared" ca="1" si="108"/>
        <v>-235798.7786619548</v>
      </c>
      <c r="L1332" s="444">
        <f t="shared" ca="1" si="109"/>
        <v>-56827505.657531105</v>
      </c>
      <c r="M1332" s="460">
        <f t="shared" si="111"/>
        <v>0.05</v>
      </c>
      <c r="N1332" s="464">
        <f t="shared" si="112"/>
        <v>91586</v>
      </c>
    </row>
    <row r="1333" spans="7:14" ht="11.25" customHeight="1" x14ac:dyDescent="0.3">
      <c r="G1333" s="459"/>
      <c r="H1333" s="459">
        <v>1326</v>
      </c>
      <c r="I1333" s="444">
        <f t="shared" ca="1" si="110"/>
        <v>-56827505.657531105</v>
      </c>
      <c r="J1333" s="444">
        <f t="array" ref="J1333">IFERROR(INDEX('Retirement Calculator'!K:K,MATCH('Lorri 401b'!N1333,'Retirement Calculator'!A:A,0),0),0)</f>
        <v>0</v>
      </c>
      <c r="K1333" s="444">
        <f t="shared" ca="1" si="108"/>
        <v>-236781.27357304626</v>
      </c>
      <c r="L1333" s="444">
        <f t="shared" ca="1" si="109"/>
        <v>-57064286.931104153</v>
      </c>
      <c r="M1333" s="460">
        <f t="shared" si="111"/>
        <v>0.05</v>
      </c>
      <c r="N1333" s="464">
        <f t="shared" si="112"/>
        <v>91617</v>
      </c>
    </row>
    <row r="1334" spans="7:14" ht="11.25" customHeight="1" x14ac:dyDescent="0.3">
      <c r="G1334" s="459"/>
      <c r="H1334" s="459">
        <v>1327</v>
      </c>
      <c r="I1334" s="444">
        <f t="shared" ca="1" si="110"/>
        <v>-57064286.931104153</v>
      </c>
      <c r="J1334" s="444">
        <f t="array" ref="J1334">IFERROR(INDEX('Retirement Calculator'!K:K,MATCH('Lorri 401b'!N1334,'Retirement Calculator'!A:A,0),0),0)</f>
        <v>0</v>
      </c>
      <c r="K1334" s="444">
        <f t="shared" ca="1" si="108"/>
        <v>-237767.86221293398</v>
      </c>
      <c r="L1334" s="444">
        <f t="shared" ca="1" si="109"/>
        <v>-57302054.793317087</v>
      </c>
      <c r="M1334" s="460">
        <f t="shared" si="111"/>
        <v>0.05</v>
      </c>
      <c r="N1334" s="464">
        <f t="shared" si="112"/>
        <v>91647</v>
      </c>
    </row>
    <row r="1335" spans="7:14" ht="11.25" customHeight="1" x14ac:dyDescent="0.3">
      <c r="G1335" s="459"/>
      <c r="H1335" s="459">
        <v>1328</v>
      </c>
      <c r="I1335" s="444">
        <f t="shared" ca="1" si="110"/>
        <v>-57302054.793317087</v>
      </c>
      <c r="J1335" s="444">
        <f t="array" ref="J1335">IFERROR(INDEX('Retirement Calculator'!K:K,MATCH('Lorri 401b'!N1335,'Retirement Calculator'!A:A,0),0),0)</f>
        <v>0</v>
      </c>
      <c r="K1335" s="444">
        <f t="shared" ca="1" si="108"/>
        <v>-238758.56163882118</v>
      </c>
      <c r="L1335" s="444">
        <f t="shared" ca="1" si="109"/>
        <v>-57540813.354955912</v>
      </c>
      <c r="M1335" s="460">
        <f t="shared" si="111"/>
        <v>0.05</v>
      </c>
      <c r="N1335" s="464">
        <f t="shared" si="112"/>
        <v>91678</v>
      </c>
    </row>
    <row r="1336" spans="7:14" ht="11.25" customHeight="1" x14ac:dyDescent="0.3">
      <c r="G1336" s="459"/>
      <c r="H1336" s="459">
        <v>1329</v>
      </c>
      <c r="I1336" s="444">
        <f t="shared" ca="1" si="110"/>
        <v>-57540813.354955912</v>
      </c>
      <c r="J1336" s="444">
        <f t="array" ref="J1336">IFERROR(INDEX('Retirement Calculator'!K:K,MATCH('Lorri 401b'!N1336,'Retirement Calculator'!A:A,0),0),0)</f>
        <v>0</v>
      </c>
      <c r="K1336" s="444">
        <f t="shared" ca="1" si="108"/>
        <v>-239753.38897898296</v>
      </c>
      <c r="L1336" s="444">
        <f t="shared" ca="1" si="109"/>
        <v>-57780566.743934892</v>
      </c>
      <c r="M1336" s="460">
        <f t="shared" si="111"/>
        <v>0.05</v>
      </c>
      <c r="N1336" s="464">
        <f t="shared" si="112"/>
        <v>91709</v>
      </c>
    </row>
    <row r="1337" spans="7:14" ht="11.25" customHeight="1" x14ac:dyDescent="0.3">
      <c r="G1337" s="459"/>
      <c r="H1337" s="459">
        <v>1330</v>
      </c>
      <c r="I1337" s="444">
        <f t="shared" ca="1" si="110"/>
        <v>-57780566.743934892</v>
      </c>
      <c r="J1337" s="444">
        <f t="array" ref="J1337">IFERROR(INDEX('Retirement Calculator'!K:K,MATCH('Lorri 401b'!N1337,'Retirement Calculator'!A:A,0),0),0)</f>
        <v>0</v>
      </c>
      <c r="K1337" s="444">
        <f t="shared" ca="1" si="108"/>
        <v>-240752.36143306203</v>
      </c>
      <c r="L1337" s="444">
        <f t="shared" ca="1" si="109"/>
        <v>-58021319.105367951</v>
      </c>
      <c r="M1337" s="460">
        <f t="shared" si="111"/>
        <v>0.05</v>
      </c>
      <c r="N1337" s="464">
        <f t="shared" si="112"/>
        <v>91737</v>
      </c>
    </row>
    <row r="1338" spans="7:14" ht="11.25" customHeight="1" x14ac:dyDescent="0.3">
      <c r="G1338" s="459"/>
      <c r="H1338" s="459">
        <v>1331</v>
      </c>
      <c r="I1338" s="444">
        <f t="shared" ca="1" si="110"/>
        <v>-58021319.105367951</v>
      </c>
      <c r="J1338" s="444">
        <f t="array" ref="J1338">IFERROR(INDEX('Retirement Calculator'!K:K,MATCH('Lorri 401b'!N1338,'Retirement Calculator'!A:A,0),0),0)</f>
        <v>0</v>
      </c>
      <c r="K1338" s="444">
        <f t="shared" ca="1" si="108"/>
        <v>-241755.49627236646</v>
      </c>
      <c r="L1338" s="444">
        <f t="shared" ca="1" si="109"/>
        <v>-58263074.601640314</v>
      </c>
      <c r="M1338" s="460">
        <f t="shared" si="111"/>
        <v>0.05</v>
      </c>
      <c r="N1338" s="464">
        <f t="shared" si="112"/>
        <v>91768</v>
      </c>
    </row>
    <row r="1339" spans="7:14" ht="11.25" customHeight="1" x14ac:dyDescent="0.3">
      <c r="G1339" s="459"/>
      <c r="H1339" s="459">
        <v>1332</v>
      </c>
      <c r="I1339" s="444">
        <f t="shared" ca="1" si="110"/>
        <v>-58263074.601640314</v>
      </c>
      <c r="J1339" s="444">
        <f t="array" ref="J1339">IFERROR(INDEX('Retirement Calculator'!K:K,MATCH('Lorri 401b'!N1339,'Retirement Calculator'!A:A,0),0),0)</f>
        <v>0</v>
      </c>
      <c r="K1339" s="444">
        <f t="shared" ca="1" si="108"/>
        <v>-242762.81084016798</v>
      </c>
      <c r="L1339" s="444">
        <f t="shared" ca="1" si="109"/>
        <v>-58505837.412480481</v>
      </c>
      <c r="M1339" s="460">
        <f t="shared" si="111"/>
        <v>0.05</v>
      </c>
      <c r="N1339" s="464">
        <f t="shared" si="112"/>
        <v>91798</v>
      </c>
    </row>
    <row r="1340" spans="7:14" ht="11.25" customHeight="1" x14ac:dyDescent="0.3">
      <c r="G1340" s="459"/>
      <c r="H1340" s="459">
        <v>1333</v>
      </c>
      <c r="I1340" s="444">
        <f t="shared" ca="1" si="110"/>
        <v>-58505837.412480481</v>
      </c>
      <c r="J1340" s="444">
        <f t="array" ref="J1340">IFERROR(INDEX('Retirement Calculator'!K:K,MATCH('Lorri 401b'!N1340,'Retirement Calculator'!A:A,0),0),0)</f>
        <v>0</v>
      </c>
      <c r="K1340" s="444">
        <f t="shared" ca="1" si="108"/>
        <v>-243774.32255200201</v>
      </c>
      <c r="L1340" s="444">
        <f t="shared" ca="1" si="109"/>
        <v>-58749611.735032484</v>
      </c>
      <c r="M1340" s="460">
        <f t="shared" si="111"/>
        <v>0.05</v>
      </c>
      <c r="N1340" s="464">
        <f t="shared" si="112"/>
        <v>91829</v>
      </c>
    </row>
    <row r="1341" spans="7:14" ht="11.25" customHeight="1" x14ac:dyDescent="0.3">
      <c r="G1341" s="459"/>
      <c r="H1341" s="459">
        <v>1334</v>
      </c>
      <c r="I1341" s="444">
        <f t="shared" ca="1" si="110"/>
        <v>-58749611.735032484</v>
      </c>
      <c r="J1341" s="444">
        <f t="array" ref="J1341">IFERROR(INDEX('Retirement Calculator'!K:K,MATCH('Lorri 401b'!N1341,'Retirement Calculator'!A:A,0),0),0)</f>
        <v>0</v>
      </c>
      <c r="K1341" s="444">
        <f t="shared" ca="1" si="108"/>
        <v>-244790.04889596868</v>
      </c>
      <c r="L1341" s="444">
        <f t="shared" ca="1" si="109"/>
        <v>-58994401.783928454</v>
      </c>
      <c r="M1341" s="460">
        <f t="shared" si="111"/>
        <v>0.05</v>
      </c>
      <c r="N1341" s="464">
        <f t="shared" si="112"/>
        <v>91859</v>
      </c>
    </row>
    <row r="1342" spans="7:14" ht="11.25" customHeight="1" x14ac:dyDescent="0.3">
      <c r="G1342" s="459"/>
      <c r="H1342" s="459">
        <v>1335</v>
      </c>
      <c r="I1342" s="444">
        <f t="shared" ca="1" si="110"/>
        <v>-58994401.783928454</v>
      </c>
      <c r="J1342" s="444">
        <f t="array" ref="J1342">IFERROR(INDEX('Retirement Calculator'!K:K,MATCH('Lorri 401b'!N1342,'Retirement Calculator'!A:A,0),0),0)</f>
        <v>0</v>
      </c>
      <c r="K1342" s="444">
        <f t="shared" ca="1" si="108"/>
        <v>-245810.00743303518</v>
      </c>
      <c r="L1342" s="444">
        <f t="shared" ca="1" si="109"/>
        <v>-59240211.791361488</v>
      </c>
      <c r="M1342" s="460">
        <f t="shared" si="111"/>
        <v>0.05</v>
      </c>
      <c r="N1342" s="464">
        <f t="shared" si="112"/>
        <v>91890</v>
      </c>
    </row>
    <row r="1343" spans="7:14" ht="11.25" customHeight="1" x14ac:dyDescent="0.3">
      <c r="G1343" s="459"/>
      <c r="H1343" s="459">
        <v>1336</v>
      </c>
      <c r="I1343" s="444">
        <f t="shared" ca="1" si="110"/>
        <v>-59240211.791361488</v>
      </c>
      <c r="J1343" s="444">
        <f t="array" ref="J1343">IFERROR(INDEX('Retirement Calculator'!K:K,MATCH('Lorri 401b'!N1343,'Retirement Calculator'!A:A,0),0),0)</f>
        <v>0</v>
      </c>
      <c r="K1343" s="444">
        <f t="shared" ca="1" si="108"/>
        <v>-246834.21579733957</v>
      </c>
      <c r="L1343" s="444">
        <f t="shared" ca="1" si="109"/>
        <v>-59487046.007158831</v>
      </c>
      <c r="M1343" s="460">
        <f t="shared" si="111"/>
        <v>0.05</v>
      </c>
      <c r="N1343" s="464">
        <f t="shared" si="112"/>
        <v>91921</v>
      </c>
    </row>
    <row r="1344" spans="7:14" ht="11.25" customHeight="1" x14ac:dyDescent="0.3">
      <c r="G1344" s="459"/>
      <c r="H1344" s="459">
        <v>1337</v>
      </c>
      <c r="I1344" s="444">
        <f t="shared" ca="1" si="110"/>
        <v>-59487046.007158831</v>
      </c>
      <c r="J1344" s="444">
        <f t="array" ref="J1344">IFERROR(INDEX('Retirement Calculator'!K:K,MATCH('Lorri 401b'!N1344,'Retirement Calculator'!A:A,0),0),0)</f>
        <v>0</v>
      </c>
      <c r="K1344" s="444">
        <f t="shared" ca="1" si="108"/>
        <v>-247862.69169649514</v>
      </c>
      <c r="L1344" s="444">
        <f t="shared" ca="1" si="109"/>
        <v>-59734908.698855326</v>
      </c>
      <c r="M1344" s="460">
        <f t="shared" si="111"/>
        <v>0.05</v>
      </c>
      <c r="N1344" s="464">
        <f t="shared" si="112"/>
        <v>91951</v>
      </c>
    </row>
    <row r="1345" spans="7:14" ht="11.25" customHeight="1" x14ac:dyDescent="0.3">
      <c r="G1345" s="459"/>
      <c r="H1345" s="459">
        <v>1338</v>
      </c>
      <c r="I1345" s="444">
        <f t="shared" ca="1" si="110"/>
        <v>-59734908.698855326</v>
      </c>
      <c r="J1345" s="444">
        <f t="array" ref="J1345">IFERROR(INDEX('Retirement Calculator'!K:K,MATCH('Lorri 401b'!N1345,'Retirement Calculator'!A:A,0),0),0)</f>
        <v>0</v>
      </c>
      <c r="K1345" s="444">
        <f t="shared" ca="1" si="108"/>
        <v>-248895.45291189715</v>
      </c>
      <c r="L1345" s="444">
        <f t="shared" ca="1" si="109"/>
        <v>-59983804.151767224</v>
      </c>
      <c r="M1345" s="460">
        <f t="shared" si="111"/>
        <v>0.05</v>
      </c>
      <c r="N1345" s="464">
        <f t="shared" si="112"/>
        <v>91982</v>
      </c>
    </row>
    <row r="1346" spans="7:14" ht="11.25" customHeight="1" x14ac:dyDescent="0.3">
      <c r="G1346" s="459"/>
      <c r="H1346" s="459">
        <v>1339</v>
      </c>
      <c r="I1346" s="444">
        <f t="shared" ca="1" si="110"/>
        <v>-59983804.151767224</v>
      </c>
      <c r="J1346" s="444">
        <f t="array" ref="J1346">IFERROR(INDEX('Retirement Calculator'!K:K,MATCH('Lorri 401b'!N1346,'Retirement Calculator'!A:A,0),0),0)</f>
        <v>0</v>
      </c>
      <c r="K1346" s="444">
        <f t="shared" ca="1" si="108"/>
        <v>-249932.51729903009</v>
      </c>
      <c r="L1346" s="444">
        <f t="shared" ca="1" si="109"/>
        <v>-60233736.669066258</v>
      </c>
      <c r="M1346" s="460">
        <f t="shared" si="111"/>
        <v>0.05</v>
      </c>
      <c r="N1346" s="464">
        <f t="shared" si="112"/>
        <v>92012</v>
      </c>
    </row>
    <row r="1347" spans="7:14" ht="11.25" customHeight="1" x14ac:dyDescent="0.3">
      <c r="G1347" s="459"/>
      <c r="H1347" s="459">
        <v>1340</v>
      </c>
      <c r="I1347" s="444">
        <f t="shared" ca="1" si="110"/>
        <v>-60233736.669066258</v>
      </c>
      <c r="J1347" s="444">
        <f t="array" ref="J1347">IFERROR(INDEX('Retirement Calculator'!K:K,MATCH('Lorri 401b'!N1347,'Retirement Calculator'!A:A,0),0),0)</f>
        <v>0</v>
      </c>
      <c r="K1347" s="444">
        <f t="shared" ca="1" si="108"/>
        <v>-250973.90278777611</v>
      </c>
      <c r="L1347" s="444">
        <f t="shared" ca="1" si="109"/>
        <v>-60484710.571854033</v>
      </c>
      <c r="M1347" s="460">
        <f t="shared" si="111"/>
        <v>0.05</v>
      </c>
      <c r="N1347" s="464">
        <f t="shared" si="112"/>
        <v>92043</v>
      </c>
    </row>
    <row r="1348" spans="7:14" ht="11.25" customHeight="1" x14ac:dyDescent="0.3">
      <c r="G1348" s="459"/>
      <c r="H1348" s="459">
        <v>1341</v>
      </c>
      <c r="I1348" s="444">
        <f t="shared" ca="1" si="110"/>
        <v>-60484710.571854033</v>
      </c>
      <c r="J1348" s="444">
        <f t="array" ref="J1348">IFERROR(INDEX('Retirement Calculator'!K:K,MATCH('Lorri 401b'!N1348,'Retirement Calculator'!A:A,0),0),0)</f>
        <v>0</v>
      </c>
      <c r="K1348" s="444">
        <f t="shared" ca="1" si="108"/>
        <v>-252019.62738272513</v>
      </c>
      <c r="L1348" s="444">
        <f t="shared" ca="1" si="109"/>
        <v>-60736730.199236758</v>
      </c>
      <c r="M1348" s="460">
        <f t="shared" si="111"/>
        <v>0.05</v>
      </c>
      <c r="N1348" s="464">
        <f t="shared" si="112"/>
        <v>92074</v>
      </c>
    </row>
    <row r="1349" spans="7:14" ht="11.25" customHeight="1" x14ac:dyDescent="0.3">
      <c r="G1349" s="459"/>
      <c r="H1349" s="459">
        <v>1342</v>
      </c>
      <c r="I1349" s="444">
        <f t="shared" ca="1" si="110"/>
        <v>-60736730.199236758</v>
      </c>
      <c r="J1349" s="444">
        <f t="array" ref="J1349">IFERROR(INDEX('Retirement Calculator'!K:K,MATCH('Lorri 401b'!N1349,'Retirement Calculator'!A:A,0),0),0)</f>
        <v>0</v>
      </c>
      <c r="K1349" s="444">
        <f t="shared" ca="1" si="108"/>
        <v>-253069.70916348649</v>
      </c>
      <c r="L1349" s="444">
        <f t="shared" ca="1" si="109"/>
        <v>-60989799.908400245</v>
      </c>
      <c r="M1349" s="460">
        <f t="shared" si="111"/>
        <v>0.05</v>
      </c>
      <c r="N1349" s="464">
        <f t="shared" si="112"/>
        <v>92103</v>
      </c>
    </row>
    <row r="1350" spans="7:14" ht="11.25" customHeight="1" x14ac:dyDescent="0.3">
      <c r="G1350" s="459"/>
      <c r="H1350" s="459">
        <v>1343</v>
      </c>
      <c r="I1350" s="444">
        <f t="shared" ca="1" si="110"/>
        <v>-60989799.908400245</v>
      </c>
      <c r="J1350" s="444">
        <f t="array" ref="J1350">IFERROR(INDEX('Retirement Calculator'!K:K,MATCH('Lorri 401b'!N1350,'Retirement Calculator'!A:A,0),0),0)</f>
        <v>0</v>
      </c>
      <c r="K1350" s="444">
        <f t="shared" ca="1" si="108"/>
        <v>-254124.166285001</v>
      </c>
      <c r="L1350" s="444">
        <f t="shared" ca="1" si="109"/>
        <v>-61243924.074685246</v>
      </c>
      <c r="M1350" s="460">
        <f t="shared" si="111"/>
        <v>0.05</v>
      </c>
      <c r="N1350" s="464">
        <f t="shared" si="112"/>
        <v>92134</v>
      </c>
    </row>
    <row r="1351" spans="7:14" ht="11.25" customHeight="1" x14ac:dyDescent="0.3">
      <c r="G1351" s="459"/>
      <c r="H1351" s="459">
        <v>1344</v>
      </c>
      <c r="I1351" s="444">
        <f t="shared" ca="1" si="110"/>
        <v>-61243924.074685246</v>
      </c>
      <c r="J1351" s="444">
        <f t="array" ref="J1351">IFERROR(INDEX('Retirement Calculator'!K:K,MATCH('Lorri 401b'!N1351,'Retirement Calculator'!A:A,0),0),0)</f>
        <v>0</v>
      </c>
      <c r="K1351" s="444">
        <f t="shared" ca="1" si="108"/>
        <v>-255183.01697785518</v>
      </c>
      <c r="L1351" s="444">
        <f t="shared" ca="1" si="109"/>
        <v>-61499107.0916631</v>
      </c>
      <c r="M1351" s="460">
        <f t="shared" si="111"/>
        <v>0.05</v>
      </c>
      <c r="N1351" s="464">
        <f t="shared" si="112"/>
        <v>92164</v>
      </c>
    </row>
    <row r="1352" spans="7:14" ht="11.25" customHeight="1" x14ac:dyDescent="0.3">
      <c r="G1352" s="459"/>
      <c r="H1352" s="459">
        <v>1345</v>
      </c>
      <c r="I1352" s="444">
        <f t="shared" ca="1" si="110"/>
        <v>-61499107.0916631</v>
      </c>
      <c r="J1352" s="444">
        <f t="array" ref="J1352">IFERROR(INDEX('Retirement Calculator'!K:K,MATCH('Lorri 401b'!N1352,'Retirement Calculator'!A:A,0),0),0)</f>
        <v>0</v>
      </c>
      <c r="K1352" s="444">
        <f t="shared" ca="1" si="108"/>
        <v>-256246.27954859624</v>
      </c>
      <c r="L1352" s="444">
        <f t="shared" ca="1" si="109"/>
        <v>-61755353.371211693</v>
      </c>
      <c r="M1352" s="460">
        <f t="shared" si="111"/>
        <v>0.05</v>
      </c>
      <c r="N1352" s="464">
        <f t="shared" si="112"/>
        <v>92195</v>
      </c>
    </row>
    <row r="1353" spans="7:14" ht="11.25" customHeight="1" x14ac:dyDescent="0.3">
      <c r="G1353" s="459"/>
      <c r="H1353" s="459">
        <v>1346</v>
      </c>
      <c r="I1353" s="444">
        <f t="shared" ca="1" si="110"/>
        <v>-61755353.371211693</v>
      </c>
      <c r="J1353" s="444">
        <f t="array" ref="J1353">IFERROR(INDEX('Retirement Calculator'!K:K,MATCH('Lorri 401b'!N1353,'Retirement Calculator'!A:A,0),0),0)</f>
        <v>0</v>
      </c>
      <c r="K1353" s="444">
        <f t="shared" ca="1" si="108"/>
        <v>-257313.97238004871</v>
      </c>
      <c r="L1353" s="444">
        <f t="shared" ca="1" si="109"/>
        <v>-62012667.343591742</v>
      </c>
      <c r="M1353" s="460">
        <f t="shared" si="111"/>
        <v>0.05</v>
      </c>
      <c r="N1353" s="464">
        <f t="shared" si="112"/>
        <v>92225</v>
      </c>
    </row>
    <row r="1354" spans="7:14" ht="11.25" customHeight="1" x14ac:dyDescent="0.3">
      <c r="G1354" s="459"/>
      <c r="H1354" s="459">
        <v>1347</v>
      </c>
      <c r="I1354" s="444">
        <f t="shared" ca="1" si="110"/>
        <v>-62012667.343591742</v>
      </c>
      <c r="J1354" s="444">
        <f t="array" ref="J1354">IFERROR(INDEX('Retirement Calculator'!K:K,MATCH('Lorri 401b'!N1354,'Retirement Calculator'!A:A,0),0),0)</f>
        <v>0</v>
      </c>
      <c r="K1354" s="444">
        <f t="shared" ca="1" si="108"/>
        <v>-258386.11393163225</v>
      </c>
      <c r="L1354" s="444">
        <f t="shared" ca="1" si="109"/>
        <v>-62271053.457523376</v>
      </c>
      <c r="M1354" s="460">
        <f t="shared" si="111"/>
        <v>0.05</v>
      </c>
      <c r="N1354" s="464">
        <f t="shared" si="112"/>
        <v>92256</v>
      </c>
    </row>
    <row r="1355" spans="7:14" ht="11.25" customHeight="1" x14ac:dyDescent="0.3">
      <c r="G1355" s="459"/>
      <c r="H1355" s="459">
        <v>1348</v>
      </c>
      <c r="I1355" s="444">
        <f t="shared" ca="1" si="110"/>
        <v>-62271053.457523376</v>
      </c>
      <c r="J1355" s="444">
        <f t="array" ref="J1355">IFERROR(INDEX('Retirement Calculator'!K:K,MATCH('Lorri 401b'!N1355,'Retirement Calculator'!A:A,0),0),0)</f>
        <v>0</v>
      </c>
      <c r="K1355" s="444">
        <f t="shared" ca="1" si="108"/>
        <v>-259462.72273968073</v>
      </c>
      <c r="L1355" s="444">
        <f t="shared" ca="1" si="109"/>
        <v>-62530516.180263057</v>
      </c>
      <c r="M1355" s="460">
        <f t="shared" si="111"/>
        <v>0.05</v>
      </c>
      <c r="N1355" s="464">
        <f t="shared" si="112"/>
        <v>92287</v>
      </c>
    </row>
    <row r="1356" spans="7:14" ht="11.25" customHeight="1" x14ac:dyDescent="0.3">
      <c r="G1356" s="459"/>
      <c r="H1356" s="459">
        <v>1349</v>
      </c>
      <c r="I1356" s="444">
        <f t="shared" ca="1" si="110"/>
        <v>-62530516.180263057</v>
      </c>
      <c r="J1356" s="444">
        <f t="array" ref="J1356">IFERROR(INDEX('Retirement Calculator'!K:K,MATCH('Lorri 401b'!N1356,'Retirement Calculator'!A:A,0),0),0)</f>
        <v>0</v>
      </c>
      <c r="K1356" s="444">
        <f t="shared" ca="1" si="108"/>
        <v>-260543.81741776274</v>
      </c>
      <c r="L1356" s="444">
        <f t="shared" ca="1" si="109"/>
        <v>-62791059.997680821</v>
      </c>
      <c r="M1356" s="460">
        <f t="shared" si="111"/>
        <v>0.05</v>
      </c>
      <c r="N1356" s="464">
        <f t="shared" si="112"/>
        <v>92317</v>
      </c>
    </row>
    <row r="1357" spans="7:14" ht="11.25" customHeight="1" x14ac:dyDescent="0.3">
      <c r="G1357" s="459"/>
      <c r="H1357" s="459">
        <v>1350</v>
      </c>
      <c r="I1357" s="444">
        <f t="shared" ca="1" si="110"/>
        <v>-62791059.997680821</v>
      </c>
      <c r="J1357" s="444">
        <f t="array" ref="J1357">IFERROR(INDEX('Retirement Calculator'!K:K,MATCH('Lorri 401b'!N1357,'Retirement Calculator'!A:A,0),0),0)</f>
        <v>0</v>
      </c>
      <c r="K1357" s="444">
        <f t="shared" ca="1" si="108"/>
        <v>-261629.41665700337</v>
      </c>
      <c r="L1357" s="444">
        <f t="shared" ca="1" si="109"/>
        <v>-63052689.414337821</v>
      </c>
      <c r="M1357" s="460">
        <f t="shared" si="111"/>
        <v>0.05</v>
      </c>
      <c r="N1357" s="464">
        <f t="shared" si="112"/>
        <v>92348</v>
      </c>
    </row>
    <row r="1358" spans="7:14" ht="11.25" customHeight="1" x14ac:dyDescent="0.3">
      <c r="G1358" s="459"/>
      <c r="H1358" s="459">
        <v>1351</v>
      </c>
      <c r="I1358" s="444">
        <f t="shared" ca="1" si="110"/>
        <v>-63052689.414337821</v>
      </c>
      <c r="J1358" s="444">
        <f t="array" ref="J1358">IFERROR(INDEX('Retirement Calculator'!K:K,MATCH('Lorri 401b'!N1358,'Retirement Calculator'!A:A,0),0),0)</f>
        <v>0</v>
      </c>
      <c r="K1358" s="444">
        <f t="shared" ca="1" si="108"/>
        <v>-262719.53922640753</v>
      </c>
      <c r="L1358" s="444">
        <f t="shared" ca="1" si="109"/>
        <v>-63315408.953564227</v>
      </c>
      <c r="M1358" s="460">
        <f t="shared" si="111"/>
        <v>0.05</v>
      </c>
      <c r="N1358" s="464">
        <f t="shared" si="112"/>
        <v>92378</v>
      </c>
    </row>
    <row r="1359" spans="7:14" ht="11.25" customHeight="1" x14ac:dyDescent="0.3">
      <c r="G1359" s="459"/>
      <c r="H1359" s="459">
        <v>1352</v>
      </c>
      <c r="I1359" s="444">
        <f t="shared" ca="1" si="110"/>
        <v>-63315408.953564227</v>
      </c>
      <c r="J1359" s="444">
        <f t="array" ref="J1359">IFERROR(INDEX('Retirement Calculator'!K:K,MATCH('Lorri 401b'!N1359,'Retirement Calculator'!A:A,0),0),0)</f>
        <v>0</v>
      </c>
      <c r="K1359" s="444">
        <f t="shared" ca="1" si="108"/>
        <v>-263814.20397318422</v>
      </c>
      <c r="L1359" s="444">
        <f t="shared" ca="1" si="109"/>
        <v>-63579223.157537408</v>
      </c>
      <c r="M1359" s="460">
        <f t="shared" si="111"/>
        <v>0.05</v>
      </c>
      <c r="N1359" s="464">
        <f t="shared" si="112"/>
        <v>92409</v>
      </c>
    </row>
    <row r="1360" spans="7:14" ht="11.25" customHeight="1" x14ac:dyDescent="0.3">
      <c r="G1360" s="459"/>
      <c r="H1360" s="459">
        <v>1353</v>
      </c>
      <c r="I1360" s="444">
        <f t="shared" ca="1" si="110"/>
        <v>-63579223.157537408</v>
      </c>
      <c r="J1360" s="444">
        <f t="array" ref="J1360">IFERROR(INDEX('Retirement Calculator'!K:K,MATCH('Lorri 401b'!N1360,'Retirement Calculator'!A:A,0),0),0)</f>
        <v>0</v>
      </c>
      <c r="K1360" s="444">
        <f t="shared" ca="1" si="108"/>
        <v>-264913.42982307251</v>
      </c>
      <c r="L1360" s="444">
        <f t="shared" ca="1" si="109"/>
        <v>-63844136.587360479</v>
      </c>
      <c r="M1360" s="460">
        <f t="shared" si="111"/>
        <v>0.05</v>
      </c>
      <c r="N1360" s="464">
        <f t="shared" si="112"/>
        <v>92440</v>
      </c>
    </row>
    <row r="1361" spans="7:14" ht="11.25" customHeight="1" x14ac:dyDescent="0.3">
      <c r="G1361" s="459"/>
      <c r="H1361" s="459">
        <v>1354</v>
      </c>
      <c r="I1361" s="444">
        <f t="shared" ca="1" si="110"/>
        <v>-63844136.587360479</v>
      </c>
      <c r="J1361" s="444">
        <f t="array" ref="J1361">IFERROR(INDEX('Retirement Calculator'!K:K,MATCH('Lorri 401b'!N1361,'Retirement Calculator'!A:A,0),0),0)</f>
        <v>0</v>
      </c>
      <c r="K1361" s="444">
        <f t="shared" ca="1" si="108"/>
        <v>-266017.23578066862</v>
      </c>
      <c r="L1361" s="444">
        <f t="shared" ca="1" si="109"/>
        <v>-64110153.82314115</v>
      </c>
      <c r="M1361" s="460">
        <f t="shared" si="111"/>
        <v>0.05</v>
      </c>
      <c r="N1361" s="464">
        <f t="shared" si="112"/>
        <v>92468</v>
      </c>
    </row>
    <row r="1362" spans="7:14" ht="11.25" customHeight="1" x14ac:dyDescent="0.3">
      <c r="G1362" s="459"/>
      <c r="H1362" s="459">
        <v>1355</v>
      </c>
      <c r="I1362" s="444">
        <f t="shared" ca="1" si="110"/>
        <v>-64110153.82314115</v>
      </c>
      <c r="J1362" s="444">
        <f t="array" ref="J1362">IFERROR(INDEX('Retirement Calculator'!K:K,MATCH('Lorri 401b'!N1362,'Retirement Calculator'!A:A,0),0),0)</f>
        <v>0</v>
      </c>
      <c r="K1362" s="444">
        <f t="shared" ca="1" si="108"/>
        <v>-267125.64092975482</v>
      </c>
      <c r="L1362" s="444">
        <f t="shared" ca="1" si="109"/>
        <v>-64377279.464070901</v>
      </c>
      <c r="M1362" s="460">
        <f t="shared" si="111"/>
        <v>0.05</v>
      </c>
      <c r="N1362" s="464">
        <f t="shared" si="112"/>
        <v>92499</v>
      </c>
    </row>
    <row r="1363" spans="7:14" ht="11.25" customHeight="1" x14ac:dyDescent="0.3">
      <c r="G1363" s="459"/>
      <c r="H1363" s="459">
        <v>1356</v>
      </c>
      <c r="I1363" s="444">
        <f t="shared" ca="1" si="110"/>
        <v>-64377279.464070901</v>
      </c>
      <c r="J1363" s="444">
        <f t="array" ref="J1363">IFERROR(INDEX('Retirement Calculator'!K:K,MATCH('Lorri 401b'!N1363,'Retirement Calculator'!A:A,0),0),0)</f>
        <v>0</v>
      </c>
      <c r="K1363" s="444">
        <f t="shared" ca="1" si="108"/>
        <v>-268238.66443362879</v>
      </c>
      <c r="L1363" s="444">
        <f t="shared" ca="1" si="109"/>
        <v>-64645518.12850453</v>
      </c>
      <c r="M1363" s="460">
        <f t="shared" si="111"/>
        <v>0.05</v>
      </c>
      <c r="N1363" s="464">
        <f t="shared" si="112"/>
        <v>92529</v>
      </c>
    </row>
    <row r="1364" spans="7:14" ht="11.25" customHeight="1" x14ac:dyDescent="0.3">
      <c r="G1364" s="459"/>
      <c r="H1364" s="459">
        <v>1357</v>
      </c>
      <c r="I1364" s="444">
        <f t="shared" ca="1" si="110"/>
        <v>-64645518.12850453</v>
      </c>
      <c r="J1364" s="444">
        <f t="array" ref="J1364">IFERROR(INDEX('Retirement Calculator'!K:K,MATCH('Lorri 401b'!N1364,'Retirement Calculator'!A:A,0),0),0)</f>
        <v>0</v>
      </c>
      <c r="K1364" s="444">
        <f t="shared" ca="1" si="108"/>
        <v>-269356.32553543552</v>
      </c>
      <c r="L1364" s="444">
        <f t="shared" ca="1" si="109"/>
        <v>-64914874.454039969</v>
      </c>
      <c r="M1364" s="460">
        <f t="shared" si="111"/>
        <v>0.05</v>
      </c>
      <c r="N1364" s="464">
        <f t="shared" si="112"/>
        <v>92560</v>
      </c>
    </row>
    <row r="1365" spans="7:14" ht="11.25" customHeight="1" x14ac:dyDescent="0.3">
      <c r="G1365" s="459"/>
      <c r="H1365" s="459">
        <v>1358</v>
      </c>
      <c r="I1365" s="444">
        <f t="shared" ca="1" si="110"/>
        <v>-64914874.454039969</v>
      </c>
      <c r="J1365" s="444">
        <f t="array" ref="J1365">IFERROR(INDEX('Retirement Calculator'!K:K,MATCH('Lorri 401b'!N1365,'Retirement Calculator'!A:A,0),0),0)</f>
        <v>0</v>
      </c>
      <c r="K1365" s="444">
        <f t="shared" ca="1" si="108"/>
        <v>-270478.64355849987</v>
      </c>
      <c r="L1365" s="444">
        <f t="shared" ca="1" si="109"/>
        <v>-65185353.097598471</v>
      </c>
      <c r="M1365" s="460">
        <f t="shared" si="111"/>
        <v>0.05</v>
      </c>
      <c r="N1365" s="464">
        <f t="shared" si="112"/>
        <v>92590</v>
      </c>
    </row>
    <row r="1366" spans="7:14" ht="11.25" customHeight="1" x14ac:dyDescent="0.3">
      <c r="G1366" s="459"/>
      <c r="H1366" s="459">
        <v>1359</v>
      </c>
      <c r="I1366" s="444">
        <f t="shared" ca="1" si="110"/>
        <v>-65185353.097598471</v>
      </c>
      <c r="J1366" s="444">
        <f t="array" ref="J1366">IFERROR(INDEX('Retirement Calculator'!K:K,MATCH('Lorri 401b'!N1366,'Retirement Calculator'!A:A,0),0),0)</f>
        <v>0</v>
      </c>
      <c r="K1366" s="444">
        <f t="shared" ca="1" si="108"/>
        <v>-271605.63790666027</v>
      </c>
      <c r="L1366" s="444">
        <f t="shared" ca="1" si="109"/>
        <v>-65456958.735505134</v>
      </c>
      <c r="M1366" s="460">
        <f t="shared" si="111"/>
        <v>0.05</v>
      </c>
      <c r="N1366" s="464">
        <f t="shared" si="112"/>
        <v>92621</v>
      </c>
    </row>
    <row r="1367" spans="7:14" ht="11.25" customHeight="1" x14ac:dyDescent="0.3">
      <c r="G1367" s="459"/>
      <c r="H1367" s="459">
        <v>1360</v>
      </c>
      <c r="I1367" s="444">
        <f t="shared" ca="1" si="110"/>
        <v>-65456958.735505134</v>
      </c>
      <c r="J1367" s="444">
        <f t="array" ref="J1367">IFERROR(INDEX('Retirement Calculator'!K:K,MATCH('Lorri 401b'!N1367,'Retirement Calculator'!A:A,0),0),0)</f>
        <v>0</v>
      </c>
      <c r="K1367" s="444">
        <f t="shared" ca="1" si="108"/>
        <v>-272737.32806460472</v>
      </c>
      <c r="L1367" s="444">
        <f t="shared" ca="1" si="109"/>
        <v>-65729696.063569739</v>
      </c>
      <c r="M1367" s="460">
        <f t="shared" si="111"/>
        <v>0.05</v>
      </c>
      <c r="N1367" s="464">
        <f t="shared" si="112"/>
        <v>92652</v>
      </c>
    </row>
    <row r="1368" spans="7:14" ht="11.25" customHeight="1" x14ac:dyDescent="0.3">
      <c r="G1368" s="459"/>
      <c r="H1368" s="459">
        <v>1361</v>
      </c>
      <c r="I1368" s="444">
        <f t="shared" ca="1" si="110"/>
        <v>-65729696.063569739</v>
      </c>
      <c r="J1368" s="444">
        <f t="array" ref="J1368">IFERROR(INDEX('Retirement Calculator'!K:K,MATCH('Lorri 401b'!N1368,'Retirement Calculator'!A:A,0),0),0)</f>
        <v>0</v>
      </c>
      <c r="K1368" s="444">
        <f t="shared" ca="1" si="108"/>
        <v>-273873.73359820724</v>
      </c>
      <c r="L1368" s="444">
        <f t="shared" ca="1" si="109"/>
        <v>-66003569.797167949</v>
      </c>
      <c r="M1368" s="460">
        <f t="shared" si="111"/>
        <v>0.05</v>
      </c>
      <c r="N1368" s="464">
        <f t="shared" si="112"/>
        <v>92682</v>
      </c>
    </row>
    <row r="1369" spans="7:14" ht="11.25" customHeight="1" x14ac:dyDescent="0.3">
      <c r="G1369" s="459"/>
      <c r="H1369" s="459">
        <v>1362</v>
      </c>
      <c r="I1369" s="444">
        <f t="shared" ca="1" si="110"/>
        <v>-66003569.797167949</v>
      </c>
      <c r="J1369" s="444">
        <f t="array" ref="J1369">IFERROR(INDEX('Retirement Calculator'!K:K,MATCH('Lorri 401b'!N1369,'Retirement Calculator'!A:A,0),0),0)</f>
        <v>0</v>
      </c>
      <c r="K1369" s="444">
        <f t="shared" ca="1" si="108"/>
        <v>-275014.87415486644</v>
      </c>
      <c r="L1369" s="444">
        <f t="shared" ca="1" si="109"/>
        <v>-66278584.671322815</v>
      </c>
      <c r="M1369" s="460">
        <f t="shared" si="111"/>
        <v>0.05</v>
      </c>
      <c r="N1369" s="464">
        <f t="shared" si="112"/>
        <v>92713</v>
      </c>
    </row>
    <row r="1370" spans="7:14" ht="11.25" customHeight="1" x14ac:dyDescent="0.3">
      <c r="G1370" s="459"/>
      <c r="H1370" s="459">
        <v>1363</v>
      </c>
      <c r="I1370" s="444">
        <f t="shared" ca="1" si="110"/>
        <v>-66278584.671322815</v>
      </c>
      <c r="J1370" s="444">
        <f t="array" ref="J1370">IFERROR(INDEX('Retirement Calculator'!K:K,MATCH('Lorri 401b'!N1370,'Retirement Calculator'!A:A,0),0),0)</f>
        <v>0</v>
      </c>
      <c r="K1370" s="444">
        <f t="shared" ca="1" si="108"/>
        <v>-276160.76946384506</v>
      </c>
      <c r="L1370" s="444">
        <f t="shared" ca="1" si="109"/>
        <v>-66554745.44078666</v>
      </c>
      <c r="M1370" s="460">
        <f t="shared" si="111"/>
        <v>0.05</v>
      </c>
      <c r="N1370" s="464">
        <f t="shared" si="112"/>
        <v>92743</v>
      </c>
    </row>
    <row r="1371" spans="7:14" ht="11.25" customHeight="1" x14ac:dyDescent="0.3">
      <c r="G1371" s="459"/>
      <c r="H1371" s="459">
        <v>1364</v>
      </c>
      <c r="I1371" s="444">
        <f t="shared" ca="1" si="110"/>
        <v>-66554745.44078666</v>
      </c>
      <c r="J1371" s="444">
        <f t="array" ref="J1371">IFERROR(INDEX('Retirement Calculator'!K:K,MATCH('Lorri 401b'!N1371,'Retirement Calculator'!A:A,0),0),0)</f>
        <v>0</v>
      </c>
      <c r="K1371" s="444">
        <f t="shared" ca="1" si="108"/>
        <v>-277311.43933661107</v>
      </c>
      <c r="L1371" s="444">
        <f t="shared" ca="1" si="109"/>
        <v>-66832056.880123273</v>
      </c>
      <c r="M1371" s="460">
        <f t="shared" si="111"/>
        <v>0.05</v>
      </c>
      <c r="N1371" s="464">
        <f t="shared" si="112"/>
        <v>92774</v>
      </c>
    </row>
    <row r="1372" spans="7:14" ht="11.25" customHeight="1" x14ac:dyDescent="0.3">
      <c r="G1372" s="459"/>
      <c r="H1372" s="459">
        <v>1365</v>
      </c>
      <c r="I1372" s="444">
        <f t="shared" ca="1" si="110"/>
        <v>-66832056.880123273</v>
      </c>
      <c r="J1372" s="444">
        <f t="array" ref="J1372">IFERROR(INDEX('Retirement Calculator'!K:K,MATCH('Lorri 401b'!N1372,'Retirement Calculator'!A:A,0),0),0)</f>
        <v>0</v>
      </c>
      <c r="K1372" s="444">
        <f t="shared" ca="1" si="108"/>
        <v>-278466.90366718028</v>
      </c>
      <c r="L1372" s="444">
        <f t="shared" ca="1" si="109"/>
        <v>-67110523.783790454</v>
      </c>
      <c r="M1372" s="460">
        <f t="shared" si="111"/>
        <v>0.05</v>
      </c>
      <c r="N1372" s="464">
        <f t="shared" si="112"/>
        <v>92805</v>
      </c>
    </row>
    <row r="1373" spans="7:14" ht="11.25" customHeight="1" x14ac:dyDescent="0.3">
      <c r="G1373" s="459"/>
      <c r="H1373" s="459">
        <v>1366</v>
      </c>
      <c r="I1373" s="444">
        <f t="shared" ca="1" si="110"/>
        <v>-67110523.783790454</v>
      </c>
      <c r="J1373" s="444">
        <f t="array" ref="J1373">IFERROR(INDEX('Retirement Calculator'!K:K,MATCH('Lorri 401b'!N1373,'Retirement Calculator'!A:A,0),0),0)</f>
        <v>0</v>
      </c>
      <c r="K1373" s="444">
        <f t="shared" ca="1" si="108"/>
        <v>-279627.18243246025</v>
      </c>
      <c r="L1373" s="444">
        <f t="shared" ca="1" si="109"/>
        <v>-67390150.966222912</v>
      </c>
      <c r="M1373" s="460">
        <f t="shared" si="111"/>
        <v>0.05</v>
      </c>
      <c r="N1373" s="464">
        <f t="shared" si="112"/>
        <v>92833</v>
      </c>
    </row>
    <row r="1374" spans="7:14" ht="11.25" customHeight="1" x14ac:dyDescent="0.3">
      <c r="G1374" s="459"/>
      <c r="H1374" s="459">
        <v>1367</v>
      </c>
      <c r="I1374" s="444">
        <f t="shared" ca="1" si="110"/>
        <v>-67390150.966222912</v>
      </c>
      <c r="J1374" s="444">
        <f t="array" ref="J1374">IFERROR(INDEX('Retirement Calculator'!K:K,MATCH('Lorri 401b'!N1374,'Retirement Calculator'!A:A,0),0),0)</f>
        <v>0</v>
      </c>
      <c r="K1374" s="444">
        <f t="shared" ca="1" si="108"/>
        <v>-280792.29569259548</v>
      </c>
      <c r="L1374" s="444">
        <f t="shared" ca="1" si="109"/>
        <v>-67670943.261915505</v>
      </c>
      <c r="M1374" s="460">
        <f t="shared" si="111"/>
        <v>0.05</v>
      </c>
      <c r="N1374" s="464">
        <f t="shared" si="112"/>
        <v>92864</v>
      </c>
    </row>
    <row r="1375" spans="7:14" ht="11.25" customHeight="1" x14ac:dyDescent="0.3">
      <c r="G1375" s="459"/>
      <c r="H1375" s="459">
        <v>1368</v>
      </c>
      <c r="I1375" s="444">
        <f t="shared" ca="1" si="110"/>
        <v>-67670943.261915505</v>
      </c>
      <c r="J1375" s="444">
        <f t="array" ref="J1375">IFERROR(INDEX('Retirement Calculator'!K:K,MATCH('Lorri 401b'!N1375,'Retirement Calculator'!A:A,0),0),0)</f>
        <v>0</v>
      </c>
      <c r="K1375" s="444">
        <f t="shared" ca="1" si="108"/>
        <v>-281962.26359131461</v>
      </c>
      <c r="L1375" s="444">
        <f t="shared" ca="1" si="109"/>
        <v>-67952905.525506824</v>
      </c>
      <c r="M1375" s="460">
        <f t="shared" si="111"/>
        <v>0.05</v>
      </c>
      <c r="N1375" s="464">
        <f t="shared" si="112"/>
        <v>92894</v>
      </c>
    </row>
    <row r="1376" spans="7:14" ht="11.25" customHeight="1" x14ac:dyDescent="0.3">
      <c r="G1376" s="459"/>
      <c r="H1376" s="459">
        <v>1369</v>
      </c>
      <c r="I1376" s="444">
        <f t="shared" ca="1" si="110"/>
        <v>-67952905.525506824</v>
      </c>
      <c r="J1376" s="444">
        <f t="array" ref="J1376">IFERROR(INDEX('Retirement Calculator'!K:K,MATCH('Lorri 401b'!N1376,'Retirement Calculator'!A:A,0),0),0)</f>
        <v>0</v>
      </c>
      <c r="K1376" s="444">
        <f t="shared" ca="1" si="108"/>
        <v>-283137.10635627841</v>
      </c>
      <c r="L1376" s="444">
        <f t="shared" ca="1" si="109"/>
        <v>-68236042.631863102</v>
      </c>
      <c r="M1376" s="460">
        <f t="shared" si="111"/>
        <v>0.05</v>
      </c>
      <c r="N1376" s="464">
        <f t="shared" si="112"/>
        <v>92925</v>
      </c>
    </row>
    <row r="1377" spans="7:14" ht="11.25" customHeight="1" x14ac:dyDescent="0.3">
      <c r="G1377" s="459"/>
      <c r="H1377" s="459">
        <v>1370</v>
      </c>
      <c r="I1377" s="444">
        <f t="shared" ca="1" si="110"/>
        <v>-68236042.631863102</v>
      </c>
      <c r="J1377" s="444">
        <f t="array" ref="J1377">IFERROR(INDEX('Retirement Calculator'!K:K,MATCH('Lorri 401b'!N1377,'Retirement Calculator'!A:A,0),0),0)</f>
        <v>0</v>
      </c>
      <c r="K1377" s="444">
        <f t="shared" ca="1" si="108"/>
        <v>-284316.84429942956</v>
      </c>
      <c r="L1377" s="444">
        <f t="shared" ca="1" si="109"/>
        <v>-68520359.476162538</v>
      </c>
      <c r="M1377" s="460">
        <f t="shared" si="111"/>
        <v>0.05</v>
      </c>
      <c r="N1377" s="464">
        <f t="shared" si="112"/>
        <v>92955</v>
      </c>
    </row>
    <row r="1378" spans="7:14" ht="11.25" customHeight="1" x14ac:dyDescent="0.3">
      <c r="G1378" s="459"/>
      <c r="H1378" s="459">
        <v>1371</v>
      </c>
      <c r="I1378" s="444">
        <f t="shared" ca="1" si="110"/>
        <v>-68520359.476162538</v>
      </c>
      <c r="J1378" s="444">
        <f t="array" ref="J1378">IFERROR(INDEX('Retirement Calculator'!K:K,MATCH('Lorri 401b'!N1378,'Retirement Calculator'!A:A,0),0),0)</f>
        <v>0</v>
      </c>
      <c r="K1378" s="444">
        <f t="shared" ca="1" si="108"/>
        <v>-285501.49781734392</v>
      </c>
      <c r="L1378" s="444">
        <f t="shared" ca="1" si="109"/>
        <v>-68805860.973979875</v>
      </c>
      <c r="M1378" s="460">
        <f t="shared" si="111"/>
        <v>0.05</v>
      </c>
      <c r="N1378" s="464">
        <f t="shared" si="112"/>
        <v>92986</v>
      </c>
    </row>
    <row r="1379" spans="7:14" ht="11.25" customHeight="1" x14ac:dyDescent="0.3">
      <c r="G1379" s="459"/>
      <c r="H1379" s="459">
        <v>1372</v>
      </c>
      <c r="I1379" s="444">
        <f t="shared" ca="1" si="110"/>
        <v>-68805860.973979875</v>
      </c>
      <c r="J1379" s="444">
        <f t="array" ref="J1379">IFERROR(INDEX('Retirement Calculator'!K:K,MATCH('Lorri 401b'!N1379,'Retirement Calculator'!A:A,0),0),0)</f>
        <v>0</v>
      </c>
      <c r="K1379" s="444">
        <f t="shared" ca="1" si="108"/>
        <v>-286691.08739158278</v>
      </c>
      <c r="L1379" s="444">
        <f t="shared" ca="1" si="109"/>
        <v>-69092552.061371461</v>
      </c>
      <c r="M1379" s="460">
        <f t="shared" si="111"/>
        <v>0.05</v>
      </c>
      <c r="N1379" s="464">
        <f t="shared" si="112"/>
        <v>93017</v>
      </c>
    </row>
    <row r="1380" spans="7:14" ht="11.25" customHeight="1" x14ac:dyDescent="0.3">
      <c r="G1380" s="459"/>
      <c r="H1380" s="459">
        <v>1373</v>
      </c>
      <c r="I1380" s="444">
        <f t="shared" ca="1" si="110"/>
        <v>-69092552.061371461</v>
      </c>
      <c r="J1380" s="444">
        <f t="array" ref="J1380">IFERROR(INDEX('Retirement Calculator'!K:K,MATCH('Lorri 401b'!N1380,'Retirement Calculator'!A:A,0),0),0)</f>
        <v>0</v>
      </c>
      <c r="K1380" s="444">
        <f t="shared" ca="1" si="108"/>
        <v>-287885.63358904776</v>
      </c>
      <c r="L1380" s="444">
        <f t="shared" ca="1" si="109"/>
        <v>-69380437.694960505</v>
      </c>
      <c r="M1380" s="460">
        <f t="shared" si="111"/>
        <v>0.05</v>
      </c>
      <c r="N1380" s="464">
        <f t="shared" si="112"/>
        <v>93047</v>
      </c>
    </row>
    <row r="1381" spans="7:14" ht="11.25" customHeight="1" x14ac:dyDescent="0.3">
      <c r="G1381" s="459"/>
      <c r="H1381" s="459">
        <v>1374</v>
      </c>
      <c r="I1381" s="444">
        <f t="shared" ca="1" si="110"/>
        <v>-69380437.694960505</v>
      </c>
      <c r="J1381" s="444">
        <f t="array" ref="J1381">IFERROR(INDEX('Retirement Calculator'!K:K,MATCH('Lorri 401b'!N1381,'Retirement Calculator'!A:A,0),0),0)</f>
        <v>0</v>
      </c>
      <c r="K1381" s="444">
        <f t="shared" ca="1" si="108"/>
        <v>-289085.15706233541</v>
      </c>
      <c r="L1381" s="444">
        <f t="shared" ca="1" si="109"/>
        <v>-69669522.852022842</v>
      </c>
      <c r="M1381" s="460">
        <f t="shared" si="111"/>
        <v>0.05</v>
      </c>
      <c r="N1381" s="464">
        <f t="shared" si="112"/>
        <v>93078</v>
      </c>
    </row>
    <row r="1382" spans="7:14" ht="11.25" customHeight="1" x14ac:dyDescent="0.3">
      <c r="G1382" s="459"/>
      <c r="H1382" s="459">
        <v>1375</v>
      </c>
      <c r="I1382" s="444">
        <f t="shared" ca="1" si="110"/>
        <v>-69669522.852022842</v>
      </c>
      <c r="J1382" s="444">
        <f t="array" ref="J1382">IFERROR(INDEX('Retirement Calculator'!K:K,MATCH('Lorri 401b'!N1382,'Retirement Calculator'!A:A,0),0),0)</f>
        <v>0</v>
      </c>
      <c r="K1382" s="444">
        <f t="shared" ca="1" si="108"/>
        <v>-290289.67855009518</v>
      </c>
      <c r="L1382" s="444">
        <f t="shared" ca="1" si="109"/>
        <v>-69959812.530572936</v>
      </c>
      <c r="M1382" s="460">
        <f t="shared" si="111"/>
        <v>0.05</v>
      </c>
      <c r="N1382" s="464">
        <f t="shared" si="112"/>
        <v>93108</v>
      </c>
    </row>
    <row r="1383" spans="7:14" ht="11.25" customHeight="1" x14ac:dyDescent="0.3">
      <c r="G1383" s="459"/>
      <c r="H1383" s="459">
        <v>1376</v>
      </c>
      <c r="I1383" s="444">
        <f t="shared" ca="1" si="110"/>
        <v>-69959812.530572936</v>
      </c>
      <c r="J1383" s="444">
        <f t="array" ref="J1383">IFERROR(INDEX('Retirement Calculator'!K:K,MATCH('Lorri 401b'!N1383,'Retirement Calculator'!A:A,0),0),0)</f>
        <v>0</v>
      </c>
      <c r="K1383" s="444">
        <f t="shared" ca="1" si="108"/>
        <v>-291499.21887738723</v>
      </c>
      <c r="L1383" s="444">
        <f t="shared" ca="1" si="109"/>
        <v>-70251311.749450326</v>
      </c>
      <c r="M1383" s="460">
        <f t="shared" si="111"/>
        <v>0.05</v>
      </c>
      <c r="N1383" s="464">
        <f t="shared" si="112"/>
        <v>93139</v>
      </c>
    </row>
    <row r="1384" spans="7:14" ht="11.25" customHeight="1" x14ac:dyDescent="0.3">
      <c r="G1384" s="459"/>
      <c r="H1384" s="459">
        <v>1377</v>
      </c>
      <c r="I1384" s="444">
        <f t="shared" ca="1" si="110"/>
        <v>-70251311.749450326</v>
      </c>
      <c r="J1384" s="444">
        <f t="array" ref="J1384">IFERROR(INDEX('Retirement Calculator'!K:K,MATCH('Lorri 401b'!N1384,'Retirement Calculator'!A:A,0),0),0)</f>
        <v>0</v>
      </c>
      <c r="K1384" s="444">
        <f t="shared" ca="1" si="108"/>
        <v>-292713.79895604303</v>
      </c>
      <c r="L1384" s="444">
        <f t="shared" ca="1" si="109"/>
        <v>-70544025.548406363</v>
      </c>
      <c r="M1384" s="460">
        <f t="shared" si="111"/>
        <v>0.05</v>
      </c>
      <c r="N1384" s="464">
        <f t="shared" si="112"/>
        <v>93170</v>
      </c>
    </row>
    <row r="1385" spans="7:14" ht="11.25" customHeight="1" x14ac:dyDescent="0.3">
      <c r="G1385" s="459"/>
      <c r="H1385" s="459">
        <v>1378</v>
      </c>
      <c r="I1385" s="444">
        <f t="shared" ca="1" si="110"/>
        <v>-70544025.548406363</v>
      </c>
      <c r="J1385" s="444">
        <f t="array" ref="J1385">IFERROR(INDEX('Retirement Calculator'!K:K,MATCH('Lorri 401b'!N1385,'Retirement Calculator'!A:A,0),0),0)</f>
        <v>0</v>
      </c>
      <c r="K1385" s="444">
        <f t="shared" ca="1" si="108"/>
        <v>-293933.43978502648</v>
      </c>
      <c r="L1385" s="444">
        <f t="shared" ca="1" si="109"/>
        <v>-70837958.988191396</v>
      </c>
      <c r="M1385" s="460">
        <f t="shared" si="111"/>
        <v>0.05</v>
      </c>
      <c r="N1385" s="464">
        <f t="shared" si="112"/>
        <v>93198</v>
      </c>
    </row>
    <row r="1386" spans="7:14" ht="11.25" customHeight="1" x14ac:dyDescent="0.3">
      <c r="G1386" s="459"/>
      <c r="H1386" s="459">
        <v>1379</v>
      </c>
      <c r="I1386" s="444">
        <f t="shared" ca="1" si="110"/>
        <v>-70837958.988191396</v>
      </c>
      <c r="J1386" s="444">
        <f t="array" ref="J1386">IFERROR(INDEX('Retirement Calculator'!K:K,MATCH('Lorri 401b'!N1386,'Retirement Calculator'!A:A,0),0),0)</f>
        <v>0</v>
      </c>
      <c r="K1386" s="444">
        <f t="shared" ca="1" si="108"/>
        <v>-295158.16245079751</v>
      </c>
      <c r="L1386" s="444">
        <f t="shared" ca="1" si="109"/>
        <v>-71133117.150642186</v>
      </c>
      <c r="M1386" s="460">
        <f t="shared" si="111"/>
        <v>0.05</v>
      </c>
      <c r="N1386" s="464">
        <f t="shared" si="112"/>
        <v>93229</v>
      </c>
    </row>
    <row r="1387" spans="7:14" ht="11.25" customHeight="1" x14ac:dyDescent="0.3">
      <c r="G1387" s="459"/>
      <c r="H1387" s="459">
        <v>1380</v>
      </c>
      <c r="I1387" s="444">
        <f t="shared" ca="1" si="110"/>
        <v>-71133117.150642186</v>
      </c>
      <c r="J1387" s="444">
        <f t="array" ref="J1387">IFERROR(INDEX('Retirement Calculator'!K:K,MATCH('Lorri 401b'!N1387,'Retirement Calculator'!A:A,0),0),0)</f>
        <v>0</v>
      </c>
      <c r="K1387" s="444">
        <f t="shared" ca="1" si="108"/>
        <v>-296387.98812767578</v>
      </c>
      <c r="L1387" s="444">
        <f t="shared" ca="1" si="109"/>
        <v>-71429505.138769865</v>
      </c>
      <c r="M1387" s="460">
        <f t="shared" si="111"/>
        <v>0.05</v>
      </c>
      <c r="N1387" s="464">
        <f t="shared" si="112"/>
        <v>93259</v>
      </c>
    </row>
    <row r="1388" spans="7:14" ht="11.25" customHeight="1" x14ac:dyDescent="0.3">
      <c r="G1388" s="459"/>
      <c r="H1388" s="459">
        <v>1381</v>
      </c>
      <c r="I1388" s="444">
        <f t="shared" ca="1" si="110"/>
        <v>-71429505.138769865</v>
      </c>
      <c r="J1388" s="444">
        <f t="array" ref="J1388">IFERROR(INDEX('Retirement Calculator'!K:K,MATCH('Lorri 401b'!N1388,'Retirement Calculator'!A:A,0),0),0)</f>
        <v>0</v>
      </c>
      <c r="K1388" s="444">
        <f t="shared" ca="1" si="108"/>
        <v>-297622.93807820778</v>
      </c>
      <c r="L1388" s="444">
        <f t="shared" ca="1" si="109"/>
        <v>-71727128.076848075</v>
      </c>
      <c r="M1388" s="460">
        <f t="shared" si="111"/>
        <v>0.05</v>
      </c>
      <c r="N1388" s="464">
        <f t="shared" si="112"/>
        <v>93290</v>
      </c>
    </row>
    <row r="1389" spans="7:14" ht="11.25" customHeight="1" x14ac:dyDescent="0.3">
      <c r="G1389" s="459"/>
      <c r="H1389" s="459">
        <v>1382</v>
      </c>
      <c r="I1389" s="444">
        <f t="shared" ca="1" si="110"/>
        <v>-71727128.076848075</v>
      </c>
      <c r="J1389" s="444">
        <f t="array" ref="J1389">IFERROR(INDEX('Retirement Calculator'!K:K,MATCH('Lorri 401b'!N1389,'Retirement Calculator'!A:A,0),0),0)</f>
        <v>0</v>
      </c>
      <c r="K1389" s="444">
        <f t="shared" ca="1" si="108"/>
        <v>-298863.03365353367</v>
      </c>
      <c r="L1389" s="444">
        <f t="shared" ca="1" si="109"/>
        <v>-72025991.110501602</v>
      </c>
      <c r="M1389" s="460">
        <f t="shared" si="111"/>
        <v>0.05</v>
      </c>
      <c r="N1389" s="464">
        <f t="shared" si="112"/>
        <v>93320</v>
      </c>
    </row>
    <row r="1390" spans="7:14" ht="11.25" customHeight="1" x14ac:dyDescent="0.3">
      <c r="G1390" s="459"/>
      <c r="H1390" s="459">
        <v>1383</v>
      </c>
      <c r="I1390" s="444">
        <f t="shared" ca="1" si="110"/>
        <v>-72025991.110501602</v>
      </c>
      <c r="J1390" s="444">
        <f t="array" ref="J1390">IFERROR(INDEX('Retirement Calculator'!K:K,MATCH('Lorri 401b'!N1390,'Retirement Calculator'!A:A,0),0),0)</f>
        <v>0</v>
      </c>
      <c r="K1390" s="444">
        <f t="shared" ca="1" si="108"/>
        <v>-300108.29629375669</v>
      </c>
      <c r="L1390" s="444">
        <f t="shared" ca="1" si="109"/>
        <v>-72326099.406795353</v>
      </c>
      <c r="M1390" s="460">
        <f t="shared" si="111"/>
        <v>0.05</v>
      </c>
      <c r="N1390" s="464">
        <f t="shared" si="112"/>
        <v>93351</v>
      </c>
    </row>
    <row r="1391" spans="7:14" ht="11.25" customHeight="1" x14ac:dyDescent="0.3">
      <c r="G1391" s="459"/>
      <c r="H1391" s="459">
        <v>1384</v>
      </c>
      <c r="I1391" s="444">
        <f t="shared" ca="1" si="110"/>
        <v>-72326099.406795353</v>
      </c>
      <c r="J1391" s="444">
        <f t="array" ref="J1391">IFERROR(INDEX('Retirement Calculator'!K:K,MATCH('Lorri 401b'!N1391,'Retirement Calculator'!A:A,0),0),0)</f>
        <v>0</v>
      </c>
      <c r="K1391" s="444">
        <f t="shared" ca="1" si="108"/>
        <v>-301358.74752831395</v>
      </c>
      <c r="L1391" s="444">
        <f t="shared" ca="1" si="109"/>
        <v>-72627458.154323667</v>
      </c>
      <c r="M1391" s="460">
        <f t="shared" si="111"/>
        <v>0.05</v>
      </c>
      <c r="N1391" s="464">
        <f t="shared" si="112"/>
        <v>93382</v>
      </c>
    </row>
    <row r="1392" spans="7:14" ht="11.25" customHeight="1" x14ac:dyDescent="0.3">
      <c r="G1392" s="459"/>
      <c r="H1392" s="459">
        <v>1385</v>
      </c>
      <c r="I1392" s="444">
        <f t="shared" ca="1" si="110"/>
        <v>-72627458.154323667</v>
      </c>
      <c r="J1392" s="444">
        <f t="array" ref="J1392">IFERROR(INDEX('Retirement Calculator'!K:K,MATCH('Lorri 401b'!N1392,'Retirement Calculator'!A:A,0),0),0)</f>
        <v>0</v>
      </c>
      <c r="K1392" s="444">
        <f t="shared" ca="1" si="108"/>
        <v>-302614.40897634858</v>
      </c>
      <c r="L1392" s="444">
        <f t="shared" ca="1" si="109"/>
        <v>-72930072.563300014</v>
      </c>
      <c r="M1392" s="460">
        <f t="shared" si="111"/>
        <v>0.05</v>
      </c>
      <c r="N1392" s="464">
        <f t="shared" si="112"/>
        <v>93412</v>
      </c>
    </row>
    <row r="1393" spans="7:14" ht="11.25" customHeight="1" x14ac:dyDescent="0.3">
      <c r="G1393" s="459"/>
      <c r="H1393" s="459">
        <v>1386</v>
      </c>
      <c r="I1393" s="444">
        <f t="shared" ca="1" si="110"/>
        <v>-72930072.563300014</v>
      </c>
      <c r="J1393" s="444">
        <f t="array" ref="J1393">IFERROR(INDEX('Retirement Calculator'!K:K,MATCH('Lorri 401b'!N1393,'Retirement Calculator'!A:A,0),0),0)</f>
        <v>0</v>
      </c>
      <c r="K1393" s="444">
        <f t="shared" ca="1" si="108"/>
        <v>-303875.3023470834</v>
      </c>
      <c r="L1393" s="444">
        <f t="shared" ca="1" si="109"/>
        <v>-73233947.865647092</v>
      </c>
      <c r="M1393" s="460">
        <f t="shared" si="111"/>
        <v>0.05</v>
      </c>
      <c r="N1393" s="464">
        <f t="shared" si="112"/>
        <v>93443</v>
      </c>
    </row>
    <row r="1394" spans="7:14" ht="11.25" customHeight="1" x14ac:dyDescent="0.3">
      <c r="G1394" s="459"/>
      <c r="H1394" s="459">
        <v>1387</v>
      </c>
      <c r="I1394" s="444">
        <f t="shared" ca="1" si="110"/>
        <v>-73233947.865647092</v>
      </c>
      <c r="J1394" s="444">
        <f t="array" ref="J1394">IFERROR(INDEX('Retirement Calculator'!K:K,MATCH('Lorri 401b'!N1394,'Retirement Calculator'!A:A,0),0),0)</f>
        <v>0</v>
      </c>
      <c r="K1394" s="444">
        <f t="shared" ca="1" si="108"/>
        <v>-305141.44944019621</v>
      </c>
      <c r="L1394" s="444">
        <f t="shared" ca="1" si="109"/>
        <v>-73539089.315087289</v>
      </c>
      <c r="M1394" s="460">
        <f t="shared" si="111"/>
        <v>0.05</v>
      </c>
      <c r="N1394" s="464">
        <f t="shared" si="112"/>
        <v>93473</v>
      </c>
    </row>
    <row r="1395" spans="7:14" ht="11.25" customHeight="1" x14ac:dyDescent="0.3">
      <c r="G1395" s="459"/>
      <c r="H1395" s="459">
        <v>1388</v>
      </c>
      <c r="I1395" s="444">
        <f t="shared" ca="1" si="110"/>
        <v>-73539089.315087289</v>
      </c>
      <c r="J1395" s="444">
        <f t="array" ref="J1395">IFERROR(INDEX('Retirement Calculator'!K:K,MATCH('Lorri 401b'!N1395,'Retirement Calculator'!A:A,0),0),0)</f>
        <v>0</v>
      </c>
      <c r="K1395" s="444">
        <f t="shared" ca="1" si="108"/>
        <v>-306412.87214619701</v>
      </c>
      <c r="L1395" s="444">
        <f t="shared" ca="1" si="109"/>
        <v>-73845502.187233493</v>
      </c>
      <c r="M1395" s="460">
        <f t="shared" si="111"/>
        <v>0.05</v>
      </c>
      <c r="N1395" s="464">
        <f t="shared" si="112"/>
        <v>93504</v>
      </c>
    </row>
    <row r="1396" spans="7:14" ht="11.25" customHeight="1" x14ac:dyDescent="0.3">
      <c r="G1396" s="459"/>
      <c r="H1396" s="459">
        <v>1389</v>
      </c>
      <c r="I1396" s="444">
        <f t="shared" ca="1" si="110"/>
        <v>-73845502.187233493</v>
      </c>
      <c r="J1396" s="444">
        <f t="array" ref="J1396">IFERROR(INDEX('Retirement Calculator'!K:K,MATCH('Lorri 401b'!N1396,'Retirement Calculator'!A:A,0),0),0)</f>
        <v>0</v>
      </c>
      <c r="K1396" s="444">
        <f t="shared" ca="1" si="108"/>
        <v>-307689.5924468062</v>
      </c>
      <c r="L1396" s="444">
        <f t="shared" ca="1" si="109"/>
        <v>-74153191.779680297</v>
      </c>
      <c r="M1396" s="460">
        <f t="shared" si="111"/>
        <v>0.05</v>
      </c>
      <c r="N1396" s="464">
        <f t="shared" si="112"/>
        <v>93535</v>
      </c>
    </row>
    <row r="1397" spans="7:14" ht="11.25" customHeight="1" x14ac:dyDescent="0.3">
      <c r="G1397" s="459"/>
      <c r="H1397" s="459">
        <v>1390</v>
      </c>
      <c r="I1397" s="444">
        <f t="shared" ca="1" si="110"/>
        <v>-74153191.779680297</v>
      </c>
      <c r="J1397" s="444">
        <f t="array" ref="J1397">IFERROR(INDEX('Retirement Calculator'!K:K,MATCH('Lorri 401b'!N1397,'Retirement Calculator'!A:A,0),0),0)</f>
        <v>0</v>
      </c>
      <c r="K1397" s="444">
        <f t="shared" ca="1" si="108"/>
        <v>-308971.63241533458</v>
      </c>
      <c r="L1397" s="444">
        <f t="shared" ca="1" si="109"/>
        <v>-74462163.412095636</v>
      </c>
      <c r="M1397" s="460">
        <f t="shared" si="111"/>
        <v>0.05</v>
      </c>
      <c r="N1397" s="464">
        <f t="shared" si="112"/>
        <v>93564</v>
      </c>
    </row>
    <row r="1398" spans="7:14" ht="11.25" customHeight="1" x14ac:dyDescent="0.3">
      <c r="G1398" s="459"/>
      <c r="H1398" s="459">
        <v>1391</v>
      </c>
      <c r="I1398" s="444">
        <f t="shared" ca="1" si="110"/>
        <v>-74462163.412095636</v>
      </c>
      <c r="J1398" s="444">
        <f t="array" ref="J1398">IFERROR(INDEX('Retirement Calculator'!K:K,MATCH('Lorri 401b'!N1398,'Retirement Calculator'!A:A,0),0),0)</f>
        <v>0</v>
      </c>
      <c r="K1398" s="444">
        <f t="shared" ca="1" si="108"/>
        <v>-310259.01421706512</v>
      </c>
      <c r="L1398" s="444">
        <f t="shared" ca="1" si="109"/>
        <v>-74772422.4263127</v>
      </c>
      <c r="M1398" s="460">
        <f t="shared" si="111"/>
        <v>0.05</v>
      </c>
      <c r="N1398" s="464">
        <f t="shared" si="112"/>
        <v>93595</v>
      </c>
    </row>
    <row r="1399" spans="7:14" ht="11.25" customHeight="1" x14ac:dyDescent="0.3">
      <c r="G1399" s="459"/>
      <c r="H1399" s="459">
        <v>1392</v>
      </c>
      <c r="I1399" s="444">
        <f t="shared" ca="1" si="110"/>
        <v>-74772422.4263127</v>
      </c>
      <c r="J1399" s="444">
        <f t="array" ref="J1399">IFERROR(INDEX('Retirement Calculator'!K:K,MATCH('Lorri 401b'!N1399,'Retirement Calculator'!A:A,0),0),0)</f>
        <v>0</v>
      </c>
      <c r="K1399" s="444">
        <f t="shared" ca="1" si="108"/>
        <v>-311551.76010963623</v>
      </c>
      <c r="L1399" s="444">
        <f t="shared" ca="1" si="109"/>
        <v>-75083974.186422333</v>
      </c>
      <c r="M1399" s="460">
        <f t="shared" si="111"/>
        <v>0.05</v>
      </c>
      <c r="N1399" s="464">
        <f t="shared" si="112"/>
        <v>93625</v>
      </c>
    </row>
    <row r="1400" spans="7:14" ht="11.25" customHeight="1" x14ac:dyDescent="0.3">
      <c r="G1400" s="459"/>
      <c r="H1400" s="459">
        <v>1393</v>
      </c>
      <c r="I1400" s="444">
        <f t="shared" ca="1" si="110"/>
        <v>-75083974.186422333</v>
      </c>
      <c r="J1400" s="444">
        <f t="array" ref="J1400">IFERROR(INDEX('Retirement Calculator'!K:K,MATCH('Lorri 401b'!N1400,'Retirement Calculator'!A:A,0),0),0)</f>
        <v>0</v>
      </c>
      <c r="K1400" s="444">
        <f t="shared" ca="1" si="108"/>
        <v>-312849.89244342636</v>
      </c>
      <c r="L1400" s="444">
        <f t="shared" ca="1" si="109"/>
        <v>-75396824.078865767</v>
      </c>
      <c r="M1400" s="460">
        <f t="shared" si="111"/>
        <v>0.05</v>
      </c>
      <c r="N1400" s="464">
        <f t="shared" si="112"/>
        <v>93656</v>
      </c>
    </row>
    <row r="1401" spans="7:14" ht="11.25" customHeight="1" x14ac:dyDescent="0.3">
      <c r="G1401" s="459"/>
      <c r="H1401" s="459">
        <v>1394</v>
      </c>
      <c r="I1401" s="444">
        <f t="shared" ca="1" si="110"/>
        <v>-75396824.078865767</v>
      </c>
      <c r="J1401" s="444">
        <f t="array" ref="J1401">IFERROR(INDEX('Retirement Calculator'!K:K,MATCH('Lorri 401b'!N1401,'Retirement Calculator'!A:A,0),0),0)</f>
        <v>0</v>
      </c>
      <c r="K1401" s="444">
        <f t="shared" ca="1" si="108"/>
        <v>-314153.43366194068</v>
      </c>
      <c r="L1401" s="444">
        <f t="shared" ca="1" si="109"/>
        <v>-75710977.512527704</v>
      </c>
      <c r="M1401" s="460">
        <f t="shared" si="111"/>
        <v>0.05</v>
      </c>
      <c r="N1401" s="464">
        <f t="shared" si="112"/>
        <v>93686</v>
      </c>
    </row>
    <row r="1402" spans="7:14" ht="11.25" customHeight="1" x14ac:dyDescent="0.3">
      <c r="G1402" s="459"/>
      <c r="H1402" s="459">
        <v>1395</v>
      </c>
      <c r="I1402" s="444">
        <f t="shared" ca="1" si="110"/>
        <v>-75710977.512527704</v>
      </c>
      <c r="J1402" s="444">
        <f t="array" ref="J1402">IFERROR(INDEX('Retirement Calculator'!K:K,MATCH('Lorri 401b'!N1402,'Retirement Calculator'!A:A,0),0),0)</f>
        <v>0</v>
      </c>
      <c r="K1402" s="444">
        <f t="shared" ca="1" si="108"/>
        <v>-315462.40630219877</v>
      </c>
      <c r="L1402" s="444">
        <f t="shared" ca="1" si="109"/>
        <v>-76026439.918829903</v>
      </c>
      <c r="M1402" s="460">
        <f t="shared" si="111"/>
        <v>0.05</v>
      </c>
      <c r="N1402" s="464">
        <f t="shared" si="112"/>
        <v>93717</v>
      </c>
    </row>
    <row r="1403" spans="7:14" ht="11.25" customHeight="1" x14ac:dyDescent="0.3">
      <c r="G1403" s="459"/>
      <c r="H1403" s="459">
        <v>1396</v>
      </c>
      <c r="I1403" s="444">
        <f t="shared" ca="1" si="110"/>
        <v>-76026439.918829903</v>
      </c>
      <c r="J1403" s="444">
        <f t="array" ref="J1403">IFERROR(INDEX('Retirement Calculator'!K:K,MATCH('Lorri 401b'!N1403,'Retirement Calculator'!A:A,0),0),0)</f>
        <v>0</v>
      </c>
      <c r="K1403" s="444">
        <f t="shared" ca="1" si="108"/>
        <v>-316776.83299512457</v>
      </c>
      <c r="L1403" s="444">
        <f t="shared" ca="1" si="109"/>
        <v>-76343216.751825035</v>
      </c>
      <c r="M1403" s="460">
        <f t="shared" si="111"/>
        <v>0.05</v>
      </c>
      <c r="N1403" s="464">
        <f t="shared" si="112"/>
        <v>93748</v>
      </c>
    </row>
    <row r="1404" spans="7:14" ht="11.25" customHeight="1" x14ac:dyDescent="0.3">
      <c r="G1404" s="459"/>
      <c r="H1404" s="459">
        <v>1397</v>
      </c>
      <c r="I1404" s="444">
        <f t="shared" ca="1" si="110"/>
        <v>-76343216.751825035</v>
      </c>
      <c r="J1404" s="444">
        <f t="array" ref="J1404">IFERROR(INDEX('Retirement Calculator'!K:K,MATCH('Lorri 401b'!N1404,'Retirement Calculator'!A:A,0),0),0)</f>
        <v>0</v>
      </c>
      <c r="K1404" s="444">
        <f t="shared" ca="1" si="108"/>
        <v>-318096.73646593763</v>
      </c>
      <c r="L1404" s="444">
        <f t="shared" ca="1" si="109"/>
        <v>-76661313.488290966</v>
      </c>
      <c r="M1404" s="460">
        <f t="shared" si="111"/>
        <v>0.05</v>
      </c>
      <c r="N1404" s="464">
        <f t="shared" si="112"/>
        <v>93778</v>
      </c>
    </row>
    <row r="1405" spans="7:14" ht="11.25" customHeight="1" x14ac:dyDescent="0.3">
      <c r="G1405" s="459"/>
      <c r="H1405" s="459">
        <v>1398</v>
      </c>
      <c r="I1405" s="444">
        <f t="shared" ca="1" si="110"/>
        <v>-76661313.488290966</v>
      </c>
      <c r="J1405" s="444">
        <f t="array" ref="J1405">IFERROR(INDEX('Retirement Calculator'!K:K,MATCH('Lorri 401b'!N1405,'Retirement Calculator'!A:A,0),0),0)</f>
        <v>0</v>
      </c>
      <c r="K1405" s="444">
        <f t="shared" ca="1" si="108"/>
        <v>-319422.13953454571</v>
      </c>
      <c r="L1405" s="444">
        <f t="shared" ca="1" si="109"/>
        <v>-76980735.627825513</v>
      </c>
      <c r="M1405" s="460">
        <f t="shared" si="111"/>
        <v>0.05</v>
      </c>
      <c r="N1405" s="464">
        <f t="shared" si="112"/>
        <v>93809</v>
      </c>
    </row>
    <row r="1406" spans="7:14" ht="11.25" customHeight="1" x14ac:dyDescent="0.3">
      <c r="G1406" s="459"/>
      <c r="H1406" s="459">
        <v>1399</v>
      </c>
      <c r="I1406" s="444">
        <f t="shared" ca="1" si="110"/>
        <v>-76980735.627825513</v>
      </c>
      <c r="J1406" s="444">
        <f t="array" ref="J1406">IFERROR(INDEX('Retirement Calculator'!K:K,MATCH('Lorri 401b'!N1406,'Retirement Calculator'!A:A,0),0),0)</f>
        <v>0</v>
      </c>
      <c r="K1406" s="444">
        <f t="shared" ca="1" si="108"/>
        <v>-320753.06511593965</v>
      </c>
      <c r="L1406" s="444">
        <f t="shared" ca="1" si="109"/>
        <v>-77301488.692941457</v>
      </c>
      <c r="M1406" s="460">
        <f t="shared" si="111"/>
        <v>0.05</v>
      </c>
      <c r="N1406" s="464">
        <f t="shared" si="112"/>
        <v>93839</v>
      </c>
    </row>
    <row r="1407" spans="7:14" ht="11.25" customHeight="1" x14ac:dyDescent="0.3">
      <c r="G1407" s="459"/>
      <c r="H1407" s="459">
        <v>1400</v>
      </c>
      <c r="I1407" s="444">
        <f t="shared" ca="1" si="110"/>
        <v>-77301488.692941457</v>
      </c>
      <c r="J1407" s="444">
        <f t="array" ref="J1407">IFERROR(INDEX('Retirement Calculator'!K:K,MATCH('Lorri 401b'!N1407,'Retirement Calculator'!A:A,0),0),0)</f>
        <v>0</v>
      </c>
      <c r="K1407" s="444">
        <f t="shared" ca="1" si="108"/>
        <v>-322089.53622058942</v>
      </c>
      <c r="L1407" s="444">
        <f t="shared" ca="1" si="109"/>
        <v>-77623578.229162052</v>
      </c>
      <c r="M1407" s="460">
        <f t="shared" si="111"/>
        <v>0.05</v>
      </c>
      <c r="N1407" s="464">
        <f t="shared" si="112"/>
        <v>93870</v>
      </c>
    </row>
    <row r="1408" spans="7:14" ht="11.25" customHeight="1" x14ac:dyDescent="0.3">
      <c r="G1408" s="459"/>
      <c r="H1408" s="459">
        <v>1401</v>
      </c>
      <c r="I1408" s="444">
        <f t="shared" ca="1" si="110"/>
        <v>-77623578.229162052</v>
      </c>
      <c r="J1408" s="444">
        <f t="array" ref="J1408">IFERROR(INDEX('Retirement Calculator'!K:K,MATCH('Lorri 401b'!N1408,'Retirement Calculator'!A:A,0),0),0)</f>
        <v>0</v>
      </c>
      <c r="K1408" s="444">
        <f t="shared" ca="1" si="108"/>
        <v>-323431.57595484186</v>
      </c>
      <c r="L1408" s="444">
        <f t="shared" ca="1" si="109"/>
        <v>-77947009.805116892</v>
      </c>
      <c r="M1408" s="460">
        <f t="shared" si="111"/>
        <v>0.05</v>
      </c>
      <c r="N1408" s="464">
        <f t="shared" si="112"/>
        <v>93901</v>
      </c>
    </row>
    <row r="1409" spans="7:14" ht="11.25" customHeight="1" x14ac:dyDescent="0.3">
      <c r="G1409" s="459"/>
      <c r="H1409" s="459">
        <v>1402</v>
      </c>
      <c r="I1409" s="444">
        <f t="shared" ca="1" si="110"/>
        <v>-77947009.805116892</v>
      </c>
      <c r="J1409" s="444">
        <f t="array" ref="J1409">IFERROR(INDEX('Retirement Calculator'!K:K,MATCH('Lorri 401b'!N1409,'Retirement Calculator'!A:A,0),0),0)</f>
        <v>0</v>
      </c>
      <c r="K1409" s="444">
        <f t="shared" ca="1" si="108"/>
        <v>-324779.20752132038</v>
      </c>
      <c r="L1409" s="444">
        <f t="shared" ca="1" si="109"/>
        <v>-78271789.012638211</v>
      </c>
      <c r="M1409" s="460">
        <f t="shared" si="111"/>
        <v>0.05</v>
      </c>
      <c r="N1409" s="464">
        <f t="shared" si="112"/>
        <v>93929</v>
      </c>
    </row>
    <row r="1410" spans="7:14" ht="11.25" customHeight="1" x14ac:dyDescent="0.3">
      <c r="G1410" s="459"/>
      <c r="H1410" s="459">
        <v>1403</v>
      </c>
      <c r="I1410" s="444">
        <f t="shared" ca="1" si="110"/>
        <v>-78271789.012638211</v>
      </c>
      <c r="J1410" s="444">
        <f t="array" ref="J1410">IFERROR(INDEX('Retirement Calculator'!K:K,MATCH('Lorri 401b'!N1410,'Retirement Calculator'!A:A,0),0),0)</f>
        <v>0</v>
      </c>
      <c r="K1410" s="444">
        <f t="shared" ca="1" si="108"/>
        <v>-326132.45421932585</v>
      </c>
      <c r="L1410" s="444">
        <f t="shared" ca="1" si="109"/>
        <v>-78597921.466857538</v>
      </c>
      <c r="M1410" s="460">
        <f t="shared" si="111"/>
        <v>0.05</v>
      </c>
      <c r="N1410" s="464">
        <f t="shared" si="112"/>
        <v>93960</v>
      </c>
    </row>
    <row r="1411" spans="7:14" ht="11.25" customHeight="1" x14ac:dyDescent="0.3">
      <c r="G1411" s="459"/>
      <c r="H1411" s="459">
        <v>1404</v>
      </c>
      <c r="I1411" s="444">
        <f t="shared" ca="1" si="110"/>
        <v>-78597921.466857538</v>
      </c>
      <c r="J1411" s="444">
        <f t="array" ref="J1411">IFERROR(INDEX('Retirement Calculator'!K:K,MATCH('Lorri 401b'!N1411,'Retirement Calculator'!A:A,0),0),0)</f>
        <v>0</v>
      </c>
      <c r="K1411" s="444">
        <f t="shared" ca="1" si="108"/>
        <v>-327491.33944523975</v>
      </c>
      <c r="L1411" s="444">
        <f t="shared" ca="1" si="109"/>
        <v>-78925412.806302771</v>
      </c>
      <c r="M1411" s="460">
        <f t="shared" si="111"/>
        <v>0.05</v>
      </c>
      <c r="N1411" s="464">
        <f t="shared" si="112"/>
        <v>93990</v>
      </c>
    </row>
    <row r="1412" spans="7:14" ht="11.25" customHeight="1" x14ac:dyDescent="0.3">
      <c r="G1412" s="459"/>
      <c r="H1412" s="459">
        <v>1405</v>
      </c>
      <c r="I1412" s="444">
        <f t="shared" ca="1" si="110"/>
        <v>-78925412.806302771</v>
      </c>
      <c r="J1412" s="444">
        <f t="array" ref="J1412">IFERROR(INDEX('Retirement Calculator'!K:K,MATCH('Lorri 401b'!N1412,'Retirement Calculator'!A:A,0),0),0)</f>
        <v>0</v>
      </c>
      <c r="K1412" s="444">
        <f t="shared" ca="1" si="108"/>
        <v>-328855.88669292821</v>
      </c>
      <c r="L1412" s="444">
        <f t="shared" ca="1" si="109"/>
        <v>-79254268.692995697</v>
      </c>
      <c r="M1412" s="460">
        <f t="shared" si="111"/>
        <v>0.05</v>
      </c>
      <c r="N1412" s="464">
        <f t="shared" si="112"/>
        <v>94021</v>
      </c>
    </row>
    <row r="1413" spans="7:14" ht="11.25" customHeight="1" x14ac:dyDescent="0.3">
      <c r="G1413" s="459"/>
      <c r="H1413" s="459">
        <v>1406</v>
      </c>
      <c r="I1413" s="444">
        <f t="shared" ca="1" si="110"/>
        <v>-79254268.692995697</v>
      </c>
      <c r="J1413" s="444">
        <f t="array" ref="J1413">IFERROR(INDEX('Retirement Calculator'!K:K,MATCH('Lorri 401b'!N1413,'Retirement Calculator'!A:A,0),0),0)</f>
        <v>0</v>
      </c>
      <c r="K1413" s="444">
        <f t="shared" ca="1" si="108"/>
        <v>-330226.11955414875</v>
      </c>
      <c r="L1413" s="444">
        <f t="shared" ca="1" si="109"/>
        <v>-79584494.812549844</v>
      </c>
      <c r="M1413" s="460">
        <f t="shared" si="111"/>
        <v>0.05</v>
      </c>
      <c r="N1413" s="464">
        <f t="shared" si="112"/>
        <v>94051</v>
      </c>
    </row>
    <row r="1414" spans="7:14" ht="11.25" customHeight="1" x14ac:dyDescent="0.3">
      <c r="G1414" s="459"/>
      <c r="H1414" s="459">
        <v>1407</v>
      </c>
      <c r="I1414" s="444">
        <f t="shared" ca="1" si="110"/>
        <v>-79584494.812549844</v>
      </c>
      <c r="J1414" s="444">
        <f t="array" ref="J1414">IFERROR(INDEX('Retirement Calculator'!K:K,MATCH('Lorri 401b'!N1414,'Retirement Calculator'!A:A,0),0),0)</f>
        <v>0</v>
      </c>
      <c r="K1414" s="444">
        <f t="shared" ca="1" si="108"/>
        <v>-331602.06171895767</v>
      </c>
      <c r="L1414" s="444">
        <f t="shared" ca="1" si="109"/>
        <v>-79916096.8742688</v>
      </c>
      <c r="M1414" s="460">
        <f t="shared" si="111"/>
        <v>0.05</v>
      </c>
      <c r="N1414" s="464">
        <f t="shared" si="112"/>
        <v>94082</v>
      </c>
    </row>
    <row r="1415" spans="7:14" ht="11.25" customHeight="1" x14ac:dyDescent="0.3">
      <c r="G1415" s="459"/>
      <c r="H1415" s="459">
        <v>1408</v>
      </c>
      <c r="I1415" s="444">
        <f t="shared" ca="1" si="110"/>
        <v>-79916096.8742688</v>
      </c>
      <c r="J1415" s="444">
        <f t="array" ref="J1415">IFERROR(INDEX('Retirement Calculator'!K:K,MATCH('Lorri 401b'!N1415,'Retirement Calculator'!A:A,0),0),0)</f>
        <v>0</v>
      </c>
      <c r="K1415" s="444">
        <f t="shared" ca="1" si="108"/>
        <v>-332983.73697611998</v>
      </c>
      <c r="L1415" s="444">
        <f t="shared" ca="1" si="109"/>
        <v>-80249080.611244917</v>
      </c>
      <c r="M1415" s="460">
        <f t="shared" si="111"/>
        <v>0.05</v>
      </c>
      <c r="N1415" s="464">
        <f t="shared" si="112"/>
        <v>94113</v>
      </c>
    </row>
    <row r="1416" spans="7:14" ht="11.25" customHeight="1" x14ac:dyDescent="0.3">
      <c r="G1416" s="459"/>
      <c r="H1416" s="459">
        <v>1409</v>
      </c>
      <c r="I1416" s="444">
        <f t="shared" ca="1" si="110"/>
        <v>-80249080.611244917</v>
      </c>
      <c r="J1416" s="444">
        <f t="array" ref="J1416">IFERROR(INDEX('Retirement Calculator'!K:K,MATCH('Lorri 401b'!N1416,'Retirement Calculator'!A:A,0),0),0)</f>
        <v>0</v>
      </c>
      <c r="K1416" s="444">
        <f t="shared" ca="1" si="108"/>
        <v>-334371.16921352048</v>
      </c>
      <c r="L1416" s="444">
        <f t="shared" ca="1" si="109"/>
        <v>-80583451.780458435</v>
      </c>
      <c r="M1416" s="460">
        <f t="shared" si="111"/>
        <v>0.05</v>
      </c>
      <c r="N1416" s="464">
        <f t="shared" si="112"/>
        <v>94143</v>
      </c>
    </row>
    <row r="1417" spans="7:14" ht="11.25" customHeight="1" x14ac:dyDescent="0.3">
      <c r="G1417" s="459"/>
      <c r="H1417" s="459">
        <v>1410</v>
      </c>
      <c r="I1417" s="444">
        <f t="shared" ca="1" si="110"/>
        <v>-80583451.780458435</v>
      </c>
      <c r="J1417" s="444">
        <f t="array" ref="J1417">IFERROR(INDEX('Retirement Calculator'!K:K,MATCH('Lorri 401b'!N1417,'Retirement Calculator'!A:A,0),0),0)</f>
        <v>0</v>
      </c>
      <c r="K1417" s="444">
        <f t="shared" ca="1" si="108"/>
        <v>-335764.3824185768</v>
      </c>
      <c r="L1417" s="444">
        <f t="shared" ca="1" si="109"/>
        <v>-80919216.162877008</v>
      </c>
      <c r="M1417" s="460">
        <f t="shared" si="111"/>
        <v>0.05</v>
      </c>
      <c r="N1417" s="464">
        <f t="shared" si="112"/>
        <v>94174</v>
      </c>
    </row>
    <row r="1418" spans="7:14" ht="11.25" customHeight="1" x14ac:dyDescent="0.3">
      <c r="G1418" s="459"/>
      <c r="H1418" s="459">
        <v>1411</v>
      </c>
      <c r="I1418" s="444">
        <f t="shared" ca="1" si="110"/>
        <v>-80919216.162877008</v>
      </c>
      <c r="J1418" s="444">
        <f t="array" ref="J1418">IFERROR(INDEX('Retirement Calculator'!K:K,MATCH('Lorri 401b'!N1418,'Retirement Calculator'!A:A,0),0),0)</f>
        <v>0</v>
      </c>
      <c r="K1418" s="444">
        <f t="shared" ca="1" si="108"/>
        <v>-337163.4006786542</v>
      </c>
      <c r="L1418" s="444">
        <f t="shared" ca="1" si="109"/>
        <v>-81256379.563555658</v>
      </c>
      <c r="M1418" s="460">
        <f t="shared" si="111"/>
        <v>0.05</v>
      </c>
      <c r="N1418" s="464">
        <f t="shared" si="112"/>
        <v>94204</v>
      </c>
    </row>
    <row r="1419" spans="7:14" ht="11.25" customHeight="1" x14ac:dyDescent="0.3">
      <c r="G1419" s="459"/>
      <c r="H1419" s="459">
        <v>1412</v>
      </c>
      <c r="I1419" s="444">
        <f t="shared" ca="1" si="110"/>
        <v>-81256379.563555658</v>
      </c>
      <c r="J1419" s="444">
        <f t="array" ref="J1419">IFERROR(INDEX('Retirement Calculator'!K:K,MATCH('Lorri 401b'!N1419,'Retirement Calculator'!A:A,0),0),0)</f>
        <v>0</v>
      </c>
      <c r="K1419" s="444">
        <f t="shared" ca="1" si="108"/>
        <v>-338568.2481814819</v>
      </c>
      <c r="L1419" s="444">
        <f t="shared" ca="1" si="109"/>
        <v>-81594947.811737135</v>
      </c>
      <c r="M1419" s="460">
        <f t="shared" si="111"/>
        <v>0.05</v>
      </c>
      <c r="N1419" s="464">
        <f t="shared" si="112"/>
        <v>94235</v>
      </c>
    </row>
    <row r="1420" spans="7:14" ht="11.25" customHeight="1" x14ac:dyDescent="0.3">
      <c r="G1420" s="459"/>
      <c r="H1420" s="459">
        <v>1413</v>
      </c>
      <c r="I1420" s="444">
        <f t="shared" ca="1" si="110"/>
        <v>-81594947.811737135</v>
      </c>
      <c r="J1420" s="444">
        <f t="array" ref="J1420">IFERROR(INDEX('Retirement Calculator'!K:K,MATCH('Lorri 401b'!N1420,'Retirement Calculator'!A:A,0),0),0)</f>
        <v>0</v>
      </c>
      <c r="K1420" s="444">
        <f t="shared" ca="1" si="108"/>
        <v>-339978.9492155714</v>
      </c>
      <c r="L1420" s="444">
        <f t="shared" ca="1" si="109"/>
        <v>-81934926.760952711</v>
      </c>
      <c r="M1420" s="460">
        <f t="shared" si="111"/>
        <v>0.05</v>
      </c>
      <c r="N1420" s="464">
        <f t="shared" si="112"/>
        <v>94266</v>
      </c>
    </row>
    <row r="1421" spans="7:14" ht="11.25" customHeight="1" x14ac:dyDescent="0.3">
      <c r="G1421" s="459"/>
      <c r="H1421" s="459">
        <v>1414</v>
      </c>
      <c r="I1421" s="444">
        <f t="shared" ca="1" si="110"/>
        <v>-81934926.760952711</v>
      </c>
      <c r="J1421" s="444">
        <f t="array" ref="J1421">IFERROR(INDEX('Retirement Calculator'!K:K,MATCH('Lorri 401b'!N1421,'Retirement Calculator'!A:A,0),0),0)</f>
        <v>0</v>
      </c>
      <c r="K1421" s="444">
        <f t="shared" ca="1" si="108"/>
        <v>-341395.52817063627</v>
      </c>
      <c r="L1421" s="444">
        <f t="shared" ca="1" si="109"/>
        <v>-82276322.289123341</v>
      </c>
      <c r="M1421" s="460">
        <f t="shared" si="111"/>
        <v>0.05</v>
      </c>
      <c r="N1421" s="464">
        <f t="shared" si="112"/>
        <v>94294</v>
      </c>
    </row>
    <row r="1422" spans="7:14" ht="11.25" customHeight="1" x14ac:dyDescent="0.3">
      <c r="G1422" s="459"/>
      <c r="H1422" s="459">
        <v>1415</v>
      </c>
      <c r="I1422" s="444">
        <f t="shared" ca="1" si="110"/>
        <v>-82276322.289123341</v>
      </c>
      <c r="J1422" s="444">
        <f t="array" ref="J1422">IFERROR(INDEX('Retirement Calculator'!K:K,MATCH('Lorri 401b'!N1422,'Retirement Calculator'!A:A,0),0),0)</f>
        <v>0</v>
      </c>
      <c r="K1422" s="444">
        <f t="shared" ca="1" si="108"/>
        <v>-342818.0095380139</v>
      </c>
      <c r="L1422" s="444">
        <f t="shared" ca="1" si="109"/>
        <v>-82619140.298661351</v>
      </c>
      <c r="M1422" s="460">
        <f t="shared" si="111"/>
        <v>0.05</v>
      </c>
      <c r="N1422" s="464">
        <f t="shared" si="112"/>
        <v>94325</v>
      </c>
    </row>
    <row r="1423" spans="7:14" ht="11.25" customHeight="1" x14ac:dyDescent="0.3">
      <c r="G1423" s="459"/>
      <c r="H1423" s="459">
        <v>1416</v>
      </c>
      <c r="I1423" s="444">
        <f t="shared" ca="1" si="110"/>
        <v>-82619140.298661351</v>
      </c>
      <c r="J1423" s="444">
        <f t="array" ref="J1423">IFERROR(INDEX('Retirement Calculator'!K:K,MATCH('Lorri 401b'!N1423,'Retirement Calculator'!A:A,0),0),0)</f>
        <v>0</v>
      </c>
      <c r="K1423" s="444">
        <f t="shared" ca="1" si="108"/>
        <v>-344246.41791108897</v>
      </c>
      <c r="L1423" s="444">
        <f t="shared" ca="1" si="109"/>
        <v>-82963386.716572434</v>
      </c>
      <c r="M1423" s="460">
        <f t="shared" si="111"/>
        <v>0.05</v>
      </c>
      <c r="N1423" s="464">
        <f t="shared" si="112"/>
        <v>94355</v>
      </c>
    </row>
    <row r="1424" spans="7:14" ht="11.25" customHeight="1" x14ac:dyDescent="0.3">
      <c r="G1424" s="459"/>
      <c r="H1424" s="459">
        <v>1417</v>
      </c>
      <c r="I1424" s="444">
        <f t="shared" ca="1" si="110"/>
        <v>-82963386.716572434</v>
      </c>
      <c r="J1424" s="444">
        <f t="array" ref="J1424">IFERROR(INDEX('Retirement Calculator'!K:K,MATCH('Lorri 401b'!N1424,'Retirement Calculator'!A:A,0),0),0)</f>
        <v>0</v>
      </c>
      <c r="K1424" s="444">
        <f t="shared" ca="1" si="108"/>
        <v>-345680.77798571845</v>
      </c>
      <c r="L1424" s="444">
        <f t="shared" ca="1" si="109"/>
        <v>-83309067.494558156</v>
      </c>
      <c r="M1424" s="460">
        <f t="shared" si="111"/>
        <v>0.05</v>
      </c>
      <c r="N1424" s="464">
        <f t="shared" si="112"/>
        <v>94386</v>
      </c>
    </row>
    <row r="1425" spans="7:14" ht="11.25" customHeight="1" x14ac:dyDescent="0.3">
      <c r="G1425" s="459"/>
      <c r="H1425" s="459">
        <v>1418</v>
      </c>
      <c r="I1425" s="444">
        <f t="shared" ca="1" si="110"/>
        <v>-83309067.494558156</v>
      </c>
      <c r="J1425" s="444">
        <f t="array" ref="J1425">IFERROR(INDEX('Retirement Calculator'!K:K,MATCH('Lorri 401b'!N1425,'Retirement Calculator'!A:A,0),0),0)</f>
        <v>0</v>
      </c>
      <c r="K1425" s="444">
        <f t="shared" ca="1" si="108"/>
        <v>-347121.11456065899</v>
      </c>
      <c r="L1425" s="444">
        <f t="shared" ca="1" si="109"/>
        <v>-83656188.609118819</v>
      </c>
      <c r="M1425" s="460">
        <f t="shared" si="111"/>
        <v>0.05</v>
      </c>
      <c r="N1425" s="464">
        <f t="shared" si="112"/>
        <v>94416</v>
      </c>
    </row>
    <row r="1426" spans="7:14" ht="11.25" customHeight="1" x14ac:dyDescent="0.3">
      <c r="G1426" s="459"/>
      <c r="H1426" s="459">
        <v>1419</v>
      </c>
      <c r="I1426" s="444">
        <f t="shared" ca="1" si="110"/>
        <v>-83656188.609118819</v>
      </c>
      <c r="J1426" s="444">
        <f t="array" ref="J1426">IFERROR(INDEX('Retirement Calculator'!K:K,MATCH('Lorri 401b'!N1426,'Retirement Calculator'!A:A,0),0),0)</f>
        <v>0</v>
      </c>
      <c r="K1426" s="444">
        <f t="shared" ca="1" si="108"/>
        <v>-348567.45253799506</v>
      </c>
      <c r="L1426" s="444">
        <f t="shared" ca="1" si="109"/>
        <v>-84004756.061656818</v>
      </c>
      <c r="M1426" s="460">
        <f t="shared" si="111"/>
        <v>0.05</v>
      </c>
      <c r="N1426" s="464">
        <f t="shared" si="112"/>
        <v>94447</v>
      </c>
    </row>
    <row r="1427" spans="7:14" ht="11.25" customHeight="1" x14ac:dyDescent="0.3">
      <c r="G1427" s="459"/>
      <c r="H1427" s="459">
        <v>1420</v>
      </c>
      <c r="I1427" s="444">
        <f t="shared" ca="1" si="110"/>
        <v>-84004756.061656818</v>
      </c>
      <c r="J1427" s="444">
        <f t="array" ref="J1427">IFERROR(INDEX('Retirement Calculator'!K:K,MATCH('Lorri 401b'!N1427,'Retirement Calculator'!A:A,0),0),0)</f>
        <v>0</v>
      </c>
      <c r="K1427" s="444">
        <f t="shared" ca="1" si="108"/>
        <v>-350019.81692357006</v>
      </c>
      <c r="L1427" s="444">
        <f t="shared" ca="1" si="109"/>
        <v>-84354775.878580391</v>
      </c>
      <c r="M1427" s="460">
        <f t="shared" si="111"/>
        <v>0.05</v>
      </c>
      <c r="N1427" s="464">
        <f t="shared" si="112"/>
        <v>94478</v>
      </c>
    </row>
    <row r="1428" spans="7:14" ht="11.25" customHeight="1" x14ac:dyDescent="0.3">
      <c r="G1428" s="459"/>
      <c r="H1428" s="459">
        <v>1421</v>
      </c>
      <c r="I1428" s="444">
        <f t="shared" ca="1" si="110"/>
        <v>-84354775.878580391</v>
      </c>
      <c r="J1428" s="444">
        <f t="array" ref="J1428">IFERROR(INDEX('Retirement Calculator'!K:K,MATCH('Lorri 401b'!N1428,'Retirement Calculator'!A:A,0),0),0)</f>
        <v>0</v>
      </c>
      <c r="K1428" s="444">
        <f t="shared" ca="1" si="108"/>
        <v>-351478.23282741831</v>
      </c>
      <c r="L1428" s="444">
        <f t="shared" ca="1" si="109"/>
        <v>-84706254.111407816</v>
      </c>
      <c r="M1428" s="460">
        <f t="shared" si="111"/>
        <v>0.05</v>
      </c>
      <c r="N1428" s="464">
        <f t="shared" si="112"/>
        <v>94508</v>
      </c>
    </row>
    <row r="1429" spans="7:14" ht="11.25" customHeight="1" x14ac:dyDescent="0.3">
      <c r="G1429" s="459"/>
      <c r="H1429" s="459">
        <v>1422</v>
      </c>
      <c r="I1429" s="444">
        <f t="shared" ca="1" si="110"/>
        <v>-84706254.111407816</v>
      </c>
      <c r="J1429" s="444">
        <f t="array" ref="J1429">IFERROR(INDEX('Retirement Calculator'!K:K,MATCH('Lorri 401b'!N1429,'Retirement Calculator'!A:A,0),0),0)</f>
        <v>0</v>
      </c>
      <c r="K1429" s="444">
        <f t="shared" ca="1" si="108"/>
        <v>-352942.7254641992</v>
      </c>
      <c r="L1429" s="444">
        <f t="shared" ca="1" si="109"/>
        <v>-85059196.836872011</v>
      </c>
      <c r="M1429" s="460">
        <f t="shared" si="111"/>
        <v>0.05</v>
      </c>
      <c r="N1429" s="464">
        <f t="shared" si="112"/>
        <v>94539</v>
      </c>
    </row>
    <row r="1430" spans="7:14" ht="11.25" customHeight="1" x14ac:dyDescent="0.3">
      <c r="G1430" s="459"/>
      <c r="H1430" s="459">
        <v>1423</v>
      </c>
      <c r="I1430" s="444">
        <f t="shared" ca="1" si="110"/>
        <v>-85059196.836872011</v>
      </c>
      <c r="J1430" s="444">
        <f t="array" ref="J1430">IFERROR(INDEX('Retirement Calculator'!K:K,MATCH('Lorri 401b'!N1430,'Retirement Calculator'!A:A,0),0),0)</f>
        <v>0</v>
      </c>
      <c r="K1430" s="444">
        <f t="shared" ca="1" si="108"/>
        <v>-354413.32015363337</v>
      </c>
      <c r="L1430" s="444">
        <f t="shared" ca="1" si="109"/>
        <v>-85413610.15702565</v>
      </c>
      <c r="M1430" s="460">
        <f t="shared" si="111"/>
        <v>0.05</v>
      </c>
      <c r="N1430" s="464">
        <f t="shared" si="112"/>
        <v>94569</v>
      </c>
    </row>
    <row r="1431" spans="7:14" ht="11.25" customHeight="1" x14ac:dyDescent="0.3">
      <c r="G1431" s="459"/>
      <c r="H1431" s="459">
        <v>1424</v>
      </c>
      <c r="I1431" s="444">
        <f t="shared" ca="1" si="110"/>
        <v>-85413610.15702565</v>
      </c>
      <c r="J1431" s="444">
        <f t="array" ref="J1431">IFERROR(INDEX('Retirement Calculator'!K:K,MATCH('Lorri 401b'!N1431,'Retirement Calculator'!A:A,0),0),0)</f>
        <v>0</v>
      </c>
      <c r="K1431" s="444">
        <f t="shared" ca="1" si="108"/>
        <v>-355890.04232094018</v>
      </c>
      <c r="L1431" s="444">
        <f t="shared" ca="1" si="109"/>
        <v>-85769500.199346587</v>
      </c>
      <c r="M1431" s="460">
        <f t="shared" si="111"/>
        <v>0.05</v>
      </c>
      <c r="N1431" s="464">
        <f t="shared" si="112"/>
        <v>94600</v>
      </c>
    </row>
    <row r="1432" spans="7:14" ht="11.25" customHeight="1" x14ac:dyDescent="0.3">
      <c r="G1432" s="459"/>
      <c r="H1432" s="459">
        <v>1425</v>
      </c>
      <c r="I1432" s="444">
        <f t="shared" ca="1" si="110"/>
        <v>-85769500.199346587</v>
      </c>
      <c r="J1432" s="444">
        <f t="array" ref="J1432">IFERROR(INDEX('Retirement Calculator'!K:K,MATCH('Lorri 401b'!N1432,'Retirement Calculator'!A:A,0),0),0)</f>
        <v>0</v>
      </c>
      <c r="K1432" s="444">
        <f t="shared" ca="1" si="108"/>
        <v>-357372.91749727743</v>
      </c>
      <c r="L1432" s="444">
        <f t="shared" ca="1" si="109"/>
        <v>-86126873.116843864</v>
      </c>
      <c r="M1432" s="460">
        <f t="shared" si="111"/>
        <v>0.05</v>
      </c>
      <c r="N1432" s="464">
        <f t="shared" si="112"/>
        <v>94631</v>
      </c>
    </row>
    <row r="1433" spans="7:14" ht="11.25" customHeight="1" x14ac:dyDescent="0.3">
      <c r="G1433" s="459"/>
      <c r="H1433" s="459">
        <v>1426</v>
      </c>
      <c r="I1433" s="444">
        <f t="shared" ca="1" si="110"/>
        <v>-86126873.116843864</v>
      </c>
      <c r="J1433" s="444">
        <f t="array" ref="J1433">IFERROR(INDEX('Retirement Calculator'!K:K,MATCH('Lorri 401b'!N1433,'Retirement Calculator'!A:A,0),0),0)</f>
        <v>0</v>
      </c>
      <c r="K1433" s="444">
        <f t="shared" ca="1" si="108"/>
        <v>-358861.97132018278</v>
      </c>
      <c r="L1433" s="444">
        <f t="shared" ca="1" si="109"/>
        <v>-86485735.088164046</v>
      </c>
      <c r="M1433" s="460">
        <f t="shared" si="111"/>
        <v>0.05</v>
      </c>
      <c r="N1433" s="464">
        <f t="shared" si="112"/>
        <v>94659</v>
      </c>
    </row>
    <row r="1434" spans="7:14" ht="11.25" customHeight="1" x14ac:dyDescent="0.3">
      <c r="G1434" s="459"/>
      <c r="H1434" s="459">
        <v>1427</v>
      </c>
      <c r="I1434" s="444">
        <f t="shared" ca="1" si="110"/>
        <v>-86485735.088164046</v>
      </c>
      <c r="J1434" s="444">
        <f t="array" ref="J1434">IFERROR(INDEX('Retirement Calculator'!K:K,MATCH('Lorri 401b'!N1434,'Retirement Calculator'!A:A,0),0),0)</f>
        <v>0</v>
      </c>
      <c r="K1434" s="444">
        <f t="shared" ca="1" si="108"/>
        <v>-360357.22953401686</v>
      </c>
      <c r="L1434" s="444">
        <f t="shared" ca="1" si="109"/>
        <v>-86846092.317698061</v>
      </c>
      <c r="M1434" s="460">
        <f t="shared" si="111"/>
        <v>0.05</v>
      </c>
      <c r="N1434" s="464">
        <f t="shared" si="112"/>
        <v>94690</v>
      </c>
    </row>
    <row r="1435" spans="7:14" ht="11.25" customHeight="1" x14ac:dyDescent="0.3">
      <c r="G1435" s="459"/>
      <c r="H1435" s="459">
        <v>1428</v>
      </c>
      <c r="I1435" s="444">
        <f t="shared" ca="1" si="110"/>
        <v>-86846092.317698061</v>
      </c>
      <c r="J1435" s="444">
        <f t="array" ref="J1435">IFERROR(INDEX('Retirement Calculator'!K:K,MATCH('Lorri 401b'!N1435,'Retirement Calculator'!A:A,0),0),0)</f>
        <v>0</v>
      </c>
      <c r="K1435" s="444">
        <f t="shared" ca="1" si="108"/>
        <v>-361858.71799040859</v>
      </c>
      <c r="L1435" s="444">
        <f t="shared" ca="1" si="109"/>
        <v>-87207951.035688475</v>
      </c>
      <c r="M1435" s="460">
        <f t="shared" si="111"/>
        <v>0.05</v>
      </c>
      <c r="N1435" s="464">
        <f t="shared" si="112"/>
        <v>94720</v>
      </c>
    </row>
    <row r="1436" spans="7:14" ht="11.25" customHeight="1" x14ac:dyDescent="0.3">
      <c r="G1436" s="459"/>
      <c r="H1436" s="459">
        <v>1429</v>
      </c>
      <c r="I1436" s="444">
        <f t="shared" ca="1" si="110"/>
        <v>-87207951.035688475</v>
      </c>
      <c r="J1436" s="444">
        <f t="array" ref="J1436">IFERROR(INDEX('Retirement Calculator'!K:K,MATCH('Lorri 401b'!N1436,'Retirement Calculator'!A:A,0),0),0)</f>
        <v>0</v>
      </c>
      <c r="K1436" s="444">
        <f t="shared" ca="1" si="108"/>
        <v>-363366.46264870197</v>
      </c>
      <c r="L1436" s="444">
        <f t="shared" ca="1" si="109"/>
        <v>-87571317.498337179</v>
      </c>
      <c r="M1436" s="460">
        <f t="shared" si="111"/>
        <v>0.05</v>
      </c>
      <c r="N1436" s="464">
        <f t="shared" si="112"/>
        <v>94751</v>
      </c>
    </row>
    <row r="1437" spans="7:14" ht="11.25" customHeight="1" x14ac:dyDescent="0.3">
      <c r="G1437" s="459"/>
      <c r="H1437" s="459">
        <v>1430</v>
      </c>
      <c r="I1437" s="444">
        <f t="shared" ca="1" si="110"/>
        <v>-87571317.498337179</v>
      </c>
      <c r="J1437" s="444">
        <f t="array" ref="J1437">IFERROR(INDEX('Retirement Calculator'!K:K,MATCH('Lorri 401b'!N1437,'Retirement Calculator'!A:A,0),0),0)</f>
        <v>0</v>
      </c>
      <c r="K1437" s="444">
        <f t="shared" ca="1" si="108"/>
        <v>-364880.48957640491</v>
      </c>
      <c r="L1437" s="444">
        <f t="shared" ca="1" si="109"/>
        <v>-87936197.987913579</v>
      </c>
      <c r="M1437" s="460">
        <f t="shared" si="111"/>
        <v>0.05</v>
      </c>
      <c r="N1437" s="464">
        <f t="shared" si="112"/>
        <v>94781</v>
      </c>
    </row>
    <row r="1438" spans="7:14" ht="11.25" customHeight="1" x14ac:dyDescent="0.3">
      <c r="G1438" s="459"/>
      <c r="H1438" s="459">
        <v>1431</v>
      </c>
      <c r="I1438" s="444">
        <f t="shared" ca="1" si="110"/>
        <v>-87936197.987913579</v>
      </c>
      <c r="J1438" s="444">
        <f t="array" ref="J1438">IFERROR(INDEX('Retirement Calculator'!K:K,MATCH('Lorri 401b'!N1438,'Retirement Calculator'!A:A,0),0),0)</f>
        <v>0</v>
      </c>
      <c r="K1438" s="444">
        <f t="shared" ca="1" si="108"/>
        <v>-366400.82494963991</v>
      </c>
      <c r="L1438" s="444">
        <f t="shared" ca="1" si="109"/>
        <v>-88302598.812863216</v>
      </c>
      <c r="M1438" s="460">
        <f t="shared" si="111"/>
        <v>0.05</v>
      </c>
      <c r="N1438" s="464">
        <f t="shared" si="112"/>
        <v>94812</v>
      </c>
    </row>
    <row r="1439" spans="7:14" ht="11.25" customHeight="1" x14ac:dyDescent="0.3">
      <c r="G1439" s="459"/>
      <c r="H1439" s="459">
        <v>1432</v>
      </c>
      <c r="I1439" s="444">
        <f t="shared" ca="1" si="110"/>
        <v>-88302598.812863216</v>
      </c>
      <c r="J1439" s="444">
        <f t="array" ref="J1439">IFERROR(INDEX('Retirement Calculator'!K:K,MATCH('Lorri 401b'!N1439,'Retirement Calculator'!A:A,0),0),0)</f>
        <v>0</v>
      </c>
      <c r="K1439" s="444">
        <f t="shared" ca="1" si="108"/>
        <v>-367927.49505359674</v>
      </c>
      <c r="L1439" s="444">
        <f t="shared" ca="1" si="109"/>
        <v>-88670526.307916805</v>
      </c>
      <c r="M1439" s="460">
        <f t="shared" si="111"/>
        <v>0.05</v>
      </c>
      <c r="N1439" s="464">
        <f t="shared" si="112"/>
        <v>94843</v>
      </c>
    </row>
    <row r="1440" spans="7:14" ht="11.25" customHeight="1" x14ac:dyDescent="0.3">
      <c r="G1440" s="459"/>
      <c r="H1440" s="459">
        <v>1433</v>
      </c>
      <c r="I1440" s="444">
        <f t="shared" ca="1" si="110"/>
        <v>-88670526.307916805</v>
      </c>
      <c r="J1440" s="444">
        <f t="array" ref="J1440">IFERROR(INDEX('Retirement Calculator'!K:K,MATCH('Lorri 401b'!N1440,'Retirement Calculator'!A:A,0),0),0)</f>
        <v>0</v>
      </c>
      <c r="K1440" s="444">
        <f t="shared" ca="1" si="108"/>
        <v>-369460.52628298668</v>
      </c>
      <c r="L1440" s="444">
        <f t="shared" ca="1" si="109"/>
        <v>-89039986.834199786</v>
      </c>
      <c r="M1440" s="460">
        <f t="shared" si="111"/>
        <v>0.05</v>
      </c>
      <c r="N1440" s="464">
        <f t="shared" si="112"/>
        <v>94873</v>
      </c>
    </row>
    <row r="1441" spans="7:14" ht="11.25" customHeight="1" x14ac:dyDescent="0.3">
      <c r="G1441" s="459"/>
      <c r="H1441" s="459">
        <v>1434</v>
      </c>
      <c r="I1441" s="444">
        <f t="shared" ca="1" si="110"/>
        <v>-89039986.834199786</v>
      </c>
      <c r="J1441" s="444">
        <f t="array" ref="J1441">IFERROR(INDEX('Retirement Calculator'!K:K,MATCH('Lorri 401b'!N1441,'Retirement Calculator'!A:A,0),0),0)</f>
        <v>0</v>
      </c>
      <c r="K1441" s="444">
        <f t="shared" ca="1" si="108"/>
        <v>-370999.94514249911</v>
      </c>
      <c r="L1441" s="444">
        <f t="shared" ca="1" si="109"/>
        <v>-89410986.779342279</v>
      </c>
      <c r="M1441" s="460">
        <f t="shared" si="111"/>
        <v>0.05</v>
      </c>
      <c r="N1441" s="464">
        <f t="shared" si="112"/>
        <v>94904</v>
      </c>
    </row>
    <row r="1442" spans="7:14" ht="11.25" customHeight="1" x14ac:dyDescent="0.3">
      <c r="G1442" s="459"/>
      <c r="H1442" s="459">
        <v>1435</v>
      </c>
      <c r="I1442" s="444">
        <f t="shared" ca="1" si="110"/>
        <v>-89410986.779342279</v>
      </c>
      <c r="J1442" s="444">
        <f t="array" ref="J1442">IFERROR(INDEX('Retirement Calculator'!K:K,MATCH('Lorri 401b'!N1442,'Retirement Calculator'!A:A,0),0),0)</f>
        <v>0</v>
      </c>
      <c r="K1442" s="444">
        <f t="shared" ca="1" si="108"/>
        <v>-372545.7782472595</v>
      </c>
      <c r="L1442" s="444">
        <f t="shared" ca="1" si="109"/>
        <v>-89783532.557589531</v>
      </c>
      <c r="M1442" s="460">
        <f t="shared" si="111"/>
        <v>0.05</v>
      </c>
      <c r="N1442" s="464">
        <f t="shared" si="112"/>
        <v>94934</v>
      </c>
    </row>
    <row r="1443" spans="7:14" ht="11.25" customHeight="1" x14ac:dyDescent="0.3">
      <c r="G1443" s="459"/>
      <c r="H1443" s="459">
        <v>1436</v>
      </c>
      <c r="I1443" s="444">
        <f t="shared" ca="1" si="110"/>
        <v>-89783532.557589531</v>
      </c>
      <c r="J1443" s="444">
        <f t="array" ref="J1443">IFERROR(INDEX('Retirement Calculator'!K:K,MATCH('Lorri 401b'!N1443,'Retirement Calculator'!A:A,0),0),0)</f>
        <v>0</v>
      </c>
      <c r="K1443" s="444">
        <f t="shared" ca="1" si="108"/>
        <v>-374098.05232328968</v>
      </c>
      <c r="L1443" s="444">
        <f t="shared" ca="1" si="109"/>
        <v>-90157630.609912828</v>
      </c>
      <c r="M1443" s="460">
        <f t="shared" si="111"/>
        <v>0.05</v>
      </c>
      <c r="N1443" s="464">
        <f t="shared" si="112"/>
        <v>94965</v>
      </c>
    </row>
    <row r="1444" spans="7:14" ht="11.25" customHeight="1" x14ac:dyDescent="0.3">
      <c r="G1444" s="459"/>
      <c r="H1444" s="459">
        <v>1437</v>
      </c>
      <c r="I1444" s="444">
        <f t="shared" ca="1" si="110"/>
        <v>-90157630.609912828</v>
      </c>
      <c r="J1444" s="444">
        <f t="array" ref="J1444">IFERROR(INDEX('Retirement Calculator'!K:K,MATCH('Lorri 401b'!N1444,'Retirement Calculator'!A:A,0),0),0)</f>
        <v>0</v>
      </c>
      <c r="K1444" s="444">
        <f t="shared" ca="1" si="108"/>
        <v>-375656.79420797009</v>
      </c>
      <c r="L1444" s="444">
        <f t="shared" ca="1" si="109"/>
        <v>-90533287.404120803</v>
      </c>
      <c r="M1444" s="460">
        <f t="shared" si="111"/>
        <v>0.05</v>
      </c>
      <c r="N1444" s="464">
        <f t="shared" si="112"/>
        <v>94996</v>
      </c>
    </row>
    <row r="1445" spans="7:14" ht="11.25" customHeight="1" x14ac:dyDescent="0.3">
      <c r="G1445" s="459"/>
      <c r="H1445" s="459">
        <v>1438</v>
      </c>
      <c r="I1445" s="444">
        <f t="shared" ca="1" si="110"/>
        <v>-90533287.404120803</v>
      </c>
      <c r="J1445" s="444">
        <f t="array" ref="J1445">IFERROR(INDEX('Retirement Calculator'!K:K,MATCH('Lorri 401b'!N1445,'Retirement Calculator'!A:A,0),0),0)</f>
        <v>0</v>
      </c>
      <c r="K1445" s="444">
        <f t="shared" ca="1" si="108"/>
        <v>-377222.03085050336</v>
      </c>
      <c r="L1445" s="444">
        <f t="shared" ca="1" si="109"/>
        <v>-90910509.434971303</v>
      </c>
      <c r="M1445" s="460">
        <f t="shared" si="111"/>
        <v>0.05</v>
      </c>
      <c r="N1445" s="464">
        <f t="shared" si="112"/>
        <v>95025</v>
      </c>
    </row>
    <row r="1446" spans="7:14" ht="11.25" customHeight="1" x14ac:dyDescent="0.3">
      <c r="G1446" s="459"/>
      <c r="H1446" s="459">
        <v>1439</v>
      </c>
      <c r="I1446" s="444">
        <f t="shared" ca="1" si="110"/>
        <v>-90910509.434971303</v>
      </c>
      <c r="J1446" s="444">
        <f t="array" ref="J1446">IFERROR(INDEX('Retirement Calculator'!K:K,MATCH('Lorri 401b'!N1446,'Retirement Calculator'!A:A,0),0),0)</f>
        <v>0</v>
      </c>
      <c r="K1446" s="444">
        <f t="shared" ca="1" si="108"/>
        <v>-378793.78931238042</v>
      </c>
      <c r="L1446" s="444">
        <f t="shared" ca="1" si="109"/>
        <v>-91289303.22428368</v>
      </c>
      <c r="M1446" s="460">
        <f t="shared" si="111"/>
        <v>0.05</v>
      </c>
      <c r="N1446" s="464">
        <f t="shared" si="112"/>
        <v>95056</v>
      </c>
    </row>
    <row r="1447" spans="7:14" ht="11.25" customHeight="1" x14ac:dyDescent="0.3">
      <c r="G1447" s="459"/>
      <c r="H1447" s="459">
        <v>1440</v>
      </c>
      <c r="I1447" s="444">
        <f t="shared" ca="1" si="110"/>
        <v>-91289303.22428368</v>
      </c>
      <c r="J1447" s="444">
        <f t="array" ref="J1447">IFERROR(INDEX('Retirement Calculator'!K:K,MATCH('Lorri 401b'!N1447,'Retirement Calculator'!A:A,0),0),0)</f>
        <v>0</v>
      </c>
      <c r="K1447" s="444">
        <f t="shared" ca="1" si="108"/>
        <v>-380372.09676784865</v>
      </c>
      <c r="L1447" s="444">
        <f t="shared" ca="1" si="109"/>
        <v>-91669675.321051523</v>
      </c>
      <c r="M1447" s="460">
        <f t="shared" si="111"/>
        <v>0.05</v>
      </c>
      <c r="N1447" s="464">
        <f t="shared" si="112"/>
        <v>95086</v>
      </c>
    </row>
    <row r="1448" spans="7:14" ht="11.25" customHeight="1" x14ac:dyDescent="0.3">
      <c r="G1448" s="459"/>
      <c r="H1448" s="459">
        <v>1441</v>
      </c>
      <c r="I1448" s="444">
        <f t="shared" ca="1" si="110"/>
        <v>-91669675.321051523</v>
      </c>
      <c r="J1448" s="444">
        <f t="array" ref="J1448">IFERROR(INDEX('Retirement Calculator'!K:K,MATCH('Lorri 401b'!N1448,'Retirement Calculator'!A:A,0),0),0)</f>
        <v>0</v>
      </c>
      <c r="K1448" s="444">
        <f t="shared" ca="1" si="108"/>
        <v>-381956.98050438135</v>
      </c>
      <c r="L1448" s="444">
        <f t="shared" ca="1" si="109"/>
        <v>-92051632.301555902</v>
      </c>
      <c r="M1448" s="460">
        <f t="shared" si="111"/>
        <v>0.05</v>
      </c>
      <c r="N1448" s="464">
        <f t="shared" si="112"/>
        <v>95117</v>
      </c>
    </row>
    <row r="1449" spans="7:14" ht="11.25" customHeight="1" x14ac:dyDescent="0.3">
      <c r="G1449" s="459"/>
      <c r="H1449" s="459">
        <v>1442</v>
      </c>
      <c r="I1449" s="444">
        <f t="shared" ca="1" si="110"/>
        <v>-92051632.301555902</v>
      </c>
      <c r="J1449" s="444">
        <f t="array" ref="J1449">IFERROR(INDEX('Retirement Calculator'!K:K,MATCH('Lorri 401b'!N1449,'Retirement Calculator'!A:A,0),0),0)</f>
        <v>0</v>
      </c>
      <c r="K1449" s="444">
        <f t="shared" ca="1" si="108"/>
        <v>-383548.46792314958</v>
      </c>
      <c r="L1449" s="444">
        <f t="shared" ca="1" si="109"/>
        <v>-92435180.769479051</v>
      </c>
      <c r="M1449" s="460">
        <f t="shared" si="111"/>
        <v>0.05</v>
      </c>
      <c r="N1449" s="464">
        <f t="shared" si="112"/>
        <v>95147</v>
      </c>
    </row>
    <row r="1450" spans="7:14" ht="11.25" customHeight="1" x14ac:dyDescent="0.3">
      <c r="G1450" s="459"/>
      <c r="H1450" s="459">
        <v>1443</v>
      </c>
      <c r="I1450" s="444">
        <f t="shared" ca="1" si="110"/>
        <v>-92435180.769479051</v>
      </c>
      <c r="J1450" s="444">
        <f t="array" ref="J1450">IFERROR(INDEX('Retirement Calculator'!K:K,MATCH('Lorri 401b'!N1450,'Retirement Calculator'!A:A,0),0),0)</f>
        <v>0</v>
      </c>
      <c r="K1450" s="444">
        <f t="shared" ca="1" si="108"/>
        <v>-385146.58653949603</v>
      </c>
      <c r="L1450" s="444">
        <f t="shared" ca="1" si="109"/>
        <v>-92820327.356018543</v>
      </c>
      <c r="M1450" s="460">
        <f t="shared" si="111"/>
        <v>0.05</v>
      </c>
      <c r="N1450" s="464">
        <f t="shared" si="112"/>
        <v>95178</v>
      </c>
    </row>
    <row r="1451" spans="7:14" ht="11.25" customHeight="1" x14ac:dyDescent="0.3">
      <c r="G1451" s="459"/>
      <c r="H1451" s="459">
        <v>1444</v>
      </c>
      <c r="I1451" s="444">
        <f t="shared" ca="1" si="110"/>
        <v>-92820327.356018543</v>
      </c>
      <c r="J1451" s="444">
        <f t="array" ref="J1451">IFERROR(INDEX('Retirement Calculator'!K:K,MATCH('Lorri 401b'!N1451,'Retirement Calculator'!A:A,0),0),0)</f>
        <v>0</v>
      </c>
      <c r="K1451" s="444">
        <f t="shared" ca="1" si="108"/>
        <v>-386751.36398341059</v>
      </c>
      <c r="L1451" s="444">
        <f t="shared" ca="1" si="109"/>
        <v>-93207078.720001951</v>
      </c>
      <c r="M1451" s="460">
        <f t="shared" si="111"/>
        <v>0.05</v>
      </c>
      <c r="N1451" s="464">
        <f t="shared" si="112"/>
        <v>95209</v>
      </c>
    </row>
    <row r="1452" spans="7:14" ht="11.25" customHeight="1" x14ac:dyDescent="0.3">
      <c r="G1452" s="459"/>
      <c r="H1452" s="459">
        <v>1445</v>
      </c>
      <c r="I1452" s="444">
        <f t="shared" ca="1" si="110"/>
        <v>-93207078.720001951</v>
      </c>
      <c r="J1452" s="444">
        <f t="array" ref="J1452">IFERROR(INDEX('Retirement Calculator'!K:K,MATCH('Lorri 401b'!N1452,'Retirement Calculator'!A:A,0),0),0)</f>
        <v>0</v>
      </c>
      <c r="K1452" s="444">
        <f t="shared" ca="1" si="108"/>
        <v>-388362.82800000813</v>
      </c>
      <c r="L1452" s="444">
        <f t="shared" ca="1" si="109"/>
        <v>-93595441.54800196</v>
      </c>
      <c r="M1452" s="460">
        <f t="shared" si="111"/>
        <v>0.05</v>
      </c>
      <c r="N1452" s="464">
        <f t="shared" si="112"/>
        <v>95239</v>
      </c>
    </row>
    <row r="1453" spans="7:14" ht="11.25" customHeight="1" x14ac:dyDescent="0.3">
      <c r="G1453" s="459"/>
      <c r="H1453" s="459">
        <v>1446</v>
      </c>
      <c r="I1453" s="444">
        <f t="shared" ca="1" si="110"/>
        <v>-93595441.54800196</v>
      </c>
      <c r="J1453" s="444">
        <f t="array" ref="J1453">IFERROR(INDEX('Retirement Calculator'!K:K,MATCH('Lorri 401b'!N1453,'Retirement Calculator'!A:A,0),0),0)</f>
        <v>0</v>
      </c>
      <c r="K1453" s="444">
        <f t="shared" ca="1" si="108"/>
        <v>-389981.00645000814</v>
      </c>
      <c r="L1453" s="444">
        <f t="shared" ca="1" si="109"/>
        <v>-93985422.554451972</v>
      </c>
      <c r="M1453" s="460">
        <f t="shared" si="111"/>
        <v>0.05</v>
      </c>
      <c r="N1453" s="464">
        <f t="shared" si="112"/>
        <v>95270</v>
      </c>
    </row>
    <row r="1454" spans="7:14" ht="11.25" customHeight="1" x14ac:dyDescent="0.3">
      <c r="G1454" s="459"/>
      <c r="H1454" s="459">
        <v>1447</v>
      </c>
      <c r="I1454" s="444">
        <f t="shared" ca="1" si="110"/>
        <v>-93985422.554451972</v>
      </c>
      <c r="J1454" s="444">
        <f t="array" ref="J1454">IFERROR(INDEX('Retirement Calculator'!K:K,MATCH('Lorri 401b'!N1454,'Retirement Calculator'!A:A,0),0),0)</f>
        <v>0</v>
      </c>
      <c r="K1454" s="444">
        <f t="shared" ca="1" si="108"/>
        <v>-391605.92731021653</v>
      </c>
      <c r="L1454" s="444">
        <f t="shared" ca="1" si="109"/>
        <v>-94377028.481762186</v>
      </c>
      <c r="M1454" s="460">
        <f t="shared" si="111"/>
        <v>0.05</v>
      </c>
      <c r="N1454" s="464">
        <f t="shared" si="112"/>
        <v>95300</v>
      </c>
    </row>
    <row r="1455" spans="7:14" ht="11.25" customHeight="1" x14ac:dyDescent="0.3">
      <c r="G1455" s="459"/>
      <c r="H1455" s="459">
        <v>1448</v>
      </c>
      <c r="I1455" s="444">
        <f t="shared" ca="1" si="110"/>
        <v>-94377028.481762186</v>
      </c>
      <c r="J1455" s="444">
        <f t="array" ref="J1455">IFERROR(INDEX('Retirement Calculator'!K:K,MATCH('Lorri 401b'!N1455,'Retirement Calculator'!A:A,0),0),0)</f>
        <v>0</v>
      </c>
      <c r="K1455" s="444">
        <f t="shared" ca="1" si="108"/>
        <v>-393237.61867400911</v>
      </c>
      <c r="L1455" s="444">
        <f t="shared" ca="1" si="109"/>
        <v>-94770266.100436196</v>
      </c>
      <c r="M1455" s="460">
        <f t="shared" si="111"/>
        <v>0.05</v>
      </c>
      <c r="N1455" s="464">
        <f t="shared" si="112"/>
        <v>95331</v>
      </c>
    </row>
    <row r="1456" spans="7:14" ht="11.25" customHeight="1" x14ac:dyDescent="0.3">
      <c r="G1456" s="459"/>
      <c r="H1456" s="459">
        <v>1449</v>
      </c>
      <c r="I1456" s="444">
        <f t="shared" ca="1" si="110"/>
        <v>-94770266.100436196</v>
      </c>
      <c r="J1456" s="444">
        <f t="array" ref="J1456">IFERROR(INDEX('Retirement Calculator'!K:K,MATCH('Lorri 401b'!N1456,'Retirement Calculator'!A:A,0),0),0)</f>
        <v>0</v>
      </c>
      <c r="K1456" s="444">
        <f t="shared" ca="1" si="108"/>
        <v>-394876.10875181749</v>
      </c>
      <c r="L1456" s="444">
        <f t="shared" ca="1" si="109"/>
        <v>-95165142.209188014</v>
      </c>
      <c r="M1456" s="460">
        <f t="shared" si="111"/>
        <v>0.05</v>
      </c>
      <c r="N1456" s="464">
        <f t="shared" si="112"/>
        <v>95362</v>
      </c>
    </row>
    <row r="1457" spans="7:14" ht="11.25" customHeight="1" x14ac:dyDescent="0.3">
      <c r="G1457" s="459"/>
      <c r="H1457" s="459">
        <v>1450</v>
      </c>
      <c r="I1457" s="444">
        <f t="shared" ca="1" si="110"/>
        <v>-95165142.209188014</v>
      </c>
      <c r="J1457" s="444">
        <f t="array" ref="J1457">IFERROR(INDEX('Retirement Calculator'!K:K,MATCH('Lorri 401b'!N1457,'Retirement Calculator'!A:A,0),0),0)</f>
        <v>0</v>
      </c>
      <c r="K1457" s="444">
        <f t="shared" ca="1" si="108"/>
        <v>-396521.4258716167</v>
      </c>
      <c r="L1457" s="444">
        <f t="shared" ca="1" si="109"/>
        <v>-95561663.635059625</v>
      </c>
      <c r="M1457" s="460">
        <f t="shared" si="111"/>
        <v>0.05</v>
      </c>
      <c r="N1457" s="464">
        <f t="shared" si="112"/>
        <v>95390</v>
      </c>
    </row>
    <row r="1458" spans="7:14" ht="11.25" customHeight="1" x14ac:dyDescent="0.3">
      <c r="G1458" s="459"/>
      <c r="H1458" s="459">
        <v>1451</v>
      </c>
      <c r="I1458" s="444">
        <f t="shared" ca="1" si="110"/>
        <v>-95561663.635059625</v>
      </c>
      <c r="J1458" s="444">
        <f t="array" ref="J1458">IFERROR(INDEX('Retirement Calculator'!K:K,MATCH('Lorri 401b'!N1458,'Retirement Calculator'!A:A,0),0),0)</f>
        <v>0</v>
      </c>
      <c r="K1458" s="444">
        <f t="shared" ca="1" si="108"/>
        <v>-398173.59847941512</v>
      </c>
      <c r="L1458" s="444">
        <f t="shared" ca="1" si="109"/>
        <v>-95959837.233539045</v>
      </c>
      <c r="M1458" s="460">
        <f t="shared" si="111"/>
        <v>0.05</v>
      </c>
      <c r="N1458" s="464">
        <f t="shared" si="112"/>
        <v>95421</v>
      </c>
    </row>
    <row r="1459" spans="7:14" ht="11.25" customHeight="1" x14ac:dyDescent="0.3">
      <c r="G1459" s="459"/>
      <c r="H1459" s="459">
        <v>1452</v>
      </c>
      <c r="I1459" s="444">
        <f t="shared" ca="1" si="110"/>
        <v>-95959837.233539045</v>
      </c>
      <c r="J1459" s="444">
        <f t="array" ref="J1459">IFERROR(INDEX('Retirement Calculator'!K:K,MATCH('Lorri 401b'!N1459,'Retirement Calculator'!A:A,0),0),0)</f>
        <v>0</v>
      </c>
      <c r="K1459" s="444">
        <f t="shared" ca="1" si="108"/>
        <v>-399832.65513974603</v>
      </c>
      <c r="L1459" s="444">
        <f t="shared" ca="1" si="109"/>
        <v>-96359669.888678789</v>
      </c>
      <c r="M1459" s="460">
        <f t="shared" si="111"/>
        <v>0.05</v>
      </c>
      <c r="N1459" s="464">
        <f t="shared" si="112"/>
        <v>95451</v>
      </c>
    </row>
    <row r="1460" spans="7:14" ht="11.25" customHeight="1" x14ac:dyDescent="0.3">
      <c r="G1460" s="459"/>
      <c r="H1460" s="459">
        <v>1453</v>
      </c>
      <c r="I1460" s="444">
        <f t="shared" ca="1" si="110"/>
        <v>-96359669.888678789</v>
      </c>
      <c r="J1460" s="444">
        <f t="array" ref="J1460">IFERROR(INDEX('Retirement Calculator'!K:K,MATCH('Lorri 401b'!N1460,'Retirement Calculator'!A:A,0),0),0)</f>
        <v>0</v>
      </c>
      <c r="K1460" s="444">
        <f t="shared" ca="1" si="108"/>
        <v>-401498.6245361616</v>
      </c>
      <c r="L1460" s="444">
        <f t="shared" ca="1" si="109"/>
        <v>-96761168.513214946</v>
      </c>
      <c r="M1460" s="460">
        <f t="shared" si="111"/>
        <v>0.05</v>
      </c>
      <c r="N1460" s="464">
        <f t="shared" si="112"/>
        <v>95482</v>
      </c>
    </row>
    <row r="1461" spans="7:14" ht="11.25" customHeight="1" x14ac:dyDescent="0.3">
      <c r="G1461" s="459"/>
      <c r="H1461" s="459">
        <v>1454</v>
      </c>
      <c r="I1461" s="444">
        <f t="shared" ca="1" si="110"/>
        <v>-96761168.513214946</v>
      </c>
      <c r="J1461" s="444">
        <f t="array" ref="J1461">IFERROR(INDEX('Retirement Calculator'!K:K,MATCH('Lorri 401b'!N1461,'Retirement Calculator'!A:A,0),0),0)</f>
        <v>0</v>
      </c>
      <c r="K1461" s="444">
        <f t="shared" ca="1" si="108"/>
        <v>-403171.53547172894</v>
      </c>
      <c r="L1461" s="444">
        <f t="shared" ca="1" si="109"/>
        <v>-97164340.048686668</v>
      </c>
      <c r="M1461" s="460">
        <f t="shared" si="111"/>
        <v>0.05</v>
      </c>
      <c r="N1461" s="464">
        <f t="shared" si="112"/>
        <v>95512</v>
      </c>
    </row>
    <row r="1462" spans="7:14" ht="11.25" customHeight="1" x14ac:dyDescent="0.3">
      <c r="G1462" s="459"/>
      <c r="H1462" s="459">
        <v>1455</v>
      </c>
      <c r="I1462" s="444">
        <f t="shared" ca="1" si="110"/>
        <v>-97164340.048686668</v>
      </c>
      <c r="J1462" s="444">
        <f t="array" ref="J1462">IFERROR(INDEX('Retirement Calculator'!K:K,MATCH('Lorri 401b'!N1462,'Retirement Calculator'!A:A,0),0),0)</f>
        <v>0</v>
      </c>
      <c r="K1462" s="444">
        <f t="shared" ca="1" si="108"/>
        <v>-404851.41686952778</v>
      </c>
      <c r="L1462" s="444">
        <f t="shared" ca="1" si="109"/>
        <v>-97569191.465556189</v>
      </c>
      <c r="M1462" s="460">
        <f t="shared" si="111"/>
        <v>0.05</v>
      </c>
      <c r="N1462" s="464">
        <f t="shared" si="112"/>
        <v>95543</v>
      </c>
    </row>
    <row r="1463" spans="7:14" ht="11.25" customHeight="1" x14ac:dyDescent="0.3">
      <c r="G1463" s="459"/>
      <c r="H1463" s="459">
        <v>1456</v>
      </c>
      <c r="I1463" s="444">
        <f t="shared" ca="1" si="110"/>
        <v>-97569191.465556189</v>
      </c>
      <c r="J1463" s="444">
        <f t="array" ref="J1463">IFERROR(INDEX('Retirement Calculator'!K:K,MATCH('Lorri 401b'!N1463,'Retirement Calculator'!A:A,0),0),0)</f>
        <v>0</v>
      </c>
      <c r="K1463" s="444">
        <f t="shared" ca="1" si="108"/>
        <v>-406538.29777315079</v>
      </c>
      <c r="L1463" s="444">
        <f t="shared" ca="1" si="109"/>
        <v>-97975729.763329342</v>
      </c>
      <c r="M1463" s="460">
        <f t="shared" si="111"/>
        <v>0.05</v>
      </c>
      <c r="N1463" s="464">
        <f t="shared" si="112"/>
        <v>95574</v>
      </c>
    </row>
    <row r="1464" spans="7:14" ht="11.25" customHeight="1" x14ac:dyDescent="0.3">
      <c r="G1464" s="459"/>
      <c r="H1464" s="459">
        <v>1457</v>
      </c>
      <c r="I1464" s="444">
        <f t="shared" ca="1" si="110"/>
        <v>-97975729.763329342</v>
      </c>
      <c r="J1464" s="444">
        <f t="array" ref="J1464">IFERROR(INDEX('Retirement Calculator'!K:K,MATCH('Lorri 401b'!N1464,'Retirement Calculator'!A:A,0),0),0)</f>
        <v>0</v>
      </c>
      <c r="K1464" s="444">
        <f t="shared" ca="1" si="108"/>
        <v>-408232.20734720561</v>
      </c>
      <c r="L1464" s="444">
        <f t="shared" ca="1" si="109"/>
        <v>-98383961.970676541</v>
      </c>
      <c r="M1464" s="460">
        <f t="shared" si="111"/>
        <v>0.05</v>
      </c>
      <c r="N1464" s="464">
        <f t="shared" si="112"/>
        <v>95604</v>
      </c>
    </row>
    <row r="1465" spans="7:14" ht="11.25" customHeight="1" x14ac:dyDescent="0.3">
      <c r="G1465" s="459"/>
      <c r="H1465" s="459">
        <v>1458</v>
      </c>
      <c r="I1465" s="444">
        <f t="shared" ca="1" si="110"/>
        <v>-98383961.970676541</v>
      </c>
      <c r="J1465" s="444">
        <f t="array" ref="J1465">IFERROR(INDEX('Retirement Calculator'!K:K,MATCH('Lorri 401b'!N1465,'Retirement Calculator'!A:A,0),0),0)</f>
        <v>0</v>
      </c>
      <c r="K1465" s="444">
        <f t="shared" ca="1" si="108"/>
        <v>-409933.17487781891</v>
      </c>
      <c r="L1465" s="444">
        <f t="shared" ca="1" si="109"/>
        <v>-98793895.145554364</v>
      </c>
      <c r="M1465" s="460">
        <f t="shared" si="111"/>
        <v>0.05</v>
      </c>
      <c r="N1465" s="464">
        <f t="shared" si="112"/>
        <v>95635</v>
      </c>
    </row>
    <row r="1466" spans="7:14" ht="11.25" customHeight="1" x14ac:dyDescent="0.3">
      <c r="G1466" s="459"/>
      <c r="H1466" s="459">
        <v>1459</v>
      </c>
      <c r="I1466" s="444">
        <f t="shared" ca="1" si="110"/>
        <v>-98793895.145554364</v>
      </c>
      <c r="J1466" s="444">
        <f t="array" ref="J1466">IFERROR(INDEX('Retirement Calculator'!K:K,MATCH('Lorri 401b'!N1466,'Retirement Calculator'!A:A,0),0),0)</f>
        <v>0</v>
      </c>
      <c r="K1466" s="444">
        <f t="shared" ca="1" si="108"/>
        <v>-411641.22977314319</v>
      </c>
      <c r="L1466" s="444">
        <f t="shared" ca="1" si="109"/>
        <v>-99205536.375327513</v>
      </c>
      <c r="M1466" s="460">
        <f t="shared" si="111"/>
        <v>0.05</v>
      </c>
      <c r="N1466" s="464">
        <f t="shared" si="112"/>
        <v>95665</v>
      </c>
    </row>
    <row r="1467" spans="7:14" ht="11.25" customHeight="1" x14ac:dyDescent="0.3">
      <c r="G1467" s="459"/>
      <c r="H1467" s="459">
        <v>1460</v>
      </c>
      <c r="I1467" s="444">
        <f t="shared" ca="1" si="110"/>
        <v>-99205536.375327513</v>
      </c>
      <c r="J1467" s="444">
        <f t="array" ref="J1467">IFERROR(INDEX('Retirement Calculator'!K:K,MATCH('Lorri 401b'!N1467,'Retirement Calculator'!A:A,0),0),0)</f>
        <v>0</v>
      </c>
      <c r="K1467" s="444">
        <f t="shared" ca="1" si="108"/>
        <v>-413356.40156386461</v>
      </c>
      <c r="L1467" s="444">
        <f t="shared" ca="1" si="109"/>
        <v>-99618892.776891381</v>
      </c>
      <c r="M1467" s="460">
        <f t="shared" si="111"/>
        <v>0.05</v>
      </c>
      <c r="N1467" s="464">
        <f t="shared" si="112"/>
        <v>95696</v>
      </c>
    </row>
    <row r="1468" spans="7:14" ht="11.25" customHeight="1" x14ac:dyDescent="0.3">
      <c r="G1468" s="459"/>
      <c r="H1468" s="459">
        <v>1461</v>
      </c>
      <c r="I1468" s="444">
        <f t="shared" ca="1" si="110"/>
        <v>-99618892.776891381</v>
      </c>
      <c r="J1468" s="444">
        <f t="array" ref="J1468">IFERROR(INDEX('Retirement Calculator'!K:K,MATCH('Lorri 401b'!N1468,'Retirement Calculator'!A:A,0),0),0)</f>
        <v>0</v>
      </c>
      <c r="K1468" s="444">
        <f t="shared" ca="1" si="108"/>
        <v>-415078.71990371408</v>
      </c>
      <c r="L1468" s="444">
        <f t="shared" ca="1" si="109"/>
        <v>-100033971.49679509</v>
      </c>
      <c r="M1468" s="460">
        <f t="shared" si="111"/>
        <v>0.05</v>
      </c>
      <c r="N1468" s="464">
        <f t="shared" si="112"/>
        <v>95727</v>
      </c>
    </row>
    <row r="1469" spans="7:14" ht="11.25" customHeight="1" x14ac:dyDescent="0.3">
      <c r="G1469" s="459"/>
      <c r="H1469" s="459">
        <v>1462</v>
      </c>
      <c r="I1469" s="444">
        <f t="shared" ca="1" si="110"/>
        <v>-100033971.49679509</v>
      </c>
      <c r="J1469" s="444">
        <f t="array" ref="J1469">IFERROR(INDEX('Retirement Calculator'!K:K,MATCH('Lorri 401b'!N1469,'Retirement Calculator'!A:A,0),0),0)</f>
        <v>0</v>
      </c>
      <c r="K1469" s="444">
        <f t="shared" ca="1" si="108"/>
        <v>-416808.21456997952</v>
      </c>
      <c r="L1469" s="444">
        <f t="shared" ca="1" si="109"/>
        <v>-100450779.71136507</v>
      </c>
      <c r="M1469" s="460">
        <f t="shared" si="111"/>
        <v>0.05</v>
      </c>
      <c r="N1469" s="464">
        <f t="shared" si="112"/>
        <v>95755</v>
      </c>
    </row>
    <row r="1470" spans="7:14" ht="11.25" customHeight="1" x14ac:dyDescent="0.3">
      <c r="G1470" s="459"/>
      <c r="H1470" s="459">
        <v>1463</v>
      </c>
      <c r="I1470" s="444">
        <f t="shared" ca="1" si="110"/>
        <v>-100450779.71136507</v>
      </c>
      <c r="J1470" s="444">
        <f t="array" ref="J1470">IFERROR(INDEX('Retirement Calculator'!K:K,MATCH('Lorri 401b'!N1470,'Retirement Calculator'!A:A,0),0),0)</f>
        <v>0</v>
      </c>
      <c r="K1470" s="444">
        <f t="shared" ca="1" si="108"/>
        <v>-418544.91546402115</v>
      </c>
      <c r="L1470" s="444">
        <f t="shared" ca="1" si="109"/>
        <v>-100869324.62682909</v>
      </c>
      <c r="M1470" s="460">
        <f t="shared" si="111"/>
        <v>0.05</v>
      </c>
      <c r="N1470" s="464">
        <f t="shared" si="112"/>
        <v>95786</v>
      </c>
    </row>
    <row r="1471" spans="7:14" ht="11.25" customHeight="1" x14ac:dyDescent="0.3">
      <c r="G1471" s="459"/>
      <c r="H1471" s="459">
        <v>1464</v>
      </c>
      <c r="I1471" s="444">
        <f t="shared" ca="1" si="110"/>
        <v>-100869324.62682909</v>
      </c>
      <c r="J1471" s="444">
        <f t="array" ref="J1471">IFERROR(INDEX('Retirement Calculator'!K:K,MATCH('Lorri 401b'!N1471,'Retirement Calculator'!A:A,0),0),0)</f>
        <v>0</v>
      </c>
      <c r="K1471" s="444">
        <f t="shared" ca="1" si="108"/>
        <v>-420288.85261178785</v>
      </c>
      <c r="L1471" s="444">
        <f t="shared" ca="1" si="109"/>
        <v>-101289613.47944088</v>
      </c>
      <c r="M1471" s="460">
        <f t="shared" si="111"/>
        <v>0.05</v>
      </c>
      <c r="N1471" s="464">
        <f t="shared" si="112"/>
        <v>95816</v>
      </c>
    </row>
    <row r="1472" spans="7:14" ht="11.25" customHeight="1" x14ac:dyDescent="0.3">
      <c r="G1472" s="459"/>
      <c r="H1472" s="459">
        <v>1465</v>
      </c>
      <c r="I1472" s="444">
        <f t="shared" ca="1" si="110"/>
        <v>-101289613.47944088</v>
      </c>
      <c r="J1472" s="444">
        <f t="array" ref="J1472">IFERROR(INDEX('Retirement Calculator'!K:K,MATCH('Lorri 401b'!N1472,'Retirement Calculator'!A:A,0),0),0)</f>
        <v>0</v>
      </c>
      <c r="K1472" s="444">
        <f t="shared" ca="1" si="108"/>
        <v>-422040.05616433703</v>
      </c>
      <c r="L1472" s="444">
        <f t="shared" ca="1" si="109"/>
        <v>-101711653.53560522</v>
      </c>
      <c r="M1472" s="460">
        <f t="shared" si="111"/>
        <v>0.05</v>
      </c>
      <c r="N1472" s="464">
        <f t="shared" si="112"/>
        <v>95847</v>
      </c>
    </row>
    <row r="1473" spans="7:14" ht="11.25" customHeight="1" x14ac:dyDescent="0.3">
      <c r="G1473" s="459"/>
      <c r="H1473" s="459">
        <v>1466</v>
      </c>
      <c r="I1473" s="444">
        <f t="shared" ca="1" si="110"/>
        <v>-101711653.53560522</v>
      </c>
      <c r="J1473" s="444">
        <f t="array" ref="J1473">IFERROR(INDEX('Retirement Calculator'!K:K,MATCH('Lorri 401b'!N1473,'Retirement Calculator'!A:A,0),0),0)</f>
        <v>0</v>
      </c>
      <c r="K1473" s="444">
        <f t="shared" ca="1" si="108"/>
        <v>-423798.55639835511</v>
      </c>
      <c r="L1473" s="444">
        <f t="shared" ca="1" si="109"/>
        <v>-102135452.09200358</v>
      </c>
      <c r="M1473" s="460">
        <f t="shared" si="111"/>
        <v>0.05</v>
      </c>
      <c r="N1473" s="464">
        <f t="shared" si="112"/>
        <v>95877</v>
      </c>
    </row>
    <row r="1474" spans="7:14" ht="11.25" customHeight="1" x14ac:dyDescent="0.3">
      <c r="G1474" s="459"/>
      <c r="H1474" s="459">
        <v>1467</v>
      </c>
      <c r="I1474" s="444">
        <f t="shared" ca="1" si="110"/>
        <v>-102135452.09200358</v>
      </c>
      <c r="J1474" s="444">
        <f t="array" ref="J1474">IFERROR(INDEX('Retirement Calculator'!K:K,MATCH('Lorri 401b'!N1474,'Retirement Calculator'!A:A,0),0),0)</f>
        <v>0</v>
      </c>
      <c r="K1474" s="444">
        <f t="shared" ca="1" si="108"/>
        <v>-425564.38371668156</v>
      </c>
      <c r="L1474" s="444">
        <f t="shared" ca="1" si="109"/>
        <v>-102561016.47572027</v>
      </c>
      <c r="M1474" s="460">
        <f t="shared" si="111"/>
        <v>0.05</v>
      </c>
      <c r="N1474" s="464">
        <f t="shared" si="112"/>
        <v>95908</v>
      </c>
    </row>
    <row r="1475" spans="7:14" ht="11.25" customHeight="1" x14ac:dyDescent="0.3">
      <c r="G1475" s="459"/>
      <c r="H1475" s="459">
        <v>1468</v>
      </c>
      <c r="I1475" s="444">
        <f t="shared" ca="1" si="110"/>
        <v>-102561016.47572027</v>
      </c>
      <c r="J1475" s="444">
        <f t="array" ref="J1475">IFERROR(INDEX('Retirement Calculator'!K:K,MATCH('Lorri 401b'!N1475,'Retirement Calculator'!A:A,0),0),0)</f>
        <v>0</v>
      </c>
      <c r="K1475" s="444">
        <f t="shared" ca="1" si="108"/>
        <v>-427337.56864883448</v>
      </c>
      <c r="L1475" s="444">
        <f t="shared" ca="1" si="109"/>
        <v>-102988354.0443691</v>
      </c>
      <c r="M1475" s="460">
        <f t="shared" si="111"/>
        <v>0.05</v>
      </c>
      <c r="N1475" s="464">
        <f t="shared" si="112"/>
        <v>95939</v>
      </c>
    </row>
    <row r="1476" spans="7:14" ht="11.25" customHeight="1" x14ac:dyDescent="0.3">
      <c r="G1476" s="459"/>
      <c r="H1476" s="459">
        <v>1469</v>
      </c>
      <c r="I1476" s="444">
        <f t="shared" ca="1" si="110"/>
        <v>-102988354.0443691</v>
      </c>
      <c r="J1476" s="444">
        <f t="array" ref="J1476">IFERROR(INDEX('Retirement Calculator'!K:K,MATCH('Lorri 401b'!N1476,'Retirement Calculator'!A:A,0),0),0)</f>
        <v>0</v>
      </c>
      <c r="K1476" s="444">
        <f t="shared" ca="1" si="108"/>
        <v>-429118.14185153792</v>
      </c>
      <c r="L1476" s="444">
        <f t="shared" ca="1" si="109"/>
        <v>-103417472.18622065</v>
      </c>
      <c r="M1476" s="460">
        <f t="shared" si="111"/>
        <v>0.05</v>
      </c>
      <c r="N1476" s="464">
        <f t="shared" si="112"/>
        <v>95969</v>
      </c>
    </row>
    <row r="1477" spans="7:14" ht="11.25" customHeight="1" x14ac:dyDescent="0.3">
      <c r="G1477" s="459"/>
      <c r="H1477" s="459">
        <v>1470</v>
      </c>
      <c r="I1477" s="444">
        <f t="shared" ca="1" si="110"/>
        <v>-103417472.18622065</v>
      </c>
      <c r="J1477" s="444">
        <f t="array" ref="J1477">IFERROR(INDEX('Retirement Calculator'!K:K,MATCH('Lorri 401b'!N1477,'Retirement Calculator'!A:A,0),0),0)</f>
        <v>0</v>
      </c>
      <c r="K1477" s="444">
        <f t="shared" ca="1" si="108"/>
        <v>-430906.13410925266</v>
      </c>
      <c r="L1477" s="444">
        <f t="shared" ca="1" si="109"/>
        <v>-103848378.3203299</v>
      </c>
      <c r="M1477" s="460">
        <f t="shared" si="111"/>
        <v>0.05</v>
      </c>
      <c r="N1477" s="464">
        <f t="shared" si="112"/>
        <v>96000</v>
      </c>
    </row>
    <row r="1478" spans="7:14" ht="11.25" customHeight="1" x14ac:dyDescent="0.3">
      <c r="G1478" s="459"/>
      <c r="H1478" s="459">
        <v>1471</v>
      </c>
      <c r="I1478" s="444">
        <f t="shared" ca="1" si="110"/>
        <v>-103848378.3203299</v>
      </c>
      <c r="J1478" s="444">
        <f t="array" ref="J1478">IFERROR(INDEX('Retirement Calculator'!K:K,MATCH('Lorri 401b'!N1478,'Retirement Calculator'!A:A,0),0),0)</f>
        <v>0</v>
      </c>
      <c r="K1478" s="444">
        <f t="shared" ca="1" si="108"/>
        <v>-432701.5763347079</v>
      </c>
      <c r="L1478" s="444">
        <f t="shared" ca="1" si="109"/>
        <v>-104281079.89666462</v>
      </c>
      <c r="M1478" s="460">
        <f t="shared" si="111"/>
        <v>0.05</v>
      </c>
      <c r="N1478" s="464">
        <f t="shared" si="112"/>
        <v>96030</v>
      </c>
    </row>
    <row r="1479" spans="7:14" ht="11.25" customHeight="1" x14ac:dyDescent="0.3">
      <c r="G1479" s="459"/>
      <c r="H1479" s="459">
        <v>1472</v>
      </c>
      <c r="I1479" s="444">
        <f t="shared" ca="1" si="110"/>
        <v>-104281079.89666462</v>
      </c>
      <c r="J1479" s="444">
        <f t="array" ref="J1479">IFERROR(INDEX('Retirement Calculator'!K:K,MATCH('Lorri 401b'!N1479,'Retirement Calculator'!A:A,0),0),0)</f>
        <v>0</v>
      </c>
      <c r="K1479" s="444">
        <f t="shared" ca="1" si="108"/>
        <v>-434504.49956943589</v>
      </c>
      <c r="L1479" s="444">
        <f t="shared" ca="1" si="109"/>
        <v>-104715584.39623405</v>
      </c>
      <c r="M1479" s="460">
        <f t="shared" si="111"/>
        <v>0.05</v>
      </c>
      <c r="N1479" s="464">
        <f t="shared" si="112"/>
        <v>96061</v>
      </c>
    </row>
    <row r="1480" spans="7:14" ht="11.25" customHeight="1" x14ac:dyDescent="0.3">
      <c r="G1480" s="459"/>
      <c r="H1480" s="459">
        <v>1473</v>
      </c>
      <c r="I1480" s="444">
        <f t="shared" ca="1" si="110"/>
        <v>-104715584.39623405</v>
      </c>
      <c r="J1480" s="444">
        <f t="array" ref="J1480">IFERROR(INDEX('Retirement Calculator'!K:K,MATCH('Lorri 401b'!N1480,'Retirement Calculator'!A:A,0),0),0)</f>
        <v>0</v>
      </c>
      <c r="K1480" s="444">
        <f t="shared" ca="1" si="108"/>
        <v>-436314.93498430849</v>
      </c>
      <c r="L1480" s="444">
        <f t="shared" ca="1" si="109"/>
        <v>-105151899.33121836</v>
      </c>
      <c r="M1480" s="460">
        <f t="shared" si="111"/>
        <v>0.05</v>
      </c>
      <c r="N1480" s="464">
        <f t="shared" si="112"/>
        <v>96092</v>
      </c>
    </row>
    <row r="1481" spans="7:14" ht="11.25" customHeight="1" x14ac:dyDescent="0.3">
      <c r="G1481" s="459"/>
      <c r="H1481" s="459">
        <v>1474</v>
      </c>
      <c r="I1481" s="444">
        <f t="shared" ca="1" si="110"/>
        <v>-105151899.33121836</v>
      </c>
      <c r="J1481" s="444">
        <f t="array" ref="J1481">IFERROR(INDEX('Retirement Calculator'!K:K,MATCH('Lorri 401b'!N1481,'Retirement Calculator'!A:A,0),0),0)</f>
        <v>0</v>
      </c>
      <c r="K1481" s="444">
        <f t="shared" ca="1" si="108"/>
        <v>-438132.91388007649</v>
      </c>
      <c r="L1481" s="444">
        <f t="shared" ca="1" si="109"/>
        <v>-105590032.24509844</v>
      </c>
      <c r="M1481" s="460">
        <f t="shared" si="111"/>
        <v>0.05</v>
      </c>
      <c r="N1481" s="464">
        <f t="shared" si="112"/>
        <v>96120</v>
      </c>
    </row>
    <row r="1482" spans="7:14" ht="11.25" customHeight="1" x14ac:dyDescent="0.3">
      <c r="G1482" s="459"/>
      <c r="H1482" s="459">
        <v>1475</v>
      </c>
      <c r="I1482" s="444">
        <f t="shared" ca="1" si="110"/>
        <v>-105590032.24509844</v>
      </c>
      <c r="J1482" s="444">
        <f t="array" ref="J1482">IFERROR(INDEX('Retirement Calculator'!K:K,MATCH('Lorri 401b'!N1482,'Retirement Calculator'!A:A,0),0),0)</f>
        <v>0</v>
      </c>
      <c r="K1482" s="444">
        <f t="shared" ca="1" si="108"/>
        <v>-439958.46768791019</v>
      </c>
      <c r="L1482" s="444">
        <f t="shared" ca="1" si="109"/>
        <v>-106029990.71278635</v>
      </c>
      <c r="M1482" s="460">
        <f t="shared" si="111"/>
        <v>0.05</v>
      </c>
      <c r="N1482" s="464">
        <f t="shared" si="112"/>
        <v>96151</v>
      </c>
    </row>
    <row r="1483" spans="7:14" ht="11.25" customHeight="1" x14ac:dyDescent="0.3">
      <c r="G1483" s="459"/>
      <c r="H1483" s="459">
        <v>1476</v>
      </c>
      <c r="I1483" s="444">
        <f t="shared" ca="1" si="110"/>
        <v>-106029990.71278635</v>
      </c>
      <c r="J1483" s="444">
        <f t="array" ref="J1483">IFERROR(INDEX('Retirement Calculator'!K:K,MATCH('Lorri 401b'!N1483,'Retirement Calculator'!A:A,0),0),0)</f>
        <v>0</v>
      </c>
      <c r="K1483" s="444">
        <f t="shared" ca="1" si="108"/>
        <v>-441791.62796994316</v>
      </c>
      <c r="L1483" s="444">
        <f t="shared" ca="1" si="109"/>
        <v>-106471782.3407563</v>
      </c>
      <c r="M1483" s="460">
        <f t="shared" si="111"/>
        <v>0.05</v>
      </c>
      <c r="N1483" s="464">
        <f t="shared" si="112"/>
        <v>96181</v>
      </c>
    </row>
    <row r="1484" spans="7:14" ht="11.25" customHeight="1" x14ac:dyDescent="0.3">
      <c r="G1484" s="459"/>
      <c r="H1484" s="459">
        <v>1477</v>
      </c>
      <c r="I1484" s="444">
        <f t="shared" ca="1" si="110"/>
        <v>-106471782.3407563</v>
      </c>
      <c r="J1484" s="444">
        <f t="array" ref="J1484">IFERROR(INDEX('Retirement Calculator'!K:K,MATCH('Lorri 401b'!N1484,'Retirement Calculator'!A:A,0),0),0)</f>
        <v>0</v>
      </c>
      <c r="K1484" s="444">
        <f t="shared" ca="1" si="108"/>
        <v>-443632.4264198179</v>
      </c>
      <c r="L1484" s="444">
        <f t="shared" ca="1" si="109"/>
        <v>-106915414.76717612</v>
      </c>
      <c r="M1484" s="460">
        <f t="shared" si="111"/>
        <v>0.05</v>
      </c>
      <c r="N1484" s="464">
        <f t="shared" si="112"/>
        <v>96212</v>
      </c>
    </row>
    <row r="1485" spans="7:14" ht="11.25" customHeight="1" x14ac:dyDescent="0.3">
      <c r="G1485" s="459"/>
      <c r="H1485" s="459">
        <v>1478</v>
      </c>
      <c r="I1485" s="444">
        <f t="shared" ca="1" si="110"/>
        <v>-106915414.76717612</v>
      </c>
      <c r="J1485" s="444">
        <f t="array" ref="J1485">IFERROR(INDEX('Retirement Calculator'!K:K,MATCH('Lorri 401b'!N1485,'Retirement Calculator'!A:A,0),0),0)</f>
        <v>0</v>
      </c>
      <c r="K1485" s="444">
        <f t="shared" ca="1" si="108"/>
        <v>-445480.89486323379</v>
      </c>
      <c r="L1485" s="444">
        <f t="shared" ca="1" si="109"/>
        <v>-107360895.66203935</v>
      </c>
      <c r="M1485" s="460">
        <f t="shared" si="111"/>
        <v>0.05</v>
      </c>
      <c r="N1485" s="464">
        <f t="shared" si="112"/>
        <v>96242</v>
      </c>
    </row>
    <row r="1486" spans="7:14" ht="11.25" customHeight="1" x14ac:dyDescent="0.3">
      <c r="G1486" s="459"/>
      <c r="H1486" s="459">
        <v>1479</v>
      </c>
      <c r="I1486" s="444">
        <f t="shared" ca="1" si="110"/>
        <v>-107360895.66203935</v>
      </c>
      <c r="J1486" s="444">
        <f t="array" ref="J1486">IFERROR(INDEX('Retirement Calculator'!K:K,MATCH('Lorri 401b'!N1486,'Retirement Calculator'!A:A,0),0),0)</f>
        <v>0</v>
      </c>
      <c r="K1486" s="444">
        <f t="shared" ca="1" si="108"/>
        <v>-447337.06525849737</v>
      </c>
      <c r="L1486" s="444">
        <f t="shared" ca="1" si="109"/>
        <v>-107808232.72729786</v>
      </c>
      <c r="M1486" s="460">
        <f t="shared" si="111"/>
        <v>0.05</v>
      </c>
      <c r="N1486" s="464">
        <f t="shared" si="112"/>
        <v>96273</v>
      </c>
    </row>
    <row r="1487" spans="7:14" ht="11.25" customHeight="1" x14ac:dyDescent="0.3">
      <c r="G1487" s="459"/>
      <c r="H1487" s="459">
        <v>1480</v>
      </c>
      <c r="I1487" s="444">
        <f t="shared" ca="1" si="110"/>
        <v>-107808232.72729786</v>
      </c>
      <c r="J1487" s="444">
        <f t="array" ref="J1487">IFERROR(INDEX('Retirement Calculator'!K:K,MATCH('Lorri 401b'!N1487,'Retirement Calculator'!A:A,0),0),0)</f>
        <v>0</v>
      </c>
      <c r="K1487" s="444">
        <f t="shared" ca="1" si="108"/>
        <v>-449200.96969707432</v>
      </c>
      <c r="L1487" s="444">
        <f t="shared" ca="1" si="109"/>
        <v>-108257433.69699493</v>
      </c>
      <c r="M1487" s="460">
        <f t="shared" si="111"/>
        <v>0.05</v>
      </c>
      <c r="N1487" s="464">
        <f t="shared" si="112"/>
        <v>96304</v>
      </c>
    </row>
    <row r="1488" spans="7:14" ht="11.25" customHeight="1" x14ac:dyDescent="0.3">
      <c r="G1488" s="459"/>
      <c r="H1488" s="459">
        <v>1481</v>
      </c>
      <c r="I1488" s="444">
        <f t="shared" ca="1" si="110"/>
        <v>-108257433.69699493</v>
      </c>
      <c r="J1488" s="444">
        <f t="array" ref="J1488">IFERROR(INDEX('Retirement Calculator'!K:K,MATCH('Lorri 401b'!N1488,'Retirement Calculator'!A:A,0),0),0)</f>
        <v>0</v>
      </c>
      <c r="K1488" s="444">
        <f t="shared" ca="1" si="108"/>
        <v>-451072.64040414552</v>
      </c>
      <c r="L1488" s="444">
        <f t="shared" ca="1" si="109"/>
        <v>-108708506.33739908</v>
      </c>
      <c r="M1488" s="460">
        <f t="shared" si="111"/>
        <v>0.05</v>
      </c>
      <c r="N1488" s="464">
        <f t="shared" si="112"/>
        <v>96334</v>
      </c>
    </row>
    <row r="1489" spans="7:14" ht="11.25" customHeight="1" x14ac:dyDescent="0.3">
      <c r="G1489" s="459"/>
      <c r="H1489" s="459">
        <v>1482</v>
      </c>
      <c r="I1489" s="444">
        <f t="shared" ca="1" si="110"/>
        <v>-108708506.33739908</v>
      </c>
      <c r="J1489" s="444">
        <f t="array" ref="J1489">IFERROR(INDEX('Retirement Calculator'!K:K,MATCH('Lorri 401b'!N1489,'Retirement Calculator'!A:A,0),0),0)</f>
        <v>0</v>
      </c>
      <c r="K1489" s="444">
        <f t="shared" ca="1" si="108"/>
        <v>-452952.10973916284</v>
      </c>
      <c r="L1489" s="444">
        <f t="shared" ca="1" si="109"/>
        <v>-109161458.44713825</v>
      </c>
      <c r="M1489" s="460">
        <f t="shared" si="111"/>
        <v>0.05</v>
      </c>
      <c r="N1489" s="464">
        <f t="shared" si="112"/>
        <v>96365</v>
      </c>
    </row>
    <row r="1490" spans="7:14" ht="11.25" customHeight="1" x14ac:dyDescent="0.3">
      <c r="G1490" s="459"/>
      <c r="H1490" s="459">
        <v>1483</v>
      </c>
      <c r="I1490" s="444">
        <f t="shared" ca="1" si="110"/>
        <v>-109161458.44713825</v>
      </c>
      <c r="J1490" s="444">
        <f t="array" ref="J1490">IFERROR(INDEX('Retirement Calculator'!K:K,MATCH('Lorri 401b'!N1490,'Retirement Calculator'!A:A,0),0),0)</f>
        <v>0</v>
      </c>
      <c r="K1490" s="444">
        <f t="shared" ca="1" si="108"/>
        <v>-454839.41019640939</v>
      </c>
      <c r="L1490" s="444">
        <f t="shared" ca="1" si="109"/>
        <v>-109616297.85733466</v>
      </c>
      <c r="M1490" s="460">
        <f t="shared" si="111"/>
        <v>0.05</v>
      </c>
      <c r="N1490" s="464">
        <f t="shared" si="112"/>
        <v>96395</v>
      </c>
    </row>
    <row r="1491" spans="7:14" ht="11.25" customHeight="1" x14ac:dyDescent="0.3">
      <c r="G1491" s="459"/>
      <c r="H1491" s="459">
        <v>1484</v>
      </c>
      <c r="I1491" s="444">
        <f t="shared" ca="1" si="110"/>
        <v>-109616297.85733466</v>
      </c>
      <c r="J1491" s="444">
        <f t="array" ref="J1491">IFERROR(INDEX('Retirement Calculator'!K:K,MATCH('Lorri 401b'!N1491,'Retirement Calculator'!A:A,0),0),0)</f>
        <v>0</v>
      </c>
      <c r="K1491" s="444">
        <f t="shared" ca="1" si="108"/>
        <v>-456734.57440556108</v>
      </c>
      <c r="L1491" s="444">
        <f t="shared" ca="1" si="109"/>
        <v>-110073032.43174022</v>
      </c>
      <c r="M1491" s="460">
        <f t="shared" si="111"/>
        <v>0.05</v>
      </c>
      <c r="N1491" s="464">
        <f t="shared" si="112"/>
        <v>96426</v>
      </c>
    </row>
    <row r="1492" spans="7:14" ht="11.25" customHeight="1" x14ac:dyDescent="0.3">
      <c r="G1492" s="459"/>
      <c r="H1492" s="459">
        <v>1485</v>
      </c>
      <c r="I1492" s="444">
        <f t="shared" ca="1" si="110"/>
        <v>-110073032.43174022</v>
      </c>
      <c r="J1492" s="444">
        <f t="array" ref="J1492">IFERROR(INDEX('Retirement Calculator'!K:K,MATCH('Lorri 401b'!N1492,'Retirement Calculator'!A:A,0),0),0)</f>
        <v>0</v>
      </c>
      <c r="K1492" s="444">
        <f t="shared" ca="1" si="108"/>
        <v>-458637.6351322509</v>
      </c>
      <c r="L1492" s="444">
        <f t="shared" ca="1" si="109"/>
        <v>-110531670.06687248</v>
      </c>
      <c r="M1492" s="460">
        <f t="shared" si="111"/>
        <v>0.05</v>
      </c>
      <c r="N1492" s="464">
        <f t="shared" si="112"/>
        <v>96457</v>
      </c>
    </row>
    <row r="1493" spans="7:14" ht="11.25" customHeight="1" x14ac:dyDescent="0.3">
      <c r="G1493" s="459"/>
      <c r="H1493" s="459">
        <v>1486</v>
      </c>
      <c r="I1493" s="444">
        <f t="shared" ca="1" si="110"/>
        <v>-110531670.06687248</v>
      </c>
      <c r="J1493" s="444">
        <f t="array" ref="J1493">IFERROR(INDEX('Retirement Calculator'!K:K,MATCH('Lorri 401b'!N1493,'Retirement Calculator'!A:A,0),0),0)</f>
        <v>0</v>
      </c>
      <c r="K1493" s="444">
        <f t="shared" ca="1" si="108"/>
        <v>-460548.6252786353</v>
      </c>
      <c r="L1493" s="444">
        <f t="shared" ca="1" si="109"/>
        <v>-110992218.69215111</v>
      </c>
      <c r="M1493" s="460">
        <f t="shared" si="111"/>
        <v>0.05</v>
      </c>
      <c r="N1493" s="464">
        <f t="shared" si="112"/>
        <v>96486</v>
      </c>
    </row>
    <row r="1494" spans="7:14" ht="11.25" customHeight="1" x14ac:dyDescent="0.3">
      <c r="G1494" s="459"/>
      <c r="H1494" s="459">
        <v>1487</v>
      </c>
      <c r="I1494" s="444">
        <f t="shared" ca="1" si="110"/>
        <v>-110992218.69215111</v>
      </c>
      <c r="J1494" s="444">
        <f t="array" ref="J1494">IFERROR(INDEX('Retirement Calculator'!K:K,MATCH('Lorri 401b'!N1494,'Retirement Calculator'!A:A,0),0),0)</f>
        <v>0</v>
      </c>
      <c r="K1494" s="444">
        <f t="shared" ca="1" si="108"/>
        <v>-462467.57788396295</v>
      </c>
      <c r="L1494" s="444">
        <f t="shared" ca="1" si="109"/>
        <v>-111454686.27003507</v>
      </c>
      <c r="M1494" s="460">
        <f t="shared" si="111"/>
        <v>0.05</v>
      </c>
      <c r="N1494" s="464">
        <f t="shared" si="112"/>
        <v>96517</v>
      </c>
    </row>
    <row r="1495" spans="7:14" ht="11.25" customHeight="1" x14ac:dyDescent="0.3">
      <c r="G1495" s="459"/>
      <c r="H1495" s="459">
        <v>1488</v>
      </c>
      <c r="I1495" s="444">
        <f t="shared" ca="1" si="110"/>
        <v>-111454686.27003507</v>
      </c>
      <c r="J1495" s="444">
        <f t="array" ref="J1495">IFERROR(INDEX('Retirement Calculator'!K:K,MATCH('Lorri 401b'!N1495,'Retirement Calculator'!A:A,0),0),0)</f>
        <v>0</v>
      </c>
      <c r="K1495" s="444">
        <f t="shared" ca="1" si="108"/>
        <v>-464394.52612514619</v>
      </c>
      <c r="L1495" s="444">
        <f t="shared" ca="1" si="109"/>
        <v>-111919080.79616022</v>
      </c>
      <c r="M1495" s="460">
        <f t="shared" si="111"/>
        <v>0.05</v>
      </c>
      <c r="N1495" s="464">
        <f t="shared" si="112"/>
        <v>96547</v>
      </c>
    </row>
    <row r="1496" spans="7:14" ht="11.25" customHeight="1" x14ac:dyDescent="0.3">
      <c r="G1496" s="459"/>
      <c r="H1496" s="459">
        <v>1489</v>
      </c>
      <c r="I1496" s="444">
        <f t="shared" ca="1" si="110"/>
        <v>-111919080.79616022</v>
      </c>
      <c r="J1496" s="444">
        <f t="array" ref="J1496">IFERROR(INDEX('Retirement Calculator'!K:K,MATCH('Lorri 401b'!N1496,'Retirement Calculator'!A:A,0),0),0)</f>
        <v>0</v>
      </c>
      <c r="K1496" s="444">
        <f t="shared" ca="1" si="108"/>
        <v>-466329.50331733422</v>
      </c>
      <c r="L1496" s="444">
        <f t="shared" ca="1" si="109"/>
        <v>-112385410.29947756</v>
      </c>
      <c r="M1496" s="460">
        <f t="shared" si="111"/>
        <v>0.05</v>
      </c>
      <c r="N1496" s="464">
        <f t="shared" si="112"/>
        <v>96578</v>
      </c>
    </row>
    <row r="1497" spans="7:14" ht="11.25" customHeight="1" x14ac:dyDescent="0.3">
      <c r="G1497" s="459"/>
      <c r="H1497" s="459">
        <v>1490</v>
      </c>
      <c r="I1497" s="444">
        <f t="shared" ca="1" si="110"/>
        <v>-112385410.29947756</v>
      </c>
      <c r="J1497" s="444">
        <f t="array" ref="J1497">IFERROR(INDEX('Retirement Calculator'!K:K,MATCH('Lorri 401b'!N1497,'Retirement Calculator'!A:A,0),0),0)</f>
        <v>0</v>
      </c>
      <c r="K1497" s="444">
        <f t="shared" ca="1" si="108"/>
        <v>-468272.54291448992</v>
      </c>
      <c r="L1497" s="444">
        <f t="shared" ca="1" si="109"/>
        <v>-112853682.84239206</v>
      </c>
      <c r="M1497" s="460">
        <f t="shared" si="111"/>
        <v>0.05</v>
      </c>
      <c r="N1497" s="464">
        <f t="shared" si="112"/>
        <v>96608</v>
      </c>
    </row>
    <row r="1498" spans="7:14" ht="11.25" customHeight="1" x14ac:dyDescent="0.3">
      <c r="G1498" s="459"/>
      <c r="H1498" s="459">
        <v>1491</v>
      </c>
      <c r="I1498" s="444">
        <f t="shared" ca="1" si="110"/>
        <v>-112853682.84239206</v>
      </c>
      <c r="J1498" s="444">
        <f t="array" ref="J1498">IFERROR(INDEX('Retirement Calculator'!K:K,MATCH('Lorri 401b'!N1498,'Retirement Calculator'!A:A,0),0),0)</f>
        <v>0</v>
      </c>
      <c r="K1498" s="444">
        <f t="shared" ca="1" si="108"/>
        <v>-470223.67850996688</v>
      </c>
      <c r="L1498" s="444">
        <f t="shared" ca="1" si="109"/>
        <v>-113323906.52090202</v>
      </c>
      <c r="M1498" s="460">
        <f t="shared" si="111"/>
        <v>0.05</v>
      </c>
      <c r="N1498" s="464">
        <f t="shared" si="112"/>
        <v>96639</v>
      </c>
    </row>
    <row r="1499" spans="7:14" ht="11.25" customHeight="1" x14ac:dyDescent="0.3">
      <c r="G1499" s="459"/>
      <c r="H1499" s="459">
        <v>1492</v>
      </c>
      <c r="I1499" s="444">
        <f t="shared" ca="1" si="110"/>
        <v>-113323906.52090202</v>
      </c>
      <c r="J1499" s="444">
        <f t="array" ref="J1499">IFERROR(INDEX('Retirement Calculator'!K:K,MATCH('Lorri 401b'!N1499,'Retirement Calculator'!A:A,0),0),0)</f>
        <v>0</v>
      </c>
      <c r="K1499" s="444">
        <f t="shared" ca="1" si="108"/>
        <v>-472182.94383709173</v>
      </c>
      <c r="L1499" s="444">
        <f t="shared" ca="1" si="109"/>
        <v>-113796089.46473911</v>
      </c>
      <c r="M1499" s="460">
        <f t="shared" si="111"/>
        <v>0.05</v>
      </c>
      <c r="N1499" s="464">
        <f t="shared" si="112"/>
        <v>96670</v>
      </c>
    </row>
    <row r="1500" spans="7:14" ht="11.25" customHeight="1" x14ac:dyDescent="0.3">
      <c r="G1500" s="459"/>
      <c r="H1500" s="459">
        <v>1493</v>
      </c>
      <c r="I1500" s="444">
        <f t="shared" ca="1" si="110"/>
        <v>-113796089.46473911</v>
      </c>
      <c r="J1500" s="444">
        <f t="array" ref="J1500">IFERROR(INDEX('Retirement Calculator'!K:K,MATCH('Lorri 401b'!N1500,'Retirement Calculator'!A:A,0),0),0)</f>
        <v>0</v>
      </c>
      <c r="K1500" s="444">
        <f t="shared" ca="1" si="108"/>
        <v>-474150.37276974629</v>
      </c>
      <c r="L1500" s="444">
        <f t="shared" ca="1" si="109"/>
        <v>-114270239.83750886</v>
      </c>
      <c r="M1500" s="460">
        <f t="shared" si="111"/>
        <v>0.05</v>
      </c>
      <c r="N1500" s="464">
        <f t="shared" si="112"/>
        <v>96700</v>
      </c>
    </row>
    <row r="1501" spans="7:14" ht="11.25" customHeight="1" x14ac:dyDescent="0.3">
      <c r="G1501" s="459"/>
      <c r="H1501" s="459">
        <v>1494</v>
      </c>
      <c r="I1501" s="444">
        <f t="shared" ca="1" si="110"/>
        <v>-114270239.83750886</v>
      </c>
      <c r="J1501" s="444">
        <f t="array" ref="J1501">IFERROR(INDEX('Retirement Calculator'!K:K,MATCH('Lorri 401b'!N1501,'Retirement Calculator'!A:A,0),0),0)</f>
        <v>0</v>
      </c>
      <c r="K1501" s="444">
        <f t="shared" ca="1" si="108"/>
        <v>-476125.99932295358</v>
      </c>
      <c r="L1501" s="444">
        <f t="shared" ca="1" si="109"/>
        <v>-114746365.83683181</v>
      </c>
      <c r="M1501" s="460">
        <f t="shared" si="111"/>
        <v>0.05</v>
      </c>
      <c r="N1501" s="464">
        <f t="shared" si="112"/>
        <v>96731</v>
      </c>
    </row>
    <row r="1502" spans="7:14" ht="11.25" customHeight="1" x14ac:dyDescent="0.3">
      <c r="G1502" s="459"/>
      <c r="H1502" s="459">
        <v>1495</v>
      </c>
      <c r="I1502" s="444">
        <f t="shared" ca="1" si="110"/>
        <v>-114746365.83683181</v>
      </c>
      <c r="J1502" s="444">
        <f t="array" ref="J1502">IFERROR(INDEX('Retirement Calculator'!K:K,MATCH('Lorri 401b'!N1502,'Retirement Calculator'!A:A,0),0),0)</f>
        <v>0</v>
      </c>
      <c r="K1502" s="444">
        <f t="shared" ca="1" si="108"/>
        <v>-478109.85765346588</v>
      </c>
      <c r="L1502" s="444">
        <f t="shared" ca="1" si="109"/>
        <v>-115224475.69448528</v>
      </c>
      <c r="M1502" s="460">
        <f t="shared" si="111"/>
        <v>0.05</v>
      </c>
      <c r="N1502" s="464">
        <f t="shared" si="112"/>
        <v>96761</v>
      </c>
    </row>
    <row r="1503" spans="7:14" ht="11.25" customHeight="1" x14ac:dyDescent="0.3">
      <c r="G1503" s="459"/>
      <c r="H1503" s="459">
        <v>1496</v>
      </c>
      <c r="I1503" s="444">
        <f t="shared" ca="1" si="110"/>
        <v>-115224475.69448528</v>
      </c>
      <c r="J1503" s="444">
        <f t="array" ref="J1503">IFERROR(INDEX('Retirement Calculator'!K:K,MATCH('Lorri 401b'!N1503,'Retirement Calculator'!A:A,0),0),0)</f>
        <v>0</v>
      </c>
      <c r="K1503" s="444">
        <f t="shared" ca="1" si="108"/>
        <v>-480101.98206035531</v>
      </c>
      <c r="L1503" s="444">
        <f t="shared" ca="1" si="109"/>
        <v>-115704577.67654563</v>
      </c>
      <c r="M1503" s="460">
        <f t="shared" si="111"/>
        <v>0.05</v>
      </c>
      <c r="N1503" s="464">
        <f t="shared" si="112"/>
        <v>96792</v>
      </c>
    </row>
    <row r="1504" spans="7:14" ht="11.25" customHeight="1" x14ac:dyDescent="0.3">
      <c r="G1504" s="459"/>
      <c r="H1504" s="459">
        <v>1497</v>
      </c>
      <c r="I1504" s="444">
        <f t="shared" ca="1" si="110"/>
        <v>-115704577.67654563</v>
      </c>
      <c r="J1504" s="444">
        <f t="array" ref="J1504">IFERROR(INDEX('Retirement Calculator'!K:K,MATCH('Lorri 401b'!N1504,'Retirement Calculator'!A:A,0),0),0)</f>
        <v>0</v>
      </c>
      <c r="K1504" s="444">
        <f t="shared" ca="1" si="108"/>
        <v>-482102.40698560682</v>
      </c>
      <c r="L1504" s="444">
        <f t="shared" ca="1" si="109"/>
        <v>-116186680.08353125</v>
      </c>
      <c r="M1504" s="460">
        <f t="shared" si="111"/>
        <v>0.05</v>
      </c>
      <c r="N1504" s="464">
        <f t="shared" si="112"/>
        <v>96823</v>
      </c>
    </row>
    <row r="1505" spans="7:14" ht="11.25" customHeight="1" x14ac:dyDescent="0.3">
      <c r="G1505" s="459"/>
      <c r="H1505" s="459">
        <v>1498</v>
      </c>
      <c r="I1505" s="444">
        <f t="shared" ca="1" si="110"/>
        <v>-116186680.08353125</v>
      </c>
      <c r="J1505" s="444">
        <f t="array" ref="J1505">IFERROR(INDEX('Retirement Calculator'!K:K,MATCH('Lorri 401b'!N1505,'Retirement Calculator'!A:A,0),0),0)</f>
        <v>0</v>
      </c>
      <c r="K1505" s="444">
        <f t="shared" ca="1" si="108"/>
        <v>-484111.16701471357</v>
      </c>
      <c r="L1505" s="444">
        <f t="shared" ca="1" si="109"/>
        <v>-116670791.25054596</v>
      </c>
      <c r="M1505" s="460">
        <f t="shared" si="111"/>
        <v>0.05</v>
      </c>
      <c r="N1505" s="464">
        <f t="shared" si="112"/>
        <v>96851</v>
      </c>
    </row>
    <row r="1506" spans="7:14" ht="11.25" customHeight="1" x14ac:dyDescent="0.3">
      <c r="G1506" s="459"/>
      <c r="H1506" s="459">
        <v>1499</v>
      </c>
      <c r="I1506" s="444">
        <f t="shared" ca="1" si="110"/>
        <v>-116670791.25054596</v>
      </c>
      <c r="J1506" s="444">
        <f t="array" ref="J1506">IFERROR(INDEX('Retirement Calculator'!K:K,MATCH('Lorri 401b'!N1506,'Retirement Calculator'!A:A,0),0),0)</f>
        <v>0</v>
      </c>
      <c r="K1506" s="444">
        <f t="shared" ca="1" si="108"/>
        <v>-486128.29687727481</v>
      </c>
      <c r="L1506" s="444">
        <f t="shared" ca="1" si="109"/>
        <v>-117156919.54742324</v>
      </c>
      <c r="M1506" s="460">
        <f t="shared" si="111"/>
        <v>0.05</v>
      </c>
      <c r="N1506" s="464">
        <f t="shared" si="112"/>
        <v>96882</v>
      </c>
    </row>
    <row r="1507" spans="7:14" ht="11.25" customHeight="1" x14ac:dyDescent="0.3">
      <c r="G1507" s="459"/>
      <c r="H1507" s="459">
        <v>1500</v>
      </c>
      <c r="I1507" s="444">
        <f t="shared" ca="1" si="110"/>
        <v>-117156919.54742324</v>
      </c>
      <c r="J1507" s="444">
        <f t="array" ref="J1507">IFERROR(INDEX('Retirement Calculator'!K:K,MATCH('Lorri 401b'!N1507,'Retirement Calculator'!A:A,0),0),0)</f>
        <v>0</v>
      </c>
      <c r="K1507" s="444">
        <f t="shared" ca="1" si="108"/>
        <v>-488153.83144759678</v>
      </c>
      <c r="L1507" s="444">
        <f t="shared" ca="1" si="109"/>
        <v>-117645073.37887084</v>
      </c>
      <c r="M1507" s="460">
        <f t="shared" si="111"/>
        <v>0.05</v>
      </c>
      <c r="N1507" s="464">
        <f t="shared" si="112"/>
        <v>96912</v>
      </c>
    </row>
    <row r="1508" spans="7:14" ht="11.25" customHeight="1" x14ac:dyDescent="0.3">
      <c r="G1508" s="459"/>
      <c r="H1508" s="459">
        <v>1501</v>
      </c>
      <c r="I1508" s="444">
        <f t="shared" ca="1" si="110"/>
        <v>-117645073.37887084</v>
      </c>
      <c r="J1508" s="444">
        <f t="array" ref="J1508">IFERROR(INDEX('Retirement Calculator'!K:K,MATCH('Lorri 401b'!N1508,'Retirement Calculator'!A:A,0),0),0)</f>
        <v>0</v>
      </c>
      <c r="K1508" s="444">
        <f t="shared" ca="1" si="108"/>
        <v>-490187.80574529519</v>
      </c>
      <c r="L1508" s="444">
        <f t="shared" ca="1" si="109"/>
        <v>-118135261.18461613</v>
      </c>
      <c r="M1508" s="460">
        <f t="shared" si="111"/>
        <v>0.05</v>
      </c>
      <c r="N1508" s="464">
        <f t="shared" si="112"/>
        <v>96943</v>
      </c>
    </row>
    <row r="1509" spans="7:14" ht="11.25" customHeight="1" x14ac:dyDescent="0.3">
      <c r="G1509" s="459"/>
      <c r="H1509" s="459">
        <v>1502</v>
      </c>
      <c r="I1509" s="444">
        <f t="shared" ca="1" si="110"/>
        <v>-118135261.18461613</v>
      </c>
      <c r="J1509" s="444">
        <f t="array" ref="J1509">IFERROR(INDEX('Retirement Calculator'!K:K,MATCH('Lorri 401b'!N1509,'Retirement Calculator'!A:A,0),0),0)</f>
        <v>0</v>
      </c>
      <c r="K1509" s="444">
        <f t="shared" ca="1" si="108"/>
        <v>-492230.25493590051</v>
      </c>
      <c r="L1509" s="444">
        <f t="shared" ca="1" si="109"/>
        <v>-118627491.43955204</v>
      </c>
      <c r="M1509" s="460">
        <f t="shared" si="111"/>
        <v>0.05</v>
      </c>
      <c r="N1509" s="464">
        <f t="shared" si="112"/>
        <v>96973</v>
      </c>
    </row>
    <row r="1510" spans="7:14" ht="11.25" customHeight="1" x14ac:dyDescent="0.3">
      <c r="G1510" s="459"/>
      <c r="H1510" s="459">
        <v>1503</v>
      </c>
      <c r="I1510" s="444">
        <f t="shared" ca="1" si="110"/>
        <v>-118627491.43955204</v>
      </c>
      <c r="J1510" s="444">
        <f t="array" ref="J1510">IFERROR(INDEX('Retirement Calculator'!K:K,MATCH('Lorri 401b'!N1510,'Retirement Calculator'!A:A,0),0),0)</f>
        <v>0</v>
      </c>
      <c r="K1510" s="444">
        <f t="shared" ca="1" si="108"/>
        <v>-494281.21433146682</v>
      </c>
      <c r="L1510" s="444">
        <f t="shared" ca="1" si="109"/>
        <v>-119121772.6538835</v>
      </c>
      <c r="M1510" s="460">
        <f t="shared" si="111"/>
        <v>0.05</v>
      </c>
      <c r="N1510" s="464">
        <f t="shared" si="112"/>
        <v>97004</v>
      </c>
    </row>
    <row r="1511" spans="7:14" ht="11.25" customHeight="1" x14ac:dyDescent="0.3">
      <c r="G1511" s="459"/>
      <c r="H1511" s="459">
        <v>1504</v>
      </c>
      <c r="I1511" s="444">
        <f t="shared" ca="1" si="110"/>
        <v>-119121772.6538835</v>
      </c>
      <c r="J1511" s="444">
        <f t="array" ref="J1511">IFERROR(INDEX('Retirement Calculator'!K:K,MATCH('Lorri 401b'!N1511,'Retirement Calculator'!A:A,0),0),0)</f>
        <v>0</v>
      </c>
      <c r="K1511" s="444">
        <f t="shared" ca="1" si="108"/>
        <v>-496340.71939118125</v>
      </c>
      <c r="L1511" s="444">
        <f t="shared" ca="1" si="109"/>
        <v>-119618113.37327468</v>
      </c>
      <c r="M1511" s="460">
        <f t="shared" si="111"/>
        <v>0.05</v>
      </c>
      <c r="N1511" s="464">
        <f t="shared" si="112"/>
        <v>97035</v>
      </c>
    </row>
    <row r="1512" spans="7:14" ht="11.25" customHeight="1" x14ac:dyDescent="0.3">
      <c r="G1512" s="459"/>
      <c r="H1512" s="459">
        <v>1505</v>
      </c>
      <c r="I1512" s="444">
        <f t="shared" ca="1" si="110"/>
        <v>-119618113.37327468</v>
      </c>
      <c r="J1512" s="444">
        <f t="array" ref="J1512">IFERROR(INDEX('Retirement Calculator'!K:K,MATCH('Lorri 401b'!N1512,'Retirement Calculator'!A:A,0),0),0)</f>
        <v>0</v>
      </c>
      <c r="K1512" s="444">
        <f t="shared" ca="1" si="108"/>
        <v>-498408.80572197784</v>
      </c>
      <c r="L1512" s="444">
        <f t="shared" ca="1" si="109"/>
        <v>-120116522.17899667</v>
      </c>
      <c r="M1512" s="460">
        <f t="shared" si="111"/>
        <v>0.05</v>
      </c>
      <c r="N1512" s="464">
        <f t="shared" si="112"/>
        <v>97065</v>
      </c>
    </row>
    <row r="1513" spans="7:14" ht="11.25" customHeight="1" x14ac:dyDescent="0.3">
      <c r="G1513" s="459"/>
      <c r="H1513" s="459">
        <v>1506</v>
      </c>
      <c r="I1513" s="444">
        <f t="shared" ca="1" si="110"/>
        <v>-120116522.17899667</v>
      </c>
      <c r="J1513" s="444">
        <f t="array" ref="J1513">IFERROR(INDEX('Retirement Calculator'!K:K,MATCH('Lorri 401b'!N1513,'Retirement Calculator'!A:A,0),0),0)</f>
        <v>0</v>
      </c>
      <c r="K1513" s="444">
        <f t="shared" ca="1" si="108"/>
        <v>-500485.50907915272</v>
      </c>
      <c r="L1513" s="444">
        <f t="shared" ca="1" si="109"/>
        <v>-120617007.68807583</v>
      </c>
      <c r="M1513" s="460">
        <f t="shared" si="111"/>
        <v>0.05</v>
      </c>
      <c r="N1513" s="464">
        <f t="shared" si="112"/>
        <v>97096</v>
      </c>
    </row>
    <row r="1514" spans="7:14" ht="11.25" customHeight="1" x14ac:dyDescent="0.3">
      <c r="G1514" s="459"/>
      <c r="H1514" s="459">
        <v>1507</v>
      </c>
      <c r="I1514" s="444">
        <f t="shared" ca="1" si="110"/>
        <v>-120617007.68807583</v>
      </c>
      <c r="J1514" s="444">
        <f t="array" ref="J1514">IFERROR(INDEX('Retirement Calculator'!K:K,MATCH('Lorri 401b'!N1514,'Retirement Calculator'!A:A,0),0),0)</f>
        <v>0</v>
      </c>
      <c r="K1514" s="444">
        <f t="shared" ca="1" si="108"/>
        <v>-502570.86536698259</v>
      </c>
      <c r="L1514" s="444">
        <f t="shared" ca="1" si="109"/>
        <v>-121119578.55344281</v>
      </c>
      <c r="M1514" s="460">
        <f t="shared" si="111"/>
        <v>0.05</v>
      </c>
      <c r="N1514" s="464">
        <f t="shared" si="112"/>
        <v>97126</v>
      </c>
    </row>
    <row r="1515" spans="7:14" ht="11.25" customHeight="1" x14ac:dyDescent="0.3">
      <c r="G1515" s="459"/>
      <c r="H1515" s="459">
        <v>1508</v>
      </c>
      <c r="I1515" s="444">
        <f t="shared" ca="1" si="110"/>
        <v>-121119578.55344281</v>
      </c>
      <c r="J1515" s="444">
        <f t="array" ref="J1515">IFERROR(INDEX('Retirement Calculator'!K:K,MATCH('Lorri 401b'!N1515,'Retirement Calculator'!A:A,0),0),0)</f>
        <v>0</v>
      </c>
      <c r="K1515" s="444">
        <f t="shared" ca="1" si="108"/>
        <v>-504664.91063934501</v>
      </c>
      <c r="L1515" s="444">
        <f t="shared" ca="1" si="109"/>
        <v>-121624243.46408215</v>
      </c>
      <c r="M1515" s="460">
        <f t="shared" si="111"/>
        <v>0.05</v>
      </c>
      <c r="N1515" s="464">
        <f t="shared" si="112"/>
        <v>97157</v>
      </c>
    </row>
    <row r="1516" spans="7:14" ht="11.25" customHeight="1" x14ac:dyDescent="0.3">
      <c r="G1516" s="459"/>
      <c r="H1516" s="459">
        <v>1509</v>
      </c>
      <c r="I1516" s="444">
        <f t="shared" ca="1" si="110"/>
        <v>-121624243.46408215</v>
      </c>
      <c r="J1516" s="444">
        <f t="array" ref="J1516">IFERROR(INDEX('Retirement Calculator'!K:K,MATCH('Lorri 401b'!N1516,'Retirement Calculator'!A:A,0),0),0)</f>
        <v>0</v>
      </c>
      <c r="K1516" s="444">
        <f t="shared" ca="1" si="108"/>
        <v>-506767.68110034231</v>
      </c>
      <c r="L1516" s="444">
        <f t="shared" ca="1" si="109"/>
        <v>-122131011.14518249</v>
      </c>
      <c r="M1516" s="460">
        <f t="shared" si="111"/>
        <v>0.05</v>
      </c>
      <c r="N1516" s="464">
        <f t="shared" si="112"/>
        <v>97188</v>
      </c>
    </row>
    <row r="1517" spans="7:14" ht="11.25" customHeight="1" x14ac:dyDescent="0.3">
      <c r="G1517" s="459"/>
      <c r="H1517" s="459">
        <v>1510</v>
      </c>
      <c r="I1517" s="444">
        <f t="shared" ca="1" si="110"/>
        <v>-122131011.14518249</v>
      </c>
      <c r="J1517" s="444">
        <f t="array" ref="J1517">IFERROR(INDEX('Retirement Calculator'!K:K,MATCH('Lorri 401b'!N1517,'Retirement Calculator'!A:A,0),0),0)</f>
        <v>0</v>
      </c>
      <c r="K1517" s="444">
        <f t="shared" ca="1" si="108"/>
        <v>-508879.21310492704</v>
      </c>
      <c r="L1517" s="444">
        <f t="shared" ca="1" si="109"/>
        <v>-122639890.35828742</v>
      </c>
      <c r="M1517" s="460">
        <f t="shared" si="111"/>
        <v>0.05</v>
      </c>
      <c r="N1517" s="464">
        <f t="shared" si="112"/>
        <v>97216</v>
      </c>
    </row>
    <row r="1518" spans="7:14" ht="11.25" customHeight="1" x14ac:dyDescent="0.3">
      <c r="G1518" s="459"/>
      <c r="H1518" s="459">
        <v>1511</v>
      </c>
      <c r="I1518" s="444">
        <f t="shared" ca="1" si="110"/>
        <v>-122639890.35828742</v>
      </c>
      <c r="J1518" s="444">
        <f t="array" ref="J1518">IFERROR(INDEX('Retirement Calculator'!K:K,MATCH('Lorri 401b'!N1518,'Retirement Calculator'!A:A,0),0),0)</f>
        <v>0</v>
      </c>
      <c r="K1518" s="444">
        <f t="shared" ca="1" si="108"/>
        <v>-510999.54315953091</v>
      </c>
      <c r="L1518" s="444">
        <f t="shared" ca="1" si="109"/>
        <v>-123150889.90144695</v>
      </c>
      <c r="M1518" s="460">
        <f t="shared" si="111"/>
        <v>0.05</v>
      </c>
      <c r="N1518" s="464">
        <f t="shared" si="112"/>
        <v>97247</v>
      </c>
    </row>
    <row r="1519" spans="7:14" ht="11.25" customHeight="1" x14ac:dyDescent="0.3">
      <c r="G1519" s="459"/>
      <c r="H1519" s="459">
        <v>1512</v>
      </c>
      <c r="I1519" s="444">
        <f t="shared" ca="1" si="110"/>
        <v>-123150889.90144695</v>
      </c>
      <c r="J1519" s="444">
        <f t="array" ref="J1519">IFERROR(INDEX('Retirement Calculator'!K:K,MATCH('Lorri 401b'!N1519,'Retirement Calculator'!A:A,0),0),0)</f>
        <v>0</v>
      </c>
      <c r="K1519" s="444">
        <f t="shared" ca="1" si="108"/>
        <v>-513128.70792269561</v>
      </c>
      <c r="L1519" s="444">
        <f t="shared" ca="1" si="109"/>
        <v>-123664018.60936965</v>
      </c>
      <c r="M1519" s="460">
        <f t="shared" si="111"/>
        <v>0.05</v>
      </c>
      <c r="N1519" s="464">
        <f t="shared" si="112"/>
        <v>97277</v>
      </c>
    </row>
    <row r="1520" spans="7:14" ht="11.25" customHeight="1" x14ac:dyDescent="0.3">
      <c r="G1520" s="459"/>
      <c r="H1520" s="459">
        <v>1513</v>
      </c>
      <c r="I1520" s="444">
        <f t="shared" ca="1" si="110"/>
        <v>-123664018.60936965</v>
      </c>
      <c r="J1520" s="444">
        <f t="array" ref="J1520">IFERROR(INDEX('Retirement Calculator'!K:K,MATCH('Lorri 401b'!N1520,'Retirement Calculator'!A:A,0),0),0)</f>
        <v>0</v>
      </c>
      <c r="K1520" s="444">
        <f t="shared" ca="1" si="108"/>
        <v>-515266.74420570687</v>
      </c>
      <c r="L1520" s="444">
        <f t="shared" ca="1" si="109"/>
        <v>-124179285.35357536</v>
      </c>
      <c r="M1520" s="460">
        <f t="shared" si="111"/>
        <v>0.05</v>
      </c>
      <c r="N1520" s="464">
        <f t="shared" si="112"/>
        <v>97308</v>
      </c>
    </row>
    <row r="1521" spans="7:14" ht="11.25" customHeight="1" x14ac:dyDescent="0.3">
      <c r="G1521" s="459"/>
      <c r="H1521" s="459">
        <v>1514</v>
      </c>
      <c r="I1521" s="444">
        <f t="shared" ca="1" si="110"/>
        <v>-124179285.35357536</v>
      </c>
      <c r="J1521" s="444">
        <f t="array" ref="J1521">IFERROR(INDEX('Retirement Calculator'!K:K,MATCH('Lorri 401b'!N1521,'Retirement Calculator'!A:A,0),0),0)</f>
        <v>0</v>
      </c>
      <c r="K1521" s="444">
        <f t="shared" ca="1" si="108"/>
        <v>-517413.68897323072</v>
      </c>
      <c r="L1521" s="444">
        <f t="shared" ca="1" si="109"/>
        <v>-124696699.0425486</v>
      </c>
      <c r="M1521" s="460">
        <f t="shared" si="111"/>
        <v>0.05</v>
      </c>
      <c r="N1521" s="464">
        <f t="shared" si="112"/>
        <v>97338</v>
      </c>
    </row>
    <row r="1522" spans="7:14" ht="11.25" customHeight="1" x14ac:dyDescent="0.3">
      <c r="G1522" s="459"/>
      <c r="H1522" s="459">
        <v>1515</v>
      </c>
      <c r="I1522" s="444">
        <f t="shared" ca="1" si="110"/>
        <v>-124696699.0425486</v>
      </c>
      <c r="J1522" s="444">
        <f t="array" ref="J1522">IFERROR(INDEX('Retirement Calculator'!K:K,MATCH('Lorri 401b'!N1522,'Retirement Calculator'!A:A,0),0),0)</f>
        <v>0</v>
      </c>
      <c r="K1522" s="444">
        <f t="shared" ca="1" si="108"/>
        <v>-519569.57934395247</v>
      </c>
      <c r="L1522" s="444">
        <f t="shared" ca="1" si="109"/>
        <v>-125216268.62189256</v>
      </c>
      <c r="M1522" s="460">
        <f t="shared" si="111"/>
        <v>0.05</v>
      </c>
      <c r="N1522" s="464">
        <f t="shared" si="112"/>
        <v>97369</v>
      </c>
    </row>
    <row r="1523" spans="7:14" ht="11.25" customHeight="1" x14ac:dyDescent="0.3">
      <c r="G1523" s="459"/>
      <c r="H1523" s="459">
        <v>1516</v>
      </c>
      <c r="I1523" s="444">
        <f t="shared" ca="1" si="110"/>
        <v>-125216268.62189256</v>
      </c>
      <c r="J1523" s="444">
        <f t="array" ref="J1523">IFERROR(INDEX('Retirement Calculator'!K:K,MATCH('Lorri 401b'!N1523,'Retirement Calculator'!A:A,0),0),0)</f>
        <v>0</v>
      </c>
      <c r="K1523" s="444">
        <f t="shared" ca="1" si="108"/>
        <v>-521734.45259121893</v>
      </c>
      <c r="L1523" s="444">
        <f t="shared" ca="1" si="109"/>
        <v>-125738003.07448378</v>
      </c>
      <c r="M1523" s="460">
        <f t="shared" si="111"/>
        <v>0.05</v>
      </c>
      <c r="N1523" s="464">
        <f t="shared" si="112"/>
        <v>97400</v>
      </c>
    </row>
    <row r="1524" spans="7:14" ht="11.25" customHeight="1" x14ac:dyDescent="0.3">
      <c r="G1524" s="459"/>
      <c r="H1524" s="459">
        <v>1517</v>
      </c>
      <c r="I1524" s="444">
        <f t="shared" ca="1" si="110"/>
        <v>-125738003.07448378</v>
      </c>
      <c r="J1524" s="444">
        <f t="array" ref="J1524">IFERROR(INDEX('Retirement Calculator'!K:K,MATCH('Lorri 401b'!N1524,'Retirement Calculator'!A:A,0),0),0)</f>
        <v>0</v>
      </c>
      <c r="K1524" s="444">
        <f t="shared" ca="1" si="108"/>
        <v>-523908.34614368249</v>
      </c>
      <c r="L1524" s="444">
        <f t="shared" ca="1" si="109"/>
        <v>-126261911.42062746</v>
      </c>
      <c r="M1524" s="460">
        <f t="shared" si="111"/>
        <v>0.05</v>
      </c>
      <c r="N1524" s="464">
        <f t="shared" si="112"/>
        <v>97430</v>
      </c>
    </row>
    <row r="1525" spans="7:14" ht="11.25" customHeight="1" x14ac:dyDescent="0.3">
      <c r="G1525" s="459"/>
      <c r="H1525" s="459">
        <v>1518</v>
      </c>
      <c r="I1525" s="444">
        <f t="shared" ca="1" si="110"/>
        <v>-126261911.42062746</v>
      </c>
      <c r="J1525" s="444">
        <f t="array" ref="J1525">IFERROR(INDEX('Retirement Calculator'!K:K,MATCH('Lorri 401b'!N1525,'Retirement Calculator'!A:A,0),0),0)</f>
        <v>0</v>
      </c>
      <c r="K1525" s="444">
        <f t="shared" ca="1" si="108"/>
        <v>-526091.29758594779</v>
      </c>
      <c r="L1525" s="444">
        <f t="shared" ca="1" si="109"/>
        <v>-126788002.71821341</v>
      </c>
      <c r="M1525" s="460">
        <f t="shared" si="111"/>
        <v>0.05</v>
      </c>
      <c r="N1525" s="464">
        <f t="shared" si="112"/>
        <v>97461</v>
      </c>
    </row>
    <row r="1526" spans="7:14" ht="11.25" customHeight="1" x14ac:dyDescent="0.3">
      <c r="G1526" s="459"/>
      <c r="H1526" s="459">
        <v>1519</v>
      </c>
      <c r="I1526" s="444">
        <f t="shared" ca="1" si="110"/>
        <v>-126788002.71821341</v>
      </c>
      <c r="J1526" s="444">
        <f t="array" ref="J1526">IFERROR(INDEX('Retirement Calculator'!K:K,MATCH('Lorri 401b'!N1526,'Retirement Calculator'!A:A,0),0),0)</f>
        <v>0</v>
      </c>
      <c r="K1526" s="444">
        <f t="shared" ca="1" si="108"/>
        <v>-528283.34465922252</v>
      </c>
      <c r="L1526" s="444">
        <f t="shared" ca="1" si="109"/>
        <v>-127316286.06287263</v>
      </c>
      <c r="M1526" s="460">
        <f t="shared" si="111"/>
        <v>0.05</v>
      </c>
      <c r="N1526" s="464">
        <f t="shared" si="112"/>
        <v>97491</v>
      </c>
    </row>
    <row r="1527" spans="7:14" ht="11.25" customHeight="1" x14ac:dyDescent="0.3">
      <c r="G1527" s="459"/>
      <c r="H1527" s="459">
        <v>1520</v>
      </c>
      <c r="I1527" s="444">
        <f t="shared" ca="1" si="110"/>
        <v>-127316286.06287263</v>
      </c>
      <c r="J1527" s="444">
        <f t="array" ref="J1527">IFERROR(INDEX('Retirement Calculator'!K:K,MATCH('Lorri 401b'!N1527,'Retirement Calculator'!A:A,0),0),0)</f>
        <v>0</v>
      </c>
      <c r="K1527" s="444">
        <f t="shared" ca="1" si="108"/>
        <v>-530484.52526196919</v>
      </c>
      <c r="L1527" s="444">
        <f t="shared" ca="1" si="109"/>
        <v>-127846770.5881346</v>
      </c>
      <c r="M1527" s="460">
        <f t="shared" si="111"/>
        <v>0.05</v>
      </c>
      <c r="N1527" s="464">
        <f t="shared" si="112"/>
        <v>97522</v>
      </c>
    </row>
    <row r="1528" spans="7:14" ht="11.25" customHeight="1" x14ac:dyDescent="0.3">
      <c r="G1528" s="459"/>
      <c r="H1528" s="459">
        <v>1521</v>
      </c>
      <c r="I1528" s="444">
        <f t="shared" ca="1" si="110"/>
        <v>-127846770.5881346</v>
      </c>
      <c r="J1528" s="444">
        <f t="array" ref="J1528">IFERROR(INDEX('Retirement Calculator'!K:K,MATCH('Lorri 401b'!N1528,'Retirement Calculator'!A:A,0),0),0)</f>
        <v>0</v>
      </c>
      <c r="K1528" s="444">
        <f t="shared" ca="1" si="108"/>
        <v>-532694.8774505608</v>
      </c>
      <c r="L1528" s="444">
        <f t="shared" ca="1" si="109"/>
        <v>-128379465.46558516</v>
      </c>
      <c r="M1528" s="460">
        <f t="shared" si="111"/>
        <v>0.05</v>
      </c>
      <c r="N1528" s="464">
        <f t="shared" si="112"/>
        <v>97553</v>
      </c>
    </row>
    <row r="1529" spans="7:14" ht="11.25" customHeight="1" x14ac:dyDescent="0.3">
      <c r="G1529" s="459"/>
      <c r="H1529" s="459">
        <v>1522</v>
      </c>
      <c r="I1529" s="444">
        <f t="shared" ca="1" si="110"/>
        <v>-128379465.46558516</v>
      </c>
      <c r="J1529" s="444">
        <f t="array" ref="J1529">IFERROR(INDEX('Retirement Calculator'!K:K,MATCH('Lorri 401b'!N1529,'Retirement Calculator'!A:A,0),0),0)</f>
        <v>0</v>
      </c>
      <c r="K1529" s="444">
        <f t="shared" ca="1" si="108"/>
        <v>-534914.43943993817</v>
      </c>
      <c r="L1529" s="444">
        <f t="shared" ca="1" si="109"/>
        <v>-128914379.90502509</v>
      </c>
      <c r="M1529" s="460">
        <f t="shared" si="111"/>
        <v>0.05</v>
      </c>
      <c r="N1529" s="464">
        <f t="shared" si="112"/>
        <v>97581</v>
      </c>
    </row>
    <row r="1530" spans="7:14" ht="11.25" customHeight="1" x14ac:dyDescent="0.3">
      <c r="G1530" s="459"/>
      <c r="H1530" s="459">
        <v>1523</v>
      </c>
      <c r="I1530" s="444">
        <f t="shared" ca="1" si="110"/>
        <v>-128914379.90502509</v>
      </c>
      <c r="J1530" s="444">
        <f t="array" ref="J1530">IFERROR(INDEX('Retirement Calculator'!K:K,MATCH('Lorri 401b'!N1530,'Retirement Calculator'!A:A,0),0),0)</f>
        <v>0</v>
      </c>
      <c r="K1530" s="444">
        <f t="shared" ca="1" si="108"/>
        <v>-537143.24960427126</v>
      </c>
      <c r="L1530" s="444">
        <f t="shared" ca="1" si="109"/>
        <v>-129451523.15462936</v>
      </c>
      <c r="M1530" s="460">
        <f t="shared" si="111"/>
        <v>0.05</v>
      </c>
      <c r="N1530" s="464">
        <f t="shared" si="112"/>
        <v>97612</v>
      </c>
    </row>
    <row r="1531" spans="7:14" ht="11.25" customHeight="1" x14ac:dyDescent="0.3">
      <c r="G1531" s="459"/>
      <c r="H1531" s="459">
        <v>1524</v>
      </c>
      <c r="I1531" s="444">
        <f t="shared" ca="1" si="110"/>
        <v>-129451523.15462936</v>
      </c>
      <c r="J1531" s="444">
        <f t="array" ref="J1531">IFERROR(INDEX('Retirement Calculator'!K:K,MATCH('Lorri 401b'!N1531,'Retirement Calculator'!A:A,0),0),0)</f>
        <v>0</v>
      </c>
      <c r="K1531" s="444">
        <f t="shared" ca="1" si="108"/>
        <v>-539381.3464776224</v>
      </c>
      <c r="L1531" s="444">
        <f t="shared" ca="1" si="109"/>
        <v>-129990904.50110699</v>
      </c>
      <c r="M1531" s="460">
        <f t="shared" si="111"/>
        <v>0.05</v>
      </c>
      <c r="N1531" s="464">
        <f t="shared" si="112"/>
        <v>97642</v>
      </c>
    </row>
    <row r="1532" spans="7:14" ht="11.25" customHeight="1" x14ac:dyDescent="0.3">
      <c r="G1532" s="459"/>
      <c r="H1532" s="459">
        <v>1525</v>
      </c>
      <c r="I1532" s="444">
        <f t="shared" ca="1" si="110"/>
        <v>-129990904.50110699</v>
      </c>
      <c r="J1532" s="444">
        <f t="array" ref="J1532">IFERROR(INDEX('Retirement Calculator'!K:K,MATCH('Lorri 401b'!N1532,'Retirement Calculator'!A:A,0),0),0)</f>
        <v>0</v>
      </c>
      <c r="K1532" s="444">
        <f t="shared" ca="1" si="108"/>
        <v>-541628.76875461242</v>
      </c>
      <c r="L1532" s="444">
        <f t="shared" ca="1" si="109"/>
        <v>-130532533.26986161</v>
      </c>
      <c r="M1532" s="460">
        <f t="shared" si="111"/>
        <v>0.05</v>
      </c>
      <c r="N1532" s="464">
        <f t="shared" si="112"/>
        <v>97673</v>
      </c>
    </row>
    <row r="1533" spans="7:14" ht="11.25" customHeight="1" x14ac:dyDescent="0.3">
      <c r="G1533" s="459"/>
      <c r="H1533" s="459">
        <v>1526</v>
      </c>
      <c r="I1533" s="444">
        <f t="shared" ca="1" si="110"/>
        <v>-130532533.26986161</v>
      </c>
      <c r="J1533" s="444">
        <f t="array" ref="J1533">IFERROR(INDEX('Retirement Calculator'!K:K,MATCH('Lorri 401b'!N1533,'Retirement Calculator'!A:A,0),0),0)</f>
        <v>0</v>
      </c>
      <c r="K1533" s="444">
        <f t="shared" ca="1" si="108"/>
        <v>-543885.55529109004</v>
      </c>
      <c r="L1533" s="444">
        <f t="shared" ca="1" si="109"/>
        <v>-131076418.8251527</v>
      </c>
      <c r="M1533" s="460">
        <f t="shared" si="111"/>
        <v>0.05</v>
      </c>
      <c r="N1533" s="464">
        <f t="shared" si="112"/>
        <v>97703</v>
      </c>
    </row>
    <row r="1534" spans="7:14" ht="11.25" customHeight="1" x14ac:dyDescent="0.3">
      <c r="G1534" s="459"/>
      <c r="H1534" s="459">
        <v>1527</v>
      </c>
      <c r="I1534" s="444">
        <f t="shared" ca="1" si="110"/>
        <v>-131076418.8251527</v>
      </c>
      <c r="J1534" s="444">
        <f t="array" ref="J1534">IFERROR(INDEX('Retirement Calculator'!K:K,MATCH('Lorri 401b'!N1534,'Retirement Calculator'!A:A,0),0),0)</f>
        <v>0</v>
      </c>
      <c r="K1534" s="444">
        <f t="shared" ca="1" si="108"/>
        <v>-546151.74510480289</v>
      </c>
      <c r="L1534" s="444">
        <f t="shared" ca="1" si="109"/>
        <v>-131622570.5702575</v>
      </c>
      <c r="M1534" s="460">
        <f t="shared" si="111"/>
        <v>0.05</v>
      </c>
      <c r="N1534" s="464">
        <f t="shared" si="112"/>
        <v>97734</v>
      </c>
    </row>
    <row r="1535" spans="7:14" ht="11.25" customHeight="1" x14ac:dyDescent="0.3">
      <c r="G1535" s="459"/>
      <c r="H1535" s="459">
        <v>1528</v>
      </c>
      <c r="I1535" s="444">
        <f t="shared" ca="1" si="110"/>
        <v>-131622570.5702575</v>
      </c>
      <c r="J1535" s="444">
        <f t="array" ref="J1535">IFERROR(INDEX('Retirement Calculator'!K:K,MATCH('Lorri 401b'!N1535,'Retirement Calculator'!A:A,0),0),0)</f>
        <v>0</v>
      </c>
      <c r="K1535" s="444">
        <f t="shared" ca="1" si="108"/>
        <v>-548427.37737607292</v>
      </c>
      <c r="L1535" s="444">
        <f t="shared" ca="1" si="109"/>
        <v>-132170997.94763358</v>
      </c>
      <c r="M1535" s="460">
        <f t="shared" si="111"/>
        <v>0.05</v>
      </c>
      <c r="N1535" s="464">
        <f t="shared" si="112"/>
        <v>97765</v>
      </c>
    </row>
    <row r="1536" spans="7:14" ht="11.25" customHeight="1" x14ac:dyDescent="0.3">
      <c r="G1536" s="459"/>
      <c r="H1536" s="459">
        <v>1529</v>
      </c>
      <c r="I1536" s="444">
        <f t="shared" ca="1" si="110"/>
        <v>-132170997.94763358</v>
      </c>
      <c r="J1536" s="444">
        <f t="array" ref="J1536">IFERROR(INDEX('Retirement Calculator'!K:K,MATCH('Lorri 401b'!N1536,'Retirement Calculator'!A:A,0),0),0)</f>
        <v>0</v>
      </c>
      <c r="K1536" s="444">
        <f t="shared" ca="1" si="108"/>
        <v>-550712.4914484733</v>
      </c>
      <c r="L1536" s="444">
        <f t="shared" ca="1" si="109"/>
        <v>-132721710.43908206</v>
      </c>
      <c r="M1536" s="460">
        <f t="shared" si="111"/>
        <v>0.05</v>
      </c>
      <c r="N1536" s="464">
        <f t="shared" si="112"/>
        <v>97795</v>
      </c>
    </row>
    <row r="1537" spans="7:14" ht="11.25" customHeight="1" x14ac:dyDescent="0.3">
      <c r="G1537" s="459"/>
      <c r="H1537" s="459">
        <v>1530</v>
      </c>
      <c r="I1537" s="444">
        <f t="shared" ca="1" si="110"/>
        <v>-132721710.43908206</v>
      </c>
      <c r="J1537" s="444">
        <f t="array" ref="J1537">IFERROR(INDEX('Retirement Calculator'!K:K,MATCH('Lorri 401b'!N1537,'Retirement Calculator'!A:A,0),0),0)</f>
        <v>0</v>
      </c>
      <c r="K1537" s="444">
        <f t="shared" ca="1" si="108"/>
        <v>-553007.12682950858</v>
      </c>
      <c r="L1537" s="444">
        <f t="shared" ca="1" si="109"/>
        <v>-133274717.56591156</v>
      </c>
      <c r="M1537" s="460">
        <f t="shared" si="111"/>
        <v>0.05</v>
      </c>
      <c r="N1537" s="464">
        <f t="shared" si="112"/>
        <v>97826</v>
      </c>
    </row>
    <row r="1538" spans="7:14" ht="11.25" customHeight="1" x14ac:dyDescent="0.3">
      <c r="G1538" s="459"/>
      <c r="H1538" s="459">
        <v>1531</v>
      </c>
      <c r="I1538" s="444">
        <f t="shared" ca="1" si="110"/>
        <v>-133274717.56591156</v>
      </c>
      <c r="J1538" s="444">
        <f t="array" ref="J1538">IFERROR(INDEX('Retirement Calculator'!K:K,MATCH('Lorri 401b'!N1538,'Retirement Calculator'!A:A,0),0),0)</f>
        <v>0</v>
      </c>
      <c r="K1538" s="444">
        <f t="shared" ref="K1538:K1792" ca="1" si="113">IPMT(M1538/12,1,12,-I1538+J1538,,0)</f>
        <v>-555311.32319129817</v>
      </c>
      <c r="L1538" s="444">
        <f t="shared" ref="L1538:L1792" ca="1" si="114">I1538-J1538+K1538</f>
        <v>-133830028.88910286</v>
      </c>
      <c r="M1538" s="460">
        <f t="shared" si="111"/>
        <v>0.05</v>
      </c>
      <c r="N1538" s="464">
        <f t="shared" si="112"/>
        <v>97856</v>
      </c>
    </row>
    <row r="1539" spans="7:14" ht="11.25" customHeight="1" x14ac:dyDescent="0.3">
      <c r="G1539" s="459"/>
      <c r="H1539" s="459">
        <v>1532</v>
      </c>
      <c r="I1539" s="444">
        <f t="shared" ref="I1539:I1793" ca="1" si="115">L1538</f>
        <v>-133830028.88910286</v>
      </c>
      <c r="J1539" s="444">
        <f t="array" ref="J1539">IFERROR(INDEX('Retirement Calculator'!K:K,MATCH('Lorri 401b'!N1539,'Retirement Calculator'!A:A,0),0),0)</f>
        <v>0</v>
      </c>
      <c r="K1539" s="444">
        <f t="shared" ca="1" si="113"/>
        <v>-557625.12037126196</v>
      </c>
      <c r="L1539" s="444">
        <f t="shared" ca="1" si="114"/>
        <v>-134387654.00947413</v>
      </c>
      <c r="M1539" s="460">
        <f t="shared" ref="M1539:M1793" si="116">M1538</f>
        <v>0.05</v>
      </c>
      <c r="N1539" s="464">
        <f t="shared" ref="N1539:N1793" si="117">EDATE(N1538,1)</f>
        <v>97887</v>
      </c>
    </row>
    <row r="1540" spans="7:14" ht="11.25" customHeight="1" x14ac:dyDescent="0.3">
      <c r="G1540" s="459"/>
      <c r="H1540" s="459">
        <v>1533</v>
      </c>
      <c r="I1540" s="444">
        <f t="shared" ca="1" si="115"/>
        <v>-134387654.00947413</v>
      </c>
      <c r="J1540" s="444">
        <f t="array" ref="J1540">IFERROR(INDEX('Retirement Calculator'!K:K,MATCH('Lorri 401b'!N1540,'Retirement Calculator'!A:A,0),0),0)</f>
        <v>0</v>
      </c>
      <c r="K1540" s="444">
        <f t="shared" ca="1" si="113"/>
        <v>-559948.55837280885</v>
      </c>
      <c r="L1540" s="444">
        <f t="shared" ca="1" si="114"/>
        <v>-134947602.56784692</v>
      </c>
      <c r="M1540" s="460">
        <f t="shared" si="116"/>
        <v>0.05</v>
      </c>
      <c r="N1540" s="464">
        <f t="shared" si="117"/>
        <v>97918</v>
      </c>
    </row>
    <row r="1541" spans="7:14" ht="11.25" customHeight="1" x14ac:dyDescent="0.3">
      <c r="G1541" s="459"/>
      <c r="H1541" s="459">
        <v>1534</v>
      </c>
      <c r="I1541" s="444">
        <f t="shared" ca="1" si="115"/>
        <v>-134947602.56784692</v>
      </c>
      <c r="J1541" s="444">
        <f t="array" ref="J1541">IFERROR(INDEX('Retirement Calculator'!K:K,MATCH('Lorri 401b'!N1541,'Retirement Calculator'!A:A,0),0),0)</f>
        <v>0</v>
      </c>
      <c r="K1541" s="444">
        <f t="shared" ca="1" si="113"/>
        <v>-562281.67736602889</v>
      </c>
      <c r="L1541" s="444">
        <f t="shared" ca="1" si="114"/>
        <v>-135509884.24521294</v>
      </c>
      <c r="M1541" s="460">
        <f t="shared" si="116"/>
        <v>0.05</v>
      </c>
      <c r="N1541" s="464">
        <f t="shared" si="117"/>
        <v>97947</v>
      </c>
    </row>
    <row r="1542" spans="7:14" ht="11.25" customHeight="1" x14ac:dyDescent="0.3">
      <c r="G1542" s="459"/>
      <c r="H1542" s="459">
        <v>1535</v>
      </c>
      <c r="I1542" s="444">
        <f t="shared" ca="1" si="115"/>
        <v>-135509884.24521294</v>
      </c>
      <c r="J1542" s="444">
        <f t="array" ref="J1542">IFERROR(INDEX('Retirement Calculator'!K:K,MATCH('Lorri 401b'!N1542,'Retirement Calculator'!A:A,0),0),0)</f>
        <v>0</v>
      </c>
      <c r="K1542" s="444">
        <f t="shared" ca="1" si="113"/>
        <v>-564624.51768838731</v>
      </c>
      <c r="L1542" s="444">
        <f t="shared" ca="1" si="114"/>
        <v>-136074508.76290134</v>
      </c>
      <c r="M1542" s="460">
        <f t="shared" si="116"/>
        <v>0.05</v>
      </c>
      <c r="N1542" s="464">
        <f t="shared" si="117"/>
        <v>97978</v>
      </c>
    </row>
    <row r="1543" spans="7:14" ht="11.25" customHeight="1" x14ac:dyDescent="0.3">
      <c r="G1543" s="459"/>
      <c r="H1543" s="459">
        <v>1536</v>
      </c>
      <c r="I1543" s="444">
        <f t="shared" ca="1" si="115"/>
        <v>-136074508.76290134</v>
      </c>
      <c r="J1543" s="444">
        <f t="array" ref="J1543">IFERROR(INDEX('Retirement Calculator'!K:K,MATCH('Lorri 401b'!N1543,'Retirement Calculator'!A:A,0),0),0)</f>
        <v>0</v>
      </c>
      <c r="K1543" s="444">
        <f t="shared" ca="1" si="113"/>
        <v>-566977.11984542222</v>
      </c>
      <c r="L1543" s="444">
        <f t="shared" ca="1" si="114"/>
        <v>-136641485.88274676</v>
      </c>
      <c r="M1543" s="460">
        <f t="shared" si="116"/>
        <v>0.05</v>
      </c>
      <c r="N1543" s="464">
        <f t="shared" si="117"/>
        <v>98008</v>
      </c>
    </row>
    <row r="1544" spans="7:14" ht="11.25" customHeight="1" x14ac:dyDescent="0.3">
      <c r="G1544" s="459"/>
      <c r="H1544" s="459">
        <v>1537</v>
      </c>
      <c r="I1544" s="444">
        <f t="shared" ca="1" si="115"/>
        <v>-136641485.88274676</v>
      </c>
      <c r="J1544" s="444">
        <f t="array" ref="J1544">IFERROR(INDEX('Retirement Calculator'!K:K,MATCH('Lorri 401b'!N1544,'Retirement Calculator'!A:A,0),0),0)</f>
        <v>0</v>
      </c>
      <c r="K1544" s="444">
        <f t="shared" ca="1" si="113"/>
        <v>-569339.52451144485</v>
      </c>
      <c r="L1544" s="444">
        <f t="shared" ca="1" si="114"/>
        <v>-137210825.40725821</v>
      </c>
      <c r="M1544" s="460">
        <f t="shared" si="116"/>
        <v>0.05</v>
      </c>
      <c r="N1544" s="464">
        <f t="shared" si="117"/>
        <v>98039</v>
      </c>
    </row>
    <row r="1545" spans="7:14" ht="11.25" customHeight="1" x14ac:dyDescent="0.3">
      <c r="G1545" s="459"/>
      <c r="H1545" s="459">
        <v>1538</v>
      </c>
      <c r="I1545" s="444">
        <f t="shared" ca="1" si="115"/>
        <v>-137210825.40725821</v>
      </c>
      <c r="J1545" s="444">
        <f t="array" ref="J1545">IFERROR(INDEX('Retirement Calculator'!K:K,MATCH('Lorri 401b'!N1545,'Retirement Calculator'!A:A,0),0),0)</f>
        <v>0</v>
      </c>
      <c r="K1545" s="444">
        <f t="shared" ca="1" si="113"/>
        <v>-571711.77253024257</v>
      </c>
      <c r="L1545" s="444">
        <f t="shared" ca="1" si="114"/>
        <v>-137782537.17978844</v>
      </c>
      <c r="M1545" s="460">
        <f t="shared" si="116"/>
        <v>0.05</v>
      </c>
      <c r="N1545" s="464">
        <f t="shared" si="117"/>
        <v>98069</v>
      </c>
    </row>
    <row r="1546" spans="7:14" ht="11.25" customHeight="1" x14ac:dyDescent="0.3">
      <c r="G1546" s="459"/>
      <c r="H1546" s="459">
        <v>1539</v>
      </c>
      <c r="I1546" s="444">
        <f t="shared" ca="1" si="115"/>
        <v>-137782537.17978844</v>
      </c>
      <c r="J1546" s="444">
        <f t="array" ref="J1546">IFERROR(INDEX('Retirement Calculator'!K:K,MATCH('Lorri 401b'!N1546,'Retirement Calculator'!A:A,0),0),0)</f>
        <v>0</v>
      </c>
      <c r="K1546" s="444">
        <f t="shared" ca="1" si="113"/>
        <v>-574093.90491578518</v>
      </c>
      <c r="L1546" s="444">
        <f t="shared" ca="1" si="114"/>
        <v>-138356631.08470422</v>
      </c>
      <c r="M1546" s="460">
        <f t="shared" si="116"/>
        <v>0.05</v>
      </c>
      <c r="N1546" s="464">
        <f t="shared" si="117"/>
        <v>98100</v>
      </c>
    </row>
    <row r="1547" spans="7:14" ht="11.25" customHeight="1" x14ac:dyDescent="0.3">
      <c r="G1547" s="459"/>
      <c r="H1547" s="459">
        <v>1540</v>
      </c>
      <c r="I1547" s="444">
        <f t="shared" ca="1" si="115"/>
        <v>-138356631.08470422</v>
      </c>
      <c r="J1547" s="444">
        <f t="array" ref="J1547">IFERROR(INDEX('Retirement Calculator'!K:K,MATCH('Lorri 401b'!N1547,'Retirement Calculator'!A:A,0),0),0)</f>
        <v>0</v>
      </c>
      <c r="K1547" s="444">
        <f t="shared" ca="1" si="113"/>
        <v>-576485.96285293426</v>
      </c>
      <c r="L1547" s="444">
        <f t="shared" ca="1" si="114"/>
        <v>-138933117.04755715</v>
      </c>
      <c r="M1547" s="460">
        <f t="shared" si="116"/>
        <v>0.05</v>
      </c>
      <c r="N1547" s="464">
        <f t="shared" si="117"/>
        <v>98131</v>
      </c>
    </row>
    <row r="1548" spans="7:14" ht="11.25" customHeight="1" x14ac:dyDescent="0.3">
      <c r="G1548" s="459"/>
      <c r="H1548" s="459">
        <v>1541</v>
      </c>
      <c r="I1548" s="444">
        <f t="shared" ca="1" si="115"/>
        <v>-138933117.04755715</v>
      </c>
      <c r="J1548" s="444">
        <f t="array" ref="J1548">IFERROR(INDEX('Retirement Calculator'!K:K,MATCH('Lorri 401b'!N1548,'Retirement Calculator'!A:A,0),0),0)</f>
        <v>0</v>
      </c>
      <c r="K1548" s="444">
        <f t="shared" ca="1" si="113"/>
        <v>-578887.98769815476</v>
      </c>
      <c r="L1548" s="444">
        <f t="shared" ca="1" si="114"/>
        <v>-139512005.03525531</v>
      </c>
      <c r="M1548" s="460">
        <f t="shared" si="116"/>
        <v>0.05</v>
      </c>
      <c r="N1548" s="464">
        <f t="shared" si="117"/>
        <v>98161</v>
      </c>
    </row>
    <row r="1549" spans="7:14" ht="11.25" customHeight="1" x14ac:dyDescent="0.3">
      <c r="G1549" s="459"/>
      <c r="H1549" s="459">
        <v>1542</v>
      </c>
      <c r="I1549" s="444">
        <f t="shared" ca="1" si="115"/>
        <v>-139512005.03525531</v>
      </c>
      <c r="J1549" s="444">
        <f t="array" ref="J1549">IFERROR(INDEX('Retirement Calculator'!K:K,MATCH('Lorri 401b'!N1549,'Retirement Calculator'!A:A,0),0),0)</f>
        <v>0</v>
      </c>
      <c r="K1549" s="444">
        <f t="shared" ca="1" si="113"/>
        <v>-581300.02098023042</v>
      </c>
      <c r="L1549" s="444">
        <f t="shared" ca="1" si="114"/>
        <v>-140093305.05623555</v>
      </c>
      <c r="M1549" s="460">
        <f t="shared" si="116"/>
        <v>0.05</v>
      </c>
      <c r="N1549" s="464">
        <f t="shared" si="117"/>
        <v>98192</v>
      </c>
    </row>
    <row r="1550" spans="7:14" ht="11.25" customHeight="1" x14ac:dyDescent="0.3">
      <c r="G1550" s="459"/>
      <c r="H1550" s="459">
        <v>1543</v>
      </c>
      <c r="I1550" s="444">
        <f t="shared" ca="1" si="115"/>
        <v>-140093305.05623555</v>
      </c>
      <c r="J1550" s="444">
        <f t="array" ref="J1550">IFERROR(INDEX('Retirement Calculator'!K:K,MATCH('Lorri 401b'!N1550,'Retirement Calculator'!A:A,0),0),0)</f>
        <v>0</v>
      </c>
      <c r="K1550" s="444">
        <f t="shared" ca="1" si="113"/>
        <v>-583722.10440098145</v>
      </c>
      <c r="L1550" s="444">
        <f t="shared" ca="1" si="114"/>
        <v>-140677027.16063654</v>
      </c>
      <c r="M1550" s="460">
        <f t="shared" si="116"/>
        <v>0.05</v>
      </c>
      <c r="N1550" s="464">
        <f t="shared" si="117"/>
        <v>98222</v>
      </c>
    </row>
    <row r="1551" spans="7:14" ht="11.25" customHeight="1" x14ac:dyDescent="0.3">
      <c r="G1551" s="459"/>
      <c r="H1551" s="459">
        <v>1544</v>
      </c>
      <c r="I1551" s="444">
        <f t="shared" ca="1" si="115"/>
        <v>-140677027.16063654</v>
      </c>
      <c r="J1551" s="444">
        <f t="array" ref="J1551">IFERROR(INDEX('Retirement Calculator'!K:K,MATCH('Lorri 401b'!N1551,'Retirement Calculator'!A:A,0),0),0)</f>
        <v>0</v>
      </c>
      <c r="K1551" s="444">
        <f t="shared" ca="1" si="113"/>
        <v>-586154.27983598562</v>
      </c>
      <c r="L1551" s="444">
        <f t="shared" ca="1" si="114"/>
        <v>-141263181.44047254</v>
      </c>
      <c r="M1551" s="460">
        <f t="shared" si="116"/>
        <v>0.05</v>
      </c>
      <c r="N1551" s="464">
        <f t="shared" si="117"/>
        <v>98253</v>
      </c>
    </row>
    <row r="1552" spans="7:14" ht="11.25" customHeight="1" x14ac:dyDescent="0.3">
      <c r="G1552" s="459"/>
      <c r="H1552" s="459">
        <v>1545</v>
      </c>
      <c r="I1552" s="444">
        <f t="shared" ca="1" si="115"/>
        <v>-141263181.44047254</v>
      </c>
      <c r="J1552" s="444">
        <f t="array" ref="J1552">IFERROR(INDEX('Retirement Calculator'!K:K,MATCH('Lorri 401b'!N1552,'Retirement Calculator'!A:A,0),0),0)</f>
        <v>0</v>
      </c>
      <c r="K1552" s="444">
        <f t="shared" ca="1" si="113"/>
        <v>-588596.58933530224</v>
      </c>
      <c r="L1552" s="444">
        <f t="shared" ca="1" si="114"/>
        <v>-141851778.02980784</v>
      </c>
      <c r="M1552" s="460">
        <f t="shared" si="116"/>
        <v>0.05</v>
      </c>
      <c r="N1552" s="464">
        <f t="shared" si="117"/>
        <v>98284</v>
      </c>
    </row>
    <row r="1553" spans="7:14" ht="11.25" customHeight="1" x14ac:dyDescent="0.3">
      <c r="G1553" s="459"/>
      <c r="H1553" s="459">
        <v>1546</v>
      </c>
      <c r="I1553" s="444">
        <f t="shared" ca="1" si="115"/>
        <v>-141851778.02980784</v>
      </c>
      <c r="J1553" s="444">
        <f t="array" ref="J1553">IFERROR(INDEX('Retirement Calculator'!K:K,MATCH('Lorri 401b'!N1553,'Retirement Calculator'!A:A,0),0),0)</f>
        <v>0</v>
      </c>
      <c r="K1553" s="444">
        <f t="shared" ca="1" si="113"/>
        <v>-591049.07512419927</v>
      </c>
      <c r="L1553" s="444">
        <f t="shared" ca="1" si="114"/>
        <v>-142442827.10493204</v>
      </c>
      <c r="M1553" s="460">
        <f t="shared" si="116"/>
        <v>0.05</v>
      </c>
      <c r="N1553" s="464">
        <f t="shared" si="117"/>
        <v>98312</v>
      </c>
    </row>
    <row r="1554" spans="7:14" ht="11.25" customHeight="1" x14ac:dyDescent="0.3">
      <c r="G1554" s="459"/>
      <c r="H1554" s="459">
        <v>1547</v>
      </c>
      <c r="I1554" s="444">
        <f t="shared" ca="1" si="115"/>
        <v>-142442827.10493204</v>
      </c>
      <c r="J1554" s="444">
        <f t="array" ref="J1554">IFERROR(INDEX('Retirement Calculator'!K:K,MATCH('Lorri 401b'!N1554,'Retirement Calculator'!A:A,0),0),0)</f>
        <v>0</v>
      </c>
      <c r="K1554" s="444">
        <f t="shared" ca="1" si="113"/>
        <v>-593511.77960388351</v>
      </c>
      <c r="L1554" s="444">
        <f t="shared" ca="1" si="114"/>
        <v>-143036338.88453591</v>
      </c>
      <c r="M1554" s="460">
        <f t="shared" si="116"/>
        <v>0.05</v>
      </c>
      <c r="N1554" s="464">
        <f t="shared" si="117"/>
        <v>98343</v>
      </c>
    </row>
    <row r="1555" spans="7:14" ht="11.25" customHeight="1" x14ac:dyDescent="0.3">
      <c r="G1555" s="459"/>
      <c r="H1555" s="459">
        <v>1548</v>
      </c>
      <c r="I1555" s="444">
        <f t="shared" ca="1" si="115"/>
        <v>-143036338.88453591</v>
      </c>
      <c r="J1555" s="444">
        <f t="array" ref="J1555">IFERROR(INDEX('Retirement Calculator'!K:K,MATCH('Lorri 401b'!N1555,'Retirement Calculator'!A:A,0),0),0)</f>
        <v>0</v>
      </c>
      <c r="K1555" s="444">
        <f t="shared" ca="1" si="113"/>
        <v>-595984.74535223295</v>
      </c>
      <c r="L1555" s="444">
        <f t="shared" ca="1" si="114"/>
        <v>-143632323.62988815</v>
      </c>
      <c r="M1555" s="460">
        <f t="shared" si="116"/>
        <v>0.05</v>
      </c>
      <c r="N1555" s="464">
        <f t="shared" si="117"/>
        <v>98373</v>
      </c>
    </row>
    <row r="1556" spans="7:14" ht="11.25" customHeight="1" x14ac:dyDescent="0.3">
      <c r="G1556" s="459"/>
      <c r="H1556" s="459">
        <v>1549</v>
      </c>
      <c r="I1556" s="444">
        <f t="shared" ca="1" si="115"/>
        <v>-143632323.62988815</v>
      </c>
      <c r="J1556" s="444">
        <f t="array" ref="J1556">IFERROR(INDEX('Retirement Calculator'!K:K,MATCH('Lorri 401b'!N1556,'Retirement Calculator'!A:A,0),0),0)</f>
        <v>0</v>
      </c>
      <c r="K1556" s="444">
        <f t="shared" ca="1" si="113"/>
        <v>-598468.01512453391</v>
      </c>
      <c r="L1556" s="444">
        <f t="shared" ca="1" si="114"/>
        <v>-144230791.64501268</v>
      </c>
      <c r="M1556" s="460">
        <f t="shared" si="116"/>
        <v>0.05</v>
      </c>
      <c r="N1556" s="464">
        <f t="shared" si="117"/>
        <v>98404</v>
      </c>
    </row>
    <row r="1557" spans="7:14" ht="11.25" customHeight="1" x14ac:dyDescent="0.3">
      <c r="G1557" s="459"/>
      <c r="H1557" s="459">
        <v>1550</v>
      </c>
      <c r="I1557" s="444">
        <f t="shared" ca="1" si="115"/>
        <v>-144230791.64501268</v>
      </c>
      <c r="J1557" s="444">
        <f t="array" ref="J1557">IFERROR(INDEX('Retirement Calculator'!K:K,MATCH('Lorri 401b'!N1557,'Retirement Calculator'!A:A,0),0),0)</f>
        <v>0</v>
      </c>
      <c r="K1557" s="444">
        <f t="shared" ca="1" si="113"/>
        <v>-600961.63185421948</v>
      </c>
      <c r="L1557" s="444">
        <f t="shared" ca="1" si="114"/>
        <v>-144831753.27686688</v>
      </c>
      <c r="M1557" s="460">
        <f t="shared" si="116"/>
        <v>0.05</v>
      </c>
      <c r="N1557" s="464">
        <f t="shared" si="117"/>
        <v>98434</v>
      </c>
    </row>
    <row r="1558" spans="7:14" ht="11.25" customHeight="1" x14ac:dyDescent="0.3">
      <c r="G1558" s="459"/>
      <c r="H1558" s="459">
        <v>1551</v>
      </c>
      <c r="I1558" s="444">
        <f t="shared" ca="1" si="115"/>
        <v>-144831753.27686688</v>
      </c>
      <c r="J1558" s="444">
        <f t="array" ref="J1558">IFERROR(INDEX('Retirement Calculator'!K:K,MATCH('Lorri 401b'!N1558,'Retirement Calculator'!A:A,0),0),0)</f>
        <v>0</v>
      </c>
      <c r="K1558" s="444">
        <f t="shared" ca="1" si="113"/>
        <v>-603465.638653612</v>
      </c>
      <c r="L1558" s="444">
        <f t="shared" ca="1" si="114"/>
        <v>-145435218.91552049</v>
      </c>
      <c r="M1558" s="460">
        <f t="shared" si="116"/>
        <v>0.05</v>
      </c>
      <c r="N1558" s="464">
        <f t="shared" si="117"/>
        <v>98465</v>
      </c>
    </row>
    <row r="1559" spans="7:14" ht="11.25" customHeight="1" x14ac:dyDescent="0.3">
      <c r="G1559" s="459"/>
      <c r="H1559" s="459">
        <v>1552</v>
      </c>
      <c r="I1559" s="444">
        <f t="shared" ca="1" si="115"/>
        <v>-145435218.91552049</v>
      </c>
      <c r="J1559" s="444">
        <f t="array" ref="J1559">IFERROR(INDEX('Retirement Calculator'!K:K,MATCH('Lorri 401b'!N1559,'Retirement Calculator'!A:A,0),0),0)</f>
        <v>0</v>
      </c>
      <c r="K1559" s="444">
        <f t="shared" ca="1" si="113"/>
        <v>-605980.0788146687</v>
      </c>
      <c r="L1559" s="444">
        <f t="shared" ca="1" si="114"/>
        <v>-146041198.99433514</v>
      </c>
      <c r="M1559" s="460">
        <f t="shared" si="116"/>
        <v>0.05</v>
      </c>
      <c r="N1559" s="464">
        <f t="shared" si="117"/>
        <v>98496</v>
      </c>
    </row>
    <row r="1560" spans="7:14" ht="11.25" customHeight="1" x14ac:dyDescent="0.3">
      <c r="G1560" s="459"/>
      <c r="H1560" s="459">
        <v>1553</v>
      </c>
      <c r="I1560" s="444">
        <f t="shared" ca="1" si="115"/>
        <v>-146041198.99433514</v>
      </c>
      <c r="J1560" s="444">
        <f t="array" ref="J1560">IFERROR(INDEX('Retirement Calculator'!K:K,MATCH('Lorri 401b'!N1560,'Retirement Calculator'!A:A,0),0),0)</f>
        <v>0</v>
      </c>
      <c r="K1560" s="444">
        <f t="shared" ca="1" si="113"/>
        <v>-608504.99580972979</v>
      </c>
      <c r="L1560" s="444">
        <f t="shared" ca="1" si="114"/>
        <v>-146649703.99014488</v>
      </c>
      <c r="M1560" s="460">
        <f t="shared" si="116"/>
        <v>0.05</v>
      </c>
      <c r="N1560" s="464">
        <f t="shared" si="117"/>
        <v>98526</v>
      </c>
    </row>
    <row r="1561" spans="7:14" ht="11.25" customHeight="1" x14ac:dyDescent="0.3">
      <c r="G1561" s="459"/>
      <c r="H1561" s="459">
        <v>1554</v>
      </c>
      <c r="I1561" s="444">
        <f t="shared" ca="1" si="115"/>
        <v>-146649703.99014488</v>
      </c>
      <c r="J1561" s="444">
        <f t="array" ref="J1561">IFERROR(INDEX('Retirement Calculator'!K:K,MATCH('Lorri 401b'!N1561,'Retirement Calculator'!A:A,0),0),0)</f>
        <v>0</v>
      </c>
      <c r="K1561" s="444">
        <f t="shared" ca="1" si="113"/>
        <v>-611040.43329227029</v>
      </c>
      <c r="L1561" s="444">
        <f t="shared" ca="1" si="114"/>
        <v>-147260744.42343715</v>
      </c>
      <c r="M1561" s="460">
        <f t="shared" si="116"/>
        <v>0.05</v>
      </c>
      <c r="N1561" s="464">
        <f t="shared" si="117"/>
        <v>98557</v>
      </c>
    </row>
    <row r="1562" spans="7:14" ht="11.25" customHeight="1" x14ac:dyDescent="0.3">
      <c r="G1562" s="459"/>
      <c r="H1562" s="459">
        <v>1555</v>
      </c>
      <c r="I1562" s="444">
        <f t="shared" ca="1" si="115"/>
        <v>-147260744.42343715</v>
      </c>
      <c r="J1562" s="444">
        <f t="array" ref="J1562">IFERROR(INDEX('Retirement Calculator'!K:K,MATCH('Lorri 401b'!N1562,'Retirement Calculator'!A:A,0),0),0)</f>
        <v>0</v>
      </c>
      <c r="K1562" s="444">
        <f t="shared" ca="1" si="113"/>
        <v>-613586.43509765482</v>
      </c>
      <c r="L1562" s="444">
        <f t="shared" ca="1" si="114"/>
        <v>-147874330.85853481</v>
      </c>
      <c r="M1562" s="460">
        <f t="shared" si="116"/>
        <v>0.05</v>
      </c>
      <c r="N1562" s="464">
        <f t="shared" si="117"/>
        <v>98587</v>
      </c>
    </row>
    <row r="1563" spans="7:14" ht="11.25" customHeight="1" x14ac:dyDescent="0.3">
      <c r="G1563" s="459"/>
      <c r="H1563" s="459">
        <v>1556</v>
      </c>
      <c r="I1563" s="444">
        <f t="shared" ca="1" si="115"/>
        <v>-147874330.85853481</v>
      </c>
      <c r="J1563" s="444">
        <f t="array" ref="J1563">IFERROR(INDEX('Retirement Calculator'!K:K,MATCH('Lorri 401b'!N1563,'Retirement Calculator'!A:A,0),0),0)</f>
        <v>0</v>
      </c>
      <c r="K1563" s="444">
        <f t="shared" ca="1" si="113"/>
        <v>-616143.04524389503</v>
      </c>
      <c r="L1563" s="444">
        <f t="shared" ca="1" si="114"/>
        <v>-148490473.9037787</v>
      </c>
      <c r="M1563" s="460">
        <f t="shared" si="116"/>
        <v>0.05</v>
      </c>
      <c r="N1563" s="464">
        <f t="shared" si="117"/>
        <v>98618</v>
      </c>
    </row>
    <row r="1564" spans="7:14" ht="11.25" customHeight="1" x14ac:dyDescent="0.3">
      <c r="G1564" s="459"/>
      <c r="H1564" s="459">
        <v>1557</v>
      </c>
      <c r="I1564" s="444">
        <f t="shared" ca="1" si="115"/>
        <v>-148490473.9037787</v>
      </c>
      <c r="J1564" s="444">
        <f t="array" ref="J1564">IFERROR(INDEX('Retirement Calculator'!K:K,MATCH('Lorri 401b'!N1564,'Retirement Calculator'!A:A,0),0),0)</f>
        <v>0</v>
      </c>
      <c r="K1564" s="444">
        <f t="shared" ca="1" si="113"/>
        <v>-618710.3079324112</v>
      </c>
      <c r="L1564" s="444">
        <f t="shared" ca="1" si="114"/>
        <v>-149109184.21171111</v>
      </c>
      <c r="M1564" s="460">
        <f t="shared" si="116"/>
        <v>0.05</v>
      </c>
      <c r="N1564" s="464">
        <f t="shared" si="117"/>
        <v>98649</v>
      </c>
    </row>
    <row r="1565" spans="7:14" ht="11.25" customHeight="1" x14ac:dyDescent="0.3">
      <c r="G1565" s="459"/>
      <c r="H1565" s="459">
        <v>1558</v>
      </c>
      <c r="I1565" s="444">
        <f t="shared" ca="1" si="115"/>
        <v>-149109184.21171111</v>
      </c>
      <c r="J1565" s="444">
        <f t="array" ref="J1565">IFERROR(INDEX('Retirement Calculator'!K:K,MATCH('Lorri 401b'!N1565,'Retirement Calculator'!A:A,0),0),0)</f>
        <v>0</v>
      </c>
      <c r="K1565" s="444">
        <f t="shared" ca="1" si="113"/>
        <v>-621288.26754879626</v>
      </c>
      <c r="L1565" s="444">
        <f t="shared" ca="1" si="114"/>
        <v>-149730472.47925991</v>
      </c>
      <c r="M1565" s="460">
        <f t="shared" si="116"/>
        <v>0.05</v>
      </c>
      <c r="N1565" s="464">
        <f t="shared" si="117"/>
        <v>98677</v>
      </c>
    </row>
    <row r="1566" spans="7:14" ht="11.25" customHeight="1" x14ac:dyDescent="0.3">
      <c r="G1566" s="459"/>
      <c r="H1566" s="459">
        <v>1559</v>
      </c>
      <c r="I1566" s="444">
        <f t="shared" ca="1" si="115"/>
        <v>-149730472.47925991</v>
      </c>
      <c r="J1566" s="444">
        <f t="array" ref="J1566">IFERROR(INDEX('Retirement Calculator'!K:K,MATCH('Lorri 401b'!N1566,'Retirement Calculator'!A:A,0),0),0)</f>
        <v>0</v>
      </c>
      <c r="K1566" s="444">
        <f t="shared" ca="1" si="113"/>
        <v>-623876.96866358293</v>
      </c>
      <c r="L1566" s="444">
        <f t="shared" ca="1" si="114"/>
        <v>-150354349.44792348</v>
      </c>
      <c r="M1566" s="460">
        <f t="shared" si="116"/>
        <v>0.05</v>
      </c>
      <c r="N1566" s="464">
        <f t="shared" si="117"/>
        <v>98708</v>
      </c>
    </row>
    <row r="1567" spans="7:14" ht="11.25" customHeight="1" x14ac:dyDescent="0.3">
      <c r="G1567" s="459"/>
      <c r="H1567" s="459">
        <v>1560</v>
      </c>
      <c r="I1567" s="444">
        <f t="shared" ca="1" si="115"/>
        <v>-150354349.44792348</v>
      </c>
      <c r="J1567" s="444">
        <f t="array" ref="J1567">IFERROR(INDEX('Retirement Calculator'!K:K,MATCH('Lorri 401b'!N1567,'Retirement Calculator'!A:A,0),0),0)</f>
        <v>0</v>
      </c>
      <c r="K1567" s="444">
        <f t="shared" ca="1" si="113"/>
        <v>-626476.45603301446</v>
      </c>
      <c r="L1567" s="444">
        <f t="shared" ca="1" si="114"/>
        <v>-150980825.9039565</v>
      </c>
      <c r="M1567" s="460">
        <f t="shared" si="116"/>
        <v>0.05</v>
      </c>
      <c r="N1567" s="464">
        <f t="shared" si="117"/>
        <v>98738</v>
      </c>
    </row>
    <row r="1568" spans="7:14" ht="11.25" customHeight="1" x14ac:dyDescent="0.3">
      <c r="G1568" s="459"/>
      <c r="H1568" s="459">
        <v>1561</v>
      </c>
      <c r="I1568" s="444">
        <f t="shared" ca="1" si="115"/>
        <v>-150980825.9039565</v>
      </c>
      <c r="J1568" s="444">
        <f t="array" ref="J1568">IFERROR(INDEX('Retirement Calculator'!K:K,MATCH('Lorri 401b'!N1568,'Retirement Calculator'!A:A,0),0),0)</f>
        <v>0</v>
      </c>
      <c r="K1568" s="444">
        <f t="shared" ca="1" si="113"/>
        <v>-629086.77459981875</v>
      </c>
      <c r="L1568" s="444">
        <f t="shared" ca="1" si="114"/>
        <v>-151609912.67855632</v>
      </c>
      <c r="M1568" s="460">
        <f t="shared" si="116"/>
        <v>0.05</v>
      </c>
      <c r="N1568" s="464">
        <f t="shared" si="117"/>
        <v>98769</v>
      </c>
    </row>
    <row r="1569" spans="7:14" ht="11.25" customHeight="1" x14ac:dyDescent="0.3">
      <c r="G1569" s="459"/>
      <c r="H1569" s="459">
        <v>1562</v>
      </c>
      <c r="I1569" s="444">
        <f t="shared" ca="1" si="115"/>
        <v>-151609912.67855632</v>
      </c>
      <c r="J1569" s="444">
        <f t="array" ref="J1569">IFERROR(INDEX('Retirement Calculator'!K:K,MATCH('Lorri 401b'!N1569,'Retirement Calculator'!A:A,0),0),0)</f>
        <v>0</v>
      </c>
      <c r="K1569" s="444">
        <f t="shared" ca="1" si="113"/>
        <v>-631707.96949398471</v>
      </c>
      <c r="L1569" s="444">
        <f t="shared" ca="1" si="114"/>
        <v>-152241620.64805031</v>
      </c>
      <c r="M1569" s="460">
        <f t="shared" si="116"/>
        <v>0.05</v>
      </c>
      <c r="N1569" s="464">
        <f t="shared" si="117"/>
        <v>98799</v>
      </c>
    </row>
    <row r="1570" spans="7:14" ht="11.25" customHeight="1" x14ac:dyDescent="0.3">
      <c r="G1570" s="459"/>
      <c r="H1570" s="459">
        <v>1563</v>
      </c>
      <c r="I1570" s="444">
        <f t="shared" ca="1" si="115"/>
        <v>-152241620.64805031</v>
      </c>
      <c r="J1570" s="444">
        <f t="array" ref="J1570">IFERROR(INDEX('Retirement Calculator'!K:K,MATCH('Lorri 401b'!N1570,'Retirement Calculator'!A:A,0),0),0)</f>
        <v>0</v>
      </c>
      <c r="K1570" s="444">
        <f t="shared" ca="1" si="113"/>
        <v>-634340.08603354299</v>
      </c>
      <c r="L1570" s="444">
        <f t="shared" ca="1" si="114"/>
        <v>-152875960.73408386</v>
      </c>
      <c r="M1570" s="460">
        <f t="shared" si="116"/>
        <v>0.05</v>
      </c>
      <c r="N1570" s="464">
        <f t="shared" si="117"/>
        <v>98830</v>
      </c>
    </row>
    <row r="1571" spans="7:14" ht="11.25" customHeight="1" x14ac:dyDescent="0.3">
      <c r="G1571" s="459"/>
      <c r="H1571" s="459">
        <v>1564</v>
      </c>
      <c r="I1571" s="444">
        <f t="shared" ca="1" si="115"/>
        <v>-152875960.73408386</v>
      </c>
      <c r="J1571" s="444">
        <f t="array" ref="J1571">IFERROR(INDEX('Retirement Calculator'!K:K,MATCH('Lorri 401b'!N1571,'Retirement Calculator'!A:A,0),0),0)</f>
        <v>0</v>
      </c>
      <c r="K1571" s="444">
        <f t="shared" ca="1" si="113"/>
        <v>-636983.16972534941</v>
      </c>
      <c r="L1571" s="444">
        <f t="shared" ca="1" si="114"/>
        <v>-153512943.90380922</v>
      </c>
      <c r="M1571" s="460">
        <f t="shared" si="116"/>
        <v>0.05</v>
      </c>
      <c r="N1571" s="464">
        <f t="shared" si="117"/>
        <v>98861</v>
      </c>
    </row>
    <row r="1572" spans="7:14" ht="11.25" customHeight="1" x14ac:dyDescent="0.3">
      <c r="G1572" s="459"/>
      <c r="H1572" s="459">
        <v>1565</v>
      </c>
      <c r="I1572" s="444">
        <f t="shared" ca="1" si="115"/>
        <v>-153512943.90380922</v>
      </c>
      <c r="J1572" s="444">
        <f t="array" ref="J1572">IFERROR(INDEX('Retirement Calculator'!K:K,MATCH('Lorri 401b'!N1572,'Retirement Calculator'!A:A,0),0),0)</f>
        <v>0</v>
      </c>
      <c r="K1572" s="444">
        <f t="shared" ca="1" si="113"/>
        <v>-639637.2662658717</v>
      </c>
      <c r="L1572" s="444">
        <f t="shared" ca="1" si="114"/>
        <v>-154152581.17007509</v>
      </c>
      <c r="M1572" s="460">
        <f t="shared" si="116"/>
        <v>0.05</v>
      </c>
      <c r="N1572" s="464">
        <f t="shared" si="117"/>
        <v>98891</v>
      </c>
    </row>
    <row r="1573" spans="7:14" ht="11.25" customHeight="1" x14ac:dyDescent="0.3">
      <c r="G1573" s="459"/>
      <c r="H1573" s="459">
        <v>1566</v>
      </c>
      <c r="I1573" s="444">
        <f t="shared" ca="1" si="115"/>
        <v>-154152581.17007509</v>
      </c>
      <c r="J1573" s="444">
        <f t="array" ref="J1573">IFERROR(INDEX('Retirement Calculator'!K:K,MATCH('Lorri 401b'!N1573,'Retirement Calculator'!A:A,0),0),0)</f>
        <v>0</v>
      </c>
      <c r="K1573" s="444">
        <f t="shared" ca="1" si="113"/>
        <v>-642302.42154197954</v>
      </c>
      <c r="L1573" s="444">
        <f t="shared" ca="1" si="114"/>
        <v>-154794883.59161708</v>
      </c>
      <c r="M1573" s="460">
        <f t="shared" si="116"/>
        <v>0.05</v>
      </c>
      <c r="N1573" s="464">
        <f t="shared" si="117"/>
        <v>98922</v>
      </c>
    </row>
    <row r="1574" spans="7:14" ht="11.25" customHeight="1" x14ac:dyDescent="0.3">
      <c r="G1574" s="459"/>
      <c r="H1574" s="459">
        <v>1567</v>
      </c>
      <c r="I1574" s="444">
        <f t="shared" ca="1" si="115"/>
        <v>-154794883.59161708</v>
      </c>
      <c r="J1574" s="444">
        <f t="array" ref="J1574">IFERROR(INDEX('Retirement Calculator'!K:K,MATCH('Lorri 401b'!N1574,'Retirement Calculator'!A:A,0),0),0)</f>
        <v>0</v>
      </c>
      <c r="K1574" s="444">
        <f t="shared" ca="1" si="113"/>
        <v>-644978.68163173785</v>
      </c>
      <c r="L1574" s="444">
        <f t="shared" ca="1" si="114"/>
        <v>-155439862.27324882</v>
      </c>
      <c r="M1574" s="460">
        <f t="shared" si="116"/>
        <v>0.05</v>
      </c>
      <c r="N1574" s="464">
        <f t="shared" si="117"/>
        <v>98952</v>
      </c>
    </row>
    <row r="1575" spans="7:14" ht="11.25" customHeight="1" x14ac:dyDescent="0.3">
      <c r="G1575" s="459"/>
      <c r="H1575" s="459">
        <v>1568</v>
      </c>
      <c r="I1575" s="444">
        <f t="shared" ca="1" si="115"/>
        <v>-155439862.27324882</v>
      </c>
      <c r="J1575" s="444">
        <f t="array" ref="J1575">IFERROR(INDEX('Retirement Calculator'!K:K,MATCH('Lorri 401b'!N1575,'Retirement Calculator'!A:A,0),0),0)</f>
        <v>0</v>
      </c>
      <c r="K1575" s="444">
        <f t="shared" ca="1" si="113"/>
        <v>-647666.0928052034</v>
      </c>
      <c r="L1575" s="444">
        <f t="shared" ca="1" si="114"/>
        <v>-156087528.36605403</v>
      </c>
      <c r="M1575" s="460">
        <f t="shared" si="116"/>
        <v>0.05</v>
      </c>
      <c r="N1575" s="464">
        <f t="shared" si="117"/>
        <v>98983</v>
      </c>
    </row>
    <row r="1576" spans="7:14" ht="11.25" customHeight="1" x14ac:dyDescent="0.3">
      <c r="G1576" s="459"/>
      <c r="H1576" s="459">
        <v>1569</v>
      </c>
      <c r="I1576" s="444">
        <f t="shared" ca="1" si="115"/>
        <v>-156087528.36605403</v>
      </c>
      <c r="J1576" s="444">
        <f t="array" ref="J1576">IFERROR(INDEX('Retirement Calculator'!K:K,MATCH('Lorri 401b'!N1576,'Retirement Calculator'!A:A,0),0),0)</f>
        <v>0</v>
      </c>
      <c r="K1576" s="444">
        <f t="shared" ca="1" si="113"/>
        <v>-650364.70152522507</v>
      </c>
      <c r="L1576" s="444">
        <f t="shared" ca="1" si="114"/>
        <v>-156737893.06757924</v>
      </c>
      <c r="M1576" s="460">
        <f t="shared" si="116"/>
        <v>0.05</v>
      </c>
      <c r="N1576" s="464">
        <f t="shared" si="117"/>
        <v>99014</v>
      </c>
    </row>
    <row r="1577" spans="7:14" ht="11.25" customHeight="1" x14ac:dyDescent="0.3">
      <c r="G1577" s="459"/>
      <c r="H1577" s="459">
        <v>1570</v>
      </c>
      <c r="I1577" s="444">
        <f t="shared" ca="1" si="115"/>
        <v>-156737893.06757924</v>
      </c>
      <c r="J1577" s="444">
        <f t="array" ref="J1577">IFERROR(INDEX('Retirement Calculator'!K:K,MATCH('Lorri 401b'!N1577,'Retirement Calculator'!A:A,0),0),0)</f>
        <v>0</v>
      </c>
      <c r="K1577" s="444">
        <f t="shared" ca="1" si="113"/>
        <v>-653074.55444824684</v>
      </c>
      <c r="L1577" s="444">
        <f t="shared" ca="1" si="114"/>
        <v>-157390967.62202749</v>
      </c>
      <c r="M1577" s="460">
        <f t="shared" si="116"/>
        <v>0.05</v>
      </c>
      <c r="N1577" s="464">
        <f t="shared" si="117"/>
        <v>99042</v>
      </c>
    </row>
    <row r="1578" spans="7:14" ht="11.25" customHeight="1" x14ac:dyDescent="0.3">
      <c r="G1578" s="459"/>
      <c r="H1578" s="459">
        <v>1571</v>
      </c>
      <c r="I1578" s="444">
        <f t="shared" ca="1" si="115"/>
        <v>-157390967.62202749</v>
      </c>
      <c r="J1578" s="444">
        <f t="array" ref="J1578">IFERROR(INDEX('Retirement Calculator'!K:K,MATCH('Lorri 401b'!N1578,'Retirement Calculator'!A:A,0),0),0)</f>
        <v>0</v>
      </c>
      <c r="K1578" s="444">
        <f t="shared" ca="1" si="113"/>
        <v>-655795.6984251145</v>
      </c>
      <c r="L1578" s="444">
        <f t="shared" ca="1" si="114"/>
        <v>-158046763.3204526</v>
      </c>
      <c r="M1578" s="460">
        <f t="shared" si="116"/>
        <v>0.05</v>
      </c>
      <c r="N1578" s="464">
        <f t="shared" si="117"/>
        <v>99073</v>
      </c>
    </row>
    <row r="1579" spans="7:14" ht="11.25" customHeight="1" x14ac:dyDescent="0.3">
      <c r="G1579" s="459"/>
      <c r="H1579" s="459">
        <v>1572</v>
      </c>
      <c r="I1579" s="444">
        <f t="shared" ca="1" si="115"/>
        <v>-158046763.3204526</v>
      </c>
      <c r="J1579" s="444">
        <f t="array" ref="J1579">IFERROR(INDEX('Retirement Calculator'!K:K,MATCH('Lorri 401b'!N1579,'Retirement Calculator'!A:A,0),0),0)</f>
        <v>0</v>
      </c>
      <c r="K1579" s="444">
        <f t="shared" ca="1" si="113"/>
        <v>-658528.18050188583</v>
      </c>
      <c r="L1579" s="444">
        <f t="shared" ca="1" si="114"/>
        <v>-158705291.50095448</v>
      </c>
      <c r="M1579" s="460">
        <f t="shared" si="116"/>
        <v>0.05</v>
      </c>
      <c r="N1579" s="464">
        <f t="shared" si="117"/>
        <v>99103</v>
      </c>
    </row>
    <row r="1580" spans="7:14" ht="11.25" customHeight="1" x14ac:dyDescent="0.3">
      <c r="G1580" s="459"/>
      <c r="H1580" s="459">
        <v>1573</v>
      </c>
      <c r="I1580" s="444">
        <f t="shared" ca="1" si="115"/>
        <v>-158705291.50095448</v>
      </c>
      <c r="J1580" s="444">
        <f t="array" ref="J1580">IFERROR(INDEX('Retirement Calculator'!K:K,MATCH('Lorri 401b'!N1580,'Retirement Calculator'!A:A,0),0),0)</f>
        <v>0</v>
      </c>
      <c r="K1580" s="444">
        <f t="shared" ca="1" si="113"/>
        <v>-661272.0479206437</v>
      </c>
      <c r="L1580" s="444">
        <f t="shared" ca="1" si="114"/>
        <v>-159366563.54887512</v>
      </c>
      <c r="M1580" s="460">
        <f t="shared" si="116"/>
        <v>0.05</v>
      </c>
      <c r="N1580" s="464">
        <f t="shared" si="117"/>
        <v>99134</v>
      </c>
    </row>
    <row r="1581" spans="7:14" ht="11.25" customHeight="1" x14ac:dyDescent="0.3">
      <c r="G1581" s="459"/>
      <c r="H1581" s="459">
        <v>1574</v>
      </c>
      <c r="I1581" s="444">
        <f t="shared" ca="1" si="115"/>
        <v>-159366563.54887512</v>
      </c>
      <c r="J1581" s="444">
        <f t="array" ref="J1581">IFERROR(INDEX('Retirement Calculator'!K:K,MATCH('Lorri 401b'!N1581,'Retirement Calculator'!A:A,0),0),0)</f>
        <v>0</v>
      </c>
      <c r="K1581" s="444">
        <f t="shared" ca="1" si="113"/>
        <v>-664027.34812031302</v>
      </c>
      <c r="L1581" s="444">
        <f t="shared" ca="1" si="114"/>
        <v>-160030590.89699543</v>
      </c>
      <c r="M1581" s="460">
        <f t="shared" si="116"/>
        <v>0.05</v>
      </c>
      <c r="N1581" s="464">
        <f t="shared" si="117"/>
        <v>99164</v>
      </c>
    </row>
    <row r="1582" spans="7:14" ht="11.25" customHeight="1" x14ac:dyDescent="0.3">
      <c r="G1582" s="459"/>
      <c r="H1582" s="459">
        <v>1575</v>
      </c>
      <c r="I1582" s="444">
        <f t="shared" ca="1" si="115"/>
        <v>-160030590.89699543</v>
      </c>
      <c r="J1582" s="444">
        <f t="array" ref="J1582">IFERROR(INDEX('Retirement Calculator'!K:K,MATCH('Lorri 401b'!N1582,'Retirement Calculator'!A:A,0),0),0)</f>
        <v>0</v>
      </c>
      <c r="K1582" s="444">
        <f t="shared" ca="1" si="113"/>
        <v>-666794.12873748096</v>
      </c>
      <c r="L1582" s="444">
        <f t="shared" ca="1" si="114"/>
        <v>-160697385.0257329</v>
      </c>
      <c r="M1582" s="460">
        <f t="shared" si="116"/>
        <v>0.05</v>
      </c>
      <c r="N1582" s="464">
        <f t="shared" si="117"/>
        <v>99195</v>
      </c>
    </row>
    <row r="1583" spans="7:14" ht="11.25" customHeight="1" x14ac:dyDescent="0.3">
      <c r="G1583" s="459"/>
      <c r="H1583" s="459">
        <v>1576</v>
      </c>
      <c r="I1583" s="444">
        <f t="shared" ca="1" si="115"/>
        <v>-160697385.0257329</v>
      </c>
      <c r="J1583" s="444">
        <f t="array" ref="J1583">IFERROR(INDEX('Retirement Calculator'!K:K,MATCH('Lorri 401b'!N1583,'Retirement Calculator'!A:A,0),0),0)</f>
        <v>0</v>
      </c>
      <c r="K1583" s="444">
        <f t="shared" ca="1" si="113"/>
        <v>-669572.43760722037</v>
      </c>
      <c r="L1583" s="444">
        <f t="shared" ca="1" si="114"/>
        <v>-161366957.46334013</v>
      </c>
      <c r="M1583" s="460">
        <f t="shared" si="116"/>
        <v>0.05</v>
      </c>
      <c r="N1583" s="464">
        <f t="shared" si="117"/>
        <v>99226</v>
      </c>
    </row>
    <row r="1584" spans="7:14" ht="11.25" customHeight="1" x14ac:dyDescent="0.3">
      <c r="G1584" s="459"/>
      <c r="H1584" s="459">
        <v>1577</v>
      </c>
      <c r="I1584" s="444">
        <f t="shared" ca="1" si="115"/>
        <v>-161366957.46334013</v>
      </c>
      <c r="J1584" s="444">
        <f t="array" ref="J1584">IFERROR(INDEX('Retirement Calculator'!K:K,MATCH('Lorri 401b'!N1584,'Retirement Calculator'!A:A,0),0),0)</f>
        <v>0</v>
      </c>
      <c r="K1584" s="444">
        <f t="shared" ca="1" si="113"/>
        <v>-672362.32276391727</v>
      </c>
      <c r="L1584" s="444">
        <f t="shared" ca="1" si="114"/>
        <v>-162039319.78610405</v>
      </c>
      <c r="M1584" s="460">
        <f t="shared" si="116"/>
        <v>0.05</v>
      </c>
      <c r="N1584" s="464">
        <f t="shared" si="117"/>
        <v>99256</v>
      </c>
    </row>
    <row r="1585" spans="7:14" ht="11.25" customHeight="1" x14ac:dyDescent="0.3">
      <c r="G1585" s="459"/>
      <c r="H1585" s="459">
        <v>1578</v>
      </c>
      <c r="I1585" s="444">
        <f t="shared" ca="1" si="115"/>
        <v>-162039319.78610405</v>
      </c>
      <c r="J1585" s="444">
        <f t="array" ref="J1585">IFERROR(INDEX('Retirement Calculator'!K:K,MATCH('Lorri 401b'!N1585,'Retirement Calculator'!A:A,0),0),0)</f>
        <v>0</v>
      </c>
      <c r="K1585" s="444">
        <f t="shared" ca="1" si="113"/>
        <v>-675163.83244210016</v>
      </c>
      <c r="L1585" s="444">
        <f t="shared" ca="1" si="114"/>
        <v>-162714483.61854616</v>
      </c>
      <c r="M1585" s="460">
        <f t="shared" si="116"/>
        <v>0.05</v>
      </c>
      <c r="N1585" s="464">
        <f t="shared" si="117"/>
        <v>99287</v>
      </c>
    </row>
    <row r="1586" spans="7:14" ht="11.25" customHeight="1" x14ac:dyDescent="0.3">
      <c r="G1586" s="459"/>
      <c r="H1586" s="459">
        <v>1579</v>
      </c>
      <c r="I1586" s="444">
        <f t="shared" ca="1" si="115"/>
        <v>-162714483.61854616</v>
      </c>
      <c r="J1586" s="444">
        <f t="array" ref="J1586">IFERROR(INDEX('Retirement Calculator'!K:K,MATCH('Lorri 401b'!N1586,'Retirement Calculator'!A:A,0),0),0)</f>
        <v>0</v>
      </c>
      <c r="K1586" s="444">
        <f t="shared" ca="1" si="113"/>
        <v>-677977.01507727569</v>
      </c>
      <c r="L1586" s="444">
        <f t="shared" ca="1" si="114"/>
        <v>-163392460.63362342</v>
      </c>
      <c r="M1586" s="460">
        <f t="shared" si="116"/>
        <v>0.05</v>
      </c>
      <c r="N1586" s="464">
        <f t="shared" si="117"/>
        <v>99317</v>
      </c>
    </row>
    <row r="1587" spans="7:14" ht="11.25" customHeight="1" x14ac:dyDescent="0.3">
      <c r="G1587" s="459"/>
      <c r="H1587" s="459">
        <v>1580</v>
      </c>
      <c r="I1587" s="444">
        <f t="shared" ca="1" si="115"/>
        <v>-163392460.63362342</v>
      </c>
      <c r="J1587" s="444">
        <f t="array" ref="J1587">IFERROR(INDEX('Retirement Calculator'!K:K,MATCH('Lorri 401b'!N1587,'Retirement Calculator'!A:A,0),0),0)</f>
        <v>0</v>
      </c>
      <c r="K1587" s="444">
        <f t="shared" ca="1" si="113"/>
        <v>-680801.91930676426</v>
      </c>
      <c r="L1587" s="444">
        <f t="shared" ca="1" si="114"/>
        <v>-164073262.55293018</v>
      </c>
      <c r="M1587" s="460">
        <f t="shared" si="116"/>
        <v>0.05</v>
      </c>
      <c r="N1587" s="464">
        <f t="shared" si="117"/>
        <v>99348</v>
      </c>
    </row>
    <row r="1588" spans="7:14" ht="11.25" customHeight="1" x14ac:dyDescent="0.3">
      <c r="G1588" s="459"/>
      <c r="H1588" s="459">
        <v>1581</v>
      </c>
      <c r="I1588" s="444">
        <f t="shared" ca="1" si="115"/>
        <v>-164073262.55293018</v>
      </c>
      <c r="J1588" s="444">
        <f t="array" ref="J1588">IFERROR(INDEX('Retirement Calculator'!K:K,MATCH('Lorri 401b'!N1588,'Retirement Calculator'!A:A,0),0),0)</f>
        <v>0</v>
      </c>
      <c r="K1588" s="444">
        <f t="shared" ca="1" si="113"/>
        <v>-683638.59397054242</v>
      </c>
      <c r="L1588" s="444">
        <f t="shared" ca="1" si="114"/>
        <v>-164756901.14690071</v>
      </c>
      <c r="M1588" s="460">
        <f t="shared" si="116"/>
        <v>0.05</v>
      </c>
      <c r="N1588" s="464">
        <f t="shared" si="117"/>
        <v>99379</v>
      </c>
    </row>
    <row r="1589" spans="7:14" ht="11.25" customHeight="1" x14ac:dyDescent="0.3">
      <c r="G1589" s="459"/>
      <c r="H1589" s="459">
        <v>1582</v>
      </c>
      <c r="I1589" s="444">
        <f t="shared" ca="1" si="115"/>
        <v>-164756901.14690071</v>
      </c>
      <c r="J1589" s="444">
        <f t="array" ref="J1589">IFERROR(INDEX('Retirement Calculator'!K:K,MATCH('Lorri 401b'!N1589,'Retirement Calculator'!A:A,0),0),0)</f>
        <v>0</v>
      </c>
      <c r="K1589" s="444">
        <f t="shared" ca="1" si="113"/>
        <v>-686487.08811208629</v>
      </c>
      <c r="L1589" s="444">
        <f t="shared" ca="1" si="114"/>
        <v>-165443388.2350128</v>
      </c>
      <c r="M1589" s="460">
        <f t="shared" si="116"/>
        <v>0.05</v>
      </c>
      <c r="N1589" s="464">
        <f t="shared" si="117"/>
        <v>99408</v>
      </c>
    </row>
    <row r="1590" spans="7:14" ht="11.25" customHeight="1" x14ac:dyDescent="0.3">
      <c r="G1590" s="459"/>
      <c r="H1590" s="459">
        <v>1583</v>
      </c>
      <c r="I1590" s="444">
        <f t="shared" ca="1" si="115"/>
        <v>-165443388.2350128</v>
      </c>
      <c r="J1590" s="444">
        <f t="array" ref="J1590">IFERROR(INDEX('Retirement Calculator'!K:K,MATCH('Lorri 401b'!N1590,'Retirement Calculator'!A:A,0),0),0)</f>
        <v>0</v>
      </c>
      <c r="K1590" s="444">
        <f t="shared" ca="1" si="113"/>
        <v>-689347.45097921998</v>
      </c>
      <c r="L1590" s="444">
        <f t="shared" ca="1" si="114"/>
        <v>-166132735.68599203</v>
      </c>
      <c r="M1590" s="460">
        <f t="shared" si="116"/>
        <v>0.05</v>
      </c>
      <c r="N1590" s="464">
        <f t="shared" si="117"/>
        <v>99439</v>
      </c>
    </row>
    <row r="1591" spans="7:14" ht="11.25" customHeight="1" x14ac:dyDescent="0.3">
      <c r="G1591" s="459"/>
      <c r="H1591" s="459">
        <v>1584</v>
      </c>
      <c r="I1591" s="444">
        <f t="shared" ca="1" si="115"/>
        <v>-166132735.68599203</v>
      </c>
      <c r="J1591" s="444">
        <f t="array" ref="J1591">IFERROR(INDEX('Retirement Calculator'!K:K,MATCH('Lorri 401b'!N1591,'Retirement Calculator'!A:A,0),0),0)</f>
        <v>0</v>
      </c>
      <c r="K1591" s="444">
        <f t="shared" ca="1" si="113"/>
        <v>-692219.73202496674</v>
      </c>
      <c r="L1591" s="444">
        <f t="shared" ca="1" si="114"/>
        <v>-166824955.418017</v>
      </c>
      <c r="M1591" s="460">
        <f t="shared" si="116"/>
        <v>0.05</v>
      </c>
      <c r="N1591" s="464">
        <f t="shared" si="117"/>
        <v>99469</v>
      </c>
    </row>
    <row r="1592" spans="7:14" ht="11.25" customHeight="1" x14ac:dyDescent="0.3">
      <c r="G1592" s="459"/>
      <c r="H1592" s="459">
        <v>1585</v>
      </c>
      <c r="I1592" s="444">
        <f t="shared" ca="1" si="115"/>
        <v>-166824955.418017</v>
      </c>
      <c r="J1592" s="444">
        <f t="array" ref="J1592">IFERROR(INDEX('Retirement Calculator'!K:K,MATCH('Lorri 401b'!N1592,'Retirement Calculator'!A:A,0),0),0)</f>
        <v>0</v>
      </c>
      <c r="K1592" s="444">
        <f t="shared" ca="1" si="113"/>
        <v>-695103.9809084041</v>
      </c>
      <c r="L1592" s="444">
        <f t="shared" ca="1" si="114"/>
        <v>-167520059.39892539</v>
      </c>
      <c r="M1592" s="460">
        <f t="shared" si="116"/>
        <v>0.05</v>
      </c>
      <c r="N1592" s="464">
        <f t="shared" si="117"/>
        <v>99500</v>
      </c>
    </row>
    <row r="1593" spans="7:14" ht="11.25" customHeight="1" x14ac:dyDescent="0.3">
      <c r="G1593" s="459"/>
      <c r="H1593" s="459">
        <v>1586</v>
      </c>
      <c r="I1593" s="444">
        <f t="shared" ca="1" si="115"/>
        <v>-167520059.39892539</v>
      </c>
      <c r="J1593" s="444">
        <f t="array" ref="J1593">IFERROR(INDEX('Retirement Calculator'!K:K,MATCH('Lorri 401b'!N1593,'Retirement Calculator'!A:A,0),0),0)</f>
        <v>0</v>
      </c>
      <c r="K1593" s="444">
        <f t="shared" ca="1" si="113"/>
        <v>-698000.24749552249</v>
      </c>
      <c r="L1593" s="444">
        <f t="shared" ca="1" si="114"/>
        <v>-168218059.64642093</v>
      </c>
      <c r="M1593" s="460">
        <f t="shared" si="116"/>
        <v>0.05</v>
      </c>
      <c r="N1593" s="464">
        <f t="shared" si="117"/>
        <v>99530</v>
      </c>
    </row>
    <row r="1594" spans="7:14" ht="11.25" customHeight="1" x14ac:dyDescent="0.3">
      <c r="G1594" s="459"/>
      <c r="H1594" s="459">
        <v>1587</v>
      </c>
      <c r="I1594" s="444">
        <f t="shared" ca="1" si="115"/>
        <v>-168218059.64642093</v>
      </c>
      <c r="J1594" s="444">
        <f t="array" ref="J1594">IFERROR(INDEX('Retirement Calculator'!K:K,MATCH('Lorri 401b'!N1594,'Retirement Calculator'!A:A,0),0),0)</f>
        <v>0</v>
      </c>
      <c r="K1594" s="444">
        <f t="shared" ca="1" si="113"/>
        <v>-700908.58186008723</v>
      </c>
      <c r="L1594" s="444">
        <f t="shared" ca="1" si="114"/>
        <v>-168918968.22828102</v>
      </c>
      <c r="M1594" s="460">
        <f t="shared" si="116"/>
        <v>0.05</v>
      </c>
      <c r="N1594" s="464">
        <f t="shared" si="117"/>
        <v>99561</v>
      </c>
    </row>
    <row r="1595" spans="7:14" ht="11.25" customHeight="1" x14ac:dyDescent="0.3">
      <c r="G1595" s="459"/>
      <c r="H1595" s="459">
        <v>1588</v>
      </c>
      <c r="I1595" s="444">
        <f t="shared" ca="1" si="115"/>
        <v>-168918968.22828102</v>
      </c>
      <c r="J1595" s="444">
        <f t="array" ref="J1595">IFERROR(INDEX('Retirement Calculator'!K:K,MATCH('Lorri 401b'!N1595,'Retirement Calculator'!A:A,0),0),0)</f>
        <v>0</v>
      </c>
      <c r="K1595" s="444">
        <f t="shared" ca="1" si="113"/>
        <v>-703829.03428450425</v>
      </c>
      <c r="L1595" s="444">
        <f t="shared" ca="1" si="114"/>
        <v>-169622797.26256552</v>
      </c>
      <c r="M1595" s="460">
        <f t="shared" si="116"/>
        <v>0.05</v>
      </c>
      <c r="N1595" s="464">
        <f t="shared" si="117"/>
        <v>99592</v>
      </c>
    </row>
    <row r="1596" spans="7:14" ht="11.25" customHeight="1" x14ac:dyDescent="0.3">
      <c r="G1596" s="459"/>
      <c r="H1596" s="459">
        <v>1589</v>
      </c>
      <c r="I1596" s="444">
        <f t="shared" ca="1" si="115"/>
        <v>-169622797.26256552</v>
      </c>
      <c r="J1596" s="444">
        <f t="array" ref="J1596">IFERROR(INDEX('Retirement Calculator'!K:K,MATCH('Lorri 401b'!N1596,'Retirement Calculator'!A:A,0),0),0)</f>
        <v>0</v>
      </c>
      <c r="K1596" s="444">
        <f t="shared" ca="1" si="113"/>
        <v>-706761.65526068967</v>
      </c>
      <c r="L1596" s="444">
        <f t="shared" ca="1" si="114"/>
        <v>-170329558.91782621</v>
      </c>
      <c r="M1596" s="460">
        <f t="shared" si="116"/>
        <v>0.05</v>
      </c>
      <c r="N1596" s="464">
        <f t="shared" si="117"/>
        <v>99622</v>
      </c>
    </row>
    <row r="1597" spans="7:14" ht="11.25" customHeight="1" x14ac:dyDescent="0.3">
      <c r="G1597" s="459"/>
      <c r="H1597" s="459">
        <v>1590</v>
      </c>
      <c r="I1597" s="444">
        <f t="shared" ca="1" si="115"/>
        <v>-170329558.91782621</v>
      </c>
      <c r="J1597" s="444">
        <f t="array" ref="J1597">IFERROR(INDEX('Retirement Calculator'!K:K,MATCH('Lorri 401b'!N1597,'Retirement Calculator'!A:A,0),0),0)</f>
        <v>0</v>
      </c>
      <c r="K1597" s="444">
        <f t="shared" ca="1" si="113"/>
        <v>-709706.4954909425</v>
      </c>
      <c r="L1597" s="444">
        <f t="shared" ca="1" si="114"/>
        <v>-171039265.41331714</v>
      </c>
      <c r="M1597" s="460">
        <f t="shared" si="116"/>
        <v>0.05</v>
      </c>
      <c r="N1597" s="464">
        <f t="shared" si="117"/>
        <v>99653</v>
      </c>
    </row>
    <row r="1598" spans="7:14" ht="11.25" customHeight="1" x14ac:dyDescent="0.3">
      <c r="G1598" s="459"/>
      <c r="H1598" s="459">
        <v>1591</v>
      </c>
      <c r="I1598" s="444">
        <f t="shared" ca="1" si="115"/>
        <v>-171039265.41331714</v>
      </c>
      <c r="J1598" s="444">
        <f t="array" ref="J1598">IFERROR(INDEX('Retirement Calculator'!K:K,MATCH('Lorri 401b'!N1598,'Retirement Calculator'!A:A,0),0),0)</f>
        <v>0</v>
      </c>
      <c r="K1598" s="444">
        <f t="shared" ca="1" si="113"/>
        <v>-712663.60588882142</v>
      </c>
      <c r="L1598" s="444">
        <f t="shared" ca="1" si="114"/>
        <v>-171751929.01920596</v>
      </c>
      <c r="M1598" s="460">
        <f t="shared" si="116"/>
        <v>0.05</v>
      </c>
      <c r="N1598" s="464">
        <f t="shared" si="117"/>
        <v>99683</v>
      </c>
    </row>
    <row r="1599" spans="7:14" ht="11.25" customHeight="1" x14ac:dyDescent="0.3">
      <c r="G1599" s="459"/>
      <c r="H1599" s="459">
        <v>1592</v>
      </c>
      <c r="I1599" s="444">
        <f t="shared" ca="1" si="115"/>
        <v>-171751929.01920596</v>
      </c>
      <c r="J1599" s="444">
        <f t="array" ref="J1599">IFERROR(INDEX('Retirement Calculator'!K:K,MATCH('Lorri 401b'!N1599,'Retirement Calculator'!A:A,0),0),0)</f>
        <v>0</v>
      </c>
      <c r="K1599" s="444">
        <f t="shared" ca="1" si="113"/>
        <v>-715633.0375800248</v>
      </c>
      <c r="L1599" s="444">
        <f t="shared" ca="1" si="114"/>
        <v>-172467562.05678597</v>
      </c>
      <c r="M1599" s="460">
        <f t="shared" si="116"/>
        <v>0.05</v>
      </c>
      <c r="N1599" s="464">
        <f t="shared" si="117"/>
        <v>99714</v>
      </c>
    </row>
    <row r="1600" spans="7:14" ht="11.25" customHeight="1" x14ac:dyDescent="0.3">
      <c r="G1600" s="459"/>
      <c r="H1600" s="459">
        <v>1593</v>
      </c>
      <c r="I1600" s="444">
        <f t="shared" ca="1" si="115"/>
        <v>-172467562.05678597</v>
      </c>
      <c r="J1600" s="444">
        <f t="array" ref="J1600">IFERROR(INDEX('Retirement Calculator'!K:K,MATCH('Lorri 401b'!N1600,'Retirement Calculator'!A:A,0),0),0)</f>
        <v>0</v>
      </c>
      <c r="K1600" s="444">
        <f t="shared" ca="1" si="113"/>
        <v>-718614.84190327488</v>
      </c>
      <c r="L1600" s="444">
        <f t="shared" ca="1" si="114"/>
        <v>-173186176.89868924</v>
      </c>
      <c r="M1600" s="460">
        <f t="shared" si="116"/>
        <v>0.05</v>
      </c>
      <c r="N1600" s="464">
        <f t="shared" si="117"/>
        <v>99745</v>
      </c>
    </row>
    <row r="1601" spans="7:14" ht="11.25" customHeight="1" x14ac:dyDescent="0.3">
      <c r="G1601" s="459"/>
      <c r="H1601" s="459">
        <v>1594</v>
      </c>
      <c r="I1601" s="444">
        <f t="shared" ca="1" si="115"/>
        <v>-173186176.89868924</v>
      </c>
      <c r="J1601" s="444">
        <f t="array" ref="J1601">IFERROR(INDEX('Retirement Calculator'!K:K,MATCH('Lorri 401b'!N1601,'Retirement Calculator'!A:A,0),0),0)</f>
        <v>0</v>
      </c>
      <c r="K1601" s="444">
        <f t="shared" ca="1" si="113"/>
        <v>-721609.07041120518</v>
      </c>
      <c r="L1601" s="444">
        <f t="shared" ca="1" si="114"/>
        <v>-173907785.96910045</v>
      </c>
      <c r="M1601" s="460">
        <f t="shared" si="116"/>
        <v>0.05</v>
      </c>
      <c r="N1601" s="464">
        <f t="shared" si="117"/>
        <v>99773</v>
      </c>
    </row>
    <row r="1602" spans="7:14" ht="11.25" customHeight="1" x14ac:dyDescent="0.3">
      <c r="G1602" s="459"/>
      <c r="H1602" s="459">
        <v>1595</v>
      </c>
      <c r="I1602" s="444">
        <f t="shared" ca="1" si="115"/>
        <v>-173907785.96910045</v>
      </c>
      <c r="J1602" s="444">
        <f t="array" ref="J1602">IFERROR(INDEX('Retirement Calculator'!K:K,MATCH('Lorri 401b'!N1602,'Retirement Calculator'!A:A,0),0),0)</f>
        <v>0</v>
      </c>
      <c r="K1602" s="444">
        <f t="shared" ca="1" si="113"/>
        <v>-724615.7748712519</v>
      </c>
      <c r="L1602" s="444">
        <f t="shared" ca="1" si="114"/>
        <v>-174632401.74397171</v>
      </c>
      <c r="M1602" s="460">
        <f t="shared" si="116"/>
        <v>0.05</v>
      </c>
      <c r="N1602" s="464">
        <f t="shared" si="117"/>
        <v>99804</v>
      </c>
    </row>
    <row r="1603" spans="7:14" ht="11.25" customHeight="1" x14ac:dyDescent="0.3">
      <c r="G1603" s="459"/>
      <c r="H1603" s="459">
        <v>1596</v>
      </c>
      <c r="I1603" s="444">
        <f t="shared" ca="1" si="115"/>
        <v>-174632401.74397171</v>
      </c>
      <c r="J1603" s="444">
        <f t="array" ref="J1603">IFERROR(INDEX('Retirement Calculator'!K:K,MATCH('Lorri 401b'!N1603,'Retirement Calculator'!A:A,0),0),0)</f>
        <v>0</v>
      </c>
      <c r="K1603" s="444">
        <f t="shared" ca="1" si="113"/>
        <v>-727635.00726654881</v>
      </c>
      <c r="L1603" s="444">
        <f t="shared" ca="1" si="114"/>
        <v>-175360036.75123826</v>
      </c>
      <c r="M1603" s="460">
        <f t="shared" si="116"/>
        <v>0.05</v>
      </c>
      <c r="N1603" s="464">
        <f t="shared" si="117"/>
        <v>99834</v>
      </c>
    </row>
    <row r="1604" spans="7:14" ht="11.25" customHeight="1" x14ac:dyDescent="0.3">
      <c r="G1604" s="459"/>
      <c r="H1604" s="459">
        <v>1597</v>
      </c>
      <c r="I1604" s="444">
        <f t="shared" ca="1" si="115"/>
        <v>-175360036.75123826</v>
      </c>
      <c r="J1604" s="444">
        <f t="array" ref="J1604">IFERROR(INDEX('Retirement Calculator'!K:K,MATCH('Lorri 401b'!N1604,'Retirement Calculator'!A:A,0),0),0)</f>
        <v>0</v>
      </c>
      <c r="K1604" s="444">
        <f t="shared" ca="1" si="113"/>
        <v>-730666.81979682611</v>
      </c>
      <c r="L1604" s="444">
        <f t="shared" ca="1" si="114"/>
        <v>-176090703.57103509</v>
      </c>
      <c r="M1604" s="460">
        <f t="shared" si="116"/>
        <v>0.05</v>
      </c>
      <c r="N1604" s="464">
        <f t="shared" si="117"/>
        <v>99865</v>
      </c>
    </row>
    <row r="1605" spans="7:14" ht="11.25" customHeight="1" x14ac:dyDescent="0.3">
      <c r="G1605" s="459"/>
      <c r="H1605" s="459">
        <v>1598</v>
      </c>
      <c r="I1605" s="444">
        <f t="shared" ca="1" si="115"/>
        <v>-176090703.57103509</v>
      </c>
      <c r="J1605" s="444">
        <f t="array" ref="J1605">IFERROR(INDEX('Retirement Calculator'!K:K,MATCH('Lorri 401b'!N1605,'Retirement Calculator'!A:A,0),0),0)</f>
        <v>0</v>
      </c>
      <c r="K1605" s="444">
        <f t="shared" ca="1" si="113"/>
        <v>-733711.26487931283</v>
      </c>
      <c r="L1605" s="444">
        <f t="shared" ca="1" si="114"/>
        <v>-176824414.8359144</v>
      </c>
      <c r="M1605" s="460">
        <f t="shared" si="116"/>
        <v>0.05</v>
      </c>
      <c r="N1605" s="464">
        <f t="shared" si="117"/>
        <v>99895</v>
      </c>
    </row>
    <row r="1606" spans="7:14" ht="11.25" customHeight="1" x14ac:dyDescent="0.3">
      <c r="G1606" s="459"/>
      <c r="H1606" s="459">
        <v>1599</v>
      </c>
      <c r="I1606" s="444">
        <f t="shared" ca="1" si="115"/>
        <v>-176824414.8359144</v>
      </c>
      <c r="J1606" s="444">
        <f t="array" ref="J1606">IFERROR(INDEX('Retirement Calculator'!K:K,MATCH('Lorri 401b'!N1606,'Retirement Calculator'!A:A,0),0),0)</f>
        <v>0</v>
      </c>
      <c r="K1606" s="444">
        <f t="shared" ca="1" si="113"/>
        <v>-736768.3951496433</v>
      </c>
      <c r="L1606" s="444">
        <f t="shared" ca="1" si="114"/>
        <v>-177561183.23106405</v>
      </c>
      <c r="M1606" s="460">
        <f t="shared" si="116"/>
        <v>0.05</v>
      </c>
      <c r="N1606" s="464">
        <f t="shared" si="117"/>
        <v>99926</v>
      </c>
    </row>
    <row r="1607" spans="7:14" ht="11.25" customHeight="1" x14ac:dyDescent="0.3">
      <c r="G1607" s="459"/>
      <c r="H1607" s="459">
        <v>1600</v>
      </c>
      <c r="I1607" s="444">
        <f t="shared" ca="1" si="115"/>
        <v>-177561183.23106405</v>
      </c>
      <c r="J1607" s="444">
        <f t="array" ref="J1607">IFERROR(INDEX('Retirement Calculator'!K:K,MATCH('Lorri 401b'!N1607,'Retirement Calculator'!A:A,0),0),0)</f>
        <v>0</v>
      </c>
      <c r="K1607" s="444">
        <f t="shared" ca="1" si="113"/>
        <v>-739838.26346276689</v>
      </c>
      <c r="L1607" s="444">
        <f t="shared" ca="1" si="114"/>
        <v>-178301021.4945268</v>
      </c>
      <c r="M1607" s="460">
        <f t="shared" si="116"/>
        <v>0.05</v>
      </c>
      <c r="N1607" s="464">
        <f t="shared" si="117"/>
        <v>99957</v>
      </c>
    </row>
    <row r="1608" spans="7:14" ht="11.25" customHeight="1" x14ac:dyDescent="0.3">
      <c r="G1608" s="459"/>
      <c r="H1608" s="459">
        <v>1601</v>
      </c>
      <c r="I1608" s="444">
        <f t="shared" ca="1" si="115"/>
        <v>-178301021.4945268</v>
      </c>
      <c r="J1608" s="444">
        <f t="array" ref="J1608">IFERROR(INDEX('Retirement Calculator'!K:K,MATCH('Lorri 401b'!N1608,'Retirement Calculator'!A:A,0),0),0)</f>
        <v>0</v>
      </c>
      <c r="K1608" s="444">
        <f t="shared" ca="1" si="113"/>
        <v>-742920.92289386166</v>
      </c>
      <c r="L1608" s="444">
        <f t="shared" ca="1" si="114"/>
        <v>-179043942.41742066</v>
      </c>
      <c r="M1608" s="460">
        <f t="shared" si="116"/>
        <v>0.05</v>
      </c>
      <c r="N1608" s="464">
        <f t="shared" si="117"/>
        <v>99987</v>
      </c>
    </row>
    <row r="1609" spans="7:14" ht="11.25" customHeight="1" x14ac:dyDescent="0.3">
      <c r="G1609" s="459"/>
      <c r="H1609" s="459">
        <v>1602</v>
      </c>
      <c r="I1609" s="444">
        <f t="shared" ca="1" si="115"/>
        <v>-179043942.41742066</v>
      </c>
      <c r="J1609" s="444">
        <f t="array" ref="J1609">IFERROR(INDEX('Retirement Calculator'!K:K,MATCH('Lorri 401b'!N1609,'Retirement Calculator'!A:A,0),0),0)</f>
        <v>0</v>
      </c>
      <c r="K1609" s="444">
        <f t="shared" ca="1" si="113"/>
        <v>-746016.42673925275</v>
      </c>
      <c r="L1609" s="444">
        <f t="shared" ca="1" si="114"/>
        <v>-179789958.8441599</v>
      </c>
      <c r="M1609" s="460">
        <f t="shared" si="116"/>
        <v>0.05</v>
      </c>
      <c r="N1609" s="464">
        <f t="shared" si="117"/>
        <v>100018</v>
      </c>
    </row>
    <row r="1610" spans="7:14" ht="11.25" customHeight="1" x14ac:dyDescent="0.3">
      <c r="G1610" s="459"/>
      <c r="H1610" s="459">
        <v>1603</v>
      </c>
      <c r="I1610" s="444">
        <f t="shared" ca="1" si="115"/>
        <v>-179789958.8441599</v>
      </c>
      <c r="J1610" s="444">
        <f t="array" ref="J1610">IFERROR(INDEX('Retirement Calculator'!K:K,MATCH('Lorri 401b'!N1610,'Retirement Calculator'!A:A,0),0),0)</f>
        <v>0</v>
      </c>
      <c r="K1610" s="444">
        <f t="shared" ca="1" si="113"/>
        <v>-749124.82851733291</v>
      </c>
      <c r="L1610" s="444">
        <f t="shared" ca="1" si="114"/>
        <v>-180539083.67267725</v>
      </c>
      <c r="M1610" s="460">
        <f t="shared" si="116"/>
        <v>0.05</v>
      </c>
      <c r="N1610" s="464">
        <f t="shared" si="117"/>
        <v>100048</v>
      </c>
    </row>
    <row r="1611" spans="7:14" ht="11.25" customHeight="1" x14ac:dyDescent="0.3">
      <c r="G1611" s="459"/>
      <c r="H1611" s="459">
        <v>1604</v>
      </c>
      <c r="I1611" s="444">
        <f t="shared" ca="1" si="115"/>
        <v>-180539083.67267725</v>
      </c>
      <c r="J1611" s="444">
        <f t="array" ref="J1611">IFERROR(INDEX('Retirement Calculator'!K:K,MATCH('Lorri 401b'!N1611,'Retirement Calculator'!A:A,0),0),0)</f>
        <v>0</v>
      </c>
      <c r="K1611" s="444">
        <f t="shared" ca="1" si="113"/>
        <v>-752246.18196948851</v>
      </c>
      <c r="L1611" s="444">
        <f t="shared" ca="1" si="114"/>
        <v>-181291329.85464674</v>
      </c>
      <c r="M1611" s="460">
        <f t="shared" si="116"/>
        <v>0.05</v>
      </c>
      <c r="N1611" s="464">
        <f t="shared" si="117"/>
        <v>100079</v>
      </c>
    </row>
    <row r="1612" spans="7:14" ht="11.25" customHeight="1" x14ac:dyDescent="0.3">
      <c r="G1612" s="459"/>
      <c r="H1612" s="459">
        <v>1605</v>
      </c>
      <c r="I1612" s="444">
        <f t="shared" ca="1" si="115"/>
        <v>-181291329.85464674</v>
      </c>
      <c r="J1612" s="444">
        <f t="array" ref="J1612">IFERROR(INDEX('Retirement Calculator'!K:K,MATCH('Lorri 401b'!N1612,'Retirement Calculator'!A:A,0),0),0)</f>
        <v>0</v>
      </c>
      <c r="K1612" s="444">
        <f t="shared" ca="1" si="113"/>
        <v>-755380.54106102814</v>
      </c>
      <c r="L1612" s="444">
        <f t="shared" ca="1" si="114"/>
        <v>-182046710.39570776</v>
      </c>
      <c r="M1612" s="460">
        <f t="shared" si="116"/>
        <v>0.05</v>
      </c>
      <c r="N1612" s="464">
        <f t="shared" si="117"/>
        <v>100110</v>
      </c>
    </row>
    <row r="1613" spans="7:14" ht="11.25" customHeight="1" x14ac:dyDescent="0.3">
      <c r="G1613" s="459"/>
      <c r="H1613" s="459">
        <v>1606</v>
      </c>
      <c r="I1613" s="444">
        <f t="shared" ca="1" si="115"/>
        <v>-182046710.39570776</v>
      </c>
      <c r="J1613" s="444">
        <f t="array" ref="J1613">IFERROR(INDEX('Retirement Calculator'!K:K,MATCH('Lorri 401b'!N1613,'Retirement Calculator'!A:A,0),0),0)</f>
        <v>0</v>
      </c>
      <c r="K1613" s="444">
        <f t="shared" ca="1" si="113"/>
        <v>-758527.95998211566</v>
      </c>
      <c r="L1613" s="444">
        <f t="shared" ca="1" si="114"/>
        <v>-182805238.35568988</v>
      </c>
      <c r="M1613" s="460">
        <f t="shared" si="116"/>
        <v>0.05</v>
      </c>
      <c r="N1613" s="464">
        <f t="shared" si="117"/>
        <v>100138</v>
      </c>
    </row>
    <row r="1614" spans="7:14" ht="11.25" customHeight="1" x14ac:dyDescent="0.3">
      <c r="G1614" s="459"/>
      <c r="H1614" s="459">
        <v>1607</v>
      </c>
      <c r="I1614" s="444">
        <f t="shared" ca="1" si="115"/>
        <v>-182805238.35568988</v>
      </c>
      <c r="J1614" s="444">
        <f t="array" ref="J1614">IFERROR(INDEX('Retirement Calculator'!K:K,MATCH('Lorri 401b'!N1614,'Retirement Calculator'!A:A,0),0),0)</f>
        <v>0</v>
      </c>
      <c r="K1614" s="444">
        <f t="shared" ca="1" si="113"/>
        <v>-761688.49314870778</v>
      </c>
      <c r="L1614" s="444">
        <f t="shared" ca="1" si="114"/>
        <v>-183566926.8488386</v>
      </c>
      <c r="M1614" s="460">
        <f t="shared" si="116"/>
        <v>0.05</v>
      </c>
      <c r="N1614" s="464">
        <f t="shared" si="117"/>
        <v>100169</v>
      </c>
    </row>
    <row r="1615" spans="7:14" ht="11.25" customHeight="1" x14ac:dyDescent="0.3">
      <c r="G1615" s="459"/>
      <c r="H1615" s="459">
        <v>1608</v>
      </c>
      <c r="I1615" s="444">
        <f t="shared" ca="1" si="115"/>
        <v>-183566926.8488386</v>
      </c>
      <c r="J1615" s="444">
        <f t="array" ref="J1615">IFERROR(INDEX('Retirement Calculator'!K:K,MATCH('Lorri 401b'!N1615,'Retirement Calculator'!A:A,0),0),0)</f>
        <v>0</v>
      </c>
      <c r="K1615" s="444">
        <f t="shared" ca="1" si="113"/>
        <v>-764862.19520349416</v>
      </c>
      <c r="L1615" s="444">
        <f t="shared" ca="1" si="114"/>
        <v>-184331789.04404208</v>
      </c>
      <c r="M1615" s="460">
        <f t="shared" si="116"/>
        <v>0.05</v>
      </c>
      <c r="N1615" s="464">
        <f t="shared" si="117"/>
        <v>100199</v>
      </c>
    </row>
    <row r="1616" spans="7:14" ht="11.25" customHeight="1" x14ac:dyDescent="0.3">
      <c r="G1616" s="459"/>
      <c r="H1616" s="459">
        <v>1609</v>
      </c>
      <c r="I1616" s="444">
        <f t="shared" ca="1" si="115"/>
        <v>-184331789.04404208</v>
      </c>
      <c r="J1616" s="444">
        <f t="array" ref="J1616">IFERROR(INDEX('Retirement Calculator'!K:K,MATCH('Lorri 401b'!N1616,'Retirement Calculator'!A:A,0),0),0)</f>
        <v>0</v>
      </c>
      <c r="K1616" s="444">
        <f t="shared" ca="1" si="113"/>
        <v>-768049.12101684196</v>
      </c>
      <c r="L1616" s="444">
        <f t="shared" ca="1" si="114"/>
        <v>-185099838.16505891</v>
      </c>
      <c r="M1616" s="460">
        <f t="shared" si="116"/>
        <v>0.05</v>
      </c>
      <c r="N1616" s="464">
        <f t="shared" si="117"/>
        <v>100230</v>
      </c>
    </row>
    <row r="1617" spans="7:14" ht="11.25" customHeight="1" x14ac:dyDescent="0.3">
      <c r="G1617" s="459"/>
      <c r="H1617" s="459">
        <v>1610</v>
      </c>
      <c r="I1617" s="444">
        <f t="shared" ca="1" si="115"/>
        <v>-185099838.16505891</v>
      </c>
      <c r="J1617" s="444">
        <f t="array" ref="J1617">IFERROR(INDEX('Retirement Calculator'!K:K,MATCH('Lorri 401b'!N1617,'Retirement Calculator'!A:A,0),0),0)</f>
        <v>0</v>
      </c>
      <c r="K1617" s="444">
        <f t="shared" ca="1" si="113"/>
        <v>-771249.32568774547</v>
      </c>
      <c r="L1617" s="444">
        <f t="shared" ca="1" si="114"/>
        <v>-185871087.49074665</v>
      </c>
      <c r="M1617" s="460">
        <f t="shared" si="116"/>
        <v>0.05</v>
      </c>
      <c r="N1617" s="464">
        <f t="shared" si="117"/>
        <v>100260</v>
      </c>
    </row>
    <row r="1618" spans="7:14" ht="11.25" customHeight="1" x14ac:dyDescent="0.3">
      <c r="G1618" s="459"/>
      <c r="H1618" s="459">
        <v>1611</v>
      </c>
      <c r="I1618" s="444">
        <f t="shared" ca="1" si="115"/>
        <v>-185871087.49074665</v>
      </c>
      <c r="J1618" s="444">
        <f t="array" ref="J1618">IFERROR(INDEX('Retirement Calculator'!K:K,MATCH('Lorri 401b'!N1618,'Retirement Calculator'!A:A,0),0),0)</f>
        <v>0</v>
      </c>
      <c r="K1618" s="444">
        <f t="shared" ca="1" si="113"/>
        <v>-774462.86454477767</v>
      </c>
      <c r="L1618" s="444">
        <f t="shared" ca="1" si="114"/>
        <v>-186645550.35529143</v>
      </c>
      <c r="M1618" s="460">
        <f t="shared" si="116"/>
        <v>0.05</v>
      </c>
      <c r="N1618" s="464">
        <f t="shared" si="117"/>
        <v>100291</v>
      </c>
    </row>
    <row r="1619" spans="7:14" ht="11.25" customHeight="1" x14ac:dyDescent="0.3">
      <c r="G1619" s="459"/>
      <c r="H1619" s="459">
        <v>1612</v>
      </c>
      <c r="I1619" s="444">
        <f t="shared" ca="1" si="115"/>
        <v>-186645550.35529143</v>
      </c>
      <c r="J1619" s="444">
        <f t="array" ref="J1619">IFERROR(INDEX('Retirement Calculator'!K:K,MATCH('Lorri 401b'!N1619,'Retirement Calculator'!A:A,0),0),0)</f>
        <v>0</v>
      </c>
      <c r="K1619" s="444">
        <f t="shared" ca="1" si="113"/>
        <v>-777689.79314704763</v>
      </c>
      <c r="L1619" s="444">
        <f t="shared" ca="1" si="114"/>
        <v>-187423240.14843848</v>
      </c>
      <c r="M1619" s="460">
        <f t="shared" si="116"/>
        <v>0.05</v>
      </c>
      <c r="N1619" s="464">
        <f t="shared" si="117"/>
        <v>100322</v>
      </c>
    </row>
    <row r="1620" spans="7:14" ht="11.25" customHeight="1" x14ac:dyDescent="0.3">
      <c r="G1620" s="459"/>
      <c r="H1620" s="459">
        <v>1613</v>
      </c>
      <c r="I1620" s="444">
        <f t="shared" ca="1" si="115"/>
        <v>-187423240.14843848</v>
      </c>
      <c r="J1620" s="444">
        <f t="array" ref="J1620">IFERROR(INDEX('Retirement Calculator'!K:K,MATCH('Lorri 401b'!N1620,'Retirement Calculator'!A:A,0),0),0)</f>
        <v>0</v>
      </c>
      <c r="K1620" s="444">
        <f t="shared" ca="1" si="113"/>
        <v>-780930.16728516039</v>
      </c>
      <c r="L1620" s="444">
        <f t="shared" ca="1" si="114"/>
        <v>-188204170.31572366</v>
      </c>
      <c r="M1620" s="460">
        <f t="shared" si="116"/>
        <v>0.05</v>
      </c>
      <c r="N1620" s="464">
        <f t="shared" si="117"/>
        <v>100352</v>
      </c>
    </row>
    <row r="1621" spans="7:14" ht="11.25" customHeight="1" x14ac:dyDescent="0.3">
      <c r="G1621" s="459"/>
      <c r="H1621" s="459">
        <v>1614</v>
      </c>
      <c r="I1621" s="444">
        <f t="shared" ca="1" si="115"/>
        <v>-188204170.31572366</v>
      </c>
      <c r="J1621" s="444">
        <f t="array" ref="J1621">IFERROR(INDEX('Retirement Calculator'!K:K,MATCH('Lorri 401b'!N1621,'Retirement Calculator'!A:A,0),0),0)</f>
        <v>0</v>
      </c>
      <c r="K1621" s="444">
        <f t="shared" ca="1" si="113"/>
        <v>-784184.04298218188</v>
      </c>
      <c r="L1621" s="444">
        <f t="shared" ca="1" si="114"/>
        <v>-188988354.35870585</v>
      </c>
      <c r="M1621" s="460">
        <f t="shared" si="116"/>
        <v>0.05</v>
      </c>
      <c r="N1621" s="464">
        <f t="shared" si="117"/>
        <v>100383</v>
      </c>
    </row>
    <row r="1622" spans="7:14" ht="11.25" customHeight="1" x14ac:dyDescent="0.3">
      <c r="G1622" s="459"/>
      <c r="H1622" s="459">
        <v>1615</v>
      </c>
      <c r="I1622" s="444">
        <f t="shared" ca="1" si="115"/>
        <v>-188988354.35870585</v>
      </c>
      <c r="J1622" s="444">
        <f t="array" ref="J1622">IFERROR(INDEX('Retirement Calculator'!K:K,MATCH('Lorri 401b'!N1622,'Retirement Calculator'!A:A,0),0),0)</f>
        <v>0</v>
      </c>
      <c r="K1622" s="444">
        <f t="shared" ca="1" si="113"/>
        <v>-787451.47649460775</v>
      </c>
      <c r="L1622" s="444">
        <f t="shared" ca="1" si="114"/>
        <v>-189775805.83520046</v>
      </c>
      <c r="M1622" s="460">
        <f t="shared" si="116"/>
        <v>0.05</v>
      </c>
      <c r="N1622" s="464">
        <f t="shared" si="117"/>
        <v>100413</v>
      </c>
    </row>
    <row r="1623" spans="7:14" ht="11.25" customHeight="1" x14ac:dyDescent="0.3">
      <c r="G1623" s="459"/>
      <c r="H1623" s="459">
        <v>1616</v>
      </c>
      <c r="I1623" s="444">
        <f t="shared" ca="1" si="115"/>
        <v>-189775805.83520046</v>
      </c>
      <c r="J1623" s="444">
        <f t="array" ref="J1623">IFERROR(INDEX('Retirement Calculator'!K:K,MATCH('Lorri 401b'!N1623,'Retirement Calculator'!A:A,0),0),0)</f>
        <v>0</v>
      </c>
      <c r="K1623" s="444">
        <f t="shared" ca="1" si="113"/>
        <v>-790732.52431333519</v>
      </c>
      <c r="L1623" s="444">
        <f t="shared" ca="1" si="114"/>
        <v>-190566538.35951379</v>
      </c>
      <c r="M1623" s="460">
        <f t="shared" si="116"/>
        <v>0.05</v>
      </c>
      <c r="N1623" s="464">
        <f t="shared" si="117"/>
        <v>100444</v>
      </c>
    </row>
    <row r="1624" spans="7:14" ht="11.25" customHeight="1" x14ac:dyDescent="0.3">
      <c r="G1624" s="459"/>
      <c r="H1624" s="459">
        <v>1617</v>
      </c>
      <c r="I1624" s="444">
        <f t="shared" ca="1" si="115"/>
        <v>-190566538.35951379</v>
      </c>
      <c r="J1624" s="444">
        <f t="array" ref="J1624">IFERROR(INDEX('Retirement Calculator'!K:K,MATCH('Lorri 401b'!N1624,'Retirement Calculator'!A:A,0),0),0)</f>
        <v>0</v>
      </c>
      <c r="K1624" s="444">
        <f t="shared" ca="1" si="113"/>
        <v>-794027.24316464073</v>
      </c>
      <c r="L1624" s="444">
        <f t="shared" ca="1" si="114"/>
        <v>-191360565.60267842</v>
      </c>
      <c r="M1624" s="460">
        <f t="shared" si="116"/>
        <v>0.05</v>
      </c>
      <c r="N1624" s="464">
        <f t="shared" si="117"/>
        <v>100475</v>
      </c>
    </row>
    <row r="1625" spans="7:14" ht="11.25" customHeight="1" x14ac:dyDescent="0.3">
      <c r="G1625" s="459"/>
      <c r="H1625" s="459">
        <v>1618</v>
      </c>
      <c r="I1625" s="444">
        <f t="shared" ca="1" si="115"/>
        <v>-191360565.60267842</v>
      </c>
      <c r="J1625" s="444">
        <f t="array" ref="J1625">IFERROR(INDEX('Retirement Calculator'!K:K,MATCH('Lorri 401b'!N1625,'Retirement Calculator'!A:A,0),0),0)</f>
        <v>0</v>
      </c>
      <c r="K1625" s="444">
        <f t="shared" ca="1" si="113"/>
        <v>-797335.6900111601</v>
      </c>
      <c r="L1625" s="444">
        <f t="shared" ca="1" si="114"/>
        <v>-192157901.29268959</v>
      </c>
      <c r="M1625" s="460">
        <f t="shared" si="116"/>
        <v>0.05</v>
      </c>
      <c r="N1625" s="464">
        <f t="shared" si="117"/>
        <v>100503</v>
      </c>
    </row>
    <row r="1626" spans="7:14" ht="11.25" customHeight="1" x14ac:dyDescent="0.3">
      <c r="G1626" s="459"/>
      <c r="H1626" s="459">
        <v>1619</v>
      </c>
      <c r="I1626" s="444">
        <f t="shared" ca="1" si="115"/>
        <v>-192157901.29268959</v>
      </c>
      <c r="J1626" s="444">
        <f t="array" ref="J1626">IFERROR(INDEX('Retirement Calculator'!K:K,MATCH('Lorri 401b'!N1626,'Retirement Calculator'!A:A,0),0),0)</f>
        <v>0</v>
      </c>
      <c r="K1626" s="444">
        <f t="shared" ca="1" si="113"/>
        <v>-800657.9220528733</v>
      </c>
      <c r="L1626" s="444">
        <f t="shared" ca="1" si="114"/>
        <v>-192958559.21474245</v>
      </c>
      <c r="M1626" s="460">
        <f t="shared" si="116"/>
        <v>0.05</v>
      </c>
      <c r="N1626" s="464">
        <f t="shared" si="117"/>
        <v>100534</v>
      </c>
    </row>
    <row r="1627" spans="7:14" ht="11.25" customHeight="1" x14ac:dyDescent="0.3">
      <c r="G1627" s="459"/>
      <c r="H1627" s="459">
        <v>1620</v>
      </c>
      <c r="I1627" s="444">
        <f t="shared" ca="1" si="115"/>
        <v>-192958559.21474245</v>
      </c>
      <c r="J1627" s="444">
        <f t="array" ref="J1627">IFERROR(INDEX('Retirement Calculator'!K:K,MATCH('Lorri 401b'!N1627,'Retirement Calculator'!A:A,0),0),0)</f>
        <v>0</v>
      </c>
      <c r="K1627" s="444">
        <f t="shared" ca="1" si="113"/>
        <v>-803993.9967280936</v>
      </c>
      <c r="L1627" s="444">
        <f t="shared" ca="1" si="114"/>
        <v>-193762553.21147054</v>
      </c>
      <c r="M1627" s="460">
        <f t="shared" si="116"/>
        <v>0.05</v>
      </c>
      <c r="N1627" s="464">
        <f t="shared" si="117"/>
        <v>100564</v>
      </c>
    </row>
    <row r="1628" spans="7:14" ht="11.25" customHeight="1" x14ac:dyDescent="0.3">
      <c r="G1628" s="459"/>
      <c r="H1628" s="459">
        <v>1621</v>
      </c>
      <c r="I1628" s="444">
        <f t="shared" ca="1" si="115"/>
        <v>-193762553.21147054</v>
      </c>
      <c r="J1628" s="444">
        <f t="array" ref="J1628">IFERROR(INDEX('Retirement Calculator'!K:K,MATCH('Lorri 401b'!N1628,'Retirement Calculator'!A:A,0),0),0)</f>
        <v>0</v>
      </c>
      <c r="K1628" s="444">
        <f t="shared" ca="1" si="113"/>
        <v>-807343.97171446064</v>
      </c>
      <c r="L1628" s="444">
        <f t="shared" ca="1" si="114"/>
        <v>-194569897.18318501</v>
      </c>
      <c r="M1628" s="460">
        <f t="shared" si="116"/>
        <v>0.05</v>
      </c>
      <c r="N1628" s="464">
        <f t="shared" si="117"/>
        <v>100595</v>
      </c>
    </row>
    <row r="1629" spans="7:14" ht="11.25" customHeight="1" x14ac:dyDescent="0.3">
      <c r="G1629" s="459"/>
      <c r="H1629" s="459">
        <v>1622</v>
      </c>
      <c r="I1629" s="444">
        <f t="shared" ca="1" si="115"/>
        <v>-194569897.18318501</v>
      </c>
      <c r="J1629" s="444">
        <f t="array" ref="J1629">IFERROR(INDEX('Retirement Calculator'!K:K,MATCH('Lorri 401b'!N1629,'Retirement Calculator'!A:A,0),0),0)</f>
        <v>0</v>
      </c>
      <c r="K1629" s="444">
        <f t="shared" ca="1" si="113"/>
        <v>-810707.90492993756</v>
      </c>
      <c r="L1629" s="444">
        <f t="shared" ca="1" si="114"/>
        <v>-195380605.08811495</v>
      </c>
      <c r="M1629" s="460">
        <f t="shared" si="116"/>
        <v>0.05</v>
      </c>
      <c r="N1629" s="464">
        <f t="shared" si="117"/>
        <v>100625</v>
      </c>
    </row>
    <row r="1630" spans="7:14" ht="11.25" customHeight="1" x14ac:dyDescent="0.3">
      <c r="G1630" s="459"/>
      <c r="H1630" s="459">
        <v>1623</v>
      </c>
      <c r="I1630" s="444">
        <f t="shared" ca="1" si="115"/>
        <v>-195380605.08811495</v>
      </c>
      <c r="J1630" s="444">
        <f t="array" ref="J1630">IFERROR(INDEX('Retirement Calculator'!K:K,MATCH('Lorri 401b'!N1630,'Retirement Calculator'!A:A,0),0),0)</f>
        <v>0</v>
      </c>
      <c r="K1630" s="444">
        <f t="shared" ca="1" si="113"/>
        <v>-814085.85453381226</v>
      </c>
      <c r="L1630" s="444">
        <f t="shared" ca="1" si="114"/>
        <v>-196194690.94264877</v>
      </c>
      <c r="M1630" s="460">
        <f t="shared" si="116"/>
        <v>0.05</v>
      </c>
      <c r="N1630" s="464">
        <f t="shared" si="117"/>
        <v>100656</v>
      </c>
    </row>
    <row r="1631" spans="7:14" ht="11.25" customHeight="1" x14ac:dyDescent="0.3">
      <c r="G1631" s="459"/>
      <c r="H1631" s="459">
        <v>1624</v>
      </c>
      <c r="I1631" s="444">
        <f t="shared" ca="1" si="115"/>
        <v>-196194690.94264877</v>
      </c>
      <c r="J1631" s="444">
        <f t="array" ref="J1631">IFERROR(INDEX('Retirement Calculator'!K:K,MATCH('Lorri 401b'!N1631,'Retirement Calculator'!A:A,0),0),0)</f>
        <v>0</v>
      </c>
      <c r="K1631" s="444">
        <f t="shared" ca="1" si="113"/>
        <v>-817477.87892770325</v>
      </c>
      <c r="L1631" s="444">
        <f t="shared" ca="1" si="114"/>
        <v>-197012168.82157648</v>
      </c>
      <c r="M1631" s="460">
        <f t="shared" si="116"/>
        <v>0.05</v>
      </c>
      <c r="N1631" s="464">
        <f t="shared" si="117"/>
        <v>100687</v>
      </c>
    </row>
    <row r="1632" spans="7:14" ht="11.25" customHeight="1" x14ac:dyDescent="0.3">
      <c r="G1632" s="459"/>
      <c r="H1632" s="459">
        <v>1625</v>
      </c>
      <c r="I1632" s="444">
        <f t="shared" ca="1" si="115"/>
        <v>-197012168.82157648</v>
      </c>
      <c r="J1632" s="444">
        <f t="array" ref="J1632">IFERROR(INDEX('Retirement Calculator'!K:K,MATCH('Lorri 401b'!N1632,'Retirement Calculator'!A:A,0),0),0)</f>
        <v>0</v>
      </c>
      <c r="K1632" s="444">
        <f t="shared" ca="1" si="113"/>
        <v>-820884.03675656859</v>
      </c>
      <c r="L1632" s="444">
        <f t="shared" ca="1" si="114"/>
        <v>-197833052.85833305</v>
      </c>
      <c r="M1632" s="460">
        <f t="shared" si="116"/>
        <v>0.05</v>
      </c>
      <c r="N1632" s="464">
        <f t="shared" si="117"/>
        <v>100717</v>
      </c>
    </row>
    <row r="1633" spans="7:14" ht="11.25" customHeight="1" x14ac:dyDescent="0.3">
      <c r="G1633" s="459"/>
      <c r="H1633" s="459">
        <v>1626</v>
      </c>
      <c r="I1633" s="444">
        <f t="shared" ca="1" si="115"/>
        <v>-197833052.85833305</v>
      </c>
      <c r="J1633" s="444">
        <f t="array" ref="J1633">IFERROR(INDEX('Retirement Calculator'!K:K,MATCH('Lorri 401b'!N1633,'Retirement Calculator'!A:A,0),0),0)</f>
        <v>0</v>
      </c>
      <c r="K1633" s="444">
        <f t="shared" ca="1" si="113"/>
        <v>-824304.38690972107</v>
      </c>
      <c r="L1633" s="444">
        <f t="shared" ca="1" si="114"/>
        <v>-198657357.24524277</v>
      </c>
      <c r="M1633" s="460">
        <f t="shared" si="116"/>
        <v>0.05</v>
      </c>
      <c r="N1633" s="464">
        <f t="shared" si="117"/>
        <v>100748</v>
      </c>
    </row>
    <row r="1634" spans="7:14" ht="11.25" customHeight="1" x14ac:dyDescent="0.3">
      <c r="G1634" s="459"/>
      <c r="H1634" s="459">
        <v>1627</v>
      </c>
      <c r="I1634" s="444">
        <f t="shared" ca="1" si="115"/>
        <v>-198657357.24524277</v>
      </c>
      <c r="J1634" s="444">
        <f t="array" ref="J1634">IFERROR(INDEX('Retirement Calculator'!K:K,MATCH('Lorri 401b'!N1634,'Retirement Calculator'!A:A,0),0),0)</f>
        <v>0</v>
      </c>
      <c r="K1634" s="444">
        <f t="shared" ca="1" si="113"/>
        <v>-827738.98852184485</v>
      </c>
      <c r="L1634" s="444">
        <f t="shared" ca="1" si="114"/>
        <v>-199485096.23376462</v>
      </c>
      <c r="M1634" s="460">
        <f t="shared" si="116"/>
        <v>0.05</v>
      </c>
      <c r="N1634" s="464">
        <f t="shared" si="117"/>
        <v>100778</v>
      </c>
    </row>
    <row r="1635" spans="7:14" ht="11.25" customHeight="1" x14ac:dyDescent="0.3">
      <c r="G1635" s="459"/>
      <c r="H1635" s="459">
        <v>1628</v>
      </c>
      <c r="I1635" s="444">
        <f t="shared" ca="1" si="115"/>
        <v>-199485096.23376462</v>
      </c>
      <c r="J1635" s="444">
        <f t="array" ref="J1635">IFERROR(INDEX('Retirement Calculator'!K:K,MATCH('Lorri 401b'!N1635,'Retirement Calculator'!A:A,0),0),0)</f>
        <v>0</v>
      </c>
      <c r="K1635" s="444">
        <f t="shared" ca="1" si="113"/>
        <v>-831187.9009740192</v>
      </c>
      <c r="L1635" s="444">
        <f t="shared" ca="1" si="114"/>
        <v>-200316284.13473862</v>
      </c>
      <c r="M1635" s="460">
        <f t="shared" si="116"/>
        <v>0.05</v>
      </c>
      <c r="N1635" s="464">
        <f t="shared" si="117"/>
        <v>100809</v>
      </c>
    </row>
    <row r="1636" spans="7:14" ht="11.25" customHeight="1" x14ac:dyDescent="0.3">
      <c r="G1636" s="459"/>
      <c r="H1636" s="459">
        <v>1629</v>
      </c>
      <c r="I1636" s="444">
        <f t="shared" ca="1" si="115"/>
        <v>-200316284.13473862</v>
      </c>
      <c r="J1636" s="444">
        <f t="array" ref="J1636">IFERROR(INDEX('Retirement Calculator'!K:K,MATCH('Lorri 401b'!N1636,'Retirement Calculator'!A:A,0),0),0)</f>
        <v>0</v>
      </c>
      <c r="K1636" s="444">
        <f t="shared" ca="1" si="113"/>
        <v>-834651.18389474426</v>
      </c>
      <c r="L1636" s="444">
        <f t="shared" ca="1" si="114"/>
        <v>-201150935.31863338</v>
      </c>
      <c r="M1636" s="460">
        <f t="shared" si="116"/>
        <v>0.05</v>
      </c>
      <c r="N1636" s="464">
        <f t="shared" si="117"/>
        <v>100840</v>
      </c>
    </row>
    <row r="1637" spans="7:14" ht="11.25" customHeight="1" x14ac:dyDescent="0.3">
      <c r="G1637" s="459"/>
      <c r="H1637" s="459">
        <v>1630</v>
      </c>
      <c r="I1637" s="444">
        <f t="shared" ca="1" si="115"/>
        <v>-201150935.31863338</v>
      </c>
      <c r="J1637" s="444">
        <f t="array" ref="J1637">IFERROR(INDEX('Retirement Calculator'!K:K,MATCH('Lorri 401b'!N1637,'Retirement Calculator'!A:A,0),0),0)</f>
        <v>0</v>
      </c>
      <c r="K1637" s="444">
        <f t="shared" ca="1" si="113"/>
        <v>-838128.89716097235</v>
      </c>
      <c r="L1637" s="444">
        <f t="shared" ca="1" si="114"/>
        <v>-201989064.21579435</v>
      </c>
      <c r="M1637" s="460">
        <f t="shared" si="116"/>
        <v>0.05</v>
      </c>
      <c r="N1637" s="464">
        <f t="shared" si="117"/>
        <v>100869</v>
      </c>
    </row>
    <row r="1638" spans="7:14" ht="11.25" customHeight="1" x14ac:dyDescent="0.3">
      <c r="G1638" s="459"/>
      <c r="H1638" s="459">
        <v>1631</v>
      </c>
      <c r="I1638" s="444">
        <f t="shared" ca="1" si="115"/>
        <v>-201989064.21579435</v>
      </c>
      <c r="J1638" s="444">
        <f t="array" ref="J1638">IFERROR(INDEX('Retirement Calculator'!K:K,MATCH('Lorri 401b'!N1638,'Retirement Calculator'!A:A,0),0),0)</f>
        <v>0</v>
      </c>
      <c r="K1638" s="444">
        <f t="shared" ca="1" si="113"/>
        <v>-841621.10089914314</v>
      </c>
      <c r="L1638" s="444">
        <f t="shared" ca="1" si="114"/>
        <v>-202830685.31669348</v>
      </c>
      <c r="M1638" s="460">
        <f t="shared" si="116"/>
        <v>0.05</v>
      </c>
      <c r="N1638" s="464">
        <f t="shared" si="117"/>
        <v>100900</v>
      </c>
    </row>
    <row r="1639" spans="7:14" ht="11.25" customHeight="1" x14ac:dyDescent="0.3">
      <c r="G1639" s="459"/>
      <c r="H1639" s="459">
        <v>1632</v>
      </c>
      <c r="I1639" s="444">
        <f t="shared" ca="1" si="115"/>
        <v>-202830685.31669348</v>
      </c>
      <c r="J1639" s="444">
        <f t="array" ref="J1639">IFERROR(INDEX('Retirement Calculator'!K:K,MATCH('Lorri 401b'!N1639,'Retirement Calculator'!A:A,0),0),0)</f>
        <v>0</v>
      </c>
      <c r="K1639" s="444">
        <f t="shared" ca="1" si="113"/>
        <v>-845127.85548622289</v>
      </c>
      <c r="L1639" s="444">
        <f t="shared" ca="1" si="114"/>
        <v>-203675813.1721797</v>
      </c>
      <c r="M1639" s="460">
        <f t="shared" si="116"/>
        <v>0.05</v>
      </c>
      <c r="N1639" s="464">
        <f t="shared" si="117"/>
        <v>100930</v>
      </c>
    </row>
    <row r="1640" spans="7:14" ht="11.25" customHeight="1" x14ac:dyDescent="0.3">
      <c r="G1640" s="459"/>
      <c r="H1640" s="459">
        <v>1633</v>
      </c>
      <c r="I1640" s="444">
        <f t="shared" ca="1" si="115"/>
        <v>-203675813.1721797</v>
      </c>
      <c r="J1640" s="444">
        <f t="array" ref="J1640">IFERROR(INDEX('Retirement Calculator'!K:K,MATCH('Lorri 401b'!N1640,'Retirement Calculator'!A:A,0),0),0)</f>
        <v>0</v>
      </c>
      <c r="K1640" s="444">
        <f t="shared" ca="1" si="113"/>
        <v>-848649.22155074868</v>
      </c>
      <c r="L1640" s="444">
        <f t="shared" ca="1" si="114"/>
        <v>-204524462.39373046</v>
      </c>
      <c r="M1640" s="460">
        <f t="shared" si="116"/>
        <v>0.05</v>
      </c>
      <c r="N1640" s="464">
        <f t="shared" si="117"/>
        <v>100961</v>
      </c>
    </row>
    <row r="1641" spans="7:14" ht="11.25" customHeight="1" x14ac:dyDescent="0.3">
      <c r="G1641" s="459"/>
      <c r="H1641" s="459">
        <v>1634</v>
      </c>
      <c r="I1641" s="444">
        <f t="shared" ca="1" si="115"/>
        <v>-204524462.39373046</v>
      </c>
      <c r="J1641" s="444">
        <f t="array" ref="J1641">IFERROR(INDEX('Retirement Calculator'!K:K,MATCH('Lorri 401b'!N1641,'Retirement Calculator'!A:A,0),0),0)</f>
        <v>0</v>
      </c>
      <c r="K1641" s="444">
        <f t="shared" ca="1" si="113"/>
        <v>-852185.25997387688</v>
      </c>
      <c r="L1641" s="444">
        <f t="shared" ca="1" si="114"/>
        <v>-205376647.65370435</v>
      </c>
      <c r="M1641" s="460">
        <f t="shared" si="116"/>
        <v>0.05</v>
      </c>
      <c r="N1641" s="464">
        <f t="shared" si="117"/>
        <v>100991</v>
      </c>
    </row>
    <row r="1642" spans="7:14" ht="11.25" customHeight="1" x14ac:dyDescent="0.3">
      <c r="G1642" s="459"/>
      <c r="H1642" s="459">
        <v>1635</v>
      </c>
      <c r="I1642" s="444">
        <f t="shared" ca="1" si="115"/>
        <v>-205376647.65370435</v>
      </c>
      <c r="J1642" s="444">
        <f t="array" ref="J1642">IFERROR(INDEX('Retirement Calculator'!K:K,MATCH('Lorri 401b'!N1642,'Retirement Calculator'!A:A,0),0),0)</f>
        <v>0</v>
      </c>
      <c r="K1642" s="444">
        <f t="shared" ca="1" si="113"/>
        <v>-855736.0318904348</v>
      </c>
      <c r="L1642" s="444">
        <f t="shared" ca="1" si="114"/>
        <v>-206232383.68559477</v>
      </c>
      <c r="M1642" s="460">
        <f t="shared" si="116"/>
        <v>0.05</v>
      </c>
      <c r="N1642" s="464">
        <f t="shared" si="117"/>
        <v>101022</v>
      </c>
    </row>
    <row r="1643" spans="7:14" ht="11.25" customHeight="1" x14ac:dyDescent="0.3">
      <c r="G1643" s="459"/>
      <c r="H1643" s="459">
        <v>1636</v>
      </c>
      <c r="I1643" s="444">
        <f t="shared" ca="1" si="115"/>
        <v>-206232383.68559477</v>
      </c>
      <c r="J1643" s="444">
        <f t="array" ref="J1643">IFERROR(INDEX('Retirement Calculator'!K:K,MATCH('Lorri 401b'!N1643,'Retirement Calculator'!A:A,0),0),0)</f>
        <v>0</v>
      </c>
      <c r="K1643" s="444">
        <f t="shared" ca="1" si="113"/>
        <v>-859301.59868997813</v>
      </c>
      <c r="L1643" s="444">
        <f t="shared" ca="1" si="114"/>
        <v>-207091685.28428474</v>
      </c>
      <c r="M1643" s="460">
        <f t="shared" si="116"/>
        <v>0.05</v>
      </c>
      <c r="N1643" s="464">
        <f t="shared" si="117"/>
        <v>101053</v>
      </c>
    </row>
    <row r="1644" spans="7:14" ht="11.25" customHeight="1" x14ac:dyDescent="0.3">
      <c r="G1644" s="459"/>
      <c r="H1644" s="459">
        <v>1637</v>
      </c>
      <c r="I1644" s="444">
        <f t="shared" ca="1" si="115"/>
        <v>-207091685.28428474</v>
      </c>
      <c r="J1644" s="444">
        <f t="array" ref="J1644">IFERROR(INDEX('Retirement Calculator'!K:K,MATCH('Lorri 401b'!N1644,'Retirement Calculator'!A:A,0),0),0)</f>
        <v>0</v>
      </c>
      <c r="K1644" s="444">
        <f t="shared" ca="1" si="113"/>
        <v>-862882.0220178531</v>
      </c>
      <c r="L1644" s="444">
        <f t="shared" ca="1" si="114"/>
        <v>-207954567.30630261</v>
      </c>
      <c r="M1644" s="460">
        <f t="shared" si="116"/>
        <v>0.05</v>
      </c>
      <c r="N1644" s="464">
        <f t="shared" si="117"/>
        <v>101083</v>
      </c>
    </row>
    <row r="1645" spans="7:14" ht="11.25" customHeight="1" x14ac:dyDescent="0.3">
      <c r="G1645" s="459"/>
      <c r="H1645" s="459">
        <v>1638</v>
      </c>
      <c r="I1645" s="444">
        <f t="shared" ca="1" si="115"/>
        <v>-207954567.30630261</v>
      </c>
      <c r="J1645" s="444">
        <f t="array" ref="J1645">IFERROR(INDEX('Retirement Calculator'!K:K,MATCH('Lorri 401b'!N1645,'Retirement Calculator'!A:A,0),0),0)</f>
        <v>0</v>
      </c>
      <c r="K1645" s="444">
        <f t="shared" ca="1" si="113"/>
        <v>-866477.36377626087</v>
      </c>
      <c r="L1645" s="444">
        <f t="shared" ca="1" si="114"/>
        <v>-208821044.67007887</v>
      </c>
      <c r="M1645" s="460">
        <f t="shared" si="116"/>
        <v>0.05</v>
      </c>
      <c r="N1645" s="464">
        <f t="shared" si="117"/>
        <v>101114</v>
      </c>
    </row>
    <row r="1646" spans="7:14" ht="11.25" customHeight="1" x14ac:dyDescent="0.3">
      <c r="G1646" s="459"/>
      <c r="H1646" s="459">
        <v>1639</v>
      </c>
      <c r="I1646" s="444">
        <f t="shared" ca="1" si="115"/>
        <v>-208821044.67007887</v>
      </c>
      <c r="J1646" s="444">
        <f t="array" ref="J1646">IFERROR(INDEX('Retirement Calculator'!K:K,MATCH('Lorri 401b'!N1646,'Retirement Calculator'!A:A,0),0),0)</f>
        <v>0</v>
      </c>
      <c r="K1646" s="444">
        <f t="shared" ca="1" si="113"/>
        <v>-870087.68612532865</v>
      </c>
      <c r="L1646" s="444">
        <f t="shared" ca="1" si="114"/>
        <v>-209691132.35620421</v>
      </c>
      <c r="M1646" s="460">
        <f t="shared" si="116"/>
        <v>0.05</v>
      </c>
      <c r="N1646" s="464">
        <f t="shared" si="117"/>
        <v>101144</v>
      </c>
    </row>
    <row r="1647" spans="7:14" ht="11.25" customHeight="1" x14ac:dyDescent="0.3">
      <c r="G1647" s="459"/>
      <c r="H1647" s="459">
        <v>1640</v>
      </c>
      <c r="I1647" s="444">
        <f t="shared" ca="1" si="115"/>
        <v>-209691132.35620421</v>
      </c>
      <c r="J1647" s="444">
        <f t="array" ref="J1647">IFERROR(INDEX('Retirement Calculator'!K:K,MATCH('Lorri 401b'!N1647,'Retirement Calculator'!A:A,0),0),0)</f>
        <v>0</v>
      </c>
      <c r="K1647" s="444">
        <f t="shared" ca="1" si="113"/>
        <v>-873713.05148418434</v>
      </c>
      <c r="L1647" s="444">
        <f t="shared" ca="1" si="114"/>
        <v>-210564845.40768841</v>
      </c>
      <c r="M1647" s="460">
        <f t="shared" si="116"/>
        <v>0.05</v>
      </c>
      <c r="N1647" s="464">
        <f t="shared" si="117"/>
        <v>101175</v>
      </c>
    </row>
    <row r="1648" spans="7:14" ht="11.25" customHeight="1" x14ac:dyDescent="0.3">
      <c r="G1648" s="459"/>
      <c r="H1648" s="459">
        <v>1641</v>
      </c>
      <c r="I1648" s="444">
        <f t="shared" ca="1" si="115"/>
        <v>-210564845.40768841</v>
      </c>
      <c r="J1648" s="444">
        <f t="array" ref="J1648">IFERROR(INDEX('Retirement Calculator'!K:K,MATCH('Lorri 401b'!N1648,'Retirement Calculator'!A:A,0),0),0)</f>
        <v>0</v>
      </c>
      <c r="K1648" s="444">
        <f t="shared" ca="1" si="113"/>
        <v>-877353.52253203501</v>
      </c>
      <c r="L1648" s="444">
        <f t="shared" ca="1" si="114"/>
        <v>-211442198.93022045</v>
      </c>
      <c r="M1648" s="460">
        <f t="shared" si="116"/>
        <v>0.05</v>
      </c>
      <c r="N1648" s="464">
        <f t="shared" si="117"/>
        <v>101206</v>
      </c>
    </row>
    <row r="1649" spans="7:14" ht="11.25" customHeight="1" x14ac:dyDescent="0.3">
      <c r="G1649" s="459"/>
      <c r="H1649" s="459">
        <v>1642</v>
      </c>
      <c r="I1649" s="444">
        <f t="shared" ca="1" si="115"/>
        <v>-211442198.93022045</v>
      </c>
      <c r="J1649" s="444">
        <f t="array" ref="J1649">IFERROR(INDEX('Retirement Calculator'!K:K,MATCH('Lorri 401b'!N1649,'Retirement Calculator'!A:A,0),0),0)</f>
        <v>0</v>
      </c>
      <c r="K1649" s="444">
        <f t="shared" ca="1" si="113"/>
        <v>-881009.16220925201</v>
      </c>
      <c r="L1649" s="444">
        <f t="shared" ca="1" si="114"/>
        <v>-212323208.0924297</v>
      </c>
      <c r="M1649" s="460">
        <f t="shared" si="116"/>
        <v>0.05</v>
      </c>
      <c r="N1649" s="464">
        <f t="shared" si="117"/>
        <v>101234</v>
      </c>
    </row>
    <row r="1650" spans="7:14" ht="11.25" customHeight="1" x14ac:dyDescent="0.3">
      <c r="G1650" s="459"/>
      <c r="H1650" s="459">
        <v>1643</v>
      </c>
      <c r="I1650" s="444">
        <f t="shared" ca="1" si="115"/>
        <v>-212323208.0924297</v>
      </c>
      <c r="J1650" s="444">
        <f t="array" ref="J1650">IFERROR(INDEX('Retirement Calculator'!K:K,MATCH('Lorri 401b'!N1650,'Retirement Calculator'!A:A,0),0),0)</f>
        <v>0</v>
      </c>
      <c r="K1650" s="444">
        <f t="shared" ca="1" si="113"/>
        <v>-884680.0337184571</v>
      </c>
      <c r="L1650" s="444">
        <f t="shared" ca="1" si="114"/>
        <v>-213207888.12614816</v>
      </c>
      <c r="M1650" s="460">
        <f t="shared" si="116"/>
        <v>0.05</v>
      </c>
      <c r="N1650" s="464">
        <f t="shared" si="117"/>
        <v>101265</v>
      </c>
    </row>
    <row r="1651" spans="7:14" ht="11.25" customHeight="1" x14ac:dyDescent="0.3">
      <c r="G1651" s="459"/>
      <c r="H1651" s="459">
        <v>1644</v>
      </c>
      <c r="I1651" s="444">
        <f t="shared" ca="1" si="115"/>
        <v>-213207888.12614816</v>
      </c>
      <c r="J1651" s="444">
        <f t="array" ref="J1651">IFERROR(INDEX('Retirement Calculator'!K:K,MATCH('Lorri 401b'!N1651,'Retirement Calculator'!A:A,0),0),0)</f>
        <v>0</v>
      </c>
      <c r="K1651" s="444">
        <f t="shared" ca="1" si="113"/>
        <v>-888366.20052561746</v>
      </c>
      <c r="L1651" s="444">
        <f t="shared" ca="1" si="114"/>
        <v>-214096254.32667378</v>
      </c>
      <c r="M1651" s="460">
        <f t="shared" si="116"/>
        <v>0.05</v>
      </c>
      <c r="N1651" s="464">
        <f t="shared" si="117"/>
        <v>101295</v>
      </c>
    </row>
    <row r="1652" spans="7:14" ht="11.25" customHeight="1" x14ac:dyDescent="0.3">
      <c r="G1652" s="459"/>
      <c r="H1652" s="459">
        <v>1645</v>
      </c>
      <c r="I1652" s="444">
        <f t="shared" ca="1" si="115"/>
        <v>-214096254.32667378</v>
      </c>
      <c r="J1652" s="444">
        <f t="array" ref="J1652">IFERROR(INDEX('Retirement Calculator'!K:K,MATCH('Lorri 401b'!N1652,'Retirement Calculator'!A:A,0),0),0)</f>
        <v>0</v>
      </c>
      <c r="K1652" s="444">
        <f t="shared" ca="1" si="113"/>
        <v>-892067.72636114084</v>
      </c>
      <c r="L1652" s="444">
        <f t="shared" ca="1" si="114"/>
        <v>-214988322.05303493</v>
      </c>
      <c r="M1652" s="460">
        <f t="shared" si="116"/>
        <v>0.05</v>
      </c>
      <c r="N1652" s="464">
        <f t="shared" si="117"/>
        <v>101326</v>
      </c>
    </row>
    <row r="1653" spans="7:14" ht="11.25" customHeight="1" x14ac:dyDescent="0.3">
      <c r="G1653" s="459"/>
      <c r="H1653" s="459">
        <v>1646</v>
      </c>
      <c r="I1653" s="444">
        <f t="shared" ca="1" si="115"/>
        <v>-214988322.05303493</v>
      </c>
      <c r="J1653" s="444">
        <f t="array" ref="J1653">IFERROR(INDEX('Retirement Calculator'!K:K,MATCH('Lorri 401b'!N1653,'Retirement Calculator'!A:A,0),0),0)</f>
        <v>0</v>
      </c>
      <c r="K1653" s="444">
        <f t="shared" ca="1" si="113"/>
        <v>-895784.67522097891</v>
      </c>
      <c r="L1653" s="444">
        <f t="shared" ca="1" si="114"/>
        <v>-215884106.7282559</v>
      </c>
      <c r="M1653" s="460">
        <f t="shared" si="116"/>
        <v>0.05</v>
      </c>
      <c r="N1653" s="464">
        <f t="shared" si="117"/>
        <v>101356</v>
      </c>
    </row>
    <row r="1654" spans="7:14" ht="11.25" customHeight="1" x14ac:dyDescent="0.3">
      <c r="G1654" s="459"/>
      <c r="H1654" s="459">
        <v>1647</v>
      </c>
      <c r="I1654" s="444">
        <f t="shared" ca="1" si="115"/>
        <v>-215884106.7282559</v>
      </c>
      <c r="J1654" s="444">
        <f t="array" ref="J1654">IFERROR(INDEX('Retirement Calculator'!K:K,MATCH('Lorri 401b'!N1654,'Retirement Calculator'!A:A,0),0),0)</f>
        <v>0</v>
      </c>
      <c r="K1654" s="444">
        <f t="shared" ca="1" si="113"/>
        <v>-899517.11136773287</v>
      </c>
      <c r="L1654" s="444">
        <f t="shared" ca="1" si="114"/>
        <v>-216783623.83962363</v>
      </c>
      <c r="M1654" s="460">
        <f t="shared" si="116"/>
        <v>0.05</v>
      </c>
      <c r="N1654" s="464">
        <f t="shared" si="117"/>
        <v>101387</v>
      </c>
    </row>
    <row r="1655" spans="7:14" ht="11.25" customHeight="1" x14ac:dyDescent="0.3">
      <c r="G1655" s="459"/>
      <c r="H1655" s="459">
        <v>1648</v>
      </c>
      <c r="I1655" s="444">
        <f t="shared" ca="1" si="115"/>
        <v>-216783623.83962363</v>
      </c>
      <c r="J1655" s="444">
        <f t="array" ref="J1655">IFERROR(INDEX('Retirement Calculator'!K:K,MATCH('Lorri 401b'!N1655,'Retirement Calculator'!A:A,0),0),0)</f>
        <v>0</v>
      </c>
      <c r="K1655" s="444">
        <f t="shared" ca="1" si="113"/>
        <v>-903265.09933176497</v>
      </c>
      <c r="L1655" s="444">
        <f t="shared" ca="1" si="114"/>
        <v>-217686888.9389554</v>
      </c>
      <c r="M1655" s="460">
        <f t="shared" si="116"/>
        <v>0.05</v>
      </c>
      <c r="N1655" s="464">
        <f t="shared" si="117"/>
        <v>101418</v>
      </c>
    </row>
    <row r="1656" spans="7:14" ht="11.25" customHeight="1" x14ac:dyDescent="0.3">
      <c r="G1656" s="459"/>
      <c r="H1656" s="459">
        <v>1649</v>
      </c>
      <c r="I1656" s="444">
        <f t="shared" ca="1" si="115"/>
        <v>-217686888.9389554</v>
      </c>
      <c r="J1656" s="444">
        <f t="array" ref="J1656">IFERROR(INDEX('Retirement Calculator'!K:K,MATCH('Lorri 401b'!N1656,'Retirement Calculator'!A:A,0),0),0)</f>
        <v>0</v>
      </c>
      <c r="K1656" s="444">
        <f t="shared" ca="1" si="113"/>
        <v>-907028.70391231403</v>
      </c>
      <c r="L1656" s="444">
        <f t="shared" ca="1" si="114"/>
        <v>-218593917.64286771</v>
      </c>
      <c r="M1656" s="460">
        <f t="shared" si="116"/>
        <v>0.05</v>
      </c>
      <c r="N1656" s="464">
        <f t="shared" si="117"/>
        <v>101448</v>
      </c>
    </row>
    <row r="1657" spans="7:14" ht="11.25" customHeight="1" x14ac:dyDescent="0.3">
      <c r="G1657" s="459"/>
      <c r="H1657" s="459">
        <v>1650</v>
      </c>
      <c r="I1657" s="444">
        <f t="shared" ca="1" si="115"/>
        <v>-218593917.64286771</v>
      </c>
      <c r="J1657" s="444">
        <f t="array" ref="J1657">IFERROR(INDEX('Retirement Calculator'!K:K,MATCH('Lorri 401b'!N1657,'Retirement Calculator'!A:A,0),0),0)</f>
        <v>0</v>
      </c>
      <c r="K1657" s="444">
        <f t="shared" ca="1" si="113"/>
        <v>-910807.99017861544</v>
      </c>
      <c r="L1657" s="444">
        <f t="shared" ca="1" si="114"/>
        <v>-219504725.63304633</v>
      </c>
      <c r="M1657" s="460">
        <f t="shared" si="116"/>
        <v>0.05</v>
      </c>
      <c r="N1657" s="464">
        <f t="shared" si="117"/>
        <v>101479</v>
      </c>
    </row>
    <row r="1658" spans="7:14" ht="11.25" customHeight="1" x14ac:dyDescent="0.3">
      <c r="G1658" s="459"/>
      <c r="H1658" s="459">
        <v>1651</v>
      </c>
      <c r="I1658" s="444">
        <f t="shared" ca="1" si="115"/>
        <v>-219504725.63304633</v>
      </c>
      <c r="J1658" s="444">
        <f t="array" ref="J1658">IFERROR(INDEX('Retirement Calculator'!K:K,MATCH('Lorri 401b'!N1658,'Retirement Calculator'!A:A,0),0),0)</f>
        <v>0</v>
      </c>
      <c r="K1658" s="444">
        <f t="shared" ca="1" si="113"/>
        <v>-914603.02347102645</v>
      </c>
      <c r="L1658" s="444">
        <f t="shared" ca="1" si="114"/>
        <v>-220419328.65651736</v>
      </c>
      <c r="M1658" s="460">
        <f t="shared" si="116"/>
        <v>0.05</v>
      </c>
      <c r="N1658" s="464">
        <f t="shared" si="117"/>
        <v>101509</v>
      </c>
    </row>
    <row r="1659" spans="7:14" ht="11.25" customHeight="1" x14ac:dyDescent="0.3">
      <c r="G1659" s="459"/>
      <c r="H1659" s="459">
        <v>1652</v>
      </c>
      <c r="I1659" s="444">
        <f t="shared" ca="1" si="115"/>
        <v>-220419328.65651736</v>
      </c>
      <c r="J1659" s="444">
        <f t="array" ref="J1659">IFERROR(INDEX('Retirement Calculator'!K:K,MATCH('Lorri 401b'!N1659,'Retirement Calculator'!A:A,0),0),0)</f>
        <v>0</v>
      </c>
      <c r="K1659" s="444">
        <f t="shared" ca="1" si="113"/>
        <v>-918413.86940215575</v>
      </c>
      <c r="L1659" s="444">
        <f t="shared" ca="1" si="114"/>
        <v>-221337742.52591953</v>
      </c>
      <c r="M1659" s="460">
        <f t="shared" si="116"/>
        <v>0.05</v>
      </c>
      <c r="N1659" s="464">
        <f t="shared" si="117"/>
        <v>101540</v>
      </c>
    </row>
    <row r="1660" spans="7:14" ht="11.25" customHeight="1" x14ac:dyDescent="0.3">
      <c r="G1660" s="459"/>
      <c r="H1660" s="459">
        <v>1653</v>
      </c>
      <c r="I1660" s="444">
        <f t="shared" ca="1" si="115"/>
        <v>-221337742.52591953</v>
      </c>
      <c r="J1660" s="444">
        <f t="array" ref="J1660">IFERROR(INDEX('Retirement Calculator'!K:K,MATCH('Lorri 401b'!N1660,'Retirement Calculator'!A:A,0),0),0)</f>
        <v>0</v>
      </c>
      <c r="K1660" s="444">
        <f t="shared" ca="1" si="113"/>
        <v>-922240.59385799803</v>
      </c>
      <c r="L1660" s="444">
        <f t="shared" ca="1" si="114"/>
        <v>-222259983.11977753</v>
      </c>
      <c r="M1660" s="460">
        <f t="shared" si="116"/>
        <v>0.05</v>
      </c>
      <c r="N1660" s="464">
        <f t="shared" si="117"/>
        <v>101571</v>
      </c>
    </row>
    <row r="1661" spans="7:14" ht="11.25" customHeight="1" x14ac:dyDescent="0.3">
      <c r="G1661" s="459"/>
      <c r="H1661" s="459">
        <v>1654</v>
      </c>
      <c r="I1661" s="444">
        <f t="shared" ca="1" si="115"/>
        <v>-222259983.11977753</v>
      </c>
      <c r="J1661" s="444">
        <f t="array" ref="J1661">IFERROR(INDEX('Retirement Calculator'!K:K,MATCH('Lorri 401b'!N1661,'Retirement Calculator'!A:A,0),0),0)</f>
        <v>0</v>
      </c>
      <c r="K1661" s="444">
        <f t="shared" ca="1" si="113"/>
        <v>-926083.26299907302</v>
      </c>
      <c r="L1661" s="444">
        <f t="shared" ca="1" si="114"/>
        <v>-223186066.38277662</v>
      </c>
      <c r="M1661" s="460">
        <f t="shared" si="116"/>
        <v>0.05</v>
      </c>
      <c r="N1661" s="464">
        <f t="shared" si="117"/>
        <v>101599</v>
      </c>
    </row>
    <row r="1662" spans="7:14" ht="11.25" customHeight="1" x14ac:dyDescent="0.3">
      <c r="G1662" s="459"/>
      <c r="H1662" s="459">
        <v>1655</v>
      </c>
      <c r="I1662" s="444">
        <f t="shared" ca="1" si="115"/>
        <v>-223186066.38277662</v>
      </c>
      <c r="J1662" s="444">
        <f t="array" ref="J1662">IFERROR(INDEX('Retirement Calculator'!K:K,MATCH('Lorri 401b'!N1662,'Retirement Calculator'!A:A,0),0),0)</f>
        <v>0</v>
      </c>
      <c r="K1662" s="444">
        <f t="shared" ca="1" si="113"/>
        <v>-929941.94326156925</v>
      </c>
      <c r="L1662" s="444">
        <f t="shared" ca="1" si="114"/>
        <v>-224116008.32603818</v>
      </c>
      <c r="M1662" s="460">
        <f t="shared" si="116"/>
        <v>0.05</v>
      </c>
      <c r="N1662" s="464">
        <f t="shared" si="117"/>
        <v>101630</v>
      </c>
    </row>
    <row r="1663" spans="7:14" ht="11.25" customHeight="1" x14ac:dyDescent="0.3">
      <c r="G1663" s="459"/>
      <c r="H1663" s="459">
        <v>1656</v>
      </c>
      <c r="I1663" s="444">
        <f t="shared" ca="1" si="115"/>
        <v>-224116008.32603818</v>
      </c>
      <c r="J1663" s="444">
        <f t="array" ref="J1663">IFERROR(INDEX('Retirement Calculator'!K:K,MATCH('Lorri 401b'!N1663,'Retirement Calculator'!A:A,0),0),0)</f>
        <v>0</v>
      </c>
      <c r="K1663" s="444">
        <f t="shared" ca="1" si="113"/>
        <v>-933816.70135849237</v>
      </c>
      <c r="L1663" s="444">
        <f t="shared" ca="1" si="114"/>
        <v>-225049825.02739668</v>
      </c>
      <c r="M1663" s="460">
        <f t="shared" si="116"/>
        <v>0.05</v>
      </c>
      <c r="N1663" s="464">
        <f t="shared" si="117"/>
        <v>101660</v>
      </c>
    </row>
    <row r="1664" spans="7:14" ht="11.25" customHeight="1" x14ac:dyDescent="0.3">
      <c r="G1664" s="459"/>
      <c r="H1664" s="459">
        <v>1657</v>
      </c>
      <c r="I1664" s="444">
        <f t="shared" ca="1" si="115"/>
        <v>-225049825.02739668</v>
      </c>
      <c r="J1664" s="444">
        <f t="array" ref="J1664">IFERROR(INDEX('Retirement Calculator'!K:K,MATCH('Lorri 401b'!N1664,'Retirement Calculator'!A:A,0),0),0)</f>
        <v>0</v>
      </c>
      <c r="K1664" s="444">
        <f t="shared" ca="1" si="113"/>
        <v>-937707.60428081953</v>
      </c>
      <c r="L1664" s="444">
        <f t="shared" ca="1" si="114"/>
        <v>-225987532.63167751</v>
      </c>
      <c r="M1664" s="460">
        <f t="shared" si="116"/>
        <v>0.05</v>
      </c>
      <c r="N1664" s="464">
        <f t="shared" si="117"/>
        <v>101691</v>
      </c>
    </row>
    <row r="1665" spans="7:14" ht="11.25" customHeight="1" x14ac:dyDescent="0.3">
      <c r="G1665" s="459"/>
      <c r="H1665" s="459">
        <v>1658</v>
      </c>
      <c r="I1665" s="444">
        <f t="shared" ca="1" si="115"/>
        <v>-225987532.63167751</v>
      </c>
      <c r="J1665" s="444">
        <f t="array" ref="J1665">IFERROR(INDEX('Retirement Calculator'!K:K,MATCH('Lorri 401b'!N1665,'Retirement Calculator'!A:A,0),0),0)</f>
        <v>0</v>
      </c>
      <c r="K1665" s="444">
        <f t="shared" ca="1" si="113"/>
        <v>-941614.71929865645</v>
      </c>
      <c r="L1665" s="444">
        <f t="shared" ca="1" si="114"/>
        <v>-226929147.35097617</v>
      </c>
      <c r="M1665" s="460">
        <f t="shared" si="116"/>
        <v>0.05</v>
      </c>
      <c r="N1665" s="464">
        <f t="shared" si="117"/>
        <v>101721</v>
      </c>
    </row>
    <row r="1666" spans="7:14" ht="11.25" customHeight="1" x14ac:dyDescent="0.3">
      <c r="G1666" s="459"/>
      <c r="H1666" s="459">
        <v>1659</v>
      </c>
      <c r="I1666" s="444">
        <f t="shared" ca="1" si="115"/>
        <v>-226929147.35097617</v>
      </c>
      <c r="J1666" s="444">
        <f t="array" ref="J1666">IFERROR(INDEX('Retirement Calculator'!K:K,MATCH('Lorri 401b'!N1666,'Retirement Calculator'!A:A,0),0),0)</f>
        <v>0</v>
      </c>
      <c r="K1666" s="444">
        <f t="shared" ca="1" si="113"/>
        <v>-945538.1139624007</v>
      </c>
      <c r="L1666" s="444">
        <f t="shared" ca="1" si="114"/>
        <v>-227874685.46493858</v>
      </c>
      <c r="M1666" s="460">
        <f t="shared" si="116"/>
        <v>0.05</v>
      </c>
      <c r="N1666" s="464">
        <f t="shared" si="117"/>
        <v>101752</v>
      </c>
    </row>
    <row r="1667" spans="7:14" ht="11.25" customHeight="1" x14ac:dyDescent="0.3">
      <c r="G1667" s="459"/>
      <c r="H1667" s="459">
        <v>1660</v>
      </c>
      <c r="I1667" s="444">
        <f t="shared" ca="1" si="115"/>
        <v>-227874685.46493858</v>
      </c>
      <c r="J1667" s="444">
        <f t="array" ref="J1667">IFERROR(INDEX('Retirement Calculator'!K:K,MATCH('Lorri 401b'!N1667,'Retirement Calculator'!A:A,0),0),0)</f>
        <v>0</v>
      </c>
      <c r="K1667" s="444">
        <f t="shared" ca="1" si="113"/>
        <v>-949477.85610391072</v>
      </c>
      <c r="L1667" s="444">
        <f t="shared" ca="1" si="114"/>
        <v>-228824163.32104248</v>
      </c>
      <c r="M1667" s="460">
        <f t="shared" si="116"/>
        <v>0.05</v>
      </c>
      <c r="N1667" s="464">
        <f t="shared" si="117"/>
        <v>101783</v>
      </c>
    </row>
    <row r="1668" spans="7:14" ht="11.25" customHeight="1" x14ac:dyDescent="0.3">
      <c r="G1668" s="459"/>
      <c r="H1668" s="459">
        <v>1661</v>
      </c>
      <c r="I1668" s="444">
        <f t="shared" ca="1" si="115"/>
        <v>-228824163.32104248</v>
      </c>
      <c r="J1668" s="444">
        <f t="array" ref="J1668">IFERROR(INDEX('Retirement Calculator'!K:K,MATCH('Lorri 401b'!N1668,'Retirement Calculator'!A:A,0),0),0)</f>
        <v>0</v>
      </c>
      <c r="K1668" s="444">
        <f t="shared" ca="1" si="113"/>
        <v>-953434.01383767696</v>
      </c>
      <c r="L1668" s="444">
        <f t="shared" ca="1" si="114"/>
        <v>-229777597.33488014</v>
      </c>
      <c r="M1668" s="460">
        <f t="shared" si="116"/>
        <v>0.05</v>
      </c>
      <c r="N1668" s="464">
        <f t="shared" si="117"/>
        <v>101813</v>
      </c>
    </row>
    <row r="1669" spans="7:14" ht="11.25" customHeight="1" x14ac:dyDescent="0.3">
      <c r="G1669" s="459"/>
      <c r="H1669" s="459">
        <v>1662</v>
      </c>
      <c r="I1669" s="444">
        <f t="shared" ca="1" si="115"/>
        <v>-229777597.33488014</v>
      </c>
      <c r="J1669" s="444">
        <f t="array" ref="J1669">IFERROR(INDEX('Retirement Calculator'!K:K,MATCH('Lorri 401b'!N1669,'Retirement Calculator'!A:A,0),0),0)</f>
        <v>0</v>
      </c>
      <c r="K1669" s="444">
        <f t="shared" ca="1" si="113"/>
        <v>-957406.65556200058</v>
      </c>
      <c r="L1669" s="444">
        <f t="shared" ca="1" si="114"/>
        <v>-230735003.99044216</v>
      </c>
      <c r="M1669" s="460">
        <f t="shared" si="116"/>
        <v>0.05</v>
      </c>
      <c r="N1669" s="464">
        <f t="shared" si="117"/>
        <v>101844</v>
      </c>
    </row>
    <row r="1670" spans="7:14" ht="11.25" customHeight="1" x14ac:dyDescent="0.3">
      <c r="G1670" s="459"/>
      <c r="H1670" s="459">
        <v>1663</v>
      </c>
      <c r="I1670" s="444">
        <f t="shared" ca="1" si="115"/>
        <v>-230735003.99044216</v>
      </c>
      <c r="J1670" s="444">
        <f t="array" ref="J1670">IFERROR(INDEX('Retirement Calculator'!K:K,MATCH('Lorri 401b'!N1670,'Retirement Calculator'!A:A,0),0),0)</f>
        <v>0</v>
      </c>
      <c r="K1670" s="444">
        <f t="shared" ca="1" si="113"/>
        <v>-961395.84996017546</v>
      </c>
      <c r="L1670" s="444">
        <f t="shared" ca="1" si="114"/>
        <v>-231696399.84040233</v>
      </c>
      <c r="M1670" s="460">
        <f t="shared" si="116"/>
        <v>0.05</v>
      </c>
      <c r="N1670" s="464">
        <f t="shared" si="117"/>
        <v>101874</v>
      </c>
    </row>
    <row r="1671" spans="7:14" ht="11.25" customHeight="1" x14ac:dyDescent="0.3">
      <c r="G1671" s="459"/>
      <c r="H1671" s="459">
        <v>1664</v>
      </c>
      <c r="I1671" s="444">
        <f t="shared" ca="1" si="115"/>
        <v>-231696399.84040233</v>
      </c>
      <c r="J1671" s="444">
        <f t="array" ref="J1671">IFERROR(INDEX('Retirement Calculator'!K:K,MATCH('Lorri 401b'!N1671,'Retirement Calculator'!A:A,0),0),0)</f>
        <v>0</v>
      </c>
      <c r="K1671" s="444">
        <f t="shared" ca="1" si="113"/>
        <v>-965401.66600167623</v>
      </c>
      <c r="L1671" s="444">
        <f t="shared" ca="1" si="114"/>
        <v>-232661801.50640401</v>
      </c>
      <c r="M1671" s="460">
        <f t="shared" si="116"/>
        <v>0.05</v>
      </c>
      <c r="N1671" s="464">
        <f t="shared" si="117"/>
        <v>101905</v>
      </c>
    </row>
    <row r="1672" spans="7:14" ht="11.25" customHeight="1" x14ac:dyDescent="0.3">
      <c r="G1672" s="459"/>
      <c r="H1672" s="459">
        <v>1665</v>
      </c>
      <c r="I1672" s="444">
        <f t="shared" ca="1" si="115"/>
        <v>-232661801.50640401</v>
      </c>
      <c r="J1672" s="444">
        <f t="array" ref="J1672">IFERROR(INDEX('Retirement Calculator'!K:K,MATCH('Lorri 401b'!N1672,'Retirement Calculator'!A:A,0),0),0)</f>
        <v>0</v>
      </c>
      <c r="K1672" s="444">
        <f t="shared" ca="1" si="113"/>
        <v>-969424.17294335004</v>
      </c>
      <c r="L1672" s="444">
        <f t="shared" ca="1" si="114"/>
        <v>-233631225.67934737</v>
      </c>
      <c r="M1672" s="460">
        <f t="shared" si="116"/>
        <v>0.05</v>
      </c>
      <c r="N1672" s="464">
        <f t="shared" si="117"/>
        <v>101936</v>
      </c>
    </row>
    <row r="1673" spans="7:14" ht="11.25" customHeight="1" x14ac:dyDescent="0.3">
      <c r="G1673" s="459"/>
      <c r="H1673" s="459">
        <v>1666</v>
      </c>
      <c r="I1673" s="444">
        <f t="shared" ca="1" si="115"/>
        <v>-233631225.67934737</v>
      </c>
      <c r="J1673" s="444">
        <f t="array" ref="J1673">IFERROR(INDEX('Retirement Calculator'!K:K,MATCH('Lorri 401b'!N1673,'Retirement Calculator'!A:A,0),0),0)</f>
        <v>0</v>
      </c>
      <c r="K1673" s="444">
        <f t="shared" ca="1" si="113"/>
        <v>-973463.44033061399</v>
      </c>
      <c r="L1673" s="444">
        <f t="shared" ca="1" si="114"/>
        <v>-234604689.11967799</v>
      </c>
      <c r="M1673" s="460">
        <f t="shared" si="116"/>
        <v>0.05</v>
      </c>
      <c r="N1673" s="464">
        <f t="shared" si="117"/>
        <v>101964</v>
      </c>
    </row>
    <row r="1674" spans="7:14" ht="11.25" customHeight="1" x14ac:dyDescent="0.3">
      <c r="G1674" s="459"/>
      <c r="H1674" s="459">
        <v>1667</v>
      </c>
      <c r="I1674" s="444">
        <f t="shared" ca="1" si="115"/>
        <v>-234604689.11967799</v>
      </c>
      <c r="J1674" s="444">
        <f t="array" ref="J1674">IFERROR(INDEX('Retirement Calculator'!K:K,MATCH('Lorri 401b'!N1674,'Retirement Calculator'!A:A,0),0),0)</f>
        <v>0</v>
      </c>
      <c r="K1674" s="444">
        <f t="shared" ca="1" si="113"/>
        <v>-977519.53799865826</v>
      </c>
      <c r="L1674" s="444">
        <f t="shared" ca="1" si="114"/>
        <v>-235582208.65767664</v>
      </c>
      <c r="M1674" s="460">
        <f t="shared" si="116"/>
        <v>0.05</v>
      </c>
      <c r="N1674" s="464">
        <f t="shared" si="117"/>
        <v>101995</v>
      </c>
    </row>
    <row r="1675" spans="7:14" ht="11.25" customHeight="1" x14ac:dyDescent="0.3">
      <c r="G1675" s="459"/>
      <c r="H1675" s="459">
        <v>1668</v>
      </c>
      <c r="I1675" s="444">
        <f t="shared" ca="1" si="115"/>
        <v>-235582208.65767664</v>
      </c>
      <c r="J1675" s="444">
        <f t="array" ref="J1675">IFERROR(INDEX('Retirement Calculator'!K:K,MATCH('Lorri 401b'!N1675,'Retirement Calculator'!A:A,0),0),0)</f>
        <v>0</v>
      </c>
      <c r="K1675" s="444">
        <f t="shared" ca="1" si="113"/>
        <v>-981592.53607365256</v>
      </c>
      <c r="L1675" s="444">
        <f t="shared" ca="1" si="114"/>
        <v>-236563801.19375029</v>
      </c>
      <c r="M1675" s="460">
        <f t="shared" si="116"/>
        <v>0.05</v>
      </c>
      <c r="N1675" s="464">
        <f t="shared" si="117"/>
        <v>102025</v>
      </c>
    </row>
    <row r="1676" spans="7:14" ht="11.25" customHeight="1" x14ac:dyDescent="0.3">
      <c r="G1676" s="459"/>
      <c r="H1676" s="459">
        <v>1669</v>
      </c>
      <c r="I1676" s="444">
        <f t="shared" ca="1" si="115"/>
        <v>-236563801.19375029</v>
      </c>
      <c r="J1676" s="444">
        <f t="array" ref="J1676">IFERROR(INDEX('Retirement Calculator'!K:K,MATCH('Lorri 401b'!N1676,'Retirement Calculator'!A:A,0),0),0)</f>
        <v>0</v>
      </c>
      <c r="K1676" s="444">
        <f t="shared" ca="1" si="113"/>
        <v>-985682.50497395953</v>
      </c>
      <c r="L1676" s="444">
        <f t="shared" ca="1" si="114"/>
        <v>-237549483.69872424</v>
      </c>
      <c r="M1676" s="460">
        <f t="shared" si="116"/>
        <v>0.05</v>
      </c>
      <c r="N1676" s="464">
        <f t="shared" si="117"/>
        <v>102056</v>
      </c>
    </row>
    <row r="1677" spans="7:14" ht="11.25" customHeight="1" x14ac:dyDescent="0.3">
      <c r="G1677" s="459"/>
      <c r="H1677" s="459">
        <v>1670</v>
      </c>
      <c r="I1677" s="444">
        <f t="shared" ca="1" si="115"/>
        <v>-237549483.69872424</v>
      </c>
      <c r="J1677" s="444">
        <f t="array" ref="J1677">IFERROR(INDEX('Retirement Calculator'!K:K,MATCH('Lorri 401b'!N1677,'Retirement Calculator'!A:A,0),0),0)</f>
        <v>0</v>
      </c>
      <c r="K1677" s="444">
        <f t="shared" ca="1" si="113"/>
        <v>-989789.51541135099</v>
      </c>
      <c r="L1677" s="444">
        <f t="shared" ca="1" si="114"/>
        <v>-238539273.21413559</v>
      </c>
      <c r="M1677" s="460">
        <f t="shared" si="116"/>
        <v>0.05</v>
      </c>
      <c r="N1677" s="464">
        <f t="shared" si="117"/>
        <v>102086</v>
      </c>
    </row>
    <row r="1678" spans="7:14" ht="11.25" customHeight="1" x14ac:dyDescent="0.3">
      <c r="G1678" s="459"/>
      <c r="H1678" s="459">
        <v>1671</v>
      </c>
      <c r="I1678" s="444">
        <f t="shared" ca="1" si="115"/>
        <v>-238539273.21413559</v>
      </c>
      <c r="J1678" s="444">
        <f t="array" ref="J1678">IFERROR(INDEX('Retirement Calculator'!K:K,MATCH('Lorri 401b'!N1678,'Retirement Calculator'!A:A,0),0),0)</f>
        <v>0</v>
      </c>
      <c r="K1678" s="444">
        <f t="shared" ca="1" si="113"/>
        <v>-993913.63839223143</v>
      </c>
      <c r="L1678" s="444">
        <f t="shared" ca="1" si="114"/>
        <v>-239533186.85252783</v>
      </c>
      <c r="M1678" s="460">
        <f t="shared" si="116"/>
        <v>0.05</v>
      </c>
      <c r="N1678" s="464">
        <f t="shared" si="117"/>
        <v>102117</v>
      </c>
    </row>
    <row r="1679" spans="7:14" ht="11.25" customHeight="1" x14ac:dyDescent="0.3">
      <c r="G1679" s="459"/>
      <c r="H1679" s="459">
        <v>1672</v>
      </c>
      <c r="I1679" s="444">
        <f t="shared" ca="1" si="115"/>
        <v>-239533186.85252783</v>
      </c>
      <c r="J1679" s="444">
        <f t="array" ref="J1679">IFERROR(INDEX('Retirement Calculator'!K:K,MATCH('Lorri 401b'!N1679,'Retirement Calculator'!A:A,0),0),0)</f>
        <v>0</v>
      </c>
      <c r="K1679" s="444">
        <f t="shared" ca="1" si="113"/>
        <v>-998054.94521886588</v>
      </c>
      <c r="L1679" s="444">
        <f t="shared" ca="1" si="114"/>
        <v>-240531241.79774669</v>
      </c>
      <c r="M1679" s="460">
        <f t="shared" si="116"/>
        <v>0.05</v>
      </c>
      <c r="N1679" s="464">
        <f t="shared" si="117"/>
        <v>102148</v>
      </c>
    </row>
    <row r="1680" spans="7:14" ht="11.25" customHeight="1" x14ac:dyDescent="0.3">
      <c r="G1680" s="459"/>
      <c r="H1680" s="459">
        <v>1673</v>
      </c>
      <c r="I1680" s="444">
        <f t="shared" ca="1" si="115"/>
        <v>-240531241.79774669</v>
      </c>
      <c r="J1680" s="444">
        <f t="array" ref="J1680">IFERROR(INDEX('Retirement Calculator'!K:K,MATCH('Lorri 401b'!N1680,'Retirement Calculator'!A:A,0),0),0)</f>
        <v>0</v>
      </c>
      <c r="K1680" s="444">
        <f t="shared" ca="1" si="113"/>
        <v>-1002213.5074906112</v>
      </c>
      <c r="L1680" s="444">
        <f t="shared" ca="1" si="114"/>
        <v>-241533455.30523729</v>
      </c>
      <c r="M1680" s="460">
        <f t="shared" si="116"/>
        <v>0.05</v>
      </c>
      <c r="N1680" s="464">
        <f t="shared" si="117"/>
        <v>102178</v>
      </c>
    </row>
    <row r="1681" spans="7:14" ht="11.25" customHeight="1" x14ac:dyDescent="0.3">
      <c r="G1681" s="459"/>
      <c r="H1681" s="459">
        <v>1674</v>
      </c>
      <c r="I1681" s="444">
        <f t="shared" ca="1" si="115"/>
        <v>-241533455.30523729</v>
      </c>
      <c r="J1681" s="444">
        <f t="array" ref="J1681">IFERROR(INDEX('Retirement Calculator'!K:K,MATCH('Lorri 401b'!N1681,'Retirement Calculator'!A:A,0),0),0)</f>
        <v>0</v>
      </c>
      <c r="K1681" s="444">
        <f t="shared" ca="1" si="113"/>
        <v>-1006389.3971051555</v>
      </c>
      <c r="L1681" s="444">
        <f t="shared" ca="1" si="114"/>
        <v>-242539844.70234245</v>
      </c>
      <c r="M1681" s="460">
        <f t="shared" si="116"/>
        <v>0.05</v>
      </c>
      <c r="N1681" s="464">
        <f t="shared" si="117"/>
        <v>102209</v>
      </c>
    </row>
    <row r="1682" spans="7:14" ht="11.25" customHeight="1" x14ac:dyDescent="0.3">
      <c r="G1682" s="459"/>
      <c r="H1682" s="459">
        <v>1675</v>
      </c>
      <c r="I1682" s="444">
        <f t="shared" ca="1" si="115"/>
        <v>-242539844.70234245</v>
      </c>
      <c r="J1682" s="444">
        <f t="array" ref="J1682">IFERROR(INDEX('Retirement Calculator'!K:K,MATCH('Lorri 401b'!N1682,'Retirement Calculator'!A:A,0),0),0)</f>
        <v>0</v>
      </c>
      <c r="K1682" s="444">
        <f t="shared" ca="1" si="113"/>
        <v>-1010582.6862597602</v>
      </c>
      <c r="L1682" s="444">
        <f t="shared" ca="1" si="114"/>
        <v>-243550427.3886022</v>
      </c>
      <c r="M1682" s="460">
        <f t="shared" si="116"/>
        <v>0.05</v>
      </c>
      <c r="N1682" s="464">
        <f t="shared" si="117"/>
        <v>102239</v>
      </c>
    </row>
    <row r="1683" spans="7:14" ht="11.25" customHeight="1" x14ac:dyDescent="0.3">
      <c r="G1683" s="459"/>
      <c r="H1683" s="459">
        <v>1676</v>
      </c>
      <c r="I1683" s="444">
        <f t="shared" ca="1" si="115"/>
        <v>-243550427.3886022</v>
      </c>
      <c r="J1683" s="444">
        <f t="array" ref="J1683">IFERROR(INDEX('Retirement Calculator'!K:K,MATCH('Lorri 401b'!N1683,'Retirement Calculator'!A:A,0),0),0)</f>
        <v>0</v>
      </c>
      <c r="K1683" s="444">
        <f t="shared" ca="1" si="113"/>
        <v>-1014793.4474525092</v>
      </c>
      <c r="L1683" s="444">
        <f t="shared" ca="1" si="114"/>
        <v>-244565220.83605471</v>
      </c>
      <c r="M1683" s="460">
        <f t="shared" si="116"/>
        <v>0.05</v>
      </c>
      <c r="N1683" s="464">
        <f t="shared" si="117"/>
        <v>102270</v>
      </c>
    </row>
    <row r="1684" spans="7:14" ht="11.25" customHeight="1" x14ac:dyDescent="0.3">
      <c r="G1684" s="459"/>
      <c r="H1684" s="459">
        <v>1677</v>
      </c>
      <c r="I1684" s="444">
        <f t="shared" ca="1" si="115"/>
        <v>-244565220.83605471</v>
      </c>
      <c r="J1684" s="444">
        <f t="array" ref="J1684">IFERROR(INDEX('Retirement Calculator'!K:K,MATCH('Lorri 401b'!N1684,'Retirement Calculator'!A:A,0),0),0)</f>
        <v>0</v>
      </c>
      <c r="K1684" s="444">
        <f t="shared" ca="1" si="113"/>
        <v>-1019021.7534835612</v>
      </c>
      <c r="L1684" s="444">
        <f t="shared" ca="1" si="114"/>
        <v>-245584242.58953828</v>
      </c>
      <c r="M1684" s="460">
        <f t="shared" si="116"/>
        <v>0.05</v>
      </c>
      <c r="N1684" s="464">
        <f t="shared" si="117"/>
        <v>102301</v>
      </c>
    </row>
    <row r="1685" spans="7:14" ht="11.25" customHeight="1" x14ac:dyDescent="0.3">
      <c r="G1685" s="459"/>
      <c r="H1685" s="459">
        <v>1678</v>
      </c>
      <c r="I1685" s="444">
        <f t="shared" ca="1" si="115"/>
        <v>-245584242.58953828</v>
      </c>
      <c r="J1685" s="444">
        <f t="array" ref="J1685">IFERROR(INDEX('Retirement Calculator'!K:K,MATCH('Lorri 401b'!N1685,'Retirement Calculator'!A:A,0),0),0)</f>
        <v>0</v>
      </c>
      <c r="K1685" s="444">
        <f t="shared" ca="1" si="113"/>
        <v>-1023267.6774564093</v>
      </c>
      <c r="L1685" s="444">
        <f t="shared" ca="1" si="114"/>
        <v>-246607510.26699468</v>
      </c>
      <c r="M1685" s="460">
        <f t="shared" si="116"/>
        <v>0.05</v>
      </c>
      <c r="N1685" s="464">
        <f t="shared" si="117"/>
        <v>102330</v>
      </c>
    </row>
    <row r="1686" spans="7:14" ht="11.25" customHeight="1" x14ac:dyDescent="0.3">
      <c r="G1686" s="459"/>
      <c r="H1686" s="459">
        <v>1679</v>
      </c>
      <c r="I1686" s="444">
        <f t="shared" ca="1" si="115"/>
        <v>-246607510.26699468</v>
      </c>
      <c r="J1686" s="444">
        <f t="array" ref="J1686">IFERROR(INDEX('Retirement Calculator'!K:K,MATCH('Lorri 401b'!N1686,'Retirement Calculator'!A:A,0),0),0)</f>
        <v>0</v>
      </c>
      <c r="K1686" s="444">
        <f t="shared" ca="1" si="113"/>
        <v>-1027531.2927791445</v>
      </c>
      <c r="L1686" s="444">
        <f t="shared" ca="1" si="114"/>
        <v>-247635041.55977383</v>
      </c>
      <c r="M1686" s="460">
        <f t="shared" si="116"/>
        <v>0.05</v>
      </c>
      <c r="N1686" s="464">
        <f t="shared" si="117"/>
        <v>102361</v>
      </c>
    </row>
    <row r="1687" spans="7:14" ht="11.25" customHeight="1" x14ac:dyDescent="0.3">
      <c r="G1687" s="459"/>
      <c r="H1687" s="459">
        <v>1680</v>
      </c>
      <c r="I1687" s="444">
        <f t="shared" ca="1" si="115"/>
        <v>-247635041.55977383</v>
      </c>
      <c r="J1687" s="444">
        <f t="array" ref="J1687">IFERROR(INDEX('Retirement Calculator'!K:K,MATCH('Lorri 401b'!N1687,'Retirement Calculator'!A:A,0),0),0)</f>
        <v>0</v>
      </c>
      <c r="K1687" s="444">
        <f t="shared" ca="1" si="113"/>
        <v>-1031812.6731657244</v>
      </c>
      <c r="L1687" s="444">
        <f t="shared" ca="1" si="114"/>
        <v>-248666854.23293957</v>
      </c>
      <c r="M1687" s="460">
        <f t="shared" si="116"/>
        <v>0.05</v>
      </c>
      <c r="N1687" s="464">
        <f t="shared" si="117"/>
        <v>102391</v>
      </c>
    </row>
    <row r="1688" spans="7:14" ht="11.25" customHeight="1" x14ac:dyDescent="0.3">
      <c r="G1688" s="459"/>
      <c r="H1688" s="459">
        <v>1681</v>
      </c>
      <c r="I1688" s="444">
        <f t="shared" ca="1" si="115"/>
        <v>-248666854.23293957</v>
      </c>
      <c r="J1688" s="444">
        <f t="array" ref="J1688">IFERROR(INDEX('Retirement Calculator'!K:K,MATCH('Lorri 401b'!N1688,'Retirement Calculator'!A:A,0),0),0)</f>
        <v>0</v>
      </c>
      <c r="K1688" s="444">
        <f t="shared" ca="1" si="113"/>
        <v>-1036111.8926372482</v>
      </c>
      <c r="L1688" s="444">
        <f t="shared" ca="1" si="114"/>
        <v>-249702966.12557682</v>
      </c>
      <c r="M1688" s="460">
        <f t="shared" si="116"/>
        <v>0.05</v>
      </c>
      <c r="N1688" s="464">
        <f t="shared" si="117"/>
        <v>102422</v>
      </c>
    </row>
    <row r="1689" spans="7:14" ht="11.25" customHeight="1" x14ac:dyDescent="0.3">
      <c r="G1689" s="459"/>
      <c r="H1689" s="459">
        <v>1682</v>
      </c>
      <c r="I1689" s="444">
        <f t="shared" ca="1" si="115"/>
        <v>-249702966.12557682</v>
      </c>
      <c r="J1689" s="444">
        <f t="array" ref="J1689">IFERROR(INDEX('Retirement Calculator'!K:K,MATCH('Lorri 401b'!N1689,'Retirement Calculator'!A:A,0),0),0)</f>
        <v>0</v>
      </c>
      <c r="K1689" s="444">
        <f t="shared" ca="1" si="113"/>
        <v>-1040429.0255232367</v>
      </c>
      <c r="L1689" s="444">
        <f t="shared" ca="1" si="114"/>
        <v>-250743395.15110007</v>
      </c>
      <c r="M1689" s="460">
        <f t="shared" si="116"/>
        <v>0.05</v>
      </c>
      <c r="N1689" s="464">
        <f t="shared" si="117"/>
        <v>102452</v>
      </c>
    </row>
    <row r="1690" spans="7:14" ht="11.25" customHeight="1" x14ac:dyDescent="0.3">
      <c r="G1690" s="459"/>
      <c r="H1690" s="459">
        <v>1683</v>
      </c>
      <c r="I1690" s="444">
        <f t="shared" ca="1" si="115"/>
        <v>-250743395.15110007</v>
      </c>
      <c r="J1690" s="444">
        <f t="array" ref="J1690">IFERROR(INDEX('Retirement Calculator'!K:K,MATCH('Lorri 401b'!N1690,'Retirement Calculator'!A:A,0),0),0)</f>
        <v>0</v>
      </c>
      <c r="K1690" s="444">
        <f t="shared" ca="1" si="113"/>
        <v>-1044764.146462917</v>
      </c>
      <c r="L1690" s="444">
        <f t="shared" ca="1" si="114"/>
        <v>-251788159.29756299</v>
      </c>
      <c r="M1690" s="460">
        <f t="shared" si="116"/>
        <v>0.05</v>
      </c>
      <c r="N1690" s="464">
        <f t="shared" si="117"/>
        <v>102483</v>
      </c>
    </row>
    <row r="1691" spans="7:14" ht="11.25" customHeight="1" x14ac:dyDescent="0.3">
      <c r="G1691" s="459"/>
      <c r="H1691" s="459">
        <v>1684</v>
      </c>
      <c r="I1691" s="444">
        <f t="shared" ca="1" si="115"/>
        <v>-251788159.29756299</v>
      </c>
      <c r="J1691" s="444">
        <f t="array" ref="J1691">IFERROR(INDEX('Retirement Calculator'!K:K,MATCH('Lorri 401b'!N1691,'Retirement Calculator'!A:A,0),0),0)</f>
        <v>0</v>
      </c>
      <c r="K1691" s="444">
        <f t="shared" ca="1" si="113"/>
        <v>-1049117.3304065124</v>
      </c>
      <c r="L1691" s="444">
        <f t="shared" ca="1" si="114"/>
        <v>-252837276.6279695</v>
      </c>
      <c r="M1691" s="460">
        <f t="shared" si="116"/>
        <v>0.05</v>
      </c>
      <c r="N1691" s="464">
        <f t="shared" si="117"/>
        <v>102514</v>
      </c>
    </row>
    <row r="1692" spans="7:14" ht="11.25" customHeight="1" x14ac:dyDescent="0.3">
      <c r="G1692" s="459"/>
      <c r="H1692" s="459">
        <v>1685</v>
      </c>
      <c r="I1692" s="444">
        <f t="shared" ca="1" si="115"/>
        <v>-252837276.6279695</v>
      </c>
      <c r="J1692" s="444">
        <f t="array" ref="J1692">IFERROR(INDEX('Retirement Calculator'!K:K,MATCH('Lorri 401b'!N1692,'Retirement Calculator'!A:A,0),0),0)</f>
        <v>0</v>
      </c>
      <c r="K1692" s="444">
        <f t="shared" ca="1" si="113"/>
        <v>-1053488.6526165395</v>
      </c>
      <c r="L1692" s="444">
        <f t="shared" ca="1" si="114"/>
        <v>-253890765.28058603</v>
      </c>
      <c r="M1692" s="460">
        <f t="shared" si="116"/>
        <v>0.05</v>
      </c>
      <c r="N1692" s="464">
        <f t="shared" si="117"/>
        <v>102544</v>
      </c>
    </row>
    <row r="1693" spans="7:14" ht="11.25" customHeight="1" x14ac:dyDescent="0.3">
      <c r="G1693" s="459"/>
      <c r="H1693" s="459">
        <v>1686</v>
      </c>
      <c r="I1693" s="444">
        <f t="shared" ca="1" si="115"/>
        <v>-253890765.28058603</v>
      </c>
      <c r="J1693" s="444">
        <f t="array" ref="J1693">IFERROR(INDEX('Retirement Calculator'!K:K,MATCH('Lorri 401b'!N1693,'Retirement Calculator'!A:A,0),0),0)</f>
        <v>0</v>
      </c>
      <c r="K1693" s="444">
        <f t="shared" ca="1" si="113"/>
        <v>-1057878.1886691086</v>
      </c>
      <c r="L1693" s="444">
        <f t="shared" ca="1" si="114"/>
        <v>-254948643.46925515</v>
      </c>
      <c r="M1693" s="460">
        <f t="shared" si="116"/>
        <v>0.05</v>
      </c>
      <c r="N1693" s="464">
        <f t="shared" si="117"/>
        <v>102575</v>
      </c>
    </row>
    <row r="1694" spans="7:14" ht="11.25" customHeight="1" x14ac:dyDescent="0.3">
      <c r="G1694" s="459"/>
      <c r="H1694" s="459">
        <v>1687</v>
      </c>
      <c r="I1694" s="444">
        <f t="shared" ca="1" si="115"/>
        <v>-254948643.46925515</v>
      </c>
      <c r="J1694" s="444">
        <f t="array" ref="J1694">IFERROR(INDEX('Retirement Calculator'!K:K,MATCH('Lorri 401b'!N1694,'Retirement Calculator'!A:A,0),0),0)</f>
        <v>0</v>
      </c>
      <c r="K1694" s="444">
        <f t="shared" ca="1" si="113"/>
        <v>-1062286.0144552297</v>
      </c>
      <c r="L1694" s="444">
        <f t="shared" ca="1" si="114"/>
        <v>-256010929.48371038</v>
      </c>
      <c r="M1694" s="460">
        <f t="shared" si="116"/>
        <v>0.05</v>
      </c>
      <c r="N1694" s="464">
        <f t="shared" si="117"/>
        <v>102605</v>
      </c>
    </row>
    <row r="1695" spans="7:14" ht="11.25" customHeight="1" x14ac:dyDescent="0.3">
      <c r="G1695" s="459"/>
      <c r="H1695" s="459">
        <v>1688</v>
      </c>
      <c r="I1695" s="444">
        <f t="shared" ca="1" si="115"/>
        <v>-256010929.48371038</v>
      </c>
      <c r="J1695" s="444">
        <f t="array" ref="J1695">IFERROR(INDEX('Retirement Calculator'!K:K,MATCH('Lorri 401b'!N1695,'Retirement Calculator'!A:A,0),0),0)</f>
        <v>0</v>
      </c>
      <c r="K1695" s="444">
        <f t="shared" ca="1" si="113"/>
        <v>-1066712.2061821267</v>
      </c>
      <c r="L1695" s="444">
        <f t="shared" ca="1" si="114"/>
        <v>-257077641.6898925</v>
      </c>
      <c r="M1695" s="460">
        <f t="shared" si="116"/>
        <v>0.05</v>
      </c>
      <c r="N1695" s="464">
        <f t="shared" si="117"/>
        <v>102636</v>
      </c>
    </row>
    <row r="1696" spans="7:14" ht="11.25" customHeight="1" x14ac:dyDescent="0.3">
      <c r="G1696" s="459"/>
      <c r="H1696" s="459">
        <v>1689</v>
      </c>
      <c r="I1696" s="444">
        <f t="shared" ca="1" si="115"/>
        <v>-257077641.6898925</v>
      </c>
      <c r="J1696" s="444">
        <f t="array" ref="J1696">IFERROR(INDEX('Retirement Calculator'!K:K,MATCH('Lorri 401b'!N1696,'Retirement Calculator'!A:A,0),0),0)</f>
        <v>0</v>
      </c>
      <c r="K1696" s="444">
        <f t="shared" ca="1" si="113"/>
        <v>-1071156.8403745522</v>
      </c>
      <c r="L1696" s="444">
        <f t="shared" ca="1" si="114"/>
        <v>-258148798.53026706</v>
      </c>
      <c r="M1696" s="460">
        <f t="shared" si="116"/>
        <v>0.05</v>
      </c>
      <c r="N1696" s="464">
        <f t="shared" si="117"/>
        <v>102667</v>
      </c>
    </row>
    <row r="1697" spans="7:14" ht="11.25" customHeight="1" x14ac:dyDescent="0.3">
      <c r="G1697" s="459"/>
      <c r="H1697" s="459">
        <v>1690</v>
      </c>
      <c r="I1697" s="444">
        <f t="shared" ca="1" si="115"/>
        <v>-258148798.53026706</v>
      </c>
      <c r="J1697" s="444">
        <f t="array" ref="J1697">IFERROR(INDEX('Retirement Calculator'!K:K,MATCH('Lorri 401b'!N1697,'Retirement Calculator'!A:A,0),0),0)</f>
        <v>0</v>
      </c>
      <c r="K1697" s="444">
        <f t="shared" ca="1" si="113"/>
        <v>-1075619.9938761126</v>
      </c>
      <c r="L1697" s="444">
        <f t="shared" ca="1" si="114"/>
        <v>-259224418.52414316</v>
      </c>
      <c r="M1697" s="460">
        <f t="shared" si="116"/>
        <v>0.05</v>
      </c>
      <c r="N1697" s="464">
        <f t="shared" si="117"/>
        <v>102695</v>
      </c>
    </row>
    <row r="1698" spans="7:14" ht="11.25" customHeight="1" x14ac:dyDescent="0.3">
      <c r="G1698" s="459"/>
      <c r="H1698" s="459">
        <v>1691</v>
      </c>
      <c r="I1698" s="444">
        <f t="shared" ca="1" si="115"/>
        <v>-259224418.52414316</v>
      </c>
      <c r="J1698" s="444">
        <f t="array" ref="J1698">IFERROR(INDEX('Retirement Calculator'!K:K,MATCH('Lorri 401b'!N1698,'Retirement Calculator'!A:A,0),0),0)</f>
        <v>0</v>
      </c>
      <c r="K1698" s="444">
        <f t="shared" ca="1" si="113"/>
        <v>-1080101.7438505965</v>
      </c>
      <c r="L1698" s="444">
        <f t="shared" ca="1" si="114"/>
        <v>-260304520.26799375</v>
      </c>
      <c r="M1698" s="460">
        <f t="shared" si="116"/>
        <v>0.05</v>
      </c>
      <c r="N1698" s="464">
        <f t="shared" si="117"/>
        <v>102726</v>
      </c>
    </row>
    <row r="1699" spans="7:14" ht="11.25" customHeight="1" x14ac:dyDescent="0.3">
      <c r="G1699" s="459"/>
      <c r="H1699" s="459">
        <v>1692</v>
      </c>
      <c r="I1699" s="444">
        <f t="shared" ca="1" si="115"/>
        <v>-260304520.26799375</v>
      </c>
      <c r="J1699" s="444">
        <f t="array" ref="J1699">IFERROR(INDEX('Retirement Calculator'!K:K,MATCH('Lorri 401b'!N1699,'Retirement Calculator'!A:A,0),0),0)</f>
        <v>0</v>
      </c>
      <c r="K1699" s="444">
        <f t="shared" ca="1" si="113"/>
        <v>-1084602.1677833074</v>
      </c>
      <c r="L1699" s="444">
        <f t="shared" ca="1" si="114"/>
        <v>-261389122.43577707</v>
      </c>
      <c r="M1699" s="460">
        <f t="shared" si="116"/>
        <v>0.05</v>
      </c>
      <c r="N1699" s="464">
        <f t="shared" si="117"/>
        <v>102756</v>
      </c>
    </row>
    <row r="1700" spans="7:14" ht="11.25" customHeight="1" x14ac:dyDescent="0.3">
      <c r="G1700" s="459"/>
      <c r="H1700" s="459">
        <v>1693</v>
      </c>
      <c r="I1700" s="444">
        <f t="shared" ca="1" si="115"/>
        <v>-261389122.43577707</v>
      </c>
      <c r="J1700" s="444">
        <f t="array" ref="J1700">IFERROR(INDEX('Retirement Calculator'!K:K,MATCH('Lorri 401b'!N1700,'Retirement Calculator'!A:A,0),0),0)</f>
        <v>0</v>
      </c>
      <c r="K1700" s="444">
        <f t="shared" ca="1" si="113"/>
        <v>-1089121.3434824045</v>
      </c>
      <c r="L1700" s="444">
        <f t="shared" ca="1" si="114"/>
        <v>-262478243.77925947</v>
      </c>
      <c r="M1700" s="460">
        <f t="shared" si="116"/>
        <v>0.05</v>
      </c>
      <c r="N1700" s="464">
        <f t="shared" si="117"/>
        <v>102787</v>
      </c>
    </row>
    <row r="1701" spans="7:14" ht="11.25" customHeight="1" x14ac:dyDescent="0.3">
      <c r="G1701" s="459"/>
      <c r="H1701" s="459">
        <v>1694</v>
      </c>
      <c r="I1701" s="444">
        <f t="shared" ca="1" si="115"/>
        <v>-262478243.77925947</v>
      </c>
      <c r="J1701" s="444">
        <f t="array" ref="J1701">IFERROR(INDEX('Retirement Calculator'!K:K,MATCH('Lorri 401b'!N1701,'Retirement Calculator'!A:A,0),0),0)</f>
        <v>0</v>
      </c>
      <c r="K1701" s="444">
        <f t="shared" ca="1" si="113"/>
        <v>-1093659.3490802478</v>
      </c>
      <c r="L1701" s="444">
        <f t="shared" ca="1" si="114"/>
        <v>-263571903.12833971</v>
      </c>
      <c r="M1701" s="460">
        <f t="shared" si="116"/>
        <v>0.05</v>
      </c>
      <c r="N1701" s="464">
        <f t="shared" si="117"/>
        <v>102817</v>
      </c>
    </row>
    <row r="1702" spans="7:14" ht="11.25" customHeight="1" x14ac:dyDescent="0.3">
      <c r="G1702" s="459"/>
      <c r="H1702" s="459">
        <v>1695</v>
      </c>
      <c r="I1702" s="444">
        <f t="shared" ca="1" si="115"/>
        <v>-263571903.12833971</v>
      </c>
      <c r="J1702" s="444">
        <f t="array" ref="J1702">IFERROR(INDEX('Retirement Calculator'!K:K,MATCH('Lorri 401b'!N1702,'Retirement Calculator'!A:A,0),0),0)</f>
        <v>0</v>
      </c>
      <c r="K1702" s="444">
        <f t="shared" ca="1" si="113"/>
        <v>-1098216.2630347486</v>
      </c>
      <c r="L1702" s="444">
        <f t="shared" ca="1" si="114"/>
        <v>-264670119.39137447</v>
      </c>
      <c r="M1702" s="460">
        <f t="shared" si="116"/>
        <v>0.05</v>
      </c>
      <c r="N1702" s="464">
        <f t="shared" si="117"/>
        <v>102848</v>
      </c>
    </row>
    <row r="1703" spans="7:14" ht="11.25" customHeight="1" x14ac:dyDescent="0.3">
      <c r="G1703" s="459"/>
      <c r="H1703" s="459">
        <v>1696</v>
      </c>
      <c r="I1703" s="444">
        <f t="shared" ca="1" si="115"/>
        <v>-264670119.39137447</v>
      </c>
      <c r="J1703" s="444">
        <f t="array" ref="J1703">IFERROR(INDEX('Retirement Calculator'!K:K,MATCH('Lorri 401b'!N1703,'Retirement Calculator'!A:A,0),0),0)</f>
        <v>0</v>
      </c>
      <c r="K1703" s="444">
        <f t="shared" ca="1" si="113"/>
        <v>-1102792.1641307268</v>
      </c>
      <c r="L1703" s="444">
        <f t="shared" ca="1" si="114"/>
        <v>-265772911.55550519</v>
      </c>
      <c r="M1703" s="460">
        <f t="shared" si="116"/>
        <v>0.05</v>
      </c>
      <c r="N1703" s="464">
        <f t="shared" si="117"/>
        <v>102879</v>
      </c>
    </row>
    <row r="1704" spans="7:14" ht="11.25" customHeight="1" x14ac:dyDescent="0.3">
      <c r="G1704" s="459"/>
      <c r="H1704" s="459">
        <v>1697</v>
      </c>
      <c r="I1704" s="444">
        <f t="shared" ca="1" si="115"/>
        <v>-265772911.55550519</v>
      </c>
      <c r="J1704" s="444">
        <f t="array" ref="J1704">IFERROR(INDEX('Retirement Calculator'!K:K,MATCH('Lorri 401b'!N1704,'Retirement Calculator'!A:A,0),0),0)</f>
        <v>0</v>
      </c>
      <c r="K1704" s="444">
        <f t="shared" ca="1" si="113"/>
        <v>-1107387.1314812715</v>
      </c>
      <c r="L1704" s="444">
        <f t="shared" ca="1" si="114"/>
        <v>-266880298.68698645</v>
      </c>
      <c r="M1704" s="460">
        <f t="shared" si="116"/>
        <v>0.05</v>
      </c>
      <c r="N1704" s="464">
        <f t="shared" si="117"/>
        <v>102909</v>
      </c>
    </row>
    <row r="1705" spans="7:14" ht="11.25" customHeight="1" x14ac:dyDescent="0.3">
      <c r="G1705" s="459"/>
      <c r="H1705" s="459">
        <v>1698</v>
      </c>
      <c r="I1705" s="444">
        <f t="shared" ca="1" si="115"/>
        <v>-266880298.68698645</v>
      </c>
      <c r="J1705" s="444">
        <f t="array" ref="J1705">IFERROR(INDEX('Retirement Calculator'!K:K,MATCH('Lorri 401b'!N1705,'Retirement Calculator'!A:A,0),0),0)</f>
        <v>0</v>
      </c>
      <c r="K1705" s="444">
        <f t="shared" ca="1" si="113"/>
        <v>-1112001.2445291101</v>
      </c>
      <c r="L1705" s="444">
        <f t="shared" ca="1" si="114"/>
        <v>-267992299.93151554</v>
      </c>
      <c r="M1705" s="460">
        <f t="shared" si="116"/>
        <v>0.05</v>
      </c>
      <c r="N1705" s="464">
        <f t="shared" si="117"/>
        <v>102940</v>
      </c>
    </row>
    <row r="1706" spans="7:14" ht="11.25" customHeight="1" x14ac:dyDescent="0.3">
      <c r="G1706" s="459"/>
      <c r="H1706" s="459">
        <v>1699</v>
      </c>
      <c r="I1706" s="444">
        <f t="shared" ca="1" si="115"/>
        <v>-267992299.93151554</v>
      </c>
      <c r="J1706" s="444">
        <f t="array" ref="J1706">IFERROR(INDEX('Retirement Calculator'!K:K,MATCH('Lorri 401b'!N1706,'Retirement Calculator'!A:A,0),0),0)</f>
        <v>0</v>
      </c>
      <c r="K1706" s="444">
        <f t="shared" ca="1" si="113"/>
        <v>-1116634.5830479814</v>
      </c>
      <c r="L1706" s="444">
        <f t="shared" ca="1" si="114"/>
        <v>-269108934.5145635</v>
      </c>
      <c r="M1706" s="460">
        <f t="shared" si="116"/>
        <v>0.05</v>
      </c>
      <c r="N1706" s="464">
        <f t="shared" si="117"/>
        <v>102970</v>
      </c>
    </row>
    <row r="1707" spans="7:14" ht="11.25" customHeight="1" x14ac:dyDescent="0.3">
      <c r="G1707" s="459"/>
      <c r="H1707" s="459">
        <v>1700</v>
      </c>
      <c r="I1707" s="444">
        <f t="shared" ca="1" si="115"/>
        <v>-269108934.5145635</v>
      </c>
      <c r="J1707" s="444">
        <f t="array" ref="J1707">IFERROR(INDEX('Retirement Calculator'!K:K,MATCH('Lorri 401b'!N1707,'Retirement Calculator'!A:A,0),0),0)</f>
        <v>0</v>
      </c>
      <c r="K1707" s="444">
        <f t="shared" ca="1" si="113"/>
        <v>-1121287.2271440146</v>
      </c>
      <c r="L1707" s="444">
        <f t="shared" ca="1" si="114"/>
        <v>-270230221.7417075</v>
      </c>
      <c r="M1707" s="460">
        <f t="shared" si="116"/>
        <v>0.05</v>
      </c>
      <c r="N1707" s="464">
        <f t="shared" si="117"/>
        <v>103001</v>
      </c>
    </row>
    <row r="1708" spans="7:14" ht="11.25" customHeight="1" x14ac:dyDescent="0.3">
      <c r="G1708" s="459"/>
      <c r="H1708" s="459">
        <v>1701</v>
      </c>
      <c r="I1708" s="444">
        <f t="shared" ca="1" si="115"/>
        <v>-270230221.7417075</v>
      </c>
      <c r="J1708" s="444">
        <f t="array" ref="J1708">IFERROR(INDEX('Retirement Calculator'!K:K,MATCH('Lorri 401b'!N1708,'Retirement Calculator'!A:A,0),0),0)</f>
        <v>0</v>
      </c>
      <c r="K1708" s="444">
        <f t="shared" ca="1" si="113"/>
        <v>-1125959.2572571146</v>
      </c>
      <c r="L1708" s="444">
        <f t="shared" ca="1" si="114"/>
        <v>-271356180.99896461</v>
      </c>
      <c r="M1708" s="460">
        <f t="shared" si="116"/>
        <v>0.05</v>
      </c>
      <c r="N1708" s="464">
        <f t="shared" si="117"/>
        <v>103032</v>
      </c>
    </row>
    <row r="1709" spans="7:14" ht="11.25" customHeight="1" x14ac:dyDescent="0.3">
      <c r="G1709" s="459"/>
      <c r="H1709" s="459">
        <v>1702</v>
      </c>
      <c r="I1709" s="444">
        <f t="shared" ca="1" si="115"/>
        <v>-271356180.99896461</v>
      </c>
      <c r="J1709" s="444">
        <f t="array" ref="J1709">IFERROR(INDEX('Retirement Calculator'!K:K,MATCH('Lorri 401b'!N1709,'Retirement Calculator'!A:A,0),0),0)</f>
        <v>0</v>
      </c>
      <c r="K1709" s="444">
        <f t="shared" ca="1" si="113"/>
        <v>-1130650.7541623525</v>
      </c>
      <c r="L1709" s="444">
        <f t="shared" ca="1" si="114"/>
        <v>-272486831.75312698</v>
      </c>
      <c r="M1709" s="460">
        <f t="shared" si="116"/>
        <v>0.05</v>
      </c>
      <c r="N1709" s="464">
        <f t="shared" si="117"/>
        <v>103060</v>
      </c>
    </row>
    <row r="1710" spans="7:14" ht="11.25" customHeight="1" x14ac:dyDescent="0.3">
      <c r="G1710" s="459"/>
      <c r="H1710" s="459">
        <v>1703</v>
      </c>
      <c r="I1710" s="444">
        <f t="shared" ca="1" si="115"/>
        <v>-272486831.75312698</v>
      </c>
      <c r="J1710" s="444">
        <f t="array" ref="J1710">IFERROR(INDEX('Retirement Calculator'!K:K,MATCH('Lorri 401b'!N1710,'Retirement Calculator'!A:A,0),0),0)</f>
        <v>0</v>
      </c>
      <c r="K1710" s="444">
        <f t="shared" ca="1" si="113"/>
        <v>-1135361.7989713624</v>
      </c>
      <c r="L1710" s="444">
        <f t="shared" ca="1" si="114"/>
        <v>-273622193.55209833</v>
      </c>
      <c r="M1710" s="460">
        <f t="shared" si="116"/>
        <v>0.05</v>
      </c>
      <c r="N1710" s="464">
        <f t="shared" si="117"/>
        <v>103091</v>
      </c>
    </row>
    <row r="1711" spans="7:14" ht="11.25" customHeight="1" x14ac:dyDescent="0.3">
      <c r="G1711" s="459"/>
      <c r="H1711" s="459">
        <v>1704</v>
      </c>
      <c r="I1711" s="444">
        <f t="shared" ca="1" si="115"/>
        <v>-273622193.55209833</v>
      </c>
      <c r="J1711" s="444">
        <f t="array" ref="J1711">IFERROR(INDEX('Retirement Calculator'!K:K,MATCH('Lorri 401b'!N1711,'Retirement Calculator'!A:A,0),0),0)</f>
        <v>0</v>
      </c>
      <c r="K1711" s="444">
        <f t="shared" ca="1" si="113"/>
        <v>-1140092.473133743</v>
      </c>
      <c r="L1711" s="444">
        <f t="shared" ca="1" si="114"/>
        <v>-274762286.02523208</v>
      </c>
      <c r="M1711" s="460">
        <f t="shared" si="116"/>
        <v>0.05</v>
      </c>
      <c r="N1711" s="464">
        <f t="shared" si="117"/>
        <v>103121</v>
      </c>
    </row>
    <row r="1712" spans="7:14" ht="11.25" customHeight="1" x14ac:dyDescent="0.3">
      <c r="G1712" s="459"/>
      <c r="H1712" s="459">
        <v>1705</v>
      </c>
      <c r="I1712" s="444">
        <f t="shared" ca="1" si="115"/>
        <v>-274762286.02523208</v>
      </c>
      <c r="J1712" s="444">
        <f t="array" ref="J1712">IFERROR(INDEX('Retirement Calculator'!K:K,MATCH('Lorri 401b'!N1712,'Retirement Calculator'!A:A,0),0),0)</f>
        <v>0</v>
      </c>
      <c r="K1712" s="444">
        <f t="shared" ca="1" si="113"/>
        <v>-1144842.8584384669</v>
      </c>
      <c r="L1712" s="444">
        <f t="shared" ca="1" si="114"/>
        <v>-275907128.88367057</v>
      </c>
      <c r="M1712" s="460">
        <f t="shared" si="116"/>
        <v>0.05</v>
      </c>
      <c r="N1712" s="464">
        <f t="shared" si="117"/>
        <v>103152</v>
      </c>
    </row>
    <row r="1713" spans="7:14" ht="11.25" customHeight="1" x14ac:dyDescent="0.3">
      <c r="G1713" s="459"/>
      <c r="H1713" s="459">
        <v>1706</v>
      </c>
      <c r="I1713" s="444">
        <f t="shared" ca="1" si="115"/>
        <v>-275907128.88367057</v>
      </c>
      <c r="J1713" s="444">
        <f t="array" ref="J1713">IFERROR(INDEX('Retirement Calculator'!K:K,MATCH('Lorri 401b'!N1713,'Retirement Calculator'!A:A,0),0),0)</f>
        <v>0</v>
      </c>
      <c r="K1713" s="444">
        <f t="shared" ca="1" si="113"/>
        <v>-1149613.037015294</v>
      </c>
      <c r="L1713" s="444">
        <f t="shared" ca="1" si="114"/>
        <v>-277056741.92068589</v>
      </c>
      <c r="M1713" s="460">
        <f t="shared" si="116"/>
        <v>0.05</v>
      </c>
      <c r="N1713" s="464">
        <f t="shared" si="117"/>
        <v>103182</v>
      </c>
    </row>
    <row r="1714" spans="7:14" ht="11.25" customHeight="1" x14ac:dyDescent="0.3">
      <c r="G1714" s="459"/>
      <c r="H1714" s="459">
        <v>1707</v>
      </c>
      <c r="I1714" s="444">
        <f t="shared" ca="1" si="115"/>
        <v>-277056741.92068589</v>
      </c>
      <c r="J1714" s="444">
        <f t="array" ref="J1714">IFERROR(INDEX('Retirement Calculator'!K:K,MATCH('Lorri 401b'!N1714,'Retirement Calculator'!A:A,0),0),0)</f>
        <v>0</v>
      </c>
      <c r="K1714" s="444">
        <f t="shared" ca="1" si="113"/>
        <v>-1154403.0913361912</v>
      </c>
      <c r="L1714" s="444">
        <f t="shared" ca="1" si="114"/>
        <v>-278211145.01202208</v>
      </c>
      <c r="M1714" s="460">
        <f t="shared" si="116"/>
        <v>0.05</v>
      </c>
      <c r="N1714" s="464">
        <f t="shared" si="117"/>
        <v>103213</v>
      </c>
    </row>
    <row r="1715" spans="7:14" ht="11.25" customHeight="1" x14ac:dyDescent="0.3">
      <c r="G1715" s="459"/>
      <c r="H1715" s="459">
        <v>1708</v>
      </c>
      <c r="I1715" s="444">
        <f t="shared" ca="1" si="115"/>
        <v>-278211145.01202208</v>
      </c>
      <c r="J1715" s="444">
        <f t="array" ref="J1715">IFERROR(INDEX('Retirement Calculator'!K:K,MATCH('Lorri 401b'!N1715,'Retirement Calculator'!A:A,0),0),0)</f>
        <v>0</v>
      </c>
      <c r="K1715" s="444">
        <f t="shared" ca="1" si="113"/>
        <v>-1159213.1042167586</v>
      </c>
      <c r="L1715" s="444">
        <f t="shared" ca="1" si="114"/>
        <v>-279370358.11623883</v>
      </c>
      <c r="M1715" s="460">
        <f t="shared" si="116"/>
        <v>0.05</v>
      </c>
      <c r="N1715" s="464">
        <f t="shared" si="117"/>
        <v>103244</v>
      </c>
    </row>
    <row r="1716" spans="7:14" ht="11.25" customHeight="1" x14ac:dyDescent="0.3">
      <c r="G1716" s="459"/>
      <c r="H1716" s="459">
        <v>1709</v>
      </c>
      <c r="I1716" s="444">
        <f t="shared" ca="1" si="115"/>
        <v>-279370358.11623883</v>
      </c>
      <c r="J1716" s="444">
        <f t="array" ref="J1716">IFERROR(INDEX('Retirement Calculator'!K:K,MATCH('Lorri 401b'!N1716,'Retirement Calculator'!A:A,0),0),0)</f>
        <v>0</v>
      </c>
      <c r="K1716" s="444">
        <f t="shared" ca="1" si="113"/>
        <v>-1164043.1588176617</v>
      </c>
      <c r="L1716" s="444">
        <f t="shared" ca="1" si="114"/>
        <v>-280534401.27505648</v>
      </c>
      <c r="M1716" s="460">
        <f t="shared" si="116"/>
        <v>0.05</v>
      </c>
      <c r="N1716" s="464">
        <f t="shared" si="117"/>
        <v>103274</v>
      </c>
    </row>
    <row r="1717" spans="7:14" ht="11.25" customHeight="1" x14ac:dyDescent="0.3">
      <c r="G1717" s="459"/>
      <c r="H1717" s="459">
        <v>1710</v>
      </c>
      <c r="I1717" s="444">
        <f t="shared" ca="1" si="115"/>
        <v>-280534401.27505648</v>
      </c>
      <c r="J1717" s="444">
        <f t="array" ref="J1717">IFERROR(INDEX('Retirement Calculator'!K:K,MATCH('Lorri 401b'!N1717,'Retirement Calculator'!A:A,0),0),0)</f>
        <v>0</v>
      </c>
      <c r="K1717" s="444">
        <f t="shared" ca="1" si="113"/>
        <v>-1168893.3386460687</v>
      </c>
      <c r="L1717" s="444">
        <f t="shared" ca="1" si="114"/>
        <v>-281703294.61370254</v>
      </c>
      <c r="M1717" s="460">
        <f t="shared" si="116"/>
        <v>0.05</v>
      </c>
      <c r="N1717" s="464">
        <f t="shared" si="117"/>
        <v>103305</v>
      </c>
    </row>
    <row r="1718" spans="7:14" ht="11.25" customHeight="1" x14ac:dyDescent="0.3">
      <c r="G1718" s="459"/>
      <c r="H1718" s="459">
        <v>1711</v>
      </c>
      <c r="I1718" s="444">
        <f t="shared" ca="1" si="115"/>
        <v>-281703294.61370254</v>
      </c>
      <c r="J1718" s="444">
        <f t="array" ref="J1718">IFERROR(INDEX('Retirement Calculator'!K:K,MATCH('Lorri 401b'!N1718,'Retirement Calculator'!A:A,0),0),0)</f>
        <v>0</v>
      </c>
      <c r="K1718" s="444">
        <f t="shared" ca="1" si="113"/>
        <v>-1173763.7275570938</v>
      </c>
      <c r="L1718" s="444">
        <f t="shared" ca="1" si="114"/>
        <v>-282877058.34125966</v>
      </c>
      <c r="M1718" s="460">
        <f t="shared" si="116"/>
        <v>0.05</v>
      </c>
      <c r="N1718" s="464">
        <f t="shared" si="117"/>
        <v>103335</v>
      </c>
    </row>
    <row r="1719" spans="7:14" ht="11.25" customHeight="1" x14ac:dyDescent="0.3">
      <c r="G1719" s="459"/>
      <c r="H1719" s="459">
        <v>1712</v>
      </c>
      <c r="I1719" s="444">
        <f t="shared" ca="1" si="115"/>
        <v>-282877058.34125966</v>
      </c>
      <c r="J1719" s="444">
        <f t="array" ref="J1719">IFERROR(INDEX('Retirement Calculator'!K:K,MATCH('Lorri 401b'!N1719,'Retirement Calculator'!A:A,0),0),0)</f>
        <v>0</v>
      </c>
      <c r="K1719" s="444">
        <f t="shared" ca="1" si="113"/>
        <v>-1178654.4097552486</v>
      </c>
      <c r="L1719" s="444">
        <f t="shared" ca="1" si="114"/>
        <v>-284055712.75101489</v>
      </c>
      <c r="M1719" s="460">
        <f t="shared" si="116"/>
        <v>0.05</v>
      </c>
      <c r="N1719" s="464">
        <f t="shared" si="117"/>
        <v>103366</v>
      </c>
    </row>
    <row r="1720" spans="7:14" ht="11.25" customHeight="1" x14ac:dyDescent="0.3">
      <c r="G1720" s="459"/>
      <c r="H1720" s="459">
        <v>1713</v>
      </c>
      <c r="I1720" s="444">
        <f t="shared" ca="1" si="115"/>
        <v>-284055712.75101489</v>
      </c>
      <c r="J1720" s="444">
        <f t="array" ref="J1720">IFERROR(INDEX('Retirement Calculator'!K:K,MATCH('Lorri 401b'!N1720,'Retirement Calculator'!A:A,0),0),0)</f>
        <v>0</v>
      </c>
      <c r="K1720" s="444">
        <f t="shared" ca="1" si="113"/>
        <v>-1183565.4697958953</v>
      </c>
      <c r="L1720" s="444">
        <f t="shared" ca="1" si="114"/>
        <v>-285239278.22081077</v>
      </c>
      <c r="M1720" s="460">
        <f t="shared" si="116"/>
        <v>0.05</v>
      </c>
      <c r="N1720" s="464">
        <f t="shared" si="117"/>
        <v>103397</v>
      </c>
    </row>
    <row r="1721" spans="7:14" ht="11.25" customHeight="1" x14ac:dyDescent="0.3">
      <c r="G1721" s="459"/>
      <c r="H1721" s="459">
        <v>1714</v>
      </c>
      <c r="I1721" s="444">
        <f t="shared" ca="1" si="115"/>
        <v>-285239278.22081077</v>
      </c>
      <c r="J1721" s="444">
        <f t="array" ref="J1721">IFERROR(INDEX('Retirement Calculator'!K:K,MATCH('Lorri 401b'!N1721,'Retirement Calculator'!A:A,0),0),0)</f>
        <v>0</v>
      </c>
      <c r="K1721" s="444">
        <f t="shared" ca="1" si="113"/>
        <v>-1188496.9925867114</v>
      </c>
      <c r="L1721" s="444">
        <f t="shared" ca="1" si="114"/>
        <v>-286427775.2133975</v>
      </c>
      <c r="M1721" s="460">
        <f t="shared" si="116"/>
        <v>0.05</v>
      </c>
      <c r="N1721" s="464">
        <f t="shared" si="117"/>
        <v>103425</v>
      </c>
    </row>
    <row r="1722" spans="7:14" ht="11.25" customHeight="1" x14ac:dyDescent="0.3">
      <c r="G1722" s="459"/>
      <c r="H1722" s="459">
        <v>1715</v>
      </c>
      <c r="I1722" s="444">
        <f t="shared" ca="1" si="115"/>
        <v>-286427775.2133975</v>
      </c>
      <c r="J1722" s="444">
        <f t="array" ref="J1722">IFERROR(INDEX('Retirement Calculator'!K:K,MATCH('Lorri 401b'!N1722,'Retirement Calculator'!A:A,0),0),0)</f>
        <v>0</v>
      </c>
      <c r="K1722" s="444">
        <f t="shared" ca="1" si="113"/>
        <v>-1193449.0633891562</v>
      </c>
      <c r="L1722" s="444">
        <f t="shared" ca="1" si="114"/>
        <v>-287621224.27678668</v>
      </c>
      <c r="M1722" s="460">
        <f t="shared" si="116"/>
        <v>0.05</v>
      </c>
      <c r="N1722" s="464">
        <f t="shared" si="117"/>
        <v>103456</v>
      </c>
    </row>
    <row r="1723" spans="7:14" ht="11.25" customHeight="1" x14ac:dyDescent="0.3">
      <c r="G1723" s="459"/>
      <c r="H1723" s="459">
        <v>1716</v>
      </c>
      <c r="I1723" s="444">
        <f t="shared" ca="1" si="115"/>
        <v>-287621224.27678668</v>
      </c>
      <c r="J1723" s="444">
        <f t="array" ref="J1723">IFERROR(INDEX('Retirement Calculator'!K:K,MATCH('Lorri 401b'!N1723,'Retirement Calculator'!A:A,0),0),0)</f>
        <v>0</v>
      </c>
      <c r="K1723" s="444">
        <f t="shared" ca="1" si="113"/>
        <v>-1198421.7678199445</v>
      </c>
      <c r="L1723" s="444">
        <f t="shared" ca="1" si="114"/>
        <v>-288819646.04460663</v>
      </c>
      <c r="M1723" s="460">
        <f t="shared" si="116"/>
        <v>0.05</v>
      </c>
      <c r="N1723" s="464">
        <f t="shared" si="117"/>
        <v>103486</v>
      </c>
    </row>
    <row r="1724" spans="7:14" ht="11.25" customHeight="1" x14ac:dyDescent="0.3">
      <c r="G1724" s="459"/>
      <c r="H1724" s="459">
        <v>1717</v>
      </c>
      <c r="I1724" s="444">
        <f t="shared" ca="1" si="115"/>
        <v>-288819646.04460663</v>
      </c>
      <c r="J1724" s="444">
        <f t="array" ref="J1724">IFERROR(INDEX('Retirement Calculator'!K:K,MATCH('Lorri 401b'!N1724,'Retirement Calculator'!A:A,0),0),0)</f>
        <v>0</v>
      </c>
      <c r="K1724" s="444">
        <f t="shared" ca="1" si="113"/>
        <v>-1203415.1918525277</v>
      </c>
      <c r="L1724" s="444">
        <f t="shared" ca="1" si="114"/>
        <v>-290023061.23645914</v>
      </c>
      <c r="M1724" s="460">
        <f t="shared" si="116"/>
        <v>0.05</v>
      </c>
      <c r="N1724" s="464">
        <f t="shared" si="117"/>
        <v>103517</v>
      </c>
    </row>
    <row r="1725" spans="7:14" ht="11.25" customHeight="1" x14ac:dyDescent="0.3">
      <c r="G1725" s="459"/>
      <c r="H1725" s="459">
        <v>1718</v>
      </c>
      <c r="I1725" s="444">
        <f t="shared" ca="1" si="115"/>
        <v>-290023061.23645914</v>
      </c>
      <c r="J1725" s="444">
        <f t="array" ref="J1725">IFERROR(INDEX('Retirement Calculator'!K:K,MATCH('Lorri 401b'!N1725,'Retirement Calculator'!A:A,0),0),0)</f>
        <v>0</v>
      </c>
      <c r="K1725" s="444">
        <f t="shared" ca="1" si="113"/>
        <v>-1208429.4218185798</v>
      </c>
      <c r="L1725" s="444">
        <f t="shared" ca="1" si="114"/>
        <v>-291231490.65827769</v>
      </c>
      <c r="M1725" s="460">
        <f t="shared" si="116"/>
        <v>0.05</v>
      </c>
      <c r="N1725" s="464">
        <f t="shared" si="117"/>
        <v>103547</v>
      </c>
    </row>
    <row r="1726" spans="7:14" ht="11.25" customHeight="1" x14ac:dyDescent="0.3">
      <c r="G1726" s="459"/>
      <c r="H1726" s="459">
        <v>1719</v>
      </c>
      <c r="I1726" s="444">
        <f t="shared" ca="1" si="115"/>
        <v>-291231490.65827769</v>
      </c>
      <c r="J1726" s="444">
        <f t="array" ref="J1726">IFERROR(INDEX('Retirement Calculator'!K:K,MATCH('Lorri 401b'!N1726,'Retirement Calculator'!A:A,0),0),0)</f>
        <v>0</v>
      </c>
      <c r="K1726" s="444">
        <f t="shared" ca="1" si="113"/>
        <v>-1213464.5444094904</v>
      </c>
      <c r="L1726" s="444">
        <f t="shared" ca="1" si="114"/>
        <v>-292444955.2026872</v>
      </c>
      <c r="M1726" s="460">
        <f t="shared" si="116"/>
        <v>0.05</v>
      </c>
      <c r="N1726" s="464">
        <f t="shared" si="117"/>
        <v>103578</v>
      </c>
    </row>
    <row r="1727" spans="7:14" ht="11.25" customHeight="1" x14ac:dyDescent="0.3">
      <c r="G1727" s="459"/>
      <c r="H1727" s="459">
        <v>1720</v>
      </c>
      <c r="I1727" s="444">
        <f t="shared" ca="1" si="115"/>
        <v>-292444955.2026872</v>
      </c>
      <c r="J1727" s="444">
        <f t="array" ref="J1727">IFERROR(INDEX('Retirement Calculator'!K:K,MATCH('Lorri 401b'!N1727,'Retirement Calculator'!A:A,0),0),0)</f>
        <v>0</v>
      </c>
      <c r="K1727" s="444">
        <f t="shared" ca="1" si="113"/>
        <v>-1218520.6466778633</v>
      </c>
      <c r="L1727" s="444">
        <f t="shared" ca="1" si="114"/>
        <v>-293663475.84936506</v>
      </c>
      <c r="M1727" s="460">
        <f t="shared" si="116"/>
        <v>0.05</v>
      </c>
      <c r="N1727" s="464">
        <f t="shared" si="117"/>
        <v>103609</v>
      </c>
    </row>
    <row r="1728" spans="7:14" ht="11.25" customHeight="1" x14ac:dyDescent="0.3">
      <c r="G1728" s="459"/>
      <c r="H1728" s="459">
        <v>1721</v>
      </c>
      <c r="I1728" s="444">
        <f t="shared" ca="1" si="115"/>
        <v>-293663475.84936506</v>
      </c>
      <c r="J1728" s="444">
        <f t="array" ref="J1728">IFERROR(INDEX('Retirement Calculator'!K:K,MATCH('Lorri 401b'!N1728,'Retirement Calculator'!A:A,0),0),0)</f>
        <v>0</v>
      </c>
      <c r="K1728" s="444">
        <f t="shared" ca="1" si="113"/>
        <v>-1223597.8160390211</v>
      </c>
      <c r="L1728" s="444">
        <f t="shared" ca="1" si="114"/>
        <v>-294887073.66540408</v>
      </c>
      <c r="M1728" s="460">
        <f t="shared" si="116"/>
        <v>0.05</v>
      </c>
      <c r="N1728" s="464">
        <f t="shared" si="117"/>
        <v>103639</v>
      </c>
    </row>
    <row r="1729" spans="7:14" ht="11.25" customHeight="1" x14ac:dyDescent="0.3">
      <c r="G1729" s="459"/>
      <c r="H1729" s="459">
        <v>1722</v>
      </c>
      <c r="I1729" s="444">
        <f t="shared" ca="1" si="115"/>
        <v>-294887073.66540408</v>
      </c>
      <c r="J1729" s="444">
        <f t="array" ref="J1729">IFERROR(INDEX('Retirement Calculator'!K:K,MATCH('Lorri 401b'!N1729,'Retirement Calculator'!A:A,0),0),0)</f>
        <v>0</v>
      </c>
      <c r="K1729" s="444">
        <f t="shared" ca="1" si="113"/>
        <v>-1228696.140272517</v>
      </c>
      <c r="L1729" s="444">
        <f t="shared" ca="1" si="114"/>
        <v>-296115769.80567658</v>
      </c>
      <c r="M1729" s="460">
        <f t="shared" si="116"/>
        <v>0.05</v>
      </c>
      <c r="N1729" s="464">
        <f t="shared" si="117"/>
        <v>103670</v>
      </c>
    </row>
    <row r="1730" spans="7:14" ht="11.25" customHeight="1" x14ac:dyDescent="0.3">
      <c r="G1730" s="459"/>
      <c r="H1730" s="459">
        <v>1723</v>
      </c>
      <c r="I1730" s="444">
        <f t="shared" ca="1" si="115"/>
        <v>-296115769.80567658</v>
      </c>
      <c r="J1730" s="444">
        <f t="array" ref="J1730">IFERROR(INDEX('Retirement Calculator'!K:K,MATCH('Lorri 401b'!N1730,'Retirement Calculator'!A:A,0),0),0)</f>
        <v>0</v>
      </c>
      <c r="K1730" s="444">
        <f t="shared" ca="1" si="113"/>
        <v>-1233815.7075236524</v>
      </c>
      <c r="L1730" s="444">
        <f t="shared" ca="1" si="114"/>
        <v>-297349585.51320022</v>
      </c>
      <c r="M1730" s="460">
        <f t="shared" si="116"/>
        <v>0.05</v>
      </c>
      <c r="N1730" s="464">
        <f t="shared" si="117"/>
        <v>103700</v>
      </c>
    </row>
    <row r="1731" spans="7:14" ht="11.25" customHeight="1" x14ac:dyDescent="0.3">
      <c r="G1731" s="459"/>
      <c r="H1731" s="459">
        <v>1724</v>
      </c>
      <c r="I1731" s="444">
        <f t="shared" ca="1" si="115"/>
        <v>-297349585.51320022</v>
      </c>
      <c r="J1731" s="444">
        <f t="array" ref="J1731">IFERROR(INDEX('Retirement Calculator'!K:K,MATCH('Lorri 401b'!N1731,'Retirement Calculator'!A:A,0),0),0)</f>
        <v>0</v>
      </c>
      <c r="K1731" s="444">
        <f t="shared" ca="1" si="113"/>
        <v>-1238956.6063050008</v>
      </c>
      <c r="L1731" s="444">
        <f t="shared" ca="1" si="114"/>
        <v>-298588542.11950523</v>
      </c>
      <c r="M1731" s="460">
        <f t="shared" si="116"/>
        <v>0.05</v>
      </c>
      <c r="N1731" s="464">
        <f t="shared" si="117"/>
        <v>103731</v>
      </c>
    </row>
    <row r="1732" spans="7:14" ht="11.25" customHeight="1" x14ac:dyDescent="0.3">
      <c r="G1732" s="459"/>
      <c r="H1732" s="459">
        <v>1725</v>
      </c>
      <c r="I1732" s="444">
        <f t="shared" ca="1" si="115"/>
        <v>-298588542.11950523</v>
      </c>
      <c r="J1732" s="444">
        <f t="array" ref="J1732">IFERROR(INDEX('Retirement Calculator'!K:K,MATCH('Lorri 401b'!N1732,'Retirement Calculator'!A:A,0),0),0)</f>
        <v>0</v>
      </c>
      <c r="K1732" s="444">
        <f t="shared" ca="1" si="113"/>
        <v>-1244118.9254979384</v>
      </c>
      <c r="L1732" s="444">
        <f t="shared" ca="1" si="114"/>
        <v>-299832661.04500318</v>
      </c>
      <c r="M1732" s="460">
        <f t="shared" si="116"/>
        <v>0.05</v>
      </c>
      <c r="N1732" s="464">
        <f t="shared" si="117"/>
        <v>103762</v>
      </c>
    </row>
    <row r="1733" spans="7:14" ht="11.25" customHeight="1" x14ac:dyDescent="0.3">
      <c r="G1733" s="459"/>
      <c r="H1733" s="459">
        <v>1726</v>
      </c>
      <c r="I1733" s="444">
        <f t="shared" ca="1" si="115"/>
        <v>-299832661.04500318</v>
      </c>
      <c r="J1733" s="444">
        <f t="array" ref="J1733">IFERROR(INDEX('Retirement Calculator'!K:K,MATCH('Lorri 401b'!N1733,'Retirement Calculator'!A:A,0),0),0)</f>
        <v>0</v>
      </c>
      <c r="K1733" s="444">
        <f t="shared" ca="1" si="113"/>
        <v>-1249302.7543541798</v>
      </c>
      <c r="L1733" s="444">
        <f t="shared" ca="1" si="114"/>
        <v>-301081963.79935735</v>
      </c>
      <c r="M1733" s="460">
        <f t="shared" si="116"/>
        <v>0.05</v>
      </c>
      <c r="N1733" s="464">
        <f t="shared" si="117"/>
        <v>103791</v>
      </c>
    </row>
    <row r="1734" spans="7:14" ht="11.25" customHeight="1" x14ac:dyDescent="0.3">
      <c r="G1734" s="459"/>
      <c r="H1734" s="459">
        <v>1727</v>
      </c>
      <c r="I1734" s="444">
        <f t="shared" ca="1" si="115"/>
        <v>-301081963.79935735</v>
      </c>
      <c r="J1734" s="444">
        <f t="array" ref="J1734">IFERROR(INDEX('Retirement Calculator'!K:K,MATCH('Lorri 401b'!N1734,'Retirement Calculator'!A:A,0),0),0)</f>
        <v>0</v>
      </c>
      <c r="K1734" s="444">
        <f t="shared" ca="1" si="113"/>
        <v>-1254508.1824973223</v>
      </c>
      <c r="L1734" s="444">
        <f t="shared" ca="1" si="114"/>
        <v>-302336471.98185468</v>
      </c>
      <c r="M1734" s="460">
        <f t="shared" si="116"/>
        <v>0.05</v>
      </c>
      <c r="N1734" s="464">
        <f t="shared" si="117"/>
        <v>103822</v>
      </c>
    </row>
    <row r="1735" spans="7:14" ht="11.25" customHeight="1" x14ac:dyDescent="0.3">
      <c r="G1735" s="459"/>
      <c r="H1735" s="459">
        <v>1728</v>
      </c>
      <c r="I1735" s="444">
        <f t="shared" ca="1" si="115"/>
        <v>-302336471.98185468</v>
      </c>
      <c r="J1735" s="444">
        <f t="array" ref="J1735">IFERROR(INDEX('Retirement Calculator'!K:K,MATCH('Lorri 401b'!N1735,'Retirement Calculator'!A:A,0),0),0)</f>
        <v>0</v>
      </c>
      <c r="K1735" s="444">
        <f t="shared" ca="1" si="113"/>
        <v>-1259735.2999243946</v>
      </c>
      <c r="L1735" s="444">
        <f t="shared" ca="1" si="114"/>
        <v>-303596207.28177905</v>
      </c>
      <c r="M1735" s="460">
        <f t="shared" si="116"/>
        <v>0.05</v>
      </c>
      <c r="N1735" s="464">
        <f t="shared" si="117"/>
        <v>103852</v>
      </c>
    </row>
    <row r="1736" spans="7:14" ht="11.25" customHeight="1" x14ac:dyDescent="0.3">
      <c r="G1736" s="459"/>
      <c r="H1736" s="459">
        <v>1729</v>
      </c>
      <c r="I1736" s="444">
        <f t="shared" ca="1" si="115"/>
        <v>-303596207.28177905</v>
      </c>
      <c r="J1736" s="444">
        <f t="array" ref="J1736">IFERROR(INDEX('Retirement Calculator'!K:K,MATCH('Lorri 401b'!N1736,'Retirement Calculator'!A:A,0),0),0)</f>
        <v>0</v>
      </c>
      <c r="K1736" s="444">
        <f t="shared" ca="1" si="113"/>
        <v>-1264984.1970074128</v>
      </c>
      <c r="L1736" s="444">
        <f t="shared" ca="1" si="114"/>
        <v>-304861191.47878647</v>
      </c>
      <c r="M1736" s="460">
        <f t="shared" si="116"/>
        <v>0.05</v>
      </c>
      <c r="N1736" s="464">
        <f t="shared" si="117"/>
        <v>103883</v>
      </c>
    </row>
    <row r="1737" spans="7:14" ht="11.25" customHeight="1" x14ac:dyDescent="0.3">
      <c r="G1737" s="459"/>
      <c r="H1737" s="459">
        <v>1730</v>
      </c>
      <c r="I1737" s="444">
        <f t="shared" ca="1" si="115"/>
        <v>-304861191.47878647</v>
      </c>
      <c r="J1737" s="444">
        <f t="array" ref="J1737">IFERROR(INDEX('Retirement Calculator'!K:K,MATCH('Lorri 401b'!N1737,'Retirement Calculator'!A:A,0),0),0)</f>
        <v>0</v>
      </c>
      <c r="K1737" s="444">
        <f t="shared" ca="1" si="113"/>
        <v>-1270254.9644949436</v>
      </c>
      <c r="L1737" s="444">
        <f t="shared" ca="1" si="114"/>
        <v>-306131446.44328141</v>
      </c>
      <c r="M1737" s="460">
        <f t="shared" si="116"/>
        <v>0.05</v>
      </c>
      <c r="N1737" s="464">
        <f t="shared" si="117"/>
        <v>103913</v>
      </c>
    </row>
    <row r="1738" spans="7:14" ht="11.25" customHeight="1" x14ac:dyDescent="0.3">
      <c r="G1738" s="459"/>
      <c r="H1738" s="459">
        <v>1731</v>
      </c>
      <c r="I1738" s="444">
        <f t="shared" ca="1" si="115"/>
        <v>-306131446.44328141</v>
      </c>
      <c r="J1738" s="444">
        <f t="array" ref="J1738">IFERROR(INDEX('Retirement Calculator'!K:K,MATCH('Lorri 401b'!N1738,'Retirement Calculator'!A:A,0),0),0)</f>
        <v>0</v>
      </c>
      <c r="K1738" s="444">
        <f t="shared" ca="1" si="113"/>
        <v>-1275547.6935136726</v>
      </c>
      <c r="L1738" s="444">
        <f t="shared" ca="1" si="114"/>
        <v>-307406994.1367951</v>
      </c>
      <c r="M1738" s="460">
        <f t="shared" si="116"/>
        <v>0.05</v>
      </c>
      <c r="N1738" s="464">
        <f t="shared" si="117"/>
        <v>103944</v>
      </c>
    </row>
    <row r="1739" spans="7:14" ht="11.25" customHeight="1" x14ac:dyDescent="0.3">
      <c r="G1739" s="459"/>
      <c r="H1739" s="459">
        <v>1732</v>
      </c>
      <c r="I1739" s="444">
        <f t="shared" ca="1" si="115"/>
        <v>-307406994.1367951</v>
      </c>
      <c r="J1739" s="444">
        <f t="array" ref="J1739">IFERROR(INDEX('Retirement Calculator'!K:K,MATCH('Lorri 401b'!N1739,'Retirement Calculator'!A:A,0),0),0)</f>
        <v>0</v>
      </c>
      <c r="K1739" s="444">
        <f t="shared" ca="1" si="113"/>
        <v>-1280862.4755699795</v>
      </c>
      <c r="L1739" s="444">
        <f t="shared" ca="1" si="114"/>
        <v>-308687856.61236507</v>
      </c>
      <c r="M1739" s="460">
        <f t="shared" si="116"/>
        <v>0.05</v>
      </c>
      <c r="N1739" s="464">
        <f t="shared" si="117"/>
        <v>103975</v>
      </c>
    </row>
    <row r="1740" spans="7:14" ht="11.25" customHeight="1" x14ac:dyDescent="0.3">
      <c r="G1740" s="459"/>
      <c r="H1740" s="459">
        <v>1733</v>
      </c>
      <c r="I1740" s="444">
        <f t="shared" ca="1" si="115"/>
        <v>-308687856.61236507</v>
      </c>
      <c r="J1740" s="444">
        <f t="array" ref="J1740">IFERROR(INDEX('Retirement Calculator'!K:K,MATCH('Lorri 401b'!N1740,'Retirement Calculator'!A:A,0),0),0)</f>
        <v>0</v>
      </c>
      <c r="K1740" s="444">
        <f t="shared" ca="1" si="113"/>
        <v>-1286199.4025515211</v>
      </c>
      <c r="L1740" s="444">
        <f t="shared" ca="1" si="114"/>
        <v>-309974056.0149166</v>
      </c>
      <c r="M1740" s="460">
        <f t="shared" si="116"/>
        <v>0.05</v>
      </c>
      <c r="N1740" s="464">
        <f t="shared" si="117"/>
        <v>104005</v>
      </c>
    </row>
    <row r="1741" spans="7:14" ht="11.25" customHeight="1" x14ac:dyDescent="0.3">
      <c r="G1741" s="459"/>
      <c r="H1741" s="459">
        <v>1734</v>
      </c>
      <c r="I1741" s="444">
        <f t="shared" ca="1" si="115"/>
        <v>-309974056.0149166</v>
      </c>
      <c r="J1741" s="444">
        <f t="array" ref="J1741">IFERROR(INDEX('Retirement Calculator'!K:K,MATCH('Lorri 401b'!N1741,'Retirement Calculator'!A:A,0),0),0)</f>
        <v>0</v>
      </c>
      <c r="K1741" s="444">
        <f t="shared" ca="1" si="113"/>
        <v>-1291558.5667288192</v>
      </c>
      <c r="L1741" s="444">
        <f t="shared" ca="1" si="114"/>
        <v>-311265614.58164543</v>
      </c>
      <c r="M1741" s="460">
        <f t="shared" si="116"/>
        <v>0.05</v>
      </c>
      <c r="N1741" s="464">
        <f t="shared" si="117"/>
        <v>104036</v>
      </c>
    </row>
    <row r="1742" spans="7:14" ht="11.25" customHeight="1" x14ac:dyDescent="0.3">
      <c r="G1742" s="459"/>
      <c r="H1742" s="459">
        <v>1735</v>
      </c>
      <c r="I1742" s="444">
        <f t="shared" ca="1" si="115"/>
        <v>-311265614.58164543</v>
      </c>
      <c r="J1742" s="444">
        <f t="array" ref="J1742">IFERROR(INDEX('Retirement Calculator'!K:K,MATCH('Lorri 401b'!N1742,'Retirement Calculator'!A:A,0),0),0)</f>
        <v>0</v>
      </c>
      <c r="K1742" s="444">
        <f t="shared" ca="1" si="113"/>
        <v>-1296940.0607568559</v>
      </c>
      <c r="L1742" s="444">
        <f t="shared" ca="1" si="114"/>
        <v>-312562554.64240229</v>
      </c>
      <c r="M1742" s="460">
        <f t="shared" si="116"/>
        <v>0.05</v>
      </c>
      <c r="N1742" s="464">
        <f t="shared" si="117"/>
        <v>104066</v>
      </c>
    </row>
    <row r="1743" spans="7:14" ht="11.25" customHeight="1" x14ac:dyDescent="0.3">
      <c r="G1743" s="459"/>
      <c r="H1743" s="459">
        <v>1736</v>
      </c>
      <c r="I1743" s="444">
        <f t="shared" ca="1" si="115"/>
        <v>-312562554.64240229</v>
      </c>
      <c r="J1743" s="444">
        <f t="array" ref="J1743">IFERROR(INDEX('Retirement Calculator'!K:K,MATCH('Lorri 401b'!N1743,'Retirement Calculator'!A:A,0),0),0)</f>
        <v>0</v>
      </c>
      <c r="K1743" s="444">
        <f t="shared" ca="1" si="113"/>
        <v>-1302343.9776766761</v>
      </c>
      <c r="L1743" s="444">
        <f t="shared" ca="1" si="114"/>
        <v>-313864898.62007898</v>
      </c>
      <c r="M1743" s="460">
        <f t="shared" si="116"/>
        <v>0.05</v>
      </c>
      <c r="N1743" s="464">
        <f t="shared" si="117"/>
        <v>104097</v>
      </c>
    </row>
    <row r="1744" spans="7:14" ht="11.25" customHeight="1" x14ac:dyDescent="0.3">
      <c r="G1744" s="459"/>
      <c r="H1744" s="459">
        <v>1737</v>
      </c>
      <c r="I1744" s="444">
        <f t="shared" ca="1" si="115"/>
        <v>-313864898.62007898</v>
      </c>
      <c r="J1744" s="444">
        <f t="array" ref="J1744">IFERROR(INDEX('Retirement Calculator'!K:K,MATCH('Lorri 401b'!N1744,'Retirement Calculator'!A:A,0),0),0)</f>
        <v>0</v>
      </c>
      <c r="K1744" s="444">
        <f t="shared" ca="1" si="113"/>
        <v>-1307770.4109169957</v>
      </c>
      <c r="L1744" s="444">
        <f t="shared" ca="1" si="114"/>
        <v>-315172669.03099597</v>
      </c>
      <c r="M1744" s="460">
        <f t="shared" si="116"/>
        <v>0.05</v>
      </c>
      <c r="N1744" s="464">
        <f t="shared" si="117"/>
        <v>104128</v>
      </c>
    </row>
    <row r="1745" spans="7:14" ht="11.25" customHeight="1" x14ac:dyDescent="0.3">
      <c r="G1745" s="459"/>
      <c r="H1745" s="459">
        <v>1738</v>
      </c>
      <c r="I1745" s="444">
        <f t="shared" ca="1" si="115"/>
        <v>-315172669.03099597</v>
      </c>
      <c r="J1745" s="444">
        <f t="array" ref="J1745">IFERROR(INDEX('Retirement Calculator'!K:K,MATCH('Lorri 401b'!N1745,'Retirement Calculator'!A:A,0),0),0)</f>
        <v>0</v>
      </c>
      <c r="K1745" s="444">
        <f t="shared" ca="1" si="113"/>
        <v>-1313219.4542958166</v>
      </c>
      <c r="L1745" s="444">
        <f t="shared" ca="1" si="114"/>
        <v>-316485888.48529178</v>
      </c>
      <c r="M1745" s="460">
        <f t="shared" si="116"/>
        <v>0.05</v>
      </c>
      <c r="N1745" s="464">
        <f t="shared" si="117"/>
        <v>104156</v>
      </c>
    </row>
    <row r="1746" spans="7:14" ht="11.25" customHeight="1" x14ac:dyDescent="0.3">
      <c r="G1746" s="459"/>
      <c r="H1746" s="459">
        <v>1739</v>
      </c>
      <c r="I1746" s="444">
        <f t="shared" ca="1" si="115"/>
        <v>-316485888.48529178</v>
      </c>
      <c r="J1746" s="444">
        <f t="array" ref="J1746">IFERROR(INDEX('Retirement Calculator'!K:K,MATCH('Lorri 401b'!N1746,'Retirement Calculator'!A:A,0),0),0)</f>
        <v>0</v>
      </c>
      <c r="K1746" s="444">
        <f t="shared" ca="1" si="113"/>
        <v>-1318691.2020220491</v>
      </c>
      <c r="L1746" s="444">
        <f t="shared" ca="1" si="114"/>
        <v>-317804579.68731385</v>
      </c>
      <c r="M1746" s="460">
        <f t="shared" si="116"/>
        <v>0.05</v>
      </c>
      <c r="N1746" s="464">
        <f t="shared" si="117"/>
        <v>104187</v>
      </c>
    </row>
    <row r="1747" spans="7:14" ht="11.25" customHeight="1" x14ac:dyDescent="0.3">
      <c r="G1747" s="459"/>
      <c r="H1747" s="459">
        <v>1740</v>
      </c>
      <c r="I1747" s="444">
        <f t="shared" ca="1" si="115"/>
        <v>-317804579.68731385</v>
      </c>
      <c r="J1747" s="444">
        <f t="array" ref="J1747">IFERROR(INDEX('Retirement Calculator'!K:K,MATCH('Lorri 401b'!N1747,'Retirement Calculator'!A:A,0),0),0)</f>
        <v>0</v>
      </c>
      <c r="K1747" s="444">
        <f t="shared" ca="1" si="113"/>
        <v>-1324185.748697141</v>
      </c>
      <c r="L1747" s="444">
        <f t="shared" ca="1" si="114"/>
        <v>-319128765.43601102</v>
      </c>
      <c r="M1747" s="460">
        <f t="shared" si="116"/>
        <v>0.05</v>
      </c>
      <c r="N1747" s="464">
        <f t="shared" si="117"/>
        <v>104217</v>
      </c>
    </row>
    <row r="1748" spans="7:14" ht="11.25" customHeight="1" x14ac:dyDescent="0.3">
      <c r="G1748" s="459"/>
      <c r="H1748" s="459">
        <v>1741</v>
      </c>
      <c r="I1748" s="444">
        <f t="shared" ca="1" si="115"/>
        <v>-319128765.43601102</v>
      </c>
      <c r="J1748" s="444">
        <f t="array" ref="J1748">IFERROR(INDEX('Retirement Calculator'!K:K,MATCH('Lorri 401b'!N1748,'Retirement Calculator'!A:A,0),0),0)</f>
        <v>0</v>
      </c>
      <c r="K1748" s="444">
        <f t="shared" ca="1" si="113"/>
        <v>-1329703.1893167126</v>
      </c>
      <c r="L1748" s="444">
        <f t="shared" ca="1" si="114"/>
        <v>-320458468.62532771</v>
      </c>
      <c r="M1748" s="460">
        <f t="shared" si="116"/>
        <v>0.05</v>
      </c>
      <c r="N1748" s="464">
        <f t="shared" si="117"/>
        <v>104248</v>
      </c>
    </row>
    <row r="1749" spans="7:14" ht="11.25" customHeight="1" x14ac:dyDescent="0.3">
      <c r="G1749" s="459"/>
      <c r="H1749" s="459">
        <v>1742</v>
      </c>
      <c r="I1749" s="444">
        <f t="shared" ca="1" si="115"/>
        <v>-320458468.62532771</v>
      </c>
      <c r="J1749" s="444">
        <f t="array" ref="J1749">IFERROR(INDEX('Retirement Calculator'!K:K,MATCH('Lorri 401b'!N1749,'Retirement Calculator'!A:A,0),0),0)</f>
        <v>0</v>
      </c>
      <c r="K1749" s="444">
        <f t="shared" ca="1" si="113"/>
        <v>-1335243.6192721988</v>
      </c>
      <c r="L1749" s="444">
        <f t="shared" ca="1" si="114"/>
        <v>-321793712.24459988</v>
      </c>
      <c r="M1749" s="460">
        <f t="shared" si="116"/>
        <v>0.05</v>
      </c>
      <c r="N1749" s="464">
        <f t="shared" si="117"/>
        <v>104278</v>
      </c>
    </row>
    <row r="1750" spans="7:14" ht="11.25" customHeight="1" x14ac:dyDescent="0.3">
      <c r="G1750" s="459"/>
      <c r="H1750" s="459">
        <v>1743</v>
      </c>
      <c r="I1750" s="444">
        <f t="shared" ca="1" si="115"/>
        <v>-321793712.24459988</v>
      </c>
      <c r="J1750" s="444">
        <f t="array" ref="J1750">IFERROR(INDEX('Retirement Calculator'!K:K,MATCH('Lorri 401b'!N1750,'Retirement Calculator'!A:A,0),0),0)</f>
        <v>0</v>
      </c>
      <c r="K1750" s="444">
        <f t="shared" ca="1" si="113"/>
        <v>-1340807.1343524994</v>
      </c>
      <c r="L1750" s="444">
        <f t="shared" ca="1" si="114"/>
        <v>-323134519.37895238</v>
      </c>
      <c r="M1750" s="460">
        <f t="shared" si="116"/>
        <v>0.05</v>
      </c>
      <c r="N1750" s="464">
        <f t="shared" si="117"/>
        <v>104309</v>
      </c>
    </row>
    <row r="1751" spans="7:14" ht="11.25" customHeight="1" x14ac:dyDescent="0.3">
      <c r="G1751" s="459"/>
      <c r="H1751" s="459">
        <v>1744</v>
      </c>
      <c r="I1751" s="444">
        <f t="shared" ca="1" si="115"/>
        <v>-323134519.37895238</v>
      </c>
      <c r="J1751" s="444">
        <f t="array" ref="J1751">IFERROR(INDEX('Retirement Calculator'!K:K,MATCH('Lorri 401b'!N1751,'Retirement Calculator'!A:A,0),0),0)</f>
        <v>0</v>
      </c>
      <c r="K1751" s="444">
        <f t="shared" ca="1" si="113"/>
        <v>-1346393.8307456349</v>
      </c>
      <c r="L1751" s="444">
        <f t="shared" ca="1" si="114"/>
        <v>-324480913.20969802</v>
      </c>
      <c r="M1751" s="460">
        <f t="shared" si="116"/>
        <v>0.05</v>
      </c>
      <c r="N1751" s="464">
        <f t="shared" si="117"/>
        <v>104340</v>
      </c>
    </row>
    <row r="1752" spans="7:14" ht="11.25" customHeight="1" x14ac:dyDescent="0.3">
      <c r="G1752" s="459"/>
      <c r="H1752" s="459">
        <v>1745</v>
      </c>
      <c r="I1752" s="444">
        <f t="shared" ca="1" si="115"/>
        <v>-324480913.20969802</v>
      </c>
      <c r="J1752" s="444">
        <f t="array" ref="J1752">IFERROR(INDEX('Retirement Calculator'!K:K,MATCH('Lorri 401b'!N1752,'Retirement Calculator'!A:A,0),0),0)</f>
        <v>0</v>
      </c>
      <c r="K1752" s="444">
        <f t="shared" ca="1" si="113"/>
        <v>-1352003.8050404084</v>
      </c>
      <c r="L1752" s="444">
        <f t="shared" ca="1" si="114"/>
        <v>-325832917.01473844</v>
      </c>
      <c r="M1752" s="460">
        <f t="shared" si="116"/>
        <v>0.05</v>
      </c>
      <c r="N1752" s="464">
        <f t="shared" si="117"/>
        <v>104370</v>
      </c>
    </row>
    <row r="1753" spans="7:14" ht="11.25" customHeight="1" x14ac:dyDescent="0.3">
      <c r="G1753" s="459"/>
      <c r="H1753" s="459">
        <v>1746</v>
      </c>
      <c r="I1753" s="444">
        <f t="shared" ca="1" si="115"/>
        <v>-325832917.01473844</v>
      </c>
      <c r="J1753" s="444">
        <f t="array" ref="J1753">IFERROR(INDEX('Retirement Calculator'!K:K,MATCH('Lorri 401b'!N1753,'Retirement Calculator'!A:A,0),0),0)</f>
        <v>0</v>
      </c>
      <c r="K1753" s="444">
        <f t="shared" ca="1" si="113"/>
        <v>-1357637.1542280768</v>
      </c>
      <c r="L1753" s="444">
        <f t="shared" ca="1" si="114"/>
        <v>-327190554.16896653</v>
      </c>
      <c r="M1753" s="460">
        <f t="shared" si="116"/>
        <v>0.05</v>
      </c>
      <c r="N1753" s="464">
        <f t="shared" si="117"/>
        <v>104401</v>
      </c>
    </row>
    <row r="1754" spans="7:14" ht="11.25" customHeight="1" x14ac:dyDescent="0.3">
      <c r="G1754" s="459"/>
      <c r="H1754" s="459">
        <v>1747</v>
      </c>
      <c r="I1754" s="444">
        <f t="shared" ca="1" si="115"/>
        <v>-327190554.16896653</v>
      </c>
      <c r="J1754" s="444">
        <f t="array" ref="J1754">IFERROR(INDEX('Retirement Calculator'!K:K,MATCH('Lorri 401b'!N1754,'Retirement Calculator'!A:A,0),0),0)</f>
        <v>0</v>
      </c>
      <c r="K1754" s="444">
        <f t="shared" ca="1" si="113"/>
        <v>-1363293.9757040271</v>
      </c>
      <c r="L1754" s="444">
        <f t="shared" ca="1" si="114"/>
        <v>-328553848.14467055</v>
      </c>
      <c r="M1754" s="460">
        <f t="shared" si="116"/>
        <v>0.05</v>
      </c>
      <c r="N1754" s="464">
        <f t="shared" si="117"/>
        <v>104431</v>
      </c>
    </row>
    <row r="1755" spans="7:14" ht="11.25" customHeight="1" x14ac:dyDescent="0.3">
      <c r="G1755" s="459"/>
      <c r="H1755" s="459">
        <v>1748</v>
      </c>
      <c r="I1755" s="444">
        <f t="shared" ca="1" si="115"/>
        <v>-328553848.14467055</v>
      </c>
      <c r="J1755" s="444">
        <f t="array" ref="J1755">IFERROR(INDEX('Retirement Calculator'!K:K,MATCH('Lorri 401b'!N1755,'Retirement Calculator'!A:A,0),0),0)</f>
        <v>0</v>
      </c>
      <c r="K1755" s="444">
        <f t="shared" ca="1" si="113"/>
        <v>-1368974.3672694606</v>
      </c>
      <c r="L1755" s="444">
        <f t="shared" ca="1" si="114"/>
        <v>-329922822.51194</v>
      </c>
      <c r="M1755" s="460">
        <f t="shared" si="116"/>
        <v>0.05</v>
      </c>
      <c r="N1755" s="464">
        <f t="shared" si="117"/>
        <v>104462</v>
      </c>
    </row>
    <row r="1756" spans="7:14" ht="11.25" customHeight="1" x14ac:dyDescent="0.3">
      <c r="G1756" s="459"/>
      <c r="H1756" s="459">
        <v>1749</v>
      </c>
      <c r="I1756" s="444">
        <f t="shared" ca="1" si="115"/>
        <v>-329922822.51194</v>
      </c>
      <c r="J1756" s="444">
        <f t="array" ref="J1756">IFERROR(INDEX('Retirement Calculator'!K:K,MATCH('Lorri 401b'!N1756,'Retirement Calculator'!A:A,0),0),0)</f>
        <v>0</v>
      </c>
      <c r="K1756" s="444">
        <f t="shared" ca="1" si="113"/>
        <v>-1374678.4271330833</v>
      </c>
      <c r="L1756" s="444">
        <f t="shared" ca="1" si="114"/>
        <v>-331297500.93907309</v>
      </c>
      <c r="M1756" s="460">
        <f t="shared" si="116"/>
        <v>0.05</v>
      </c>
      <c r="N1756" s="464">
        <f t="shared" si="117"/>
        <v>104493</v>
      </c>
    </row>
    <row r="1757" spans="7:14" ht="11.25" customHeight="1" x14ac:dyDescent="0.3">
      <c r="G1757" s="459"/>
      <c r="H1757" s="459">
        <v>1750</v>
      </c>
      <c r="I1757" s="444">
        <f t="shared" ca="1" si="115"/>
        <v>-331297500.93907309</v>
      </c>
      <c r="J1757" s="444">
        <f t="array" ref="J1757">IFERROR(INDEX('Retirement Calculator'!K:K,MATCH('Lorri 401b'!N1757,'Retirement Calculator'!A:A,0),0),0)</f>
        <v>0</v>
      </c>
      <c r="K1757" s="444">
        <f t="shared" ca="1" si="113"/>
        <v>-1380406.2539128044</v>
      </c>
      <c r="L1757" s="444">
        <f t="shared" ca="1" si="114"/>
        <v>-332677907.19298589</v>
      </c>
      <c r="M1757" s="460">
        <f t="shared" si="116"/>
        <v>0.05</v>
      </c>
      <c r="N1757" s="464">
        <f t="shared" si="117"/>
        <v>104521</v>
      </c>
    </row>
    <row r="1758" spans="7:14" ht="11.25" customHeight="1" x14ac:dyDescent="0.3">
      <c r="G1758" s="459"/>
      <c r="H1758" s="459">
        <v>1751</v>
      </c>
      <c r="I1758" s="444">
        <f t="shared" ca="1" si="115"/>
        <v>-332677907.19298589</v>
      </c>
      <c r="J1758" s="444">
        <f t="array" ref="J1758">IFERROR(INDEX('Retirement Calculator'!K:K,MATCH('Lorri 401b'!N1758,'Retirement Calculator'!A:A,0),0),0)</f>
        <v>0</v>
      </c>
      <c r="K1758" s="444">
        <f t="shared" ca="1" si="113"/>
        <v>-1386157.9466374412</v>
      </c>
      <c r="L1758" s="444">
        <f t="shared" ca="1" si="114"/>
        <v>-334064065.13962334</v>
      </c>
      <c r="M1758" s="460">
        <f t="shared" si="116"/>
        <v>0.05</v>
      </c>
      <c r="N1758" s="464">
        <f t="shared" si="117"/>
        <v>104552</v>
      </c>
    </row>
    <row r="1759" spans="7:14" ht="11.25" customHeight="1" x14ac:dyDescent="0.3">
      <c r="G1759" s="459"/>
      <c r="H1759" s="459">
        <v>1752</v>
      </c>
      <c r="I1759" s="444">
        <f t="shared" ca="1" si="115"/>
        <v>-334064065.13962334</v>
      </c>
      <c r="J1759" s="444">
        <f t="array" ref="J1759">IFERROR(INDEX('Retirement Calculator'!K:K,MATCH('Lorri 401b'!N1759,'Retirement Calculator'!A:A,0),0),0)</f>
        <v>0</v>
      </c>
      <c r="K1759" s="444">
        <f t="shared" ca="1" si="113"/>
        <v>-1391933.6047484307</v>
      </c>
      <c r="L1759" s="444">
        <f t="shared" ca="1" si="114"/>
        <v>-335455998.74437177</v>
      </c>
      <c r="M1759" s="460">
        <f t="shared" si="116"/>
        <v>0.05</v>
      </c>
      <c r="N1759" s="464">
        <f t="shared" si="117"/>
        <v>104582</v>
      </c>
    </row>
    <row r="1760" spans="7:14" ht="11.25" customHeight="1" x14ac:dyDescent="0.3">
      <c r="G1760" s="459"/>
      <c r="H1760" s="459">
        <v>1753</v>
      </c>
      <c r="I1760" s="444">
        <f t="shared" ca="1" si="115"/>
        <v>-335455998.74437177</v>
      </c>
      <c r="J1760" s="444">
        <f t="array" ref="J1760">IFERROR(INDEX('Retirement Calculator'!K:K,MATCH('Lorri 401b'!N1760,'Retirement Calculator'!A:A,0),0),0)</f>
        <v>0</v>
      </c>
      <c r="K1760" s="444">
        <f t="shared" ca="1" si="113"/>
        <v>-1397733.3281015491</v>
      </c>
      <c r="L1760" s="444">
        <f t="shared" ca="1" si="114"/>
        <v>-336853732.07247335</v>
      </c>
      <c r="M1760" s="460">
        <f t="shared" si="116"/>
        <v>0.05</v>
      </c>
      <c r="N1760" s="464">
        <f t="shared" si="117"/>
        <v>104613</v>
      </c>
    </row>
    <row r="1761" spans="7:14" ht="11.25" customHeight="1" x14ac:dyDescent="0.3">
      <c r="G1761" s="459"/>
      <c r="H1761" s="459">
        <v>1754</v>
      </c>
      <c r="I1761" s="444">
        <f t="shared" ca="1" si="115"/>
        <v>-336853732.07247335</v>
      </c>
      <c r="J1761" s="444">
        <f t="array" ref="J1761">IFERROR(INDEX('Retirement Calculator'!K:K,MATCH('Lorri 401b'!N1761,'Retirement Calculator'!A:A,0),0),0)</f>
        <v>0</v>
      </c>
      <c r="K1761" s="444">
        <f t="shared" ca="1" si="113"/>
        <v>-1403557.2169686388</v>
      </c>
      <c r="L1761" s="444">
        <f t="shared" ca="1" si="114"/>
        <v>-338257289.289442</v>
      </c>
      <c r="M1761" s="460">
        <f t="shared" si="116"/>
        <v>0.05</v>
      </c>
      <c r="N1761" s="464">
        <f t="shared" si="117"/>
        <v>104643</v>
      </c>
    </row>
    <row r="1762" spans="7:14" ht="11.25" customHeight="1" x14ac:dyDescent="0.3">
      <c r="G1762" s="459"/>
      <c r="H1762" s="459">
        <v>1755</v>
      </c>
      <c r="I1762" s="444">
        <f t="shared" ca="1" si="115"/>
        <v>-338257289.289442</v>
      </c>
      <c r="J1762" s="444">
        <f t="array" ref="J1762">IFERROR(INDEX('Retirement Calculator'!K:K,MATCH('Lorri 401b'!N1762,'Retirement Calculator'!A:A,0),0),0)</f>
        <v>0</v>
      </c>
      <c r="K1762" s="444">
        <f t="shared" ca="1" si="113"/>
        <v>-1409405.3720393416</v>
      </c>
      <c r="L1762" s="444">
        <f t="shared" ca="1" si="114"/>
        <v>-339666694.66148132</v>
      </c>
      <c r="M1762" s="460">
        <f t="shared" si="116"/>
        <v>0.05</v>
      </c>
      <c r="N1762" s="464">
        <f t="shared" si="117"/>
        <v>104674</v>
      </c>
    </row>
    <row r="1763" spans="7:14" ht="11.25" customHeight="1" x14ac:dyDescent="0.3">
      <c r="G1763" s="459"/>
      <c r="H1763" s="459">
        <v>1756</v>
      </c>
      <c r="I1763" s="444">
        <f t="shared" ca="1" si="115"/>
        <v>-339666694.66148132</v>
      </c>
      <c r="J1763" s="444">
        <f t="array" ref="J1763">IFERROR(INDEX('Retirement Calculator'!K:K,MATCH('Lorri 401b'!N1763,'Retirement Calculator'!A:A,0),0),0)</f>
        <v>0</v>
      </c>
      <c r="K1763" s="444">
        <f t="shared" ca="1" si="113"/>
        <v>-1415277.8944228389</v>
      </c>
      <c r="L1763" s="444">
        <f t="shared" ca="1" si="114"/>
        <v>-341081972.55590415</v>
      </c>
      <c r="M1763" s="460">
        <f t="shared" si="116"/>
        <v>0.05</v>
      </c>
      <c r="N1763" s="464">
        <f t="shared" si="117"/>
        <v>104705</v>
      </c>
    </row>
    <row r="1764" spans="7:14" ht="11.25" customHeight="1" x14ac:dyDescent="0.3">
      <c r="G1764" s="459"/>
      <c r="H1764" s="459">
        <v>1757</v>
      </c>
      <c r="I1764" s="444">
        <f t="shared" ca="1" si="115"/>
        <v>-341081972.55590415</v>
      </c>
      <c r="J1764" s="444">
        <f t="array" ref="J1764">IFERROR(INDEX('Retirement Calculator'!K:K,MATCH('Lorri 401b'!N1764,'Retirement Calculator'!A:A,0),0),0)</f>
        <v>0</v>
      </c>
      <c r="K1764" s="444">
        <f t="shared" ca="1" si="113"/>
        <v>-1421174.8856496005</v>
      </c>
      <c r="L1764" s="444">
        <f t="shared" ca="1" si="114"/>
        <v>-342503147.44155377</v>
      </c>
      <c r="M1764" s="460">
        <f t="shared" si="116"/>
        <v>0.05</v>
      </c>
      <c r="N1764" s="464">
        <f t="shared" si="117"/>
        <v>104735</v>
      </c>
    </row>
    <row r="1765" spans="7:14" ht="11.25" customHeight="1" x14ac:dyDescent="0.3">
      <c r="G1765" s="459"/>
      <c r="H1765" s="459">
        <v>1758</v>
      </c>
      <c r="I1765" s="444">
        <f t="shared" ca="1" si="115"/>
        <v>-342503147.44155377</v>
      </c>
      <c r="J1765" s="444">
        <f t="array" ref="J1765">IFERROR(INDEX('Retirement Calculator'!K:K,MATCH('Lorri 401b'!N1765,'Retirement Calculator'!A:A,0),0),0)</f>
        <v>0</v>
      </c>
      <c r="K1765" s="444">
        <f t="shared" ca="1" si="113"/>
        <v>-1427096.4476731408</v>
      </c>
      <c r="L1765" s="444">
        <f t="shared" ca="1" si="114"/>
        <v>-343930243.88922691</v>
      </c>
      <c r="M1765" s="460">
        <f t="shared" si="116"/>
        <v>0.05</v>
      </c>
      <c r="N1765" s="464">
        <f t="shared" si="117"/>
        <v>104766</v>
      </c>
    </row>
    <row r="1766" spans="7:14" ht="11.25" customHeight="1" x14ac:dyDescent="0.3">
      <c r="G1766" s="459"/>
      <c r="H1766" s="459">
        <v>1759</v>
      </c>
      <c r="I1766" s="444">
        <f t="shared" ca="1" si="115"/>
        <v>-343930243.88922691</v>
      </c>
      <c r="J1766" s="444">
        <f t="array" ref="J1766">IFERROR(INDEX('Retirement Calculator'!K:K,MATCH('Lorri 401b'!N1766,'Retirement Calculator'!A:A,0),0),0)</f>
        <v>0</v>
      </c>
      <c r="K1766" s="444">
        <f t="shared" ca="1" si="113"/>
        <v>-1433042.6828717787</v>
      </c>
      <c r="L1766" s="444">
        <f t="shared" ca="1" si="114"/>
        <v>-345363286.57209867</v>
      </c>
      <c r="M1766" s="460">
        <f t="shared" si="116"/>
        <v>0.05</v>
      </c>
      <c r="N1766" s="464">
        <f t="shared" si="117"/>
        <v>104796</v>
      </c>
    </row>
    <row r="1767" spans="7:14" ht="11.25" customHeight="1" x14ac:dyDescent="0.3">
      <c r="G1767" s="459"/>
      <c r="H1767" s="459">
        <v>1760</v>
      </c>
      <c r="I1767" s="444">
        <f t="shared" ca="1" si="115"/>
        <v>-345363286.57209867</v>
      </c>
      <c r="J1767" s="444">
        <f t="array" ref="J1767">IFERROR(INDEX('Retirement Calculator'!K:K,MATCH('Lorri 401b'!N1767,'Retirement Calculator'!A:A,0),0),0)</f>
        <v>0</v>
      </c>
      <c r="K1767" s="444">
        <f t="shared" ca="1" si="113"/>
        <v>-1439013.6940504112</v>
      </c>
      <c r="L1767" s="444">
        <f t="shared" ca="1" si="114"/>
        <v>-346802300.2661491</v>
      </c>
      <c r="M1767" s="460">
        <f t="shared" si="116"/>
        <v>0.05</v>
      </c>
      <c r="N1767" s="464">
        <f t="shared" si="117"/>
        <v>104827</v>
      </c>
    </row>
    <row r="1768" spans="7:14" ht="11.25" customHeight="1" x14ac:dyDescent="0.3">
      <c r="G1768" s="459"/>
      <c r="H1768" s="459">
        <v>1761</v>
      </c>
      <c r="I1768" s="444">
        <f t="shared" ca="1" si="115"/>
        <v>-346802300.2661491</v>
      </c>
      <c r="J1768" s="444">
        <f t="array" ref="J1768">IFERROR(INDEX('Retirement Calculator'!K:K,MATCH('Lorri 401b'!N1768,'Retirement Calculator'!A:A,0),0),0)</f>
        <v>0</v>
      </c>
      <c r="K1768" s="444">
        <f t="shared" ca="1" si="113"/>
        <v>-1445009.5844422879</v>
      </c>
      <c r="L1768" s="444">
        <f t="shared" ca="1" si="114"/>
        <v>-348247309.85059142</v>
      </c>
      <c r="M1768" s="460">
        <f t="shared" si="116"/>
        <v>0.05</v>
      </c>
      <c r="N1768" s="464">
        <f t="shared" si="117"/>
        <v>104858</v>
      </c>
    </row>
    <row r="1769" spans="7:14" ht="11.25" customHeight="1" x14ac:dyDescent="0.3">
      <c r="G1769" s="459"/>
      <c r="H1769" s="459">
        <v>1762</v>
      </c>
      <c r="I1769" s="444">
        <f t="shared" ca="1" si="115"/>
        <v>-348247309.85059142</v>
      </c>
      <c r="J1769" s="444">
        <f t="array" ref="J1769">IFERROR(INDEX('Retirement Calculator'!K:K,MATCH('Lorri 401b'!N1769,'Retirement Calculator'!A:A,0),0),0)</f>
        <v>0</v>
      </c>
      <c r="K1769" s="444">
        <f t="shared" ca="1" si="113"/>
        <v>-1451030.4577107977</v>
      </c>
      <c r="L1769" s="444">
        <f t="shared" ca="1" si="114"/>
        <v>-349698340.30830222</v>
      </c>
      <c r="M1769" s="460">
        <f t="shared" si="116"/>
        <v>0.05</v>
      </c>
      <c r="N1769" s="464">
        <f t="shared" si="117"/>
        <v>104886</v>
      </c>
    </row>
    <row r="1770" spans="7:14" ht="11.25" customHeight="1" x14ac:dyDescent="0.3">
      <c r="G1770" s="459"/>
      <c r="H1770" s="459">
        <v>1763</v>
      </c>
      <c r="I1770" s="444">
        <f t="shared" ca="1" si="115"/>
        <v>-349698340.30830222</v>
      </c>
      <c r="J1770" s="444">
        <f t="array" ref="J1770">IFERROR(INDEX('Retirement Calculator'!K:K,MATCH('Lorri 401b'!N1770,'Retirement Calculator'!A:A,0),0),0)</f>
        <v>0</v>
      </c>
      <c r="K1770" s="444">
        <f t="shared" ca="1" si="113"/>
        <v>-1457076.4179512593</v>
      </c>
      <c r="L1770" s="444">
        <f t="shared" ca="1" si="114"/>
        <v>-351155416.72625351</v>
      </c>
      <c r="M1770" s="460">
        <f t="shared" si="116"/>
        <v>0.05</v>
      </c>
      <c r="N1770" s="464">
        <f t="shared" si="117"/>
        <v>104917</v>
      </c>
    </row>
    <row r="1771" spans="7:14" ht="11.25" customHeight="1" x14ac:dyDescent="0.3">
      <c r="G1771" s="459"/>
      <c r="H1771" s="459">
        <v>1764</v>
      </c>
      <c r="I1771" s="444">
        <f t="shared" ca="1" si="115"/>
        <v>-351155416.72625351</v>
      </c>
      <c r="J1771" s="444">
        <f t="array" ref="J1771">IFERROR(INDEX('Retirement Calculator'!K:K,MATCH('Lorri 401b'!N1771,'Retirement Calculator'!A:A,0),0),0)</f>
        <v>0</v>
      </c>
      <c r="K1771" s="444">
        <f t="shared" ca="1" si="113"/>
        <v>-1463147.569692723</v>
      </c>
      <c r="L1771" s="444">
        <f t="shared" ca="1" si="114"/>
        <v>-352618564.29594624</v>
      </c>
      <c r="M1771" s="460">
        <f t="shared" si="116"/>
        <v>0.05</v>
      </c>
      <c r="N1771" s="464">
        <f t="shared" si="117"/>
        <v>104947</v>
      </c>
    </row>
    <row r="1772" spans="7:14" ht="11.25" customHeight="1" x14ac:dyDescent="0.3">
      <c r="G1772" s="459"/>
      <c r="H1772" s="459">
        <v>1765</v>
      </c>
      <c r="I1772" s="444">
        <f t="shared" ca="1" si="115"/>
        <v>-352618564.29594624</v>
      </c>
      <c r="J1772" s="444">
        <f t="array" ref="J1772">IFERROR(INDEX('Retirement Calculator'!K:K,MATCH('Lorri 401b'!N1772,'Retirement Calculator'!A:A,0),0),0)</f>
        <v>0</v>
      </c>
      <c r="K1772" s="444">
        <f t="shared" ca="1" si="113"/>
        <v>-1469244.0178997759</v>
      </c>
      <c r="L1772" s="444">
        <f t="shared" ca="1" si="114"/>
        <v>-354087808.31384599</v>
      </c>
      <c r="M1772" s="460">
        <f t="shared" si="116"/>
        <v>0.05</v>
      </c>
      <c r="N1772" s="464">
        <f t="shared" si="117"/>
        <v>104978</v>
      </c>
    </row>
    <row r="1773" spans="7:14" ht="11.25" customHeight="1" x14ac:dyDescent="0.3">
      <c r="G1773" s="459"/>
      <c r="H1773" s="459">
        <v>1766</v>
      </c>
      <c r="I1773" s="444">
        <f t="shared" ca="1" si="115"/>
        <v>-354087808.31384599</v>
      </c>
      <c r="J1773" s="444">
        <f t="array" ref="J1773">IFERROR(INDEX('Retirement Calculator'!K:K,MATCH('Lorri 401b'!N1773,'Retirement Calculator'!A:A,0),0),0)</f>
        <v>0</v>
      </c>
      <c r="K1773" s="444">
        <f t="shared" ca="1" si="113"/>
        <v>-1475365.8679743584</v>
      </c>
      <c r="L1773" s="444">
        <f t="shared" ca="1" si="114"/>
        <v>-355563174.18182033</v>
      </c>
      <c r="M1773" s="460">
        <f t="shared" si="116"/>
        <v>0.05</v>
      </c>
      <c r="N1773" s="464">
        <f t="shared" si="117"/>
        <v>105008</v>
      </c>
    </row>
    <row r="1774" spans="7:14" ht="11.25" customHeight="1" x14ac:dyDescent="0.3">
      <c r="G1774" s="459"/>
      <c r="H1774" s="459">
        <v>1767</v>
      </c>
      <c r="I1774" s="444">
        <f t="shared" ca="1" si="115"/>
        <v>-355563174.18182033</v>
      </c>
      <c r="J1774" s="444">
        <f t="array" ref="J1774">IFERROR(INDEX('Retirement Calculator'!K:K,MATCH('Lorri 401b'!N1774,'Retirement Calculator'!A:A,0),0),0)</f>
        <v>0</v>
      </c>
      <c r="K1774" s="444">
        <f t="shared" ca="1" si="113"/>
        <v>-1481513.2257575847</v>
      </c>
      <c r="L1774" s="444">
        <f t="shared" ca="1" si="114"/>
        <v>-357044687.40757793</v>
      </c>
      <c r="M1774" s="460">
        <f t="shared" si="116"/>
        <v>0.05</v>
      </c>
      <c r="N1774" s="464">
        <f t="shared" si="117"/>
        <v>105039</v>
      </c>
    </row>
    <row r="1775" spans="7:14" ht="11.25" customHeight="1" x14ac:dyDescent="0.3">
      <c r="G1775" s="459"/>
      <c r="H1775" s="459">
        <v>1768</v>
      </c>
      <c r="I1775" s="444">
        <f t="shared" ca="1" si="115"/>
        <v>-357044687.40757793</v>
      </c>
      <c r="J1775" s="444">
        <f t="array" ref="J1775">IFERROR(INDEX('Retirement Calculator'!K:K,MATCH('Lorri 401b'!N1775,'Retirement Calculator'!A:A,0),0),0)</f>
        <v>0</v>
      </c>
      <c r="K1775" s="444">
        <f t="shared" ca="1" si="113"/>
        <v>-1487686.1975315746</v>
      </c>
      <c r="L1775" s="444">
        <f t="shared" ca="1" si="114"/>
        <v>-358532373.60510951</v>
      </c>
      <c r="M1775" s="460">
        <f t="shared" si="116"/>
        <v>0.05</v>
      </c>
      <c r="N1775" s="464">
        <f t="shared" si="117"/>
        <v>105070</v>
      </c>
    </row>
    <row r="1776" spans="7:14" ht="11.25" customHeight="1" x14ac:dyDescent="0.3">
      <c r="G1776" s="459"/>
      <c r="H1776" s="459">
        <v>1769</v>
      </c>
      <c r="I1776" s="444">
        <f t="shared" ca="1" si="115"/>
        <v>-358532373.60510951</v>
      </c>
      <c r="J1776" s="444">
        <f t="array" ref="J1776">IFERROR(INDEX('Retirement Calculator'!K:K,MATCH('Lorri 401b'!N1776,'Retirement Calculator'!A:A,0),0),0)</f>
        <v>0</v>
      </c>
      <c r="K1776" s="444">
        <f t="shared" ca="1" si="113"/>
        <v>-1493884.8900212897</v>
      </c>
      <c r="L1776" s="444">
        <f t="shared" ca="1" si="114"/>
        <v>-360026258.49513078</v>
      </c>
      <c r="M1776" s="460">
        <f t="shared" si="116"/>
        <v>0.05</v>
      </c>
      <c r="N1776" s="464">
        <f t="shared" si="117"/>
        <v>105100</v>
      </c>
    </row>
    <row r="1777" spans="7:14" ht="11.25" customHeight="1" x14ac:dyDescent="0.3">
      <c r="G1777" s="459"/>
      <c r="H1777" s="459">
        <v>1770</v>
      </c>
      <c r="I1777" s="444">
        <f t="shared" ca="1" si="115"/>
        <v>-360026258.49513078</v>
      </c>
      <c r="J1777" s="444">
        <f t="array" ref="J1777">IFERROR(INDEX('Retirement Calculator'!K:K,MATCH('Lorri 401b'!N1777,'Retirement Calculator'!A:A,0),0),0)</f>
        <v>0</v>
      </c>
      <c r="K1777" s="444">
        <f t="shared" ca="1" si="113"/>
        <v>-1500109.4103963783</v>
      </c>
      <c r="L1777" s="444">
        <f t="shared" ca="1" si="114"/>
        <v>-361526367.90552717</v>
      </c>
      <c r="M1777" s="460">
        <f t="shared" si="116"/>
        <v>0.05</v>
      </c>
      <c r="N1777" s="464">
        <f t="shared" si="117"/>
        <v>105131</v>
      </c>
    </row>
    <row r="1778" spans="7:14" ht="11.25" customHeight="1" x14ac:dyDescent="0.3">
      <c r="G1778" s="459"/>
      <c r="H1778" s="459">
        <v>1771</v>
      </c>
      <c r="I1778" s="444">
        <f t="shared" ca="1" si="115"/>
        <v>-361526367.90552717</v>
      </c>
      <c r="J1778" s="444">
        <f t="array" ref="J1778">IFERROR(INDEX('Retirement Calculator'!K:K,MATCH('Lorri 401b'!N1778,'Retirement Calculator'!A:A,0),0),0)</f>
        <v>0</v>
      </c>
      <c r="K1778" s="444">
        <f t="shared" ca="1" si="113"/>
        <v>-1506359.8662730299</v>
      </c>
      <c r="L1778" s="444">
        <f t="shared" ca="1" si="114"/>
        <v>-363032727.77180022</v>
      </c>
      <c r="M1778" s="460">
        <f t="shared" si="116"/>
        <v>0.05</v>
      </c>
      <c r="N1778" s="464">
        <f t="shared" si="117"/>
        <v>105161</v>
      </c>
    </row>
    <row r="1779" spans="7:14" ht="11.25" customHeight="1" x14ac:dyDescent="0.3">
      <c r="G1779" s="459"/>
      <c r="H1779" s="459">
        <v>1772</v>
      </c>
      <c r="I1779" s="444">
        <f t="shared" ca="1" si="115"/>
        <v>-363032727.77180022</v>
      </c>
      <c r="J1779" s="444">
        <f t="array" ref="J1779">IFERROR(INDEX('Retirement Calculator'!K:K,MATCH('Lorri 401b'!N1779,'Retirement Calculator'!A:A,0),0),0)</f>
        <v>0</v>
      </c>
      <c r="K1779" s="444">
        <f t="shared" ca="1" si="113"/>
        <v>-1512636.3657158343</v>
      </c>
      <c r="L1779" s="444">
        <f t="shared" ca="1" si="114"/>
        <v>-364545364.13751608</v>
      </c>
      <c r="M1779" s="460">
        <f t="shared" si="116"/>
        <v>0.05</v>
      </c>
      <c r="N1779" s="464">
        <f t="shared" si="117"/>
        <v>105192</v>
      </c>
    </row>
    <row r="1780" spans="7:14" ht="11.25" customHeight="1" x14ac:dyDescent="0.3">
      <c r="G1780" s="459"/>
      <c r="H1780" s="459">
        <v>1773</v>
      </c>
      <c r="I1780" s="444">
        <f t="shared" ca="1" si="115"/>
        <v>-364545364.13751608</v>
      </c>
      <c r="J1780" s="444">
        <f t="array" ref="J1780">IFERROR(INDEX('Retirement Calculator'!K:K,MATCH('Lorri 401b'!N1780,'Retirement Calculator'!A:A,0),0),0)</f>
        <v>0</v>
      </c>
      <c r="K1780" s="444">
        <f t="shared" ca="1" si="113"/>
        <v>-1518939.0172396502</v>
      </c>
      <c r="L1780" s="444">
        <f t="shared" ca="1" si="114"/>
        <v>-366064303.15475571</v>
      </c>
      <c r="M1780" s="460">
        <f t="shared" si="116"/>
        <v>0.05</v>
      </c>
      <c r="N1780" s="464">
        <f t="shared" si="117"/>
        <v>105223</v>
      </c>
    </row>
    <row r="1781" spans="7:14" ht="11.25" customHeight="1" x14ac:dyDescent="0.3">
      <c r="G1781" s="459"/>
      <c r="H1781" s="459">
        <v>1774</v>
      </c>
      <c r="I1781" s="444">
        <f t="shared" ca="1" si="115"/>
        <v>-366064303.15475571</v>
      </c>
      <c r="J1781" s="444">
        <f t="array" ref="J1781">IFERROR(INDEX('Retirement Calculator'!K:K,MATCH('Lorri 401b'!N1781,'Retirement Calculator'!A:A,0),0),0)</f>
        <v>0</v>
      </c>
      <c r="K1781" s="444">
        <f t="shared" ca="1" si="113"/>
        <v>-1525267.9298114821</v>
      </c>
      <c r="L1781" s="444">
        <f t="shared" ca="1" si="114"/>
        <v>-367589571.08456719</v>
      </c>
      <c r="M1781" s="460">
        <f t="shared" si="116"/>
        <v>0.05</v>
      </c>
      <c r="N1781" s="464">
        <f t="shared" si="117"/>
        <v>105252</v>
      </c>
    </row>
    <row r="1782" spans="7:14" ht="11.25" customHeight="1" x14ac:dyDescent="0.3">
      <c r="G1782" s="459"/>
      <c r="H1782" s="459">
        <v>1775</v>
      </c>
      <c r="I1782" s="444">
        <f t="shared" ca="1" si="115"/>
        <v>-367589571.08456719</v>
      </c>
      <c r="J1782" s="444">
        <f t="array" ref="J1782">IFERROR(INDEX('Retirement Calculator'!K:K,MATCH('Lorri 401b'!N1782,'Retirement Calculator'!A:A,0),0),0)</f>
        <v>0</v>
      </c>
      <c r="K1782" s="444">
        <f t="shared" ca="1" si="113"/>
        <v>-1531623.2128523632</v>
      </c>
      <c r="L1782" s="444">
        <f t="shared" ca="1" si="114"/>
        <v>-369121194.29741955</v>
      </c>
      <c r="M1782" s="460">
        <f t="shared" si="116"/>
        <v>0.05</v>
      </c>
      <c r="N1782" s="464">
        <f t="shared" si="117"/>
        <v>105283</v>
      </c>
    </row>
    <row r="1783" spans="7:14" ht="11.25" customHeight="1" x14ac:dyDescent="0.3">
      <c r="G1783" s="459"/>
      <c r="H1783" s="459">
        <v>1776</v>
      </c>
      <c r="I1783" s="444">
        <f t="shared" ca="1" si="115"/>
        <v>-369121194.29741955</v>
      </c>
      <c r="J1783" s="444">
        <f t="array" ref="J1783">IFERROR(INDEX('Retirement Calculator'!K:K,MATCH('Lorri 401b'!N1783,'Retirement Calculator'!A:A,0),0),0)</f>
        <v>0</v>
      </c>
      <c r="K1783" s="444">
        <f t="shared" ca="1" si="113"/>
        <v>-1538004.9762392482</v>
      </c>
      <c r="L1783" s="444">
        <f t="shared" ca="1" si="114"/>
        <v>-370659199.27365881</v>
      </c>
      <c r="M1783" s="460">
        <f t="shared" si="116"/>
        <v>0.05</v>
      </c>
      <c r="N1783" s="464">
        <f t="shared" si="117"/>
        <v>105313</v>
      </c>
    </row>
    <row r="1784" spans="7:14" ht="11.25" customHeight="1" x14ac:dyDescent="0.3">
      <c r="G1784" s="459"/>
      <c r="H1784" s="459">
        <v>1777</v>
      </c>
      <c r="I1784" s="444">
        <f t="shared" ca="1" si="115"/>
        <v>-370659199.27365881</v>
      </c>
      <c r="J1784" s="444">
        <f t="array" ref="J1784">IFERROR(INDEX('Retirement Calculator'!K:K,MATCH('Lorri 401b'!N1784,'Retirement Calculator'!A:A,0),0),0)</f>
        <v>0</v>
      </c>
      <c r="K1784" s="444">
        <f t="shared" ca="1" si="113"/>
        <v>-1544413.3303069116</v>
      </c>
      <c r="L1784" s="444">
        <f t="shared" ca="1" si="114"/>
        <v>-372203612.6039657</v>
      </c>
      <c r="M1784" s="460">
        <f t="shared" si="116"/>
        <v>0.05</v>
      </c>
      <c r="N1784" s="464">
        <f t="shared" si="117"/>
        <v>105344</v>
      </c>
    </row>
    <row r="1785" spans="7:14" ht="11.25" customHeight="1" x14ac:dyDescent="0.3">
      <c r="G1785" s="459"/>
      <c r="H1785" s="459">
        <v>1778</v>
      </c>
      <c r="I1785" s="444">
        <f t="shared" ca="1" si="115"/>
        <v>-372203612.6039657</v>
      </c>
      <c r="J1785" s="444">
        <f t="array" ref="J1785">IFERROR(INDEX('Retirement Calculator'!K:K,MATCH('Lorri 401b'!N1785,'Retirement Calculator'!A:A,0),0),0)</f>
        <v>0</v>
      </c>
      <c r="K1785" s="444">
        <f t="shared" ca="1" si="113"/>
        <v>-1550848.385849857</v>
      </c>
      <c r="L1785" s="444">
        <f t="shared" ca="1" si="114"/>
        <v>-373754460.98981553</v>
      </c>
      <c r="M1785" s="460">
        <f t="shared" si="116"/>
        <v>0.05</v>
      </c>
      <c r="N1785" s="464">
        <f t="shared" si="117"/>
        <v>105374</v>
      </c>
    </row>
    <row r="1786" spans="7:14" ht="11.25" customHeight="1" x14ac:dyDescent="0.3">
      <c r="G1786" s="459"/>
      <c r="H1786" s="459">
        <v>1779</v>
      </c>
      <c r="I1786" s="444">
        <f t="shared" ca="1" si="115"/>
        <v>-373754460.98981553</v>
      </c>
      <c r="J1786" s="444">
        <f t="array" ref="J1786">IFERROR(INDEX('Retirement Calculator'!K:K,MATCH('Lorri 401b'!N1786,'Retirement Calculator'!A:A,0),0),0)</f>
        <v>0</v>
      </c>
      <c r="K1786" s="444">
        <f t="shared" ca="1" si="113"/>
        <v>-1557310.2541242314</v>
      </c>
      <c r="L1786" s="444">
        <f t="shared" ca="1" si="114"/>
        <v>-375311771.24393976</v>
      </c>
      <c r="M1786" s="460">
        <f t="shared" si="116"/>
        <v>0.05</v>
      </c>
      <c r="N1786" s="464">
        <f t="shared" si="117"/>
        <v>105405</v>
      </c>
    </row>
    <row r="1787" spans="7:14" ht="11.25" customHeight="1" x14ac:dyDescent="0.3">
      <c r="G1787" s="459"/>
      <c r="H1787" s="459">
        <v>1780</v>
      </c>
      <c r="I1787" s="444">
        <f t="shared" ca="1" si="115"/>
        <v>-375311771.24393976</v>
      </c>
      <c r="J1787" s="444">
        <f t="array" ref="J1787">IFERROR(INDEX('Retirement Calculator'!K:K,MATCH('Lorri 401b'!N1787,'Retirement Calculator'!A:A,0),0),0)</f>
        <v>0</v>
      </c>
      <c r="K1787" s="444">
        <f t="shared" ca="1" si="113"/>
        <v>-1563799.0468497491</v>
      </c>
      <c r="L1787" s="444">
        <f t="shared" ca="1" si="114"/>
        <v>-376875570.29078948</v>
      </c>
      <c r="M1787" s="460">
        <f t="shared" si="116"/>
        <v>0.05</v>
      </c>
      <c r="N1787" s="464">
        <f t="shared" si="117"/>
        <v>105436</v>
      </c>
    </row>
    <row r="1788" spans="7:14" ht="11.25" customHeight="1" x14ac:dyDescent="0.3">
      <c r="G1788" s="459"/>
      <c r="H1788" s="459">
        <v>1781</v>
      </c>
      <c r="I1788" s="444">
        <f t="shared" ca="1" si="115"/>
        <v>-376875570.29078948</v>
      </c>
      <c r="J1788" s="444">
        <f t="array" ref="J1788">IFERROR(INDEX('Retirement Calculator'!K:K,MATCH('Lorri 401b'!N1788,'Retirement Calculator'!A:A,0),0),0)</f>
        <v>0</v>
      </c>
      <c r="K1788" s="444">
        <f t="shared" ca="1" si="113"/>
        <v>-1570314.8762116227</v>
      </c>
      <c r="L1788" s="444">
        <f t="shared" ca="1" si="114"/>
        <v>-378445885.16700113</v>
      </c>
      <c r="M1788" s="460">
        <f t="shared" si="116"/>
        <v>0.05</v>
      </c>
      <c r="N1788" s="464">
        <f t="shared" si="117"/>
        <v>105466</v>
      </c>
    </row>
    <row r="1789" spans="7:14" ht="11.25" customHeight="1" x14ac:dyDescent="0.3">
      <c r="G1789" s="459"/>
      <c r="H1789" s="459">
        <v>1782</v>
      </c>
      <c r="I1789" s="444">
        <f t="shared" ca="1" si="115"/>
        <v>-378445885.16700113</v>
      </c>
      <c r="J1789" s="444">
        <f t="array" ref="J1789">IFERROR(INDEX('Retirement Calculator'!K:K,MATCH('Lorri 401b'!N1789,'Retirement Calculator'!A:A,0),0),0)</f>
        <v>0</v>
      </c>
      <c r="K1789" s="444">
        <f t="shared" ca="1" si="113"/>
        <v>-1576857.8548625046</v>
      </c>
      <c r="L1789" s="444">
        <f t="shared" ca="1" si="114"/>
        <v>-380022743.02186364</v>
      </c>
      <c r="M1789" s="460">
        <f t="shared" si="116"/>
        <v>0.05</v>
      </c>
      <c r="N1789" s="464">
        <f t="shared" si="117"/>
        <v>105497</v>
      </c>
    </row>
    <row r="1790" spans="7:14" ht="11.25" customHeight="1" x14ac:dyDescent="0.3">
      <c r="G1790" s="459"/>
      <c r="H1790" s="459">
        <v>1783</v>
      </c>
      <c r="I1790" s="444">
        <f t="shared" ca="1" si="115"/>
        <v>-380022743.02186364</v>
      </c>
      <c r="J1790" s="444">
        <f t="array" ref="J1790">IFERROR(INDEX('Retirement Calculator'!K:K,MATCH('Lorri 401b'!N1790,'Retirement Calculator'!A:A,0),0),0)</f>
        <v>0</v>
      </c>
      <c r="K1790" s="444">
        <f t="shared" ca="1" si="113"/>
        <v>-1583428.0959244319</v>
      </c>
      <c r="L1790" s="444">
        <f t="shared" ca="1" si="114"/>
        <v>-381606171.11778808</v>
      </c>
      <c r="M1790" s="460">
        <f t="shared" si="116"/>
        <v>0.05</v>
      </c>
      <c r="N1790" s="464">
        <f t="shared" si="117"/>
        <v>105527</v>
      </c>
    </row>
    <row r="1791" spans="7:14" ht="11.25" customHeight="1" x14ac:dyDescent="0.3">
      <c r="G1791" s="459"/>
      <c r="H1791" s="459">
        <v>1784</v>
      </c>
      <c r="I1791" s="444">
        <f t="shared" ca="1" si="115"/>
        <v>-381606171.11778808</v>
      </c>
      <c r="J1791" s="444">
        <f t="array" ref="J1791">IFERROR(INDEX('Retirement Calculator'!K:K,MATCH('Lorri 401b'!N1791,'Retirement Calculator'!A:A,0),0),0)</f>
        <v>0</v>
      </c>
      <c r="K1791" s="444">
        <f t="shared" ca="1" si="113"/>
        <v>-1590025.7129907836</v>
      </c>
      <c r="L1791" s="444">
        <f t="shared" ca="1" si="114"/>
        <v>-383196196.83077884</v>
      </c>
      <c r="M1791" s="460">
        <f t="shared" si="116"/>
        <v>0.05</v>
      </c>
      <c r="N1791" s="464">
        <f t="shared" si="117"/>
        <v>105558</v>
      </c>
    </row>
    <row r="1792" spans="7:14" ht="11.25" customHeight="1" x14ac:dyDescent="0.3">
      <c r="G1792" s="459"/>
      <c r="H1792" s="459">
        <v>1785</v>
      </c>
      <c r="I1792" s="444">
        <f t="shared" ca="1" si="115"/>
        <v>-383196196.83077884</v>
      </c>
      <c r="J1792" s="444">
        <f t="array" ref="J1792">IFERROR(INDEX('Retirement Calculator'!K:K,MATCH('Lorri 401b'!N1792,'Retirement Calculator'!A:A,0),0),0)</f>
        <v>0</v>
      </c>
      <c r="K1792" s="444">
        <f t="shared" ca="1" si="113"/>
        <v>-1596650.820128245</v>
      </c>
      <c r="L1792" s="444">
        <f t="shared" ca="1" si="114"/>
        <v>-384792847.6509071</v>
      </c>
      <c r="M1792" s="460">
        <f t="shared" si="116"/>
        <v>0.05</v>
      </c>
      <c r="N1792" s="464">
        <f t="shared" si="117"/>
        <v>105589</v>
      </c>
    </row>
    <row r="1793" spans="7:14" ht="11.25" customHeight="1" x14ac:dyDescent="0.3">
      <c r="G1793" s="459"/>
      <c r="H1793" s="459">
        <v>1786</v>
      </c>
      <c r="I1793" s="444">
        <f t="shared" ca="1" si="115"/>
        <v>-384792847.6509071</v>
      </c>
      <c r="J1793" s="444">
        <f t="array" ref="J1793">IFERROR(INDEX('Retirement Calculator'!K:K,MATCH('Lorri 401b'!N1793,'Retirement Calculator'!A:A,0),0),0)</f>
        <v>0</v>
      </c>
      <c r="K1793" s="444">
        <f t="shared" ref="K1793:K2047" ca="1" si="118">IPMT(M1793/12,1,12,-I1793+J1793,,0)</f>
        <v>-1603303.5318787796</v>
      </c>
      <c r="L1793" s="444">
        <f t="shared" ref="L1793:L2047" ca="1" si="119">I1793-J1793+K1793</f>
        <v>-386396151.18278587</v>
      </c>
      <c r="M1793" s="460">
        <f t="shared" si="116"/>
        <v>0.05</v>
      </c>
      <c r="N1793" s="464">
        <f t="shared" si="117"/>
        <v>105617</v>
      </c>
    </row>
    <row r="1794" spans="7:14" ht="11.25" customHeight="1" x14ac:dyDescent="0.3">
      <c r="G1794" s="459"/>
      <c r="H1794" s="459">
        <v>1787</v>
      </c>
      <c r="I1794" s="444">
        <f t="shared" ref="I1794:I2048" ca="1" si="120">L1793</f>
        <v>-386396151.18278587</v>
      </c>
      <c r="J1794" s="444">
        <f t="array" ref="J1794">IFERROR(INDEX('Retirement Calculator'!K:K,MATCH('Lorri 401b'!N1794,'Retirement Calculator'!A:A,0),0),0)</f>
        <v>0</v>
      </c>
      <c r="K1794" s="444">
        <f t="shared" ca="1" si="118"/>
        <v>-1609983.9632616078</v>
      </c>
      <c r="L1794" s="444">
        <f t="shared" ca="1" si="119"/>
        <v>-388006135.14604747</v>
      </c>
      <c r="M1794" s="460">
        <f t="shared" ref="M1794:M2048" si="121">M1793</f>
        <v>0.05</v>
      </c>
      <c r="N1794" s="464">
        <f t="shared" ref="N1794:N2048" si="122">EDATE(N1793,1)</f>
        <v>105648</v>
      </c>
    </row>
    <row r="1795" spans="7:14" ht="11.25" customHeight="1" x14ac:dyDescent="0.3">
      <c r="G1795" s="459"/>
      <c r="H1795" s="459">
        <v>1788</v>
      </c>
      <c r="I1795" s="444">
        <f t="shared" ca="1" si="120"/>
        <v>-388006135.14604747</v>
      </c>
      <c r="J1795" s="444">
        <f t="array" ref="J1795">IFERROR(INDEX('Retirement Calculator'!K:K,MATCH('Lorri 401b'!N1795,'Retirement Calculator'!A:A,0),0),0)</f>
        <v>0</v>
      </c>
      <c r="K1795" s="444">
        <f t="shared" ca="1" si="118"/>
        <v>-1616692.2297751978</v>
      </c>
      <c r="L1795" s="444">
        <f t="shared" ca="1" si="119"/>
        <v>-389622827.37582266</v>
      </c>
      <c r="M1795" s="460">
        <f t="shared" si="121"/>
        <v>0.05</v>
      </c>
      <c r="N1795" s="464">
        <f t="shared" si="122"/>
        <v>105678</v>
      </c>
    </row>
    <row r="1796" spans="7:14" ht="11.25" customHeight="1" x14ac:dyDescent="0.3">
      <c r="G1796" s="459"/>
      <c r="H1796" s="459">
        <v>1789</v>
      </c>
      <c r="I1796" s="444">
        <f t="shared" ca="1" si="120"/>
        <v>-389622827.37582266</v>
      </c>
      <c r="J1796" s="444">
        <f t="array" ref="J1796">IFERROR(INDEX('Retirement Calculator'!K:K,MATCH('Lorri 401b'!N1796,'Retirement Calculator'!A:A,0),0),0)</f>
        <v>0</v>
      </c>
      <c r="K1796" s="444">
        <f t="shared" ca="1" si="118"/>
        <v>-1623428.4473992612</v>
      </c>
      <c r="L1796" s="444">
        <f t="shared" ca="1" si="119"/>
        <v>-391246255.82322192</v>
      </c>
      <c r="M1796" s="460">
        <f t="shared" si="121"/>
        <v>0.05</v>
      </c>
      <c r="N1796" s="464">
        <f t="shared" si="122"/>
        <v>105709</v>
      </c>
    </row>
    <row r="1797" spans="7:14" ht="11.25" customHeight="1" x14ac:dyDescent="0.3">
      <c r="G1797" s="459"/>
      <c r="H1797" s="459">
        <v>1790</v>
      </c>
      <c r="I1797" s="444">
        <f t="shared" ca="1" si="120"/>
        <v>-391246255.82322192</v>
      </c>
      <c r="J1797" s="444">
        <f t="array" ref="J1797">IFERROR(INDEX('Retirement Calculator'!K:K,MATCH('Lorri 401b'!N1797,'Retirement Calculator'!A:A,0),0),0)</f>
        <v>0</v>
      </c>
      <c r="K1797" s="444">
        <f t="shared" ca="1" si="118"/>
        <v>-1630192.7325967581</v>
      </c>
      <c r="L1797" s="444">
        <f t="shared" ca="1" si="119"/>
        <v>-392876448.55581868</v>
      </c>
      <c r="M1797" s="460">
        <f t="shared" si="121"/>
        <v>0.05</v>
      </c>
      <c r="N1797" s="464">
        <f t="shared" si="122"/>
        <v>105739</v>
      </c>
    </row>
    <row r="1798" spans="7:14" ht="11.25" customHeight="1" x14ac:dyDescent="0.3">
      <c r="G1798" s="459"/>
      <c r="H1798" s="459">
        <v>1791</v>
      </c>
      <c r="I1798" s="444">
        <f t="shared" ca="1" si="120"/>
        <v>-392876448.55581868</v>
      </c>
      <c r="J1798" s="444">
        <f t="array" ref="J1798">IFERROR(INDEX('Retirement Calculator'!K:K,MATCH('Lorri 401b'!N1798,'Retirement Calculator'!A:A,0),0),0)</f>
        <v>0</v>
      </c>
      <c r="K1798" s="444">
        <f t="shared" ca="1" si="118"/>
        <v>-1636985.2023159112</v>
      </c>
      <c r="L1798" s="444">
        <f t="shared" ca="1" si="119"/>
        <v>-394513433.7581346</v>
      </c>
      <c r="M1798" s="460">
        <f t="shared" si="121"/>
        <v>0.05</v>
      </c>
      <c r="N1798" s="464">
        <f t="shared" si="122"/>
        <v>105770</v>
      </c>
    </row>
    <row r="1799" spans="7:14" ht="11.25" customHeight="1" x14ac:dyDescent="0.3">
      <c r="G1799" s="459"/>
      <c r="H1799" s="459">
        <v>1792</v>
      </c>
      <c r="I1799" s="444">
        <f t="shared" ca="1" si="120"/>
        <v>-394513433.7581346</v>
      </c>
      <c r="J1799" s="444">
        <f t="array" ref="J1799">IFERROR(INDEX('Retirement Calculator'!K:K,MATCH('Lorri 401b'!N1799,'Retirement Calculator'!A:A,0),0),0)</f>
        <v>0</v>
      </c>
      <c r="K1799" s="444">
        <f t="shared" ca="1" si="118"/>
        <v>-1643805.9739922276</v>
      </c>
      <c r="L1799" s="444">
        <f t="shared" ca="1" si="119"/>
        <v>-396157239.73212683</v>
      </c>
      <c r="M1799" s="460">
        <f t="shared" si="121"/>
        <v>0.05</v>
      </c>
      <c r="N1799" s="464">
        <f t="shared" si="122"/>
        <v>105801</v>
      </c>
    </row>
    <row r="1800" spans="7:14" ht="11.25" customHeight="1" x14ac:dyDescent="0.3">
      <c r="G1800" s="459"/>
      <c r="H1800" s="459">
        <v>1793</v>
      </c>
      <c r="I1800" s="444">
        <f t="shared" ca="1" si="120"/>
        <v>-396157239.73212683</v>
      </c>
      <c r="J1800" s="444">
        <f t="array" ref="J1800">IFERROR(INDEX('Retirement Calculator'!K:K,MATCH('Lorri 401b'!N1800,'Retirement Calculator'!A:A,0),0),0)</f>
        <v>0</v>
      </c>
      <c r="K1800" s="444">
        <f t="shared" ca="1" si="118"/>
        <v>-1650655.1655505286</v>
      </c>
      <c r="L1800" s="444">
        <f t="shared" ca="1" si="119"/>
        <v>-397807894.89767736</v>
      </c>
      <c r="M1800" s="460">
        <f t="shared" si="121"/>
        <v>0.05</v>
      </c>
      <c r="N1800" s="464">
        <f t="shared" si="122"/>
        <v>105831</v>
      </c>
    </row>
    <row r="1801" spans="7:14" ht="11.25" customHeight="1" x14ac:dyDescent="0.3">
      <c r="G1801" s="459"/>
      <c r="H1801" s="459">
        <v>1794</v>
      </c>
      <c r="I1801" s="444">
        <f t="shared" ca="1" si="120"/>
        <v>-397807894.89767736</v>
      </c>
      <c r="J1801" s="444">
        <f t="array" ref="J1801">IFERROR(INDEX('Retirement Calculator'!K:K,MATCH('Lorri 401b'!N1801,'Retirement Calculator'!A:A,0),0),0)</f>
        <v>0</v>
      </c>
      <c r="K1801" s="444">
        <f t="shared" ca="1" si="118"/>
        <v>-1657532.8954069889</v>
      </c>
      <c r="L1801" s="444">
        <f t="shared" ca="1" si="119"/>
        <v>-399465427.79308432</v>
      </c>
      <c r="M1801" s="460">
        <f t="shared" si="121"/>
        <v>0.05</v>
      </c>
      <c r="N1801" s="464">
        <f t="shared" si="122"/>
        <v>105862</v>
      </c>
    </row>
    <row r="1802" spans="7:14" ht="11.25" customHeight="1" x14ac:dyDescent="0.3">
      <c r="G1802" s="459"/>
      <c r="H1802" s="459">
        <v>1795</v>
      </c>
      <c r="I1802" s="444">
        <f t="shared" ca="1" si="120"/>
        <v>-399465427.79308432</v>
      </c>
      <c r="J1802" s="444">
        <f t="array" ref="J1802">IFERROR(INDEX('Retirement Calculator'!K:K,MATCH('Lorri 401b'!N1802,'Retirement Calculator'!A:A,0),0),0)</f>
        <v>0</v>
      </c>
      <c r="K1802" s="444">
        <f t="shared" ca="1" si="118"/>
        <v>-1664439.2824711846</v>
      </c>
      <c r="L1802" s="444">
        <f t="shared" ca="1" si="119"/>
        <v>-401129867.0755555</v>
      </c>
      <c r="M1802" s="460">
        <f t="shared" si="121"/>
        <v>0.05</v>
      </c>
      <c r="N1802" s="464">
        <f t="shared" si="122"/>
        <v>105892</v>
      </c>
    </row>
    <row r="1803" spans="7:14" ht="11.25" customHeight="1" x14ac:dyDescent="0.3">
      <c r="G1803" s="459"/>
      <c r="H1803" s="459">
        <v>1796</v>
      </c>
      <c r="I1803" s="444">
        <f t="shared" ca="1" si="120"/>
        <v>-401129867.0755555</v>
      </c>
      <c r="J1803" s="444">
        <f t="array" ref="J1803">IFERROR(INDEX('Retirement Calculator'!K:K,MATCH('Lorri 401b'!N1803,'Retirement Calculator'!A:A,0),0),0)</f>
        <v>0</v>
      </c>
      <c r="K1803" s="444">
        <f t="shared" ca="1" si="118"/>
        <v>-1671374.4461481478</v>
      </c>
      <c r="L1803" s="444">
        <f t="shared" ca="1" si="119"/>
        <v>-402801241.52170366</v>
      </c>
      <c r="M1803" s="460">
        <f t="shared" si="121"/>
        <v>0.05</v>
      </c>
      <c r="N1803" s="464">
        <f t="shared" si="122"/>
        <v>105923</v>
      </c>
    </row>
    <row r="1804" spans="7:14" ht="11.25" customHeight="1" x14ac:dyDescent="0.3">
      <c r="G1804" s="459"/>
      <c r="H1804" s="459">
        <v>1797</v>
      </c>
      <c r="I1804" s="444">
        <f t="shared" ca="1" si="120"/>
        <v>-402801241.52170366</v>
      </c>
      <c r="J1804" s="444">
        <f t="array" ref="J1804">IFERROR(INDEX('Retirement Calculator'!K:K,MATCH('Lorri 401b'!N1804,'Retirement Calculator'!A:A,0),0),0)</f>
        <v>0</v>
      </c>
      <c r="K1804" s="444">
        <f t="shared" ca="1" si="118"/>
        <v>-1678338.506340432</v>
      </c>
      <c r="L1804" s="444">
        <f t="shared" ca="1" si="119"/>
        <v>-404479580.0280441</v>
      </c>
      <c r="M1804" s="460">
        <f t="shared" si="121"/>
        <v>0.05</v>
      </c>
      <c r="N1804" s="464">
        <f t="shared" si="122"/>
        <v>105954</v>
      </c>
    </row>
    <row r="1805" spans="7:14" ht="11.25" customHeight="1" x14ac:dyDescent="0.3">
      <c r="G1805" s="459"/>
      <c r="H1805" s="459">
        <v>1798</v>
      </c>
      <c r="I1805" s="444">
        <f t="shared" ca="1" si="120"/>
        <v>-404479580.0280441</v>
      </c>
      <c r="J1805" s="444">
        <f t="array" ref="J1805">IFERROR(INDEX('Retirement Calculator'!K:K,MATCH('Lorri 401b'!N1805,'Retirement Calculator'!A:A,0),0),0)</f>
        <v>0</v>
      </c>
      <c r="K1805" s="444">
        <f t="shared" ca="1" si="118"/>
        <v>-1685331.5834501837</v>
      </c>
      <c r="L1805" s="444">
        <f t="shared" ca="1" si="119"/>
        <v>-406164911.6114943</v>
      </c>
      <c r="M1805" s="460">
        <f t="shared" si="121"/>
        <v>0.05</v>
      </c>
      <c r="N1805" s="464">
        <f t="shared" si="122"/>
        <v>105982</v>
      </c>
    </row>
    <row r="1806" spans="7:14" ht="11.25" customHeight="1" x14ac:dyDescent="0.3">
      <c r="G1806" s="459"/>
      <c r="H1806" s="459">
        <v>1799</v>
      </c>
      <c r="I1806" s="444">
        <f t="shared" ca="1" si="120"/>
        <v>-406164911.6114943</v>
      </c>
      <c r="J1806" s="444">
        <f t="array" ref="J1806">IFERROR(INDEX('Retirement Calculator'!K:K,MATCH('Lorri 401b'!N1806,'Retirement Calculator'!A:A,0),0),0)</f>
        <v>0</v>
      </c>
      <c r="K1806" s="444">
        <f t="shared" ca="1" si="118"/>
        <v>-1692353.7983812261</v>
      </c>
      <c r="L1806" s="444">
        <f t="shared" ca="1" si="119"/>
        <v>-407857265.40987551</v>
      </c>
      <c r="M1806" s="460">
        <f t="shared" si="121"/>
        <v>0.05</v>
      </c>
      <c r="N1806" s="464">
        <f t="shared" si="122"/>
        <v>106013</v>
      </c>
    </row>
    <row r="1807" spans="7:14" ht="11.25" customHeight="1" x14ac:dyDescent="0.3">
      <c r="G1807" s="459"/>
      <c r="H1807" s="459">
        <v>1800</v>
      </c>
      <c r="I1807" s="444">
        <f t="shared" ca="1" si="120"/>
        <v>-407857265.40987551</v>
      </c>
      <c r="J1807" s="444">
        <f t="array" ref="J1807">IFERROR(INDEX('Retirement Calculator'!K:K,MATCH('Lorri 401b'!N1807,'Retirement Calculator'!A:A,0),0),0)</f>
        <v>0</v>
      </c>
      <c r="K1807" s="444">
        <f t="shared" ca="1" si="118"/>
        <v>-1699405.2725411479</v>
      </c>
      <c r="L1807" s="444">
        <f t="shared" ca="1" si="119"/>
        <v>-409556670.68241668</v>
      </c>
      <c r="M1807" s="460">
        <f t="shared" si="121"/>
        <v>0.05</v>
      </c>
      <c r="N1807" s="464">
        <f t="shared" si="122"/>
        <v>106043</v>
      </c>
    </row>
    <row r="1808" spans="7:14" ht="11.25" customHeight="1" x14ac:dyDescent="0.3">
      <c r="G1808" s="459"/>
      <c r="H1808" s="459">
        <v>1801</v>
      </c>
      <c r="I1808" s="444">
        <f t="shared" ca="1" si="120"/>
        <v>-409556670.68241668</v>
      </c>
      <c r="J1808" s="444">
        <f t="array" ref="J1808">IFERROR(INDEX('Retirement Calculator'!K:K,MATCH('Lorri 401b'!N1808,'Retirement Calculator'!A:A,0),0),0)</f>
        <v>0</v>
      </c>
      <c r="K1808" s="444">
        <f t="shared" ca="1" si="118"/>
        <v>-1706486.1278434028</v>
      </c>
      <c r="L1808" s="444">
        <f t="shared" ca="1" si="119"/>
        <v>-411263156.81026006</v>
      </c>
      <c r="M1808" s="460">
        <f t="shared" si="121"/>
        <v>0.05</v>
      </c>
      <c r="N1808" s="464">
        <f t="shared" si="122"/>
        <v>106074</v>
      </c>
    </row>
    <row r="1809" spans="7:14" ht="11.25" customHeight="1" x14ac:dyDescent="0.3">
      <c r="G1809" s="459"/>
      <c r="H1809" s="459">
        <v>1802</v>
      </c>
      <c r="I1809" s="444">
        <f t="shared" ca="1" si="120"/>
        <v>-411263156.81026006</v>
      </c>
      <c r="J1809" s="444">
        <f t="array" ref="J1809">IFERROR(INDEX('Retirement Calculator'!K:K,MATCH('Lorri 401b'!N1809,'Retirement Calculator'!A:A,0),0),0)</f>
        <v>0</v>
      </c>
      <c r="K1809" s="444">
        <f t="shared" ca="1" si="118"/>
        <v>-1713596.4867094168</v>
      </c>
      <c r="L1809" s="444">
        <f t="shared" ca="1" si="119"/>
        <v>-412976753.29696947</v>
      </c>
      <c r="M1809" s="460">
        <f t="shared" si="121"/>
        <v>0.05</v>
      </c>
      <c r="N1809" s="464">
        <f t="shared" si="122"/>
        <v>106104</v>
      </c>
    </row>
    <row r="1810" spans="7:14" ht="11.25" customHeight="1" x14ac:dyDescent="0.3">
      <c r="G1810" s="459"/>
      <c r="H1810" s="459">
        <v>1803</v>
      </c>
      <c r="I1810" s="444">
        <f t="shared" ca="1" si="120"/>
        <v>-412976753.29696947</v>
      </c>
      <c r="J1810" s="444">
        <f t="array" ref="J1810">IFERROR(INDEX('Retirement Calculator'!K:K,MATCH('Lorri 401b'!N1810,'Retirement Calculator'!A:A,0),0),0)</f>
        <v>0</v>
      </c>
      <c r="K1810" s="444">
        <f t="shared" ca="1" si="118"/>
        <v>-1720736.4720707061</v>
      </c>
      <c r="L1810" s="444">
        <f t="shared" ca="1" si="119"/>
        <v>-414697489.76904017</v>
      </c>
      <c r="M1810" s="460">
        <f t="shared" si="121"/>
        <v>0.05</v>
      </c>
      <c r="N1810" s="464">
        <f t="shared" si="122"/>
        <v>106135</v>
      </c>
    </row>
    <row r="1811" spans="7:14" ht="11.25" customHeight="1" x14ac:dyDescent="0.3">
      <c r="G1811" s="459"/>
      <c r="H1811" s="459">
        <v>1804</v>
      </c>
      <c r="I1811" s="444">
        <f t="shared" ca="1" si="120"/>
        <v>-414697489.76904017</v>
      </c>
      <c r="J1811" s="444">
        <f t="array" ref="J1811">IFERROR(INDEX('Retirement Calculator'!K:K,MATCH('Lorri 401b'!N1811,'Retirement Calculator'!A:A,0),0),0)</f>
        <v>0</v>
      </c>
      <c r="K1811" s="444">
        <f t="shared" ca="1" si="118"/>
        <v>-1727906.2073710007</v>
      </c>
      <c r="L1811" s="444">
        <f t="shared" ca="1" si="119"/>
        <v>-416425395.97641116</v>
      </c>
      <c r="M1811" s="460">
        <f t="shared" si="121"/>
        <v>0.05</v>
      </c>
      <c r="N1811" s="464">
        <f t="shared" si="122"/>
        <v>106166</v>
      </c>
    </row>
    <row r="1812" spans="7:14" ht="11.25" customHeight="1" x14ac:dyDescent="0.3">
      <c r="G1812" s="459"/>
      <c r="H1812" s="459">
        <v>1805</v>
      </c>
      <c r="I1812" s="444">
        <f t="shared" ca="1" si="120"/>
        <v>-416425395.97641116</v>
      </c>
      <c r="J1812" s="444">
        <f t="array" ref="J1812">IFERROR(INDEX('Retirement Calculator'!K:K,MATCH('Lorri 401b'!N1812,'Retirement Calculator'!A:A,0),0),0)</f>
        <v>0</v>
      </c>
      <c r="K1812" s="444">
        <f t="shared" ca="1" si="118"/>
        <v>-1735105.8165683798</v>
      </c>
      <c r="L1812" s="444">
        <f t="shared" ca="1" si="119"/>
        <v>-418160501.79297954</v>
      </c>
      <c r="M1812" s="460">
        <f t="shared" si="121"/>
        <v>0.05</v>
      </c>
      <c r="N1812" s="464">
        <f t="shared" si="122"/>
        <v>106196</v>
      </c>
    </row>
    <row r="1813" spans="7:14" ht="11.25" customHeight="1" x14ac:dyDescent="0.3">
      <c r="G1813" s="459"/>
      <c r="H1813" s="459">
        <v>1806</v>
      </c>
      <c r="I1813" s="444">
        <f t="shared" ca="1" si="120"/>
        <v>-418160501.79297954</v>
      </c>
      <c r="J1813" s="444">
        <f t="array" ref="J1813">IFERROR(INDEX('Retirement Calculator'!K:K,MATCH('Lorri 401b'!N1813,'Retirement Calculator'!A:A,0),0),0)</f>
        <v>0</v>
      </c>
      <c r="K1813" s="444">
        <f t="shared" ca="1" si="118"/>
        <v>-1742335.4241374149</v>
      </c>
      <c r="L1813" s="444">
        <f t="shared" ca="1" si="119"/>
        <v>-419902837.21711695</v>
      </c>
      <c r="M1813" s="460">
        <f t="shared" si="121"/>
        <v>0.05</v>
      </c>
      <c r="N1813" s="464">
        <f t="shared" si="122"/>
        <v>106227</v>
      </c>
    </row>
    <row r="1814" spans="7:14" ht="11.25" customHeight="1" x14ac:dyDescent="0.3">
      <c r="G1814" s="459"/>
      <c r="H1814" s="459">
        <v>1807</v>
      </c>
      <c r="I1814" s="444">
        <f t="shared" ca="1" si="120"/>
        <v>-419902837.21711695</v>
      </c>
      <c r="J1814" s="444">
        <f t="array" ref="J1814">IFERROR(INDEX('Retirement Calculator'!K:K,MATCH('Lorri 401b'!N1814,'Retirement Calculator'!A:A,0),0),0)</f>
        <v>0</v>
      </c>
      <c r="K1814" s="444">
        <f t="shared" ca="1" si="118"/>
        <v>-1749595.1550713209</v>
      </c>
      <c r="L1814" s="444">
        <f t="shared" ca="1" si="119"/>
        <v>-421652432.37218827</v>
      </c>
      <c r="M1814" s="460">
        <f t="shared" si="121"/>
        <v>0.05</v>
      </c>
      <c r="N1814" s="464">
        <f t="shared" si="122"/>
        <v>106257</v>
      </c>
    </row>
    <row r="1815" spans="7:14" ht="11.25" customHeight="1" x14ac:dyDescent="0.3">
      <c r="G1815" s="459"/>
      <c r="H1815" s="459">
        <v>1808</v>
      </c>
      <c r="I1815" s="444">
        <f t="shared" ca="1" si="120"/>
        <v>-421652432.37218827</v>
      </c>
      <c r="J1815" s="444">
        <f t="array" ref="J1815">IFERROR(INDEX('Retirement Calculator'!K:K,MATCH('Lorri 401b'!N1815,'Retirement Calculator'!A:A,0),0),0)</f>
        <v>0</v>
      </c>
      <c r="K1815" s="444">
        <f t="shared" ca="1" si="118"/>
        <v>-1756885.1348841181</v>
      </c>
      <c r="L1815" s="444">
        <f t="shared" ca="1" si="119"/>
        <v>-423409317.50707239</v>
      </c>
      <c r="M1815" s="460">
        <f t="shared" si="121"/>
        <v>0.05</v>
      </c>
      <c r="N1815" s="464">
        <f t="shared" si="122"/>
        <v>106288</v>
      </c>
    </row>
    <row r="1816" spans="7:14" ht="11.25" customHeight="1" x14ac:dyDescent="0.3">
      <c r="G1816" s="459"/>
      <c r="H1816" s="459">
        <v>1809</v>
      </c>
      <c r="I1816" s="444">
        <f t="shared" ca="1" si="120"/>
        <v>-423409317.50707239</v>
      </c>
      <c r="J1816" s="444">
        <f t="array" ref="J1816">IFERROR(INDEX('Retirement Calculator'!K:K,MATCH('Lorri 401b'!N1816,'Retirement Calculator'!A:A,0),0),0)</f>
        <v>0</v>
      </c>
      <c r="K1816" s="444">
        <f t="shared" ca="1" si="118"/>
        <v>-1764205.4896128017</v>
      </c>
      <c r="L1816" s="444">
        <f t="shared" ca="1" si="119"/>
        <v>-425173522.99668521</v>
      </c>
      <c r="M1816" s="460">
        <f t="shared" si="121"/>
        <v>0.05</v>
      </c>
      <c r="N1816" s="464">
        <f t="shared" si="122"/>
        <v>106319</v>
      </c>
    </row>
    <row r="1817" spans="7:14" ht="11.25" customHeight="1" x14ac:dyDescent="0.3">
      <c r="G1817" s="459"/>
      <c r="H1817" s="459">
        <v>1810</v>
      </c>
      <c r="I1817" s="444">
        <f t="shared" ca="1" si="120"/>
        <v>-425173522.99668521</v>
      </c>
      <c r="J1817" s="444">
        <f t="array" ref="J1817">IFERROR(INDEX('Retirement Calculator'!K:K,MATCH('Lorri 401b'!N1817,'Retirement Calculator'!A:A,0),0),0)</f>
        <v>0</v>
      </c>
      <c r="K1817" s="444">
        <f t="shared" ca="1" si="118"/>
        <v>-1771556.3458195217</v>
      </c>
      <c r="L1817" s="444">
        <f t="shared" ca="1" si="119"/>
        <v>-426945079.34250474</v>
      </c>
      <c r="M1817" s="460">
        <f t="shared" si="121"/>
        <v>0.05</v>
      </c>
      <c r="N1817" s="464">
        <f t="shared" si="122"/>
        <v>106347</v>
      </c>
    </row>
    <row r="1818" spans="7:14" ht="11.25" customHeight="1" x14ac:dyDescent="0.3">
      <c r="G1818" s="459"/>
      <c r="H1818" s="459">
        <v>1811</v>
      </c>
      <c r="I1818" s="444">
        <f t="shared" ca="1" si="120"/>
        <v>-426945079.34250474</v>
      </c>
      <c r="J1818" s="444">
        <f t="array" ref="J1818">IFERROR(INDEX('Retirement Calculator'!K:K,MATCH('Lorri 401b'!N1818,'Retirement Calculator'!A:A,0),0),0)</f>
        <v>0</v>
      </c>
      <c r="K1818" s="444">
        <f t="shared" ca="1" si="118"/>
        <v>-1778937.8305937697</v>
      </c>
      <c r="L1818" s="444">
        <f t="shared" ca="1" si="119"/>
        <v>-428724017.1730985</v>
      </c>
      <c r="M1818" s="460">
        <f t="shared" si="121"/>
        <v>0.05</v>
      </c>
      <c r="N1818" s="464">
        <f t="shared" si="122"/>
        <v>106378</v>
      </c>
    </row>
    <row r="1819" spans="7:14" ht="11.25" customHeight="1" x14ac:dyDescent="0.3">
      <c r="G1819" s="459"/>
      <c r="H1819" s="459">
        <v>1812</v>
      </c>
      <c r="I1819" s="444">
        <f t="shared" ca="1" si="120"/>
        <v>-428724017.1730985</v>
      </c>
      <c r="J1819" s="444">
        <f t="array" ref="J1819">IFERROR(INDEX('Retirement Calculator'!K:K,MATCH('Lorri 401b'!N1819,'Retirement Calculator'!A:A,0),0),0)</f>
        <v>0</v>
      </c>
      <c r="K1819" s="444">
        <f t="shared" ca="1" si="118"/>
        <v>-1786350.0715545767</v>
      </c>
      <c r="L1819" s="444">
        <f t="shared" ca="1" si="119"/>
        <v>-430510367.24465311</v>
      </c>
      <c r="M1819" s="460">
        <f t="shared" si="121"/>
        <v>0.05</v>
      </c>
      <c r="N1819" s="464">
        <f t="shared" si="122"/>
        <v>106408</v>
      </c>
    </row>
    <row r="1820" spans="7:14" ht="11.25" customHeight="1" x14ac:dyDescent="0.3">
      <c r="G1820" s="459"/>
      <c r="H1820" s="459">
        <v>1813</v>
      </c>
      <c r="I1820" s="444">
        <f t="shared" ca="1" si="120"/>
        <v>-430510367.24465311</v>
      </c>
      <c r="J1820" s="444">
        <f t="array" ref="J1820">IFERROR(INDEX('Retirement Calculator'!K:K,MATCH('Lorri 401b'!N1820,'Retirement Calculator'!A:A,0),0),0)</f>
        <v>0</v>
      </c>
      <c r="K1820" s="444">
        <f t="shared" ca="1" si="118"/>
        <v>-1793793.1968527213</v>
      </c>
      <c r="L1820" s="444">
        <f t="shared" ca="1" si="119"/>
        <v>-432304160.44150585</v>
      </c>
      <c r="M1820" s="460">
        <f t="shared" si="121"/>
        <v>0.05</v>
      </c>
      <c r="N1820" s="464">
        <f t="shared" si="122"/>
        <v>106439</v>
      </c>
    </row>
    <row r="1821" spans="7:14" ht="11.25" customHeight="1" x14ac:dyDescent="0.3">
      <c r="G1821" s="459"/>
      <c r="H1821" s="459">
        <v>1814</v>
      </c>
      <c r="I1821" s="444">
        <f t="shared" ca="1" si="120"/>
        <v>-432304160.44150585</v>
      </c>
      <c r="J1821" s="444">
        <f t="array" ref="J1821">IFERROR(INDEX('Retirement Calculator'!K:K,MATCH('Lorri 401b'!N1821,'Retirement Calculator'!A:A,0),0),0)</f>
        <v>0</v>
      </c>
      <c r="K1821" s="444">
        <f t="shared" ca="1" si="118"/>
        <v>-1801267.335172941</v>
      </c>
      <c r="L1821" s="444">
        <f t="shared" ca="1" si="119"/>
        <v>-434105427.7766788</v>
      </c>
      <c r="M1821" s="460">
        <f t="shared" si="121"/>
        <v>0.05</v>
      </c>
      <c r="N1821" s="464">
        <f t="shared" si="122"/>
        <v>106469</v>
      </c>
    </row>
    <row r="1822" spans="7:14" ht="11.25" customHeight="1" x14ac:dyDescent="0.3">
      <c r="G1822" s="459"/>
      <c r="H1822" s="459">
        <v>1815</v>
      </c>
      <c r="I1822" s="444">
        <f t="shared" ca="1" si="120"/>
        <v>-434105427.7766788</v>
      </c>
      <c r="J1822" s="444">
        <f t="array" ref="J1822">IFERROR(INDEX('Retirement Calculator'!K:K,MATCH('Lorri 401b'!N1822,'Retirement Calculator'!A:A,0),0),0)</f>
        <v>0</v>
      </c>
      <c r="K1822" s="444">
        <f t="shared" ca="1" si="118"/>
        <v>-1808772.6157361614</v>
      </c>
      <c r="L1822" s="444">
        <f t="shared" ca="1" si="119"/>
        <v>-435914200.39241499</v>
      </c>
      <c r="M1822" s="460">
        <f t="shared" si="121"/>
        <v>0.05</v>
      </c>
      <c r="N1822" s="464">
        <f t="shared" si="122"/>
        <v>106500</v>
      </c>
    </row>
    <row r="1823" spans="7:14" ht="11.25" customHeight="1" x14ac:dyDescent="0.3">
      <c r="G1823" s="459"/>
      <c r="H1823" s="459">
        <v>1816</v>
      </c>
      <c r="I1823" s="444">
        <f t="shared" ca="1" si="120"/>
        <v>-435914200.39241499</v>
      </c>
      <c r="J1823" s="444">
        <f t="array" ref="J1823">IFERROR(INDEX('Retirement Calculator'!K:K,MATCH('Lorri 401b'!N1823,'Retirement Calculator'!A:A,0),0),0)</f>
        <v>0</v>
      </c>
      <c r="K1823" s="444">
        <f t="shared" ca="1" si="118"/>
        <v>-1816309.168301729</v>
      </c>
      <c r="L1823" s="444">
        <f t="shared" ca="1" si="119"/>
        <v>-437730509.56071669</v>
      </c>
      <c r="M1823" s="460">
        <f t="shared" si="121"/>
        <v>0.05</v>
      </c>
      <c r="N1823" s="464">
        <f t="shared" si="122"/>
        <v>106531</v>
      </c>
    </row>
    <row r="1824" spans="7:14" ht="11.25" customHeight="1" x14ac:dyDescent="0.3">
      <c r="G1824" s="459"/>
      <c r="H1824" s="459">
        <v>1817</v>
      </c>
      <c r="I1824" s="444">
        <f t="shared" ca="1" si="120"/>
        <v>-437730509.56071669</v>
      </c>
      <c r="J1824" s="444">
        <f t="array" ref="J1824">IFERROR(INDEX('Retirement Calculator'!K:K,MATCH('Lorri 401b'!N1824,'Retirement Calculator'!A:A,0),0),0)</f>
        <v>0</v>
      </c>
      <c r="K1824" s="444">
        <f t="shared" ca="1" si="118"/>
        <v>-1823877.1231696531</v>
      </c>
      <c r="L1824" s="444">
        <f t="shared" ca="1" si="119"/>
        <v>-439554386.68388635</v>
      </c>
      <c r="M1824" s="460">
        <f t="shared" si="121"/>
        <v>0.05</v>
      </c>
      <c r="N1824" s="464">
        <f t="shared" si="122"/>
        <v>106561</v>
      </c>
    </row>
    <row r="1825" spans="7:14" ht="11.25" customHeight="1" x14ac:dyDescent="0.3">
      <c r="G1825" s="459"/>
      <c r="H1825" s="459">
        <v>1818</v>
      </c>
      <c r="I1825" s="444">
        <f t="shared" ca="1" si="120"/>
        <v>-439554386.68388635</v>
      </c>
      <c r="J1825" s="444">
        <f t="array" ref="J1825">IFERROR(INDEX('Retirement Calculator'!K:K,MATCH('Lorri 401b'!N1825,'Retirement Calculator'!A:A,0),0),0)</f>
        <v>0</v>
      </c>
      <c r="K1825" s="444">
        <f t="shared" ca="1" si="118"/>
        <v>-1831476.6111828599</v>
      </c>
      <c r="L1825" s="444">
        <f t="shared" ca="1" si="119"/>
        <v>-441385863.29506922</v>
      </c>
      <c r="M1825" s="460">
        <f t="shared" si="121"/>
        <v>0.05</v>
      </c>
      <c r="N1825" s="464">
        <f t="shared" si="122"/>
        <v>106592</v>
      </c>
    </row>
    <row r="1826" spans="7:14" ht="11.25" customHeight="1" x14ac:dyDescent="0.3">
      <c r="G1826" s="459"/>
      <c r="H1826" s="459">
        <v>1819</v>
      </c>
      <c r="I1826" s="444">
        <f t="shared" ca="1" si="120"/>
        <v>-441385863.29506922</v>
      </c>
      <c r="J1826" s="444">
        <f t="array" ref="J1826">IFERROR(INDEX('Retirement Calculator'!K:K,MATCH('Lorri 401b'!N1826,'Retirement Calculator'!A:A,0),0),0)</f>
        <v>0</v>
      </c>
      <c r="K1826" s="444">
        <f t="shared" ca="1" si="118"/>
        <v>-1839107.7637294549</v>
      </c>
      <c r="L1826" s="444">
        <f t="shared" ca="1" si="119"/>
        <v>-443224971.05879867</v>
      </c>
      <c r="M1826" s="460">
        <f t="shared" si="121"/>
        <v>0.05</v>
      </c>
      <c r="N1826" s="464">
        <f t="shared" si="122"/>
        <v>106622</v>
      </c>
    </row>
    <row r="1827" spans="7:14" ht="11.25" customHeight="1" x14ac:dyDescent="0.3">
      <c r="G1827" s="459"/>
      <c r="H1827" s="459">
        <v>1820</v>
      </c>
      <c r="I1827" s="444">
        <f t="shared" ca="1" si="120"/>
        <v>-443224971.05879867</v>
      </c>
      <c r="J1827" s="444">
        <f t="array" ref="J1827">IFERROR(INDEX('Retirement Calculator'!K:K,MATCH('Lorri 401b'!N1827,'Retirement Calculator'!A:A,0),0),0)</f>
        <v>0</v>
      </c>
      <c r="K1827" s="444">
        <f t="shared" ca="1" si="118"/>
        <v>-1846770.7127449943</v>
      </c>
      <c r="L1827" s="444">
        <f t="shared" ca="1" si="119"/>
        <v>-445071741.77154368</v>
      </c>
      <c r="M1827" s="460">
        <f t="shared" si="121"/>
        <v>0.05</v>
      </c>
      <c r="N1827" s="464">
        <f t="shared" si="122"/>
        <v>106653</v>
      </c>
    </row>
    <row r="1828" spans="7:14" ht="11.25" customHeight="1" x14ac:dyDescent="0.3">
      <c r="G1828" s="459"/>
      <c r="H1828" s="459">
        <v>1821</v>
      </c>
      <c r="I1828" s="444">
        <f t="shared" ca="1" si="120"/>
        <v>-445071741.77154368</v>
      </c>
      <c r="J1828" s="444">
        <f t="array" ref="J1828">IFERROR(INDEX('Retirement Calculator'!K:K,MATCH('Lorri 401b'!N1828,'Retirement Calculator'!A:A,0),0),0)</f>
        <v>0</v>
      </c>
      <c r="K1828" s="444">
        <f t="shared" ca="1" si="118"/>
        <v>-1854465.5907147655</v>
      </c>
      <c r="L1828" s="444">
        <f t="shared" ca="1" si="119"/>
        <v>-446926207.36225843</v>
      </c>
      <c r="M1828" s="460">
        <f t="shared" si="121"/>
        <v>0.05</v>
      </c>
      <c r="N1828" s="464">
        <f t="shared" si="122"/>
        <v>106684</v>
      </c>
    </row>
    <row r="1829" spans="7:14" ht="11.25" customHeight="1" x14ac:dyDescent="0.3">
      <c r="G1829" s="459"/>
      <c r="H1829" s="459">
        <v>1822</v>
      </c>
      <c r="I1829" s="444">
        <f t="shared" ca="1" si="120"/>
        <v>-446926207.36225843</v>
      </c>
      <c r="J1829" s="444">
        <f t="array" ref="J1829">IFERROR(INDEX('Retirement Calculator'!K:K,MATCH('Lorri 401b'!N1829,'Retirement Calculator'!A:A,0),0),0)</f>
        <v>0</v>
      </c>
      <c r="K1829" s="444">
        <f t="shared" ca="1" si="118"/>
        <v>-1862192.5306760764</v>
      </c>
      <c r="L1829" s="444">
        <f t="shared" ca="1" si="119"/>
        <v>-448788399.8929345</v>
      </c>
      <c r="M1829" s="460">
        <f t="shared" si="121"/>
        <v>0.05</v>
      </c>
      <c r="N1829" s="464">
        <f t="shared" si="122"/>
        <v>106713</v>
      </c>
    </row>
    <row r="1830" spans="7:14" ht="11.25" customHeight="1" x14ac:dyDescent="0.3">
      <c r="G1830" s="459"/>
      <c r="H1830" s="459">
        <v>1823</v>
      </c>
      <c r="I1830" s="444">
        <f t="shared" ca="1" si="120"/>
        <v>-448788399.8929345</v>
      </c>
      <c r="J1830" s="444">
        <f t="array" ref="J1830">IFERROR(INDEX('Retirement Calculator'!K:K,MATCH('Lorri 401b'!N1830,'Retirement Calculator'!A:A,0),0),0)</f>
        <v>0</v>
      </c>
      <c r="K1830" s="444">
        <f t="shared" ca="1" si="118"/>
        <v>-1869951.6662205607</v>
      </c>
      <c r="L1830" s="444">
        <f t="shared" ca="1" si="119"/>
        <v>-450658351.55915505</v>
      </c>
      <c r="M1830" s="460">
        <f t="shared" si="121"/>
        <v>0.05</v>
      </c>
      <c r="N1830" s="464">
        <f t="shared" si="122"/>
        <v>106744</v>
      </c>
    </row>
    <row r="1831" spans="7:14" ht="11.25" customHeight="1" x14ac:dyDescent="0.3">
      <c r="G1831" s="459"/>
      <c r="H1831" s="459">
        <v>1824</v>
      </c>
      <c r="I1831" s="444">
        <f t="shared" ca="1" si="120"/>
        <v>-450658351.55915505</v>
      </c>
      <c r="J1831" s="444">
        <f t="array" ref="J1831">IFERROR(INDEX('Retirement Calculator'!K:K,MATCH('Lorri 401b'!N1831,'Retirement Calculator'!A:A,0),0),0)</f>
        <v>0</v>
      </c>
      <c r="K1831" s="444">
        <f t="shared" ca="1" si="118"/>
        <v>-1877743.1314964793</v>
      </c>
      <c r="L1831" s="444">
        <f t="shared" ca="1" si="119"/>
        <v>-452536094.69065154</v>
      </c>
      <c r="M1831" s="460">
        <f t="shared" si="121"/>
        <v>0.05</v>
      </c>
      <c r="N1831" s="464">
        <f t="shared" si="122"/>
        <v>106774</v>
      </c>
    </row>
    <row r="1832" spans="7:14" ht="11.25" customHeight="1" x14ac:dyDescent="0.3">
      <c r="G1832" s="459"/>
      <c r="H1832" s="459">
        <v>1825</v>
      </c>
      <c r="I1832" s="444">
        <f t="shared" ca="1" si="120"/>
        <v>-452536094.69065154</v>
      </c>
      <c r="J1832" s="444">
        <f t="array" ref="J1832">IFERROR(INDEX('Retirement Calculator'!K:K,MATCH('Lorri 401b'!N1832,'Retirement Calculator'!A:A,0),0),0)</f>
        <v>0</v>
      </c>
      <c r="K1832" s="444">
        <f t="shared" ca="1" si="118"/>
        <v>-1885567.0612110484</v>
      </c>
      <c r="L1832" s="444">
        <f t="shared" ca="1" si="119"/>
        <v>-454421661.75186259</v>
      </c>
      <c r="M1832" s="460">
        <f t="shared" si="121"/>
        <v>0.05</v>
      </c>
      <c r="N1832" s="464">
        <f t="shared" si="122"/>
        <v>106805</v>
      </c>
    </row>
    <row r="1833" spans="7:14" ht="11.25" customHeight="1" x14ac:dyDescent="0.3">
      <c r="G1833" s="459"/>
      <c r="H1833" s="459">
        <v>1826</v>
      </c>
      <c r="I1833" s="444">
        <f t="shared" ca="1" si="120"/>
        <v>-454421661.75186259</v>
      </c>
      <c r="J1833" s="444">
        <f t="array" ref="J1833">IFERROR(INDEX('Retirement Calculator'!K:K,MATCH('Lorri 401b'!N1833,'Retirement Calculator'!A:A,0),0),0)</f>
        <v>0</v>
      </c>
      <c r="K1833" s="444">
        <f t="shared" ca="1" si="118"/>
        <v>-1893423.5906327607</v>
      </c>
      <c r="L1833" s="444">
        <f t="shared" ca="1" si="119"/>
        <v>-456315085.34249532</v>
      </c>
      <c r="M1833" s="460">
        <f t="shared" si="121"/>
        <v>0.05</v>
      </c>
      <c r="N1833" s="464">
        <f t="shared" si="122"/>
        <v>106835</v>
      </c>
    </row>
    <row r="1834" spans="7:14" ht="11.25" customHeight="1" x14ac:dyDescent="0.3">
      <c r="G1834" s="459"/>
      <c r="H1834" s="459">
        <v>1827</v>
      </c>
      <c r="I1834" s="444">
        <f t="shared" ca="1" si="120"/>
        <v>-456315085.34249532</v>
      </c>
      <c r="J1834" s="444">
        <f t="array" ref="J1834">IFERROR(INDEX('Retirement Calculator'!K:K,MATCH('Lorri 401b'!N1834,'Retirement Calculator'!A:A,0),0),0)</f>
        <v>0</v>
      </c>
      <c r="K1834" s="444">
        <f t="shared" ca="1" si="118"/>
        <v>-1901312.8555937302</v>
      </c>
      <c r="L1834" s="444">
        <f t="shared" ca="1" si="119"/>
        <v>-458216398.19808906</v>
      </c>
      <c r="M1834" s="460">
        <f t="shared" si="121"/>
        <v>0.05</v>
      </c>
      <c r="N1834" s="464">
        <f t="shared" si="122"/>
        <v>106866</v>
      </c>
    </row>
    <row r="1835" spans="7:14" ht="11.25" customHeight="1" x14ac:dyDescent="0.3">
      <c r="G1835" s="459"/>
      <c r="H1835" s="459">
        <v>1828</v>
      </c>
      <c r="I1835" s="444">
        <f t="shared" ca="1" si="120"/>
        <v>-458216398.19808906</v>
      </c>
      <c r="J1835" s="444">
        <f t="array" ref="J1835">IFERROR(INDEX('Retirement Calculator'!K:K,MATCH('Lorri 401b'!N1835,'Retirement Calculator'!A:A,0),0),0)</f>
        <v>0</v>
      </c>
      <c r="K1835" s="444">
        <f t="shared" ca="1" si="118"/>
        <v>-1909234.9924920378</v>
      </c>
      <c r="L1835" s="444">
        <f t="shared" ca="1" si="119"/>
        <v>-460125633.19058108</v>
      </c>
      <c r="M1835" s="460">
        <f t="shared" si="121"/>
        <v>0.05</v>
      </c>
      <c r="N1835" s="464">
        <f t="shared" si="122"/>
        <v>106897</v>
      </c>
    </row>
    <row r="1836" spans="7:14" ht="11.25" customHeight="1" x14ac:dyDescent="0.3">
      <c r="G1836" s="459"/>
      <c r="H1836" s="459">
        <v>1829</v>
      </c>
      <c r="I1836" s="444">
        <f t="shared" ca="1" si="120"/>
        <v>-460125633.19058108</v>
      </c>
      <c r="J1836" s="444">
        <f t="array" ref="J1836">IFERROR(INDEX('Retirement Calculator'!K:K,MATCH('Lorri 401b'!N1836,'Retirement Calculator'!A:A,0),0),0)</f>
        <v>0</v>
      </c>
      <c r="K1836" s="444">
        <f t="shared" ca="1" si="118"/>
        <v>-1917190.1382940877</v>
      </c>
      <c r="L1836" s="444">
        <f t="shared" ca="1" si="119"/>
        <v>-462042823.32887518</v>
      </c>
      <c r="M1836" s="460">
        <f t="shared" si="121"/>
        <v>0.05</v>
      </c>
      <c r="N1836" s="464">
        <f t="shared" si="122"/>
        <v>106927</v>
      </c>
    </row>
    <row r="1837" spans="7:14" ht="11.25" customHeight="1" x14ac:dyDescent="0.3">
      <c r="G1837" s="459"/>
      <c r="H1837" s="459">
        <v>1830</v>
      </c>
      <c r="I1837" s="444">
        <f t="shared" ca="1" si="120"/>
        <v>-462042823.32887518</v>
      </c>
      <c r="J1837" s="444">
        <f t="array" ref="J1837">IFERROR(INDEX('Retirement Calculator'!K:K,MATCH('Lorri 401b'!N1837,'Retirement Calculator'!A:A,0),0),0)</f>
        <v>0</v>
      </c>
      <c r="K1837" s="444">
        <f t="shared" ca="1" si="118"/>
        <v>-1925178.4305369798</v>
      </c>
      <c r="L1837" s="444">
        <f t="shared" ca="1" si="119"/>
        <v>-463968001.75941217</v>
      </c>
      <c r="M1837" s="460">
        <f t="shared" si="121"/>
        <v>0.05</v>
      </c>
      <c r="N1837" s="464">
        <f t="shared" si="122"/>
        <v>106958</v>
      </c>
    </row>
    <row r="1838" spans="7:14" ht="11.25" customHeight="1" x14ac:dyDescent="0.3">
      <c r="G1838" s="459"/>
      <c r="H1838" s="459">
        <v>1831</v>
      </c>
      <c r="I1838" s="444">
        <f t="shared" ca="1" si="120"/>
        <v>-463968001.75941217</v>
      </c>
      <c r="J1838" s="444">
        <f t="array" ref="J1838">IFERROR(INDEX('Retirement Calculator'!K:K,MATCH('Lorri 401b'!N1838,'Retirement Calculator'!A:A,0),0),0)</f>
        <v>0</v>
      </c>
      <c r="K1838" s="444">
        <f t="shared" ca="1" si="118"/>
        <v>-1933200.0073308838</v>
      </c>
      <c r="L1838" s="444">
        <f t="shared" ca="1" si="119"/>
        <v>-465901201.76674306</v>
      </c>
      <c r="M1838" s="460">
        <f t="shared" si="121"/>
        <v>0.05</v>
      </c>
      <c r="N1838" s="464">
        <f t="shared" si="122"/>
        <v>106988</v>
      </c>
    </row>
    <row r="1839" spans="7:14" ht="11.25" customHeight="1" x14ac:dyDescent="0.3">
      <c r="G1839" s="459"/>
      <c r="H1839" s="459">
        <v>1832</v>
      </c>
      <c r="I1839" s="444">
        <f t="shared" ca="1" si="120"/>
        <v>-465901201.76674306</v>
      </c>
      <c r="J1839" s="444">
        <f t="array" ref="J1839">IFERROR(INDEX('Retirement Calculator'!K:K,MATCH('Lorri 401b'!N1839,'Retirement Calculator'!A:A,0),0),0)</f>
        <v>0</v>
      </c>
      <c r="K1839" s="444">
        <f t="shared" ca="1" si="118"/>
        <v>-1941255.0073614295</v>
      </c>
      <c r="L1839" s="444">
        <f t="shared" ca="1" si="119"/>
        <v>-467842456.77410448</v>
      </c>
      <c r="M1839" s="460">
        <f t="shared" si="121"/>
        <v>0.05</v>
      </c>
      <c r="N1839" s="464">
        <f t="shared" si="122"/>
        <v>107019</v>
      </c>
    </row>
    <row r="1840" spans="7:14" ht="11.25" customHeight="1" x14ac:dyDescent="0.3">
      <c r="G1840" s="459"/>
      <c r="H1840" s="459">
        <v>1833</v>
      </c>
      <c r="I1840" s="444">
        <f t="shared" ca="1" si="120"/>
        <v>-467842456.77410448</v>
      </c>
      <c r="J1840" s="444">
        <f t="array" ref="J1840">IFERROR(INDEX('Retirement Calculator'!K:K,MATCH('Lorri 401b'!N1840,'Retirement Calculator'!A:A,0),0),0)</f>
        <v>0</v>
      </c>
      <c r="K1840" s="444">
        <f t="shared" ca="1" si="118"/>
        <v>-1949343.5698921019</v>
      </c>
      <c r="L1840" s="444">
        <f t="shared" ca="1" si="119"/>
        <v>-469791800.34399658</v>
      </c>
      <c r="M1840" s="460">
        <f t="shared" si="121"/>
        <v>0.05</v>
      </c>
      <c r="N1840" s="464">
        <f t="shared" si="122"/>
        <v>107050</v>
      </c>
    </row>
    <row r="1841" spans="7:14" ht="11.25" customHeight="1" x14ac:dyDescent="0.3">
      <c r="G1841" s="459"/>
      <c r="H1841" s="459">
        <v>1834</v>
      </c>
      <c r="I1841" s="444">
        <f t="shared" ca="1" si="120"/>
        <v>-469791800.34399658</v>
      </c>
      <c r="J1841" s="444">
        <f t="array" ref="J1841">IFERROR(INDEX('Retirement Calculator'!K:K,MATCH('Lorri 401b'!N1841,'Retirement Calculator'!A:A,0),0),0)</f>
        <v>0</v>
      </c>
      <c r="K1841" s="444">
        <f t="shared" ca="1" si="118"/>
        <v>-1957465.8347666522</v>
      </c>
      <c r="L1841" s="444">
        <f t="shared" ca="1" si="119"/>
        <v>-471749266.17876321</v>
      </c>
      <c r="M1841" s="460">
        <f t="shared" si="121"/>
        <v>0.05</v>
      </c>
      <c r="N1841" s="464">
        <f t="shared" si="122"/>
        <v>107078</v>
      </c>
    </row>
    <row r="1842" spans="7:14" ht="11.25" customHeight="1" x14ac:dyDescent="0.3">
      <c r="G1842" s="459"/>
      <c r="H1842" s="459">
        <v>1835</v>
      </c>
      <c r="I1842" s="444">
        <f t="shared" ca="1" si="120"/>
        <v>-471749266.17876321</v>
      </c>
      <c r="J1842" s="444">
        <f t="array" ref="J1842">IFERROR(INDEX('Retirement Calculator'!K:K,MATCH('Lorri 401b'!N1842,'Retirement Calculator'!A:A,0),0),0)</f>
        <v>0</v>
      </c>
      <c r="K1842" s="444">
        <f t="shared" ca="1" si="118"/>
        <v>-1965621.9424115135</v>
      </c>
      <c r="L1842" s="444">
        <f t="shared" ca="1" si="119"/>
        <v>-473714888.12117475</v>
      </c>
      <c r="M1842" s="460">
        <f t="shared" si="121"/>
        <v>0.05</v>
      </c>
      <c r="N1842" s="464">
        <f t="shared" si="122"/>
        <v>107109</v>
      </c>
    </row>
    <row r="1843" spans="7:14" ht="11.25" customHeight="1" x14ac:dyDescent="0.3">
      <c r="G1843" s="459"/>
      <c r="H1843" s="459">
        <v>1836</v>
      </c>
      <c r="I1843" s="444">
        <f t="shared" ca="1" si="120"/>
        <v>-473714888.12117475</v>
      </c>
      <c r="J1843" s="444">
        <f t="array" ref="J1843">IFERROR(INDEX('Retirement Calculator'!K:K,MATCH('Lorri 401b'!N1843,'Retirement Calculator'!A:A,0),0),0)</f>
        <v>0</v>
      </c>
      <c r="K1843" s="444">
        <f t="shared" ca="1" si="118"/>
        <v>-1973812.0338382281</v>
      </c>
      <c r="L1843" s="444">
        <f t="shared" ca="1" si="119"/>
        <v>-475688700.15501297</v>
      </c>
      <c r="M1843" s="460">
        <f t="shared" si="121"/>
        <v>0.05</v>
      </c>
      <c r="N1843" s="464">
        <f t="shared" si="122"/>
        <v>107139</v>
      </c>
    </row>
    <row r="1844" spans="7:14" ht="11.25" customHeight="1" x14ac:dyDescent="0.3">
      <c r="G1844" s="459"/>
      <c r="H1844" s="459">
        <v>1837</v>
      </c>
      <c r="I1844" s="444">
        <f t="shared" ca="1" si="120"/>
        <v>-475688700.15501297</v>
      </c>
      <c r="J1844" s="444">
        <f t="array" ref="J1844">IFERROR(INDEX('Retirement Calculator'!K:K,MATCH('Lorri 401b'!N1844,'Retirement Calculator'!A:A,0),0),0)</f>
        <v>0</v>
      </c>
      <c r="K1844" s="444">
        <f t="shared" ca="1" si="118"/>
        <v>-1982036.2506458873</v>
      </c>
      <c r="L1844" s="444">
        <f t="shared" ca="1" si="119"/>
        <v>-477670736.40565884</v>
      </c>
      <c r="M1844" s="460">
        <f t="shared" si="121"/>
        <v>0.05</v>
      </c>
      <c r="N1844" s="464">
        <f t="shared" si="122"/>
        <v>107170</v>
      </c>
    </row>
    <row r="1845" spans="7:14" ht="11.25" customHeight="1" x14ac:dyDescent="0.3">
      <c r="G1845" s="459"/>
      <c r="H1845" s="459">
        <v>1838</v>
      </c>
      <c r="I1845" s="444">
        <f t="shared" ca="1" si="120"/>
        <v>-477670736.40565884</v>
      </c>
      <c r="J1845" s="444">
        <f t="array" ref="J1845">IFERROR(INDEX('Retirement Calculator'!K:K,MATCH('Lorri 401b'!N1845,'Retirement Calculator'!A:A,0),0),0)</f>
        <v>0</v>
      </c>
      <c r="K1845" s="444">
        <f t="shared" ca="1" si="118"/>
        <v>-1990294.7350235782</v>
      </c>
      <c r="L1845" s="444">
        <f t="shared" ca="1" si="119"/>
        <v>-479661031.1406824</v>
      </c>
      <c r="M1845" s="460">
        <f t="shared" si="121"/>
        <v>0.05</v>
      </c>
      <c r="N1845" s="464">
        <f t="shared" si="122"/>
        <v>107200</v>
      </c>
    </row>
    <row r="1846" spans="7:14" ht="11.25" customHeight="1" x14ac:dyDescent="0.3">
      <c r="G1846" s="459"/>
      <c r="H1846" s="459">
        <v>1839</v>
      </c>
      <c r="I1846" s="444">
        <f t="shared" ca="1" si="120"/>
        <v>-479661031.1406824</v>
      </c>
      <c r="J1846" s="444">
        <f t="array" ref="J1846">IFERROR(INDEX('Retirement Calculator'!K:K,MATCH('Lorri 401b'!N1846,'Retirement Calculator'!A:A,0),0),0)</f>
        <v>0</v>
      </c>
      <c r="K1846" s="444">
        <f t="shared" ca="1" si="118"/>
        <v>-1998587.6297528434</v>
      </c>
      <c r="L1846" s="444">
        <f t="shared" ca="1" si="119"/>
        <v>-481659618.77043521</v>
      </c>
      <c r="M1846" s="460">
        <f t="shared" si="121"/>
        <v>0.05</v>
      </c>
      <c r="N1846" s="464">
        <f t="shared" si="122"/>
        <v>107231</v>
      </c>
    </row>
    <row r="1847" spans="7:14" ht="11.25" customHeight="1" x14ac:dyDescent="0.3">
      <c r="G1847" s="459"/>
      <c r="H1847" s="459">
        <v>1840</v>
      </c>
      <c r="I1847" s="444">
        <f t="shared" ca="1" si="120"/>
        <v>-481659618.77043521</v>
      </c>
      <c r="J1847" s="444">
        <f t="array" ref="J1847">IFERROR(INDEX('Retirement Calculator'!K:K,MATCH('Lorri 401b'!N1847,'Retirement Calculator'!A:A,0),0),0)</f>
        <v>0</v>
      </c>
      <c r="K1847" s="444">
        <f t="shared" ca="1" si="118"/>
        <v>-2006915.0782101464</v>
      </c>
      <c r="L1847" s="444">
        <f t="shared" ca="1" si="119"/>
        <v>-483666533.84864539</v>
      </c>
      <c r="M1847" s="460">
        <f t="shared" si="121"/>
        <v>0.05</v>
      </c>
      <c r="N1847" s="464">
        <f t="shared" si="122"/>
        <v>107262</v>
      </c>
    </row>
    <row r="1848" spans="7:14" ht="11.25" customHeight="1" x14ac:dyDescent="0.3">
      <c r="G1848" s="459"/>
      <c r="H1848" s="459">
        <v>1841</v>
      </c>
      <c r="I1848" s="444">
        <f t="shared" ca="1" si="120"/>
        <v>-483666533.84864539</v>
      </c>
      <c r="J1848" s="444">
        <f t="array" ref="J1848">IFERROR(INDEX('Retirement Calculator'!K:K,MATCH('Lorri 401b'!N1848,'Retirement Calculator'!A:A,0),0),0)</f>
        <v>0</v>
      </c>
      <c r="K1848" s="444">
        <f t="shared" ca="1" si="118"/>
        <v>-2015277.2243693557</v>
      </c>
      <c r="L1848" s="444">
        <f t="shared" ca="1" si="119"/>
        <v>-485681811.07301474</v>
      </c>
      <c r="M1848" s="460">
        <f t="shared" si="121"/>
        <v>0.05</v>
      </c>
      <c r="N1848" s="464">
        <f t="shared" si="122"/>
        <v>107292</v>
      </c>
    </row>
    <row r="1849" spans="7:14" ht="11.25" customHeight="1" x14ac:dyDescent="0.3">
      <c r="G1849" s="459"/>
      <c r="H1849" s="459">
        <v>1842</v>
      </c>
      <c r="I1849" s="444">
        <f t="shared" ca="1" si="120"/>
        <v>-485681811.07301474</v>
      </c>
      <c r="J1849" s="444">
        <f t="array" ref="J1849">IFERROR(INDEX('Retirement Calculator'!K:K,MATCH('Lorri 401b'!N1849,'Retirement Calculator'!A:A,0),0),0)</f>
        <v>0</v>
      </c>
      <c r="K1849" s="444">
        <f t="shared" ca="1" si="118"/>
        <v>-2023674.2128042278</v>
      </c>
      <c r="L1849" s="444">
        <f t="shared" ca="1" si="119"/>
        <v>-487705485.28581893</v>
      </c>
      <c r="M1849" s="460">
        <f t="shared" si="121"/>
        <v>0.05</v>
      </c>
      <c r="N1849" s="464">
        <f t="shared" si="122"/>
        <v>107323</v>
      </c>
    </row>
    <row r="1850" spans="7:14" ht="11.25" customHeight="1" x14ac:dyDescent="0.3">
      <c r="G1850" s="459"/>
      <c r="H1850" s="459">
        <v>1843</v>
      </c>
      <c r="I1850" s="444">
        <f t="shared" ca="1" si="120"/>
        <v>-487705485.28581893</v>
      </c>
      <c r="J1850" s="444">
        <f t="array" ref="J1850">IFERROR(INDEX('Retirement Calculator'!K:K,MATCH('Lorri 401b'!N1850,'Retirement Calculator'!A:A,0),0),0)</f>
        <v>0</v>
      </c>
      <c r="K1850" s="444">
        <f t="shared" ca="1" si="118"/>
        <v>-2032106.1886909122</v>
      </c>
      <c r="L1850" s="444">
        <f t="shared" ca="1" si="119"/>
        <v>-489737591.47450984</v>
      </c>
      <c r="M1850" s="460">
        <f t="shared" si="121"/>
        <v>0.05</v>
      </c>
      <c r="N1850" s="464">
        <f t="shared" si="122"/>
        <v>107353</v>
      </c>
    </row>
    <row r="1851" spans="7:14" ht="11.25" customHeight="1" x14ac:dyDescent="0.3">
      <c r="G1851" s="459"/>
      <c r="H1851" s="459">
        <v>1844</v>
      </c>
      <c r="I1851" s="444">
        <f t="shared" ca="1" si="120"/>
        <v>-489737591.47450984</v>
      </c>
      <c r="J1851" s="444">
        <f t="array" ref="J1851">IFERROR(INDEX('Retirement Calculator'!K:K,MATCH('Lorri 401b'!N1851,'Retirement Calculator'!A:A,0),0),0)</f>
        <v>0</v>
      </c>
      <c r="K1851" s="444">
        <f t="shared" ca="1" si="118"/>
        <v>-2040573.2978104576</v>
      </c>
      <c r="L1851" s="444">
        <f t="shared" ca="1" si="119"/>
        <v>-491778164.77232027</v>
      </c>
      <c r="M1851" s="460">
        <f t="shared" si="121"/>
        <v>0.05</v>
      </c>
      <c r="N1851" s="464">
        <f t="shared" si="122"/>
        <v>107384</v>
      </c>
    </row>
    <row r="1852" spans="7:14" ht="11.25" customHeight="1" x14ac:dyDescent="0.3">
      <c r="G1852" s="459"/>
      <c r="H1852" s="459">
        <v>1845</v>
      </c>
      <c r="I1852" s="444">
        <f t="shared" ca="1" si="120"/>
        <v>-491778164.77232027</v>
      </c>
      <c r="J1852" s="444">
        <f t="array" ref="J1852">IFERROR(INDEX('Retirement Calculator'!K:K,MATCH('Lorri 401b'!N1852,'Retirement Calculator'!A:A,0),0),0)</f>
        <v>0</v>
      </c>
      <c r="K1852" s="444">
        <f t="shared" ca="1" si="118"/>
        <v>-2049075.6865513343</v>
      </c>
      <c r="L1852" s="444">
        <f t="shared" ca="1" si="119"/>
        <v>-493827240.4588716</v>
      </c>
      <c r="M1852" s="460">
        <f t="shared" si="121"/>
        <v>0.05</v>
      </c>
      <c r="N1852" s="464">
        <f t="shared" si="122"/>
        <v>107415</v>
      </c>
    </row>
    <row r="1853" spans="7:14" ht="11.25" customHeight="1" x14ac:dyDescent="0.3">
      <c r="G1853" s="459"/>
      <c r="H1853" s="459">
        <v>1846</v>
      </c>
      <c r="I1853" s="444">
        <f t="shared" ca="1" si="120"/>
        <v>-493827240.4588716</v>
      </c>
      <c r="J1853" s="444">
        <f t="array" ref="J1853">IFERROR(INDEX('Retirement Calculator'!K:K,MATCH('Lorri 401b'!N1853,'Retirement Calculator'!A:A,0),0),0)</f>
        <v>0</v>
      </c>
      <c r="K1853" s="444">
        <f t="shared" ca="1" si="118"/>
        <v>-2057613.501911965</v>
      </c>
      <c r="L1853" s="444">
        <f t="shared" ca="1" si="119"/>
        <v>-495884853.96078354</v>
      </c>
      <c r="M1853" s="460">
        <f t="shared" si="121"/>
        <v>0.05</v>
      </c>
      <c r="N1853" s="464">
        <f t="shared" si="122"/>
        <v>107443</v>
      </c>
    </row>
    <row r="1854" spans="7:14" ht="11.25" customHeight="1" x14ac:dyDescent="0.3">
      <c r="G1854" s="459"/>
      <c r="H1854" s="459">
        <v>1847</v>
      </c>
      <c r="I1854" s="444">
        <f t="shared" ca="1" si="120"/>
        <v>-495884853.96078354</v>
      </c>
      <c r="J1854" s="444">
        <f t="array" ref="J1854">IFERROR(INDEX('Retirement Calculator'!K:K,MATCH('Lorri 401b'!N1854,'Retirement Calculator'!A:A,0),0),0)</f>
        <v>0</v>
      </c>
      <c r="K1854" s="444">
        <f t="shared" ca="1" si="118"/>
        <v>-2066186.8915032649</v>
      </c>
      <c r="L1854" s="444">
        <f t="shared" ca="1" si="119"/>
        <v>-497951040.85228682</v>
      </c>
      <c r="M1854" s="460">
        <f t="shared" si="121"/>
        <v>0.05</v>
      </c>
      <c r="N1854" s="464">
        <f t="shared" si="122"/>
        <v>107474</v>
      </c>
    </row>
    <row r="1855" spans="7:14" ht="11.25" customHeight="1" x14ac:dyDescent="0.3">
      <c r="G1855" s="459"/>
      <c r="H1855" s="459">
        <v>1848</v>
      </c>
      <c r="I1855" s="444">
        <f t="shared" ca="1" si="120"/>
        <v>-497951040.85228682</v>
      </c>
      <c r="J1855" s="444">
        <f t="array" ref="J1855">IFERROR(INDEX('Retirement Calculator'!K:K,MATCH('Lorri 401b'!N1855,'Retirement Calculator'!A:A,0),0),0)</f>
        <v>0</v>
      </c>
      <c r="K1855" s="444">
        <f t="shared" ca="1" si="118"/>
        <v>-2074796.0035511951</v>
      </c>
      <c r="L1855" s="444">
        <f t="shared" ca="1" si="119"/>
        <v>-500025836.855838</v>
      </c>
      <c r="M1855" s="460">
        <f t="shared" si="121"/>
        <v>0.05</v>
      </c>
      <c r="N1855" s="464">
        <f t="shared" si="122"/>
        <v>107504</v>
      </c>
    </row>
    <row r="1856" spans="7:14" ht="11.25" customHeight="1" x14ac:dyDescent="0.3">
      <c r="G1856" s="459"/>
      <c r="H1856" s="459">
        <v>1849</v>
      </c>
      <c r="I1856" s="444">
        <f t="shared" ca="1" si="120"/>
        <v>-500025836.855838</v>
      </c>
      <c r="J1856" s="444">
        <f t="array" ref="J1856">IFERROR(INDEX('Retirement Calculator'!K:K,MATCH('Lorri 401b'!N1856,'Retirement Calculator'!A:A,0),0),0)</f>
        <v>0</v>
      </c>
      <c r="K1856" s="444">
        <f t="shared" ca="1" si="118"/>
        <v>-2083440.9868993249</v>
      </c>
      <c r="L1856" s="444">
        <f t="shared" ca="1" si="119"/>
        <v>-502109277.84273732</v>
      </c>
      <c r="M1856" s="460">
        <f t="shared" si="121"/>
        <v>0.05</v>
      </c>
      <c r="N1856" s="464">
        <f t="shared" si="122"/>
        <v>107535</v>
      </c>
    </row>
    <row r="1857" spans="7:14" ht="11.25" customHeight="1" x14ac:dyDescent="0.3">
      <c r="G1857" s="459"/>
      <c r="H1857" s="459">
        <v>1850</v>
      </c>
      <c r="I1857" s="444">
        <f t="shared" ca="1" si="120"/>
        <v>-502109277.84273732</v>
      </c>
      <c r="J1857" s="444">
        <f t="array" ref="J1857">IFERROR(INDEX('Retirement Calculator'!K:K,MATCH('Lorri 401b'!N1857,'Retirement Calculator'!A:A,0),0),0)</f>
        <v>0</v>
      </c>
      <c r="K1857" s="444">
        <f t="shared" ca="1" si="118"/>
        <v>-2092121.9910114054</v>
      </c>
      <c r="L1857" s="444">
        <f t="shared" ca="1" si="119"/>
        <v>-504201399.8337487</v>
      </c>
      <c r="M1857" s="460">
        <f t="shared" si="121"/>
        <v>0.05</v>
      </c>
      <c r="N1857" s="464">
        <f t="shared" si="122"/>
        <v>107565</v>
      </c>
    </row>
    <row r="1858" spans="7:14" ht="11.25" customHeight="1" x14ac:dyDescent="0.3">
      <c r="G1858" s="459"/>
      <c r="H1858" s="459">
        <v>1851</v>
      </c>
      <c r="I1858" s="444">
        <f t="shared" ca="1" si="120"/>
        <v>-504201399.8337487</v>
      </c>
      <c r="J1858" s="444">
        <f t="array" ref="J1858">IFERROR(INDEX('Retirement Calculator'!K:K,MATCH('Lorri 401b'!N1858,'Retirement Calculator'!A:A,0),0),0)</f>
        <v>0</v>
      </c>
      <c r="K1858" s="444">
        <f t="shared" ca="1" si="118"/>
        <v>-2100839.1659739525</v>
      </c>
      <c r="L1858" s="444">
        <f t="shared" ca="1" si="119"/>
        <v>-506302238.99972266</v>
      </c>
      <c r="M1858" s="460">
        <f t="shared" si="121"/>
        <v>0.05</v>
      </c>
      <c r="N1858" s="464">
        <f t="shared" si="122"/>
        <v>107596</v>
      </c>
    </row>
    <row r="1859" spans="7:14" ht="11.25" customHeight="1" x14ac:dyDescent="0.3">
      <c r="G1859" s="459"/>
      <c r="H1859" s="459">
        <v>1852</v>
      </c>
      <c r="I1859" s="444">
        <f t="shared" ca="1" si="120"/>
        <v>-506302238.99972266</v>
      </c>
      <c r="J1859" s="444">
        <f t="array" ref="J1859">IFERROR(INDEX('Retirement Calculator'!K:K,MATCH('Lorri 401b'!N1859,'Retirement Calculator'!A:A,0),0),0)</f>
        <v>0</v>
      </c>
      <c r="K1859" s="444">
        <f t="shared" ca="1" si="118"/>
        <v>-2109592.6624988443</v>
      </c>
      <c r="L1859" s="444">
        <f t="shared" ca="1" si="119"/>
        <v>-508411831.66222149</v>
      </c>
      <c r="M1859" s="460">
        <f t="shared" si="121"/>
        <v>0.05</v>
      </c>
      <c r="N1859" s="464">
        <f t="shared" si="122"/>
        <v>107627</v>
      </c>
    </row>
    <row r="1860" spans="7:14" ht="11.25" customHeight="1" x14ac:dyDescent="0.3">
      <c r="G1860" s="459"/>
      <c r="H1860" s="459">
        <v>1853</v>
      </c>
      <c r="I1860" s="444">
        <f t="shared" ca="1" si="120"/>
        <v>-508411831.66222149</v>
      </c>
      <c r="J1860" s="444">
        <f t="array" ref="J1860">IFERROR(INDEX('Retirement Calculator'!K:K,MATCH('Lorri 401b'!N1860,'Retirement Calculator'!A:A,0),0),0)</f>
        <v>0</v>
      </c>
      <c r="K1860" s="444">
        <f t="shared" ca="1" si="118"/>
        <v>-2118382.6319259228</v>
      </c>
      <c r="L1860" s="444">
        <f t="shared" ca="1" si="119"/>
        <v>-510530214.29414743</v>
      </c>
      <c r="M1860" s="460">
        <f t="shared" si="121"/>
        <v>0.05</v>
      </c>
      <c r="N1860" s="464">
        <f t="shared" si="122"/>
        <v>107657</v>
      </c>
    </row>
    <row r="1861" spans="7:14" ht="11.25" customHeight="1" x14ac:dyDescent="0.3">
      <c r="G1861" s="459"/>
      <c r="H1861" s="459">
        <v>1854</v>
      </c>
      <c r="I1861" s="444">
        <f t="shared" ca="1" si="120"/>
        <v>-510530214.29414743</v>
      </c>
      <c r="J1861" s="444">
        <f t="array" ref="J1861">IFERROR(INDEX('Retirement Calculator'!K:K,MATCH('Lorri 401b'!N1861,'Retirement Calculator'!A:A,0),0),0)</f>
        <v>0</v>
      </c>
      <c r="K1861" s="444">
        <f t="shared" ca="1" si="118"/>
        <v>-2127209.2262256141</v>
      </c>
      <c r="L1861" s="444">
        <f t="shared" ca="1" si="119"/>
        <v>-512657423.52037305</v>
      </c>
      <c r="M1861" s="460">
        <f t="shared" si="121"/>
        <v>0.05</v>
      </c>
      <c r="N1861" s="464">
        <f t="shared" si="122"/>
        <v>107688</v>
      </c>
    </row>
    <row r="1862" spans="7:14" ht="11.25" customHeight="1" x14ac:dyDescent="0.3">
      <c r="G1862" s="459"/>
      <c r="H1862" s="459">
        <v>1855</v>
      </c>
      <c r="I1862" s="444">
        <f t="shared" ca="1" si="120"/>
        <v>-512657423.52037305</v>
      </c>
      <c r="J1862" s="444">
        <f t="array" ref="J1862">IFERROR(INDEX('Retirement Calculator'!K:K,MATCH('Lorri 401b'!N1862,'Retirement Calculator'!A:A,0),0),0)</f>
        <v>0</v>
      </c>
      <c r="K1862" s="444">
        <f t="shared" ca="1" si="118"/>
        <v>-2136072.5980015541</v>
      </c>
      <c r="L1862" s="444">
        <f t="shared" ca="1" si="119"/>
        <v>-514793496.11837459</v>
      </c>
      <c r="M1862" s="460">
        <f t="shared" si="121"/>
        <v>0.05</v>
      </c>
      <c r="N1862" s="464">
        <f t="shared" si="122"/>
        <v>107718</v>
      </c>
    </row>
    <row r="1863" spans="7:14" ht="11.25" customHeight="1" x14ac:dyDescent="0.3">
      <c r="G1863" s="459"/>
      <c r="H1863" s="459">
        <v>1856</v>
      </c>
      <c r="I1863" s="444">
        <f t="shared" ca="1" si="120"/>
        <v>-514793496.11837459</v>
      </c>
      <c r="J1863" s="444">
        <f t="array" ref="J1863">IFERROR(INDEX('Retirement Calculator'!K:K,MATCH('Lorri 401b'!N1863,'Retirement Calculator'!A:A,0),0),0)</f>
        <v>0</v>
      </c>
      <c r="K1863" s="444">
        <f t="shared" ca="1" si="118"/>
        <v>-2144972.9004932269</v>
      </c>
      <c r="L1863" s="444">
        <f t="shared" ca="1" si="119"/>
        <v>-516938469.01886779</v>
      </c>
      <c r="M1863" s="460">
        <f t="shared" si="121"/>
        <v>0.05</v>
      </c>
      <c r="N1863" s="464">
        <f t="shared" si="122"/>
        <v>107749</v>
      </c>
    </row>
    <row r="1864" spans="7:14" ht="11.25" customHeight="1" x14ac:dyDescent="0.3">
      <c r="G1864" s="459"/>
      <c r="H1864" s="459">
        <v>1857</v>
      </c>
      <c r="I1864" s="444">
        <f t="shared" ca="1" si="120"/>
        <v>-516938469.01886779</v>
      </c>
      <c r="J1864" s="444">
        <f t="array" ref="J1864">IFERROR(INDEX('Retirement Calculator'!K:K,MATCH('Lorri 401b'!N1864,'Retirement Calculator'!A:A,0),0),0)</f>
        <v>0</v>
      </c>
      <c r="K1864" s="444">
        <f t="shared" ca="1" si="118"/>
        <v>-2153910.2875786158</v>
      </c>
      <c r="L1864" s="444">
        <f t="shared" ca="1" si="119"/>
        <v>-519092379.30644643</v>
      </c>
      <c r="M1864" s="460">
        <f t="shared" si="121"/>
        <v>0.05</v>
      </c>
      <c r="N1864" s="464">
        <f t="shared" si="122"/>
        <v>107780</v>
      </c>
    </row>
    <row r="1865" spans="7:14" ht="11.25" customHeight="1" x14ac:dyDescent="0.3">
      <c r="G1865" s="459"/>
      <c r="H1865" s="459">
        <v>1858</v>
      </c>
      <c r="I1865" s="444">
        <f t="shared" ca="1" si="120"/>
        <v>-519092379.30644643</v>
      </c>
      <c r="J1865" s="444">
        <f t="array" ref="J1865">IFERROR(INDEX('Retirement Calculator'!K:K,MATCH('Lorri 401b'!N1865,'Retirement Calculator'!A:A,0),0),0)</f>
        <v>0</v>
      </c>
      <c r="K1865" s="444">
        <f t="shared" ca="1" si="118"/>
        <v>-2162884.9137768601</v>
      </c>
      <c r="L1865" s="444">
        <f t="shared" ca="1" si="119"/>
        <v>-521255264.22022331</v>
      </c>
      <c r="M1865" s="460">
        <f t="shared" si="121"/>
        <v>0.05</v>
      </c>
      <c r="N1865" s="464">
        <f t="shared" si="122"/>
        <v>107808</v>
      </c>
    </row>
    <row r="1866" spans="7:14" ht="11.25" customHeight="1" x14ac:dyDescent="0.3">
      <c r="G1866" s="459"/>
      <c r="H1866" s="459">
        <v>1859</v>
      </c>
      <c r="I1866" s="444">
        <f t="shared" ca="1" si="120"/>
        <v>-521255264.22022331</v>
      </c>
      <c r="J1866" s="444">
        <f t="array" ref="J1866">IFERROR(INDEX('Retirement Calculator'!K:K,MATCH('Lorri 401b'!N1866,'Retirement Calculator'!A:A,0),0),0)</f>
        <v>0</v>
      </c>
      <c r="K1866" s="444">
        <f t="shared" ca="1" si="118"/>
        <v>-2171896.9342509303</v>
      </c>
      <c r="L1866" s="444">
        <f t="shared" ca="1" si="119"/>
        <v>-523427161.15447426</v>
      </c>
      <c r="M1866" s="460">
        <f t="shared" si="121"/>
        <v>0.05</v>
      </c>
      <c r="N1866" s="464">
        <f t="shared" si="122"/>
        <v>107839</v>
      </c>
    </row>
    <row r="1867" spans="7:14" ht="11.25" customHeight="1" x14ac:dyDescent="0.3">
      <c r="G1867" s="459"/>
      <c r="H1867" s="459">
        <v>1860</v>
      </c>
      <c r="I1867" s="444">
        <f t="shared" ca="1" si="120"/>
        <v>-523427161.15447426</v>
      </c>
      <c r="J1867" s="444">
        <f t="array" ref="J1867">IFERROR(INDEX('Retirement Calculator'!K:K,MATCH('Lorri 401b'!N1867,'Retirement Calculator'!A:A,0),0),0)</f>
        <v>0</v>
      </c>
      <c r="K1867" s="444">
        <f t="shared" ca="1" si="118"/>
        <v>-2180946.5048103095</v>
      </c>
      <c r="L1867" s="444">
        <f t="shared" ca="1" si="119"/>
        <v>-525608107.65928459</v>
      </c>
      <c r="M1867" s="460">
        <f t="shared" si="121"/>
        <v>0.05</v>
      </c>
      <c r="N1867" s="464">
        <f t="shared" si="122"/>
        <v>107869</v>
      </c>
    </row>
    <row r="1868" spans="7:14" ht="11.25" customHeight="1" x14ac:dyDescent="0.3">
      <c r="G1868" s="459"/>
      <c r="H1868" s="459">
        <v>1861</v>
      </c>
      <c r="I1868" s="444">
        <f t="shared" ca="1" si="120"/>
        <v>-525608107.65928459</v>
      </c>
      <c r="J1868" s="444">
        <f t="array" ref="J1868">IFERROR(INDEX('Retirement Calculator'!K:K,MATCH('Lorri 401b'!N1868,'Retirement Calculator'!A:A,0),0),0)</f>
        <v>0</v>
      </c>
      <c r="K1868" s="444">
        <f t="shared" ca="1" si="118"/>
        <v>-2190033.7819136856</v>
      </c>
      <c r="L1868" s="444">
        <f t="shared" ca="1" si="119"/>
        <v>-527798141.44119829</v>
      </c>
      <c r="M1868" s="460">
        <f t="shared" si="121"/>
        <v>0.05</v>
      </c>
      <c r="N1868" s="464">
        <f t="shared" si="122"/>
        <v>107900</v>
      </c>
    </row>
    <row r="1869" spans="7:14" ht="11.25" customHeight="1" x14ac:dyDescent="0.3">
      <c r="G1869" s="459"/>
      <c r="H1869" s="459">
        <v>1862</v>
      </c>
      <c r="I1869" s="444">
        <f t="shared" ca="1" si="120"/>
        <v>-527798141.44119829</v>
      </c>
      <c r="J1869" s="444">
        <f t="array" ref="J1869">IFERROR(INDEX('Retirement Calculator'!K:K,MATCH('Lorri 401b'!N1869,'Retirement Calculator'!A:A,0),0),0)</f>
        <v>0</v>
      </c>
      <c r="K1869" s="444">
        <f t="shared" ca="1" si="118"/>
        <v>-2199158.9226716594</v>
      </c>
      <c r="L1869" s="444">
        <f t="shared" ca="1" si="119"/>
        <v>-529997300.36386997</v>
      </c>
      <c r="M1869" s="460">
        <f t="shared" si="121"/>
        <v>0.05</v>
      </c>
      <c r="N1869" s="464">
        <f t="shared" si="122"/>
        <v>107930</v>
      </c>
    </row>
    <row r="1870" spans="7:14" ht="11.25" customHeight="1" x14ac:dyDescent="0.3">
      <c r="G1870" s="459"/>
      <c r="H1870" s="459">
        <v>1863</v>
      </c>
      <c r="I1870" s="444">
        <f t="shared" ca="1" si="120"/>
        <v>-529997300.36386997</v>
      </c>
      <c r="J1870" s="444">
        <f t="array" ref="J1870">IFERROR(INDEX('Retirement Calculator'!K:K,MATCH('Lorri 401b'!N1870,'Retirement Calculator'!A:A,0),0),0)</f>
        <v>0</v>
      </c>
      <c r="K1870" s="444">
        <f t="shared" ca="1" si="118"/>
        <v>-2208322.0848494582</v>
      </c>
      <c r="L1870" s="444">
        <f t="shared" ca="1" si="119"/>
        <v>-532205622.44871944</v>
      </c>
      <c r="M1870" s="460">
        <f t="shared" si="121"/>
        <v>0.05</v>
      </c>
      <c r="N1870" s="464">
        <f t="shared" si="122"/>
        <v>107961</v>
      </c>
    </row>
    <row r="1871" spans="7:14" ht="11.25" customHeight="1" x14ac:dyDescent="0.3">
      <c r="G1871" s="459"/>
      <c r="H1871" s="459">
        <v>1864</v>
      </c>
      <c r="I1871" s="444">
        <f t="shared" ca="1" si="120"/>
        <v>-532205622.44871944</v>
      </c>
      <c r="J1871" s="444">
        <f t="array" ref="J1871">IFERROR(INDEX('Retirement Calculator'!K:K,MATCH('Lorri 401b'!N1871,'Retirement Calculator'!A:A,0),0),0)</f>
        <v>0</v>
      </c>
      <c r="K1871" s="444">
        <f t="shared" ca="1" si="118"/>
        <v>-2217523.4268696639</v>
      </c>
      <c r="L1871" s="444">
        <f t="shared" ca="1" si="119"/>
        <v>-534423145.87558913</v>
      </c>
      <c r="M1871" s="460">
        <f t="shared" si="121"/>
        <v>0.05</v>
      </c>
      <c r="N1871" s="464">
        <f t="shared" si="122"/>
        <v>107992</v>
      </c>
    </row>
    <row r="1872" spans="7:14" ht="11.25" customHeight="1" x14ac:dyDescent="0.3">
      <c r="G1872" s="459"/>
      <c r="H1872" s="459">
        <v>1865</v>
      </c>
      <c r="I1872" s="444">
        <f t="shared" ca="1" si="120"/>
        <v>-534423145.87558913</v>
      </c>
      <c r="J1872" s="444">
        <f t="array" ref="J1872">IFERROR(INDEX('Retirement Calculator'!K:K,MATCH('Lorri 401b'!N1872,'Retirement Calculator'!A:A,0),0),0)</f>
        <v>0</v>
      </c>
      <c r="K1872" s="444">
        <f t="shared" ca="1" si="118"/>
        <v>-2226763.1078149546</v>
      </c>
      <c r="L1872" s="444">
        <f t="shared" ca="1" si="119"/>
        <v>-536649908.9834041</v>
      </c>
      <c r="M1872" s="460">
        <f t="shared" si="121"/>
        <v>0.05</v>
      </c>
      <c r="N1872" s="464">
        <f t="shared" si="122"/>
        <v>108022</v>
      </c>
    </row>
    <row r="1873" spans="7:14" ht="11.25" customHeight="1" x14ac:dyDescent="0.3">
      <c r="G1873" s="459"/>
      <c r="H1873" s="459">
        <v>1866</v>
      </c>
      <c r="I1873" s="444">
        <f t="shared" ca="1" si="120"/>
        <v>-536649908.9834041</v>
      </c>
      <c r="J1873" s="444">
        <f t="array" ref="J1873">IFERROR(INDEX('Retirement Calculator'!K:K,MATCH('Lorri 401b'!N1873,'Retirement Calculator'!A:A,0),0),0)</f>
        <v>0</v>
      </c>
      <c r="K1873" s="444">
        <f t="shared" ca="1" si="118"/>
        <v>-2236041.2874308508</v>
      </c>
      <c r="L1873" s="444">
        <f t="shared" ca="1" si="119"/>
        <v>-538885950.27083492</v>
      </c>
      <c r="M1873" s="460">
        <f t="shared" si="121"/>
        <v>0.05</v>
      </c>
      <c r="N1873" s="464">
        <f t="shared" si="122"/>
        <v>108053</v>
      </c>
    </row>
    <row r="1874" spans="7:14" ht="11.25" customHeight="1" x14ac:dyDescent="0.3">
      <c r="G1874" s="459"/>
      <c r="H1874" s="459">
        <v>1867</v>
      </c>
      <c r="I1874" s="444">
        <f t="shared" ca="1" si="120"/>
        <v>-538885950.27083492</v>
      </c>
      <c r="J1874" s="444">
        <f t="array" ref="J1874">IFERROR(INDEX('Retirement Calculator'!K:K,MATCH('Lorri 401b'!N1874,'Retirement Calculator'!A:A,0),0),0)</f>
        <v>0</v>
      </c>
      <c r="K1874" s="444">
        <f t="shared" ca="1" si="118"/>
        <v>-2245358.1261284789</v>
      </c>
      <c r="L1874" s="444">
        <f t="shared" ca="1" si="119"/>
        <v>-541131308.39696336</v>
      </c>
      <c r="M1874" s="460">
        <f t="shared" si="121"/>
        <v>0.05</v>
      </c>
      <c r="N1874" s="464">
        <f t="shared" si="122"/>
        <v>108083</v>
      </c>
    </row>
    <row r="1875" spans="7:14" ht="11.25" customHeight="1" x14ac:dyDescent="0.3">
      <c r="G1875" s="459"/>
      <c r="H1875" s="459">
        <v>1868</v>
      </c>
      <c r="I1875" s="444">
        <f t="shared" ca="1" si="120"/>
        <v>-541131308.39696336</v>
      </c>
      <c r="J1875" s="444">
        <f t="array" ref="J1875">IFERROR(INDEX('Retirement Calculator'!K:K,MATCH('Lorri 401b'!N1875,'Retirement Calculator'!A:A,0),0),0)</f>
        <v>0</v>
      </c>
      <c r="K1875" s="444">
        <f t="shared" ca="1" si="118"/>
        <v>-2254713.7849873472</v>
      </c>
      <c r="L1875" s="444">
        <f t="shared" ca="1" si="119"/>
        <v>-543386022.18195069</v>
      </c>
      <c r="M1875" s="460">
        <f t="shared" si="121"/>
        <v>0.05</v>
      </c>
      <c r="N1875" s="464">
        <f t="shared" si="122"/>
        <v>108114</v>
      </c>
    </row>
    <row r="1876" spans="7:14" ht="11.25" customHeight="1" x14ac:dyDescent="0.3">
      <c r="G1876" s="459"/>
      <c r="H1876" s="459">
        <v>1869</v>
      </c>
      <c r="I1876" s="444">
        <f t="shared" ca="1" si="120"/>
        <v>-543386022.18195069</v>
      </c>
      <c r="J1876" s="444">
        <f t="array" ref="J1876">IFERROR(INDEX('Retirement Calculator'!K:K,MATCH('Lorri 401b'!N1876,'Retirement Calculator'!A:A,0),0),0)</f>
        <v>0</v>
      </c>
      <c r="K1876" s="444">
        <f t="shared" ca="1" si="118"/>
        <v>-2264108.4257581281</v>
      </c>
      <c r="L1876" s="444">
        <f t="shared" ca="1" si="119"/>
        <v>-545650130.60770881</v>
      </c>
      <c r="M1876" s="460">
        <f t="shared" si="121"/>
        <v>0.05</v>
      </c>
      <c r="N1876" s="464">
        <f t="shared" si="122"/>
        <v>108145</v>
      </c>
    </row>
    <row r="1877" spans="7:14" ht="11.25" customHeight="1" x14ac:dyDescent="0.3">
      <c r="G1877" s="459"/>
      <c r="H1877" s="459">
        <v>1870</v>
      </c>
      <c r="I1877" s="444">
        <f t="shared" ca="1" si="120"/>
        <v>-545650130.60770881</v>
      </c>
      <c r="J1877" s="444">
        <f t="array" ref="J1877">IFERROR(INDEX('Retirement Calculator'!K:K,MATCH('Lorri 401b'!N1877,'Retirement Calculator'!A:A,0),0),0)</f>
        <v>0</v>
      </c>
      <c r="K1877" s="444">
        <f t="shared" ca="1" si="118"/>
        <v>-2273542.2108654534</v>
      </c>
      <c r="L1877" s="444">
        <f t="shared" ca="1" si="119"/>
        <v>-547923672.81857431</v>
      </c>
      <c r="M1877" s="460">
        <f t="shared" si="121"/>
        <v>0.05</v>
      </c>
      <c r="N1877" s="464">
        <f t="shared" si="122"/>
        <v>108174</v>
      </c>
    </row>
    <row r="1878" spans="7:14" ht="11.25" customHeight="1" x14ac:dyDescent="0.3">
      <c r="G1878" s="459"/>
      <c r="H1878" s="459">
        <v>1871</v>
      </c>
      <c r="I1878" s="444">
        <f t="shared" ca="1" si="120"/>
        <v>-547923672.81857431</v>
      </c>
      <c r="J1878" s="444">
        <f t="array" ref="J1878">IFERROR(INDEX('Retirement Calculator'!K:K,MATCH('Lorri 401b'!N1878,'Retirement Calculator'!A:A,0),0),0)</f>
        <v>0</v>
      </c>
      <c r="K1878" s="444">
        <f t="shared" ca="1" si="118"/>
        <v>-2283015.3034107261</v>
      </c>
      <c r="L1878" s="444">
        <f t="shared" ca="1" si="119"/>
        <v>-550206688.12198508</v>
      </c>
      <c r="M1878" s="460">
        <f t="shared" si="121"/>
        <v>0.05</v>
      </c>
      <c r="N1878" s="464">
        <f t="shared" si="122"/>
        <v>108205</v>
      </c>
    </row>
    <row r="1879" spans="7:14" ht="11.25" customHeight="1" x14ac:dyDescent="0.3">
      <c r="G1879" s="459"/>
      <c r="H1879" s="459">
        <v>1872</v>
      </c>
      <c r="I1879" s="444">
        <f t="shared" ca="1" si="120"/>
        <v>-550206688.12198508</v>
      </c>
      <c r="J1879" s="444">
        <f t="array" ref="J1879">IFERROR(INDEX('Retirement Calculator'!K:K,MATCH('Lorri 401b'!N1879,'Retirement Calculator'!A:A,0),0),0)</f>
        <v>0</v>
      </c>
      <c r="K1879" s="444">
        <f t="shared" ca="1" si="118"/>
        <v>-2292527.8671749379</v>
      </c>
      <c r="L1879" s="444">
        <f t="shared" ca="1" si="119"/>
        <v>-552499215.98916006</v>
      </c>
      <c r="M1879" s="460">
        <f t="shared" si="121"/>
        <v>0.05</v>
      </c>
      <c r="N1879" s="464">
        <f t="shared" si="122"/>
        <v>108235</v>
      </c>
    </row>
    <row r="1880" spans="7:14" ht="11.25" customHeight="1" x14ac:dyDescent="0.3">
      <c r="G1880" s="459"/>
      <c r="H1880" s="459">
        <v>1873</v>
      </c>
      <c r="I1880" s="444">
        <f t="shared" ca="1" si="120"/>
        <v>-552499215.98916006</v>
      </c>
      <c r="J1880" s="444">
        <f t="array" ref="J1880">IFERROR(INDEX('Retirement Calculator'!K:K,MATCH('Lorri 401b'!N1880,'Retirement Calculator'!A:A,0),0),0)</f>
        <v>0</v>
      </c>
      <c r="K1880" s="444">
        <f t="shared" ca="1" si="118"/>
        <v>-2302080.0666215001</v>
      </c>
      <c r="L1880" s="444">
        <f t="shared" ca="1" si="119"/>
        <v>-554801296.0557816</v>
      </c>
      <c r="M1880" s="460">
        <f t="shared" si="121"/>
        <v>0.05</v>
      </c>
      <c r="N1880" s="464">
        <f t="shared" si="122"/>
        <v>108266</v>
      </c>
    </row>
    <row r="1881" spans="7:14" ht="11.25" customHeight="1" x14ac:dyDescent="0.3">
      <c r="G1881" s="459"/>
      <c r="H1881" s="459">
        <v>1874</v>
      </c>
      <c r="I1881" s="444">
        <f t="shared" ca="1" si="120"/>
        <v>-554801296.0557816</v>
      </c>
      <c r="J1881" s="444">
        <f t="array" ref="J1881">IFERROR(INDEX('Retirement Calculator'!K:K,MATCH('Lorri 401b'!N1881,'Retirement Calculator'!A:A,0),0),0)</f>
        <v>0</v>
      </c>
      <c r="K1881" s="444">
        <f t="shared" ca="1" si="118"/>
        <v>-2311672.0668990901</v>
      </c>
      <c r="L1881" s="444">
        <f t="shared" ca="1" si="119"/>
        <v>-557112968.12268066</v>
      </c>
      <c r="M1881" s="460">
        <f t="shared" si="121"/>
        <v>0.05</v>
      </c>
      <c r="N1881" s="464">
        <f t="shared" si="122"/>
        <v>108296</v>
      </c>
    </row>
    <row r="1882" spans="7:14" ht="11.25" customHeight="1" x14ac:dyDescent="0.3">
      <c r="G1882" s="459"/>
      <c r="H1882" s="459">
        <v>1875</v>
      </c>
      <c r="I1882" s="444">
        <f t="shared" ca="1" si="120"/>
        <v>-557112968.12268066</v>
      </c>
      <c r="J1882" s="444">
        <f t="array" ref="J1882">IFERROR(INDEX('Retirement Calculator'!K:K,MATCH('Lorri 401b'!N1882,'Retirement Calculator'!A:A,0),0),0)</f>
        <v>0</v>
      </c>
      <c r="K1882" s="444">
        <f t="shared" ca="1" si="118"/>
        <v>-2321304.0338445026</v>
      </c>
      <c r="L1882" s="444">
        <f t="shared" ca="1" si="119"/>
        <v>-559434272.15652514</v>
      </c>
      <c r="M1882" s="460">
        <f t="shared" si="121"/>
        <v>0.05</v>
      </c>
      <c r="N1882" s="464">
        <f t="shared" si="122"/>
        <v>108327</v>
      </c>
    </row>
    <row r="1883" spans="7:14" ht="11.25" customHeight="1" x14ac:dyDescent="0.3">
      <c r="G1883" s="459"/>
      <c r="H1883" s="459">
        <v>1876</v>
      </c>
      <c r="I1883" s="444">
        <f t="shared" ca="1" si="120"/>
        <v>-559434272.15652514</v>
      </c>
      <c r="J1883" s="444">
        <f t="array" ref="J1883">IFERROR(INDEX('Retirement Calculator'!K:K,MATCH('Lorri 401b'!N1883,'Retirement Calculator'!A:A,0),0),0)</f>
        <v>0</v>
      </c>
      <c r="K1883" s="444">
        <f t="shared" ca="1" si="118"/>
        <v>-2330976.1339855213</v>
      </c>
      <c r="L1883" s="444">
        <f t="shared" ca="1" si="119"/>
        <v>-561765248.29051065</v>
      </c>
      <c r="M1883" s="460">
        <f t="shared" si="121"/>
        <v>0.05</v>
      </c>
      <c r="N1883" s="464">
        <f t="shared" si="122"/>
        <v>108358</v>
      </c>
    </row>
    <row r="1884" spans="7:14" ht="11.25" customHeight="1" x14ac:dyDescent="0.3">
      <c r="G1884" s="459"/>
      <c r="H1884" s="459">
        <v>1877</v>
      </c>
      <c r="I1884" s="444">
        <f t="shared" ca="1" si="120"/>
        <v>-561765248.29051065</v>
      </c>
      <c r="J1884" s="444">
        <f t="array" ref="J1884">IFERROR(INDEX('Retirement Calculator'!K:K,MATCH('Lorri 401b'!N1884,'Retirement Calculator'!A:A,0),0),0)</f>
        <v>0</v>
      </c>
      <c r="K1884" s="444">
        <f t="shared" ca="1" si="118"/>
        <v>-2340688.5345437946</v>
      </c>
      <c r="L1884" s="444">
        <f t="shared" ca="1" si="119"/>
        <v>-564105936.82505441</v>
      </c>
      <c r="M1884" s="460">
        <f t="shared" si="121"/>
        <v>0.05</v>
      </c>
      <c r="N1884" s="464">
        <f t="shared" si="122"/>
        <v>108388</v>
      </c>
    </row>
    <row r="1885" spans="7:14" ht="11.25" customHeight="1" x14ac:dyDescent="0.3">
      <c r="G1885" s="459"/>
      <c r="H1885" s="459">
        <v>1878</v>
      </c>
      <c r="I1885" s="444">
        <f t="shared" ca="1" si="120"/>
        <v>-564105936.82505441</v>
      </c>
      <c r="J1885" s="444">
        <f t="array" ref="J1885">IFERROR(INDEX('Retirement Calculator'!K:K,MATCH('Lorri 401b'!N1885,'Retirement Calculator'!A:A,0),0),0)</f>
        <v>0</v>
      </c>
      <c r="K1885" s="444">
        <f t="shared" ca="1" si="118"/>
        <v>-2350441.4034377267</v>
      </c>
      <c r="L1885" s="444">
        <f t="shared" ca="1" si="119"/>
        <v>-566456378.22849214</v>
      </c>
      <c r="M1885" s="460">
        <f t="shared" si="121"/>
        <v>0.05</v>
      </c>
      <c r="N1885" s="464">
        <f t="shared" si="122"/>
        <v>108419</v>
      </c>
    </row>
    <row r="1886" spans="7:14" ht="11.25" customHeight="1" x14ac:dyDescent="0.3">
      <c r="G1886" s="459"/>
      <c r="H1886" s="459">
        <v>1879</v>
      </c>
      <c r="I1886" s="444">
        <f t="shared" ca="1" si="120"/>
        <v>-566456378.22849214</v>
      </c>
      <c r="J1886" s="444">
        <f t="array" ref="J1886">IFERROR(INDEX('Retirement Calculator'!K:K,MATCH('Lorri 401b'!N1886,'Retirement Calculator'!A:A,0),0),0)</f>
        <v>0</v>
      </c>
      <c r="K1886" s="444">
        <f t="shared" ca="1" si="118"/>
        <v>-2360234.9092853838</v>
      </c>
      <c r="L1886" s="444">
        <f t="shared" ca="1" si="119"/>
        <v>-568816613.13777757</v>
      </c>
      <c r="M1886" s="460">
        <f t="shared" si="121"/>
        <v>0.05</v>
      </c>
      <c r="N1886" s="464">
        <f t="shared" si="122"/>
        <v>108449</v>
      </c>
    </row>
    <row r="1887" spans="7:14" ht="11.25" customHeight="1" x14ac:dyDescent="0.3">
      <c r="G1887" s="459"/>
      <c r="H1887" s="459">
        <v>1880</v>
      </c>
      <c r="I1887" s="444">
        <f t="shared" ca="1" si="120"/>
        <v>-568816613.13777757</v>
      </c>
      <c r="J1887" s="444">
        <f t="array" ref="J1887">IFERROR(INDEX('Retirement Calculator'!K:K,MATCH('Lorri 401b'!N1887,'Retirement Calculator'!A:A,0),0),0)</f>
        <v>0</v>
      </c>
      <c r="K1887" s="444">
        <f t="shared" ca="1" si="118"/>
        <v>-2370069.2214074065</v>
      </c>
      <c r="L1887" s="444">
        <f t="shared" ca="1" si="119"/>
        <v>-571186682.35918498</v>
      </c>
      <c r="M1887" s="460">
        <f t="shared" si="121"/>
        <v>0.05</v>
      </c>
      <c r="N1887" s="464">
        <f t="shared" si="122"/>
        <v>108480</v>
      </c>
    </row>
    <row r="1888" spans="7:14" ht="11.25" customHeight="1" x14ac:dyDescent="0.3">
      <c r="G1888" s="459"/>
      <c r="H1888" s="459">
        <v>1881</v>
      </c>
      <c r="I1888" s="444">
        <f t="shared" ca="1" si="120"/>
        <v>-571186682.35918498</v>
      </c>
      <c r="J1888" s="444">
        <f t="array" ref="J1888">IFERROR(INDEX('Retirement Calculator'!K:K,MATCH('Lorri 401b'!N1888,'Retirement Calculator'!A:A,0),0),0)</f>
        <v>0</v>
      </c>
      <c r="K1888" s="444">
        <f t="shared" ca="1" si="118"/>
        <v>-2379944.5098299375</v>
      </c>
      <c r="L1888" s="444">
        <f t="shared" ca="1" si="119"/>
        <v>-573566626.86901486</v>
      </c>
      <c r="M1888" s="460">
        <f t="shared" si="121"/>
        <v>0.05</v>
      </c>
      <c r="N1888" s="464">
        <f t="shared" si="122"/>
        <v>108511</v>
      </c>
    </row>
    <row r="1889" spans="7:14" ht="11.25" customHeight="1" x14ac:dyDescent="0.3">
      <c r="G1889" s="459"/>
      <c r="H1889" s="459">
        <v>1882</v>
      </c>
      <c r="I1889" s="444">
        <f t="shared" ca="1" si="120"/>
        <v>-573566626.86901486</v>
      </c>
      <c r="J1889" s="444">
        <f t="array" ref="J1889">IFERROR(INDEX('Retirement Calculator'!K:K,MATCH('Lorri 401b'!N1889,'Retirement Calculator'!A:A,0),0),0)</f>
        <v>0</v>
      </c>
      <c r="K1889" s="444">
        <f t="shared" ca="1" si="118"/>
        <v>-2389860.945287562</v>
      </c>
      <c r="L1889" s="444">
        <f t="shared" ca="1" si="119"/>
        <v>-575956487.81430244</v>
      </c>
      <c r="M1889" s="460">
        <f t="shared" si="121"/>
        <v>0.05</v>
      </c>
      <c r="N1889" s="464">
        <f t="shared" si="122"/>
        <v>108539</v>
      </c>
    </row>
    <row r="1890" spans="7:14" ht="11.25" customHeight="1" x14ac:dyDescent="0.3">
      <c r="G1890" s="459"/>
      <c r="H1890" s="459">
        <v>1883</v>
      </c>
      <c r="I1890" s="444">
        <f t="shared" ca="1" si="120"/>
        <v>-575956487.81430244</v>
      </c>
      <c r="J1890" s="444">
        <f t="array" ref="J1890">IFERROR(INDEX('Retirement Calculator'!K:K,MATCH('Lorri 401b'!N1890,'Retirement Calculator'!A:A,0),0),0)</f>
        <v>0</v>
      </c>
      <c r="K1890" s="444">
        <f t="shared" ca="1" si="118"/>
        <v>-2399818.6992262602</v>
      </c>
      <c r="L1890" s="444">
        <f t="shared" ca="1" si="119"/>
        <v>-578356306.5135287</v>
      </c>
      <c r="M1890" s="460">
        <f t="shared" si="121"/>
        <v>0.05</v>
      </c>
      <c r="N1890" s="464">
        <f t="shared" si="122"/>
        <v>108570</v>
      </c>
    </row>
    <row r="1891" spans="7:14" ht="11.25" customHeight="1" x14ac:dyDescent="0.3">
      <c r="G1891" s="459"/>
      <c r="H1891" s="459">
        <v>1884</v>
      </c>
      <c r="I1891" s="444">
        <f t="shared" ca="1" si="120"/>
        <v>-578356306.5135287</v>
      </c>
      <c r="J1891" s="444">
        <f t="array" ref="J1891">IFERROR(INDEX('Retirement Calculator'!K:K,MATCH('Lorri 401b'!N1891,'Retirement Calculator'!A:A,0),0),0)</f>
        <v>0</v>
      </c>
      <c r="K1891" s="444">
        <f t="shared" ca="1" si="118"/>
        <v>-2409817.9438063698</v>
      </c>
      <c r="L1891" s="444">
        <f t="shared" ca="1" si="119"/>
        <v>-580766124.45733511</v>
      </c>
      <c r="M1891" s="460">
        <f t="shared" si="121"/>
        <v>0.05</v>
      </c>
      <c r="N1891" s="464">
        <f t="shared" si="122"/>
        <v>108600</v>
      </c>
    </row>
    <row r="1892" spans="7:14" ht="11.25" customHeight="1" x14ac:dyDescent="0.3">
      <c r="G1892" s="459"/>
      <c r="H1892" s="459">
        <v>1885</v>
      </c>
      <c r="I1892" s="444">
        <f t="shared" ca="1" si="120"/>
        <v>-580766124.45733511</v>
      </c>
      <c r="J1892" s="444">
        <f t="array" ref="J1892">IFERROR(INDEX('Retirement Calculator'!K:K,MATCH('Lorri 401b'!N1892,'Retirement Calculator'!A:A,0),0),0)</f>
        <v>0</v>
      </c>
      <c r="K1892" s="444">
        <f t="shared" ca="1" si="118"/>
        <v>-2419858.8519055629</v>
      </c>
      <c r="L1892" s="444">
        <f t="shared" ca="1" si="119"/>
        <v>-583185983.3092407</v>
      </c>
      <c r="M1892" s="460">
        <f t="shared" si="121"/>
        <v>0.05</v>
      </c>
      <c r="N1892" s="464">
        <f t="shared" si="122"/>
        <v>108631</v>
      </c>
    </row>
    <row r="1893" spans="7:14" ht="11.25" customHeight="1" x14ac:dyDescent="0.3">
      <c r="G1893" s="459"/>
      <c r="H1893" s="459">
        <v>1886</v>
      </c>
      <c r="I1893" s="444">
        <f t="shared" ca="1" si="120"/>
        <v>-583185983.3092407</v>
      </c>
      <c r="J1893" s="444">
        <f t="array" ref="J1893">IFERROR(INDEX('Retirement Calculator'!K:K,MATCH('Lorri 401b'!N1893,'Retirement Calculator'!A:A,0),0),0)</f>
        <v>0</v>
      </c>
      <c r="K1893" s="444">
        <f t="shared" ca="1" si="118"/>
        <v>-2429941.5971218362</v>
      </c>
      <c r="L1893" s="444">
        <f t="shared" ca="1" si="119"/>
        <v>-585615924.90636253</v>
      </c>
      <c r="M1893" s="460">
        <f t="shared" si="121"/>
        <v>0.05</v>
      </c>
      <c r="N1893" s="464">
        <f t="shared" si="122"/>
        <v>108661</v>
      </c>
    </row>
    <row r="1894" spans="7:14" ht="11.25" customHeight="1" x14ac:dyDescent="0.3">
      <c r="G1894" s="459"/>
      <c r="H1894" s="459">
        <v>1887</v>
      </c>
      <c r="I1894" s="444">
        <f t="shared" ca="1" si="120"/>
        <v>-585615924.90636253</v>
      </c>
      <c r="J1894" s="444">
        <f t="array" ref="J1894">IFERROR(INDEX('Retirement Calculator'!K:K,MATCH('Lorri 401b'!N1894,'Retirement Calculator'!A:A,0),0),0)</f>
        <v>0</v>
      </c>
      <c r="K1894" s="444">
        <f t="shared" ca="1" si="118"/>
        <v>-2440066.3537765103</v>
      </c>
      <c r="L1894" s="444">
        <f t="shared" ca="1" si="119"/>
        <v>-588055991.26013899</v>
      </c>
      <c r="M1894" s="460">
        <f t="shared" si="121"/>
        <v>0.05</v>
      </c>
      <c r="N1894" s="464">
        <f t="shared" si="122"/>
        <v>108692</v>
      </c>
    </row>
    <row r="1895" spans="7:14" ht="11.25" customHeight="1" x14ac:dyDescent="0.3">
      <c r="G1895" s="459"/>
      <c r="H1895" s="459">
        <v>1888</v>
      </c>
      <c r="I1895" s="444">
        <f t="shared" ca="1" si="120"/>
        <v>-588055991.26013899</v>
      </c>
      <c r="J1895" s="444">
        <f t="array" ref="J1895">IFERROR(INDEX('Retirement Calculator'!K:K,MATCH('Lorri 401b'!N1895,'Retirement Calculator'!A:A,0),0),0)</f>
        <v>0</v>
      </c>
      <c r="K1895" s="444">
        <f t="shared" ca="1" si="118"/>
        <v>-2450233.2969172457</v>
      </c>
      <c r="L1895" s="444">
        <f t="shared" ca="1" si="119"/>
        <v>-590506224.55705619</v>
      </c>
      <c r="M1895" s="460">
        <f t="shared" si="121"/>
        <v>0.05</v>
      </c>
      <c r="N1895" s="464">
        <f t="shared" si="122"/>
        <v>108723</v>
      </c>
    </row>
    <row r="1896" spans="7:14" ht="11.25" customHeight="1" x14ac:dyDescent="0.3">
      <c r="G1896" s="459"/>
      <c r="H1896" s="459">
        <v>1889</v>
      </c>
      <c r="I1896" s="444">
        <f t="shared" ca="1" si="120"/>
        <v>-590506224.55705619</v>
      </c>
      <c r="J1896" s="444">
        <f t="array" ref="J1896">IFERROR(INDEX('Retirement Calculator'!K:K,MATCH('Lorri 401b'!N1896,'Retirement Calculator'!A:A,0),0),0)</f>
        <v>0</v>
      </c>
      <c r="K1896" s="444">
        <f t="shared" ca="1" si="118"/>
        <v>-2460442.6023210674</v>
      </c>
      <c r="L1896" s="444">
        <f t="shared" ca="1" si="119"/>
        <v>-592966667.15937722</v>
      </c>
      <c r="M1896" s="460">
        <f t="shared" si="121"/>
        <v>0.05</v>
      </c>
      <c r="N1896" s="464">
        <f t="shared" si="122"/>
        <v>108753</v>
      </c>
    </row>
    <row r="1897" spans="7:14" ht="11.25" customHeight="1" x14ac:dyDescent="0.3">
      <c r="G1897" s="459"/>
      <c r="H1897" s="459">
        <v>1890</v>
      </c>
      <c r="I1897" s="444">
        <f t="shared" ca="1" si="120"/>
        <v>-592966667.15937722</v>
      </c>
      <c r="J1897" s="444">
        <f t="array" ref="J1897">IFERROR(INDEX('Retirement Calculator'!K:K,MATCH('Lorri 401b'!N1897,'Retirement Calculator'!A:A,0),0),0)</f>
        <v>0</v>
      </c>
      <c r="K1897" s="444">
        <f t="shared" ca="1" si="118"/>
        <v>-2470694.4464974049</v>
      </c>
      <c r="L1897" s="444">
        <f t="shared" ca="1" si="119"/>
        <v>-595437361.60587466</v>
      </c>
      <c r="M1897" s="460">
        <f t="shared" si="121"/>
        <v>0.05</v>
      </c>
      <c r="N1897" s="464">
        <f t="shared" si="122"/>
        <v>108784</v>
      </c>
    </row>
    <row r="1898" spans="7:14" ht="11.25" customHeight="1" x14ac:dyDescent="0.3">
      <c r="G1898" s="459"/>
      <c r="H1898" s="459">
        <v>1891</v>
      </c>
      <c r="I1898" s="444">
        <f t="shared" ca="1" si="120"/>
        <v>-595437361.60587466</v>
      </c>
      <c r="J1898" s="444">
        <f t="array" ref="J1898">IFERROR(INDEX('Retirement Calculator'!K:K,MATCH('Lorri 401b'!N1898,'Retirement Calculator'!A:A,0),0),0)</f>
        <v>0</v>
      </c>
      <c r="K1898" s="444">
        <f t="shared" ca="1" si="118"/>
        <v>-2480989.0066911443</v>
      </c>
      <c r="L1898" s="444">
        <f t="shared" ca="1" si="119"/>
        <v>-597918350.61256576</v>
      </c>
      <c r="M1898" s="460">
        <f t="shared" si="121"/>
        <v>0.05</v>
      </c>
      <c r="N1898" s="464">
        <f t="shared" si="122"/>
        <v>108814</v>
      </c>
    </row>
    <row r="1899" spans="7:14" ht="11.25" customHeight="1" x14ac:dyDescent="0.3">
      <c r="G1899" s="459"/>
      <c r="H1899" s="459">
        <v>1892</v>
      </c>
      <c r="I1899" s="444">
        <f t="shared" ca="1" si="120"/>
        <v>-597918350.61256576</v>
      </c>
      <c r="J1899" s="444">
        <f t="array" ref="J1899">IFERROR(INDEX('Retirement Calculator'!K:K,MATCH('Lorri 401b'!N1899,'Retirement Calculator'!A:A,0),0),0)</f>
        <v>0</v>
      </c>
      <c r="K1899" s="444">
        <f t="shared" ca="1" si="118"/>
        <v>-2491326.4608856905</v>
      </c>
      <c r="L1899" s="444">
        <f t="shared" ca="1" si="119"/>
        <v>-600409677.0734514</v>
      </c>
      <c r="M1899" s="460">
        <f t="shared" si="121"/>
        <v>0.05</v>
      </c>
      <c r="N1899" s="464">
        <f t="shared" si="122"/>
        <v>108845</v>
      </c>
    </row>
    <row r="1900" spans="7:14" ht="11.25" customHeight="1" x14ac:dyDescent="0.3">
      <c r="G1900" s="459"/>
      <c r="H1900" s="459">
        <v>1893</v>
      </c>
      <c r="I1900" s="444">
        <f t="shared" ca="1" si="120"/>
        <v>-600409677.0734514</v>
      </c>
      <c r="J1900" s="444">
        <f t="array" ref="J1900">IFERROR(INDEX('Retirement Calculator'!K:K,MATCH('Lorri 401b'!N1900,'Retirement Calculator'!A:A,0),0),0)</f>
        <v>0</v>
      </c>
      <c r="K1900" s="444">
        <f t="shared" ca="1" si="118"/>
        <v>-2501706.9878060473</v>
      </c>
      <c r="L1900" s="444">
        <f t="shared" ca="1" si="119"/>
        <v>-602911384.06125748</v>
      </c>
      <c r="M1900" s="460">
        <f t="shared" si="121"/>
        <v>0.05</v>
      </c>
      <c r="N1900" s="464">
        <f t="shared" si="122"/>
        <v>108876</v>
      </c>
    </row>
    <row r="1901" spans="7:14" ht="11.25" customHeight="1" x14ac:dyDescent="0.3">
      <c r="G1901" s="459"/>
      <c r="H1901" s="459">
        <v>1894</v>
      </c>
      <c r="I1901" s="444">
        <f t="shared" ca="1" si="120"/>
        <v>-602911384.06125748</v>
      </c>
      <c r="J1901" s="444">
        <f t="array" ref="J1901">IFERROR(INDEX('Retirement Calculator'!K:K,MATCH('Lorri 401b'!N1901,'Retirement Calculator'!A:A,0),0),0)</f>
        <v>0</v>
      </c>
      <c r="K1901" s="444">
        <f t="shared" ca="1" si="118"/>
        <v>-2512130.7669219063</v>
      </c>
      <c r="L1901" s="444">
        <f t="shared" ca="1" si="119"/>
        <v>-605423514.82817936</v>
      </c>
      <c r="M1901" s="460">
        <f t="shared" si="121"/>
        <v>0.05</v>
      </c>
      <c r="N1901" s="464">
        <f t="shared" si="122"/>
        <v>108904</v>
      </c>
    </row>
    <row r="1902" spans="7:14" ht="11.25" customHeight="1" x14ac:dyDescent="0.3">
      <c r="G1902" s="459"/>
      <c r="H1902" s="459">
        <v>1895</v>
      </c>
      <c r="I1902" s="444">
        <f t="shared" ca="1" si="120"/>
        <v>-605423514.82817936</v>
      </c>
      <c r="J1902" s="444">
        <f t="array" ref="J1902">IFERROR(INDEX('Retirement Calculator'!K:K,MATCH('Lorri 401b'!N1902,'Retirement Calculator'!A:A,0),0),0)</f>
        <v>0</v>
      </c>
      <c r="K1902" s="444">
        <f t="shared" ca="1" si="118"/>
        <v>-2522597.9784507472</v>
      </c>
      <c r="L1902" s="444">
        <f t="shared" ca="1" si="119"/>
        <v>-607946112.80663013</v>
      </c>
      <c r="M1902" s="460">
        <f t="shared" si="121"/>
        <v>0.05</v>
      </c>
      <c r="N1902" s="464">
        <f t="shared" si="122"/>
        <v>108935</v>
      </c>
    </row>
    <row r="1903" spans="7:14" ht="11.25" customHeight="1" x14ac:dyDescent="0.3">
      <c r="G1903" s="459"/>
      <c r="H1903" s="459">
        <v>1896</v>
      </c>
      <c r="I1903" s="444">
        <f t="shared" ca="1" si="120"/>
        <v>-607946112.80663013</v>
      </c>
      <c r="J1903" s="444">
        <f t="array" ref="J1903">IFERROR(INDEX('Retirement Calculator'!K:K,MATCH('Lorri 401b'!N1903,'Retirement Calculator'!A:A,0),0),0)</f>
        <v>0</v>
      </c>
      <c r="K1903" s="444">
        <f t="shared" ca="1" si="118"/>
        <v>-2533108.803360959</v>
      </c>
      <c r="L1903" s="444">
        <f t="shared" ca="1" si="119"/>
        <v>-610479221.60999107</v>
      </c>
      <c r="M1903" s="460">
        <f t="shared" si="121"/>
        <v>0.05</v>
      </c>
      <c r="N1903" s="464">
        <f t="shared" si="122"/>
        <v>108965</v>
      </c>
    </row>
    <row r="1904" spans="7:14" ht="11.25" customHeight="1" x14ac:dyDescent="0.3">
      <c r="G1904" s="459"/>
      <c r="H1904" s="459">
        <v>1897</v>
      </c>
      <c r="I1904" s="444">
        <f t="shared" ca="1" si="120"/>
        <v>-610479221.60999107</v>
      </c>
      <c r="J1904" s="444">
        <f t="array" ref="J1904">IFERROR(INDEX('Retirement Calculator'!K:K,MATCH('Lorri 401b'!N1904,'Retirement Calculator'!A:A,0),0),0)</f>
        <v>0</v>
      </c>
      <c r="K1904" s="444">
        <f t="shared" ca="1" si="118"/>
        <v>-2543663.423374963</v>
      </c>
      <c r="L1904" s="444">
        <f t="shared" ca="1" si="119"/>
        <v>-613022885.03336608</v>
      </c>
      <c r="M1904" s="460">
        <f t="shared" si="121"/>
        <v>0.05</v>
      </c>
      <c r="N1904" s="464">
        <f t="shared" si="122"/>
        <v>108996</v>
      </c>
    </row>
    <row r="1905" spans="7:14" ht="11.25" customHeight="1" x14ac:dyDescent="0.3">
      <c r="G1905" s="459"/>
      <c r="H1905" s="459">
        <v>1898</v>
      </c>
      <c r="I1905" s="444">
        <f t="shared" ca="1" si="120"/>
        <v>-613022885.03336608</v>
      </c>
      <c r="J1905" s="444">
        <f t="array" ref="J1905">IFERROR(INDEX('Retirement Calculator'!K:K,MATCH('Lorri 401b'!N1905,'Retirement Calculator'!A:A,0),0),0)</f>
        <v>0</v>
      </c>
      <c r="K1905" s="444">
        <f t="shared" ca="1" si="118"/>
        <v>-2554262.0209723585</v>
      </c>
      <c r="L1905" s="444">
        <f t="shared" ca="1" si="119"/>
        <v>-615577147.05433846</v>
      </c>
      <c r="M1905" s="460">
        <f t="shared" si="121"/>
        <v>0.05</v>
      </c>
      <c r="N1905" s="464">
        <f t="shared" si="122"/>
        <v>109026</v>
      </c>
    </row>
    <row r="1906" spans="7:14" ht="11.25" customHeight="1" x14ac:dyDescent="0.3">
      <c r="G1906" s="459"/>
      <c r="H1906" s="459">
        <v>1899</v>
      </c>
      <c r="I1906" s="444">
        <f t="shared" ca="1" si="120"/>
        <v>-615577147.05433846</v>
      </c>
      <c r="J1906" s="444">
        <f t="array" ref="J1906">IFERROR(INDEX('Retirement Calculator'!K:K,MATCH('Lorri 401b'!N1906,'Retirement Calculator'!A:A,0),0),0)</f>
        <v>0</v>
      </c>
      <c r="K1906" s="444">
        <f t="shared" ca="1" si="118"/>
        <v>-2564904.7793930769</v>
      </c>
      <c r="L1906" s="444">
        <f t="shared" ca="1" si="119"/>
        <v>-618142051.83373153</v>
      </c>
      <c r="M1906" s="460">
        <f t="shared" si="121"/>
        <v>0.05</v>
      </c>
      <c r="N1906" s="464">
        <f t="shared" si="122"/>
        <v>109057</v>
      </c>
    </row>
    <row r="1907" spans="7:14" ht="11.25" customHeight="1" x14ac:dyDescent="0.3">
      <c r="G1907" s="459"/>
      <c r="H1907" s="459">
        <v>1900</v>
      </c>
      <c r="I1907" s="444">
        <f t="shared" ca="1" si="120"/>
        <v>-618142051.83373153</v>
      </c>
      <c r="J1907" s="444">
        <f t="array" ref="J1907">IFERROR(INDEX('Retirement Calculator'!K:K,MATCH('Lorri 401b'!N1907,'Retirement Calculator'!A:A,0),0),0)</f>
        <v>0</v>
      </c>
      <c r="K1907" s="444">
        <f t="shared" ca="1" si="118"/>
        <v>-2575591.8826405481</v>
      </c>
      <c r="L1907" s="444">
        <f t="shared" ca="1" si="119"/>
        <v>-620717643.71637213</v>
      </c>
      <c r="M1907" s="460">
        <f t="shared" si="121"/>
        <v>0.05</v>
      </c>
      <c r="N1907" s="464">
        <f t="shared" si="122"/>
        <v>109088</v>
      </c>
    </row>
    <row r="1908" spans="7:14" ht="11.25" customHeight="1" x14ac:dyDescent="0.3">
      <c r="G1908" s="459"/>
      <c r="H1908" s="459">
        <v>1901</v>
      </c>
      <c r="I1908" s="444">
        <f t="shared" ca="1" si="120"/>
        <v>-620717643.71637213</v>
      </c>
      <c r="J1908" s="444">
        <f t="array" ref="J1908">IFERROR(INDEX('Retirement Calculator'!K:K,MATCH('Lorri 401b'!N1908,'Retirement Calculator'!A:A,0),0),0)</f>
        <v>0</v>
      </c>
      <c r="K1908" s="444">
        <f t="shared" ca="1" si="118"/>
        <v>-2586323.5154848839</v>
      </c>
      <c r="L1908" s="444">
        <f t="shared" ca="1" si="119"/>
        <v>-623303967.23185706</v>
      </c>
      <c r="M1908" s="460">
        <f t="shared" si="121"/>
        <v>0.05</v>
      </c>
      <c r="N1908" s="464">
        <f t="shared" si="122"/>
        <v>109118</v>
      </c>
    </row>
    <row r="1909" spans="7:14" ht="11.25" customHeight="1" x14ac:dyDescent="0.3">
      <c r="G1909" s="459"/>
      <c r="H1909" s="459">
        <v>1902</v>
      </c>
      <c r="I1909" s="444">
        <f t="shared" ca="1" si="120"/>
        <v>-623303967.23185706</v>
      </c>
      <c r="J1909" s="444">
        <f t="array" ref="J1909">IFERROR(INDEX('Retirement Calculator'!K:K,MATCH('Lorri 401b'!N1909,'Retirement Calculator'!A:A,0),0),0)</f>
        <v>0</v>
      </c>
      <c r="K1909" s="444">
        <f t="shared" ca="1" si="118"/>
        <v>-2597099.863466071</v>
      </c>
      <c r="L1909" s="444">
        <f t="shared" ca="1" si="119"/>
        <v>-625901067.09532309</v>
      </c>
      <c r="M1909" s="460">
        <f t="shared" si="121"/>
        <v>0.05</v>
      </c>
      <c r="N1909" s="464">
        <f t="shared" si="122"/>
        <v>109149</v>
      </c>
    </row>
    <row r="1910" spans="7:14" ht="11.25" customHeight="1" x14ac:dyDescent="0.3">
      <c r="G1910" s="459"/>
      <c r="H1910" s="459">
        <v>1903</v>
      </c>
      <c r="I1910" s="444">
        <f t="shared" ca="1" si="120"/>
        <v>-625901067.09532309</v>
      </c>
      <c r="J1910" s="444">
        <f t="array" ref="J1910">IFERROR(INDEX('Retirement Calculator'!K:K,MATCH('Lorri 401b'!N1910,'Retirement Calculator'!A:A,0),0),0)</f>
        <v>0</v>
      </c>
      <c r="K1910" s="444">
        <f t="shared" ca="1" si="118"/>
        <v>-2607921.1128971796</v>
      </c>
      <c r="L1910" s="444">
        <f t="shared" ca="1" si="119"/>
        <v>-628508988.20822024</v>
      </c>
      <c r="M1910" s="460">
        <f t="shared" si="121"/>
        <v>0.05</v>
      </c>
      <c r="N1910" s="464">
        <f t="shared" si="122"/>
        <v>109179</v>
      </c>
    </row>
    <row r="1911" spans="7:14" ht="11.25" customHeight="1" x14ac:dyDescent="0.3">
      <c r="G1911" s="459"/>
      <c r="H1911" s="459">
        <v>1904</v>
      </c>
      <c r="I1911" s="444">
        <f t="shared" ca="1" si="120"/>
        <v>-628508988.20822024</v>
      </c>
      <c r="J1911" s="444">
        <f t="array" ref="J1911">IFERROR(INDEX('Retirement Calculator'!K:K,MATCH('Lorri 401b'!N1911,'Retirement Calculator'!A:A,0),0),0)</f>
        <v>0</v>
      </c>
      <c r="K1911" s="444">
        <f t="shared" ca="1" si="118"/>
        <v>-2618787.4508675844</v>
      </c>
      <c r="L1911" s="444">
        <f t="shared" ca="1" si="119"/>
        <v>-631127775.65908778</v>
      </c>
      <c r="M1911" s="460">
        <f t="shared" si="121"/>
        <v>0.05</v>
      </c>
      <c r="N1911" s="464">
        <f t="shared" si="122"/>
        <v>109210</v>
      </c>
    </row>
    <row r="1912" spans="7:14" ht="11.25" customHeight="1" x14ac:dyDescent="0.3">
      <c r="G1912" s="459"/>
      <c r="H1912" s="459">
        <v>1905</v>
      </c>
      <c r="I1912" s="444">
        <f t="shared" ca="1" si="120"/>
        <v>-631127775.65908778</v>
      </c>
      <c r="J1912" s="444">
        <f t="array" ref="J1912">IFERROR(INDEX('Retirement Calculator'!K:K,MATCH('Lorri 401b'!N1912,'Retirement Calculator'!A:A,0),0),0)</f>
        <v>0</v>
      </c>
      <c r="K1912" s="444">
        <f t="shared" ca="1" si="118"/>
        <v>-2629699.0652461993</v>
      </c>
      <c r="L1912" s="444">
        <f t="shared" ca="1" si="119"/>
        <v>-633757474.724334</v>
      </c>
      <c r="M1912" s="460">
        <f t="shared" si="121"/>
        <v>0.05</v>
      </c>
      <c r="N1912" s="464">
        <f t="shared" si="122"/>
        <v>109241</v>
      </c>
    </row>
    <row r="1913" spans="7:14" ht="11.25" customHeight="1" x14ac:dyDescent="0.3">
      <c r="G1913" s="459"/>
      <c r="H1913" s="459">
        <v>1906</v>
      </c>
      <c r="I1913" s="444">
        <f t="shared" ca="1" si="120"/>
        <v>-633757474.724334</v>
      </c>
      <c r="J1913" s="444">
        <f t="array" ref="J1913">IFERROR(INDEX('Retirement Calculator'!K:K,MATCH('Lorri 401b'!N1913,'Retirement Calculator'!A:A,0),0),0)</f>
        <v>0</v>
      </c>
      <c r="K1913" s="444">
        <f t="shared" ca="1" si="118"/>
        <v>-2640656.144684725</v>
      </c>
      <c r="L1913" s="444">
        <f t="shared" ca="1" si="119"/>
        <v>-636398130.86901867</v>
      </c>
      <c r="M1913" s="460">
        <f t="shared" si="121"/>
        <v>0.05</v>
      </c>
      <c r="N1913" s="464">
        <f t="shared" si="122"/>
        <v>109269</v>
      </c>
    </row>
    <row r="1914" spans="7:14" ht="11.25" customHeight="1" x14ac:dyDescent="0.3">
      <c r="G1914" s="459"/>
      <c r="H1914" s="459">
        <v>1907</v>
      </c>
      <c r="I1914" s="444">
        <f t="shared" ca="1" si="120"/>
        <v>-636398130.86901867</v>
      </c>
      <c r="J1914" s="444">
        <f t="array" ref="J1914">IFERROR(INDEX('Retirement Calculator'!K:K,MATCH('Lorri 401b'!N1914,'Retirement Calculator'!A:A,0),0),0)</f>
        <v>0</v>
      </c>
      <c r="K1914" s="444">
        <f t="shared" ca="1" si="118"/>
        <v>-2651658.8786209109</v>
      </c>
      <c r="L1914" s="444">
        <f t="shared" ca="1" si="119"/>
        <v>-639049789.74763954</v>
      </c>
      <c r="M1914" s="460">
        <f t="shared" si="121"/>
        <v>0.05</v>
      </c>
      <c r="N1914" s="464">
        <f t="shared" si="122"/>
        <v>109300</v>
      </c>
    </row>
    <row r="1915" spans="7:14" ht="11.25" customHeight="1" x14ac:dyDescent="0.3">
      <c r="G1915" s="459"/>
      <c r="H1915" s="459">
        <v>1908</v>
      </c>
      <c r="I1915" s="444">
        <f t="shared" ca="1" si="120"/>
        <v>-639049789.74763954</v>
      </c>
      <c r="J1915" s="444">
        <f t="array" ref="J1915">IFERROR(INDEX('Retirement Calculator'!K:K,MATCH('Lorri 401b'!N1915,'Retirement Calculator'!A:A,0),0),0)</f>
        <v>0</v>
      </c>
      <c r="K1915" s="444">
        <f t="shared" ca="1" si="118"/>
        <v>-2662707.4572818312</v>
      </c>
      <c r="L1915" s="444">
        <f t="shared" ca="1" si="119"/>
        <v>-641712497.20492136</v>
      </c>
      <c r="M1915" s="460">
        <f t="shared" si="121"/>
        <v>0.05</v>
      </c>
      <c r="N1915" s="464">
        <f t="shared" si="122"/>
        <v>109330</v>
      </c>
    </row>
    <row r="1916" spans="7:14" ht="11.25" customHeight="1" x14ac:dyDescent="0.3">
      <c r="G1916" s="459"/>
      <c r="H1916" s="459">
        <v>1909</v>
      </c>
      <c r="I1916" s="444">
        <f t="shared" ca="1" si="120"/>
        <v>-641712497.20492136</v>
      </c>
      <c r="J1916" s="444">
        <f t="array" ref="J1916">IFERROR(INDEX('Retirement Calculator'!K:K,MATCH('Lorri 401b'!N1916,'Retirement Calculator'!A:A,0),0),0)</f>
        <v>0</v>
      </c>
      <c r="K1916" s="444">
        <f t="shared" ca="1" si="118"/>
        <v>-2673802.0716871722</v>
      </c>
      <c r="L1916" s="444">
        <f t="shared" ca="1" si="119"/>
        <v>-644386299.27660859</v>
      </c>
      <c r="M1916" s="460">
        <f t="shared" si="121"/>
        <v>0.05</v>
      </c>
      <c r="N1916" s="464">
        <f t="shared" si="122"/>
        <v>109361</v>
      </c>
    </row>
    <row r="1917" spans="7:14" ht="11.25" customHeight="1" x14ac:dyDescent="0.3">
      <c r="G1917" s="459"/>
      <c r="H1917" s="459">
        <v>1910</v>
      </c>
      <c r="I1917" s="444">
        <f t="shared" ca="1" si="120"/>
        <v>-644386299.27660859</v>
      </c>
      <c r="J1917" s="444">
        <f t="array" ref="J1917">IFERROR(INDEX('Retirement Calculator'!K:K,MATCH('Lorri 401b'!N1917,'Retirement Calculator'!A:A,0),0),0)</f>
        <v>0</v>
      </c>
      <c r="K1917" s="444">
        <f t="shared" ca="1" si="118"/>
        <v>-2684942.9136525355</v>
      </c>
      <c r="L1917" s="444">
        <f t="shared" ca="1" si="119"/>
        <v>-647071242.19026113</v>
      </c>
      <c r="M1917" s="460">
        <f t="shared" si="121"/>
        <v>0.05</v>
      </c>
      <c r="N1917" s="464">
        <f t="shared" si="122"/>
        <v>109391</v>
      </c>
    </row>
    <row r="1918" spans="7:14" ht="11.25" customHeight="1" x14ac:dyDescent="0.3">
      <c r="G1918" s="459"/>
      <c r="H1918" s="459">
        <v>1911</v>
      </c>
      <c r="I1918" s="444">
        <f t="shared" ca="1" si="120"/>
        <v>-647071242.19026113</v>
      </c>
      <c r="J1918" s="444">
        <f t="array" ref="J1918">IFERROR(INDEX('Retirement Calculator'!K:K,MATCH('Lorri 401b'!N1918,'Retirement Calculator'!A:A,0),0),0)</f>
        <v>0</v>
      </c>
      <c r="K1918" s="444">
        <f t="shared" ca="1" si="118"/>
        <v>-2696130.1757927546</v>
      </c>
      <c r="L1918" s="444">
        <f t="shared" ca="1" si="119"/>
        <v>-649767372.36605394</v>
      </c>
      <c r="M1918" s="460">
        <f t="shared" si="121"/>
        <v>0.05</v>
      </c>
      <c r="N1918" s="464">
        <f t="shared" si="122"/>
        <v>109422</v>
      </c>
    </row>
    <row r="1919" spans="7:14" ht="11.25" customHeight="1" x14ac:dyDescent="0.3">
      <c r="G1919" s="459"/>
      <c r="H1919" s="459">
        <v>1912</v>
      </c>
      <c r="I1919" s="444">
        <f t="shared" ca="1" si="120"/>
        <v>-649767372.36605394</v>
      </c>
      <c r="J1919" s="444">
        <f t="array" ref="J1919">IFERROR(INDEX('Retirement Calculator'!K:K,MATCH('Lorri 401b'!N1919,'Retirement Calculator'!A:A,0),0),0)</f>
        <v>0</v>
      </c>
      <c r="K1919" s="444">
        <f t="shared" ca="1" si="118"/>
        <v>-2707364.0515252249</v>
      </c>
      <c r="L1919" s="444">
        <f t="shared" ca="1" si="119"/>
        <v>-652474736.41757917</v>
      </c>
      <c r="M1919" s="460">
        <f t="shared" si="121"/>
        <v>0.05</v>
      </c>
      <c r="N1919" s="464">
        <f t="shared" si="122"/>
        <v>109453</v>
      </c>
    </row>
    <row r="1920" spans="7:14" ht="11.25" customHeight="1" x14ac:dyDescent="0.3">
      <c r="G1920" s="459"/>
      <c r="H1920" s="459">
        <v>1913</v>
      </c>
      <c r="I1920" s="444">
        <f t="shared" ca="1" si="120"/>
        <v>-652474736.41757917</v>
      </c>
      <c r="J1920" s="444">
        <f t="array" ref="J1920">IFERROR(INDEX('Retirement Calculator'!K:K,MATCH('Lorri 401b'!N1920,'Retirement Calculator'!A:A,0),0),0)</f>
        <v>0</v>
      </c>
      <c r="K1920" s="444">
        <f t="shared" ca="1" si="118"/>
        <v>-2718644.7350732465</v>
      </c>
      <c r="L1920" s="444">
        <f t="shared" ca="1" si="119"/>
        <v>-655193381.15265238</v>
      </c>
      <c r="M1920" s="460">
        <f t="shared" si="121"/>
        <v>0.05</v>
      </c>
      <c r="N1920" s="464">
        <f t="shared" si="122"/>
        <v>109483</v>
      </c>
    </row>
    <row r="1921" spans="7:14" ht="11.25" customHeight="1" x14ac:dyDescent="0.3">
      <c r="G1921" s="459"/>
      <c r="H1921" s="459">
        <v>1914</v>
      </c>
      <c r="I1921" s="444">
        <f t="shared" ca="1" si="120"/>
        <v>-655193381.15265238</v>
      </c>
      <c r="J1921" s="444">
        <f t="array" ref="J1921">IFERROR(INDEX('Retirement Calculator'!K:K,MATCH('Lorri 401b'!N1921,'Retirement Calculator'!A:A,0),0),0)</f>
        <v>0</v>
      </c>
      <c r="K1921" s="444">
        <f t="shared" ca="1" si="118"/>
        <v>-2729972.4214693848</v>
      </c>
      <c r="L1921" s="444">
        <f t="shared" ca="1" si="119"/>
        <v>-657923353.57412171</v>
      </c>
      <c r="M1921" s="460">
        <f t="shared" si="121"/>
        <v>0.05</v>
      </c>
      <c r="N1921" s="464">
        <f t="shared" si="122"/>
        <v>109514</v>
      </c>
    </row>
    <row r="1922" spans="7:14" ht="11.25" customHeight="1" x14ac:dyDescent="0.3">
      <c r="G1922" s="459"/>
      <c r="H1922" s="459">
        <v>1915</v>
      </c>
      <c r="I1922" s="444">
        <f t="shared" ca="1" si="120"/>
        <v>-657923353.57412171</v>
      </c>
      <c r="J1922" s="444">
        <f t="array" ref="J1922">IFERROR(INDEX('Retirement Calculator'!K:K,MATCH('Lorri 401b'!N1922,'Retirement Calculator'!A:A,0),0),0)</f>
        <v>0</v>
      </c>
      <c r="K1922" s="444">
        <f t="shared" ca="1" si="118"/>
        <v>-2741347.3065588404</v>
      </c>
      <c r="L1922" s="444">
        <f t="shared" ca="1" si="119"/>
        <v>-660664700.88068056</v>
      </c>
      <c r="M1922" s="460">
        <f t="shared" si="121"/>
        <v>0.05</v>
      </c>
      <c r="N1922" s="464">
        <f t="shared" si="122"/>
        <v>109544</v>
      </c>
    </row>
    <row r="1923" spans="7:14" ht="11.25" customHeight="1" x14ac:dyDescent="0.3">
      <c r="G1923" s="459"/>
      <c r="H1923" s="459">
        <v>1916</v>
      </c>
      <c r="I1923" s="444">
        <f t="shared" ca="1" si="120"/>
        <v>-660664700.88068056</v>
      </c>
      <c r="J1923" s="444">
        <f t="array" ref="J1923">IFERROR(INDEX('Retirement Calculator'!K:K,MATCH('Lorri 401b'!N1923,'Retirement Calculator'!A:A,0),0),0)</f>
        <v>0</v>
      </c>
      <c r="K1923" s="444">
        <f t="shared" ca="1" si="118"/>
        <v>-2752769.5870028357</v>
      </c>
      <c r="L1923" s="444">
        <f t="shared" ca="1" si="119"/>
        <v>-663417470.46768343</v>
      </c>
      <c r="M1923" s="460">
        <f t="shared" si="121"/>
        <v>0.05</v>
      </c>
      <c r="N1923" s="464">
        <f t="shared" si="122"/>
        <v>109575</v>
      </c>
    </row>
    <row r="1924" spans="7:14" ht="11.25" customHeight="1" x14ac:dyDescent="0.3">
      <c r="G1924" s="459"/>
      <c r="H1924" s="459">
        <v>1917</v>
      </c>
      <c r="I1924" s="444">
        <f t="shared" ca="1" si="120"/>
        <v>-663417470.46768343</v>
      </c>
      <c r="J1924" s="444">
        <f t="array" ref="J1924">IFERROR(INDEX('Retirement Calculator'!K:K,MATCH('Lorri 401b'!N1924,'Retirement Calculator'!A:A,0),0),0)</f>
        <v>0</v>
      </c>
      <c r="K1924" s="444">
        <f t="shared" ca="1" si="118"/>
        <v>-2764239.4602820142</v>
      </c>
      <c r="L1924" s="444">
        <f t="shared" ca="1" si="119"/>
        <v>-666181709.9279654</v>
      </c>
      <c r="M1924" s="460">
        <f t="shared" si="121"/>
        <v>0.05</v>
      </c>
      <c r="N1924" s="464">
        <f t="shared" si="122"/>
        <v>109606</v>
      </c>
    </row>
    <row r="1925" spans="7:14" ht="11.25" customHeight="1" x14ac:dyDescent="0.3">
      <c r="G1925" s="459"/>
      <c r="H1925" s="459">
        <v>1918</v>
      </c>
      <c r="I1925" s="444">
        <f t="shared" ca="1" si="120"/>
        <v>-666181709.9279654</v>
      </c>
      <c r="J1925" s="444">
        <f t="array" ref="J1925">IFERROR(INDEX('Retirement Calculator'!K:K,MATCH('Lorri 401b'!N1925,'Retirement Calculator'!A:A,0),0),0)</f>
        <v>0</v>
      </c>
      <c r="K1925" s="444">
        <f t="shared" ca="1" si="118"/>
        <v>-2775757.1246998557</v>
      </c>
      <c r="L1925" s="444">
        <f t="shared" ca="1" si="119"/>
        <v>-668957467.05266523</v>
      </c>
      <c r="M1925" s="460">
        <f t="shared" si="121"/>
        <v>0.05</v>
      </c>
      <c r="N1925" s="464">
        <f t="shared" si="122"/>
        <v>109634</v>
      </c>
    </row>
    <row r="1926" spans="7:14" ht="11.25" customHeight="1" x14ac:dyDescent="0.3">
      <c r="G1926" s="459"/>
      <c r="H1926" s="459">
        <v>1919</v>
      </c>
      <c r="I1926" s="444">
        <f t="shared" ca="1" si="120"/>
        <v>-668957467.05266523</v>
      </c>
      <c r="J1926" s="444">
        <f t="array" ref="J1926">IFERROR(INDEX('Retirement Calculator'!K:K,MATCH('Lorri 401b'!N1926,'Retirement Calculator'!A:A,0),0),0)</f>
        <v>0</v>
      </c>
      <c r="K1926" s="444">
        <f t="shared" ca="1" si="118"/>
        <v>-2787322.779386105</v>
      </c>
      <c r="L1926" s="444">
        <f t="shared" ca="1" si="119"/>
        <v>-671744789.8320514</v>
      </c>
      <c r="M1926" s="460">
        <f t="shared" si="121"/>
        <v>0.05</v>
      </c>
      <c r="N1926" s="464">
        <f t="shared" si="122"/>
        <v>109665</v>
      </c>
    </row>
    <row r="1927" spans="7:14" ht="11.25" customHeight="1" x14ac:dyDescent="0.3">
      <c r="G1927" s="459"/>
      <c r="H1927" s="459">
        <v>1920</v>
      </c>
      <c r="I1927" s="444">
        <f t="shared" ca="1" si="120"/>
        <v>-671744789.8320514</v>
      </c>
      <c r="J1927" s="444">
        <f t="array" ref="J1927">IFERROR(INDEX('Retirement Calculator'!K:K,MATCH('Lorri 401b'!N1927,'Retirement Calculator'!A:A,0),0),0)</f>
        <v>0</v>
      </c>
      <c r="K1927" s="444">
        <f t="shared" ca="1" si="118"/>
        <v>-2798936.624300214</v>
      </c>
      <c r="L1927" s="444">
        <f t="shared" ca="1" si="119"/>
        <v>-674543726.45635164</v>
      </c>
      <c r="M1927" s="460">
        <f t="shared" si="121"/>
        <v>0.05</v>
      </c>
      <c r="N1927" s="464">
        <f t="shared" si="122"/>
        <v>109695</v>
      </c>
    </row>
    <row r="1928" spans="7:14" ht="11.25" customHeight="1" x14ac:dyDescent="0.3">
      <c r="G1928" s="459"/>
      <c r="H1928" s="459">
        <v>1921</v>
      </c>
      <c r="I1928" s="444">
        <f t="shared" ca="1" si="120"/>
        <v>-674543726.45635164</v>
      </c>
      <c r="J1928" s="444">
        <f t="array" ref="J1928">IFERROR(INDEX('Retirement Calculator'!K:K,MATCH('Lorri 401b'!N1928,'Retirement Calculator'!A:A,0),0),0)</f>
        <v>0</v>
      </c>
      <c r="K1928" s="444">
        <f t="shared" ca="1" si="118"/>
        <v>-2810598.8602347984</v>
      </c>
      <c r="L1928" s="444">
        <f t="shared" ca="1" si="119"/>
        <v>-677354325.31658649</v>
      </c>
      <c r="M1928" s="460">
        <f t="shared" si="121"/>
        <v>0.05</v>
      </c>
      <c r="N1928" s="464">
        <f t="shared" si="122"/>
        <v>109726</v>
      </c>
    </row>
    <row r="1929" spans="7:14" ht="11.25" customHeight="1" x14ac:dyDescent="0.3">
      <c r="G1929" s="459"/>
      <c r="H1929" s="459">
        <v>1922</v>
      </c>
      <c r="I1929" s="444">
        <f t="shared" ca="1" si="120"/>
        <v>-677354325.31658649</v>
      </c>
      <c r="J1929" s="444">
        <f t="array" ref="J1929">IFERROR(INDEX('Retirement Calculator'!K:K,MATCH('Lorri 401b'!N1929,'Retirement Calculator'!A:A,0),0),0)</f>
        <v>0</v>
      </c>
      <c r="K1929" s="444">
        <f t="shared" ca="1" si="118"/>
        <v>-2822309.6888191104</v>
      </c>
      <c r="L1929" s="444">
        <f t="shared" ca="1" si="119"/>
        <v>-680176635.00540566</v>
      </c>
      <c r="M1929" s="460">
        <f t="shared" si="121"/>
        <v>0.05</v>
      </c>
      <c r="N1929" s="464">
        <f t="shared" si="122"/>
        <v>109756</v>
      </c>
    </row>
    <row r="1930" spans="7:14" ht="11.25" customHeight="1" x14ac:dyDescent="0.3">
      <c r="G1930" s="459"/>
      <c r="H1930" s="459">
        <v>1923</v>
      </c>
      <c r="I1930" s="444">
        <f t="shared" ca="1" si="120"/>
        <v>-680176635.00540566</v>
      </c>
      <c r="J1930" s="444">
        <f t="array" ref="J1930">IFERROR(INDEX('Retirement Calculator'!K:K,MATCH('Lorri 401b'!N1930,'Retirement Calculator'!A:A,0),0),0)</f>
        <v>0</v>
      </c>
      <c r="K1930" s="444">
        <f t="shared" ca="1" si="118"/>
        <v>-2834069.3125225236</v>
      </c>
      <c r="L1930" s="444">
        <f t="shared" ca="1" si="119"/>
        <v>-683010704.31792819</v>
      </c>
      <c r="M1930" s="460">
        <f t="shared" si="121"/>
        <v>0.05</v>
      </c>
      <c r="N1930" s="464">
        <f t="shared" si="122"/>
        <v>109787</v>
      </c>
    </row>
    <row r="1931" spans="7:14" ht="11.25" customHeight="1" x14ac:dyDescent="0.3">
      <c r="G1931" s="459"/>
      <c r="H1931" s="459">
        <v>1924</v>
      </c>
      <c r="I1931" s="444">
        <f t="shared" ca="1" si="120"/>
        <v>-683010704.31792819</v>
      </c>
      <c r="J1931" s="444">
        <f t="array" ref="J1931">IFERROR(INDEX('Retirement Calculator'!K:K,MATCH('Lorri 401b'!N1931,'Retirement Calculator'!A:A,0),0),0)</f>
        <v>0</v>
      </c>
      <c r="K1931" s="444">
        <f t="shared" ca="1" si="118"/>
        <v>-2845877.9346580342</v>
      </c>
      <c r="L1931" s="444">
        <f t="shared" ca="1" si="119"/>
        <v>-685856582.25258625</v>
      </c>
      <c r="M1931" s="460">
        <f t="shared" si="121"/>
        <v>0.05</v>
      </c>
      <c r="N1931" s="464">
        <f t="shared" si="122"/>
        <v>109818</v>
      </c>
    </row>
    <row r="1932" spans="7:14" ht="11.25" customHeight="1" x14ac:dyDescent="0.3">
      <c r="G1932" s="459"/>
      <c r="H1932" s="459">
        <v>1925</v>
      </c>
      <c r="I1932" s="444">
        <f t="shared" ca="1" si="120"/>
        <v>-685856582.25258625</v>
      </c>
      <c r="J1932" s="444">
        <f t="array" ref="J1932">IFERROR(INDEX('Retirement Calculator'!K:K,MATCH('Lorri 401b'!N1932,'Retirement Calculator'!A:A,0),0),0)</f>
        <v>0</v>
      </c>
      <c r="K1932" s="444">
        <f t="shared" ca="1" si="118"/>
        <v>-2857735.7593857758</v>
      </c>
      <c r="L1932" s="444">
        <f t="shared" ca="1" si="119"/>
        <v>-688714318.01197207</v>
      </c>
      <c r="M1932" s="460">
        <f t="shared" si="121"/>
        <v>0.05</v>
      </c>
      <c r="N1932" s="464">
        <f t="shared" si="122"/>
        <v>109848</v>
      </c>
    </row>
    <row r="1933" spans="7:14" ht="11.25" customHeight="1" x14ac:dyDescent="0.3">
      <c r="G1933" s="459"/>
      <c r="H1933" s="459">
        <v>1926</v>
      </c>
      <c r="I1933" s="444">
        <f t="shared" ca="1" si="120"/>
        <v>-688714318.01197207</v>
      </c>
      <c r="J1933" s="444">
        <f t="array" ref="J1933">IFERROR(INDEX('Retirement Calculator'!K:K,MATCH('Lorri 401b'!N1933,'Retirement Calculator'!A:A,0),0),0)</f>
        <v>0</v>
      </c>
      <c r="K1933" s="444">
        <f t="shared" ca="1" si="118"/>
        <v>-2869642.9917165502</v>
      </c>
      <c r="L1933" s="444">
        <f t="shared" ca="1" si="119"/>
        <v>-691583961.00368857</v>
      </c>
      <c r="M1933" s="460">
        <f t="shared" si="121"/>
        <v>0.05</v>
      </c>
      <c r="N1933" s="464">
        <f t="shared" si="122"/>
        <v>109879</v>
      </c>
    </row>
    <row r="1934" spans="7:14" ht="11.25" customHeight="1" x14ac:dyDescent="0.3">
      <c r="G1934" s="459"/>
      <c r="H1934" s="459">
        <v>1927</v>
      </c>
      <c r="I1934" s="444">
        <f t="shared" ca="1" si="120"/>
        <v>-691583961.00368857</v>
      </c>
      <c r="J1934" s="444">
        <f t="array" ref="J1934">IFERROR(INDEX('Retirement Calculator'!K:K,MATCH('Lorri 401b'!N1934,'Retirement Calculator'!A:A,0),0),0)</f>
        <v>0</v>
      </c>
      <c r="K1934" s="444">
        <f t="shared" ca="1" si="118"/>
        <v>-2881599.8375153691</v>
      </c>
      <c r="L1934" s="444">
        <f t="shared" ca="1" si="119"/>
        <v>-694465560.84120393</v>
      </c>
      <c r="M1934" s="460">
        <f t="shared" si="121"/>
        <v>0.05</v>
      </c>
      <c r="N1934" s="464">
        <f t="shared" si="122"/>
        <v>109909</v>
      </c>
    </row>
    <row r="1935" spans="7:14" ht="11.25" customHeight="1" x14ac:dyDescent="0.3">
      <c r="G1935" s="459"/>
      <c r="H1935" s="459">
        <v>1928</v>
      </c>
      <c r="I1935" s="444">
        <f t="shared" ca="1" si="120"/>
        <v>-694465560.84120393</v>
      </c>
      <c r="J1935" s="444">
        <f t="array" ref="J1935">IFERROR(INDEX('Retirement Calculator'!K:K,MATCH('Lorri 401b'!N1935,'Retirement Calculator'!A:A,0),0),0)</f>
        <v>0</v>
      </c>
      <c r="K1935" s="444">
        <f t="shared" ca="1" si="118"/>
        <v>-2893606.5035050162</v>
      </c>
      <c r="L1935" s="444">
        <f t="shared" ca="1" si="119"/>
        <v>-697359167.34470892</v>
      </c>
      <c r="M1935" s="460">
        <f t="shared" si="121"/>
        <v>0.05</v>
      </c>
      <c r="N1935" s="464">
        <f t="shared" si="122"/>
        <v>109940</v>
      </c>
    </row>
    <row r="1936" spans="7:14" ht="11.25" customHeight="1" x14ac:dyDescent="0.3">
      <c r="G1936" s="459"/>
      <c r="H1936" s="459">
        <v>1929</v>
      </c>
      <c r="I1936" s="444">
        <f t="shared" ca="1" si="120"/>
        <v>-697359167.34470892</v>
      </c>
      <c r="J1936" s="444">
        <f t="array" ref="J1936">IFERROR(INDEX('Retirement Calculator'!K:K,MATCH('Lorri 401b'!N1936,'Retirement Calculator'!A:A,0),0),0)</f>
        <v>0</v>
      </c>
      <c r="K1936" s="444">
        <f t="shared" ca="1" si="118"/>
        <v>-2905663.1972696204</v>
      </c>
      <c r="L1936" s="444">
        <f t="shared" ca="1" si="119"/>
        <v>-700264830.5419786</v>
      </c>
      <c r="M1936" s="460">
        <f t="shared" si="121"/>
        <v>0.05</v>
      </c>
      <c r="N1936" s="464">
        <f t="shared" si="122"/>
        <v>109971</v>
      </c>
    </row>
    <row r="1937" spans="7:14" ht="11.25" customHeight="1" x14ac:dyDescent="0.3">
      <c r="G1937" s="459"/>
      <c r="H1937" s="459">
        <v>1930</v>
      </c>
      <c r="I1937" s="444">
        <f t="shared" ca="1" si="120"/>
        <v>-700264830.5419786</v>
      </c>
      <c r="J1937" s="444">
        <f t="array" ref="J1937">IFERROR(INDEX('Retirement Calculator'!K:K,MATCH('Lorri 401b'!N1937,'Retirement Calculator'!A:A,0),0),0)</f>
        <v>0</v>
      </c>
      <c r="K1937" s="444">
        <f t="shared" ca="1" si="118"/>
        <v>-2917770.127258244</v>
      </c>
      <c r="L1937" s="444">
        <f t="shared" ca="1" si="119"/>
        <v>-703182600.6692369</v>
      </c>
      <c r="M1937" s="460">
        <f t="shared" si="121"/>
        <v>0.05</v>
      </c>
      <c r="N1937" s="464">
        <f t="shared" si="122"/>
        <v>109999</v>
      </c>
    </row>
    <row r="1938" spans="7:14" ht="11.25" customHeight="1" x14ac:dyDescent="0.3">
      <c r="G1938" s="459"/>
      <c r="H1938" s="459">
        <v>1931</v>
      </c>
      <c r="I1938" s="444">
        <f t="shared" ca="1" si="120"/>
        <v>-703182600.6692369</v>
      </c>
      <c r="J1938" s="444">
        <f t="array" ref="J1938">IFERROR(INDEX('Retirement Calculator'!K:K,MATCH('Lorri 401b'!N1938,'Retirement Calculator'!A:A,0),0),0)</f>
        <v>0</v>
      </c>
      <c r="K1938" s="444">
        <f t="shared" ca="1" si="118"/>
        <v>-2929927.5027884869</v>
      </c>
      <c r="L1938" s="444">
        <f t="shared" ca="1" si="119"/>
        <v>-706112528.17202544</v>
      </c>
      <c r="M1938" s="460">
        <f t="shared" si="121"/>
        <v>0.05</v>
      </c>
      <c r="N1938" s="464">
        <f t="shared" si="122"/>
        <v>110030</v>
      </c>
    </row>
    <row r="1939" spans="7:14" ht="11.25" customHeight="1" x14ac:dyDescent="0.3">
      <c r="G1939" s="459"/>
      <c r="H1939" s="459">
        <v>1932</v>
      </c>
      <c r="I1939" s="444">
        <f t="shared" ca="1" si="120"/>
        <v>-706112528.17202544</v>
      </c>
      <c r="J1939" s="444">
        <f t="array" ref="J1939">IFERROR(INDEX('Retirement Calculator'!K:K,MATCH('Lorri 401b'!N1939,'Retirement Calculator'!A:A,0),0),0)</f>
        <v>0</v>
      </c>
      <c r="K1939" s="444">
        <f t="shared" ca="1" si="118"/>
        <v>-2942135.5340501061</v>
      </c>
      <c r="L1939" s="444">
        <f t="shared" ca="1" si="119"/>
        <v>-709054663.70607555</v>
      </c>
      <c r="M1939" s="460">
        <f t="shared" si="121"/>
        <v>0.05</v>
      </c>
      <c r="N1939" s="464">
        <f t="shared" si="122"/>
        <v>110060</v>
      </c>
    </row>
    <row r="1940" spans="7:14" ht="11.25" customHeight="1" x14ac:dyDescent="0.3">
      <c r="G1940" s="459"/>
      <c r="H1940" s="459">
        <v>1933</v>
      </c>
      <c r="I1940" s="444">
        <f t="shared" ca="1" si="120"/>
        <v>-709054663.70607555</v>
      </c>
      <c r="J1940" s="444">
        <f t="array" ref="J1940">IFERROR(INDEX('Retirement Calculator'!K:K,MATCH('Lorri 401b'!N1940,'Retirement Calculator'!A:A,0),0),0)</f>
        <v>0</v>
      </c>
      <c r="K1940" s="444">
        <f t="shared" ca="1" si="118"/>
        <v>-2954394.4321086481</v>
      </c>
      <c r="L1940" s="444">
        <f t="shared" ca="1" si="119"/>
        <v>-712009058.13818419</v>
      </c>
      <c r="M1940" s="460">
        <f t="shared" si="121"/>
        <v>0.05</v>
      </c>
      <c r="N1940" s="464">
        <f t="shared" si="122"/>
        <v>110091</v>
      </c>
    </row>
    <row r="1941" spans="7:14" ht="11.25" customHeight="1" x14ac:dyDescent="0.3">
      <c r="G1941" s="459"/>
      <c r="H1941" s="459">
        <v>1934</v>
      </c>
      <c r="I1941" s="444">
        <f t="shared" ca="1" si="120"/>
        <v>-712009058.13818419</v>
      </c>
      <c r="J1941" s="444">
        <f t="array" ref="J1941">IFERROR(INDEX('Retirement Calculator'!K:K,MATCH('Lorri 401b'!N1941,'Retirement Calculator'!A:A,0),0),0)</f>
        <v>0</v>
      </c>
      <c r="K1941" s="444">
        <f t="shared" ca="1" si="118"/>
        <v>-2966704.4089091006</v>
      </c>
      <c r="L1941" s="444">
        <f t="shared" ca="1" si="119"/>
        <v>-714975762.54709327</v>
      </c>
      <c r="M1941" s="460">
        <f t="shared" si="121"/>
        <v>0.05</v>
      </c>
      <c r="N1941" s="464">
        <f t="shared" si="122"/>
        <v>110121</v>
      </c>
    </row>
    <row r="1942" spans="7:14" ht="11.25" customHeight="1" x14ac:dyDescent="0.3">
      <c r="G1942" s="459"/>
      <c r="H1942" s="459">
        <v>1935</v>
      </c>
      <c r="I1942" s="444">
        <f t="shared" ca="1" si="120"/>
        <v>-714975762.54709327</v>
      </c>
      <c r="J1942" s="444">
        <f t="array" ref="J1942">IFERROR(INDEX('Retirement Calculator'!K:K,MATCH('Lorri 401b'!N1942,'Retirement Calculator'!A:A,0),0),0)</f>
        <v>0</v>
      </c>
      <c r="K1942" s="444">
        <f t="shared" ca="1" si="118"/>
        <v>-2979065.6772795552</v>
      </c>
      <c r="L1942" s="444">
        <f t="shared" ca="1" si="119"/>
        <v>-717954828.22437286</v>
      </c>
      <c r="M1942" s="460">
        <f t="shared" si="121"/>
        <v>0.05</v>
      </c>
      <c r="N1942" s="464">
        <f t="shared" si="122"/>
        <v>110152</v>
      </c>
    </row>
    <row r="1943" spans="7:14" ht="11.25" customHeight="1" x14ac:dyDescent="0.3">
      <c r="G1943" s="459"/>
      <c r="H1943" s="459">
        <v>1936</v>
      </c>
      <c r="I1943" s="444">
        <f t="shared" ca="1" si="120"/>
        <v>-717954828.22437286</v>
      </c>
      <c r="J1943" s="444">
        <f t="array" ref="J1943">IFERROR(INDEX('Retirement Calculator'!K:K,MATCH('Lorri 401b'!N1943,'Retirement Calculator'!A:A,0),0),0)</f>
        <v>0</v>
      </c>
      <c r="K1943" s="444">
        <f t="shared" ca="1" si="118"/>
        <v>-2991478.4509348869</v>
      </c>
      <c r="L1943" s="444">
        <f t="shared" ca="1" si="119"/>
        <v>-720946306.67530775</v>
      </c>
      <c r="M1943" s="460">
        <f t="shared" si="121"/>
        <v>0.05</v>
      </c>
      <c r="N1943" s="464">
        <f t="shared" si="122"/>
        <v>110183</v>
      </c>
    </row>
    <row r="1944" spans="7:14" ht="11.25" customHeight="1" x14ac:dyDescent="0.3">
      <c r="G1944" s="459"/>
      <c r="H1944" s="459">
        <v>1937</v>
      </c>
      <c r="I1944" s="444">
        <f t="shared" ca="1" si="120"/>
        <v>-720946306.67530775</v>
      </c>
      <c r="J1944" s="444">
        <f t="array" ref="J1944">IFERROR(INDEX('Retirement Calculator'!K:K,MATCH('Lorri 401b'!N1944,'Retirement Calculator'!A:A,0),0),0)</f>
        <v>0</v>
      </c>
      <c r="K1944" s="444">
        <f t="shared" ca="1" si="118"/>
        <v>-3003942.944480449</v>
      </c>
      <c r="L1944" s="444">
        <f t="shared" ca="1" si="119"/>
        <v>-723950249.61978817</v>
      </c>
      <c r="M1944" s="460">
        <f t="shared" si="121"/>
        <v>0.05</v>
      </c>
      <c r="N1944" s="464">
        <f t="shared" si="122"/>
        <v>110213</v>
      </c>
    </row>
    <row r="1945" spans="7:14" ht="11.25" customHeight="1" x14ac:dyDescent="0.3">
      <c r="G1945" s="459"/>
      <c r="H1945" s="459">
        <v>1938</v>
      </c>
      <c r="I1945" s="444">
        <f t="shared" ca="1" si="120"/>
        <v>-723950249.61978817</v>
      </c>
      <c r="J1945" s="444">
        <f t="array" ref="J1945">IFERROR(INDEX('Retirement Calculator'!K:K,MATCH('Lorri 401b'!N1945,'Retirement Calculator'!A:A,0),0),0)</f>
        <v>0</v>
      </c>
      <c r="K1945" s="444">
        <f t="shared" ca="1" si="118"/>
        <v>-3016459.373415784</v>
      </c>
      <c r="L1945" s="444">
        <f t="shared" ca="1" si="119"/>
        <v>-726966708.993204</v>
      </c>
      <c r="M1945" s="460">
        <f t="shared" si="121"/>
        <v>0.05</v>
      </c>
      <c r="N1945" s="464">
        <f t="shared" si="122"/>
        <v>110244</v>
      </c>
    </row>
    <row r="1946" spans="7:14" ht="11.25" customHeight="1" x14ac:dyDescent="0.3">
      <c r="G1946" s="459"/>
      <c r="H1946" s="459">
        <v>1939</v>
      </c>
      <c r="I1946" s="444">
        <f t="shared" ca="1" si="120"/>
        <v>-726966708.993204</v>
      </c>
      <c r="J1946" s="444">
        <f t="array" ref="J1946">IFERROR(INDEX('Retirement Calculator'!K:K,MATCH('Lorri 401b'!N1946,'Retirement Calculator'!A:A,0),0),0)</f>
        <v>0</v>
      </c>
      <c r="K1946" s="444">
        <f t="shared" ca="1" si="118"/>
        <v>-3029027.9541383497</v>
      </c>
      <c r="L1946" s="444">
        <f t="shared" ca="1" si="119"/>
        <v>-729995736.9473424</v>
      </c>
      <c r="M1946" s="460">
        <f t="shared" si="121"/>
        <v>0.05</v>
      </c>
      <c r="N1946" s="464">
        <f t="shared" si="122"/>
        <v>110274</v>
      </c>
    </row>
    <row r="1947" spans="7:14" ht="11.25" customHeight="1" x14ac:dyDescent="0.3">
      <c r="G1947" s="459"/>
      <c r="H1947" s="459">
        <v>1940</v>
      </c>
      <c r="I1947" s="444">
        <f t="shared" ca="1" si="120"/>
        <v>-729995736.9473424</v>
      </c>
      <c r="J1947" s="444">
        <f t="array" ref="J1947">IFERROR(INDEX('Retirement Calculator'!K:K,MATCH('Lorri 401b'!N1947,'Retirement Calculator'!A:A,0),0),0)</f>
        <v>0</v>
      </c>
      <c r="K1947" s="444">
        <f t="shared" ca="1" si="118"/>
        <v>-3041648.9039472598</v>
      </c>
      <c r="L1947" s="444">
        <f t="shared" ca="1" si="119"/>
        <v>-733037385.85128963</v>
      </c>
      <c r="M1947" s="460">
        <f t="shared" si="121"/>
        <v>0.05</v>
      </c>
      <c r="N1947" s="464">
        <f t="shared" si="122"/>
        <v>110305</v>
      </c>
    </row>
    <row r="1948" spans="7:14" ht="11.25" customHeight="1" x14ac:dyDescent="0.3">
      <c r="G1948" s="459"/>
      <c r="H1948" s="459">
        <v>1941</v>
      </c>
      <c r="I1948" s="444">
        <f t="shared" ca="1" si="120"/>
        <v>-733037385.85128963</v>
      </c>
      <c r="J1948" s="444">
        <f t="array" ref="J1948">IFERROR(INDEX('Retirement Calculator'!K:K,MATCH('Lorri 401b'!N1948,'Retirement Calculator'!A:A,0),0),0)</f>
        <v>0</v>
      </c>
      <c r="K1948" s="444">
        <f t="shared" ca="1" si="118"/>
        <v>-3054322.4410470403</v>
      </c>
      <c r="L1948" s="444">
        <f t="shared" ca="1" si="119"/>
        <v>-736091708.2923367</v>
      </c>
      <c r="M1948" s="460">
        <f t="shared" si="121"/>
        <v>0.05</v>
      </c>
      <c r="N1948" s="464">
        <f t="shared" si="122"/>
        <v>110336</v>
      </c>
    </row>
    <row r="1949" spans="7:14" ht="11.25" customHeight="1" x14ac:dyDescent="0.3">
      <c r="G1949" s="459"/>
      <c r="H1949" s="459">
        <v>1942</v>
      </c>
      <c r="I1949" s="444">
        <f t="shared" ca="1" si="120"/>
        <v>-736091708.2923367</v>
      </c>
      <c r="J1949" s="444">
        <f t="array" ref="J1949">IFERROR(INDEX('Retirement Calculator'!K:K,MATCH('Lorri 401b'!N1949,'Retirement Calculator'!A:A,0),0),0)</f>
        <v>0</v>
      </c>
      <c r="K1949" s="444">
        <f t="shared" ca="1" si="118"/>
        <v>-3067048.784551403</v>
      </c>
      <c r="L1949" s="444">
        <f t="shared" ca="1" si="119"/>
        <v>-739158757.07688808</v>
      </c>
      <c r="M1949" s="460">
        <f t="shared" si="121"/>
        <v>0.05</v>
      </c>
      <c r="N1949" s="464">
        <f t="shared" si="122"/>
        <v>110364</v>
      </c>
    </row>
    <row r="1950" spans="7:14" ht="11.25" customHeight="1" x14ac:dyDescent="0.3">
      <c r="G1950" s="459"/>
      <c r="H1950" s="459">
        <v>1943</v>
      </c>
      <c r="I1950" s="444">
        <f t="shared" ca="1" si="120"/>
        <v>-739158757.07688808</v>
      </c>
      <c r="J1950" s="444">
        <f t="array" ref="J1950">IFERROR(INDEX('Retirement Calculator'!K:K,MATCH('Lorri 401b'!N1950,'Retirement Calculator'!A:A,0),0),0)</f>
        <v>0</v>
      </c>
      <c r="K1950" s="444">
        <f t="shared" ca="1" si="118"/>
        <v>-3079828.1544870338</v>
      </c>
      <c r="L1950" s="444">
        <f t="shared" ca="1" si="119"/>
        <v>-742238585.2313751</v>
      </c>
      <c r="M1950" s="460">
        <f t="shared" si="121"/>
        <v>0.05</v>
      </c>
      <c r="N1950" s="464">
        <f t="shared" si="122"/>
        <v>110395</v>
      </c>
    </row>
    <row r="1951" spans="7:14" ht="11.25" customHeight="1" x14ac:dyDescent="0.3">
      <c r="G1951" s="459"/>
      <c r="H1951" s="459">
        <v>1944</v>
      </c>
      <c r="I1951" s="444">
        <f t="shared" ca="1" si="120"/>
        <v>-742238585.2313751</v>
      </c>
      <c r="J1951" s="444">
        <f t="array" ref="J1951">IFERROR(INDEX('Retirement Calculator'!K:K,MATCH('Lorri 401b'!N1951,'Retirement Calculator'!A:A,0),0),0)</f>
        <v>0</v>
      </c>
      <c r="K1951" s="444">
        <f t="shared" ca="1" si="118"/>
        <v>-3092660.7717973962</v>
      </c>
      <c r="L1951" s="444">
        <f t="shared" ca="1" si="119"/>
        <v>-745331246.00317252</v>
      </c>
      <c r="M1951" s="460">
        <f t="shared" si="121"/>
        <v>0.05</v>
      </c>
      <c r="N1951" s="464">
        <f t="shared" si="122"/>
        <v>110425</v>
      </c>
    </row>
    <row r="1952" spans="7:14" ht="11.25" customHeight="1" x14ac:dyDescent="0.3">
      <c r="G1952" s="459"/>
      <c r="H1952" s="459">
        <v>1945</v>
      </c>
      <c r="I1952" s="444">
        <f t="shared" ca="1" si="120"/>
        <v>-745331246.00317252</v>
      </c>
      <c r="J1952" s="444">
        <f t="array" ref="J1952">IFERROR(INDEX('Retirement Calculator'!K:K,MATCH('Lorri 401b'!N1952,'Retirement Calculator'!A:A,0),0),0)</f>
        <v>0</v>
      </c>
      <c r="K1952" s="444">
        <f t="shared" ca="1" si="118"/>
        <v>-3105546.8583465521</v>
      </c>
      <c r="L1952" s="444">
        <f t="shared" ca="1" si="119"/>
        <v>-748436792.8615191</v>
      </c>
      <c r="M1952" s="460">
        <f t="shared" si="121"/>
        <v>0.05</v>
      </c>
      <c r="N1952" s="464">
        <f t="shared" si="122"/>
        <v>110456</v>
      </c>
    </row>
    <row r="1953" spans="7:14" ht="11.25" customHeight="1" x14ac:dyDescent="0.3">
      <c r="G1953" s="459"/>
      <c r="H1953" s="459">
        <v>1946</v>
      </c>
      <c r="I1953" s="444">
        <f t="shared" ca="1" si="120"/>
        <v>-748436792.8615191</v>
      </c>
      <c r="J1953" s="444">
        <f t="array" ref="J1953">IFERROR(INDEX('Retirement Calculator'!K:K,MATCH('Lorri 401b'!N1953,'Retirement Calculator'!A:A,0),0),0)</f>
        <v>0</v>
      </c>
      <c r="K1953" s="444">
        <f t="shared" ca="1" si="118"/>
        <v>-3118486.636922996</v>
      </c>
      <c r="L1953" s="444">
        <f t="shared" ca="1" si="119"/>
        <v>-751555279.49844205</v>
      </c>
      <c r="M1953" s="460">
        <f t="shared" si="121"/>
        <v>0.05</v>
      </c>
      <c r="N1953" s="464">
        <f t="shared" si="122"/>
        <v>110486</v>
      </c>
    </row>
    <row r="1954" spans="7:14" ht="11.25" customHeight="1" x14ac:dyDescent="0.3">
      <c r="G1954" s="459"/>
      <c r="H1954" s="459">
        <v>1947</v>
      </c>
      <c r="I1954" s="444">
        <f t="shared" ca="1" si="120"/>
        <v>-751555279.49844205</v>
      </c>
      <c r="J1954" s="444">
        <f t="array" ref="J1954">IFERROR(INDEX('Retirement Calculator'!K:K,MATCH('Lorri 401b'!N1954,'Retirement Calculator'!A:A,0),0),0)</f>
        <v>0</v>
      </c>
      <c r="K1954" s="444">
        <f t="shared" ca="1" si="118"/>
        <v>-3131480.3312435085</v>
      </c>
      <c r="L1954" s="444">
        <f t="shared" ca="1" si="119"/>
        <v>-754686759.82968557</v>
      </c>
      <c r="M1954" s="460">
        <f t="shared" si="121"/>
        <v>0.05</v>
      </c>
      <c r="N1954" s="464">
        <f t="shared" si="122"/>
        <v>110517</v>
      </c>
    </row>
    <row r="1955" spans="7:14" ht="11.25" customHeight="1" x14ac:dyDescent="0.3">
      <c r="G1955" s="459"/>
      <c r="H1955" s="459">
        <v>1948</v>
      </c>
      <c r="I1955" s="444">
        <f t="shared" ca="1" si="120"/>
        <v>-754686759.82968557</v>
      </c>
      <c r="J1955" s="444">
        <f t="array" ref="J1955">IFERROR(INDEX('Retirement Calculator'!K:K,MATCH('Lorri 401b'!N1955,'Retirement Calculator'!A:A,0),0),0)</f>
        <v>0</v>
      </c>
      <c r="K1955" s="444">
        <f t="shared" ca="1" si="118"/>
        <v>-3144528.1659570234</v>
      </c>
      <c r="L1955" s="444">
        <f t="shared" ca="1" si="119"/>
        <v>-757831287.99564254</v>
      </c>
      <c r="M1955" s="460">
        <f t="shared" si="121"/>
        <v>0.05</v>
      </c>
      <c r="N1955" s="464">
        <f t="shared" si="122"/>
        <v>110548</v>
      </c>
    </row>
    <row r="1956" spans="7:14" ht="11.25" customHeight="1" x14ac:dyDescent="0.3">
      <c r="G1956" s="459"/>
      <c r="H1956" s="459">
        <v>1949</v>
      </c>
      <c r="I1956" s="444">
        <f t="shared" ca="1" si="120"/>
        <v>-757831287.99564254</v>
      </c>
      <c r="J1956" s="444">
        <f t="array" ref="J1956">IFERROR(INDEX('Retirement Calculator'!K:K,MATCH('Lorri 401b'!N1956,'Retirement Calculator'!A:A,0),0),0)</f>
        <v>0</v>
      </c>
      <c r="K1956" s="444">
        <f t="shared" ca="1" si="118"/>
        <v>-3157630.3666485106</v>
      </c>
      <c r="L1956" s="444">
        <f t="shared" ca="1" si="119"/>
        <v>-760988918.3622911</v>
      </c>
      <c r="M1956" s="460">
        <f t="shared" si="121"/>
        <v>0.05</v>
      </c>
      <c r="N1956" s="464">
        <f t="shared" si="122"/>
        <v>110578</v>
      </c>
    </row>
    <row r="1957" spans="7:14" ht="11.25" customHeight="1" x14ac:dyDescent="0.3">
      <c r="G1957" s="459"/>
      <c r="H1957" s="459">
        <v>1950</v>
      </c>
      <c r="I1957" s="444">
        <f t="shared" ca="1" si="120"/>
        <v>-760988918.3622911</v>
      </c>
      <c r="J1957" s="444">
        <f t="array" ref="J1957">IFERROR(INDEX('Retirement Calculator'!K:K,MATCH('Lorri 401b'!N1957,'Retirement Calculator'!A:A,0),0),0)</f>
        <v>0</v>
      </c>
      <c r="K1957" s="444">
        <f t="shared" ca="1" si="118"/>
        <v>-3170787.1598428795</v>
      </c>
      <c r="L1957" s="444">
        <f t="shared" ca="1" si="119"/>
        <v>-764159705.52213395</v>
      </c>
      <c r="M1957" s="460">
        <f t="shared" si="121"/>
        <v>0.05</v>
      </c>
      <c r="N1957" s="464">
        <f t="shared" si="122"/>
        <v>110609</v>
      </c>
    </row>
    <row r="1958" spans="7:14" ht="11.25" customHeight="1" x14ac:dyDescent="0.3">
      <c r="G1958" s="459"/>
      <c r="H1958" s="459">
        <v>1951</v>
      </c>
      <c r="I1958" s="444">
        <f t="shared" ca="1" si="120"/>
        <v>-764159705.52213395</v>
      </c>
      <c r="J1958" s="444">
        <f t="array" ref="J1958">IFERROR(INDEX('Retirement Calculator'!K:K,MATCH('Lorri 401b'!N1958,'Retirement Calculator'!A:A,0),0),0)</f>
        <v>0</v>
      </c>
      <c r="K1958" s="444">
        <f t="shared" ca="1" si="118"/>
        <v>-3183998.7730088914</v>
      </c>
      <c r="L1958" s="444">
        <f t="shared" ca="1" si="119"/>
        <v>-767343704.29514289</v>
      </c>
      <c r="M1958" s="460">
        <f t="shared" si="121"/>
        <v>0.05</v>
      </c>
      <c r="N1958" s="464">
        <f t="shared" si="122"/>
        <v>110639</v>
      </c>
    </row>
    <row r="1959" spans="7:14" ht="11.25" customHeight="1" x14ac:dyDescent="0.3">
      <c r="G1959" s="459"/>
      <c r="H1959" s="459">
        <v>1952</v>
      </c>
      <c r="I1959" s="444">
        <f t="shared" ca="1" si="120"/>
        <v>-767343704.29514289</v>
      </c>
      <c r="J1959" s="444">
        <f t="array" ref="J1959">IFERROR(INDEX('Retirement Calculator'!K:K,MATCH('Lorri 401b'!N1959,'Retirement Calculator'!A:A,0),0),0)</f>
        <v>0</v>
      </c>
      <c r="K1959" s="444">
        <f t="shared" ca="1" si="118"/>
        <v>-3197265.4345630952</v>
      </c>
      <c r="L1959" s="444">
        <f t="shared" ca="1" si="119"/>
        <v>-770540969.72970593</v>
      </c>
      <c r="M1959" s="460">
        <f t="shared" si="121"/>
        <v>0.05</v>
      </c>
      <c r="N1959" s="464">
        <f t="shared" si="122"/>
        <v>110670</v>
      </c>
    </row>
    <row r="1960" spans="7:14" ht="11.25" customHeight="1" x14ac:dyDescent="0.3">
      <c r="G1960" s="459"/>
      <c r="H1960" s="459">
        <v>1953</v>
      </c>
      <c r="I1960" s="444">
        <f t="shared" ca="1" si="120"/>
        <v>-770540969.72970593</v>
      </c>
      <c r="J1960" s="444">
        <f t="array" ref="J1960">IFERROR(INDEX('Retirement Calculator'!K:K,MATCH('Lorri 401b'!N1960,'Retirement Calculator'!A:A,0),0),0)</f>
        <v>0</v>
      </c>
      <c r="K1960" s="444">
        <f t="shared" ca="1" si="118"/>
        <v>-3210587.3738737749</v>
      </c>
      <c r="L1960" s="444">
        <f t="shared" ca="1" si="119"/>
        <v>-773751557.10357976</v>
      </c>
      <c r="M1960" s="460">
        <f t="shared" si="121"/>
        <v>0.05</v>
      </c>
      <c r="N1960" s="464">
        <f t="shared" si="122"/>
        <v>110701</v>
      </c>
    </row>
    <row r="1961" spans="7:14" ht="11.25" customHeight="1" x14ac:dyDescent="0.3">
      <c r="G1961" s="459"/>
      <c r="H1961" s="459">
        <v>1954</v>
      </c>
      <c r="I1961" s="444">
        <f t="shared" ca="1" si="120"/>
        <v>-773751557.10357976</v>
      </c>
      <c r="J1961" s="444">
        <f t="array" ref="J1961">IFERROR(INDEX('Retirement Calculator'!K:K,MATCH('Lorri 401b'!N1961,'Retirement Calculator'!A:A,0),0),0)</f>
        <v>0</v>
      </c>
      <c r="K1961" s="444">
        <f t="shared" ca="1" si="118"/>
        <v>-3223964.8212649156</v>
      </c>
      <c r="L1961" s="444">
        <f t="shared" ca="1" si="119"/>
        <v>-776975521.92484462</v>
      </c>
      <c r="M1961" s="460">
        <f t="shared" si="121"/>
        <v>0.05</v>
      </c>
      <c r="N1961" s="464">
        <f t="shared" si="122"/>
        <v>110729</v>
      </c>
    </row>
    <row r="1962" spans="7:14" ht="11.25" customHeight="1" x14ac:dyDescent="0.3">
      <c r="G1962" s="459"/>
      <c r="H1962" s="459">
        <v>1955</v>
      </c>
      <c r="I1962" s="444">
        <f t="shared" ca="1" si="120"/>
        <v>-776975521.92484462</v>
      </c>
      <c r="J1962" s="444">
        <f t="array" ref="J1962">IFERROR(INDEX('Retirement Calculator'!K:K,MATCH('Lorri 401b'!N1962,'Retirement Calculator'!A:A,0),0),0)</f>
        <v>0</v>
      </c>
      <c r="K1962" s="444">
        <f t="shared" ca="1" si="118"/>
        <v>-3237398.0080201859</v>
      </c>
      <c r="L1962" s="444">
        <f t="shared" ca="1" si="119"/>
        <v>-780212919.93286479</v>
      </c>
      <c r="M1962" s="460">
        <f t="shared" si="121"/>
        <v>0.05</v>
      </c>
      <c r="N1962" s="464">
        <f t="shared" si="122"/>
        <v>110760</v>
      </c>
    </row>
    <row r="1963" spans="7:14" ht="11.25" customHeight="1" x14ac:dyDescent="0.3">
      <c r="G1963" s="459"/>
      <c r="H1963" s="459">
        <v>1956</v>
      </c>
      <c r="I1963" s="444">
        <f t="shared" ca="1" si="120"/>
        <v>-780212919.93286479</v>
      </c>
      <c r="J1963" s="444">
        <f t="array" ref="J1963">IFERROR(INDEX('Retirement Calculator'!K:K,MATCH('Lorri 401b'!N1963,'Retirement Calculator'!A:A,0),0),0)</f>
        <v>0</v>
      </c>
      <c r="K1963" s="444">
        <f t="shared" ca="1" si="118"/>
        <v>-3250887.1663869368</v>
      </c>
      <c r="L1963" s="444">
        <f t="shared" ca="1" si="119"/>
        <v>-783463807.09925175</v>
      </c>
      <c r="M1963" s="460">
        <f t="shared" si="121"/>
        <v>0.05</v>
      </c>
      <c r="N1963" s="464">
        <f t="shared" si="122"/>
        <v>110790</v>
      </c>
    </row>
    <row r="1964" spans="7:14" ht="11.25" customHeight="1" x14ac:dyDescent="0.3">
      <c r="G1964" s="459"/>
      <c r="H1964" s="459">
        <v>1957</v>
      </c>
      <c r="I1964" s="444">
        <f t="shared" ca="1" si="120"/>
        <v>-783463807.09925175</v>
      </c>
      <c r="J1964" s="444">
        <f t="array" ref="J1964">IFERROR(INDEX('Retirement Calculator'!K:K,MATCH('Lorri 401b'!N1964,'Retirement Calculator'!A:A,0),0),0)</f>
        <v>0</v>
      </c>
      <c r="K1964" s="444">
        <f t="shared" ca="1" si="118"/>
        <v>-3264432.5295802155</v>
      </c>
      <c r="L1964" s="444">
        <f t="shared" ca="1" si="119"/>
        <v>-786728239.62883198</v>
      </c>
      <c r="M1964" s="460">
        <f t="shared" si="121"/>
        <v>0.05</v>
      </c>
      <c r="N1964" s="464">
        <f t="shared" si="122"/>
        <v>110821</v>
      </c>
    </row>
    <row r="1965" spans="7:14" ht="11.25" customHeight="1" x14ac:dyDescent="0.3">
      <c r="G1965" s="459"/>
      <c r="H1965" s="459">
        <v>1958</v>
      </c>
      <c r="I1965" s="444">
        <f t="shared" ca="1" si="120"/>
        <v>-786728239.62883198</v>
      </c>
      <c r="J1965" s="444">
        <f t="array" ref="J1965">IFERROR(INDEX('Retirement Calculator'!K:K,MATCH('Lorri 401b'!N1965,'Retirement Calculator'!A:A,0),0),0)</f>
        <v>0</v>
      </c>
      <c r="K1965" s="444">
        <f t="shared" ca="1" si="118"/>
        <v>-3278034.3317867997</v>
      </c>
      <c r="L1965" s="444">
        <f t="shared" ca="1" si="119"/>
        <v>-790006273.96061873</v>
      </c>
      <c r="M1965" s="460">
        <f t="shared" si="121"/>
        <v>0.05</v>
      </c>
      <c r="N1965" s="464">
        <f t="shared" si="122"/>
        <v>110851</v>
      </c>
    </row>
    <row r="1966" spans="7:14" ht="11.25" customHeight="1" x14ac:dyDescent="0.3">
      <c r="G1966" s="459"/>
      <c r="H1966" s="459">
        <v>1959</v>
      </c>
      <c r="I1966" s="444">
        <f t="shared" ca="1" si="120"/>
        <v>-790006273.96061873</v>
      </c>
      <c r="J1966" s="444">
        <f t="array" ref="J1966">IFERROR(INDEX('Retirement Calculator'!K:K,MATCH('Lorri 401b'!N1966,'Retirement Calculator'!A:A,0),0),0)</f>
        <v>0</v>
      </c>
      <c r="K1966" s="444">
        <f t="shared" ca="1" si="118"/>
        <v>-3291692.8081692448</v>
      </c>
      <c r="L1966" s="444">
        <f t="shared" ca="1" si="119"/>
        <v>-793297966.76878798</v>
      </c>
      <c r="M1966" s="460">
        <f t="shared" si="121"/>
        <v>0.05</v>
      </c>
      <c r="N1966" s="464">
        <f t="shared" si="122"/>
        <v>110882</v>
      </c>
    </row>
    <row r="1967" spans="7:14" ht="11.25" customHeight="1" x14ac:dyDescent="0.3">
      <c r="G1967" s="459"/>
      <c r="H1967" s="459">
        <v>1960</v>
      </c>
      <c r="I1967" s="444">
        <f t="shared" ca="1" si="120"/>
        <v>-793297966.76878798</v>
      </c>
      <c r="J1967" s="444">
        <f t="array" ref="J1967">IFERROR(INDEX('Retirement Calculator'!K:K,MATCH('Lorri 401b'!N1967,'Retirement Calculator'!A:A,0),0),0)</f>
        <v>0</v>
      </c>
      <c r="K1967" s="444">
        <f t="shared" ca="1" si="118"/>
        <v>-3305408.1948699499</v>
      </c>
      <c r="L1967" s="444">
        <f t="shared" ca="1" si="119"/>
        <v>-796603374.96365798</v>
      </c>
      <c r="M1967" s="460">
        <f t="shared" si="121"/>
        <v>0.05</v>
      </c>
      <c r="N1967" s="464">
        <f t="shared" si="122"/>
        <v>110913</v>
      </c>
    </row>
    <row r="1968" spans="7:14" ht="11.25" customHeight="1" x14ac:dyDescent="0.3">
      <c r="G1968" s="459"/>
      <c r="H1968" s="459">
        <v>1961</v>
      </c>
      <c r="I1968" s="444">
        <f t="shared" ca="1" si="120"/>
        <v>-796603374.96365798</v>
      </c>
      <c r="J1968" s="444">
        <f t="array" ref="J1968">IFERROR(INDEX('Retirement Calculator'!K:K,MATCH('Lorri 401b'!N1968,'Retirement Calculator'!A:A,0),0),0)</f>
        <v>0</v>
      </c>
      <c r="K1968" s="444">
        <f t="shared" ca="1" si="118"/>
        <v>-3319180.7290152414</v>
      </c>
      <c r="L1968" s="444">
        <f t="shared" ca="1" si="119"/>
        <v>-799922555.69267321</v>
      </c>
      <c r="M1968" s="460">
        <f t="shared" si="121"/>
        <v>0.05</v>
      </c>
      <c r="N1968" s="464">
        <f t="shared" si="122"/>
        <v>110943</v>
      </c>
    </row>
    <row r="1969" spans="7:14" ht="11.25" customHeight="1" x14ac:dyDescent="0.3">
      <c r="G1969" s="459"/>
      <c r="H1969" s="459">
        <v>1962</v>
      </c>
      <c r="I1969" s="444">
        <f t="shared" ca="1" si="120"/>
        <v>-799922555.69267321</v>
      </c>
      <c r="J1969" s="444">
        <f t="array" ref="J1969">IFERROR(INDEX('Retirement Calculator'!K:K,MATCH('Lorri 401b'!N1969,'Retirement Calculator'!A:A,0),0),0)</f>
        <v>0</v>
      </c>
      <c r="K1969" s="444">
        <f t="shared" ca="1" si="118"/>
        <v>-3333010.6487194719</v>
      </c>
      <c r="L1969" s="444">
        <f t="shared" ca="1" si="119"/>
        <v>-803255566.34139264</v>
      </c>
      <c r="M1969" s="460">
        <f t="shared" si="121"/>
        <v>0.05</v>
      </c>
      <c r="N1969" s="464">
        <f t="shared" si="122"/>
        <v>110974</v>
      </c>
    </row>
    <row r="1970" spans="7:14" ht="11.25" customHeight="1" x14ac:dyDescent="0.3">
      <c r="G1970" s="459"/>
      <c r="H1970" s="459">
        <v>1963</v>
      </c>
      <c r="I1970" s="444">
        <f t="shared" ca="1" si="120"/>
        <v>-803255566.34139264</v>
      </c>
      <c r="J1970" s="444">
        <f t="array" ref="J1970">IFERROR(INDEX('Retirement Calculator'!K:K,MATCH('Lorri 401b'!N1970,'Retirement Calculator'!A:A,0),0),0)</f>
        <v>0</v>
      </c>
      <c r="K1970" s="444">
        <f t="shared" ca="1" si="118"/>
        <v>-3346898.1930891359</v>
      </c>
      <c r="L1970" s="444">
        <f t="shared" ca="1" si="119"/>
        <v>-806602464.53448176</v>
      </c>
      <c r="M1970" s="460">
        <f t="shared" si="121"/>
        <v>0.05</v>
      </c>
      <c r="N1970" s="464">
        <f t="shared" si="122"/>
        <v>111004</v>
      </c>
    </row>
    <row r="1971" spans="7:14" ht="11.25" customHeight="1" x14ac:dyDescent="0.3">
      <c r="G1971" s="459"/>
      <c r="H1971" s="459">
        <v>1964</v>
      </c>
      <c r="I1971" s="444">
        <f t="shared" ca="1" si="120"/>
        <v>-806602464.53448176</v>
      </c>
      <c r="J1971" s="444">
        <f t="array" ref="J1971">IFERROR(INDEX('Retirement Calculator'!K:K,MATCH('Lorri 401b'!N1971,'Retirement Calculator'!A:A,0),0),0)</f>
        <v>0</v>
      </c>
      <c r="K1971" s="444">
        <f t="shared" ca="1" si="118"/>
        <v>-3360843.6022270075</v>
      </c>
      <c r="L1971" s="444">
        <f t="shared" ca="1" si="119"/>
        <v>-809963308.13670874</v>
      </c>
      <c r="M1971" s="460">
        <f t="shared" si="121"/>
        <v>0.05</v>
      </c>
      <c r="N1971" s="464">
        <f t="shared" si="122"/>
        <v>111035</v>
      </c>
    </row>
    <row r="1972" spans="7:14" ht="11.25" customHeight="1" x14ac:dyDescent="0.3">
      <c r="G1972" s="459"/>
      <c r="H1972" s="459">
        <v>1965</v>
      </c>
      <c r="I1972" s="444">
        <f t="shared" ca="1" si="120"/>
        <v>-809963308.13670874</v>
      </c>
      <c r="J1972" s="444">
        <f t="array" ref="J1972">IFERROR(INDEX('Retirement Calculator'!K:K,MATCH('Lorri 401b'!N1972,'Retirement Calculator'!A:A,0),0),0)</f>
        <v>0</v>
      </c>
      <c r="K1972" s="444">
        <f t="shared" ca="1" si="118"/>
        <v>-3374847.1172362864</v>
      </c>
      <c r="L1972" s="444">
        <f t="shared" ca="1" si="119"/>
        <v>-813338155.25394499</v>
      </c>
      <c r="M1972" s="460">
        <f t="shared" si="121"/>
        <v>0.05</v>
      </c>
      <c r="N1972" s="464">
        <f t="shared" si="122"/>
        <v>111066</v>
      </c>
    </row>
    <row r="1973" spans="7:14" ht="11.25" customHeight="1" x14ac:dyDescent="0.3">
      <c r="G1973" s="459"/>
      <c r="H1973" s="459">
        <v>1966</v>
      </c>
      <c r="I1973" s="444">
        <f t="shared" ca="1" si="120"/>
        <v>-813338155.25394499</v>
      </c>
      <c r="J1973" s="444">
        <f t="array" ref="J1973">IFERROR(INDEX('Retirement Calculator'!K:K,MATCH('Lorri 401b'!N1973,'Retirement Calculator'!A:A,0),0),0)</f>
        <v>0</v>
      </c>
      <c r="K1973" s="444">
        <f t="shared" ca="1" si="118"/>
        <v>-3388908.980224771</v>
      </c>
      <c r="L1973" s="444">
        <f t="shared" ca="1" si="119"/>
        <v>-816727064.23416972</v>
      </c>
      <c r="M1973" s="460">
        <f t="shared" si="121"/>
        <v>0.05</v>
      </c>
      <c r="N1973" s="464">
        <f t="shared" si="122"/>
        <v>111095</v>
      </c>
    </row>
    <row r="1974" spans="7:14" ht="11.25" customHeight="1" x14ac:dyDescent="0.3">
      <c r="G1974" s="459"/>
      <c r="H1974" s="459">
        <v>1967</v>
      </c>
      <c r="I1974" s="444">
        <f t="shared" ca="1" si="120"/>
        <v>-816727064.23416972</v>
      </c>
      <c r="J1974" s="444">
        <f t="array" ref="J1974">IFERROR(INDEX('Retirement Calculator'!K:K,MATCH('Lorri 401b'!N1974,'Retirement Calculator'!A:A,0),0),0)</f>
        <v>0</v>
      </c>
      <c r="K1974" s="444">
        <f t="shared" ca="1" si="118"/>
        <v>-3403029.4343090407</v>
      </c>
      <c r="L1974" s="444">
        <f t="shared" ca="1" si="119"/>
        <v>-820130093.66847873</v>
      </c>
      <c r="M1974" s="460">
        <f t="shared" si="121"/>
        <v>0.05</v>
      </c>
      <c r="N1974" s="464">
        <f t="shared" si="122"/>
        <v>111126</v>
      </c>
    </row>
    <row r="1975" spans="7:14" ht="11.25" customHeight="1" x14ac:dyDescent="0.3">
      <c r="G1975" s="459"/>
      <c r="H1975" s="459">
        <v>1968</v>
      </c>
      <c r="I1975" s="444">
        <f t="shared" ca="1" si="120"/>
        <v>-820130093.66847873</v>
      </c>
      <c r="J1975" s="444">
        <f t="array" ref="J1975">IFERROR(INDEX('Retirement Calculator'!K:K,MATCH('Lorri 401b'!N1975,'Retirement Calculator'!A:A,0),0),0)</f>
        <v>0</v>
      </c>
      <c r="K1975" s="444">
        <f t="shared" ca="1" si="118"/>
        <v>-3417208.7236186615</v>
      </c>
      <c r="L1975" s="444">
        <f t="shared" ca="1" si="119"/>
        <v>-823547302.39209735</v>
      </c>
      <c r="M1975" s="460">
        <f t="shared" si="121"/>
        <v>0.05</v>
      </c>
      <c r="N1975" s="464">
        <f t="shared" si="122"/>
        <v>111156</v>
      </c>
    </row>
    <row r="1976" spans="7:14" ht="11.25" customHeight="1" x14ac:dyDescent="0.3">
      <c r="G1976" s="459"/>
      <c r="H1976" s="459">
        <v>1969</v>
      </c>
      <c r="I1976" s="444">
        <f t="shared" ca="1" si="120"/>
        <v>-823547302.39209735</v>
      </c>
      <c r="J1976" s="444">
        <f t="array" ref="J1976">IFERROR(INDEX('Retirement Calculator'!K:K,MATCH('Lorri 401b'!N1976,'Retirement Calculator'!A:A,0),0),0)</f>
        <v>0</v>
      </c>
      <c r="K1976" s="444">
        <f t="shared" ca="1" si="118"/>
        <v>-3431447.0933004054</v>
      </c>
      <c r="L1976" s="444">
        <f t="shared" ca="1" si="119"/>
        <v>-826978749.48539782</v>
      </c>
      <c r="M1976" s="460">
        <f t="shared" si="121"/>
        <v>0.05</v>
      </c>
      <c r="N1976" s="464">
        <f t="shared" si="122"/>
        <v>111187</v>
      </c>
    </row>
    <row r="1977" spans="7:14" ht="11.25" customHeight="1" x14ac:dyDescent="0.3">
      <c r="G1977" s="459"/>
      <c r="H1977" s="459">
        <v>1970</v>
      </c>
      <c r="I1977" s="444">
        <f t="shared" ca="1" si="120"/>
        <v>-826978749.48539782</v>
      </c>
      <c r="J1977" s="444">
        <f t="array" ref="J1977">IFERROR(INDEX('Retirement Calculator'!K:K,MATCH('Lorri 401b'!N1977,'Retirement Calculator'!A:A,0),0),0)</f>
        <v>0</v>
      </c>
      <c r="K1977" s="444">
        <f t="shared" ca="1" si="118"/>
        <v>-3445744.7895224909</v>
      </c>
      <c r="L1977" s="444">
        <f t="shared" ca="1" si="119"/>
        <v>-830424494.27492034</v>
      </c>
      <c r="M1977" s="460">
        <f t="shared" si="121"/>
        <v>0.05</v>
      </c>
      <c r="N1977" s="464">
        <f t="shared" si="122"/>
        <v>111217</v>
      </c>
    </row>
    <row r="1978" spans="7:14" ht="11.25" customHeight="1" x14ac:dyDescent="0.3">
      <c r="G1978" s="459"/>
      <c r="H1978" s="459">
        <v>1971</v>
      </c>
      <c r="I1978" s="444">
        <f t="shared" ca="1" si="120"/>
        <v>-830424494.27492034</v>
      </c>
      <c r="J1978" s="444">
        <f t="array" ref="J1978">IFERROR(INDEX('Retirement Calculator'!K:K,MATCH('Lorri 401b'!N1978,'Retirement Calculator'!A:A,0),0),0)</f>
        <v>0</v>
      </c>
      <c r="K1978" s="444">
        <f t="shared" ca="1" si="118"/>
        <v>-3460102.0594788347</v>
      </c>
      <c r="L1978" s="444">
        <f t="shared" ca="1" si="119"/>
        <v>-833884596.33439922</v>
      </c>
      <c r="M1978" s="460">
        <f t="shared" si="121"/>
        <v>0.05</v>
      </c>
      <c r="N1978" s="464">
        <f t="shared" si="122"/>
        <v>111248</v>
      </c>
    </row>
    <row r="1979" spans="7:14" ht="11.25" customHeight="1" x14ac:dyDescent="0.3">
      <c r="G1979" s="459"/>
      <c r="H1979" s="459">
        <v>1972</v>
      </c>
      <c r="I1979" s="444">
        <f t="shared" ca="1" si="120"/>
        <v>-833884596.33439922</v>
      </c>
      <c r="J1979" s="444">
        <f t="array" ref="J1979">IFERROR(INDEX('Retirement Calculator'!K:K,MATCH('Lorri 401b'!N1979,'Retirement Calculator'!A:A,0),0),0)</f>
        <v>0</v>
      </c>
      <c r="K1979" s="444">
        <f t="shared" ca="1" si="118"/>
        <v>-3474519.1513933302</v>
      </c>
      <c r="L1979" s="444">
        <f t="shared" ca="1" si="119"/>
        <v>-837359115.48579252</v>
      </c>
      <c r="M1979" s="460">
        <f t="shared" si="121"/>
        <v>0.05</v>
      </c>
      <c r="N1979" s="464">
        <f t="shared" si="122"/>
        <v>111279</v>
      </c>
    </row>
    <row r="1980" spans="7:14" ht="11.25" customHeight="1" x14ac:dyDescent="0.3">
      <c r="G1980" s="459"/>
      <c r="H1980" s="459">
        <v>1973</v>
      </c>
      <c r="I1980" s="444">
        <f t="shared" ca="1" si="120"/>
        <v>-837359115.48579252</v>
      </c>
      <c r="J1980" s="444">
        <f t="array" ref="J1980">IFERROR(INDEX('Retirement Calculator'!K:K,MATCH('Lorri 401b'!N1980,'Retirement Calculator'!A:A,0),0),0)</f>
        <v>0</v>
      </c>
      <c r="K1980" s="444">
        <f t="shared" ca="1" si="118"/>
        <v>-3488996.3145241356</v>
      </c>
      <c r="L1980" s="444">
        <f t="shared" ca="1" si="119"/>
        <v>-840848111.80031669</v>
      </c>
      <c r="M1980" s="460">
        <f t="shared" si="121"/>
        <v>0.05</v>
      </c>
      <c r="N1980" s="464">
        <f t="shared" si="122"/>
        <v>111309</v>
      </c>
    </row>
    <row r="1981" spans="7:14" ht="11.25" customHeight="1" x14ac:dyDescent="0.3">
      <c r="G1981" s="459"/>
      <c r="H1981" s="459">
        <v>1974</v>
      </c>
      <c r="I1981" s="444">
        <f t="shared" ca="1" si="120"/>
        <v>-840848111.80031669</v>
      </c>
      <c r="J1981" s="444">
        <f t="array" ref="J1981">IFERROR(INDEX('Retirement Calculator'!K:K,MATCH('Lorri 401b'!N1981,'Retirement Calculator'!A:A,0),0),0)</f>
        <v>0</v>
      </c>
      <c r="K1981" s="444">
        <f t="shared" ca="1" si="118"/>
        <v>-3503533.799167986</v>
      </c>
      <c r="L1981" s="444">
        <f t="shared" ca="1" si="119"/>
        <v>-844351645.59948468</v>
      </c>
      <c r="M1981" s="460">
        <f t="shared" si="121"/>
        <v>0.05</v>
      </c>
      <c r="N1981" s="464">
        <f t="shared" si="122"/>
        <v>111340</v>
      </c>
    </row>
    <row r="1982" spans="7:14" ht="11.25" customHeight="1" x14ac:dyDescent="0.3">
      <c r="G1982" s="459"/>
      <c r="H1982" s="459">
        <v>1975</v>
      </c>
      <c r="I1982" s="444">
        <f t="shared" ca="1" si="120"/>
        <v>-844351645.59948468</v>
      </c>
      <c r="J1982" s="444">
        <f t="array" ref="J1982">IFERROR(INDEX('Retirement Calculator'!K:K,MATCH('Lorri 401b'!N1982,'Retirement Calculator'!A:A,0),0),0)</f>
        <v>0</v>
      </c>
      <c r="K1982" s="444">
        <f t="shared" ca="1" si="118"/>
        <v>-3518131.8566645193</v>
      </c>
      <c r="L1982" s="444">
        <f t="shared" ca="1" si="119"/>
        <v>-847869777.45614922</v>
      </c>
      <c r="M1982" s="460">
        <f t="shared" si="121"/>
        <v>0.05</v>
      </c>
      <c r="N1982" s="464">
        <f t="shared" si="122"/>
        <v>111370</v>
      </c>
    </row>
    <row r="1983" spans="7:14" ht="11.25" customHeight="1" x14ac:dyDescent="0.3">
      <c r="G1983" s="459"/>
      <c r="H1983" s="459">
        <v>1976</v>
      </c>
      <c r="I1983" s="444">
        <f t="shared" ca="1" si="120"/>
        <v>-847869777.45614922</v>
      </c>
      <c r="J1983" s="444">
        <f t="array" ref="J1983">IFERROR(INDEX('Retirement Calculator'!K:K,MATCH('Lorri 401b'!N1983,'Retirement Calculator'!A:A,0),0),0)</f>
        <v>0</v>
      </c>
      <c r="K1983" s="444">
        <f t="shared" ca="1" si="118"/>
        <v>-3532790.739400622</v>
      </c>
      <c r="L1983" s="444">
        <f t="shared" ca="1" si="119"/>
        <v>-851402568.19554985</v>
      </c>
      <c r="M1983" s="460">
        <f t="shared" si="121"/>
        <v>0.05</v>
      </c>
      <c r="N1983" s="464">
        <f t="shared" si="122"/>
        <v>111401</v>
      </c>
    </row>
    <row r="1984" spans="7:14" ht="11.25" customHeight="1" x14ac:dyDescent="0.3">
      <c r="G1984" s="459"/>
      <c r="H1984" s="459">
        <v>1977</v>
      </c>
      <c r="I1984" s="444">
        <f t="shared" ca="1" si="120"/>
        <v>-851402568.19554985</v>
      </c>
      <c r="J1984" s="444">
        <f t="array" ref="J1984">IFERROR(INDEX('Retirement Calculator'!K:K,MATCH('Lorri 401b'!N1984,'Retirement Calculator'!A:A,0),0),0)</f>
        <v>0</v>
      </c>
      <c r="K1984" s="444">
        <f t="shared" ca="1" si="118"/>
        <v>-3547510.7008147906</v>
      </c>
      <c r="L1984" s="444">
        <f t="shared" ca="1" si="119"/>
        <v>-854950078.89636469</v>
      </c>
      <c r="M1984" s="460">
        <f t="shared" si="121"/>
        <v>0.05</v>
      </c>
      <c r="N1984" s="464">
        <f t="shared" si="122"/>
        <v>111432</v>
      </c>
    </row>
    <row r="1985" spans="7:14" ht="11.25" customHeight="1" x14ac:dyDescent="0.3">
      <c r="G1985" s="459"/>
      <c r="H1985" s="459">
        <v>1978</v>
      </c>
      <c r="I1985" s="444">
        <f t="shared" ca="1" si="120"/>
        <v>-854950078.89636469</v>
      </c>
      <c r="J1985" s="444">
        <f t="array" ref="J1985">IFERROR(INDEX('Retirement Calculator'!K:K,MATCH('Lorri 401b'!N1985,'Retirement Calculator'!A:A,0),0),0)</f>
        <v>0</v>
      </c>
      <c r="K1985" s="444">
        <f t="shared" ca="1" si="118"/>
        <v>-3562291.9954015189</v>
      </c>
      <c r="L1985" s="444">
        <f t="shared" ca="1" si="119"/>
        <v>-858512370.89176619</v>
      </c>
      <c r="M1985" s="460">
        <f t="shared" si="121"/>
        <v>0.05</v>
      </c>
      <c r="N1985" s="464">
        <f t="shared" si="122"/>
        <v>111460</v>
      </c>
    </row>
    <row r="1986" spans="7:14" ht="11.25" customHeight="1" x14ac:dyDescent="0.3">
      <c r="G1986" s="459"/>
      <c r="H1986" s="459">
        <v>1979</v>
      </c>
      <c r="I1986" s="444">
        <f t="shared" ca="1" si="120"/>
        <v>-858512370.89176619</v>
      </c>
      <c r="J1986" s="444">
        <f t="array" ref="J1986">IFERROR(INDEX('Retirement Calculator'!K:K,MATCH('Lorri 401b'!N1986,'Retirement Calculator'!A:A,0),0),0)</f>
        <v>0</v>
      </c>
      <c r="K1986" s="444">
        <f t="shared" ca="1" si="118"/>
        <v>-3577134.8787156926</v>
      </c>
      <c r="L1986" s="444">
        <f t="shared" ca="1" si="119"/>
        <v>-862089505.77048182</v>
      </c>
      <c r="M1986" s="460">
        <f t="shared" si="121"/>
        <v>0.05</v>
      </c>
      <c r="N1986" s="464">
        <f t="shared" si="122"/>
        <v>111491</v>
      </c>
    </row>
    <row r="1987" spans="7:14" ht="11.25" customHeight="1" x14ac:dyDescent="0.3">
      <c r="G1987" s="459"/>
      <c r="H1987" s="459">
        <v>1980</v>
      </c>
      <c r="I1987" s="444">
        <f t="shared" ca="1" si="120"/>
        <v>-862089505.77048182</v>
      </c>
      <c r="J1987" s="444">
        <f t="array" ref="J1987">IFERROR(INDEX('Retirement Calculator'!K:K,MATCH('Lorri 401b'!N1987,'Retirement Calculator'!A:A,0),0),0)</f>
        <v>0</v>
      </c>
      <c r="K1987" s="444">
        <f t="shared" ca="1" si="118"/>
        <v>-3592039.6073770071</v>
      </c>
      <c r="L1987" s="444">
        <f t="shared" ca="1" si="119"/>
        <v>-865681545.37785888</v>
      </c>
      <c r="M1987" s="460">
        <f t="shared" si="121"/>
        <v>0.05</v>
      </c>
      <c r="N1987" s="464">
        <f t="shared" si="122"/>
        <v>111521</v>
      </c>
    </row>
    <row r="1988" spans="7:14" ht="11.25" customHeight="1" x14ac:dyDescent="0.3">
      <c r="G1988" s="459"/>
      <c r="H1988" s="459">
        <v>1981</v>
      </c>
      <c r="I1988" s="444">
        <f t="shared" ca="1" si="120"/>
        <v>-865681545.37785888</v>
      </c>
      <c r="J1988" s="444">
        <f t="array" ref="J1988">IFERROR(INDEX('Retirement Calculator'!K:K,MATCH('Lorri 401b'!N1988,'Retirement Calculator'!A:A,0),0),0)</f>
        <v>0</v>
      </c>
      <c r="K1988" s="444">
        <f t="shared" ca="1" si="118"/>
        <v>-3607006.4390744125</v>
      </c>
      <c r="L1988" s="444">
        <f t="shared" ca="1" si="119"/>
        <v>-869288551.81693327</v>
      </c>
      <c r="M1988" s="460">
        <f t="shared" si="121"/>
        <v>0.05</v>
      </c>
      <c r="N1988" s="464">
        <f t="shared" si="122"/>
        <v>111552</v>
      </c>
    </row>
    <row r="1989" spans="7:14" ht="11.25" customHeight="1" x14ac:dyDescent="0.3">
      <c r="G1989" s="459"/>
      <c r="H1989" s="459">
        <v>1982</v>
      </c>
      <c r="I1989" s="444">
        <f t="shared" ca="1" si="120"/>
        <v>-869288551.81693327</v>
      </c>
      <c r="J1989" s="444">
        <f t="array" ref="J1989">IFERROR(INDEX('Retirement Calculator'!K:K,MATCH('Lorri 401b'!N1989,'Retirement Calculator'!A:A,0),0),0)</f>
        <v>0</v>
      </c>
      <c r="K1989" s="444">
        <f t="shared" ca="1" si="118"/>
        <v>-3622035.6325705559</v>
      </c>
      <c r="L1989" s="444">
        <f t="shared" ca="1" si="119"/>
        <v>-872910587.44950378</v>
      </c>
      <c r="M1989" s="460">
        <f t="shared" si="121"/>
        <v>0.05</v>
      </c>
      <c r="N1989" s="464">
        <f t="shared" si="122"/>
        <v>111582</v>
      </c>
    </row>
    <row r="1990" spans="7:14" ht="11.25" customHeight="1" x14ac:dyDescent="0.3">
      <c r="G1990" s="459"/>
      <c r="H1990" s="459">
        <v>1983</v>
      </c>
      <c r="I1990" s="444">
        <f t="shared" ca="1" si="120"/>
        <v>-872910587.44950378</v>
      </c>
      <c r="J1990" s="444">
        <f t="array" ref="J1990">IFERROR(INDEX('Retirement Calculator'!K:K,MATCH('Lorri 401b'!N1990,'Retirement Calculator'!A:A,0),0),0)</f>
        <v>0</v>
      </c>
      <c r="K1990" s="444">
        <f t="shared" ca="1" si="118"/>
        <v>-3637127.4477062658</v>
      </c>
      <c r="L1990" s="444">
        <f t="shared" ca="1" si="119"/>
        <v>-876547714.89721</v>
      </c>
      <c r="M1990" s="460">
        <f t="shared" si="121"/>
        <v>0.05</v>
      </c>
      <c r="N1990" s="464">
        <f t="shared" si="122"/>
        <v>111613</v>
      </c>
    </row>
    <row r="1991" spans="7:14" ht="11.25" customHeight="1" x14ac:dyDescent="0.3">
      <c r="G1991" s="459"/>
      <c r="H1991" s="459">
        <v>1984</v>
      </c>
      <c r="I1991" s="444">
        <f t="shared" ca="1" si="120"/>
        <v>-876547714.89721</v>
      </c>
      <c r="J1991" s="444">
        <f t="array" ref="J1991">IFERROR(INDEX('Retirement Calculator'!K:K,MATCH('Lorri 401b'!N1991,'Retirement Calculator'!A:A,0),0),0)</f>
        <v>0</v>
      </c>
      <c r="K1991" s="444">
        <f t="shared" ca="1" si="118"/>
        <v>-3652282.1454050415</v>
      </c>
      <c r="L1991" s="444">
        <f t="shared" ca="1" si="119"/>
        <v>-880199997.04261506</v>
      </c>
      <c r="M1991" s="460">
        <f t="shared" si="121"/>
        <v>0.05</v>
      </c>
      <c r="N1991" s="464">
        <f t="shared" si="122"/>
        <v>111644</v>
      </c>
    </row>
    <row r="1992" spans="7:14" ht="11.25" customHeight="1" x14ac:dyDescent="0.3">
      <c r="G1992" s="459"/>
      <c r="H1992" s="459">
        <v>1985</v>
      </c>
      <c r="I1992" s="444">
        <f t="shared" ca="1" si="120"/>
        <v>-880199997.04261506</v>
      </c>
      <c r="J1992" s="444">
        <f t="array" ref="J1992">IFERROR(INDEX('Retirement Calculator'!K:K,MATCH('Lorri 401b'!N1992,'Retirement Calculator'!A:A,0),0),0)</f>
        <v>0</v>
      </c>
      <c r="K1992" s="444">
        <f t="shared" ca="1" si="118"/>
        <v>-3667499.9876775621</v>
      </c>
      <c r="L1992" s="444">
        <f t="shared" ca="1" si="119"/>
        <v>-883867497.03029263</v>
      </c>
      <c r="M1992" s="460">
        <f t="shared" si="121"/>
        <v>0.05</v>
      </c>
      <c r="N1992" s="464">
        <f t="shared" si="122"/>
        <v>111674</v>
      </c>
    </row>
    <row r="1993" spans="7:14" ht="11.25" customHeight="1" x14ac:dyDescent="0.3">
      <c r="G1993" s="459"/>
      <c r="H1993" s="459">
        <v>1986</v>
      </c>
      <c r="I1993" s="444">
        <f t="shared" ca="1" si="120"/>
        <v>-883867497.03029263</v>
      </c>
      <c r="J1993" s="444">
        <f t="array" ref="J1993">IFERROR(INDEX('Retirement Calculator'!K:K,MATCH('Lorri 401b'!N1993,'Retirement Calculator'!A:A,0),0),0)</f>
        <v>0</v>
      </c>
      <c r="K1993" s="444">
        <f t="shared" ca="1" si="118"/>
        <v>-3682781.2376262192</v>
      </c>
      <c r="L1993" s="444">
        <f t="shared" ca="1" si="119"/>
        <v>-887550278.26791883</v>
      </c>
      <c r="M1993" s="460">
        <f t="shared" si="121"/>
        <v>0.05</v>
      </c>
      <c r="N1993" s="464">
        <f t="shared" si="122"/>
        <v>111705</v>
      </c>
    </row>
    <row r="1994" spans="7:14" ht="11.25" customHeight="1" x14ac:dyDescent="0.3">
      <c r="G1994" s="459"/>
      <c r="H1994" s="459">
        <v>1987</v>
      </c>
      <c r="I1994" s="444">
        <f t="shared" ca="1" si="120"/>
        <v>-887550278.26791883</v>
      </c>
      <c r="J1994" s="444">
        <f t="array" ref="J1994">IFERROR(INDEX('Retirement Calculator'!K:K,MATCH('Lorri 401b'!N1994,'Retirement Calculator'!A:A,0),0),0)</f>
        <v>0</v>
      </c>
      <c r="K1994" s="444">
        <f t="shared" ca="1" si="118"/>
        <v>-3698126.1594496616</v>
      </c>
      <c r="L1994" s="444">
        <f t="shared" ca="1" si="119"/>
        <v>-891248404.42736852</v>
      </c>
      <c r="M1994" s="460">
        <f t="shared" si="121"/>
        <v>0.05</v>
      </c>
      <c r="N1994" s="464">
        <f t="shared" si="122"/>
        <v>111735</v>
      </c>
    </row>
    <row r="1995" spans="7:14" ht="11.25" customHeight="1" x14ac:dyDescent="0.3">
      <c r="G1995" s="459"/>
      <c r="H1995" s="459">
        <v>1988</v>
      </c>
      <c r="I1995" s="444">
        <f t="shared" ca="1" si="120"/>
        <v>-891248404.42736852</v>
      </c>
      <c r="J1995" s="444">
        <f t="array" ref="J1995">IFERROR(INDEX('Retirement Calculator'!K:K,MATCH('Lorri 401b'!N1995,'Retirement Calculator'!A:A,0),0),0)</f>
        <v>0</v>
      </c>
      <c r="K1995" s="444">
        <f t="shared" ca="1" si="118"/>
        <v>-3713535.0184473684</v>
      </c>
      <c r="L1995" s="444">
        <f t="shared" ca="1" si="119"/>
        <v>-894961939.44581592</v>
      </c>
      <c r="M1995" s="460">
        <f t="shared" si="121"/>
        <v>0.05</v>
      </c>
      <c r="N1995" s="464">
        <f t="shared" si="122"/>
        <v>111766</v>
      </c>
    </row>
    <row r="1996" spans="7:14" ht="11.25" customHeight="1" x14ac:dyDescent="0.3">
      <c r="G1996" s="459"/>
      <c r="H1996" s="459">
        <v>1989</v>
      </c>
      <c r="I1996" s="444">
        <f t="shared" ca="1" si="120"/>
        <v>-894961939.44581592</v>
      </c>
      <c r="J1996" s="444">
        <f t="array" ref="J1996">IFERROR(INDEX('Retirement Calculator'!K:K,MATCH('Lorri 401b'!N1996,'Retirement Calculator'!A:A,0),0),0)</f>
        <v>0</v>
      </c>
      <c r="K1996" s="444">
        <f t="shared" ca="1" si="118"/>
        <v>-3729008.0810242328</v>
      </c>
      <c r="L1996" s="444">
        <f t="shared" ca="1" si="119"/>
        <v>-898690947.52684021</v>
      </c>
      <c r="M1996" s="460">
        <f t="shared" si="121"/>
        <v>0.05</v>
      </c>
      <c r="N1996" s="464">
        <f t="shared" si="122"/>
        <v>111797</v>
      </c>
    </row>
    <row r="1997" spans="7:14" ht="11.25" customHeight="1" x14ac:dyDescent="0.3">
      <c r="G1997" s="459"/>
      <c r="H1997" s="459">
        <v>1990</v>
      </c>
      <c r="I1997" s="444">
        <f t="shared" ca="1" si="120"/>
        <v>-898690947.52684021</v>
      </c>
      <c r="J1997" s="444">
        <f t="array" ref="J1997">IFERROR(INDEX('Retirement Calculator'!K:K,MATCH('Lorri 401b'!N1997,'Retirement Calculator'!A:A,0),0),0)</f>
        <v>0</v>
      </c>
      <c r="K1997" s="444">
        <f t="shared" ca="1" si="118"/>
        <v>-3744545.6146951676</v>
      </c>
      <c r="L1997" s="444">
        <f t="shared" ca="1" si="119"/>
        <v>-902435493.1415354</v>
      </c>
      <c r="M1997" s="460">
        <f t="shared" si="121"/>
        <v>0.05</v>
      </c>
      <c r="N1997" s="464">
        <f t="shared" si="122"/>
        <v>111825</v>
      </c>
    </row>
    <row r="1998" spans="7:14" ht="11.25" customHeight="1" x14ac:dyDescent="0.3">
      <c r="G1998" s="459"/>
      <c r="H1998" s="459">
        <v>1991</v>
      </c>
      <c r="I1998" s="444">
        <f t="shared" ca="1" si="120"/>
        <v>-902435493.1415354</v>
      </c>
      <c r="J1998" s="444">
        <f t="array" ref="J1998">IFERROR(INDEX('Retirement Calculator'!K:K,MATCH('Lorri 401b'!N1998,'Retirement Calculator'!A:A,0),0),0)</f>
        <v>0</v>
      </c>
      <c r="K1998" s="444">
        <f t="shared" ca="1" si="118"/>
        <v>-3760147.8880897309</v>
      </c>
      <c r="L1998" s="444">
        <f t="shared" ca="1" si="119"/>
        <v>-906195641.02962518</v>
      </c>
      <c r="M1998" s="460">
        <f t="shared" si="121"/>
        <v>0.05</v>
      </c>
      <c r="N1998" s="464">
        <f t="shared" si="122"/>
        <v>111856</v>
      </c>
    </row>
    <row r="1999" spans="7:14" ht="11.25" customHeight="1" x14ac:dyDescent="0.3">
      <c r="G1999" s="459"/>
      <c r="H1999" s="459">
        <v>1992</v>
      </c>
      <c r="I1999" s="444">
        <f t="shared" ca="1" si="120"/>
        <v>-906195641.02962518</v>
      </c>
      <c r="J1999" s="444">
        <f t="array" ref="J1999">IFERROR(INDEX('Retirement Calculator'!K:K,MATCH('Lorri 401b'!N1999,'Retirement Calculator'!A:A,0),0),0)</f>
        <v>0</v>
      </c>
      <c r="K1999" s="444">
        <f t="shared" ca="1" si="118"/>
        <v>-3775815.1709567714</v>
      </c>
      <c r="L1999" s="444">
        <f t="shared" ca="1" si="119"/>
        <v>-909971456.20058191</v>
      </c>
      <c r="M1999" s="460">
        <f t="shared" si="121"/>
        <v>0.05</v>
      </c>
      <c r="N1999" s="464">
        <f t="shared" si="122"/>
        <v>111886</v>
      </c>
    </row>
    <row r="2000" spans="7:14" ht="11.25" customHeight="1" x14ac:dyDescent="0.3">
      <c r="G2000" s="459"/>
      <c r="H2000" s="459">
        <v>1993</v>
      </c>
      <c r="I2000" s="444">
        <f t="shared" ca="1" si="120"/>
        <v>-909971456.20058191</v>
      </c>
      <c r="J2000" s="444">
        <f t="array" ref="J2000">IFERROR(INDEX('Retirement Calculator'!K:K,MATCH('Lorri 401b'!N2000,'Retirement Calculator'!A:A,0),0),0)</f>
        <v>0</v>
      </c>
      <c r="K2000" s="444">
        <f t="shared" ca="1" si="118"/>
        <v>-3791547.7341690911</v>
      </c>
      <c r="L2000" s="444">
        <f t="shared" ca="1" si="119"/>
        <v>-913763003.93475103</v>
      </c>
      <c r="M2000" s="460">
        <f t="shared" si="121"/>
        <v>0.05</v>
      </c>
      <c r="N2000" s="464">
        <f t="shared" si="122"/>
        <v>111917</v>
      </c>
    </row>
    <row r="2001" spans="7:14" ht="11.25" customHeight="1" x14ac:dyDescent="0.3">
      <c r="G2001" s="459"/>
      <c r="H2001" s="459">
        <v>1994</v>
      </c>
      <c r="I2001" s="444">
        <f t="shared" ca="1" si="120"/>
        <v>-913763003.93475103</v>
      </c>
      <c r="J2001" s="444">
        <f t="array" ref="J2001">IFERROR(INDEX('Retirement Calculator'!K:K,MATCH('Lorri 401b'!N2001,'Retirement Calculator'!A:A,0),0),0)</f>
        <v>0</v>
      </c>
      <c r="K2001" s="444">
        <f t="shared" ca="1" si="118"/>
        <v>-3807345.8497281289</v>
      </c>
      <c r="L2001" s="444">
        <f t="shared" ca="1" si="119"/>
        <v>-917570349.78447914</v>
      </c>
      <c r="M2001" s="460">
        <f t="shared" si="121"/>
        <v>0.05</v>
      </c>
      <c r="N2001" s="464">
        <f t="shared" si="122"/>
        <v>111947</v>
      </c>
    </row>
    <row r="2002" spans="7:14" ht="11.25" customHeight="1" x14ac:dyDescent="0.3">
      <c r="G2002" s="459"/>
      <c r="H2002" s="459">
        <v>1995</v>
      </c>
      <c r="I2002" s="444">
        <f t="shared" ca="1" si="120"/>
        <v>-917570349.78447914</v>
      </c>
      <c r="J2002" s="444">
        <f t="array" ref="J2002">IFERROR(INDEX('Retirement Calculator'!K:K,MATCH('Lorri 401b'!N2002,'Retirement Calculator'!A:A,0),0),0)</f>
        <v>0</v>
      </c>
      <c r="K2002" s="444">
        <f t="shared" ca="1" si="118"/>
        <v>-3823209.7907686625</v>
      </c>
      <c r="L2002" s="444">
        <f t="shared" ca="1" si="119"/>
        <v>-921393559.57524776</v>
      </c>
      <c r="M2002" s="460">
        <f t="shared" si="121"/>
        <v>0.05</v>
      </c>
      <c r="N2002" s="464">
        <f t="shared" si="122"/>
        <v>111978</v>
      </c>
    </row>
    <row r="2003" spans="7:14" ht="11.25" customHeight="1" x14ac:dyDescent="0.3">
      <c r="G2003" s="459"/>
      <c r="H2003" s="459">
        <v>1996</v>
      </c>
      <c r="I2003" s="444">
        <f t="shared" ca="1" si="120"/>
        <v>-921393559.57524776</v>
      </c>
      <c r="J2003" s="444">
        <f t="array" ref="J2003">IFERROR(INDEX('Retirement Calculator'!K:K,MATCH('Lorri 401b'!N2003,'Retirement Calculator'!A:A,0),0),0)</f>
        <v>0</v>
      </c>
      <c r="K2003" s="444">
        <f t="shared" ca="1" si="118"/>
        <v>-3839139.8315635324</v>
      </c>
      <c r="L2003" s="444">
        <f t="shared" ca="1" si="119"/>
        <v>-925232699.40681124</v>
      </c>
      <c r="M2003" s="460">
        <f t="shared" si="121"/>
        <v>0.05</v>
      </c>
      <c r="N2003" s="464">
        <f t="shared" si="122"/>
        <v>112009</v>
      </c>
    </row>
    <row r="2004" spans="7:14" ht="11.25" customHeight="1" x14ac:dyDescent="0.3">
      <c r="G2004" s="459"/>
      <c r="H2004" s="459">
        <v>1997</v>
      </c>
      <c r="I2004" s="444">
        <f t="shared" ca="1" si="120"/>
        <v>-925232699.40681124</v>
      </c>
      <c r="J2004" s="444">
        <f t="array" ref="J2004">IFERROR(INDEX('Retirement Calculator'!K:K,MATCH('Lorri 401b'!N2004,'Retirement Calculator'!A:A,0),0),0)</f>
        <v>0</v>
      </c>
      <c r="K2004" s="444">
        <f t="shared" ca="1" si="118"/>
        <v>-3855136.2475283802</v>
      </c>
      <c r="L2004" s="444">
        <f t="shared" ca="1" si="119"/>
        <v>-929087835.65433967</v>
      </c>
      <c r="M2004" s="460">
        <f t="shared" si="121"/>
        <v>0.05</v>
      </c>
      <c r="N2004" s="464">
        <f t="shared" si="122"/>
        <v>112039</v>
      </c>
    </row>
    <row r="2005" spans="7:14" ht="11.25" customHeight="1" x14ac:dyDescent="0.3">
      <c r="G2005" s="459"/>
      <c r="H2005" s="459">
        <v>1998</v>
      </c>
      <c r="I2005" s="444">
        <f t="shared" ca="1" si="120"/>
        <v>-929087835.65433967</v>
      </c>
      <c r="J2005" s="444">
        <f t="array" ref="J2005">IFERROR(INDEX('Retirement Calculator'!K:K,MATCH('Lorri 401b'!N2005,'Retirement Calculator'!A:A,0),0),0)</f>
        <v>0</v>
      </c>
      <c r="K2005" s="444">
        <f t="shared" ca="1" si="118"/>
        <v>-3871199.3152264156</v>
      </c>
      <c r="L2005" s="444">
        <f t="shared" ca="1" si="119"/>
        <v>-932959034.96956611</v>
      </c>
      <c r="M2005" s="460">
        <f t="shared" si="121"/>
        <v>0.05</v>
      </c>
      <c r="N2005" s="464">
        <f t="shared" si="122"/>
        <v>112070</v>
      </c>
    </row>
    <row r="2006" spans="7:14" ht="11.25" customHeight="1" x14ac:dyDescent="0.3">
      <c r="G2006" s="459"/>
      <c r="H2006" s="459">
        <v>1999</v>
      </c>
      <c r="I2006" s="444">
        <f t="shared" ca="1" si="120"/>
        <v>-932959034.96956611</v>
      </c>
      <c r="J2006" s="444">
        <f t="array" ref="J2006">IFERROR(INDEX('Retirement Calculator'!K:K,MATCH('Lorri 401b'!N2006,'Retirement Calculator'!A:A,0),0),0)</f>
        <v>0</v>
      </c>
      <c r="K2006" s="444">
        <f t="shared" ca="1" si="118"/>
        <v>-3887329.312373192</v>
      </c>
      <c r="L2006" s="444">
        <f t="shared" ca="1" si="119"/>
        <v>-936846364.28193927</v>
      </c>
      <c r="M2006" s="460">
        <f t="shared" si="121"/>
        <v>0.05</v>
      </c>
      <c r="N2006" s="464">
        <f t="shared" si="122"/>
        <v>112100</v>
      </c>
    </row>
    <row r="2007" spans="7:14" ht="11.25" customHeight="1" x14ac:dyDescent="0.3">
      <c r="G2007" s="459"/>
      <c r="H2007" s="459">
        <v>2000</v>
      </c>
      <c r="I2007" s="444">
        <f t="shared" ca="1" si="120"/>
        <v>-936846364.28193927</v>
      </c>
      <c r="J2007" s="444">
        <f t="array" ref="J2007">IFERROR(INDEX('Retirement Calculator'!K:K,MATCH('Lorri 401b'!N2007,'Retirement Calculator'!A:A,0),0),0)</f>
        <v>0</v>
      </c>
      <c r="K2007" s="444">
        <f t="shared" ca="1" si="118"/>
        <v>-3903526.5178414141</v>
      </c>
      <c r="L2007" s="444">
        <f t="shared" ca="1" si="119"/>
        <v>-940749890.79978073</v>
      </c>
      <c r="M2007" s="460">
        <f t="shared" si="121"/>
        <v>0.05</v>
      </c>
      <c r="N2007" s="464">
        <f t="shared" si="122"/>
        <v>112131</v>
      </c>
    </row>
    <row r="2008" spans="7:14" ht="11.25" customHeight="1" x14ac:dyDescent="0.3">
      <c r="G2008" s="459"/>
      <c r="H2008" s="459">
        <v>2001</v>
      </c>
      <c r="I2008" s="444">
        <f t="shared" ca="1" si="120"/>
        <v>-940749890.79978073</v>
      </c>
      <c r="J2008" s="444">
        <f t="array" ref="J2008">IFERROR(INDEX('Retirement Calculator'!K:K,MATCH('Lorri 401b'!N2008,'Retirement Calculator'!A:A,0),0),0)</f>
        <v>0</v>
      </c>
      <c r="K2008" s="444">
        <f t="shared" ca="1" si="118"/>
        <v>-3919791.2116657523</v>
      </c>
      <c r="L2008" s="444">
        <f t="shared" ca="1" si="119"/>
        <v>-944669682.01144648</v>
      </c>
      <c r="M2008" s="460">
        <f t="shared" si="121"/>
        <v>0.05</v>
      </c>
      <c r="N2008" s="464">
        <f t="shared" si="122"/>
        <v>112162</v>
      </c>
    </row>
    <row r="2009" spans="7:14" ht="11.25" customHeight="1" x14ac:dyDescent="0.3">
      <c r="G2009" s="459"/>
      <c r="H2009" s="459">
        <v>2002</v>
      </c>
      <c r="I2009" s="444">
        <f t="shared" ca="1" si="120"/>
        <v>-944669682.01144648</v>
      </c>
      <c r="J2009" s="444">
        <f t="array" ref="J2009">IFERROR(INDEX('Retirement Calculator'!K:K,MATCH('Lorri 401b'!N2009,'Retirement Calculator'!A:A,0),0),0)</f>
        <v>0</v>
      </c>
      <c r="K2009" s="444">
        <f t="shared" ca="1" si="118"/>
        <v>-3936123.6750476938</v>
      </c>
      <c r="L2009" s="444">
        <f t="shared" ca="1" si="119"/>
        <v>-948605805.68649411</v>
      </c>
      <c r="M2009" s="460">
        <f t="shared" si="121"/>
        <v>0.05</v>
      </c>
      <c r="N2009" s="464">
        <f t="shared" si="122"/>
        <v>112190</v>
      </c>
    </row>
    <row r="2010" spans="7:14" ht="11.25" customHeight="1" x14ac:dyDescent="0.3">
      <c r="G2010" s="459"/>
      <c r="H2010" s="459">
        <v>2003</v>
      </c>
      <c r="I2010" s="444">
        <f t="shared" ca="1" si="120"/>
        <v>-948605805.68649411</v>
      </c>
      <c r="J2010" s="444">
        <f t="array" ref="J2010">IFERROR(INDEX('Retirement Calculator'!K:K,MATCH('Lorri 401b'!N2010,'Retirement Calculator'!A:A,0),0),0)</f>
        <v>0</v>
      </c>
      <c r="K2010" s="444">
        <f t="shared" ca="1" si="118"/>
        <v>-3952524.190360392</v>
      </c>
      <c r="L2010" s="444">
        <f t="shared" ca="1" si="119"/>
        <v>-952558329.87685454</v>
      </c>
      <c r="M2010" s="460">
        <f t="shared" si="121"/>
        <v>0.05</v>
      </c>
      <c r="N2010" s="464">
        <f t="shared" si="122"/>
        <v>112221</v>
      </c>
    </row>
    <row r="2011" spans="7:14" ht="11.25" customHeight="1" x14ac:dyDescent="0.3">
      <c r="G2011" s="459"/>
      <c r="H2011" s="459">
        <v>2004</v>
      </c>
      <c r="I2011" s="444">
        <f t="shared" ca="1" si="120"/>
        <v>-952558329.87685454</v>
      </c>
      <c r="J2011" s="444">
        <f t="array" ref="J2011">IFERROR(INDEX('Retirement Calculator'!K:K,MATCH('Lorri 401b'!N2011,'Retirement Calculator'!A:A,0),0),0)</f>
        <v>0</v>
      </c>
      <c r="K2011" s="444">
        <f t="shared" ca="1" si="118"/>
        <v>-3968993.0411535604</v>
      </c>
      <c r="L2011" s="444">
        <f t="shared" ca="1" si="119"/>
        <v>-956527322.91800809</v>
      </c>
      <c r="M2011" s="460">
        <f t="shared" si="121"/>
        <v>0.05</v>
      </c>
      <c r="N2011" s="464">
        <f t="shared" si="122"/>
        <v>112251</v>
      </c>
    </row>
    <row r="2012" spans="7:14" ht="11.25" customHeight="1" x14ac:dyDescent="0.3">
      <c r="G2012" s="459"/>
      <c r="H2012" s="459">
        <v>2005</v>
      </c>
      <c r="I2012" s="444">
        <f t="shared" ca="1" si="120"/>
        <v>-956527322.91800809</v>
      </c>
      <c r="J2012" s="444">
        <f t="array" ref="J2012">IFERROR(INDEX('Retirement Calculator'!K:K,MATCH('Lorri 401b'!N2012,'Retirement Calculator'!A:A,0),0),0)</f>
        <v>0</v>
      </c>
      <c r="K2012" s="444">
        <f t="shared" ca="1" si="118"/>
        <v>-3985530.5121583669</v>
      </c>
      <c r="L2012" s="444">
        <f t="shared" ca="1" si="119"/>
        <v>-960512853.43016648</v>
      </c>
      <c r="M2012" s="460">
        <f t="shared" si="121"/>
        <v>0.05</v>
      </c>
      <c r="N2012" s="464">
        <f t="shared" si="122"/>
        <v>112282</v>
      </c>
    </row>
    <row r="2013" spans="7:14" ht="11.25" customHeight="1" x14ac:dyDescent="0.3">
      <c r="G2013" s="459"/>
      <c r="H2013" s="459">
        <v>2006</v>
      </c>
      <c r="I2013" s="444">
        <f t="shared" ca="1" si="120"/>
        <v>-960512853.43016648</v>
      </c>
      <c r="J2013" s="444">
        <f t="array" ref="J2013">IFERROR(INDEX('Retirement Calculator'!K:K,MATCH('Lorri 401b'!N2013,'Retirement Calculator'!A:A,0),0),0)</f>
        <v>0</v>
      </c>
      <c r="K2013" s="444">
        <f t="shared" ca="1" si="118"/>
        <v>-4002136.8892923603</v>
      </c>
      <c r="L2013" s="444">
        <f t="shared" ca="1" si="119"/>
        <v>-964514990.31945884</v>
      </c>
      <c r="M2013" s="460">
        <f t="shared" si="121"/>
        <v>0.05</v>
      </c>
      <c r="N2013" s="464">
        <f t="shared" si="122"/>
        <v>112312</v>
      </c>
    </row>
    <row r="2014" spans="7:14" ht="11.25" customHeight="1" x14ac:dyDescent="0.3">
      <c r="G2014" s="459"/>
      <c r="H2014" s="459">
        <v>2007</v>
      </c>
      <c r="I2014" s="444">
        <f t="shared" ca="1" si="120"/>
        <v>-964514990.31945884</v>
      </c>
      <c r="J2014" s="444">
        <f t="array" ref="J2014">IFERROR(INDEX('Retirement Calculator'!K:K,MATCH('Lorri 401b'!N2014,'Retirement Calculator'!A:A,0),0),0)</f>
        <v>0</v>
      </c>
      <c r="K2014" s="444">
        <f t="shared" ca="1" si="118"/>
        <v>-4018812.4596644123</v>
      </c>
      <c r="L2014" s="444">
        <f t="shared" ca="1" si="119"/>
        <v>-968533802.77912331</v>
      </c>
      <c r="M2014" s="460">
        <f t="shared" si="121"/>
        <v>0.05</v>
      </c>
      <c r="N2014" s="464">
        <f t="shared" si="122"/>
        <v>112343</v>
      </c>
    </row>
    <row r="2015" spans="7:14" ht="11.25" customHeight="1" x14ac:dyDescent="0.3">
      <c r="G2015" s="459"/>
      <c r="H2015" s="459">
        <v>2008</v>
      </c>
      <c r="I2015" s="444">
        <f t="shared" ca="1" si="120"/>
        <v>-968533802.77912331</v>
      </c>
      <c r="J2015" s="444">
        <f t="array" ref="J2015">IFERROR(INDEX('Retirement Calculator'!K:K,MATCH('Lorri 401b'!N2015,'Retirement Calculator'!A:A,0),0),0)</f>
        <v>0</v>
      </c>
      <c r="K2015" s="444">
        <f t="shared" ca="1" si="118"/>
        <v>-4035557.5115796803</v>
      </c>
      <c r="L2015" s="444">
        <f t="shared" ca="1" si="119"/>
        <v>-972569360.29070294</v>
      </c>
      <c r="M2015" s="460">
        <f t="shared" si="121"/>
        <v>0.05</v>
      </c>
      <c r="N2015" s="464">
        <f t="shared" si="122"/>
        <v>112374</v>
      </c>
    </row>
    <row r="2016" spans="7:14" ht="11.25" customHeight="1" x14ac:dyDescent="0.3">
      <c r="G2016" s="459"/>
      <c r="H2016" s="459">
        <v>2009</v>
      </c>
      <c r="I2016" s="444">
        <f t="shared" ca="1" si="120"/>
        <v>-972569360.29070294</v>
      </c>
      <c r="J2016" s="444">
        <f t="array" ref="J2016">IFERROR(INDEX('Retirement Calculator'!K:K,MATCH('Lorri 401b'!N2016,'Retirement Calculator'!A:A,0),0),0)</f>
        <v>0</v>
      </c>
      <c r="K2016" s="444">
        <f t="shared" ca="1" si="118"/>
        <v>-4052372.3345445949</v>
      </c>
      <c r="L2016" s="444">
        <f t="shared" ca="1" si="119"/>
        <v>-976621732.62524748</v>
      </c>
      <c r="M2016" s="460">
        <f t="shared" si="121"/>
        <v>0.05</v>
      </c>
      <c r="N2016" s="464">
        <f t="shared" si="122"/>
        <v>112404</v>
      </c>
    </row>
    <row r="2017" spans="7:14" ht="11.25" customHeight="1" x14ac:dyDescent="0.3">
      <c r="G2017" s="459"/>
      <c r="H2017" s="459">
        <v>2010</v>
      </c>
      <c r="I2017" s="444">
        <f t="shared" ca="1" si="120"/>
        <v>-976621732.62524748</v>
      </c>
      <c r="J2017" s="444">
        <f t="array" ref="J2017">IFERROR(INDEX('Retirement Calculator'!K:K,MATCH('Lorri 401b'!N2017,'Retirement Calculator'!A:A,0),0),0)</f>
        <v>0</v>
      </c>
      <c r="K2017" s="444">
        <f t="shared" ca="1" si="118"/>
        <v>-4069257.2192718643</v>
      </c>
      <c r="L2017" s="444">
        <f t="shared" ca="1" si="119"/>
        <v>-980690989.84451938</v>
      </c>
      <c r="M2017" s="460">
        <f t="shared" si="121"/>
        <v>0.05</v>
      </c>
      <c r="N2017" s="464">
        <f t="shared" si="122"/>
        <v>112435</v>
      </c>
    </row>
    <row r="2018" spans="7:14" ht="11.25" customHeight="1" x14ac:dyDescent="0.3">
      <c r="G2018" s="459"/>
      <c r="H2018" s="459">
        <v>2011</v>
      </c>
      <c r="I2018" s="444">
        <f t="shared" ca="1" si="120"/>
        <v>-980690989.84451938</v>
      </c>
      <c r="J2018" s="444">
        <f t="array" ref="J2018">IFERROR(INDEX('Retirement Calculator'!K:K,MATCH('Lorri 401b'!N2018,'Retirement Calculator'!A:A,0),0),0)</f>
        <v>0</v>
      </c>
      <c r="K2018" s="444">
        <f t="shared" ca="1" si="118"/>
        <v>-4086212.4576854967</v>
      </c>
      <c r="L2018" s="444">
        <f t="shared" ca="1" si="119"/>
        <v>-984777202.30220485</v>
      </c>
      <c r="M2018" s="460">
        <f t="shared" si="121"/>
        <v>0.05</v>
      </c>
      <c r="N2018" s="464">
        <f t="shared" si="122"/>
        <v>112465</v>
      </c>
    </row>
    <row r="2019" spans="7:14" ht="11.25" customHeight="1" x14ac:dyDescent="0.3">
      <c r="G2019" s="459"/>
      <c r="H2019" s="459">
        <v>2012</v>
      </c>
      <c r="I2019" s="444">
        <f t="shared" ca="1" si="120"/>
        <v>-984777202.30220485</v>
      </c>
      <c r="J2019" s="444">
        <f t="array" ref="J2019">IFERROR(INDEX('Retirement Calculator'!K:K,MATCH('Lorri 401b'!N2019,'Retirement Calculator'!A:A,0),0),0)</f>
        <v>0</v>
      </c>
      <c r="K2019" s="444">
        <f t="shared" ca="1" si="118"/>
        <v>-4103238.3429258536</v>
      </c>
      <c r="L2019" s="444">
        <f t="shared" ca="1" si="119"/>
        <v>-988880440.64513075</v>
      </c>
      <c r="M2019" s="460">
        <f t="shared" si="121"/>
        <v>0.05</v>
      </c>
      <c r="N2019" s="464">
        <f t="shared" si="122"/>
        <v>112496</v>
      </c>
    </row>
    <row r="2020" spans="7:14" ht="11.25" customHeight="1" x14ac:dyDescent="0.3">
      <c r="G2020" s="459"/>
      <c r="H2020" s="459">
        <v>2013</v>
      </c>
      <c r="I2020" s="444">
        <f t="shared" ca="1" si="120"/>
        <v>-988880440.64513075</v>
      </c>
      <c r="J2020" s="444">
        <f t="array" ref="J2020">IFERROR(INDEX('Retirement Calculator'!K:K,MATCH('Lorri 401b'!N2020,'Retirement Calculator'!A:A,0),0),0)</f>
        <v>0</v>
      </c>
      <c r="K2020" s="444">
        <f t="shared" ca="1" si="118"/>
        <v>-4120335.1693547121</v>
      </c>
      <c r="L2020" s="444">
        <f t="shared" ca="1" si="119"/>
        <v>-993000775.81448543</v>
      </c>
      <c r="M2020" s="460">
        <f t="shared" si="121"/>
        <v>0.05</v>
      </c>
      <c r="N2020" s="464">
        <f t="shared" si="122"/>
        <v>112527</v>
      </c>
    </row>
    <row r="2021" spans="7:14" ht="11.25" customHeight="1" x14ac:dyDescent="0.3">
      <c r="G2021" s="459"/>
      <c r="H2021" s="459">
        <v>2014</v>
      </c>
      <c r="I2021" s="444">
        <f t="shared" ca="1" si="120"/>
        <v>-993000775.81448543</v>
      </c>
      <c r="J2021" s="444">
        <f t="array" ref="J2021">IFERROR(INDEX('Retirement Calculator'!K:K,MATCH('Lorri 401b'!N2021,'Retirement Calculator'!A:A,0),0),0)</f>
        <v>0</v>
      </c>
      <c r="K2021" s="444">
        <f t="shared" ca="1" si="118"/>
        <v>-4137503.2325603552</v>
      </c>
      <c r="L2021" s="444">
        <f t="shared" ca="1" si="119"/>
        <v>-997138279.04704583</v>
      </c>
      <c r="M2021" s="460">
        <f t="shared" si="121"/>
        <v>0.05</v>
      </c>
      <c r="N2021" s="464">
        <f t="shared" si="122"/>
        <v>112556</v>
      </c>
    </row>
    <row r="2022" spans="7:14" ht="11.25" customHeight="1" x14ac:dyDescent="0.3">
      <c r="G2022" s="459"/>
      <c r="H2022" s="459">
        <v>2015</v>
      </c>
      <c r="I2022" s="444">
        <f t="shared" ca="1" si="120"/>
        <v>-997138279.04704583</v>
      </c>
      <c r="J2022" s="444">
        <f t="array" ref="J2022">IFERROR(INDEX('Retirement Calculator'!K:K,MATCH('Lorri 401b'!N2022,'Retirement Calculator'!A:A,0),0),0)</f>
        <v>0</v>
      </c>
      <c r="K2022" s="444">
        <f t="shared" ca="1" si="118"/>
        <v>-4154742.8293626909</v>
      </c>
      <c r="L2022" s="444">
        <f t="shared" ca="1" si="119"/>
        <v>-1001293021.8764086</v>
      </c>
      <c r="M2022" s="460">
        <f t="shared" si="121"/>
        <v>0.05</v>
      </c>
      <c r="N2022" s="464">
        <f t="shared" si="122"/>
        <v>112587</v>
      </c>
    </row>
    <row r="2023" spans="7:14" ht="11.25" customHeight="1" x14ac:dyDescent="0.3">
      <c r="G2023" s="459"/>
      <c r="H2023" s="459">
        <v>2016</v>
      </c>
      <c r="I2023" s="444">
        <f t="shared" ca="1" si="120"/>
        <v>-1001293021.8764086</v>
      </c>
      <c r="J2023" s="444">
        <f t="array" ref="J2023">IFERROR(INDEX('Retirement Calculator'!K:K,MATCH('Lorri 401b'!N2023,'Retirement Calculator'!A:A,0),0),0)</f>
        <v>0</v>
      </c>
      <c r="K2023" s="444">
        <f t="shared" ca="1" si="118"/>
        <v>-4172054.2578183692</v>
      </c>
      <c r="L2023" s="444">
        <f t="shared" ca="1" si="119"/>
        <v>-1005465076.1342269</v>
      </c>
      <c r="M2023" s="460">
        <f t="shared" si="121"/>
        <v>0.05</v>
      </c>
      <c r="N2023" s="464">
        <f t="shared" si="122"/>
        <v>112617</v>
      </c>
    </row>
    <row r="2024" spans="7:14" ht="11.25" customHeight="1" x14ac:dyDescent="0.3">
      <c r="G2024" s="459"/>
      <c r="H2024" s="459">
        <v>2017</v>
      </c>
      <c r="I2024" s="444">
        <f t="shared" ca="1" si="120"/>
        <v>-1005465076.1342269</v>
      </c>
      <c r="J2024" s="444">
        <f t="array" ref="J2024">IFERROR(INDEX('Retirement Calculator'!K:K,MATCH('Lorri 401b'!N2024,'Retirement Calculator'!A:A,0),0),0)</f>
        <v>0</v>
      </c>
      <c r="K2024" s="444">
        <f t="shared" ca="1" si="118"/>
        <v>-4189437.8172259447</v>
      </c>
      <c r="L2024" s="444">
        <f t="shared" ca="1" si="119"/>
        <v>-1009654513.9514529</v>
      </c>
      <c r="M2024" s="460">
        <f t="shared" si="121"/>
        <v>0.05</v>
      </c>
      <c r="N2024" s="464">
        <f t="shared" si="122"/>
        <v>112648</v>
      </c>
    </row>
    <row r="2025" spans="7:14" ht="11.25" customHeight="1" x14ac:dyDescent="0.3">
      <c r="G2025" s="459"/>
      <c r="H2025" s="459">
        <v>2018</v>
      </c>
      <c r="I2025" s="444">
        <f t="shared" ca="1" si="120"/>
        <v>-1009654513.9514529</v>
      </c>
      <c r="J2025" s="444">
        <f t="array" ref="J2025">IFERROR(INDEX('Retirement Calculator'!K:K,MATCH('Lorri 401b'!N2025,'Retirement Calculator'!A:A,0),0),0)</f>
        <v>0</v>
      </c>
      <c r="K2025" s="444">
        <f t="shared" ca="1" si="118"/>
        <v>-4206893.8081310531</v>
      </c>
      <c r="L2025" s="444">
        <f t="shared" ca="1" si="119"/>
        <v>-1013861407.759584</v>
      </c>
      <c r="M2025" s="460">
        <f t="shared" si="121"/>
        <v>0.05</v>
      </c>
      <c r="N2025" s="464">
        <f t="shared" si="122"/>
        <v>112678</v>
      </c>
    </row>
    <row r="2026" spans="7:14" ht="11.25" customHeight="1" x14ac:dyDescent="0.3">
      <c r="G2026" s="459"/>
      <c r="H2026" s="459">
        <v>2019</v>
      </c>
      <c r="I2026" s="444">
        <f t="shared" ca="1" si="120"/>
        <v>-1013861407.759584</v>
      </c>
      <c r="J2026" s="444">
        <f t="array" ref="J2026">IFERROR(INDEX('Retirement Calculator'!K:K,MATCH('Lorri 401b'!N2026,'Retirement Calculator'!A:A,0),0),0)</f>
        <v>0</v>
      </c>
      <c r="K2026" s="444">
        <f t="shared" ca="1" si="118"/>
        <v>-4224422.5323315989</v>
      </c>
      <c r="L2026" s="444">
        <f t="shared" ca="1" si="119"/>
        <v>-1018085830.2919155</v>
      </c>
      <c r="M2026" s="460">
        <f t="shared" si="121"/>
        <v>0.05</v>
      </c>
      <c r="N2026" s="464">
        <f t="shared" si="122"/>
        <v>112709</v>
      </c>
    </row>
    <row r="2027" spans="7:14" ht="11.25" customHeight="1" x14ac:dyDescent="0.3">
      <c r="G2027" s="459"/>
      <c r="H2027" s="459">
        <v>2020</v>
      </c>
      <c r="I2027" s="444">
        <f t="shared" ca="1" si="120"/>
        <v>-1018085830.2919155</v>
      </c>
      <c r="J2027" s="444">
        <f t="array" ref="J2027">IFERROR(INDEX('Retirement Calculator'!K:K,MATCH('Lorri 401b'!N2027,'Retirement Calculator'!A:A,0),0),0)</f>
        <v>0</v>
      </c>
      <c r="K2027" s="444">
        <f t="shared" ca="1" si="118"/>
        <v>-4242024.2928829817</v>
      </c>
      <c r="L2027" s="444">
        <f t="shared" ca="1" si="119"/>
        <v>-1022327854.5847986</v>
      </c>
      <c r="M2027" s="460">
        <f t="shared" si="121"/>
        <v>0.05</v>
      </c>
      <c r="N2027" s="464">
        <f t="shared" si="122"/>
        <v>112740</v>
      </c>
    </row>
    <row r="2028" spans="7:14" ht="11.25" customHeight="1" x14ac:dyDescent="0.3">
      <c r="G2028" s="459"/>
      <c r="H2028" s="459">
        <v>2021</v>
      </c>
      <c r="I2028" s="444">
        <f t="shared" ca="1" si="120"/>
        <v>-1022327854.5847986</v>
      </c>
      <c r="J2028" s="444">
        <f t="array" ref="J2028">IFERROR(INDEX('Retirement Calculator'!K:K,MATCH('Lorri 401b'!N2028,'Retirement Calculator'!A:A,0),0),0)</f>
        <v>0</v>
      </c>
      <c r="K2028" s="444">
        <f t="shared" ca="1" si="118"/>
        <v>-4259699.3941033268</v>
      </c>
      <c r="L2028" s="444">
        <f t="shared" ca="1" si="119"/>
        <v>-1026587553.9789019</v>
      </c>
      <c r="M2028" s="460">
        <f t="shared" si="121"/>
        <v>0.05</v>
      </c>
      <c r="N2028" s="464">
        <f t="shared" si="122"/>
        <v>112770</v>
      </c>
    </row>
    <row r="2029" spans="7:14" ht="11.25" customHeight="1" x14ac:dyDescent="0.3">
      <c r="G2029" s="459"/>
      <c r="H2029" s="459">
        <v>2022</v>
      </c>
      <c r="I2029" s="444">
        <f t="shared" ca="1" si="120"/>
        <v>-1026587553.9789019</v>
      </c>
      <c r="J2029" s="444">
        <f t="array" ref="J2029">IFERROR(INDEX('Retirement Calculator'!K:K,MATCH('Lorri 401b'!N2029,'Retirement Calculator'!A:A,0),0),0)</f>
        <v>0</v>
      </c>
      <c r="K2029" s="444">
        <f t="shared" ca="1" si="118"/>
        <v>-4277448.1415787581</v>
      </c>
      <c r="L2029" s="444">
        <f t="shared" ca="1" si="119"/>
        <v>-1030865002.1204807</v>
      </c>
      <c r="M2029" s="460">
        <f t="shared" si="121"/>
        <v>0.05</v>
      </c>
      <c r="N2029" s="464">
        <f t="shared" si="122"/>
        <v>112801</v>
      </c>
    </row>
    <row r="2030" spans="7:14" ht="11.25" customHeight="1" x14ac:dyDescent="0.3">
      <c r="G2030" s="459"/>
      <c r="H2030" s="459">
        <v>2023</v>
      </c>
      <c r="I2030" s="444">
        <f t="shared" ca="1" si="120"/>
        <v>-1030865002.1204807</v>
      </c>
      <c r="J2030" s="444">
        <f t="array" ref="J2030">IFERROR(INDEX('Retirement Calculator'!K:K,MATCH('Lorri 401b'!N2030,'Retirement Calculator'!A:A,0),0),0)</f>
        <v>0</v>
      </c>
      <c r="K2030" s="444">
        <f t="shared" ca="1" si="118"/>
        <v>-4295270.8421686692</v>
      </c>
      <c r="L2030" s="444">
        <f t="shared" ca="1" si="119"/>
        <v>-1035160272.9626493</v>
      </c>
      <c r="M2030" s="460">
        <f t="shared" si="121"/>
        <v>0.05</v>
      </c>
      <c r="N2030" s="464">
        <f t="shared" si="122"/>
        <v>112831</v>
      </c>
    </row>
    <row r="2031" spans="7:14" ht="11.25" customHeight="1" x14ac:dyDescent="0.3">
      <c r="G2031" s="459"/>
      <c r="H2031" s="459">
        <v>2024</v>
      </c>
      <c r="I2031" s="444">
        <f t="shared" ca="1" si="120"/>
        <v>-1035160272.9626493</v>
      </c>
      <c r="J2031" s="444">
        <f t="array" ref="J2031">IFERROR(INDEX('Retirement Calculator'!K:K,MATCH('Lorri 401b'!N2031,'Retirement Calculator'!A:A,0),0),0)</f>
        <v>0</v>
      </c>
      <c r="K2031" s="444">
        <f t="shared" ca="1" si="118"/>
        <v>-4313167.8040110385</v>
      </c>
      <c r="L2031" s="444">
        <f t="shared" ca="1" si="119"/>
        <v>-1039473440.7666603</v>
      </c>
      <c r="M2031" s="460">
        <f t="shared" si="121"/>
        <v>0.05</v>
      </c>
      <c r="N2031" s="464">
        <f t="shared" si="122"/>
        <v>112862</v>
      </c>
    </row>
    <row r="2032" spans="7:14" ht="11.25" customHeight="1" x14ac:dyDescent="0.3">
      <c r="G2032" s="459"/>
      <c r="H2032" s="459">
        <v>2025</v>
      </c>
      <c r="I2032" s="444">
        <f t="shared" ca="1" si="120"/>
        <v>-1039473440.7666603</v>
      </c>
      <c r="J2032" s="444">
        <f t="array" ref="J2032">IFERROR(INDEX('Retirement Calculator'!K:K,MATCH('Lorri 401b'!N2032,'Retirement Calculator'!A:A,0),0),0)</f>
        <v>0</v>
      </c>
      <c r="K2032" s="444">
        <f t="shared" ca="1" si="118"/>
        <v>-4331139.3365277508</v>
      </c>
      <c r="L2032" s="444">
        <f t="shared" ca="1" si="119"/>
        <v>-1043804580.103188</v>
      </c>
      <c r="M2032" s="460">
        <f t="shared" si="121"/>
        <v>0.05</v>
      </c>
      <c r="N2032" s="464">
        <f t="shared" si="122"/>
        <v>112893</v>
      </c>
    </row>
    <row r="2033" spans="7:14" ht="11.25" customHeight="1" x14ac:dyDescent="0.3">
      <c r="G2033" s="459"/>
      <c r="H2033" s="459">
        <v>2026</v>
      </c>
      <c r="I2033" s="444">
        <f t="shared" ca="1" si="120"/>
        <v>-1043804580.103188</v>
      </c>
      <c r="J2033" s="444">
        <f t="array" ref="J2033">IFERROR(INDEX('Retirement Calculator'!K:K,MATCH('Lorri 401b'!N2033,'Retirement Calculator'!A:A,0),0),0)</f>
        <v>0</v>
      </c>
      <c r="K2033" s="444">
        <f t="shared" ca="1" si="118"/>
        <v>-4349185.7504299497</v>
      </c>
      <c r="L2033" s="444">
        <f t="shared" ca="1" si="119"/>
        <v>-1048153765.853618</v>
      </c>
      <c r="M2033" s="460">
        <f t="shared" si="121"/>
        <v>0.05</v>
      </c>
      <c r="N2033" s="464">
        <f t="shared" si="122"/>
        <v>112921</v>
      </c>
    </row>
    <row r="2034" spans="7:14" ht="11.25" customHeight="1" x14ac:dyDescent="0.3">
      <c r="G2034" s="459"/>
      <c r="H2034" s="459">
        <v>2027</v>
      </c>
      <c r="I2034" s="444">
        <f t="shared" ca="1" si="120"/>
        <v>-1048153765.853618</v>
      </c>
      <c r="J2034" s="444">
        <f t="array" ref="J2034">IFERROR(INDEX('Retirement Calculator'!K:K,MATCH('Lorri 401b'!N2034,'Retirement Calculator'!A:A,0),0),0)</f>
        <v>0</v>
      </c>
      <c r="K2034" s="444">
        <f t="shared" ca="1" si="118"/>
        <v>-4367307.3577234074</v>
      </c>
      <c r="L2034" s="444">
        <f t="shared" ca="1" si="119"/>
        <v>-1052521073.2113414</v>
      </c>
      <c r="M2034" s="460">
        <f t="shared" si="121"/>
        <v>0.05</v>
      </c>
      <c r="N2034" s="464">
        <f t="shared" si="122"/>
        <v>112952</v>
      </c>
    </row>
    <row r="2035" spans="7:14" ht="11.25" customHeight="1" x14ac:dyDescent="0.3">
      <c r="G2035" s="459"/>
      <c r="H2035" s="459">
        <v>2028</v>
      </c>
      <c r="I2035" s="444">
        <f t="shared" ca="1" si="120"/>
        <v>-1052521073.2113414</v>
      </c>
      <c r="J2035" s="444">
        <f t="array" ref="J2035">IFERROR(INDEX('Retirement Calculator'!K:K,MATCH('Lorri 401b'!N2035,'Retirement Calculator'!A:A,0),0),0)</f>
        <v>0</v>
      </c>
      <c r="K2035" s="444">
        <f t="shared" ca="1" si="118"/>
        <v>-4385504.471713922</v>
      </c>
      <c r="L2035" s="444">
        <f t="shared" ca="1" si="119"/>
        <v>-1056906577.6830553</v>
      </c>
      <c r="M2035" s="460">
        <f t="shared" si="121"/>
        <v>0.05</v>
      </c>
      <c r="N2035" s="464">
        <f t="shared" si="122"/>
        <v>112982</v>
      </c>
    </row>
    <row r="2036" spans="7:14" ht="11.25" customHeight="1" x14ac:dyDescent="0.3">
      <c r="G2036" s="459"/>
      <c r="H2036" s="459">
        <v>2029</v>
      </c>
      <c r="I2036" s="444">
        <f t="shared" ca="1" si="120"/>
        <v>-1056906577.6830553</v>
      </c>
      <c r="J2036" s="444">
        <f t="array" ref="J2036">IFERROR(INDEX('Retirement Calculator'!K:K,MATCH('Lorri 401b'!N2036,'Retirement Calculator'!A:A,0),0),0)</f>
        <v>0</v>
      </c>
      <c r="K2036" s="444">
        <f t="shared" ca="1" si="118"/>
        <v>-4403777.4070127299</v>
      </c>
      <c r="L2036" s="444">
        <f t="shared" ca="1" si="119"/>
        <v>-1061310355.090068</v>
      </c>
      <c r="M2036" s="460">
        <f t="shared" si="121"/>
        <v>0.05</v>
      </c>
      <c r="N2036" s="464">
        <f t="shared" si="122"/>
        <v>113013</v>
      </c>
    </row>
    <row r="2037" spans="7:14" ht="11.25" customHeight="1" x14ac:dyDescent="0.3">
      <c r="G2037" s="459"/>
      <c r="H2037" s="459">
        <v>2030</v>
      </c>
      <c r="I2037" s="444">
        <f t="shared" ca="1" si="120"/>
        <v>-1061310355.090068</v>
      </c>
      <c r="J2037" s="444">
        <f t="array" ref="J2037">IFERROR(INDEX('Retirement Calculator'!K:K,MATCH('Lorri 401b'!N2037,'Retirement Calculator'!A:A,0),0),0)</f>
        <v>0</v>
      </c>
      <c r="K2037" s="444">
        <f t="shared" ca="1" si="118"/>
        <v>-4422126.4795419499</v>
      </c>
      <c r="L2037" s="444">
        <f t="shared" ca="1" si="119"/>
        <v>-1065732481.5696099</v>
      </c>
      <c r="M2037" s="460">
        <f t="shared" si="121"/>
        <v>0.05</v>
      </c>
      <c r="N2037" s="464">
        <f t="shared" si="122"/>
        <v>113043</v>
      </c>
    </row>
    <row r="2038" spans="7:14" ht="11.25" customHeight="1" x14ac:dyDescent="0.3">
      <c r="G2038" s="459"/>
      <c r="H2038" s="459">
        <v>2031</v>
      </c>
      <c r="I2038" s="444">
        <f t="shared" ca="1" si="120"/>
        <v>-1065732481.5696099</v>
      </c>
      <c r="J2038" s="444">
        <f t="array" ref="J2038">IFERROR(INDEX('Retirement Calculator'!K:K,MATCH('Lorri 401b'!N2038,'Retirement Calculator'!A:A,0),0),0)</f>
        <v>0</v>
      </c>
      <c r="K2038" s="444">
        <f t="shared" ca="1" si="118"/>
        <v>-4440552.0065400405</v>
      </c>
      <c r="L2038" s="444">
        <f t="shared" ca="1" si="119"/>
        <v>-1070173033.5761499</v>
      </c>
      <c r="M2038" s="460">
        <f t="shared" si="121"/>
        <v>0.05</v>
      </c>
      <c r="N2038" s="464">
        <f t="shared" si="122"/>
        <v>113074</v>
      </c>
    </row>
    <row r="2039" spans="7:14" ht="11.25" customHeight="1" x14ac:dyDescent="0.3">
      <c r="G2039" s="459"/>
      <c r="H2039" s="459">
        <v>2032</v>
      </c>
      <c r="I2039" s="444">
        <f t="shared" ca="1" si="120"/>
        <v>-1070173033.5761499</v>
      </c>
      <c r="J2039" s="444">
        <f t="array" ref="J2039">IFERROR(INDEX('Retirement Calculator'!K:K,MATCH('Lorri 401b'!N2039,'Retirement Calculator'!A:A,0),0),0)</f>
        <v>0</v>
      </c>
      <c r="K2039" s="444">
        <f t="shared" ca="1" si="118"/>
        <v>-4459054.3065672917</v>
      </c>
      <c r="L2039" s="444">
        <f t="shared" ca="1" si="119"/>
        <v>-1074632087.8827171</v>
      </c>
      <c r="M2039" s="460">
        <f t="shared" si="121"/>
        <v>0.05</v>
      </c>
      <c r="N2039" s="464">
        <f t="shared" si="122"/>
        <v>113105</v>
      </c>
    </row>
    <row r="2040" spans="7:14" ht="11.25" customHeight="1" x14ac:dyDescent="0.3">
      <c r="G2040" s="459"/>
      <c r="H2040" s="459">
        <v>2033</v>
      </c>
      <c r="I2040" s="444">
        <f t="shared" ca="1" si="120"/>
        <v>-1074632087.8827171</v>
      </c>
      <c r="J2040" s="444">
        <f t="array" ref="J2040">IFERROR(INDEX('Retirement Calculator'!K:K,MATCH('Lorri 401b'!N2040,'Retirement Calculator'!A:A,0),0),0)</f>
        <v>0</v>
      </c>
      <c r="K2040" s="444">
        <f t="shared" ca="1" si="118"/>
        <v>-4477633.6995113213</v>
      </c>
      <c r="L2040" s="444">
        <f t="shared" ca="1" si="119"/>
        <v>-1079109721.5822284</v>
      </c>
      <c r="M2040" s="460">
        <f t="shared" si="121"/>
        <v>0.05</v>
      </c>
      <c r="N2040" s="464">
        <f t="shared" si="122"/>
        <v>113135</v>
      </c>
    </row>
    <row r="2041" spans="7:14" ht="11.25" customHeight="1" x14ac:dyDescent="0.3">
      <c r="G2041" s="459"/>
      <c r="H2041" s="459">
        <v>2034</v>
      </c>
      <c r="I2041" s="444">
        <f t="shared" ca="1" si="120"/>
        <v>-1079109721.5822284</v>
      </c>
      <c r="J2041" s="444">
        <f t="array" ref="J2041">IFERROR(INDEX('Retirement Calculator'!K:K,MATCH('Lorri 401b'!N2041,'Retirement Calculator'!A:A,0),0),0)</f>
        <v>0</v>
      </c>
      <c r="K2041" s="444">
        <f t="shared" ca="1" si="118"/>
        <v>-4496290.5065926183</v>
      </c>
      <c r="L2041" s="444">
        <f t="shared" ca="1" si="119"/>
        <v>-1083606012.0888209</v>
      </c>
      <c r="M2041" s="460">
        <f t="shared" si="121"/>
        <v>0.05</v>
      </c>
      <c r="N2041" s="464">
        <f t="shared" si="122"/>
        <v>113166</v>
      </c>
    </row>
    <row r="2042" spans="7:14" ht="11.25" customHeight="1" x14ac:dyDescent="0.3">
      <c r="G2042" s="459"/>
      <c r="H2042" s="459">
        <v>2035</v>
      </c>
      <c r="I2042" s="444">
        <f t="shared" ca="1" si="120"/>
        <v>-1083606012.0888209</v>
      </c>
      <c r="J2042" s="444">
        <f t="array" ref="J2042">IFERROR(INDEX('Retirement Calculator'!K:K,MATCH('Lorri 401b'!N2042,'Retirement Calculator'!A:A,0),0),0)</f>
        <v>0</v>
      </c>
      <c r="K2042" s="444">
        <f t="shared" ca="1" si="118"/>
        <v>-4515025.0503700869</v>
      </c>
      <c r="L2042" s="444">
        <f t="shared" ca="1" si="119"/>
        <v>-1088121037.1391909</v>
      </c>
      <c r="M2042" s="460">
        <f t="shared" si="121"/>
        <v>0.05</v>
      </c>
      <c r="N2042" s="464">
        <f t="shared" si="122"/>
        <v>113196</v>
      </c>
    </row>
    <row r="2043" spans="7:14" ht="11.25" customHeight="1" x14ac:dyDescent="0.3">
      <c r="G2043" s="459"/>
      <c r="H2043" s="459">
        <v>2036</v>
      </c>
      <c r="I2043" s="444">
        <f t="shared" ca="1" si="120"/>
        <v>-1088121037.1391909</v>
      </c>
      <c r="J2043" s="444">
        <f t="array" ref="J2043">IFERROR(INDEX('Retirement Calculator'!K:K,MATCH('Lorri 401b'!N2043,'Retirement Calculator'!A:A,0),0),0)</f>
        <v>0</v>
      </c>
      <c r="K2043" s="444">
        <f t="shared" ca="1" si="118"/>
        <v>-4533837.6547466284</v>
      </c>
      <c r="L2043" s="444">
        <f t="shared" ca="1" si="119"/>
        <v>-1092654874.7939374</v>
      </c>
      <c r="M2043" s="460">
        <f t="shared" si="121"/>
        <v>0.05</v>
      </c>
      <c r="N2043" s="464">
        <f t="shared" si="122"/>
        <v>113227</v>
      </c>
    </row>
    <row r="2044" spans="7:14" ht="11.25" customHeight="1" x14ac:dyDescent="0.3">
      <c r="G2044" s="459"/>
      <c r="H2044" s="459">
        <v>2037</v>
      </c>
      <c r="I2044" s="444">
        <f t="shared" ca="1" si="120"/>
        <v>-1092654874.7939374</v>
      </c>
      <c r="J2044" s="444">
        <f t="array" ref="J2044">IFERROR(INDEX('Retirement Calculator'!K:K,MATCH('Lorri 401b'!N2044,'Retirement Calculator'!A:A,0),0),0)</f>
        <v>0</v>
      </c>
      <c r="K2044" s="444">
        <f t="shared" ca="1" si="118"/>
        <v>-4552728.6449747393</v>
      </c>
      <c r="L2044" s="444">
        <f t="shared" ca="1" si="119"/>
        <v>-1097207603.4389122</v>
      </c>
      <c r="M2044" s="460">
        <f t="shared" si="121"/>
        <v>0.05</v>
      </c>
      <c r="N2044" s="464">
        <f t="shared" si="122"/>
        <v>113258</v>
      </c>
    </row>
    <row r="2045" spans="7:14" ht="11.25" customHeight="1" x14ac:dyDescent="0.3">
      <c r="G2045" s="459"/>
      <c r="H2045" s="459">
        <v>2038</v>
      </c>
      <c r="I2045" s="444">
        <f t="shared" ca="1" si="120"/>
        <v>-1097207603.4389122</v>
      </c>
      <c r="J2045" s="444">
        <f t="array" ref="J2045">IFERROR(INDEX('Retirement Calculator'!K:K,MATCH('Lorri 401b'!N2045,'Retirement Calculator'!A:A,0),0),0)</f>
        <v>0</v>
      </c>
      <c r="K2045" s="444">
        <f t="shared" ca="1" si="118"/>
        <v>-4571698.3476621341</v>
      </c>
      <c r="L2045" s="444">
        <f t="shared" ca="1" si="119"/>
        <v>-1101779301.7865744</v>
      </c>
      <c r="M2045" s="460">
        <f t="shared" si="121"/>
        <v>0.05</v>
      </c>
      <c r="N2045" s="464">
        <f t="shared" si="122"/>
        <v>113286</v>
      </c>
    </row>
    <row r="2046" spans="7:14" ht="11.25" customHeight="1" x14ac:dyDescent="0.3">
      <c r="G2046" s="459"/>
      <c r="H2046" s="459">
        <v>2039</v>
      </c>
      <c r="I2046" s="444">
        <f t="shared" ca="1" si="120"/>
        <v>-1101779301.7865744</v>
      </c>
      <c r="J2046" s="444">
        <f t="array" ref="J2046">IFERROR(INDEX('Retirement Calculator'!K:K,MATCH('Lorri 401b'!N2046,'Retirement Calculator'!A:A,0),0),0)</f>
        <v>0</v>
      </c>
      <c r="K2046" s="444">
        <f t="shared" ca="1" si="118"/>
        <v>-4590747.0907773934</v>
      </c>
      <c r="L2046" s="444">
        <f t="shared" ca="1" si="119"/>
        <v>-1106370048.8773518</v>
      </c>
      <c r="M2046" s="460">
        <f t="shared" si="121"/>
        <v>0.05</v>
      </c>
      <c r="N2046" s="464">
        <f t="shared" si="122"/>
        <v>113317</v>
      </c>
    </row>
    <row r="2047" spans="7:14" ht="11.25" customHeight="1" x14ac:dyDescent="0.3">
      <c r="G2047" s="459"/>
      <c r="H2047" s="459">
        <v>2040</v>
      </c>
      <c r="I2047" s="444">
        <f t="shared" ca="1" si="120"/>
        <v>-1106370048.8773518</v>
      </c>
      <c r="J2047" s="444">
        <f t="array" ref="J2047">IFERROR(INDEX('Retirement Calculator'!K:K,MATCH('Lorri 401b'!N2047,'Retirement Calculator'!A:A,0),0),0)</f>
        <v>0</v>
      </c>
      <c r="K2047" s="444">
        <f t="shared" ca="1" si="118"/>
        <v>-4609875.2036556322</v>
      </c>
      <c r="L2047" s="444">
        <f t="shared" ca="1" si="119"/>
        <v>-1110979924.0810075</v>
      </c>
      <c r="M2047" s="460">
        <f t="shared" si="121"/>
        <v>0.05</v>
      </c>
      <c r="N2047" s="464">
        <f t="shared" si="122"/>
        <v>113347</v>
      </c>
    </row>
    <row r="2048" spans="7:14" ht="11.25" customHeight="1" x14ac:dyDescent="0.3">
      <c r="G2048" s="459"/>
      <c r="H2048" s="459">
        <v>2041</v>
      </c>
      <c r="I2048" s="444">
        <f t="shared" ca="1" si="120"/>
        <v>-1110979924.0810075</v>
      </c>
      <c r="J2048" s="444">
        <f t="array" ref="J2048">IFERROR(INDEX('Retirement Calculator'!K:K,MATCH('Lorri 401b'!N2048,'Retirement Calculator'!A:A,0),0),0)</f>
        <v>0</v>
      </c>
      <c r="K2048" s="444">
        <f t="shared" ref="K2048:K2302" ca="1" si="123">IPMT(M2048/12,1,12,-I2048+J2048,,0)</f>
        <v>-4629083.0170041975</v>
      </c>
      <c r="L2048" s="444">
        <f t="shared" ref="L2048:L2302" ca="1" si="124">I2048-J2048+K2048</f>
        <v>-1115609007.0980117</v>
      </c>
      <c r="M2048" s="460">
        <f t="shared" si="121"/>
        <v>0.05</v>
      </c>
      <c r="N2048" s="464">
        <f t="shared" si="122"/>
        <v>113378</v>
      </c>
    </row>
    <row r="2049" spans="7:14" ht="11.25" customHeight="1" x14ac:dyDescent="0.3">
      <c r="G2049" s="459"/>
      <c r="H2049" s="459">
        <v>2042</v>
      </c>
      <c r="I2049" s="444">
        <f t="shared" ref="I2049:I2303" ca="1" si="125">L2048</f>
        <v>-1115609007.0980117</v>
      </c>
      <c r="J2049" s="444">
        <f t="array" ref="J2049">IFERROR(INDEX('Retirement Calculator'!K:K,MATCH('Lorri 401b'!N2049,'Retirement Calculator'!A:A,0),0),0)</f>
        <v>0</v>
      </c>
      <c r="K2049" s="444">
        <f t="shared" ca="1" si="123"/>
        <v>-4648370.862908382</v>
      </c>
      <c r="L2049" s="444">
        <f t="shared" ca="1" si="124"/>
        <v>-1120257377.9609201</v>
      </c>
      <c r="M2049" s="460">
        <f t="shared" ref="M2049:M2303" si="126">M2048</f>
        <v>0.05</v>
      </c>
      <c r="N2049" s="464">
        <f t="shared" ref="N2049:N2303" si="127">EDATE(N2048,1)</f>
        <v>113408</v>
      </c>
    </row>
    <row r="2050" spans="7:14" ht="11.25" customHeight="1" x14ac:dyDescent="0.3">
      <c r="G2050" s="459"/>
      <c r="H2050" s="459">
        <v>2043</v>
      </c>
      <c r="I2050" s="444">
        <f t="shared" ca="1" si="125"/>
        <v>-1120257377.9609201</v>
      </c>
      <c r="J2050" s="444">
        <f t="array" ref="J2050">IFERROR(INDEX('Retirement Calculator'!K:K,MATCH('Lorri 401b'!N2050,'Retirement Calculator'!A:A,0),0),0)</f>
        <v>0</v>
      </c>
      <c r="K2050" s="444">
        <f t="shared" ca="1" si="123"/>
        <v>-4667739.0748371668</v>
      </c>
      <c r="L2050" s="444">
        <f t="shared" ca="1" si="124"/>
        <v>-1124925117.0357573</v>
      </c>
      <c r="M2050" s="460">
        <f t="shared" si="126"/>
        <v>0.05</v>
      </c>
      <c r="N2050" s="464">
        <f t="shared" si="127"/>
        <v>113439</v>
      </c>
    </row>
    <row r="2051" spans="7:14" ht="11.25" customHeight="1" x14ac:dyDescent="0.3">
      <c r="G2051" s="459"/>
      <c r="H2051" s="459">
        <v>2044</v>
      </c>
      <c r="I2051" s="444">
        <f t="shared" ca="1" si="125"/>
        <v>-1124925117.0357573</v>
      </c>
      <c r="J2051" s="444">
        <f t="array" ref="J2051">IFERROR(INDEX('Retirement Calculator'!K:K,MATCH('Lorri 401b'!N2051,'Retirement Calculator'!A:A,0),0),0)</f>
        <v>0</v>
      </c>
      <c r="K2051" s="444">
        <f t="shared" ca="1" si="123"/>
        <v>-4687187.9876489891</v>
      </c>
      <c r="L2051" s="444">
        <f t="shared" ca="1" si="124"/>
        <v>-1129612305.0234063</v>
      </c>
      <c r="M2051" s="460">
        <f t="shared" si="126"/>
        <v>0.05</v>
      </c>
      <c r="N2051" s="464">
        <f t="shared" si="127"/>
        <v>113470</v>
      </c>
    </row>
    <row r="2052" spans="7:14" ht="11.25" customHeight="1" x14ac:dyDescent="0.3">
      <c r="G2052" s="459"/>
      <c r="H2052" s="459">
        <v>2045</v>
      </c>
      <c r="I2052" s="444">
        <f t="shared" ca="1" si="125"/>
        <v>-1129612305.0234063</v>
      </c>
      <c r="J2052" s="444">
        <f t="array" ref="J2052">IFERROR(INDEX('Retirement Calculator'!K:K,MATCH('Lorri 401b'!N2052,'Retirement Calculator'!A:A,0),0),0)</f>
        <v>0</v>
      </c>
      <c r="K2052" s="444">
        <f t="shared" ca="1" si="123"/>
        <v>-4706717.9375975262</v>
      </c>
      <c r="L2052" s="444">
        <f t="shared" ca="1" si="124"/>
        <v>-1134319022.9610038</v>
      </c>
      <c r="M2052" s="460">
        <f t="shared" si="126"/>
        <v>0.05</v>
      </c>
      <c r="N2052" s="464">
        <f t="shared" si="127"/>
        <v>113500</v>
      </c>
    </row>
    <row r="2053" spans="7:14" ht="11.25" customHeight="1" x14ac:dyDescent="0.3">
      <c r="G2053" s="459"/>
      <c r="H2053" s="459">
        <v>2046</v>
      </c>
      <c r="I2053" s="444">
        <f t="shared" ca="1" si="125"/>
        <v>-1134319022.9610038</v>
      </c>
      <c r="J2053" s="444">
        <f t="array" ref="J2053">IFERROR(INDEX('Retirement Calculator'!K:K,MATCH('Lorri 401b'!N2053,'Retirement Calculator'!A:A,0),0),0)</f>
        <v>0</v>
      </c>
      <c r="K2053" s="444">
        <f t="shared" ca="1" si="123"/>
        <v>-4726329.2623375161</v>
      </c>
      <c r="L2053" s="444">
        <f t="shared" ca="1" si="124"/>
        <v>-1139045352.2233412</v>
      </c>
      <c r="M2053" s="460">
        <f t="shared" si="126"/>
        <v>0.05</v>
      </c>
      <c r="N2053" s="464">
        <f t="shared" si="127"/>
        <v>113531</v>
      </c>
    </row>
    <row r="2054" spans="7:14" ht="11.25" customHeight="1" x14ac:dyDescent="0.3">
      <c r="G2054" s="459"/>
      <c r="H2054" s="459">
        <v>2047</v>
      </c>
      <c r="I2054" s="444">
        <f t="shared" ca="1" si="125"/>
        <v>-1139045352.2233412</v>
      </c>
      <c r="J2054" s="444">
        <f t="array" ref="J2054">IFERROR(INDEX('Retirement Calculator'!K:K,MATCH('Lorri 401b'!N2054,'Retirement Calculator'!A:A,0),0),0)</f>
        <v>0</v>
      </c>
      <c r="K2054" s="444">
        <f t="shared" ca="1" si="123"/>
        <v>-4746022.3009305885</v>
      </c>
      <c r="L2054" s="444">
        <f t="shared" ca="1" si="124"/>
        <v>-1143791374.5242717</v>
      </c>
      <c r="M2054" s="460">
        <f t="shared" si="126"/>
        <v>0.05</v>
      </c>
      <c r="N2054" s="464">
        <f t="shared" si="127"/>
        <v>113561</v>
      </c>
    </row>
    <row r="2055" spans="7:14" ht="11.25" customHeight="1" x14ac:dyDescent="0.3">
      <c r="G2055" s="459"/>
      <c r="H2055" s="459">
        <v>2048</v>
      </c>
      <c r="I2055" s="444">
        <f t="shared" ca="1" si="125"/>
        <v>-1143791374.5242717</v>
      </c>
      <c r="J2055" s="444">
        <f t="array" ref="J2055">IFERROR(INDEX('Retirement Calculator'!K:K,MATCH('Lorri 401b'!N2055,'Retirement Calculator'!A:A,0),0),0)</f>
        <v>0</v>
      </c>
      <c r="K2055" s="444">
        <f t="shared" ca="1" si="123"/>
        <v>-4765797.3938511321</v>
      </c>
      <c r="L2055" s="444">
        <f t="shared" ca="1" si="124"/>
        <v>-1148557171.9181228</v>
      </c>
      <c r="M2055" s="460">
        <f t="shared" si="126"/>
        <v>0.05</v>
      </c>
      <c r="N2055" s="464">
        <f t="shared" si="127"/>
        <v>113592</v>
      </c>
    </row>
    <row r="2056" spans="7:14" ht="11.25" customHeight="1" x14ac:dyDescent="0.3">
      <c r="G2056" s="459"/>
      <c r="H2056" s="459">
        <v>2049</v>
      </c>
      <c r="I2056" s="444">
        <f t="shared" ca="1" si="125"/>
        <v>-1148557171.9181228</v>
      </c>
      <c r="J2056" s="444">
        <f t="array" ref="J2056">IFERROR(INDEX('Retirement Calculator'!K:K,MATCH('Lorri 401b'!N2056,'Retirement Calculator'!A:A,0),0),0)</f>
        <v>0</v>
      </c>
      <c r="K2056" s="444">
        <f t="shared" ca="1" si="123"/>
        <v>-4785654.8829921782</v>
      </c>
      <c r="L2056" s="444">
        <f t="shared" ca="1" si="124"/>
        <v>-1153342826.801115</v>
      </c>
      <c r="M2056" s="460">
        <f t="shared" si="126"/>
        <v>0.05</v>
      </c>
      <c r="N2056" s="464">
        <f t="shared" si="127"/>
        <v>113623</v>
      </c>
    </row>
    <row r="2057" spans="7:14" ht="11.25" customHeight="1" x14ac:dyDescent="0.3">
      <c r="G2057" s="459"/>
      <c r="H2057" s="459">
        <v>2050</v>
      </c>
      <c r="I2057" s="444">
        <f t="shared" ca="1" si="125"/>
        <v>-1153342826.801115</v>
      </c>
      <c r="J2057" s="444">
        <f t="array" ref="J2057">IFERROR(INDEX('Retirement Calculator'!K:K,MATCH('Lorri 401b'!N2057,'Retirement Calculator'!A:A,0),0),0)</f>
        <v>0</v>
      </c>
      <c r="K2057" s="444">
        <f t="shared" ca="1" si="123"/>
        <v>-4805595.1116713127</v>
      </c>
      <c r="L2057" s="444">
        <f t="shared" ca="1" si="124"/>
        <v>-1158148421.9127862</v>
      </c>
      <c r="M2057" s="460">
        <f t="shared" si="126"/>
        <v>0.05</v>
      </c>
      <c r="N2057" s="464">
        <f t="shared" si="127"/>
        <v>113651</v>
      </c>
    </row>
    <row r="2058" spans="7:14" ht="11.25" customHeight="1" x14ac:dyDescent="0.3">
      <c r="G2058" s="459"/>
      <c r="H2058" s="459">
        <v>2051</v>
      </c>
      <c r="I2058" s="444">
        <f t="shared" ca="1" si="125"/>
        <v>-1158148421.9127862</v>
      </c>
      <c r="J2058" s="444">
        <f t="array" ref="J2058">IFERROR(INDEX('Retirement Calculator'!K:K,MATCH('Lorri 401b'!N2058,'Retirement Calculator'!A:A,0),0),0)</f>
        <v>0</v>
      </c>
      <c r="K2058" s="444">
        <f t="shared" ca="1" si="123"/>
        <v>-4825618.4246366089</v>
      </c>
      <c r="L2058" s="444">
        <f t="shared" ca="1" si="124"/>
        <v>-1162974040.3374228</v>
      </c>
      <c r="M2058" s="460">
        <f t="shared" si="126"/>
        <v>0.05</v>
      </c>
      <c r="N2058" s="464">
        <f t="shared" si="127"/>
        <v>113682</v>
      </c>
    </row>
    <row r="2059" spans="7:14" ht="11.25" customHeight="1" x14ac:dyDescent="0.3">
      <c r="G2059" s="459"/>
      <c r="H2059" s="459">
        <v>2052</v>
      </c>
      <c r="I2059" s="444">
        <f t="shared" ca="1" si="125"/>
        <v>-1162974040.3374228</v>
      </c>
      <c r="J2059" s="444">
        <f t="array" ref="J2059">IFERROR(INDEX('Retirement Calculator'!K:K,MATCH('Lorri 401b'!N2059,'Retirement Calculator'!A:A,0),0),0)</f>
        <v>0</v>
      </c>
      <c r="K2059" s="444">
        <f t="shared" ca="1" si="123"/>
        <v>-4845725.1680725953</v>
      </c>
      <c r="L2059" s="444">
        <f t="shared" ca="1" si="124"/>
        <v>-1167819765.5054955</v>
      </c>
      <c r="M2059" s="460">
        <f t="shared" si="126"/>
        <v>0.05</v>
      </c>
      <c r="N2059" s="464">
        <f t="shared" si="127"/>
        <v>113712</v>
      </c>
    </row>
    <row r="2060" spans="7:14" ht="11.25" customHeight="1" x14ac:dyDescent="0.3">
      <c r="G2060" s="459"/>
      <c r="H2060" s="459">
        <v>2053</v>
      </c>
      <c r="I2060" s="444">
        <f t="shared" ca="1" si="125"/>
        <v>-1167819765.5054955</v>
      </c>
      <c r="J2060" s="444">
        <f t="array" ref="J2060">IFERROR(INDEX('Retirement Calculator'!K:K,MATCH('Lorri 401b'!N2060,'Retirement Calculator'!A:A,0),0),0)</f>
        <v>0</v>
      </c>
      <c r="K2060" s="444">
        <f t="shared" ca="1" si="123"/>
        <v>-4865915.6896062316</v>
      </c>
      <c r="L2060" s="444">
        <f t="shared" ca="1" si="124"/>
        <v>-1172685681.1951017</v>
      </c>
      <c r="M2060" s="460">
        <f t="shared" si="126"/>
        <v>0.05</v>
      </c>
      <c r="N2060" s="464">
        <f t="shared" si="127"/>
        <v>113743</v>
      </c>
    </row>
    <row r="2061" spans="7:14" ht="11.25" customHeight="1" x14ac:dyDescent="0.3">
      <c r="G2061" s="459"/>
      <c r="H2061" s="459">
        <v>2054</v>
      </c>
      <c r="I2061" s="444">
        <f t="shared" ca="1" si="125"/>
        <v>-1172685681.1951017</v>
      </c>
      <c r="J2061" s="444">
        <f t="array" ref="J2061">IFERROR(INDEX('Retirement Calculator'!K:K,MATCH('Lorri 401b'!N2061,'Retirement Calculator'!A:A,0),0),0)</f>
        <v>0</v>
      </c>
      <c r="K2061" s="444">
        <f t="shared" ca="1" si="123"/>
        <v>-4886190.3383129239</v>
      </c>
      <c r="L2061" s="444">
        <f t="shared" ca="1" si="124"/>
        <v>-1177571871.5334146</v>
      </c>
      <c r="M2061" s="460">
        <f t="shared" si="126"/>
        <v>0.05</v>
      </c>
      <c r="N2061" s="464">
        <f t="shared" si="127"/>
        <v>113773</v>
      </c>
    </row>
    <row r="2062" spans="7:14" ht="11.25" customHeight="1" x14ac:dyDescent="0.3">
      <c r="G2062" s="459"/>
      <c r="H2062" s="459">
        <v>2055</v>
      </c>
      <c r="I2062" s="444">
        <f t="shared" ca="1" si="125"/>
        <v>-1177571871.5334146</v>
      </c>
      <c r="J2062" s="444">
        <f t="array" ref="J2062">IFERROR(INDEX('Retirement Calculator'!K:K,MATCH('Lorri 401b'!N2062,'Retirement Calculator'!A:A,0),0),0)</f>
        <v>0</v>
      </c>
      <c r="K2062" s="444">
        <f t="shared" ca="1" si="123"/>
        <v>-4906549.4647225607</v>
      </c>
      <c r="L2062" s="444">
        <f t="shared" ca="1" si="124"/>
        <v>-1182478420.9981372</v>
      </c>
      <c r="M2062" s="460">
        <f t="shared" si="126"/>
        <v>0.05</v>
      </c>
      <c r="N2062" s="464">
        <f t="shared" si="127"/>
        <v>113804</v>
      </c>
    </row>
    <row r="2063" spans="7:14" ht="11.25" customHeight="1" x14ac:dyDescent="0.3">
      <c r="G2063" s="459"/>
      <c r="H2063" s="459">
        <v>2056</v>
      </c>
      <c r="I2063" s="444">
        <f t="shared" ca="1" si="125"/>
        <v>-1182478420.9981372</v>
      </c>
      <c r="J2063" s="444">
        <f t="array" ref="J2063">IFERROR(INDEX('Retirement Calculator'!K:K,MATCH('Lorri 401b'!N2063,'Retirement Calculator'!A:A,0),0),0)</f>
        <v>0</v>
      </c>
      <c r="K2063" s="444">
        <f t="shared" ca="1" si="123"/>
        <v>-4926993.4208255718</v>
      </c>
      <c r="L2063" s="444">
        <f t="shared" ca="1" si="124"/>
        <v>-1187405414.4189627</v>
      </c>
      <c r="M2063" s="460">
        <f t="shared" si="126"/>
        <v>0.05</v>
      </c>
      <c r="N2063" s="464">
        <f t="shared" si="127"/>
        <v>113835</v>
      </c>
    </row>
    <row r="2064" spans="7:14" ht="11.25" customHeight="1" x14ac:dyDescent="0.3">
      <c r="G2064" s="459"/>
      <c r="H2064" s="459">
        <v>2057</v>
      </c>
      <c r="I2064" s="444">
        <f t="shared" ca="1" si="125"/>
        <v>-1187405414.4189627</v>
      </c>
      <c r="J2064" s="444">
        <f t="array" ref="J2064">IFERROR(INDEX('Retirement Calculator'!K:K,MATCH('Lorri 401b'!N2064,'Retirement Calculator'!A:A,0),0),0)</f>
        <v>0</v>
      </c>
      <c r="K2064" s="444">
        <f t="shared" ca="1" si="123"/>
        <v>-4947522.5600790111</v>
      </c>
      <c r="L2064" s="444">
        <f t="shared" ca="1" si="124"/>
        <v>-1192352936.9790418</v>
      </c>
      <c r="M2064" s="460">
        <f t="shared" si="126"/>
        <v>0.05</v>
      </c>
      <c r="N2064" s="464">
        <f t="shared" si="127"/>
        <v>113865</v>
      </c>
    </row>
    <row r="2065" spans="7:14" ht="11.25" customHeight="1" x14ac:dyDescent="0.3">
      <c r="G2065" s="459"/>
      <c r="H2065" s="459">
        <v>2058</v>
      </c>
      <c r="I2065" s="444">
        <f t="shared" ca="1" si="125"/>
        <v>-1192352936.9790418</v>
      </c>
      <c r="J2065" s="444">
        <f t="array" ref="J2065">IFERROR(INDEX('Retirement Calculator'!K:K,MATCH('Lorri 401b'!N2065,'Retirement Calculator'!A:A,0),0),0)</f>
        <v>0</v>
      </c>
      <c r="K2065" s="444">
        <f t="shared" ca="1" si="123"/>
        <v>-4968137.2374126744</v>
      </c>
      <c r="L2065" s="444">
        <f t="shared" ca="1" si="124"/>
        <v>-1197321074.2164545</v>
      </c>
      <c r="M2065" s="460">
        <f t="shared" si="126"/>
        <v>0.05</v>
      </c>
      <c r="N2065" s="464">
        <f t="shared" si="127"/>
        <v>113896</v>
      </c>
    </row>
    <row r="2066" spans="7:14" ht="11.25" customHeight="1" x14ac:dyDescent="0.3">
      <c r="G2066" s="459"/>
      <c r="H2066" s="459">
        <v>2059</v>
      </c>
      <c r="I2066" s="444">
        <f t="shared" ca="1" si="125"/>
        <v>-1197321074.2164545</v>
      </c>
      <c r="J2066" s="444">
        <f t="array" ref="J2066">IFERROR(INDEX('Retirement Calculator'!K:K,MATCH('Lorri 401b'!N2066,'Retirement Calculator'!A:A,0),0),0)</f>
        <v>0</v>
      </c>
      <c r="K2066" s="444">
        <f t="shared" ca="1" si="123"/>
        <v>-4988837.8092352273</v>
      </c>
      <c r="L2066" s="444">
        <f t="shared" ca="1" si="124"/>
        <v>-1202309912.0256898</v>
      </c>
      <c r="M2066" s="460">
        <f t="shared" si="126"/>
        <v>0.05</v>
      </c>
      <c r="N2066" s="464">
        <f t="shared" si="127"/>
        <v>113926</v>
      </c>
    </row>
    <row r="2067" spans="7:14" ht="11.25" customHeight="1" x14ac:dyDescent="0.3">
      <c r="G2067" s="459"/>
      <c r="H2067" s="459">
        <v>2060</v>
      </c>
      <c r="I2067" s="444">
        <f t="shared" ca="1" si="125"/>
        <v>-1202309912.0256898</v>
      </c>
      <c r="J2067" s="444">
        <f t="array" ref="J2067">IFERROR(INDEX('Retirement Calculator'!K:K,MATCH('Lorri 401b'!N2067,'Retirement Calculator'!A:A,0),0),0)</f>
        <v>0</v>
      </c>
      <c r="K2067" s="444">
        <f t="shared" ca="1" si="123"/>
        <v>-5009624.6334403744</v>
      </c>
      <c r="L2067" s="444">
        <f t="shared" ca="1" si="124"/>
        <v>-1207319536.6591301</v>
      </c>
      <c r="M2067" s="460">
        <f t="shared" si="126"/>
        <v>0.05</v>
      </c>
      <c r="N2067" s="464">
        <f t="shared" si="127"/>
        <v>113957</v>
      </c>
    </row>
    <row r="2068" spans="7:14" ht="11.25" customHeight="1" x14ac:dyDescent="0.3">
      <c r="G2068" s="459"/>
      <c r="H2068" s="459">
        <v>2061</v>
      </c>
      <c r="I2068" s="444">
        <f t="shared" ca="1" si="125"/>
        <v>-1207319536.6591301</v>
      </c>
      <c r="J2068" s="444">
        <f t="array" ref="J2068">IFERROR(INDEX('Retirement Calculator'!K:K,MATCH('Lorri 401b'!N2068,'Retirement Calculator'!A:A,0),0),0)</f>
        <v>0</v>
      </c>
      <c r="K2068" s="444">
        <f t="shared" ca="1" si="123"/>
        <v>-5030498.0694130417</v>
      </c>
      <c r="L2068" s="444">
        <f t="shared" ca="1" si="124"/>
        <v>-1212350034.728543</v>
      </c>
      <c r="M2068" s="460">
        <f t="shared" si="126"/>
        <v>0.05</v>
      </c>
      <c r="N2068" s="464">
        <f t="shared" si="127"/>
        <v>113988</v>
      </c>
    </row>
    <row r="2069" spans="7:14" ht="11.25" customHeight="1" x14ac:dyDescent="0.3">
      <c r="G2069" s="459"/>
      <c r="H2069" s="459">
        <v>2062</v>
      </c>
      <c r="I2069" s="444">
        <f t="shared" ca="1" si="125"/>
        <v>-1212350034.728543</v>
      </c>
      <c r="J2069" s="444">
        <f t="array" ref="J2069">IFERROR(INDEX('Retirement Calculator'!K:K,MATCH('Lorri 401b'!N2069,'Retirement Calculator'!A:A,0),0),0)</f>
        <v>0</v>
      </c>
      <c r="K2069" s="444">
        <f t="shared" ca="1" si="123"/>
        <v>-5051458.4780355962</v>
      </c>
      <c r="L2069" s="444">
        <f t="shared" ca="1" si="124"/>
        <v>-1217401493.2065787</v>
      </c>
      <c r="M2069" s="460">
        <f t="shared" si="126"/>
        <v>0.05</v>
      </c>
      <c r="N2069" s="464">
        <f t="shared" si="127"/>
        <v>114017</v>
      </c>
    </row>
    <row r="2070" spans="7:14" ht="11.25" customHeight="1" x14ac:dyDescent="0.3">
      <c r="G2070" s="459"/>
      <c r="H2070" s="459">
        <v>2063</v>
      </c>
      <c r="I2070" s="444">
        <f t="shared" ca="1" si="125"/>
        <v>-1217401493.2065787</v>
      </c>
      <c r="J2070" s="444">
        <f t="array" ref="J2070">IFERROR(INDEX('Retirement Calculator'!K:K,MATCH('Lorri 401b'!N2070,'Retirement Calculator'!A:A,0),0),0)</f>
        <v>0</v>
      </c>
      <c r="K2070" s="444">
        <f t="shared" ca="1" si="123"/>
        <v>-5072506.2216940783</v>
      </c>
      <c r="L2070" s="444">
        <f t="shared" ca="1" si="124"/>
        <v>-1222473999.4282727</v>
      </c>
      <c r="M2070" s="460">
        <f t="shared" si="126"/>
        <v>0.05</v>
      </c>
      <c r="N2070" s="464">
        <f t="shared" si="127"/>
        <v>114048</v>
      </c>
    </row>
    <row r="2071" spans="7:14" ht="11.25" customHeight="1" x14ac:dyDescent="0.3">
      <c r="G2071" s="459"/>
      <c r="H2071" s="459">
        <v>2064</v>
      </c>
      <c r="I2071" s="444">
        <f t="shared" ca="1" si="125"/>
        <v>-1222473999.4282727</v>
      </c>
      <c r="J2071" s="444">
        <f t="array" ref="J2071">IFERROR(INDEX('Retirement Calculator'!K:K,MATCH('Lorri 401b'!N2071,'Retirement Calculator'!A:A,0),0),0)</f>
        <v>0</v>
      </c>
      <c r="K2071" s="444">
        <f t="shared" ca="1" si="123"/>
        <v>-5093641.6642844696</v>
      </c>
      <c r="L2071" s="444">
        <f t="shared" ca="1" si="124"/>
        <v>-1227567641.0925572</v>
      </c>
      <c r="M2071" s="460">
        <f t="shared" si="126"/>
        <v>0.05</v>
      </c>
      <c r="N2071" s="464">
        <f t="shared" si="127"/>
        <v>114078</v>
      </c>
    </row>
    <row r="2072" spans="7:14" ht="11.25" customHeight="1" x14ac:dyDescent="0.3">
      <c r="G2072" s="459"/>
      <c r="H2072" s="459">
        <v>2065</v>
      </c>
      <c r="I2072" s="444">
        <f t="shared" ca="1" si="125"/>
        <v>-1227567641.0925572</v>
      </c>
      <c r="J2072" s="444">
        <f t="array" ref="J2072">IFERROR(INDEX('Retirement Calculator'!K:K,MATCH('Lorri 401b'!N2072,'Retirement Calculator'!A:A,0),0),0)</f>
        <v>0</v>
      </c>
      <c r="K2072" s="444">
        <f t="shared" ca="1" si="123"/>
        <v>-5114865.1712189885</v>
      </c>
      <c r="L2072" s="444">
        <f t="shared" ca="1" si="124"/>
        <v>-1232682506.2637761</v>
      </c>
      <c r="M2072" s="460">
        <f t="shared" si="126"/>
        <v>0.05</v>
      </c>
      <c r="N2072" s="464">
        <f t="shared" si="127"/>
        <v>114109</v>
      </c>
    </row>
    <row r="2073" spans="7:14" ht="11.25" customHeight="1" x14ac:dyDescent="0.3">
      <c r="G2073" s="459"/>
      <c r="H2073" s="459">
        <v>2066</v>
      </c>
      <c r="I2073" s="444">
        <f t="shared" ca="1" si="125"/>
        <v>-1232682506.2637761</v>
      </c>
      <c r="J2073" s="444">
        <f t="array" ref="J2073">IFERROR(INDEX('Retirement Calculator'!K:K,MATCH('Lorri 401b'!N2073,'Retirement Calculator'!A:A,0),0),0)</f>
        <v>0</v>
      </c>
      <c r="K2073" s="444">
        <f t="shared" ca="1" si="123"/>
        <v>-5136177.1094324002</v>
      </c>
      <c r="L2073" s="444">
        <f t="shared" ca="1" si="124"/>
        <v>-1237818683.3732085</v>
      </c>
      <c r="M2073" s="460">
        <f t="shared" si="126"/>
        <v>0.05</v>
      </c>
      <c r="N2073" s="464">
        <f t="shared" si="127"/>
        <v>114139</v>
      </c>
    </row>
    <row r="2074" spans="7:14" ht="11.25" customHeight="1" x14ac:dyDescent="0.3">
      <c r="G2074" s="459"/>
      <c r="H2074" s="459">
        <v>2067</v>
      </c>
      <c r="I2074" s="444">
        <f t="shared" ca="1" si="125"/>
        <v>-1237818683.3732085</v>
      </c>
      <c r="J2074" s="444">
        <f t="array" ref="J2074">IFERROR(INDEX('Retirement Calculator'!K:K,MATCH('Lorri 401b'!N2074,'Retirement Calculator'!A:A,0),0),0)</f>
        <v>0</v>
      </c>
      <c r="K2074" s="444">
        <f t="shared" ca="1" si="123"/>
        <v>-5157577.847388369</v>
      </c>
      <c r="L2074" s="444">
        <f t="shared" ca="1" si="124"/>
        <v>-1242976261.2205968</v>
      </c>
      <c r="M2074" s="460">
        <f t="shared" si="126"/>
        <v>0.05</v>
      </c>
      <c r="N2074" s="464">
        <f t="shared" si="127"/>
        <v>114170</v>
      </c>
    </row>
    <row r="2075" spans="7:14" ht="11.25" customHeight="1" x14ac:dyDescent="0.3">
      <c r="G2075" s="459"/>
      <c r="H2075" s="459">
        <v>2068</v>
      </c>
      <c r="I2075" s="444">
        <f t="shared" ca="1" si="125"/>
        <v>-1242976261.2205968</v>
      </c>
      <c r="J2075" s="444">
        <f t="array" ref="J2075">IFERROR(INDEX('Retirement Calculator'!K:K,MATCH('Lorri 401b'!N2075,'Retirement Calculator'!A:A,0),0),0)</f>
        <v>0</v>
      </c>
      <c r="K2075" s="444">
        <f t="shared" ca="1" si="123"/>
        <v>-5179067.7550858203</v>
      </c>
      <c r="L2075" s="444">
        <f t="shared" ca="1" si="124"/>
        <v>-1248155328.9756825</v>
      </c>
      <c r="M2075" s="460">
        <f t="shared" si="126"/>
        <v>0.05</v>
      </c>
      <c r="N2075" s="464">
        <f t="shared" si="127"/>
        <v>114201</v>
      </c>
    </row>
    <row r="2076" spans="7:14" ht="11.25" customHeight="1" x14ac:dyDescent="0.3">
      <c r="G2076" s="459"/>
      <c r="H2076" s="459">
        <v>2069</v>
      </c>
      <c r="I2076" s="444">
        <f t="shared" ca="1" si="125"/>
        <v>-1248155328.9756825</v>
      </c>
      <c r="J2076" s="444">
        <f t="array" ref="J2076">IFERROR(INDEX('Retirement Calculator'!K:K,MATCH('Lorri 401b'!N2076,'Retirement Calculator'!A:A,0),0),0)</f>
        <v>0</v>
      </c>
      <c r="K2076" s="444">
        <f t="shared" ca="1" si="123"/>
        <v>-5200647.2040653434</v>
      </c>
      <c r="L2076" s="444">
        <f t="shared" ca="1" si="124"/>
        <v>-1253355976.1797478</v>
      </c>
      <c r="M2076" s="460">
        <f t="shared" si="126"/>
        <v>0.05</v>
      </c>
      <c r="N2076" s="464">
        <f t="shared" si="127"/>
        <v>114231</v>
      </c>
    </row>
    <row r="2077" spans="7:14" ht="11.25" customHeight="1" x14ac:dyDescent="0.3">
      <c r="G2077" s="459"/>
      <c r="H2077" s="459">
        <v>2070</v>
      </c>
      <c r="I2077" s="444">
        <f t="shared" ca="1" si="125"/>
        <v>-1253355976.1797478</v>
      </c>
      <c r="J2077" s="444">
        <f t="array" ref="J2077">IFERROR(INDEX('Retirement Calculator'!K:K,MATCH('Lorri 401b'!N2077,'Retirement Calculator'!A:A,0),0),0)</f>
        <v>0</v>
      </c>
      <c r="K2077" s="444">
        <f t="shared" ca="1" si="123"/>
        <v>-5222316.5674156155</v>
      </c>
      <c r="L2077" s="444">
        <f t="shared" ca="1" si="124"/>
        <v>-1258578292.7471635</v>
      </c>
      <c r="M2077" s="460">
        <f t="shared" si="126"/>
        <v>0.05</v>
      </c>
      <c r="N2077" s="464">
        <f t="shared" si="127"/>
        <v>114262</v>
      </c>
    </row>
    <row r="2078" spans="7:14" ht="11.25" customHeight="1" x14ac:dyDescent="0.3">
      <c r="G2078" s="459"/>
      <c r="H2078" s="459">
        <v>2071</v>
      </c>
      <c r="I2078" s="444">
        <f t="shared" ca="1" si="125"/>
        <v>-1258578292.7471635</v>
      </c>
      <c r="J2078" s="444">
        <f t="array" ref="J2078">IFERROR(INDEX('Retirement Calculator'!K:K,MATCH('Lorri 401b'!N2078,'Retirement Calculator'!A:A,0),0),0)</f>
        <v>0</v>
      </c>
      <c r="K2078" s="444">
        <f t="shared" ca="1" si="123"/>
        <v>-5244076.2197798481</v>
      </c>
      <c r="L2078" s="444">
        <f t="shared" ca="1" si="124"/>
        <v>-1263822368.9669433</v>
      </c>
      <c r="M2078" s="460">
        <f t="shared" si="126"/>
        <v>0.05</v>
      </c>
      <c r="N2078" s="464">
        <f t="shared" si="127"/>
        <v>114292</v>
      </c>
    </row>
    <row r="2079" spans="7:14" ht="11.25" customHeight="1" x14ac:dyDescent="0.3">
      <c r="G2079" s="459"/>
      <c r="H2079" s="459">
        <v>2072</v>
      </c>
      <c r="I2079" s="444">
        <f t="shared" ca="1" si="125"/>
        <v>-1263822368.9669433</v>
      </c>
      <c r="J2079" s="444">
        <f t="array" ref="J2079">IFERROR(INDEX('Retirement Calculator'!K:K,MATCH('Lorri 401b'!N2079,'Retirement Calculator'!A:A,0),0),0)</f>
        <v>0</v>
      </c>
      <c r="K2079" s="444">
        <f t="shared" ca="1" si="123"/>
        <v>-5265926.5373622635</v>
      </c>
      <c r="L2079" s="444">
        <f t="shared" ca="1" si="124"/>
        <v>-1269088295.5043056</v>
      </c>
      <c r="M2079" s="460">
        <f t="shared" si="126"/>
        <v>0.05</v>
      </c>
      <c r="N2079" s="464">
        <f t="shared" si="127"/>
        <v>114323</v>
      </c>
    </row>
    <row r="2080" spans="7:14" ht="11.25" customHeight="1" x14ac:dyDescent="0.3">
      <c r="G2080" s="459"/>
      <c r="H2080" s="459">
        <v>2073</v>
      </c>
      <c r="I2080" s="444">
        <f t="shared" ca="1" si="125"/>
        <v>-1269088295.5043056</v>
      </c>
      <c r="J2080" s="444">
        <f t="array" ref="J2080">IFERROR(INDEX('Retirement Calculator'!K:K,MATCH('Lorri 401b'!N2080,'Retirement Calculator'!A:A,0),0),0)</f>
        <v>0</v>
      </c>
      <c r="K2080" s="444">
        <f t="shared" ca="1" si="123"/>
        <v>-5287867.8979346063</v>
      </c>
      <c r="L2080" s="444">
        <f t="shared" ca="1" si="124"/>
        <v>-1274376163.4022403</v>
      </c>
      <c r="M2080" s="460">
        <f t="shared" si="126"/>
        <v>0.05</v>
      </c>
      <c r="N2080" s="464">
        <f t="shared" si="127"/>
        <v>114354</v>
      </c>
    </row>
    <row r="2081" spans="7:14" ht="11.25" customHeight="1" x14ac:dyDescent="0.3">
      <c r="G2081" s="459"/>
      <c r="H2081" s="459">
        <v>2074</v>
      </c>
      <c r="I2081" s="444">
        <f t="shared" ca="1" si="125"/>
        <v>-1274376163.4022403</v>
      </c>
      <c r="J2081" s="444">
        <f t="array" ref="J2081">IFERROR(INDEX('Retirement Calculator'!K:K,MATCH('Lorri 401b'!N2081,'Retirement Calculator'!A:A,0),0),0)</f>
        <v>0</v>
      </c>
      <c r="K2081" s="444">
        <f t="shared" ca="1" si="123"/>
        <v>-5309900.6808426678</v>
      </c>
      <c r="L2081" s="444">
        <f t="shared" ca="1" si="124"/>
        <v>-1279686064.0830829</v>
      </c>
      <c r="M2081" s="460">
        <f t="shared" si="126"/>
        <v>0.05</v>
      </c>
      <c r="N2081" s="464">
        <f t="shared" si="127"/>
        <v>114382</v>
      </c>
    </row>
    <row r="2082" spans="7:14" ht="11.25" customHeight="1" x14ac:dyDescent="0.3">
      <c r="G2082" s="459"/>
      <c r="H2082" s="459">
        <v>2075</v>
      </c>
      <c r="I2082" s="444">
        <f t="shared" ca="1" si="125"/>
        <v>-1279686064.0830829</v>
      </c>
      <c r="J2082" s="444">
        <f t="array" ref="J2082">IFERROR(INDEX('Retirement Calculator'!K:K,MATCH('Lorri 401b'!N2082,'Retirement Calculator'!A:A,0),0),0)</f>
        <v>0</v>
      </c>
      <c r="K2082" s="444">
        <f t="shared" ca="1" si="123"/>
        <v>-5332025.2670128457</v>
      </c>
      <c r="L2082" s="444">
        <f t="shared" ca="1" si="124"/>
        <v>-1285018089.3500957</v>
      </c>
      <c r="M2082" s="460">
        <f t="shared" si="126"/>
        <v>0.05</v>
      </c>
      <c r="N2082" s="464">
        <f t="shared" si="127"/>
        <v>114413</v>
      </c>
    </row>
    <row r="2083" spans="7:14" ht="11.25" customHeight="1" x14ac:dyDescent="0.3">
      <c r="G2083" s="459"/>
      <c r="H2083" s="459">
        <v>2076</v>
      </c>
      <c r="I2083" s="444">
        <f t="shared" ca="1" si="125"/>
        <v>-1285018089.3500957</v>
      </c>
      <c r="J2083" s="444">
        <f t="array" ref="J2083">IFERROR(INDEX('Retirement Calculator'!K:K,MATCH('Lorri 401b'!N2083,'Retirement Calculator'!A:A,0),0),0)</f>
        <v>0</v>
      </c>
      <c r="K2083" s="444">
        <f t="shared" ca="1" si="123"/>
        <v>-5354242.038958732</v>
      </c>
      <c r="L2083" s="444">
        <f t="shared" ca="1" si="124"/>
        <v>-1290372331.3890545</v>
      </c>
      <c r="M2083" s="460">
        <f t="shared" si="126"/>
        <v>0.05</v>
      </c>
      <c r="N2083" s="464">
        <f t="shared" si="127"/>
        <v>114443</v>
      </c>
    </row>
    <row r="2084" spans="7:14" ht="11.25" customHeight="1" x14ac:dyDescent="0.3">
      <c r="G2084" s="459"/>
      <c r="H2084" s="459">
        <v>2077</v>
      </c>
      <c r="I2084" s="444">
        <f t="shared" ca="1" si="125"/>
        <v>-1290372331.3890545</v>
      </c>
      <c r="J2084" s="444">
        <f t="array" ref="J2084">IFERROR(INDEX('Retirement Calculator'!K:K,MATCH('Lorri 401b'!N2084,'Retirement Calculator'!A:A,0),0),0)</f>
        <v>0</v>
      </c>
      <c r="K2084" s="444">
        <f t="shared" ca="1" si="123"/>
        <v>-5376551.3807877274</v>
      </c>
      <c r="L2084" s="444">
        <f t="shared" ca="1" si="124"/>
        <v>-1295748882.7698421</v>
      </c>
      <c r="M2084" s="460">
        <f t="shared" si="126"/>
        <v>0.05</v>
      </c>
      <c r="N2084" s="464">
        <f t="shared" si="127"/>
        <v>114474</v>
      </c>
    </row>
    <row r="2085" spans="7:14" ht="11.25" customHeight="1" x14ac:dyDescent="0.3">
      <c r="G2085" s="459"/>
      <c r="H2085" s="459">
        <v>2078</v>
      </c>
      <c r="I2085" s="444">
        <f t="shared" ca="1" si="125"/>
        <v>-1295748882.7698421</v>
      </c>
      <c r="J2085" s="444">
        <f t="array" ref="J2085">IFERROR(INDEX('Retirement Calculator'!K:K,MATCH('Lorri 401b'!N2085,'Retirement Calculator'!A:A,0),0),0)</f>
        <v>0</v>
      </c>
      <c r="K2085" s="444">
        <f t="shared" ca="1" si="123"/>
        <v>-5398953.6782076759</v>
      </c>
      <c r="L2085" s="444">
        <f t="shared" ca="1" si="124"/>
        <v>-1301147836.4480498</v>
      </c>
      <c r="M2085" s="460">
        <f t="shared" si="126"/>
        <v>0.05</v>
      </c>
      <c r="N2085" s="464">
        <f t="shared" si="127"/>
        <v>114504</v>
      </c>
    </row>
    <row r="2086" spans="7:14" ht="11.25" customHeight="1" x14ac:dyDescent="0.3">
      <c r="G2086" s="459"/>
      <c r="H2086" s="459">
        <v>2079</v>
      </c>
      <c r="I2086" s="444">
        <f t="shared" ca="1" si="125"/>
        <v>-1301147836.4480498</v>
      </c>
      <c r="J2086" s="444">
        <f t="array" ref="J2086">IFERROR(INDEX('Retirement Calculator'!K:K,MATCH('Lorri 401b'!N2086,'Retirement Calculator'!A:A,0),0),0)</f>
        <v>0</v>
      </c>
      <c r="K2086" s="444">
        <f t="shared" ca="1" si="123"/>
        <v>-5421449.3185335407</v>
      </c>
      <c r="L2086" s="444">
        <f t="shared" ca="1" si="124"/>
        <v>-1306569285.7665834</v>
      </c>
      <c r="M2086" s="460">
        <f t="shared" si="126"/>
        <v>0.05</v>
      </c>
      <c r="N2086" s="464">
        <f t="shared" si="127"/>
        <v>114535</v>
      </c>
    </row>
    <row r="2087" spans="7:14" ht="11.25" customHeight="1" x14ac:dyDescent="0.3">
      <c r="G2087" s="459"/>
      <c r="H2087" s="459">
        <v>2080</v>
      </c>
      <c r="I2087" s="444">
        <f t="shared" ca="1" si="125"/>
        <v>-1306569285.7665834</v>
      </c>
      <c r="J2087" s="444">
        <f t="array" ref="J2087">IFERROR(INDEX('Retirement Calculator'!K:K,MATCH('Lorri 401b'!N2087,'Retirement Calculator'!A:A,0),0),0)</f>
        <v>0</v>
      </c>
      <c r="K2087" s="444">
        <f t="shared" ca="1" si="123"/>
        <v>-5444038.6906940974</v>
      </c>
      <c r="L2087" s="444">
        <f t="shared" ca="1" si="124"/>
        <v>-1312013324.4572775</v>
      </c>
      <c r="M2087" s="460">
        <f t="shared" si="126"/>
        <v>0.05</v>
      </c>
      <c r="N2087" s="464">
        <f t="shared" si="127"/>
        <v>114566</v>
      </c>
    </row>
    <row r="2088" spans="7:14" ht="11.25" customHeight="1" x14ac:dyDescent="0.3">
      <c r="G2088" s="459"/>
      <c r="H2088" s="459">
        <v>2081</v>
      </c>
      <c r="I2088" s="444">
        <f t="shared" ca="1" si="125"/>
        <v>-1312013324.4572775</v>
      </c>
      <c r="J2088" s="444">
        <f t="array" ref="J2088">IFERROR(INDEX('Retirement Calculator'!K:K,MATCH('Lorri 401b'!N2088,'Retirement Calculator'!A:A,0),0),0)</f>
        <v>0</v>
      </c>
      <c r="K2088" s="444">
        <f t="shared" ca="1" si="123"/>
        <v>-5466722.1852386566</v>
      </c>
      <c r="L2088" s="444">
        <f t="shared" ca="1" si="124"/>
        <v>-1317480046.6425161</v>
      </c>
      <c r="M2088" s="460">
        <f t="shared" si="126"/>
        <v>0.05</v>
      </c>
      <c r="N2088" s="464">
        <f t="shared" si="127"/>
        <v>114596</v>
      </c>
    </row>
    <row r="2089" spans="7:14" ht="11.25" customHeight="1" x14ac:dyDescent="0.3">
      <c r="G2089" s="459"/>
      <c r="H2089" s="459">
        <v>2082</v>
      </c>
      <c r="I2089" s="444">
        <f t="shared" ca="1" si="125"/>
        <v>-1317480046.6425161</v>
      </c>
      <c r="J2089" s="444">
        <f t="array" ref="J2089">IFERROR(INDEX('Retirement Calculator'!K:K,MATCH('Lorri 401b'!N2089,'Retirement Calculator'!A:A,0),0),0)</f>
        <v>0</v>
      </c>
      <c r="K2089" s="444">
        <f t="shared" ca="1" si="123"/>
        <v>-5489500.1943438174</v>
      </c>
      <c r="L2089" s="444">
        <f t="shared" ca="1" si="124"/>
        <v>-1322969546.8368599</v>
      </c>
      <c r="M2089" s="460">
        <f t="shared" si="126"/>
        <v>0.05</v>
      </c>
      <c r="N2089" s="464">
        <f t="shared" si="127"/>
        <v>114627</v>
      </c>
    </row>
    <row r="2090" spans="7:14" ht="11.25" customHeight="1" x14ac:dyDescent="0.3">
      <c r="G2090" s="459"/>
      <c r="H2090" s="459">
        <v>2083</v>
      </c>
      <c r="I2090" s="444">
        <f t="shared" ca="1" si="125"/>
        <v>-1322969546.8368599</v>
      </c>
      <c r="J2090" s="444">
        <f t="array" ref="J2090">IFERROR(INDEX('Retirement Calculator'!K:K,MATCH('Lorri 401b'!N2090,'Retirement Calculator'!A:A,0),0),0)</f>
        <v>0</v>
      </c>
      <c r="K2090" s="444">
        <f t="shared" ca="1" si="123"/>
        <v>-5512373.1118202498</v>
      </c>
      <c r="L2090" s="444">
        <f t="shared" ca="1" si="124"/>
        <v>-1328481919.9486802</v>
      </c>
      <c r="M2090" s="460">
        <f t="shared" si="126"/>
        <v>0.05</v>
      </c>
      <c r="N2090" s="464">
        <f t="shared" si="127"/>
        <v>114657</v>
      </c>
    </row>
    <row r="2091" spans="7:14" ht="11.25" customHeight="1" x14ac:dyDescent="0.3">
      <c r="G2091" s="459"/>
      <c r="H2091" s="459">
        <v>2084</v>
      </c>
      <c r="I2091" s="444">
        <f t="shared" ca="1" si="125"/>
        <v>-1328481919.9486802</v>
      </c>
      <c r="J2091" s="444">
        <f t="array" ref="J2091">IFERROR(INDEX('Retirement Calculator'!K:K,MATCH('Lorri 401b'!N2091,'Retirement Calculator'!A:A,0),0),0)</f>
        <v>0</v>
      </c>
      <c r="K2091" s="444">
        <f t="shared" ca="1" si="123"/>
        <v>-5535341.3331195004</v>
      </c>
      <c r="L2091" s="444">
        <f t="shared" ca="1" si="124"/>
        <v>-1334017261.2817996</v>
      </c>
      <c r="M2091" s="460">
        <f t="shared" si="126"/>
        <v>0.05</v>
      </c>
      <c r="N2091" s="464">
        <f t="shared" si="127"/>
        <v>114688</v>
      </c>
    </row>
    <row r="2092" spans="7:14" ht="11.25" customHeight="1" x14ac:dyDescent="0.3">
      <c r="G2092" s="459"/>
      <c r="H2092" s="459">
        <v>2085</v>
      </c>
      <c r="I2092" s="444">
        <f t="shared" ca="1" si="125"/>
        <v>-1334017261.2817996</v>
      </c>
      <c r="J2092" s="444">
        <f t="array" ref="J2092">IFERROR(INDEX('Retirement Calculator'!K:K,MATCH('Lorri 401b'!N2092,'Retirement Calculator'!A:A,0),0),0)</f>
        <v>0</v>
      </c>
      <c r="K2092" s="444">
        <f t="shared" ca="1" si="123"/>
        <v>-5558405.2553408314</v>
      </c>
      <c r="L2092" s="444">
        <f t="shared" ca="1" si="124"/>
        <v>-1339575666.5371404</v>
      </c>
      <c r="M2092" s="460">
        <f t="shared" si="126"/>
        <v>0.05</v>
      </c>
      <c r="N2092" s="464">
        <f t="shared" si="127"/>
        <v>114719</v>
      </c>
    </row>
    <row r="2093" spans="7:14" ht="11.25" customHeight="1" x14ac:dyDescent="0.3">
      <c r="G2093" s="459"/>
      <c r="H2093" s="459">
        <v>2086</v>
      </c>
      <c r="I2093" s="444">
        <f t="shared" ca="1" si="125"/>
        <v>-1339575666.5371404</v>
      </c>
      <c r="J2093" s="444">
        <f t="array" ref="J2093">IFERROR(INDEX('Retirement Calculator'!K:K,MATCH('Lorri 401b'!N2093,'Retirement Calculator'!A:A,0),0),0)</f>
        <v>0</v>
      </c>
      <c r="K2093" s="444">
        <f t="shared" ca="1" si="123"/>
        <v>-5581565.2772380849</v>
      </c>
      <c r="L2093" s="444">
        <f t="shared" ca="1" si="124"/>
        <v>-1345157231.8143785</v>
      </c>
      <c r="M2093" s="460">
        <f t="shared" si="126"/>
        <v>0.05</v>
      </c>
      <c r="N2093" s="464">
        <f t="shared" si="127"/>
        <v>114747</v>
      </c>
    </row>
    <row r="2094" spans="7:14" ht="11.25" customHeight="1" x14ac:dyDescent="0.3">
      <c r="G2094" s="459"/>
      <c r="H2094" s="459">
        <v>2087</v>
      </c>
      <c r="I2094" s="444">
        <f t="shared" ca="1" si="125"/>
        <v>-1345157231.8143785</v>
      </c>
      <c r="J2094" s="444">
        <f t="array" ref="J2094">IFERROR(INDEX('Retirement Calculator'!K:K,MATCH('Lorri 401b'!N2094,'Retirement Calculator'!A:A,0),0),0)</f>
        <v>0</v>
      </c>
      <c r="K2094" s="444">
        <f t="shared" ca="1" si="123"/>
        <v>-5604821.7992265774</v>
      </c>
      <c r="L2094" s="444">
        <f t="shared" ca="1" si="124"/>
        <v>-1350762053.613605</v>
      </c>
      <c r="M2094" s="460">
        <f t="shared" si="126"/>
        <v>0.05</v>
      </c>
      <c r="N2094" s="464">
        <f t="shared" si="127"/>
        <v>114778</v>
      </c>
    </row>
    <row r="2095" spans="7:14" ht="11.25" customHeight="1" x14ac:dyDescent="0.3">
      <c r="G2095" s="459"/>
      <c r="H2095" s="459">
        <v>2088</v>
      </c>
      <c r="I2095" s="444">
        <f t="shared" ca="1" si="125"/>
        <v>-1350762053.613605</v>
      </c>
      <c r="J2095" s="444">
        <f t="array" ref="J2095">IFERROR(INDEX('Retirement Calculator'!K:K,MATCH('Lorri 401b'!N2095,'Retirement Calculator'!A:A,0),0),0)</f>
        <v>0</v>
      </c>
      <c r="K2095" s="444">
        <f t="shared" ca="1" si="123"/>
        <v>-5628175.2233900204</v>
      </c>
      <c r="L2095" s="444">
        <f t="shared" ca="1" si="124"/>
        <v>-1356390228.8369951</v>
      </c>
      <c r="M2095" s="460">
        <f t="shared" si="126"/>
        <v>0.05</v>
      </c>
      <c r="N2095" s="464">
        <f t="shared" si="127"/>
        <v>114808</v>
      </c>
    </row>
    <row r="2096" spans="7:14" ht="11.25" customHeight="1" x14ac:dyDescent="0.3">
      <c r="G2096" s="459"/>
      <c r="H2096" s="459">
        <v>2089</v>
      </c>
      <c r="I2096" s="444">
        <f t="shared" ca="1" si="125"/>
        <v>-1356390228.8369951</v>
      </c>
      <c r="J2096" s="444">
        <f t="array" ref="J2096">IFERROR(INDEX('Retirement Calculator'!K:K,MATCH('Lorri 401b'!N2096,'Retirement Calculator'!A:A,0),0),0)</f>
        <v>0</v>
      </c>
      <c r="K2096" s="444">
        <f t="shared" ca="1" si="123"/>
        <v>-5651625.9534874801</v>
      </c>
      <c r="L2096" s="444">
        <f t="shared" ca="1" si="124"/>
        <v>-1362041854.7904825</v>
      </c>
      <c r="M2096" s="460">
        <f t="shared" si="126"/>
        <v>0.05</v>
      </c>
      <c r="N2096" s="464">
        <f t="shared" si="127"/>
        <v>114839</v>
      </c>
    </row>
    <row r="2097" spans="7:14" ht="11.25" customHeight="1" x14ac:dyDescent="0.3">
      <c r="G2097" s="459"/>
      <c r="H2097" s="459">
        <v>2090</v>
      </c>
      <c r="I2097" s="444">
        <f t="shared" ca="1" si="125"/>
        <v>-1362041854.7904825</v>
      </c>
      <c r="J2097" s="444">
        <f t="array" ref="J2097">IFERROR(INDEX('Retirement Calculator'!K:K,MATCH('Lorri 401b'!N2097,'Retirement Calculator'!A:A,0),0),0)</f>
        <v>0</v>
      </c>
      <c r="K2097" s="444">
        <f t="shared" ca="1" si="123"/>
        <v>-5675174.3949603438</v>
      </c>
      <c r="L2097" s="444">
        <f t="shared" ca="1" si="124"/>
        <v>-1367717029.1854429</v>
      </c>
      <c r="M2097" s="460">
        <f t="shared" si="126"/>
        <v>0.05</v>
      </c>
      <c r="N2097" s="464">
        <f t="shared" si="127"/>
        <v>114869</v>
      </c>
    </row>
    <row r="2098" spans="7:14" ht="11.25" customHeight="1" x14ac:dyDescent="0.3">
      <c r="G2098" s="459"/>
      <c r="H2098" s="459">
        <v>2091</v>
      </c>
      <c r="I2098" s="444">
        <f t="shared" ca="1" si="125"/>
        <v>-1367717029.1854429</v>
      </c>
      <c r="J2098" s="444">
        <f t="array" ref="J2098">IFERROR(INDEX('Retirement Calculator'!K:K,MATCH('Lorri 401b'!N2098,'Retirement Calculator'!A:A,0),0),0)</f>
        <v>0</v>
      </c>
      <c r="K2098" s="444">
        <f t="shared" ca="1" si="123"/>
        <v>-5698820.9549393458</v>
      </c>
      <c r="L2098" s="444">
        <f t="shared" ca="1" si="124"/>
        <v>-1373415850.1403823</v>
      </c>
      <c r="M2098" s="460">
        <f t="shared" si="126"/>
        <v>0.05</v>
      </c>
      <c r="N2098" s="464">
        <f t="shared" si="127"/>
        <v>114900</v>
      </c>
    </row>
    <row r="2099" spans="7:14" ht="11.25" customHeight="1" x14ac:dyDescent="0.3">
      <c r="G2099" s="459"/>
      <c r="H2099" s="459">
        <v>2092</v>
      </c>
      <c r="I2099" s="444">
        <f t="shared" ca="1" si="125"/>
        <v>-1373415850.1403823</v>
      </c>
      <c r="J2099" s="444">
        <f t="array" ref="J2099">IFERROR(INDEX('Retirement Calculator'!K:K,MATCH('Lorri 401b'!N2099,'Retirement Calculator'!A:A,0),0),0)</f>
        <v>0</v>
      </c>
      <c r="K2099" s="444">
        <f t="shared" ca="1" si="123"/>
        <v>-5722566.0422515925</v>
      </c>
      <c r="L2099" s="444">
        <f t="shared" ca="1" si="124"/>
        <v>-1379138416.1826339</v>
      </c>
      <c r="M2099" s="460">
        <f t="shared" si="126"/>
        <v>0.05</v>
      </c>
      <c r="N2099" s="464">
        <f t="shared" si="127"/>
        <v>114931</v>
      </c>
    </row>
    <row r="2100" spans="7:14" ht="11.25" customHeight="1" x14ac:dyDescent="0.3">
      <c r="G2100" s="459"/>
      <c r="H2100" s="459">
        <v>2093</v>
      </c>
      <c r="I2100" s="444">
        <f t="shared" ca="1" si="125"/>
        <v>-1379138416.1826339</v>
      </c>
      <c r="J2100" s="444">
        <f t="array" ref="J2100">IFERROR(INDEX('Retirement Calculator'!K:K,MATCH('Lorri 401b'!N2100,'Retirement Calculator'!A:A,0),0),0)</f>
        <v>0</v>
      </c>
      <c r="K2100" s="444">
        <f t="shared" ca="1" si="123"/>
        <v>-5746410.0674276408</v>
      </c>
      <c r="L2100" s="444">
        <f t="shared" ca="1" si="124"/>
        <v>-1384884826.2500615</v>
      </c>
      <c r="M2100" s="460">
        <f t="shared" si="126"/>
        <v>0.05</v>
      </c>
      <c r="N2100" s="464">
        <f t="shared" si="127"/>
        <v>114961</v>
      </c>
    </row>
    <row r="2101" spans="7:14" ht="11.25" customHeight="1" x14ac:dyDescent="0.3">
      <c r="G2101" s="459"/>
      <c r="H2101" s="459">
        <v>2094</v>
      </c>
      <c r="I2101" s="444">
        <f t="shared" ca="1" si="125"/>
        <v>-1384884826.2500615</v>
      </c>
      <c r="J2101" s="444">
        <f t="array" ref="J2101">IFERROR(INDEX('Retirement Calculator'!K:K,MATCH('Lorri 401b'!N2101,'Retirement Calculator'!A:A,0),0),0)</f>
        <v>0</v>
      </c>
      <c r="K2101" s="444">
        <f t="shared" ca="1" si="123"/>
        <v>-5770353.4427085891</v>
      </c>
      <c r="L2101" s="444">
        <f t="shared" ca="1" si="124"/>
        <v>-1390655179.69277</v>
      </c>
      <c r="M2101" s="460">
        <f t="shared" si="126"/>
        <v>0.05</v>
      </c>
      <c r="N2101" s="464">
        <f t="shared" si="127"/>
        <v>114992</v>
      </c>
    </row>
    <row r="2102" spans="7:14" ht="11.25" customHeight="1" x14ac:dyDescent="0.3">
      <c r="G2102" s="459"/>
      <c r="H2102" s="459">
        <v>2095</v>
      </c>
      <c r="I2102" s="444">
        <f t="shared" ca="1" si="125"/>
        <v>-1390655179.69277</v>
      </c>
      <c r="J2102" s="444">
        <f t="array" ref="J2102">IFERROR(INDEX('Retirement Calculator'!K:K,MATCH('Lorri 401b'!N2102,'Retirement Calculator'!A:A,0),0),0)</f>
        <v>0</v>
      </c>
      <c r="K2102" s="444">
        <f t="shared" ca="1" si="123"/>
        <v>-5794396.5820532087</v>
      </c>
      <c r="L2102" s="444">
        <f t="shared" ca="1" si="124"/>
        <v>-1396449576.2748232</v>
      </c>
      <c r="M2102" s="460">
        <f t="shared" si="126"/>
        <v>0.05</v>
      </c>
      <c r="N2102" s="464">
        <f t="shared" si="127"/>
        <v>115022</v>
      </c>
    </row>
    <row r="2103" spans="7:14" ht="11.25" customHeight="1" x14ac:dyDescent="0.3">
      <c r="G2103" s="459"/>
      <c r="H2103" s="459">
        <v>2096</v>
      </c>
      <c r="I2103" s="444">
        <f t="shared" ca="1" si="125"/>
        <v>-1396449576.2748232</v>
      </c>
      <c r="J2103" s="444">
        <f t="array" ref="J2103">IFERROR(INDEX('Retirement Calculator'!K:K,MATCH('Lorri 401b'!N2103,'Retirement Calculator'!A:A,0),0),0)</f>
        <v>0</v>
      </c>
      <c r="K2103" s="444">
        <f t="shared" ca="1" si="123"/>
        <v>-5818539.9011450969</v>
      </c>
      <c r="L2103" s="444">
        <f t="shared" ca="1" si="124"/>
        <v>-1402268116.1759682</v>
      </c>
      <c r="M2103" s="460">
        <f t="shared" si="126"/>
        <v>0.05</v>
      </c>
      <c r="N2103" s="464">
        <f t="shared" si="127"/>
        <v>115053</v>
      </c>
    </row>
    <row r="2104" spans="7:14" ht="11.25" customHeight="1" x14ac:dyDescent="0.3">
      <c r="G2104" s="459"/>
      <c r="H2104" s="459">
        <v>2097</v>
      </c>
      <c r="I2104" s="444">
        <f t="shared" ca="1" si="125"/>
        <v>-1402268116.1759682</v>
      </c>
      <c r="J2104" s="444">
        <f t="array" ref="J2104">IFERROR(INDEX('Retirement Calculator'!K:K,MATCH('Lorri 401b'!N2104,'Retirement Calculator'!A:A,0),0),0)</f>
        <v>0</v>
      </c>
      <c r="K2104" s="444">
        <f t="shared" ca="1" si="123"/>
        <v>-5842783.8173998669</v>
      </c>
      <c r="L2104" s="444">
        <f t="shared" ca="1" si="124"/>
        <v>-1408110899.9933681</v>
      </c>
      <c r="M2104" s="460">
        <f t="shared" si="126"/>
        <v>0.05</v>
      </c>
      <c r="N2104" s="464">
        <f t="shared" si="127"/>
        <v>115084</v>
      </c>
    </row>
    <row r="2105" spans="7:14" ht="11.25" customHeight="1" x14ac:dyDescent="0.3">
      <c r="G2105" s="459"/>
      <c r="H2105" s="459">
        <v>2098</v>
      </c>
      <c r="I2105" s="444">
        <f t="shared" ca="1" si="125"/>
        <v>-1408110899.9933681</v>
      </c>
      <c r="J2105" s="444">
        <f t="array" ref="J2105">IFERROR(INDEX('Retirement Calculator'!K:K,MATCH('Lorri 401b'!N2105,'Retirement Calculator'!A:A,0),0),0)</f>
        <v>0</v>
      </c>
      <c r="K2105" s="444">
        <f t="shared" ca="1" si="123"/>
        <v>-5867128.7499723677</v>
      </c>
      <c r="L2105" s="444">
        <f t="shared" ca="1" si="124"/>
        <v>-1413978028.7433405</v>
      </c>
      <c r="M2105" s="460">
        <f t="shared" si="126"/>
        <v>0.05</v>
      </c>
      <c r="N2105" s="464">
        <f t="shared" si="127"/>
        <v>115112</v>
      </c>
    </row>
    <row r="2106" spans="7:14" ht="11.25" customHeight="1" x14ac:dyDescent="0.3">
      <c r="G2106" s="459"/>
      <c r="H2106" s="459">
        <v>2099</v>
      </c>
      <c r="I2106" s="444">
        <f t="shared" ca="1" si="125"/>
        <v>-1413978028.7433405</v>
      </c>
      <c r="J2106" s="444">
        <f t="array" ref="J2106">IFERROR(INDEX('Retirement Calculator'!K:K,MATCH('Lorri 401b'!N2106,'Retirement Calculator'!A:A,0),0),0)</f>
        <v>0</v>
      </c>
      <c r="K2106" s="444">
        <f t="shared" ca="1" si="123"/>
        <v>-5891575.1197639182</v>
      </c>
      <c r="L2106" s="444">
        <f t="shared" ca="1" si="124"/>
        <v>-1419869603.8631043</v>
      </c>
      <c r="M2106" s="460">
        <f t="shared" si="126"/>
        <v>0.05</v>
      </c>
      <c r="N2106" s="464">
        <f t="shared" si="127"/>
        <v>115143</v>
      </c>
    </row>
    <row r="2107" spans="7:14" ht="11.25" customHeight="1" x14ac:dyDescent="0.3">
      <c r="G2107" s="459"/>
      <c r="H2107" s="459">
        <v>2100</v>
      </c>
      <c r="I2107" s="444">
        <f t="shared" ca="1" si="125"/>
        <v>-1419869603.8631043</v>
      </c>
      <c r="J2107" s="444">
        <f t="array" ref="J2107">IFERROR(INDEX('Retirement Calculator'!K:K,MATCH('Lorri 401b'!N2107,'Retirement Calculator'!A:A,0),0),0)</f>
        <v>0</v>
      </c>
      <c r="K2107" s="444">
        <f t="shared" ca="1" si="123"/>
        <v>-5916123.3494296018</v>
      </c>
      <c r="L2107" s="444">
        <f t="shared" ca="1" si="124"/>
        <v>-1425785727.212534</v>
      </c>
      <c r="M2107" s="460">
        <f t="shared" si="126"/>
        <v>0.05</v>
      </c>
      <c r="N2107" s="464">
        <f t="shared" si="127"/>
        <v>115173</v>
      </c>
    </row>
    <row r="2108" spans="7:14" ht="11.25" customHeight="1" x14ac:dyDescent="0.3">
      <c r="G2108" s="459"/>
      <c r="H2108" s="459">
        <v>2101</v>
      </c>
      <c r="I2108" s="444">
        <f t="shared" ca="1" si="125"/>
        <v>-1425785727.212534</v>
      </c>
      <c r="J2108" s="444">
        <f t="array" ref="J2108">IFERROR(INDEX('Retirement Calculator'!K:K,MATCH('Lorri 401b'!N2108,'Retirement Calculator'!A:A,0),0),0)</f>
        <v>0</v>
      </c>
      <c r="K2108" s="444">
        <f t="shared" ca="1" si="123"/>
        <v>-5940773.8633855581</v>
      </c>
      <c r="L2108" s="444">
        <f t="shared" ca="1" si="124"/>
        <v>-1431726501.0759196</v>
      </c>
      <c r="M2108" s="460">
        <f t="shared" si="126"/>
        <v>0.05</v>
      </c>
      <c r="N2108" s="464">
        <f t="shared" si="127"/>
        <v>115204</v>
      </c>
    </row>
    <row r="2109" spans="7:14" ht="11.25" customHeight="1" x14ac:dyDescent="0.3">
      <c r="G2109" s="459"/>
      <c r="H2109" s="459">
        <v>2102</v>
      </c>
      <c r="I2109" s="444">
        <f t="shared" ca="1" si="125"/>
        <v>-1431726501.0759196</v>
      </c>
      <c r="J2109" s="444">
        <f t="array" ref="J2109">IFERROR(INDEX('Retirement Calculator'!K:K,MATCH('Lorri 401b'!N2109,'Retirement Calculator'!A:A,0),0),0)</f>
        <v>0</v>
      </c>
      <c r="K2109" s="444">
        <f t="shared" ca="1" si="123"/>
        <v>-5965527.0878163315</v>
      </c>
      <c r="L2109" s="444">
        <f t="shared" ca="1" si="124"/>
        <v>-1437692028.1637359</v>
      </c>
      <c r="M2109" s="460">
        <f t="shared" si="126"/>
        <v>0.05</v>
      </c>
      <c r="N2109" s="464">
        <f t="shared" si="127"/>
        <v>115234</v>
      </c>
    </row>
    <row r="2110" spans="7:14" ht="11.25" customHeight="1" x14ac:dyDescent="0.3">
      <c r="G2110" s="459"/>
      <c r="H2110" s="459">
        <v>2103</v>
      </c>
      <c r="I2110" s="444">
        <f t="shared" ca="1" si="125"/>
        <v>-1437692028.1637359</v>
      </c>
      <c r="J2110" s="444">
        <f t="array" ref="J2110">IFERROR(INDEX('Retirement Calculator'!K:K,MATCH('Lorri 401b'!N2110,'Retirement Calculator'!A:A,0),0),0)</f>
        <v>0</v>
      </c>
      <c r="K2110" s="444">
        <f t="shared" ca="1" si="123"/>
        <v>-5990383.4506822331</v>
      </c>
      <c r="L2110" s="444">
        <f t="shared" ca="1" si="124"/>
        <v>-1443682411.614418</v>
      </c>
      <c r="M2110" s="460">
        <f t="shared" si="126"/>
        <v>0.05</v>
      </c>
      <c r="N2110" s="464">
        <f t="shared" si="127"/>
        <v>115265</v>
      </c>
    </row>
    <row r="2111" spans="7:14" ht="11.25" customHeight="1" x14ac:dyDescent="0.3">
      <c r="G2111" s="459"/>
      <c r="H2111" s="459">
        <v>2104</v>
      </c>
      <c r="I2111" s="444">
        <f t="shared" ca="1" si="125"/>
        <v>-1443682411.614418</v>
      </c>
      <c r="J2111" s="444">
        <f t="array" ref="J2111">IFERROR(INDEX('Retirement Calculator'!K:K,MATCH('Lorri 401b'!N2111,'Retirement Calculator'!A:A,0),0),0)</f>
        <v>0</v>
      </c>
      <c r="K2111" s="444">
        <f t="shared" ca="1" si="123"/>
        <v>-6015343.3817267418</v>
      </c>
      <c r="L2111" s="444">
        <f t="shared" ca="1" si="124"/>
        <v>-1449697754.9961448</v>
      </c>
      <c r="M2111" s="460">
        <f t="shared" si="126"/>
        <v>0.05</v>
      </c>
      <c r="N2111" s="464">
        <f t="shared" si="127"/>
        <v>115296</v>
      </c>
    </row>
    <row r="2112" spans="7:14" ht="11.25" customHeight="1" x14ac:dyDescent="0.3">
      <c r="G2112" s="459"/>
      <c r="H2112" s="459">
        <v>2105</v>
      </c>
      <c r="I2112" s="444">
        <f t="shared" ca="1" si="125"/>
        <v>-1449697754.9961448</v>
      </c>
      <c r="J2112" s="444">
        <f t="array" ref="J2112">IFERROR(INDEX('Retirement Calculator'!K:K,MATCH('Lorri 401b'!N2112,'Retirement Calculator'!A:A,0),0),0)</f>
        <v>0</v>
      </c>
      <c r="K2112" s="444">
        <f t="shared" ca="1" si="123"/>
        <v>-6040407.3124839365</v>
      </c>
      <c r="L2112" s="444">
        <f t="shared" ca="1" si="124"/>
        <v>-1455738162.3086288</v>
      </c>
      <c r="M2112" s="460">
        <f t="shared" si="126"/>
        <v>0.05</v>
      </c>
      <c r="N2112" s="464">
        <f t="shared" si="127"/>
        <v>115326</v>
      </c>
    </row>
    <row r="2113" spans="7:14" ht="11.25" customHeight="1" x14ac:dyDescent="0.3">
      <c r="G2113" s="459"/>
      <c r="H2113" s="459">
        <v>2106</v>
      </c>
      <c r="I2113" s="444">
        <f t="shared" ca="1" si="125"/>
        <v>-1455738162.3086288</v>
      </c>
      <c r="J2113" s="444">
        <f t="array" ref="J2113">IFERROR(INDEX('Retirement Calculator'!K:K,MATCH('Lorri 401b'!N2113,'Retirement Calculator'!A:A,0),0),0)</f>
        <v>0</v>
      </c>
      <c r="K2113" s="444">
        <f t="shared" ca="1" si="123"/>
        <v>-6065575.6762859533</v>
      </c>
      <c r="L2113" s="444">
        <f t="shared" ca="1" si="124"/>
        <v>-1461803737.9849148</v>
      </c>
      <c r="M2113" s="460">
        <f t="shared" si="126"/>
        <v>0.05</v>
      </c>
      <c r="N2113" s="464">
        <f t="shared" si="127"/>
        <v>115357</v>
      </c>
    </row>
    <row r="2114" spans="7:14" ht="11.25" customHeight="1" x14ac:dyDescent="0.3">
      <c r="G2114" s="459"/>
      <c r="H2114" s="459">
        <v>2107</v>
      </c>
      <c r="I2114" s="444">
        <f t="shared" ca="1" si="125"/>
        <v>-1461803737.9849148</v>
      </c>
      <c r="J2114" s="444">
        <f t="array" ref="J2114">IFERROR(INDEX('Retirement Calculator'!K:K,MATCH('Lorri 401b'!N2114,'Retirement Calculator'!A:A,0),0),0)</f>
        <v>0</v>
      </c>
      <c r="K2114" s="444">
        <f t="shared" ca="1" si="123"/>
        <v>-6090848.9082704782</v>
      </c>
      <c r="L2114" s="444">
        <f t="shared" ca="1" si="124"/>
        <v>-1467894586.8931851</v>
      </c>
      <c r="M2114" s="460">
        <f t="shared" si="126"/>
        <v>0.05</v>
      </c>
      <c r="N2114" s="464">
        <f t="shared" si="127"/>
        <v>115387</v>
      </c>
    </row>
    <row r="2115" spans="7:14" ht="11.25" customHeight="1" x14ac:dyDescent="0.3">
      <c r="G2115" s="459"/>
      <c r="H2115" s="459">
        <v>2108</v>
      </c>
      <c r="I2115" s="444">
        <f t="shared" ca="1" si="125"/>
        <v>-1467894586.8931851</v>
      </c>
      <c r="J2115" s="444">
        <f t="array" ref="J2115">IFERROR(INDEX('Retirement Calculator'!K:K,MATCH('Lorri 401b'!N2115,'Retirement Calculator'!A:A,0),0),0)</f>
        <v>0</v>
      </c>
      <c r="K2115" s="444">
        <f t="shared" ca="1" si="123"/>
        <v>-6116227.4453882715</v>
      </c>
      <c r="L2115" s="444">
        <f t="shared" ca="1" si="124"/>
        <v>-1474010814.3385735</v>
      </c>
      <c r="M2115" s="460">
        <f t="shared" si="126"/>
        <v>0.05</v>
      </c>
      <c r="N2115" s="464">
        <f t="shared" si="127"/>
        <v>115418</v>
      </c>
    </row>
    <row r="2116" spans="7:14" ht="11.25" customHeight="1" x14ac:dyDescent="0.3">
      <c r="G2116" s="459"/>
      <c r="H2116" s="459">
        <v>2109</v>
      </c>
      <c r="I2116" s="444">
        <f t="shared" ca="1" si="125"/>
        <v>-1474010814.3385735</v>
      </c>
      <c r="J2116" s="444">
        <f t="array" ref="J2116">IFERROR(INDEX('Retirement Calculator'!K:K,MATCH('Lorri 401b'!N2116,'Retirement Calculator'!A:A,0),0),0)</f>
        <v>0</v>
      </c>
      <c r="K2116" s="444">
        <f t="shared" ca="1" si="123"/>
        <v>-6141711.7264107224</v>
      </c>
      <c r="L2116" s="444">
        <f t="shared" ca="1" si="124"/>
        <v>-1480152526.0649841</v>
      </c>
      <c r="M2116" s="460">
        <f t="shared" si="126"/>
        <v>0.05</v>
      </c>
      <c r="N2116" s="464">
        <f t="shared" si="127"/>
        <v>115449</v>
      </c>
    </row>
    <row r="2117" spans="7:14" ht="11.25" customHeight="1" x14ac:dyDescent="0.3">
      <c r="G2117" s="459"/>
      <c r="H2117" s="459">
        <v>2110</v>
      </c>
      <c r="I2117" s="444">
        <f t="shared" ca="1" si="125"/>
        <v>-1480152526.0649841</v>
      </c>
      <c r="J2117" s="444">
        <f t="array" ref="J2117">IFERROR(INDEX('Retirement Calculator'!K:K,MATCH('Lorri 401b'!N2117,'Retirement Calculator'!A:A,0),0),0)</f>
        <v>0</v>
      </c>
      <c r="K2117" s="444">
        <f t="shared" ca="1" si="123"/>
        <v>-6167302.1919374336</v>
      </c>
      <c r="L2117" s="444">
        <f t="shared" ca="1" si="124"/>
        <v>-1486319828.2569215</v>
      </c>
      <c r="M2117" s="460">
        <f t="shared" si="126"/>
        <v>0.05</v>
      </c>
      <c r="N2117" s="464">
        <f t="shared" si="127"/>
        <v>115478</v>
      </c>
    </row>
    <row r="2118" spans="7:14" ht="11.25" customHeight="1" x14ac:dyDescent="0.3">
      <c r="G2118" s="459"/>
      <c r="H2118" s="459">
        <v>2111</v>
      </c>
      <c r="I2118" s="444">
        <f t="shared" ca="1" si="125"/>
        <v>-1486319828.2569215</v>
      </c>
      <c r="J2118" s="444">
        <f t="array" ref="J2118">IFERROR(INDEX('Retirement Calculator'!K:K,MATCH('Lorri 401b'!N2118,'Retirement Calculator'!A:A,0),0),0)</f>
        <v>0</v>
      </c>
      <c r="K2118" s="444">
        <f t="shared" ca="1" si="123"/>
        <v>-6192999.2844038401</v>
      </c>
      <c r="L2118" s="444">
        <f t="shared" ca="1" si="124"/>
        <v>-1492512827.5413253</v>
      </c>
      <c r="M2118" s="460">
        <f t="shared" si="126"/>
        <v>0.05</v>
      </c>
      <c r="N2118" s="464">
        <f t="shared" si="127"/>
        <v>115509</v>
      </c>
    </row>
    <row r="2119" spans="7:14" ht="11.25" customHeight="1" x14ac:dyDescent="0.3">
      <c r="G2119" s="459"/>
      <c r="H2119" s="459">
        <v>2112</v>
      </c>
      <c r="I2119" s="444">
        <f t="shared" ca="1" si="125"/>
        <v>-1492512827.5413253</v>
      </c>
      <c r="J2119" s="444">
        <f t="array" ref="J2119">IFERROR(INDEX('Retirement Calculator'!K:K,MATCH('Lorri 401b'!N2119,'Retirement Calculator'!A:A,0),0),0)</f>
        <v>0</v>
      </c>
      <c r="K2119" s="444">
        <f t="shared" ca="1" si="123"/>
        <v>-6218803.4480888555</v>
      </c>
      <c r="L2119" s="444">
        <f t="shared" ca="1" si="124"/>
        <v>-1498731630.9894142</v>
      </c>
      <c r="M2119" s="460">
        <f t="shared" si="126"/>
        <v>0.05</v>
      </c>
      <c r="N2119" s="464">
        <f t="shared" si="127"/>
        <v>115539</v>
      </c>
    </row>
    <row r="2120" spans="7:14" ht="11.25" customHeight="1" x14ac:dyDescent="0.3">
      <c r="G2120" s="459"/>
      <c r="H2120" s="459">
        <v>2113</v>
      </c>
      <c r="I2120" s="444">
        <f t="shared" ca="1" si="125"/>
        <v>-1498731630.9894142</v>
      </c>
      <c r="J2120" s="444">
        <f t="array" ref="J2120">IFERROR(INDEX('Retirement Calculator'!K:K,MATCH('Lorri 401b'!N2120,'Retirement Calculator'!A:A,0),0),0)</f>
        <v>0</v>
      </c>
      <c r="K2120" s="444">
        <f t="shared" ca="1" si="123"/>
        <v>-6244715.129122559</v>
      </c>
      <c r="L2120" s="444">
        <f t="shared" ca="1" si="124"/>
        <v>-1504976346.1185367</v>
      </c>
      <c r="M2120" s="460">
        <f t="shared" si="126"/>
        <v>0.05</v>
      </c>
      <c r="N2120" s="464">
        <f t="shared" si="127"/>
        <v>115570</v>
      </c>
    </row>
    <row r="2121" spans="7:14" ht="11.25" customHeight="1" x14ac:dyDescent="0.3">
      <c r="G2121" s="459"/>
      <c r="H2121" s="459">
        <v>2114</v>
      </c>
      <c r="I2121" s="444">
        <f t="shared" ca="1" si="125"/>
        <v>-1504976346.1185367</v>
      </c>
      <c r="J2121" s="444">
        <f t="array" ref="J2121">IFERROR(INDEX('Retirement Calculator'!K:K,MATCH('Lorri 401b'!N2121,'Retirement Calculator'!A:A,0),0),0)</f>
        <v>0</v>
      </c>
      <c r="K2121" s="444">
        <f t="shared" ca="1" si="123"/>
        <v>-6270734.7754939031</v>
      </c>
      <c r="L2121" s="444">
        <f t="shared" ca="1" si="124"/>
        <v>-1511247080.8940306</v>
      </c>
      <c r="M2121" s="460">
        <f t="shared" si="126"/>
        <v>0.05</v>
      </c>
      <c r="N2121" s="464">
        <f t="shared" si="127"/>
        <v>115600</v>
      </c>
    </row>
    <row r="2122" spans="7:14" ht="11.25" customHeight="1" x14ac:dyDescent="0.3">
      <c r="G2122" s="459"/>
      <c r="H2122" s="459">
        <v>2115</v>
      </c>
      <c r="I2122" s="444">
        <f t="shared" ca="1" si="125"/>
        <v>-1511247080.8940306</v>
      </c>
      <c r="J2122" s="444">
        <f t="array" ref="J2122">IFERROR(INDEX('Retirement Calculator'!K:K,MATCH('Lorri 401b'!N2122,'Retirement Calculator'!A:A,0),0),0)</f>
        <v>0</v>
      </c>
      <c r="K2122" s="444">
        <f t="shared" ca="1" si="123"/>
        <v>-6296862.8370584603</v>
      </c>
      <c r="L2122" s="444">
        <f t="shared" ca="1" si="124"/>
        <v>-1517543943.7310891</v>
      </c>
      <c r="M2122" s="460">
        <f t="shared" si="126"/>
        <v>0.05</v>
      </c>
      <c r="N2122" s="464">
        <f t="shared" si="127"/>
        <v>115631</v>
      </c>
    </row>
    <row r="2123" spans="7:14" ht="11.25" customHeight="1" x14ac:dyDescent="0.3">
      <c r="G2123" s="459"/>
      <c r="H2123" s="459">
        <v>2116</v>
      </c>
      <c r="I2123" s="444">
        <f t="shared" ca="1" si="125"/>
        <v>-1517543943.7310891</v>
      </c>
      <c r="J2123" s="444">
        <f t="array" ref="J2123">IFERROR(INDEX('Retirement Calculator'!K:K,MATCH('Lorri 401b'!N2123,'Retirement Calculator'!A:A,0),0),0)</f>
        <v>0</v>
      </c>
      <c r="K2123" s="444">
        <f t="shared" ca="1" si="123"/>
        <v>-6323099.7655462045</v>
      </c>
      <c r="L2123" s="444">
        <f t="shared" ca="1" si="124"/>
        <v>-1523867043.4966354</v>
      </c>
      <c r="M2123" s="460">
        <f t="shared" si="126"/>
        <v>0.05</v>
      </c>
      <c r="N2123" s="464">
        <f t="shared" si="127"/>
        <v>115662</v>
      </c>
    </row>
    <row r="2124" spans="7:14" ht="11.25" customHeight="1" x14ac:dyDescent="0.3">
      <c r="G2124" s="459"/>
      <c r="H2124" s="459">
        <v>2117</v>
      </c>
      <c r="I2124" s="444">
        <f t="shared" ca="1" si="125"/>
        <v>-1523867043.4966354</v>
      </c>
      <c r="J2124" s="444">
        <f t="array" ref="J2124">IFERROR(INDEX('Retirement Calculator'!K:K,MATCH('Lorri 401b'!N2124,'Retirement Calculator'!A:A,0),0),0)</f>
        <v>0</v>
      </c>
      <c r="K2124" s="444">
        <f t="shared" ca="1" si="123"/>
        <v>-6349446.0145693142</v>
      </c>
      <c r="L2124" s="444">
        <f t="shared" ca="1" si="124"/>
        <v>-1530216489.5112047</v>
      </c>
      <c r="M2124" s="460">
        <f t="shared" si="126"/>
        <v>0.05</v>
      </c>
      <c r="N2124" s="464">
        <f t="shared" si="127"/>
        <v>115692</v>
      </c>
    </row>
    <row r="2125" spans="7:14" ht="11.25" customHeight="1" x14ac:dyDescent="0.3">
      <c r="G2125" s="459"/>
      <c r="H2125" s="459">
        <v>2118</v>
      </c>
      <c r="I2125" s="444">
        <f t="shared" ca="1" si="125"/>
        <v>-1530216489.5112047</v>
      </c>
      <c r="J2125" s="444">
        <f t="array" ref="J2125">IFERROR(INDEX('Retirement Calculator'!K:K,MATCH('Lorri 401b'!N2125,'Retirement Calculator'!A:A,0),0),0)</f>
        <v>0</v>
      </c>
      <c r="K2125" s="444">
        <f t="shared" ca="1" si="123"/>
        <v>-6375902.03963002</v>
      </c>
      <c r="L2125" s="444">
        <f t="shared" ca="1" si="124"/>
        <v>-1536592391.5508347</v>
      </c>
      <c r="M2125" s="460">
        <f t="shared" si="126"/>
        <v>0.05</v>
      </c>
      <c r="N2125" s="464">
        <f t="shared" si="127"/>
        <v>115723</v>
      </c>
    </row>
    <row r="2126" spans="7:14" ht="11.25" customHeight="1" x14ac:dyDescent="0.3">
      <c r="G2126" s="459"/>
      <c r="H2126" s="459">
        <v>2119</v>
      </c>
      <c r="I2126" s="444">
        <f t="shared" ca="1" si="125"/>
        <v>-1536592391.5508347</v>
      </c>
      <c r="J2126" s="444">
        <f t="array" ref="J2126">IFERROR(INDEX('Retirement Calculator'!K:K,MATCH('Lorri 401b'!N2126,'Retirement Calculator'!A:A,0),0),0)</f>
        <v>0</v>
      </c>
      <c r="K2126" s="444">
        <f t="shared" ca="1" si="123"/>
        <v>-6402468.2981284773</v>
      </c>
      <c r="L2126" s="444">
        <f t="shared" ca="1" si="124"/>
        <v>-1542994859.848963</v>
      </c>
      <c r="M2126" s="460">
        <f t="shared" si="126"/>
        <v>0.05</v>
      </c>
      <c r="N2126" s="464">
        <f t="shared" si="127"/>
        <v>115753</v>
      </c>
    </row>
    <row r="2127" spans="7:14" ht="11.25" customHeight="1" x14ac:dyDescent="0.3">
      <c r="G2127" s="459"/>
      <c r="H2127" s="459">
        <v>2120</v>
      </c>
      <c r="I2127" s="444">
        <f t="shared" ca="1" si="125"/>
        <v>-1542994859.848963</v>
      </c>
      <c r="J2127" s="444">
        <f t="array" ref="J2127">IFERROR(INDEX('Retirement Calculator'!K:K,MATCH('Lorri 401b'!N2127,'Retirement Calculator'!A:A,0),0),0)</f>
        <v>0</v>
      </c>
      <c r="K2127" s="444">
        <f t="shared" ca="1" si="123"/>
        <v>-6429145.2493706793</v>
      </c>
      <c r="L2127" s="444">
        <f t="shared" ca="1" si="124"/>
        <v>-1549424005.0983336</v>
      </c>
      <c r="M2127" s="460">
        <f t="shared" si="126"/>
        <v>0.05</v>
      </c>
      <c r="N2127" s="464">
        <f t="shared" si="127"/>
        <v>115784</v>
      </c>
    </row>
    <row r="2128" spans="7:14" ht="11.25" customHeight="1" x14ac:dyDescent="0.3">
      <c r="G2128" s="459"/>
      <c r="H2128" s="459">
        <v>2121</v>
      </c>
      <c r="I2128" s="444">
        <f t="shared" ca="1" si="125"/>
        <v>-1549424005.0983336</v>
      </c>
      <c r="J2128" s="444">
        <f t="array" ref="J2128">IFERROR(INDEX('Retirement Calculator'!K:K,MATCH('Lorri 401b'!N2128,'Retirement Calculator'!A:A,0),0),0)</f>
        <v>0</v>
      </c>
      <c r="K2128" s="444">
        <f t="shared" ca="1" si="123"/>
        <v>-6455933.3545763902</v>
      </c>
      <c r="L2128" s="444">
        <f t="shared" ca="1" si="124"/>
        <v>-1555879938.4529099</v>
      </c>
      <c r="M2128" s="460">
        <f t="shared" si="126"/>
        <v>0.05</v>
      </c>
      <c r="N2128" s="464">
        <f t="shared" si="127"/>
        <v>115815</v>
      </c>
    </row>
    <row r="2129" spans="7:14" ht="11.25" customHeight="1" x14ac:dyDescent="0.3">
      <c r="G2129" s="459"/>
      <c r="H2129" s="459">
        <v>2122</v>
      </c>
      <c r="I2129" s="444">
        <f t="shared" ca="1" si="125"/>
        <v>-1555879938.4529099</v>
      </c>
      <c r="J2129" s="444">
        <f t="array" ref="J2129">IFERROR(INDEX('Retirement Calculator'!K:K,MATCH('Lorri 401b'!N2129,'Retirement Calculator'!A:A,0),0),0)</f>
        <v>0</v>
      </c>
      <c r="K2129" s="444">
        <f t="shared" ca="1" si="123"/>
        <v>-6482833.0768871251</v>
      </c>
      <c r="L2129" s="444">
        <f t="shared" ca="1" si="124"/>
        <v>-1562362771.5297971</v>
      </c>
      <c r="M2129" s="460">
        <f t="shared" si="126"/>
        <v>0.05</v>
      </c>
      <c r="N2129" s="464">
        <f t="shared" si="127"/>
        <v>115843</v>
      </c>
    </row>
    <row r="2130" spans="7:14" ht="11.25" customHeight="1" x14ac:dyDescent="0.3">
      <c r="G2130" s="459"/>
      <c r="H2130" s="459">
        <v>2123</v>
      </c>
      <c r="I2130" s="444">
        <f t="shared" ca="1" si="125"/>
        <v>-1562362771.5297971</v>
      </c>
      <c r="J2130" s="444">
        <f t="array" ref="J2130">IFERROR(INDEX('Retirement Calculator'!K:K,MATCH('Lorri 401b'!N2130,'Retirement Calculator'!A:A,0),0),0)</f>
        <v>0</v>
      </c>
      <c r="K2130" s="444">
        <f t="shared" ca="1" si="123"/>
        <v>-6509844.8813741542</v>
      </c>
      <c r="L2130" s="444">
        <f t="shared" ca="1" si="124"/>
        <v>-1568872616.4111712</v>
      </c>
      <c r="M2130" s="460">
        <f t="shared" si="126"/>
        <v>0.05</v>
      </c>
      <c r="N2130" s="464">
        <f t="shared" si="127"/>
        <v>115874</v>
      </c>
    </row>
    <row r="2131" spans="7:14" ht="11.25" customHeight="1" x14ac:dyDescent="0.3">
      <c r="G2131" s="459"/>
      <c r="H2131" s="459">
        <v>2124</v>
      </c>
      <c r="I2131" s="444">
        <f t="shared" ca="1" si="125"/>
        <v>-1568872616.4111712</v>
      </c>
      <c r="J2131" s="444">
        <f t="array" ref="J2131">IFERROR(INDEX('Retirement Calculator'!K:K,MATCH('Lorri 401b'!N2131,'Retirement Calculator'!A:A,0),0),0)</f>
        <v>0</v>
      </c>
      <c r="K2131" s="444">
        <f t="shared" ca="1" si="123"/>
        <v>-6536969.2350465469</v>
      </c>
      <c r="L2131" s="444">
        <f t="shared" ca="1" si="124"/>
        <v>-1575409585.6462178</v>
      </c>
      <c r="M2131" s="460">
        <f t="shared" si="126"/>
        <v>0.05</v>
      </c>
      <c r="N2131" s="464">
        <f t="shared" si="127"/>
        <v>115904</v>
      </c>
    </row>
    <row r="2132" spans="7:14" ht="11.25" customHeight="1" x14ac:dyDescent="0.3">
      <c r="G2132" s="459"/>
      <c r="H2132" s="459">
        <v>2125</v>
      </c>
      <c r="I2132" s="444">
        <f t="shared" ca="1" si="125"/>
        <v>-1575409585.6462178</v>
      </c>
      <c r="J2132" s="444">
        <f t="array" ref="J2132">IFERROR(INDEX('Retirement Calculator'!K:K,MATCH('Lorri 401b'!N2132,'Retirement Calculator'!A:A,0),0),0)</f>
        <v>0</v>
      </c>
      <c r="K2132" s="444">
        <f t="shared" ca="1" si="123"/>
        <v>-6564206.6068592407</v>
      </c>
      <c r="L2132" s="444">
        <f t="shared" ca="1" si="124"/>
        <v>-1581973792.253077</v>
      </c>
      <c r="M2132" s="460">
        <f t="shared" si="126"/>
        <v>0.05</v>
      </c>
      <c r="N2132" s="464">
        <f t="shared" si="127"/>
        <v>115935</v>
      </c>
    </row>
    <row r="2133" spans="7:14" ht="11.25" customHeight="1" x14ac:dyDescent="0.3">
      <c r="G2133" s="459"/>
      <c r="H2133" s="459">
        <v>2126</v>
      </c>
      <c r="I2133" s="444">
        <f t="shared" ca="1" si="125"/>
        <v>-1581973792.253077</v>
      </c>
      <c r="J2133" s="444">
        <f t="array" ref="J2133">IFERROR(INDEX('Retirement Calculator'!K:K,MATCH('Lorri 401b'!N2133,'Retirement Calculator'!A:A,0),0),0)</f>
        <v>0</v>
      </c>
      <c r="K2133" s="444">
        <f t="shared" ca="1" si="123"/>
        <v>-6591557.467721154</v>
      </c>
      <c r="L2133" s="444">
        <f t="shared" ca="1" si="124"/>
        <v>-1588565349.7207983</v>
      </c>
      <c r="M2133" s="460">
        <f t="shared" si="126"/>
        <v>0.05</v>
      </c>
      <c r="N2133" s="464">
        <f t="shared" si="127"/>
        <v>115965</v>
      </c>
    </row>
    <row r="2134" spans="7:14" ht="11.25" customHeight="1" x14ac:dyDescent="0.3">
      <c r="G2134" s="459"/>
      <c r="H2134" s="459">
        <v>2127</v>
      </c>
      <c r="I2134" s="444">
        <f t="shared" ca="1" si="125"/>
        <v>-1588565349.7207983</v>
      </c>
      <c r="J2134" s="444">
        <f t="array" ref="J2134">IFERROR(INDEX('Retirement Calculator'!K:K,MATCH('Lorri 401b'!N2134,'Retirement Calculator'!A:A,0),0),0)</f>
        <v>0</v>
      </c>
      <c r="K2134" s="444">
        <f t="shared" ca="1" si="123"/>
        <v>-6619022.2905033259</v>
      </c>
      <c r="L2134" s="444">
        <f t="shared" ca="1" si="124"/>
        <v>-1595184372.0113015</v>
      </c>
      <c r="M2134" s="460">
        <f t="shared" si="126"/>
        <v>0.05</v>
      </c>
      <c r="N2134" s="464">
        <f t="shared" si="127"/>
        <v>115996</v>
      </c>
    </row>
    <row r="2135" spans="7:14" ht="11.25" customHeight="1" x14ac:dyDescent="0.3">
      <c r="G2135" s="459"/>
      <c r="H2135" s="459">
        <v>2128</v>
      </c>
      <c r="I2135" s="444">
        <f t="shared" ca="1" si="125"/>
        <v>-1595184372.0113015</v>
      </c>
      <c r="J2135" s="444">
        <f t="array" ref="J2135">IFERROR(INDEX('Retirement Calculator'!K:K,MATCH('Lorri 401b'!N2135,'Retirement Calculator'!A:A,0),0),0)</f>
        <v>0</v>
      </c>
      <c r="K2135" s="444">
        <f t="shared" ca="1" si="123"/>
        <v>-6646601.5500470893</v>
      </c>
      <c r="L2135" s="444">
        <f t="shared" ca="1" si="124"/>
        <v>-1601830973.5613487</v>
      </c>
      <c r="M2135" s="460">
        <f t="shared" si="126"/>
        <v>0.05</v>
      </c>
      <c r="N2135" s="464">
        <f t="shared" si="127"/>
        <v>116027</v>
      </c>
    </row>
    <row r="2136" spans="7:14" ht="11.25" customHeight="1" x14ac:dyDescent="0.3">
      <c r="G2136" s="459"/>
      <c r="H2136" s="459">
        <v>2129</v>
      </c>
      <c r="I2136" s="444">
        <f t="shared" ca="1" si="125"/>
        <v>-1601830973.5613487</v>
      </c>
      <c r="J2136" s="444">
        <f t="array" ref="J2136">IFERROR(INDEX('Retirement Calculator'!K:K,MATCH('Lorri 401b'!N2136,'Retirement Calculator'!A:A,0),0),0)</f>
        <v>0</v>
      </c>
      <c r="K2136" s="444">
        <f t="shared" ca="1" si="123"/>
        <v>-6674295.7231722865</v>
      </c>
      <c r="L2136" s="444">
        <f t="shared" ca="1" si="124"/>
        <v>-1608505269.2845209</v>
      </c>
      <c r="M2136" s="460">
        <f t="shared" si="126"/>
        <v>0.05</v>
      </c>
      <c r="N2136" s="464">
        <f t="shared" si="127"/>
        <v>116057</v>
      </c>
    </row>
    <row r="2137" spans="7:14" ht="11.25" customHeight="1" x14ac:dyDescent="0.3">
      <c r="G2137" s="459"/>
      <c r="H2137" s="459">
        <v>2130</v>
      </c>
      <c r="I2137" s="444">
        <f t="shared" ca="1" si="125"/>
        <v>-1608505269.2845209</v>
      </c>
      <c r="J2137" s="444">
        <f t="array" ref="J2137">IFERROR(INDEX('Retirement Calculator'!K:K,MATCH('Lorri 401b'!N2137,'Retirement Calculator'!A:A,0),0),0)</f>
        <v>0</v>
      </c>
      <c r="K2137" s="444">
        <f t="shared" ca="1" si="123"/>
        <v>-6702105.2886855034</v>
      </c>
      <c r="L2137" s="444">
        <f t="shared" ca="1" si="124"/>
        <v>-1615207374.5732064</v>
      </c>
      <c r="M2137" s="460">
        <f t="shared" si="126"/>
        <v>0.05</v>
      </c>
      <c r="N2137" s="464">
        <f t="shared" si="127"/>
        <v>116088</v>
      </c>
    </row>
    <row r="2138" spans="7:14" ht="11.25" customHeight="1" x14ac:dyDescent="0.3">
      <c r="G2138" s="459"/>
      <c r="H2138" s="459">
        <v>2131</v>
      </c>
      <c r="I2138" s="444">
        <f t="shared" ca="1" si="125"/>
        <v>-1615207374.5732064</v>
      </c>
      <c r="J2138" s="444">
        <f t="array" ref="J2138">IFERROR(INDEX('Retirement Calculator'!K:K,MATCH('Lorri 401b'!N2138,'Retirement Calculator'!A:A,0),0),0)</f>
        <v>0</v>
      </c>
      <c r="K2138" s="444">
        <f t="shared" ca="1" si="123"/>
        <v>-6730030.7273883596</v>
      </c>
      <c r="L2138" s="444">
        <f t="shared" ca="1" si="124"/>
        <v>-1621937405.3005948</v>
      </c>
      <c r="M2138" s="460">
        <f t="shared" si="126"/>
        <v>0.05</v>
      </c>
      <c r="N2138" s="464">
        <f t="shared" si="127"/>
        <v>116118</v>
      </c>
    </row>
    <row r="2139" spans="7:14" ht="11.25" customHeight="1" x14ac:dyDescent="0.3">
      <c r="G2139" s="459"/>
      <c r="H2139" s="459">
        <v>2132</v>
      </c>
      <c r="I2139" s="444">
        <f t="shared" ca="1" si="125"/>
        <v>-1621937405.3005948</v>
      </c>
      <c r="J2139" s="444">
        <f t="array" ref="J2139">IFERROR(INDEX('Retirement Calculator'!K:K,MATCH('Lorri 401b'!N2139,'Retirement Calculator'!A:A,0),0),0)</f>
        <v>0</v>
      </c>
      <c r="K2139" s="444">
        <f t="shared" ca="1" si="123"/>
        <v>-6758072.5220858119</v>
      </c>
      <c r="L2139" s="444">
        <f t="shared" ca="1" si="124"/>
        <v>-1628695477.8226807</v>
      </c>
      <c r="M2139" s="460">
        <f t="shared" si="126"/>
        <v>0.05</v>
      </c>
      <c r="N2139" s="464">
        <f t="shared" si="127"/>
        <v>116149</v>
      </c>
    </row>
    <row r="2140" spans="7:14" ht="11.25" customHeight="1" x14ac:dyDescent="0.3">
      <c r="G2140" s="459"/>
      <c r="H2140" s="459">
        <v>2133</v>
      </c>
      <c r="I2140" s="444">
        <f t="shared" ca="1" si="125"/>
        <v>-1628695477.8226807</v>
      </c>
      <c r="J2140" s="444">
        <f t="array" ref="J2140">IFERROR(INDEX('Retirement Calculator'!K:K,MATCH('Lorri 401b'!N2140,'Retirement Calculator'!A:A,0),0),0)</f>
        <v>0</v>
      </c>
      <c r="K2140" s="444">
        <f t="shared" ca="1" si="123"/>
        <v>-6786231.1575945029</v>
      </c>
      <c r="L2140" s="444">
        <f t="shared" ca="1" si="124"/>
        <v>-1635481708.9802752</v>
      </c>
      <c r="M2140" s="460">
        <f t="shared" si="126"/>
        <v>0.05</v>
      </c>
      <c r="N2140" s="464">
        <f t="shared" si="127"/>
        <v>116180</v>
      </c>
    </row>
    <row r="2141" spans="7:14" ht="11.25" customHeight="1" x14ac:dyDescent="0.3">
      <c r="G2141" s="459"/>
      <c r="H2141" s="459">
        <v>2134</v>
      </c>
      <c r="I2141" s="444">
        <f t="shared" ca="1" si="125"/>
        <v>-1635481708.9802752</v>
      </c>
      <c r="J2141" s="444">
        <f t="array" ref="J2141">IFERROR(INDEX('Retirement Calculator'!K:K,MATCH('Lorri 401b'!N2141,'Retirement Calculator'!A:A,0),0),0)</f>
        <v>0</v>
      </c>
      <c r="K2141" s="444">
        <f t="shared" ca="1" si="123"/>
        <v>-6814507.1207511462</v>
      </c>
      <c r="L2141" s="444">
        <f t="shared" ca="1" si="124"/>
        <v>-1642296216.1010263</v>
      </c>
      <c r="M2141" s="460">
        <f t="shared" si="126"/>
        <v>0.05</v>
      </c>
      <c r="N2141" s="464">
        <f t="shared" si="127"/>
        <v>116208</v>
      </c>
    </row>
    <row r="2142" spans="7:14" ht="11.25" customHeight="1" x14ac:dyDescent="0.3">
      <c r="G2142" s="459"/>
      <c r="H2142" s="459">
        <v>2135</v>
      </c>
      <c r="I2142" s="444">
        <f t="shared" ca="1" si="125"/>
        <v>-1642296216.1010263</v>
      </c>
      <c r="J2142" s="444">
        <f t="array" ref="J2142">IFERROR(INDEX('Retirement Calculator'!K:K,MATCH('Lorri 401b'!N2142,'Retirement Calculator'!A:A,0),0),0)</f>
        <v>0</v>
      </c>
      <c r="K2142" s="444">
        <f t="shared" ca="1" si="123"/>
        <v>-6842900.9004209423</v>
      </c>
      <c r="L2142" s="444">
        <f t="shared" ca="1" si="124"/>
        <v>-1649139117.0014472</v>
      </c>
      <c r="M2142" s="460">
        <f t="shared" si="126"/>
        <v>0.05</v>
      </c>
      <c r="N2142" s="464">
        <f t="shared" si="127"/>
        <v>116239</v>
      </c>
    </row>
    <row r="2143" spans="7:14" ht="11.25" customHeight="1" x14ac:dyDescent="0.3">
      <c r="G2143" s="459"/>
      <c r="H2143" s="459">
        <v>2136</v>
      </c>
      <c r="I2143" s="444">
        <f t="shared" ca="1" si="125"/>
        <v>-1649139117.0014472</v>
      </c>
      <c r="J2143" s="444">
        <f t="array" ref="J2143">IFERROR(INDEX('Retirement Calculator'!K:K,MATCH('Lorri 401b'!N2143,'Retirement Calculator'!A:A,0),0),0)</f>
        <v>0</v>
      </c>
      <c r="K2143" s="444">
        <f t="shared" ca="1" si="123"/>
        <v>-6871412.9875060301</v>
      </c>
      <c r="L2143" s="444">
        <f t="shared" ca="1" si="124"/>
        <v>-1656010529.9889531</v>
      </c>
      <c r="M2143" s="460">
        <f t="shared" si="126"/>
        <v>0.05</v>
      </c>
      <c r="N2143" s="464">
        <f t="shared" si="127"/>
        <v>116269</v>
      </c>
    </row>
    <row r="2144" spans="7:14" ht="11.25" customHeight="1" x14ac:dyDescent="0.3">
      <c r="G2144" s="459"/>
      <c r="H2144" s="459">
        <v>2137</v>
      </c>
      <c r="I2144" s="444">
        <f t="shared" ca="1" si="125"/>
        <v>-1656010529.9889531</v>
      </c>
      <c r="J2144" s="444">
        <f t="array" ref="J2144">IFERROR(INDEX('Retirement Calculator'!K:K,MATCH('Lorri 401b'!N2144,'Retirement Calculator'!A:A,0),0),0)</f>
        <v>0</v>
      </c>
      <c r="K2144" s="444">
        <f t="shared" ca="1" si="123"/>
        <v>-6900043.8749539712</v>
      </c>
      <c r="L2144" s="444">
        <f t="shared" ca="1" si="124"/>
        <v>-1662910573.8639071</v>
      </c>
      <c r="M2144" s="460">
        <f t="shared" si="126"/>
        <v>0.05</v>
      </c>
      <c r="N2144" s="464">
        <f t="shared" si="127"/>
        <v>116300</v>
      </c>
    </row>
    <row r="2145" spans="7:14" ht="11.25" customHeight="1" x14ac:dyDescent="0.3">
      <c r="G2145" s="459"/>
      <c r="H2145" s="459">
        <v>2138</v>
      </c>
      <c r="I2145" s="444">
        <f t="shared" ca="1" si="125"/>
        <v>-1662910573.8639071</v>
      </c>
      <c r="J2145" s="444">
        <f t="array" ref="J2145">IFERROR(INDEX('Retirement Calculator'!K:K,MATCH('Lorri 401b'!N2145,'Retirement Calculator'!A:A,0),0),0)</f>
        <v>0</v>
      </c>
      <c r="K2145" s="444">
        <f t="shared" ca="1" si="123"/>
        <v>-6928794.0577662792</v>
      </c>
      <c r="L2145" s="444">
        <f t="shared" ca="1" si="124"/>
        <v>-1669839367.9216733</v>
      </c>
      <c r="M2145" s="460">
        <f t="shared" si="126"/>
        <v>0.05</v>
      </c>
      <c r="N2145" s="464">
        <f t="shared" si="127"/>
        <v>116330</v>
      </c>
    </row>
    <row r="2146" spans="7:14" ht="11.25" customHeight="1" x14ac:dyDescent="0.3">
      <c r="G2146" s="459"/>
      <c r="H2146" s="459">
        <v>2139</v>
      </c>
      <c r="I2146" s="444">
        <f t="shared" ca="1" si="125"/>
        <v>-1669839367.9216733</v>
      </c>
      <c r="J2146" s="444">
        <f t="array" ref="J2146">IFERROR(INDEX('Retirement Calculator'!K:K,MATCH('Lorri 401b'!N2146,'Retirement Calculator'!A:A,0),0),0)</f>
        <v>0</v>
      </c>
      <c r="K2146" s="444">
        <f t="shared" ca="1" si="123"/>
        <v>-6957664.0330069717</v>
      </c>
      <c r="L2146" s="444">
        <f t="shared" ca="1" si="124"/>
        <v>-1676797031.9546802</v>
      </c>
      <c r="M2146" s="460">
        <f t="shared" si="126"/>
        <v>0.05</v>
      </c>
      <c r="N2146" s="464">
        <f t="shared" si="127"/>
        <v>116361</v>
      </c>
    </row>
    <row r="2147" spans="7:14" ht="11.25" customHeight="1" x14ac:dyDescent="0.3">
      <c r="G2147" s="459"/>
      <c r="H2147" s="459">
        <v>2140</v>
      </c>
      <c r="I2147" s="444">
        <f t="shared" ca="1" si="125"/>
        <v>-1676797031.9546802</v>
      </c>
      <c r="J2147" s="444">
        <f t="array" ref="J2147">IFERROR(INDEX('Retirement Calculator'!K:K,MATCH('Lorri 401b'!N2147,'Retirement Calculator'!A:A,0),0),0)</f>
        <v>0</v>
      </c>
      <c r="K2147" s="444">
        <f t="shared" ca="1" si="123"/>
        <v>-6986654.2998111676</v>
      </c>
      <c r="L2147" s="444">
        <f t="shared" ca="1" si="124"/>
        <v>-1683783686.2544913</v>
      </c>
      <c r="M2147" s="460">
        <f t="shared" si="126"/>
        <v>0.05</v>
      </c>
      <c r="N2147" s="464">
        <f t="shared" si="127"/>
        <v>116392</v>
      </c>
    </row>
    <row r="2148" spans="7:14" ht="11.25" customHeight="1" x14ac:dyDescent="0.3">
      <c r="G2148" s="459"/>
      <c r="H2148" s="459">
        <v>2141</v>
      </c>
      <c r="I2148" s="444">
        <f t="shared" ca="1" si="125"/>
        <v>-1683783686.2544913</v>
      </c>
      <c r="J2148" s="444">
        <f t="array" ref="J2148">IFERROR(INDEX('Retirement Calculator'!K:K,MATCH('Lorri 401b'!N2148,'Retirement Calculator'!A:A,0),0),0)</f>
        <v>0</v>
      </c>
      <c r="K2148" s="444">
        <f t="shared" ca="1" si="123"/>
        <v>-7015765.359393714</v>
      </c>
      <c r="L2148" s="444">
        <f t="shared" ca="1" si="124"/>
        <v>-1690799451.6138849</v>
      </c>
      <c r="M2148" s="460">
        <f t="shared" si="126"/>
        <v>0.05</v>
      </c>
      <c r="N2148" s="464">
        <f t="shared" si="127"/>
        <v>116422</v>
      </c>
    </row>
    <row r="2149" spans="7:14" ht="11.25" customHeight="1" x14ac:dyDescent="0.3">
      <c r="G2149" s="459"/>
      <c r="H2149" s="459">
        <v>2142</v>
      </c>
      <c r="I2149" s="444">
        <f t="shared" ca="1" si="125"/>
        <v>-1690799451.6138849</v>
      </c>
      <c r="J2149" s="444">
        <f t="array" ref="J2149">IFERROR(INDEX('Retirement Calculator'!K:K,MATCH('Lorri 401b'!N2149,'Retirement Calculator'!A:A,0),0),0)</f>
        <v>0</v>
      </c>
      <c r="K2149" s="444">
        <f t="shared" ca="1" si="123"/>
        <v>-7044997.7150578545</v>
      </c>
      <c r="L2149" s="444">
        <f t="shared" ca="1" si="124"/>
        <v>-1697844449.3289428</v>
      </c>
      <c r="M2149" s="460">
        <f t="shared" si="126"/>
        <v>0.05</v>
      </c>
      <c r="N2149" s="464">
        <f t="shared" si="127"/>
        <v>116453</v>
      </c>
    </row>
    <row r="2150" spans="7:14" ht="11.25" customHeight="1" x14ac:dyDescent="0.3">
      <c r="G2150" s="459"/>
      <c r="H2150" s="459">
        <v>2143</v>
      </c>
      <c r="I2150" s="444">
        <f t="shared" ca="1" si="125"/>
        <v>-1697844449.3289428</v>
      </c>
      <c r="J2150" s="444">
        <f t="array" ref="J2150">IFERROR(INDEX('Retirement Calculator'!K:K,MATCH('Lorri 401b'!N2150,'Retirement Calculator'!A:A,0),0),0)</f>
        <v>0</v>
      </c>
      <c r="K2150" s="444">
        <f t="shared" ca="1" si="123"/>
        <v>-7074351.8722039293</v>
      </c>
      <c r="L2150" s="444">
        <f t="shared" ca="1" si="124"/>
        <v>-1704918801.2011466</v>
      </c>
      <c r="M2150" s="460">
        <f t="shared" si="126"/>
        <v>0.05</v>
      </c>
      <c r="N2150" s="464">
        <f t="shared" si="127"/>
        <v>116483</v>
      </c>
    </row>
    <row r="2151" spans="7:14" ht="11.25" customHeight="1" x14ac:dyDescent="0.3">
      <c r="G2151" s="459"/>
      <c r="H2151" s="459">
        <v>2144</v>
      </c>
      <c r="I2151" s="444">
        <f t="shared" ca="1" si="125"/>
        <v>-1704918801.2011466</v>
      </c>
      <c r="J2151" s="444">
        <f t="array" ref="J2151">IFERROR(INDEX('Retirement Calculator'!K:K,MATCH('Lorri 401b'!N2151,'Retirement Calculator'!A:A,0),0),0)</f>
        <v>0</v>
      </c>
      <c r="K2151" s="444">
        <f t="shared" ca="1" si="123"/>
        <v>-7103828.3383381106</v>
      </c>
      <c r="L2151" s="444">
        <f t="shared" ca="1" si="124"/>
        <v>-1712022629.5394847</v>
      </c>
      <c r="M2151" s="460">
        <f t="shared" si="126"/>
        <v>0.05</v>
      </c>
      <c r="N2151" s="464">
        <f t="shared" si="127"/>
        <v>116514</v>
      </c>
    </row>
    <row r="2152" spans="7:14" ht="11.25" customHeight="1" x14ac:dyDescent="0.3">
      <c r="G2152" s="459"/>
      <c r="H2152" s="459">
        <v>2145</v>
      </c>
      <c r="I2152" s="444">
        <f t="shared" ca="1" si="125"/>
        <v>-1712022629.5394847</v>
      </c>
      <c r="J2152" s="444">
        <f t="array" ref="J2152">IFERROR(INDEX('Retirement Calculator'!K:K,MATCH('Lorri 401b'!N2152,'Retirement Calculator'!A:A,0),0),0)</f>
        <v>0</v>
      </c>
      <c r="K2152" s="444">
        <f t="shared" ca="1" si="123"/>
        <v>-7133427.6230811859</v>
      </c>
      <c r="L2152" s="444">
        <f t="shared" ca="1" si="124"/>
        <v>-1719156057.1625659</v>
      </c>
      <c r="M2152" s="460">
        <f t="shared" si="126"/>
        <v>0.05</v>
      </c>
      <c r="N2152" s="464">
        <f t="shared" si="127"/>
        <v>116545</v>
      </c>
    </row>
    <row r="2153" spans="7:14" ht="11.25" customHeight="1" x14ac:dyDescent="0.3">
      <c r="G2153" s="459"/>
      <c r="H2153" s="459">
        <v>2146</v>
      </c>
      <c r="I2153" s="444">
        <f t="shared" ca="1" si="125"/>
        <v>-1719156057.1625659</v>
      </c>
      <c r="J2153" s="444">
        <f t="array" ref="J2153">IFERROR(INDEX('Retirement Calculator'!K:K,MATCH('Lorri 401b'!N2153,'Retirement Calculator'!A:A,0),0),0)</f>
        <v>0</v>
      </c>
      <c r="K2153" s="444">
        <f t="shared" ca="1" si="123"/>
        <v>-7163150.2381773591</v>
      </c>
      <c r="L2153" s="444">
        <f t="shared" ca="1" si="124"/>
        <v>-1726319207.4007432</v>
      </c>
      <c r="M2153" s="460">
        <f t="shared" si="126"/>
        <v>0.05</v>
      </c>
      <c r="N2153" s="464">
        <f t="shared" si="127"/>
        <v>116573</v>
      </c>
    </row>
    <row r="2154" spans="7:14" ht="11.25" customHeight="1" x14ac:dyDescent="0.3">
      <c r="G2154" s="459"/>
      <c r="H2154" s="459">
        <v>2147</v>
      </c>
      <c r="I2154" s="444">
        <f t="shared" ca="1" si="125"/>
        <v>-1726319207.4007432</v>
      </c>
      <c r="J2154" s="444">
        <f t="array" ref="J2154">IFERROR(INDEX('Retirement Calculator'!K:K,MATCH('Lorri 401b'!N2154,'Retirement Calculator'!A:A,0),0),0)</f>
        <v>0</v>
      </c>
      <c r="K2154" s="444">
        <f t="shared" ca="1" si="123"/>
        <v>-7192996.6975030964</v>
      </c>
      <c r="L2154" s="444">
        <f t="shared" ca="1" si="124"/>
        <v>-1733512204.0982463</v>
      </c>
      <c r="M2154" s="460">
        <f t="shared" si="126"/>
        <v>0.05</v>
      </c>
      <c r="N2154" s="464">
        <f t="shared" si="127"/>
        <v>116604</v>
      </c>
    </row>
    <row r="2155" spans="7:14" ht="11.25" customHeight="1" x14ac:dyDescent="0.3">
      <c r="G2155" s="459"/>
      <c r="H2155" s="459">
        <v>2148</v>
      </c>
      <c r="I2155" s="444">
        <f t="shared" ca="1" si="125"/>
        <v>-1733512204.0982463</v>
      </c>
      <c r="J2155" s="444">
        <f t="array" ref="J2155">IFERROR(INDEX('Retirement Calculator'!K:K,MATCH('Lorri 401b'!N2155,'Retirement Calculator'!A:A,0),0),0)</f>
        <v>0</v>
      </c>
      <c r="K2155" s="444">
        <f t="shared" ca="1" si="123"/>
        <v>-7222967.5170760266</v>
      </c>
      <c r="L2155" s="444">
        <f t="shared" ca="1" si="124"/>
        <v>-1740735171.6153224</v>
      </c>
      <c r="M2155" s="460">
        <f t="shared" si="126"/>
        <v>0.05</v>
      </c>
      <c r="N2155" s="464">
        <f t="shared" si="127"/>
        <v>116634</v>
      </c>
    </row>
    <row r="2156" spans="7:14" ht="11.25" customHeight="1" x14ac:dyDescent="0.3">
      <c r="G2156" s="459"/>
      <c r="H2156" s="459">
        <v>2149</v>
      </c>
      <c r="I2156" s="444">
        <f t="shared" ca="1" si="125"/>
        <v>-1740735171.6153224</v>
      </c>
      <c r="J2156" s="444">
        <f t="array" ref="J2156">IFERROR(INDEX('Retirement Calculator'!K:K,MATCH('Lorri 401b'!N2156,'Retirement Calculator'!A:A,0),0),0)</f>
        <v>0</v>
      </c>
      <c r="K2156" s="444">
        <f t="shared" ca="1" si="123"/>
        <v>-7253063.2150638439</v>
      </c>
      <c r="L2156" s="444">
        <f t="shared" ca="1" si="124"/>
        <v>-1747988234.8303862</v>
      </c>
      <c r="M2156" s="460">
        <f t="shared" si="126"/>
        <v>0.05</v>
      </c>
      <c r="N2156" s="464">
        <f t="shared" si="127"/>
        <v>116665</v>
      </c>
    </row>
    <row r="2157" spans="7:14" ht="11.25" customHeight="1" x14ac:dyDescent="0.3">
      <c r="G2157" s="459"/>
      <c r="H2157" s="459">
        <v>2150</v>
      </c>
      <c r="I2157" s="444">
        <f t="shared" ca="1" si="125"/>
        <v>-1747988234.8303862</v>
      </c>
      <c r="J2157" s="444">
        <f t="array" ref="J2157">IFERROR(INDEX('Retirement Calculator'!K:K,MATCH('Lorri 401b'!N2157,'Retirement Calculator'!A:A,0),0),0)</f>
        <v>0</v>
      </c>
      <c r="K2157" s="444">
        <f t="shared" ca="1" si="123"/>
        <v>-7283284.3117932761</v>
      </c>
      <c r="L2157" s="444">
        <f t="shared" ca="1" si="124"/>
        <v>-1755271519.1421795</v>
      </c>
      <c r="M2157" s="460">
        <f t="shared" si="126"/>
        <v>0.05</v>
      </c>
      <c r="N2157" s="464">
        <f t="shared" si="127"/>
        <v>116695</v>
      </c>
    </row>
    <row r="2158" spans="7:14" ht="11.25" customHeight="1" x14ac:dyDescent="0.3">
      <c r="G2158" s="459"/>
      <c r="H2158" s="459">
        <v>2151</v>
      </c>
      <c r="I2158" s="444">
        <f t="shared" ca="1" si="125"/>
        <v>-1755271519.1421795</v>
      </c>
      <c r="J2158" s="444">
        <f t="array" ref="J2158">IFERROR(INDEX('Retirement Calculator'!K:K,MATCH('Lorri 401b'!N2158,'Retirement Calculator'!A:A,0),0),0)</f>
        <v>0</v>
      </c>
      <c r="K2158" s="444">
        <f t="shared" ca="1" si="123"/>
        <v>-7313631.3297590818</v>
      </c>
      <c r="L2158" s="444">
        <f t="shared" ca="1" si="124"/>
        <v>-1762585150.4719386</v>
      </c>
      <c r="M2158" s="460">
        <f t="shared" si="126"/>
        <v>0.05</v>
      </c>
      <c r="N2158" s="464">
        <f t="shared" si="127"/>
        <v>116726</v>
      </c>
    </row>
    <row r="2159" spans="7:14" ht="11.25" customHeight="1" x14ac:dyDescent="0.3">
      <c r="G2159" s="459"/>
      <c r="H2159" s="459">
        <v>2152</v>
      </c>
      <c r="I2159" s="444">
        <f t="shared" ca="1" si="125"/>
        <v>-1762585150.4719386</v>
      </c>
      <c r="J2159" s="444">
        <f t="array" ref="J2159">IFERROR(INDEX('Retirement Calculator'!K:K,MATCH('Lorri 401b'!N2159,'Retirement Calculator'!A:A,0),0),0)</f>
        <v>0</v>
      </c>
      <c r="K2159" s="444">
        <f t="shared" ca="1" si="123"/>
        <v>-7344104.7936330782</v>
      </c>
      <c r="L2159" s="444">
        <f t="shared" ca="1" si="124"/>
        <v>-1769929255.2655716</v>
      </c>
      <c r="M2159" s="460">
        <f t="shared" si="126"/>
        <v>0.05</v>
      </c>
      <c r="N2159" s="464">
        <f t="shared" si="127"/>
        <v>116757</v>
      </c>
    </row>
    <row r="2160" spans="7:14" ht="11.25" customHeight="1" x14ac:dyDescent="0.3">
      <c r="G2160" s="459"/>
      <c r="H2160" s="459">
        <v>2153</v>
      </c>
      <c r="I2160" s="444">
        <f t="shared" ca="1" si="125"/>
        <v>-1769929255.2655716</v>
      </c>
      <c r="J2160" s="444">
        <f t="array" ref="J2160">IFERROR(INDEX('Retirement Calculator'!K:K,MATCH('Lorri 401b'!N2160,'Retirement Calculator'!A:A,0),0),0)</f>
        <v>0</v>
      </c>
      <c r="K2160" s="444">
        <f t="shared" ca="1" si="123"/>
        <v>-7374705.230273216</v>
      </c>
      <c r="L2160" s="444">
        <f t="shared" ca="1" si="124"/>
        <v>-1777303960.4958448</v>
      </c>
      <c r="M2160" s="460">
        <f t="shared" si="126"/>
        <v>0.05</v>
      </c>
      <c r="N2160" s="464">
        <f t="shared" si="127"/>
        <v>116787</v>
      </c>
    </row>
    <row r="2161" spans="7:14" ht="11.25" customHeight="1" x14ac:dyDescent="0.3">
      <c r="G2161" s="459"/>
      <c r="H2161" s="459">
        <v>2154</v>
      </c>
      <c r="I2161" s="444">
        <f t="shared" ca="1" si="125"/>
        <v>-1777303960.4958448</v>
      </c>
      <c r="J2161" s="444">
        <f t="array" ref="J2161">IFERROR(INDEX('Retirement Calculator'!K:K,MATCH('Lorri 401b'!N2161,'Retirement Calculator'!A:A,0),0),0)</f>
        <v>0</v>
      </c>
      <c r="K2161" s="444">
        <f t="shared" ca="1" si="123"/>
        <v>-7405433.1687326869</v>
      </c>
      <c r="L2161" s="444">
        <f t="shared" ca="1" si="124"/>
        <v>-1784709393.6645775</v>
      </c>
      <c r="M2161" s="460">
        <f t="shared" si="126"/>
        <v>0.05</v>
      </c>
      <c r="N2161" s="464">
        <f t="shared" si="127"/>
        <v>116818</v>
      </c>
    </row>
    <row r="2162" spans="7:14" ht="11.25" customHeight="1" x14ac:dyDescent="0.3">
      <c r="G2162" s="459"/>
      <c r="H2162" s="459">
        <v>2155</v>
      </c>
      <c r="I2162" s="444">
        <f t="shared" ca="1" si="125"/>
        <v>-1784709393.6645775</v>
      </c>
      <c r="J2162" s="444">
        <f t="array" ref="J2162">IFERROR(INDEX('Retirement Calculator'!K:K,MATCH('Lorri 401b'!N2162,'Retirement Calculator'!A:A,0),0),0)</f>
        <v>0</v>
      </c>
      <c r="K2162" s="444">
        <f t="shared" ca="1" si="123"/>
        <v>-7436289.1402690727</v>
      </c>
      <c r="L2162" s="444">
        <f t="shared" ca="1" si="124"/>
        <v>-1792145682.8048465</v>
      </c>
      <c r="M2162" s="460">
        <f t="shared" si="126"/>
        <v>0.05</v>
      </c>
      <c r="N2162" s="464">
        <f t="shared" si="127"/>
        <v>116848</v>
      </c>
    </row>
    <row r="2163" spans="7:14" ht="11.25" customHeight="1" x14ac:dyDescent="0.3">
      <c r="G2163" s="459"/>
      <c r="H2163" s="459">
        <v>2156</v>
      </c>
      <c r="I2163" s="444">
        <f t="shared" ca="1" si="125"/>
        <v>-1792145682.8048465</v>
      </c>
      <c r="J2163" s="444">
        <f t="array" ref="J2163">IFERROR(INDEX('Retirement Calculator'!K:K,MATCH('Lorri 401b'!N2163,'Retirement Calculator'!A:A,0),0),0)</f>
        <v>0</v>
      </c>
      <c r="K2163" s="444">
        <f t="shared" ca="1" si="123"/>
        <v>-7467273.6783535257</v>
      </c>
      <c r="L2163" s="444">
        <f t="shared" ca="1" si="124"/>
        <v>-1799612956.4832001</v>
      </c>
      <c r="M2163" s="460">
        <f t="shared" si="126"/>
        <v>0.05</v>
      </c>
      <c r="N2163" s="464">
        <f t="shared" si="127"/>
        <v>116879</v>
      </c>
    </row>
    <row r="2164" spans="7:14" ht="11.25" customHeight="1" x14ac:dyDescent="0.3">
      <c r="G2164" s="459"/>
      <c r="H2164" s="459">
        <v>2157</v>
      </c>
      <c r="I2164" s="444">
        <f t="shared" ca="1" si="125"/>
        <v>-1799612956.4832001</v>
      </c>
      <c r="J2164" s="444">
        <f t="array" ref="J2164">IFERROR(INDEX('Retirement Calculator'!K:K,MATCH('Lorri 401b'!N2164,'Retirement Calculator'!A:A,0),0),0)</f>
        <v>0</v>
      </c>
      <c r="K2164" s="444">
        <f t="shared" ca="1" si="123"/>
        <v>-7498387.3186800005</v>
      </c>
      <c r="L2164" s="444">
        <f t="shared" ca="1" si="124"/>
        <v>-1807111343.8018801</v>
      </c>
      <c r="M2164" s="460">
        <f t="shared" si="126"/>
        <v>0.05</v>
      </c>
      <c r="N2164" s="464">
        <f t="shared" si="127"/>
        <v>116910</v>
      </c>
    </row>
    <row r="2165" spans="7:14" ht="11.25" customHeight="1" x14ac:dyDescent="0.3">
      <c r="G2165" s="459"/>
      <c r="H2165" s="459">
        <v>2158</v>
      </c>
      <c r="I2165" s="444">
        <f t="shared" ca="1" si="125"/>
        <v>-1807111343.8018801</v>
      </c>
      <c r="J2165" s="444">
        <f t="array" ref="J2165">IFERROR(INDEX('Retirement Calculator'!K:K,MATCH('Lorri 401b'!N2165,'Retirement Calculator'!A:A,0),0),0)</f>
        <v>0</v>
      </c>
      <c r="K2165" s="444">
        <f t="shared" ca="1" si="123"/>
        <v>-7529630.5991745014</v>
      </c>
      <c r="L2165" s="444">
        <f t="shared" ca="1" si="124"/>
        <v>-1814640974.4010546</v>
      </c>
      <c r="M2165" s="460">
        <f t="shared" si="126"/>
        <v>0.05</v>
      </c>
      <c r="N2165" s="464">
        <f t="shared" si="127"/>
        <v>116939</v>
      </c>
    </row>
    <row r="2166" spans="7:14" ht="11.25" customHeight="1" x14ac:dyDescent="0.3">
      <c r="G2166" s="459"/>
      <c r="H2166" s="459">
        <v>2159</v>
      </c>
      <c r="I2166" s="444">
        <f t="shared" ca="1" si="125"/>
        <v>-1814640974.4010546</v>
      </c>
      <c r="J2166" s="444">
        <f t="array" ref="J2166">IFERROR(INDEX('Retirement Calculator'!K:K,MATCH('Lorri 401b'!N2166,'Retirement Calculator'!A:A,0),0),0)</f>
        <v>0</v>
      </c>
      <c r="K2166" s="444">
        <f t="shared" ca="1" si="123"/>
        <v>-7561004.0600043945</v>
      </c>
      <c r="L2166" s="444">
        <f t="shared" ca="1" si="124"/>
        <v>-1822201978.4610591</v>
      </c>
      <c r="M2166" s="460">
        <f t="shared" si="126"/>
        <v>0.05</v>
      </c>
      <c r="N2166" s="464">
        <f t="shared" si="127"/>
        <v>116970</v>
      </c>
    </row>
    <row r="2167" spans="7:14" ht="11.25" customHeight="1" x14ac:dyDescent="0.3">
      <c r="G2167" s="459"/>
      <c r="H2167" s="459">
        <v>2160</v>
      </c>
      <c r="I2167" s="444">
        <f t="shared" ca="1" si="125"/>
        <v>-1822201978.4610591</v>
      </c>
      <c r="J2167" s="444">
        <f t="array" ref="J2167">IFERROR(INDEX('Retirement Calculator'!K:K,MATCH('Lorri 401b'!N2167,'Retirement Calculator'!A:A,0),0),0)</f>
        <v>0</v>
      </c>
      <c r="K2167" s="444">
        <f t="shared" ca="1" si="123"/>
        <v>-7592508.2435877463</v>
      </c>
      <c r="L2167" s="444">
        <f t="shared" ca="1" si="124"/>
        <v>-1829794486.7046468</v>
      </c>
      <c r="M2167" s="460">
        <f t="shared" si="126"/>
        <v>0.05</v>
      </c>
      <c r="N2167" s="464">
        <f t="shared" si="127"/>
        <v>117000</v>
      </c>
    </row>
    <row r="2168" spans="7:14" ht="11.25" customHeight="1" x14ac:dyDescent="0.3">
      <c r="G2168" s="459"/>
      <c r="H2168" s="459">
        <v>2161</v>
      </c>
      <c r="I2168" s="444">
        <f t="shared" ca="1" si="125"/>
        <v>-1829794486.7046468</v>
      </c>
      <c r="J2168" s="444">
        <f t="array" ref="J2168">IFERROR(INDEX('Retirement Calculator'!K:K,MATCH('Lorri 401b'!N2168,'Retirement Calculator'!A:A,0),0),0)</f>
        <v>0</v>
      </c>
      <c r="K2168" s="444">
        <f t="shared" ca="1" si="123"/>
        <v>-7624143.6946026953</v>
      </c>
      <c r="L2168" s="444">
        <f t="shared" ca="1" si="124"/>
        <v>-1837418630.3992496</v>
      </c>
      <c r="M2168" s="460">
        <f t="shared" si="126"/>
        <v>0.05</v>
      </c>
      <c r="N2168" s="464">
        <f t="shared" si="127"/>
        <v>117031</v>
      </c>
    </row>
    <row r="2169" spans="7:14" ht="11.25" customHeight="1" x14ac:dyDescent="0.3">
      <c r="G2169" s="459"/>
      <c r="H2169" s="459">
        <v>2162</v>
      </c>
      <c r="I2169" s="444">
        <f t="shared" ca="1" si="125"/>
        <v>-1837418630.3992496</v>
      </c>
      <c r="J2169" s="444">
        <f t="array" ref="J2169">IFERROR(INDEX('Retirement Calculator'!K:K,MATCH('Lorri 401b'!N2169,'Retirement Calculator'!A:A,0),0),0)</f>
        <v>0</v>
      </c>
      <c r="K2169" s="444">
        <f t="shared" ca="1" si="123"/>
        <v>-7655910.9599968717</v>
      </c>
      <c r="L2169" s="444">
        <f t="shared" ca="1" si="124"/>
        <v>-1845074541.3592465</v>
      </c>
      <c r="M2169" s="460">
        <f t="shared" si="126"/>
        <v>0.05</v>
      </c>
      <c r="N2169" s="464">
        <f t="shared" si="127"/>
        <v>117061</v>
      </c>
    </row>
    <row r="2170" spans="7:14" ht="11.25" customHeight="1" x14ac:dyDescent="0.3">
      <c r="G2170" s="459"/>
      <c r="H2170" s="459">
        <v>2163</v>
      </c>
      <c r="I2170" s="444">
        <f t="shared" ca="1" si="125"/>
        <v>-1845074541.3592465</v>
      </c>
      <c r="J2170" s="444">
        <f t="array" ref="J2170">IFERROR(INDEX('Retirement Calculator'!K:K,MATCH('Lorri 401b'!N2170,'Retirement Calculator'!A:A,0),0),0)</f>
        <v>0</v>
      </c>
      <c r="K2170" s="444">
        <f t="shared" ca="1" si="123"/>
        <v>-7687810.5889968602</v>
      </c>
      <c r="L2170" s="444">
        <f t="shared" ca="1" si="124"/>
        <v>-1852762351.9482434</v>
      </c>
      <c r="M2170" s="460">
        <f t="shared" si="126"/>
        <v>0.05</v>
      </c>
      <c r="N2170" s="464">
        <f t="shared" si="127"/>
        <v>117092</v>
      </c>
    </row>
    <row r="2171" spans="7:14" ht="11.25" customHeight="1" x14ac:dyDescent="0.3">
      <c r="G2171" s="459"/>
      <c r="H2171" s="459">
        <v>2164</v>
      </c>
      <c r="I2171" s="444">
        <f t="shared" ca="1" si="125"/>
        <v>-1852762351.9482434</v>
      </c>
      <c r="J2171" s="444">
        <f t="array" ref="J2171">IFERROR(INDEX('Retirement Calculator'!K:K,MATCH('Lorri 401b'!N2171,'Retirement Calculator'!A:A,0),0),0)</f>
        <v>0</v>
      </c>
      <c r="K2171" s="444">
        <f t="shared" ca="1" si="123"/>
        <v>-7719843.1331176804</v>
      </c>
      <c r="L2171" s="444">
        <f t="shared" ca="1" si="124"/>
        <v>-1860482195.0813611</v>
      </c>
      <c r="M2171" s="460">
        <f t="shared" si="126"/>
        <v>0.05</v>
      </c>
      <c r="N2171" s="464">
        <f t="shared" si="127"/>
        <v>117123</v>
      </c>
    </row>
    <row r="2172" spans="7:14" ht="11.25" customHeight="1" x14ac:dyDescent="0.3">
      <c r="G2172" s="459"/>
      <c r="H2172" s="459">
        <v>2165</v>
      </c>
      <c r="I2172" s="444">
        <f t="shared" ca="1" si="125"/>
        <v>-1860482195.0813611</v>
      </c>
      <c r="J2172" s="444">
        <f t="array" ref="J2172">IFERROR(INDEX('Retirement Calculator'!K:K,MATCH('Lorri 401b'!N2172,'Retirement Calculator'!A:A,0),0),0)</f>
        <v>0</v>
      </c>
      <c r="K2172" s="444">
        <f t="shared" ca="1" si="123"/>
        <v>-7752009.1461723363</v>
      </c>
      <c r="L2172" s="444">
        <f t="shared" ca="1" si="124"/>
        <v>-1868234204.2275333</v>
      </c>
      <c r="M2172" s="460">
        <f t="shared" si="126"/>
        <v>0.05</v>
      </c>
      <c r="N2172" s="464">
        <f t="shared" si="127"/>
        <v>117153</v>
      </c>
    </row>
    <row r="2173" spans="7:14" ht="11.25" customHeight="1" x14ac:dyDescent="0.3">
      <c r="G2173" s="459"/>
      <c r="H2173" s="459">
        <v>2166</v>
      </c>
      <c r="I2173" s="444">
        <f t="shared" ca="1" si="125"/>
        <v>-1868234204.2275333</v>
      </c>
      <c r="J2173" s="444">
        <f t="array" ref="J2173">IFERROR(INDEX('Retirement Calculator'!K:K,MATCH('Lorri 401b'!N2173,'Retirement Calculator'!A:A,0),0),0)</f>
        <v>0</v>
      </c>
      <c r="K2173" s="444">
        <f t="shared" ca="1" si="123"/>
        <v>-7784309.1842813892</v>
      </c>
      <c r="L2173" s="444">
        <f t="shared" ca="1" si="124"/>
        <v>-1876018513.4118147</v>
      </c>
      <c r="M2173" s="460">
        <f t="shared" si="126"/>
        <v>0.05</v>
      </c>
      <c r="N2173" s="464">
        <f t="shared" si="127"/>
        <v>117184</v>
      </c>
    </row>
    <row r="2174" spans="7:14" ht="11.25" customHeight="1" x14ac:dyDescent="0.3">
      <c r="G2174" s="459"/>
      <c r="H2174" s="459">
        <v>2167</v>
      </c>
      <c r="I2174" s="444">
        <f t="shared" ca="1" si="125"/>
        <v>-1876018513.4118147</v>
      </c>
      <c r="J2174" s="444">
        <f t="array" ref="J2174">IFERROR(INDEX('Retirement Calculator'!K:K,MATCH('Lorri 401b'!N2174,'Retirement Calculator'!A:A,0),0),0)</f>
        <v>0</v>
      </c>
      <c r="K2174" s="444">
        <f t="shared" ca="1" si="123"/>
        <v>-7816743.8058825601</v>
      </c>
      <c r="L2174" s="444">
        <f t="shared" ca="1" si="124"/>
        <v>-1883835257.2176971</v>
      </c>
      <c r="M2174" s="460">
        <f t="shared" si="126"/>
        <v>0.05</v>
      </c>
      <c r="N2174" s="464">
        <f t="shared" si="127"/>
        <v>117214</v>
      </c>
    </row>
    <row r="2175" spans="7:14" ht="11.25" customHeight="1" x14ac:dyDescent="0.3">
      <c r="G2175" s="459"/>
      <c r="H2175" s="459">
        <v>2168</v>
      </c>
      <c r="I2175" s="444">
        <f t="shared" ca="1" si="125"/>
        <v>-1883835257.2176971</v>
      </c>
      <c r="J2175" s="444">
        <f t="array" ref="J2175">IFERROR(INDEX('Retirement Calculator'!K:K,MATCH('Lorri 401b'!N2175,'Retirement Calculator'!A:A,0),0),0)</f>
        <v>0</v>
      </c>
      <c r="K2175" s="444">
        <f t="shared" ca="1" si="123"/>
        <v>-7849313.5717404056</v>
      </c>
      <c r="L2175" s="444">
        <f t="shared" ca="1" si="124"/>
        <v>-1891684570.7894375</v>
      </c>
      <c r="M2175" s="460">
        <f t="shared" si="126"/>
        <v>0.05</v>
      </c>
      <c r="N2175" s="464">
        <f t="shared" si="127"/>
        <v>117245</v>
      </c>
    </row>
    <row r="2176" spans="7:14" ht="11.25" customHeight="1" x14ac:dyDescent="0.3">
      <c r="G2176" s="459"/>
      <c r="H2176" s="459">
        <v>2169</v>
      </c>
      <c r="I2176" s="444">
        <f t="shared" ca="1" si="125"/>
        <v>-1891684570.7894375</v>
      </c>
      <c r="J2176" s="444">
        <f t="array" ref="J2176">IFERROR(INDEX('Retirement Calculator'!K:K,MATCH('Lorri 401b'!N2176,'Retirement Calculator'!A:A,0),0),0)</f>
        <v>0</v>
      </c>
      <c r="K2176" s="444">
        <f t="shared" ca="1" si="123"/>
        <v>-7882019.0449559893</v>
      </c>
      <c r="L2176" s="444">
        <f t="shared" ca="1" si="124"/>
        <v>-1899566589.8343935</v>
      </c>
      <c r="M2176" s="460">
        <f t="shared" si="126"/>
        <v>0.05</v>
      </c>
      <c r="N2176" s="464">
        <f t="shared" si="127"/>
        <v>117276</v>
      </c>
    </row>
    <row r="2177" spans="7:14" ht="11.25" customHeight="1" x14ac:dyDescent="0.3">
      <c r="G2177" s="459"/>
      <c r="H2177" s="459">
        <v>2170</v>
      </c>
      <c r="I2177" s="444">
        <f t="shared" ca="1" si="125"/>
        <v>-1899566589.8343935</v>
      </c>
      <c r="J2177" s="444">
        <f t="array" ref="J2177">IFERROR(INDEX('Retirement Calculator'!K:K,MATCH('Lorri 401b'!N2177,'Retirement Calculator'!A:A,0),0),0)</f>
        <v>0</v>
      </c>
      <c r="K2177" s="444">
        <f t="shared" ca="1" si="123"/>
        <v>-7914860.7909766398</v>
      </c>
      <c r="L2177" s="444">
        <f t="shared" ca="1" si="124"/>
        <v>-1907481450.62537</v>
      </c>
      <c r="M2177" s="460">
        <f t="shared" si="126"/>
        <v>0.05</v>
      </c>
      <c r="N2177" s="464">
        <f t="shared" si="127"/>
        <v>117304</v>
      </c>
    </row>
    <row r="2178" spans="7:14" ht="11.25" customHeight="1" x14ac:dyDescent="0.3">
      <c r="G2178" s="459"/>
      <c r="H2178" s="459">
        <v>2171</v>
      </c>
      <c r="I2178" s="444">
        <f t="shared" ca="1" si="125"/>
        <v>-1907481450.62537</v>
      </c>
      <c r="J2178" s="444">
        <f t="array" ref="J2178">IFERROR(INDEX('Retirement Calculator'!K:K,MATCH('Lorri 401b'!N2178,'Retirement Calculator'!A:A,0),0),0)</f>
        <v>0</v>
      </c>
      <c r="K2178" s="444">
        <f t="shared" ca="1" si="123"/>
        <v>-7947839.3776057074</v>
      </c>
      <c r="L2178" s="444">
        <f t="shared" ca="1" si="124"/>
        <v>-1915429290.0029757</v>
      </c>
      <c r="M2178" s="460">
        <f t="shared" si="126"/>
        <v>0.05</v>
      </c>
      <c r="N2178" s="464">
        <f t="shared" si="127"/>
        <v>117335</v>
      </c>
    </row>
    <row r="2179" spans="7:14" ht="11.25" customHeight="1" x14ac:dyDescent="0.3">
      <c r="G2179" s="459"/>
      <c r="H2179" s="459">
        <v>2172</v>
      </c>
      <c r="I2179" s="444">
        <f t="shared" ca="1" si="125"/>
        <v>-1915429290.0029757</v>
      </c>
      <c r="J2179" s="444">
        <f t="array" ref="J2179">IFERROR(INDEX('Retirement Calculator'!K:K,MATCH('Lorri 401b'!N2179,'Retirement Calculator'!A:A,0),0),0)</f>
        <v>0</v>
      </c>
      <c r="K2179" s="444">
        <f t="shared" ca="1" si="123"/>
        <v>-7980955.3750123978</v>
      </c>
      <c r="L2179" s="444">
        <f t="shared" ca="1" si="124"/>
        <v>-1923410245.3779881</v>
      </c>
      <c r="M2179" s="460">
        <f t="shared" si="126"/>
        <v>0.05</v>
      </c>
      <c r="N2179" s="464">
        <f t="shared" si="127"/>
        <v>117365</v>
      </c>
    </row>
    <row r="2180" spans="7:14" ht="11.25" customHeight="1" x14ac:dyDescent="0.3">
      <c r="G2180" s="459"/>
      <c r="H2180" s="459">
        <v>2173</v>
      </c>
      <c r="I2180" s="444">
        <f t="shared" ca="1" si="125"/>
        <v>-1923410245.3779881</v>
      </c>
      <c r="J2180" s="444">
        <f t="array" ref="J2180">IFERROR(INDEX('Retirement Calculator'!K:K,MATCH('Lorri 401b'!N2180,'Retirement Calculator'!A:A,0),0),0)</f>
        <v>0</v>
      </c>
      <c r="K2180" s="444">
        <f t="shared" ca="1" si="123"/>
        <v>-8014209.3557416173</v>
      </c>
      <c r="L2180" s="444">
        <f t="shared" ca="1" si="124"/>
        <v>-1931424454.7337296</v>
      </c>
      <c r="M2180" s="460">
        <f t="shared" si="126"/>
        <v>0.05</v>
      </c>
      <c r="N2180" s="464">
        <f t="shared" si="127"/>
        <v>117396</v>
      </c>
    </row>
    <row r="2181" spans="7:14" ht="11.25" customHeight="1" x14ac:dyDescent="0.3">
      <c r="G2181" s="459"/>
      <c r="H2181" s="459">
        <v>2174</v>
      </c>
      <c r="I2181" s="444">
        <f t="shared" ca="1" si="125"/>
        <v>-1931424454.7337296</v>
      </c>
      <c r="J2181" s="444">
        <f t="array" ref="J2181">IFERROR(INDEX('Retirement Calculator'!K:K,MATCH('Lorri 401b'!N2181,'Retirement Calculator'!A:A,0),0),0)</f>
        <v>0</v>
      </c>
      <c r="K2181" s="444">
        <f t="shared" ca="1" si="123"/>
        <v>-8047601.8947238736</v>
      </c>
      <c r="L2181" s="444">
        <f t="shared" ca="1" si="124"/>
        <v>-1939472056.6284535</v>
      </c>
      <c r="M2181" s="460">
        <f t="shared" si="126"/>
        <v>0.05</v>
      </c>
      <c r="N2181" s="464">
        <f t="shared" si="127"/>
        <v>117426</v>
      </c>
    </row>
    <row r="2182" spans="7:14" ht="11.25" customHeight="1" x14ac:dyDescent="0.3">
      <c r="G2182" s="459"/>
      <c r="H2182" s="459">
        <v>2175</v>
      </c>
      <c r="I2182" s="444">
        <f t="shared" ca="1" si="125"/>
        <v>-1939472056.6284535</v>
      </c>
      <c r="J2182" s="444">
        <f t="array" ref="J2182">IFERROR(INDEX('Retirement Calculator'!K:K,MATCH('Lorri 401b'!N2182,'Retirement Calculator'!A:A,0),0),0)</f>
        <v>0</v>
      </c>
      <c r="K2182" s="444">
        <f t="shared" ca="1" si="123"/>
        <v>-8081133.5692852242</v>
      </c>
      <c r="L2182" s="444">
        <f t="shared" ca="1" si="124"/>
        <v>-1947553190.1977386</v>
      </c>
      <c r="M2182" s="460">
        <f t="shared" si="126"/>
        <v>0.05</v>
      </c>
      <c r="N2182" s="464">
        <f t="shared" si="127"/>
        <v>117457</v>
      </c>
    </row>
    <row r="2183" spans="7:14" ht="11.25" customHeight="1" x14ac:dyDescent="0.3">
      <c r="G2183" s="459"/>
      <c r="H2183" s="459">
        <v>2176</v>
      </c>
      <c r="I2183" s="444">
        <f t="shared" ca="1" si="125"/>
        <v>-1947553190.1977386</v>
      </c>
      <c r="J2183" s="444">
        <f t="array" ref="J2183">IFERROR(INDEX('Retirement Calculator'!K:K,MATCH('Lorri 401b'!N2183,'Retirement Calculator'!A:A,0),0),0)</f>
        <v>0</v>
      </c>
      <c r="K2183" s="444">
        <f t="shared" ca="1" si="123"/>
        <v>-8114804.9591572443</v>
      </c>
      <c r="L2183" s="444">
        <f t="shared" ca="1" si="124"/>
        <v>-1955667995.1568959</v>
      </c>
      <c r="M2183" s="460">
        <f t="shared" si="126"/>
        <v>0.05</v>
      </c>
      <c r="N2183" s="464">
        <f t="shared" si="127"/>
        <v>117488</v>
      </c>
    </row>
    <row r="2184" spans="7:14" ht="11.25" customHeight="1" x14ac:dyDescent="0.3">
      <c r="G2184" s="459"/>
      <c r="H2184" s="459">
        <v>2177</v>
      </c>
      <c r="I2184" s="444">
        <f t="shared" ca="1" si="125"/>
        <v>-1955667995.1568959</v>
      </c>
      <c r="J2184" s="444">
        <f t="array" ref="J2184">IFERROR(INDEX('Retirement Calculator'!K:K,MATCH('Lorri 401b'!N2184,'Retirement Calculator'!A:A,0),0),0)</f>
        <v>0</v>
      </c>
      <c r="K2184" s="444">
        <f t="shared" ca="1" si="123"/>
        <v>-8148616.6464870675</v>
      </c>
      <c r="L2184" s="444">
        <f t="shared" ca="1" si="124"/>
        <v>-1963816611.8033829</v>
      </c>
      <c r="M2184" s="460">
        <f t="shared" si="126"/>
        <v>0.05</v>
      </c>
      <c r="N2184" s="464">
        <f t="shared" si="127"/>
        <v>117518</v>
      </c>
    </row>
    <row r="2185" spans="7:14" ht="11.25" customHeight="1" x14ac:dyDescent="0.3">
      <c r="G2185" s="459"/>
      <c r="H2185" s="459">
        <v>2178</v>
      </c>
      <c r="I2185" s="444">
        <f t="shared" ca="1" si="125"/>
        <v>-1963816611.8033829</v>
      </c>
      <c r="J2185" s="444">
        <f t="array" ref="J2185">IFERROR(INDEX('Retirement Calculator'!K:K,MATCH('Lorri 401b'!N2185,'Retirement Calculator'!A:A,0),0),0)</f>
        <v>0</v>
      </c>
      <c r="K2185" s="444">
        <f t="shared" ca="1" si="123"/>
        <v>-8182569.2158474289</v>
      </c>
      <c r="L2185" s="444">
        <f t="shared" ca="1" si="124"/>
        <v>-1971999181.0192304</v>
      </c>
      <c r="M2185" s="460">
        <f t="shared" si="126"/>
        <v>0.05</v>
      </c>
      <c r="N2185" s="464">
        <f t="shared" si="127"/>
        <v>117549</v>
      </c>
    </row>
    <row r="2186" spans="7:14" ht="11.25" customHeight="1" x14ac:dyDescent="0.3">
      <c r="G2186" s="459"/>
      <c r="H2186" s="459">
        <v>2179</v>
      </c>
      <c r="I2186" s="444">
        <f t="shared" ca="1" si="125"/>
        <v>-1971999181.0192304</v>
      </c>
      <c r="J2186" s="444">
        <f t="array" ref="J2186">IFERROR(INDEX('Retirement Calculator'!K:K,MATCH('Lorri 401b'!N2186,'Retirement Calculator'!A:A,0),0),0)</f>
        <v>0</v>
      </c>
      <c r="K2186" s="444">
        <f t="shared" ca="1" si="123"/>
        <v>-8216663.2542467928</v>
      </c>
      <c r="L2186" s="444">
        <f t="shared" ca="1" si="124"/>
        <v>-1980215844.2734771</v>
      </c>
      <c r="M2186" s="460">
        <f t="shared" si="126"/>
        <v>0.05</v>
      </c>
      <c r="N2186" s="464">
        <f t="shared" si="127"/>
        <v>117579</v>
      </c>
    </row>
    <row r="2187" spans="7:14" ht="11.25" customHeight="1" x14ac:dyDescent="0.3">
      <c r="G2187" s="459"/>
      <c r="H2187" s="459">
        <v>2180</v>
      </c>
      <c r="I2187" s="444">
        <f t="shared" ca="1" si="125"/>
        <v>-1980215844.2734771</v>
      </c>
      <c r="J2187" s="444">
        <f t="array" ref="J2187">IFERROR(INDEX('Retirement Calculator'!K:K,MATCH('Lorri 401b'!N2187,'Retirement Calculator'!A:A,0),0),0)</f>
        <v>0</v>
      </c>
      <c r="K2187" s="444">
        <f t="shared" ca="1" si="123"/>
        <v>-8250899.3511394877</v>
      </c>
      <c r="L2187" s="444">
        <f t="shared" ca="1" si="124"/>
        <v>-1988466743.6246166</v>
      </c>
      <c r="M2187" s="460">
        <f t="shared" si="126"/>
        <v>0.05</v>
      </c>
      <c r="N2187" s="464">
        <f t="shared" si="127"/>
        <v>117610</v>
      </c>
    </row>
    <row r="2188" spans="7:14" ht="11.25" customHeight="1" x14ac:dyDescent="0.3">
      <c r="G2188" s="459"/>
      <c r="H2188" s="459">
        <v>2181</v>
      </c>
      <c r="I2188" s="444">
        <f t="shared" ca="1" si="125"/>
        <v>-1988466743.6246166</v>
      </c>
      <c r="J2188" s="444">
        <f t="array" ref="J2188">IFERROR(INDEX('Retirement Calculator'!K:K,MATCH('Lorri 401b'!N2188,'Retirement Calculator'!A:A,0),0),0)</f>
        <v>0</v>
      </c>
      <c r="K2188" s="444">
        <f t="shared" ca="1" si="123"/>
        <v>-8285278.098435902</v>
      </c>
      <c r="L2188" s="444">
        <f t="shared" ca="1" si="124"/>
        <v>-1996752021.7230525</v>
      </c>
      <c r="M2188" s="460">
        <f t="shared" si="126"/>
        <v>0.05</v>
      </c>
      <c r="N2188" s="464">
        <f t="shared" si="127"/>
        <v>117641</v>
      </c>
    </row>
    <row r="2189" spans="7:14" ht="11.25" customHeight="1" x14ac:dyDescent="0.3">
      <c r="G2189" s="459"/>
      <c r="H2189" s="459">
        <v>2182</v>
      </c>
      <c r="I2189" s="444">
        <f t="shared" ca="1" si="125"/>
        <v>-1996752021.7230525</v>
      </c>
      <c r="J2189" s="444">
        <f t="array" ref="J2189">IFERROR(INDEX('Retirement Calculator'!K:K,MATCH('Lorri 401b'!N2189,'Retirement Calculator'!A:A,0),0),0)</f>
        <v>0</v>
      </c>
      <c r="K2189" s="444">
        <f t="shared" ca="1" si="123"/>
        <v>-8319800.090512719</v>
      </c>
      <c r="L2189" s="444">
        <f t="shared" ca="1" si="124"/>
        <v>-2005071821.8135653</v>
      </c>
      <c r="M2189" s="460">
        <f t="shared" si="126"/>
        <v>0.05</v>
      </c>
      <c r="N2189" s="464">
        <f t="shared" si="127"/>
        <v>117669</v>
      </c>
    </row>
    <row r="2190" spans="7:14" ht="11.25" customHeight="1" x14ac:dyDescent="0.3">
      <c r="G2190" s="459"/>
      <c r="H2190" s="459">
        <v>2183</v>
      </c>
      <c r="I2190" s="444">
        <f t="shared" ca="1" si="125"/>
        <v>-2005071821.8135653</v>
      </c>
      <c r="J2190" s="444">
        <f t="array" ref="J2190">IFERROR(INDEX('Retirement Calculator'!K:K,MATCH('Lorri 401b'!N2190,'Retirement Calculator'!A:A,0),0),0)</f>
        <v>0</v>
      </c>
      <c r="K2190" s="444">
        <f t="shared" ca="1" si="123"/>
        <v>-8354465.9242231874</v>
      </c>
      <c r="L2190" s="444">
        <f t="shared" ca="1" si="124"/>
        <v>-2013426287.7377884</v>
      </c>
      <c r="M2190" s="460">
        <f t="shared" si="126"/>
        <v>0.05</v>
      </c>
      <c r="N2190" s="464">
        <f t="shared" si="127"/>
        <v>117700</v>
      </c>
    </row>
    <row r="2191" spans="7:14" ht="11.25" customHeight="1" x14ac:dyDescent="0.3">
      <c r="G2191" s="459"/>
      <c r="H2191" s="459">
        <v>2184</v>
      </c>
      <c r="I2191" s="444">
        <f t="shared" ca="1" si="125"/>
        <v>-2013426287.7377884</v>
      </c>
      <c r="J2191" s="444">
        <f t="array" ref="J2191">IFERROR(INDEX('Retirement Calculator'!K:K,MATCH('Lorri 401b'!N2191,'Retirement Calculator'!A:A,0),0),0)</f>
        <v>0</v>
      </c>
      <c r="K2191" s="444">
        <f t="shared" ca="1" si="123"/>
        <v>-8389276.1989074517</v>
      </c>
      <c r="L2191" s="444">
        <f t="shared" ca="1" si="124"/>
        <v>-2021815563.9366958</v>
      </c>
      <c r="M2191" s="460">
        <f t="shared" si="126"/>
        <v>0.05</v>
      </c>
      <c r="N2191" s="464">
        <f t="shared" si="127"/>
        <v>117730</v>
      </c>
    </row>
    <row r="2192" spans="7:14" ht="11.25" customHeight="1" x14ac:dyDescent="0.3">
      <c r="G2192" s="459"/>
      <c r="H2192" s="459">
        <v>2185</v>
      </c>
      <c r="I2192" s="444">
        <f t="shared" ca="1" si="125"/>
        <v>-2021815563.9366958</v>
      </c>
      <c r="J2192" s="444">
        <f t="array" ref="J2192">IFERROR(INDEX('Retirement Calculator'!K:K,MATCH('Lorri 401b'!N2192,'Retirement Calculator'!A:A,0),0),0)</f>
        <v>0</v>
      </c>
      <c r="K2192" s="444">
        <f t="shared" ca="1" si="123"/>
        <v>-8424231.5164028984</v>
      </c>
      <c r="L2192" s="444">
        <f t="shared" ca="1" si="124"/>
        <v>-2030239795.4530988</v>
      </c>
      <c r="M2192" s="460">
        <f t="shared" si="126"/>
        <v>0.05</v>
      </c>
      <c r="N2192" s="464">
        <f t="shared" si="127"/>
        <v>117761</v>
      </c>
    </row>
    <row r="2193" spans="7:14" ht="11.25" customHeight="1" x14ac:dyDescent="0.3">
      <c r="G2193" s="459"/>
      <c r="H2193" s="459">
        <v>2186</v>
      </c>
      <c r="I2193" s="444">
        <f t="shared" ca="1" si="125"/>
        <v>-2030239795.4530988</v>
      </c>
      <c r="J2193" s="444">
        <f t="array" ref="J2193">IFERROR(INDEX('Retirement Calculator'!K:K,MATCH('Lorri 401b'!N2193,'Retirement Calculator'!A:A,0),0),0)</f>
        <v>0</v>
      </c>
      <c r="K2193" s="444">
        <f t="shared" ca="1" si="123"/>
        <v>-8459332.481054578</v>
      </c>
      <c r="L2193" s="444">
        <f t="shared" ca="1" si="124"/>
        <v>-2038699127.9341533</v>
      </c>
      <c r="M2193" s="460">
        <f t="shared" si="126"/>
        <v>0.05</v>
      </c>
      <c r="N2193" s="464">
        <f t="shared" si="127"/>
        <v>117791</v>
      </c>
    </row>
    <row r="2194" spans="7:14" ht="11.25" customHeight="1" x14ac:dyDescent="0.3">
      <c r="G2194" s="459"/>
      <c r="H2194" s="459">
        <v>2187</v>
      </c>
      <c r="I2194" s="444">
        <f t="shared" ca="1" si="125"/>
        <v>-2038699127.9341533</v>
      </c>
      <c r="J2194" s="444">
        <f t="array" ref="J2194">IFERROR(INDEX('Retirement Calculator'!K:K,MATCH('Lorri 401b'!N2194,'Retirement Calculator'!A:A,0),0),0)</f>
        <v>0</v>
      </c>
      <c r="K2194" s="444">
        <f t="shared" ca="1" si="123"/>
        <v>-8494579.6997256391</v>
      </c>
      <c r="L2194" s="444">
        <f t="shared" ca="1" si="124"/>
        <v>-2047193707.6338789</v>
      </c>
      <c r="M2194" s="460">
        <f t="shared" si="126"/>
        <v>0.05</v>
      </c>
      <c r="N2194" s="464">
        <f t="shared" si="127"/>
        <v>117822</v>
      </c>
    </row>
    <row r="2195" spans="7:14" ht="11.25" customHeight="1" x14ac:dyDescent="0.3">
      <c r="G2195" s="459"/>
      <c r="H2195" s="459">
        <v>2188</v>
      </c>
      <c r="I2195" s="444">
        <f t="shared" ca="1" si="125"/>
        <v>-2047193707.6338789</v>
      </c>
      <c r="J2195" s="444">
        <f t="array" ref="J2195">IFERROR(INDEX('Retirement Calculator'!K:K,MATCH('Lorri 401b'!N2195,'Retirement Calculator'!A:A,0),0),0)</f>
        <v>0</v>
      </c>
      <c r="K2195" s="444">
        <f t="shared" ca="1" si="123"/>
        <v>-8529973.7818078287</v>
      </c>
      <c r="L2195" s="444">
        <f t="shared" ca="1" si="124"/>
        <v>-2055723681.4156868</v>
      </c>
      <c r="M2195" s="460">
        <f t="shared" si="126"/>
        <v>0.05</v>
      </c>
      <c r="N2195" s="464">
        <f t="shared" si="127"/>
        <v>117853</v>
      </c>
    </row>
    <row r="2196" spans="7:14" ht="11.25" customHeight="1" x14ac:dyDescent="0.3">
      <c r="G2196" s="459"/>
      <c r="H2196" s="459">
        <v>2189</v>
      </c>
      <c r="I2196" s="444">
        <f t="shared" ca="1" si="125"/>
        <v>-2055723681.4156868</v>
      </c>
      <c r="J2196" s="444">
        <f t="array" ref="J2196">IFERROR(INDEX('Retirement Calculator'!K:K,MATCH('Lorri 401b'!N2196,'Retirement Calculator'!A:A,0),0),0)</f>
        <v>0</v>
      </c>
      <c r="K2196" s="444">
        <f t="shared" ca="1" si="123"/>
        <v>-8565515.3392320275</v>
      </c>
      <c r="L2196" s="444">
        <f t="shared" ca="1" si="124"/>
        <v>-2064289196.7549188</v>
      </c>
      <c r="M2196" s="460">
        <f t="shared" si="126"/>
        <v>0.05</v>
      </c>
      <c r="N2196" s="464">
        <f t="shared" si="127"/>
        <v>117883</v>
      </c>
    </row>
    <row r="2197" spans="7:14" ht="11.25" customHeight="1" x14ac:dyDescent="0.3">
      <c r="G2197" s="459"/>
      <c r="H2197" s="459">
        <v>2190</v>
      </c>
      <c r="I2197" s="444">
        <f t="shared" ca="1" si="125"/>
        <v>-2064289196.7549188</v>
      </c>
      <c r="J2197" s="444">
        <f t="array" ref="J2197">IFERROR(INDEX('Retirement Calculator'!K:K,MATCH('Lorri 401b'!N2197,'Retirement Calculator'!A:A,0),0),0)</f>
        <v>0</v>
      </c>
      <c r="K2197" s="444">
        <f t="shared" ca="1" si="123"/>
        <v>-8601204.9864788298</v>
      </c>
      <c r="L2197" s="444">
        <f t="shared" ca="1" si="124"/>
        <v>-2072890401.7413976</v>
      </c>
      <c r="M2197" s="460">
        <f t="shared" si="126"/>
        <v>0.05</v>
      </c>
      <c r="N2197" s="464">
        <f t="shared" si="127"/>
        <v>117914</v>
      </c>
    </row>
    <row r="2198" spans="7:14" ht="11.25" customHeight="1" x14ac:dyDescent="0.3">
      <c r="G2198" s="459"/>
      <c r="H2198" s="459">
        <v>2191</v>
      </c>
      <c r="I2198" s="444">
        <f t="shared" ca="1" si="125"/>
        <v>-2072890401.7413976</v>
      </c>
      <c r="J2198" s="444">
        <f t="array" ref="J2198">IFERROR(INDEX('Retirement Calculator'!K:K,MATCH('Lorri 401b'!N2198,'Retirement Calculator'!A:A,0),0),0)</f>
        <v>0</v>
      </c>
      <c r="K2198" s="444">
        <f t="shared" ca="1" si="123"/>
        <v>-8637043.3405891564</v>
      </c>
      <c r="L2198" s="444">
        <f t="shared" ca="1" si="124"/>
        <v>-2081527445.0819867</v>
      </c>
      <c r="M2198" s="460">
        <f t="shared" si="126"/>
        <v>0.05</v>
      </c>
      <c r="N2198" s="464">
        <f t="shared" si="127"/>
        <v>117944</v>
      </c>
    </row>
    <row r="2199" spans="7:14" ht="11.25" customHeight="1" x14ac:dyDescent="0.3">
      <c r="G2199" s="459"/>
      <c r="H2199" s="459">
        <v>2192</v>
      </c>
      <c r="I2199" s="444">
        <f t="shared" ca="1" si="125"/>
        <v>-2081527445.0819867</v>
      </c>
      <c r="J2199" s="444">
        <f t="array" ref="J2199">IFERROR(INDEX('Retirement Calculator'!K:K,MATCH('Lorri 401b'!N2199,'Retirement Calculator'!A:A,0),0),0)</f>
        <v>0</v>
      </c>
      <c r="K2199" s="444">
        <f t="shared" ca="1" si="123"/>
        <v>-8673031.0211749449</v>
      </c>
      <c r="L2199" s="444">
        <f t="shared" ca="1" si="124"/>
        <v>-2090200476.1031616</v>
      </c>
      <c r="M2199" s="460">
        <f t="shared" si="126"/>
        <v>0.05</v>
      </c>
      <c r="N2199" s="464">
        <f t="shared" si="127"/>
        <v>117975</v>
      </c>
    </row>
    <row r="2200" spans="7:14" ht="11.25" customHeight="1" x14ac:dyDescent="0.3">
      <c r="G2200" s="459"/>
      <c r="H2200" s="459">
        <v>2193</v>
      </c>
      <c r="I2200" s="444">
        <f t="shared" ca="1" si="125"/>
        <v>-2090200476.1031616</v>
      </c>
      <c r="J2200" s="444">
        <f t="array" ref="J2200">IFERROR(INDEX('Retirement Calculator'!K:K,MATCH('Lorri 401b'!N2200,'Retirement Calculator'!A:A,0),0),0)</f>
        <v>0</v>
      </c>
      <c r="K2200" s="444">
        <f t="shared" ca="1" si="123"/>
        <v>-8709168.6504298393</v>
      </c>
      <c r="L2200" s="444">
        <f t="shared" ca="1" si="124"/>
        <v>-2098909644.7535913</v>
      </c>
      <c r="M2200" s="460">
        <f t="shared" si="126"/>
        <v>0.05</v>
      </c>
      <c r="N2200" s="464">
        <f t="shared" si="127"/>
        <v>118006</v>
      </c>
    </row>
    <row r="2201" spans="7:14" ht="11.25" customHeight="1" x14ac:dyDescent="0.3">
      <c r="G2201" s="459"/>
      <c r="H2201" s="459">
        <v>2194</v>
      </c>
      <c r="I2201" s="444">
        <f t="shared" ca="1" si="125"/>
        <v>-2098909644.7535913</v>
      </c>
      <c r="J2201" s="444">
        <f t="array" ref="J2201">IFERROR(INDEX('Retirement Calculator'!K:K,MATCH('Lorri 401b'!N2201,'Retirement Calculator'!A:A,0),0),0)</f>
        <v>0</v>
      </c>
      <c r="K2201" s="444">
        <f t="shared" ca="1" si="123"/>
        <v>-8745456.853139963</v>
      </c>
      <c r="L2201" s="444">
        <f t="shared" ca="1" si="124"/>
        <v>-2107655101.6067312</v>
      </c>
      <c r="M2201" s="460">
        <f t="shared" si="126"/>
        <v>0.05</v>
      </c>
      <c r="N2201" s="464">
        <f t="shared" si="127"/>
        <v>118034</v>
      </c>
    </row>
    <row r="2202" spans="7:14" ht="11.25" customHeight="1" x14ac:dyDescent="0.3">
      <c r="G2202" s="459"/>
      <c r="H2202" s="459">
        <v>2195</v>
      </c>
      <c r="I2202" s="444">
        <f t="shared" ca="1" si="125"/>
        <v>-2107655101.6067312</v>
      </c>
      <c r="J2202" s="444">
        <f t="array" ref="J2202">IFERROR(INDEX('Retirement Calculator'!K:K,MATCH('Lorri 401b'!N2202,'Retirement Calculator'!A:A,0),0),0)</f>
        <v>0</v>
      </c>
      <c r="K2202" s="444">
        <f t="shared" ca="1" si="123"/>
        <v>-8781896.2566947136</v>
      </c>
      <c r="L2202" s="444">
        <f t="shared" ca="1" si="124"/>
        <v>-2116436997.863426</v>
      </c>
      <c r="M2202" s="460">
        <f t="shared" si="126"/>
        <v>0.05</v>
      </c>
      <c r="N2202" s="464">
        <f t="shared" si="127"/>
        <v>118065</v>
      </c>
    </row>
    <row r="2203" spans="7:14" ht="11.25" customHeight="1" x14ac:dyDescent="0.3">
      <c r="G2203" s="459"/>
      <c r="H2203" s="459">
        <v>2196</v>
      </c>
      <c r="I2203" s="444">
        <f t="shared" ca="1" si="125"/>
        <v>-2116436997.863426</v>
      </c>
      <c r="J2203" s="444">
        <f t="array" ref="J2203">IFERROR(INDEX('Retirement Calculator'!K:K,MATCH('Lorri 401b'!N2203,'Retirement Calculator'!A:A,0),0),0)</f>
        <v>0</v>
      </c>
      <c r="K2203" s="444">
        <f t="shared" ca="1" si="123"/>
        <v>-8818487.4910976067</v>
      </c>
      <c r="L2203" s="444">
        <f t="shared" ca="1" si="124"/>
        <v>-2125255485.3545237</v>
      </c>
      <c r="M2203" s="460">
        <f t="shared" si="126"/>
        <v>0.05</v>
      </c>
      <c r="N2203" s="464">
        <f t="shared" si="127"/>
        <v>118095</v>
      </c>
    </row>
    <row r="2204" spans="7:14" ht="11.25" customHeight="1" x14ac:dyDescent="0.3">
      <c r="G2204" s="459"/>
      <c r="H2204" s="459">
        <v>2197</v>
      </c>
      <c r="I2204" s="444">
        <f t="shared" ca="1" si="125"/>
        <v>-2125255485.3545237</v>
      </c>
      <c r="J2204" s="444">
        <f t="array" ref="J2204">IFERROR(INDEX('Retirement Calculator'!K:K,MATCH('Lorri 401b'!N2204,'Retirement Calculator'!A:A,0),0),0)</f>
        <v>0</v>
      </c>
      <c r="K2204" s="444">
        <f t="shared" ca="1" si="123"/>
        <v>-8855231.1889771819</v>
      </c>
      <c r="L2204" s="444">
        <f t="shared" ca="1" si="124"/>
        <v>-2134110716.5435009</v>
      </c>
      <c r="M2204" s="460">
        <f t="shared" si="126"/>
        <v>0.05</v>
      </c>
      <c r="N2204" s="464">
        <f t="shared" si="127"/>
        <v>118126</v>
      </c>
    </row>
    <row r="2205" spans="7:14" ht="11.25" customHeight="1" x14ac:dyDescent="0.3">
      <c r="G2205" s="459"/>
      <c r="H2205" s="459">
        <v>2198</v>
      </c>
      <c r="I2205" s="444">
        <f t="shared" ca="1" si="125"/>
        <v>-2134110716.5435009</v>
      </c>
      <c r="J2205" s="444">
        <f t="array" ref="J2205">IFERROR(INDEX('Retirement Calculator'!K:K,MATCH('Lorri 401b'!N2205,'Retirement Calculator'!A:A,0),0),0)</f>
        <v>0</v>
      </c>
      <c r="K2205" s="444">
        <f t="shared" ca="1" si="123"/>
        <v>-8892127.9855979197</v>
      </c>
      <c r="L2205" s="444">
        <f t="shared" ca="1" si="124"/>
        <v>-2143002844.5290987</v>
      </c>
      <c r="M2205" s="460">
        <f t="shared" si="126"/>
        <v>0.05</v>
      </c>
      <c r="N2205" s="464">
        <f t="shared" si="127"/>
        <v>118156</v>
      </c>
    </row>
    <row r="2206" spans="7:14" ht="11.25" customHeight="1" x14ac:dyDescent="0.3">
      <c r="G2206" s="459"/>
      <c r="H2206" s="459">
        <v>2199</v>
      </c>
      <c r="I2206" s="444">
        <f t="shared" ca="1" si="125"/>
        <v>-2143002844.5290987</v>
      </c>
      <c r="J2206" s="444">
        <f t="array" ref="J2206">IFERROR(INDEX('Retirement Calculator'!K:K,MATCH('Lorri 401b'!N2206,'Retirement Calculator'!A:A,0),0),0)</f>
        <v>0</v>
      </c>
      <c r="K2206" s="444">
        <f t="shared" ca="1" si="123"/>
        <v>-8929178.518871244</v>
      </c>
      <c r="L2206" s="444">
        <f t="shared" ca="1" si="124"/>
        <v>-2151932023.0479698</v>
      </c>
      <c r="M2206" s="460">
        <f t="shared" si="126"/>
        <v>0.05</v>
      </c>
      <c r="N2206" s="464">
        <f t="shared" si="127"/>
        <v>118187</v>
      </c>
    </row>
    <row r="2207" spans="7:14" ht="11.25" customHeight="1" x14ac:dyDescent="0.3">
      <c r="G2207" s="459"/>
      <c r="H2207" s="459">
        <v>2200</v>
      </c>
      <c r="I2207" s="444">
        <f t="shared" ca="1" si="125"/>
        <v>-2151932023.0479698</v>
      </c>
      <c r="J2207" s="444">
        <f t="array" ref="J2207">IFERROR(INDEX('Retirement Calculator'!K:K,MATCH('Lorri 401b'!N2207,'Retirement Calculator'!A:A,0),0),0)</f>
        <v>0</v>
      </c>
      <c r="K2207" s="444">
        <f t="shared" ca="1" si="123"/>
        <v>-8966383.4293665402</v>
      </c>
      <c r="L2207" s="444">
        <f t="shared" ca="1" si="124"/>
        <v>-2160898406.4773364</v>
      </c>
      <c r="M2207" s="460">
        <f t="shared" si="126"/>
        <v>0.05</v>
      </c>
      <c r="N2207" s="464">
        <f t="shared" si="127"/>
        <v>118218</v>
      </c>
    </row>
    <row r="2208" spans="7:14" ht="11.25" customHeight="1" x14ac:dyDescent="0.3">
      <c r="G2208" s="459"/>
      <c r="H2208" s="459">
        <v>2201</v>
      </c>
      <c r="I2208" s="444">
        <f t="shared" ca="1" si="125"/>
        <v>-2160898406.4773364</v>
      </c>
      <c r="J2208" s="444">
        <f t="array" ref="J2208">IFERROR(INDEX('Retirement Calculator'!K:K,MATCH('Lorri 401b'!N2208,'Retirement Calculator'!A:A,0),0),0)</f>
        <v>0</v>
      </c>
      <c r="K2208" s="444">
        <f t="shared" ca="1" si="123"/>
        <v>-9003743.3603222352</v>
      </c>
      <c r="L2208" s="444">
        <f t="shared" ca="1" si="124"/>
        <v>-2169902149.8376584</v>
      </c>
      <c r="M2208" s="460">
        <f t="shared" si="126"/>
        <v>0.05</v>
      </c>
      <c r="N2208" s="464">
        <f t="shared" si="127"/>
        <v>118248</v>
      </c>
    </row>
    <row r="2209" spans="7:14" ht="11.25" customHeight="1" x14ac:dyDescent="0.3">
      <c r="G2209" s="459"/>
      <c r="H2209" s="459">
        <v>2202</v>
      </c>
      <c r="I2209" s="444">
        <f t="shared" ca="1" si="125"/>
        <v>-2169902149.8376584</v>
      </c>
      <c r="J2209" s="444">
        <f t="array" ref="J2209">IFERROR(INDEX('Retirement Calculator'!K:K,MATCH('Lorri 401b'!N2209,'Retirement Calculator'!A:A,0),0),0)</f>
        <v>0</v>
      </c>
      <c r="K2209" s="444">
        <f t="shared" ca="1" si="123"/>
        <v>-9041258.9576569106</v>
      </c>
      <c r="L2209" s="444">
        <f t="shared" ca="1" si="124"/>
        <v>-2178943408.7953153</v>
      </c>
      <c r="M2209" s="460">
        <f t="shared" si="126"/>
        <v>0.05</v>
      </c>
      <c r="N2209" s="464">
        <f t="shared" si="127"/>
        <v>118279</v>
      </c>
    </row>
    <row r="2210" spans="7:14" ht="11.25" customHeight="1" x14ac:dyDescent="0.3">
      <c r="G2210" s="459"/>
      <c r="H2210" s="459">
        <v>2203</v>
      </c>
      <c r="I2210" s="444">
        <f t="shared" ca="1" si="125"/>
        <v>-2178943408.7953153</v>
      </c>
      <c r="J2210" s="444">
        <f t="array" ref="J2210">IFERROR(INDEX('Retirement Calculator'!K:K,MATCH('Lorri 401b'!N2210,'Retirement Calculator'!A:A,0),0),0)</f>
        <v>0</v>
      </c>
      <c r="K2210" s="444">
        <f t="shared" ca="1" si="123"/>
        <v>-9078930.8699804805</v>
      </c>
      <c r="L2210" s="444">
        <f t="shared" ca="1" si="124"/>
        <v>-2188022339.6652956</v>
      </c>
      <c r="M2210" s="460">
        <f t="shared" si="126"/>
        <v>0.05</v>
      </c>
      <c r="N2210" s="464">
        <f t="shared" si="127"/>
        <v>118309</v>
      </c>
    </row>
    <row r="2211" spans="7:14" ht="11.25" customHeight="1" x14ac:dyDescent="0.3">
      <c r="G2211" s="459"/>
      <c r="H2211" s="459">
        <v>2204</v>
      </c>
      <c r="I2211" s="444">
        <f t="shared" ca="1" si="125"/>
        <v>-2188022339.6652956</v>
      </c>
      <c r="J2211" s="444">
        <f t="array" ref="J2211">IFERROR(INDEX('Retirement Calculator'!K:K,MATCH('Lorri 401b'!N2211,'Retirement Calculator'!A:A,0),0),0)</f>
        <v>0</v>
      </c>
      <c r="K2211" s="444">
        <f t="shared" ca="1" si="123"/>
        <v>-9116759.7486053985</v>
      </c>
      <c r="L2211" s="444">
        <f t="shared" ca="1" si="124"/>
        <v>-2197139099.4139009</v>
      </c>
      <c r="M2211" s="460">
        <f t="shared" si="126"/>
        <v>0.05</v>
      </c>
      <c r="N2211" s="464">
        <f t="shared" si="127"/>
        <v>118340</v>
      </c>
    </row>
    <row r="2212" spans="7:14" ht="11.25" customHeight="1" x14ac:dyDescent="0.3">
      <c r="G2212" s="459"/>
      <c r="H2212" s="459">
        <v>2205</v>
      </c>
      <c r="I2212" s="444">
        <f t="shared" ca="1" si="125"/>
        <v>-2197139099.4139009</v>
      </c>
      <c r="J2212" s="444">
        <f t="array" ref="J2212">IFERROR(INDEX('Retirement Calculator'!K:K,MATCH('Lorri 401b'!N2212,'Retirement Calculator'!A:A,0),0),0)</f>
        <v>0</v>
      </c>
      <c r="K2212" s="444">
        <f t="shared" ca="1" si="123"/>
        <v>-9154746.2475579195</v>
      </c>
      <c r="L2212" s="444">
        <f t="shared" ca="1" si="124"/>
        <v>-2206293845.661459</v>
      </c>
      <c r="M2212" s="460">
        <f t="shared" si="126"/>
        <v>0.05</v>
      </c>
      <c r="N2212" s="464">
        <f t="shared" si="127"/>
        <v>118371</v>
      </c>
    </row>
    <row r="2213" spans="7:14" ht="11.25" customHeight="1" x14ac:dyDescent="0.3">
      <c r="G2213" s="459"/>
      <c r="H2213" s="459">
        <v>2206</v>
      </c>
      <c r="I2213" s="444">
        <f t="shared" ca="1" si="125"/>
        <v>-2206293845.661459</v>
      </c>
      <c r="J2213" s="444">
        <f t="array" ref="J2213">IFERROR(INDEX('Retirement Calculator'!K:K,MATCH('Lorri 401b'!N2213,'Retirement Calculator'!A:A,0),0),0)</f>
        <v>0</v>
      </c>
      <c r="K2213" s="444">
        <f t="shared" ca="1" si="123"/>
        <v>-9192891.0235894118</v>
      </c>
      <c r="L2213" s="444">
        <f t="shared" ca="1" si="124"/>
        <v>-2215486736.6850486</v>
      </c>
      <c r="M2213" s="460">
        <f t="shared" si="126"/>
        <v>0.05</v>
      </c>
      <c r="N2213" s="464">
        <f t="shared" si="127"/>
        <v>118400</v>
      </c>
    </row>
    <row r="2214" spans="7:14" ht="11.25" customHeight="1" x14ac:dyDescent="0.3">
      <c r="G2214" s="459"/>
      <c r="H2214" s="459">
        <v>2207</v>
      </c>
      <c r="I2214" s="444">
        <f t="shared" ca="1" si="125"/>
        <v>-2215486736.6850486</v>
      </c>
      <c r="J2214" s="444">
        <f t="array" ref="J2214">IFERROR(INDEX('Retirement Calculator'!K:K,MATCH('Lorri 401b'!N2214,'Retirement Calculator'!A:A,0),0),0)</f>
        <v>0</v>
      </c>
      <c r="K2214" s="444">
        <f t="shared" ca="1" si="123"/>
        <v>-9231194.736187702</v>
      </c>
      <c r="L2214" s="444">
        <f t="shared" ca="1" si="124"/>
        <v>-2224717931.4212365</v>
      </c>
      <c r="M2214" s="460">
        <f t="shared" si="126"/>
        <v>0.05</v>
      </c>
      <c r="N2214" s="464">
        <f t="shared" si="127"/>
        <v>118431</v>
      </c>
    </row>
    <row r="2215" spans="7:14" ht="11.25" customHeight="1" x14ac:dyDescent="0.3">
      <c r="G2215" s="459"/>
      <c r="H2215" s="459">
        <v>2208</v>
      </c>
      <c r="I2215" s="444">
        <f t="shared" ca="1" si="125"/>
        <v>-2224717931.4212365</v>
      </c>
      <c r="J2215" s="444">
        <f t="array" ref="J2215">IFERROR(INDEX('Retirement Calculator'!K:K,MATCH('Lorri 401b'!N2215,'Retirement Calculator'!A:A,0),0),0)</f>
        <v>0</v>
      </c>
      <c r="K2215" s="444">
        <f t="shared" ca="1" si="123"/>
        <v>-9269658.0475884862</v>
      </c>
      <c r="L2215" s="444">
        <f t="shared" ca="1" si="124"/>
        <v>-2233987589.4688249</v>
      </c>
      <c r="M2215" s="460">
        <f t="shared" si="126"/>
        <v>0.05</v>
      </c>
      <c r="N2215" s="464">
        <f t="shared" si="127"/>
        <v>118461</v>
      </c>
    </row>
    <row r="2216" spans="7:14" ht="11.25" customHeight="1" x14ac:dyDescent="0.3">
      <c r="G2216" s="459"/>
      <c r="H2216" s="459">
        <v>2209</v>
      </c>
      <c r="I2216" s="444">
        <f t="shared" ca="1" si="125"/>
        <v>-2233987589.4688249</v>
      </c>
      <c r="J2216" s="444">
        <f t="array" ref="J2216">IFERROR(INDEX('Retirement Calculator'!K:K,MATCH('Lorri 401b'!N2216,'Retirement Calculator'!A:A,0),0),0)</f>
        <v>0</v>
      </c>
      <c r="K2216" s="444">
        <f t="shared" ca="1" si="123"/>
        <v>-9308281.6227867696</v>
      </c>
      <c r="L2216" s="444">
        <f t="shared" ca="1" si="124"/>
        <v>-2243295871.0916119</v>
      </c>
      <c r="M2216" s="460">
        <f t="shared" si="126"/>
        <v>0.05</v>
      </c>
      <c r="N2216" s="464">
        <f t="shared" si="127"/>
        <v>118492</v>
      </c>
    </row>
    <row r="2217" spans="7:14" ht="11.25" customHeight="1" x14ac:dyDescent="0.3">
      <c r="G2217" s="459"/>
      <c r="H2217" s="459">
        <v>2210</v>
      </c>
      <c r="I2217" s="444">
        <f t="shared" ca="1" si="125"/>
        <v>-2243295871.0916119</v>
      </c>
      <c r="J2217" s="444">
        <f t="array" ref="J2217">IFERROR(INDEX('Retirement Calculator'!K:K,MATCH('Lorri 401b'!N2217,'Retirement Calculator'!A:A,0),0),0)</f>
        <v>0</v>
      </c>
      <c r="K2217" s="444">
        <f t="shared" ca="1" si="123"/>
        <v>-9347066.129548382</v>
      </c>
      <c r="L2217" s="444">
        <f t="shared" ca="1" si="124"/>
        <v>-2252642937.2211604</v>
      </c>
      <c r="M2217" s="460">
        <f t="shared" si="126"/>
        <v>0.05</v>
      </c>
      <c r="N2217" s="464">
        <f t="shared" si="127"/>
        <v>118522</v>
      </c>
    </row>
    <row r="2218" spans="7:14" ht="11.25" customHeight="1" x14ac:dyDescent="0.3">
      <c r="G2218" s="459"/>
      <c r="H2218" s="459">
        <v>2211</v>
      </c>
      <c r="I2218" s="444">
        <f t="shared" ca="1" si="125"/>
        <v>-2252642937.2211604</v>
      </c>
      <c r="J2218" s="444">
        <f t="array" ref="J2218">IFERROR(INDEX('Retirement Calculator'!K:K,MATCH('Lorri 401b'!N2218,'Retirement Calculator'!A:A,0),0),0)</f>
        <v>0</v>
      </c>
      <c r="K2218" s="444">
        <f t="shared" ca="1" si="123"/>
        <v>-9386012.2384215016</v>
      </c>
      <c r="L2218" s="444">
        <f t="shared" ca="1" si="124"/>
        <v>-2262028949.4595819</v>
      </c>
      <c r="M2218" s="460">
        <f t="shared" si="126"/>
        <v>0.05</v>
      </c>
      <c r="N2218" s="464">
        <f t="shared" si="127"/>
        <v>118553</v>
      </c>
    </row>
    <row r="2219" spans="7:14" ht="11.25" customHeight="1" x14ac:dyDescent="0.3">
      <c r="G2219" s="459"/>
      <c r="H2219" s="459">
        <v>2212</v>
      </c>
      <c r="I2219" s="444">
        <f t="shared" ca="1" si="125"/>
        <v>-2262028949.4595819</v>
      </c>
      <c r="J2219" s="444">
        <f t="array" ref="J2219">IFERROR(INDEX('Retirement Calculator'!K:K,MATCH('Lorri 401b'!N2219,'Retirement Calculator'!A:A,0),0),0)</f>
        <v>0</v>
      </c>
      <c r="K2219" s="444">
        <f t="shared" ca="1" si="123"/>
        <v>-9425120.6227482576</v>
      </c>
      <c r="L2219" s="444">
        <f t="shared" ca="1" si="124"/>
        <v>-2271454070.0823302</v>
      </c>
      <c r="M2219" s="460">
        <f t="shared" si="126"/>
        <v>0.05</v>
      </c>
      <c r="N2219" s="464">
        <f t="shared" si="127"/>
        <v>118584</v>
      </c>
    </row>
    <row r="2220" spans="7:14" ht="11.25" customHeight="1" x14ac:dyDescent="0.3">
      <c r="G2220" s="459"/>
      <c r="H2220" s="459">
        <v>2213</v>
      </c>
      <c r="I2220" s="444">
        <f t="shared" ca="1" si="125"/>
        <v>-2271454070.0823302</v>
      </c>
      <c r="J2220" s="444">
        <f t="array" ref="J2220">IFERROR(INDEX('Retirement Calculator'!K:K,MATCH('Lorri 401b'!N2220,'Retirement Calculator'!A:A,0),0),0)</f>
        <v>0</v>
      </c>
      <c r="K2220" s="444">
        <f t="shared" ca="1" si="123"/>
        <v>-9464391.9586763754</v>
      </c>
      <c r="L2220" s="444">
        <f t="shared" ca="1" si="124"/>
        <v>-2280918462.0410066</v>
      </c>
      <c r="M2220" s="460">
        <f t="shared" si="126"/>
        <v>0.05</v>
      </c>
      <c r="N2220" s="464">
        <f t="shared" si="127"/>
        <v>118614</v>
      </c>
    </row>
    <row r="2221" spans="7:14" ht="11.25" customHeight="1" x14ac:dyDescent="0.3">
      <c r="G2221" s="459"/>
      <c r="H2221" s="459">
        <v>2214</v>
      </c>
      <c r="I2221" s="444">
        <f t="shared" ca="1" si="125"/>
        <v>-2280918462.0410066</v>
      </c>
      <c r="J2221" s="444">
        <f t="array" ref="J2221">IFERROR(INDEX('Retirement Calculator'!K:K,MATCH('Lorri 401b'!N2221,'Retirement Calculator'!A:A,0),0),0)</f>
        <v>0</v>
      </c>
      <c r="K2221" s="444">
        <f t="shared" ca="1" si="123"/>
        <v>-9503826.9251708612</v>
      </c>
      <c r="L2221" s="444">
        <f t="shared" ca="1" si="124"/>
        <v>-2290422288.9661775</v>
      </c>
      <c r="M2221" s="460">
        <f t="shared" si="126"/>
        <v>0.05</v>
      </c>
      <c r="N2221" s="464">
        <f t="shared" si="127"/>
        <v>118645</v>
      </c>
    </row>
    <row r="2222" spans="7:14" ht="11.25" customHeight="1" x14ac:dyDescent="0.3">
      <c r="G2222" s="459"/>
      <c r="H2222" s="459">
        <v>2215</v>
      </c>
      <c r="I2222" s="444">
        <f t="shared" ca="1" si="125"/>
        <v>-2290422288.9661775</v>
      </c>
      <c r="J2222" s="444">
        <f t="array" ref="J2222">IFERROR(INDEX('Retirement Calculator'!K:K,MATCH('Lorri 401b'!N2222,'Retirement Calculator'!A:A,0),0),0)</f>
        <v>0</v>
      </c>
      <c r="K2222" s="444">
        <f t="shared" ca="1" si="123"/>
        <v>-9543426.2040257398</v>
      </c>
      <c r="L2222" s="444">
        <f t="shared" ca="1" si="124"/>
        <v>-2299965715.1702032</v>
      </c>
      <c r="M2222" s="460">
        <f t="shared" si="126"/>
        <v>0.05</v>
      </c>
      <c r="N2222" s="464">
        <f t="shared" si="127"/>
        <v>118675</v>
      </c>
    </row>
    <row r="2223" spans="7:14" ht="11.25" customHeight="1" x14ac:dyDescent="0.3">
      <c r="G2223" s="459"/>
      <c r="H2223" s="459">
        <v>2216</v>
      </c>
      <c r="I2223" s="444">
        <f t="shared" ca="1" si="125"/>
        <v>-2299965715.1702032</v>
      </c>
      <c r="J2223" s="444">
        <f t="array" ref="J2223">IFERROR(INDEX('Retirement Calculator'!K:K,MATCH('Lorri 401b'!N2223,'Retirement Calculator'!A:A,0),0),0)</f>
        <v>0</v>
      </c>
      <c r="K2223" s="444">
        <f t="shared" ca="1" si="123"/>
        <v>-9583190.4798758458</v>
      </c>
      <c r="L2223" s="444">
        <f t="shared" ca="1" si="124"/>
        <v>-2309548905.6500793</v>
      </c>
      <c r="M2223" s="460">
        <f t="shared" si="126"/>
        <v>0.05</v>
      </c>
      <c r="N2223" s="464">
        <f t="shared" si="127"/>
        <v>118706</v>
      </c>
    </row>
    <row r="2224" spans="7:14" ht="11.25" customHeight="1" x14ac:dyDescent="0.3">
      <c r="G2224" s="459"/>
      <c r="H2224" s="459">
        <v>2217</v>
      </c>
      <c r="I2224" s="444">
        <f t="shared" ca="1" si="125"/>
        <v>-2309548905.6500793</v>
      </c>
      <c r="J2224" s="444">
        <f t="array" ref="J2224">IFERROR(INDEX('Retirement Calculator'!K:K,MATCH('Lorri 401b'!N2224,'Retirement Calculator'!A:A,0),0),0)</f>
        <v>0</v>
      </c>
      <c r="K2224" s="444">
        <f t="shared" ca="1" si="123"/>
        <v>-9623120.4402086642</v>
      </c>
      <c r="L2224" s="444">
        <f t="shared" ca="1" si="124"/>
        <v>-2319172026.0902877</v>
      </c>
      <c r="M2224" s="460">
        <f t="shared" si="126"/>
        <v>0.05</v>
      </c>
      <c r="N2224" s="464">
        <f t="shared" si="127"/>
        <v>118737</v>
      </c>
    </row>
    <row r="2225" spans="7:14" ht="11.25" customHeight="1" x14ac:dyDescent="0.3">
      <c r="G2225" s="459"/>
      <c r="H2225" s="459">
        <v>2218</v>
      </c>
      <c r="I2225" s="444">
        <f t="shared" ca="1" si="125"/>
        <v>-2319172026.0902877</v>
      </c>
      <c r="J2225" s="444">
        <f t="array" ref="J2225">IFERROR(INDEX('Retirement Calculator'!K:K,MATCH('Lorri 401b'!N2225,'Retirement Calculator'!A:A,0),0),0)</f>
        <v>0</v>
      </c>
      <c r="K2225" s="444">
        <f t="shared" ca="1" si="123"/>
        <v>-9663216.7753761988</v>
      </c>
      <c r="L2225" s="444">
        <f t="shared" ca="1" si="124"/>
        <v>-2328835242.865664</v>
      </c>
      <c r="M2225" s="460">
        <f t="shared" si="126"/>
        <v>0.05</v>
      </c>
      <c r="N2225" s="464">
        <f t="shared" si="127"/>
        <v>118765</v>
      </c>
    </row>
    <row r="2226" spans="7:14" ht="11.25" customHeight="1" x14ac:dyDescent="0.3">
      <c r="G2226" s="459"/>
      <c r="H2226" s="459">
        <v>2219</v>
      </c>
      <c r="I2226" s="444">
        <f t="shared" ca="1" si="125"/>
        <v>-2328835242.865664</v>
      </c>
      <c r="J2226" s="444">
        <f t="array" ref="J2226">IFERROR(INDEX('Retirement Calculator'!K:K,MATCH('Lorri 401b'!N2226,'Retirement Calculator'!A:A,0),0),0)</f>
        <v>0</v>
      </c>
      <c r="K2226" s="444">
        <f t="shared" ca="1" si="123"/>
        <v>-9703480.178606933</v>
      </c>
      <c r="L2226" s="444">
        <f t="shared" ca="1" si="124"/>
        <v>-2338538723.044271</v>
      </c>
      <c r="M2226" s="460">
        <f t="shared" si="126"/>
        <v>0.05</v>
      </c>
      <c r="N2226" s="464">
        <f t="shared" si="127"/>
        <v>118796</v>
      </c>
    </row>
    <row r="2227" spans="7:14" ht="11.25" customHeight="1" x14ac:dyDescent="0.3">
      <c r="G2227" s="459"/>
      <c r="H2227" s="459">
        <v>2220</v>
      </c>
      <c r="I2227" s="444">
        <f t="shared" ca="1" si="125"/>
        <v>-2338538723.044271</v>
      </c>
      <c r="J2227" s="444">
        <f t="array" ref="J2227">IFERROR(INDEX('Retirement Calculator'!K:K,MATCH('Lorri 401b'!N2227,'Retirement Calculator'!A:A,0),0),0)</f>
        <v>0</v>
      </c>
      <c r="K2227" s="444">
        <f t="shared" ca="1" si="123"/>
        <v>-9743911.3460177965</v>
      </c>
      <c r="L2227" s="444">
        <f t="shared" ca="1" si="124"/>
        <v>-2348282634.3902888</v>
      </c>
      <c r="M2227" s="460">
        <f t="shared" si="126"/>
        <v>0.05</v>
      </c>
      <c r="N2227" s="464">
        <f t="shared" si="127"/>
        <v>118826</v>
      </c>
    </row>
    <row r="2228" spans="7:14" ht="11.25" customHeight="1" x14ac:dyDescent="0.3">
      <c r="G2228" s="459"/>
      <c r="H2228" s="459">
        <v>2221</v>
      </c>
      <c r="I2228" s="444">
        <f t="shared" ca="1" si="125"/>
        <v>-2348282634.3902888</v>
      </c>
      <c r="J2228" s="444">
        <f t="array" ref="J2228">IFERROR(INDEX('Retirement Calculator'!K:K,MATCH('Lorri 401b'!N2228,'Retirement Calculator'!A:A,0),0),0)</f>
        <v>0</v>
      </c>
      <c r="K2228" s="444">
        <f t="shared" ca="1" si="123"/>
        <v>-9784510.9766262025</v>
      </c>
      <c r="L2228" s="444">
        <f t="shared" ca="1" si="124"/>
        <v>-2358067145.3669152</v>
      </c>
      <c r="M2228" s="460">
        <f t="shared" si="126"/>
        <v>0.05</v>
      </c>
      <c r="N2228" s="464">
        <f t="shared" si="127"/>
        <v>118857</v>
      </c>
    </row>
    <row r="2229" spans="7:14" ht="11.25" customHeight="1" x14ac:dyDescent="0.3">
      <c r="G2229" s="459"/>
      <c r="H2229" s="459">
        <v>2222</v>
      </c>
      <c r="I2229" s="444">
        <f t="shared" ca="1" si="125"/>
        <v>-2358067145.3669152</v>
      </c>
      <c r="J2229" s="444">
        <f t="array" ref="J2229">IFERROR(INDEX('Retirement Calculator'!K:K,MATCH('Lorri 401b'!N2229,'Retirement Calculator'!A:A,0),0),0)</f>
        <v>0</v>
      </c>
      <c r="K2229" s="444">
        <f t="shared" ca="1" si="123"/>
        <v>-9825279.7723621465</v>
      </c>
      <c r="L2229" s="444">
        <f t="shared" ca="1" si="124"/>
        <v>-2367892425.1392775</v>
      </c>
      <c r="M2229" s="460">
        <f t="shared" si="126"/>
        <v>0.05</v>
      </c>
      <c r="N2229" s="464">
        <f t="shared" si="127"/>
        <v>118887</v>
      </c>
    </row>
    <row r="2230" spans="7:14" ht="11.25" customHeight="1" x14ac:dyDescent="0.3">
      <c r="G2230" s="459"/>
      <c r="H2230" s="459">
        <v>2223</v>
      </c>
      <c r="I2230" s="444">
        <f t="shared" ca="1" si="125"/>
        <v>-2367892425.1392775</v>
      </c>
      <c r="J2230" s="444">
        <f t="array" ref="J2230">IFERROR(INDEX('Retirement Calculator'!K:K,MATCH('Lorri 401b'!N2230,'Retirement Calculator'!A:A,0),0),0)</f>
        <v>0</v>
      </c>
      <c r="K2230" s="444">
        <f t="shared" ca="1" si="123"/>
        <v>-9866218.438080322</v>
      </c>
      <c r="L2230" s="444">
        <f t="shared" ca="1" si="124"/>
        <v>-2377758643.5773578</v>
      </c>
      <c r="M2230" s="460">
        <f t="shared" si="126"/>
        <v>0.05</v>
      </c>
      <c r="N2230" s="464">
        <f t="shared" si="127"/>
        <v>118918</v>
      </c>
    </row>
    <row r="2231" spans="7:14" ht="11.25" customHeight="1" x14ac:dyDescent="0.3">
      <c r="G2231" s="459"/>
      <c r="H2231" s="459">
        <v>2224</v>
      </c>
      <c r="I2231" s="444">
        <f t="shared" ca="1" si="125"/>
        <v>-2377758643.5773578</v>
      </c>
      <c r="J2231" s="444">
        <f t="array" ref="J2231">IFERROR(INDEX('Retirement Calculator'!K:K,MATCH('Lorri 401b'!N2231,'Retirement Calculator'!A:A,0),0),0)</f>
        <v>0</v>
      </c>
      <c r="K2231" s="444">
        <f t="shared" ca="1" si="123"/>
        <v>-9907327.6815723237</v>
      </c>
      <c r="L2231" s="444">
        <f t="shared" ca="1" si="124"/>
        <v>-2387665971.2589302</v>
      </c>
      <c r="M2231" s="460">
        <f t="shared" si="126"/>
        <v>0.05</v>
      </c>
      <c r="N2231" s="464">
        <f t="shared" si="127"/>
        <v>118949</v>
      </c>
    </row>
    <row r="2232" spans="7:14" ht="11.25" customHeight="1" x14ac:dyDescent="0.3">
      <c r="G2232" s="459"/>
      <c r="H2232" s="459">
        <v>2225</v>
      </c>
      <c r="I2232" s="444">
        <f t="shared" ca="1" si="125"/>
        <v>-2387665971.2589302</v>
      </c>
      <c r="J2232" s="444">
        <f t="array" ref="J2232">IFERROR(INDEX('Retirement Calculator'!K:K,MATCH('Lorri 401b'!N2232,'Retirement Calculator'!A:A,0),0),0)</f>
        <v>0</v>
      </c>
      <c r="K2232" s="444">
        <f t="shared" ca="1" si="123"/>
        <v>-9948608.2135788761</v>
      </c>
      <c r="L2232" s="444">
        <f t="shared" ca="1" si="124"/>
        <v>-2397614579.4725089</v>
      </c>
      <c r="M2232" s="460">
        <f t="shared" si="126"/>
        <v>0.05</v>
      </c>
      <c r="N2232" s="464">
        <f t="shared" si="127"/>
        <v>118979</v>
      </c>
    </row>
    <row r="2233" spans="7:14" ht="11.25" customHeight="1" x14ac:dyDescent="0.3">
      <c r="G2233" s="459"/>
      <c r="H2233" s="459">
        <v>2226</v>
      </c>
      <c r="I2233" s="444">
        <f t="shared" ca="1" si="125"/>
        <v>-2397614579.4725089</v>
      </c>
      <c r="J2233" s="444">
        <f t="array" ref="J2233">IFERROR(INDEX('Retirement Calculator'!K:K,MATCH('Lorri 401b'!N2233,'Retirement Calculator'!A:A,0),0),0)</f>
        <v>0</v>
      </c>
      <c r="K2233" s="444">
        <f t="shared" ca="1" si="123"/>
        <v>-9990060.7478021197</v>
      </c>
      <c r="L2233" s="444">
        <f t="shared" ca="1" si="124"/>
        <v>-2407604640.2203112</v>
      </c>
      <c r="M2233" s="460">
        <f t="shared" si="126"/>
        <v>0.05</v>
      </c>
      <c r="N2233" s="464">
        <f t="shared" si="127"/>
        <v>119010</v>
      </c>
    </row>
    <row r="2234" spans="7:14" ht="11.25" customHeight="1" x14ac:dyDescent="0.3">
      <c r="G2234" s="459"/>
      <c r="H2234" s="459">
        <v>2227</v>
      </c>
      <c r="I2234" s="444">
        <f t="shared" ca="1" si="125"/>
        <v>-2407604640.2203112</v>
      </c>
      <c r="J2234" s="444">
        <f t="array" ref="J2234">IFERROR(INDEX('Retirement Calculator'!K:K,MATCH('Lorri 401b'!N2234,'Retirement Calculator'!A:A,0),0),0)</f>
        <v>0</v>
      </c>
      <c r="K2234" s="444">
        <f t="shared" ca="1" si="123"/>
        <v>-10031686.000917964</v>
      </c>
      <c r="L2234" s="444">
        <f t="shared" ca="1" si="124"/>
        <v>-2417636326.2212291</v>
      </c>
      <c r="M2234" s="460">
        <f t="shared" si="126"/>
        <v>0.05</v>
      </c>
      <c r="N2234" s="464">
        <f t="shared" si="127"/>
        <v>119040</v>
      </c>
    </row>
    <row r="2235" spans="7:14" ht="11.25" customHeight="1" x14ac:dyDescent="0.3">
      <c r="G2235" s="459"/>
      <c r="H2235" s="459">
        <v>2228</v>
      </c>
      <c r="I2235" s="444">
        <f t="shared" ca="1" si="125"/>
        <v>-2417636326.2212291</v>
      </c>
      <c r="J2235" s="444">
        <f t="array" ref="J2235">IFERROR(INDEX('Retirement Calculator'!K:K,MATCH('Lorri 401b'!N2235,'Retirement Calculator'!A:A,0),0),0)</f>
        <v>0</v>
      </c>
      <c r="K2235" s="444">
        <f t="shared" ca="1" si="123"/>
        <v>-10073484.692588454</v>
      </c>
      <c r="L2235" s="444">
        <f t="shared" ca="1" si="124"/>
        <v>-2427709810.9138174</v>
      </c>
      <c r="M2235" s="460">
        <f t="shared" si="126"/>
        <v>0.05</v>
      </c>
      <c r="N2235" s="464">
        <f t="shared" si="127"/>
        <v>119071</v>
      </c>
    </row>
    <row r="2236" spans="7:14" ht="11.25" customHeight="1" x14ac:dyDescent="0.3">
      <c r="G2236" s="459"/>
      <c r="H2236" s="459">
        <v>2229</v>
      </c>
      <c r="I2236" s="444">
        <f t="shared" ca="1" si="125"/>
        <v>-2427709810.9138174</v>
      </c>
      <c r="J2236" s="444">
        <f t="array" ref="J2236">IFERROR(INDEX('Retirement Calculator'!K:K,MATCH('Lorri 401b'!N2236,'Retirement Calculator'!A:A,0),0),0)</f>
        <v>0</v>
      </c>
      <c r="K2236" s="444">
        <f t="shared" ca="1" si="123"/>
        <v>-10115457.545474239</v>
      </c>
      <c r="L2236" s="444">
        <f t="shared" ca="1" si="124"/>
        <v>-2437825268.4592915</v>
      </c>
      <c r="M2236" s="460">
        <f t="shared" si="126"/>
        <v>0.05</v>
      </c>
      <c r="N2236" s="464">
        <f t="shared" si="127"/>
        <v>119102</v>
      </c>
    </row>
    <row r="2237" spans="7:14" ht="11.25" customHeight="1" x14ac:dyDescent="0.3">
      <c r="G2237" s="459"/>
      <c r="H2237" s="459">
        <v>2230</v>
      </c>
      <c r="I2237" s="444">
        <f t="shared" ca="1" si="125"/>
        <v>-2437825268.4592915</v>
      </c>
      <c r="J2237" s="444">
        <f t="array" ref="J2237">IFERROR(INDEX('Retirement Calculator'!K:K,MATCH('Lorri 401b'!N2237,'Retirement Calculator'!A:A,0),0),0)</f>
        <v>0</v>
      </c>
      <c r="K2237" s="444">
        <f t="shared" ca="1" si="123"/>
        <v>-10157605.285247048</v>
      </c>
      <c r="L2237" s="444">
        <f t="shared" ca="1" si="124"/>
        <v>-2447982873.7445383</v>
      </c>
      <c r="M2237" s="460">
        <f t="shared" si="126"/>
        <v>0.05</v>
      </c>
      <c r="N2237" s="464">
        <f t="shared" si="127"/>
        <v>119130</v>
      </c>
    </row>
    <row r="2238" spans="7:14" ht="11.25" customHeight="1" x14ac:dyDescent="0.3">
      <c r="G2238" s="459"/>
      <c r="H2238" s="459">
        <v>2231</v>
      </c>
      <c r="I2238" s="444">
        <f t="shared" ca="1" si="125"/>
        <v>-2447982873.7445383</v>
      </c>
      <c r="J2238" s="444">
        <f t="array" ref="J2238">IFERROR(INDEX('Retirement Calculator'!K:K,MATCH('Lorri 401b'!N2238,'Retirement Calculator'!A:A,0),0),0)</f>
        <v>0</v>
      </c>
      <c r="K2238" s="444">
        <f t="shared" ca="1" si="123"/>
        <v>-10199928.640602242</v>
      </c>
      <c r="L2238" s="444">
        <f t="shared" ca="1" si="124"/>
        <v>-2458182802.3851404</v>
      </c>
      <c r="M2238" s="460">
        <f t="shared" si="126"/>
        <v>0.05</v>
      </c>
      <c r="N2238" s="464">
        <f t="shared" si="127"/>
        <v>119161</v>
      </c>
    </row>
    <row r="2239" spans="7:14" ht="11.25" customHeight="1" x14ac:dyDescent="0.3">
      <c r="G2239" s="459"/>
      <c r="H2239" s="459">
        <v>2232</v>
      </c>
      <c r="I2239" s="444">
        <f t="shared" ca="1" si="125"/>
        <v>-2458182802.3851404</v>
      </c>
      <c r="J2239" s="444">
        <f t="array" ref="J2239">IFERROR(INDEX('Retirement Calculator'!K:K,MATCH('Lorri 401b'!N2239,'Retirement Calculator'!A:A,0),0),0)</f>
        <v>0</v>
      </c>
      <c r="K2239" s="444">
        <f t="shared" ca="1" si="123"/>
        <v>-10242428.343271418</v>
      </c>
      <c r="L2239" s="444">
        <f t="shared" ca="1" si="124"/>
        <v>-2468425230.7284117</v>
      </c>
      <c r="M2239" s="460">
        <f t="shared" si="126"/>
        <v>0.05</v>
      </c>
      <c r="N2239" s="464">
        <f t="shared" si="127"/>
        <v>119191</v>
      </c>
    </row>
    <row r="2240" spans="7:14" ht="11.25" customHeight="1" x14ac:dyDescent="0.3">
      <c r="G2240" s="459"/>
      <c r="H2240" s="459">
        <v>2233</v>
      </c>
      <c r="I2240" s="444">
        <f t="shared" ca="1" si="125"/>
        <v>-2468425230.7284117</v>
      </c>
      <c r="J2240" s="444">
        <f t="array" ref="J2240">IFERROR(INDEX('Retirement Calculator'!K:K,MATCH('Lorri 401b'!N2240,'Retirement Calculator'!A:A,0),0),0)</f>
        <v>0</v>
      </c>
      <c r="K2240" s="444">
        <f t="shared" ca="1" si="123"/>
        <v>-10285105.128035048</v>
      </c>
      <c r="L2240" s="444">
        <f t="shared" ca="1" si="124"/>
        <v>-2478710335.8564467</v>
      </c>
      <c r="M2240" s="460">
        <f t="shared" si="126"/>
        <v>0.05</v>
      </c>
      <c r="N2240" s="464">
        <f t="shared" si="127"/>
        <v>119222</v>
      </c>
    </row>
    <row r="2241" spans="7:14" ht="11.25" customHeight="1" x14ac:dyDescent="0.3">
      <c r="G2241" s="459"/>
      <c r="H2241" s="459">
        <v>2234</v>
      </c>
      <c r="I2241" s="444">
        <f t="shared" ca="1" si="125"/>
        <v>-2478710335.8564467</v>
      </c>
      <c r="J2241" s="444">
        <f t="array" ref="J2241">IFERROR(INDEX('Retirement Calculator'!K:K,MATCH('Lorri 401b'!N2241,'Retirement Calculator'!A:A,0),0),0)</f>
        <v>0</v>
      </c>
      <c r="K2241" s="444">
        <f t="shared" ca="1" si="123"/>
        <v>-10327959.732735194</v>
      </c>
      <c r="L2241" s="444">
        <f t="shared" ca="1" si="124"/>
        <v>-2489038295.5891819</v>
      </c>
      <c r="M2241" s="460">
        <f t="shared" si="126"/>
        <v>0.05</v>
      </c>
      <c r="N2241" s="464">
        <f t="shared" si="127"/>
        <v>119252</v>
      </c>
    </row>
    <row r="2242" spans="7:14" ht="11.25" customHeight="1" x14ac:dyDescent="0.3">
      <c r="G2242" s="459"/>
      <c r="H2242" s="459">
        <v>2235</v>
      </c>
      <c r="I2242" s="444">
        <f t="shared" ca="1" si="125"/>
        <v>-2489038295.5891819</v>
      </c>
      <c r="J2242" s="444">
        <f t="array" ref="J2242">IFERROR(INDEX('Retirement Calculator'!K:K,MATCH('Lorri 401b'!N2242,'Retirement Calculator'!A:A,0),0),0)</f>
        <v>0</v>
      </c>
      <c r="K2242" s="444">
        <f t="shared" ca="1" si="123"/>
        <v>-10370992.898288257</v>
      </c>
      <c r="L2242" s="444">
        <f t="shared" ca="1" si="124"/>
        <v>-2499409288.4874701</v>
      </c>
      <c r="M2242" s="460">
        <f t="shared" si="126"/>
        <v>0.05</v>
      </c>
      <c r="N2242" s="464">
        <f t="shared" si="127"/>
        <v>119283</v>
      </c>
    </row>
    <row r="2243" spans="7:14" ht="11.25" customHeight="1" x14ac:dyDescent="0.3">
      <c r="G2243" s="459"/>
      <c r="H2243" s="459">
        <v>2236</v>
      </c>
      <c r="I2243" s="444">
        <f t="shared" ca="1" si="125"/>
        <v>-2499409288.4874701</v>
      </c>
      <c r="J2243" s="444">
        <f t="array" ref="J2243">IFERROR(INDEX('Retirement Calculator'!K:K,MATCH('Lorri 401b'!N2243,'Retirement Calculator'!A:A,0),0),0)</f>
        <v>0</v>
      </c>
      <c r="K2243" s="444">
        <f t="shared" ca="1" si="123"/>
        <v>-10414205.368697792</v>
      </c>
      <c r="L2243" s="444">
        <f t="shared" ca="1" si="124"/>
        <v>-2509823493.8561678</v>
      </c>
      <c r="M2243" s="460">
        <f t="shared" si="126"/>
        <v>0.05</v>
      </c>
      <c r="N2243" s="464">
        <f t="shared" si="127"/>
        <v>119314</v>
      </c>
    </row>
    <row r="2244" spans="7:14" ht="11.25" customHeight="1" x14ac:dyDescent="0.3">
      <c r="G2244" s="459"/>
      <c r="H2244" s="459">
        <v>2237</v>
      </c>
      <c r="I2244" s="444">
        <f t="shared" ca="1" si="125"/>
        <v>-2509823493.8561678</v>
      </c>
      <c r="J2244" s="444">
        <f t="array" ref="J2244">IFERROR(INDEX('Retirement Calculator'!K:K,MATCH('Lorri 401b'!N2244,'Retirement Calculator'!A:A,0),0),0)</f>
        <v>0</v>
      </c>
      <c r="K2244" s="444">
        <f t="shared" ca="1" si="123"/>
        <v>-10457597.891067365</v>
      </c>
      <c r="L2244" s="444">
        <f t="shared" ca="1" si="124"/>
        <v>-2520281091.7472353</v>
      </c>
      <c r="M2244" s="460">
        <f t="shared" si="126"/>
        <v>0.05</v>
      </c>
      <c r="N2244" s="464">
        <f t="shared" si="127"/>
        <v>119344</v>
      </c>
    </row>
    <row r="2245" spans="7:14" ht="11.25" customHeight="1" x14ac:dyDescent="0.3">
      <c r="G2245" s="459"/>
      <c r="H2245" s="459">
        <v>2238</v>
      </c>
      <c r="I2245" s="444">
        <f t="shared" ca="1" si="125"/>
        <v>-2520281091.7472353</v>
      </c>
      <c r="J2245" s="444">
        <f t="array" ref="J2245">IFERROR(INDEX('Retirement Calculator'!K:K,MATCH('Lorri 401b'!N2245,'Retirement Calculator'!A:A,0),0),0)</f>
        <v>0</v>
      </c>
      <c r="K2245" s="444">
        <f t="shared" ca="1" si="123"/>
        <v>-10501171.215613481</v>
      </c>
      <c r="L2245" s="444">
        <f t="shared" ca="1" si="124"/>
        <v>-2530782262.9628487</v>
      </c>
      <c r="M2245" s="460">
        <f t="shared" si="126"/>
        <v>0.05</v>
      </c>
      <c r="N2245" s="464">
        <f t="shared" si="127"/>
        <v>119375</v>
      </c>
    </row>
    <row r="2246" spans="7:14" ht="11.25" customHeight="1" x14ac:dyDescent="0.3">
      <c r="G2246" s="459"/>
      <c r="H2246" s="459">
        <v>2239</v>
      </c>
      <c r="I2246" s="444">
        <f t="shared" ca="1" si="125"/>
        <v>-2530782262.9628487</v>
      </c>
      <c r="J2246" s="444">
        <f t="array" ref="J2246">IFERROR(INDEX('Retirement Calculator'!K:K,MATCH('Lorri 401b'!N2246,'Retirement Calculator'!A:A,0),0),0)</f>
        <v>0</v>
      </c>
      <c r="K2246" s="444">
        <f t="shared" ca="1" si="123"/>
        <v>-10544926.095678536</v>
      </c>
      <c r="L2246" s="444">
        <f t="shared" ca="1" si="124"/>
        <v>-2541327189.058527</v>
      </c>
      <c r="M2246" s="460">
        <f t="shared" si="126"/>
        <v>0.05</v>
      </c>
      <c r="N2246" s="464">
        <f t="shared" si="127"/>
        <v>119405</v>
      </c>
    </row>
    <row r="2247" spans="7:14" ht="11.25" customHeight="1" x14ac:dyDescent="0.3">
      <c r="G2247" s="459"/>
      <c r="H2247" s="459">
        <v>2240</v>
      </c>
      <c r="I2247" s="444">
        <f t="shared" ca="1" si="125"/>
        <v>-2541327189.058527</v>
      </c>
      <c r="J2247" s="444">
        <f t="array" ref="J2247">IFERROR(INDEX('Retirement Calculator'!K:K,MATCH('Lorri 401b'!N2247,'Retirement Calculator'!A:A,0),0),0)</f>
        <v>0</v>
      </c>
      <c r="K2247" s="444">
        <f t="shared" ca="1" si="123"/>
        <v>-10588863.287743863</v>
      </c>
      <c r="L2247" s="444">
        <f t="shared" ca="1" si="124"/>
        <v>-2551916052.346271</v>
      </c>
      <c r="M2247" s="460">
        <f t="shared" si="126"/>
        <v>0.05</v>
      </c>
      <c r="N2247" s="464">
        <f t="shared" si="127"/>
        <v>119436</v>
      </c>
    </row>
    <row r="2248" spans="7:14" ht="11.25" customHeight="1" x14ac:dyDescent="0.3">
      <c r="G2248" s="459"/>
      <c r="H2248" s="459">
        <v>2241</v>
      </c>
      <c r="I2248" s="444">
        <f t="shared" ca="1" si="125"/>
        <v>-2551916052.346271</v>
      </c>
      <c r="J2248" s="444">
        <f t="array" ref="J2248">IFERROR(INDEX('Retirement Calculator'!K:K,MATCH('Lorri 401b'!N2248,'Retirement Calculator'!A:A,0),0),0)</f>
        <v>0</v>
      </c>
      <c r="K2248" s="444">
        <f t="shared" ca="1" si="123"/>
        <v>-10632983.551442796</v>
      </c>
      <c r="L2248" s="444">
        <f t="shared" ca="1" si="124"/>
        <v>-2562549035.8977137</v>
      </c>
      <c r="M2248" s="460">
        <f t="shared" si="126"/>
        <v>0.05</v>
      </c>
      <c r="N2248" s="464">
        <f t="shared" si="127"/>
        <v>119467</v>
      </c>
    </row>
    <row r="2249" spans="7:14" ht="11.25" customHeight="1" x14ac:dyDescent="0.3">
      <c r="G2249" s="459"/>
      <c r="H2249" s="459">
        <v>2242</v>
      </c>
      <c r="I2249" s="444">
        <f t="shared" ca="1" si="125"/>
        <v>-2562549035.8977137</v>
      </c>
      <c r="J2249" s="444">
        <f t="array" ref="J2249">IFERROR(INDEX('Retirement Calculator'!K:K,MATCH('Lorri 401b'!N2249,'Retirement Calculator'!A:A,0),0),0)</f>
        <v>0</v>
      </c>
      <c r="K2249" s="444">
        <f t="shared" ca="1" si="123"/>
        <v>-10677287.649573807</v>
      </c>
      <c r="L2249" s="444">
        <f t="shared" ca="1" si="124"/>
        <v>-2573226323.5472875</v>
      </c>
      <c r="M2249" s="460">
        <f t="shared" si="126"/>
        <v>0.05</v>
      </c>
      <c r="N2249" s="464">
        <f t="shared" si="127"/>
        <v>119495</v>
      </c>
    </row>
    <row r="2250" spans="7:14" ht="11.25" customHeight="1" x14ac:dyDescent="0.3">
      <c r="G2250" s="459"/>
      <c r="H2250" s="459">
        <v>2243</v>
      </c>
      <c r="I2250" s="444">
        <f t="shared" ca="1" si="125"/>
        <v>-2573226323.5472875</v>
      </c>
      <c r="J2250" s="444">
        <f t="array" ref="J2250">IFERROR(INDEX('Retirement Calculator'!K:K,MATCH('Lorri 401b'!N2250,'Retirement Calculator'!A:A,0),0),0)</f>
        <v>0</v>
      </c>
      <c r="K2250" s="444">
        <f t="shared" ca="1" si="123"/>
        <v>-10721776.348113697</v>
      </c>
      <c r="L2250" s="444">
        <f t="shared" ca="1" si="124"/>
        <v>-2583948099.895401</v>
      </c>
      <c r="M2250" s="460">
        <f t="shared" si="126"/>
        <v>0.05</v>
      </c>
      <c r="N2250" s="464">
        <f t="shared" si="127"/>
        <v>119526</v>
      </c>
    </row>
    <row r="2251" spans="7:14" ht="11.25" customHeight="1" x14ac:dyDescent="0.3">
      <c r="G2251" s="459"/>
      <c r="H2251" s="459">
        <v>2244</v>
      </c>
      <c r="I2251" s="444">
        <f t="shared" ca="1" si="125"/>
        <v>-2583948099.895401</v>
      </c>
      <c r="J2251" s="444">
        <f t="array" ref="J2251">IFERROR(INDEX('Retirement Calculator'!K:K,MATCH('Lorri 401b'!N2251,'Retirement Calculator'!A:A,0),0),0)</f>
        <v>0</v>
      </c>
      <c r="K2251" s="444">
        <f t="shared" ca="1" si="123"/>
        <v>-10766450.416230837</v>
      </c>
      <c r="L2251" s="444">
        <f t="shared" ca="1" si="124"/>
        <v>-2594714550.3116317</v>
      </c>
      <c r="M2251" s="460">
        <f t="shared" si="126"/>
        <v>0.05</v>
      </c>
      <c r="N2251" s="464">
        <f t="shared" si="127"/>
        <v>119556</v>
      </c>
    </row>
    <row r="2252" spans="7:14" ht="11.25" customHeight="1" x14ac:dyDescent="0.3">
      <c r="G2252" s="459"/>
      <c r="H2252" s="459">
        <v>2245</v>
      </c>
      <c r="I2252" s="444">
        <f t="shared" ca="1" si="125"/>
        <v>-2594714550.3116317</v>
      </c>
      <c r="J2252" s="444">
        <f t="array" ref="J2252">IFERROR(INDEX('Retirement Calculator'!K:K,MATCH('Lorri 401b'!N2252,'Retirement Calculator'!A:A,0),0),0)</f>
        <v>0</v>
      </c>
      <c r="K2252" s="444">
        <f t="shared" ca="1" si="123"/>
        <v>-10811310.626298465</v>
      </c>
      <c r="L2252" s="444">
        <f t="shared" ca="1" si="124"/>
        <v>-2605525860.9379301</v>
      </c>
      <c r="M2252" s="460">
        <f t="shared" si="126"/>
        <v>0.05</v>
      </c>
      <c r="N2252" s="464">
        <f t="shared" si="127"/>
        <v>119587</v>
      </c>
    </row>
    <row r="2253" spans="7:14" ht="11.25" customHeight="1" x14ac:dyDescent="0.3">
      <c r="G2253" s="459"/>
      <c r="H2253" s="459">
        <v>2246</v>
      </c>
      <c r="I2253" s="444">
        <f t="shared" ca="1" si="125"/>
        <v>-2605525860.9379301</v>
      </c>
      <c r="J2253" s="444">
        <f t="array" ref="J2253">IFERROR(INDEX('Retirement Calculator'!K:K,MATCH('Lorri 401b'!N2253,'Retirement Calculator'!A:A,0),0),0)</f>
        <v>0</v>
      </c>
      <c r="K2253" s="444">
        <f t="shared" ca="1" si="123"/>
        <v>-10856357.753908042</v>
      </c>
      <c r="L2253" s="444">
        <f t="shared" ca="1" si="124"/>
        <v>-2616382218.6918383</v>
      </c>
      <c r="M2253" s="460">
        <f t="shared" si="126"/>
        <v>0.05</v>
      </c>
      <c r="N2253" s="464">
        <f t="shared" si="127"/>
        <v>119617</v>
      </c>
    </row>
    <row r="2254" spans="7:14" ht="11.25" customHeight="1" x14ac:dyDescent="0.3">
      <c r="G2254" s="459"/>
      <c r="H2254" s="459">
        <v>2247</v>
      </c>
      <c r="I2254" s="444">
        <f t="shared" ca="1" si="125"/>
        <v>-2616382218.6918383</v>
      </c>
      <c r="J2254" s="444">
        <f t="array" ref="J2254">IFERROR(INDEX('Retirement Calculator'!K:K,MATCH('Lorri 401b'!N2254,'Retirement Calculator'!A:A,0),0),0)</f>
        <v>0</v>
      </c>
      <c r="K2254" s="444">
        <f t="shared" ca="1" si="123"/>
        <v>-10901592.577882659</v>
      </c>
      <c r="L2254" s="444">
        <f t="shared" ca="1" si="124"/>
        <v>-2627283811.269721</v>
      </c>
      <c r="M2254" s="460">
        <f t="shared" si="126"/>
        <v>0.05</v>
      </c>
      <c r="N2254" s="464">
        <f t="shared" si="127"/>
        <v>119648</v>
      </c>
    </row>
    <row r="2255" spans="7:14" ht="11.25" customHeight="1" x14ac:dyDescent="0.3">
      <c r="G2255" s="459"/>
      <c r="H2255" s="459">
        <v>2248</v>
      </c>
      <c r="I2255" s="444">
        <f t="shared" ca="1" si="125"/>
        <v>-2627283811.269721</v>
      </c>
      <c r="J2255" s="444">
        <f t="array" ref="J2255">IFERROR(INDEX('Retirement Calculator'!K:K,MATCH('Lorri 401b'!N2255,'Retirement Calculator'!A:A,0),0),0)</f>
        <v>0</v>
      </c>
      <c r="K2255" s="444">
        <f t="shared" ca="1" si="123"/>
        <v>-10947015.880290505</v>
      </c>
      <c r="L2255" s="444">
        <f t="shared" ca="1" si="124"/>
        <v>-2638230827.1500115</v>
      </c>
      <c r="M2255" s="460">
        <f t="shared" si="126"/>
        <v>0.05</v>
      </c>
      <c r="N2255" s="464">
        <f t="shared" si="127"/>
        <v>119679</v>
      </c>
    </row>
    <row r="2256" spans="7:14" ht="11.25" customHeight="1" x14ac:dyDescent="0.3">
      <c r="G2256" s="459"/>
      <c r="H2256" s="459">
        <v>2249</v>
      </c>
      <c r="I2256" s="444">
        <f t="shared" ca="1" si="125"/>
        <v>-2638230827.1500115</v>
      </c>
      <c r="J2256" s="444">
        <f t="array" ref="J2256">IFERROR(INDEX('Retirement Calculator'!K:K,MATCH('Lorri 401b'!N2256,'Retirement Calculator'!A:A,0),0),0)</f>
        <v>0</v>
      </c>
      <c r="K2256" s="444">
        <f t="shared" ca="1" si="123"/>
        <v>-10992628.446458381</v>
      </c>
      <c r="L2256" s="444">
        <f t="shared" ca="1" si="124"/>
        <v>-2649223455.5964699</v>
      </c>
      <c r="M2256" s="460">
        <f t="shared" si="126"/>
        <v>0.05</v>
      </c>
      <c r="N2256" s="464">
        <f t="shared" si="127"/>
        <v>119709</v>
      </c>
    </row>
    <row r="2257" spans="7:14" ht="11.25" customHeight="1" x14ac:dyDescent="0.3">
      <c r="G2257" s="459"/>
      <c r="H2257" s="459">
        <v>2250</v>
      </c>
      <c r="I2257" s="444">
        <f t="shared" ca="1" si="125"/>
        <v>-2649223455.5964699</v>
      </c>
      <c r="J2257" s="444">
        <f t="array" ref="J2257">IFERROR(INDEX('Retirement Calculator'!K:K,MATCH('Lorri 401b'!N2257,'Retirement Calculator'!A:A,0),0),0)</f>
        <v>0</v>
      </c>
      <c r="K2257" s="444">
        <f t="shared" ca="1" si="123"/>
        <v>-11038431.06498529</v>
      </c>
      <c r="L2257" s="444">
        <f t="shared" ca="1" si="124"/>
        <v>-2660261886.6614552</v>
      </c>
      <c r="M2257" s="460">
        <f t="shared" si="126"/>
        <v>0.05</v>
      </c>
      <c r="N2257" s="464">
        <f t="shared" si="127"/>
        <v>119740</v>
      </c>
    </row>
    <row r="2258" spans="7:14" ht="11.25" customHeight="1" x14ac:dyDescent="0.3">
      <c r="G2258" s="459"/>
      <c r="H2258" s="459">
        <v>2251</v>
      </c>
      <c r="I2258" s="444">
        <f t="shared" ca="1" si="125"/>
        <v>-2660261886.6614552</v>
      </c>
      <c r="J2258" s="444">
        <f t="array" ref="J2258">IFERROR(INDEX('Retirement Calculator'!K:K,MATCH('Lorri 401b'!N2258,'Retirement Calculator'!A:A,0),0),0)</f>
        <v>0</v>
      </c>
      <c r="K2258" s="444">
        <f t="shared" ca="1" si="123"/>
        <v>-11084424.527756063</v>
      </c>
      <c r="L2258" s="444">
        <f t="shared" ca="1" si="124"/>
        <v>-2671346311.1892114</v>
      </c>
      <c r="M2258" s="460">
        <f t="shared" si="126"/>
        <v>0.05</v>
      </c>
      <c r="N2258" s="464">
        <f t="shared" si="127"/>
        <v>119770</v>
      </c>
    </row>
    <row r="2259" spans="7:14" ht="11.25" customHeight="1" x14ac:dyDescent="0.3">
      <c r="G2259" s="459"/>
      <c r="H2259" s="459">
        <v>2252</v>
      </c>
      <c r="I2259" s="444">
        <f t="shared" ca="1" si="125"/>
        <v>-2671346311.1892114</v>
      </c>
      <c r="J2259" s="444">
        <f t="array" ref="J2259">IFERROR(INDEX('Retirement Calculator'!K:K,MATCH('Lorri 401b'!N2259,'Retirement Calculator'!A:A,0),0),0)</f>
        <v>0</v>
      </c>
      <c r="K2259" s="444">
        <f t="shared" ca="1" si="123"/>
        <v>-11130609.629955048</v>
      </c>
      <c r="L2259" s="444">
        <f t="shared" ca="1" si="124"/>
        <v>-2682476920.8191662</v>
      </c>
      <c r="M2259" s="460">
        <f t="shared" si="126"/>
        <v>0.05</v>
      </c>
      <c r="N2259" s="464">
        <f t="shared" si="127"/>
        <v>119801</v>
      </c>
    </row>
    <row r="2260" spans="7:14" ht="11.25" customHeight="1" x14ac:dyDescent="0.3">
      <c r="G2260" s="459"/>
      <c r="H2260" s="459">
        <v>2253</v>
      </c>
      <c r="I2260" s="444">
        <f t="shared" ca="1" si="125"/>
        <v>-2682476920.8191662</v>
      </c>
      <c r="J2260" s="444">
        <f t="array" ref="J2260">IFERROR(INDEX('Retirement Calculator'!K:K,MATCH('Lorri 401b'!N2260,'Retirement Calculator'!A:A,0),0),0)</f>
        <v>0</v>
      </c>
      <c r="K2260" s="444">
        <f t="shared" ca="1" si="123"/>
        <v>-11176987.170079859</v>
      </c>
      <c r="L2260" s="444">
        <f t="shared" ca="1" si="124"/>
        <v>-2693653907.9892459</v>
      </c>
      <c r="M2260" s="460">
        <f t="shared" si="126"/>
        <v>0.05</v>
      </c>
      <c r="N2260" s="464">
        <f t="shared" si="127"/>
        <v>119832</v>
      </c>
    </row>
    <row r="2261" spans="7:14" ht="11.25" customHeight="1" x14ac:dyDescent="0.3">
      <c r="G2261" s="459"/>
      <c r="H2261" s="459">
        <v>2254</v>
      </c>
      <c r="I2261" s="444">
        <f t="shared" ca="1" si="125"/>
        <v>-2693653907.9892459</v>
      </c>
      <c r="J2261" s="444">
        <f t="array" ref="J2261">IFERROR(INDEX('Retirement Calculator'!K:K,MATCH('Lorri 401b'!N2261,'Retirement Calculator'!A:A,0),0),0)</f>
        <v>0</v>
      </c>
      <c r="K2261" s="444">
        <f t="shared" ca="1" si="123"/>
        <v>-11223557.949955191</v>
      </c>
      <c r="L2261" s="444">
        <f t="shared" ca="1" si="124"/>
        <v>-2704877465.9392009</v>
      </c>
      <c r="M2261" s="460">
        <f t="shared" si="126"/>
        <v>0.05</v>
      </c>
      <c r="N2261" s="464">
        <f t="shared" si="127"/>
        <v>119861</v>
      </c>
    </row>
    <row r="2262" spans="7:14" ht="11.25" customHeight="1" x14ac:dyDescent="0.3">
      <c r="G2262" s="459"/>
      <c r="H2262" s="459">
        <v>2255</v>
      </c>
      <c r="I2262" s="444">
        <f t="shared" ca="1" si="125"/>
        <v>-2704877465.9392009</v>
      </c>
      <c r="J2262" s="444">
        <f t="array" ref="J2262">IFERROR(INDEX('Retirement Calculator'!K:K,MATCH('Lorri 401b'!N2262,'Retirement Calculator'!A:A,0),0),0)</f>
        <v>0</v>
      </c>
      <c r="K2262" s="444">
        <f t="shared" ca="1" si="123"/>
        <v>-11270322.774746669</v>
      </c>
      <c r="L2262" s="444">
        <f t="shared" ca="1" si="124"/>
        <v>-2716147788.7139478</v>
      </c>
      <c r="M2262" s="460">
        <f t="shared" si="126"/>
        <v>0.05</v>
      </c>
      <c r="N2262" s="464">
        <f t="shared" si="127"/>
        <v>119892</v>
      </c>
    </row>
    <row r="2263" spans="7:14" ht="11.25" customHeight="1" x14ac:dyDescent="0.3">
      <c r="G2263" s="459"/>
      <c r="H2263" s="459">
        <v>2256</v>
      </c>
      <c r="I2263" s="444">
        <f t="shared" ca="1" si="125"/>
        <v>-2716147788.7139478</v>
      </c>
      <c r="J2263" s="444">
        <f t="array" ref="J2263">IFERROR(INDEX('Retirement Calculator'!K:K,MATCH('Lorri 401b'!N2263,'Retirement Calculator'!A:A,0),0),0)</f>
        <v>0</v>
      </c>
      <c r="K2263" s="444">
        <f t="shared" ca="1" si="123"/>
        <v>-11317282.452974781</v>
      </c>
      <c r="L2263" s="444">
        <f t="shared" ca="1" si="124"/>
        <v>-2727465071.1669226</v>
      </c>
      <c r="M2263" s="460">
        <f t="shared" si="126"/>
        <v>0.05</v>
      </c>
      <c r="N2263" s="464">
        <f t="shared" si="127"/>
        <v>119922</v>
      </c>
    </row>
    <row r="2264" spans="7:14" ht="11.25" customHeight="1" x14ac:dyDescent="0.3">
      <c r="G2264" s="459"/>
      <c r="H2264" s="459">
        <v>2257</v>
      </c>
      <c r="I2264" s="444">
        <f t="shared" ca="1" si="125"/>
        <v>-2727465071.1669226</v>
      </c>
      <c r="J2264" s="444">
        <f t="array" ref="J2264">IFERROR(INDEX('Retirement Calculator'!K:K,MATCH('Lorri 401b'!N2264,'Retirement Calculator'!A:A,0),0),0)</f>
        <v>0</v>
      </c>
      <c r="K2264" s="444">
        <f t="shared" ca="1" si="123"/>
        <v>-11364437.796528844</v>
      </c>
      <c r="L2264" s="444">
        <f t="shared" ca="1" si="124"/>
        <v>-2738829508.9634514</v>
      </c>
      <c r="M2264" s="460">
        <f t="shared" si="126"/>
        <v>0.05</v>
      </c>
      <c r="N2264" s="464">
        <f t="shared" si="127"/>
        <v>119953</v>
      </c>
    </row>
    <row r="2265" spans="7:14" ht="11.25" customHeight="1" x14ac:dyDescent="0.3">
      <c r="G2265" s="459"/>
      <c r="H2265" s="459">
        <v>2258</v>
      </c>
      <c r="I2265" s="444">
        <f t="shared" ca="1" si="125"/>
        <v>-2738829508.9634514</v>
      </c>
      <c r="J2265" s="444">
        <f t="array" ref="J2265">IFERROR(INDEX('Retirement Calculator'!K:K,MATCH('Lorri 401b'!N2265,'Retirement Calculator'!A:A,0),0),0)</f>
        <v>0</v>
      </c>
      <c r="K2265" s="444">
        <f t="shared" ca="1" si="123"/>
        <v>-11411789.620681047</v>
      </c>
      <c r="L2265" s="444">
        <f t="shared" ca="1" si="124"/>
        <v>-2750241298.5841322</v>
      </c>
      <c r="M2265" s="460">
        <f t="shared" si="126"/>
        <v>0.05</v>
      </c>
      <c r="N2265" s="464">
        <f t="shared" si="127"/>
        <v>119983</v>
      </c>
    </row>
    <row r="2266" spans="7:14" ht="11.25" customHeight="1" x14ac:dyDescent="0.3">
      <c r="G2266" s="459"/>
      <c r="H2266" s="459">
        <v>2259</v>
      </c>
      <c r="I2266" s="444">
        <f t="shared" ca="1" si="125"/>
        <v>-2750241298.5841322</v>
      </c>
      <c r="J2266" s="444">
        <f t="array" ref="J2266">IFERROR(INDEX('Retirement Calculator'!K:K,MATCH('Lorri 401b'!N2266,'Retirement Calculator'!A:A,0),0),0)</f>
        <v>0</v>
      </c>
      <c r="K2266" s="444">
        <f t="shared" ca="1" si="123"/>
        <v>-11459338.74410055</v>
      </c>
      <c r="L2266" s="444">
        <f t="shared" ca="1" si="124"/>
        <v>-2761700637.3282328</v>
      </c>
      <c r="M2266" s="460">
        <f t="shared" si="126"/>
        <v>0.05</v>
      </c>
      <c r="N2266" s="464">
        <f t="shared" si="127"/>
        <v>120014</v>
      </c>
    </row>
    <row r="2267" spans="7:14" ht="11.25" customHeight="1" x14ac:dyDescent="0.3">
      <c r="G2267" s="459"/>
      <c r="H2267" s="459">
        <v>2260</v>
      </c>
      <c r="I2267" s="444">
        <f t="shared" ca="1" si="125"/>
        <v>-2761700637.3282328</v>
      </c>
      <c r="J2267" s="444">
        <f t="array" ref="J2267">IFERROR(INDEX('Retirement Calculator'!K:K,MATCH('Lorri 401b'!N2267,'Retirement Calculator'!A:A,0),0),0)</f>
        <v>0</v>
      </c>
      <c r="K2267" s="444">
        <f t="shared" ca="1" si="123"/>
        <v>-11507085.988867637</v>
      </c>
      <c r="L2267" s="444">
        <f t="shared" ca="1" si="124"/>
        <v>-2773207723.3171005</v>
      </c>
      <c r="M2267" s="460">
        <f t="shared" si="126"/>
        <v>0.05</v>
      </c>
      <c r="N2267" s="464">
        <f t="shared" si="127"/>
        <v>120045</v>
      </c>
    </row>
    <row r="2268" spans="7:14" ht="11.25" customHeight="1" x14ac:dyDescent="0.3">
      <c r="G2268" s="459"/>
      <c r="H2268" s="459">
        <v>2261</v>
      </c>
      <c r="I2268" s="444">
        <f t="shared" ca="1" si="125"/>
        <v>-2773207723.3171005</v>
      </c>
      <c r="J2268" s="444">
        <f t="array" ref="J2268">IFERROR(INDEX('Retirement Calculator'!K:K,MATCH('Lorri 401b'!N2268,'Retirement Calculator'!A:A,0),0),0)</f>
        <v>0</v>
      </c>
      <c r="K2268" s="444">
        <f t="shared" ca="1" si="123"/>
        <v>-11555032.18048792</v>
      </c>
      <c r="L2268" s="444">
        <f t="shared" ca="1" si="124"/>
        <v>-2784762755.4975886</v>
      </c>
      <c r="M2268" s="460">
        <f t="shared" si="126"/>
        <v>0.05</v>
      </c>
      <c r="N2268" s="464">
        <f t="shared" si="127"/>
        <v>120075</v>
      </c>
    </row>
    <row r="2269" spans="7:14" ht="11.25" customHeight="1" x14ac:dyDescent="0.3">
      <c r="G2269" s="459"/>
      <c r="H2269" s="459">
        <v>2262</v>
      </c>
      <c r="I2269" s="444">
        <f t="shared" ca="1" si="125"/>
        <v>-2784762755.4975886</v>
      </c>
      <c r="J2269" s="444">
        <f t="array" ref="J2269">IFERROR(INDEX('Retirement Calculator'!K:K,MATCH('Lorri 401b'!N2269,'Retirement Calculator'!A:A,0),0),0)</f>
        <v>0</v>
      </c>
      <c r="K2269" s="444">
        <f t="shared" ca="1" si="123"/>
        <v>-11603178.14790662</v>
      </c>
      <c r="L2269" s="444">
        <f t="shared" ca="1" si="124"/>
        <v>-2796365933.6454954</v>
      </c>
      <c r="M2269" s="460">
        <f t="shared" si="126"/>
        <v>0.05</v>
      </c>
      <c r="N2269" s="464">
        <f t="shared" si="127"/>
        <v>120106</v>
      </c>
    </row>
    <row r="2270" spans="7:14" ht="11.25" customHeight="1" x14ac:dyDescent="0.3">
      <c r="G2270" s="459"/>
      <c r="H2270" s="459">
        <v>2263</v>
      </c>
      <c r="I2270" s="444">
        <f t="shared" ca="1" si="125"/>
        <v>-2796365933.6454954</v>
      </c>
      <c r="J2270" s="444">
        <f t="array" ref="J2270">IFERROR(INDEX('Retirement Calculator'!K:K,MATCH('Lorri 401b'!N2270,'Retirement Calculator'!A:A,0),0),0)</f>
        <v>0</v>
      </c>
      <c r="K2270" s="444">
        <f t="shared" ca="1" si="123"/>
        <v>-11651524.723522898</v>
      </c>
      <c r="L2270" s="444">
        <f t="shared" ca="1" si="124"/>
        <v>-2808017458.3690181</v>
      </c>
      <c r="M2270" s="460">
        <f t="shared" si="126"/>
        <v>0.05</v>
      </c>
      <c r="N2270" s="464">
        <f t="shared" si="127"/>
        <v>120136</v>
      </c>
    </row>
    <row r="2271" spans="7:14" ht="11.25" customHeight="1" x14ac:dyDescent="0.3">
      <c r="G2271" s="459"/>
      <c r="H2271" s="459">
        <v>2264</v>
      </c>
      <c r="I2271" s="444">
        <f t="shared" ca="1" si="125"/>
        <v>-2808017458.3690181</v>
      </c>
      <c r="J2271" s="444">
        <f t="array" ref="J2271">IFERROR(INDEX('Retirement Calculator'!K:K,MATCH('Lorri 401b'!N2271,'Retirement Calculator'!A:A,0),0),0)</f>
        <v>0</v>
      </c>
      <c r="K2271" s="444">
        <f t="shared" ca="1" si="123"/>
        <v>-11700072.743204242</v>
      </c>
      <c r="L2271" s="444">
        <f t="shared" ca="1" si="124"/>
        <v>-2819717531.1122222</v>
      </c>
      <c r="M2271" s="460">
        <f t="shared" si="126"/>
        <v>0.05</v>
      </c>
      <c r="N2271" s="464">
        <f t="shared" si="127"/>
        <v>120167</v>
      </c>
    </row>
    <row r="2272" spans="7:14" ht="11.25" customHeight="1" x14ac:dyDescent="0.3">
      <c r="G2272" s="459"/>
      <c r="H2272" s="459">
        <v>2265</v>
      </c>
      <c r="I2272" s="444">
        <f t="shared" ca="1" si="125"/>
        <v>-2819717531.1122222</v>
      </c>
      <c r="J2272" s="444">
        <f t="array" ref="J2272">IFERROR(INDEX('Retirement Calculator'!K:K,MATCH('Lorri 401b'!N2272,'Retirement Calculator'!A:A,0),0),0)</f>
        <v>0</v>
      </c>
      <c r="K2272" s="444">
        <f t="shared" ca="1" si="123"/>
        <v>-11748823.046300925</v>
      </c>
      <c r="L2272" s="444">
        <f t="shared" ca="1" si="124"/>
        <v>-2831466354.1585231</v>
      </c>
      <c r="M2272" s="460">
        <f t="shared" si="126"/>
        <v>0.05</v>
      </c>
      <c r="N2272" s="464">
        <f t="shared" si="127"/>
        <v>120198</v>
      </c>
    </row>
    <row r="2273" spans="7:14" ht="11.25" customHeight="1" x14ac:dyDescent="0.3">
      <c r="G2273" s="459"/>
      <c r="H2273" s="459">
        <v>2266</v>
      </c>
      <c r="I2273" s="444">
        <f t="shared" ca="1" si="125"/>
        <v>-2831466354.1585231</v>
      </c>
      <c r="J2273" s="444">
        <f t="array" ref="J2273">IFERROR(INDEX('Retirement Calculator'!K:K,MATCH('Lorri 401b'!N2273,'Retirement Calculator'!A:A,0),0),0)</f>
        <v>0</v>
      </c>
      <c r="K2273" s="444">
        <f t="shared" ca="1" si="123"/>
        <v>-11797776.475660512</v>
      </c>
      <c r="L2273" s="444">
        <f t="shared" ca="1" si="124"/>
        <v>-2843264130.6341834</v>
      </c>
      <c r="M2273" s="460">
        <f t="shared" si="126"/>
        <v>0.05</v>
      </c>
      <c r="N2273" s="464">
        <f t="shared" si="127"/>
        <v>120226</v>
      </c>
    </row>
    <row r="2274" spans="7:14" ht="11.25" customHeight="1" x14ac:dyDescent="0.3">
      <c r="G2274" s="459"/>
      <c r="H2274" s="459">
        <v>2267</v>
      </c>
      <c r="I2274" s="444">
        <f t="shared" ca="1" si="125"/>
        <v>-2843264130.6341834</v>
      </c>
      <c r="J2274" s="444">
        <f t="array" ref="J2274">IFERROR(INDEX('Retirement Calculator'!K:K,MATCH('Lorri 401b'!N2274,'Retirement Calculator'!A:A,0),0),0)</f>
        <v>0</v>
      </c>
      <c r="K2274" s="444">
        <f t="shared" ca="1" si="123"/>
        <v>-11846933.87764243</v>
      </c>
      <c r="L2274" s="444">
        <f t="shared" ca="1" si="124"/>
        <v>-2855111064.511826</v>
      </c>
      <c r="M2274" s="460">
        <f t="shared" si="126"/>
        <v>0.05</v>
      </c>
      <c r="N2274" s="464">
        <f t="shared" si="127"/>
        <v>120257</v>
      </c>
    </row>
    <row r="2275" spans="7:14" ht="11.25" customHeight="1" x14ac:dyDescent="0.3">
      <c r="G2275" s="459"/>
      <c r="H2275" s="459">
        <v>2268</v>
      </c>
      <c r="I2275" s="444">
        <f t="shared" ca="1" si="125"/>
        <v>-2855111064.511826</v>
      </c>
      <c r="J2275" s="444">
        <f t="array" ref="J2275">IFERROR(INDEX('Retirement Calculator'!K:K,MATCH('Lorri 401b'!N2275,'Retirement Calculator'!A:A,0),0),0)</f>
        <v>0</v>
      </c>
      <c r="K2275" s="444">
        <f t="shared" ca="1" si="123"/>
        <v>-11896296.102132609</v>
      </c>
      <c r="L2275" s="444">
        <f t="shared" ca="1" si="124"/>
        <v>-2867007360.6139588</v>
      </c>
      <c r="M2275" s="460">
        <f t="shared" si="126"/>
        <v>0.05</v>
      </c>
      <c r="N2275" s="464">
        <f t="shared" si="127"/>
        <v>120287</v>
      </c>
    </row>
    <row r="2276" spans="7:14" ht="11.25" customHeight="1" x14ac:dyDescent="0.3">
      <c r="G2276" s="459"/>
      <c r="H2276" s="459">
        <v>2269</v>
      </c>
      <c r="I2276" s="444">
        <f t="shared" ca="1" si="125"/>
        <v>-2867007360.6139588</v>
      </c>
      <c r="J2276" s="444">
        <f t="array" ref="J2276">IFERROR(INDEX('Retirement Calculator'!K:K,MATCH('Lorri 401b'!N2276,'Retirement Calculator'!A:A,0),0),0)</f>
        <v>0</v>
      </c>
      <c r="K2276" s="444">
        <f t="shared" ca="1" si="123"/>
        <v>-11945864.002558162</v>
      </c>
      <c r="L2276" s="444">
        <f t="shared" ca="1" si="124"/>
        <v>-2878953224.6165171</v>
      </c>
      <c r="M2276" s="460">
        <f t="shared" si="126"/>
        <v>0.05</v>
      </c>
      <c r="N2276" s="464">
        <f t="shared" si="127"/>
        <v>120318</v>
      </c>
    </row>
    <row r="2277" spans="7:14" ht="11.25" customHeight="1" x14ac:dyDescent="0.3">
      <c r="G2277" s="459"/>
      <c r="H2277" s="459">
        <v>2270</v>
      </c>
      <c r="I2277" s="444">
        <f t="shared" ca="1" si="125"/>
        <v>-2878953224.6165171</v>
      </c>
      <c r="J2277" s="444">
        <f t="array" ref="J2277">IFERROR(INDEX('Retirement Calculator'!K:K,MATCH('Lorri 401b'!N2277,'Retirement Calculator'!A:A,0),0),0)</f>
        <v>0</v>
      </c>
      <c r="K2277" s="444">
        <f t="shared" ca="1" si="123"/>
        <v>-11995638.435902154</v>
      </c>
      <c r="L2277" s="444">
        <f t="shared" ca="1" si="124"/>
        <v>-2890948863.0524192</v>
      </c>
      <c r="M2277" s="460">
        <f t="shared" si="126"/>
        <v>0.05</v>
      </c>
      <c r="N2277" s="464">
        <f t="shared" si="127"/>
        <v>120348</v>
      </c>
    </row>
    <row r="2278" spans="7:14" ht="11.25" customHeight="1" x14ac:dyDescent="0.3">
      <c r="G2278" s="459"/>
      <c r="H2278" s="459">
        <v>2271</v>
      </c>
      <c r="I2278" s="444">
        <f t="shared" ca="1" si="125"/>
        <v>-2890948863.0524192</v>
      </c>
      <c r="J2278" s="444">
        <f t="array" ref="J2278">IFERROR(INDEX('Retirement Calculator'!K:K,MATCH('Lorri 401b'!N2278,'Retirement Calculator'!A:A,0),0),0)</f>
        <v>0</v>
      </c>
      <c r="K2278" s="444">
        <f t="shared" ca="1" si="123"/>
        <v>-12045620.262718413</v>
      </c>
      <c r="L2278" s="444">
        <f t="shared" ca="1" si="124"/>
        <v>-2902994483.3151374</v>
      </c>
      <c r="M2278" s="460">
        <f t="shared" si="126"/>
        <v>0.05</v>
      </c>
      <c r="N2278" s="464">
        <f t="shared" si="127"/>
        <v>120379</v>
      </c>
    </row>
    <row r="2279" spans="7:14" ht="11.25" customHeight="1" x14ac:dyDescent="0.3">
      <c r="G2279" s="459"/>
      <c r="H2279" s="459">
        <v>2272</v>
      </c>
      <c r="I2279" s="444">
        <f t="shared" ca="1" si="125"/>
        <v>-2902994483.3151374</v>
      </c>
      <c r="J2279" s="444">
        <f t="array" ref="J2279">IFERROR(INDEX('Retirement Calculator'!K:K,MATCH('Lorri 401b'!N2279,'Retirement Calculator'!A:A,0),0),0)</f>
        <v>0</v>
      </c>
      <c r="K2279" s="444">
        <f t="shared" ca="1" si="123"/>
        <v>-12095810.347146405</v>
      </c>
      <c r="L2279" s="444">
        <f t="shared" ca="1" si="124"/>
        <v>-2915090293.6622839</v>
      </c>
      <c r="M2279" s="460">
        <f t="shared" si="126"/>
        <v>0.05</v>
      </c>
      <c r="N2279" s="464">
        <f t="shared" si="127"/>
        <v>120410</v>
      </c>
    </row>
    <row r="2280" spans="7:14" ht="11.25" customHeight="1" x14ac:dyDescent="0.3">
      <c r="G2280" s="459"/>
      <c r="H2280" s="459">
        <v>2273</v>
      </c>
      <c r="I2280" s="444">
        <f t="shared" ca="1" si="125"/>
        <v>-2915090293.6622839</v>
      </c>
      <c r="J2280" s="444">
        <f t="array" ref="J2280">IFERROR(INDEX('Retirement Calculator'!K:K,MATCH('Lorri 401b'!N2280,'Retirement Calculator'!A:A,0),0),0)</f>
        <v>0</v>
      </c>
      <c r="K2280" s="444">
        <f t="shared" ca="1" si="123"/>
        <v>-12146209.556926183</v>
      </c>
      <c r="L2280" s="444">
        <f t="shared" ca="1" si="124"/>
        <v>-2927236503.2192101</v>
      </c>
      <c r="M2280" s="460">
        <f t="shared" si="126"/>
        <v>0.05</v>
      </c>
      <c r="N2280" s="464">
        <f t="shared" si="127"/>
        <v>120440</v>
      </c>
    </row>
    <row r="2281" spans="7:14" ht="11.25" customHeight="1" x14ac:dyDescent="0.3">
      <c r="G2281" s="459"/>
      <c r="H2281" s="459">
        <v>2274</v>
      </c>
      <c r="I2281" s="444">
        <f t="shared" ca="1" si="125"/>
        <v>-2927236503.2192101</v>
      </c>
      <c r="J2281" s="444">
        <f t="array" ref="J2281">IFERROR(INDEX('Retirement Calculator'!K:K,MATCH('Lorri 401b'!N2281,'Retirement Calculator'!A:A,0),0),0)</f>
        <v>0</v>
      </c>
      <c r="K2281" s="444">
        <f t="shared" ca="1" si="123"/>
        <v>-12196818.763413375</v>
      </c>
      <c r="L2281" s="444">
        <f t="shared" ca="1" si="124"/>
        <v>-2939433321.9826236</v>
      </c>
      <c r="M2281" s="460">
        <f t="shared" si="126"/>
        <v>0.05</v>
      </c>
      <c r="N2281" s="464">
        <f t="shared" si="127"/>
        <v>120471</v>
      </c>
    </row>
    <row r="2282" spans="7:14" ht="11.25" customHeight="1" x14ac:dyDescent="0.3">
      <c r="G2282" s="459"/>
      <c r="H2282" s="459">
        <v>2275</v>
      </c>
      <c r="I2282" s="444">
        <f t="shared" ca="1" si="125"/>
        <v>-2939433321.9826236</v>
      </c>
      <c r="J2282" s="444">
        <f t="array" ref="J2282">IFERROR(INDEX('Retirement Calculator'!K:K,MATCH('Lorri 401b'!N2282,'Retirement Calculator'!A:A,0),0),0)</f>
        <v>0</v>
      </c>
      <c r="K2282" s="444">
        <f t="shared" ca="1" si="123"/>
        <v>-12247638.841594264</v>
      </c>
      <c r="L2282" s="444">
        <f t="shared" ca="1" si="124"/>
        <v>-2951680960.8242178</v>
      </c>
      <c r="M2282" s="460">
        <f t="shared" si="126"/>
        <v>0.05</v>
      </c>
      <c r="N2282" s="464">
        <f t="shared" si="127"/>
        <v>120501</v>
      </c>
    </row>
    <row r="2283" spans="7:14" ht="11.25" customHeight="1" x14ac:dyDescent="0.3">
      <c r="G2283" s="459"/>
      <c r="H2283" s="459">
        <v>2276</v>
      </c>
      <c r="I2283" s="444">
        <f t="shared" ca="1" si="125"/>
        <v>-2951680960.8242178</v>
      </c>
      <c r="J2283" s="444">
        <f t="array" ref="J2283">IFERROR(INDEX('Retirement Calculator'!K:K,MATCH('Lorri 401b'!N2283,'Retirement Calculator'!A:A,0),0),0)</f>
        <v>0</v>
      </c>
      <c r="K2283" s="444">
        <f t="shared" ca="1" si="123"/>
        <v>-12298670.670100907</v>
      </c>
      <c r="L2283" s="444">
        <f t="shared" ca="1" si="124"/>
        <v>-2963979631.4943185</v>
      </c>
      <c r="M2283" s="460">
        <f t="shared" si="126"/>
        <v>0.05</v>
      </c>
      <c r="N2283" s="464">
        <f t="shared" si="127"/>
        <v>120532</v>
      </c>
    </row>
    <row r="2284" spans="7:14" ht="11.25" customHeight="1" x14ac:dyDescent="0.3">
      <c r="G2284" s="459"/>
      <c r="H2284" s="459">
        <v>2277</v>
      </c>
      <c r="I2284" s="444">
        <f t="shared" ca="1" si="125"/>
        <v>-2963979631.4943185</v>
      </c>
      <c r="J2284" s="444">
        <f t="array" ref="J2284">IFERROR(INDEX('Retirement Calculator'!K:K,MATCH('Lorri 401b'!N2284,'Retirement Calculator'!A:A,0),0),0)</f>
        <v>0</v>
      </c>
      <c r="K2284" s="444">
        <f t="shared" ca="1" si="123"/>
        <v>-12349915.131226327</v>
      </c>
      <c r="L2284" s="444">
        <f t="shared" ca="1" si="124"/>
        <v>-2976329546.625545</v>
      </c>
      <c r="M2284" s="460">
        <f t="shared" si="126"/>
        <v>0.05</v>
      </c>
      <c r="N2284" s="464">
        <f t="shared" si="127"/>
        <v>120563</v>
      </c>
    </row>
    <row r="2285" spans="7:14" ht="11.25" customHeight="1" x14ac:dyDescent="0.3">
      <c r="G2285" s="459"/>
      <c r="H2285" s="459">
        <v>2278</v>
      </c>
      <c r="I2285" s="444">
        <f t="shared" ca="1" si="125"/>
        <v>-2976329546.625545</v>
      </c>
      <c r="J2285" s="444">
        <f t="array" ref="J2285">IFERROR(INDEX('Retirement Calculator'!K:K,MATCH('Lorri 401b'!N2285,'Retirement Calculator'!A:A,0),0),0)</f>
        <v>0</v>
      </c>
      <c r="K2285" s="444">
        <f t="shared" ca="1" si="123"/>
        <v>-12401373.110939771</v>
      </c>
      <c r="L2285" s="444">
        <f t="shared" ca="1" si="124"/>
        <v>-2988730919.736485</v>
      </c>
      <c r="M2285" s="460">
        <f t="shared" si="126"/>
        <v>0.05</v>
      </c>
      <c r="N2285" s="464">
        <f t="shared" si="127"/>
        <v>120591</v>
      </c>
    </row>
    <row r="2286" spans="7:14" ht="11.25" customHeight="1" x14ac:dyDescent="0.3">
      <c r="G2286" s="459"/>
      <c r="H2286" s="459">
        <v>2279</v>
      </c>
      <c r="I2286" s="444">
        <f t="shared" ca="1" si="125"/>
        <v>-2988730919.736485</v>
      </c>
      <c r="J2286" s="444">
        <f t="array" ref="J2286">IFERROR(INDEX('Retirement Calculator'!K:K,MATCH('Lorri 401b'!N2286,'Retirement Calculator'!A:A,0),0),0)</f>
        <v>0</v>
      </c>
      <c r="K2286" s="444">
        <f t="shared" ca="1" si="123"/>
        <v>-12453045.498902021</v>
      </c>
      <c r="L2286" s="444">
        <f t="shared" ca="1" si="124"/>
        <v>-3001183965.2353868</v>
      </c>
      <c r="M2286" s="460">
        <f t="shared" si="126"/>
        <v>0.05</v>
      </c>
      <c r="N2286" s="464">
        <f t="shared" si="127"/>
        <v>120622</v>
      </c>
    </row>
    <row r="2287" spans="7:14" ht="11.25" customHeight="1" x14ac:dyDescent="0.3">
      <c r="G2287" s="459"/>
      <c r="H2287" s="459">
        <v>2280</v>
      </c>
      <c r="I2287" s="444">
        <f t="shared" ca="1" si="125"/>
        <v>-3001183965.2353868</v>
      </c>
      <c r="J2287" s="444">
        <f t="array" ref="J2287">IFERROR(INDEX('Retirement Calculator'!K:K,MATCH('Lorri 401b'!N2287,'Retirement Calculator'!A:A,0),0),0)</f>
        <v>0</v>
      </c>
      <c r="K2287" s="444">
        <f t="shared" ca="1" si="123"/>
        <v>-12504933.188480778</v>
      </c>
      <c r="L2287" s="444">
        <f t="shared" ca="1" si="124"/>
        <v>-3013688898.4238677</v>
      </c>
      <c r="M2287" s="460">
        <f t="shared" si="126"/>
        <v>0.05</v>
      </c>
      <c r="N2287" s="464">
        <f t="shared" si="127"/>
        <v>120652</v>
      </c>
    </row>
    <row r="2288" spans="7:14" ht="11.25" customHeight="1" x14ac:dyDescent="0.3">
      <c r="G2288" s="459"/>
      <c r="H2288" s="459">
        <v>2281</v>
      </c>
      <c r="I2288" s="444">
        <f t="shared" ca="1" si="125"/>
        <v>-3013688898.4238677</v>
      </c>
      <c r="J2288" s="444">
        <f t="array" ref="J2288">IFERROR(INDEX('Retirement Calculator'!K:K,MATCH('Lorri 401b'!N2288,'Retirement Calculator'!A:A,0),0),0)</f>
        <v>0</v>
      </c>
      <c r="K2288" s="444">
        <f t="shared" ca="1" si="123"/>
        <v>-12557037.076766115</v>
      </c>
      <c r="L2288" s="444">
        <f t="shared" ca="1" si="124"/>
        <v>-3026245935.5006337</v>
      </c>
      <c r="M2288" s="460">
        <f t="shared" si="126"/>
        <v>0.05</v>
      </c>
      <c r="N2288" s="464">
        <f t="shared" si="127"/>
        <v>120683</v>
      </c>
    </row>
    <row r="2289" spans="7:14" ht="11.25" customHeight="1" x14ac:dyDescent="0.3">
      <c r="G2289" s="459"/>
      <c r="H2289" s="459">
        <v>2282</v>
      </c>
      <c r="I2289" s="444">
        <f t="shared" ca="1" si="125"/>
        <v>-3026245935.5006337</v>
      </c>
      <c r="J2289" s="444">
        <f t="array" ref="J2289">IFERROR(INDEX('Retirement Calculator'!K:K,MATCH('Lorri 401b'!N2289,'Retirement Calculator'!A:A,0),0),0)</f>
        <v>0</v>
      </c>
      <c r="K2289" s="444">
        <f t="shared" ca="1" si="123"/>
        <v>-12609358.064585974</v>
      </c>
      <c r="L2289" s="444">
        <f t="shared" ca="1" si="124"/>
        <v>-3038855293.5652199</v>
      </c>
      <c r="M2289" s="460">
        <f t="shared" si="126"/>
        <v>0.05</v>
      </c>
      <c r="N2289" s="464">
        <f t="shared" si="127"/>
        <v>120713</v>
      </c>
    </row>
    <row r="2290" spans="7:14" ht="11.25" customHeight="1" x14ac:dyDescent="0.3">
      <c r="G2290" s="459"/>
      <c r="H2290" s="459">
        <v>2283</v>
      </c>
      <c r="I2290" s="444">
        <f t="shared" ca="1" si="125"/>
        <v>-3038855293.5652199</v>
      </c>
      <c r="J2290" s="444">
        <f t="array" ref="J2290">IFERROR(INDEX('Retirement Calculator'!K:K,MATCH('Lorri 401b'!N2290,'Retirement Calculator'!A:A,0),0),0)</f>
        <v>0</v>
      </c>
      <c r="K2290" s="444">
        <f t="shared" ca="1" si="123"/>
        <v>-12661897.056521749</v>
      </c>
      <c r="L2290" s="444">
        <f t="shared" ca="1" si="124"/>
        <v>-3051517190.6217418</v>
      </c>
      <c r="M2290" s="460">
        <f t="shared" si="126"/>
        <v>0.05</v>
      </c>
      <c r="N2290" s="464">
        <f t="shared" si="127"/>
        <v>120744</v>
      </c>
    </row>
    <row r="2291" spans="7:14" ht="11.25" customHeight="1" x14ac:dyDescent="0.3">
      <c r="G2291" s="459"/>
      <c r="H2291" s="459">
        <v>2284</v>
      </c>
      <c r="I2291" s="444">
        <f t="shared" ca="1" si="125"/>
        <v>-3051517190.6217418</v>
      </c>
      <c r="J2291" s="444">
        <f t="array" ref="J2291">IFERROR(INDEX('Retirement Calculator'!K:K,MATCH('Lorri 401b'!N2291,'Retirement Calculator'!A:A,0),0),0)</f>
        <v>0</v>
      </c>
      <c r="K2291" s="444">
        <f t="shared" ca="1" si="123"/>
        <v>-12714654.960923923</v>
      </c>
      <c r="L2291" s="444">
        <f t="shared" ca="1" si="124"/>
        <v>-3064231845.5826659</v>
      </c>
      <c r="M2291" s="460">
        <f t="shared" si="126"/>
        <v>0.05</v>
      </c>
      <c r="N2291" s="464">
        <f t="shared" si="127"/>
        <v>120775</v>
      </c>
    </row>
    <row r="2292" spans="7:14" ht="11.25" customHeight="1" x14ac:dyDescent="0.3">
      <c r="G2292" s="459"/>
      <c r="H2292" s="459">
        <v>2285</v>
      </c>
      <c r="I2292" s="444">
        <f t="shared" ca="1" si="125"/>
        <v>-3064231845.5826659</v>
      </c>
      <c r="J2292" s="444">
        <f t="array" ref="J2292">IFERROR(INDEX('Retirement Calculator'!K:K,MATCH('Lorri 401b'!N2292,'Retirement Calculator'!A:A,0),0),0)</f>
        <v>0</v>
      </c>
      <c r="K2292" s="444">
        <f t="shared" ca="1" si="123"/>
        <v>-12767632.689927775</v>
      </c>
      <c r="L2292" s="444">
        <f t="shared" ca="1" si="124"/>
        <v>-3076999478.2725935</v>
      </c>
      <c r="M2292" s="460">
        <f t="shared" si="126"/>
        <v>0.05</v>
      </c>
      <c r="N2292" s="464">
        <f t="shared" si="127"/>
        <v>120805</v>
      </c>
    </row>
    <row r="2293" spans="7:14" ht="11.25" customHeight="1" x14ac:dyDescent="0.3">
      <c r="G2293" s="459"/>
      <c r="H2293" s="459">
        <v>2286</v>
      </c>
      <c r="I2293" s="444">
        <f t="shared" ca="1" si="125"/>
        <v>-3076999478.2725935</v>
      </c>
      <c r="J2293" s="444">
        <f t="array" ref="J2293">IFERROR(INDEX('Retirement Calculator'!K:K,MATCH('Lorri 401b'!N2293,'Retirement Calculator'!A:A,0),0),0)</f>
        <v>0</v>
      </c>
      <c r="K2293" s="444">
        <f t="shared" ca="1" si="123"/>
        <v>-12820831.159469139</v>
      </c>
      <c r="L2293" s="444">
        <f t="shared" ca="1" si="124"/>
        <v>-3089820309.4320626</v>
      </c>
      <c r="M2293" s="460">
        <f t="shared" si="126"/>
        <v>0.05</v>
      </c>
      <c r="N2293" s="464">
        <f t="shared" si="127"/>
        <v>120836</v>
      </c>
    </row>
    <row r="2294" spans="7:14" ht="11.25" customHeight="1" x14ac:dyDescent="0.3">
      <c r="G2294" s="459"/>
      <c r="H2294" s="459">
        <v>2287</v>
      </c>
      <c r="I2294" s="444">
        <f t="shared" ca="1" si="125"/>
        <v>-3089820309.4320626</v>
      </c>
      <c r="J2294" s="444">
        <f t="array" ref="J2294">IFERROR(INDEX('Retirement Calculator'!K:K,MATCH('Lorri 401b'!N2294,'Retirement Calculator'!A:A,0),0),0)</f>
        <v>0</v>
      </c>
      <c r="K2294" s="444">
        <f t="shared" ca="1" si="123"/>
        <v>-12874251.289300261</v>
      </c>
      <c r="L2294" s="444">
        <f t="shared" ca="1" si="124"/>
        <v>-3102694560.7213631</v>
      </c>
      <c r="M2294" s="460">
        <f t="shared" si="126"/>
        <v>0.05</v>
      </c>
      <c r="N2294" s="464">
        <f t="shared" si="127"/>
        <v>120866</v>
      </c>
    </row>
    <row r="2295" spans="7:14" ht="11.25" customHeight="1" x14ac:dyDescent="0.3">
      <c r="G2295" s="459"/>
      <c r="H2295" s="459">
        <v>2288</v>
      </c>
      <c r="I2295" s="444">
        <f t="shared" ca="1" si="125"/>
        <v>-3102694560.7213631</v>
      </c>
      <c r="J2295" s="444">
        <f t="array" ref="J2295">IFERROR(INDEX('Retirement Calculator'!K:K,MATCH('Lorri 401b'!N2295,'Retirement Calculator'!A:A,0),0),0)</f>
        <v>0</v>
      </c>
      <c r="K2295" s="444">
        <f t="shared" ca="1" si="123"/>
        <v>-12927894.00300568</v>
      </c>
      <c r="L2295" s="444">
        <f t="shared" ca="1" si="124"/>
        <v>-3115622454.7243686</v>
      </c>
      <c r="M2295" s="460">
        <f t="shared" si="126"/>
        <v>0.05</v>
      </c>
      <c r="N2295" s="464">
        <f t="shared" si="127"/>
        <v>120897</v>
      </c>
    </row>
    <row r="2296" spans="7:14" ht="11.25" customHeight="1" x14ac:dyDescent="0.3">
      <c r="G2296" s="459"/>
      <c r="H2296" s="459">
        <v>2289</v>
      </c>
      <c r="I2296" s="444">
        <f t="shared" ca="1" si="125"/>
        <v>-3115622454.7243686</v>
      </c>
      <c r="J2296" s="444">
        <f t="array" ref="J2296">IFERROR(INDEX('Retirement Calculator'!K:K,MATCH('Lorri 401b'!N2296,'Retirement Calculator'!A:A,0),0),0)</f>
        <v>0</v>
      </c>
      <c r="K2296" s="444">
        <f t="shared" ca="1" si="123"/>
        <v>-12981760.228018202</v>
      </c>
      <c r="L2296" s="444">
        <f t="shared" ca="1" si="124"/>
        <v>-3128604214.9523869</v>
      </c>
      <c r="M2296" s="460">
        <f t="shared" si="126"/>
        <v>0.05</v>
      </c>
      <c r="N2296" s="464">
        <f t="shared" si="127"/>
        <v>120928</v>
      </c>
    </row>
    <row r="2297" spans="7:14" ht="11.25" customHeight="1" x14ac:dyDescent="0.3">
      <c r="G2297" s="459"/>
      <c r="H2297" s="459">
        <v>2290</v>
      </c>
      <c r="I2297" s="444">
        <f t="shared" ca="1" si="125"/>
        <v>-3128604214.9523869</v>
      </c>
      <c r="J2297" s="444">
        <f t="array" ref="J2297">IFERROR(INDEX('Retirement Calculator'!K:K,MATCH('Lorri 401b'!N2297,'Retirement Calculator'!A:A,0),0),0)</f>
        <v>0</v>
      </c>
      <c r="K2297" s="444">
        <f t="shared" ca="1" si="123"/>
        <v>-13035850.895634945</v>
      </c>
      <c r="L2297" s="444">
        <f t="shared" ca="1" si="124"/>
        <v>-3141640065.848022</v>
      </c>
      <c r="M2297" s="460">
        <f t="shared" si="126"/>
        <v>0.05</v>
      </c>
      <c r="N2297" s="464">
        <f t="shared" si="127"/>
        <v>120956</v>
      </c>
    </row>
    <row r="2298" spans="7:14" ht="11.25" customHeight="1" x14ac:dyDescent="0.3">
      <c r="G2298" s="459"/>
      <c r="H2298" s="459">
        <v>2291</v>
      </c>
      <c r="I2298" s="444">
        <f t="shared" ca="1" si="125"/>
        <v>-3141640065.848022</v>
      </c>
      <c r="J2298" s="444">
        <f t="array" ref="J2298">IFERROR(INDEX('Retirement Calculator'!K:K,MATCH('Lorri 401b'!N2298,'Retirement Calculator'!A:A,0),0),0)</f>
        <v>0</v>
      </c>
      <c r="K2298" s="444">
        <f t="shared" ca="1" si="123"/>
        <v>-13090166.941033425</v>
      </c>
      <c r="L2298" s="444">
        <f t="shared" ca="1" si="124"/>
        <v>-3154730232.7890553</v>
      </c>
      <c r="M2298" s="460">
        <f t="shared" si="126"/>
        <v>0.05</v>
      </c>
      <c r="N2298" s="464">
        <f t="shared" si="127"/>
        <v>120987</v>
      </c>
    </row>
    <row r="2299" spans="7:14" ht="11.25" customHeight="1" x14ac:dyDescent="0.3">
      <c r="G2299" s="459"/>
      <c r="H2299" s="459">
        <v>2292</v>
      </c>
      <c r="I2299" s="444">
        <f t="shared" ca="1" si="125"/>
        <v>-3154730232.7890553</v>
      </c>
      <c r="J2299" s="444">
        <f t="array" ref="J2299">IFERROR(INDEX('Retirement Calculator'!K:K,MATCH('Lorri 401b'!N2299,'Retirement Calculator'!A:A,0),0),0)</f>
        <v>0</v>
      </c>
      <c r="K2299" s="444">
        <f t="shared" ca="1" si="123"/>
        <v>-13144709.30328773</v>
      </c>
      <c r="L2299" s="444">
        <f t="shared" ca="1" si="124"/>
        <v>-3167874942.0923429</v>
      </c>
      <c r="M2299" s="460">
        <f t="shared" si="126"/>
        <v>0.05</v>
      </c>
      <c r="N2299" s="464">
        <f t="shared" si="127"/>
        <v>121017</v>
      </c>
    </row>
    <row r="2300" spans="7:14" ht="11.25" customHeight="1" x14ac:dyDescent="0.3">
      <c r="G2300" s="459"/>
      <c r="H2300" s="459">
        <v>2293</v>
      </c>
      <c r="I2300" s="444">
        <f t="shared" ca="1" si="125"/>
        <v>-3167874942.0923429</v>
      </c>
      <c r="J2300" s="444">
        <f t="array" ref="J2300">IFERROR(INDEX('Retirement Calculator'!K:K,MATCH('Lorri 401b'!N2300,'Retirement Calculator'!A:A,0),0),0)</f>
        <v>0</v>
      </c>
      <c r="K2300" s="444">
        <f t="shared" ca="1" si="123"/>
        <v>-13199478.925384762</v>
      </c>
      <c r="L2300" s="444">
        <f t="shared" ca="1" si="124"/>
        <v>-3181074421.0177279</v>
      </c>
      <c r="M2300" s="460">
        <f t="shared" si="126"/>
        <v>0.05</v>
      </c>
      <c r="N2300" s="464">
        <f t="shared" si="127"/>
        <v>121048</v>
      </c>
    </row>
    <row r="2301" spans="7:14" ht="11.25" customHeight="1" x14ac:dyDescent="0.3">
      <c r="G2301" s="459"/>
      <c r="H2301" s="459">
        <v>2294</v>
      </c>
      <c r="I2301" s="444">
        <f t="shared" ca="1" si="125"/>
        <v>-3181074421.0177279</v>
      </c>
      <c r="J2301" s="444">
        <f t="array" ref="J2301">IFERROR(INDEX('Retirement Calculator'!K:K,MATCH('Lorri 401b'!N2301,'Retirement Calculator'!A:A,0),0),0)</f>
        <v>0</v>
      </c>
      <c r="K2301" s="444">
        <f t="shared" ca="1" si="123"/>
        <v>-13254476.754240533</v>
      </c>
      <c r="L2301" s="444">
        <f t="shared" ca="1" si="124"/>
        <v>-3194328897.7719684</v>
      </c>
      <c r="M2301" s="460">
        <f t="shared" si="126"/>
        <v>0.05</v>
      </c>
      <c r="N2301" s="464">
        <f t="shared" si="127"/>
        <v>121078</v>
      </c>
    </row>
    <row r="2302" spans="7:14" ht="11.25" customHeight="1" x14ac:dyDescent="0.3">
      <c r="G2302" s="459"/>
      <c r="H2302" s="459">
        <v>2295</v>
      </c>
      <c r="I2302" s="444">
        <f t="shared" ca="1" si="125"/>
        <v>-3194328897.7719684</v>
      </c>
      <c r="J2302" s="444">
        <f t="array" ref="J2302">IFERROR(INDEX('Retirement Calculator'!K:K,MATCH('Lorri 401b'!N2302,'Retirement Calculator'!A:A,0),0),0)</f>
        <v>0</v>
      </c>
      <c r="K2302" s="444">
        <f t="shared" ca="1" si="123"/>
        <v>-13309703.740716536</v>
      </c>
      <c r="L2302" s="444">
        <f t="shared" ca="1" si="124"/>
        <v>-3207638601.5126848</v>
      </c>
      <c r="M2302" s="460">
        <f t="shared" si="126"/>
        <v>0.05</v>
      </c>
      <c r="N2302" s="464">
        <f t="shared" si="127"/>
        <v>121109</v>
      </c>
    </row>
    <row r="2303" spans="7:14" ht="11.25" customHeight="1" x14ac:dyDescent="0.3">
      <c r="G2303" s="459"/>
      <c r="H2303" s="459">
        <v>2296</v>
      </c>
      <c r="I2303" s="444">
        <f t="shared" ca="1" si="125"/>
        <v>-3207638601.5126848</v>
      </c>
      <c r="J2303" s="444">
        <f t="array" ref="J2303">IFERROR(INDEX('Retirement Calculator'!K:K,MATCH('Lorri 401b'!N2303,'Retirement Calculator'!A:A,0),0),0)</f>
        <v>0</v>
      </c>
      <c r="K2303" s="444">
        <f t="shared" ref="K2303:K2557" ca="1" si="128">IPMT(M2303/12,1,12,-I2303+J2303,,0)</f>
        <v>-13365160.839636186</v>
      </c>
      <c r="L2303" s="444">
        <f t="shared" ref="L2303:L2557" ca="1" si="129">I2303-J2303+K2303</f>
        <v>-3221003762.3523211</v>
      </c>
      <c r="M2303" s="460">
        <f t="shared" si="126"/>
        <v>0.05</v>
      </c>
      <c r="N2303" s="464">
        <f t="shared" si="127"/>
        <v>121140</v>
      </c>
    </row>
    <row r="2304" spans="7:14" ht="11.25" customHeight="1" x14ac:dyDescent="0.3">
      <c r="G2304" s="459"/>
      <c r="H2304" s="459">
        <v>2297</v>
      </c>
      <c r="I2304" s="444">
        <f t="shared" ref="I2304:I2558" ca="1" si="130">L2303</f>
        <v>-3221003762.3523211</v>
      </c>
      <c r="J2304" s="444">
        <f t="array" ref="J2304">IFERROR(INDEX('Retirement Calculator'!K:K,MATCH('Lorri 401b'!N2304,'Retirement Calculator'!A:A,0),0),0)</f>
        <v>0</v>
      </c>
      <c r="K2304" s="444">
        <f t="shared" ca="1" si="128"/>
        <v>-13420849.009801337</v>
      </c>
      <c r="L2304" s="444">
        <f t="shared" ca="1" si="129"/>
        <v>-3234424611.3621225</v>
      </c>
      <c r="M2304" s="460">
        <f t="shared" ref="M2304:M2558" si="131">M2303</f>
        <v>0.05</v>
      </c>
      <c r="N2304" s="464">
        <f t="shared" ref="N2304:N2558" si="132">EDATE(N2303,1)</f>
        <v>121170</v>
      </c>
    </row>
    <row r="2305" spans="7:14" ht="11.25" customHeight="1" x14ac:dyDescent="0.3">
      <c r="G2305" s="459"/>
      <c r="H2305" s="459">
        <v>2298</v>
      </c>
      <c r="I2305" s="444">
        <f t="shared" ca="1" si="130"/>
        <v>-3234424611.3621225</v>
      </c>
      <c r="J2305" s="444">
        <f t="array" ref="J2305">IFERROR(INDEX('Retirement Calculator'!K:K,MATCH('Lorri 401b'!N2305,'Retirement Calculator'!A:A,0),0),0)</f>
        <v>0</v>
      </c>
      <c r="K2305" s="444">
        <f t="shared" ca="1" si="128"/>
        <v>-13476769.214008844</v>
      </c>
      <c r="L2305" s="444">
        <f t="shared" ca="1" si="129"/>
        <v>-3247901380.5761313</v>
      </c>
      <c r="M2305" s="460">
        <f t="shared" si="131"/>
        <v>0.05</v>
      </c>
      <c r="N2305" s="464">
        <f t="shared" si="132"/>
        <v>121201</v>
      </c>
    </row>
    <row r="2306" spans="7:14" ht="11.25" customHeight="1" x14ac:dyDescent="0.3">
      <c r="G2306" s="459"/>
      <c r="H2306" s="459">
        <v>2299</v>
      </c>
      <c r="I2306" s="444">
        <f t="shared" ca="1" si="130"/>
        <v>-3247901380.5761313</v>
      </c>
      <c r="J2306" s="444">
        <f t="array" ref="J2306">IFERROR(INDEX('Retirement Calculator'!K:K,MATCH('Lorri 401b'!N2306,'Retirement Calculator'!A:A,0),0),0)</f>
        <v>0</v>
      </c>
      <c r="K2306" s="444">
        <f t="shared" ca="1" si="128"/>
        <v>-13532922.419067213</v>
      </c>
      <c r="L2306" s="444">
        <f t="shared" ca="1" si="129"/>
        <v>-3261434302.9951987</v>
      </c>
      <c r="M2306" s="460">
        <f t="shared" si="131"/>
        <v>0.05</v>
      </c>
      <c r="N2306" s="464">
        <f t="shared" si="132"/>
        <v>121231</v>
      </c>
    </row>
    <row r="2307" spans="7:14" ht="11.25" customHeight="1" x14ac:dyDescent="0.3">
      <c r="G2307" s="459"/>
      <c r="H2307" s="459">
        <v>2300</v>
      </c>
      <c r="I2307" s="444">
        <f t="shared" ca="1" si="130"/>
        <v>-3261434302.9951987</v>
      </c>
      <c r="J2307" s="444">
        <f t="array" ref="J2307">IFERROR(INDEX('Retirement Calculator'!K:K,MATCH('Lorri 401b'!N2307,'Retirement Calculator'!A:A,0),0),0)</f>
        <v>0</v>
      </c>
      <c r="K2307" s="444">
        <f t="shared" ca="1" si="128"/>
        <v>-13589309.595813328</v>
      </c>
      <c r="L2307" s="444">
        <f t="shared" ca="1" si="129"/>
        <v>-3275023612.591012</v>
      </c>
      <c r="M2307" s="460">
        <f t="shared" si="131"/>
        <v>0.05</v>
      </c>
      <c r="N2307" s="464">
        <f t="shared" si="132"/>
        <v>121262</v>
      </c>
    </row>
    <row r="2308" spans="7:14" ht="11.25" customHeight="1" x14ac:dyDescent="0.3">
      <c r="G2308" s="459"/>
      <c r="H2308" s="459">
        <v>2301</v>
      </c>
      <c r="I2308" s="444">
        <f t="shared" ca="1" si="130"/>
        <v>-3275023612.591012</v>
      </c>
      <c r="J2308" s="444">
        <f t="array" ref="J2308">IFERROR(INDEX('Retirement Calculator'!K:K,MATCH('Lorri 401b'!N2308,'Retirement Calculator'!A:A,0),0),0)</f>
        <v>0</v>
      </c>
      <c r="K2308" s="444">
        <f t="shared" ca="1" si="128"/>
        <v>-13645931.719129216</v>
      </c>
      <c r="L2308" s="444">
        <f t="shared" ca="1" si="129"/>
        <v>-3288669544.3101411</v>
      </c>
      <c r="M2308" s="460">
        <f t="shared" si="131"/>
        <v>0.05</v>
      </c>
      <c r="N2308" s="464">
        <f t="shared" si="132"/>
        <v>121293</v>
      </c>
    </row>
    <row r="2309" spans="7:14" ht="11.25" customHeight="1" x14ac:dyDescent="0.3">
      <c r="G2309" s="459"/>
      <c r="H2309" s="459">
        <v>2302</v>
      </c>
      <c r="I2309" s="444">
        <f t="shared" ca="1" si="130"/>
        <v>-3288669544.3101411</v>
      </c>
      <c r="J2309" s="444">
        <f t="array" ref="J2309">IFERROR(INDEX('Retirement Calculator'!K:K,MATCH('Lorri 401b'!N2309,'Retirement Calculator'!A:A,0),0),0)</f>
        <v>0</v>
      </c>
      <c r="K2309" s="444">
        <f t="shared" ca="1" si="128"/>
        <v>-13702789.76795892</v>
      </c>
      <c r="L2309" s="444">
        <f t="shared" ca="1" si="129"/>
        <v>-3302372334.0781002</v>
      </c>
      <c r="M2309" s="460">
        <f t="shared" si="131"/>
        <v>0.05</v>
      </c>
      <c r="N2309" s="464">
        <f t="shared" si="132"/>
        <v>121322</v>
      </c>
    </row>
    <row r="2310" spans="7:14" ht="11.25" customHeight="1" x14ac:dyDescent="0.3">
      <c r="G2310" s="459"/>
      <c r="H2310" s="459">
        <v>2303</v>
      </c>
      <c r="I2310" s="444">
        <f t="shared" ca="1" si="130"/>
        <v>-3302372334.0781002</v>
      </c>
      <c r="J2310" s="444">
        <f t="array" ref="J2310">IFERROR(INDEX('Retirement Calculator'!K:K,MATCH('Lorri 401b'!N2310,'Retirement Calculator'!A:A,0),0),0)</f>
        <v>0</v>
      </c>
      <c r="K2310" s="444">
        <f t="shared" ca="1" si="128"/>
        <v>-13759884.725325417</v>
      </c>
      <c r="L2310" s="444">
        <f t="shared" ca="1" si="129"/>
        <v>-3316132218.8034258</v>
      </c>
      <c r="M2310" s="460">
        <f t="shared" si="131"/>
        <v>0.05</v>
      </c>
      <c r="N2310" s="464">
        <f t="shared" si="132"/>
        <v>121353</v>
      </c>
    </row>
    <row r="2311" spans="7:14" ht="11.25" customHeight="1" x14ac:dyDescent="0.3">
      <c r="G2311" s="459"/>
      <c r="H2311" s="459">
        <v>2304</v>
      </c>
      <c r="I2311" s="444">
        <f t="shared" ca="1" si="130"/>
        <v>-3316132218.8034258</v>
      </c>
      <c r="J2311" s="444">
        <f t="array" ref="J2311">IFERROR(INDEX('Retirement Calculator'!K:K,MATCH('Lorri 401b'!N2311,'Retirement Calculator'!A:A,0),0),0)</f>
        <v>0</v>
      </c>
      <c r="K2311" s="444">
        <f t="shared" ca="1" si="128"/>
        <v>-13817217.578347607</v>
      </c>
      <c r="L2311" s="444">
        <f t="shared" ca="1" si="129"/>
        <v>-3329949436.3817735</v>
      </c>
      <c r="M2311" s="460">
        <f t="shared" si="131"/>
        <v>0.05</v>
      </c>
      <c r="N2311" s="464">
        <f t="shared" si="132"/>
        <v>121383</v>
      </c>
    </row>
    <row r="2312" spans="7:14" ht="11.25" customHeight="1" x14ac:dyDescent="0.3">
      <c r="G2312" s="459"/>
      <c r="H2312" s="459">
        <v>2305</v>
      </c>
      <c r="I2312" s="444">
        <f t="shared" ca="1" si="130"/>
        <v>-3329949436.3817735</v>
      </c>
      <c r="J2312" s="444">
        <f t="array" ref="J2312">IFERROR(INDEX('Retirement Calculator'!K:K,MATCH('Lorri 401b'!N2312,'Retirement Calculator'!A:A,0),0),0)</f>
        <v>0</v>
      </c>
      <c r="K2312" s="444">
        <f t="shared" ca="1" si="128"/>
        <v>-13874789.31825739</v>
      </c>
      <c r="L2312" s="444">
        <f t="shared" ca="1" si="129"/>
        <v>-3343824225.7000308</v>
      </c>
      <c r="M2312" s="460">
        <f t="shared" si="131"/>
        <v>0.05</v>
      </c>
      <c r="N2312" s="464">
        <f t="shared" si="132"/>
        <v>121414</v>
      </c>
    </row>
    <row r="2313" spans="7:14" ht="11.25" customHeight="1" x14ac:dyDescent="0.3">
      <c r="G2313" s="459"/>
      <c r="H2313" s="459">
        <v>2306</v>
      </c>
      <c r="I2313" s="444">
        <f t="shared" ca="1" si="130"/>
        <v>-3343824225.7000308</v>
      </c>
      <c r="J2313" s="444">
        <f t="array" ref="J2313">IFERROR(INDEX('Retirement Calculator'!K:K,MATCH('Lorri 401b'!N2313,'Retirement Calculator'!A:A,0),0),0)</f>
        <v>0</v>
      </c>
      <c r="K2313" s="444">
        <f t="shared" ca="1" si="128"/>
        <v>-13932600.940416794</v>
      </c>
      <c r="L2313" s="444">
        <f t="shared" ca="1" si="129"/>
        <v>-3357756826.6404476</v>
      </c>
      <c r="M2313" s="460">
        <f t="shared" si="131"/>
        <v>0.05</v>
      </c>
      <c r="N2313" s="464">
        <f t="shared" si="132"/>
        <v>121444</v>
      </c>
    </row>
    <row r="2314" spans="7:14" ht="11.25" customHeight="1" x14ac:dyDescent="0.3">
      <c r="G2314" s="459"/>
      <c r="H2314" s="459">
        <v>2307</v>
      </c>
      <c r="I2314" s="444">
        <f t="shared" ca="1" si="130"/>
        <v>-3357756826.6404476</v>
      </c>
      <c r="J2314" s="444">
        <f t="array" ref="J2314">IFERROR(INDEX('Retirement Calculator'!K:K,MATCH('Lorri 401b'!N2314,'Retirement Calculator'!A:A,0),0),0)</f>
        <v>0</v>
      </c>
      <c r="K2314" s="444">
        <f t="shared" ca="1" si="128"/>
        <v>-13990653.4443352</v>
      </c>
      <c r="L2314" s="444">
        <f t="shared" ca="1" si="129"/>
        <v>-3371747480.0847826</v>
      </c>
      <c r="M2314" s="460">
        <f t="shared" si="131"/>
        <v>0.05</v>
      </c>
      <c r="N2314" s="464">
        <f t="shared" si="132"/>
        <v>121475</v>
      </c>
    </row>
    <row r="2315" spans="7:14" ht="11.25" customHeight="1" x14ac:dyDescent="0.3">
      <c r="G2315" s="459"/>
      <c r="H2315" s="459">
        <v>2308</v>
      </c>
      <c r="I2315" s="444">
        <f t="shared" ca="1" si="130"/>
        <v>-3371747480.0847826</v>
      </c>
      <c r="J2315" s="444">
        <f t="array" ref="J2315">IFERROR(INDEX('Retirement Calculator'!K:K,MATCH('Lorri 401b'!N2315,'Retirement Calculator'!A:A,0),0),0)</f>
        <v>0</v>
      </c>
      <c r="K2315" s="444">
        <f t="shared" ca="1" si="128"/>
        <v>-14048947.833686596</v>
      </c>
      <c r="L2315" s="444">
        <f t="shared" ca="1" si="129"/>
        <v>-3385796427.9184694</v>
      </c>
      <c r="M2315" s="460">
        <f t="shared" si="131"/>
        <v>0.05</v>
      </c>
      <c r="N2315" s="464">
        <f t="shared" si="132"/>
        <v>121506</v>
      </c>
    </row>
    <row r="2316" spans="7:14" ht="11.25" customHeight="1" x14ac:dyDescent="0.3">
      <c r="G2316" s="459"/>
      <c r="H2316" s="459">
        <v>2309</v>
      </c>
      <c r="I2316" s="444">
        <f t="shared" ca="1" si="130"/>
        <v>-3385796427.9184694</v>
      </c>
      <c r="J2316" s="444">
        <f t="array" ref="J2316">IFERROR(INDEX('Retirement Calculator'!K:K,MATCH('Lorri 401b'!N2316,'Retirement Calculator'!A:A,0),0),0)</f>
        <v>0</v>
      </c>
      <c r="K2316" s="444">
        <f t="shared" ca="1" si="128"/>
        <v>-14107485.116326958</v>
      </c>
      <c r="L2316" s="444">
        <f t="shared" ca="1" si="129"/>
        <v>-3399903913.0347962</v>
      </c>
      <c r="M2316" s="460">
        <f t="shared" si="131"/>
        <v>0.05</v>
      </c>
      <c r="N2316" s="464">
        <f t="shared" si="132"/>
        <v>121536</v>
      </c>
    </row>
    <row r="2317" spans="7:14" ht="11.25" customHeight="1" x14ac:dyDescent="0.3">
      <c r="G2317" s="459"/>
      <c r="H2317" s="459">
        <v>2310</v>
      </c>
      <c r="I2317" s="444">
        <f t="shared" ca="1" si="130"/>
        <v>-3399903913.0347962</v>
      </c>
      <c r="J2317" s="444">
        <f t="array" ref="J2317">IFERROR(INDEX('Retirement Calculator'!K:K,MATCH('Lorri 401b'!N2317,'Retirement Calculator'!A:A,0),0),0)</f>
        <v>0</v>
      </c>
      <c r="K2317" s="444">
        <f t="shared" ca="1" si="128"/>
        <v>-14166266.30431165</v>
      </c>
      <c r="L2317" s="444">
        <f t="shared" ca="1" si="129"/>
        <v>-3414070179.339108</v>
      </c>
      <c r="M2317" s="460">
        <f t="shared" si="131"/>
        <v>0.05</v>
      </c>
      <c r="N2317" s="464">
        <f t="shared" si="132"/>
        <v>121567</v>
      </c>
    </row>
    <row r="2318" spans="7:14" ht="11.25" customHeight="1" x14ac:dyDescent="0.3">
      <c r="G2318" s="459"/>
      <c r="H2318" s="459">
        <v>2311</v>
      </c>
      <c r="I2318" s="444">
        <f t="shared" ca="1" si="130"/>
        <v>-3414070179.339108</v>
      </c>
      <c r="J2318" s="444">
        <f t="array" ref="J2318">IFERROR(INDEX('Retirement Calculator'!K:K,MATCH('Lorri 401b'!N2318,'Retirement Calculator'!A:A,0),0),0)</f>
        <v>0</v>
      </c>
      <c r="K2318" s="444">
        <f t="shared" ca="1" si="128"/>
        <v>-14225292.413912948</v>
      </c>
      <c r="L2318" s="444">
        <f t="shared" ca="1" si="129"/>
        <v>-3428295471.7530208</v>
      </c>
      <c r="M2318" s="460">
        <f t="shared" si="131"/>
        <v>0.05</v>
      </c>
      <c r="N2318" s="464">
        <f t="shared" si="132"/>
        <v>121597</v>
      </c>
    </row>
    <row r="2319" spans="7:14" ht="11.25" customHeight="1" x14ac:dyDescent="0.3">
      <c r="G2319" s="459"/>
      <c r="H2319" s="459">
        <v>2312</v>
      </c>
      <c r="I2319" s="444">
        <f t="shared" ca="1" si="130"/>
        <v>-3428295471.7530208</v>
      </c>
      <c r="J2319" s="444">
        <f t="array" ref="J2319">IFERROR(INDEX('Retirement Calculator'!K:K,MATCH('Lorri 401b'!N2319,'Retirement Calculator'!A:A,0),0),0)</f>
        <v>0</v>
      </c>
      <c r="K2319" s="444">
        <f t="shared" ca="1" si="128"/>
        <v>-14284564.465637585</v>
      </c>
      <c r="L2319" s="444">
        <f t="shared" ca="1" si="129"/>
        <v>-3442580036.2186584</v>
      </c>
      <c r="M2319" s="460">
        <f t="shared" si="131"/>
        <v>0.05</v>
      </c>
      <c r="N2319" s="464">
        <f t="shared" si="132"/>
        <v>121628</v>
      </c>
    </row>
    <row r="2320" spans="7:14" ht="11.25" customHeight="1" x14ac:dyDescent="0.3">
      <c r="G2320" s="459"/>
      <c r="H2320" s="459">
        <v>2313</v>
      </c>
      <c r="I2320" s="444">
        <f t="shared" ca="1" si="130"/>
        <v>-3442580036.2186584</v>
      </c>
      <c r="J2320" s="444">
        <f t="array" ref="J2320">IFERROR(INDEX('Retirement Calculator'!K:K,MATCH('Lorri 401b'!N2320,'Retirement Calculator'!A:A,0),0),0)</f>
        <v>0</v>
      </c>
      <c r="K2320" s="444">
        <f t="shared" ca="1" si="128"/>
        <v>-14344083.48424441</v>
      </c>
      <c r="L2320" s="444">
        <f t="shared" ca="1" si="129"/>
        <v>-3456924119.7029028</v>
      </c>
      <c r="M2320" s="460">
        <f t="shared" si="131"/>
        <v>0.05</v>
      </c>
      <c r="N2320" s="464">
        <f t="shared" si="132"/>
        <v>121659</v>
      </c>
    </row>
    <row r="2321" spans="7:14" ht="11.25" customHeight="1" x14ac:dyDescent="0.3">
      <c r="G2321" s="459"/>
      <c r="H2321" s="459">
        <v>2314</v>
      </c>
      <c r="I2321" s="444">
        <f t="shared" ca="1" si="130"/>
        <v>-3456924119.7029028</v>
      </c>
      <c r="J2321" s="444">
        <f t="array" ref="J2321">IFERROR(INDEX('Retirement Calculator'!K:K,MATCH('Lorri 401b'!N2321,'Retirement Calculator'!A:A,0),0),0)</f>
        <v>0</v>
      </c>
      <c r="K2321" s="444">
        <f t="shared" ca="1" si="128"/>
        <v>-14403850.498762097</v>
      </c>
      <c r="L2321" s="444">
        <f t="shared" ca="1" si="129"/>
        <v>-3471327970.2016649</v>
      </c>
      <c r="M2321" s="460">
        <f t="shared" si="131"/>
        <v>0.05</v>
      </c>
      <c r="N2321" s="464">
        <f t="shared" si="132"/>
        <v>121687</v>
      </c>
    </row>
    <row r="2322" spans="7:14" ht="11.25" customHeight="1" x14ac:dyDescent="0.3">
      <c r="G2322" s="459"/>
      <c r="H2322" s="459">
        <v>2315</v>
      </c>
      <c r="I2322" s="444">
        <f t="shared" ca="1" si="130"/>
        <v>-3471327970.2016649</v>
      </c>
      <c r="J2322" s="444">
        <f t="array" ref="J2322">IFERROR(INDEX('Retirement Calculator'!K:K,MATCH('Lorri 401b'!N2322,'Retirement Calculator'!A:A,0),0),0)</f>
        <v>0</v>
      </c>
      <c r="K2322" s="444">
        <f t="shared" ca="1" si="128"/>
        <v>-14463866.542506935</v>
      </c>
      <c r="L2322" s="444">
        <f t="shared" ca="1" si="129"/>
        <v>-3485791836.7441721</v>
      </c>
      <c r="M2322" s="460">
        <f t="shared" si="131"/>
        <v>0.05</v>
      </c>
      <c r="N2322" s="464">
        <f t="shared" si="132"/>
        <v>121718</v>
      </c>
    </row>
    <row r="2323" spans="7:14" ht="11.25" customHeight="1" x14ac:dyDescent="0.3">
      <c r="G2323" s="459"/>
      <c r="H2323" s="459">
        <v>2316</v>
      </c>
      <c r="I2323" s="444">
        <f t="shared" ca="1" si="130"/>
        <v>-3485791836.7441721</v>
      </c>
      <c r="J2323" s="444">
        <f t="array" ref="J2323">IFERROR(INDEX('Retirement Calculator'!K:K,MATCH('Lorri 401b'!N2323,'Retirement Calculator'!A:A,0),0),0)</f>
        <v>0</v>
      </c>
      <c r="K2323" s="444">
        <f t="shared" ca="1" si="128"/>
        <v>-14524132.653100716</v>
      </c>
      <c r="L2323" s="444">
        <f t="shared" ca="1" si="129"/>
        <v>-3500315969.3972726</v>
      </c>
      <c r="M2323" s="460">
        <f t="shared" si="131"/>
        <v>0.05</v>
      </c>
      <c r="N2323" s="464">
        <f t="shared" si="132"/>
        <v>121748</v>
      </c>
    </row>
    <row r="2324" spans="7:14" ht="11.25" customHeight="1" x14ac:dyDescent="0.3">
      <c r="G2324" s="459"/>
      <c r="H2324" s="459">
        <v>2317</v>
      </c>
      <c r="I2324" s="444">
        <f t="shared" ca="1" si="130"/>
        <v>-3500315969.3972726</v>
      </c>
      <c r="J2324" s="444">
        <f t="array" ref="J2324">IFERROR(INDEX('Retirement Calculator'!K:K,MATCH('Lorri 401b'!N2324,'Retirement Calculator'!A:A,0),0),0)</f>
        <v>0</v>
      </c>
      <c r="K2324" s="444">
        <f t="shared" ca="1" si="128"/>
        <v>-14584649.872488635</v>
      </c>
      <c r="L2324" s="444">
        <f t="shared" ca="1" si="129"/>
        <v>-3514900619.2697611</v>
      </c>
      <c r="M2324" s="460">
        <f t="shared" si="131"/>
        <v>0.05</v>
      </c>
      <c r="N2324" s="464">
        <f t="shared" si="132"/>
        <v>121779</v>
      </c>
    </row>
    <row r="2325" spans="7:14" ht="11.25" customHeight="1" x14ac:dyDescent="0.3">
      <c r="G2325" s="459"/>
      <c r="H2325" s="459">
        <v>2318</v>
      </c>
      <c r="I2325" s="444">
        <f t="shared" ca="1" si="130"/>
        <v>-3514900619.2697611</v>
      </c>
      <c r="J2325" s="444">
        <f t="array" ref="J2325">IFERROR(INDEX('Retirement Calculator'!K:K,MATCH('Lorri 401b'!N2325,'Retirement Calculator'!A:A,0),0),0)</f>
        <v>0</v>
      </c>
      <c r="K2325" s="444">
        <f t="shared" ca="1" si="128"/>
        <v>-14645419.246957337</v>
      </c>
      <c r="L2325" s="444">
        <f t="shared" ca="1" si="129"/>
        <v>-3529546038.5167184</v>
      </c>
      <c r="M2325" s="460">
        <f t="shared" si="131"/>
        <v>0.05</v>
      </c>
      <c r="N2325" s="464">
        <f t="shared" si="132"/>
        <v>121809</v>
      </c>
    </row>
    <row r="2326" spans="7:14" ht="11.25" customHeight="1" x14ac:dyDescent="0.3">
      <c r="G2326" s="459"/>
      <c r="H2326" s="459">
        <v>2319</v>
      </c>
      <c r="I2326" s="444">
        <f t="shared" ca="1" si="130"/>
        <v>-3529546038.5167184</v>
      </c>
      <c r="J2326" s="444">
        <f t="array" ref="J2326">IFERROR(INDEX('Retirement Calculator'!K:K,MATCH('Lorri 401b'!N2326,'Retirement Calculator'!A:A,0),0),0)</f>
        <v>0</v>
      </c>
      <c r="K2326" s="444">
        <f t="shared" ca="1" si="128"/>
        <v>-14706441.827152994</v>
      </c>
      <c r="L2326" s="444">
        <f t="shared" ca="1" si="129"/>
        <v>-3544252480.3438716</v>
      </c>
      <c r="M2326" s="460">
        <f t="shared" si="131"/>
        <v>0.05</v>
      </c>
      <c r="N2326" s="464">
        <f t="shared" si="132"/>
        <v>121840</v>
      </c>
    </row>
    <row r="2327" spans="7:14" ht="11.25" customHeight="1" x14ac:dyDescent="0.3">
      <c r="G2327" s="459"/>
      <c r="H2327" s="459">
        <v>2320</v>
      </c>
      <c r="I2327" s="444">
        <f t="shared" ca="1" si="130"/>
        <v>-3544252480.3438716</v>
      </c>
      <c r="J2327" s="444">
        <f t="array" ref="J2327">IFERROR(INDEX('Retirement Calculator'!K:K,MATCH('Lorri 401b'!N2327,'Retirement Calculator'!A:A,0),0),0)</f>
        <v>0</v>
      </c>
      <c r="K2327" s="444">
        <f t="shared" ca="1" si="128"/>
        <v>-14767718.668099465</v>
      </c>
      <c r="L2327" s="444">
        <f t="shared" ca="1" si="129"/>
        <v>-3559020199.011971</v>
      </c>
      <c r="M2327" s="460">
        <f t="shared" si="131"/>
        <v>0.05</v>
      </c>
      <c r="N2327" s="464">
        <f t="shared" si="132"/>
        <v>121871</v>
      </c>
    </row>
    <row r="2328" spans="7:14" ht="11.25" customHeight="1" x14ac:dyDescent="0.3">
      <c r="G2328" s="459"/>
      <c r="H2328" s="459">
        <v>2321</v>
      </c>
      <c r="I2328" s="444">
        <f t="shared" ca="1" si="130"/>
        <v>-3559020199.011971</v>
      </c>
      <c r="J2328" s="444">
        <f t="array" ref="J2328">IFERROR(INDEX('Retirement Calculator'!K:K,MATCH('Lorri 401b'!N2328,'Retirement Calculator'!A:A,0),0),0)</f>
        <v>0</v>
      </c>
      <c r="K2328" s="444">
        <f t="shared" ca="1" si="128"/>
        <v>-14829250.829216545</v>
      </c>
      <c r="L2328" s="444">
        <f t="shared" ca="1" si="129"/>
        <v>-3573849449.8411875</v>
      </c>
      <c r="M2328" s="460">
        <f t="shared" si="131"/>
        <v>0.05</v>
      </c>
      <c r="N2328" s="464">
        <f t="shared" si="132"/>
        <v>121901</v>
      </c>
    </row>
    <row r="2329" spans="7:14" ht="11.25" customHeight="1" x14ac:dyDescent="0.3">
      <c r="G2329" s="459"/>
      <c r="H2329" s="459">
        <v>2322</v>
      </c>
      <c r="I2329" s="444">
        <f t="shared" ca="1" si="130"/>
        <v>-3573849449.8411875</v>
      </c>
      <c r="J2329" s="444">
        <f t="array" ref="J2329">IFERROR(INDEX('Retirement Calculator'!K:K,MATCH('Lorri 401b'!N2329,'Retirement Calculator'!A:A,0),0),0)</f>
        <v>0</v>
      </c>
      <c r="K2329" s="444">
        <f t="shared" ca="1" si="128"/>
        <v>-14891039.37433828</v>
      </c>
      <c r="L2329" s="444">
        <f t="shared" ca="1" si="129"/>
        <v>-3588740489.2155256</v>
      </c>
      <c r="M2329" s="460">
        <f t="shared" si="131"/>
        <v>0.05</v>
      </c>
      <c r="N2329" s="464">
        <f t="shared" si="132"/>
        <v>121932</v>
      </c>
    </row>
    <row r="2330" spans="7:14" ht="11.25" customHeight="1" x14ac:dyDescent="0.3">
      <c r="G2330" s="459"/>
      <c r="H2330" s="459">
        <v>2323</v>
      </c>
      <c r="I2330" s="444">
        <f t="shared" ca="1" si="130"/>
        <v>-3588740489.2155256</v>
      </c>
      <c r="J2330" s="444">
        <f t="array" ref="J2330">IFERROR(INDEX('Retirement Calculator'!K:K,MATCH('Lorri 401b'!N2330,'Retirement Calculator'!A:A,0),0),0)</f>
        <v>0</v>
      </c>
      <c r="K2330" s="444">
        <f t="shared" ca="1" si="128"/>
        <v>-14953085.371731356</v>
      </c>
      <c r="L2330" s="444">
        <f t="shared" ca="1" si="129"/>
        <v>-3603693574.5872569</v>
      </c>
      <c r="M2330" s="460">
        <f t="shared" si="131"/>
        <v>0.05</v>
      </c>
      <c r="N2330" s="464">
        <f t="shared" si="132"/>
        <v>121962</v>
      </c>
    </row>
    <row r="2331" spans="7:14" ht="11.25" customHeight="1" x14ac:dyDescent="0.3">
      <c r="G2331" s="459"/>
      <c r="H2331" s="459">
        <v>2324</v>
      </c>
      <c r="I2331" s="444">
        <f t="shared" ca="1" si="130"/>
        <v>-3603693574.5872569</v>
      </c>
      <c r="J2331" s="444">
        <f t="array" ref="J2331">IFERROR(INDEX('Retirement Calculator'!K:K,MATCH('Lorri 401b'!N2331,'Retirement Calculator'!A:A,0),0),0)</f>
        <v>0</v>
      </c>
      <c r="K2331" s="444">
        <f t="shared" ca="1" si="128"/>
        <v>-15015389.89411357</v>
      </c>
      <c r="L2331" s="444">
        <f t="shared" ca="1" si="129"/>
        <v>-3618708964.4813704</v>
      </c>
      <c r="M2331" s="460">
        <f t="shared" si="131"/>
        <v>0.05</v>
      </c>
      <c r="N2331" s="464">
        <f t="shared" si="132"/>
        <v>121993</v>
      </c>
    </row>
    <row r="2332" spans="7:14" ht="11.25" customHeight="1" x14ac:dyDescent="0.3">
      <c r="G2332" s="459"/>
      <c r="H2332" s="459">
        <v>2325</v>
      </c>
      <c r="I2332" s="444">
        <f t="shared" ca="1" si="130"/>
        <v>-3618708964.4813704</v>
      </c>
      <c r="J2332" s="444">
        <f t="array" ref="J2332">IFERROR(INDEX('Retirement Calculator'!K:K,MATCH('Lorri 401b'!N2332,'Retirement Calculator'!A:A,0),0),0)</f>
        <v>0</v>
      </c>
      <c r="K2332" s="444">
        <f t="shared" ca="1" si="128"/>
        <v>-15077954.018672377</v>
      </c>
      <c r="L2332" s="444">
        <f t="shared" ca="1" si="129"/>
        <v>-3633786918.5000429</v>
      </c>
      <c r="M2332" s="460">
        <f t="shared" si="131"/>
        <v>0.05</v>
      </c>
      <c r="N2332" s="464">
        <f t="shared" si="132"/>
        <v>122024</v>
      </c>
    </row>
    <row r="2333" spans="7:14" ht="11.25" customHeight="1" x14ac:dyDescent="0.3">
      <c r="G2333" s="459"/>
      <c r="H2333" s="459">
        <v>2326</v>
      </c>
      <c r="I2333" s="444">
        <f t="shared" ca="1" si="130"/>
        <v>-3633786918.5000429</v>
      </c>
      <c r="J2333" s="444">
        <f t="array" ref="J2333">IFERROR(INDEX('Retirement Calculator'!K:K,MATCH('Lorri 401b'!N2333,'Retirement Calculator'!A:A,0),0),0)</f>
        <v>0</v>
      </c>
      <c r="K2333" s="444">
        <f t="shared" ca="1" si="128"/>
        <v>-15140778.827083511</v>
      </c>
      <c r="L2333" s="444">
        <f t="shared" ca="1" si="129"/>
        <v>-3648927697.3271265</v>
      </c>
      <c r="M2333" s="460">
        <f t="shared" si="131"/>
        <v>0.05</v>
      </c>
      <c r="N2333" s="464">
        <f t="shared" si="132"/>
        <v>122052</v>
      </c>
    </row>
    <row r="2334" spans="7:14" ht="11.25" customHeight="1" x14ac:dyDescent="0.3">
      <c r="G2334" s="459"/>
      <c r="H2334" s="459">
        <v>2327</v>
      </c>
      <c r="I2334" s="444">
        <f t="shared" ca="1" si="130"/>
        <v>-3648927697.3271265</v>
      </c>
      <c r="J2334" s="444">
        <f t="array" ref="J2334">IFERROR(INDEX('Retirement Calculator'!K:K,MATCH('Lorri 401b'!N2334,'Retirement Calculator'!A:A,0),0),0)</f>
        <v>0</v>
      </c>
      <c r="K2334" s="444">
        <f t="shared" ca="1" si="128"/>
        <v>-15203865.405529693</v>
      </c>
      <c r="L2334" s="444">
        <f t="shared" ca="1" si="129"/>
        <v>-3664131562.732656</v>
      </c>
      <c r="M2334" s="460">
        <f t="shared" si="131"/>
        <v>0.05</v>
      </c>
      <c r="N2334" s="464">
        <f t="shared" si="132"/>
        <v>122083</v>
      </c>
    </row>
    <row r="2335" spans="7:14" ht="11.25" customHeight="1" x14ac:dyDescent="0.3">
      <c r="G2335" s="459"/>
      <c r="H2335" s="459">
        <v>2328</v>
      </c>
      <c r="I2335" s="444">
        <f t="shared" ca="1" si="130"/>
        <v>-3664131562.732656</v>
      </c>
      <c r="J2335" s="444">
        <f t="array" ref="J2335">IFERROR(INDEX('Retirement Calculator'!K:K,MATCH('Lorri 401b'!N2335,'Retirement Calculator'!A:A,0),0),0)</f>
        <v>0</v>
      </c>
      <c r="K2335" s="444">
        <f t="shared" ca="1" si="128"/>
        <v>-15267214.844719401</v>
      </c>
      <c r="L2335" s="444">
        <f t="shared" ca="1" si="129"/>
        <v>-3679398777.5773754</v>
      </c>
      <c r="M2335" s="460">
        <f t="shared" si="131"/>
        <v>0.05</v>
      </c>
      <c r="N2335" s="464">
        <f t="shared" si="132"/>
        <v>122113</v>
      </c>
    </row>
    <row r="2336" spans="7:14" ht="11.25" customHeight="1" x14ac:dyDescent="0.3">
      <c r="G2336" s="459"/>
      <c r="H2336" s="459">
        <v>2329</v>
      </c>
      <c r="I2336" s="444">
        <f t="shared" ca="1" si="130"/>
        <v>-3679398777.5773754</v>
      </c>
      <c r="J2336" s="444">
        <f t="array" ref="J2336">IFERROR(INDEX('Retirement Calculator'!K:K,MATCH('Lorri 401b'!N2336,'Retirement Calculator'!A:A,0),0),0)</f>
        <v>0</v>
      </c>
      <c r="K2336" s="444">
        <f t="shared" ca="1" si="128"/>
        <v>-15330828.23990573</v>
      </c>
      <c r="L2336" s="444">
        <f t="shared" ca="1" si="129"/>
        <v>-3694729605.8172812</v>
      </c>
      <c r="M2336" s="460">
        <f t="shared" si="131"/>
        <v>0.05</v>
      </c>
      <c r="N2336" s="464">
        <f t="shared" si="132"/>
        <v>122144</v>
      </c>
    </row>
    <row r="2337" spans="7:14" ht="11.25" customHeight="1" x14ac:dyDescent="0.3">
      <c r="G2337" s="459"/>
      <c r="H2337" s="459">
        <v>2330</v>
      </c>
      <c r="I2337" s="444">
        <f t="shared" ca="1" si="130"/>
        <v>-3694729605.8172812</v>
      </c>
      <c r="J2337" s="444">
        <f t="array" ref="J2337">IFERROR(INDEX('Retirement Calculator'!K:K,MATCH('Lorri 401b'!N2337,'Retirement Calculator'!A:A,0),0),0)</f>
        <v>0</v>
      </c>
      <c r="K2337" s="444">
        <f t="shared" ca="1" si="128"/>
        <v>-15394706.690905336</v>
      </c>
      <c r="L2337" s="444">
        <f t="shared" ca="1" si="129"/>
        <v>-3710124312.5081868</v>
      </c>
      <c r="M2337" s="460">
        <f t="shared" si="131"/>
        <v>0.05</v>
      </c>
      <c r="N2337" s="464">
        <f t="shared" si="132"/>
        <v>122174</v>
      </c>
    </row>
    <row r="2338" spans="7:14" ht="11.25" customHeight="1" x14ac:dyDescent="0.3">
      <c r="G2338" s="459"/>
      <c r="H2338" s="459">
        <v>2331</v>
      </c>
      <c r="I2338" s="444">
        <f t="shared" ca="1" si="130"/>
        <v>-3710124312.5081868</v>
      </c>
      <c r="J2338" s="444">
        <f t="array" ref="J2338">IFERROR(INDEX('Retirement Calculator'!K:K,MATCH('Lorri 401b'!N2338,'Retirement Calculator'!A:A,0),0),0)</f>
        <v>0</v>
      </c>
      <c r="K2338" s="444">
        <f t="shared" ca="1" si="128"/>
        <v>-15458851.302117446</v>
      </c>
      <c r="L2338" s="444">
        <f t="shared" ca="1" si="129"/>
        <v>-3725583163.8103042</v>
      </c>
      <c r="M2338" s="460">
        <f t="shared" si="131"/>
        <v>0.05</v>
      </c>
      <c r="N2338" s="464">
        <f t="shared" si="132"/>
        <v>122205</v>
      </c>
    </row>
    <row r="2339" spans="7:14" ht="11.25" customHeight="1" x14ac:dyDescent="0.3">
      <c r="G2339" s="459"/>
      <c r="H2339" s="459">
        <v>2332</v>
      </c>
      <c r="I2339" s="444">
        <f t="shared" ca="1" si="130"/>
        <v>-3725583163.8103042</v>
      </c>
      <c r="J2339" s="444">
        <f t="array" ref="J2339">IFERROR(INDEX('Retirement Calculator'!K:K,MATCH('Lorri 401b'!N2339,'Retirement Calculator'!A:A,0),0),0)</f>
        <v>0</v>
      </c>
      <c r="K2339" s="444">
        <f t="shared" ca="1" si="128"/>
        <v>-15523263.182542933</v>
      </c>
      <c r="L2339" s="444">
        <f t="shared" ca="1" si="129"/>
        <v>-3741106426.992847</v>
      </c>
      <c r="M2339" s="460">
        <f t="shared" si="131"/>
        <v>0.05</v>
      </c>
      <c r="N2339" s="464">
        <f t="shared" si="132"/>
        <v>122236</v>
      </c>
    </row>
    <row r="2340" spans="7:14" ht="11.25" customHeight="1" x14ac:dyDescent="0.3">
      <c r="G2340" s="459"/>
      <c r="H2340" s="459">
        <v>2333</v>
      </c>
      <c r="I2340" s="444">
        <f t="shared" ca="1" si="130"/>
        <v>-3741106426.992847</v>
      </c>
      <c r="J2340" s="444">
        <f t="array" ref="J2340">IFERROR(INDEX('Retirement Calculator'!K:K,MATCH('Lorri 401b'!N2340,'Retirement Calculator'!A:A,0),0),0)</f>
        <v>0</v>
      </c>
      <c r="K2340" s="444">
        <f t="shared" ca="1" si="128"/>
        <v>-15587943.445803529</v>
      </c>
      <c r="L2340" s="444">
        <f t="shared" ca="1" si="129"/>
        <v>-3756694370.4386506</v>
      </c>
      <c r="M2340" s="460">
        <f t="shared" si="131"/>
        <v>0.05</v>
      </c>
      <c r="N2340" s="464">
        <f t="shared" si="132"/>
        <v>122266</v>
      </c>
    </row>
    <row r="2341" spans="7:14" ht="11.25" customHeight="1" x14ac:dyDescent="0.3">
      <c r="G2341" s="459"/>
      <c r="H2341" s="459">
        <v>2334</v>
      </c>
      <c r="I2341" s="444">
        <f t="shared" ca="1" si="130"/>
        <v>-3756694370.4386506</v>
      </c>
      <c r="J2341" s="444">
        <f t="array" ref="J2341">IFERROR(INDEX('Retirement Calculator'!K:K,MATCH('Lorri 401b'!N2341,'Retirement Calculator'!A:A,0),0),0)</f>
        <v>0</v>
      </c>
      <c r="K2341" s="444">
        <f t="shared" ca="1" si="128"/>
        <v>-15652893.210161043</v>
      </c>
      <c r="L2341" s="444">
        <f t="shared" ca="1" si="129"/>
        <v>-3772347263.6488118</v>
      </c>
      <c r="M2341" s="460">
        <f t="shared" si="131"/>
        <v>0.05</v>
      </c>
      <c r="N2341" s="464">
        <f t="shared" si="132"/>
        <v>122297</v>
      </c>
    </row>
    <row r="2342" spans="7:14" ht="11.25" customHeight="1" x14ac:dyDescent="0.3">
      <c r="G2342" s="459"/>
      <c r="H2342" s="459">
        <v>2335</v>
      </c>
      <c r="I2342" s="444">
        <f t="shared" ca="1" si="130"/>
        <v>-3772347263.6488118</v>
      </c>
      <c r="J2342" s="444">
        <f t="array" ref="J2342">IFERROR(INDEX('Retirement Calculator'!K:K,MATCH('Lorri 401b'!N2342,'Retirement Calculator'!A:A,0),0),0)</f>
        <v>0</v>
      </c>
      <c r="K2342" s="444">
        <f t="shared" ca="1" si="128"/>
        <v>-15718113.598536717</v>
      </c>
      <c r="L2342" s="444">
        <f t="shared" ca="1" si="129"/>
        <v>-3788065377.2473483</v>
      </c>
      <c r="M2342" s="460">
        <f t="shared" si="131"/>
        <v>0.05</v>
      </c>
      <c r="N2342" s="464">
        <f t="shared" si="132"/>
        <v>122327</v>
      </c>
    </row>
    <row r="2343" spans="7:14" ht="11.25" customHeight="1" x14ac:dyDescent="0.3">
      <c r="G2343" s="459"/>
      <c r="H2343" s="459">
        <v>2336</v>
      </c>
      <c r="I2343" s="444">
        <f t="shared" ca="1" si="130"/>
        <v>-3788065377.2473483</v>
      </c>
      <c r="J2343" s="444">
        <f t="array" ref="J2343">IFERROR(INDEX('Retirement Calculator'!K:K,MATCH('Lorri 401b'!N2343,'Retirement Calculator'!A:A,0),0),0)</f>
        <v>0</v>
      </c>
      <c r="K2343" s="444">
        <f t="shared" ca="1" si="128"/>
        <v>-15783605.738530617</v>
      </c>
      <c r="L2343" s="444">
        <f t="shared" ca="1" si="129"/>
        <v>-3803848982.9858789</v>
      </c>
      <c r="M2343" s="460">
        <f t="shared" si="131"/>
        <v>0.05</v>
      </c>
      <c r="N2343" s="464">
        <f t="shared" si="132"/>
        <v>122358</v>
      </c>
    </row>
    <row r="2344" spans="7:14" ht="11.25" customHeight="1" x14ac:dyDescent="0.3">
      <c r="G2344" s="459"/>
      <c r="H2344" s="459">
        <v>2337</v>
      </c>
      <c r="I2344" s="444">
        <f t="shared" ca="1" si="130"/>
        <v>-3803848982.9858789</v>
      </c>
      <c r="J2344" s="444">
        <f t="array" ref="J2344">IFERROR(INDEX('Retirement Calculator'!K:K,MATCH('Lorri 401b'!N2344,'Retirement Calculator'!A:A,0),0),0)</f>
        <v>0</v>
      </c>
      <c r="K2344" s="444">
        <f t="shared" ca="1" si="128"/>
        <v>-15849370.762441164</v>
      </c>
      <c r="L2344" s="444">
        <f t="shared" ca="1" si="129"/>
        <v>-3819698353.7483201</v>
      </c>
      <c r="M2344" s="460">
        <f t="shared" si="131"/>
        <v>0.05</v>
      </c>
      <c r="N2344" s="464">
        <f t="shared" si="132"/>
        <v>122389</v>
      </c>
    </row>
    <row r="2345" spans="7:14" ht="11.25" customHeight="1" x14ac:dyDescent="0.3">
      <c r="G2345" s="459"/>
      <c r="H2345" s="459">
        <v>2338</v>
      </c>
      <c r="I2345" s="444">
        <f t="shared" ca="1" si="130"/>
        <v>-3819698353.7483201</v>
      </c>
      <c r="J2345" s="444">
        <f t="array" ref="J2345">IFERROR(INDEX('Retirement Calculator'!K:K,MATCH('Lorri 401b'!N2345,'Retirement Calculator'!A:A,0),0),0)</f>
        <v>0</v>
      </c>
      <c r="K2345" s="444">
        <f t="shared" ca="1" si="128"/>
        <v>-15915409.807284666</v>
      </c>
      <c r="L2345" s="444">
        <f t="shared" ca="1" si="129"/>
        <v>-3835613763.5556049</v>
      </c>
      <c r="M2345" s="460">
        <f t="shared" si="131"/>
        <v>0.05</v>
      </c>
      <c r="N2345" s="464">
        <f t="shared" si="132"/>
        <v>122417</v>
      </c>
    </row>
    <row r="2346" spans="7:14" ht="11.25" customHeight="1" x14ac:dyDescent="0.3">
      <c r="G2346" s="459"/>
      <c r="H2346" s="459">
        <v>2339</v>
      </c>
      <c r="I2346" s="444">
        <f t="shared" ca="1" si="130"/>
        <v>-3835613763.5556049</v>
      </c>
      <c r="J2346" s="444">
        <f t="array" ref="J2346">IFERROR(INDEX('Retirement Calculator'!K:K,MATCH('Lorri 401b'!N2346,'Retirement Calculator'!A:A,0),0),0)</f>
        <v>0</v>
      </c>
      <c r="K2346" s="444">
        <f t="shared" ca="1" si="128"/>
        <v>-15981724.014815019</v>
      </c>
      <c r="L2346" s="444">
        <f t="shared" ca="1" si="129"/>
        <v>-3851595487.5704198</v>
      </c>
      <c r="M2346" s="460">
        <f t="shared" si="131"/>
        <v>0.05</v>
      </c>
      <c r="N2346" s="464">
        <f t="shared" si="132"/>
        <v>122448</v>
      </c>
    </row>
    <row r="2347" spans="7:14" ht="11.25" customHeight="1" x14ac:dyDescent="0.3">
      <c r="G2347" s="459"/>
      <c r="H2347" s="459">
        <v>2340</v>
      </c>
      <c r="I2347" s="444">
        <f t="shared" ca="1" si="130"/>
        <v>-3851595487.5704198</v>
      </c>
      <c r="J2347" s="444">
        <f t="array" ref="J2347">IFERROR(INDEX('Retirement Calculator'!K:K,MATCH('Lorri 401b'!N2347,'Retirement Calculator'!A:A,0),0),0)</f>
        <v>0</v>
      </c>
      <c r="K2347" s="444">
        <f t="shared" ca="1" si="128"/>
        <v>-16048314.531543415</v>
      </c>
      <c r="L2347" s="444">
        <f t="shared" ca="1" si="129"/>
        <v>-3867643802.101963</v>
      </c>
      <c r="M2347" s="460">
        <f t="shared" si="131"/>
        <v>0.05</v>
      </c>
      <c r="N2347" s="464">
        <f t="shared" si="132"/>
        <v>122478</v>
      </c>
    </row>
    <row r="2348" spans="7:14" ht="11.25" customHeight="1" x14ac:dyDescent="0.3">
      <c r="G2348" s="459"/>
      <c r="H2348" s="459">
        <v>2341</v>
      </c>
      <c r="I2348" s="444">
        <f t="shared" ca="1" si="130"/>
        <v>-3867643802.101963</v>
      </c>
      <c r="J2348" s="444">
        <f t="array" ref="J2348">IFERROR(INDEX('Retirement Calculator'!K:K,MATCH('Lorri 401b'!N2348,'Retirement Calculator'!A:A,0),0),0)</f>
        <v>0</v>
      </c>
      <c r="K2348" s="444">
        <f t="shared" ca="1" si="128"/>
        <v>-16115182.508758182</v>
      </c>
      <c r="L2348" s="444">
        <f t="shared" ca="1" si="129"/>
        <v>-3883758984.6107211</v>
      </c>
      <c r="M2348" s="460">
        <f t="shared" si="131"/>
        <v>0.05</v>
      </c>
      <c r="N2348" s="464">
        <f t="shared" si="132"/>
        <v>122509</v>
      </c>
    </row>
    <row r="2349" spans="7:14" ht="11.25" customHeight="1" x14ac:dyDescent="0.3">
      <c r="G2349" s="459"/>
      <c r="H2349" s="459">
        <v>2342</v>
      </c>
      <c r="I2349" s="444">
        <f t="shared" ca="1" si="130"/>
        <v>-3883758984.6107211</v>
      </c>
      <c r="J2349" s="444">
        <f t="array" ref="J2349">IFERROR(INDEX('Retirement Calculator'!K:K,MATCH('Lorri 401b'!N2349,'Retirement Calculator'!A:A,0),0),0)</f>
        <v>0</v>
      </c>
      <c r="K2349" s="444">
        <f t="shared" ca="1" si="128"/>
        <v>-16182329.102544669</v>
      </c>
      <c r="L2349" s="444">
        <f t="shared" ca="1" si="129"/>
        <v>-3899941313.7132659</v>
      </c>
      <c r="M2349" s="460">
        <f t="shared" si="131"/>
        <v>0.05</v>
      </c>
      <c r="N2349" s="464">
        <f t="shared" si="132"/>
        <v>122539</v>
      </c>
    </row>
    <row r="2350" spans="7:14" ht="11.25" customHeight="1" x14ac:dyDescent="0.3">
      <c r="G2350" s="459"/>
      <c r="H2350" s="459">
        <v>2343</v>
      </c>
      <c r="I2350" s="444">
        <f t="shared" ca="1" si="130"/>
        <v>-3899941313.7132659</v>
      </c>
      <c r="J2350" s="444">
        <f t="array" ref="J2350">IFERROR(INDEX('Retirement Calculator'!K:K,MATCH('Lorri 401b'!N2350,'Retirement Calculator'!A:A,0),0),0)</f>
        <v>0</v>
      </c>
      <c r="K2350" s="444">
        <f t="shared" ca="1" si="128"/>
        <v>-16249755.473805275</v>
      </c>
      <c r="L2350" s="444">
        <f t="shared" ca="1" si="129"/>
        <v>-3916191069.1870713</v>
      </c>
      <c r="M2350" s="460">
        <f t="shared" si="131"/>
        <v>0.05</v>
      </c>
      <c r="N2350" s="464">
        <f t="shared" si="132"/>
        <v>122570</v>
      </c>
    </row>
    <row r="2351" spans="7:14" ht="11.25" customHeight="1" x14ac:dyDescent="0.3">
      <c r="G2351" s="459"/>
      <c r="H2351" s="459">
        <v>2344</v>
      </c>
      <c r="I2351" s="444">
        <f t="shared" ca="1" si="130"/>
        <v>-3916191069.1870713</v>
      </c>
      <c r="J2351" s="444">
        <f t="array" ref="J2351">IFERROR(INDEX('Retirement Calculator'!K:K,MATCH('Lorri 401b'!N2351,'Retirement Calculator'!A:A,0),0),0)</f>
        <v>0</v>
      </c>
      <c r="K2351" s="444">
        <f t="shared" ca="1" si="128"/>
        <v>-16317462.788279466</v>
      </c>
      <c r="L2351" s="444">
        <f t="shared" ca="1" si="129"/>
        <v>-3932508531.9753509</v>
      </c>
      <c r="M2351" s="460">
        <f t="shared" si="131"/>
        <v>0.05</v>
      </c>
      <c r="N2351" s="464">
        <f t="shared" si="132"/>
        <v>122601</v>
      </c>
    </row>
    <row r="2352" spans="7:14" ht="11.25" customHeight="1" x14ac:dyDescent="0.3">
      <c r="G2352" s="459"/>
      <c r="H2352" s="459">
        <v>2345</v>
      </c>
      <c r="I2352" s="444">
        <f t="shared" ca="1" si="130"/>
        <v>-3932508531.9753509</v>
      </c>
      <c r="J2352" s="444">
        <f t="array" ref="J2352">IFERROR(INDEX('Retirement Calculator'!K:K,MATCH('Lorri 401b'!N2352,'Retirement Calculator'!A:A,0),0),0)</f>
        <v>0</v>
      </c>
      <c r="K2352" s="444">
        <f t="shared" ca="1" si="128"/>
        <v>-16385452.216563964</v>
      </c>
      <c r="L2352" s="444">
        <f t="shared" ca="1" si="129"/>
        <v>-3948893984.191915</v>
      </c>
      <c r="M2352" s="460">
        <f t="shared" si="131"/>
        <v>0.05</v>
      </c>
      <c r="N2352" s="464">
        <f t="shared" si="132"/>
        <v>122631</v>
      </c>
    </row>
    <row r="2353" spans="7:14" ht="11.25" customHeight="1" x14ac:dyDescent="0.3">
      <c r="G2353" s="459"/>
      <c r="H2353" s="459">
        <v>2346</v>
      </c>
      <c r="I2353" s="444">
        <f t="shared" ca="1" si="130"/>
        <v>-3948893984.191915</v>
      </c>
      <c r="J2353" s="444">
        <f t="array" ref="J2353">IFERROR(INDEX('Retirement Calculator'!K:K,MATCH('Lorri 401b'!N2353,'Retirement Calculator'!A:A,0),0),0)</f>
        <v>0</v>
      </c>
      <c r="K2353" s="444">
        <f t="shared" ca="1" si="128"/>
        <v>-16453724.934132978</v>
      </c>
      <c r="L2353" s="444">
        <f t="shared" ca="1" si="129"/>
        <v>-3965347709.1260481</v>
      </c>
      <c r="M2353" s="460">
        <f t="shared" si="131"/>
        <v>0.05</v>
      </c>
      <c r="N2353" s="464">
        <f t="shared" si="132"/>
        <v>122662</v>
      </c>
    </row>
    <row r="2354" spans="7:14" ht="11.25" customHeight="1" x14ac:dyDescent="0.3">
      <c r="G2354" s="459"/>
      <c r="H2354" s="459">
        <v>2347</v>
      </c>
      <c r="I2354" s="444">
        <f t="shared" ca="1" si="130"/>
        <v>-3965347709.1260481</v>
      </c>
      <c r="J2354" s="444">
        <f t="array" ref="J2354">IFERROR(INDEX('Retirement Calculator'!K:K,MATCH('Lorri 401b'!N2354,'Retirement Calculator'!A:A,0),0),0)</f>
        <v>0</v>
      </c>
      <c r="K2354" s="444">
        <f t="shared" ca="1" si="128"/>
        <v>-16522282.121358531</v>
      </c>
      <c r="L2354" s="444">
        <f t="shared" ca="1" si="129"/>
        <v>-3981869991.2474065</v>
      </c>
      <c r="M2354" s="460">
        <f t="shared" si="131"/>
        <v>0.05</v>
      </c>
      <c r="N2354" s="464">
        <f t="shared" si="132"/>
        <v>122692</v>
      </c>
    </row>
    <row r="2355" spans="7:14" ht="11.25" customHeight="1" x14ac:dyDescent="0.3">
      <c r="G2355" s="459"/>
      <c r="H2355" s="459">
        <v>2348</v>
      </c>
      <c r="I2355" s="444">
        <f t="shared" ca="1" si="130"/>
        <v>-3981869991.2474065</v>
      </c>
      <c r="J2355" s="444">
        <f t="array" ref="J2355">IFERROR(INDEX('Retirement Calculator'!K:K,MATCH('Lorri 401b'!N2355,'Retirement Calculator'!A:A,0),0),0)</f>
        <v>0</v>
      </c>
      <c r="K2355" s="444">
        <f t="shared" ca="1" si="128"/>
        <v>-16591124.963530859</v>
      </c>
      <c r="L2355" s="444">
        <f t="shared" ca="1" si="129"/>
        <v>-3998461116.2109375</v>
      </c>
      <c r="M2355" s="460">
        <f t="shared" si="131"/>
        <v>0.05</v>
      </c>
      <c r="N2355" s="464">
        <f t="shared" si="132"/>
        <v>122723</v>
      </c>
    </row>
    <row r="2356" spans="7:14" ht="11.25" customHeight="1" x14ac:dyDescent="0.3">
      <c r="G2356" s="459"/>
      <c r="H2356" s="459">
        <v>2349</v>
      </c>
      <c r="I2356" s="444">
        <f t="shared" ca="1" si="130"/>
        <v>-3998461116.2109375</v>
      </c>
      <c r="J2356" s="444">
        <f t="array" ref="J2356">IFERROR(INDEX('Retirement Calculator'!K:K,MATCH('Lorri 401b'!N2356,'Retirement Calculator'!A:A,0),0),0)</f>
        <v>0</v>
      </c>
      <c r="K2356" s="444">
        <f t="shared" ca="1" si="128"/>
        <v>-16660254.650878906</v>
      </c>
      <c r="L2356" s="444">
        <f t="shared" ca="1" si="129"/>
        <v>-4015121370.8618164</v>
      </c>
      <c r="M2356" s="460">
        <f t="shared" si="131"/>
        <v>0.05</v>
      </c>
      <c r="N2356" s="464">
        <f t="shared" si="132"/>
        <v>122754</v>
      </c>
    </row>
    <row r="2357" spans="7:14" ht="11.25" customHeight="1" x14ac:dyDescent="0.3">
      <c r="G2357" s="459"/>
      <c r="H2357" s="459">
        <v>2350</v>
      </c>
      <c r="I2357" s="444">
        <f t="shared" ca="1" si="130"/>
        <v>-4015121370.8618164</v>
      </c>
      <c r="J2357" s="444">
        <f t="array" ref="J2357">IFERROR(INDEX('Retirement Calculator'!K:K,MATCH('Lorri 401b'!N2357,'Retirement Calculator'!A:A,0),0),0)</f>
        <v>0</v>
      </c>
      <c r="K2357" s="444">
        <f t="shared" ca="1" si="128"/>
        <v>-16729672.378590902</v>
      </c>
      <c r="L2357" s="444">
        <f t="shared" ca="1" si="129"/>
        <v>-4031851043.2404075</v>
      </c>
      <c r="M2357" s="460">
        <f t="shared" si="131"/>
        <v>0.05</v>
      </c>
      <c r="N2357" s="464">
        <f t="shared" si="132"/>
        <v>122783</v>
      </c>
    </row>
    <row r="2358" spans="7:14" ht="11.25" customHeight="1" x14ac:dyDescent="0.3">
      <c r="G2358" s="459"/>
      <c r="H2358" s="459">
        <v>2351</v>
      </c>
      <c r="I2358" s="444">
        <f t="shared" ca="1" si="130"/>
        <v>-4031851043.2404075</v>
      </c>
      <c r="J2358" s="444">
        <f t="array" ref="J2358">IFERROR(INDEX('Retirement Calculator'!K:K,MATCH('Lorri 401b'!N2358,'Retirement Calculator'!A:A,0),0),0)</f>
        <v>0</v>
      </c>
      <c r="K2358" s="444">
        <f t="shared" ca="1" si="128"/>
        <v>-16799379.346835032</v>
      </c>
      <c r="L2358" s="444">
        <f t="shared" ca="1" si="129"/>
        <v>-4048650422.5872426</v>
      </c>
      <c r="M2358" s="460">
        <f t="shared" si="131"/>
        <v>0.05</v>
      </c>
      <c r="N2358" s="464">
        <f t="shared" si="132"/>
        <v>122814</v>
      </c>
    </row>
    <row r="2359" spans="7:14" ht="11.25" customHeight="1" x14ac:dyDescent="0.3">
      <c r="G2359" s="459"/>
      <c r="H2359" s="459">
        <v>2352</v>
      </c>
      <c r="I2359" s="444">
        <f t="shared" ca="1" si="130"/>
        <v>-4048650422.5872426</v>
      </c>
      <c r="J2359" s="444">
        <f t="array" ref="J2359">IFERROR(INDEX('Retirement Calculator'!K:K,MATCH('Lorri 401b'!N2359,'Retirement Calculator'!A:A,0),0),0)</f>
        <v>0</v>
      </c>
      <c r="K2359" s="444">
        <f t="shared" ca="1" si="128"/>
        <v>-16869376.760780174</v>
      </c>
      <c r="L2359" s="444">
        <f t="shared" ca="1" si="129"/>
        <v>-4065519799.3480229</v>
      </c>
      <c r="M2359" s="460">
        <f t="shared" si="131"/>
        <v>0.05</v>
      </c>
      <c r="N2359" s="464">
        <f t="shared" si="132"/>
        <v>122844</v>
      </c>
    </row>
    <row r="2360" spans="7:14" ht="11.25" customHeight="1" x14ac:dyDescent="0.3">
      <c r="G2360" s="459"/>
      <c r="H2360" s="459">
        <v>2353</v>
      </c>
      <c r="I2360" s="444">
        <f t="shared" ca="1" si="130"/>
        <v>-4065519799.3480229</v>
      </c>
      <c r="J2360" s="444">
        <f t="array" ref="J2360">IFERROR(INDEX('Retirement Calculator'!K:K,MATCH('Lorri 401b'!N2360,'Retirement Calculator'!A:A,0),0),0)</f>
        <v>0</v>
      </c>
      <c r="K2360" s="444">
        <f t="shared" ca="1" si="128"/>
        <v>-16939665.830616761</v>
      </c>
      <c r="L2360" s="444">
        <f t="shared" ca="1" si="129"/>
        <v>-4082459465.1786399</v>
      </c>
      <c r="M2360" s="460">
        <f t="shared" si="131"/>
        <v>0.05</v>
      </c>
      <c r="N2360" s="464">
        <f t="shared" si="132"/>
        <v>122875</v>
      </c>
    </row>
    <row r="2361" spans="7:14" ht="11.25" customHeight="1" x14ac:dyDescent="0.3">
      <c r="G2361" s="459"/>
      <c r="H2361" s="459">
        <v>2354</v>
      </c>
      <c r="I2361" s="444">
        <f t="shared" ca="1" si="130"/>
        <v>-4082459465.1786399</v>
      </c>
      <c r="J2361" s="444">
        <f t="array" ref="J2361">IFERROR(INDEX('Retirement Calculator'!K:K,MATCH('Lorri 401b'!N2361,'Retirement Calculator'!A:A,0),0),0)</f>
        <v>0</v>
      </c>
      <c r="K2361" s="444">
        <f t="shared" ca="1" si="128"/>
        <v>-17010247.771577664</v>
      </c>
      <c r="L2361" s="444">
        <f t="shared" ca="1" si="129"/>
        <v>-4099469712.9502177</v>
      </c>
      <c r="M2361" s="460">
        <f t="shared" si="131"/>
        <v>0.05</v>
      </c>
      <c r="N2361" s="464">
        <f t="shared" si="132"/>
        <v>122905</v>
      </c>
    </row>
    <row r="2362" spans="7:14" ht="11.25" customHeight="1" x14ac:dyDescent="0.3">
      <c r="G2362" s="459"/>
      <c r="H2362" s="459">
        <v>2355</v>
      </c>
      <c r="I2362" s="444">
        <f t="shared" ca="1" si="130"/>
        <v>-4099469712.9502177</v>
      </c>
      <c r="J2362" s="444">
        <f t="array" ref="J2362">IFERROR(INDEX('Retirement Calculator'!K:K,MATCH('Lorri 401b'!N2362,'Retirement Calculator'!A:A,0),0),0)</f>
        <v>0</v>
      </c>
      <c r="K2362" s="444">
        <f t="shared" ca="1" si="128"/>
        <v>-17081123.803959239</v>
      </c>
      <c r="L2362" s="444">
        <f t="shared" ca="1" si="129"/>
        <v>-4116550836.7541771</v>
      </c>
      <c r="M2362" s="460">
        <f t="shared" si="131"/>
        <v>0.05</v>
      </c>
      <c r="N2362" s="464">
        <f t="shared" si="132"/>
        <v>122936</v>
      </c>
    </row>
    <row r="2363" spans="7:14" ht="11.25" customHeight="1" x14ac:dyDescent="0.3">
      <c r="G2363" s="459"/>
      <c r="H2363" s="459">
        <v>2356</v>
      </c>
      <c r="I2363" s="444">
        <f t="shared" ca="1" si="130"/>
        <v>-4116550836.7541771</v>
      </c>
      <c r="J2363" s="444">
        <f t="array" ref="J2363">IFERROR(INDEX('Retirement Calculator'!K:K,MATCH('Lorri 401b'!N2363,'Retirement Calculator'!A:A,0),0),0)</f>
        <v>0</v>
      </c>
      <c r="K2363" s="444">
        <f t="shared" ca="1" si="128"/>
        <v>-17152295.153142404</v>
      </c>
      <c r="L2363" s="444">
        <f t="shared" ca="1" si="129"/>
        <v>-4133703131.9073195</v>
      </c>
      <c r="M2363" s="460">
        <f t="shared" si="131"/>
        <v>0.05</v>
      </c>
      <c r="N2363" s="464">
        <f t="shared" si="132"/>
        <v>122967</v>
      </c>
    </row>
    <row r="2364" spans="7:14" ht="11.25" customHeight="1" x14ac:dyDescent="0.3">
      <c r="G2364" s="459"/>
      <c r="H2364" s="459">
        <v>2357</v>
      </c>
      <c r="I2364" s="444">
        <f t="shared" ca="1" si="130"/>
        <v>-4133703131.9073195</v>
      </c>
      <c r="J2364" s="444">
        <f t="array" ref="J2364">IFERROR(INDEX('Retirement Calculator'!K:K,MATCH('Lorri 401b'!N2364,'Retirement Calculator'!A:A,0),0),0)</f>
        <v>0</v>
      </c>
      <c r="K2364" s="444">
        <f t="shared" ca="1" si="128"/>
        <v>-17223763.04961383</v>
      </c>
      <c r="L2364" s="444">
        <f t="shared" ca="1" si="129"/>
        <v>-4150926894.9569335</v>
      </c>
      <c r="M2364" s="460">
        <f t="shared" si="131"/>
        <v>0.05</v>
      </c>
      <c r="N2364" s="464">
        <f t="shared" si="132"/>
        <v>122997</v>
      </c>
    </row>
    <row r="2365" spans="7:14" ht="11.25" customHeight="1" x14ac:dyDescent="0.3">
      <c r="G2365" s="459"/>
      <c r="H2365" s="459">
        <v>2358</v>
      </c>
      <c r="I2365" s="444">
        <f t="shared" ca="1" si="130"/>
        <v>-4150926894.9569335</v>
      </c>
      <c r="J2365" s="444">
        <f t="array" ref="J2365">IFERROR(INDEX('Retirement Calculator'!K:K,MATCH('Lorri 401b'!N2365,'Retirement Calculator'!A:A,0),0),0)</f>
        <v>0</v>
      </c>
      <c r="K2365" s="444">
        <f t="shared" ca="1" si="128"/>
        <v>-17295528.728987224</v>
      </c>
      <c r="L2365" s="444">
        <f t="shared" ca="1" si="129"/>
        <v>-4168222423.6859207</v>
      </c>
      <c r="M2365" s="460">
        <f t="shared" si="131"/>
        <v>0.05</v>
      </c>
      <c r="N2365" s="464">
        <f t="shared" si="132"/>
        <v>123028</v>
      </c>
    </row>
    <row r="2366" spans="7:14" ht="11.25" customHeight="1" x14ac:dyDescent="0.3">
      <c r="G2366" s="459"/>
      <c r="H2366" s="459">
        <v>2359</v>
      </c>
      <c r="I2366" s="444">
        <f t="shared" ca="1" si="130"/>
        <v>-4168222423.6859207</v>
      </c>
      <c r="J2366" s="444">
        <f t="array" ref="J2366">IFERROR(INDEX('Retirement Calculator'!K:K,MATCH('Lorri 401b'!N2366,'Retirement Calculator'!A:A,0),0),0)</f>
        <v>0</v>
      </c>
      <c r="K2366" s="444">
        <f t="shared" ca="1" si="128"/>
        <v>-17367593.432024669</v>
      </c>
      <c r="L2366" s="444">
        <f t="shared" ca="1" si="129"/>
        <v>-4185590017.1179452</v>
      </c>
      <c r="M2366" s="460">
        <f t="shared" si="131"/>
        <v>0.05</v>
      </c>
      <c r="N2366" s="464">
        <f t="shared" si="132"/>
        <v>123058</v>
      </c>
    </row>
    <row r="2367" spans="7:14" ht="11.25" customHeight="1" x14ac:dyDescent="0.3">
      <c r="G2367" s="459"/>
      <c r="H2367" s="459">
        <v>2360</v>
      </c>
      <c r="I2367" s="444">
        <f t="shared" ca="1" si="130"/>
        <v>-4185590017.1179452</v>
      </c>
      <c r="J2367" s="444">
        <f t="array" ref="J2367">IFERROR(INDEX('Retirement Calculator'!K:K,MATCH('Lorri 401b'!N2367,'Retirement Calculator'!A:A,0),0),0)</f>
        <v>0</v>
      </c>
      <c r="K2367" s="444">
        <f t="shared" ca="1" si="128"/>
        <v>-17439958.404658105</v>
      </c>
      <c r="L2367" s="444">
        <f t="shared" ca="1" si="129"/>
        <v>-4203029975.5226035</v>
      </c>
      <c r="M2367" s="460">
        <f t="shared" si="131"/>
        <v>0.05</v>
      </c>
      <c r="N2367" s="464">
        <f t="shared" si="132"/>
        <v>123089</v>
      </c>
    </row>
    <row r="2368" spans="7:14" ht="11.25" customHeight="1" x14ac:dyDescent="0.3">
      <c r="G2368" s="459"/>
      <c r="H2368" s="459">
        <v>2361</v>
      </c>
      <c r="I2368" s="444">
        <f t="shared" ca="1" si="130"/>
        <v>-4203029975.5226035</v>
      </c>
      <c r="J2368" s="444">
        <f t="array" ref="J2368">IFERROR(INDEX('Retirement Calculator'!K:K,MATCH('Lorri 401b'!N2368,'Retirement Calculator'!A:A,0),0),0)</f>
        <v>0</v>
      </c>
      <c r="K2368" s="444">
        <f t="shared" ca="1" si="128"/>
        <v>-17512624.898010846</v>
      </c>
      <c r="L2368" s="444">
        <f t="shared" ca="1" si="129"/>
        <v>-4220542600.4206142</v>
      </c>
      <c r="M2368" s="460">
        <f t="shared" si="131"/>
        <v>0.05</v>
      </c>
      <c r="N2368" s="464">
        <f t="shared" si="132"/>
        <v>123120</v>
      </c>
    </row>
    <row r="2369" spans="7:14" ht="11.25" customHeight="1" x14ac:dyDescent="0.3">
      <c r="G2369" s="459"/>
      <c r="H2369" s="459">
        <v>2362</v>
      </c>
      <c r="I2369" s="444">
        <f t="shared" ca="1" si="130"/>
        <v>-4220542600.4206142</v>
      </c>
      <c r="J2369" s="444">
        <f t="array" ref="J2369">IFERROR(INDEX('Retirement Calculator'!K:K,MATCH('Lorri 401b'!N2369,'Retirement Calculator'!A:A,0),0),0)</f>
        <v>0</v>
      </c>
      <c r="K2369" s="444">
        <f t="shared" ca="1" si="128"/>
        <v>-17585594.168419223</v>
      </c>
      <c r="L2369" s="444">
        <f t="shared" ca="1" si="129"/>
        <v>-4238128194.5890336</v>
      </c>
      <c r="M2369" s="460">
        <f t="shared" si="131"/>
        <v>0.05</v>
      </c>
      <c r="N2369" s="464">
        <f t="shared" si="132"/>
        <v>123148</v>
      </c>
    </row>
    <row r="2370" spans="7:14" ht="11.25" customHeight="1" x14ac:dyDescent="0.3">
      <c r="G2370" s="459"/>
      <c r="H2370" s="459">
        <v>2363</v>
      </c>
      <c r="I2370" s="444">
        <f t="shared" ca="1" si="130"/>
        <v>-4238128194.5890336</v>
      </c>
      <c r="J2370" s="444">
        <f t="array" ref="J2370">IFERROR(INDEX('Retirement Calculator'!K:K,MATCH('Lorri 401b'!N2370,'Retirement Calculator'!A:A,0),0),0)</f>
        <v>0</v>
      </c>
      <c r="K2370" s="444">
        <f t="shared" ca="1" si="128"/>
        <v>-17658867.477454305</v>
      </c>
      <c r="L2370" s="444">
        <f t="shared" ca="1" si="129"/>
        <v>-4255787062.0664878</v>
      </c>
      <c r="M2370" s="460">
        <f t="shared" si="131"/>
        <v>0.05</v>
      </c>
      <c r="N2370" s="464">
        <f t="shared" si="132"/>
        <v>123179</v>
      </c>
    </row>
    <row r="2371" spans="7:14" ht="11.25" customHeight="1" x14ac:dyDescent="0.3">
      <c r="G2371" s="459"/>
      <c r="H2371" s="459">
        <v>2364</v>
      </c>
      <c r="I2371" s="444">
        <f t="shared" ca="1" si="130"/>
        <v>-4255787062.0664878</v>
      </c>
      <c r="J2371" s="444">
        <f t="array" ref="J2371">IFERROR(INDEX('Retirement Calculator'!K:K,MATCH('Lorri 401b'!N2371,'Retirement Calculator'!A:A,0),0),0)</f>
        <v>0</v>
      </c>
      <c r="K2371" s="444">
        <f t="shared" ca="1" si="128"/>
        <v>-17732446.0919437</v>
      </c>
      <c r="L2371" s="444">
        <f t="shared" ca="1" si="129"/>
        <v>-4273519508.1584315</v>
      </c>
      <c r="M2371" s="460">
        <f t="shared" si="131"/>
        <v>0.05</v>
      </c>
      <c r="N2371" s="464">
        <f t="shared" si="132"/>
        <v>123209</v>
      </c>
    </row>
    <row r="2372" spans="7:14" ht="11.25" customHeight="1" x14ac:dyDescent="0.3">
      <c r="G2372" s="459"/>
      <c r="H2372" s="459">
        <v>2365</v>
      </c>
      <c r="I2372" s="444">
        <f t="shared" ca="1" si="130"/>
        <v>-4273519508.1584315</v>
      </c>
      <c r="J2372" s="444">
        <f t="array" ref="J2372">IFERROR(INDEX('Retirement Calculator'!K:K,MATCH('Lorri 401b'!N2372,'Retirement Calculator'!A:A,0),0),0)</f>
        <v>0</v>
      </c>
      <c r="K2372" s="444">
        <f t="shared" ca="1" si="128"/>
        <v>-17806331.283993464</v>
      </c>
      <c r="L2372" s="444">
        <f t="shared" ca="1" si="129"/>
        <v>-4291325839.4424248</v>
      </c>
      <c r="M2372" s="460">
        <f t="shared" si="131"/>
        <v>0.05</v>
      </c>
      <c r="N2372" s="464">
        <f t="shared" si="132"/>
        <v>123240</v>
      </c>
    </row>
    <row r="2373" spans="7:14" ht="11.25" customHeight="1" x14ac:dyDescent="0.3">
      <c r="G2373" s="459"/>
      <c r="H2373" s="459">
        <v>2366</v>
      </c>
      <c r="I2373" s="444">
        <f t="shared" ca="1" si="130"/>
        <v>-4291325839.4424248</v>
      </c>
      <c r="J2373" s="444">
        <f t="array" ref="J2373">IFERROR(INDEX('Retirement Calculator'!K:K,MATCH('Lorri 401b'!N2373,'Retirement Calculator'!A:A,0),0),0)</f>
        <v>0</v>
      </c>
      <c r="K2373" s="444">
        <f t="shared" ca="1" si="128"/>
        <v>-17880524.3310101</v>
      </c>
      <c r="L2373" s="444">
        <f t="shared" ca="1" si="129"/>
        <v>-4309206363.7734346</v>
      </c>
      <c r="M2373" s="460">
        <f t="shared" si="131"/>
        <v>0.05</v>
      </c>
      <c r="N2373" s="464">
        <f t="shared" si="132"/>
        <v>123270</v>
      </c>
    </row>
    <row r="2374" spans="7:14" ht="11.25" customHeight="1" x14ac:dyDescent="0.3">
      <c r="G2374" s="459"/>
      <c r="H2374" s="459">
        <v>2367</v>
      </c>
      <c r="I2374" s="444">
        <f t="shared" ca="1" si="130"/>
        <v>-4309206363.7734346</v>
      </c>
      <c r="J2374" s="444">
        <f t="array" ref="J2374">IFERROR(INDEX('Retirement Calculator'!K:K,MATCH('Lorri 401b'!N2374,'Retirement Calculator'!A:A,0),0),0)</f>
        <v>0</v>
      </c>
      <c r="K2374" s="444">
        <f t="shared" ca="1" si="128"/>
        <v>-17955026.515722644</v>
      </c>
      <c r="L2374" s="444">
        <f t="shared" ca="1" si="129"/>
        <v>-4327161390.2891569</v>
      </c>
      <c r="M2374" s="460">
        <f t="shared" si="131"/>
        <v>0.05</v>
      </c>
      <c r="N2374" s="464">
        <f t="shared" si="132"/>
        <v>123301</v>
      </c>
    </row>
    <row r="2375" spans="7:14" ht="11.25" customHeight="1" x14ac:dyDescent="0.3">
      <c r="G2375" s="459"/>
      <c r="H2375" s="459">
        <v>2368</v>
      </c>
      <c r="I2375" s="444">
        <f t="shared" ca="1" si="130"/>
        <v>-4327161390.2891569</v>
      </c>
      <c r="J2375" s="444">
        <f t="array" ref="J2375">IFERROR(INDEX('Retirement Calculator'!K:K,MATCH('Lorri 401b'!N2375,'Retirement Calculator'!A:A,0),0),0)</f>
        <v>0</v>
      </c>
      <c r="K2375" s="444">
        <f t="shared" ca="1" si="128"/>
        <v>-18029839.126204818</v>
      </c>
      <c r="L2375" s="444">
        <f t="shared" ca="1" si="129"/>
        <v>-4345191229.4153614</v>
      </c>
      <c r="M2375" s="460">
        <f t="shared" si="131"/>
        <v>0.05</v>
      </c>
      <c r="N2375" s="464">
        <f t="shared" si="132"/>
        <v>123332</v>
      </c>
    </row>
    <row r="2376" spans="7:14" ht="11.25" customHeight="1" x14ac:dyDescent="0.3">
      <c r="G2376" s="459"/>
      <c r="H2376" s="459">
        <v>2369</v>
      </c>
      <c r="I2376" s="444">
        <f t="shared" ca="1" si="130"/>
        <v>-4345191229.4153614</v>
      </c>
      <c r="J2376" s="444">
        <f t="array" ref="J2376">IFERROR(INDEX('Retirement Calculator'!K:K,MATCH('Lorri 401b'!N2376,'Retirement Calculator'!A:A,0),0),0)</f>
        <v>0</v>
      </c>
      <c r="K2376" s="444">
        <f t="shared" ca="1" si="128"/>
        <v>-18104963.455897339</v>
      </c>
      <c r="L2376" s="444">
        <f t="shared" ca="1" si="129"/>
        <v>-4363296192.8712587</v>
      </c>
      <c r="M2376" s="460">
        <f t="shared" si="131"/>
        <v>0.05</v>
      </c>
      <c r="N2376" s="464">
        <f t="shared" si="132"/>
        <v>123362</v>
      </c>
    </row>
    <row r="2377" spans="7:14" ht="11.25" customHeight="1" x14ac:dyDescent="0.3">
      <c r="G2377" s="459"/>
      <c r="H2377" s="459">
        <v>2370</v>
      </c>
      <c r="I2377" s="444">
        <f t="shared" ca="1" si="130"/>
        <v>-4363296192.8712587</v>
      </c>
      <c r="J2377" s="444">
        <f t="array" ref="J2377">IFERROR(INDEX('Retirement Calculator'!K:K,MATCH('Lorri 401b'!N2377,'Retirement Calculator'!A:A,0),0),0)</f>
        <v>0</v>
      </c>
      <c r="K2377" s="444">
        <f t="shared" ca="1" si="128"/>
        <v>-18180400.803630244</v>
      </c>
      <c r="L2377" s="444">
        <f t="shared" ca="1" si="129"/>
        <v>-4381476593.6748886</v>
      </c>
      <c r="M2377" s="460">
        <f t="shared" si="131"/>
        <v>0.05</v>
      </c>
      <c r="N2377" s="464">
        <f t="shared" si="132"/>
        <v>123393</v>
      </c>
    </row>
    <row r="2378" spans="7:14" ht="11.25" customHeight="1" x14ac:dyDescent="0.3">
      <c r="G2378" s="459"/>
      <c r="H2378" s="459">
        <v>2371</v>
      </c>
      <c r="I2378" s="444">
        <f t="shared" ca="1" si="130"/>
        <v>-4381476593.6748886</v>
      </c>
      <c r="J2378" s="444">
        <f t="array" ref="J2378">IFERROR(INDEX('Retirement Calculator'!K:K,MATCH('Lorri 401b'!N2378,'Retirement Calculator'!A:A,0),0),0)</f>
        <v>0</v>
      </c>
      <c r="K2378" s="444">
        <f t="shared" ca="1" si="128"/>
        <v>-18256152.47364537</v>
      </c>
      <c r="L2378" s="444">
        <f t="shared" ca="1" si="129"/>
        <v>-4399732746.1485338</v>
      </c>
      <c r="M2378" s="460">
        <f t="shared" si="131"/>
        <v>0.05</v>
      </c>
      <c r="N2378" s="464">
        <f t="shared" si="132"/>
        <v>123423</v>
      </c>
    </row>
    <row r="2379" spans="7:14" ht="11.25" customHeight="1" x14ac:dyDescent="0.3">
      <c r="G2379" s="459"/>
      <c r="H2379" s="459">
        <v>2372</v>
      </c>
      <c r="I2379" s="444">
        <f t="shared" ca="1" si="130"/>
        <v>-4399732746.1485338</v>
      </c>
      <c r="J2379" s="444">
        <f t="array" ref="J2379">IFERROR(INDEX('Retirement Calculator'!K:K,MATCH('Lorri 401b'!N2379,'Retirement Calculator'!A:A,0),0),0)</f>
        <v>0</v>
      </c>
      <c r="K2379" s="444">
        <f t="shared" ca="1" si="128"/>
        <v>-18332219.775618892</v>
      </c>
      <c r="L2379" s="444">
        <f t="shared" ca="1" si="129"/>
        <v>-4418064965.9241524</v>
      </c>
      <c r="M2379" s="460">
        <f t="shared" si="131"/>
        <v>0.05</v>
      </c>
      <c r="N2379" s="464">
        <f t="shared" si="132"/>
        <v>123454</v>
      </c>
    </row>
    <row r="2380" spans="7:14" ht="11.25" customHeight="1" x14ac:dyDescent="0.3">
      <c r="G2380" s="459"/>
      <c r="H2380" s="459">
        <v>2373</v>
      </c>
      <c r="I2380" s="444">
        <f t="shared" ca="1" si="130"/>
        <v>-4418064965.9241524</v>
      </c>
      <c r="J2380" s="444">
        <f t="array" ref="J2380">IFERROR(INDEX('Retirement Calculator'!K:K,MATCH('Lorri 401b'!N2380,'Retirement Calculator'!A:A,0),0),0)</f>
        <v>0</v>
      </c>
      <c r="K2380" s="444">
        <f t="shared" ca="1" si="128"/>
        <v>-18408604.024683967</v>
      </c>
      <c r="L2380" s="444">
        <f t="shared" ca="1" si="129"/>
        <v>-4436473569.9488363</v>
      </c>
      <c r="M2380" s="460">
        <f t="shared" si="131"/>
        <v>0.05</v>
      </c>
      <c r="N2380" s="464">
        <f t="shared" si="132"/>
        <v>123485</v>
      </c>
    </row>
    <row r="2381" spans="7:14" ht="11.25" customHeight="1" x14ac:dyDescent="0.3">
      <c r="G2381" s="459"/>
      <c r="H2381" s="459">
        <v>2374</v>
      </c>
      <c r="I2381" s="444">
        <f t="shared" ca="1" si="130"/>
        <v>-4436473569.9488363</v>
      </c>
      <c r="J2381" s="444">
        <f t="array" ref="J2381">IFERROR(INDEX('Retirement Calculator'!K:K,MATCH('Lorri 401b'!N2381,'Retirement Calculator'!A:A,0),0),0)</f>
        <v>0</v>
      </c>
      <c r="K2381" s="444">
        <f t="shared" ca="1" si="128"/>
        <v>-18485306.541453484</v>
      </c>
      <c r="L2381" s="444">
        <f t="shared" ca="1" si="129"/>
        <v>-4454958876.4902897</v>
      </c>
      <c r="M2381" s="460">
        <f t="shared" si="131"/>
        <v>0.05</v>
      </c>
      <c r="N2381" s="464">
        <f t="shared" si="132"/>
        <v>123513</v>
      </c>
    </row>
    <row r="2382" spans="7:14" ht="11.25" customHeight="1" x14ac:dyDescent="0.3">
      <c r="G2382" s="459"/>
      <c r="H2382" s="459">
        <v>2375</v>
      </c>
      <c r="I2382" s="444">
        <f t="shared" ca="1" si="130"/>
        <v>-4454958876.4902897</v>
      </c>
      <c r="J2382" s="444">
        <f t="array" ref="J2382">IFERROR(INDEX('Retirement Calculator'!K:K,MATCH('Lorri 401b'!N2382,'Retirement Calculator'!A:A,0),0),0)</f>
        <v>0</v>
      </c>
      <c r="K2382" s="444">
        <f t="shared" ca="1" si="128"/>
        <v>-18562328.652042873</v>
      </c>
      <c r="L2382" s="444">
        <f t="shared" ca="1" si="129"/>
        <v>-4473521205.142333</v>
      </c>
      <c r="M2382" s="460">
        <f t="shared" si="131"/>
        <v>0.05</v>
      </c>
      <c r="N2382" s="464">
        <f t="shared" si="132"/>
        <v>123544</v>
      </c>
    </row>
    <row r="2383" spans="7:14" ht="11.25" customHeight="1" x14ac:dyDescent="0.3">
      <c r="G2383" s="459"/>
      <c r="H2383" s="459">
        <v>2376</v>
      </c>
      <c r="I2383" s="444">
        <f t="shared" ca="1" si="130"/>
        <v>-4473521205.142333</v>
      </c>
      <c r="J2383" s="444">
        <f t="array" ref="J2383">IFERROR(INDEX('Retirement Calculator'!K:K,MATCH('Lorri 401b'!N2383,'Retirement Calculator'!A:A,0),0),0)</f>
        <v>0</v>
      </c>
      <c r="K2383" s="444">
        <f t="shared" ca="1" si="128"/>
        <v>-18639671.688093055</v>
      </c>
      <c r="L2383" s="444">
        <f t="shared" ca="1" si="129"/>
        <v>-4492160876.8304262</v>
      </c>
      <c r="M2383" s="460">
        <f t="shared" si="131"/>
        <v>0.05</v>
      </c>
      <c r="N2383" s="464">
        <f t="shared" si="132"/>
        <v>123574</v>
      </c>
    </row>
    <row r="2384" spans="7:14" ht="11.25" customHeight="1" x14ac:dyDescent="0.3">
      <c r="G2384" s="459"/>
      <c r="H2384" s="459">
        <v>2377</v>
      </c>
      <c r="I2384" s="444">
        <f t="shared" ca="1" si="130"/>
        <v>-4492160876.8304262</v>
      </c>
      <c r="J2384" s="444">
        <f t="array" ref="J2384">IFERROR(INDEX('Retirement Calculator'!K:K,MATCH('Lorri 401b'!N2384,'Retirement Calculator'!A:A,0),0),0)</f>
        <v>0</v>
      </c>
      <c r="K2384" s="444">
        <f t="shared" ca="1" si="128"/>
        <v>-18717336.986793444</v>
      </c>
      <c r="L2384" s="444">
        <f t="shared" ca="1" si="129"/>
        <v>-4510878213.8172197</v>
      </c>
      <c r="M2384" s="460">
        <f t="shared" si="131"/>
        <v>0.05</v>
      </c>
      <c r="N2384" s="464">
        <f t="shared" si="132"/>
        <v>123605</v>
      </c>
    </row>
    <row r="2385" spans="7:14" ht="11.25" customHeight="1" x14ac:dyDescent="0.3">
      <c r="G2385" s="459"/>
      <c r="H2385" s="459">
        <v>2378</v>
      </c>
      <c r="I2385" s="444">
        <f t="shared" ca="1" si="130"/>
        <v>-4510878213.8172197</v>
      </c>
      <c r="J2385" s="444">
        <f t="array" ref="J2385">IFERROR(INDEX('Retirement Calculator'!K:K,MATCH('Lorri 401b'!N2385,'Retirement Calculator'!A:A,0),0),0)</f>
        <v>0</v>
      </c>
      <c r="K2385" s="444">
        <f t="shared" ca="1" si="128"/>
        <v>-18795325.890905082</v>
      </c>
      <c r="L2385" s="444">
        <f t="shared" ca="1" si="129"/>
        <v>-4529673539.7081251</v>
      </c>
      <c r="M2385" s="460">
        <f t="shared" si="131"/>
        <v>0.05</v>
      </c>
      <c r="N2385" s="464">
        <f t="shared" si="132"/>
        <v>123635</v>
      </c>
    </row>
    <row r="2386" spans="7:14" ht="11.25" customHeight="1" x14ac:dyDescent="0.3">
      <c r="G2386" s="459"/>
      <c r="H2386" s="459">
        <v>2379</v>
      </c>
      <c r="I2386" s="444">
        <f t="shared" ca="1" si="130"/>
        <v>-4529673539.7081251</v>
      </c>
      <c r="J2386" s="444">
        <f t="array" ref="J2386">IFERROR(INDEX('Retirement Calculator'!K:K,MATCH('Lorri 401b'!N2386,'Retirement Calculator'!A:A,0),0),0)</f>
        <v>0</v>
      </c>
      <c r="K2386" s="444">
        <f t="shared" ca="1" si="128"/>
        <v>-18873639.748783853</v>
      </c>
      <c r="L2386" s="444">
        <f t="shared" ca="1" si="129"/>
        <v>-4548547179.4569092</v>
      </c>
      <c r="M2386" s="460">
        <f t="shared" si="131"/>
        <v>0.05</v>
      </c>
      <c r="N2386" s="464">
        <f t="shared" si="132"/>
        <v>123666</v>
      </c>
    </row>
    <row r="2387" spans="7:14" ht="11.25" customHeight="1" x14ac:dyDescent="0.3">
      <c r="G2387" s="459"/>
      <c r="H2387" s="459">
        <v>2380</v>
      </c>
      <c r="I2387" s="444">
        <f t="shared" ca="1" si="130"/>
        <v>-4548547179.4569092</v>
      </c>
      <c r="J2387" s="444">
        <f t="array" ref="J2387">IFERROR(INDEX('Retirement Calculator'!K:K,MATCH('Lorri 401b'!N2387,'Retirement Calculator'!A:A,0),0),0)</f>
        <v>0</v>
      </c>
      <c r="K2387" s="444">
        <f t="shared" ca="1" si="128"/>
        <v>-18952279.914403789</v>
      </c>
      <c r="L2387" s="444">
        <f t="shared" ca="1" si="129"/>
        <v>-4567499459.3713131</v>
      </c>
      <c r="M2387" s="460">
        <f t="shared" si="131"/>
        <v>0.05</v>
      </c>
      <c r="N2387" s="464">
        <f t="shared" si="132"/>
        <v>123697</v>
      </c>
    </row>
    <row r="2388" spans="7:14" ht="11.25" customHeight="1" x14ac:dyDescent="0.3">
      <c r="G2388" s="459"/>
      <c r="H2388" s="459">
        <v>2381</v>
      </c>
      <c r="I2388" s="444">
        <f t="shared" ca="1" si="130"/>
        <v>-4567499459.3713131</v>
      </c>
      <c r="J2388" s="444">
        <f t="array" ref="J2388">IFERROR(INDEX('Retirement Calculator'!K:K,MATCH('Lorri 401b'!N2388,'Retirement Calculator'!A:A,0),0),0)</f>
        <v>0</v>
      </c>
      <c r="K2388" s="444">
        <f t="shared" ca="1" si="128"/>
        <v>-19031247.747380473</v>
      </c>
      <c r="L2388" s="444">
        <f t="shared" ca="1" si="129"/>
        <v>-4586530707.1186934</v>
      </c>
      <c r="M2388" s="460">
        <f t="shared" si="131"/>
        <v>0.05</v>
      </c>
      <c r="N2388" s="464">
        <f t="shared" si="132"/>
        <v>123727</v>
      </c>
    </row>
    <row r="2389" spans="7:14" ht="11.25" customHeight="1" x14ac:dyDescent="0.3">
      <c r="G2389" s="459"/>
      <c r="H2389" s="459">
        <v>2382</v>
      </c>
      <c r="I2389" s="444">
        <f t="shared" ca="1" si="130"/>
        <v>-4586530707.1186934</v>
      </c>
      <c r="J2389" s="444">
        <f t="array" ref="J2389">IFERROR(INDEX('Retirement Calculator'!K:K,MATCH('Lorri 401b'!N2389,'Retirement Calculator'!A:A,0),0),0)</f>
        <v>0</v>
      </c>
      <c r="K2389" s="444">
        <f t="shared" ca="1" si="128"/>
        <v>-19110544.612994555</v>
      </c>
      <c r="L2389" s="444">
        <f t="shared" ca="1" si="129"/>
        <v>-4605641251.7316875</v>
      </c>
      <c r="M2389" s="460">
        <f t="shared" si="131"/>
        <v>0.05</v>
      </c>
      <c r="N2389" s="464">
        <f t="shared" si="132"/>
        <v>123758</v>
      </c>
    </row>
    <row r="2390" spans="7:14" ht="11.25" customHeight="1" x14ac:dyDescent="0.3">
      <c r="G2390" s="459"/>
      <c r="H2390" s="459">
        <v>2383</v>
      </c>
      <c r="I2390" s="444">
        <f t="shared" ca="1" si="130"/>
        <v>-4605641251.7316875</v>
      </c>
      <c r="J2390" s="444">
        <f t="array" ref="J2390">IFERROR(INDEX('Retirement Calculator'!K:K,MATCH('Lorri 401b'!N2390,'Retirement Calculator'!A:A,0),0),0)</f>
        <v>0</v>
      </c>
      <c r="K2390" s="444">
        <f t="shared" ca="1" si="128"/>
        <v>-19190171.882215366</v>
      </c>
      <c r="L2390" s="444">
        <f t="shared" ca="1" si="129"/>
        <v>-4624831423.613903</v>
      </c>
      <c r="M2390" s="460">
        <f t="shared" si="131"/>
        <v>0.05</v>
      </c>
      <c r="N2390" s="464">
        <f t="shared" si="132"/>
        <v>123788</v>
      </c>
    </row>
    <row r="2391" spans="7:14" ht="11.25" customHeight="1" x14ac:dyDescent="0.3">
      <c r="G2391" s="459"/>
      <c r="H2391" s="459">
        <v>2384</v>
      </c>
      <c r="I2391" s="444">
        <f t="shared" ca="1" si="130"/>
        <v>-4624831423.613903</v>
      </c>
      <c r="J2391" s="444">
        <f t="array" ref="J2391">IFERROR(INDEX('Retirement Calculator'!K:K,MATCH('Lorri 401b'!N2391,'Retirement Calculator'!A:A,0),0),0)</f>
        <v>0</v>
      </c>
      <c r="K2391" s="444">
        <f t="shared" ca="1" si="128"/>
        <v>-19270130.931724597</v>
      </c>
      <c r="L2391" s="444">
        <f t="shared" ca="1" si="129"/>
        <v>-4644101554.5456276</v>
      </c>
      <c r="M2391" s="460">
        <f t="shared" si="131"/>
        <v>0.05</v>
      </c>
      <c r="N2391" s="464">
        <f t="shared" si="132"/>
        <v>123819</v>
      </c>
    </row>
    <row r="2392" spans="7:14" ht="11.25" customHeight="1" x14ac:dyDescent="0.3">
      <c r="G2392" s="459"/>
      <c r="H2392" s="459">
        <v>2385</v>
      </c>
      <c r="I2392" s="444">
        <f t="shared" ca="1" si="130"/>
        <v>-4644101554.5456276</v>
      </c>
      <c r="J2392" s="444">
        <f t="array" ref="J2392">IFERROR(INDEX('Retirement Calculator'!K:K,MATCH('Lorri 401b'!N2392,'Retirement Calculator'!A:A,0),0),0)</f>
        <v>0</v>
      </c>
      <c r="K2392" s="444">
        <f t="shared" ca="1" si="128"/>
        <v>-19350423.143940113</v>
      </c>
      <c r="L2392" s="444">
        <f t="shared" ca="1" si="129"/>
        <v>-4663451977.6895676</v>
      </c>
      <c r="M2392" s="460">
        <f t="shared" si="131"/>
        <v>0.05</v>
      </c>
      <c r="N2392" s="464">
        <f t="shared" si="132"/>
        <v>123850</v>
      </c>
    </row>
    <row r="2393" spans="7:14" ht="11.25" customHeight="1" x14ac:dyDescent="0.3">
      <c r="G2393" s="459"/>
      <c r="H2393" s="459">
        <v>2386</v>
      </c>
      <c r="I2393" s="444">
        <f t="shared" ca="1" si="130"/>
        <v>-4663451977.6895676</v>
      </c>
      <c r="J2393" s="444">
        <f t="array" ref="J2393">IFERROR(INDEX('Retirement Calculator'!K:K,MATCH('Lorri 401b'!N2393,'Retirement Calculator'!A:A,0),0),0)</f>
        <v>0</v>
      </c>
      <c r="K2393" s="444">
        <f t="shared" ca="1" si="128"/>
        <v>-19431049.907039866</v>
      </c>
      <c r="L2393" s="444">
        <f t="shared" ca="1" si="129"/>
        <v>-4682883027.5966072</v>
      </c>
      <c r="M2393" s="460">
        <f t="shared" si="131"/>
        <v>0.05</v>
      </c>
      <c r="N2393" s="464">
        <f t="shared" si="132"/>
        <v>123878</v>
      </c>
    </row>
    <row r="2394" spans="7:14" ht="11.25" customHeight="1" x14ac:dyDescent="0.3">
      <c r="G2394" s="459"/>
      <c r="H2394" s="459">
        <v>2387</v>
      </c>
      <c r="I2394" s="444">
        <f t="shared" ca="1" si="130"/>
        <v>-4682883027.5966072</v>
      </c>
      <c r="J2394" s="444">
        <f t="array" ref="J2394">IFERROR(INDEX('Retirement Calculator'!K:K,MATCH('Lorri 401b'!N2394,'Retirement Calculator'!A:A,0),0),0)</f>
        <v>0</v>
      </c>
      <c r="K2394" s="444">
        <f t="shared" ca="1" si="128"/>
        <v>-19512012.614985865</v>
      </c>
      <c r="L2394" s="444">
        <f t="shared" ca="1" si="129"/>
        <v>-4702395040.2115927</v>
      </c>
      <c r="M2394" s="460">
        <f t="shared" si="131"/>
        <v>0.05</v>
      </c>
      <c r="N2394" s="464">
        <f t="shared" si="132"/>
        <v>123909</v>
      </c>
    </row>
    <row r="2395" spans="7:14" ht="11.25" customHeight="1" x14ac:dyDescent="0.3">
      <c r="G2395" s="459"/>
      <c r="H2395" s="459">
        <v>2388</v>
      </c>
      <c r="I2395" s="444">
        <f t="shared" ca="1" si="130"/>
        <v>-4702395040.2115927</v>
      </c>
      <c r="J2395" s="444">
        <f t="array" ref="J2395">IFERROR(INDEX('Retirement Calculator'!K:K,MATCH('Lorri 401b'!N2395,'Retirement Calculator'!A:A,0),0),0)</f>
        <v>0</v>
      </c>
      <c r="K2395" s="444">
        <f t="shared" ca="1" si="128"/>
        <v>-19593312.667548303</v>
      </c>
      <c r="L2395" s="444">
        <f t="shared" ca="1" si="129"/>
        <v>-4721988352.8791409</v>
      </c>
      <c r="M2395" s="460">
        <f t="shared" si="131"/>
        <v>0.05</v>
      </c>
      <c r="N2395" s="464">
        <f t="shared" si="132"/>
        <v>123939</v>
      </c>
    </row>
    <row r="2396" spans="7:14" ht="11.25" customHeight="1" x14ac:dyDescent="0.3">
      <c r="G2396" s="459"/>
      <c r="H2396" s="459">
        <v>2389</v>
      </c>
      <c r="I2396" s="444">
        <f t="shared" ca="1" si="130"/>
        <v>-4721988352.8791409</v>
      </c>
      <c r="J2396" s="444">
        <f t="array" ref="J2396">IFERROR(INDEX('Retirement Calculator'!K:K,MATCH('Lorri 401b'!N2396,'Retirement Calculator'!A:A,0),0),0)</f>
        <v>0</v>
      </c>
      <c r="K2396" s="444">
        <f t="shared" ca="1" si="128"/>
        <v>-19674951.470329754</v>
      </c>
      <c r="L2396" s="444">
        <f t="shared" ca="1" si="129"/>
        <v>-4741663304.3494701</v>
      </c>
      <c r="M2396" s="460">
        <f t="shared" si="131"/>
        <v>0.05</v>
      </c>
      <c r="N2396" s="464">
        <f t="shared" si="132"/>
        <v>123970</v>
      </c>
    </row>
    <row r="2397" spans="7:14" ht="11.25" customHeight="1" x14ac:dyDescent="0.3">
      <c r="G2397" s="459"/>
      <c r="H2397" s="459">
        <v>2390</v>
      </c>
      <c r="I2397" s="444">
        <f t="shared" ca="1" si="130"/>
        <v>-4741663304.3494701</v>
      </c>
      <c r="J2397" s="444">
        <f t="array" ref="J2397">IFERROR(INDEX('Retirement Calculator'!K:K,MATCH('Lorri 401b'!N2397,'Retirement Calculator'!A:A,0),0),0)</f>
        <v>0</v>
      </c>
      <c r="K2397" s="444">
        <f t="shared" ca="1" si="128"/>
        <v>-19756930.43478946</v>
      </c>
      <c r="L2397" s="444">
        <f t="shared" ca="1" si="129"/>
        <v>-4761420234.7842598</v>
      </c>
      <c r="M2397" s="460">
        <f t="shared" si="131"/>
        <v>0.05</v>
      </c>
      <c r="N2397" s="464">
        <f t="shared" si="132"/>
        <v>124000</v>
      </c>
    </row>
    <row r="2398" spans="7:14" ht="11.25" customHeight="1" x14ac:dyDescent="0.3">
      <c r="G2398" s="459"/>
      <c r="H2398" s="459">
        <v>2391</v>
      </c>
      <c r="I2398" s="444">
        <f t="shared" ca="1" si="130"/>
        <v>-4761420234.7842598</v>
      </c>
      <c r="J2398" s="444">
        <f t="array" ref="J2398">IFERROR(INDEX('Retirement Calculator'!K:K,MATCH('Lorri 401b'!N2398,'Retirement Calculator'!A:A,0),0),0)</f>
        <v>0</v>
      </c>
      <c r="K2398" s="444">
        <f t="shared" ca="1" si="128"/>
        <v>-19839250.978267748</v>
      </c>
      <c r="L2398" s="444">
        <f t="shared" ca="1" si="129"/>
        <v>-4781259485.7625275</v>
      </c>
      <c r="M2398" s="460">
        <f t="shared" si="131"/>
        <v>0.05</v>
      </c>
      <c r="N2398" s="464">
        <f t="shared" si="132"/>
        <v>124031</v>
      </c>
    </row>
    <row r="2399" spans="7:14" ht="11.25" customHeight="1" x14ac:dyDescent="0.3">
      <c r="G2399" s="459"/>
      <c r="H2399" s="459">
        <v>2392</v>
      </c>
      <c r="I2399" s="444">
        <f t="shared" ca="1" si="130"/>
        <v>-4781259485.7625275</v>
      </c>
      <c r="J2399" s="444">
        <f t="array" ref="J2399">IFERROR(INDEX('Retirement Calculator'!K:K,MATCH('Lorri 401b'!N2399,'Retirement Calculator'!A:A,0),0),0)</f>
        <v>0</v>
      </c>
      <c r="K2399" s="444">
        <f t="shared" ca="1" si="128"/>
        <v>-19921914.524010532</v>
      </c>
      <c r="L2399" s="444">
        <f t="shared" ca="1" si="129"/>
        <v>-4801181400.2865381</v>
      </c>
      <c r="M2399" s="460">
        <f t="shared" si="131"/>
        <v>0.05</v>
      </c>
      <c r="N2399" s="464">
        <f t="shared" si="132"/>
        <v>124062</v>
      </c>
    </row>
    <row r="2400" spans="7:14" ht="11.25" customHeight="1" x14ac:dyDescent="0.3">
      <c r="G2400" s="459"/>
      <c r="H2400" s="459">
        <v>2393</v>
      </c>
      <c r="I2400" s="444">
        <f t="shared" ca="1" si="130"/>
        <v>-4801181400.2865381</v>
      </c>
      <c r="J2400" s="444">
        <f t="array" ref="J2400">IFERROR(INDEX('Retirement Calculator'!K:K,MATCH('Lorri 401b'!N2400,'Retirement Calculator'!A:A,0),0),0)</f>
        <v>0</v>
      </c>
      <c r="K2400" s="444">
        <f t="shared" ca="1" si="128"/>
        <v>-20004922.501193907</v>
      </c>
      <c r="L2400" s="444">
        <f t="shared" ca="1" si="129"/>
        <v>-4821186322.7877321</v>
      </c>
      <c r="M2400" s="460">
        <f t="shared" si="131"/>
        <v>0.05</v>
      </c>
      <c r="N2400" s="464">
        <f t="shared" si="132"/>
        <v>124092</v>
      </c>
    </row>
    <row r="2401" spans="7:14" ht="11.25" customHeight="1" x14ac:dyDescent="0.3">
      <c r="G2401" s="459"/>
      <c r="H2401" s="459">
        <v>2394</v>
      </c>
      <c r="I2401" s="444">
        <f t="shared" ca="1" si="130"/>
        <v>-4821186322.7877321</v>
      </c>
      <c r="J2401" s="444">
        <f t="array" ref="J2401">IFERROR(INDEX('Retirement Calculator'!K:K,MATCH('Lorri 401b'!N2401,'Retirement Calculator'!A:A,0),0),0)</f>
        <v>0</v>
      </c>
      <c r="K2401" s="444">
        <f t="shared" ca="1" si="128"/>
        <v>-20088276.344948884</v>
      </c>
      <c r="L2401" s="444">
        <f t="shared" ca="1" si="129"/>
        <v>-4841274599.1326809</v>
      </c>
      <c r="M2401" s="460">
        <f t="shared" si="131"/>
        <v>0.05</v>
      </c>
      <c r="N2401" s="464">
        <f t="shared" si="132"/>
        <v>124123</v>
      </c>
    </row>
    <row r="2402" spans="7:14" ht="11.25" customHeight="1" x14ac:dyDescent="0.3">
      <c r="G2402" s="459"/>
      <c r="H2402" s="459">
        <v>2395</v>
      </c>
      <c r="I2402" s="444">
        <f t="shared" ca="1" si="130"/>
        <v>-4841274599.1326809</v>
      </c>
      <c r="J2402" s="444">
        <f t="array" ref="J2402">IFERROR(INDEX('Retirement Calculator'!K:K,MATCH('Lorri 401b'!N2402,'Retirement Calculator'!A:A,0),0),0)</f>
        <v>0</v>
      </c>
      <c r="K2402" s="444">
        <f t="shared" ca="1" si="128"/>
        <v>-20171977.49638617</v>
      </c>
      <c r="L2402" s="444">
        <f t="shared" ca="1" si="129"/>
        <v>-4861446576.6290674</v>
      </c>
      <c r="M2402" s="460">
        <f t="shared" si="131"/>
        <v>0.05</v>
      </c>
      <c r="N2402" s="464">
        <f t="shared" si="132"/>
        <v>124153</v>
      </c>
    </row>
    <row r="2403" spans="7:14" ht="11.25" customHeight="1" x14ac:dyDescent="0.3">
      <c r="G2403" s="459"/>
      <c r="H2403" s="459">
        <v>2396</v>
      </c>
      <c r="I2403" s="444">
        <f t="shared" ca="1" si="130"/>
        <v>-4861446576.6290674</v>
      </c>
      <c r="J2403" s="444">
        <f t="array" ref="J2403">IFERROR(INDEX('Retirement Calculator'!K:K,MATCH('Lorri 401b'!N2403,'Retirement Calculator'!A:A,0),0),0)</f>
        <v>0</v>
      </c>
      <c r="K2403" s="444">
        <f t="shared" ca="1" si="128"/>
        <v>-20256027.402621113</v>
      </c>
      <c r="L2403" s="444">
        <f t="shared" ca="1" si="129"/>
        <v>-4881702604.0316887</v>
      </c>
      <c r="M2403" s="460">
        <f t="shared" si="131"/>
        <v>0.05</v>
      </c>
      <c r="N2403" s="464">
        <f t="shared" si="132"/>
        <v>124184</v>
      </c>
    </row>
    <row r="2404" spans="7:14" ht="11.25" customHeight="1" x14ac:dyDescent="0.3">
      <c r="G2404" s="459"/>
      <c r="H2404" s="459">
        <v>2397</v>
      </c>
      <c r="I2404" s="444">
        <f t="shared" ca="1" si="130"/>
        <v>-4881702604.0316887</v>
      </c>
      <c r="J2404" s="444">
        <f t="array" ref="J2404">IFERROR(INDEX('Retirement Calculator'!K:K,MATCH('Lorri 401b'!N2404,'Retirement Calculator'!A:A,0),0),0)</f>
        <v>0</v>
      </c>
      <c r="K2404" s="444">
        <f t="shared" ca="1" si="128"/>
        <v>-20340427.516798701</v>
      </c>
      <c r="L2404" s="444">
        <f t="shared" ca="1" si="129"/>
        <v>-4902043031.5484877</v>
      </c>
      <c r="M2404" s="460">
        <f t="shared" si="131"/>
        <v>0.05</v>
      </c>
      <c r="N2404" s="464">
        <f t="shared" si="132"/>
        <v>124215</v>
      </c>
    </row>
    <row r="2405" spans="7:14" ht="11.25" customHeight="1" x14ac:dyDescent="0.3">
      <c r="G2405" s="459"/>
      <c r="H2405" s="459">
        <v>2398</v>
      </c>
      <c r="I2405" s="444">
        <f t="shared" ca="1" si="130"/>
        <v>-4902043031.5484877</v>
      </c>
      <c r="J2405" s="444">
        <f t="array" ref="J2405">IFERROR(INDEX('Retirement Calculator'!K:K,MATCH('Lorri 401b'!N2405,'Retirement Calculator'!A:A,0),0),0)</f>
        <v>0</v>
      </c>
      <c r="K2405" s="444">
        <f t="shared" ca="1" si="128"/>
        <v>-20425179.298118699</v>
      </c>
      <c r="L2405" s="444">
        <f t="shared" ca="1" si="129"/>
        <v>-4922468210.8466063</v>
      </c>
      <c r="M2405" s="460">
        <f t="shared" si="131"/>
        <v>0.05</v>
      </c>
      <c r="N2405" s="464">
        <f t="shared" si="132"/>
        <v>124244</v>
      </c>
    </row>
    <row r="2406" spans="7:14" ht="11.25" customHeight="1" x14ac:dyDescent="0.3">
      <c r="G2406" s="459"/>
      <c r="H2406" s="459">
        <v>2399</v>
      </c>
      <c r="I2406" s="444">
        <f t="shared" ca="1" si="130"/>
        <v>-4922468210.8466063</v>
      </c>
      <c r="J2406" s="444">
        <f t="array" ref="J2406">IFERROR(INDEX('Retirement Calculator'!K:K,MATCH('Lorri 401b'!N2406,'Retirement Calculator'!A:A,0),0),0)</f>
        <v>0</v>
      </c>
      <c r="K2406" s="444">
        <f t="shared" ca="1" si="128"/>
        <v>-20510284.211860858</v>
      </c>
      <c r="L2406" s="444">
        <f t="shared" ca="1" si="129"/>
        <v>-4942978495.0584669</v>
      </c>
      <c r="M2406" s="460">
        <f t="shared" si="131"/>
        <v>0.05</v>
      </c>
      <c r="N2406" s="464">
        <f t="shared" si="132"/>
        <v>124275</v>
      </c>
    </row>
    <row r="2407" spans="7:14" ht="11.25" customHeight="1" x14ac:dyDescent="0.3">
      <c r="G2407" s="459"/>
      <c r="H2407" s="459">
        <v>2400</v>
      </c>
      <c r="I2407" s="444">
        <f t="shared" ca="1" si="130"/>
        <v>-4942978495.0584669</v>
      </c>
      <c r="J2407" s="444">
        <f t="array" ref="J2407">IFERROR(INDEX('Retirement Calculator'!K:K,MATCH('Lorri 401b'!N2407,'Retirement Calculator'!A:A,0),0),0)</f>
        <v>0</v>
      </c>
      <c r="K2407" s="444">
        <f t="shared" ca="1" si="128"/>
        <v>-20595743.72941028</v>
      </c>
      <c r="L2407" s="444">
        <f t="shared" ca="1" si="129"/>
        <v>-4963574238.7878771</v>
      </c>
      <c r="M2407" s="460">
        <f t="shared" si="131"/>
        <v>0.05</v>
      </c>
      <c r="N2407" s="464">
        <f t="shared" si="132"/>
        <v>124305</v>
      </c>
    </row>
    <row r="2408" spans="7:14" ht="11.25" customHeight="1" x14ac:dyDescent="0.3">
      <c r="G2408" s="459"/>
      <c r="H2408" s="459">
        <v>2401</v>
      </c>
      <c r="I2408" s="444">
        <f t="shared" ca="1" si="130"/>
        <v>-4963574238.7878771</v>
      </c>
      <c r="J2408" s="444">
        <f t="array" ref="J2408">IFERROR(INDEX('Retirement Calculator'!K:K,MATCH('Lorri 401b'!N2408,'Retirement Calculator'!A:A,0),0),0)</f>
        <v>0</v>
      </c>
      <c r="K2408" s="444">
        <f t="shared" ca="1" si="128"/>
        <v>-20681559.328282822</v>
      </c>
      <c r="L2408" s="444">
        <f t="shared" ca="1" si="129"/>
        <v>-4984255798.1161594</v>
      </c>
      <c r="M2408" s="460">
        <f t="shared" si="131"/>
        <v>0.05</v>
      </c>
      <c r="N2408" s="464">
        <f t="shared" si="132"/>
        <v>124336</v>
      </c>
    </row>
    <row r="2409" spans="7:14" ht="11.25" customHeight="1" x14ac:dyDescent="0.3">
      <c r="G2409" s="459"/>
      <c r="H2409" s="459">
        <v>2402</v>
      </c>
      <c r="I2409" s="444">
        <f t="shared" ca="1" si="130"/>
        <v>-4984255798.1161594</v>
      </c>
      <c r="J2409" s="444">
        <f t="array" ref="J2409">IFERROR(INDEX('Retirement Calculator'!K:K,MATCH('Lorri 401b'!N2409,'Retirement Calculator'!A:A,0),0),0)</f>
        <v>0</v>
      </c>
      <c r="K2409" s="444">
        <f t="shared" ca="1" si="128"/>
        <v>-20767732.492150664</v>
      </c>
      <c r="L2409" s="444">
        <f t="shared" ca="1" si="129"/>
        <v>-5005023530.6083097</v>
      </c>
      <c r="M2409" s="460">
        <f t="shared" si="131"/>
        <v>0.05</v>
      </c>
      <c r="N2409" s="464">
        <f t="shared" si="132"/>
        <v>124366</v>
      </c>
    </row>
    <row r="2410" spans="7:14" ht="11.25" customHeight="1" x14ac:dyDescent="0.3">
      <c r="G2410" s="459"/>
      <c r="H2410" s="459">
        <v>2403</v>
      </c>
      <c r="I2410" s="444">
        <f t="shared" ca="1" si="130"/>
        <v>-5005023530.6083097</v>
      </c>
      <c r="J2410" s="444">
        <f t="array" ref="J2410">IFERROR(INDEX('Retirement Calculator'!K:K,MATCH('Lorri 401b'!N2410,'Retirement Calculator'!A:A,0),0),0)</f>
        <v>0</v>
      </c>
      <c r="K2410" s="444">
        <f t="shared" ca="1" si="128"/>
        <v>-20854264.710867956</v>
      </c>
      <c r="L2410" s="444">
        <f t="shared" ca="1" si="129"/>
        <v>-5025877795.3191776</v>
      </c>
      <c r="M2410" s="460">
        <f t="shared" si="131"/>
        <v>0.05</v>
      </c>
      <c r="N2410" s="464">
        <f t="shared" si="132"/>
        <v>124397</v>
      </c>
    </row>
    <row r="2411" spans="7:14" ht="11.25" customHeight="1" x14ac:dyDescent="0.3">
      <c r="G2411" s="459"/>
      <c r="H2411" s="459">
        <v>2404</v>
      </c>
      <c r="I2411" s="444">
        <f t="shared" ca="1" si="130"/>
        <v>-5025877795.3191776</v>
      </c>
      <c r="J2411" s="444">
        <f t="array" ref="J2411">IFERROR(INDEX('Retirement Calculator'!K:K,MATCH('Lorri 401b'!N2411,'Retirement Calculator'!A:A,0),0),0)</f>
        <v>0</v>
      </c>
      <c r="K2411" s="444">
        <f t="shared" ca="1" si="128"/>
        <v>-20941157.480496574</v>
      </c>
      <c r="L2411" s="444">
        <f t="shared" ca="1" si="129"/>
        <v>-5046818952.799674</v>
      </c>
      <c r="M2411" s="460">
        <f t="shared" si="131"/>
        <v>0.05</v>
      </c>
      <c r="N2411" s="464">
        <f t="shared" si="132"/>
        <v>124428</v>
      </c>
    </row>
    <row r="2412" spans="7:14" ht="11.25" customHeight="1" x14ac:dyDescent="0.3">
      <c r="G2412" s="459"/>
      <c r="H2412" s="459">
        <v>2405</v>
      </c>
      <c r="I2412" s="444">
        <f t="shared" ca="1" si="130"/>
        <v>-5046818952.799674</v>
      </c>
      <c r="J2412" s="444">
        <f t="array" ref="J2412">IFERROR(INDEX('Retirement Calculator'!K:K,MATCH('Lorri 401b'!N2412,'Retirement Calculator'!A:A,0),0),0)</f>
        <v>0</v>
      </c>
      <c r="K2412" s="444">
        <f t="shared" ca="1" si="128"/>
        <v>-21028412.303331975</v>
      </c>
      <c r="L2412" s="444">
        <f t="shared" ca="1" si="129"/>
        <v>-5067847365.1030064</v>
      </c>
      <c r="M2412" s="460">
        <f t="shared" si="131"/>
        <v>0.05</v>
      </c>
      <c r="N2412" s="464">
        <f t="shared" si="132"/>
        <v>124458</v>
      </c>
    </row>
    <row r="2413" spans="7:14" ht="11.25" customHeight="1" x14ac:dyDescent="0.3">
      <c r="G2413" s="459"/>
      <c r="H2413" s="459">
        <v>2406</v>
      </c>
      <c r="I2413" s="444">
        <f t="shared" ca="1" si="130"/>
        <v>-5067847365.1030064</v>
      </c>
      <c r="J2413" s="444">
        <f t="array" ref="J2413">IFERROR(INDEX('Retirement Calculator'!K:K,MATCH('Lorri 401b'!N2413,'Retirement Calculator'!A:A,0),0),0)</f>
        <v>0</v>
      </c>
      <c r="K2413" s="444">
        <f t="shared" ca="1" si="128"/>
        <v>-21116030.687929194</v>
      </c>
      <c r="L2413" s="444">
        <f t="shared" ca="1" si="129"/>
        <v>-5088963395.7909355</v>
      </c>
      <c r="M2413" s="460">
        <f t="shared" si="131"/>
        <v>0.05</v>
      </c>
      <c r="N2413" s="464">
        <f t="shared" si="132"/>
        <v>124489</v>
      </c>
    </row>
    <row r="2414" spans="7:14" ht="11.25" customHeight="1" x14ac:dyDescent="0.3">
      <c r="G2414" s="459"/>
      <c r="H2414" s="459">
        <v>2407</v>
      </c>
      <c r="I2414" s="444">
        <f t="shared" ca="1" si="130"/>
        <v>-5088963395.7909355</v>
      </c>
      <c r="J2414" s="444">
        <f t="array" ref="J2414">IFERROR(INDEX('Retirement Calculator'!K:K,MATCH('Lorri 401b'!N2414,'Retirement Calculator'!A:A,0),0),0)</f>
        <v>0</v>
      </c>
      <c r="K2414" s="444">
        <f t="shared" ca="1" si="128"/>
        <v>-21204014.149128899</v>
      </c>
      <c r="L2414" s="444">
        <f t="shared" ca="1" si="129"/>
        <v>-5110167409.9400644</v>
      </c>
      <c r="M2414" s="460">
        <f t="shared" si="131"/>
        <v>0.05</v>
      </c>
      <c r="N2414" s="464">
        <f t="shared" si="132"/>
        <v>124519</v>
      </c>
    </row>
    <row r="2415" spans="7:14" ht="11.25" customHeight="1" x14ac:dyDescent="0.3">
      <c r="G2415" s="459"/>
      <c r="H2415" s="459">
        <v>2408</v>
      </c>
      <c r="I2415" s="444">
        <f t="shared" ca="1" si="130"/>
        <v>-5110167409.9400644</v>
      </c>
      <c r="J2415" s="444">
        <f t="array" ref="J2415">IFERROR(INDEX('Retirement Calculator'!K:K,MATCH('Lorri 401b'!N2415,'Retirement Calculator'!A:A,0),0),0)</f>
        <v>0</v>
      </c>
      <c r="K2415" s="444">
        <f t="shared" ca="1" si="128"/>
        <v>-21292364.2080836</v>
      </c>
      <c r="L2415" s="444">
        <f t="shared" ca="1" si="129"/>
        <v>-5131459774.1481476</v>
      </c>
      <c r="M2415" s="460">
        <f t="shared" si="131"/>
        <v>0.05</v>
      </c>
      <c r="N2415" s="464">
        <f t="shared" si="132"/>
        <v>124550</v>
      </c>
    </row>
    <row r="2416" spans="7:14" ht="11.25" customHeight="1" x14ac:dyDescent="0.3">
      <c r="G2416" s="459"/>
      <c r="H2416" s="459">
        <v>2409</v>
      </c>
      <c r="I2416" s="444">
        <f t="shared" ca="1" si="130"/>
        <v>-5131459774.1481476</v>
      </c>
      <c r="J2416" s="444">
        <f t="array" ref="J2416">IFERROR(INDEX('Retirement Calculator'!K:K,MATCH('Lorri 401b'!N2416,'Retirement Calculator'!A:A,0),0),0)</f>
        <v>0</v>
      </c>
      <c r="K2416" s="444">
        <f t="shared" ca="1" si="128"/>
        <v>-21381082.392283946</v>
      </c>
      <c r="L2416" s="444">
        <f t="shared" ca="1" si="129"/>
        <v>-5152840856.540432</v>
      </c>
      <c r="M2416" s="460">
        <f t="shared" si="131"/>
        <v>0.05</v>
      </c>
      <c r="N2416" s="464">
        <f t="shared" si="132"/>
        <v>124581</v>
      </c>
    </row>
    <row r="2417" spans="7:14" ht="11.25" customHeight="1" x14ac:dyDescent="0.3">
      <c r="G2417" s="459"/>
      <c r="H2417" s="459">
        <v>2410</v>
      </c>
      <c r="I2417" s="444">
        <f t="shared" ca="1" si="130"/>
        <v>-5152840856.540432</v>
      </c>
      <c r="J2417" s="444">
        <f t="array" ref="J2417">IFERROR(INDEX('Retirement Calculator'!K:K,MATCH('Lorri 401b'!N2417,'Retirement Calculator'!A:A,0),0),0)</f>
        <v>0</v>
      </c>
      <c r="K2417" s="444">
        <f t="shared" ca="1" si="128"/>
        <v>-21470170.235585134</v>
      </c>
      <c r="L2417" s="444">
        <f t="shared" ca="1" si="129"/>
        <v>-5174311026.7760172</v>
      </c>
      <c r="M2417" s="460">
        <f t="shared" si="131"/>
        <v>0.05</v>
      </c>
      <c r="N2417" s="464">
        <f t="shared" si="132"/>
        <v>124609</v>
      </c>
    </row>
    <row r="2418" spans="7:14" ht="11.25" customHeight="1" x14ac:dyDescent="0.3">
      <c r="G2418" s="459"/>
      <c r="H2418" s="459">
        <v>2411</v>
      </c>
      <c r="I2418" s="444">
        <f t="shared" ca="1" si="130"/>
        <v>-5174311026.7760172</v>
      </c>
      <c r="J2418" s="444">
        <f t="array" ref="J2418">IFERROR(INDEX('Retirement Calculator'!K:K,MATCH('Lorri 401b'!N2418,'Retirement Calculator'!A:A,0),0),0)</f>
        <v>0</v>
      </c>
      <c r="K2418" s="444">
        <f t="shared" ca="1" si="128"/>
        <v>-21559629.278233405</v>
      </c>
      <c r="L2418" s="444">
        <f t="shared" ca="1" si="129"/>
        <v>-5195870656.0542507</v>
      </c>
      <c r="M2418" s="460">
        <f t="shared" si="131"/>
        <v>0.05</v>
      </c>
      <c r="N2418" s="464">
        <f t="shared" si="132"/>
        <v>124640</v>
      </c>
    </row>
    <row r="2419" spans="7:14" ht="11.25" customHeight="1" x14ac:dyDescent="0.3">
      <c r="G2419" s="459"/>
      <c r="H2419" s="459">
        <v>2412</v>
      </c>
      <c r="I2419" s="444">
        <f t="shared" ca="1" si="130"/>
        <v>-5195870656.0542507</v>
      </c>
      <c r="J2419" s="444">
        <f t="array" ref="J2419">IFERROR(INDEX('Retirement Calculator'!K:K,MATCH('Lorri 401b'!N2419,'Retirement Calculator'!A:A,0),0),0)</f>
        <v>0</v>
      </c>
      <c r="K2419" s="444">
        <f t="shared" ca="1" si="128"/>
        <v>-21649461.06689271</v>
      </c>
      <c r="L2419" s="444">
        <f t="shared" ca="1" si="129"/>
        <v>-5217520117.1211433</v>
      </c>
      <c r="M2419" s="460">
        <f t="shared" si="131"/>
        <v>0.05</v>
      </c>
      <c r="N2419" s="464">
        <f t="shared" si="132"/>
        <v>124670</v>
      </c>
    </row>
    <row r="2420" spans="7:14" ht="11.25" customHeight="1" x14ac:dyDescent="0.3">
      <c r="G2420" s="459"/>
      <c r="H2420" s="459">
        <v>2413</v>
      </c>
      <c r="I2420" s="444">
        <f t="shared" ca="1" si="130"/>
        <v>-5217520117.1211433</v>
      </c>
      <c r="J2420" s="444">
        <f t="array" ref="J2420">IFERROR(INDEX('Retirement Calculator'!K:K,MATCH('Lorri 401b'!N2420,'Retirement Calculator'!A:A,0),0),0)</f>
        <v>0</v>
      </c>
      <c r="K2420" s="444">
        <f t="shared" ca="1" si="128"/>
        <v>-21739667.154671431</v>
      </c>
      <c r="L2420" s="444">
        <f t="shared" ca="1" si="129"/>
        <v>-5239259784.275815</v>
      </c>
      <c r="M2420" s="460">
        <f t="shared" si="131"/>
        <v>0.05</v>
      </c>
      <c r="N2420" s="464">
        <f t="shared" si="132"/>
        <v>124701</v>
      </c>
    </row>
    <row r="2421" spans="7:14" ht="11.25" customHeight="1" x14ac:dyDescent="0.3">
      <c r="G2421" s="459"/>
      <c r="H2421" s="459">
        <v>2414</v>
      </c>
      <c r="I2421" s="444">
        <f t="shared" ca="1" si="130"/>
        <v>-5239259784.275815</v>
      </c>
      <c r="J2421" s="444">
        <f t="array" ref="J2421">IFERROR(INDEX('Retirement Calculator'!K:K,MATCH('Lorri 401b'!N2421,'Retirement Calculator'!A:A,0),0),0)</f>
        <v>0</v>
      </c>
      <c r="K2421" s="444">
        <f t="shared" ca="1" si="128"/>
        <v>-21830249.101149227</v>
      </c>
      <c r="L2421" s="444">
        <f t="shared" ca="1" si="129"/>
        <v>-5261090033.3769646</v>
      </c>
      <c r="M2421" s="460">
        <f t="shared" si="131"/>
        <v>0.05</v>
      </c>
      <c r="N2421" s="464">
        <f t="shared" si="132"/>
        <v>124731</v>
      </c>
    </row>
    <row r="2422" spans="7:14" ht="11.25" customHeight="1" x14ac:dyDescent="0.3">
      <c r="G2422" s="459"/>
      <c r="H2422" s="459">
        <v>2415</v>
      </c>
      <c r="I2422" s="444">
        <f t="shared" ca="1" si="130"/>
        <v>-5261090033.3769646</v>
      </c>
      <c r="J2422" s="444">
        <f t="array" ref="J2422">IFERROR(INDEX('Retirement Calculator'!K:K,MATCH('Lorri 401b'!N2422,'Retirement Calculator'!A:A,0),0),0)</f>
        <v>0</v>
      </c>
      <c r="K2422" s="444">
        <f t="shared" ca="1" si="128"/>
        <v>-21921208.472404018</v>
      </c>
      <c r="L2422" s="444">
        <f t="shared" ca="1" si="129"/>
        <v>-5283011241.849369</v>
      </c>
      <c r="M2422" s="460">
        <f t="shared" si="131"/>
        <v>0.05</v>
      </c>
      <c r="N2422" s="464">
        <f t="shared" si="132"/>
        <v>124762</v>
      </c>
    </row>
    <row r="2423" spans="7:14" ht="11.25" customHeight="1" x14ac:dyDescent="0.3">
      <c r="G2423" s="459"/>
      <c r="H2423" s="459">
        <v>2416</v>
      </c>
      <c r="I2423" s="444">
        <f t="shared" ca="1" si="130"/>
        <v>-5283011241.849369</v>
      </c>
      <c r="J2423" s="444">
        <f t="array" ref="J2423">IFERROR(INDEX('Retirement Calculator'!K:K,MATCH('Lorri 401b'!N2423,'Retirement Calculator'!A:A,0),0),0)</f>
        <v>0</v>
      </c>
      <c r="K2423" s="444">
        <f t="shared" ca="1" si="128"/>
        <v>-22012546.841039039</v>
      </c>
      <c r="L2423" s="444">
        <f t="shared" ca="1" si="129"/>
        <v>-5305023788.6904078</v>
      </c>
      <c r="M2423" s="460">
        <f t="shared" si="131"/>
        <v>0.05</v>
      </c>
      <c r="N2423" s="464">
        <f t="shared" si="132"/>
        <v>124793</v>
      </c>
    </row>
    <row r="2424" spans="7:14" ht="11.25" customHeight="1" x14ac:dyDescent="0.3">
      <c r="G2424" s="459"/>
      <c r="H2424" s="459">
        <v>2417</v>
      </c>
      <c r="I2424" s="444">
        <f t="shared" ca="1" si="130"/>
        <v>-5305023788.6904078</v>
      </c>
      <c r="J2424" s="444">
        <f t="array" ref="J2424">IFERROR(INDEX('Retirement Calculator'!K:K,MATCH('Lorri 401b'!N2424,'Retirement Calculator'!A:A,0),0),0)</f>
        <v>0</v>
      </c>
      <c r="K2424" s="444">
        <f t="shared" ca="1" si="128"/>
        <v>-22104265.78621003</v>
      </c>
      <c r="L2424" s="444">
        <f t="shared" ca="1" si="129"/>
        <v>-5327128054.4766178</v>
      </c>
      <c r="M2424" s="460">
        <f t="shared" si="131"/>
        <v>0.05</v>
      </c>
      <c r="N2424" s="464">
        <f t="shared" si="132"/>
        <v>124823</v>
      </c>
    </row>
    <row r="2425" spans="7:14" ht="11.25" customHeight="1" x14ac:dyDescent="0.3">
      <c r="G2425" s="459"/>
      <c r="H2425" s="459">
        <v>2418</v>
      </c>
      <c r="I2425" s="444">
        <f t="shared" ca="1" si="130"/>
        <v>-5327128054.4766178</v>
      </c>
      <c r="J2425" s="444">
        <f t="array" ref="J2425">IFERROR(INDEX('Retirement Calculator'!K:K,MATCH('Lorri 401b'!N2425,'Retirement Calculator'!A:A,0),0),0)</f>
        <v>0</v>
      </c>
      <c r="K2425" s="444">
        <f t="shared" ca="1" si="128"/>
        <v>-22196366.893652573</v>
      </c>
      <c r="L2425" s="444">
        <f t="shared" ca="1" si="129"/>
        <v>-5349324421.3702707</v>
      </c>
      <c r="M2425" s="460">
        <f t="shared" si="131"/>
        <v>0.05</v>
      </c>
      <c r="N2425" s="464">
        <f t="shared" si="132"/>
        <v>124854</v>
      </c>
    </row>
    <row r="2426" spans="7:14" ht="11.25" customHeight="1" x14ac:dyDescent="0.3">
      <c r="G2426" s="459"/>
      <c r="H2426" s="459">
        <v>2419</v>
      </c>
      <c r="I2426" s="444">
        <f t="shared" ca="1" si="130"/>
        <v>-5349324421.3702707</v>
      </c>
      <c r="J2426" s="444">
        <f t="array" ref="J2426">IFERROR(INDEX('Retirement Calculator'!K:K,MATCH('Lorri 401b'!N2426,'Retirement Calculator'!A:A,0),0),0)</f>
        <v>0</v>
      </c>
      <c r="K2426" s="444">
        <f t="shared" ca="1" si="128"/>
        <v>-22288851.755709462</v>
      </c>
      <c r="L2426" s="444">
        <f t="shared" ca="1" si="129"/>
        <v>-5371613273.1259804</v>
      </c>
      <c r="M2426" s="460">
        <f t="shared" si="131"/>
        <v>0.05</v>
      </c>
      <c r="N2426" s="464">
        <f t="shared" si="132"/>
        <v>124884</v>
      </c>
    </row>
    <row r="2427" spans="7:14" ht="11.25" customHeight="1" x14ac:dyDescent="0.3">
      <c r="G2427" s="459"/>
      <c r="H2427" s="459">
        <v>2420</v>
      </c>
      <c r="I2427" s="444">
        <f t="shared" ca="1" si="130"/>
        <v>-5371613273.1259804</v>
      </c>
      <c r="J2427" s="444">
        <f t="array" ref="J2427">IFERROR(INDEX('Retirement Calculator'!K:K,MATCH('Lorri 401b'!N2427,'Retirement Calculator'!A:A,0),0),0)</f>
        <v>0</v>
      </c>
      <c r="K2427" s="444">
        <f t="shared" ca="1" si="128"/>
        <v>-22381721.971358251</v>
      </c>
      <c r="L2427" s="444">
        <f t="shared" ca="1" si="129"/>
        <v>-5393994995.0973387</v>
      </c>
      <c r="M2427" s="460">
        <f t="shared" si="131"/>
        <v>0.05</v>
      </c>
      <c r="N2427" s="464">
        <f t="shared" si="132"/>
        <v>124915</v>
      </c>
    </row>
    <row r="2428" spans="7:14" ht="11.25" customHeight="1" x14ac:dyDescent="0.3">
      <c r="G2428" s="459"/>
      <c r="H2428" s="459">
        <v>2421</v>
      </c>
      <c r="I2428" s="444">
        <f t="shared" ca="1" si="130"/>
        <v>-5393994995.0973387</v>
      </c>
      <c r="J2428" s="444">
        <f t="array" ref="J2428">IFERROR(INDEX('Retirement Calculator'!K:K,MATCH('Lorri 401b'!N2428,'Retirement Calculator'!A:A,0),0),0)</f>
        <v>0</v>
      </c>
      <c r="K2428" s="444">
        <f t="shared" ca="1" si="128"/>
        <v>-22474979.146238912</v>
      </c>
      <c r="L2428" s="444">
        <f t="shared" ca="1" si="129"/>
        <v>-5416469974.243578</v>
      </c>
      <c r="M2428" s="460">
        <f t="shared" si="131"/>
        <v>0.05</v>
      </c>
      <c r="N2428" s="464">
        <f t="shared" si="132"/>
        <v>124946</v>
      </c>
    </row>
    <row r="2429" spans="7:14" ht="11.25" customHeight="1" x14ac:dyDescent="0.3">
      <c r="G2429" s="459"/>
      <c r="H2429" s="459">
        <v>2422</v>
      </c>
      <c r="I2429" s="444">
        <f t="shared" ca="1" si="130"/>
        <v>-5416469974.243578</v>
      </c>
      <c r="J2429" s="444">
        <f t="array" ref="J2429">IFERROR(INDEX('Retirement Calculator'!K:K,MATCH('Lorri 401b'!N2429,'Retirement Calculator'!A:A,0),0),0)</f>
        <v>0</v>
      </c>
      <c r="K2429" s="444">
        <f t="shared" ca="1" si="128"/>
        <v>-22568624.892681576</v>
      </c>
      <c r="L2429" s="444">
        <f t="shared" ca="1" si="129"/>
        <v>-5439038599.1362591</v>
      </c>
      <c r="M2429" s="460">
        <f t="shared" si="131"/>
        <v>0.05</v>
      </c>
      <c r="N2429" s="464">
        <f t="shared" si="132"/>
        <v>124974</v>
      </c>
    </row>
    <row r="2430" spans="7:14" ht="11.25" customHeight="1" x14ac:dyDescent="0.3">
      <c r="G2430" s="459"/>
      <c r="H2430" s="459">
        <v>2423</v>
      </c>
      <c r="I2430" s="444">
        <f t="shared" ca="1" si="130"/>
        <v>-5439038599.1362591</v>
      </c>
      <c r="J2430" s="444">
        <f t="array" ref="J2430">IFERROR(INDEX('Retirement Calculator'!K:K,MATCH('Lorri 401b'!N2430,'Retirement Calculator'!A:A,0),0),0)</f>
        <v>0</v>
      </c>
      <c r="K2430" s="444">
        <f t="shared" ca="1" si="128"/>
        <v>-22662660.829734411</v>
      </c>
      <c r="L2430" s="444">
        <f t="shared" ca="1" si="129"/>
        <v>-5461701259.9659939</v>
      </c>
      <c r="M2430" s="460">
        <f t="shared" si="131"/>
        <v>0.05</v>
      </c>
      <c r="N2430" s="464">
        <f t="shared" si="132"/>
        <v>125005</v>
      </c>
    </row>
    <row r="2431" spans="7:14" ht="11.25" customHeight="1" x14ac:dyDescent="0.3">
      <c r="G2431" s="459"/>
      <c r="H2431" s="459">
        <v>2424</v>
      </c>
      <c r="I2431" s="444">
        <f t="shared" ca="1" si="130"/>
        <v>-5461701259.9659939</v>
      </c>
      <c r="J2431" s="444">
        <f t="array" ref="J2431">IFERROR(INDEX('Retirement Calculator'!K:K,MATCH('Lorri 401b'!N2431,'Retirement Calculator'!A:A,0),0),0)</f>
        <v>0</v>
      </c>
      <c r="K2431" s="444">
        <f t="shared" ca="1" si="128"/>
        <v>-22757088.583191641</v>
      </c>
      <c r="L2431" s="444">
        <f t="shared" ca="1" si="129"/>
        <v>-5484458348.5491858</v>
      </c>
      <c r="M2431" s="460">
        <f t="shared" si="131"/>
        <v>0.05</v>
      </c>
      <c r="N2431" s="464">
        <f t="shared" si="132"/>
        <v>125035</v>
      </c>
    </row>
    <row r="2432" spans="7:14" ht="11.25" customHeight="1" x14ac:dyDescent="0.3">
      <c r="G2432" s="459"/>
      <c r="H2432" s="459">
        <v>2425</v>
      </c>
      <c r="I2432" s="444">
        <f t="shared" ca="1" si="130"/>
        <v>-5484458348.5491858</v>
      </c>
      <c r="J2432" s="444">
        <f t="array" ref="J2432">IFERROR(INDEX('Retirement Calculator'!K:K,MATCH('Lorri 401b'!N2432,'Retirement Calculator'!A:A,0),0),0)</f>
        <v>0</v>
      </c>
      <c r="K2432" s="444">
        <f t="shared" ca="1" si="128"/>
        <v>-22851909.785621606</v>
      </c>
      <c r="L2432" s="444">
        <f t="shared" ca="1" si="129"/>
        <v>-5507310258.3348074</v>
      </c>
      <c r="M2432" s="460">
        <f t="shared" si="131"/>
        <v>0.05</v>
      </c>
      <c r="N2432" s="464">
        <f t="shared" si="132"/>
        <v>125066</v>
      </c>
    </row>
    <row r="2433" spans="7:14" ht="11.25" customHeight="1" x14ac:dyDescent="0.3">
      <c r="G2433" s="459"/>
      <c r="H2433" s="459">
        <v>2426</v>
      </c>
      <c r="I2433" s="444">
        <f t="shared" ca="1" si="130"/>
        <v>-5507310258.3348074</v>
      </c>
      <c r="J2433" s="444">
        <f t="array" ref="J2433">IFERROR(INDEX('Retirement Calculator'!K:K,MATCH('Lorri 401b'!N2433,'Retirement Calculator'!A:A,0),0),0)</f>
        <v>0</v>
      </c>
      <c r="K2433" s="444">
        <f t="shared" ca="1" si="128"/>
        <v>-22947126.076395031</v>
      </c>
      <c r="L2433" s="444">
        <f t="shared" ca="1" si="129"/>
        <v>-5530257384.4112024</v>
      </c>
      <c r="M2433" s="460">
        <f t="shared" si="131"/>
        <v>0.05</v>
      </c>
      <c r="N2433" s="464">
        <f t="shared" si="132"/>
        <v>125096</v>
      </c>
    </row>
    <row r="2434" spans="7:14" ht="11.25" customHeight="1" x14ac:dyDescent="0.3">
      <c r="G2434" s="459"/>
      <c r="H2434" s="459">
        <v>2427</v>
      </c>
      <c r="I2434" s="444">
        <f t="shared" ca="1" si="130"/>
        <v>-5530257384.4112024</v>
      </c>
      <c r="J2434" s="444">
        <f t="array" ref="J2434">IFERROR(INDEX('Retirement Calculator'!K:K,MATCH('Lorri 401b'!N2434,'Retirement Calculator'!A:A,0),0),0)</f>
        <v>0</v>
      </c>
      <c r="K2434" s="444">
        <f t="shared" ca="1" si="128"/>
        <v>-23042739.101713344</v>
      </c>
      <c r="L2434" s="444">
        <f t="shared" ca="1" si="129"/>
        <v>-5553300123.5129156</v>
      </c>
      <c r="M2434" s="460">
        <f t="shared" si="131"/>
        <v>0.05</v>
      </c>
      <c r="N2434" s="464">
        <f t="shared" si="132"/>
        <v>125127</v>
      </c>
    </row>
    <row r="2435" spans="7:14" ht="11.25" customHeight="1" x14ac:dyDescent="0.3">
      <c r="G2435" s="459"/>
      <c r="H2435" s="459">
        <v>2428</v>
      </c>
      <c r="I2435" s="444">
        <f t="shared" ca="1" si="130"/>
        <v>-5553300123.5129156</v>
      </c>
      <c r="J2435" s="444">
        <f t="array" ref="J2435">IFERROR(INDEX('Retirement Calculator'!K:K,MATCH('Lorri 401b'!N2435,'Retirement Calculator'!A:A,0),0),0)</f>
        <v>0</v>
      </c>
      <c r="K2435" s="444">
        <f t="shared" ca="1" si="128"/>
        <v>-23138750.51463715</v>
      </c>
      <c r="L2435" s="444">
        <f t="shared" ca="1" si="129"/>
        <v>-5576438874.0275526</v>
      </c>
      <c r="M2435" s="460">
        <f t="shared" si="131"/>
        <v>0.05</v>
      </c>
      <c r="N2435" s="464">
        <f t="shared" si="132"/>
        <v>125158</v>
      </c>
    </row>
    <row r="2436" spans="7:14" ht="11.25" customHeight="1" x14ac:dyDescent="0.3">
      <c r="G2436" s="459"/>
      <c r="H2436" s="459">
        <v>2429</v>
      </c>
      <c r="I2436" s="444">
        <f t="shared" ca="1" si="130"/>
        <v>-5576438874.0275526</v>
      </c>
      <c r="J2436" s="444">
        <f t="array" ref="J2436">IFERROR(INDEX('Retirement Calculator'!K:K,MATCH('Lorri 401b'!N2436,'Retirement Calculator'!A:A,0),0),0)</f>
        <v>0</v>
      </c>
      <c r="K2436" s="444">
        <f t="shared" ca="1" si="128"/>
        <v>-23235161.975114804</v>
      </c>
      <c r="L2436" s="444">
        <f t="shared" ca="1" si="129"/>
        <v>-5599674036.0026674</v>
      </c>
      <c r="M2436" s="460">
        <f t="shared" si="131"/>
        <v>0.05</v>
      </c>
      <c r="N2436" s="464">
        <f t="shared" si="132"/>
        <v>125188</v>
      </c>
    </row>
    <row r="2437" spans="7:14" ht="11.25" customHeight="1" x14ac:dyDescent="0.3">
      <c r="G2437" s="459"/>
      <c r="H2437" s="459">
        <v>2430</v>
      </c>
      <c r="I2437" s="444">
        <f t="shared" ca="1" si="130"/>
        <v>-5599674036.0026674</v>
      </c>
      <c r="J2437" s="444">
        <f t="array" ref="J2437">IFERROR(INDEX('Retirement Calculator'!K:K,MATCH('Lorri 401b'!N2437,'Retirement Calculator'!A:A,0),0),0)</f>
        <v>0</v>
      </c>
      <c r="K2437" s="444">
        <f t="shared" ca="1" si="128"/>
        <v>-23331975.150011115</v>
      </c>
      <c r="L2437" s="444">
        <f t="shared" ca="1" si="129"/>
        <v>-5623006011.1526785</v>
      </c>
      <c r="M2437" s="460">
        <f t="shared" si="131"/>
        <v>0.05</v>
      </c>
      <c r="N2437" s="464">
        <f t="shared" si="132"/>
        <v>125219</v>
      </c>
    </row>
    <row r="2438" spans="7:14" ht="11.25" customHeight="1" x14ac:dyDescent="0.3">
      <c r="G2438" s="459"/>
      <c r="H2438" s="459">
        <v>2431</v>
      </c>
      <c r="I2438" s="444">
        <f t="shared" ca="1" si="130"/>
        <v>-5623006011.1526785</v>
      </c>
      <c r="J2438" s="444">
        <f t="array" ref="J2438">IFERROR(INDEX('Retirement Calculator'!K:K,MATCH('Lorri 401b'!N2438,'Retirement Calculator'!A:A,0),0),0)</f>
        <v>0</v>
      </c>
      <c r="K2438" s="444">
        <f t="shared" ca="1" si="128"/>
        <v>-23429191.713136159</v>
      </c>
      <c r="L2438" s="444">
        <f t="shared" ca="1" si="129"/>
        <v>-5646435202.8658142</v>
      </c>
      <c r="M2438" s="460">
        <f t="shared" si="131"/>
        <v>0.05</v>
      </c>
      <c r="N2438" s="464">
        <f t="shared" si="132"/>
        <v>125249</v>
      </c>
    </row>
    <row r="2439" spans="7:14" ht="11.25" customHeight="1" x14ac:dyDescent="0.3">
      <c r="G2439" s="459"/>
      <c r="H2439" s="459">
        <v>2432</v>
      </c>
      <c r="I2439" s="444">
        <f t="shared" ca="1" si="130"/>
        <v>-5646435202.8658142</v>
      </c>
      <c r="J2439" s="444">
        <f t="array" ref="J2439">IFERROR(INDEX('Retirement Calculator'!K:K,MATCH('Lorri 401b'!N2439,'Retirement Calculator'!A:A,0),0),0)</f>
        <v>0</v>
      </c>
      <c r="K2439" s="444">
        <f t="shared" ca="1" si="128"/>
        <v>-23526813.345274225</v>
      </c>
      <c r="L2439" s="444">
        <f t="shared" ca="1" si="129"/>
        <v>-5669962016.2110882</v>
      </c>
      <c r="M2439" s="460">
        <f t="shared" si="131"/>
        <v>0.05</v>
      </c>
      <c r="N2439" s="464">
        <f t="shared" si="132"/>
        <v>125280</v>
      </c>
    </row>
    <row r="2440" spans="7:14" ht="11.25" customHeight="1" x14ac:dyDescent="0.3">
      <c r="G2440" s="459"/>
      <c r="H2440" s="459">
        <v>2433</v>
      </c>
      <c r="I2440" s="444">
        <f t="shared" ca="1" si="130"/>
        <v>-5669962016.2110882</v>
      </c>
      <c r="J2440" s="444">
        <f t="array" ref="J2440">IFERROR(INDEX('Retirement Calculator'!K:K,MATCH('Lorri 401b'!N2440,'Retirement Calculator'!A:A,0),0),0)</f>
        <v>0</v>
      </c>
      <c r="K2440" s="444">
        <f t="shared" ca="1" si="128"/>
        <v>-23624841.734212868</v>
      </c>
      <c r="L2440" s="444">
        <f t="shared" ca="1" si="129"/>
        <v>-5693586857.9453011</v>
      </c>
      <c r="M2440" s="460">
        <f t="shared" si="131"/>
        <v>0.05</v>
      </c>
      <c r="N2440" s="464">
        <f t="shared" si="132"/>
        <v>125311</v>
      </c>
    </row>
    <row r="2441" spans="7:14" ht="11.25" customHeight="1" x14ac:dyDescent="0.3">
      <c r="G2441" s="459"/>
      <c r="H2441" s="459">
        <v>2434</v>
      </c>
      <c r="I2441" s="444">
        <f t="shared" ca="1" si="130"/>
        <v>-5693586857.9453011</v>
      </c>
      <c r="J2441" s="444">
        <f t="array" ref="J2441">IFERROR(INDEX('Retirement Calculator'!K:K,MATCH('Lorri 401b'!N2441,'Retirement Calculator'!A:A,0),0),0)</f>
        <v>0</v>
      </c>
      <c r="K2441" s="444">
        <f t="shared" ca="1" si="128"/>
        <v>-23723278.574772086</v>
      </c>
      <c r="L2441" s="444">
        <f t="shared" ca="1" si="129"/>
        <v>-5717310136.5200729</v>
      </c>
      <c r="M2441" s="460">
        <f t="shared" si="131"/>
        <v>0.05</v>
      </c>
      <c r="N2441" s="464">
        <f t="shared" si="132"/>
        <v>125339</v>
      </c>
    </row>
    <row r="2442" spans="7:14" ht="11.25" customHeight="1" x14ac:dyDescent="0.3">
      <c r="G2442" s="459"/>
      <c r="H2442" s="459">
        <v>2435</v>
      </c>
      <c r="I2442" s="444">
        <f t="shared" ca="1" si="130"/>
        <v>-5717310136.5200729</v>
      </c>
      <c r="J2442" s="444">
        <f t="array" ref="J2442">IFERROR(INDEX('Retirement Calculator'!K:K,MATCH('Lorri 401b'!N2442,'Retirement Calculator'!A:A,0),0),0)</f>
        <v>0</v>
      </c>
      <c r="K2442" s="444">
        <f t="shared" ca="1" si="128"/>
        <v>-23822125.568833638</v>
      </c>
      <c r="L2442" s="444">
        <f t="shared" ca="1" si="129"/>
        <v>-5741132262.0889063</v>
      </c>
      <c r="M2442" s="460">
        <f t="shared" si="131"/>
        <v>0.05</v>
      </c>
      <c r="N2442" s="464">
        <f t="shared" si="132"/>
        <v>125370</v>
      </c>
    </row>
    <row r="2443" spans="7:14" ht="11.25" customHeight="1" x14ac:dyDescent="0.3">
      <c r="G2443" s="459"/>
      <c r="H2443" s="459">
        <v>2436</v>
      </c>
      <c r="I2443" s="444">
        <f t="shared" ca="1" si="130"/>
        <v>-5741132262.0889063</v>
      </c>
      <c r="J2443" s="444">
        <f t="array" ref="J2443">IFERROR(INDEX('Retirement Calculator'!K:K,MATCH('Lorri 401b'!N2443,'Retirement Calculator'!A:A,0),0),0)</f>
        <v>0</v>
      </c>
      <c r="K2443" s="444">
        <f t="shared" ca="1" si="128"/>
        <v>-23921384.425370444</v>
      </c>
      <c r="L2443" s="444">
        <f t="shared" ca="1" si="129"/>
        <v>-5765053646.5142765</v>
      </c>
      <c r="M2443" s="460">
        <f t="shared" si="131"/>
        <v>0.05</v>
      </c>
      <c r="N2443" s="464">
        <f t="shared" si="132"/>
        <v>125400</v>
      </c>
    </row>
    <row r="2444" spans="7:14" ht="11.25" customHeight="1" x14ac:dyDescent="0.3">
      <c r="G2444" s="459"/>
      <c r="H2444" s="459">
        <v>2437</v>
      </c>
      <c r="I2444" s="444">
        <f t="shared" ca="1" si="130"/>
        <v>-5765053646.5142765</v>
      </c>
      <c r="J2444" s="444">
        <f t="array" ref="J2444">IFERROR(INDEX('Retirement Calculator'!K:K,MATCH('Lorri 401b'!N2444,'Retirement Calculator'!A:A,0),0),0)</f>
        <v>0</v>
      </c>
      <c r="K2444" s="444">
        <f t="shared" ca="1" si="128"/>
        <v>-24021056.860476151</v>
      </c>
      <c r="L2444" s="444">
        <f t="shared" ca="1" si="129"/>
        <v>-5789074703.374753</v>
      </c>
      <c r="M2444" s="460">
        <f t="shared" si="131"/>
        <v>0.05</v>
      </c>
      <c r="N2444" s="464">
        <f t="shared" si="132"/>
        <v>125431</v>
      </c>
    </row>
    <row r="2445" spans="7:14" ht="11.25" customHeight="1" x14ac:dyDescent="0.3">
      <c r="G2445" s="459"/>
      <c r="H2445" s="459">
        <v>2438</v>
      </c>
      <c r="I2445" s="444">
        <f t="shared" ca="1" si="130"/>
        <v>-5789074703.374753</v>
      </c>
      <c r="J2445" s="444">
        <f t="array" ref="J2445">IFERROR(INDEX('Retirement Calculator'!K:K,MATCH('Lorri 401b'!N2445,'Retirement Calculator'!A:A,0),0),0)</f>
        <v>0</v>
      </c>
      <c r="K2445" s="444">
        <f t="shared" ca="1" si="128"/>
        <v>-24121144.597394805</v>
      </c>
      <c r="L2445" s="444">
        <f t="shared" ca="1" si="129"/>
        <v>-5813195847.9721479</v>
      </c>
      <c r="M2445" s="460">
        <f t="shared" si="131"/>
        <v>0.05</v>
      </c>
      <c r="N2445" s="464">
        <f t="shared" si="132"/>
        <v>125461</v>
      </c>
    </row>
    <row r="2446" spans="7:14" ht="11.25" customHeight="1" x14ac:dyDescent="0.3">
      <c r="G2446" s="459"/>
      <c r="H2446" s="459">
        <v>2439</v>
      </c>
      <c r="I2446" s="444">
        <f t="shared" ca="1" si="130"/>
        <v>-5813195847.9721479</v>
      </c>
      <c r="J2446" s="444">
        <f t="array" ref="J2446">IFERROR(INDEX('Retirement Calculator'!K:K,MATCH('Lorri 401b'!N2446,'Retirement Calculator'!A:A,0),0),0)</f>
        <v>0</v>
      </c>
      <c r="K2446" s="444">
        <f t="shared" ca="1" si="128"/>
        <v>-24221649.366550617</v>
      </c>
      <c r="L2446" s="444">
        <f t="shared" ca="1" si="129"/>
        <v>-5837417497.3386984</v>
      </c>
      <c r="M2446" s="460">
        <f t="shared" si="131"/>
        <v>0.05</v>
      </c>
      <c r="N2446" s="464">
        <f t="shared" si="132"/>
        <v>125492</v>
      </c>
    </row>
    <row r="2447" spans="7:14" ht="11.25" customHeight="1" x14ac:dyDescent="0.3">
      <c r="G2447" s="459"/>
      <c r="H2447" s="459">
        <v>2440</v>
      </c>
      <c r="I2447" s="444">
        <f t="shared" ca="1" si="130"/>
        <v>-5837417497.3386984</v>
      </c>
      <c r="J2447" s="444">
        <f t="array" ref="J2447">IFERROR(INDEX('Retirement Calculator'!K:K,MATCH('Lorri 401b'!N2447,'Retirement Calculator'!A:A,0),0),0)</f>
        <v>0</v>
      </c>
      <c r="K2447" s="444">
        <f t="shared" ca="1" si="128"/>
        <v>-24322572.905577909</v>
      </c>
      <c r="L2447" s="444">
        <f t="shared" ca="1" si="129"/>
        <v>-5861740070.244276</v>
      </c>
      <c r="M2447" s="460">
        <f t="shared" si="131"/>
        <v>0.05</v>
      </c>
      <c r="N2447" s="464">
        <f t="shared" si="132"/>
        <v>125523</v>
      </c>
    </row>
    <row r="2448" spans="7:14" ht="11.25" customHeight="1" x14ac:dyDescent="0.3">
      <c r="G2448" s="459"/>
      <c r="H2448" s="459">
        <v>2441</v>
      </c>
      <c r="I2448" s="444">
        <f t="shared" ca="1" si="130"/>
        <v>-5861740070.244276</v>
      </c>
      <c r="J2448" s="444">
        <f t="array" ref="J2448">IFERROR(INDEX('Retirement Calculator'!K:K,MATCH('Lorri 401b'!N2448,'Retirement Calculator'!A:A,0),0),0)</f>
        <v>0</v>
      </c>
      <c r="K2448" s="444">
        <f t="shared" ca="1" si="128"/>
        <v>-24423916.959351148</v>
      </c>
      <c r="L2448" s="444">
        <f t="shared" ca="1" si="129"/>
        <v>-5886163987.2036276</v>
      </c>
      <c r="M2448" s="460">
        <f t="shared" si="131"/>
        <v>0.05</v>
      </c>
      <c r="N2448" s="464">
        <f t="shared" si="132"/>
        <v>125553</v>
      </c>
    </row>
    <row r="2449" spans="7:14" ht="11.25" customHeight="1" x14ac:dyDescent="0.3">
      <c r="G2449" s="459"/>
      <c r="H2449" s="459">
        <v>2442</v>
      </c>
      <c r="I2449" s="444">
        <f t="shared" ca="1" si="130"/>
        <v>-5886163987.2036276</v>
      </c>
      <c r="J2449" s="444">
        <f t="array" ref="J2449">IFERROR(INDEX('Retirement Calculator'!K:K,MATCH('Lorri 401b'!N2449,'Retirement Calculator'!A:A,0),0),0)</f>
        <v>0</v>
      </c>
      <c r="K2449" s="444">
        <f t="shared" ca="1" si="128"/>
        <v>-24525683.280015115</v>
      </c>
      <c r="L2449" s="444">
        <f t="shared" ca="1" si="129"/>
        <v>-5910689670.4836426</v>
      </c>
      <c r="M2449" s="460">
        <f t="shared" si="131"/>
        <v>0.05</v>
      </c>
      <c r="N2449" s="464">
        <f t="shared" si="132"/>
        <v>125584</v>
      </c>
    </row>
    <row r="2450" spans="7:14" ht="11.25" customHeight="1" x14ac:dyDescent="0.3">
      <c r="G2450" s="459"/>
      <c r="H2450" s="459">
        <v>2443</v>
      </c>
      <c r="I2450" s="444">
        <f t="shared" ca="1" si="130"/>
        <v>-5910689670.4836426</v>
      </c>
      <c r="J2450" s="444">
        <f t="array" ref="J2450">IFERROR(INDEX('Retirement Calculator'!K:K,MATCH('Lorri 401b'!N2450,'Retirement Calculator'!A:A,0),0),0)</f>
        <v>0</v>
      </c>
      <c r="K2450" s="444">
        <f t="shared" ca="1" si="128"/>
        <v>-24627873.627015177</v>
      </c>
      <c r="L2450" s="444">
        <f t="shared" ca="1" si="129"/>
        <v>-5935317544.1106577</v>
      </c>
      <c r="M2450" s="460">
        <f t="shared" si="131"/>
        <v>0.05</v>
      </c>
      <c r="N2450" s="464">
        <f t="shared" si="132"/>
        <v>125614</v>
      </c>
    </row>
    <row r="2451" spans="7:14" ht="11.25" customHeight="1" x14ac:dyDescent="0.3">
      <c r="G2451" s="459"/>
      <c r="H2451" s="459">
        <v>2444</v>
      </c>
      <c r="I2451" s="444">
        <f t="shared" ca="1" si="130"/>
        <v>-5935317544.1106577</v>
      </c>
      <c r="J2451" s="444">
        <f t="array" ref="J2451">IFERROR(INDEX('Retirement Calculator'!K:K,MATCH('Lorri 401b'!N2451,'Retirement Calculator'!A:A,0),0),0)</f>
        <v>0</v>
      </c>
      <c r="K2451" s="444">
        <f t="shared" ca="1" si="128"/>
        <v>-24730489.767127741</v>
      </c>
      <c r="L2451" s="444">
        <f t="shared" ca="1" si="129"/>
        <v>-5960048033.8777857</v>
      </c>
      <c r="M2451" s="460">
        <f t="shared" si="131"/>
        <v>0.05</v>
      </c>
      <c r="N2451" s="464">
        <f t="shared" si="132"/>
        <v>125645</v>
      </c>
    </row>
    <row r="2452" spans="7:14" ht="11.25" customHeight="1" x14ac:dyDescent="0.3">
      <c r="G2452" s="459"/>
      <c r="H2452" s="459">
        <v>2445</v>
      </c>
      <c r="I2452" s="444">
        <f t="shared" ca="1" si="130"/>
        <v>-5960048033.8777857</v>
      </c>
      <c r="J2452" s="444">
        <f t="array" ref="J2452">IFERROR(INDEX('Retirement Calculator'!K:K,MATCH('Lorri 401b'!N2452,'Retirement Calculator'!A:A,0),0),0)</f>
        <v>0</v>
      </c>
      <c r="K2452" s="444">
        <f t="shared" ca="1" si="128"/>
        <v>-24833533.474490773</v>
      </c>
      <c r="L2452" s="444">
        <f t="shared" ca="1" si="129"/>
        <v>-5984881567.3522768</v>
      </c>
      <c r="M2452" s="460">
        <f t="shared" si="131"/>
        <v>0.05</v>
      </c>
      <c r="N2452" s="464">
        <f t="shared" si="132"/>
        <v>125676</v>
      </c>
    </row>
    <row r="2453" spans="7:14" ht="11.25" customHeight="1" x14ac:dyDescent="0.3">
      <c r="G2453" s="459"/>
      <c r="H2453" s="459">
        <v>2446</v>
      </c>
      <c r="I2453" s="444">
        <f t="shared" ca="1" si="130"/>
        <v>-5984881567.3522768</v>
      </c>
      <c r="J2453" s="444">
        <f t="array" ref="J2453">IFERROR(INDEX('Retirement Calculator'!K:K,MATCH('Lorri 401b'!N2453,'Retirement Calculator'!A:A,0),0),0)</f>
        <v>0</v>
      </c>
      <c r="K2453" s="444">
        <f t="shared" ca="1" si="128"/>
        <v>-24937006.530634485</v>
      </c>
      <c r="L2453" s="444">
        <f t="shared" ca="1" si="129"/>
        <v>-6009818573.8829117</v>
      </c>
      <c r="M2453" s="460">
        <f t="shared" si="131"/>
        <v>0.05</v>
      </c>
      <c r="N2453" s="464">
        <f t="shared" si="132"/>
        <v>125705</v>
      </c>
    </row>
    <row r="2454" spans="7:14" ht="11.25" customHeight="1" x14ac:dyDescent="0.3">
      <c r="G2454" s="459"/>
      <c r="H2454" s="459">
        <v>2447</v>
      </c>
      <c r="I2454" s="444">
        <f t="shared" ca="1" si="130"/>
        <v>-6009818573.8829117</v>
      </c>
      <c r="J2454" s="444">
        <f t="array" ref="J2454">IFERROR(INDEX('Retirement Calculator'!K:K,MATCH('Lorri 401b'!N2454,'Retirement Calculator'!A:A,0),0),0)</f>
        <v>0</v>
      </c>
      <c r="K2454" s="444">
        <f t="shared" ca="1" si="128"/>
        <v>-25040910.72451213</v>
      </c>
      <c r="L2454" s="444">
        <f t="shared" ca="1" si="129"/>
        <v>-6034859484.6074238</v>
      </c>
      <c r="M2454" s="460">
        <f t="shared" si="131"/>
        <v>0.05</v>
      </c>
      <c r="N2454" s="464">
        <f t="shared" si="132"/>
        <v>125736</v>
      </c>
    </row>
    <row r="2455" spans="7:14" ht="11.25" customHeight="1" x14ac:dyDescent="0.3">
      <c r="G2455" s="459"/>
      <c r="H2455" s="459">
        <v>2448</v>
      </c>
      <c r="I2455" s="444">
        <f t="shared" ca="1" si="130"/>
        <v>-6034859484.6074238</v>
      </c>
      <c r="J2455" s="444">
        <f t="array" ref="J2455">IFERROR(INDEX('Retirement Calculator'!K:K,MATCH('Lorri 401b'!N2455,'Retirement Calculator'!A:A,0),0),0)</f>
        <v>0</v>
      </c>
      <c r="K2455" s="444">
        <f t="shared" ca="1" si="128"/>
        <v>-25145247.852530934</v>
      </c>
      <c r="L2455" s="444">
        <f t="shared" ca="1" si="129"/>
        <v>-6060004732.4599543</v>
      </c>
      <c r="M2455" s="460">
        <f t="shared" si="131"/>
        <v>0.05</v>
      </c>
      <c r="N2455" s="464">
        <f t="shared" si="132"/>
        <v>125766</v>
      </c>
    </row>
    <row r="2456" spans="7:14" ht="11.25" customHeight="1" x14ac:dyDescent="0.3">
      <c r="G2456" s="459"/>
      <c r="H2456" s="459">
        <v>2449</v>
      </c>
      <c r="I2456" s="444">
        <f t="shared" ca="1" si="130"/>
        <v>-6060004732.4599543</v>
      </c>
      <c r="J2456" s="444">
        <f t="array" ref="J2456">IFERROR(INDEX('Retirement Calculator'!K:K,MATCH('Lorri 401b'!N2456,'Retirement Calculator'!A:A,0),0),0)</f>
        <v>0</v>
      </c>
      <c r="K2456" s="444">
        <f t="shared" ca="1" si="128"/>
        <v>-25250019.718583144</v>
      </c>
      <c r="L2456" s="444">
        <f t="shared" ca="1" si="129"/>
        <v>-6085254752.1785374</v>
      </c>
      <c r="M2456" s="460">
        <f t="shared" si="131"/>
        <v>0.05</v>
      </c>
      <c r="N2456" s="464">
        <f t="shared" si="132"/>
        <v>125797</v>
      </c>
    </row>
    <row r="2457" spans="7:14" ht="11.25" customHeight="1" x14ac:dyDescent="0.3">
      <c r="G2457" s="459"/>
      <c r="H2457" s="459">
        <v>2450</v>
      </c>
      <c r="I2457" s="444">
        <f t="shared" ca="1" si="130"/>
        <v>-6085254752.1785374</v>
      </c>
      <c r="J2457" s="444">
        <f t="array" ref="J2457">IFERROR(INDEX('Retirement Calculator'!K:K,MATCH('Lorri 401b'!N2457,'Retirement Calculator'!A:A,0),0),0)</f>
        <v>0</v>
      </c>
      <c r="K2457" s="444">
        <f t="shared" ca="1" si="128"/>
        <v>-25355228.13407724</v>
      </c>
      <c r="L2457" s="444">
        <f t="shared" ca="1" si="129"/>
        <v>-6110609980.3126144</v>
      </c>
      <c r="M2457" s="460">
        <f t="shared" si="131"/>
        <v>0.05</v>
      </c>
      <c r="N2457" s="464">
        <f t="shared" si="132"/>
        <v>125827</v>
      </c>
    </row>
    <row r="2458" spans="7:14" ht="11.25" customHeight="1" x14ac:dyDescent="0.3">
      <c r="G2458" s="459"/>
      <c r="H2458" s="459">
        <v>2451</v>
      </c>
      <c r="I2458" s="444">
        <f t="shared" ca="1" si="130"/>
        <v>-6110609980.3126144</v>
      </c>
      <c r="J2458" s="444">
        <f t="array" ref="J2458">IFERROR(INDEX('Retirement Calculator'!K:K,MATCH('Lorri 401b'!N2458,'Retirement Calculator'!A:A,0),0),0)</f>
        <v>0</v>
      </c>
      <c r="K2458" s="444">
        <f t="shared" ca="1" si="128"/>
        <v>-25460874.917969227</v>
      </c>
      <c r="L2458" s="444">
        <f t="shared" ca="1" si="129"/>
        <v>-6136070855.2305832</v>
      </c>
      <c r="M2458" s="460">
        <f t="shared" si="131"/>
        <v>0.05</v>
      </c>
      <c r="N2458" s="464">
        <f t="shared" si="132"/>
        <v>125858</v>
      </c>
    </row>
    <row r="2459" spans="7:14" ht="11.25" customHeight="1" x14ac:dyDescent="0.3">
      <c r="G2459" s="459"/>
      <c r="H2459" s="459">
        <v>2452</v>
      </c>
      <c r="I2459" s="444">
        <f t="shared" ca="1" si="130"/>
        <v>-6136070855.2305832</v>
      </c>
      <c r="J2459" s="444">
        <f t="array" ref="J2459">IFERROR(INDEX('Retirement Calculator'!K:K,MATCH('Lorri 401b'!N2459,'Retirement Calculator'!A:A,0),0),0)</f>
        <v>0</v>
      </c>
      <c r="K2459" s="444">
        <f t="shared" ca="1" si="128"/>
        <v>-25566961.896794096</v>
      </c>
      <c r="L2459" s="444">
        <f t="shared" ca="1" si="129"/>
        <v>-6161637817.1273775</v>
      </c>
      <c r="M2459" s="460">
        <f t="shared" si="131"/>
        <v>0.05</v>
      </c>
      <c r="N2459" s="464">
        <f t="shared" si="132"/>
        <v>125889</v>
      </c>
    </row>
    <row r="2460" spans="7:14" ht="11.25" customHeight="1" x14ac:dyDescent="0.3">
      <c r="G2460" s="459"/>
      <c r="H2460" s="459">
        <v>2453</v>
      </c>
      <c r="I2460" s="444">
        <f t="shared" ca="1" si="130"/>
        <v>-6161637817.1273775</v>
      </c>
      <c r="J2460" s="444">
        <f t="array" ref="J2460">IFERROR(INDEX('Retirement Calculator'!K:K,MATCH('Lorri 401b'!N2460,'Retirement Calculator'!A:A,0),0),0)</f>
        <v>0</v>
      </c>
      <c r="K2460" s="444">
        <f t="shared" ca="1" si="128"/>
        <v>-25673490.904697407</v>
      </c>
      <c r="L2460" s="444">
        <f t="shared" ca="1" si="129"/>
        <v>-6187311308.0320749</v>
      </c>
      <c r="M2460" s="460">
        <f t="shared" si="131"/>
        <v>0.05</v>
      </c>
      <c r="N2460" s="464">
        <f t="shared" si="132"/>
        <v>125919</v>
      </c>
    </row>
    <row r="2461" spans="7:14" ht="11.25" customHeight="1" x14ac:dyDescent="0.3">
      <c r="G2461" s="459"/>
      <c r="H2461" s="459">
        <v>2454</v>
      </c>
      <c r="I2461" s="444">
        <f t="shared" ca="1" si="130"/>
        <v>-6187311308.0320749</v>
      </c>
      <c r="J2461" s="444">
        <f t="array" ref="J2461">IFERROR(INDEX('Retirement Calculator'!K:K,MATCH('Lorri 401b'!N2461,'Retirement Calculator'!A:A,0),0),0)</f>
        <v>0</v>
      </c>
      <c r="K2461" s="444">
        <f t="shared" ca="1" si="128"/>
        <v>-25780463.78346698</v>
      </c>
      <c r="L2461" s="444">
        <f t="shared" ca="1" si="129"/>
        <v>-6213091771.8155422</v>
      </c>
      <c r="M2461" s="460">
        <f t="shared" si="131"/>
        <v>0.05</v>
      </c>
      <c r="N2461" s="464">
        <f t="shared" si="132"/>
        <v>125950</v>
      </c>
    </row>
    <row r="2462" spans="7:14" ht="11.25" customHeight="1" x14ac:dyDescent="0.3">
      <c r="G2462" s="459"/>
      <c r="H2462" s="459">
        <v>2455</v>
      </c>
      <c r="I2462" s="444">
        <f t="shared" ca="1" si="130"/>
        <v>-6213091771.8155422</v>
      </c>
      <c r="J2462" s="444">
        <f t="array" ref="J2462">IFERROR(INDEX('Retirement Calculator'!K:K,MATCH('Lorri 401b'!N2462,'Retirement Calculator'!A:A,0),0),0)</f>
        <v>0</v>
      </c>
      <c r="K2462" s="444">
        <f t="shared" ca="1" si="128"/>
        <v>-25887882.382564761</v>
      </c>
      <c r="L2462" s="444">
        <f t="shared" ca="1" si="129"/>
        <v>-6238979654.1981068</v>
      </c>
      <c r="M2462" s="460">
        <f t="shared" si="131"/>
        <v>0.05</v>
      </c>
      <c r="N2462" s="464">
        <f t="shared" si="132"/>
        <v>125980</v>
      </c>
    </row>
    <row r="2463" spans="7:14" ht="11.25" customHeight="1" x14ac:dyDescent="0.3">
      <c r="G2463" s="459"/>
      <c r="H2463" s="459">
        <v>2456</v>
      </c>
      <c r="I2463" s="444">
        <f t="shared" ca="1" si="130"/>
        <v>-6238979654.1981068</v>
      </c>
      <c r="J2463" s="444">
        <f t="array" ref="J2463">IFERROR(INDEX('Retirement Calculator'!K:K,MATCH('Lorri 401b'!N2463,'Retirement Calculator'!A:A,0),0),0)</f>
        <v>0</v>
      </c>
      <c r="K2463" s="444">
        <f t="shared" ca="1" si="128"/>
        <v>-25995748.55915878</v>
      </c>
      <c r="L2463" s="444">
        <f t="shared" ca="1" si="129"/>
        <v>-6264975402.7572651</v>
      </c>
      <c r="M2463" s="460">
        <f t="shared" si="131"/>
        <v>0.05</v>
      </c>
      <c r="N2463" s="464">
        <f t="shared" si="132"/>
        <v>126011</v>
      </c>
    </row>
    <row r="2464" spans="7:14" ht="11.25" customHeight="1" x14ac:dyDescent="0.3">
      <c r="G2464" s="459"/>
      <c r="H2464" s="459">
        <v>2457</v>
      </c>
      <c r="I2464" s="444">
        <f t="shared" ca="1" si="130"/>
        <v>-6264975402.7572651</v>
      </c>
      <c r="J2464" s="444">
        <f t="array" ref="J2464">IFERROR(INDEX('Retirement Calculator'!K:K,MATCH('Lorri 401b'!N2464,'Retirement Calculator'!A:A,0),0),0)</f>
        <v>0</v>
      </c>
      <c r="K2464" s="444">
        <f t="shared" ca="1" si="128"/>
        <v>-26104064.178155269</v>
      </c>
      <c r="L2464" s="444">
        <f t="shared" ca="1" si="129"/>
        <v>-6291079466.93542</v>
      </c>
      <c r="M2464" s="460">
        <f t="shared" si="131"/>
        <v>0.05</v>
      </c>
      <c r="N2464" s="464">
        <f t="shared" si="132"/>
        <v>126042</v>
      </c>
    </row>
    <row r="2465" spans="7:14" ht="11.25" customHeight="1" x14ac:dyDescent="0.3">
      <c r="G2465" s="459"/>
      <c r="H2465" s="459">
        <v>2458</v>
      </c>
      <c r="I2465" s="444">
        <f t="shared" ca="1" si="130"/>
        <v>-6291079466.93542</v>
      </c>
      <c r="J2465" s="444">
        <f t="array" ref="J2465">IFERROR(INDEX('Retirement Calculator'!K:K,MATCH('Lorri 401b'!N2465,'Retirement Calculator'!A:A,0),0),0)</f>
        <v>0</v>
      </c>
      <c r="K2465" s="444">
        <f t="shared" ca="1" si="128"/>
        <v>-26212831.112230916</v>
      </c>
      <c r="L2465" s="444">
        <f t="shared" ca="1" si="129"/>
        <v>-6317292298.0476513</v>
      </c>
      <c r="M2465" s="460">
        <f t="shared" si="131"/>
        <v>0.05</v>
      </c>
      <c r="N2465" s="464">
        <f t="shared" si="132"/>
        <v>126070</v>
      </c>
    </row>
    <row r="2466" spans="7:14" ht="11.25" customHeight="1" x14ac:dyDescent="0.3">
      <c r="G2466" s="459"/>
      <c r="H2466" s="459">
        <v>2459</v>
      </c>
      <c r="I2466" s="444">
        <f t="shared" ca="1" si="130"/>
        <v>-6317292298.0476513</v>
      </c>
      <c r="J2466" s="444">
        <f t="array" ref="J2466">IFERROR(INDEX('Retirement Calculator'!K:K,MATCH('Lorri 401b'!N2466,'Retirement Calculator'!A:A,0),0),0)</f>
        <v>0</v>
      </c>
      <c r="K2466" s="444">
        <f t="shared" ca="1" si="128"/>
        <v>-26322051.241865214</v>
      </c>
      <c r="L2466" s="444">
        <f t="shared" ca="1" si="129"/>
        <v>-6343614349.2895164</v>
      </c>
      <c r="M2466" s="460">
        <f t="shared" si="131"/>
        <v>0.05</v>
      </c>
      <c r="N2466" s="464">
        <f t="shared" si="132"/>
        <v>126101</v>
      </c>
    </row>
    <row r="2467" spans="7:14" ht="11.25" customHeight="1" x14ac:dyDescent="0.3">
      <c r="G2467" s="459"/>
      <c r="H2467" s="459">
        <v>2460</v>
      </c>
      <c r="I2467" s="444">
        <f t="shared" ca="1" si="130"/>
        <v>-6343614349.2895164</v>
      </c>
      <c r="J2467" s="444">
        <f t="array" ref="J2467">IFERROR(INDEX('Retirement Calculator'!K:K,MATCH('Lorri 401b'!N2467,'Retirement Calculator'!A:A,0),0),0)</f>
        <v>0</v>
      </c>
      <c r="K2467" s="444">
        <f t="shared" ca="1" si="128"/>
        <v>-26431726.455372985</v>
      </c>
      <c r="L2467" s="444">
        <f t="shared" ca="1" si="129"/>
        <v>-6370046075.7448893</v>
      </c>
      <c r="M2467" s="460">
        <f t="shared" si="131"/>
        <v>0.05</v>
      </c>
      <c r="N2467" s="464">
        <f t="shared" si="132"/>
        <v>126131</v>
      </c>
    </row>
    <row r="2468" spans="7:14" ht="11.25" customHeight="1" x14ac:dyDescent="0.3">
      <c r="G2468" s="459"/>
      <c r="H2468" s="459">
        <v>2461</v>
      </c>
      <c r="I2468" s="444">
        <f t="shared" ca="1" si="130"/>
        <v>-6370046075.7448893</v>
      </c>
      <c r="J2468" s="444">
        <f t="array" ref="J2468">IFERROR(INDEX('Retirement Calculator'!K:K,MATCH('Lorri 401b'!N2468,'Retirement Calculator'!A:A,0),0),0)</f>
        <v>0</v>
      </c>
      <c r="K2468" s="444">
        <f t="shared" ca="1" si="128"/>
        <v>-26541858.648937039</v>
      </c>
      <c r="L2468" s="444">
        <f t="shared" ca="1" si="129"/>
        <v>-6396587934.3938265</v>
      </c>
      <c r="M2468" s="460">
        <f t="shared" si="131"/>
        <v>0.05</v>
      </c>
      <c r="N2468" s="464">
        <f t="shared" si="132"/>
        <v>126162</v>
      </c>
    </row>
    <row r="2469" spans="7:14" ht="11.25" customHeight="1" x14ac:dyDescent="0.3">
      <c r="G2469" s="459"/>
      <c r="H2469" s="459">
        <v>2462</v>
      </c>
      <c r="I2469" s="444">
        <f t="shared" ca="1" si="130"/>
        <v>-6396587934.3938265</v>
      </c>
      <c r="J2469" s="444">
        <f t="array" ref="J2469">IFERROR(INDEX('Retirement Calculator'!K:K,MATCH('Lorri 401b'!N2469,'Retirement Calculator'!A:A,0),0),0)</f>
        <v>0</v>
      </c>
      <c r="K2469" s="444">
        <f t="shared" ca="1" si="128"/>
        <v>-26652449.726640943</v>
      </c>
      <c r="L2469" s="444">
        <f t="shared" ca="1" si="129"/>
        <v>-6423240384.1204672</v>
      </c>
      <c r="M2469" s="460">
        <f t="shared" si="131"/>
        <v>0.05</v>
      </c>
      <c r="N2469" s="464">
        <f t="shared" si="132"/>
        <v>126192</v>
      </c>
    </row>
    <row r="2470" spans="7:14" ht="11.25" customHeight="1" x14ac:dyDescent="0.3">
      <c r="G2470" s="459"/>
      <c r="H2470" s="459">
        <v>2463</v>
      </c>
      <c r="I2470" s="444">
        <f t="shared" ca="1" si="130"/>
        <v>-6423240384.1204672</v>
      </c>
      <c r="J2470" s="444">
        <f t="array" ref="J2470">IFERROR(INDEX('Retirement Calculator'!K:K,MATCH('Lorri 401b'!N2470,'Retirement Calculator'!A:A,0),0),0)</f>
        <v>0</v>
      </c>
      <c r="K2470" s="444">
        <f t="shared" ca="1" si="128"/>
        <v>-26763501.600501947</v>
      </c>
      <c r="L2470" s="444">
        <f t="shared" ca="1" si="129"/>
        <v>-6450003885.7209692</v>
      </c>
      <c r="M2470" s="460">
        <f t="shared" si="131"/>
        <v>0.05</v>
      </c>
      <c r="N2470" s="464">
        <f t="shared" si="132"/>
        <v>126223</v>
      </c>
    </row>
    <row r="2471" spans="7:14" ht="11.25" customHeight="1" x14ac:dyDescent="0.3">
      <c r="G2471" s="459"/>
      <c r="H2471" s="459">
        <v>2464</v>
      </c>
      <c r="I2471" s="444">
        <f t="shared" ca="1" si="130"/>
        <v>-6450003885.7209692</v>
      </c>
      <c r="J2471" s="444">
        <f t="array" ref="J2471">IFERROR(INDEX('Retirement Calculator'!K:K,MATCH('Lorri 401b'!N2471,'Retirement Calculator'!A:A,0),0),0)</f>
        <v>0</v>
      </c>
      <c r="K2471" s="444">
        <f t="shared" ca="1" si="128"/>
        <v>-26875016.190504037</v>
      </c>
      <c r="L2471" s="444">
        <f t="shared" ca="1" si="129"/>
        <v>-6476878901.9114733</v>
      </c>
      <c r="M2471" s="460">
        <f t="shared" si="131"/>
        <v>0.05</v>
      </c>
      <c r="N2471" s="464">
        <f t="shared" si="132"/>
        <v>126254</v>
      </c>
    </row>
    <row r="2472" spans="7:14" ht="11.25" customHeight="1" x14ac:dyDescent="0.3">
      <c r="G2472" s="459"/>
      <c r="H2472" s="459">
        <v>2465</v>
      </c>
      <c r="I2472" s="444">
        <f t="shared" ca="1" si="130"/>
        <v>-6476878901.9114733</v>
      </c>
      <c r="J2472" s="444">
        <f t="array" ref="J2472">IFERROR(INDEX('Retirement Calculator'!K:K,MATCH('Lorri 401b'!N2472,'Retirement Calculator'!A:A,0),0),0)</f>
        <v>0</v>
      </c>
      <c r="K2472" s="444">
        <f t="shared" ca="1" si="128"/>
        <v>-26986995.424631137</v>
      </c>
      <c r="L2472" s="444">
        <f t="shared" ca="1" si="129"/>
        <v>-6503865897.3361044</v>
      </c>
      <c r="M2472" s="460">
        <f t="shared" si="131"/>
        <v>0.05</v>
      </c>
      <c r="N2472" s="464">
        <f t="shared" si="132"/>
        <v>126284</v>
      </c>
    </row>
    <row r="2473" spans="7:14" ht="11.25" customHeight="1" x14ac:dyDescent="0.3">
      <c r="G2473" s="459"/>
      <c r="H2473" s="459">
        <v>2466</v>
      </c>
      <c r="I2473" s="444">
        <f t="shared" ca="1" si="130"/>
        <v>-6503865897.3361044</v>
      </c>
      <c r="J2473" s="444">
        <f t="array" ref="J2473">IFERROR(INDEX('Retirement Calculator'!K:K,MATCH('Lorri 401b'!N2473,'Retirement Calculator'!A:A,0),0),0)</f>
        <v>0</v>
      </c>
      <c r="K2473" s="444">
        <f t="shared" ca="1" si="128"/>
        <v>-27099441.238900434</v>
      </c>
      <c r="L2473" s="444">
        <f t="shared" ca="1" si="129"/>
        <v>-6530965338.5750046</v>
      </c>
      <c r="M2473" s="460">
        <f t="shared" si="131"/>
        <v>0.05</v>
      </c>
      <c r="N2473" s="464">
        <f t="shared" si="132"/>
        <v>126315</v>
      </c>
    </row>
    <row r="2474" spans="7:14" ht="11.25" customHeight="1" x14ac:dyDescent="0.3">
      <c r="G2474" s="459"/>
      <c r="H2474" s="459">
        <v>2467</v>
      </c>
      <c r="I2474" s="444">
        <f t="shared" ca="1" si="130"/>
        <v>-6530965338.5750046</v>
      </c>
      <c r="J2474" s="444">
        <f t="array" ref="J2474">IFERROR(INDEX('Retirement Calculator'!K:K,MATCH('Lorri 401b'!N2474,'Retirement Calculator'!A:A,0),0),0)</f>
        <v>0</v>
      </c>
      <c r="K2474" s="444">
        <f t="shared" ca="1" si="128"/>
        <v>-27212355.577395853</v>
      </c>
      <c r="L2474" s="444">
        <f t="shared" ca="1" si="129"/>
        <v>-6558177694.1524</v>
      </c>
      <c r="M2474" s="460">
        <f t="shared" si="131"/>
        <v>0.05</v>
      </c>
      <c r="N2474" s="464">
        <f t="shared" si="132"/>
        <v>126345</v>
      </c>
    </row>
    <row r="2475" spans="7:14" ht="11.25" customHeight="1" x14ac:dyDescent="0.3">
      <c r="G2475" s="459"/>
      <c r="H2475" s="459">
        <v>2468</v>
      </c>
      <c r="I2475" s="444">
        <f t="shared" ca="1" si="130"/>
        <v>-6558177694.1524</v>
      </c>
      <c r="J2475" s="444">
        <f t="array" ref="J2475">IFERROR(INDEX('Retirement Calculator'!K:K,MATCH('Lorri 401b'!N2475,'Retirement Calculator'!A:A,0),0),0)</f>
        <v>0</v>
      </c>
      <c r="K2475" s="444">
        <f t="shared" ca="1" si="128"/>
        <v>-27325740.392301667</v>
      </c>
      <c r="L2475" s="444">
        <f t="shared" ca="1" si="129"/>
        <v>-6585503434.5447016</v>
      </c>
      <c r="M2475" s="460">
        <f t="shared" si="131"/>
        <v>0.05</v>
      </c>
      <c r="N2475" s="464">
        <f t="shared" si="132"/>
        <v>126376</v>
      </c>
    </row>
    <row r="2476" spans="7:14" ht="11.25" customHeight="1" x14ac:dyDescent="0.3">
      <c r="G2476" s="459"/>
      <c r="H2476" s="459">
        <v>2469</v>
      </c>
      <c r="I2476" s="444">
        <f t="shared" ca="1" si="130"/>
        <v>-6585503434.5447016</v>
      </c>
      <c r="J2476" s="444">
        <f t="array" ref="J2476">IFERROR(INDEX('Retirement Calculator'!K:K,MATCH('Lorri 401b'!N2476,'Retirement Calculator'!A:A,0),0),0)</f>
        <v>0</v>
      </c>
      <c r="K2476" s="444">
        <f t="shared" ca="1" si="128"/>
        <v>-27439597.643936258</v>
      </c>
      <c r="L2476" s="444">
        <f t="shared" ca="1" si="129"/>
        <v>-6612943032.1886377</v>
      </c>
      <c r="M2476" s="460">
        <f t="shared" si="131"/>
        <v>0.05</v>
      </c>
      <c r="N2476" s="464">
        <f t="shared" si="132"/>
        <v>126407</v>
      </c>
    </row>
    <row r="2477" spans="7:14" ht="11.25" customHeight="1" x14ac:dyDescent="0.3">
      <c r="G2477" s="459"/>
      <c r="H2477" s="459">
        <v>2470</v>
      </c>
      <c r="I2477" s="444">
        <f t="shared" ca="1" si="130"/>
        <v>-6612943032.1886377</v>
      </c>
      <c r="J2477" s="444">
        <f t="array" ref="J2477">IFERROR(INDEX('Retirement Calculator'!K:K,MATCH('Lorri 401b'!N2477,'Retirement Calculator'!A:A,0),0),0)</f>
        <v>0</v>
      </c>
      <c r="K2477" s="444">
        <f t="shared" ca="1" si="128"/>
        <v>-27553929.300785989</v>
      </c>
      <c r="L2477" s="444">
        <f t="shared" ca="1" si="129"/>
        <v>-6640496961.4894238</v>
      </c>
      <c r="M2477" s="460">
        <f t="shared" si="131"/>
        <v>0.05</v>
      </c>
      <c r="N2477" s="464">
        <f t="shared" si="132"/>
        <v>126435</v>
      </c>
    </row>
    <row r="2478" spans="7:14" ht="11.25" customHeight="1" x14ac:dyDescent="0.3">
      <c r="G2478" s="459"/>
      <c r="H2478" s="459">
        <v>2471</v>
      </c>
      <c r="I2478" s="444">
        <f t="shared" ca="1" si="130"/>
        <v>-6640496961.4894238</v>
      </c>
      <c r="J2478" s="444">
        <f t="array" ref="J2478">IFERROR(INDEX('Retirement Calculator'!K:K,MATCH('Lorri 401b'!N2478,'Retirement Calculator'!A:A,0),0),0)</f>
        <v>0</v>
      </c>
      <c r="K2478" s="444">
        <f t="shared" ca="1" si="128"/>
        <v>-27668737.339539263</v>
      </c>
      <c r="L2478" s="444">
        <f t="shared" ca="1" si="129"/>
        <v>-6668165698.8289633</v>
      </c>
      <c r="M2478" s="460">
        <f t="shared" si="131"/>
        <v>0.05</v>
      </c>
      <c r="N2478" s="464">
        <f t="shared" si="132"/>
        <v>126466</v>
      </c>
    </row>
    <row r="2479" spans="7:14" ht="11.25" customHeight="1" x14ac:dyDescent="0.3">
      <c r="G2479" s="459"/>
      <c r="H2479" s="459">
        <v>2472</v>
      </c>
      <c r="I2479" s="444">
        <f t="shared" ca="1" si="130"/>
        <v>-6668165698.8289633</v>
      </c>
      <c r="J2479" s="444">
        <f t="array" ref="J2479">IFERROR(INDEX('Retirement Calculator'!K:K,MATCH('Lorri 401b'!N2479,'Retirement Calculator'!A:A,0),0),0)</f>
        <v>0</v>
      </c>
      <c r="K2479" s="444">
        <f t="shared" ca="1" si="128"/>
        <v>-27784023.745120678</v>
      </c>
      <c r="L2479" s="444">
        <f t="shared" ca="1" si="129"/>
        <v>-6695949722.5740843</v>
      </c>
      <c r="M2479" s="460">
        <f t="shared" si="131"/>
        <v>0.05</v>
      </c>
      <c r="N2479" s="464">
        <f t="shared" si="132"/>
        <v>126496</v>
      </c>
    </row>
    <row r="2480" spans="7:14" ht="11.25" customHeight="1" x14ac:dyDescent="0.3">
      <c r="G2480" s="459"/>
      <c r="H2480" s="459">
        <v>2473</v>
      </c>
      <c r="I2480" s="444">
        <f t="shared" ca="1" si="130"/>
        <v>-6695949722.5740843</v>
      </c>
      <c r="J2480" s="444">
        <f t="array" ref="J2480">IFERROR(INDEX('Retirement Calculator'!K:K,MATCH('Lorri 401b'!N2480,'Retirement Calculator'!A:A,0),0),0)</f>
        <v>0</v>
      </c>
      <c r="K2480" s="444">
        <f t="shared" ca="1" si="128"/>
        <v>-27899790.510725345</v>
      </c>
      <c r="L2480" s="444">
        <f t="shared" ca="1" si="129"/>
        <v>-6723849513.0848093</v>
      </c>
      <c r="M2480" s="460">
        <f t="shared" si="131"/>
        <v>0.05</v>
      </c>
      <c r="N2480" s="464">
        <f t="shared" si="132"/>
        <v>126527</v>
      </c>
    </row>
    <row r="2481" spans="7:14" ht="11.25" customHeight="1" x14ac:dyDescent="0.3">
      <c r="G2481" s="459"/>
      <c r="H2481" s="459">
        <v>2474</v>
      </c>
      <c r="I2481" s="444">
        <f t="shared" ca="1" si="130"/>
        <v>-6723849513.0848093</v>
      </c>
      <c r="J2481" s="444">
        <f t="array" ref="J2481">IFERROR(INDEX('Retirement Calculator'!K:K,MATCH('Lorri 401b'!N2481,'Retirement Calculator'!A:A,0),0),0)</f>
        <v>0</v>
      </c>
      <c r="K2481" s="444">
        <f t="shared" ca="1" si="128"/>
        <v>-28016039.637853373</v>
      </c>
      <c r="L2481" s="444">
        <f t="shared" ca="1" si="129"/>
        <v>-6751865552.7226629</v>
      </c>
      <c r="M2481" s="460">
        <f t="shared" si="131"/>
        <v>0.05</v>
      </c>
      <c r="N2481" s="464">
        <f t="shared" si="132"/>
        <v>126557</v>
      </c>
    </row>
    <row r="2482" spans="7:14" ht="11.25" customHeight="1" x14ac:dyDescent="0.3">
      <c r="G2482" s="459"/>
      <c r="H2482" s="459">
        <v>2475</v>
      </c>
      <c r="I2482" s="444">
        <f t="shared" ca="1" si="130"/>
        <v>-6751865552.7226629</v>
      </c>
      <c r="J2482" s="444">
        <f t="array" ref="J2482">IFERROR(INDEX('Retirement Calculator'!K:K,MATCH('Lorri 401b'!N2482,'Retirement Calculator'!A:A,0),0),0)</f>
        <v>0</v>
      </c>
      <c r="K2482" s="444">
        <f t="shared" ca="1" si="128"/>
        <v>-28132773.136344429</v>
      </c>
      <c r="L2482" s="444">
        <f t="shared" ca="1" si="129"/>
        <v>-6779998325.8590069</v>
      </c>
      <c r="M2482" s="460">
        <f t="shared" si="131"/>
        <v>0.05</v>
      </c>
      <c r="N2482" s="464">
        <f t="shared" si="132"/>
        <v>126588</v>
      </c>
    </row>
    <row r="2483" spans="7:14" ht="11.25" customHeight="1" x14ac:dyDescent="0.3">
      <c r="G2483" s="459"/>
      <c r="H2483" s="459">
        <v>2476</v>
      </c>
      <c r="I2483" s="444">
        <f t="shared" ca="1" si="130"/>
        <v>-6779998325.8590069</v>
      </c>
      <c r="J2483" s="444">
        <f t="array" ref="J2483">IFERROR(INDEX('Retirement Calculator'!K:K,MATCH('Lorri 401b'!N2483,'Retirement Calculator'!A:A,0),0),0)</f>
        <v>0</v>
      </c>
      <c r="K2483" s="444">
        <f t="shared" ca="1" si="128"/>
        <v>-28249993.024412528</v>
      </c>
      <c r="L2483" s="444">
        <f t="shared" ca="1" si="129"/>
        <v>-6808248318.883419</v>
      </c>
      <c r="M2483" s="460">
        <f t="shared" si="131"/>
        <v>0.05</v>
      </c>
      <c r="N2483" s="464">
        <f t="shared" si="132"/>
        <v>126619</v>
      </c>
    </row>
    <row r="2484" spans="7:14" ht="11.25" customHeight="1" x14ac:dyDescent="0.3">
      <c r="G2484" s="459"/>
      <c r="H2484" s="459">
        <v>2477</v>
      </c>
      <c r="I2484" s="444">
        <f t="shared" ca="1" si="130"/>
        <v>-6808248318.883419</v>
      </c>
      <c r="J2484" s="444">
        <f t="array" ref="J2484">IFERROR(INDEX('Retirement Calculator'!K:K,MATCH('Lorri 401b'!N2484,'Retirement Calculator'!A:A,0),0),0)</f>
        <v>0</v>
      </c>
      <c r="K2484" s="444">
        <f t="shared" ca="1" si="128"/>
        <v>-28367701.328680914</v>
      </c>
      <c r="L2484" s="444">
        <f t="shared" ca="1" si="129"/>
        <v>-6836616020.2121</v>
      </c>
      <c r="M2484" s="460">
        <f t="shared" si="131"/>
        <v>0.05</v>
      </c>
      <c r="N2484" s="464">
        <f t="shared" si="132"/>
        <v>126649</v>
      </c>
    </row>
    <row r="2485" spans="7:14" ht="11.25" customHeight="1" x14ac:dyDescent="0.3">
      <c r="G2485" s="459"/>
      <c r="H2485" s="459">
        <v>2478</v>
      </c>
      <c r="I2485" s="444">
        <f t="shared" ca="1" si="130"/>
        <v>-6836616020.2121</v>
      </c>
      <c r="J2485" s="444">
        <f t="array" ref="J2485">IFERROR(INDEX('Retirement Calculator'!K:K,MATCH('Lorri 401b'!N2485,'Retirement Calculator'!A:A,0),0),0)</f>
        <v>0</v>
      </c>
      <c r="K2485" s="444">
        <f t="shared" ca="1" si="128"/>
        <v>-28485900.084217079</v>
      </c>
      <c r="L2485" s="444">
        <f t="shared" ca="1" si="129"/>
        <v>-6865101920.2963171</v>
      </c>
      <c r="M2485" s="460">
        <f t="shared" si="131"/>
        <v>0.05</v>
      </c>
      <c r="N2485" s="464">
        <f t="shared" si="132"/>
        <v>126680</v>
      </c>
    </row>
    <row r="2486" spans="7:14" ht="11.25" customHeight="1" x14ac:dyDescent="0.3">
      <c r="G2486" s="459"/>
      <c r="H2486" s="459">
        <v>2479</v>
      </c>
      <c r="I2486" s="444">
        <f t="shared" ca="1" si="130"/>
        <v>-6865101920.2963171</v>
      </c>
      <c r="J2486" s="444">
        <f t="array" ref="J2486">IFERROR(INDEX('Retirement Calculator'!K:K,MATCH('Lorri 401b'!N2486,'Retirement Calculator'!A:A,0),0),0)</f>
        <v>0</v>
      </c>
      <c r="K2486" s="444">
        <f t="shared" ca="1" si="128"/>
        <v>-28604591.334567986</v>
      </c>
      <c r="L2486" s="444">
        <f t="shared" ca="1" si="129"/>
        <v>-6893706511.6308851</v>
      </c>
      <c r="M2486" s="460">
        <f t="shared" si="131"/>
        <v>0.05</v>
      </c>
      <c r="N2486" s="464">
        <f t="shared" si="132"/>
        <v>126710</v>
      </c>
    </row>
    <row r="2487" spans="7:14" ht="11.25" customHeight="1" x14ac:dyDescent="0.3">
      <c r="G2487" s="459"/>
      <c r="H2487" s="459">
        <v>2480</v>
      </c>
      <c r="I2487" s="444">
        <f t="shared" ca="1" si="130"/>
        <v>-6893706511.6308851</v>
      </c>
      <c r="J2487" s="444">
        <f t="array" ref="J2487">IFERROR(INDEX('Retirement Calculator'!K:K,MATCH('Lorri 401b'!N2487,'Retirement Calculator'!A:A,0),0),0)</f>
        <v>0</v>
      </c>
      <c r="K2487" s="444">
        <f t="shared" ca="1" si="128"/>
        <v>-28723777.131795354</v>
      </c>
      <c r="L2487" s="444">
        <f t="shared" ca="1" si="129"/>
        <v>-6922430288.7626801</v>
      </c>
      <c r="M2487" s="460">
        <f t="shared" si="131"/>
        <v>0.05</v>
      </c>
      <c r="N2487" s="464">
        <f t="shared" si="132"/>
        <v>126741</v>
      </c>
    </row>
    <row r="2488" spans="7:14" ht="11.25" customHeight="1" x14ac:dyDescent="0.3">
      <c r="G2488" s="459"/>
      <c r="H2488" s="459">
        <v>2481</v>
      </c>
      <c r="I2488" s="444">
        <f t="shared" ca="1" si="130"/>
        <v>-6922430288.7626801</v>
      </c>
      <c r="J2488" s="444">
        <f t="array" ref="J2488">IFERROR(INDEX('Retirement Calculator'!K:K,MATCH('Lorri 401b'!N2488,'Retirement Calculator'!A:A,0),0),0)</f>
        <v>0</v>
      </c>
      <c r="K2488" s="444">
        <f t="shared" ca="1" si="128"/>
        <v>-28843459.536511168</v>
      </c>
      <c r="L2488" s="444">
        <f t="shared" ca="1" si="129"/>
        <v>-6951273748.2991915</v>
      </c>
      <c r="M2488" s="460">
        <f t="shared" si="131"/>
        <v>0.05</v>
      </c>
      <c r="N2488" s="464">
        <f t="shared" si="132"/>
        <v>126772</v>
      </c>
    </row>
    <row r="2489" spans="7:14" ht="11.25" customHeight="1" x14ac:dyDescent="0.3">
      <c r="G2489" s="459"/>
      <c r="H2489" s="459">
        <v>2482</v>
      </c>
      <c r="I2489" s="444">
        <f t="shared" ca="1" si="130"/>
        <v>-6951273748.2991915</v>
      </c>
      <c r="J2489" s="444">
        <f t="array" ref="J2489">IFERROR(INDEX('Retirement Calculator'!K:K,MATCH('Lorri 401b'!N2489,'Retirement Calculator'!A:A,0),0),0)</f>
        <v>0</v>
      </c>
      <c r="K2489" s="444">
        <f t="shared" ca="1" si="128"/>
        <v>-28963640.617913295</v>
      </c>
      <c r="L2489" s="444">
        <f t="shared" ca="1" si="129"/>
        <v>-6980237388.9171047</v>
      </c>
      <c r="M2489" s="460">
        <f t="shared" si="131"/>
        <v>0.05</v>
      </c>
      <c r="N2489" s="464">
        <f t="shared" si="132"/>
        <v>126800</v>
      </c>
    </row>
    <row r="2490" spans="7:14" ht="11.25" customHeight="1" x14ac:dyDescent="0.3">
      <c r="G2490" s="459"/>
      <c r="H2490" s="459">
        <v>2483</v>
      </c>
      <c r="I2490" s="444">
        <f t="shared" ca="1" si="130"/>
        <v>-6980237388.9171047</v>
      </c>
      <c r="J2490" s="444">
        <f t="array" ref="J2490">IFERROR(INDEX('Retirement Calculator'!K:K,MATCH('Lorri 401b'!N2490,'Retirement Calculator'!A:A,0),0),0)</f>
        <v>0</v>
      </c>
      <c r="K2490" s="444">
        <f t="shared" ca="1" si="128"/>
        <v>-29084322.453821268</v>
      </c>
      <c r="L2490" s="444">
        <f t="shared" ca="1" si="129"/>
        <v>-7009321711.3709259</v>
      </c>
      <c r="M2490" s="460">
        <f t="shared" si="131"/>
        <v>0.05</v>
      </c>
      <c r="N2490" s="464">
        <f t="shared" si="132"/>
        <v>126831</v>
      </c>
    </row>
    <row r="2491" spans="7:14" ht="11.25" customHeight="1" x14ac:dyDescent="0.3">
      <c r="G2491" s="459"/>
      <c r="H2491" s="459">
        <v>2484</v>
      </c>
      <c r="I2491" s="444">
        <f t="shared" ca="1" si="130"/>
        <v>-7009321711.3709259</v>
      </c>
      <c r="J2491" s="444">
        <f t="array" ref="J2491">IFERROR(INDEX('Retirement Calculator'!K:K,MATCH('Lorri 401b'!N2491,'Retirement Calculator'!A:A,0),0),0)</f>
        <v>0</v>
      </c>
      <c r="K2491" s="444">
        <f t="shared" ca="1" si="128"/>
        <v>-29205507.130712193</v>
      </c>
      <c r="L2491" s="444">
        <f t="shared" ca="1" si="129"/>
        <v>-7038527218.5016384</v>
      </c>
      <c r="M2491" s="460">
        <f t="shared" si="131"/>
        <v>0.05</v>
      </c>
      <c r="N2491" s="464">
        <f t="shared" si="132"/>
        <v>126861</v>
      </c>
    </row>
    <row r="2492" spans="7:14" ht="11.25" customHeight="1" x14ac:dyDescent="0.3">
      <c r="G2492" s="459"/>
      <c r="H2492" s="459">
        <v>2485</v>
      </c>
      <c r="I2492" s="444">
        <f t="shared" ca="1" si="130"/>
        <v>-7038527218.5016384</v>
      </c>
      <c r="J2492" s="444">
        <f t="array" ref="J2492">IFERROR(INDEX('Retirement Calculator'!K:K,MATCH('Lorri 401b'!N2492,'Retirement Calculator'!A:A,0),0),0)</f>
        <v>0</v>
      </c>
      <c r="K2492" s="444">
        <f t="shared" ca="1" si="128"/>
        <v>-29327196.743756831</v>
      </c>
      <c r="L2492" s="444">
        <f t="shared" ca="1" si="129"/>
        <v>-7067854415.2453957</v>
      </c>
      <c r="M2492" s="460">
        <f t="shared" si="131"/>
        <v>0.05</v>
      </c>
      <c r="N2492" s="464">
        <f t="shared" si="132"/>
        <v>126892</v>
      </c>
    </row>
    <row r="2493" spans="7:14" ht="11.25" customHeight="1" x14ac:dyDescent="0.3">
      <c r="G2493" s="459"/>
      <c r="H2493" s="459">
        <v>2486</v>
      </c>
      <c r="I2493" s="444">
        <f t="shared" ca="1" si="130"/>
        <v>-7067854415.2453957</v>
      </c>
      <c r="J2493" s="444">
        <f t="array" ref="J2493">IFERROR(INDEX('Retirement Calculator'!K:K,MATCH('Lorri 401b'!N2493,'Retirement Calculator'!A:A,0),0),0)</f>
        <v>0</v>
      </c>
      <c r="K2493" s="444">
        <f t="shared" ca="1" si="128"/>
        <v>-29449393.396855816</v>
      </c>
      <c r="L2493" s="444">
        <f t="shared" ca="1" si="129"/>
        <v>-7097303808.642251</v>
      </c>
      <c r="M2493" s="460">
        <f t="shared" si="131"/>
        <v>0.05</v>
      </c>
      <c r="N2493" s="464">
        <f t="shared" si="132"/>
        <v>126922</v>
      </c>
    </row>
    <row r="2494" spans="7:14" ht="11.25" customHeight="1" x14ac:dyDescent="0.3">
      <c r="G2494" s="459"/>
      <c r="H2494" s="459">
        <v>2487</v>
      </c>
      <c r="I2494" s="444">
        <f t="shared" ca="1" si="130"/>
        <v>-7097303808.642251</v>
      </c>
      <c r="J2494" s="444">
        <f t="array" ref="J2494">IFERROR(INDEX('Retirement Calculator'!K:K,MATCH('Lorri 401b'!N2494,'Retirement Calculator'!A:A,0),0),0)</f>
        <v>0</v>
      </c>
      <c r="K2494" s="444">
        <f t="shared" ca="1" si="128"/>
        <v>-29572099.20267605</v>
      </c>
      <c r="L2494" s="444">
        <f t="shared" ca="1" si="129"/>
        <v>-7126875907.8449268</v>
      </c>
      <c r="M2494" s="460">
        <f t="shared" si="131"/>
        <v>0.05</v>
      </c>
      <c r="N2494" s="464">
        <f t="shared" si="132"/>
        <v>126953</v>
      </c>
    </row>
    <row r="2495" spans="7:14" ht="11.25" customHeight="1" x14ac:dyDescent="0.3">
      <c r="G2495" s="459"/>
      <c r="H2495" s="459">
        <v>2488</v>
      </c>
      <c r="I2495" s="444">
        <f t="shared" ca="1" si="130"/>
        <v>-7126875907.8449268</v>
      </c>
      <c r="J2495" s="444">
        <f t="array" ref="J2495">IFERROR(INDEX('Retirement Calculator'!K:K,MATCH('Lorri 401b'!N2495,'Retirement Calculator'!A:A,0),0),0)</f>
        <v>0</v>
      </c>
      <c r="K2495" s="444">
        <f t="shared" ca="1" si="128"/>
        <v>-29695316.282687191</v>
      </c>
      <c r="L2495" s="444">
        <f t="shared" ca="1" si="129"/>
        <v>-7156571224.127614</v>
      </c>
      <c r="M2495" s="460">
        <f t="shared" si="131"/>
        <v>0.05</v>
      </c>
      <c r="N2495" s="464">
        <f t="shared" si="132"/>
        <v>126984</v>
      </c>
    </row>
    <row r="2496" spans="7:14" ht="11.25" customHeight="1" x14ac:dyDescent="0.3">
      <c r="G2496" s="459"/>
      <c r="H2496" s="459">
        <v>2489</v>
      </c>
      <c r="I2496" s="444">
        <f t="shared" ca="1" si="130"/>
        <v>-7156571224.127614</v>
      </c>
      <c r="J2496" s="444">
        <f t="array" ref="J2496">IFERROR(INDEX('Retirement Calculator'!K:K,MATCH('Lorri 401b'!N2496,'Retirement Calculator'!A:A,0),0),0)</f>
        <v>0</v>
      </c>
      <c r="K2496" s="444">
        <f t="shared" ca="1" si="128"/>
        <v>-29819046.767198391</v>
      </c>
      <c r="L2496" s="444">
        <f t="shared" ca="1" si="129"/>
        <v>-7186390270.8948126</v>
      </c>
      <c r="M2496" s="460">
        <f t="shared" si="131"/>
        <v>0.05</v>
      </c>
      <c r="N2496" s="464">
        <f t="shared" si="132"/>
        <v>127014</v>
      </c>
    </row>
    <row r="2497" spans="7:14" ht="11.25" customHeight="1" x14ac:dyDescent="0.3">
      <c r="G2497" s="459"/>
      <c r="H2497" s="459">
        <v>2490</v>
      </c>
      <c r="I2497" s="444">
        <f t="shared" ca="1" si="130"/>
        <v>-7186390270.8948126</v>
      </c>
      <c r="J2497" s="444">
        <f t="array" ref="J2497">IFERROR(INDEX('Retirement Calculator'!K:K,MATCH('Lorri 401b'!N2497,'Retirement Calculator'!A:A,0),0),0)</f>
        <v>0</v>
      </c>
      <c r="K2497" s="444">
        <f t="shared" ca="1" si="128"/>
        <v>-29943292.795395058</v>
      </c>
      <c r="L2497" s="444">
        <f t="shared" ca="1" si="129"/>
        <v>-7216333563.6902075</v>
      </c>
      <c r="M2497" s="460">
        <f t="shared" si="131"/>
        <v>0.05</v>
      </c>
      <c r="N2497" s="464">
        <f t="shared" si="132"/>
        <v>127045</v>
      </c>
    </row>
    <row r="2498" spans="7:14" ht="11.25" customHeight="1" x14ac:dyDescent="0.3">
      <c r="G2498" s="459"/>
      <c r="H2498" s="459">
        <v>2491</v>
      </c>
      <c r="I2498" s="444">
        <f t="shared" ca="1" si="130"/>
        <v>-7216333563.6902075</v>
      </c>
      <c r="J2498" s="444">
        <f t="array" ref="J2498">IFERROR(INDEX('Retirement Calculator'!K:K,MATCH('Lorri 401b'!N2498,'Retirement Calculator'!A:A,0),0),0)</f>
        <v>0</v>
      </c>
      <c r="K2498" s="444">
        <f t="shared" ca="1" si="128"/>
        <v>-30068056.51537586</v>
      </c>
      <c r="L2498" s="444">
        <f t="shared" ca="1" si="129"/>
        <v>-7246401620.2055836</v>
      </c>
      <c r="M2498" s="460">
        <f t="shared" si="131"/>
        <v>0.05</v>
      </c>
      <c r="N2498" s="464">
        <f t="shared" si="132"/>
        <v>127075</v>
      </c>
    </row>
    <row r="2499" spans="7:14" ht="11.25" customHeight="1" x14ac:dyDescent="0.3">
      <c r="G2499" s="459"/>
      <c r="H2499" s="459">
        <v>2492</v>
      </c>
      <c r="I2499" s="444">
        <f t="shared" ca="1" si="130"/>
        <v>-7246401620.2055836</v>
      </c>
      <c r="J2499" s="444">
        <f t="array" ref="J2499">IFERROR(INDEX('Retirement Calculator'!K:K,MATCH('Lorri 401b'!N2499,'Retirement Calculator'!A:A,0),0),0)</f>
        <v>0</v>
      </c>
      <c r="K2499" s="444">
        <f t="shared" ca="1" si="128"/>
        <v>-30193340.084189925</v>
      </c>
      <c r="L2499" s="444">
        <f t="shared" ca="1" si="129"/>
        <v>-7276594960.2897739</v>
      </c>
      <c r="M2499" s="460">
        <f t="shared" si="131"/>
        <v>0.05</v>
      </c>
      <c r="N2499" s="464">
        <f t="shared" si="132"/>
        <v>127106</v>
      </c>
    </row>
    <row r="2500" spans="7:14" ht="11.25" customHeight="1" x14ac:dyDescent="0.3">
      <c r="G2500" s="459"/>
      <c r="H2500" s="459">
        <v>2493</v>
      </c>
      <c r="I2500" s="444">
        <f t="shared" ca="1" si="130"/>
        <v>-7276594960.2897739</v>
      </c>
      <c r="J2500" s="444">
        <f t="array" ref="J2500">IFERROR(INDEX('Retirement Calculator'!K:K,MATCH('Lorri 401b'!N2500,'Retirement Calculator'!A:A,0),0),0)</f>
        <v>0</v>
      </c>
      <c r="K2500" s="444">
        <f t="shared" ca="1" si="128"/>
        <v>-30319145.667874061</v>
      </c>
      <c r="L2500" s="444">
        <f t="shared" ca="1" si="129"/>
        <v>-7306914105.9576483</v>
      </c>
      <c r="M2500" s="460">
        <f t="shared" si="131"/>
        <v>0.05</v>
      </c>
      <c r="N2500" s="464">
        <f t="shared" si="132"/>
        <v>127137</v>
      </c>
    </row>
    <row r="2501" spans="7:14" ht="11.25" customHeight="1" x14ac:dyDescent="0.3">
      <c r="G2501" s="459"/>
      <c r="H2501" s="459">
        <v>2494</v>
      </c>
      <c r="I2501" s="444">
        <f t="shared" ca="1" si="130"/>
        <v>-7306914105.9576483</v>
      </c>
      <c r="J2501" s="444">
        <f t="array" ref="J2501">IFERROR(INDEX('Retirement Calculator'!K:K,MATCH('Lorri 401b'!N2501,'Retirement Calculator'!A:A,0),0),0)</f>
        <v>0</v>
      </c>
      <c r="K2501" s="444">
        <f t="shared" ca="1" si="128"/>
        <v>-30445475.441490199</v>
      </c>
      <c r="L2501" s="444">
        <f t="shared" ca="1" si="129"/>
        <v>-7337359581.3991385</v>
      </c>
      <c r="M2501" s="460">
        <f t="shared" si="131"/>
        <v>0.05</v>
      </c>
      <c r="N2501" s="464">
        <f t="shared" si="132"/>
        <v>127166</v>
      </c>
    </row>
    <row r="2502" spans="7:14" ht="11.25" customHeight="1" x14ac:dyDescent="0.3">
      <c r="G2502" s="459"/>
      <c r="H2502" s="459">
        <v>2495</v>
      </c>
      <c r="I2502" s="444">
        <f t="shared" ca="1" si="130"/>
        <v>-7337359581.3991385</v>
      </c>
      <c r="J2502" s="444">
        <f t="array" ref="J2502">IFERROR(INDEX('Retirement Calculator'!K:K,MATCH('Lorri 401b'!N2502,'Retirement Calculator'!A:A,0),0),0)</f>
        <v>0</v>
      </c>
      <c r="K2502" s="444">
        <f t="shared" ca="1" si="128"/>
        <v>-30572331.589163076</v>
      </c>
      <c r="L2502" s="444">
        <f t="shared" ca="1" si="129"/>
        <v>-7367931912.9883013</v>
      </c>
      <c r="M2502" s="460">
        <f t="shared" si="131"/>
        <v>0.05</v>
      </c>
      <c r="N2502" s="464">
        <f t="shared" si="132"/>
        <v>127197</v>
      </c>
    </row>
    <row r="2503" spans="7:14" ht="11.25" customHeight="1" x14ac:dyDescent="0.3">
      <c r="G2503" s="459"/>
      <c r="H2503" s="459">
        <v>2496</v>
      </c>
      <c r="I2503" s="444">
        <f t="shared" ca="1" si="130"/>
        <v>-7367931912.9883013</v>
      </c>
      <c r="J2503" s="444">
        <f t="array" ref="J2503">IFERROR(INDEX('Retirement Calculator'!K:K,MATCH('Lorri 401b'!N2503,'Retirement Calculator'!A:A,0),0),0)</f>
        <v>0</v>
      </c>
      <c r="K2503" s="444">
        <f t="shared" ca="1" si="128"/>
        <v>-30699716.304117922</v>
      </c>
      <c r="L2503" s="444">
        <f t="shared" ca="1" si="129"/>
        <v>-7398631629.2924194</v>
      </c>
      <c r="M2503" s="460">
        <f t="shared" si="131"/>
        <v>0.05</v>
      </c>
      <c r="N2503" s="464">
        <f t="shared" si="132"/>
        <v>127227</v>
      </c>
    </row>
    <row r="2504" spans="7:14" ht="11.25" customHeight="1" x14ac:dyDescent="0.3">
      <c r="G2504" s="459"/>
      <c r="H2504" s="459">
        <v>2497</v>
      </c>
      <c r="I2504" s="444">
        <f t="shared" ca="1" si="130"/>
        <v>-7398631629.2924194</v>
      </c>
      <c r="J2504" s="444">
        <f t="array" ref="J2504">IFERROR(INDEX('Retirement Calculator'!K:K,MATCH('Lorri 401b'!N2504,'Retirement Calculator'!A:A,0),0),0)</f>
        <v>0</v>
      </c>
      <c r="K2504" s="444">
        <f t="shared" ca="1" si="128"/>
        <v>-30827631.788718414</v>
      </c>
      <c r="L2504" s="444">
        <f t="shared" ca="1" si="129"/>
        <v>-7429459261.0811377</v>
      </c>
      <c r="M2504" s="460">
        <f t="shared" si="131"/>
        <v>0.05</v>
      </c>
      <c r="N2504" s="464">
        <f t="shared" si="132"/>
        <v>127258</v>
      </c>
    </row>
    <row r="2505" spans="7:14" ht="11.25" customHeight="1" x14ac:dyDescent="0.3">
      <c r="G2505" s="459"/>
      <c r="H2505" s="459">
        <v>2498</v>
      </c>
      <c r="I2505" s="444">
        <f t="shared" ca="1" si="130"/>
        <v>-7429459261.0811377</v>
      </c>
      <c r="J2505" s="444">
        <f t="array" ref="J2505">IFERROR(INDEX('Retirement Calculator'!K:K,MATCH('Lorri 401b'!N2505,'Retirement Calculator'!A:A,0),0),0)</f>
        <v>0</v>
      </c>
      <c r="K2505" s="444">
        <f t="shared" ca="1" si="128"/>
        <v>-30956080.25450474</v>
      </c>
      <c r="L2505" s="444">
        <f t="shared" ca="1" si="129"/>
        <v>-7460415341.3356428</v>
      </c>
      <c r="M2505" s="460">
        <f t="shared" si="131"/>
        <v>0.05</v>
      </c>
      <c r="N2505" s="464">
        <f t="shared" si="132"/>
        <v>127288</v>
      </c>
    </row>
    <row r="2506" spans="7:14" ht="11.25" customHeight="1" x14ac:dyDescent="0.3">
      <c r="G2506" s="459"/>
      <c r="H2506" s="459">
        <v>2499</v>
      </c>
      <c r="I2506" s="444">
        <f t="shared" ca="1" si="130"/>
        <v>-7460415341.3356428</v>
      </c>
      <c r="J2506" s="444">
        <f t="array" ref="J2506">IFERROR(INDEX('Retirement Calculator'!K:K,MATCH('Lorri 401b'!N2506,'Retirement Calculator'!A:A,0),0),0)</f>
        <v>0</v>
      </c>
      <c r="K2506" s="444">
        <f t="shared" ca="1" si="128"/>
        <v>-31085063.922231849</v>
      </c>
      <c r="L2506" s="444">
        <f t="shared" ca="1" si="129"/>
        <v>-7491500405.2578745</v>
      </c>
      <c r="M2506" s="460">
        <f t="shared" si="131"/>
        <v>0.05</v>
      </c>
      <c r="N2506" s="464">
        <f t="shared" si="132"/>
        <v>127319</v>
      </c>
    </row>
    <row r="2507" spans="7:14" ht="11.25" customHeight="1" x14ac:dyDescent="0.3">
      <c r="G2507" s="459"/>
      <c r="H2507" s="459">
        <v>2500</v>
      </c>
      <c r="I2507" s="444">
        <f t="shared" ca="1" si="130"/>
        <v>-7491500405.2578745</v>
      </c>
      <c r="J2507" s="444">
        <f t="array" ref="J2507">IFERROR(INDEX('Retirement Calculator'!K:K,MATCH('Lorri 401b'!N2507,'Retirement Calculator'!A:A,0),0),0)</f>
        <v>0</v>
      </c>
      <c r="K2507" s="444">
        <f t="shared" ca="1" si="128"/>
        <v>-31214585.02190781</v>
      </c>
      <c r="L2507" s="444">
        <f t="shared" ca="1" si="129"/>
        <v>-7522714990.2797823</v>
      </c>
      <c r="M2507" s="460">
        <f t="shared" si="131"/>
        <v>0.05</v>
      </c>
      <c r="N2507" s="464">
        <f t="shared" si="132"/>
        <v>127350</v>
      </c>
    </row>
    <row r="2508" spans="7:14" ht="11.25" customHeight="1" x14ac:dyDescent="0.3">
      <c r="G2508" s="459"/>
      <c r="H2508" s="459">
        <v>2501</v>
      </c>
      <c r="I2508" s="444">
        <f t="shared" ca="1" si="130"/>
        <v>-7522714990.2797823</v>
      </c>
      <c r="J2508" s="444">
        <f t="array" ref="J2508">IFERROR(INDEX('Retirement Calculator'!K:K,MATCH('Lorri 401b'!N2508,'Retirement Calculator'!A:A,0),0),0)</f>
        <v>0</v>
      </c>
      <c r="K2508" s="444">
        <f t="shared" ca="1" si="128"/>
        <v>-31344645.792832427</v>
      </c>
      <c r="L2508" s="444">
        <f t="shared" ca="1" si="129"/>
        <v>-7554059636.0726147</v>
      </c>
      <c r="M2508" s="460">
        <f t="shared" si="131"/>
        <v>0.05</v>
      </c>
      <c r="N2508" s="464">
        <f t="shared" si="132"/>
        <v>127380</v>
      </c>
    </row>
    <row r="2509" spans="7:14" ht="11.25" customHeight="1" x14ac:dyDescent="0.3">
      <c r="G2509" s="459"/>
      <c r="H2509" s="459">
        <v>2502</v>
      </c>
      <c r="I2509" s="444">
        <f t="shared" ca="1" si="130"/>
        <v>-7554059636.0726147</v>
      </c>
      <c r="J2509" s="444">
        <f t="array" ref="J2509">IFERROR(INDEX('Retirement Calculator'!K:K,MATCH('Lorri 401b'!N2509,'Retirement Calculator'!A:A,0),0),0)</f>
        <v>0</v>
      </c>
      <c r="K2509" s="444">
        <f t="shared" ca="1" si="128"/>
        <v>-31475248.483635899</v>
      </c>
      <c r="L2509" s="444">
        <f t="shared" ca="1" si="129"/>
        <v>-7585534884.5562506</v>
      </c>
      <c r="M2509" s="460">
        <f t="shared" si="131"/>
        <v>0.05</v>
      </c>
      <c r="N2509" s="464">
        <f t="shared" si="132"/>
        <v>127411</v>
      </c>
    </row>
    <row r="2510" spans="7:14" ht="11.25" customHeight="1" x14ac:dyDescent="0.3">
      <c r="G2510" s="459"/>
      <c r="H2510" s="459">
        <v>2503</v>
      </c>
      <c r="I2510" s="444">
        <f t="shared" ca="1" si="130"/>
        <v>-7585534884.5562506</v>
      </c>
      <c r="J2510" s="444">
        <f t="array" ref="J2510">IFERROR(INDEX('Retirement Calculator'!K:K,MATCH('Lorri 401b'!N2510,'Retirement Calculator'!A:A,0),0),0)</f>
        <v>0</v>
      </c>
      <c r="K2510" s="444">
        <f t="shared" ca="1" si="128"/>
        <v>-31606395.352317709</v>
      </c>
      <c r="L2510" s="444">
        <f t="shared" ca="1" si="129"/>
        <v>-7617141279.9085684</v>
      </c>
      <c r="M2510" s="460">
        <f t="shared" si="131"/>
        <v>0.05</v>
      </c>
      <c r="N2510" s="464">
        <f t="shared" si="132"/>
        <v>127441</v>
      </c>
    </row>
    <row r="2511" spans="7:14" ht="11.25" customHeight="1" x14ac:dyDescent="0.3">
      <c r="G2511" s="459"/>
      <c r="H2511" s="459">
        <v>2504</v>
      </c>
      <c r="I2511" s="444">
        <f t="shared" ca="1" si="130"/>
        <v>-7617141279.9085684</v>
      </c>
      <c r="J2511" s="444">
        <f t="array" ref="J2511">IFERROR(INDEX('Retirement Calculator'!K:K,MATCH('Lorri 401b'!N2511,'Retirement Calculator'!A:A,0),0),0)</f>
        <v>0</v>
      </c>
      <c r="K2511" s="444">
        <f t="shared" ca="1" si="128"/>
        <v>-31738088.666285701</v>
      </c>
      <c r="L2511" s="444">
        <f t="shared" ca="1" si="129"/>
        <v>-7648879368.5748539</v>
      </c>
      <c r="M2511" s="460">
        <f t="shared" si="131"/>
        <v>0.05</v>
      </c>
      <c r="N2511" s="464">
        <f t="shared" si="132"/>
        <v>127472</v>
      </c>
    </row>
    <row r="2512" spans="7:14" ht="11.25" customHeight="1" x14ac:dyDescent="0.3">
      <c r="G2512" s="459"/>
      <c r="H2512" s="459">
        <v>2505</v>
      </c>
      <c r="I2512" s="444">
        <f t="shared" ca="1" si="130"/>
        <v>-7648879368.5748539</v>
      </c>
      <c r="J2512" s="444">
        <f t="array" ref="J2512">IFERROR(INDEX('Retirement Calculator'!K:K,MATCH('Lorri 401b'!N2512,'Retirement Calculator'!A:A,0),0),0)</f>
        <v>0</v>
      </c>
      <c r="K2512" s="444">
        <f t="shared" ca="1" si="128"/>
        <v>-31870330.702395227</v>
      </c>
      <c r="L2512" s="444">
        <f t="shared" ca="1" si="129"/>
        <v>-7680749699.2772493</v>
      </c>
      <c r="M2512" s="460">
        <f t="shared" si="131"/>
        <v>0.05</v>
      </c>
      <c r="N2512" s="464">
        <f t="shared" si="132"/>
        <v>127503</v>
      </c>
    </row>
    <row r="2513" spans="7:14" ht="11.25" customHeight="1" x14ac:dyDescent="0.3">
      <c r="G2513" s="459"/>
      <c r="H2513" s="459">
        <v>2506</v>
      </c>
      <c r="I2513" s="444">
        <f t="shared" ca="1" si="130"/>
        <v>-7680749699.2772493</v>
      </c>
      <c r="J2513" s="444">
        <f t="array" ref="J2513">IFERROR(INDEX('Retirement Calculator'!K:K,MATCH('Lorri 401b'!N2513,'Retirement Calculator'!A:A,0),0),0)</f>
        <v>0</v>
      </c>
      <c r="K2513" s="444">
        <f t="shared" ca="1" si="128"/>
        <v>-32003123.746988539</v>
      </c>
      <c r="L2513" s="444">
        <f t="shared" ca="1" si="129"/>
        <v>-7712752823.0242376</v>
      </c>
      <c r="M2513" s="460">
        <f t="shared" si="131"/>
        <v>0.05</v>
      </c>
      <c r="N2513" s="464">
        <f t="shared" si="132"/>
        <v>127531</v>
      </c>
    </row>
    <row r="2514" spans="7:14" ht="11.25" customHeight="1" x14ac:dyDescent="0.3">
      <c r="G2514" s="459"/>
      <c r="H2514" s="459">
        <v>2507</v>
      </c>
      <c r="I2514" s="444">
        <f t="shared" ca="1" si="130"/>
        <v>-7712752823.0242376</v>
      </c>
      <c r="J2514" s="444">
        <f t="array" ref="J2514">IFERROR(INDEX('Retirement Calculator'!K:K,MATCH('Lorri 401b'!N2514,'Retirement Calculator'!A:A,0),0),0)</f>
        <v>0</v>
      </c>
      <c r="K2514" s="444">
        <f t="shared" ca="1" si="128"/>
        <v>-32136470.095934324</v>
      </c>
      <c r="L2514" s="444">
        <f t="shared" ca="1" si="129"/>
        <v>-7744889293.1201715</v>
      </c>
      <c r="M2514" s="460">
        <f t="shared" si="131"/>
        <v>0.05</v>
      </c>
      <c r="N2514" s="464">
        <f t="shared" si="132"/>
        <v>127562</v>
      </c>
    </row>
    <row r="2515" spans="7:14" ht="11.25" customHeight="1" x14ac:dyDescent="0.3">
      <c r="G2515" s="459"/>
      <c r="H2515" s="459">
        <v>2508</v>
      </c>
      <c r="I2515" s="444">
        <f t="shared" ca="1" si="130"/>
        <v>-7744889293.1201715</v>
      </c>
      <c r="J2515" s="444">
        <f t="array" ref="J2515">IFERROR(INDEX('Retirement Calculator'!K:K,MATCH('Lorri 401b'!N2515,'Retirement Calculator'!A:A,0),0),0)</f>
        <v>0</v>
      </c>
      <c r="K2515" s="444">
        <f t="shared" ca="1" si="128"/>
        <v>-32270372.054667383</v>
      </c>
      <c r="L2515" s="444">
        <f t="shared" ca="1" si="129"/>
        <v>-7777159665.174839</v>
      </c>
      <c r="M2515" s="460">
        <f t="shared" si="131"/>
        <v>0.05</v>
      </c>
      <c r="N2515" s="464">
        <f t="shared" si="132"/>
        <v>127592</v>
      </c>
    </row>
    <row r="2516" spans="7:14" ht="11.25" customHeight="1" x14ac:dyDescent="0.3">
      <c r="G2516" s="459"/>
      <c r="H2516" s="459">
        <v>2509</v>
      </c>
      <c r="I2516" s="444">
        <f t="shared" ca="1" si="130"/>
        <v>-7777159665.174839</v>
      </c>
      <c r="J2516" s="444">
        <f t="array" ref="J2516">IFERROR(INDEX('Retirement Calculator'!K:K,MATCH('Lorri 401b'!N2516,'Retirement Calculator'!A:A,0),0),0)</f>
        <v>0</v>
      </c>
      <c r="K2516" s="444">
        <f t="shared" ca="1" si="128"/>
        <v>-32404831.938228495</v>
      </c>
      <c r="L2516" s="444">
        <f t="shared" ca="1" si="129"/>
        <v>-7809564497.1130676</v>
      </c>
      <c r="M2516" s="460">
        <f t="shared" si="131"/>
        <v>0.05</v>
      </c>
      <c r="N2516" s="464">
        <f t="shared" si="132"/>
        <v>127623</v>
      </c>
    </row>
    <row r="2517" spans="7:14" ht="11.25" customHeight="1" x14ac:dyDescent="0.3">
      <c r="G2517" s="459"/>
      <c r="H2517" s="459">
        <v>2510</v>
      </c>
      <c r="I2517" s="444">
        <f t="shared" ca="1" si="130"/>
        <v>-7809564497.1130676</v>
      </c>
      <c r="J2517" s="444">
        <f t="array" ref="J2517">IFERROR(INDEX('Retirement Calculator'!K:K,MATCH('Lorri 401b'!N2517,'Retirement Calculator'!A:A,0),0),0)</f>
        <v>0</v>
      </c>
      <c r="K2517" s="444">
        <f t="shared" ca="1" si="128"/>
        <v>-32539852.071304448</v>
      </c>
      <c r="L2517" s="444">
        <f t="shared" ca="1" si="129"/>
        <v>-7842104349.1843719</v>
      </c>
      <c r="M2517" s="460">
        <f t="shared" si="131"/>
        <v>0.05</v>
      </c>
      <c r="N2517" s="464">
        <f t="shared" si="132"/>
        <v>127653</v>
      </c>
    </row>
    <row r="2518" spans="7:14" ht="11.25" customHeight="1" x14ac:dyDescent="0.3">
      <c r="G2518" s="459"/>
      <c r="H2518" s="459">
        <v>2511</v>
      </c>
      <c r="I2518" s="444">
        <f t="shared" ca="1" si="130"/>
        <v>-7842104349.1843719</v>
      </c>
      <c r="J2518" s="444">
        <f t="array" ref="J2518">IFERROR(INDEX('Retirement Calculator'!K:K,MATCH('Lorri 401b'!N2518,'Retirement Calculator'!A:A,0),0),0)</f>
        <v>0</v>
      </c>
      <c r="K2518" s="444">
        <f t="shared" ca="1" si="128"/>
        <v>-32675434.788268216</v>
      </c>
      <c r="L2518" s="444">
        <f t="shared" ca="1" si="129"/>
        <v>-7874779783.97264</v>
      </c>
      <c r="M2518" s="460">
        <f t="shared" si="131"/>
        <v>0.05</v>
      </c>
      <c r="N2518" s="464">
        <f t="shared" si="132"/>
        <v>127684</v>
      </c>
    </row>
    <row r="2519" spans="7:14" ht="11.25" customHeight="1" x14ac:dyDescent="0.3">
      <c r="G2519" s="459"/>
      <c r="H2519" s="459">
        <v>2512</v>
      </c>
      <c r="I2519" s="444">
        <f t="shared" ca="1" si="130"/>
        <v>-7874779783.97264</v>
      </c>
      <c r="J2519" s="444">
        <f t="array" ref="J2519">IFERROR(INDEX('Retirement Calculator'!K:K,MATCH('Lorri 401b'!N2519,'Retirement Calculator'!A:A,0),0),0)</f>
        <v>0</v>
      </c>
      <c r="K2519" s="444">
        <f t="shared" ca="1" si="128"/>
        <v>-32811582.433219332</v>
      </c>
      <c r="L2519" s="444">
        <f t="shared" ca="1" si="129"/>
        <v>-7907591366.405859</v>
      </c>
      <c r="M2519" s="460">
        <f t="shared" si="131"/>
        <v>0.05</v>
      </c>
      <c r="N2519" s="464">
        <f t="shared" si="132"/>
        <v>127715</v>
      </c>
    </row>
    <row r="2520" spans="7:14" ht="11.25" customHeight="1" x14ac:dyDescent="0.3">
      <c r="G2520" s="459"/>
      <c r="H2520" s="459">
        <v>2513</v>
      </c>
      <c r="I2520" s="444">
        <f t="shared" ca="1" si="130"/>
        <v>-7907591366.405859</v>
      </c>
      <c r="J2520" s="444">
        <f t="array" ref="J2520">IFERROR(INDEX('Retirement Calculator'!K:K,MATCH('Lorri 401b'!N2520,'Retirement Calculator'!A:A,0),0),0)</f>
        <v>0</v>
      </c>
      <c r="K2520" s="444">
        <f t="shared" ca="1" si="128"/>
        <v>-32948297.360024408</v>
      </c>
      <c r="L2520" s="444">
        <f t="shared" ca="1" si="129"/>
        <v>-7940539663.7658834</v>
      </c>
      <c r="M2520" s="460">
        <f t="shared" si="131"/>
        <v>0.05</v>
      </c>
      <c r="N2520" s="464">
        <f t="shared" si="132"/>
        <v>127745</v>
      </c>
    </row>
    <row r="2521" spans="7:14" ht="11.25" customHeight="1" x14ac:dyDescent="0.3">
      <c r="G2521" s="459"/>
      <c r="H2521" s="459">
        <v>2514</v>
      </c>
      <c r="I2521" s="444">
        <f t="shared" ca="1" si="130"/>
        <v>-7940539663.7658834</v>
      </c>
      <c r="J2521" s="444">
        <f t="array" ref="J2521">IFERROR(INDEX('Retirement Calculator'!K:K,MATCH('Lorri 401b'!N2521,'Retirement Calculator'!A:A,0),0),0)</f>
        <v>0</v>
      </c>
      <c r="K2521" s="444">
        <f t="shared" ca="1" si="128"/>
        <v>-33085581.932357851</v>
      </c>
      <c r="L2521" s="444">
        <f t="shared" ca="1" si="129"/>
        <v>-7973625245.6982412</v>
      </c>
      <c r="M2521" s="460">
        <f t="shared" si="131"/>
        <v>0.05</v>
      </c>
      <c r="N2521" s="464">
        <f t="shared" si="132"/>
        <v>127776</v>
      </c>
    </row>
    <row r="2522" spans="7:14" ht="11.25" customHeight="1" x14ac:dyDescent="0.3">
      <c r="G2522" s="459"/>
      <c r="H2522" s="459">
        <v>2515</v>
      </c>
      <c r="I2522" s="444">
        <f t="shared" ca="1" si="130"/>
        <v>-7973625245.6982412</v>
      </c>
      <c r="J2522" s="444">
        <f t="array" ref="J2522">IFERROR(INDEX('Retirement Calculator'!K:K,MATCH('Lorri 401b'!N2522,'Retirement Calculator'!A:A,0),0),0)</f>
        <v>0</v>
      </c>
      <c r="K2522" s="444">
        <f t="shared" ca="1" si="128"/>
        <v>-33223438.523742672</v>
      </c>
      <c r="L2522" s="444">
        <f t="shared" ca="1" si="129"/>
        <v>-8006848684.2219839</v>
      </c>
      <c r="M2522" s="460">
        <f t="shared" si="131"/>
        <v>0.05</v>
      </c>
      <c r="N2522" s="464">
        <f t="shared" si="132"/>
        <v>127806</v>
      </c>
    </row>
    <row r="2523" spans="7:14" ht="11.25" customHeight="1" x14ac:dyDescent="0.3">
      <c r="G2523" s="459"/>
      <c r="H2523" s="459">
        <v>2516</v>
      </c>
      <c r="I2523" s="444">
        <f t="shared" ca="1" si="130"/>
        <v>-8006848684.2219839</v>
      </c>
      <c r="J2523" s="444">
        <f t="array" ref="J2523">IFERROR(INDEX('Retirement Calculator'!K:K,MATCH('Lorri 401b'!N2523,'Retirement Calculator'!A:A,0),0),0)</f>
        <v>0</v>
      </c>
      <c r="K2523" s="444">
        <f t="shared" ca="1" si="128"/>
        <v>-33361869.517591599</v>
      </c>
      <c r="L2523" s="444">
        <f t="shared" ca="1" si="129"/>
        <v>-8040210553.7395754</v>
      </c>
      <c r="M2523" s="460">
        <f t="shared" si="131"/>
        <v>0.05</v>
      </c>
      <c r="N2523" s="464">
        <f t="shared" si="132"/>
        <v>127837</v>
      </c>
    </row>
    <row r="2524" spans="7:14" ht="11.25" customHeight="1" x14ac:dyDescent="0.3">
      <c r="G2524" s="459"/>
      <c r="H2524" s="459">
        <v>2517</v>
      </c>
      <c r="I2524" s="444">
        <f t="shared" ca="1" si="130"/>
        <v>-8040210553.7395754</v>
      </c>
      <c r="J2524" s="444">
        <f t="array" ref="J2524">IFERROR(INDEX('Retirement Calculator'!K:K,MATCH('Lorri 401b'!N2524,'Retirement Calculator'!A:A,0),0),0)</f>
        <v>0</v>
      </c>
      <c r="K2524" s="444">
        <f t="shared" ca="1" si="128"/>
        <v>-33500877.307248227</v>
      </c>
      <c r="L2524" s="444">
        <f t="shared" ca="1" si="129"/>
        <v>-8073711431.0468235</v>
      </c>
      <c r="M2524" s="460">
        <f t="shared" si="131"/>
        <v>0.05</v>
      </c>
      <c r="N2524" s="464">
        <f t="shared" si="132"/>
        <v>127868</v>
      </c>
    </row>
    <row r="2525" spans="7:14" ht="11.25" customHeight="1" x14ac:dyDescent="0.3">
      <c r="G2525" s="459"/>
      <c r="H2525" s="459">
        <v>2518</v>
      </c>
      <c r="I2525" s="444">
        <f t="shared" ca="1" si="130"/>
        <v>-8073711431.0468235</v>
      </c>
      <c r="J2525" s="444">
        <f t="array" ref="J2525">IFERROR(INDEX('Retirement Calculator'!K:K,MATCH('Lorri 401b'!N2525,'Retirement Calculator'!A:A,0),0),0)</f>
        <v>0</v>
      </c>
      <c r="K2525" s="444">
        <f t="shared" ca="1" si="128"/>
        <v>-33640464.296028428</v>
      </c>
      <c r="L2525" s="444">
        <f t="shared" ca="1" si="129"/>
        <v>-8107351895.3428516</v>
      </c>
      <c r="M2525" s="460">
        <f t="shared" si="131"/>
        <v>0.05</v>
      </c>
      <c r="N2525" s="464">
        <f t="shared" si="132"/>
        <v>127896</v>
      </c>
    </row>
    <row r="2526" spans="7:14" ht="11.25" customHeight="1" x14ac:dyDescent="0.3">
      <c r="G2526" s="459"/>
      <c r="H2526" s="459">
        <v>2519</v>
      </c>
      <c r="I2526" s="444">
        <f t="shared" ca="1" si="130"/>
        <v>-8107351895.3428516</v>
      </c>
      <c r="J2526" s="444">
        <f t="array" ref="J2526">IFERROR(INDEX('Retirement Calculator'!K:K,MATCH('Lorri 401b'!N2526,'Retirement Calculator'!A:A,0),0),0)</f>
        <v>0</v>
      </c>
      <c r="K2526" s="444">
        <f t="shared" ca="1" si="128"/>
        <v>-33780632.89726188</v>
      </c>
      <c r="L2526" s="444">
        <f t="shared" ca="1" si="129"/>
        <v>-8141132528.2401133</v>
      </c>
      <c r="M2526" s="460">
        <f t="shared" si="131"/>
        <v>0.05</v>
      </c>
      <c r="N2526" s="464">
        <f t="shared" si="132"/>
        <v>127927</v>
      </c>
    </row>
    <row r="2527" spans="7:14" ht="11.25" customHeight="1" x14ac:dyDescent="0.3">
      <c r="G2527" s="459"/>
      <c r="H2527" s="459">
        <v>2520</v>
      </c>
      <c r="I2527" s="444">
        <f t="shared" ca="1" si="130"/>
        <v>-8141132528.2401133</v>
      </c>
      <c r="J2527" s="444">
        <f t="array" ref="J2527">IFERROR(INDEX('Retirement Calculator'!K:K,MATCH('Lorri 401b'!N2527,'Retirement Calculator'!A:A,0),0),0)</f>
        <v>0</v>
      </c>
      <c r="K2527" s="444">
        <f t="shared" ca="1" si="128"/>
        <v>-33921385.534333803</v>
      </c>
      <c r="L2527" s="444">
        <f t="shared" ca="1" si="129"/>
        <v>-8175053913.7744474</v>
      </c>
      <c r="M2527" s="460">
        <f t="shared" si="131"/>
        <v>0.05</v>
      </c>
      <c r="N2527" s="464">
        <f t="shared" si="132"/>
        <v>127957</v>
      </c>
    </row>
    <row r="2528" spans="7:14" ht="11.25" customHeight="1" x14ac:dyDescent="0.3">
      <c r="G2528" s="459"/>
      <c r="H2528" s="459">
        <v>2521</v>
      </c>
      <c r="I2528" s="444">
        <f t="shared" ca="1" si="130"/>
        <v>-8175053913.7744474</v>
      </c>
      <c r="J2528" s="444">
        <f t="array" ref="J2528">IFERROR(INDEX('Retirement Calculator'!K:K,MATCH('Lorri 401b'!N2528,'Retirement Calculator'!A:A,0),0),0)</f>
        <v>0</v>
      </c>
      <c r="K2528" s="444">
        <f t="shared" ca="1" si="128"/>
        <v>-34062724.640726857</v>
      </c>
      <c r="L2528" s="444">
        <f t="shared" ca="1" si="129"/>
        <v>-8209116638.4151745</v>
      </c>
      <c r="M2528" s="460">
        <f t="shared" si="131"/>
        <v>0.05</v>
      </c>
      <c r="N2528" s="464">
        <f t="shared" si="132"/>
        <v>127988</v>
      </c>
    </row>
    <row r="2529" spans="7:14" ht="11.25" customHeight="1" x14ac:dyDescent="0.3">
      <c r="G2529" s="459"/>
      <c r="H2529" s="459">
        <v>2522</v>
      </c>
      <c r="I2529" s="444">
        <f t="shared" ca="1" si="130"/>
        <v>-8209116638.4151745</v>
      </c>
      <c r="J2529" s="444">
        <f t="array" ref="J2529">IFERROR(INDEX('Retirement Calculator'!K:K,MATCH('Lorri 401b'!N2529,'Retirement Calculator'!A:A,0),0),0)</f>
        <v>0</v>
      </c>
      <c r="K2529" s="444">
        <f t="shared" ca="1" si="128"/>
        <v>-34204652.66006323</v>
      </c>
      <c r="L2529" s="444">
        <f t="shared" ca="1" si="129"/>
        <v>-8243321291.0752373</v>
      </c>
      <c r="M2529" s="460">
        <f t="shared" si="131"/>
        <v>0.05</v>
      </c>
      <c r="N2529" s="464">
        <f t="shared" si="132"/>
        <v>128018</v>
      </c>
    </row>
    <row r="2530" spans="7:14" ht="11.25" customHeight="1" x14ac:dyDescent="0.3">
      <c r="G2530" s="459"/>
      <c r="H2530" s="459">
        <v>2523</v>
      </c>
      <c r="I2530" s="444">
        <f t="shared" ca="1" si="130"/>
        <v>-8243321291.0752373</v>
      </c>
      <c r="J2530" s="444">
        <f t="array" ref="J2530">IFERROR(INDEX('Retirement Calculator'!K:K,MATCH('Lorri 401b'!N2530,'Retirement Calculator'!A:A,0),0),0)</f>
        <v>0</v>
      </c>
      <c r="K2530" s="444">
        <f t="shared" ca="1" si="128"/>
        <v>-34347172.046146818</v>
      </c>
      <c r="L2530" s="444">
        <f t="shared" ca="1" si="129"/>
        <v>-8277668463.1213837</v>
      </c>
      <c r="M2530" s="460">
        <f t="shared" si="131"/>
        <v>0.05</v>
      </c>
      <c r="N2530" s="464">
        <f t="shared" si="132"/>
        <v>128049</v>
      </c>
    </row>
    <row r="2531" spans="7:14" ht="11.25" customHeight="1" x14ac:dyDescent="0.3">
      <c r="G2531" s="459"/>
      <c r="H2531" s="459">
        <v>2524</v>
      </c>
      <c r="I2531" s="444">
        <f t="shared" ca="1" si="130"/>
        <v>-8277668463.1213837</v>
      </c>
      <c r="J2531" s="444">
        <f t="array" ref="J2531">IFERROR(INDEX('Retirement Calculator'!K:K,MATCH('Lorri 401b'!N2531,'Retirement Calculator'!A:A,0),0),0)</f>
        <v>0</v>
      </c>
      <c r="K2531" s="444">
        <f t="shared" ca="1" si="128"/>
        <v>-34490285.263005763</v>
      </c>
      <c r="L2531" s="444">
        <f t="shared" ca="1" si="129"/>
        <v>-8312158748.3843899</v>
      </c>
      <c r="M2531" s="460">
        <f t="shared" si="131"/>
        <v>0.05</v>
      </c>
      <c r="N2531" s="464">
        <f t="shared" si="132"/>
        <v>128080</v>
      </c>
    </row>
    <row r="2532" spans="7:14" ht="11.25" customHeight="1" x14ac:dyDescent="0.3">
      <c r="G2532" s="459"/>
      <c r="H2532" s="459">
        <v>2525</v>
      </c>
      <c r="I2532" s="444">
        <f t="shared" ca="1" si="130"/>
        <v>-8312158748.3843899</v>
      </c>
      <c r="J2532" s="444">
        <f t="array" ref="J2532">IFERROR(INDEX('Retirement Calculator'!K:K,MATCH('Lorri 401b'!N2532,'Retirement Calculator'!A:A,0),0),0)</f>
        <v>0</v>
      </c>
      <c r="K2532" s="444">
        <f t="shared" ca="1" si="128"/>
        <v>-34633994.78493496</v>
      </c>
      <c r="L2532" s="444">
        <f t="shared" ca="1" si="129"/>
        <v>-8346792743.1693249</v>
      </c>
      <c r="M2532" s="460">
        <f t="shared" si="131"/>
        <v>0.05</v>
      </c>
      <c r="N2532" s="464">
        <f t="shared" si="132"/>
        <v>128110</v>
      </c>
    </row>
    <row r="2533" spans="7:14" ht="11.25" customHeight="1" x14ac:dyDescent="0.3">
      <c r="G2533" s="459"/>
      <c r="H2533" s="459">
        <v>2526</v>
      </c>
      <c r="I2533" s="444">
        <f t="shared" ca="1" si="130"/>
        <v>-8346792743.1693249</v>
      </c>
      <c r="J2533" s="444">
        <f t="array" ref="J2533">IFERROR(INDEX('Retirement Calculator'!K:K,MATCH('Lorri 401b'!N2533,'Retirement Calculator'!A:A,0),0),0)</f>
        <v>0</v>
      </c>
      <c r="K2533" s="444">
        <f t="shared" ca="1" si="128"/>
        <v>-34778303.096538857</v>
      </c>
      <c r="L2533" s="444">
        <f t="shared" ca="1" si="129"/>
        <v>-8381571046.2658634</v>
      </c>
      <c r="M2533" s="460">
        <f t="shared" si="131"/>
        <v>0.05</v>
      </c>
      <c r="N2533" s="464">
        <f t="shared" si="132"/>
        <v>128141</v>
      </c>
    </row>
    <row r="2534" spans="7:14" ht="11.25" customHeight="1" x14ac:dyDescent="0.3">
      <c r="G2534" s="459"/>
      <c r="H2534" s="459">
        <v>2527</v>
      </c>
      <c r="I2534" s="444">
        <f t="shared" ca="1" si="130"/>
        <v>-8381571046.2658634</v>
      </c>
      <c r="J2534" s="444">
        <f t="array" ref="J2534">IFERROR(INDEX('Retirement Calculator'!K:K,MATCH('Lorri 401b'!N2534,'Retirement Calculator'!A:A,0),0),0)</f>
        <v>0</v>
      </c>
      <c r="K2534" s="444">
        <f t="shared" ca="1" si="128"/>
        <v>-34923212.69277443</v>
      </c>
      <c r="L2534" s="444">
        <f t="shared" ca="1" si="129"/>
        <v>-8416494258.9586382</v>
      </c>
      <c r="M2534" s="460">
        <f t="shared" si="131"/>
        <v>0.05</v>
      </c>
      <c r="N2534" s="464">
        <f t="shared" si="132"/>
        <v>128171</v>
      </c>
    </row>
    <row r="2535" spans="7:14" ht="11.25" customHeight="1" x14ac:dyDescent="0.3">
      <c r="G2535" s="459"/>
      <c r="H2535" s="459">
        <v>2528</v>
      </c>
      <c r="I2535" s="444">
        <f t="shared" ca="1" si="130"/>
        <v>-8416494258.9586382</v>
      </c>
      <c r="J2535" s="444">
        <f t="array" ref="J2535">IFERROR(INDEX('Retirement Calculator'!K:K,MATCH('Lorri 401b'!N2535,'Retirement Calculator'!A:A,0),0),0)</f>
        <v>0</v>
      </c>
      <c r="K2535" s="444">
        <f t="shared" ca="1" si="128"/>
        <v>-35068726.078994326</v>
      </c>
      <c r="L2535" s="444">
        <f t="shared" ca="1" si="129"/>
        <v>-8451562985.0376329</v>
      </c>
      <c r="M2535" s="460">
        <f t="shared" si="131"/>
        <v>0.05</v>
      </c>
      <c r="N2535" s="464">
        <f t="shared" si="132"/>
        <v>128202</v>
      </c>
    </row>
    <row r="2536" spans="7:14" ht="11.25" customHeight="1" x14ac:dyDescent="0.3">
      <c r="G2536" s="459"/>
      <c r="H2536" s="459">
        <v>2529</v>
      </c>
      <c r="I2536" s="444">
        <f t="shared" ca="1" si="130"/>
        <v>-8451562985.0376329</v>
      </c>
      <c r="J2536" s="444">
        <f t="array" ref="J2536">IFERROR(INDEX('Retirement Calculator'!K:K,MATCH('Lorri 401b'!N2536,'Retirement Calculator'!A:A,0),0),0)</f>
        <v>0</v>
      </c>
      <c r="K2536" s="444">
        <f t="shared" ca="1" si="128"/>
        <v>-35214845.770990141</v>
      </c>
      <c r="L2536" s="444">
        <f t="shared" ca="1" si="129"/>
        <v>-8486777830.8086233</v>
      </c>
      <c r="M2536" s="460">
        <f t="shared" si="131"/>
        <v>0.05</v>
      </c>
      <c r="N2536" s="464">
        <f t="shared" si="132"/>
        <v>128233</v>
      </c>
    </row>
    <row r="2537" spans="7:14" ht="11.25" customHeight="1" x14ac:dyDescent="0.3">
      <c r="G2537" s="459"/>
      <c r="H2537" s="459">
        <v>2530</v>
      </c>
      <c r="I2537" s="444">
        <f t="shared" ca="1" si="130"/>
        <v>-8486777830.8086233</v>
      </c>
      <c r="J2537" s="444">
        <f t="array" ref="J2537">IFERROR(INDEX('Retirement Calculator'!K:K,MATCH('Lorri 401b'!N2537,'Retirement Calculator'!A:A,0),0),0)</f>
        <v>0</v>
      </c>
      <c r="K2537" s="444">
        <f t="shared" ca="1" si="128"/>
        <v>-35361574.295035928</v>
      </c>
      <c r="L2537" s="444">
        <f t="shared" ca="1" si="129"/>
        <v>-8522139405.1036596</v>
      </c>
      <c r="M2537" s="460">
        <f t="shared" si="131"/>
        <v>0.05</v>
      </c>
      <c r="N2537" s="464">
        <f t="shared" si="132"/>
        <v>128261</v>
      </c>
    </row>
    <row r="2538" spans="7:14" ht="11.25" customHeight="1" x14ac:dyDescent="0.3">
      <c r="G2538" s="459"/>
      <c r="H2538" s="459">
        <v>2531</v>
      </c>
      <c r="I2538" s="444">
        <f t="shared" ca="1" si="130"/>
        <v>-8522139405.1036596</v>
      </c>
      <c r="J2538" s="444">
        <f t="array" ref="J2538">IFERROR(INDEX('Retirement Calculator'!K:K,MATCH('Lorri 401b'!N2538,'Retirement Calculator'!A:A,0),0),0)</f>
        <v>0</v>
      </c>
      <c r="K2538" s="444">
        <f t="shared" ca="1" si="128"/>
        <v>-35508914.187931918</v>
      </c>
      <c r="L2538" s="444">
        <f t="shared" ca="1" si="129"/>
        <v>-8557648319.2915916</v>
      </c>
      <c r="M2538" s="460">
        <f t="shared" si="131"/>
        <v>0.05</v>
      </c>
      <c r="N2538" s="464">
        <f t="shared" si="132"/>
        <v>128292</v>
      </c>
    </row>
    <row r="2539" spans="7:14" ht="11.25" customHeight="1" x14ac:dyDescent="0.3">
      <c r="G2539" s="459"/>
      <c r="H2539" s="459">
        <v>2532</v>
      </c>
      <c r="I2539" s="444">
        <f t="shared" ca="1" si="130"/>
        <v>-8557648319.2915916</v>
      </c>
      <c r="J2539" s="444">
        <f t="array" ref="J2539">IFERROR(INDEX('Retirement Calculator'!K:K,MATCH('Lorri 401b'!N2539,'Retirement Calculator'!A:A,0),0),0)</f>
        <v>0</v>
      </c>
      <c r="K2539" s="444">
        <f t="shared" ca="1" si="128"/>
        <v>-35656867.997048296</v>
      </c>
      <c r="L2539" s="444">
        <f t="shared" ca="1" si="129"/>
        <v>-8593305187.2886391</v>
      </c>
      <c r="M2539" s="460">
        <f t="shared" si="131"/>
        <v>0.05</v>
      </c>
      <c r="N2539" s="464">
        <f t="shared" si="132"/>
        <v>128322</v>
      </c>
    </row>
    <row r="2540" spans="7:14" ht="11.25" customHeight="1" x14ac:dyDescent="0.3">
      <c r="G2540" s="459"/>
      <c r="H2540" s="459">
        <v>2533</v>
      </c>
      <c r="I2540" s="444">
        <f t="shared" ca="1" si="130"/>
        <v>-8593305187.2886391</v>
      </c>
      <c r="J2540" s="444">
        <f t="array" ref="J2540">IFERROR(INDEX('Retirement Calculator'!K:K,MATCH('Lorri 401b'!N2540,'Retirement Calculator'!A:A,0),0),0)</f>
        <v>0</v>
      </c>
      <c r="K2540" s="444">
        <f t="shared" ca="1" si="128"/>
        <v>-35805438.280369326</v>
      </c>
      <c r="L2540" s="444">
        <f t="shared" ca="1" si="129"/>
        <v>-8629110625.5690079</v>
      </c>
      <c r="M2540" s="460">
        <f t="shared" si="131"/>
        <v>0.05</v>
      </c>
      <c r="N2540" s="464">
        <f t="shared" si="132"/>
        <v>128353</v>
      </c>
    </row>
    <row r="2541" spans="7:14" ht="11.25" customHeight="1" x14ac:dyDescent="0.3">
      <c r="G2541" s="459"/>
      <c r="H2541" s="459">
        <v>2534</v>
      </c>
      <c r="I2541" s="444">
        <f t="shared" ca="1" si="130"/>
        <v>-8629110625.5690079</v>
      </c>
      <c r="J2541" s="444">
        <f t="array" ref="J2541">IFERROR(INDEX('Retirement Calculator'!K:K,MATCH('Lorri 401b'!N2541,'Retirement Calculator'!A:A,0),0),0)</f>
        <v>0</v>
      </c>
      <c r="K2541" s="444">
        <f t="shared" ca="1" si="128"/>
        <v>-35954627.606537536</v>
      </c>
      <c r="L2541" s="444">
        <f t="shared" ca="1" si="129"/>
        <v>-8665065253.1755447</v>
      </c>
      <c r="M2541" s="460">
        <f t="shared" si="131"/>
        <v>0.05</v>
      </c>
      <c r="N2541" s="464">
        <f t="shared" si="132"/>
        <v>128383</v>
      </c>
    </row>
    <row r="2542" spans="7:14" ht="11.25" customHeight="1" x14ac:dyDescent="0.3">
      <c r="G2542" s="459"/>
      <c r="H2542" s="459">
        <v>2535</v>
      </c>
      <c r="I2542" s="444">
        <f t="shared" ca="1" si="130"/>
        <v>-8665065253.1755447</v>
      </c>
      <c r="J2542" s="444">
        <f t="array" ref="J2542">IFERROR(INDEX('Retirement Calculator'!K:K,MATCH('Lorri 401b'!N2542,'Retirement Calculator'!A:A,0),0),0)</f>
        <v>0</v>
      </c>
      <c r="K2542" s="444">
        <f t="shared" ca="1" si="128"/>
        <v>-36104438.554898106</v>
      </c>
      <c r="L2542" s="444">
        <f t="shared" ca="1" si="129"/>
        <v>-8701169691.730442</v>
      </c>
      <c r="M2542" s="460">
        <f t="shared" si="131"/>
        <v>0.05</v>
      </c>
      <c r="N2542" s="464">
        <f t="shared" si="132"/>
        <v>128414</v>
      </c>
    </row>
    <row r="2543" spans="7:14" ht="11.25" customHeight="1" x14ac:dyDescent="0.3">
      <c r="G2543" s="459"/>
      <c r="H2543" s="459">
        <v>2536</v>
      </c>
      <c r="I2543" s="444">
        <f t="shared" ca="1" si="130"/>
        <v>-8701169691.730442</v>
      </c>
      <c r="J2543" s="444">
        <f t="array" ref="J2543">IFERROR(INDEX('Retirement Calculator'!K:K,MATCH('Lorri 401b'!N2543,'Retirement Calculator'!A:A,0),0),0)</f>
        <v>0</v>
      </c>
      <c r="K2543" s="444">
        <f t="shared" ca="1" si="128"/>
        <v>-36254873.715543509</v>
      </c>
      <c r="L2543" s="444">
        <f t="shared" ca="1" si="129"/>
        <v>-8737424565.4459858</v>
      </c>
      <c r="M2543" s="460">
        <f t="shared" si="131"/>
        <v>0.05</v>
      </c>
      <c r="N2543" s="464">
        <f t="shared" si="132"/>
        <v>128445</v>
      </c>
    </row>
    <row r="2544" spans="7:14" ht="11.25" customHeight="1" x14ac:dyDescent="0.3">
      <c r="G2544" s="459"/>
      <c r="H2544" s="459">
        <v>2537</v>
      </c>
      <c r="I2544" s="444">
        <f t="shared" ca="1" si="130"/>
        <v>-8737424565.4459858</v>
      </c>
      <c r="J2544" s="444">
        <f t="array" ref="J2544">IFERROR(INDEX('Retirement Calculator'!K:K,MATCH('Lorri 401b'!N2544,'Retirement Calculator'!A:A,0),0),0)</f>
        <v>0</v>
      </c>
      <c r="K2544" s="444">
        <f t="shared" ca="1" si="128"/>
        <v>-36405935.689358272</v>
      </c>
      <c r="L2544" s="444">
        <f t="shared" ca="1" si="129"/>
        <v>-8773830501.1353436</v>
      </c>
      <c r="M2544" s="460">
        <f t="shared" si="131"/>
        <v>0.05</v>
      </c>
      <c r="N2544" s="464">
        <f t="shared" si="132"/>
        <v>128475</v>
      </c>
    </row>
    <row r="2545" spans="7:14" ht="11.25" customHeight="1" x14ac:dyDescent="0.3">
      <c r="G2545" s="459"/>
      <c r="H2545" s="459">
        <v>2538</v>
      </c>
      <c r="I2545" s="444">
        <f t="shared" ca="1" si="130"/>
        <v>-8773830501.1353436</v>
      </c>
      <c r="J2545" s="444">
        <f t="array" ref="J2545">IFERROR(INDEX('Retirement Calculator'!K:K,MATCH('Lorri 401b'!N2545,'Retirement Calculator'!A:A,0),0),0)</f>
        <v>0</v>
      </c>
      <c r="K2545" s="444">
        <f t="shared" ca="1" si="128"/>
        <v>-36557627.088063933</v>
      </c>
      <c r="L2545" s="444">
        <f t="shared" ca="1" si="129"/>
        <v>-8810388128.2234077</v>
      </c>
      <c r="M2545" s="460">
        <f t="shared" si="131"/>
        <v>0.05</v>
      </c>
      <c r="N2545" s="464">
        <f t="shared" si="132"/>
        <v>128506</v>
      </c>
    </row>
    <row r="2546" spans="7:14" ht="11.25" customHeight="1" x14ac:dyDescent="0.3">
      <c r="G2546" s="459"/>
      <c r="H2546" s="459">
        <v>2539</v>
      </c>
      <c r="I2546" s="444">
        <f t="shared" ca="1" si="130"/>
        <v>-8810388128.2234077</v>
      </c>
      <c r="J2546" s="444">
        <f t="array" ref="J2546">IFERROR(INDEX('Retirement Calculator'!K:K,MATCH('Lorri 401b'!N2546,'Retirement Calculator'!A:A,0),0),0)</f>
        <v>0</v>
      </c>
      <c r="K2546" s="444">
        <f t="shared" ca="1" si="128"/>
        <v>-36709950.534264199</v>
      </c>
      <c r="L2546" s="444">
        <f t="shared" ca="1" si="129"/>
        <v>-8847098078.7576714</v>
      </c>
      <c r="M2546" s="460">
        <f t="shared" si="131"/>
        <v>0.05</v>
      </c>
      <c r="N2546" s="464">
        <f t="shared" si="132"/>
        <v>128536</v>
      </c>
    </row>
    <row r="2547" spans="7:14" ht="11.25" customHeight="1" x14ac:dyDescent="0.3">
      <c r="G2547" s="459"/>
      <c r="H2547" s="459">
        <v>2540</v>
      </c>
      <c r="I2547" s="444">
        <f t="shared" ca="1" si="130"/>
        <v>-8847098078.7576714</v>
      </c>
      <c r="J2547" s="444">
        <f t="array" ref="J2547">IFERROR(INDEX('Retirement Calculator'!K:K,MATCH('Lorri 401b'!N2547,'Retirement Calculator'!A:A,0),0),0)</f>
        <v>0</v>
      </c>
      <c r="K2547" s="444">
        <f t="shared" ca="1" si="128"/>
        <v>-36862908.661490299</v>
      </c>
      <c r="L2547" s="444">
        <f t="shared" ca="1" si="129"/>
        <v>-8883960987.4191608</v>
      </c>
      <c r="M2547" s="460">
        <f t="shared" si="131"/>
        <v>0.05</v>
      </c>
      <c r="N2547" s="464">
        <f t="shared" si="132"/>
        <v>128567</v>
      </c>
    </row>
    <row r="2548" spans="7:14" ht="11.25" customHeight="1" x14ac:dyDescent="0.3">
      <c r="G2548" s="459"/>
      <c r="H2548" s="459">
        <v>2541</v>
      </c>
      <c r="I2548" s="444">
        <f t="shared" ca="1" si="130"/>
        <v>-8883960987.4191608</v>
      </c>
      <c r="J2548" s="444">
        <f t="array" ref="J2548">IFERROR(INDEX('Retirement Calculator'!K:K,MATCH('Lorri 401b'!N2548,'Retirement Calculator'!A:A,0),0),0)</f>
        <v>0</v>
      </c>
      <c r="K2548" s="444">
        <f t="shared" ca="1" si="128"/>
        <v>-37016504.114246503</v>
      </c>
      <c r="L2548" s="444">
        <f t="shared" ca="1" si="129"/>
        <v>-8920977491.5334072</v>
      </c>
      <c r="M2548" s="460">
        <f t="shared" si="131"/>
        <v>0.05</v>
      </c>
      <c r="N2548" s="464">
        <f t="shared" si="132"/>
        <v>128598</v>
      </c>
    </row>
    <row r="2549" spans="7:14" ht="11.25" customHeight="1" x14ac:dyDescent="0.3">
      <c r="G2549" s="459"/>
      <c r="H2549" s="459">
        <v>2542</v>
      </c>
      <c r="I2549" s="444">
        <f t="shared" ca="1" si="130"/>
        <v>-8920977491.5334072</v>
      </c>
      <c r="J2549" s="444">
        <f t="array" ref="J2549">IFERROR(INDEX('Retirement Calculator'!K:K,MATCH('Lorri 401b'!N2549,'Retirement Calculator'!A:A,0),0),0)</f>
        <v>0</v>
      </c>
      <c r="K2549" s="444">
        <f t="shared" ca="1" si="128"/>
        <v>-37170739.548055865</v>
      </c>
      <c r="L2549" s="444">
        <f t="shared" ca="1" si="129"/>
        <v>-8958148231.0814629</v>
      </c>
      <c r="M2549" s="460">
        <f t="shared" si="131"/>
        <v>0.05</v>
      </c>
      <c r="N2549" s="464">
        <f t="shared" si="132"/>
        <v>128627</v>
      </c>
    </row>
    <row r="2550" spans="7:14" ht="11.25" customHeight="1" x14ac:dyDescent="0.3">
      <c r="G2550" s="459"/>
      <c r="H2550" s="459">
        <v>2543</v>
      </c>
      <c r="I2550" s="444">
        <f t="shared" ca="1" si="130"/>
        <v>-8958148231.0814629</v>
      </c>
      <c r="J2550" s="444">
        <f t="array" ref="J2550">IFERROR(INDEX('Retirement Calculator'!K:K,MATCH('Lorri 401b'!N2550,'Retirement Calculator'!A:A,0),0),0)</f>
        <v>0</v>
      </c>
      <c r="K2550" s="444">
        <f t="shared" ca="1" si="128"/>
        <v>-37325617.629506096</v>
      </c>
      <c r="L2550" s="444">
        <f t="shared" ca="1" si="129"/>
        <v>-8995473848.710968</v>
      </c>
      <c r="M2550" s="460">
        <f t="shared" si="131"/>
        <v>0.05</v>
      </c>
      <c r="N2550" s="464">
        <f t="shared" si="132"/>
        <v>128658</v>
      </c>
    </row>
    <row r="2551" spans="7:14" ht="11.25" customHeight="1" x14ac:dyDescent="0.3">
      <c r="G2551" s="459"/>
      <c r="H2551" s="459">
        <v>2544</v>
      </c>
      <c r="I2551" s="444">
        <f t="shared" ca="1" si="130"/>
        <v>-8995473848.710968</v>
      </c>
      <c r="J2551" s="444">
        <f t="array" ref="J2551">IFERROR(INDEX('Retirement Calculator'!K:K,MATCH('Lorri 401b'!N2551,'Retirement Calculator'!A:A,0),0),0)</f>
        <v>0</v>
      </c>
      <c r="K2551" s="444">
        <f t="shared" ca="1" si="128"/>
        <v>-37481141.036295697</v>
      </c>
      <c r="L2551" s="444">
        <f t="shared" ca="1" si="129"/>
        <v>-9032954989.747263</v>
      </c>
      <c r="M2551" s="460">
        <f t="shared" si="131"/>
        <v>0.05</v>
      </c>
      <c r="N2551" s="464">
        <f t="shared" si="132"/>
        <v>128688</v>
      </c>
    </row>
    <row r="2552" spans="7:14" ht="11.25" customHeight="1" x14ac:dyDescent="0.3">
      <c r="G2552" s="459"/>
      <c r="H2552" s="459">
        <v>2545</v>
      </c>
      <c r="I2552" s="444">
        <f t="shared" ca="1" si="130"/>
        <v>-9032954989.747263</v>
      </c>
      <c r="J2552" s="444">
        <f t="array" ref="J2552">IFERROR(INDEX('Retirement Calculator'!K:K,MATCH('Lorri 401b'!N2552,'Retirement Calculator'!A:A,0),0),0)</f>
        <v>0</v>
      </c>
      <c r="K2552" s="444">
        <f t="shared" ca="1" si="128"/>
        <v>-37637312.457280263</v>
      </c>
      <c r="L2552" s="444">
        <f t="shared" ca="1" si="129"/>
        <v>-9070592302.2045441</v>
      </c>
      <c r="M2552" s="460">
        <f t="shared" si="131"/>
        <v>0.05</v>
      </c>
      <c r="N2552" s="464">
        <f t="shared" si="132"/>
        <v>128719</v>
      </c>
    </row>
    <row r="2553" spans="7:14" ht="11.25" customHeight="1" x14ac:dyDescent="0.3">
      <c r="G2553" s="459"/>
      <c r="H2553" s="459">
        <v>2546</v>
      </c>
      <c r="I2553" s="444">
        <f t="shared" ca="1" si="130"/>
        <v>-9070592302.2045441</v>
      </c>
      <c r="J2553" s="444">
        <f t="array" ref="J2553">IFERROR(INDEX('Retirement Calculator'!K:K,MATCH('Lorri 401b'!N2553,'Retirement Calculator'!A:A,0),0),0)</f>
        <v>0</v>
      </c>
      <c r="K2553" s="444">
        <f t="shared" ca="1" si="128"/>
        <v>-37794134.592518933</v>
      </c>
      <c r="L2553" s="444">
        <f t="shared" ca="1" si="129"/>
        <v>-9108386436.7970638</v>
      </c>
      <c r="M2553" s="460">
        <f t="shared" si="131"/>
        <v>0.05</v>
      </c>
      <c r="N2553" s="464">
        <f t="shared" si="132"/>
        <v>128749</v>
      </c>
    </row>
    <row r="2554" spans="7:14" ht="11.25" customHeight="1" x14ac:dyDescent="0.3">
      <c r="G2554" s="459"/>
      <c r="H2554" s="459">
        <v>2547</v>
      </c>
      <c r="I2554" s="444">
        <f t="shared" ca="1" si="130"/>
        <v>-9108386436.7970638</v>
      </c>
      <c r="J2554" s="444">
        <f t="array" ref="J2554">IFERROR(INDEX('Retirement Calculator'!K:K,MATCH('Lorri 401b'!N2554,'Retirement Calculator'!A:A,0),0),0)</f>
        <v>0</v>
      </c>
      <c r="K2554" s="444">
        <f t="shared" ca="1" si="128"/>
        <v>-37951610.153321102</v>
      </c>
      <c r="L2554" s="444">
        <f t="shared" ca="1" si="129"/>
        <v>-9146338046.9503841</v>
      </c>
      <c r="M2554" s="460">
        <f t="shared" si="131"/>
        <v>0.05</v>
      </c>
      <c r="N2554" s="464">
        <f t="shared" si="132"/>
        <v>128780</v>
      </c>
    </row>
    <row r="2555" spans="7:14" ht="11.25" customHeight="1" x14ac:dyDescent="0.3">
      <c r="G2555" s="459"/>
      <c r="H2555" s="459">
        <v>2548</v>
      </c>
      <c r="I2555" s="444">
        <f t="shared" ca="1" si="130"/>
        <v>-9146338046.9503841</v>
      </c>
      <c r="J2555" s="444">
        <f t="array" ref="J2555">IFERROR(INDEX('Retirement Calculator'!K:K,MATCH('Lorri 401b'!N2555,'Retirement Calculator'!A:A,0),0),0)</f>
        <v>0</v>
      </c>
      <c r="K2555" s="444">
        <f t="shared" ca="1" si="128"/>
        <v>-38109741.862293266</v>
      </c>
      <c r="L2555" s="444">
        <f t="shared" ca="1" si="129"/>
        <v>-9184447788.8126774</v>
      </c>
      <c r="M2555" s="460">
        <f t="shared" si="131"/>
        <v>0.05</v>
      </c>
      <c r="N2555" s="464">
        <f t="shared" si="132"/>
        <v>128811</v>
      </c>
    </row>
    <row r="2556" spans="7:14" ht="11.25" customHeight="1" x14ac:dyDescent="0.3">
      <c r="G2556" s="459"/>
      <c r="H2556" s="459">
        <v>2549</v>
      </c>
      <c r="I2556" s="444">
        <f t="shared" ca="1" si="130"/>
        <v>-9184447788.8126774</v>
      </c>
      <c r="J2556" s="444">
        <f t="array" ref="J2556">IFERROR(INDEX('Retirement Calculator'!K:K,MATCH('Lorri 401b'!N2556,'Retirement Calculator'!A:A,0),0),0)</f>
        <v>0</v>
      </c>
      <c r="K2556" s="444">
        <f t="shared" ca="1" si="128"/>
        <v>-38268532.453386158</v>
      </c>
      <c r="L2556" s="444">
        <f t="shared" ca="1" si="129"/>
        <v>-9222716321.2660637</v>
      </c>
      <c r="M2556" s="460">
        <f t="shared" si="131"/>
        <v>0.05</v>
      </c>
      <c r="N2556" s="464">
        <f t="shared" si="132"/>
        <v>128841</v>
      </c>
    </row>
    <row r="2557" spans="7:14" ht="11.25" customHeight="1" x14ac:dyDescent="0.3">
      <c r="G2557" s="459"/>
      <c r="H2557" s="459">
        <v>2550</v>
      </c>
      <c r="I2557" s="444">
        <f t="shared" ca="1" si="130"/>
        <v>-9222716321.2660637</v>
      </c>
      <c r="J2557" s="444">
        <f t="array" ref="J2557">IFERROR(INDEX('Retirement Calculator'!K:K,MATCH('Lorri 401b'!N2557,'Retirement Calculator'!A:A,0),0),0)</f>
        <v>0</v>
      </c>
      <c r="K2557" s="444">
        <f t="shared" ca="1" si="128"/>
        <v>-38427984.671941929</v>
      </c>
      <c r="L2557" s="444">
        <f t="shared" ca="1" si="129"/>
        <v>-9261144305.9380054</v>
      </c>
      <c r="M2557" s="460">
        <f t="shared" si="131"/>
        <v>0.05</v>
      </c>
      <c r="N2557" s="464">
        <f t="shared" si="132"/>
        <v>128872</v>
      </c>
    </row>
    <row r="2558" spans="7:14" ht="11.25" customHeight="1" x14ac:dyDescent="0.3">
      <c r="G2558" s="459"/>
      <c r="H2558" s="459">
        <v>2551</v>
      </c>
      <c r="I2558" s="444">
        <f t="shared" ca="1" si="130"/>
        <v>-9261144305.9380054</v>
      </c>
      <c r="J2558" s="444">
        <f t="array" ref="J2558">IFERROR(INDEX('Retirement Calculator'!K:K,MATCH('Lorri 401b'!N2558,'Retirement Calculator'!A:A,0),0),0)</f>
        <v>0</v>
      </c>
      <c r="K2558" s="444">
        <f t="shared" ref="K2558:K2812" ca="1" si="133">IPMT(M2558/12,1,12,-I2558+J2558,,0)</f>
        <v>-38588101.274741687</v>
      </c>
      <c r="L2558" s="444">
        <f t="shared" ref="L2558:L2812" ca="1" si="134">I2558-J2558+K2558</f>
        <v>-9299732407.2127476</v>
      </c>
      <c r="M2558" s="460">
        <f t="shared" si="131"/>
        <v>0.05</v>
      </c>
      <c r="N2558" s="464">
        <f t="shared" si="132"/>
        <v>128902</v>
      </c>
    </row>
    <row r="2559" spans="7:14" ht="11.25" customHeight="1" x14ac:dyDescent="0.3">
      <c r="G2559" s="459"/>
      <c r="H2559" s="459">
        <v>2552</v>
      </c>
      <c r="I2559" s="444">
        <f t="shared" ref="I2559:I2813" ca="1" si="135">L2558</f>
        <v>-9299732407.2127476</v>
      </c>
      <c r="J2559" s="444">
        <f t="array" ref="J2559">IFERROR(INDEX('Retirement Calculator'!K:K,MATCH('Lorri 401b'!N2559,'Retirement Calculator'!A:A,0),0),0)</f>
        <v>0</v>
      </c>
      <c r="K2559" s="444">
        <f t="shared" ca="1" si="133"/>
        <v>-38748885.030053116</v>
      </c>
      <c r="L2559" s="444">
        <f t="shared" ca="1" si="134"/>
        <v>-9338481292.2427998</v>
      </c>
      <c r="M2559" s="460">
        <f t="shared" ref="M2559:M2813" si="136">M2558</f>
        <v>0.05</v>
      </c>
      <c r="N2559" s="464">
        <f t="shared" ref="N2559:N2813" si="137">EDATE(N2558,1)</f>
        <v>128933</v>
      </c>
    </row>
    <row r="2560" spans="7:14" ht="11.25" customHeight="1" x14ac:dyDescent="0.3">
      <c r="G2560" s="459"/>
      <c r="H2560" s="459">
        <v>2553</v>
      </c>
      <c r="I2560" s="444">
        <f t="shared" ca="1" si="135"/>
        <v>-9338481292.2427998</v>
      </c>
      <c r="J2560" s="444">
        <f t="array" ref="J2560">IFERROR(INDEX('Retirement Calculator'!K:K,MATCH('Lorri 401b'!N2560,'Retirement Calculator'!A:A,0),0),0)</f>
        <v>0</v>
      </c>
      <c r="K2560" s="444">
        <f t="shared" ca="1" si="133"/>
        <v>-38910338.717678331</v>
      </c>
      <c r="L2560" s="444">
        <f t="shared" ca="1" si="134"/>
        <v>-9377391630.9604778</v>
      </c>
      <c r="M2560" s="460">
        <f t="shared" si="136"/>
        <v>0.05</v>
      </c>
      <c r="N2560" s="464">
        <f t="shared" si="137"/>
        <v>128964</v>
      </c>
    </row>
    <row r="2561" spans="7:14" ht="11.25" customHeight="1" x14ac:dyDescent="0.3">
      <c r="G2561" s="459"/>
      <c r="H2561" s="459">
        <v>2554</v>
      </c>
      <c r="I2561" s="444">
        <f t="shared" ca="1" si="135"/>
        <v>-9377391630.9604778</v>
      </c>
      <c r="J2561" s="444">
        <f t="array" ref="J2561">IFERROR(INDEX('Retirement Calculator'!K:K,MATCH('Lorri 401b'!N2561,'Retirement Calculator'!A:A,0),0),0)</f>
        <v>0</v>
      </c>
      <c r="K2561" s="444">
        <f t="shared" ca="1" si="133"/>
        <v>-39072465.12900199</v>
      </c>
      <c r="L2561" s="444">
        <f t="shared" ca="1" si="134"/>
        <v>-9416464096.0894794</v>
      </c>
      <c r="M2561" s="460">
        <f t="shared" si="136"/>
        <v>0.05</v>
      </c>
      <c r="N2561" s="464">
        <f t="shared" si="137"/>
        <v>128992</v>
      </c>
    </row>
    <row r="2562" spans="7:14" ht="11.25" customHeight="1" x14ac:dyDescent="0.3">
      <c r="G2562" s="459"/>
      <c r="H2562" s="459">
        <v>2555</v>
      </c>
      <c r="I2562" s="444">
        <f t="shared" ca="1" si="135"/>
        <v>-9416464096.0894794</v>
      </c>
      <c r="J2562" s="444">
        <f t="array" ref="J2562">IFERROR(INDEX('Retirement Calculator'!K:K,MATCH('Lorri 401b'!N2562,'Retirement Calculator'!A:A,0),0),0)</f>
        <v>0</v>
      </c>
      <c r="K2562" s="444">
        <f t="shared" ca="1" si="133"/>
        <v>-39235267.067039497</v>
      </c>
      <c r="L2562" s="444">
        <f t="shared" ca="1" si="134"/>
        <v>-9455699363.1565189</v>
      </c>
      <c r="M2562" s="460">
        <f t="shared" si="136"/>
        <v>0.05</v>
      </c>
      <c r="N2562" s="464">
        <f t="shared" si="137"/>
        <v>129023</v>
      </c>
    </row>
    <row r="2563" spans="7:14" ht="11.25" customHeight="1" x14ac:dyDescent="0.3">
      <c r="G2563" s="459"/>
      <c r="H2563" s="459">
        <v>2556</v>
      </c>
      <c r="I2563" s="444">
        <f t="shared" ca="1" si="135"/>
        <v>-9455699363.1565189</v>
      </c>
      <c r="J2563" s="444">
        <f t="array" ref="J2563">IFERROR(INDEX('Retirement Calculator'!K:K,MATCH('Lorri 401b'!N2563,'Retirement Calculator'!A:A,0),0),0)</f>
        <v>0</v>
      </c>
      <c r="K2563" s="444">
        <f t="shared" ca="1" si="133"/>
        <v>-39398747.346485496</v>
      </c>
      <c r="L2563" s="444">
        <f t="shared" ca="1" si="134"/>
        <v>-9495098110.5030041</v>
      </c>
      <c r="M2563" s="460">
        <f t="shared" si="136"/>
        <v>0.05</v>
      </c>
      <c r="N2563" s="464">
        <f t="shared" si="137"/>
        <v>129053</v>
      </c>
    </row>
    <row r="2564" spans="7:14" ht="11.25" customHeight="1" x14ac:dyDescent="0.3">
      <c r="G2564" s="459"/>
      <c r="H2564" s="459">
        <v>2557</v>
      </c>
      <c r="I2564" s="444">
        <f t="shared" ca="1" si="135"/>
        <v>-9495098110.5030041</v>
      </c>
      <c r="J2564" s="444">
        <f t="array" ref="J2564">IFERROR(INDEX('Retirement Calculator'!K:K,MATCH('Lorri 401b'!N2564,'Retirement Calculator'!A:A,0),0),0)</f>
        <v>0</v>
      </c>
      <c r="K2564" s="444">
        <f t="shared" ca="1" si="133"/>
        <v>-39562908.79376252</v>
      </c>
      <c r="L2564" s="444">
        <f t="shared" ca="1" si="134"/>
        <v>-9534661019.2967663</v>
      </c>
      <c r="M2564" s="460">
        <f t="shared" si="136"/>
        <v>0.05</v>
      </c>
      <c r="N2564" s="464">
        <f t="shared" si="137"/>
        <v>129084</v>
      </c>
    </row>
    <row r="2565" spans="7:14" ht="11.25" customHeight="1" x14ac:dyDescent="0.3">
      <c r="G2565" s="459"/>
      <c r="H2565" s="459">
        <v>2558</v>
      </c>
      <c r="I2565" s="444">
        <f t="shared" ca="1" si="135"/>
        <v>-9534661019.2967663</v>
      </c>
      <c r="J2565" s="444">
        <f t="array" ref="J2565">IFERROR(INDEX('Retirement Calculator'!K:K,MATCH('Lorri 401b'!N2565,'Retirement Calculator'!A:A,0),0),0)</f>
        <v>0</v>
      </c>
      <c r="K2565" s="444">
        <f t="shared" ca="1" si="133"/>
        <v>-39727754.247069858</v>
      </c>
      <c r="L2565" s="444">
        <f t="shared" ca="1" si="134"/>
        <v>-9574388773.5438366</v>
      </c>
      <c r="M2565" s="460">
        <f t="shared" si="136"/>
        <v>0.05</v>
      </c>
      <c r="N2565" s="464">
        <f t="shared" si="137"/>
        <v>129114</v>
      </c>
    </row>
    <row r="2566" spans="7:14" ht="11.25" customHeight="1" x14ac:dyDescent="0.3">
      <c r="G2566" s="459"/>
      <c r="H2566" s="459">
        <v>2559</v>
      </c>
      <c r="I2566" s="444">
        <f t="shared" ca="1" si="135"/>
        <v>-9574388773.5438366</v>
      </c>
      <c r="J2566" s="444">
        <f t="array" ref="J2566">IFERROR(INDEX('Retirement Calculator'!K:K,MATCH('Lorri 401b'!N2566,'Retirement Calculator'!A:A,0),0),0)</f>
        <v>0</v>
      </c>
      <c r="K2566" s="444">
        <f t="shared" ca="1" si="133"/>
        <v>-39893286.556432649</v>
      </c>
      <c r="L2566" s="444">
        <f t="shared" ca="1" si="134"/>
        <v>-9614282060.1002693</v>
      </c>
      <c r="M2566" s="460">
        <f t="shared" si="136"/>
        <v>0.05</v>
      </c>
      <c r="N2566" s="464">
        <f t="shared" si="137"/>
        <v>129145</v>
      </c>
    </row>
    <row r="2567" spans="7:14" ht="11.25" customHeight="1" x14ac:dyDescent="0.3">
      <c r="G2567" s="459"/>
      <c r="H2567" s="459">
        <v>2560</v>
      </c>
      <c r="I2567" s="444">
        <f t="shared" ca="1" si="135"/>
        <v>-9614282060.1002693</v>
      </c>
      <c r="J2567" s="444">
        <f t="array" ref="J2567">IFERROR(INDEX('Retirement Calculator'!K:K,MATCH('Lorri 401b'!N2567,'Retirement Calculator'!A:A,0),0),0)</f>
        <v>0</v>
      </c>
      <c r="K2567" s="444">
        <f t="shared" ca="1" si="133"/>
        <v>-40059508.58375112</v>
      </c>
      <c r="L2567" s="444">
        <f t="shared" ca="1" si="134"/>
        <v>-9654341568.684021</v>
      </c>
      <c r="M2567" s="460">
        <f t="shared" si="136"/>
        <v>0.05</v>
      </c>
      <c r="N2567" s="464">
        <f t="shared" si="137"/>
        <v>129176</v>
      </c>
    </row>
    <row r="2568" spans="7:14" ht="11.25" customHeight="1" x14ac:dyDescent="0.3">
      <c r="G2568" s="459"/>
      <c r="H2568" s="459">
        <v>2561</v>
      </c>
      <c r="I2568" s="444">
        <f t="shared" ca="1" si="135"/>
        <v>-9654341568.684021</v>
      </c>
      <c r="J2568" s="444">
        <f t="array" ref="J2568">IFERROR(INDEX('Retirement Calculator'!K:K,MATCH('Lorri 401b'!N2568,'Retirement Calculator'!A:A,0),0),0)</f>
        <v>0</v>
      </c>
      <c r="K2568" s="444">
        <f t="shared" ca="1" si="133"/>
        <v>-40226423.202850088</v>
      </c>
      <c r="L2568" s="444">
        <f t="shared" ca="1" si="134"/>
        <v>-9694567991.8868713</v>
      </c>
      <c r="M2568" s="460">
        <f t="shared" si="136"/>
        <v>0.05</v>
      </c>
      <c r="N2568" s="464">
        <f t="shared" si="137"/>
        <v>129206</v>
      </c>
    </row>
    <row r="2569" spans="7:14" ht="11.25" customHeight="1" x14ac:dyDescent="0.3">
      <c r="G2569" s="459"/>
      <c r="H2569" s="459">
        <v>2562</v>
      </c>
      <c r="I2569" s="444">
        <f t="shared" ca="1" si="135"/>
        <v>-9694567991.8868713</v>
      </c>
      <c r="J2569" s="444">
        <f t="array" ref="J2569">IFERROR(INDEX('Retirement Calculator'!K:K,MATCH('Lorri 401b'!N2569,'Retirement Calculator'!A:A,0),0),0)</f>
        <v>0</v>
      </c>
      <c r="K2569" s="444">
        <f t="shared" ca="1" si="133"/>
        <v>-40394033.299528629</v>
      </c>
      <c r="L2569" s="444">
        <f t="shared" ca="1" si="134"/>
        <v>-9734962025.1863995</v>
      </c>
      <c r="M2569" s="460">
        <f t="shared" si="136"/>
        <v>0.05</v>
      </c>
      <c r="N2569" s="464">
        <f t="shared" si="137"/>
        <v>129237</v>
      </c>
    </row>
    <row r="2570" spans="7:14" ht="11.25" customHeight="1" x14ac:dyDescent="0.3">
      <c r="G2570" s="459"/>
      <c r="H2570" s="459">
        <v>2563</v>
      </c>
      <c r="I2570" s="444">
        <f t="shared" ca="1" si="135"/>
        <v>-9734962025.1863995</v>
      </c>
      <c r="J2570" s="444">
        <f t="array" ref="J2570">IFERROR(INDEX('Retirement Calculator'!K:K,MATCH('Lorri 401b'!N2570,'Retirement Calculator'!A:A,0),0),0)</f>
        <v>0</v>
      </c>
      <c r="K2570" s="444">
        <f t="shared" ca="1" si="133"/>
        <v>-40562341.771609999</v>
      </c>
      <c r="L2570" s="444">
        <f t="shared" ca="1" si="134"/>
        <v>-9775524366.9580097</v>
      </c>
      <c r="M2570" s="460">
        <f t="shared" si="136"/>
        <v>0.05</v>
      </c>
      <c r="N2570" s="464">
        <f t="shared" si="137"/>
        <v>129267</v>
      </c>
    </row>
    <row r="2571" spans="7:14" ht="11.25" customHeight="1" x14ac:dyDescent="0.3">
      <c r="G2571" s="459"/>
      <c r="H2571" s="459">
        <v>2564</v>
      </c>
      <c r="I2571" s="444">
        <f t="shared" ca="1" si="135"/>
        <v>-9775524366.9580097</v>
      </c>
      <c r="J2571" s="444">
        <f t="array" ref="J2571">IFERROR(INDEX('Retirement Calculator'!K:K,MATCH('Lorri 401b'!N2571,'Retirement Calculator'!A:A,0),0),0)</f>
        <v>0</v>
      </c>
      <c r="K2571" s="444">
        <f t="shared" ca="1" si="133"/>
        <v>-40731351.528991707</v>
      </c>
      <c r="L2571" s="444">
        <f t="shared" ca="1" si="134"/>
        <v>-9816255718.4870014</v>
      </c>
      <c r="M2571" s="460">
        <f t="shared" si="136"/>
        <v>0.05</v>
      </c>
      <c r="N2571" s="464">
        <f t="shared" si="137"/>
        <v>129298</v>
      </c>
    </row>
    <row r="2572" spans="7:14" ht="11.25" customHeight="1" x14ac:dyDescent="0.3">
      <c r="G2572" s="459"/>
      <c r="H2572" s="459">
        <v>2565</v>
      </c>
      <c r="I2572" s="444">
        <f t="shared" ca="1" si="135"/>
        <v>-9816255718.4870014</v>
      </c>
      <c r="J2572" s="444">
        <f t="array" ref="J2572">IFERROR(INDEX('Retirement Calculator'!K:K,MATCH('Lorri 401b'!N2572,'Retirement Calculator'!A:A,0),0),0)</f>
        <v>0</v>
      </c>
      <c r="K2572" s="444">
        <f t="shared" ca="1" si="133"/>
        <v>-40901065.49369584</v>
      </c>
      <c r="L2572" s="444">
        <f t="shared" ca="1" si="134"/>
        <v>-9857156783.9806976</v>
      </c>
      <c r="M2572" s="460">
        <f t="shared" si="136"/>
        <v>0.05</v>
      </c>
      <c r="N2572" s="464">
        <f t="shared" si="137"/>
        <v>129329</v>
      </c>
    </row>
    <row r="2573" spans="7:14" ht="11.25" customHeight="1" x14ac:dyDescent="0.3">
      <c r="G2573" s="459"/>
      <c r="H2573" s="459">
        <v>2566</v>
      </c>
      <c r="I2573" s="444">
        <f t="shared" ca="1" si="135"/>
        <v>-9857156783.9806976</v>
      </c>
      <c r="J2573" s="444">
        <f t="array" ref="J2573">IFERROR(INDEX('Retirement Calculator'!K:K,MATCH('Lorri 401b'!N2573,'Retirement Calculator'!A:A,0),0),0)</f>
        <v>0</v>
      </c>
      <c r="K2573" s="444">
        <f t="shared" ca="1" si="133"/>
        <v>-41071486.599919572</v>
      </c>
      <c r="L2573" s="444">
        <f t="shared" ca="1" si="134"/>
        <v>-9898228270.5806179</v>
      </c>
      <c r="M2573" s="460">
        <f t="shared" si="136"/>
        <v>0.05</v>
      </c>
      <c r="N2573" s="464">
        <f t="shared" si="137"/>
        <v>129357</v>
      </c>
    </row>
    <row r="2574" spans="7:14" ht="11.25" customHeight="1" x14ac:dyDescent="0.3">
      <c r="G2574" s="459"/>
      <c r="H2574" s="459">
        <v>2567</v>
      </c>
      <c r="I2574" s="444">
        <f t="shared" ca="1" si="135"/>
        <v>-9898228270.5806179</v>
      </c>
      <c r="J2574" s="444">
        <f t="array" ref="J2574">IFERROR(INDEX('Retirement Calculator'!K:K,MATCH('Lorri 401b'!N2574,'Retirement Calculator'!A:A,0),0),0)</f>
        <v>0</v>
      </c>
      <c r="K2574" s="444">
        <f t="shared" ca="1" si="133"/>
        <v>-41242617.794085905</v>
      </c>
      <c r="L2574" s="444">
        <f t="shared" ca="1" si="134"/>
        <v>-9939470888.3747044</v>
      </c>
      <c r="M2574" s="460">
        <f t="shared" si="136"/>
        <v>0.05</v>
      </c>
      <c r="N2574" s="464">
        <f t="shared" si="137"/>
        <v>129388</v>
      </c>
    </row>
    <row r="2575" spans="7:14" ht="11.25" customHeight="1" x14ac:dyDescent="0.3">
      <c r="G2575" s="459"/>
      <c r="H2575" s="459">
        <v>2568</v>
      </c>
      <c r="I2575" s="444">
        <f t="shared" ca="1" si="135"/>
        <v>-9939470888.3747044</v>
      </c>
      <c r="J2575" s="444">
        <f t="array" ref="J2575">IFERROR(INDEX('Retirement Calculator'!K:K,MATCH('Lorri 401b'!N2575,'Retirement Calculator'!A:A,0),0),0)</f>
        <v>0</v>
      </c>
      <c r="K2575" s="444">
        <f t="shared" ca="1" si="133"/>
        <v>-41414462.034894601</v>
      </c>
      <c r="L2575" s="444">
        <f t="shared" ca="1" si="134"/>
        <v>-9980885350.4095993</v>
      </c>
      <c r="M2575" s="460">
        <f t="shared" si="136"/>
        <v>0.05</v>
      </c>
      <c r="N2575" s="464">
        <f t="shared" si="137"/>
        <v>129418</v>
      </c>
    </row>
    <row r="2576" spans="7:14" ht="11.25" customHeight="1" x14ac:dyDescent="0.3">
      <c r="G2576" s="459"/>
      <c r="H2576" s="459">
        <v>2569</v>
      </c>
      <c r="I2576" s="444">
        <f t="shared" ca="1" si="135"/>
        <v>-9980885350.4095993</v>
      </c>
      <c r="J2576" s="444">
        <f t="array" ref="J2576">IFERROR(INDEX('Retirement Calculator'!K:K,MATCH('Lorri 401b'!N2576,'Retirement Calculator'!A:A,0),0),0)</f>
        <v>0</v>
      </c>
      <c r="K2576" s="444">
        <f t="shared" ca="1" si="133"/>
        <v>-41587022.293373331</v>
      </c>
      <c r="L2576" s="444">
        <f t="shared" ca="1" si="134"/>
        <v>-10022472372.702972</v>
      </c>
      <c r="M2576" s="460">
        <f t="shared" si="136"/>
        <v>0.05</v>
      </c>
      <c r="N2576" s="464">
        <f t="shared" si="137"/>
        <v>129449</v>
      </c>
    </row>
    <row r="2577" spans="7:14" ht="11.25" customHeight="1" x14ac:dyDescent="0.3">
      <c r="G2577" s="459"/>
      <c r="H2577" s="459">
        <v>2570</v>
      </c>
      <c r="I2577" s="444">
        <f t="shared" ca="1" si="135"/>
        <v>-10022472372.702972</v>
      </c>
      <c r="J2577" s="444">
        <f t="array" ref="J2577">IFERROR(INDEX('Retirement Calculator'!K:K,MATCH('Lorri 401b'!N2577,'Retirement Calculator'!A:A,0),0),0)</f>
        <v>0</v>
      </c>
      <c r="K2577" s="444">
        <f t="shared" ca="1" si="133"/>
        <v>-41760301.552929051</v>
      </c>
      <c r="L2577" s="444">
        <f t="shared" ca="1" si="134"/>
        <v>-10064232674.255901</v>
      </c>
      <c r="M2577" s="460">
        <f t="shared" si="136"/>
        <v>0.05</v>
      </c>
      <c r="N2577" s="464">
        <f t="shared" si="137"/>
        <v>129479</v>
      </c>
    </row>
    <row r="2578" spans="7:14" ht="11.25" customHeight="1" x14ac:dyDescent="0.3">
      <c r="G2578" s="459"/>
      <c r="H2578" s="459">
        <v>2571</v>
      </c>
      <c r="I2578" s="444">
        <f t="shared" ca="1" si="135"/>
        <v>-10064232674.255901</v>
      </c>
      <c r="J2578" s="444">
        <f t="array" ref="J2578">IFERROR(INDEX('Retirement Calculator'!K:K,MATCH('Lorri 401b'!N2578,'Retirement Calculator'!A:A,0),0),0)</f>
        <v>0</v>
      </c>
      <c r="K2578" s="444">
        <f t="shared" ca="1" si="133"/>
        <v>-41934302.80939959</v>
      </c>
      <c r="L2578" s="444">
        <f t="shared" ca="1" si="134"/>
        <v>-10106166977.0653</v>
      </c>
      <c r="M2578" s="460">
        <f t="shared" si="136"/>
        <v>0.05</v>
      </c>
      <c r="N2578" s="464">
        <f t="shared" si="137"/>
        <v>129510</v>
      </c>
    </row>
    <row r="2579" spans="7:14" ht="11.25" customHeight="1" x14ac:dyDescent="0.3">
      <c r="G2579" s="459"/>
      <c r="H2579" s="459">
        <v>2572</v>
      </c>
      <c r="I2579" s="444">
        <f t="shared" ca="1" si="135"/>
        <v>-10106166977.0653</v>
      </c>
      <c r="J2579" s="444">
        <f t="array" ref="J2579">IFERROR(INDEX('Retirement Calculator'!K:K,MATCH('Lorri 401b'!N2579,'Retirement Calculator'!A:A,0),0),0)</f>
        <v>0</v>
      </c>
      <c r="K2579" s="444">
        <f t="shared" ca="1" si="133"/>
        <v>-42109029.071105413</v>
      </c>
      <c r="L2579" s="444">
        <f t="shared" ca="1" si="134"/>
        <v>-10148276006.136406</v>
      </c>
      <c r="M2579" s="460">
        <f t="shared" si="136"/>
        <v>0.05</v>
      </c>
      <c r="N2579" s="464">
        <f t="shared" si="137"/>
        <v>129541</v>
      </c>
    </row>
    <row r="2580" spans="7:14" ht="11.25" customHeight="1" x14ac:dyDescent="0.3">
      <c r="G2580" s="459"/>
      <c r="H2580" s="459">
        <v>2573</v>
      </c>
      <c r="I2580" s="444">
        <f t="shared" ca="1" si="135"/>
        <v>-10148276006.136406</v>
      </c>
      <c r="J2580" s="444">
        <f t="array" ref="J2580">IFERROR(INDEX('Retirement Calculator'!K:K,MATCH('Lorri 401b'!N2580,'Retirement Calculator'!A:A,0),0),0)</f>
        <v>0</v>
      </c>
      <c r="K2580" s="444">
        <f t="shared" ca="1" si="133"/>
        <v>-42284483.358901694</v>
      </c>
      <c r="L2580" s="444">
        <f t="shared" ca="1" si="134"/>
        <v>-10190560489.495308</v>
      </c>
      <c r="M2580" s="460">
        <f t="shared" si="136"/>
        <v>0.05</v>
      </c>
      <c r="N2580" s="464">
        <f t="shared" si="137"/>
        <v>129571</v>
      </c>
    </row>
    <row r="2581" spans="7:14" ht="11.25" customHeight="1" x14ac:dyDescent="0.3">
      <c r="G2581" s="459"/>
      <c r="H2581" s="459">
        <v>2574</v>
      </c>
      <c r="I2581" s="444">
        <f t="shared" ca="1" si="135"/>
        <v>-10190560489.495308</v>
      </c>
      <c r="J2581" s="444">
        <f t="array" ref="J2581">IFERROR(INDEX('Retirement Calculator'!K:K,MATCH('Lorri 401b'!N2581,'Retirement Calculator'!A:A,0),0),0)</f>
        <v>0</v>
      </c>
      <c r="K2581" s="444">
        <f t="shared" ca="1" si="133"/>
        <v>-42460668.706230447</v>
      </c>
      <c r="L2581" s="444">
        <f t="shared" ca="1" si="134"/>
        <v>-10233021158.201538</v>
      </c>
      <c r="M2581" s="460">
        <f t="shared" si="136"/>
        <v>0.05</v>
      </c>
      <c r="N2581" s="464">
        <f t="shared" si="137"/>
        <v>129602</v>
      </c>
    </row>
    <row r="2582" spans="7:14" ht="11.25" customHeight="1" x14ac:dyDescent="0.3">
      <c r="G2582" s="459"/>
      <c r="H2582" s="459">
        <v>2575</v>
      </c>
      <c r="I2582" s="444">
        <f t="shared" ca="1" si="135"/>
        <v>-10233021158.201538</v>
      </c>
      <c r="J2582" s="444">
        <f t="array" ref="J2582">IFERROR(INDEX('Retirement Calculator'!K:K,MATCH('Lorri 401b'!N2582,'Retirement Calculator'!A:A,0),0),0)</f>
        <v>0</v>
      </c>
      <c r="K2582" s="444">
        <f t="shared" ca="1" si="133"/>
        <v>-42637588.159173071</v>
      </c>
      <c r="L2582" s="444">
        <f t="shared" ca="1" si="134"/>
        <v>-10275658746.360712</v>
      </c>
      <c r="M2582" s="460">
        <f t="shared" si="136"/>
        <v>0.05</v>
      </c>
      <c r="N2582" s="464">
        <f t="shared" si="137"/>
        <v>129632</v>
      </c>
    </row>
    <row r="2583" spans="7:14" ht="11.25" customHeight="1" x14ac:dyDescent="0.3">
      <c r="G2583" s="459"/>
      <c r="H2583" s="459">
        <v>2576</v>
      </c>
      <c r="I2583" s="444">
        <f t="shared" ca="1" si="135"/>
        <v>-10275658746.360712</v>
      </c>
      <c r="J2583" s="444">
        <f t="array" ref="J2583">IFERROR(INDEX('Retirement Calculator'!K:K,MATCH('Lorri 401b'!N2583,'Retirement Calculator'!A:A,0),0),0)</f>
        <v>0</v>
      </c>
      <c r="K2583" s="444">
        <f t="shared" ca="1" si="133"/>
        <v>-42815244.776502967</v>
      </c>
      <c r="L2583" s="444">
        <f t="shared" ca="1" si="134"/>
        <v>-10318473991.137215</v>
      </c>
      <c r="M2583" s="460">
        <f t="shared" si="136"/>
        <v>0.05</v>
      </c>
      <c r="N2583" s="464">
        <f t="shared" si="137"/>
        <v>129663</v>
      </c>
    </row>
    <row r="2584" spans="7:14" ht="11.25" customHeight="1" x14ac:dyDescent="0.3">
      <c r="G2584" s="459"/>
      <c r="H2584" s="459">
        <v>2577</v>
      </c>
      <c r="I2584" s="444">
        <f t="shared" ca="1" si="135"/>
        <v>-10318473991.137215</v>
      </c>
      <c r="J2584" s="444">
        <f t="array" ref="J2584">IFERROR(INDEX('Retirement Calculator'!K:K,MATCH('Lorri 401b'!N2584,'Retirement Calculator'!A:A,0),0),0)</f>
        <v>0</v>
      </c>
      <c r="K2584" s="444">
        <f t="shared" ca="1" si="133"/>
        <v>-42993641.62973839</v>
      </c>
      <c r="L2584" s="444">
        <f t="shared" ca="1" si="134"/>
        <v>-10361467632.766953</v>
      </c>
      <c r="M2584" s="460">
        <f t="shared" si="136"/>
        <v>0.05</v>
      </c>
      <c r="N2584" s="464">
        <f t="shared" si="137"/>
        <v>129694</v>
      </c>
    </row>
    <row r="2585" spans="7:14" ht="11.25" customHeight="1" x14ac:dyDescent="0.3">
      <c r="G2585" s="459"/>
      <c r="H2585" s="459">
        <v>2578</v>
      </c>
      <c r="I2585" s="444">
        <f t="shared" ca="1" si="135"/>
        <v>-10361467632.766953</v>
      </c>
      <c r="J2585" s="444">
        <f t="array" ref="J2585">IFERROR(INDEX('Retirement Calculator'!K:K,MATCH('Lorri 401b'!N2585,'Retirement Calculator'!A:A,0),0),0)</f>
        <v>0</v>
      </c>
      <c r="K2585" s="444">
        <f t="shared" ca="1" si="133"/>
        <v>-43172781.803195633</v>
      </c>
      <c r="L2585" s="444">
        <f t="shared" ca="1" si="134"/>
        <v>-10404640414.570148</v>
      </c>
      <c r="M2585" s="460">
        <f t="shared" si="136"/>
        <v>0.05</v>
      </c>
      <c r="N2585" s="464">
        <f t="shared" si="137"/>
        <v>129722</v>
      </c>
    </row>
    <row r="2586" spans="7:14" ht="11.25" customHeight="1" x14ac:dyDescent="0.3">
      <c r="G2586" s="459"/>
      <c r="H2586" s="459">
        <v>2579</v>
      </c>
      <c r="I2586" s="444">
        <f t="shared" ca="1" si="135"/>
        <v>-10404640414.570148</v>
      </c>
      <c r="J2586" s="444">
        <f t="array" ref="J2586">IFERROR(INDEX('Retirement Calculator'!K:K,MATCH('Lorri 401b'!N2586,'Retirement Calculator'!A:A,0),0),0)</f>
        <v>0</v>
      </c>
      <c r="K2586" s="444">
        <f t="shared" ca="1" si="133"/>
        <v>-43352668.394042283</v>
      </c>
      <c r="L2586" s="444">
        <f t="shared" ca="1" si="134"/>
        <v>-10447993082.964191</v>
      </c>
      <c r="M2586" s="460">
        <f t="shared" si="136"/>
        <v>0.05</v>
      </c>
      <c r="N2586" s="464">
        <f t="shared" si="137"/>
        <v>129753</v>
      </c>
    </row>
    <row r="2587" spans="7:14" ht="11.25" customHeight="1" x14ac:dyDescent="0.3">
      <c r="G2587" s="459"/>
      <c r="H2587" s="459">
        <v>2580</v>
      </c>
      <c r="I2587" s="444">
        <f t="shared" ca="1" si="135"/>
        <v>-10447993082.964191</v>
      </c>
      <c r="J2587" s="444">
        <f t="array" ref="J2587">IFERROR(INDEX('Retirement Calculator'!K:K,MATCH('Lorri 401b'!N2587,'Retirement Calculator'!A:A,0),0),0)</f>
        <v>0</v>
      </c>
      <c r="K2587" s="444">
        <f t="shared" ca="1" si="133"/>
        <v>-43533304.512350798</v>
      </c>
      <c r="L2587" s="444">
        <f t="shared" ca="1" si="134"/>
        <v>-10491526387.476542</v>
      </c>
      <c r="M2587" s="460">
        <f t="shared" si="136"/>
        <v>0.05</v>
      </c>
      <c r="N2587" s="464">
        <f t="shared" si="137"/>
        <v>129783</v>
      </c>
    </row>
    <row r="2588" spans="7:14" ht="11.25" customHeight="1" x14ac:dyDescent="0.3">
      <c r="G2588" s="459"/>
      <c r="H2588" s="459">
        <v>2581</v>
      </c>
      <c r="I2588" s="444">
        <f t="shared" ca="1" si="135"/>
        <v>-10491526387.476542</v>
      </c>
      <c r="J2588" s="444">
        <f t="array" ref="J2588">IFERROR(INDEX('Retirement Calculator'!K:K,MATCH('Lorri 401b'!N2588,'Retirement Calculator'!A:A,0),0),0)</f>
        <v>0</v>
      </c>
      <c r="K2588" s="444">
        <f t="shared" ca="1" si="133"/>
        <v>-43714693.281152256</v>
      </c>
      <c r="L2588" s="444">
        <f t="shared" ca="1" si="134"/>
        <v>-10535241080.757694</v>
      </c>
      <c r="M2588" s="460">
        <f t="shared" si="136"/>
        <v>0.05</v>
      </c>
      <c r="N2588" s="464">
        <f t="shared" si="137"/>
        <v>129814</v>
      </c>
    </row>
    <row r="2589" spans="7:14" ht="11.25" customHeight="1" x14ac:dyDescent="0.3">
      <c r="G2589" s="459"/>
      <c r="H2589" s="459">
        <v>2582</v>
      </c>
      <c r="I2589" s="444">
        <f t="shared" ca="1" si="135"/>
        <v>-10535241080.757694</v>
      </c>
      <c r="J2589" s="444">
        <f t="array" ref="J2589">IFERROR(INDEX('Retirement Calculator'!K:K,MATCH('Lorri 401b'!N2589,'Retirement Calculator'!A:A,0),0),0)</f>
        <v>0</v>
      </c>
      <c r="K2589" s="444">
        <f t="shared" ca="1" si="133"/>
        <v>-43896837.836490393</v>
      </c>
      <c r="L2589" s="444">
        <f t="shared" ca="1" si="134"/>
        <v>-10579137918.594185</v>
      </c>
      <c r="M2589" s="460">
        <f t="shared" si="136"/>
        <v>0.05</v>
      </c>
      <c r="N2589" s="464">
        <f t="shared" si="137"/>
        <v>129844</v>
      </c>
    </row>
    <row r="2590" spans="7:14" ht="11.25" customHeight="1" x14ac:dyDescent="0.3">
      <c r="G2590" s="459"/>
      <c r="H2590" s="459">
        <v>2583</v>
      </c>
      <c r="I2590" s="444">
        <f t="shared" ca="1" si="135"/>
        <v>-10579137918.594185</v>
      </c>
      <c r="J2590" s="444">
        <f t="array" ref="J2590">IFERROR(INDEX('Retirement Calculator'!K:K,MATCH('Lorri 401b'!N2590,'Retirement Calculator'!A:A,0),0),0)</f>
        <v>0</v>
      </c>
      <c r="K2590" s="444">
        <f t="shared" ca="1" si="133"/>
        <v>-44079741.327475771</v>
      </c>
      <c r="L2590" s="444">
        <f t="shared" ca="1" si="134"/>
        <v>-10623217659.921661</v>
      </c>
      <c r="M2590" s="460">
        <f t="shared" si="136"/>
        <v>0.05</v>
      </c>
      <c r="N2590" s="464">
        <f t="shared" si="137"/>
        <v>129875</v>
      </c>
    </row>
    <row r="2591" spans="7:14" ht="11.25" customHeight="1" x14ac:dyDescent="0.3">
      <c r="G2591" s="459"/>
      <c r="H2591" s="459">
        <v>2584</v>
      </c>
      <c r="I2591" s="444">
        <f t="shared" ca="1" si="135"/>
        <v>-10623217659.921661</v>
      </c>
      <c r="J2591" s="444">
        <f t="array" ref="J2591">IFERROR(INDEX('Retirement Calculator'!K:K,MATCH('Lorri 401b'!N2591,'Retirement Calculator'!A:A,0),0),0)</f>
        <v>0</v>
      </c>
      <c r="K2591" s="444">
        <f t="shared" ca="1" si="133"/>
        <v>-44263406.916340254</v>
      </c>
      <c r="L2591" s="444">
        <f t="shared" ca="1" si="134"/>
        <v>-10667481066.838001</v>
      </c>
      <c r="M2591" s="460">
        <f t="shared" si="136"/>
        <v>0.05</v>
      </c>
      <c r="N2591" s="464">
        <f t="shared" si="137"/>
        <v>129906</v>
      </c>
    </row>
    <row r="2592" spans="7:14" ht="11.25" customHeight="1" x14ac:dyDescent="0.3">
      <c r="G2592" s="459"/>
      <c r="H2592" s="459">
        <v>2585</v>
      </c>
      <c r="I2592" s="444">
        <f t="shared" ca="1" si="135"/>
        <v>-10667481066.838001</v>
      </c>
      <c r="J2592" s="444">
        <f t="array" ref="J2592">IFERROR(INDEX('Retirement Calculator'!K:K,MATCH('Lorri 401b'!N2592,'Retirement Calculator'!A:A,0),0),0)</f>
        <v>0</v>
      </c>
      <c r="K2592" s="444">
        <f t="shared" ca="1" si="133"/>
        <v>-44447837.778491668</v>
      </c>
      <c r="L2592" s="444">
        <f t="shared" ca="1" si="134"/>
        <v>-10711928904.616493</v>
      </c>
      <c r="M2592" s="460">
        <f t="shared" si="136"/>
        <v>0.05</v>
      </c>
      <c r="N2592" s="464">
        <f t="shared" si="137"/>
        <v>129936</v>
      </c>
    </row>
    <row r="2593" spans="7:14" ht="11.25" customHeight="1" x14ac:dyDescent="0.3">
      <c r="G2593" s="459"/>
      <c r="H2593" s="459">
        <v>2586</v>
      </c>
      <c r="I2593" s="444">
        <f t="shared" ca="1" si="135"/>
        <v>-10711928904.616493</v>
      </c>
      <c r="J2593" s="444">
        <f t="array" ref="J2593">IFERROR(INDEX('Retirement Calculator'!K:K,MATCH('Lorri 401b'!N2593,'Retirement Calculator'!A:A,0),0),0)</f>
        <v>0</v>
      </c>
      <c r="K2593" s="444">
        <f t="shared" ca="1" si="133"/>
        <v>-44633037.102568723</v>
      </c>
      <c r="L2593" s="444">
        <f t="shared" ca="1" si="134"/>
        <v>-10756561941.719063</v>
      </c>
      <c r="M2593" s="460">
        <f t="shared" si="136"/>
        <v>0.05</v>
      </c>
      <c r="N2593" s="464">
        <f t="shared" si="137"/>
        <v>129967</v>
      </c>
    </row>
    <row r="2594" spans="7:14" ht="11.25" customHeight="1" x14ac:dyDescent="0.3">
      <c r="G2594" s="459"/>
      <c r="H2594" s="459">
        <v>2587</v>
      </c>
      <c r="I2594" s="444">
        <f t="shared" ca="1" si="135"/>
        <v>-10756561941.719063</v>
      </c>
      <c r="J2594" s="444">
        <f t="array" ref="J2594">IFERROR(INDEX('Retirement Calculator'!K:K,MATCH('Lorri 401b'!N2594,'Retirement Calculator'!A:A,0),0),0)</f>
        <v>0</v>
      </c>
      <c r="K2594" s="444">
        <f t="shared" ca="1" si="133"/>
        <v>-44819008.090496093</v>
      </c>
      <c r="L2594" s="444">
        <f t="shared" ca="1" si="134"/>
        <v>-10801380949.809559</v>
      </c>
      <c r="M2594" s="460">
        <f t="shared" si="136"/>
        <v>0.05</v>
      </c>
      <c r="N2594" s="464">
        <f t="shared" si="137"/>
        <v>129997</v>
      </c>
    </row>
    <row r="2595" spans="7:14" ht="11.25" customHeight="1" x14ac:dyDescent="0.3">
      <c r="G2595" s="459"/>
      <c r="H2595" s="459">
        <v>2588</v>
      </c>
      <c r="I2595" s="444">
        <f t="shared" ca="1" si="135"/>
        <v>-10801380949.809559</v>
      </c>
      <c r="J2595" s="444">
        <f t="array" ref="J2595">IFERROR(INDEX('Retirement Calculator'!K:K,MATCH('Lorri 401b'!N2595,'Retirement Calculator'!A:A,0),0),0)</f>
        <v>0</v>
      </c>
      <c r="K2595" s="444">
        <f t="shared" ca="1" si="133"/>
        <v>-45005753.957539827</v>
      </c>
      <c r="L2595" s="444">
        <f t="shared" ca="1" si="134"/>
        <v>-10846386703.767099</v>
      </c>
      <c r="M2595" s="460">
        <f t="shared" si="136"/>
        <v>0.05</v>
      </c>
      <c r="N2595" s="464">
        <f t="shared" si="137"/>
        <v>130028</v>
      </c>
    </row>
    <row r="2596" spans="7:14" ht="11.25" customHeight="1" x14ac:dyDescent="0.3">
      <c r="G2596" s="459"/>
      <c r="H2596" s="459">
        <v>2589</v>
      </c>
      <c r="I2596" s="444">
        <f t="shared" ca="1" si="135"/>
        <v>-10846386703.767099</v>
      </c>
      <c r="J2596" s="444">
        <f t="array" ref="J2596">IFERROR(INDEX('Retirement Calculator'!K:K,MATCH('Lorri 401b'!N2596,'Retirement Calculator'!A:A,0),0),0)</f>
        <v>0</v>
      </c>
      <c r="K2596" s="444">
        <f t="shared" ca="1" si="133"/>
        <v>-45193277.932362914</v>
      </c>
      <c r="L2596" s="444">
        <f t="shared" ca="1" si="134"/>
        <v>-10891579981.699463</v>
      </c>
      <c r="M2596" s="460">
        <f t="shared" si="136"/>
        <v>0.05</v>
      </c>
      <c r="N2596" s="464">
        <f t="shared" si="137"/>
        <v>130059</v>
      </c>
    </row>
    <row r="2597" spans="7:14" ht="11.25" customHeight="1" x14ac:dyDescent="0.3">
      <c r="G2597" s="459"/>
      <c r="H2597" s="459">
        <v>2590</v>
      </c>
      <c r="I2597" s="444">
        <f t="shared" ca="1" si="135"/>
        <v>-10891579981.699463</v>
      </c>
      <c r="J2597" s="444">
        <f t="array" ref="J2597">IFERROR(INDEX('Retirement Calculator'!K:K,MATCH('Lorri 401b'!N2597,'Retirement Calculator'!A:A,0),0),0)</f>
        <v>0</v>
      </c>
      <c r="K2597" s="444">
        <f t="shared" ca="1" si="133"/>
        <v>-45381583.257081091</v>
      </c>
      <c r="L2597" s="444">
        <f t="shared" ca="1" si="134"/>
        <v>-10936961564.956545</v>
      </c>
      <c r="M2597" s="460">
        <f t="shared" si="136"/>
        <v>0.05</v>
      </c>
      <c r="N2597" s="464">
        <f t="shared" si="137"/>
        <v>130088</v>
      </c>
    </row>
    <row r="2598" spans="7:14" ht="11.25" customHeight="1" x14ac:dyDescent="0.3">
      <c r="G2598" s="459"/>
      <c r="H2598" s="459">
        <v>2591</v>
      </c>
      <c r="I2598" s="444">
        <f t="shared" ca="1" si="135"/>
        <v>-10936961564.956545</v>
      </c>
      <c r="J2598" s="444">
        <f t="array" ref="J2598">IFERROR(INDEX('Retirement Calculator'!K:K,MATCH('Lorri 401b'!N2598,'Retirement Calculator'!A:A,0),0),0)</f>
        <v>0</v>
      </c>
      <c r="K2598" s="444">
        <f t="shared" ca="1" si="133"/>
        <v>-45570673.187318936</v>
      </c>
      <c r="L2598" s="444">
        <f t="shared" ca="1" si="134"/>
        <v>-10982532238.143864</v>
      </c>
      <c r="M2598" s="460">
        <f t="shared" si="136"/>
        <v>0.05</v>
      </c>
      <c r="N2598" s="464">
        <f t="shared" si="137"/>
        <v>130119</v>
      </c>
    </row>
    <row r="2599" spans="7:14" ht="11.25" customHeight="1" x14ac:dyDescent="0.3">
      <c r="G2599" s="459"/>
      <c r="H2599" s="459">
        <v>2592</v>
      </c>
      <c r="I2599" s="444">
        <f t="shared" ca="1" si="135"/>
        <v>-10982532238.143864</v>
      </c>
      <c r="J2599" s="444">
        <f t="array" ref="J2599">IFERROR(INDEX('Retirement Calculator'!K:K,MATCH('Lorri 401b'!N2599,'Retirement Calculator'!A:A,0),0),0)</f>
        <v>0</v>
      </c>
      <c r="K2599" s="444">
        <f t="shared" ca="1" si="133"/>
        <v>-45760550.992266096</v>
      </c>
      <c r="L2599" s="444">
        <f t="shared" ca="1" si="134"/>
        <v>-11028292789.136129</v>
      </c>
      <c r="M2599" s="460">
        <f t="shared" si="136"/>
        <v>0.05</v>
      </c>
      <c r="N2599" s="464">
        <f t="shared" si="137"/>
        <v>130149</v>
      </c>
    </row>
    <row r="2600" spans="7:14" ht="11.25" customHeight="1" x14ac:dyDescent="0.3">
      <c r="G2600" s="459"/>
      <c r="H2600" s="459">
        <v>2593</v>
      </c>
      <c r="I2600" s="444">
        <f t="shared" ca="1" si="135"/>
        <v>-11028292789.136129</v>
      </c>
      <c r="J2600" s="444">
        <f t="array" ref="J2600">IFERROR(INDEX('Retirement Calculator'!K:K,MATCH('Lorri 401b'!N2600,'Retirement Calculator'!A:A,0),0),0)</f>
        <v>0</v>
      </c>
      <c r="K2600" s="444">
        <f t="shared" ca="1" si="133"/>
        <v>-45951219.954733871</v>
      </c>
      <c r="L2600" s="444">
        <f t="shared" ca="1" si="134"/>
        <v>-11074244009.090864</v>
      </c>
      <c r="M2600" s="460">
        <f t="shared" si="136"/>
        <v>0.05</v>
      </c>
      <c r="N2600" s="464">
        <f t="shared" si="137"/>
        <v>130180</v>
      </c>
    </row>
    <row r="2601" spans="7:14" ht="11.25" customHeight="1" x14ac:dyDescent="0.3">
      <c r="G2601" s="459"/>
      <c r="H2601" s="459">
        <v>2594</v>
      </c>
      <c r="I2601" s="444">
        <f t="shared" ca="1" si="135"/>
        <v>-11074244009.090864</v>
      </c>
      <c r="J2601" s="444">
        <f t="array" ref="J2601">IFERROR(INDEX('Retirement Calculator'!K:K,MATCH('Lorri 401b'!N2601,'Retirement Calculator'!A:A,0),0),0)</f>
        <v>0</v>
      </c>
      <c r="K2601" s="444">
        <f t="shared" ca="1" si="133"/>
        <v>-46142683.371211931</v>
      </c>
      <c r="L2601" s="444">
        <f t="shared" ca="1" si="134"/>
        <v>-11120386692.462076</v>
      </c>
      <c r="M2601" s="460">
        <f t="shared" si="136"/>
        <v>0.05</v>
      </c>
      <c r="N2601" s="464">
        <f t="shared" si="137"/>
        <v>130210</v>
      </c>
    </row>
    <row r="2602" spans="7:14" ht="11.25" customHeight="1" x14ac:dyDescent="0.3">
      <c r="G2602" s="459"/>
      <c r="H2602" s="459">
        <v>2595</v>
      </c>
      <c r="I2602" s="444">
        <f t="shared" ca="1" si="135"/>
        <v>-11120386692.462076</v>
      </c>
      <c r="J2602" s="444">
        <f t="array" ref="J2602">IFERROR(INDEX('Retirement Calculator'!K:K,MATCH('Lorri 401b'!N2602,'Retirement Calculator'!A:A,0),0),0)</f>
        <v>0</v>
      </c>
      <c r="K2602" s="444">
        <f t="shared" ca="1" si="133"/>
        <v>-46334944.551925316</v>
      </c>
      <c r="L2602" s="444">
        <f t="shared" ca="1" si="134"/>
        <v>-11166721637.014002</v>
      </c>
      <c r="M2602" s="460">
        <f t="shared" si="136"/>
        <v>0.05</v>
      </c>
      <c r="N2602" s="464">
        <f t="shared" si="137"/>
        <v>130241</v>
      </c>
    </row>
    <row r="2603" spans="7:14" ht="11.25" customHeight="1" x14ac:dyDescent="0.3">
      <c r="G2603" s="459"/>
      <c r="H2603" s="459">
        <v>2596</v>
      </c>
      <c r="I2603" s="444">
        <f t="shared" ca="1" si="135"/>
        <v>-11166721637.014002</v>
      </c>
      <c r="J2603" s="444">
        <f t="array" ref="J2603">IFERROR(INDEX('Retirement Calculator'!K:K,MATCH('Lorri 401b'!N2603,'Retirement Calculator'!A:A,0),0),0)</f>
        <v>0</v>
      </c>
      <c r="K2603" s="444">
        <f t="shared" ca="1" si="133"/>
        <v>-46528006.820891671</v>
      </c>
      <c r="L2603" s="444">
        <f t="shared" ca="1" si="134"/>
        <v>-11213249643.834894</v>
      </c>
      <c r="M2603" s="460">
        <f t="shared" si="136"/>
        <v>0.05</v>
      </c>
      <c r="N2603" s="464">
        <f t="shared" si="137"/>
        <v>130272</v>
      </c>
    </row>
    <row r="2604" spans="7:14" ht="11.25" customHeight="1" x14ac:dyDescent="0.3">
      <c r="G2604" s="459"/>
      <c r="H2604" s="459">
        <v>2597</v>
      </c>
      <c r="I2604" s="444">
        <f t="shared" ca="1" si="135"/>
        <v>-11213249643.834894</v>
      </c>
      <c r="J2604" s="444">
        <f t="array" ref="J2604">IFERROR(INDEX('Retirement Calculator'!K:K,MATCH('Lorri 401b'!N2604,'Retirement Calculator'!A:A,0),0),0)</f>
        <v>0</v>
      </c>
      <c r="K2604" s="444">
        <f t="shared" ca="1" si="133"/>
        <v>-46721873.515978724</v>
      </c>
      <c r="L2604" s="444">
        <f t="shared" ca="1" si="134"/>
        <v>-11259971517.350872</v>
      </c>
      <c r="M2604" s="460">
        <f t="shared" si="136"/>
        <v>0.05</v>
      </c>
      <c r="N2604" s="464">
        <f t="shared" si="137"/>
        <v>130302</v>
      </c>
    </row>
    <row r="2605" spans="7:14" ht="11.25" customHeight="1" x14ac:dyDescent="0.3">
      <c r="G2605" s="459"/>
      <c r="H2605" s="459">
        <v>2598</v>
      </c>
      <c r="I2605" s="444">
        <f t="shared" ca="1" si="135"/>
        <v>-11259971517.350872</v>
      </c>
      <c r="J2605" s="444">
        <f t="array" ref="J2605">IFERROR(INDEX('Retirement Calculator'!K:K,MATCH('Lorri 401b'!N2605,'Retirement Calculator'!A:A,0),0),0)</f>
        <v>0</v>
      </c>
      <c r="K2605" s="444">
        <f t="shared" ca="1" si="133"/>
        <v>-46916547.988961965</v>
      </c>
      <c r="L2605" s="444">
        <f t="shared" ca="1" si="134"/>
        <v>-11306888065.339834</v>
      </c>
      <c r="M2605" s="460">
        <f t="shared" si="136"/>
        <v>0.05</v>
      </c>
      <c r="N2605" s="464">
        <f t="shared" si="137"/>
        <v>130333</v>
      </c>
    </row>
    <row r="2606" spans="7:14" ht="11.25" customHeight="1" x14ac:dyDescent="0.3">
      <c r="G2606" s="459"/>
      <c r="H2606" s="459">
        <v>2599</v>
      </c>
      <c r="I2606" s="444">
        <f t="shared" ca="1" si="135"/>
        <v>-11306888065.339834</v>
      </c>
      <c r="J2606" s="444">
        <f t="array" ref="J2606">IFERROR(INDEX('Retirement Calculator'!K:K,MATCH('Lorri 401b'!N2606,'Retirement Calculator'!A:A,0),0),0)</f>
        <v>0</v>
      </c>
      <c r="K2606" s="444">
        <f t="shared" ca="1" si="133"/>
        <v>-47112033.60558264</v>
      </c>
      <c r="L2606" s="444">
        <f t="shared" ca="1" si="134"/>
        <v>-11354000098.945417</v>
      </c>
      <c r="M2606" s="460">
        <f t="shared" si="136"/>
        <v>0.05</v>
      </c>
      <c r="N2606" s="464">
        <f t="shared" si="137"/>
        <v>130363</v>
      </c>
    </row>
    <row r="2607" spans="7:14" ht="11.25" customHeight="1" x14ac:dyDescent="0.3">
      <c r="G2607" s="459"/>
      <c r="H2607" s="459">
        <v>2600</v>
      </c>
      <c r="I2607" s="444">
        <f t="shared" ca="1" si="135"/>
        <v>-11354000098.945417</v>
      </c>
      <c r="J2607" s="444">
        <f t="array" ref="J2607">IFERROR(INDEX('Retirement Calculator'!K:K,MATCH('Lorri 401b'!N2607,'Retirement Calculator'!A:A,0),0),0)</f>
        <v>0</v>
      </c>
      <c r="K2607" s="444">
        <f t="shared" ca="1" si="133"/>
        <v>-47308333.745605908</v>
      </c>
      <c r="L2607" s="444">
        <f t="shared" ca="1" si="134"/>
        <v>-11401308432.691023</v>
      </c>
      <c r="M2607" s="460">
        <f t="shared" si="136"/>
        <v>0.05</v>
      </c>
      <c r="N2607" s="464">
        <f t="shared" si="137"/>
        <v>130394</v>
      </c>
    </row>
    <row r="2608" spans="7:14" ht="11.25" customHeight="1" x14ac:dyDescent="0.3">
      <c r="G2608" s="459"/>
      <c r="H2608" s="459">
        <v>2601</v>
      </c>
      <c r="I2608" s="444">
        <f t="shared" ca="1" si="135"/>
        <v>-11401308432.691023</v>
      </c>
      <c r="J2608" s="444">
        <f t="array" ref="J2608">IFERROR(INDEX('Retirement Calculator'!K:K,MATCH('Lorri 401b'!N2608,'Retirement Calculator'!A:A,0),0),0)</f>
        <v>0</v>
      </c>
      <c r="K2608" s="444">
        <f t="shared" ca="1" si="133"/>
        <v>-47505451.802879259</v>
      </c>
      <c r="L2608" s="444">
        <f t="shared" ca="1" si="134"/>
        <v>-11448813884.493902</v>
      </c>
      <c r="M2608" s="460">
        <f t="shared" si="136"/>
        <v>0.05</v>
      </c>
      <c r="N2608" s="464">
        <f t="shared" si="137"/>
        <v>130425</v>
      </c>
    </row>
    <row r="2609" spans="7:14" ht="11.25" customHeight="1" x14ac:dyDescent="0.3">
      <c r="G2609" s="459"/>
      <c r="H2609" s="459">
        <v>2602</v>
      </c>
      <c r="I2609" s="444">
        <f t="shared" ca="1" si="135"/>
        <v>-11448813884.493902</v>
      </c>
      <c r="J2609" s="444">
        <f t="array" ref="J2609">IFERROR(INDEX('Retirement Calculator'!K:K,MATCH('Lorri 401b'!N2609,'Retirement Calculator'!A:A,0),0),0)</f>
        <v>0</v>
      </c>
      <c r="K2609" s="444">
        <f t="shared" ca="1" si="133"/>
        <v>-47703391.185391262</v>
      </c>
      <c r="L2609" s="444">
        <f t="shared" ca="1" si="134"/>
        <v>-11496517275.679293</v>
      </c>
      <c r="M2609" s="460">
        <f t="shared" si="136"/>
        <v>0.05</v>
      </c>
      <c r="N2609" s="464">
        <f t="shared" si="137"/>
        <v>130453</v>
      </c>
    </row>
    <row r="2610" spans="7:14" ht="11.25" customHeight="1" x14ac:dyDescent="0.3">
      <c r="G2610" s="459"/>
      <c r="H2610" s="459">
        <v>2603</v>
      </c>
      <c r="I2610" s="444">
        <f t="shared" ca="1" si="135"/>
        <v>-11496517275.679293</v>
      </c>
      <c r="J2610" s="444">
        <f t="array" ref="J2610">IFERROR(INDEX('Retirement Calculator'!K:K,MATCH('Lorri 401b'!N2610,'Retirement Calculator'!A:A,0),0),0)</f>
        <v>0</v>
      </c>
      <c r="K2610" s="444">
        <f t="shared" ca="1" si="133"/>
        <v>-47902155.315330386</v>
      </c>
      <c r="L2610" s="444">
        <f t="shared" ca="1" si="134"/>
        <v>-11544419430.994623</v>
      </c>
      <c r="M2610" s="460">
        <f t="shared" si="136"/>
        <v>0.05</v>
      </c>
      <c r="N2610" s="464">
        <f t="shared" si="137"/>
        <v>130484</v>
      </c>
    </row>
    <row r="2611" spans="7:14" ht="11.25" customHeight="1" x14ac:dyDescent="0.3">
      <c r="G2611" s="459"/>
      <c r="H2611" s="459">
        <v>2604</v>
      </c>
      <c r="I2611" s="444">
        <f t="shared" ca="1" si="135"/>
        <v>-11544419430.994623</v>
      </c>
      <c r="J2611" s="444">
        <f t="array" ref="J2611">IFERROR(INDEX('Retirement Calculator'!K:K,MATCH('Lorri 401b'!N2611,'Retirement Calculator'!A:A,0),0),0)</f>
        <v>0</v>
      </c>
      <c r="K2611" s="444">
        <f t="shared" ca="1" si="133"/>
        <v>-48101747.629144266</v>
      </c>
      <c r="L2611" s="444">
        <f t="shared" ca="1" si="134"/>
        <v>-11592521178.623768</v>
      </c>
      <c r="M2611" s="460">
        <f t="shared" si="136"/>
        <v>0.05</v>
      </c>
      <c r="N2611" s="464">
        <f t="shared" si="137"/>
        <v>130514</v>
      </c>
    </row>
    <row r="2612" spans="7:14" ht="11.25" customHeight="1" x14ac:dyDescent="0.3">
      <c r="G2612" s="459"/>
      <c r="H2612" s="459">
        <v>2605</v>
      </c>
      <c r="I2612" s="444">
        <f t="shared" ca="1" si="135"/>
        <v>-11592521178.623768</v>
      </c>
      <c r="J2612" s="444">
        <f t="array" ref="J2612">IFERROR(INDEX('Retirement Calculator'!K:K,MATCH('Lorri 401b'!N2612,'Retirement Calculator'!A:A,0),0),0)</f>
        <v>0</v>
      </c>
      <c r="K2612" s="444">
        <f t="shared" ca="1" si="133"/>
        <v>-48302171.577599034</v>
      </c>
      <c r="L2612" s="444">
        <f t="shared" ca="1" si="134"/>
        <v>-11640823350.201366</v>
      </c>
      <c r="M2612" s="460">
        <f t="shared" si="136"/>
        <v>0.05</v>
      </c>
      <c r="N2612" s="464">
        <f t="shared" si="137"/>
        <v>130545</v>
      </c>
    </row>
    <row r="2613" spans="7:14" ht="11.25" customHeight="1" x14ac:dyDescent="0.3">
      <c r="G2613" s="459"/>
      <c r="H2613" s="459">
        <v>2606</v>
      </c>
      <c r="I2613" s="444">
        <f t="shared" ca="1" si="135"/>
        <v>-11640823350.201366</v>
      </c>
      <c r="J2613" s="444">
        <f t="array" ref="J2613">IFERROR(INDEX('Retirement Calculator'!K:K,MATCH('Lorri 401b'!N2613,'Retirement Calculator'!A:A,0),0),0)</f>
        <v>0</v>
      </c>
      <c r="K2613" s="444">
        <f t="shared" ca="1" si="133"/>
        <v>-48503430.625839025</v>
      </c>
      <c r="L2613" s="444">
        <f t="shared" ca="1" si="134"/>
        <v>-11689326780.827206</v>
      </c>
      <c r="M2613" s="460">
        <f t="shared" si="136"/>
        <v>0.05</v>
      </c>
      <c r="N2613" s="464">
        <f t="shared" si="137"/>
        <v>130575</v>
      </c>
    </row>
    <row r="2614" spans="7:14" ht="11.25" customHeight="1" x14ac:dyDescent="0.3">
      <c r="G2614" s="459"/>
      <c r="H2614" s="459">
        <v>2607</v>
      </c>
      <c r="I2614" s="444">
        <f t="shared" ca="1" si="135"/>
        <v>-11689326780.827206</v>
      </c>
      <c r="J2614" s="444">
        <f t="array" ref="J2614">IFERROR(INDEX('Retirement Calculator'!K:K,MATCH('Lorri 401b'!N2614,'Retirement Calculator'!A:A,0),0),0)</f>
        <v>0</v>
      </c>
      <c r="K2614" s="444">
        <f t="shared" ca="1" si="133"/>
        <v>-48705528.253446691</v>
      </c>
      <c r="L2614" s="444">
        <f t="shared" ca="1" si="134"/>
        <v>-11738032309.080652</v>
      </c>
      <c r="M2614" s="460">
        <f t="shared" si="136"/>
        <v>0.05</v>
      </c>
      <c r="N2614" s="464">
        <f t="shared" si="137"/>
        <v>130606</v>
      </c>
    </row>
    <row r="2615" spans="7:14" ht="11.25" customHeight="1" x14ac:dyDescent="0.3">
      <c r="G2615" s="459"/>
      <c r="H2615" s="459">
        <v>2608</v>
      </c>
      <c r="I2615" s="444">
        <f t="shared" ca="1" si="135"/>
        <v>-11738032309.080652</v>
      </c>
      <c r="J2615" s="444">
        <f t="array" ref="J2615">IFERROR(INDEX('Retirement Calculator'!K:K,MATCH('Lorri 401b'!N2615,'Retirement Calculator'!A:A,0),0),0)</f>
        <v>0</v>
      </c>
      <c r="K2615" s="444">
        <f t="shared" ca="1" si="133"/>
        <v>-48908467.954502717</v>
      </c>
      <c r="L2615" s="444">
        <f t="shared" ca="1" si="134"/>
        <v>-11786940777.035154</v>
      </c>
      <c r="M2615" s="460">
        <f t="shared" si="136"/>
        <v>0.05</v>
      </c>
      <c r="N2615" s="464">
        <f t="shared" si="137"/>
        <v>130637</v>
      </c>
    </row>
    <row r="2616" spans="7:14" ht="11.25" customHeight="1" x14ac:dyDescent="0.3">
      <c r="G2616" s="459"/>
      <c r="H2616" s="459">
        <v>2609</v>
      </c>
      <c r="I2616" s="444">
        <f t="shared" ca="1" si="135"/>
        <v>-11786940777.035154</v>
      </c>
      <c r="J2616" s="444">
        <f t="array" ref="J2616">IFERROR(INDEX('Retirement Calculator'!K:K,MATCH('Lorri 401b'!N2616,'Retirement Calculator'!A:A,0),0),0)</f>
        <v>0</v>
      </c>
      <c r="K2616" s="444">
        <f t="shared" ca="1" si="133"/>
        <v>-49112253.237646475</v>
      </c>
      <c r="L2616" s="444">
        <f t="shared" ca="1" si="134"/>
        <v>-11836053030.2728</v>
      </c>
      <c r="M2616" s="460">
        <f t="shared" si="136"/>
        <v>0.05</v>
      </c>
      <c r="N2616" s="464">
        <f t="shared" si="137"/>
        <v>130667</v>
      </c>
    </row>
    <row r="2617" spans="7:14" ht="11.25" customHeight="1" x14ac:dyDescent="0.3">
      <c r="G2617" s="459"/>
      <c r="H2617" s="459">
        <v>2610</v>
      </c>
      <c r="I2617" s="444">
        <f t="shared" ca="1" si="135"/>
        <v>-11836053030.2728</v>
      </c>
      <c r="J2617" s="444">
        <f t="array" ref="J2617">IFERROR(INDEX('Retirement Calculator'!K:K,MATCH('Lorri 401b'!N2617,'Retirement Calculator'!A:A,0),0),0)</f>
        <v>0</v>
      </c>
      <c r="K2617" s="444">
        <f t="shared" ca="1" si="133"/>
        <v>-49316887.626136668</v>
      </c>
      <c r="L2617" s="444">
        <f t="shared" ca="1" si="134"/>
        <v>-11885369917.898937</v>
      </c>
      <c r="M2617" s="460">
        <f t="shared" si="136"/>
        <v>0.05</v>
      </c>
      <c r="N2617" s="464">
        <f t="shared" si="137"/>
        <v>130698</v>
      </c>
    </row>
    <row r="2618" spans="7:14" ht="11.25" customHeight="1" x14ac:dyDescent="0.3">
      <c r="G2618" s="459"/>
      <c r="H2618" s="459">
        <v>2611</v>
      </c>
      <c r="I2618" s="444">
        <f t="shared" ca="1" si="135"/>
        <v>-11885369917.898937</v>
      </c>
      <c r="J2618" s="444">
        <f t="array" ref="J2618">IFERROR(INDEX('Retirement Calculator'!K:K,MATCH('Lorri 401b'!N2618,'Retirement Calculator'!A:A,0),0),0)</f>
        <v>0</v>
      </c>
      <c r="K2618" s="444">
        <f t="shared" ca="1" si="133"/>
        <v>-49522374.657912239</v>
      </c>
      <c r="L2618" s="444">
        <f t="shared" ca="1" si="134"/>
        <v>-11934892292.556849</v>
      </c>
      <c r="M2618" s="460">
        <f t="shared" si="136"/>
        <v>0.05</v>
      </c>
      <c r="N2618" s="464">
        <f t="shared" si="137"/>
        <v>130728</v>
      </c>
    </row>
    <row r="2619" spans="7:14" ht="11.25" customHeight="1" x14ac:dyDescent="0.3">
      <c r="G2619" s="459"/>
      <c r="H2619" s="459">
        <v>2612</v>
      </c>
      <c r="I2619" s="444">
        <f t="shared" ca="1" si="135"/>
        <v>-11934892292.556849</v>
      </c>
      <c r="J2619" s="444">
        <f t="array" ref="J2619">IFERROR(INDEX('Retirement Calculator'!K:K,MATCH('Lorri 401b'!N2619,'Retirement Calculator'!A:A,0),0),0)</f>
        <v>0</v>
      </c>
      <c r="K2619" s="444">
        <f t="shared" ca="1" si="133"/>
        <v>-49728717.885653533</v>
      </c>
      <c r="L2619" s="444">
        <f t="shared" ca="1" si="134"/>
        <v>-11984621010.442503</v>
      </c>
      <c r="M2619" s="460">
        <f t="shared" si="136"/>
        <v>0.05</v>
      </c>
      <c r="N2619" s="464">
        <f t="shared" si="137"/>
        <v>130759</v>
      </c>
    </row>
    <row r="2620" spans="7:14" ht="11.25" customHeight="1" x14ac:dyDescent="0.3">
      <c r="G2620" s="459"/>
      <c r="H2620" s="459">
        <v>2613</v>
      </c>
      <c r="I2620" s="444">
        <f t="shared" ca="1" si="135"/>
        <v>-11984621010.442503</v>
      </c>
      <c r="J2620" s="444">
        <f t="array" ref="J2620">IFERROR(INDEX('Retirement Calculator'!K:K,MATCH('Lorri 401b'!N2620,'Retirement Calculator'!A:A,0),0),0)</f>
        <v>0</v>
      </c>
      <c r="K2620" s="444">
        <f t="shared" ca="1" si="133"/>
        <v>-49935920.876843765</v>
      </c>
      <c r="L2620" s="444">
        <f t="shared" ca="1" si="134"/>
        <v>-12034556931.319347</v>
      </c>
      <c r="M2620" s="460">
        <f t="shared" si="136"/>
        <v>0.05</v>
      </c>
      <c r="N2620" s="464">
        <f t="shared" si="137"/>
        <v>130790</v>
      </c>
    </row>
    <row r="2621" spans="7:14" ht="11.25" customHeight="1" x14ac:dyDescent="0.3">
      <c r="G2621" s="459"/>
      <c r="H2621" s="459">
        <v>2614</v>
      </c>
      <c r="I2621" s="444">
        <f t="shared" ca="1" si="135"/>
        <v>-12034556931.319347</v>
      </c>
      <c r="J2621" s="444">
        <f t="array" ref="J2621">IFERROR(INDEX('Retirement Calculator'!K:K,MATCH('Lorri 401b'!N2621,'Retirement Calculator'!A:A,0),0),0)</f>
        <v>0</v>
      </c>
      <c r="K2621" s="444">
        <f t="shared" ca="1" si="133"/>
        <v>-50143987.213830613</v>
      </c>
      <c r="L2621" s="444">
        <f t="shared" ca="1" si="134"/>
        <v>-12084700918.533178</v>
      </c>
      <c r="M2621" s="460">
        <f t="shared" si="136"/>
        <v>0.05</v>
      </c>
      <c r="N2621" s="464">
        <f t="shared" si="137"/>
        <v>130818</v>
      </c>
    </row>
    <row r="2622" spans="7:14" ht="11.25" customHeight="1" x14ac:dyDescent="0.3">
      <c r="G2622" s="459"/>
      <c r="H2622" s="459">
        <v>2615</v>
      </c>
      <c r="I2622" s="444">
        <f t="shared" ca="1" si="135"/>
        <v>-12084700918.533178</v>
      </c>
      <c r="J2622" s="444">
        <f t="array" ref="J2622">IFERROR(INDEX('Retirement Calculator'!K:K,MATCH('Lorri 401b'!N2622,'Retirement Calculator'!A:A,0),0),0)</f>
        <v>0</v>
      </c>
      <c r="K2622" s="444">
        <f t="shared" ca="1" si="133"/>
        <v>-50352920.493888244</v>
      </c>
      <c r="L2622" s="444">
        <f t="shared" ca="1" si="134"/>
        <v>-12135053839.027067</v>
      </c>
      <c r="M2622" s="460">
        <f t="shared" si="136"/>
        <v>0.05</v>
      </c>
      <c r="N2622" s="464">
        <f t="shared" si="137"/>
        <v>130849</v>
      </c>
    </row>
    <row r="2623" spans="7:14" ht="11.25" customHeight="1" x14ac:dyDescent="0.3">
      <c r="G2623" s="459"/>
      <c r="H2623" s="459">
        <v>2616</v>
      </c>
      <c r="I2623" s="444">
        <f t="shared" ca="1" si="135"/>
        <v>-12135053839.027067</v>
      </c>
      <c r="J2623" s="444">
        <f t="array" ref="J2623">IFERROR(INDEX('Retirement Calculator'!K:K,MATCH('Lorri 401b'!N2623,'Retirement Calculator'!A:A,0),0),0)</f>
        <v>0</v>
      </c>
      <c r="K2623" s="444">
        <f t="shared" ca="1" si="133"/>
        <v>-50562724.329279445</v>
      </c>
      <c r="L2623" s="444">
        <f t="shared" ca="1" si="134"/>
        <v>-12185616563.356346</v>
      </c>
      <c r="M2623" s="460">
        <f t="shared" si="136"/>
        <v>0.05</v>
      </c>
      <c r="N2623" s="464">
        <f t="shared" si="137"/>
        <v>130879</v>
      </c>
    </row>
    <row r="2624" spans="7:14" ht="11.25" customHeight="1" x14ac:dyDescent="0.3">
      <c r="G2624" s="459"/>
      <c r="H2624" s="459">
        <v>2617</v>
      </c>
      <c r="I2624" s="444">
        <f t="shared" ca="1" si="135"/>
        <v>-12185616563.356346</v>
      </c>
      <c r="J2624" s="444">
        <f t="array" ref="J2624">IFERROR(INDEX('Retirement Calculator'!K:K,MATCH('Lorri 401b'!N2624,'Retirement Calculator'!A:A,0),0),0)</f>
        <v>0</v>
      </c>
      <c r="K2624" s="444">
        <f t="shared" ca="1" si="133"/>
        <v>-50773402.347318105</v>
      </c>
      <c r="L2624" s="444">
        <f t="shared" ca="1" si="134"/>
        <v>-12236389965.703665</v>
      </c>
      <c r="M2624" s="460">
        <f t="shared" si="136"/>
        <v>0.05</v>
      </c>
      <c r="N2624" s="464">
        <f t="shared" si="137"/>
        <v>130910</v>
      </c>
    </row>
    <row r="2625" spans="7:14" ht="11.25" customHeight="1" x14ac:dyDescent="0.3">
      <c r="G2625" s="459"/>
      <c r="H2625" s="459">
        <v>2618</v>
      </c>
      <c r="I2625" s="444">
        <f t="shared" ca="1" si="135"/>
        <v>-12236389965.703665</v>
      </c>
      <c r="J2625" s="444">
        <f t="array" ref="J2625">IFERROR(INDEX('Retirement Calculator'!K:K,MATCH('Lorri 401b'!N2625,'Retirement Calculator'!A:A,0),0),0)</f>
        <v>0</v>
      </c>
      <c r="K2625" s="444">
        <f t="shared" ca="1" si="133"/>
        <v>-50984958.190431938</v>
      </c>
      <c r="L2625" s="444">
        <f t="shared" ca="1" si="134"/>
        <v>-12287374923.894096</v>
      </c>
      <c r="M2625" s="460">
        <f t="shared" si="136"/>
        <v>0.05</v>
      </c>
      <c r="N2625" s="464">
        <f t="shared" si="137"/>
        <v>130940</v>
      </c>
    </row>
    <row r="2626" spans="7:14" ht="11.25" customHeight="1" x14ac:dyDescent="0.3">
      <c r="G2626" s="459"/>
      <c r="H2626" s="459">
        <v>2619</v>
      </c>
      <c r="I2626" s="444">
        <f t="shared" ca="1" si="135"/>
        <v>-12287374923.894096</v>
      </c>
      <c r="J2626" s="444">
        <f t="array" ref="J2626">IFERROR(INDEX('Retirement Calculator'!K:K,MATCH('Lorri 401b'!N2626,'Retirement Calculator'!A:A,0),0),0)</f>
        <v>0</v>
      </c>
      <c r="K2626" s="444">
        <f t="shared" ca="1" si="133"/>
        <v>-51197395.516225398</v>
      </c>
      <c r="L2626" s="444">
        <f t="shared" ca="1" si="134"/>
        <v>-12338572319.410322</v>
      </c>
      <c r="M2626" s="460">
        <f t="shared" si="136"/>
        <v>0.05</v>
      </c>
      <c r="N2626" s="464">
        <f t="shared" si="137"/>
        <v>130971</v>
      </c>
    </row>
    <row r="2627" spans="7:14" ht="11.25" customHeight="1" x14ac:dyDescent="0.3">
      <c r="G2627" s="459"/>
      <c r="H2627" s="459">
        <v>2620</v>
      </c>
      <c r="I2627" s="444">
        <f t="shared" ca="1" si="135"/>
        <v>-12338572319.410322</v>
      </c>
      <c r="J2627" s="444">
        <f t="array" ref="J2627">IFERROR(INDEX('Retirement Calculator'!K:K,MATCH('Lorri 401b'!N2627,'Retirement Calculator'!A:A,0),0),0)</f>
        <v>0</v>
      </c>
      <c r="K2627" s="444">
        <f t="shared" ca="1" si="133"/>
        <v>-51410717.997543007</v>
      </c>
      <c r="L2627" s="444">
        <f t="shared" ca="1" si="134"/>
        <v>-12389983037.407866</v>
      </c>
      <c r="M2627" s="460">
        <f t="shared" si="136"/>
        <v>0.05</v>
      </c>
      <c r="N2627" s="464">
        <f t="shared" si="137"/>
        <v>131002</v>
      </c>
    </row>
    <row r="2628" spans="7:14" ht="11.25" customHeight="1" x14ac:dyDescent="0.3">
      <c r="G2628" s="459"/>
      <c r="H2628" s="459">
        <v>2621</v>
      </c>
      <c r="I2628" s="444">
        <f t="shared" ca="1" si="135"/>
        <v>-12389983037.407866</v>
      </c>
      <c r="J2628" s="444">
        <f t="array" ref="J2628">IFERROR(INDEX('Retirement Calculator'!K:K,MATCH('Lorri 401b'!N2628,'Retirement Calculator'!A:A,0),0),0)</f>
        <v>0</v>
      </c>
      <c r="K2628" s="444">
        <f t="shared" ca="1" si="133"/>
        <v>-51624929.322532773</v>
      </c>
      <c r="L2628" s="444">
        <f t="shared" ca="1" si="134"/>
        <v>-12441607966.730398</v>
      </c>
      <c r="M2628" s="460">
        <f t="shared" si="136"/>
        <v>0.05</v>
      </c>
      <c r="N2628" s="464">
        <f t="shared" si="137"/>
        <v>131032</v>
      </c>
    </row>
    <row r="2629" spans="7:14" ht="11.25" customHeight="1" x14ac:dyDescent="0.3">
      <c r="G2629" s="459"/>
      <c r="H2629" s="459">
        <v>2622</v>
      </c>
      <c r="I2629" s="444">
        <f t="shared" ca="1" si="135"/>
        <v>-12441607966.730398</v>
      </c>
      <c r="J2629" s="444">
        <f t="array" ref="J2629">IFERROR(INDEX('Retirement Calculator'!K:K,MATCH('Lorri 401b'!N2629,'Retirement Calculator'!A:A,0),0),0)</f>
        <v>0</v>
      </c>
      <c r="K2629" s="444">
        <f t="shared" ca="1" si="133"/>
        <v>-51840033.194709994</v>
      </c>
      <c r="L2629" s="444">
        <f t="shared" ca="1" si="134"/>
        <v>-12493447999.925108</v>
      </c>
      <c r="M2629" s="460">
        <f t="shared" si="136"/>
        <v>0.05</v>
      </c>
      <c r="N2629" s="464">
        <f t="shared" si="137"/>
        <v>131063</v>
      </c>
    </row>
    <row r="2630" spans="7:14" ht="11.25" customHeight="1" x14ac:dyDescent="0.3">
      <c r="G2630" s="459"/>
      <c r="H2630" s="459">
        <v>2623</v>
      </c>
      <c r="I2630" s="444">
        <f t="shared" ca="1" si="135"/>
        <v>-12493447999.925108</v>
      </c>
      <c r="J2630" s="444">
        <f t="array" ref="J2630">IFERROR(INDEX('Retirement Calculator'!K:K,MATCH('Lorri 401b'!N2630,'Retirement Calculator'!A:A,0),0),0)</f>
        <v>0</v>
      </c>
      <c r="K2630" s="444">
        <f t="shared" ca="1" si="133"/>
        <v>-52056033.333021283</v>
      </c>
      <c r="L2630" s="444">
        <f t="shared" ca="1" si="134"/>
        <v>-12545504033.258129</v>
      </c>
      <c r="M2630" s="460">
        <f t="shared" si="136"/>
        <v>0.05</v>
      </c>
      <c r="N2630" s="464">
        <f t="shared" si="137"/>
        <v>131093</v>
      </c>
    </row>
    <row r="2631" spans="7:14" ht="11.25" customHeight="1" x14ac:dyDescent="0.3">
      <c r="G2631" s="459"/>
      <c r="H2631" s="459">
        <v>2624</v>
      </c>
      <c r="I2631" s="444">
        <f t="shared" ca="1" si="135"/>
        <v>-12545504033.258129</v>
      </c>
      <c r="J2631" s="444">
        <f t="array" ref="J2631">IFERROR(INDEX('Retirement Calculator'!K:K,MATCH('Lorri 401b'!N2631,'Retirement Calculator'!A:A,0),0),0)</f>
        <v>0</v>
      </c>
      <c r="K2631" s="444">
        <f t="shared" ca="1" si="133"/>
        <v>-52272933.471908867</v>
      </c>
      <c r="L2631" s="444">
        <f t="shared" ca="1" si="134"/>
        <v>-12597776966.730038</v>
      </c>
      <c r="M2631" s="460">
        <f t="shared" si="136"/>
        <v>0.05</v>
      </c>
      <c r="N2631" s="464">
        <f t="shared" si="137"/>
        <v>131124</v>
      </c>
    </row>
    <row r="2632" spans="7:14" ht="11.25" customHeight="1" x14ac:dyDescent="0.3">
      <c r="G2632" s="459"/>
      <c r="H2632" s="459">
        <v>2625</v>
      </c>
      <c r="I2632" s="444">
        <f t="shared" ca="1" si="135"/>
        <v>-12597776966.730038</v>
      </c>
      <c r="J2632" s="444">
        <f t="array" ref="J2632">IFERROR(INDEX('Retirement Calculator'!K:K,MATCH('Lorri 401b'!N2632,'Retirement Calculator'!A:A,0),0),0)</f>
        <v>0</v>
      </c>
      <c r="K2632" s="444">
        <f t="shared" ca="1" si="133"/>
        <v>-52490737.361375153</v>
      </c>
      <c r="L2632" s="444">
        <f t="shared" ca="1" si="134"/>
        <v>-12650267704.091413</v>
      </c>
      <c r="M2632" s="460">
        <f t="shared" si="136"/>
        <v>0.05</v>
      </c>
      <c r="N2632" s="464">
        <f t="shared" si="137"/>
        <v>131155</v>
      </c>
    </row>
    <row r="2633" spans="7:14" ht="11.25" customHeight="1" x14ac:dyDescent="0.3">
      <c r="G2633" s="459"/>
      <c r="H2633" s="459">
        <v>2626</v>
      </c>
      <c r="I2633" s="444">
        <f t="shared" ca="1" si="135"/>
        <v>-12650267704.091413</v>
      </c>
      <c r="J2633" s="444">
        <f t="array" ref="J2633">IFERROR(INDEX('Retirement Calculator'!K:K,MATCH('Lorri 401b'!N2633,'Retirement Calculator'!A:A,0),0),0)</f>
        <v>0</v>
      </c>
      <c r="K2633" s="444">
        <f t="shared" ca="1" si="133"/>
        <v>-52709448.767047554</v>
      </c>
      <c r="L2633" s="444">
        <f t="shared" ca="1" si="134"/>
        <v>-12702977152.858461</v>
      </c>
      <c r="M2633" s="460">
        <f t="shared" si="136"/>
        <v>0.05</v>
      </c>
      <c r="N2633" s="464">
        <f t="shared" si="137"/>
        <v>131183</v>
      </c>
    </row>
    <row r="2634" spans="7:14" ht="11.25" customHeight="1" x14ac:dyDescent="0.3">
      <c r="G2634" s="459"/>
      <c r="H2634" s="459">
        <v>2627</v>
      </c>
      <c r="I2634" s="444">
        <f t="shared" ca="1" si="135"/>
        <v>-12702977152.858461</v>
      </c>
      <c r="J2634" s="444">
        <f t="array" ref="J2634">IFERROR(INDEX('Retirement Calculator'!K:K,MATCH('Lorri 401b'!N2634,'Retirement Calculator'!A:A,0),0),0)</f>
        <v>0</v>
      </c>
      <c r="K2634" s="444">
        <f t="shared" ca="1" si="133"/>
        <v>-52929071.470243588</v>
      </c>
      <c r="L2634" s="444">
        <f t="shared" ca="1" si="134"/>
        <v>-12755906224.328705</v>
      </c>
      <c r="M2634" s="460">
        <f t="shared" si="136"/>
        <v>0.05</v>
      </c>
      <c r="N2634" s="464">
        <f t="shared" si="137"/>
        <v>131214</v>
      </c>
    </row>
    <row r="2635" spans="7:14" ht="11.25" customHeight="1" x14ac:dyDescent="0.3">
      <c r="G2635" s="459"/>
      <c r="H2635" s="459">
        <v>2628</v>
      </c>
      <c r="I2635" s="444">
        <f t="shared" ca="1" si="135"/>
        <v>-12755906224.328705</v>
      </c>
      <c r="J2635" s="444">
        <f t="array" ref="J2635">IFERROR(INDEX('Retirement Calculator'!K:K,MATCH('Lorri 401b'!N2635,'Retirement Calculator'!A:A,0),0),0)</f>
        <v>0</v>
      </c>
      <c r="K2635" s="444">
        <f t="shared" ca="1" si="133"/>
        <v>-53149609.268036269</v>
      </c>
      <c r="L2635" s="444">
        <f t="shared" ca="1" si="134"/>
        <v>-12809055833.596741</v>
      </c>
      <c r="M2635" s="460">
        <f t="shared" si="136"/>
        <v>0.05</v>
      </c>
      <c r="N2635" s="464">
        <f t="shared" si="137"/>
        <v>131244</v>
      </c>
    </row>
    <row r="2636" spans="7:14" ht="11.25" customHeight="1" x14ac:dyDescent="0.3">
      <c r="G2636" s="459"/>
      <c r="H2636" s="459">
        <v>2629</v>
      </c>
      <c r="I2636" s="444">
        <f t="shared" ca="1" si="135"/>
        <v>-12809055833.596741</v>
      </c>
      <c r="J2636" s="444">
        <f t="array" ref="J2636">IFERROR(INDEX('Retirement Calculator'!K:K,MATCH('Lorri 401b'!N2636,'Retirement Calculator'!A:A,0),0),0)</f>
        <v>0</v>
      </c>
      <c r="K2636" s="444">
        <f t="shared" ca="1" si="133"/>
        <v>-53371065.973319754</v>
      </c>
      <c r="L2636" s="444">
        <f t="shared" ca="1" si="134"/>
        <v>-12862426899.570061</v>
      </c>
      <c r="M2636" s="460">
        <f t="shared" si="136"/>
        <v>0.05</v>
      </c>
      <c r="N2636" s="464">
        <f t="shared" si="137"/>
        <v>131275</v>
      </c>
    </row>
    <row r="2637" spans="7:14" ht="11.25" customHeight="1" x14ac:dyDescent="0.3">
      <c r="G2637" s="459"/>
      <c r="H2637" s="459">
        <v>2630</v>
      </c>
      <c r="I2637" s="444">
        <f t="shared" ca="1" si="135"/>
        <v>-12862426899.570061</v>
      </c>
      <c r="J2637" s="444">
        <f t="array" ref="J2637">IFERROR(INDEX('Retirement Calculator'!K:K,MATCH('Lorri 401b'!N2637,'Retirement Calculator'!A:A,0),0),0)</f>
        <v>0</v>
      </c>
      <c r="K2637" s="444">
        <f t="shared" ca="1" si="133"/>
        <v>-53593445.414875254</v>
      </c>
      <c r="L2637" s="444">
        <f t="shared" ca="1" si="134"/>
        <v>-12916020344.984936</v>
      </c>
      <c r="M2637" s="460">
        <f t="shared" si="136"/>
        <v>0.05</v>
      </c>
      <c r="N2637" s="464">
        <f t="shared" si="137"/>
        <v>131305</v>
      </c>
    </row>
    <row r="2638" spans="7:14" ht="11.25" customHeight="1" x14ac:dyDescent="0.3">
      <c r="G2638" s="459"/>
      <c r="H2638" s="459">
        <v>2631</v>
      </c>
      <c r="I2638" s="444">
        <f t="shared" ca="1" si="135"/>
        <v>-12916020344.984936</v>
      </c>
      <c r="J2638" s="444">
        <f t="array" ref="J2638">IFERROR(INDEX('Retirement Calculator'!K:K,MATCH('Lorri 401b'!N2638,'Retirement Calculator'!A:A,0),0),0)</f>
        <v>0</v>
      </c>
      <c r="K2638" s="444">
        <f t="shared" ca="1" si="133"/>
        <v>-53816751.437437229</v>
      </c>
      <c r="L2638" s="444">
        <f t="shared" ca="1" si="134"/>
        <v>-12969837096.422373</v>
      </c>
      <c r="M2638" s="460">
        <f t="shared" si="136"/>
        <v>0.05</v>
      </c>
      <c r="N2638" s="464">
        <f t="shared" si="137"/>
        <v>131336</v>
      </c>
    </row>
    <row r="2639" spans="7:14" ht="11.25" customHeight="1" x14ac:dyDescent="0.3">
      <c r="G2639" s="459"/>
      <c r="H2639" s="459">
        <v>2632</v>
      </c>
      <c r="I2639" s="444">
        <f t="shared" ca="1" si="135"/>
        <v>-12969837096.422373</v>
      </c>
      <c r="J2639" s="444">
        <f t="array" ref="J2639">IFERROR(INDEX('Retirement Calculator'!K:K,MATCH('Lorri 401b'!N2639,'Retirement Calculator'!A:A,0),0),0)</f>
        <v>0</v>
      </c>
      <c r="K2639" s="444">
        <f t="shared" ca="1" si="133"/>
        <v>-54040987.901759885</v>
      </c>
      <c r="L2639" s="444">
        <f t="shared" ca="1" si="134"/>
        <v>-13023878084.324133</v>
      </c>
      <c r="M2639" s="460">
        <f t="shared" si="136"/>
        <v>0.05</v>
      </c>
      <c r="N2639" s="464">
        <f t="shared" si="137"/>
        <v>131367</v>
      </c>
    </row>
    <row r="2640" spans="7:14" ht="11.25" customHeight="1" x14ac:dyDescent="0.3">
      <c r="G2640" s="459"/>
      <c r="H2640" s="459">
        <v>2633</v>
      </c>
      <c r="I2640" s="444">
        <f t="shared" ca="1" si="135"/>
        <v>-13023878084.324133</v>
      </c>
      <c r="J2640" s="444">
        <f t="array" ref="J2640">IFERROR(INDEX('Retirement Calculator'!K:K,MATCH('Lorri 401b'!N2640,'Retirement Calculator'!A:A,0),0),0)</f>
        <v>0</v>
      </c>
      <c r="K2640" s="444">
        <f t="shared" ca="1" si="133"/>
        <v>-54266158.684683889</v>
      </c>
      <c r="L2640" s="444">
        <f t="shared" ca="1" si="134"/>
        <v>-13078144243.008818</v>
      </c>
      <c r="M2640" s="460">
        <f t="shared" si="136"/>
        <v>0.05</v>
      </c>
      <c r="N2640" s="464">
        <f t="shared" si="137"/>
        <v>131397</v>
      </c>
    </row>
    <row r="2641" spans="7:14" ht="11.25" customHeight="1" x14ac:dyDescent="0.3">
      <c r="G2641" s="459"/>
      <c r="H2641" s="459">
        <v>2634</v>
      </c>
      <c r="I2641" s="444">
        <f t="shared" ca="1" si="135"/>
        <v>-13078144243.008818</v>
      </c>
      <c r="J2641" s="444">
        <f t="array" ref="J2641">IFERROR(INDEX('Retirement Calculator'!K:K,MATCH('Lorri 401b'!N2641,'Retirement Calculator'!A:A,0),0),0)</f>
        <v>0</v>
      </c>
      <c r="K2641" s="444">
        <f t="shared" ca="1" si="133"/>
        <v>-54492267.679203406</v>
      </c>
      <c r="L2641" s="444">
        <f t="shared" ca="1" si="134"/>
        <v>-13132636510.688021</v>
      </c>
      <c r="M2641" s="460">
        <f t="shared" si="136"/>
        <v>0.05</v>
      </c>
      <c r="N2641" s="464">
        <f t="shared" si="137"/>
        <v>131428</v>
      </c>
    </row>
    <row r="2642" spans="7:14" ht="11.25" customHeight="1" x14ac:dyDescent="0.3">
      <c r="G2642" s="459"/>
      <c r="H2642" s="459">
        <v>2635</v>
      </c>
      <c r="I2642" s="444">
        <f t="shared" ca="1" si="135"/>
        <v>-13132636510.688021</v>
      </c>
      <c r="J2642" s="444">
        <f t="array" ref="J2642">IFERROR(INDEX('Retirement Calculator'!K:K,MATCH('Lorri 401b'!N2642,'Retirement Calculator'!A:A,0),0),0)</f>
        <v>0</v>
      </c>
      <c r="K2642" s="444">
        <f t="shared" ca="1" si="133"/>
        <v>-54719318.794533417</v>
      </c>
      <c r="L2642" s="444">
        <f t="shared" ca="1" si="134"/>
        <v>-13187355829.482553</v>
      </c>
      <c r="M2642" s="460">
        <f t="shared" si="136"/>
        <v>0.05</v>
      </c>
      <c r="N2642" s="464">
        <f t="shared" si="137"/>
        <v>131458</v>
      </c>
    </row>
    <row r="2643" spans="7:14" ht="11.25" customHeight="1" x14ac:dyDescent="0.3">
      <c r="G2643" s="459"/>
      <c r="H2643" s="459">
        <v>2636</v>
      </c>
      <c r="I2643" s="444">
        <f t="shared" ca="1" si="135"/>
        <v>-13187355829.482553</v>
      </c>
      <c r="J2643" s="444">
        <f t="array" ref="J2643">IFERROR(INDEX('Retirement Calculator'!K:K,MATCH('Lorri 401b'!N2643,'Retirement Calculator'!A:A,0),0),0)</f>
        <v>0</v>
      </c>
      <c r="K2643" s="444">
        <f t="shared" ca="1" si="133"/>
        <v>-54947315.956177302</v>
      </c>
      <c r="L2643" s="444">
        <f t="shared" ca="1" si="134"/>
        <v>-13242303145.43873</v>
      </c>
      <c r="M2643" s="460">
        <f t="shared" si="136"/>
        <v>0.05</v>
      </c>
      <c r="N2643" s="464">
        <f t="shared" si="137"/>
        <v>131489</v>
      </c>
    </row>
    <row r="2644" spans="7:14" ht="11.25" customHeight="1" x14ac:dyDescent="0.3">
      <c r="G2644" s="459"/>
      <c r="H2644" s="459">
        <v>2637</v>
      </c>
      <c r="I2644" s="444">
        <f t="shared" ca="1" si="135"/>
        <v>-13242303145.43873</v>
      </c>
      <c r="J2644" s="444">
        <f t="array" ref="J2644">IFERROR(INDEX('Retirement Calculator'!K:K,MATCH('Lorri 401b'!N2644,'Retirement Calculator'!A:A,0),0),0)</f>
        <v>0</v>
      </c>
      <c r="K2644" s="444">
        <f t="shared" ca="1" si="133"/>
        <v>-55176263.105994709</v>
      </c>
      <c r="L2644" s="444">
        <f t="shared" ca="1" si="134"/>
        <v>-13297479408.544725</v>
      </c>
      <c r="M2644" s="460">
        <f t="shared" si="136"/>
        <v>0.05</v>
      </c>
      <c r="N2644" s="464">
        <f t="shared" si="137"/>
        <v>131520</v>
      </c>
    </row>
    <row r="2645" spans="7:14" ht="11.25" customHeight="1" x14ac:dyDescent="0.3">
      <c r="G2645" s="459"/>
      <c r="H2645" s="459">
        <v>2638</v>
      </c>
      <c r="I2645" s="444">
        <f t="shared" ca="1" si="135"/>
        <v>-13297479408.544725</v>
      </c>
      <c r="J2645" s="444">
        <f t="array" ref="J2645">IFERROR(INDEX('Retirement Calculator'!K:K,MATCH('Lorri 401b'!N2645,'Retirement Calculator'!A:A,0),0),0)</f>
        <v>0</v>
      </c>
      <c r="K2645" s="444">
        <f t="shared" ca="1" si="133"/>
        <v>-55406164.202269688</v>
      </c>
      <c r="L2645" s="444">
        <f t="shared" ca="1" si="134"/>
        <v>-13352885572.746996</v>
      </c>
      <c r="M2645" s="460">
        <f t="shared" si="136"/>
        <v>0.05</v>
      </c>
      <c r="N2645" s="464">
        <f t="shared" si="137"/>
        <v>131549</v>
      </c>
    </row>
    <row r="2646" spans="7:14" ht="11.25" customHeight="1" x14ac:dyDescent="0.3">
      <c r="G2646" s="459"/>
      <c r="H2646" s="459">
        <v>2639</v>
      </c>
      <c r="I2646" s="444">
        <f t="shared" ca="1" si="135"/>
        <v>-13352885572.746996</v>
      </c>
      <c r="J2646" s="444">
        <f t="array" ref="J2646">IFERROR(INDEX('Retirement Calculator'!K:K,MATCH('Lorri 401b'!N2646,'Retirement Calculator'!A:A,0),0),0)</f>
        <v>0</v>
      </c>
      <c r="K2646" s="444">
        <f t="shared" ca="1" si="133"/>
        <v>-55637023.219779149</v>
      </c>
      <c r="L2646" s="444">
        <f t="shared" ca="1" si="134"/>
        <v>-13408522595.966776</v>
      </c>
      <c r="M2646" s="460">
        <f t="shared" si="136"/>
        <v>0.05</v>
      </c>
      <c r="N2646" s="464">
        <f t="shared" si="137"/>
        <v>131580</v>
      </c>
    </row>
    <row r="2647" spans="7:14" ht="11.25" customHeight="1" x14ac:dyDescent="0.3">
      <c r="G2647" s="459"/>
      <c r="H2647" s="459">
        <v>2640</v>
      </c>
      <c r="I2647" s="444">
        <f t="shared" ca="1" si="135"/>
        <v>-13408522595.966776</v>
      </c>
      <c r="J2647" s="444">
        <f t="array" ref="J2647">IFERROR(INDEX('Retirement Calculator'!K:K,MATCH('Lorri 401b'!N2647,'Retirement Calculator'!A:A,0),0),0)</f>
        <v>0</v>
      </c>
      <c r="K2647" s="444">
        <f t="shared" ca="1" si="133"/>
        <v>-55868844.149861567</v>
      </c>
      <c r="L2647" s="444">
        <f t="shared" ca="1" si="134"/>
        <v>-13464391440.116638</v>
      </c>
      <c r="M2647" s="460">
        <f t="shared" si="136"/>
        <v>0.05</v>
      </c>
      <c r="N2647" s="464">
        <f t="shared" si="137"/>
        <v>131610</v>
      </c>
    </row>
    <row r="2648" spans="7:14" ht="11.25" customHeight="1" x14ac:dyDescent="0.3">
      <c r="G2648" s="459"/>
      <c r="H2648" s="459">
        <v>2641</v>
      </c>
      <c r="I2648" s="444">
        <f t="shared" ca="1" si="135"/>
        <v>-13464391440.116638</v>
      </c>
      <c r="J2648" s="444">
        <f t="array" ref="J2648">IFERROR(INDEX('Retirement Calculator'!K:K,MATCH('Lorri 401b'!N2648,'Retirement Calculator'!A:A,0),0),0)</f>
        <v>0</v>
      </c>
      <c r="K2648" s="444">
        <f t="shared" ca="1" si="133"/>
        <v>-56101631.000485986</v>
      </c>
      <c r="L2648" s="444">
        <f t="shared" ca="1" si="134"/>
        <v>-13520493071.117125</v>
      </c>
      <c r="M2648" s="460">
        <f t="shared" si="136"/>
        <v>0.05</v>
      </c>
      <c r="N2648" s="464">
        <f t="shared" si="137"/>
        <v>131641</v>
      </c>
    </row>
    <row r="2649" spans="7:14" ht="11.25" customHeight="1" x14ac:dyDescent="0.3">
      <c r="G2649" s="459"/>
      <c r="H2649" s="459">
        <v>2642</v>
      </c>
      <c r="I2649" s="444">
        <f t="shared" ca="1" si="135"/>
        <v>-13520493071.117125</v>
      </c>
      <c r="J2649" s="444">
        <f t="array" ref="J2649">IFERROR(INDEX('Retirement Calculator'!K:K,MATCH('Lorri 401b'!N2649,'Retirement Calculator'!A:A,0),0),0)</f>
        <v>0</v>
      </c>
      <c r="K2649" s="444">
        <f t="shared" ca="1" si="133"/>
        <v>-56335387.796321355</v>
      </c>
      <c r="L2649" s="444">
        <f t="shared" ca="1" si="134"/>
        <v>-13576828458.913446</v>
      </c>
      <c r="M2649" s="460">
        <f t="shared" si="136"/>
        <v>0.05</v>
      </c>
      <c r="N2649" s="464">
        <f t="shared" si="137"/>
        <v>131671</v>
      </c>
    </row>
    <row r="2650" spans="7:14" ht="11.25" customHeight="1" x14ac:dyDescent="0.3">
      <c r="G2650" s="459"/>
      <c r="H2650" s="459">
        <v>2643</v>
      </c>
      <c r="I2650" s="444">
        <f t="shared" ca="1" si="135"/>
        <v>-13576828458.913446</v>
      </c>
      <c r="J2650" s="444">
        <f t="array" ref="J2650">IFERROR(INDEX('Retirement Calculator'!K:K,MATCH('Lorri 401b'!N2650,'Retirement Calculator'!A:A,0),0),0)</f>
        <v>0</v>
      </c>
      <c r="K2650" s="444">
        <f t="shared" ca="1" si="133"/>
        <v>-56570118.578806028</v>
      </c>
      <c r="L2650" s="444">
        <f t="shared" ca="1" si="134"/>
        <v>-13633398577.492252</v>
      </c>
      <c r="M2650" s="460">
        <f t="shared" si="136"/>
        <v>0.05</v>
      </c>
      <c r="N2650" s="464">
        <f t="shared" si="137"/>
        <v>131702</v>
      </c>
    </row>
    <row r="2651" spans="7:14" ht="11.25" customHeight="1" x14ac:dyDescent="0.3">
      <c r="G2651" s="459"/>
      <c r="H2651" s="459">
        <v>2644</v>
      </c>
      <c r="I2651" s="444">
        <f t="shared" ca="1" si="135"/>
        <v>-13633398577.492252</v>
      </c>
      <c r="J2651" s="444">
        <f t="array" ref="J2651">IFERROR(INDEX('Retirement Calculator'!K:K,MATCH('Lorri 401b'!N2651,'Retirement Calculator'!A:A,0),0),0)</f>
        <v>0</v>
      </c>
      <c r="K2651" s="444">
        <f t="shared" ca="1" si="133"/>
        <v>-56805827.406217717</v>
      </c>
      <c r="L2651" s="444">
        <f t="shared" ca="1" si="134"/>
        <v>-13690204404.89847</v>
      </c>
      <c r="M2651" s="460">
        <f t="shared" si="136"/>
        <v>0.05</v>
      </c>
      <c r="N2651" s="464">
        <f t="shared" si="137"/>
        <v>131733</v>
      </c>
    </row>
    <row r="2652" spans="7:14" ht="11.25" customHeight="1" x14ac:dyDescent="0.3">
      <c r="G2652" s="459"/>
      <c r="H2652" s="459">
        <v>2645</v>
      </c>
      <c r="I2652" s="444">
        <f t="shared" ca="1" si="135"/>
        <v>-13690204404.89847</v>
      </c>
      <c r="J2652" s="444">
        <f t="array" ref="J2652">IFERROR(INDEX('Retirement Calculator'!K:K,MATCH('Lorri 401b'!N2652,'Retirement Calculator'!A:A,0),0),0)</f>
        <v>0</v>
      </c>
      <c r="K2652" s="444">
        <f t="shared" ca="1" si="133"/>
        <v>-57042518.353743613</v>
      </c>
      <c r="L2652" s="444">
        <f t="shared" ca="1" si="134"/>
        <v>-13747246923.252214</v>
      </c>
      <c r="M2652" s="460">
        <f t="shared" si="136"/>
        <v>0.05</v>
      </c>
      <c r="N2652" s="464">
        <f t="shared" si="137"/>
        <v>131763</v>
      </c>
    </row>
    <row r="2653" spans="7:14" ht="11.25" customHeight="1" x14ac:dyDescent="0.3">
      <c r="G2653" s="459"/>
      <c r="H2653" s="459">
        <v>2646</v>
      </c>
      <c r="I2653" s="444">
        <f t="shared" ca="1" si="135"/>
        <v>-13747246923.252214</v>
      </c>
      <c r="J2653" s="444">
        <f t="array" ref="J2653">IFERROR(INDEX('Retirement Calculator'!K:K,MATCH('Lorri 401b'!N2653,'Retirement Calculator'!A:A,0),0),0)</f>
        <v>0</v>
      </c>
      <c r="K2653" s="444">
        <f t="shared" ca="1" si="133"/>
        <v>-57280195.513550892</v>
      </c>
      <c r="L2653" s="444">
        <f t="shared" ca="1" si="134"/>
        <v>-13804527118.765766</v>
      </c>
      <c r="M2653" s="460">
        <f t="shared" si="136"/>
        <v>0.05</v>
      </c>
      <c r="N2653" s="464">
        <f t="shared" si="137"/>
        <v>131794</v>
      </c>
    </row>
    <row r="2654" spans="7:14" ht="11.25" customHeight="1" x14ac:dyDescent="0.3">
      <c r="G2654" s="459"/>
      <c r="H2654" s="459">
        <v>2647</v>
      </c>
      <c r="I2654" s="444">
        <f t="shared" ca="1" si="135"/>
        <v>-13804527118.765766</v>
      </c>
      <c r="J2654" s="444">
        <f t="array" ref="J2654">IFERROR(INDEX('Retirement Calculator'!K:K,MATCH('Lorri 401b'!N2654,'Retirement Calculator'!A:A,0),0),0)</f>
        <v>0</v>
      </c>
      <c r="K2654" s="444">
        <f t="shared" ca="1" si="133"/>
        <v>-57518862.994857356</v>
      </c>
      <c r="L2654" s="444">
        <f t="shared" ca="1" si="134"/>
        <v>-13862045981.760624</v>
      </c>
      <c r="M2654" s="460">
        <f t="shared" si="136"/>
        <v>0.05</v>
      </c>
      <c r="N2654" s="464">
        <f t="shared" si="137"/>
        <v>131824</v>
      </c>
    </row>
    <row r="2655" spans="7:14" ht="11.25" customHeight="1" x14ac:dyDescent="0.3">
      <c r="G2655" s="459"/>
      <c r="H2655" s="459">
        <v>2648</v>
      </c>
      <c r="I2655" s="444">
        <f t="shared" ca="1" si="135"/>
        <v>-13862045981.760624</v>
      </c>
      <c r="J2655" s="444">
        <f t="array" ref="J2655">IFERROR(INDEX('Retirement Calculator'!K:K,MATCH('Lorri 401b'!N2655,'Retirement Calculator'!A:A,0),0),0)</f>
        <v>0</v>
      </c>
      <c r="K2655" s="444">
        <f t="shared" ca="1" si="133"/>
        <v>-57758524.924002595</v>
      </c>
      <c r="L2655" s="444">
        <f t="shared" ca="1" si="134"/>
        <v>-13919804506.684626</v>
      </c>
      <c r="M2655" s="460">
        <f t="shared" si="136"/>
        <v>0.05</v>
      </c>
      <c r="N2655" s="464">
        <f t="shared" si="137"/>
        <v>131855</v>
      </c>
    </row>
    <row r="2656" spans="7:14" ht="11.25" customHeight="1" x14ac:dyDescent="0.3">
      <c r="G2656" s="459"/>
      <c r="H2656" s="459">
        <v>2649</v>
      </c>
      <c r="I2656" s="444">
        <f t="shared" ca="1" si="135"/>
        <v>-13919804506.684626</v>
      </c>
      <c r="J2656" s="444">
        <f t="array" ref="J2656">IFERROR(INDEX('Retirement Calculator'!K:K,MATCH('Lorri 401b'!N2656,'Retirement Calculator'!A:A,0),0),0)</f>
        <v>0</v>
      </c>
      <c r="K2656" s="444">
        <f t="shared" ca="1" si="133"/>
        <v>-57999185.444519274</v>
      </c>
      <c r="L2656" s="444">
        <f t="shared" ca="1" si="134"/>
        <v>-13977803692.129145</v>
      </c>
      <c r="M2656" s="460">
        <f t="shared" si="136"/>
        <v>0.05</v>
      </c>
      <c r="N2656" s="464">
        <f t="shared" si="137"/>
        <v>131886</v>
      </c>
    </row>
    <row r="2657" spans="7:14" ht="11.25" customHeight="1" x14ac:dyDescent="0.3">
      <c r="G2657" s="459"/>
      <c r="H2657" s="459">
        <v>2650</v>
      </c>
      <c r="I2657" s="444">
        <f t="shared" ca="1" si="135"/>
        <v>-13977803692.129145</v>
      </c>
      <c r="J2657" s="444">
        <f t="array" ref="J2657">IFERROR(INDEX('Retirement Calculator'!K:K,MATCH('Lorri 401b'!N2657,'Retirement Calculator'!A:A,0),0),0)</f>
        <v>0</v>
      </c>
      <c r="K2657" s="444">
        <f t="shared" ca="1" si="133"/>
        <v>-58240848.717204779</v>
      </c>
      <c r="L2657" s="444">
        <f t="shared" ca="1" si="134"/>
        <v>-14036044540.84635</v>
      </c>
      <c r="M2657" s="460">
        <f t="shared" si="136"/>
        <v>0.05</v>
      </c>
      <c r="N2657" s="464">
        <f t="shared" si="137"/>
        <v>131914</v>
      </c>
    </row>
    <row r="2658" spans="7:14" ht="11.25" customHeight="1" x14ac:dyDescent="0.3">
      <c r="G2658" s="459"/>
      <c r="H2658" s="459">
        <v>2651</v>
      </c>
      <c r="I2658" s="444">
        <f t="shared" ca="1" si="135"/>
        <v>-14036044540.84635</v>
      </c>
      <c r="J2658" s="444">
        <f t="array" ref="J2658">IFERROR(INDEX('Retirement Calculator'!K:K,MATCH('Lorri 401b'!N2658,'Retirement Calculator'!A:A,0),0),0)</f>
        <v>0</v>
      </c>
      <c r="K2658" s="444">
        <f t="shared" ca="1" si="133"/>
        <v>-58483518.920193113</v>
      </c>
      <c r="L2658" s="444">
        <f t="shared" ca="1" si="134"/>
        <v>-14094528059.766542</v>
      </c>
      <c r="M2658" s="460">
        <f t="shared" si="136"/>
        <v>0.05</v>
      </c>
      <c r="N2658" s="464">
        <f t="shared" si="137"/>
        <v>131945</v>
      </c>
    </row>
    <row r="2659" spans="7:14" ht="11.25" customHeight="1" x14ac:dyDescent="0.3">
      <c r="G2659" s="459"/>
      <c r="H2659" s="459">
        <v>2652</v>
      </c>
      <c r="I2659" s="444">
        <f t="shared" ca="1" si="135"/>
        <v>-14094528059.766542</v>
      </c>
      <c r="J2659" s="444">
        <f t="array" ref="J2659">IFERROR(INDEX('Retirement Calculator'!K:K,MATCH('Lorri 401b'!N2659,'Retirement Calculator'!A:A,0),0),0)</f>
        <v>0</v>
      </c>
      <c r="K2659" s="444">
        <f t="shared" ca="1" si="133"/>
        <v>-58727200.249027267</v>
      </c>
      <c r="L2659" s="444">
        <f t="shared" ca="1" si="134"/>
        <v>-14153255260.01557</v>
      </c>
      <c r="M2659" s="460">
        <f t="shared" si="136"/>
        <v>0.05</v>
      </c>
      <c r="N2659" s="464">
        <f t="shared" si="137"/>
        <v>131975</v>
      </c>
    </row>
    <row r="2660" spans="7:14" ht="11.25" customHeight="1" x14ac:dyDescent="0.3">
      <c r="G2660" s="459"/>
      <c r="H2660" s="459">
        <v>2653</v>
      </c>
      <c r="I2660" s="444">
        <f t="shared" ca="1" si="135"/>
        <v>-14153255260.01557</v>
      </c>
      <c r="J2660" s="444">
        <f t="array" ref="J2660">IFERROR(INDEX('Retirement Calculator'!K:K,MATCH('Lorri 401b'!N2660,'Retirement Calculator'!A:A,0),0),0)</f>
        <v>0</v>
      </c>
      <c r="K2660" s="444">
        <f t="shared" ca="1" si="133"/>
        <v>-58971896.916731536</v>
      </c>
      <c r="L2660" s="444">
        <f t="shared" ca="1" si="134"/>
        <v>-14212227156.932301</v>
      </c>
      <c r="M2660" s="460">
        <f t="shared" si="136"/>
        <v>0.05</v>
      </c>
      <c r="N2660" s="464">
        <f t="shared" si="137"/>
        <v>132006</v>
      </c>
    </row>
    <row r="2661" spans="7:14" ht="11.25" customHeight="1" x14ac:dyDescent="0.3">
      <c r="G2661" s="459"/>
      <c r="H2661" s="459">
        <v>2654</v>
      </c>
      <c r="I2661" s="444">
        <f t="shared" ca="1" si="135"/>
        <v>-14212227156.932301</v>
      </c>
      <c r="J2661" s="444">
        <f t="array" ref="J2661">IFERROR(INDEX('Retirement Calculator'!K:K,MATCH('Lorri 401b'!N2661,'Retirement Calculator'!A:A,0),0),0)</f>
        <v>0</v>
      </c>
      <c r="K2661" s="444">
        <f t="shared" ca="1" si="133"/>
        <v>-59217613.153884582</v>
      </c>
      <c r="L2661" s="444">
        <f t="shared" ca="1" si="134"/>
        <v>-14271444770.086185</v>
      </c>
      <c r="M2661" s="460">
        <f t="shared" si="136"/>
        <v>0.05</v>
      </c>
      <c r="N2661" s="464">
        <f t="shared" si="137"/>
        <v>132036</v>
      </c>
    </row>
    <row r="2662" spans="7:14" ht="11.25" customHeight="1" x14ac:dyDescent="0.3">
      <c r="G2662" s="459"/>
      <c r="H2662" s="459">
        <v>2655</v>
      </c>
      <c r="I2662" s="444">
        <f t="shared" ca="1" si="135"/>
        <v>-14271444770.086185</v>
      </c>
      <c r="J2662" s="444">
        <f t="array" ref="J2662">IFERROR(INDEX('Retirement Calculator'!K:K,MATCH('Lorri 401b'!N2662,'Retirement Calculator'!A:A,0),0),0)</f>
        <v>0</v>
      </c>
      <c r="K2662" s="444">
        <f t="shared" ca="1" si="133"/>
        <v>-59464353.208692439</v>
      </c>
      <c r="L2662" s="444">
        <f t="shared" ca="1" si="134"/>
        <v>-14330909123.294878</v>
      </c>
      <c r="M2662" s="460">
        <f t="shared" si="136"/>
        <v>0.05</v>
      </c>
      <c r="N2662" s="464">
        <f t="shared" si="137"/>
        <v>132067</v>
      </c>
    </row>
    <row r="2663" spans="7:14" ht="11.25" customHeight="1" x14ac:dyDescent="0.3">
      <c r="G2663" s="459"/>
      <c r="H2663" s="459">
        <v>2656</v>
      </c>
      <c r="I2663" s="444">
        <f t="shared" ca="1" si="135"/>
        <v>-14330909123.294878</v>
      </c>
      <c r="J2663" s="444">
        <f t="array" ref="J2663">IFERROR(INDEX('Retirement Calculator'!K:K,MATCH('Lorri 401b'!N2663,'Retirement Calculator'!A:A,0),0),0)</f>
        <v>0</v>
      </c>
      <c r="K2663" s="444">
        <f t="shared" ca="1" si="133"/>
        <v>-59712121.347061999</v>
      </c>
      <c r="L2663" s="444">
        <f t="shared" ca="1" si="134"/>
        <v>-14390621244.641939</v>
      </c>
      <c r="M2663" s="460">
        <f t="shared" si="136"/>
        <v>0.05</v>
      </c>
      <c r="N2663" s="464">
        <f t="shared" si="137"/>
        <v>132098</v>
      </c>
    </row>
    <row r="2664" spans="7:14" ht="11.25" customHeight="1" x14ac:dyDescent="0.3">
      <c r="G2664" s="459"/>
      <c r="H2664" s="459">
        <v>2657</v>
      </c>
      <c r="I2664" s="444">
        <f t="shared" ca="1" si="135"/>
        <v>-14390621244.641939</v>
      </c>
      <c r="J2664" s="444">
        <f t="array" ref="J2664">IFERROR(INDEX('Retirement Calculator'!K:K,MATCH('Lorri 401b'!N2664,'Retirement Calculator'!A:A,0),0),0)</f>
        <v>0</v>
      </c>
      <c r="K2664" s="444">
        <f t="shared" ca="1" si="133"/>
        <v>-59960921.852674745</v>
      </c>
      <c r="L2664" s="444">
        <f t="shared" ca="1" si="134"/>
        <v>-14450582166.494614</v>
      </c>
      <c r="M2664" s="460">
        <f t="shared" si="136"/>
        <v>0.05</v>
      </c>
      <c r="N2664" s="464">
        <f t="shared" si="137"/>
        <v>132128</v>
      </c>
    </row>
    <row r="2665" spans="7:14" ht="11.25" customHeight="1" x14ac:dyDescent="0.3">
      <c r="G2665" s="459"/>
      <c r="H2665" s="459">
        <v>2658</v>
      </c>
      <c r="I2665" s="444">
        <f t="shared" ca="1" si="135"/>
        <v>-14450582166.494614</v>
      </c>
      <c r="J2665" s="444">
        <f t="array" ref="J2665">IFERROR(INDEX('Retirement Calculator'!K:K,MATCH('Lorri 401b'!N2665,'Retirement Calculator'!A:A,0),0),0)</f>
        <v>0</v>
      </c>
      <c r="K2665" s="444">
        <f t="shared" ca="1" si="133"/>
        <v>-60210759.027060896</v>
      </c>
      <c r="L2665" s="444">
        <f t="shared" ca="1" si="134"/>
        <v>-14510792925.521675</v>
      </c>
      <c r="M2665" s="460">
        <f t="shared" si="136"/>
        <v>0.05</v>
      </c>
      <c r="N2665" s="464">
        <f t="shared" si="137"/>
        <v>132159</v>
      </c>
    </row>
    <row r="2666" spans="7:14" ht="11.25" customHeight="1" x14ac:dyDescent="0.3">
      <c r="G2666" s="459"/>
      <c r="H2666" s="459">
        <v>2659</v>
      </c>
      <c r="I2666" s="444">
        <f t="shared" ca="1" si="135"/>
        <v>-14510792925.521675</v>
      </c>
      <c r="J2666" s="444">
        <f t="array" ref="J2666">IFERROR(INDEX('Retirement Calculator'!K:K,MATCH('Lorri 401b'!N2666,'Retirement Calculator'!A:A,0),0),0)</f>
        <v>0</v>
      </c>
      <c r="K2666" s="444">
        <f t="shared" ca="1" si="133"/>
        <v>-60461637.189673647</v>
      </c>
      <c r="L2666" s="444">
        <f t="shared" ca="1" si="134"/>
        <v>-14571254562.711349</v>
      </c>
      <c r="M2666" s="460">
        <f t="shared" si="136"/>
        <v>0.05</v>
      </c>
      <c r="N2666" s="464">
        <f t="shared" si="137"/>
        <v>132189</v>
      </c>
    </row>
    <row r="2667" spans="7:14" ht="11.25" customHeight="1" x14ac:dyDescent="0.3">
      <c r="G2667" s="459"/>
      <c r="H2667" s="459">
        <v>2660</v>
      </c>
      <c r="I2667" s="444">
        <f t="shared" ca="1" si="135"/>
        <v>-14571254562.711349</v>
      </c>
      <c r="J2667" s="444">
        <f t="array" ref="J2667">IFERROR(INDEX('Retirement Calculator'!K:K,MATCH('Lorri 401b'!N2667,'Retirement Calculator'!A:A,0),0),0)</f>
        <v>0</v>
      </c>
      <c r="K2667" s="444">
        <f t="shared" ca="1" si="133"/>
        <v>-60713560.67796395</v>
      </c>
      <c r="L2667" s="444">
        <f t="shared" ca="1" si="134"/>
        <v>-14631968123.389313</v>
      </c>
      <c r="M2667" s="460">
        <f t="shared" si="136"/>
        <v>0.05</v>
      </c>
      <c r="N2667" s="464">
        <f t="shared" si="137"/>
        <v>132220</v>
      </c>
    </row>
    <row r="2668" spans="7:14" ht="11.25" customHeight="1" x14ac:dyDescent="0.3">
      <c r="G2668" s="459"/>
      <c r="H2668" s="459">
        <v>2661</v>
      </c>
      <c r="I2668" s="444">
        <f t="shared" ca="1" si="135"/>
        <v>-14631968123.389313</v>
      </c>
      <c r="J2668" s="444">
        <f t="array" ref="J2668">IFERROR(INDEX('Retirement Calculator'!K:K,MATCH('Lorri 401b'!N2668,'Retirement Calculator'!A:A,0),0),0)</f>
        <v>0</v>
      </c>
      <c r="K2668" s="444">
        <f t="shared" ca="1" si="133"/>
        <v>-60966533.847455472</v>
      </c>
      <c r="L2668" s="444">
        <f t="shared" ca="1" si="134"/>
        <v>-14692934657.236769</v>
      </c>
      <c r="M2668" s="460">
        <f t="shared" si="136"/>
        <v>0.05</v>
      </c>
      <c r="N2668" s="464">
        <f t="shared" si="137"/>
        <v>132251</v>
      </c>
    </row>
    <row r="2669" spans="7:14" ht="11.25" customHeight="1" x14ac:dyDescent="0.3">
      <c r="G2669" s="459"/>
      <c r="H2669" s="459">
        <v>2662</v>
      </c>
      <c r="I2669" s="444">
        <f t="shared" ca="1" si="135"/>
        <v>-14692934657.236769</v>
      </c>
      <c r="J2669" s="444">
        <f t="array" ref="J2669">IFERROR(INDEX('Retirement Calculator'!K:K,MATCH('Lorri 401b'!N2669,'Retirement Calculator'!A:A,0),0),0)</f>
        <v>0</v>
      </c>
      <c r="K2669" s="444">
        <f t="shared" ca="1" si="133"/>
        <v>-61220561.071819879</v>
      </c>
      <c r="L2669" s="444">
        <f t="shared" ca="1" si="134"/>
        <v>-14754155218.308588</v>
      </c>
      <c r="M2669" s="460">
        <f t="shared" si="136"/>
        <v>0.05</v>
      </c>
      <c r="N2669" s="464">
        <f t="shared" si="137"/>
        <v>132279</v>
      </c>
    </row>
    <row r="2670" spans="7:14" ht="11.25" customHeight="1" x14ac:dyDescent="0.3">
      <c r="G2670" s="459"/>
      <c r="H2670" s="459">
        <v>2663</v>
      </c>
      <c r="I2670" s="444">
        <f t="shared" ca="1" si="135"/>
        <v>-14754155218.308588</v>
      </c>
      <c r="J2670" s="444">
        <f t="array" ref="J2670">IFERROR(INDEX('Retirement Calculator'!K:K,MATCH('Lorri 401b'!N2670,'Retirement Calculator'!A:A,0),0),0)</f>
        <v>0</v>
      </c>
      <c r="K2670" s="444">
        <f t="shared" ca="1" si="133"/>
        <v>-61475646.742952451</v>
      </c>
      <c r="L2670" s="444">
        <f t="shared" ca="1" si="134"/>
        <v>-14815630865.05154</v>
      </c>
      <c r="M2670" s="460">
        <f t="shared" si="136"/>
        <v>0.05</v>
      </c>
      <c r="N2670" s="464">
        <f t="shared" si="137"/>
        <v>132310</v>
      </c>
    </row>
    <row r="2671" spans="7:14" ht="11.25" customHeight="1" x14ac:dyDescent="0.3">
      <c r="G2671" s="459"/>
      <c r="H2671" s="459">
        <v>2664</v>
      </c>
      <c r="I2671" s="444">
        <f t="shared" ca="1" si="135"/>
        <v>-14815630865.05154</v>
      </c>
      <c r="J2671" s="444">
        <f t="array" ref="J2671">IFERROR(INDEX('Retirement Calculator'!K:K,MATCH('Lorri 401b'!N2671,'Retirement Calculator'!A:A,0),0),0)</f>
        <v>0</v>
      </c>
      <c r="K2671" s="444">
        <f t="shared" ca="1" si="133"/>
        <v>-61731795.271048084</v>
      </c>
      <c r="L2671" s="444">
        <f t="shared" ca="1" si="134"/>
        <v>-14877362660.322588</v>
      </c>
      <c r="M2671" s="460">
        <f t="shared" si="136"/>
        <v>0.05</v>
      </c>
      <c r="N2671" s="464">
        <f t="shared" si="137"/>
        <v>132340</v>
      </c>
    </row>
    <row r="2672" spans="7:14" ht="11.25" customHeight="1" x14ac:dyDescent="0.3">
      <c r="G2672" s="459"/>
      <c r="H2672" s="459">
        <v>2665</v>
      </c>
      <c r="I2672" s="444">
        <f t="shared" ca="1" si="135"/>
        <v>-14877362660.322588</v>
      </c>
      <c r="J2672" s="444">
        <f t="array" ref="J2672">IFERROR(INDEX('Retirement Calculator'!K:K,MATCH('Lorri 401b'!N2672,'Retirement Calculator'!A:A,0),0),0)</f>
        <v>0</v>
      </c>
      <c r="K2672" s="444">
        <f t="shared" ca="1" si="133"/>
        <v>-61989011.08467745</v>
      </c>
      <c r="L2672" s="444">
        <f t="shared" ca="1" si="134"/>
        <v>-14939351671.407265</v>
      </c>
      <c r="M2672" s="460">
        <f t="shared" si="136"/>
        <v>0.05</v>
      </c>
      <c r="N2672" s="464">
        <f t="shared" si="137"/>
        <v>132371</v>
      </c>
    </row>
    <row r="2673" spans="7:14" ht="11.25" customHeight="1" x14ac:dyDescent="0.3">
      <c r="G2673" s="459"/>
      <c r="H2673" s="459">
        <v>2666</v>
      </c>
      <c r="I2673" s="444">
        <f t="shared" ca="1" si="135"/>
        <v>-14939351671.407265</v>
      </c>
      <c r="J2673" s="444">
        <f t="array" ref="J2673">IFERROR(INDEX('Retirement Calculator'!K:K,MATCH('Lorri 401b'!N2673,'Retirement Calculator'!A:A,0),0),0)</f>
        <v>0</v>
      </c>
      <c r="K2673" s="444">
        <f t="shared" ca="1" si="133"/>
        <v>-62247298.630863599</v>
      </c>
      <c r="L2673" s="444">
        <f t="shared" ca="1" si="134"/>
        <v>-15001598970.038128</v>
      </c>
      <c r="M2673" s="460">
        <f t="shared" si="136"/>
        <v>0.05</v>
      </c>
      <c r="N2673" s="464">
        <f t="shared" si="137"/>
        <v>132401</v>
      </c>
    </row>
    <row r="2674" spans="7:14" ht="11.25" customHeight="1" x14ac:dyDescent="0.3">
      <c r="G2674" s="459"/>
      <c r="H2674" s="459">
        <v>2667</v>
      </c>
      <c r="I2674" s="444">
        <f t="shared" ca="1" si="135"/>
        <v>-15001598970.038128</v>
      </c>
      <c r="J2674" s="444">
        <f t="array" ref="J2674">IFERROR(INDEX('Retirement Calculator'!K:K,MATCH('Lorri 401b'!N2674,'Retirement Calculator'!A:A,0),0),0)</f>
        <v>0</v>
      </c>
      <c r="K2674" s="444">
        <f t="shared" ca="1" si="133"/>
        <v>-62506662.375158869</v>
      </c>
      <c r="L2674" s="444">
        <f t="shared" ca="1" si="134"/>
        <v>-15064105632.413286</v>
      </c>
      <c r="M2674" s="460">
        <f t="shared" si="136"/>
        <v>0.05</v>
      </c>
      <c r="N2674" s="464">
        <f t="shared" si="137"/>
        <v>132432</v>
      </c>
    </row>
    <row r="2675" spans="7:14" ht="11.25" customHeight="1" x14ac:dyDescent="0.3">
      <c r="G2675" s="459"/>
      <c r="H2675" s="459">
        <v>2668</v>
      </c>
      <c r="I2675" s="444">
        <f t="shared" ca="1" si="135"/>
        <v>-15064105632.413286</v>
      </c>
      <c r="J2675" s="444">
        <f t="array" ref="J2675">IFERROR(INDEX('Retirement Calculator'!K:K,MATCH('Lorri 401b'!N2675,'Retirement Calculator'!A:A,0),0),0)</f>
        <v>0</v>
      </c>
      <c r="K2675" s="444">
        <f t="shared" ca="1" si="133"/>
        <v>-62767106.801722027</v>
      </c>
      <c r="L2675" s="444">
        <f t="shared" ca="1" si="134"/>
        <v>-15126872739.215008</v>
      </c>
      <c r="M2675" s="460">
        <f t="shared" si="136"/>
        <v>0.05</v>
      </c>
      <c r="N2675" s="464">
        <f t="shared" si="137"/>
        <v>132463</v>
      </c>
    </row>
    <row r="2676" spans="7:14" ht="11.25" customHeight="1" x14ac:dyDescent="0.3">
      <c r="G2676" s="459"/>
      <c r="H2676" s="459">
        <v>2669</v>
      </c>
      <c r="I2676" s="444">
        <f t="shared" ca="1" si="135"/>
        <v>-15126872739.215008</v>
      </c>
      <c r="J2676" s="444">
        <f t="array" ref="J2676">IFERROR(INDEX('Retirement Calculator'!K:K,MATCH('Lorri 401b'!N2676,'Retirement Calculator'!A:A,0),0),0)</f>
        <v>0</v>
      </c>
      <c r="K2676" s="444">
        <f t="shared" ca="1" si="133"/>
        <v>-63028636.413395867</v>
      </c>
      <c r="L2676" s="444">
        <f t="shared" ca="1" si="134"/>
        <v>-15189901375.628403</v>
      </c>
      <c r="M2676" s="460">
        <f t="shared" si="136"/>
        <v>0.05</v>
      </c>
      <c r="N2676" s="464">
        <f t="shared" si="137"/>
        <v>132493</v>
      </c>
    </row>
    <row r="2677" spans="7:14" ht="11.25" customHeight="1" x14ac:dyDescent="0.3">
      <c r="G2677" s="459"/>
      <c r="H2677" s="459">
        <v>2670</v>
      </c>
      <c r="I2677" s="444">
        <f t="shared" ca="1" si="135"/>
        <v>-15189901375.628403</v>
      </c>
      <c r="J2677" s="444">
        <f t="array" ref="J2677">IFERROR(INDEX('Retirement Calculator'!K:K,MATCH('Lorri 401b'!N2677,'Retirement Calculator'!A:A,0),0),0)</f>
        <v>0</v>
      </c>
      <c r="K2677" s="444">
        <f t="shared" ca="1" si="133"/>
        <v>-63291255.731784999</v>
      </c>
      <c r="L2677" s="444">
        <f t="shared" ca="1" si="134"/>
        <v>-15253192631.360188</v>
      </c>
      <c r="M2677" s="460">
        <f t="shared" si="136"/>
        <v>0.05</v>
      </c>
      <c r="N2677" s="464">
        <f t="shared" si="137"/>
        <v>132524</v>
      </c>
    </row>
    <row r="2678" spans="7:14" ht="11.25" customHeight="1" x14ac:dyDescent="0.3">
      <c r="G2678" s="459"/>
      <c r="H2678" s="459">
        <v>2671</v>
      </c>
      <c r="I2678" s="444">
        <f t="shared" ca="1" si="135"/>
        <v>-15253192631.360188</v>
      </c>
      <c r="J2678" s="444">
        <f t="array" ref="J2678">IFERROR(INDEX('Retirement Calculator'!K:K,MATCH('Lorri 401b'!N2678,'Retirement Calculator'!A:A,0),0),0)</f>
        <v>0</v>
      </c>
      <c r="K2678" s="444">
        <f t="shared" ca="1" si="133"/>
        <v>-63554969.297334112</v>
      </c>
      <c r="L2678" s="444">
        <f t="shared" ca="1" si="134"/>
        <v>-15316747600.657522</v>
      </c>
      <c r="M2678" s="460">
        <f t="shared" si="136"/>
        <v>0.05</v>
      </c>
      <c r="N2678" s="464">
        <f t="shared" si="137"/>
        <v>132554</v>
      </c>
    </row>
    <row r="2679" spans="7:14" ht="11.25" customHeight="1" x14ac:dyDescent="0.3">
      <c r="G2679" s="459"/>
      <c r="H2679" s="459">
        <v>2672</v>
      </c>
      <c r="I2679" s="444">
        <f t="shared" ca="1" si="135"/>
        <v>-15316747600.657522</v>
      </c>
      <c r="J2679" s="444">
        <f t="array" ref="J2679">IFERROR(INDEX('Retirement Calculator'!K:K,MATCH('Lorri 401b'!N2679,'Retirement Calculator'!A:A,0),0),0)</f>
        <v>0</v>
      </c>
      <c r="K2679" s="444">
        <f t="shared" ca="1" si="133"/>
        <v>-63819781.66940634</v>
      </c>
      <c r="L2679" s="444">
        <f t="shared" ca="1" si="134"/>
        <v>-15380567382.326929</v>
      </c>
      <c r="M2679" s="460">
        <f t="shared" si="136"/>
        <v>0.05</v>
      </c>
      <c r="N2679" s="464">
        <f t="shared" si="137"/>
        <v>132585</v>
      </c>
    </row>
    <row r="2680" spans="7:14" ht="11.25" customHeight="1" x14ac:dyDescent="0.3">
      <c r="G2680" s="459"/>
      <c r="H2680" s="459">
        <v>2673</v>
      </c>
      <c r="I2680" s="444">
        <f t="shared" ca="1" si="135"/>
        <v>-15380567382.326929</v>
      </c>
      <c r="J2680" s="444">
        <f t="array" ref="J2680">IFERROR(INDEX('Retirement Calculator'!K:K,MATCH('Lorri 401b'!N2680,'Retirement Calculator'!A:A,0),0),0)</f>
        <v>0</v>
      </c>
      <c r="K2680" s="444">
        <f t="shared" ca="1" si="133"/>
        <v>-64085697.426362202</v>
      </c>
      <c r="L2680" s="444">
        <f t="shared" ca="1" si="134"/>
        <v>-15444653079.753292</v>
      </c>
      <c r="M2680" s="460">
        <f t="shared" si="136"/>
        <v>0.05</v>
      </c>
      <c r="N2680" s="464">
        <f t="shared" si="137"/>
        <v>132616</v>
      </c>
    </row>
    <row r="2681" spans="7:14" ht="11.25" customHeight="1" x14ac:dyDescent="0.3">
      <c r="G2681" s="459"/>
      <c r="H2681" s="459">
        <v>2674</v>
      </c>
      <c r="I2681" s="444">
        <f t="shared" ca="1" si="135"/>
        <v>-15444653079.753292</v>
      </c>
      <c r="J2681" s="444">
        <f t="array" ref="J2681">IFERROR(INDEX('Retirement Calculator'!K:K,MATCH('Lorri 401b'!N2681,'Retirement Calculator'!A:A,0),0),0)</f>
        <v>0</v>
      </c>
      <c r="K2681" s="444">
        <f t="shared" ca="1" si="133"/>
        <v>-64352721.165638715</v>
      </c>
      <c r="L2681" s="444">
        <f t="shared" ca="1" si="134"/>
        <v>-15509005800.91893</v>
      </c>
      <c r="M2681" s="460">
        <f t="shared" si="136"/>
        <v>0.05</v>
      </c>
      <c r="N2681" s="464">
        <f t="shared" si="137"/>
        <v>132644</v>
      </c>
    </row>
    <row r="2682" spans="7:14" ht="11.25" customHeight="1" x14ac:dyDescent="0.3">
      <c r="G2682" s="459"/>
      <c r="H2682" s="459">
        <v>2675</v>
      </c>
      <c r="I2682" s="444">
        <f t="shared" ca="1" si="135"/>
        <v>-15509005800.91893</v>
      </c>
      <c r="J2682" s="444">
        <f t="array" ref="J2682">IFERROR(INDEX('Retirement Calculator'!K:K,MATCH('Lorri 401b'!N2682,'Retirement Calculator'!A:A,0),0),0)</f>
        <v>0</v>
      </c>
      <c r="K2682" s="444">
        <f t="shared" ca="1" si="133"/>
        <v>-64620857.503828876</v>
      </c>
      <c r="L2682" s="444">
        <f t="shared" ca="1" si="134"/>
        <v>-15573626658.422758</v>
      </c>
      <c r="M2682" s="460">
        <f t="shared" si="136"/>
        <v>0.05</v>
      </c>
      <c r="N2682" s="464">
        <f t="shared" si="137"/>
        <v>132675</v>
      </c>
    </row>
    <row r="2683" spans="7:14" ht="11.25" customHeight="1" x14ac:dyDescent="0.3">
      <c r="G2683" s="459"/>
      <c r="H2683" s="459">
        <v>2676</v>
      </c>
      <c r="I2683" s="444">
        <f t="shared" ca="1" si="135"/>
        <v>-15573626658.422758</v>
      </c>
      <c r="J2683" s="444">
        <f t="array" ref="J2683">IFERROR(INDEX('Retirement Calculator'!K:K,MATCH('Lorri 401b'!N2683,'Retirement Calculator'!A:A,0),0),0)</f>
        <v>0</v>
      </c>
      <c r="K2683" s="444">
        <f t="shared" ca="1" si="133"/>
        <v>-64890111.076761492</v>
      </c>
      <c r="L2683" s="444">
        <f t="shared" ca="1" si="134"/>
        <v>-15638516769.499519</v>
      </c>
      <c r="M2683" s="460">
        <f t="shared" si="136"/>
        <v>0.05</v>
      </c>
      <c r="N2683" s="464">
        <f t="shared" si="137"/>
        <v>132705</v>
      </c>
    </row>
    <row r="2684" spans="7:14" ht="11.25" customHeight="1" x14ac:dyDescent="0.3">
      <c r="G2684" s="459"/>
      <c r="H2684" s="459">
        <v>2677</v>
      </c>
      <c r="I2684" s="444">
        <f t="shared" ca="1" si="135"/>
        <v>-15638516769.499519</v>
      </c>
      <c r="J2684" s="444">
        <f t="array" ref="J2684">IFERROR(INDEX('Retirement Calculator'!K:K,MATCH('Lorri 401b'!N2684,'Retirement Calculator'!A:A,0),0),0)</f>
        <v>0</v>
      </c>
      <c r="K2684" s="444">
        <f t="shared" ca="1" si="133"/>
        <v>-65160486.539581329</v>
      </c>
      <c r="L2684" s="444">
        <f t="shared" ca="1" si="134"/>
        <v>-15703677256.039101</v>
      </c>
      <c r="M2684" s="460">
        <f t="shared" si="136"/>
        <v>0.05</v>
      </c>
      <c r="N2684" s="464">
        <f t="shared" si="137"/>
        <v>132736</v>
      </c>
    </row>
    <row r="2685" spans="7:14" ht="11.25" customHeight="1" x14ac:dyDescent="0.3">
      <c r="G2685" s="459"/>
      <c r="H2685" s="459">
        <v>2678</v>
      </c>
      <c r="I2685" s="444">
        <f t="shared" ca="1" si="135"/>
        <v>-15703677256.039101</v>
      </c>
      <c r="J2685" s="444">
        <f t="array" ref="J2685">IFERROR(INDEX('Retirement Calculator'!K:K,MATCH('Lorri 401b'!N2685,'Retirement Calculator'!A:A,0),0),0)</f>
        <v>0</v>
      </c>
      <c r="K2685" s="444">
        <f t="shared" ca="1" si="133"/>
        <v>-65431988.566829585</v>
      </c>
      <c r="L2685" s="444">
        <f t="shared" ca="1" si="134"/>
        <v>-15769109244.60593</v>
      </c>
      <c r="M2685" s="460">
        <f t="shared" si="136"/>
        <v>0.05</v>
      </c>
      <c r="N2685" s="464">
        <f t="shared" si="137"/>
        <v>132766</v>
      </c>
    </row>
    <row r="2686" spans="7:14" ht="11.25" customHeight="1" x14ac:dyDescent="0.3">
      <c r="G2686" s="459"/>
      <c r="H2686" s="459">
        <v>2679</v>
      </c>
      <c r="I2686" s="444">
        <f t="shared" ca="1" si="135"/>
        <v>-15769109244.60593</v>
      </c>
      <c r="J2686" s="444">
        <f t="array" ref="J2686">IFERROR(INDEX('Retirement Calculator'!K:K,MATCH('Lorri 401b'!N2686,'Retirement Calculator'!A:A,0),0),0)</f>
        <v>0</v>
      </c>
      <c r="K2686" s="444">
        <f t="shared" ca="1" si="133"/>
        <v>-65704621.852524705</v>
      </c>
      <c r="L2686" s="444">
        <f t="shared" ca="1" si="134"/>
        <v>-15834813866.458454</v>
      </c>
      <c r="M2686" s="460">
        <f t="shared" si="136"/>
        <v>0.05</v>
      </c>
      <c r="N2686" s="464">
        <f t="shared" si="137"/>
        <v>132797</v>
      </c>
    </row>
    <row r="2687" spans="7:14" ht="11.25" customHeight="1" x14ac:dyDescent="0.3">
      <c r="G2687" s="459"/>
      <c r="H2687" s="459">
        <v>2680</v>
      </c>
      <c r="I2687" s="444">
        <f t="shared" ca="1" si="135"/>
        <v>-15834813866.458454</v>
      </c>
      <c r="J2687" s="444">
        <f t="array" ref="J2687">IFERROR(INDEX('Retirement Calculator'!K:K,MATCH('Lorri 401b'!N2687,'Retirement Calculator'!A:A,0),0),0)</f>
        <v>0</v>
      </c>
      <c r="K2687" s="444">
        <f t="shared" ca="1" si="133"/>
        <v>-65978391.110243566</v>
      </c>
      <c r="L2687" s="444">
        <f t="shared" ca="1" si="134"/>
        <v>-15900792257.568697</v>
      </c>
      <c r="M2687" s="460">
        <f t="shared" si="136"/>
        <v>0.05</v>
      </c>
      <c r="N2687" s="464">
        <f t="shared" si="137"/>
        <v>132828</v>
      </c>
    </row>
    <row r="2688" spans="7:14" ht="11.25" customHeight="1" x14ac:dyDescent="0.3">
      <c r="G2688" s="459"/>
      <c r="H2688" s="459">
        <v>2681</v>
      </c>
      <c r="I2688" s="444">
        <f t="shared" ca="1" si="135"/>
        <v>-15900792257.568697</v>
      </c>
      <c r="J2688" s="444">
        <f t="array" ref="J2688">IFERROR(INDEX('Retirement Calculator'!K:K,MATCH('Lorri 401b'!N2688,'Retirement Calculator'!A:A,0),0),0)</f>
        <v>0</v>
      </c>
      <c r="K2688" s="444">
        <f t="shared" ca="1" si="133"/>
        <v>-66253301.073202908</v>
      </c>
      <c r="L2688" s="444">
        <f t="shared" ca="1" si="134"/>
        <v>-15967045558.641899</v>
      </c>
      <c r="M2688" s="460">
        <f t="shared" si="136"/>
        <v>0.05</v>
      </c>
      <c r="N2688" s="464">
        <f t="shared" si="137"/>
        <v>132858</v>
      </c>
    </row>
    <row r="2689" spans="7:14" ht="11.25" customHeight="1" x14ac:dyDescent="0.3">
      <c r="G2689" s="459"/>
      <c r="H2689" s="459">
        <v>2682</v>
      </c>
      <c r="I2689" s="444">
        <f t="shared" ca="1" si="135"/>
        <v>-15967045558.641899</v>
      </c>
      <c r="J2689" s="444">
        <f t="array" ref="J2689">IFERROR(INDEX('Retirement Calculator'!K:K,MATCH('Lorri 401b'!N2689,'Retirement Calculator'!A:A,0),0),0)</f>
        <v>0</v>
      </c>
      <c r="K2689" s="444">
        <f t="shared" ca="1" si="133"/>
        <v>-66529356.494341254</v>
      </c>
      <c r="L2689" s="444">
        <f t="shared" ca="1" si="134"/>
        <v>-16033574915.13624</v>
      </c>
      <c r="M2689" s="460">
        <f t="shared" si="136"/>
        <v>0.05</v>
      </c>
      <c r="N2689" s="464">
        <f t="shared" si="137"/>
        <v>132889</v>
      </c>
    </row>
    <row r="2690" spans="7:14" ht="11.25" customHeight="1" x14ac:dyDescent="0.3">
      <c r="G2690" s="459"/>
      <c r="H2690" s="459">
        <v>2683</v>
      </c>
      <c r="I2690" s="444">
        <f t="shared" ca="1" si="135"/>
        <v>-16033574915.13624</v>
      </c>
      <c r="J2690" s="444">
        <f t="array" ref="J2690">IFERROR(INDEX('Retirement Calculator'!K:K,MATCH('Lorri 401b'!N2690,'Retirement Calculator'!A:A,0),0),0)</f>
        <v>0</v>
      </c>
      <c r="K2690" s="444">
        <f t="shared" ca="1" si="133"/>
        <v>-66806562.146400996</v>
      </c>
      <c r="L2690" s="444">
        <f t="shared" ca="1" si="134"/>
        <v>-16100381477.28264</v>
      </c>
      <c r="M2690" s="460">
        <f t="shared" si="136"/>
        <v>0.05</v>
      </c>
      <c r="N2690" s="464">
        <f t="shared" si="137"/>
        <v>132919</v>
      </c>
    </row>
    <row r="2691" spans="7:14" ht="11.25" customHeight="1" x14ac:dyDescent="0.3">
      <c r="G2691" s="459"/>
      <c r="H2691" s="459">
        <v>2684</v>
      </c>
      <c r="I2691" s="444">
        <f t="shared" ca="1" si="135"/>
        <v>-16100381477.28264</v>
      </c>
      <c r="J2691" s="444">
        <f t="array" ref="J2691">IFERROR(INDEX('Retirement Calculator'!K:K,MATCH('Lorri 401b'!N2691,'Retirement Calculator'!A:A,0),0),0)</f>
        <v>0</v>
      </c>
      <c r="K2691" s="444">
        <f t="shared" ca="1" si="133"/>
        <v>-67084922.822011009</v>
      </c>
      <c r="L2691" s="444">
        <f t="shared" ca="1" si="134"/>
        <v>-16167466400.104652</v>
      </c>
      <c r="M2691" s="460">
        <f t="shared" si="136"/>
        <v>0.05</v>
      </c>
      <c r="N2691" s="464">
        <f t="shared" si="137"/>
        <v>132950</v>
      </c>
    </row>
    <row r="2692" spans="7:14" ht="11.25" customHeight="1" x14ac:dyDescent="0.3">
      <c r="G2692" s="459"/>
      <c r="H2692" s="459">
        <v>2685</v>
      </c>
      <c r="I2692" s="444">
        <f t="shared" ca="1" si="135"/>
        <v>-16167466400.104652</v>
      </c>
      <c r="J2692" s="444">
        <f t="array" ref="J2692">IFERROR(INDEX('Retirement Calculator'!K:K,MATCH('Lorri 401b'!N2692,'Retirement Calculator'!A:A,0),0),0)</f>
        <v>0</v>
      </c>
      <c r="K2692" s="444">
        <f t="shared" ca="1" si="133"/>
        <v>-67364443.333769381</v>
      </c>
      <c r="L2692" s="444">
        <f t="shared" ca="1" si="134"/>
        <v>-16234830843.438421</v>
      </c>
      <c r="M2692" s="460">
        <f t="shared" si="136"/>
        <v>0.05</v>
      </c>
      <c r="N2692" s="464">
        <f t="shared" si="137"/>
        <v>132981</v>
      </c>
    </row>
    <row r="2693" spans="7:14" ht="11.25" customHeight="1" x14ac:dyDescent="0.3">
      <c r="G2693" s="459"/>
      <c r="H2693" s="459">
        <v>2686</v>
      </c>
      <c r="I2693" s="444">
        <f t="shared" ca="1" si="135"/>
        <v>-16234830843.438421</v>
      </c>
      <c r="J2693" s="444">
        <f t="array" ref="J2693">IFERROR(INDEX('Retirement Calculator'!K:K,MATCH('Lorri 401b'!N2693,'Retirement Calculator'!A:A,0),0),0)</f>
        <v>0</v>
      </c>
      <c r="K2693" s="444">
        <f t="shared" ca="1" si="133"/>
        <v>-67645128.514326751</v>
      </c>
      <c r="L2693" s="444">
        <f t="shared" ca="1" si="134"/>
        <v>-16302475971.952747</v>
      </c>
      <c r="M2693" s="460">
        <f t="shared" si="136"/>
        <v>0.05</v>
      </c>
      <c r="N2693" s="464">
        <f t="shared" si="137"/>
        <v>133010</v>
      </c>
    </row>
    <row r="2694" spans="7:14" ht="11.25" customHeight="1" x14ac:dyDescent="0.3">
      <c r="G2694" s="459"/>
      <c r="H2694" s="459">
        <v>2687</v>
      </c>
      <c r="I2694" s="444">
        <f t="shared" ca="1" si="135"/>
        <v>-16302475971.952747</v>
      </c>
      <c r="J2694" s="444">
        <f t="array" ref="J2694">IFERROR(INDEX('Retirement Calculator'!K:K,MATCH('Lorri 401b'!N2694,'Retirement Calculator'!A:A,0),0),0)</f>
        <v>0</v>
      </c>
      <c r="K2694" s="444">
        <f t="shared" ca="1" si="133"/>
        <v>-67926983.21646978</v>
      </c>
      <c r="L2694" s="444">
        <f t="shared" ca="1" si="134"/>
        <v>-16370402955.169218</v>
      </c>
      <c r="M2694" s="460">
        <f t="shared" si="136"/>
        <v>0.05</v>
      </c>
      <c r="N2694" s="464">
        <f t="shared" si="137"/>
        <v>133041</v>
      </c>
    </row>
    <row r="2695" spans="7:14" ht="11.25" customHeight="1" x14ac:dyDescent="0.3">
      <c r="G2695" s="459"/>
      <c r="H2695" s="459">
        <v>2688</v>
      </c>
      <c r="I2695" s="444">
        <f t="shared" ca="1" si="135"/>
        <v>-16370402955.169218</v>
      </c>
      <c r="J2695" s="444">
        <f t="array" ref="J2695">IFERROR(INDEX('Retirement Calculator'!K:K,MATCH('Lorri 401b'!N2695,'Retirement Calculator'!A:A,0),0),0)</f>
        <v>0</v>
      </c>
      <c r="K2695" s="444">
        <f t="shared" ca="1" si="133"/>
        <v>-68210012.313205078</v>
      </c>
      <c r="L2695" s="444">
        <f t="shared" ca="1" si="134"/>
        <v>-16438612967.482424</v>
      </c>
      <c r="M2695" s="460">
        <f t="shared" si="136"/>
        <v>0.05</v>
      </c>
      <c r="N2695" s="464">
        <f t="shared" si="137"/>
        <v>133071</v>
      </c>
    </row>
    <row r="2696" spans="7:14" ht="11.25" customHeight="1" x14ac:dyDescent="0.3">
      <c r="G2696" s="459"/>
      <c r="H2696" s="459">
        <v>2689</v>
      </c>
      <c r="I2696" s="444">
        <f t="shared" ca="1" si="135"/>
        <v>-16438612967.482424</v>
      </c>
      <c r="J2696" s="444">
        <f t="array" ref="J2696">IFERROR(INDEX('Retirement Calculator'!K:K,MATCH('Lorri 401b'!N2696,'Retirement Calculator'!A:A,0),0),0)</f>
        <v>0</v>
      </c>
      <c r="K2696" s="444">
        <f t="shared" ca="1" si="133"/>
        <v>-68494220.697843418</v>
      </c>
      <c r="L2696" s="444">
        <f t="shared" ca="1" si="134"/>
        <v>-16507107188.180267</v>
      </c>
      <c r="M2696" s="460">
        <f t="shared" si="136"/>
        <v>0.05</v>
      </c>
      <c r="N2696" s="464">
        <f t="shared" si="137"/>
        <v>133102</v>
      </c>
    </row>
    <row r="2697" spans="7:14" ht="11.25" customHeight="1" x14ac:dyDescent="0.3">
      <c r="G2697" s="459"/>
      <c r="H2697" s="459">
        <v>2690</v>
      </c>
      <c r="I2697" s="444">
        <f t="shared" ca="1" si="135"/>
        <v>-16507107188.180267</v>
      </c>
      <c r="J2697" s="444">
        <f t="array" ref="J2697">IFERROR(INDEX('Retirement Calculator'!K:K,MATCH('Lorri 401b'!N2697,'Retirement Calculator'!A:A,0),0),0)</f>
        <v>0</v>
      </c>
      <c r="K2697" s="444">
        <f t="shared" ca="1" si="133"/>
        <v>-68779613.284084439</v>
      </c>
      <c r="L2697" s="444">
        <f t="shared" ca="1" si="134"/>
        <v>-16575886801.464352</v>
      </c>
      <c r="M2697" s="460">
        <f t="shared" si="136"/>
        <v>0.05</v>
      </c>
      <c r="N2697" s="464">
        <f t="shared" si="137"/>
        <v>133132</v>
      </c>
    </row>
    <row r="2698" spans="7:14" ht="11.25" customHeight="1" x14ac:dyDescent="0.3">
      <c r="G2698" s="459"/>
      <c r="H2698" s="459">
        <v>2691</v>
      </c>
      <c r="I2698" s="444">
        <f t="shared" ca="1" si="135"/>
        <v>-16575886801.464352</v>
      </c>
      <c r="J2698" s="444">
        <f t="array" ref="J2698">IFERROR(INDEX('Retirement Calculator'!K:K,MATCH('Lorri 401b'!N2698,'Retirement Calculator'!A:A,0),0),0)</f>
        <v>0</v>
      </c>
      <c r="K2698" s="444">
        <f t="shared" ca="1" si="133"/>
        <v>-69066195.006101459</v>
      </c>
      <c r="L2698" s="444">
        <f t="shared" ca="1" si="134"/>
        <v>-16644952996.470453</v>
      </c>
      <c r="M2698" s="460">
        <f t="shared" si="136"/>
        <v>0.05</v>
      </c>
      <c r="N2698" s="464">
        <f t="shared" si="137"/>
        <v>133163</v>
      </c>
    </row>
    <row r="2699" spans="7:14" ht="11.25" customHeight="1" x14ac:dyDescent="0.3">
      <c r="G2699" s="459"/>
      <c r="H2699" s="459">
        <v>2692</v>
      </c>
      <c r="I2699" s="444">
        <f t="shared" ca="1" si="135"/>
        <v>-16644952996.470453</v>
      </c>
      <c r="J2699" s="444">
        <f t="array" ref="J2699">IFERROR(INDEX('Retirement Calculator'!K:K,MATCH('Lorri 401b'!N2699,'Retirement Calculator'!A:A,0),0),0)</f>
        <v>0</v>
      </c>
      <c r="K2699" s="444">
        <f t="shared" ca="1" si="133"/>
        <v>-69353970.818626881</v>
      </c>
      <c r="L2699" s="444">
        <f t="shared" ca="1" si="134"/>
        <v>-16714306967.28908</v>
      </c>
      <c r="M2699" s="460">
        <f t="shared" si="136"/>
        <v>0.05</v>
      </c>
      <c r="N2699" s="464">
        <f t="shared" si="137"/>
        <v>133194</v>
      </c>
    </row>
    <row r="2700" spans="7:14" ht="11.25" customHeight="1" x14ac:dyDescent="0.3">
      <c r="G2700" s="459"/>
      <c r="H2700" s="459">
        <v>2693</v>
      </c>
      <c r="I2700" s="444">
        <f t="shared" ca="1" si="135"/>
        <v>-16714306967.28908</v>
      </c>
      <c r="J2700" s="444">
        <f t="array" ref="J2700">IFERROR(INDEX('Retirement Calculator'!K:K,MATCH('Lorri 401b'!N2700,'Retirement Calculator'!A:A,0),0),0)</f>
        <v>0</v>
      </c>
      <c r="K2700" s="444">
        <f t="shared" ca="1" si="133"/>
        <v>-69642945.697037831</v>
      </c>
      <c r="L2700" s="444">
        <f t="shared" ca="1" si="134"/>
        <v>-16783949912.986118</v>
      </c>
      <c r="M2700" s="460">
        <f t="shared" si="136"/>
        <v>0.05</v>
      </c>
      <c r="N2700" s="464">
        <f t="shared" si="137"/>
        <v>133224</v>
      </c>
    </row>
    <row r="2701" spans="7:14" ht="11.25" customHeight="1" x14ac:dyDescent="0.3">
      <c r="G2701" s="459"/>
      <c r="H2701" s="459">
        <v>2694</v>
      </c>
      <c r="I2701" s="444">
        <f t="shared" ca="1" si="135"/>
        <v>-16783949912.986118</v>
      </c>
      <c r="J2701" s="444">
        <f t="array" ref="J2701">IFERROR(INDEX('Retirement Calculator'!K:K,MATCH('Lorri 401b'!N2701,'Retirement Calculator'!A:A,0),0),0)</f>
        <v>0</v>
      </c>
      <c r="K2701" s="444">
        <f t="shared" ca="1" si="133"/>
        <v>-69933124.637442157</v>
      </c>
      <c r="L2701" s="444">
        <f t="shared" ca="1" si="134"/>
        <v>-16853883037.62356</v>
      </c>
      <c r="M2701" s="460">
        <f t="shared" si="136"/>
        <v>0.05</v>
      </c>
      <c r="N2701" s="464">
        <f t="shared" si="137"/>
        <v>133255</v>
      </c>
    </row>
    <row r="2702" spans="7:14" ht="11.25" customHeight="1" x14ac:dyDescent="0.3">
      <c r="G2702" s="459"/>
      <c r="H2702" s="459">
        <v>2695</v>
      </c>
      <c r="I2702" s="444">
        <f t="shared" ca="1" si="135"/>
        <v>-16853883037.62356</v>
      </c>
      <c r="J2702" s="444">
        <f t="array" ref="J2702">IFERROR(INDEX('Retirement Calculator'!K:K,MATCH('Lorri 401b'!N2702,'Retirement Calculator'!A:A,0),0),0)</f>
        <v>0</v>
      </c>
      <c r="K2702" s="444">
        <f t="shared" ca="1" si="133"/>
        <v>-70224512.656764835</v>
      </c>
      <c r="L2702" s="444">
        <f t="shared" ca="1" si="134"/>
        <v>-16924107550.280325</v>
      </c>
      <c r="M2702" s="460">
        <f t="shared" si="136"/>
        <v>0.05</v>
      </c>
      <c r="N2702" s="464">
        <f t="shared" si="137"/>
        <v>133285</v>
      </c>
    </row>
    <row r="2703" spans="7:14" ht="11.25" customHeight="1" x14ac:dyDescent="0.3">
      <c r="G2703" s="459"/>
      <c r="H2703" s="459">
        <v>2696</v>
      </c>
      <c r="I2703" s="444">
        <f t="shared" ca="1" si="135"/>
        <v>-16924107550.280325</v>
      </c>
      <c r="J2703" s="444">
        <f t="array" ref="J2703">IFERROR(INDEX('Retirement Calculator'!K:K,MATCH('Lorri 401b'!N2703,'Retirement Calculator'!A:A,0),0),0)</f>
        <v>0</v>
      </c>
      <c r="K2703" s="444">
        <f t="shared" ca="1" si="133"/>
        <v>-70517114.792834684</v>
      </c>
      <c r="L2703" s="444">
        <f t="shared" ca="1" si="134"/>
        <v>-16994624665.07316</v>
      </c>
      <c r="M2703" s="460">
        <f t="shared" si="136"/>
        <v>0.05</v>
      </c>
      <c r="N2703" s="464">
        <f t="shared" si="137"/>
        <v>133316</v>
      </c>
    </row>
    <row r="2704" spans="7:14" ht="11.25" customHeight="1" x14ac:dyDescent="0.3">
      <c r="G2704" s="459"/>
      <c r="H2704" s="459">
        <v>2697</v>
      </c>
      <c r="I2704" s="444">
        <f t="shared" ca="1" si="135"/>
        <v>-16994624665.07316</v>
      </c>
      <c r="J2704" s="444">
        <f t="array" ref="J2704">IFERROR(INDEX('Retirement Calculator'!K:K,MATCH('Lorri 401b'!N2704,'Retirement Calculator'!A:A,0),0),0)</f>
        <v>0</v>
      </c>
      <c r="K2704" s="444">
        <f t="shared" ca="1" si="133"/>
        <v>-70810936.10447149</v>
      </c>
      <c r="L2704" s="444">
        <f t="shared" ca="1" si="134"/>
        <v>-17065435601.177631</v>
      </c>
      <c r="M2704" s="460">
        <f t="shared" si="136"/>
        <v>0.05</v>
      </c>
      <c r="N2704" s="464">
        <f t="shared" si="137"/>
        <v>133347</v>
      </c>
    </row>
    <row r="2705" spans="7:14" ht="11.25" customHeight="1" x14ac:dyDescent="0.3">
      <c r="G2705" s="459"/>
      <c r="H2705" s="459">
        <v>2698</v>
      </c>
      <c r="I2705" s="444">
        <f t="shared" ca="1" si="135"/>
        <v>-17065435601.177631</v>
      </c>
      <c r="J2705" s="444">
        <f t="array" ref="J2705">IFERROR(INDEX('Retirement Calculator'!K:K,MATCH('Lorri 401b'!N2705,'Retirement Calculator'!A:A,0),0),0)</f>
        <v>0</v>
      </c>
      <c r="K2705" s="444">
        <f t="shared" ca="1" si="133"/>
        <v>-71105981.67157346</v>
      </c>
      <c r="L2705" s="444">
        <f t="shared" ca="1" si="134"/>
        <v>-17136541582.849205</v>
      </c>
      <c r="M2705" s="460">
        <f t="shared" si="136"/>
        <v>0.05</v>
      </c>
      <c r="N2705" s="464">
        <f t="shared" si="137"/>
        <v>133375</v>
      </c>
    </row>
    <row r="2706" spans="7:14" ht="11.25" customHeight="1" x14ac:dyDescent="0.3">
      <c r="G2706" s="459"/>
      <c r="H2706" s="459">
        <v>2699</v>
      </c>
      <c r="I2706" s="444">
        <f t="shared" ca="1" si="135"/>
        <v>-17136541582.849205</v>
      </c>
      <c r="J2706" s="444">
        <f t="array" ref="J2706">IFERROR(INDEX('Retirement Calculator'!K:K,MATCH('Lorri 401b'!N2706,'Retirement Calculator'!A:A,0),0),0)</f>
        <v>0</v>
      </c>
      <c r="K2706" s="444">
        <f t="shared" ca="1" si="133"/>
        <v>-71402256.595205009</v>
      </c>
      <c r="L2706" s="444">
        <f t="shared" ca="1" si="134"/>
        <v>-17207943839.444408</v>
      </c>
      <c r="M2706" s="460">
        <f t="shared" si="136"/>
        <v>0.05</v>
      </c>
      <c r="N2706" s="464">
        <f t="shared" si="137"/>
        <v>133406</v>
      </c>
    </row>
    <row r="2707" spans="7:14" ht="11.25" customHeight="1" x14ac:dyDescent="0.3">
      <c r="G2707" s="459"/>
      <c r="H2707" s="459">
        <v>2700</v>
      </c>
      <c r="I2707" s="444">
        <f t="shared" ca="1" si="135"/>
        <v>-17207943839.444408</v>
      </c>
      <c r="J2707" s="444">
        <f t="array" ref="J2707">IFERROR(INDEX('Retirement Calculator'!K:K,MATCH('Lorri 401b'!N2707,'Retirement Calculator'!A:A,0),0),0)</f>
        <v>0</v>
      </c>
      <c r="K2707" s="444">
        <f t="shared" ca="1" si="133"/>
        <v>-71699765.99768503</v>
      </c>
      <c r="L2707" s="444">
        <f t="shared" ca="1" si="134"/>
        <v>-17279643605.442093</v>
      </c>
      <c r="M2707" s="460">
        <f t="shared" si="136"/>
        <v>0.05</v>
      </c>
      <c r="N2707" s="464">
        <f t="shared" si="137"/>
        <v>133436</v>
      </c>
    </row>
    <row r="2708" spans="7:14" ht="11.25" customHeight="1" x14ac:dyDescent="0.3">
      <c r="G2708" s="459"/>
      <c r="H2708" s="459">
        <v>2701</v>
      </c>
      <c r="I2708" s="444">
        <f t="shared" ca="1" si="135"/>
        <v>-17279643605.442093</v>
      </c>
      <c r="J2708" s="444">
        <f t="array" ref="J2708">IFERROR(INDEX('Retirement Calculator'!K:K,MATCH('Lorri 401b'!N2708,'Retirement Calculator'!A:A,0),0),0)</f>
        <v>0</v>
      </c>
      <c r="K2708" s="444">
        <f t="shared" ca="1" si="133"/>
        <v>-71998515.02267538</v>
      </c>
      <c r="L2708" s="444">
        <f t="shared" ca="1" si="134"/>
        <v>-17351642120.464767</v>
      </c>
      <c r="M2708" s="460">
        <f t="shared" si="136"/>
        <v>0.05</v>
      </c>
      <c r="N2708" s="464">
        <f t="shared" si="137"/>
        <v>133467</v>
      </c>
    </row>
    <row r="2709" spans="7:14" ht="11.25" customHeight="1" x14ac:dyDescent="0.3">
      <c r="G2709" s="459"/>
      <c r="H2709" s="459">
        <v>2702</v>
      </c>
      <c r="I2709" s="444">
        <f t="shared" ca="1" si="135"/>
        <v>-17351642120.464767</v>
      </c>
      <c r="J2709" s="444">
        <f t="array" ref="J2709">IFERROR(INDEX('Retirement Calculator'!K:K,MATCH('Lorri 401b'!N2709,'Retirement Calculator'!A:A,0),0),0)</f>
        <v>0</v>
      </c>
      <c r="K2709" s="444">
        <f t="shared" ca="1" si="133"/>
        <v>-72298508.835269868</v>
      </c>
      <c r="L2709" s="444">
        <f t="shared" ca="1" si="134"/>
        <v>-17423940629.300037</v>
      </c>
      <c r="M2709" s="460">
        <f t="shared" si="136"/>
        <v>0.05</v>
      </c>
      <c r="N2709" s="464">
        <f t="shared" si="137"/>
        <v>133497</v>
      </c>
    </row>
    <row r="2710" spans="7:14" ht="11.25" customHeight="1" x14ac:dyDescent="0.3">
      <c r="G2710" s="459"/>
      <c r="H2710" s="459">
        <v>2703</v>
      </c>
      <c r="I2710" s="444">
        <f t="shared" ca="1" si="135"/>
        <v>-17423940629.300037</v>
      </c>
      <c r="J2710" s="444">
        <f t="array" ref="J2710">IFERROR(INDEX('Retirement Calculator'!K:K,MATCH('Lorri 401b'!N2710,'Retirement Calculator'!A:A,0),0),0)</f>
        <v>0</v>
      </c>
      <c r="K2710" s="444">
        <f t="shared" ca="1" si="133"/>
        <v>-72599752.622083485</v>
      </c>
      <c r="L2710" s="444">
        <f t="shared" ca="1" si="134"/>
        <v>-17496540381.922119</v>
      </c>
      <c r="M2710" s="460">
        <f t="shared" si="136"/>
        <v>0.05</v>
      </c>
      <c r="N2710" s="464">
        <f t="shared" si="137"/>
        <v>133528</v>
      </c>
    </row>
    <row r="2711" spans="7:14" ht="11.25" customHeight="1" x14ac:dyDescent="0.3">
      <c r="G2711" s="459"/>
      <c r="H2711" s="459">
        <v>2704</v>
      </c>
      <c r="I2711" s="444">
        <f t="shared" ca="1" si="135"/>
        <v>-17496540381.922119</v>
      </c>
      <c r="J2711" s="444">
        <f t="array" ref="J2711">IFERROR(INDEX('Retirement Calculator'!K:K,MATCH('Lorri 401b'!N2711,'Retirement Calculator'!A:A,0),0),0)</f>
        <v>0</v>
      </c>
      <c r="K2711" s="444">
        <f t="shared" ca="1" si="133"/>
        <v>-72902251.591342166</v>
      </c>
      <c r="L2711" s="444">
        <f t="shared" ca="1" si="134"/>
        <v>-17569442633.513462</v>
      </c>
      <c r="M2711" s="460">
        <f t="shared" si="136"/>
        <v>0.05</v>
      </c>
      <c r="N2711" s="464">
        <f t="shared" si="137"/>
        <v>133559</v>
      </c>
    </row>
    <row r="2712" spans="7:14" ht="11.25" customHeight="1" x14ac:dyDescent="0.3">
      <c r="G2712" s="459"/>
      <c r="H2712" s="459">
        <v>2705</v>
      </c>
      <c r="I2712" s="444">
        <f t="shared" ca="1" si="135"/>
        <v>-17569442633.513462</v>
      </c>
      <c r="J2712" s="444">
        <f t="array" ref="J2712">IFERROR(INDEX('Retirement Calculator'!K:K,MATCH('Lorri 401b'!N2712,'Retirement Calculator'!A:A,0),0),0)</f>
        <v>0</v>
      </c>
      <c r="K2712" s="444">
        <f t="shared" ca="1" si="133"/>
        <v>-73206010.972972751</v>
      </c>
      <c r="L2712" s="444">
        <f t="shared" ca="1" si="134"/>
        <v>-17642648644.486435</v>
      </c>
      <c r="M2712" s="460">
        <f t="shared" si="136"/>
        <v>0.05</v>
      </c>
      <c r="N2712" s="464">
        <f t="shared" si="137"/>
        <v>133589</v>
      </c>
    </row>
    <row r="2713" spans="7:14" ht="11.25" customHeight="1" x14ac:dyDescent="0.3">
      <c r="G2713" s="459"/>
      <c r="H2713" s="459">
        <v>2706</v>
      </c>
      <c r="I2713" s="444">
        <f t="shared" ca="1" si="135"/>
        <v>-17642648644.486435</v>
      </c>
      <c r="J2713" s="444">
        <f t="array" ref="J2713">IFERROR(INDEX('Retirement Calculator'!K:K,MATCH('Lorri 401b'!N2713,'Retirement Calculator'!A:A,0),0),0)</f>
        <v>0</v>
      </c>
      <c r="K2713" s="444">
        <f t="shared" ca="1" si="133"/>
        <v>-73511036.018693477</v>
      </c>
      <c r="L2713" s="444">
        <f t="shared" ca="1" si="134"/>
        <v>-17716159680.505127</v>
      </c>
      <c r="M2713" s="460">
        <f t="shared" si="136"/>
        <v>0.05</v>
      </c>
      <c r="N2713" s="464">
        <f t="shared" si="137"/>
        <v>133620</v>
      </c>
    </row>
    <row r="2714" spans="7:14" ht="11.25" customHeight="1" x14ac:dyDescent="0.3">
      <c r="G2714" s="459"/>
      <c r="H2714" s="459">
        <v>2707</v>
      </c>
      <c r="I2714" s="444">
        <f t="shared" ca="1" si="135"/>
        <v>-17716159680.505127</v>
      </c>
      <c r="J2714" s="444">
        <f t="array" ref="J2714">IFERROR(INDEX('Retirement Calculator'!K:K,MATCH('Lorri 401b'!N2714,'Retirement Calculator'!A:A,0),0),0)</f>
        <v>0</v>
      </c>
      <c r="K2714" s="444">
        <f t="shared" ca="1" si="133"/>
        <v>-73817332.0021047</v>
      </c>
      <c r="L2714" s="444">
        <f t="shared" ca="1" si="134"/>
        <v>-17789977012.507233</v>
      </c>
      <c r="M2714" s="460">
        <f t="shared" si="136"/>
        <v>0.05</v>
      </c>
      <c r="N2714" s="464">
        <f t="shared" si="137"/>
        <v>133650</v>
      </c>
    </row>
    <row r="2715" spans="7:14" ht="11.25" customHeight="1" x14ac:dyDescent="0.3">
      <c r="G2715" s="459"/>
      <c r="H2715" s="459">
        <v>2708</v>
      </c>
      <c r="I2715" s="444">
        <f t="shared" ca="1" si="135"/>
        <v>-17789977012.507233</v>
      </c>
      <c r="J2715" s="444">
        <f t="array" ref="J2715">IFERROR(INDEX('Retirement Calculator'!K:K,MATCH('Lorri 401b'!N2715,'Retirement Calculator'!A:A,0),0),0)</f>
        <v>0</v>
      </c>
      <c r="K2715" s="444">
        <f t="shared" ca="1" si="133"/>
        <v>-74124904.21878013</v>
      </c>
      <c r="L2715" s="444">
        <f t="shared" ca="1" si="134"/>
        <v>-17864101916.726013</v>
      </c>
      <c r="M2715" s="460">
        <f t="shared" si="136"/>
        <v>0.05</v>
      </c>
      <c r="N2715" s="464">
        <f t="shared" si="137"/>
        <v>133681</v>
      </c>
    </row>
    <row r="2716" spans="7:14" ht="11.25" customHeight="1" x14ac:dyDescent="0.3">
      <c r="G2716" s="459"/>
      <c r="H2716" s="459">
        <v>2709</v>
      </c>
      <c r="I2716" s="444">
        <f t="shared" ca="1" si="135"/>
        <v>-17864101916.726013</v>
      </c>
      <c r="J2716" s="444">
        <f t="array" ref="J2716">IFERROR(INDEX('Retirement Calculator'!K:K,MATCH('Lorri 401b'!N2716,'Retirement Calculator'!A:A,0),0),0)</f>
        <v>0</v>
      </c>
      <c r="K2716" s="444">
        <f t="shared" ca="1" si="133"/>
        <v>-74433757.986358389</v>
      </c>
      <c r="L2716" s="444">
        <f t="shared" ca="1" si="134"/>
        <v>-17938535674.712372</v>
      </c>
      <c r="M2716" s="460">
        <f t="shared" si="136"/>
        <v>0.05</v>
      </c>
      <c r="N2716" s="464">
        <f t="shared" si="137"/>
        <v>133712</v>
      </c>
    </row>
    <row r="2717" spans="7:14" ht="11.25" customHeight="1" x14ac:dyDescent="0.3">
      <c r="G2717" s="459"/>
      <c r="H2717" s="459">
        <v>2710</v>
      </c>
      <c r="I2717" s="444">
        <f t="shared" ca="1" si="135"/>
        <v>-17938535674.712372</v>
      </c>
      <c r="J2717" s="444">
        <f t="array" ref="J2717">IFERROR(INDEX('Retirement Calculator'!K:K,MATCH('Lorri 401b'!N2717,'Retirement Calculator'!A:A,0),0),0)</f>
        <v>0</v>
      </c>
      <c r="K2717" s="444">
        <f t="shared" ca="1" si="133"/>
        <v>-74743898.644634888</v>
      </c>
      <c r="L2717" s="444">
        <f t="shared" ca="1" si="134"/>
        <v>-18013279573.357006</v>
      </c>
      <c r="M2717" s="460">
        <f t="shared" si="136"/>
        <v>0.05</v>
      </c>
      <c r="N2717" s="464">
        <f t="shared" si="137"/>
        <v>133740</v>
      </c>
    </row>
    <row r="2718" spans="7:14" ht="11.25" customHeight="1" x14ac:dyDescent="0.3">
      <c r="G2718" s="459"/>
      <c r="H2718" s="459">
        <v>2711</v>
      </c>
      <c r="I2718" s="444">
        <f t="shared" ca="1" si="135"/>
        <v>-18013279573.357006</v>
      </c>
      <c r="J2718" s="444">
        <f t="array" ref="J2718">IFERROR(INDEX('Retirement Calculator'!K:K,MATCH('Lorri 401b'!N2718,'Retirement Calculator'!A:A,0),0),0)</f>
        <v>0</v>
      </c>
      <c r="K2718" s="444">
        <f t="shared" ca="1" si="133"/>
        <v>-75055331.555654198</v>
      </c>
      <c r="L2718" s="444">
        <f t="shared" ca="1" si="134"/>
        <v>-18088334904.912659</v>
      </c>
      <c r="M2718" s="460">
        <f t="shared" si="136"/>
        <v>0.05</v>
      </c>
      <c r="N2718" s="464">
        <f t="shared" si="137"/>
        <v>133771</v>
      </c>
    </row>
    <row r="2719" spans="7:14" ht="11.25" customHeight="1" x14ac:dyDescent="0.3">
      <c r="G2719" s="459"/>
      <c r="H2719" s="459">
        <v>2712</v>
      </c>
      <c r="I2719" s="444">
        <f t="shared" ca="1" si="135"/>
        <v>-18088334904.912659</v>
      </c>
      <c r="J2719" s="444">
        <f t="array" ref="J2719">IFERROR(INDEX('Retirement Calculator'!K:K,MATCH('Lorri 401b'!N2719,'Retirement Calculator'!A:A,0),0),0)</f>
        <v>0</v>
      </c>
      <c r="K2719" s="444">
        <f t="shared" ca="1" si="133"/>
        <v>-75368062.103802741</v>
      </c>
      <c r="L2719" s="444">
        <f t="shared" ca="1" si="134"/>
        <v>-18163702967.01646</v>
      </c>
      <c r="M2719" s="460">
        <f t="shared" si="136"/>
        <v>0.05</v>
      </c>
      <c r="N2719" s="464">
        <f t="shared" si="137"/>
        <v>133801</v>
      </c>
    </row>
    <row r="2720" spans="7:14" ht="11.25" customHeight="1" x14ac:dyDescent="0.3">
      <c r="G2720" s="459"/>
      <c r="H2720" s="459">
        <v>2713</v>
      </c>
      <c r="I2720" s="444">
        <f t="shared" ca="1" si="135"/>
        <v>-18163702967.01646</v>
      </c>
      <c r="J2720" s="444">
        <f t="array" ref="J2720">IFERROR(INDEX('Retirement Calculator'!K:K,MATCH('Lorri 401b'!N2720,'Retirement Calculator'!A:A,0),0),0)</f>
        <v>0</v>
      </c>
      <c r="K2720" s="444">
        <f t="shared" ca="1" si="133"/>
        <v>-75682095.695901915</v>
      </c>
      <c r="L2720" s="444">
        <f t="shared" ca="1" si="134"/>
        <v>-18239385062.712364</v>
      </c>
      <c r="M2720" s="460">
        <f t="shared" si="136"/>
        <v>0.05</v>
      </c>
      <c r="N2720" s="464">
        <f t="shared" si="137"/>
        <v>133832</v>
      </c>
    </row>
    <row r="2721" spans="7:14" ht="11.25" customHeight="1" x14ac:dyDescent="0.3">
      <c r="G2721" s="459"/>
      <c r="H2721" s="459">
        <v>2714</v>
      </c>
      <c r="I2721" s="444">
        <f t="shared" ca="1" si="135"/>
        <v>-18239385062.712364</v>
      </c>
      <c r="J2721" s="444">
        <f t="array" ref="J2721">IFERROR(INDEX('Retirement Calculator'!K:K,MATCH('Lorri 401b'!N2721,'Retirement Calculator'!A:A,0),0),0)</f>
        <v>0</v>
      </c>
      <c r="K2721" s="444">
        <f t="shared" ca="1" si="133"/>
        <v>-75997437.761301517</v>
      </c>
      <c r="L2721" s="444">
        <f t="shared" ca="1" si="134"/>
        <v>-18315382500.473667</v>
      </c>
      <c r="M2721" s="460">
        <f t="shared" si="136"/>
        <v>0.05</v>
      </c>
      <c r="N2721" s="464">
        <f t="shared" si="137"/>
        <v>133862</v>
      </c>
    </row>
    <row r="2722" spans="7:14" ht="11.25" customHeight="1" x14ac:dyDescent="0.3">
      <c r="G2722" s="459"/>
      <c r="H2722" s="459">
        <v>2715</v>
      </c>
      <c r="I2722" s="444">
        <f t="shared" ca="1" si="135"/>
        <v>-18315382500.473667</v>
      </c>
      <c r="J2722" s="444">
        <f t="array" ref="J2722">IFERROR(INDEX('Retirement Calculator'!K:K,MATCH('Lorri 401b'!N2722,'Retirement Calculator'!A:A,0),0),0)</f>
        <v>0</v>
      </c>
      <c r="K2722" s="444">
        <f t="shared" ca="1" si="133"/>
        <v>-76314093.751973614</v>
      </c>
      <c r="L2722" s="444">
        <f t="shared" ca="1" si="134"/>
        <v>-18391696594.225639</v>
      </c>
      <c r="M2722" s="460">
        <f t="shared" si="136"/>
        <v>0.05</v>
      </c>
      <c r="N2722" s="464">
        <f t="shared" si="137"/>
        <v>133893</v>
      </c>
    </row>
    <row r="2723" spans="7:14" ht="11.25" customHeight="1" x14ac:dyDescent="0.3">
      <c r="G2723" s="459"/>
      <c r="H2723" s="459">
        <v>2716</v>
      </c>
      <c r="I2723" s="444">
        <f t="shared" ca="1" si="135"/>
        <v>-18391696594.225639</v>
      </c>
      <c r="J2723" s="444">
        <f t="array" ref="J2723">IFERROR(INDEX('Retirement Calculator'!K:K,MATCH('Lorri 401b'!N2723,'Retirement Calculator'!A:A,0),0),0)</f>
        <v>0</v>
      </c>
      <c r="K2723" s="444">
        <f t="shared" ca="1" si="133"/>
        <v>-76632069.142606825</v>
      </c>
      <c r="L2723" s="444">
        <f t="shared" ca="1" si="134"/>
        <v>-18468328663.368248</v>
      </c>
      <c r="M2723" s="460">
        <f t="shared" si="136"/>
        <v>0.05</v>
      </c>
      <c r="N2723" s="464">
        <f t="shared" si="137"/>
        <v>133924</v>
      </c>
    </row>
    <row r="2724" spans="7:14" ht="11.25" customHeight="1" x14ac:dyDescent="0.3">
      <c r="G2724" s="459"/>
      <c r="H2724" s="459">
        <v>2717</v>
      </c>
      <c r="I2724" s="444">
        <f t="shared" ca="1" si="135"/>
        <v>-18468328663.368248</v>
      </c>
      <c r="J2724" s="444">
        <f t="array" ref="J2724">IFERROR(INDEX('Retirement Calculator'!K:K,MATCH('Lorri 401b'!N2724,'Retirement Calculator'!A:A,0),0),0)</f>
        <v>0</v>
      </c>
      <c r="K2724" s="444">
        <f t="shared" ca="1" si="133"/>
        <v>-76951369.430701032</v>
      </c>
      <c r="L2724" s="444">
        <f t="shared" ca="1" si="134"/>
        <v>-18545280032.79895</v>
      </c>
      <c r="M2724" s="460">
        <f t="shared" si="136"/>
        <v>0.05</v>
      </c>
      <c r="N2724" s="464">
        <f t="shared" si="137"/>
        <v>133954</v>
      </c>
    </row>
    <row r="2725" spans="7:14" ht="11.25" customHeight="1" x14ac:dyDescent="0.3">
      <c r="G2725" s="459"/>
      <c r="H2725" s="459">
        <v>2718</v>
      </c>
      <c r="I2725" s="444">
        <f t="shared" ca="1" si="135"/>
        <v>-18545280032.79895</v>
      </c>
      <c r="J2725" s="444">
        <f t="array" ref="J2725">IFERROR(INDEX('Retirement Calculator'!K:K,MATCH('Lorri 401b'!N2725,'Retirement Calculator'!A:A,0),0),0)</f>
        <v>0</v>
      </c>
      <c r="K2725" s="444">
        <f t="shared" ca="1" si="133"/>
        <v>-77272000.13666229</v>
      </c>
      <c r="L2725" s="444">
        <f t="shared" ca="1" si="134"/>
        <v>-18622552032.935612</v>
      </c>
      <c r="M2725" s="460">
        <f t="shared" si="136"/>
        <v>0.05</v>
      </c>
      <c r="N2725" s="464">
        <f t="shared" si="137"/>
        <v>133985</v>
      </c>
    </row>
    <row r="2726" spans="7:14" ht="11.25" customHeight="1" x14ac:dyDescent="0.3">
      <c r="G2726" s="459"/>
      <c r="H2726" s="459">
        <v>2719</v>
      </c>
      <c r="I2726" s="444">
        <f t="shared" ca="1" si="135"/>
        <v>-18622552032.935612</v>
      </c>
      <c r="J2726" s="444">
        <f t="array" ref="J2726">IFERROR(INDEX('Retirement Calculator'!K:K,MATCH('Lorri 401b'!N2726,'Retirement Calculator'!A:A,0),0),0)</f>
        <v>0</v>
      </c>
      <c r="K2726" s="444">
        <f t="shared" ca="1" si="133"/>
        <v>-77593966.803898379</v>
      </c>
      <c r="L2726" s="444">
        <f t="shared" ca="1" si="134"/>
        <v>-18700145999.73951</v>
      </c>
      <c r="M2726" s="460">
        <f t="shared" si="136"/>
        <v>0.05</v>
      </c>
      <c r="N2726" s="464">
        <f t="shared" si="137"/>
        <v>134015</v>
      </c>
    </row>
    <row r="2727" spans="7:14" ht="11.25" customHeight="1" x14ac:dyDescent="0.3">
      <c r="G2727" s="459"/>
      <c r="H2727" s="459">
        <v>2720</v>
      </c>
      <c r="I2727" s="444">
        <f t="shared" ca="1" si="135"/>
        <v>-18700145999.73951</v>
      </c>
      <c r="J2727" s="444">
        <f t="array" ref="J2727">IFERROR(INDEX('Retirement Calculator'!K:K,MATCH('Lorri 401b'!N2727,'Retirement Calculator'!A:A,0),0),0)</f>
        <v>0</v>
      </c>
      <c r="K2727" s="444">
        <f t="shared" ca="1" si="133"/>
        <v>-77917274.998914629</v>
      </c>
      <c r="L2727" s="444">
        <f t="shared" ca="1" si="134"/>
        <v>-18778063274.738422</v>
      </c>
      <c r="M2727" s="460">
        <f t="shared" si="136"/>
        <v>0.05</v>
      </c>
      <c r="N2727" s="464">
        <f t="shared" si="137"/>
        <v>134046</v>
      </c>
    </row>
    <row r="2728" spans="7:14" ht="11.25" customHeight="1" x14ac:dyDescent="0.3">
      <c r="G2728" s="459"/>
      <c r="H2728" s="459">
        <v>2721</v>
      </c>
      <c r="I2728" s="444">
        <f t="shared" ca="1" si="135"/>
        <v>-18778063274.738422</v>
      </c>
      <c r="J2728" s="444">
        <f t="array" ref="J2728">IFERROR(INDEX('Retirement Calculator'!K:K,MATCH('Lorri 401b'!N2728,'Retirement Calculator'!A:A,0),0),0)</f>
        <v>0</v>
      </c>
      <c r="K2728" s="444">
        <f t="shared" ca="1" si="133"/>
        <v>-78241930.311410099</v>
      </c>
      <c r="L2728" s="444">
        <f t="shared" ca="1" si="134"/>
        <v>-18856305205.049831</v>
      </c>
      <c r="M2728" s="460">
        <f t="shared" si="136"/>
        <v>0.05</v>
      </c>
      <c r="N2728" s="464">
        <f t="shared" si="137"/>
        <v>134077</v>
      </c>
    </row>
    <row r="2729" spans="7:14" ht="11.25" customHeight="1" x14ac:dyDescent="0.3">
      <c r="G2729" s="459"/>
      <c r="H2729" s="459">
        <v>2722</v>
      </c>
      <c r="I2729" s="444">
        <f t="shared" ca="1" si="135"/>
        <v>-18856305205.049831</v>
      </c>
      <c r="J2729" s="444">
        <f t="array" ref="J2729">IFERROR(INDEX('Retirement Calculator'!K:K,MATCH('Lorri 401b'!N2729,'Retirement Calculator'!A:A,0),0),0)</f>
        <v>0</v>
      </c>
      <c r="K2729" s="444">
        <f t="shared" ca="1" si="133"/>
        <v>-78567938.35437429</v>
      </c>
      <c r="L2729" s="444">
        <f t="shared" ca="1" si="134"/>
        <v>-18934873143.404205</v>
      </c>
      <c r="M2729" s="460">
        <f t="shared" si="136"/>
        <v>0.05</v>
      </c>
      <c r="N2729" s="464">
        <f t="shared" si="137"/>
        <v>134105</v>
      </c>
    </row>
    <row r="2730" spans="7:14" ht="11.25" customHeight="1" x14ac:dyDescent="0.3">
      <c r="G2730" s="459"/>
      <c r="H2730" s="459">
        <v>2723</v>
      </c>
      <c r="I2730" s="444">
        <f t="shared" ca="1" si="135"/>
        <v>-18934873143.404205</v>
      </c>
      <c r="J2730" s="444">
        <f t="array" ref="J2730">IFERROR(INDEX('Retirement Calculator'!K:K,MATCH('Lorri 401b'!N2730,'Retirement Calculator'!A:A,0),0),0)</f>
        <v>0</v>
      </c>
      <c r="K2730" s="444">
        <f t="shared" ca="1" si="133"/>
        <v>-78895304.764184192</v>
      </c>
      <c r="L2730" s="444">
        <f t="shared" ca="1" si="134"/>
        <v>-19013768448.168388</v>
      </c>
      <c r="M2730" s="460">
        <f t="shared" si="136"/>
        <v>0.05</v>
      </c>
      <c r="N2730" s="464">
        <f t="shared" si="137"/>
        <v>134136</v>
      </c>
    </row>
    <row r="2731" spans="7:14" ht="11.25" customHeight="1" x14ac:dyDescent="0.3">
      <c r="G2731" s="459"/>
      <c r="H2731" s="459">
        <v>2724</v>
      </c>
      <c r="I2731" s="444">
        <f t="shared" ca="1" si="135"/>
        <v>-19013768448.168388</v>
      </c>
      <c r="J2731" s="444">
        <f t="array" ref="J2731">IFERROR(INDEX('Retirement Calculator'!K:K,MATCH('Lorri 401b'!N2731,'Retirement Calculator'!A:A,0),0),0)</f>
        <v>0</v>
      </c>
      <c r="K2731" s="444">
        <f t="shared" ca="1" si="133"/>
        <v>-79224035.200701624</v>
      </c>
      <c r="L2731" s="444">
        <f t="shared" ca="1" si="134"/>
        <v>-19092992483.369091</v>
      </c>
      <c r="M2731" s="460">
        <f t="shared" si="136"/>
        <v>0.05</v>
      </c>
      <c r="N2731" s="464">
        <f t="shared" si="137"/>
        <v>134166</v>
      </c>
    </row>
    <row r="2732" spans="7:14" ht="11.25" customHeight="1" x14ac:dyDescent="0.3">
      <c r="G2732" s="459"/>
      <c r="H2732" s="459">
        <v>2725</v>
      </c>
      <c r="I2732" s="444">
        <f t="shared" ca="1" si="135"/>
        <v>-19092992483.369091</v>
      </c>
      <c r="J2732" s="444">
        <f t="array" ref="J2732">IFERROR(INDEX('Retirement Calculator'!K:K,MATCH('Lorri 401b'!N2732,'Retirement Calculator'!A:A,0),0),0)</f>
        <v>0</v>
      </c>
      <c r="K2732" s="444">
        <f t="shared" ca="1" si="133"/>
        <v>-79554135.347371206</v>
      </c>
      <c r="L2732" s="444">
        <f t="shared" ca="1" si="134"/>
        <v>-19172546618.716461</v>
      </c>
      <c r="M2732" s="460">
        <f t="shared" si="136"/>
        <v>0.05</v>
      </c>
      <c r="N2732" s="464">
        <f t="shared" si="137"/>
        <v>134197</v>
      </c>
    </row>
    <row r="2733" spans="7:14" ht="11.25" customHeight="1" x14ac:dyDescent="0.3">
      <c r="G2733" s="459"/>
      <c r="H2733" s="459">
        <v>2726</v>
      </c>
      <c r="I2733" s="444">
        <f t="shared" ca="1" si="135"/>
        <v>-19172546618.716461</v>
      </c>
      <c r="J2733" s="444">
        <f t="array" ref="J2733">IFERROR(INDEX('Retirement Calculator'!K:K,MATCH('Lorri 401b'!N2733,'Retirement Calculator'!A:A,0),0),0)</f>
        <v>0</v>
      </c>
      <c r="K2733" s="444">
        <f t="shared" ca="1" si="133"/>
        <v>-79885610.911318585</v>
      </c>
      <c r="L2733" s="444">
        <f t="shared" ca="1" si="134"/>
        <v>-19252432229.627781</v>
      </c>
      <c r="M2733" s="460">
        <f t="shared" si="136"/>
        <v>0.05</v>
      </c>
      <c r="N2733" s="464">
        <f t="shared" si="137"/>
        <v>134227</v>
      </c>
    </row>
    <row r="2734" spans="7:14" ht="11.25" customHeight="1" x14ac:dyDescent="0.3">
      <c r="G2734" s="459"/>
      <c r="H2734" s="459">
        <v>2727</v>
      </c>
      <c r="I2734" s="444">
        <f t="shared" ca="1" si="135"/>
        <v>-19252432229.627781</v>
      </c>
      <c r="J2734" s="444">
        <f t="array" ref="J2734">IFERROR(INDEX('Retirement Calculator'!K:K,MATCH('Lorri 401b'!N2734,'Retirement Calculator'!A:A,0),0),0)</f>
        <v>0</v>
      </c>
      <c r="K2734" s="444">
        <f t="shared" ca="1" si="133"/>
        <v>-80218467.623449087</v>
      </c>
      <c r="L2734" s="444">
        <f t="shared" ca="1" si="134"/>
        <v>-19332650697.251228</v>
      </c>
      <c r="M2734" s="460">
        <f t="shared" si="136"/>
        <v>0.05</v>
      </c>
      <c r="N2734" s="464">
        <f t="shared" si="137"/>
        <v>134258</v>
      </c>
    </row>
    <row r="2735" spans="7:14" ht="11.25" customHeight="1" x14ac:dyDescent="0.3">
      <c r="G2735" s="459"/>
      <c r="H2735" s="459">
        <v>2728</v>
      </c>
      <c r="I2735" s="444">
        <f t="shared" ca="1" si="135"/>
        <v>-19332650697.251228</v>
      </c>
      <c r="J2735" s="444">
        <f t="array" ref="J2735">IFERROR(INDEX('Retirement Calculator'!K:K,MATCH('Lorri 401b'!N2735,'Retirement Calculator'!A:A,0),0),0)</f>
        <v>0</v>
      </c>
      <c r="K2735" s="444">
        <f t="shared" ca="1" si="133"/>
        <v>-80552711.238546789</v>
      </c>
      <c r="L2735" s="444">
        <f t="shared" ca="1" si="134"/>
        <v>-19413203408.489777</v>
      </c>
      <c r="M2735" s="460">
        <f t="shared" si="136"/>
        <v>0.05</v>
      </c>
      <c r="N2735" s="464">
        <f t="shared" si="137"/>
        <v>134289</v>
      </c>
    </row>
    <row r="2736" spans="7:14" ht="11.25" customHeight="1" x14ac:dyDescent="0.3">
      <c r="G2736" s="459"/>
      <c r="H2736" s="459">
        <v>2729</v>
      </c>
      <c r="I2736" s="444">
        <f t="shared" ca="1" si="135"/>
        <v>-19413203408.489777</v>
      </c>
      <c r="J2736" s="444">
        <f t="array" ref="J2736">IFERROR(INDEX('Retirement Calculator'!K:K,MATCH('Lorri 401b'!N2736,'Retirement Calculator'!A:A,0),0),0)</f>
        <v>0</v>
      </c>
      <c r="K2736" s="444">
        <f t="shared" ca="1" si="133"/>
        <v>-80888347.535374075</v>
      </c>
      <c r="L2736" s="444">
        <f t="shared" ca="1" si="134"/>
        <v>-19494091756.02515</v>
      </c>
      <c r="M2736" s="460">
        <f t="shared" si="136"/>
        <v>0.05</v>
      </c>
      <c r="N2736" s="464">
        <f t="shared" si="137"/>
        <v>134319</v>
      </c>
    </row>
    <row r="2737" spans="7:14" ht="11.25" customHeight="1" x14ac:dyDescent="0.3">
      <c r="G2737" s="459"/>
      <c r="H2737" s="459">
        <v>2730</v>
      </c>
      <c r="I2737" s="444">
        <f t="shared" ca="1" si="135"/>
        <v>-19494091756.02515</v>
      </c>
      <c r="J2737" s="444">
        <f t="array" ref="J2737">IFERROR(INDEX('Retirement Calculator'!K:K,MATCH('Lorri 401b'!N2737,'Retirement Calculator'!A:A,0),0),0)</f>
        <v>0</v>
      </c>
      <c r="K2737" s="444">
        <f t="shared" ca="1" si="133"/>
        <v>-81225382.316771463</v>
      </c>
      <c r="L2737" s="444">
        <f t="shared" ca="1" si="134"/>
        <v>-19575317138.341923</v>
      </c>
      <c r="M2737" s="460">
        <f t="shared" si="136"/>
        <v>0.05</v>
      </c>
      <c r="N2737" s="464">
        <f t="shared" si="137"/>
        <v>134350</v>
      </c>
    </row>
    <row r="2738" spans="7:14" ht="11.25" customHeight="1" x14ac:dyDescent="0.3">
      <c r="G2738" s="459"/>
      <c r="H2738" s="459">
        <v>2731</v>
      </c>
      <c r="I2738" s="444">
        <f t="shared" ca="1" si="135"/>
        <v>-19575317138.341923</v>
      </c>
      <c r="J2738" s="444">
        <f t="array" ref="J2738">IFERROR(INDEX('Retirement Calculator'!K:K,MATCH('Lorri 401b'!N2738,'Retirement Calculator'!A:A,0),0),0)</f>
        <v>0</v>
      </c>
      <c r="K2738" s="444">
        <f t="shared" ca="1" si="133"/>
        <v>-81563821.409758016</v>
      </c>
      <c r="L2738" s="444">
        <f t="shared" ca="1" si="134"/>
        <v>-19656880959.751682</v>
      </c>
      <c r="M2738" s="460">
        <f t="shared" si="136"/>
        <v>0.05</v>
      </c>
      <c r="N2738" s="464">
        <f t="shared" si="137"/>
        <v>134380</v>
      </c>
    </row>
    <row r="2739" spans="7:14" ht="11.25" customHeight="1" x14ac:dyDescent="0.3">
      <c r="G2739" s="459"/>
      <c r="H2739" s="459">
        <v>2732</v>
      </c>
      <c r="I2739" s="444">
        <f t="shared" ca="1" si="135"/>
        <v>-19656880959.751682</v>
      </c>
      <c r="J2739" s="444">
        <f t="array" ref="J2739">IFERROR(INDEX('Retirement Calculator'!K:K,MATCH('Lorri 401b'!N2739,'Retirement Calculator'!A:A,0),0),0)</f>
        <v>0</v>
      </c>
      <c r="K2739" s="444">
        <f t="shared" ca="1" si="133"/>
        <v>-81903670.66563201</v>
      </c>
      <c r="L2739" s="444">
        <f t="shared" ca="1" si="134"/>
        <v>-19738784630.417313</v>
      </c>
      <c r="M2739" s="460">
        <f t="shared" si="136"/>
        <v>0.05</v>
      </c>
      <c r="N2739" s="464">
        <f t="shared" si="137"/>
        <v>134411</v>
      </c>
    </row>
    <row r="2740" spans="7:14" ht="11.25" customHeight="1" x14ac:dyDescent="0.3">
      <c r="G2740" s="459"/>
      <c r="H2740" s="459">
        <v>2733</v>
      </c>
      <c r="I2740" s="444">
        <f t="shared" ca="1" si="135"/>
        <v>-19738784630.417313</v>
      </c>
      <c r="J2740" s="444">
        <f t="array" ref="J2740">IFERROR(INDEX('Retirement Calculator'!K:K,MATCH('Lorri 401b'!N2740,'Retirement Calculator'!A:A,0),0),0)</f>
        <v>0</v>
      </c>
      <c r="K2740" s="444">
        <f t="shared" ca="1" si="133"/>
        <v>-82244935.96007213</v>
      </c>
      <c r="L2740" s="444">
        <f t="shared" ca="1" si="134"/>
        <v>-19821029566.377384</v>
      </c>
      <c r="M2740" s="460">
        <f t="shared" si="136"/>
        <v>0.05</v>
      </c>
      <c r="N2740" s="464">
        <f t="shared" si="137"/>
        <v>134442</v>
      </c>
    </row>
    <row r="2741" spans="7:14" ht="11.25" customHeight="1" x14ac:dyDescent="0.3">
      <c r="G2741" s="459"/>
      <c r="H2741" s="459">
        <v>2734</v>
      </c>
      <c r="I2741" s="444">
        <f t="shared" ca="1" si="135"/>
        <v>-19821029566.377384</v>
      </c>
      <c r="J2741" s="444">
        <f t="array" ref="J2741">IFERROR(INDEX('Retirement Calculator'!K:K,MATCH('Lorri 401b'!N2741,'Retirement Calculator'!A:A,0),0),0)</f>
        <v>0</v>
      </c>
      <c r="K2741" s="444">
        <f t="shared" ca="1" si="133"/>
        <v>-82587623.193239093</v>
      </c>
      <c r="L2741" s="444">
        <f t="shared" ca="1" si="134"/>
        <v>-19903617189.570621</v>
      </c>
      <c r="M2741" s="460">
        <f t="shared" si="136"/>
        <v>0.05</v>
      </c>
      <c r="N2741" s="464">
        <f t="shared" si="137"/>
        <v>134471</v>
      </c>
    </row>
    <row r="2742" spans="7:14" ht="11.25" customHeight="1" x14ac:dyDescent="0.3">
      <c r="G2742" s="459"/>
      <c r="H2742" s="459">
        <v>2735</v>
      </c>
      <c r="I2742" s="444">
        <f t="shared" ca="1" si="135"/>
        <v>-19903617189.570621</v>
      </c>
      <c r="J2742" s="444">
        <f t="array" ref="J2742">IFERROR(INDEX('Retirement Calculator'!K:K,MATCH('Lorri 401b'!N2742,'Retirement Calculator'!A:A,0),0),0)</f>
        <v>0</v>
      </c>
      <c r="K2742" s="444">
        <f t="shared" ca="1" si="133"/>
        <v>-82931738.289877594</v>
      </c>
      <c r="L2742" s="444">
        <f t="shared" ca="1" si="134"/>
        <v>-19986548927.8605</v>
      </c>
      <c r="M2742" s="460">
        <f t="shared" si="136"/>
        <v>0.05</v>
      </c>
      <c r="N2742" s="464">
        <f t="shared" si="137"/>
        <v>134502</v>
      </c>
    </row>
    <row r="2743" spans="7:14" ht="11.25" customHeight="1" x14ac:dyDescent="0.3">
      <c r="G2743" s="459"/>
      <c r="H2743" s="459">
        <v>2736</v>
      </c>
      <c r="I2743" s="444">
        <f t="shared" ca="1" si="135"/>
        <v>-19986548927.8605</v>
      </c>
      <c r="J2743" s="444">
        <f t="array" ref="J2743">IFERROR(INDEX('Retirement Calculator'!K:K,MATCH('Lorri 401b'!N2743,'Retirement Calculator'!A:A,0),0),0)</f>
        <v>0</v>
      </c>
      <c r="K2743" s="444">
        <f t="shared" ca="1" si="133"/>
        <v>-83277287.199418753</v>
      </c>
      <c r="L2743" s="444">
        <f t="shared" ca="1" si="134"/>
        <v>-20069826215.059917</v>
      </c>
      <c r="M2743" s="460">
        <f t="shared" si="136"/>
        <v>0.05</v>
      </c>
      <c r="N2743" s="464">
        <f t="shared" si="137"/>
        <v>134532</v>
      </c>
    </row>
    <row r="2744" spans="7:14" ht="11.25" customHeight="1" x14ac:dyDescent="0.3">
      <c r="G2744" s="459"/>
      <c r="H2744" s="459">
        <v>2737</v>
      </c>
      <c r="I2744" s="444">
        <f t="shared" ca="1" si="135"/>
        <v>-20069826215.059917</v>
      </c>
      <c r="J2744" s="444">
        <f t="array" ref="J2744">IFERROR(INDEX('Retirement Calculator'!K:K,MATCH('Lorri 401b'!N2744,'Retirement Calculator'!A:A,0),0),0)</f>
        <v>0</v>
      </c>
      <c r="K2744" s="444">
        <f t="shared" ca="1" si="133"/>
        <v>-83624275.896082982</v>
      </c>
      <c r="L2744" s="444">
        <f t="shared" ca="1" si="134"/>
        <v>-20153450490.956001</v>
      </c>
      <c r="M2744" s="460">
        <f t="shared" si="136"/>
        <v>0.05</v>
      </c>
      <c r="N2744" s="464">
        <f t="shared" si="137"/>
        <v>134563</v>
      </c>
    </row>
    <row r="2745" spans="7:14" ht="11.25" customHeight="1" x14ac:dyDescent="0.3">
      <c r="G2745" s="459"/>
      <c r="H2745" s="459">
        <v>2738</v>
      </c>
      <c r="I2745" s="444">
        <f t="shared" ca="1" si="135"/>
        <v>-20153450490.956001</v>
      </c>
      <c r="J2745" s="444">
        <f t="array" ref="J2745">IFERROR(INDEX('Retirement Calculator'!K:K,MATCH('Lorri 401b'!N2745,'Retirement Calculator'!A:A,0),0),0)</f>
        <v>0</v>
      </c>
      <c r="K2745" s="444">
        <f t="shared" ca="1" si="133"/>
        <v>-83972710.378983334</v>
      </c>
      <c r="L2745" s="444">
        <f t="shared" ca="1" si="134"/>
        <v>-20237423201.334984</v>
      </c>
      <c r="M2745" s="460">
        <f t="shared" si="136"/>
        <v>0.05</v>
      </c>
      <c r="N2745" s="464">
        <f t="shared" si="137"/>
        <v>134593</v>
      </c>
    </row>
    <row r="2746" spans="7:14" ht="11.25" customHeight="1" x14ac:dyDescent="0.3">
      <c r="G2746" s="459"/>
      <c r="H2746" s="459">
        <v>2739</v>
      </c>
      <c r="I2746" s="444">
        <f t="shared" ca="1" si="135"/>
        <v>-20237423201.334984</v>
      </c>
      <c r="J2746" s="444">
        <f t="array" ref="J2746">IFERROR(INDEX('Retirement Calculator'!K:K,MATCH('Lorri 401b'!N2746,'Retirement Calculator'!A:A,0),0),0)</f>
        <v>0</v>
      </c>
      <c r="K2746" s="444">
        <f t="shared" ca="1" si="133"/>
        <v>-84322596.672229096</v>
      </c>
      <c r="L2746" s="444">
        <f t="shared" ca="1" si="134"/>
        <v>-20321745798.007214</v>
      </c>
      <c r="M2746" s="460">
        <f t="shared" si="136"/>
        <v>0.05</v>
      </c>
      <c r="N2746" s="464">
        <f t="shared" si="137"/>
        <v>134624</v>
      </c>
    </row>
    <row r="2747" spans="7:14" ht="11.25" customHeight="1" x14ac:dyDescent="0.3">
      <c r="G2747" s="459"/>
      <c r="H2747" s="459">
        <v>2740</v>
      </c>
      <c r="I2747" s="444">
        <f t="shared" ca="1" si="135"/>
        <v>-20321745798.007214</v>
      </c>
      <c r="J2747" s="444">
        <f t="array" ref="J2747">IFERROR(INDEX('Retirement Calculator'!K:K,MATCH('Lorri 401b'!N2747,'Retirement Calculator'!A:A,0),0),0)</f>
        <v>0</v>
      </c>
      <c r="K2747" s="444">
        <f t="shared" ca="1" si="133"/>
        <v>-84673940.825030059</v>
      </c>
      <c r="L2747" s="444">
        <f t="shared" ca="1" si="134"/>
        <v>-20406419738.832245</v>
      </c>
      <c r="M2747" s="460">
        <f t="shared" si="136"/>
        <v>0.05</v>
      </c>
      <c r="N2747" s="464">
        <f t="shared" si="137"/>
        <v>134655</v>
      </c>
    </row>
    <row r="2748" spans="7:14" ht="11.25" customHeight="1" x14ac:dyDescent="0.3">
      <c r="G2748" s="459"/>
      <c r="H2748" s="459">
        <v>2741</v>
      </c>
      <c r="I2748" s="444">
        <f t="shared" ca="1" si="135"/>
        <v>-20406419738.832245</v>
      </c>
      <c r="J2748" s="444">
        <f t="array" ref="J2748">IFERROR(INDEX('Retirement Calculator'!K:K,MATCH('Lorri 401b'!N2748,'Retirement Calculator'!A:A,0),0),0)</f>
        <v>0</v>
      </c>
      <c r="K2748" s="444">
        <f t="shared" ca="1" si="133"/>
        <v>-85026748.911801025</v>
      </c>
      <c r="L2748" s="444">
        <f t="shared" ca="1" si="134"/>
        <v>-20491446487.744045</v>
      </c>
      <c r="M2748" s="460">
        <f t="shared" si="136"/>
        <v>0.05</v>
      </c>
      <c r="N2748" s="464">
        <f t="shared" si="137"/>
        <v>134685</v>
      </c>
    </row>
    <row r="2749" spans="7:14" ht="11.25" customHeight="1" x14ac:dyDescent="0.3">
      <c r="G2749" s="459"/>
      <c r="H2749" s="459">
        <v>2742</v>
      </c>
      <c r="I2749" s="444">
        <f t="shared" ca="1" si="135"/>
        <v>-20491446487.744045</v>
      </c>
      <c r="J2749" s="444">
        <f t="array" ref="J2749">IFERROR(INDEX('Retirement Calculator'!K:K,MATCH('Lorri 401b'!N2749,'Retirement Calculator'!A:A,0),0),0)</f>
        <v>0</v>
      </c>
      <c r="K2749" s="444">
        <f t="shared" ca="1" si="133"/>
        <v>-85381027.032266855</v>
      </c>
      <c r="L2749" s="444">
        <f t="shared" ca="1" si="134"/>
        <v>-20576827514.776314</v>
      </c>
      <c r="M2749" s="460">
        <f t="shared" si="136"/>
        <v>0.05</v>
      </c>
      <c r="N2749" s="464">
        <f t="shared" si="137"/>
        <v>134716</v>
      </c>
    </row>
    <row r="2750" spans="7:14" ht="11.25" customHeight="1" x14ac:dyDescent="0.3">
      <c r="G2750" s="459"/>
      <c r="H2750" s="459">
        <v>2743</v>
      </c>
      <c r="I2750" s="444">
        <f t="shared" ca="1" si="135"/>
        <v>-20576827514.776314</v>
      </c>
      <c r="J2750" s="444">
        <f t="array" ref="J2750">IFERROR(INDEX('Retirement Calculator'!K:K,MATCH('Lorri 401b'!N2750,'Retirement Calculator'!A:A,0),0),0)</f>
        <v>0</v>
      </c>
      <c r="K2750" s="444">
        <f t="shared" ca="1" si="133"/>
        <v>-85736781.311567977</v>
      </c>
      <c r="L2750" s="444">
        <f t="shared" ca="1" si="134"/>
        <v>-20662564296.087883</v>
      </c>
      <c r="M2750" s="460">
        <f t="shared" si="136"/>
        <v>0.05</v>
      </c>
      <c r="N2750" s="464">
        <f t="shared" si="137"/>
        <v>134746</v>
      </c>
    </row>
    <row r="2751" spans="7:14" ht="11.25" customHeight="1" x14ac:dyDescent="0.3">
      <c r="G2751" s="459"/>
      <c r="H2751" s="459">
        <v>2744</v>
      </c>
      <c r="I2751" s="444">
        <f t="shared" ca="1" si="135"/>
        <v>-20662564296.087883</v>
      </c>
      <c r="J2751" s="444">
        <f t="array" ref="J2751">IFERROR(INDEX('Retirement Calculator'!K:K,MATCH('Lorri 401b'!N2751,'Retirement Calculator'!A:A,0),0),0)</f>
        <v>0</v>
      </c>
      <c r="K2751" s="444">
        <f t="shared" ca="1" si="133"/>
        <v>-86094017.900366172</v>
      </c>
      <c r="L2751" s="444">
        <f t="shared" ca="1" si="134"/>
        <v>-20748658313.988251</v>
      </c>
      <c r="M2751" s="460">
        <f t="shared" si="136"/>
        <v>0.05</v>
      </c>
      <c r="N2751" s="464">
        <f t="shared" si="137"/>
        <v>134777</v>
      </c>
    </row>
    <row r="2752" spans="7:14" ht="11.25" customHeight="1" x14ac:dyDescent="0.3">
      <c r="G2752" s="459"/>
      <c r="H2752" s="459">
        <v>2745</v>
      </c>
      <c r="I2752" s="444">
        <f t="shared" ca="1" si="135"/>
        <v>-20748658313.988251</v>
      </c>
      <c r="J2752" s="444">
        <f t="array" ref="J2752">IFERROR(INDEX('Retirement Calculator'!K:K,MATCH('Lorri 401b'!N2752,'Retirement Calculator'!A:A,0),0),0)</f>
        <v>0</v>
      </c>
      <c r="K2752" s="444">
        <f t="shared" ca="1" si="133"/>
        <v>-86452742.974951044</v>
      </c>
      <c r="L2752" s="444">
        <f t="shared" ca="1" si="134"/>
        <v>-20835111056.963203</v>
      </c>
      <c r="M2752" s="460">
        <f t="shared" si="136"/>
        <v>0.05</v>
      </c>
      <c r="N2752" s="464">
        <f t="shared" si="137"/>
        <v>134808</v>
      </c>
    </row>
    <row r="2753" spans="7:14" ht="11.25" customHeight="1" x14ac:dyDescent="0.3">
      <c r="G2753" s="459"/>
      <c r="H2753" s="459">
        <v>2746</v>
      </c>
      <c r="I2753" s="444">
        <f t="shared" ca="1" si="135"/>
        <v>-20835111056.963203</v>
      </c>
      <c r="J2753" s="444">
        <f t="array" ref="J2753">IFERROR(INDEX('Retirement Calculator'!K:K,MATCH('Lorri 401b'!N2753,'Retirement Calculator'!A:A,0),0),0)</f>
        <v>0</v>
      </c>
      <c r="K2753" s="444">
        <f t="shared" ca="1" si="133"/>
        <v>-86812962.737346679</v>
      </c>
      <c r="L2753" s="444">
        <f t="shared" ca="1" si="134"/>
        <v>-20921924019.70055</v>
      </c>
      <c r="M2753" s="460">
        <f t="shared" si="136"/>
        <v>0.05</v>
      </c>
      <c r="N2753" s="464">
        <f t="shared" si="137"/>
        <v>134836</v>
      </c>
    </row>
    <row r="2754" spans="7:14" ht="11.25" customHeight="1" x14ac:dyDescent="0.3">
      <c r="G2754" s="459"/>
      <c r="H2754" s="459">
        <v>2747</v>
      </c>
      <c r="I2754" s="444">
        <f t="shared" ca="1" si="135"/>
        <v>-20921924019.70055</v>
      </c>
      <c r="J2754" s="444">
        <f t="array" ref="J2754">IFERROR(INDEX('Retirement Calculator'!K:K,MATCH('Lorri 401b'!N2754,'Retirement Calculator'!A:A,0),0),0)</f>
        <v>0</v>
      </c>
      <c r="K2754" s="444">
        <f t="shared" ca="1" si="133"/>
        <v>-87174683.415418953</v>
      </c>
      <c r="L2754" s="444">
        <f t="shared" ca="1" si="134"/>
        <v>-21009098703.115971</v>
      </c>
      <c r="M2754" s="460">
        <f t="shared" si="136"/>
        <v>0.05</v>
      </c>
      <c r="N2754" s="464">
        <f t="shared" si="137"/>
        <v>134867</v>
      </c>
    </row>
    <row r="2755" spans="7:14" ht="11.25" customHeight="1" x14ac:dyDescent="0.3">
      <c r="G2755" s="459"/>
      <c r="H2755" s="459">
        <v>2748</v>
      </c>
      <c r="I2755" s="444">
        <f t="shared" ca="1" si="135"/>
        <v>-21009098703.115971</v>
      </c>
      <c r="J2755" s="444">
        <f t="array" ref="J2755">IFERROR(INDEX('Retirement Calculator'!K:K,MATCH('Lorri 401b'!N2755,'Retirement Calculator'!A:A,0),0),0)</f>
        <v>0</v>
      </c>
      <c r="K2755" s="444">
        <f t="shared" ca="1" si="133"/>
        <v>-87537911.262983203</v>
      </c>
      <c r="L2755" s="444">
        <f t="shared" ca="1" si="134"/>
        <v>-21096636614.378952</v>
      </c>
      <c r="M2755" s="460">
        <f t="shared" si="136"/>
        <v>0.05</v>
      </c>
      <c r="N2755" s="464">
        <f t="shared" si="137"/>
        <v>134897</v>
      </c>
    </row>
    <row r="2756" spans="7:14" ht="11.25" customHeight="1" x14ac:dyDescent="0.3">
      <c r="G2756" s="459"/>
      <c r="H2756" s="459">
        <v>2749</v>
      </c>
      <c r="I2756" s="444">
        <f t="shared" ca="1" si="135"/>
        <v>-21096636614.378952</v>
      </c>
      <c r="J2756" s="444">
        <f t="array" ref="J2756">IFERROR(INDEX('Retirement Calculator'!K:K,MATCH('Lorri 401b'!N2756,'Retirement Calculator'!A:A,0),0),0)</f>
        <v>0</v>
      </c>
      <c r="K2756" s="444">
        <f t="shared" ca="1" si="133"/>
        <v>-87902652.559912294</v>
      </c>
      <c r="L2756" s="444">
        <f t="shared" ca="1" si="134"/>
        <v>-21184539266.938866</v>
      </c>
      <c r="M2756" s="460">
        <f t="shared" si="136"/>
        <v>0.05</v>
      </c>
      <c r="N2756" s="464">
        <f t="shared" si="137"/>
        <v>134928</v>
      </c>
    </row>
    <row r="2757" spans="7:14" ht="11.25" customHeight="1" x14ac:dyDescent="0.3">
      <c r="G2757" s="459"/>
      <c r="H2757" s="459">
        <v>2750</v>
      </c>
      <c r="I2757" s="444">
        <f t="shared" ca="1" si="135"/>
        <v>-21184539266.938866</v>
      </c>
      <c r="J2757" s="444">
        <f t="array" ref="J2757">IFERROR(INDEX('Retirement Calculator'!K:K,MATCH('Lorri 401b'!N2757,'Retirement Calculator'!A:A,0),0),0)</f>
        <v>0</v>
      </c>
      <c r="K2757" s="444">
        <f t="shared" ca="1" si="133"/>
        <v>-88268913.612245277</v>
      </c>
      <c r="L2757" s="444">
        <f t="shared" ca="1" si="134"/>
        <v>-21272808180.551109</v>
      </c>
      <c r="M2757" s="460">
        <f t="shared" si="136"/>
        <v>0.05</v>
      </c>
      <c r="N2757" s="464">
        <f t="shared" si="137"/>
        <v>134958</v>
      </c>
    </row>
    <row r="2758" spans="7:14" ht="11.25" customHeight="1" x14ac:dyDescent="0.3">
      <c r="G2758" s="459"/>
      <c r="H2758" s="459">
        <v>2751</v>
      </c>
      <c r="I2758" s="444">
        <f t="shared" ca="1" si="135"/>
        <v>-21272808180.551109</v>
      </c>
      <c r="J2758" s="444">
        <f t="array" ref="J2758">IFERROR(INDEX('Retirement Calculator'!K:K,MATCH('Lorri 401b'!N2758,'Retirement Calculator'!A:A,0),0),0)</f>
        <v>0</v>
      </c>
      <c r="K2758" s="444">
        <f t="shared" ca="1" si="133"/>
        <v>-88636700.752296284</v>
      </c>
      <c r="L2758" s="444">
        <f t="shared" ca="1" si="134"/>
        <v>-21361444881.303406</v>
      </c>
      <c r="M2758" s="460">
        <f t="shared" si="136"/>
        <v>0.05</v>
      </c>
      <c r="N2758" s="464">
        <f t="shared" si="137"/>
        <v>134989</v>
      </c>
    </row>
    <row r="2759" spans="7:14" ht="11.25" customHeight="1" x14ac:dyDescent="0.3">
      <c r="G2759" s="459"/>
      <c r="H2759" s="459">
        <v>2752</v>
      </c>
      <c r="I2759" s="444">
        <f t="shared" ca="1" si="135"/>
        <v>-21361444881.303406</v>
      </c>
      <c r="J2759" s="444">
        <f t="array" ref="J2759">IFERROR(INDEX('Retirement Calculator'!K:K,MATCH('Lorri 401b'!N2759,'Retirement Calculator'!A:A,0),0),0)</f>
        <v>0</v>
      </c>
      <c r="K2759" s="444">
        <f t="shared" ca="1" si="133"/>
        <v>-89006020.338764191</v>
      </c>
      <c r="L2759" s="444">
        <f t="shared" ca="1" si="134"/>
        <v>-21450450901.64217</v>
      </c>
      <c r="M2759" s="460">
        <f t="shared" si="136"/>
        <v>0.05</v>
      </c>
      <c r="N2759" s="464">
        <f t="shared" si="137"/>
        <v>135020</v>
      </c>
    </row>
    <row r="2760" spans="7:14" ht="11.25" customHeight="1" x14ac:dyDescent="0.3">
      <c r="G2760" s="459"/>
      <c r="H2760" s="459">
        <v>2753</v>
      </c>
      <c r="I2760" s="444">
        <f t="shared" ca="1" si="135"/>
        <v>-21450450901.64217</v>
      </c>
      <c r="J2760" s="444">
        <f t="array" ref="J2760">IFERROR(INDEX('Retirement Calculator'!K:K,MATCH('Lorri 401b'!N2760,'Retirement Calculator'!A:A,0),0),0)</f>
        <v>0</v>
      </c>
      <c r="K2760" s="444">
        <f t="shared" ca="1" si="133"/>
        <v>-89376878.756842375</v>
      </c>
      <c r="L2760" s="444">
        <f t="shared" ca="1" si="134"/>
        <v>-21539827780.399014</v>
      </c>
      <c r="M2760" s="460">
        <f t="shared" si="136"/>
        <v>0.05</v>
      </c>
      <c r="N2760" s="464">
        <f t="shared" si="137"/>
        <v>135050</v>
      </c>
    </row>
    <row r="2761" spans="7:14" ht="11.25" customHeight="1" x14ac:dyDescent="0.3">
      <c r="G2761" s="459"/>
      <c r="H2761" s="459">
        <v>2754</v>
      </c>
      <c r="I2761" s="444">
        <f t="shared" ca="1" si="135"/>
        <v>-21539827780.399014</v>
      </c>
      <c r="J2761" s="444">
        <f t="array" ref="J2761">IFERROR(INDEX('Retirement Calculator'!K:K,MATCH('Lorri 401b'!N2761,'Retirement Calculator'!A:A,0),0),0)</f>
        <v>0</v>
      </c>
      <c r="K2761" s="444">
        <f t="shared" ca="1" si="133"/>
        <v>-89749282.418329224</v>
      </c>
      <c r="L2761" s="444">
        <f t="shared" ca="1" si="134"/>
        <v>-21629577062.817341</v>
      </c>
      <c r="M2761" s="460">
        <f t="shared" si="136"/>
        <v>0.05</v>
      </c>
      <c r="N2761" s="464">
        <f t="shared" si="137"/>
        <v>135081</v>
      </c>
    </row>
    <row r="2762" spans="7:14" ht="11.25" customHeight="1" x14ac:dyDescent="0.3">
      <c r="G2762" s="459"/>
      <c r="H2762" s="459">
        <v>2755</v>
      </c>
      <c r="I2762" s="444">
        <f t="shared" ca="1" si="135"/>
        <v>-21629577062.817341</v>
      </c>
      <c r="J2762" s="444">
        <f t="array" ref="J2762">IFERROR(INDEX('Retirement Calculator'!K:K,MATCH('Lorri 401b'!N2762,'Retirement Calculator'!A:A,0),0),0)</f>
        <v>0</v>
      </c>
      <c r="K2762" s="444">
        <f t="shared" ca="1" si="133"/>
        <v>-90123237.761738926</v>
      </c>
      <c r="L2762" s="444">
        <f t="shared" ca="1" si="134"/>
        <v>-21719700300.579079</v>
      </c>
      <c r="M2762" s="460">
        <f t="shared" si="136"/>
        <v>0.05</v>
      </c>
      <c r="N2762" s="464">
        <f t="shared" si="137"/>
        <v>135111</v>
      </c>
    </row>
    <row r="2763" spans="7:14" ht="11.25" customHeight="1" x14ac:dyDescent="0.3">
      <c r="G2763" s="459"/>
      <c r="H2763" s="459">
        <v>2756</v>
      </c>
      <c r="I2763" s="444">
        <f t="shared" ca="1" si="135"/>
        <v>-21719700300.579079</v>
      </c>
      <c r="J2763" s="444">
        <f t="array" ref="J2763">IFERROR(INDEX('Retirement Calculator'!K:K,MATCH('Lorri 401b'!N2763,'Retirement Calculator'!A:A,0),0),0)</f>
        <v>0</v>
      </c>
      <c r="K2763" s="444">
        <f t="shared" ca="1" si="133"/>
        <v>-90498751.252412826</v>
      </c>
      <c r="L2763" s="444">
        <f t="shared" ca="1" si="134"/>
        <v>-21810199051.831493</v>
      </c>
      <c r="M2763" s="460">
        <f t="shared" si="136"/>
        <v>0.05</v>
      </c>
      <c r="N2763" s="464">
        <f t="shared" si="137"/>
        <v>135142</v>
      </c>
    </row>
    <row r="2764" spans="7:14" ht="11.25" customHeight="1" x14ac:dyDescent="0.3">
      <c r="G2764" s="459"/>
      <c r="H2764" s="459">
        <v>2757</v>
      </c>
      <c r="I2764" s="444">
        <f t="shared" ca="1" si="135"/>
        <v>-21810199051.831493</v>
      </c>
      <c r="J2764" s="444">
        <f t="array" ref="J2764">IFERROR(INDEX('Retirement Calculator'!K:K,MATCH('Lorri 401b'!N2764,'Retirement Calculator'!A:A,0),0),0)</f>
        <v>0</v>
      </c>
      <c r="K2764" s="444">
        <f t="shared" ca="1" si="133"/>
        <v>-90875829.382631227</v>
      </c>
      <c r="L2764" s="444">
        <f t="shared" ca="1" si="134"/>
        <v>-21901074881.214123</v>
      </c>
      <c r="M2764" s="460">
        <f t="shared" si="136"/>
        <v>0.05</v>
      </c>
      <c r="N2764" s="464">
        <f t="shared" si="137"/>
        <v>135173</v>
      </c>
    </row>
    <row r="2765" spans="7:14" ht="11.25" customHeight="1" x14ac:dyDescent="0.3">
      <c r="G2765" s="459"/>
      <c r="H2765" s="459">
        <v>2758</v>
      </c>
      <c r="I2765" s="444">
        <f t="shared" ca="1" si="135"/>
        <v>-21901074881.214123</v>
      </c>
      <c r="J2765" s="444">
        <f t="array" ref="J2765">IFERROR(INDEX('Retirement Calculator'!K:K,MATCH('Lorri 401b'!N2765,'Retirement Calculator'!A:A,0),0),0)</f>
        <v>0</v>
      </c>
      <c r="K2765" s="444">
        <f t="shared" ca="1" si="133"/>
        <v>-91254478.671725512</v>
      </c>
      <c r="L2765" s="444">
        <f t="shared" ca="1" si="134"/>
        <v>-21992329359.885849</v>
      </c>
      <c r="M2765" s="460">
        <f t="shared" si="136"/>
        <v>0.05</v>
      </c>
      <c r="N2765" s="464">
        <f t="shared" si="137"/>
        <v>135201</v>
      </c>
    </row>
    <row r="2766" spans="7:14" ht="11.25" customHeight="1" x14ac:dyDescent="0.3">
      <c r="G2766" s="459"/>
      <c r="H2766" s="459">
        <v>2759</v>
      </c>
      <c r="I2766" s="444">
        <f t="shared" ca="1" si="135"/>
        <v>-21992329359.885849</v>
      </c>
      <c r="J2766" s="444">
        <f t="array" ref="J2766">IFERROR(INDEX('Retirement Calculator'!K:K,MATCH('Lorri 401b'!N2766,'Retirement Calculator'!A:A,0),0),0)</f>
        <v>0</v>
      </c>
      <c r="K2766" s="444">
        <f t="shared" ca="1" si="133"/>
        <v>-91634705.666191041</v>
      </c>
      <c r="L2766" s="444">
        <f t="shared" ca="1" si="134"/>
        <v>-22083964065.55204</v>
      </c>
      <c r="M2766" s="460">
        <f t="shared" si="136"/>
        <v>0.05</v>
      </c>
      <c r="N2766" s="464">
        <f t="shared" si="137"/>
        <v>135232</v>
      </c>
    </row>
    <row r="2767" spans="7:14" ht="11.25" customHeight="1" x14ac:dyDescent="0.3">
      <c r="G2767" s="459"/>
      <c r="H2767" s="459">
        <v>2760</v>
      </c>
      <c r="I2767" s="444">
        <f t="shared" ca="1" si="135"/>
        <v>-22083964065.55204</v>
      </c>
      <c r="J2767" s="444">
        <f t="array" ref="J2767">IFERROR(INDEX('Retirement Calculator'!K:K,MATCH('Lorri 401b'!N2767,'Retirement Calculator'!A:A,0),0),0)</f>
        <v>0</v>
      </c>
      <c r="K2767" s="444">
        <f t="shared" ca="1" si="133"/>
        <v>-92016516.939800173</v>
      </c>
      <c r="L2767" s="444">
        <f t="shared" ca="1" si="134"/>
        <v>-22175980582.49184</v>
      </c>
      <c r="M2767" s="460">
        <f t="shared" si="136"/>
        <v>0.05</v>
      </c>
      <c r="N2767" s="464">
        <f t="shared" si="137"/>
        <v>135262</v>
      </c>
    </row>
    <row r="2768" spans="7:14" ht="11.25" customHeight="1" x14ac:dyDescent="0.3">
      <c r="G2768" s="459"/>
      <c r="H2768" s="459">
        <v>2761</v>
      </c>
      <c r="I2768" s="444">
        <f t="shared" ca="1" si="135"/>
        <v>-22175980582.49184</v>
      </c>
      <c r="J2768" s="444">
        <f t="array" ref="J2768">IFERROR(INDEX('Retirement Calculator'!K:K,MATCH('Lorri 401b'!N2768,'Retirement Calculator'!A:A,0),0),0)</f>
        <v>0</v>
      </c>
      <c r="K2768" s="444">
        <f t="shared" ca="1" si="133"/>
        <v>-92399919.093715996</v>
      </c>
      <c r="L2768" s="444">
        <f t="shared" ca="1" si="134"/>
        <v>-22268380501.585556</v>
      </c>
      <c r="M2768" s="460">
        <f t="shared" si="136"/>
        <v>0.05</v>
      </c>
      <c r="N2768" s="464">
        <f t="shared" si="137"/>
        <v>135293</v>
      </c>
    </row>
    <row r="2769" spans="7:14" ht="11.25" customHeight="1" x14ac:dyDescent="0.3">
      <c r="G2769" s="459"/>
      <c r="H2769" s="459">
        <v>2762</v>
      </c>
      <c r="I2769" s="444">
        <f t="shared" ca="1" si="135"/>
        <v>-22268380501.585556</v>
      </c>
      <c r="J2769" s="444">
        <f t="array" ref="J2769">IFERROR(INDEX('Retirement Calculator'!K:K,MATCH('Lorri 401b'!N2769,'Retirement Calculator'!A:A,0),0),0)</f>
        <v>0</v>
      </c>
      <c r="K2769" s="444">
        <f t="shared" ca="1" si="133"/>
        <v>-92784918.756606489</v>
      </c>
      <c r="L2769" s="444">
        <f t="shared" ca="1" si="134"/>
        <v>-22361165420.342163</v>
      </c>
      <c r="M2769" s="460">
        <f t="shared" si="136"/>
        <v>0.05</v>
      </c>
      <c r="N2769" s="464">
        <f t="shared" si="137"/>
        <v>135323</v>
      </c>
    </row>
    <row r="2770" spans="7:14" ht="11.25" customHeight="1" x14ac:dyDescent="0.3">
      <c r="G2770" s="459"/>
      <c r="H2770" s="459">
        <v>2763</v>
      </c>
      <c r="I2770" s="444">
        <f t="shared" ca="1" si="135"/>
        <v>-22361165420.342163</v>
      </c>
      <c r="J2770" s="444">
        <f t="array" ref="J2770">IFERROR(INDEX('Retirement Calculator'!K:K,MATCH('Lorri 401b'!N2770,'Retirement Calculator'!A:A,0),0),0)</f>
        <v>0</v>
      </c>
      <c r="K2770" s="444">
        <f t="shared" ca="1" si="133"/>
        <v>-93171522.584759012</v>
      </c>
      <c r="L2770" s="444">
        <f t="shared" ca="1" si="134"/>
        <v>-22454336942.926922</v>
      </c>
      <c r="M2770" s="460">
        <f t="shared" si="136"/>
        <v>0.05</v>
      </c>
      <c r="N2770" s="464">
        <f t="shared" si="137"/>
        <v>135354</v>
      </c>
    </row>
    <row r="2771" spans="7:14" ht="11.25" customHeight="1" x14ac:dyDescent="0.3">
      <c r="G2771" s="459"/>
      <c r="H2771" s="459">
        <v>2764</v>
      </c>
      <c r="I2771" s="444">
        <f t="shared" ca="1" si="135"/>
        <v>-22454336942.926922</v>
      </c>
      <c r="J2771" s="444">
        <f t="array" ref="J2771">IFERROR(INDEX('Retirement Calculator'!K:K,MATCH('Lorri 401b'!N2771,'Retirement Calculator'!A:A,0),0),0)</f>
        <v>0</v>
      </c>
      <c r="K2771" s="444">
        <f t="shared" ca="1" si="133"/>
        <v>-93559737.262195513</v>
      </c>
      <c r="L2771" s="444">
        <f t="shared" ca="1" si="134"/>
        <v>-22547896680.189117</v>
      </c>
      <c r="M2771" s="460">
        <f t="shared" si="136"/>
        <v>0.05</v>
      </c>
      <c r="N2771" s="464">
        <f t="shared" si="137"/>
        <v>135385</v>
      </c>
    </row>
    <row r="2772" spans="7:14" ht="11.25" customHeight="1" x14ac:dyDescent="0.3">
      <c r="G2772" s="459"/>
      <c r="H2772" s="459">
        <v>2765</v>
      </c>
      <c r="I2772" s="444">
        <f t="shared" ca="1" si="135"/>
        <v>-22547896680.189117</v>
      </c>
      <c r="J2772" s="444">
        <f t="array" ref="J2772">IFERROR(INDEX('Retirement Calculator'!K:K,MATCH('Lorri 401b'!N2772,'Retirement Calculator'!A:A,0),0),0)</f>
        <v>0</v>
      </c>
      <c r="K2772" s="444">
        <f t="shared" ca="1" si="133"/>
        <v>-93949569.500787988</v>
      </c>
      <c r="L2772" s="444">
        <f t="shared" ca="1" si="134"/>
        <v>-22641846249.689907</v>
      </c>
      <c r="M2772" s="460">
        <f t="shared" si="136"/>
        <v>0.05</v>
      </c>
      <c r="N2772" s="464">
        <f t="shared" si="137"/>
        <v>135415</v>
      </c>
    </row>
    <row r="2773" spans="7:14" ht="11.25" customHeight="1" x14ac:dyDescent="0.3">
      <c r="G2773" s="459"/>
      <c r="H2773" s="459">
        <v>2766</v>
      </c>
      <c r="I2773" s="444">
        <f t="shared" ca="1" si="135"/>
        <v>-22641846249.689907</v>
      </c>
      <c r="J2773" s="444">
        <f t="array" ref="J2773">IFERROR(INDEX('Retirement Calculator'!K:K,MATCH('Lorri 401b'!N2773,'Retirement Calculator'!A:A,0),0),0)</f>
        <v>0</v>
      </c>
      <c r="K2773" s="444">
        <f t="shared" ca="1" si="133"/>
        <v>-94341026.040374607</v>
      </c>
      <c r="L2773" s="444">
        <f t="shared" ca="1" si="134"/>
        <v>-22736187275.730282</v>
      </c>
      <c r="M2773" s="460">
        <f t="shared" si="136"/>
        <v>0.05</v>
      </c>
      <c r="N2773" s="464">
        <f t="shared" si="137"/>
        <v>135446</v>
      </c>
    </row>
    <row r="2774" spans="7:14" ht="11.25" customHeight="1" x14ac:dyDescent="0.3">
      <c r="G2774" s="459"/>
      <c r="H2774" s="459">
        <v>2767</v>
      </c>
      <c r="I2774" s="444">
        <f t="shared" ca="1" si="135"/>
        <v>-22736187275.730282</v>
      </c>
      <c r="J2774" s="444">
        <f t="array" ref="J2774">IFERROR(INDEX('Retirement Calculator'!K:K,MATCH('Lorri 401b'!N2774,'Retirement Calculator'!A:A,0),0),0)</f>
        <v>0</v>
      </c>
      <c r="K2774" s="444">
        <f t="shared" ca="1" si="133"/>
        <v>-94734113.648876175</v>
      </c>
      <c r="L2774" s="444">
        <f t="shared" ca="1" si="134"/>
        <v>-22830921389.379158</v>
      </c>
      <c r="M2774" s="460">
        <f t="shared" si="136"/>
        <v>0.05</v>
      </c>
      <c r="N2774" s="464">
        <f t="shared" si="137"/>
        <v>135476</v>
      </c>
    </row>
    <row r="2775" spans="7:14" ht="11.25" customHeight="1" x14ac:dyDescent="0.3">
      <c r="G2775" s="459"/>
      <c r="H2775" s="459">
        <v>2768</v>
      </c>
      <c r="I2775" s="444">
        <f t="shared" ca="1" si="135"/>
        <v>-22830921389.379158</v>
      </c>
      <c r="J2775" s="444">
        <f t="array" ref="J2775">IFERROR(INDEX('Retirement Calculator'!K:K,MATCH('Lorri 401b'!N2775,'Retirement Calculator'!A:A,0),0),0)</f>
        <v>0</v>
      </c>
      <c r="K2775" s="444">
        <f t="shared" ca="1" si="133"/>
        <v>-95128839.122413158</v>
      </c>
      <c r="L2775" s="444">
        <f t="shared" ca="1" si="134"/>
        <v>-22926050228.501572</v>
      </c>
      <c r="M2775" s="460">
        <f t="shared" si="136"/>
        <v>0.05</v>
      </c>
      <c r="N2775" s="464">
        <f t="shared" si="137"/>
        <v>135507</v>
      </c>
    </row>
    <row r="2776" spans="7:14" ht="11.25" customHeight="1" x14ac:dyDescent="0.3">
      <c r="G2776" s="459"/>
      <c r="H2776" s="459">
        <v>2769</v>
      </c>
      <c r="I2776" s="444">
        <f t="shared" ca="1" si="135"/>
        <v>-22926050228.501572</v>
      </c>
      <c r="J2776" s="444">
        <f t="array" ref="J2776">IFERROR(INDEX('Retirement Calculator'!K:K,MATCH('Lorri 401b'!N2776,'Retirement Calculator'!A:A,0),0),0)</f>
        <v>0</v>
      </c>
      <c r="K2776" s="444">
        <f t="shared" ca="1" si="133"/>
        <v>-95525209.285423219</v>
      </c>
      <c r="L2776" s="444">
        <f t="shared" ca="1" si="134"/>
        <v>-23021575437.786995</v>
      </c>
      <c r="M2776" s="460">
        <f t="shared" si="136"/>
        <v>0.05</v>
      </c>
      <c r="N2776" s="464">
        <f t="shared" si="137"/>
        <v>135538</v>
      </c>
    </row>
    <row r="2777" spans="7:14" ht="11.25" customHeight="1" x14ac:dyDescent="0.3">
      <c r="G2777" s="459"/>
      <c r="H2777" s="459">
        <v>2770</v>
      </c>
      <c r="I2777" s="444">
        <f t="shared" ca="1" si="135"/>
        <v>-23021575437.786995</v>
      </c>
      <c r="J2777" s="444">
        <f t="array" ref="J2777">IFERROR(INDEX('Retirement Calculator'!K:K,MATCH('Lorri 401b'!N2777,'Retirement Calculator'!A:A,0),0),0)</f>
        <v>0</v>
      </c>
      <c r="K2777" s="444">
        <f t="shared" ca="1" si="133"/>
        <v>-95923230.990779147</v>
      </c>
      <c r="L2777" s="444">
        <f t="shared" ca="1" si="134"/>
        <v>-23117498668.777775</v>
      </c>
      <c r="M2777" s="460">
        <f t="shared" si="136"/>
        <v>0.05</v>
      </c>
      <c r="N2777" s="464">
        <f t="shared" si="137"/>
        <v>135566</v>
      </c>
    </row>
    <row r="2778" spans="7:14" ht="11.25" customHeight="1" x14ac:dyDescent="0.3">
      <c r="G2778" s="459"/>
      <c r="H2778" s="459">
        <v>2771</v>
      </c>
      <c r="I2778" s="444">
        <f t="shared" ca="1" si="135"/>
        <v>-23117498668.777775</v>
      </c>
      <c r="J2778" s="444">
        <f t="array" ref="J2778">IFERROR(INDEX('Retirement Calculator'!K:K,MATCH('Lorri 401b'!N2778,'Retirement Calculator'!A:A,0),0),0)</f>
        <v>0</v>
      </c>
      <c r="K2778" s="444">
        <f t="shared" ca="1" si="133"/>
        <v>-96322911.119907394</v>
      </c>
      <c r="L2778" s="444">
        <f t="shared" ca="1" si="134"/>
        <v>-23213821579.897682</v>
      </c>
      <c r="M2778" s="460">
        <f t="shared" si="136"/>
        <v>0.05</v>
      </c>
      <c r="N2778" s="464">
        <f t="shared" si="137"/>
        <v>135597</v>
      </c>
    </row>
    <row r="2779" spans="7:14" ht="11.25" customHeight="1" x14ac:dyDescent="0.3">
      <c r="G2779" s="459"/>
      <c r="H2779" s="459">
        <v>2772</v>
      </c>
      <c r="I2779" s="444">
        <f t="shared" ca="1" si="135"/>
        <v>-23213821579.897682</v>
      </c>
      <c r="J2779" s="444">
        <f t="array" ref="J2779">IFERROR(INDEX('Retirement Calculator'!K:K,MATCH('Lorri 401b'!N2779,'Retirement Calculator'!A:A,0),0),0)</f>
        <v>0</v>
      </c>
      <c r="K2779" s="444">
        <f t="shared" ca="1" si="133"/>
        <v>-96724256.582907006</v>
      </c>
      <c r="L2779" s="444">
        <f t="shared" ca="1" si="134"/>
        <v>-23310545836.480591</v>
      </c>
      <c r="M2779" s="460">
        <f t="shared" si="136"/>
        <v>0.05</v>
      </c>
      <c r="N2779" s="464">
        <f t="shared" si="137"/>
        <v>135627</v>
      </c>
    </row>
    <row r="2780" spans="7:14" ht="11.25" customHeight="1" x14ac:dyDescent="0.3">
      <c r="G2780" s="459"/>
      <c r="H2780" s="459">
        <v>2773</v>
      </c>
      <c r="I2780" s="444">
        <f t="shared" ca="1" si="135"/>
        <v>-23310545836.480591</v>
      </c>
      <c r="J2780" s="444">
        <f t="array" ref="J2780">IFERROR(INDEX('Retirement Calculator'!K:K,MATCH('Lorri 401b'!N2780,'Retirement Calculator'!A:A,0),0),0)</f>
        <v>0</v>
      </c>
      <c r="K2780" s="444">
        <f t="shared" ca="1" si="133"/>
        <v>-97127274.318669125</v>
      </c>
      <c r="L2780" s="444">
        <f t="shared" ca="1" si="134"/>
        <v>-23407673110.799259</v>
      </c>
      <c r="M2780" s="460">
        <f t="shared" si="136"/>
        <v>0.05</v>
      </c>
      <c r="N2780" s="464">
        <f t="shared" si="137"/>
        <v>135658</v>
      </c>
    </row>
    <row r="2781" spans="7:14" ht="11.25" customHeight="1" x14ac:dyDescent="0.3">
      <c r="G2781" s="459"/>
      <c r="H2781" s="459">
        <v>2774</v>
      </c>
      <c r="I2781" s="444">
        <f t="shared" ca="1" si="135"/>
        <v>-23407673110.799259</v>
      </c>
      <c r="J2781" s="444">
        <f t="array" ref="J2781">IFERROR(INDEX('Retirement Calculator'!K:K,MATCH('Lorri 401b'!N2781,'Retirement Calculator'!A:A,0),0),0)</f>
        <v>0</v>
      </c>
      <c r="K2781" s="444">
        <f t="shared" ca="1" si="133"/>
        <v>-97531971.294996917</v>
      </c>
      <c r="L2781" s="444">
        <f t="shared" ca="1" si="134"/>
        <v>-23505205082.094257</v>
      </c>
      <c r="M2781" s="460">
        <f t="shared" si="136"/>
        <v>0.05</v>
      </c>
      <c r="N2781" s="464">
        <f t="shared" si="137"/>
        <v>135688</v>
      </c>
    </row>
    <row r="2782" spans="7:14" ht="11.25" customHeight="1" x14ac:dyDescent="0.3">
      <c r="G2782" s="459"/>
      <c r="H2782" s="459">
        <v>2775</v>
      </c>
      <c r="I2782" s="444">
        <f t="shared" ca="1" si="135"/>
        <v>-23505205082.094257</v>
      </c>
      <c r="J2782" s="444">
        <f t="array" ref="J2782">IFERROR(INDEX('Retirement Calculator'!K:K,MATCH('Lorri 401b'!N2782,'Retirement Calculator'!A:A,0),0),0)</f>
        <v>0</v>
      </c>
      <c r="K2782" s="444">
        <f t="shared" ca="1" si="133"/>
        <v>-97938354.508726075</v>
      </c>
      <c r="L2782" s="444">
        <f t="shared" ca="1" si="134"/>
        <v>-23603143436.602982</v>
      </c>
      <c r="M2782" s="460">
        <f t="shared" si="136"/>
        <v>0.05</v>
      </c>
      <c r="N2782" s="464">
        <f t="shared" si="137"/>
        <v>135719</v>
      </c>
    </row>
    <row r="2783" spans="7:14" ht="11.25" customHeight="1" x14ac:dyDescent="0.3">
      <c r="G2783" s="459"/>
      <c r="H2783" s="459">
        <v>2776</v>
      </c>
      <c r="I2783" s="444">
        <f t="shared" ca="1" si="135"/>
        <v>-23603143436.602982</v>
      </c>
      <c r="J2783" s="444">
        <f t="array" ref="J2783">IFERROR(INDEX('Retirement Calculator'!K:K,MATCH('Lorri 401b'!N2783,'Retirement Calculator'!A:A,0),0),0)</f>
        <v>0</v>
      </c>
      <c r="K2783" s="444">
        <f t="shared" ca="1" si="133"/>
        <v>-98346430.98584576</v>
      </c>
      <c r="L2783" s="444">
        <f t="shared" ca="1" si="134"/>
        <v>-23701489867.588829</v>
      </c>
      <c r="M2783" s="460">
        <f t="shared" si="136"/>
        <v>0.05</v>
      </c>
      <c r="N2783" s="464">
        <f t="shared" si="137"/>
        <v>135750</v>
      </c>
    </row>
    <row r="2784" spans="7:14" ht="11.25" customHeight="1" x14ac:dyDescent="0.3">
      <c r="G2784" s="459"/>
      <c r="H2784" s="459">
        <v>2777</v>
      </c>
      <c r="I2784" s="444">
        <f t="shared" ca="1" si="135"/>
        <v>-23701489867.588829</v>
      </c>
      <c r="J2784" s="444">
        <f t="array" ref="J2784">IFERROR(INDEX('Retirement Calculator'!K:K,MATCH('Lorri 401b'!N2784,'Retirement Calculator'!A:A,0),0),0)</f>
        <v>0</v>
      </c>
      <c r="K2784" s="444">
        <f t="shared" ca="1" si="133"/>
        <v>-98756207.781620115</v>
      </c>
      <c r="L2784" s="444">
        <f t="shared" ca="1" si="134"/>
        <v>-23800246075.370449</v>
      </c>
      <c r="M2784" s="460">
        <f t="shared" si="136"/>
        <v>0.05</v>
      </c>
      <c r="N2784" s="464">
        <f t="shared" si="137"/>
        <v>135780</v>
      </c>
    </row>
    <row r="2785" spans="7:14" ht="11.25" customHeight="1" x14ac:dyDescent="0.3">
      <c r="G2785" s="459"/>
      <c r="H2785" s="459">
        <v>2778</v>
      </c>
      <c r="I2785" s="444">
        <f t="shared" ca="1" si="135"/>
        <v>-23800246075.370449</v>
      </c>
      <c r="J2785" s="444">
        <f t="array" ref="J2785">IFERROR(INDEX('Retirement Calculator'!K:K,MATCH('Lorri 401b'!N2785,'Retirement Calculator'!A:A,0),0),0)</f>
        <v>0</v>
      </c>
      <c r="K2785" s="444">
        <f t="shared" ca="1" si="133"/>
        <v>-99167691.980710208</v>
      </c>
      <c r="L2785" s="444">
        <f t="shared" ca="1" si="134"/>
        <v>-23899413767.351158</v>
      </c>
      <c r="M2785" s="460">
        <f t="shared" si="136"/>
        <v>0.05</v>
      </c>
      <c r="N2785" s="464">
        <f t="shared" si="137"/>
        <v>135811</v>
      </c>
    </row>
    <row r="2786" spans="7:14" ht="11.25" customHeight="1" x14ac:dyDescent="0.3">
      <c r="G2786" s="459"/>
      <c r="H2786" s="459">
        <v>2779</v>
      </c>
      <c r="I2786" s="444">
        <f t="shared" ca="1" si="135"/>
        <v>-23899413767.351158</v>
      </c>
      <c r="J2786" s="444">
        <f t="array" ref="J2786">IFERROR(INDEX('Retirement Calculator'!K:K,MATCH('Lorri 401b'!N2786,'Retirement Calculator'!A:A,0),0),0)</f>
        <v>0</v>
      </c>
      <c r="K2786" s="444">
        <f t="shared" ca="1" si="133"/>
        <v>-99580890.697296485</v>
      </c>
      <c r="L2786" s="444">
        <f t="shared" ca="1" si="134"/>
        <v>-23998994658.048454</v>
      </c>
      <c r="M2786" s="460">
        <f t="shared" si="136"/>
        <v>0.05</v>
      </c>
      <c r="N2786" s="464">
        <f t="shared" si="137"/>
        <v>135841</v>
      </c>
    </row>
    <row r="2787" spans="7:14" ht="11.25" customHeight="1" x14ac:dyDescent="0.3">
      <c r="G2787" s="459"/>
      <c r="H2787" s="459">
        <v>2780</v>
      </c>
      <c r="I2787" s="444">
        <f t="shared" ca="1" si="135"/>
        <v>-23998994658.048454</v>
      </c>
      <c r="J2787" s="444">
        <f t="array" ref="J2787">IFERROR(INDEX('Retirement Calculator'!K:K,MATCH('Lorri 401b'!N2787,'Retirement Calculator'!A:A,0),0),0)</f>
        <v>0</v>
      </c>
      <c r="K2787" s="444">
        <f t="shared" ca="1" si="133"/>
        <v>-99995811.075201899</v>
      </c>
      <c r="L2787" s="444">
        <f t="shared" ca="1" si="134"/>
        <v>-24098990469.123657</v>
      </c>
      <c r="M2787" s="460">
        <f t="shared" si="136"/>
        <v>0.05</v>
      </c>
      <c r="N2787" s="464">
        <f t="shared" si="137"/>
        <v>135872</v>
      </c>
    </row>
    <row r="2788" spans="7:14" ht="11.25" customHeight="1" x14ac:dyDescent="0.3">
      <c r="G2788" s="459"/>
      <c r="H2788" s="459">
        <v>2781</v>
      </c>
      <c r="I2788" s="444">
        <f t="shared" ca="1" si="135"/>
        <v>-24098990469.123657</v>
      </c>
      <c r="J2788" s="444">
        <f t="array" ref="J2788">IFERROR(INDEX('Retirement Calculator'!K:K,MATCH('Lorri 401b'!N2788,'Retirement Calculator'!A:A,0),0),0)</f>
        <v>0</v>
      </c>
      <c r="K2788" s="444">
        <f t="shared" ca="1" si="133"/>
        <v>-100412460.28801523</v>
      </c>
      <c r="L2788" s="444">
        <f t="shared" ca="1" si="134"/>
        <v>-24199402929.411671</v>
      </c>
      <c r="M2788" s="460">
        <f t="shared" si="136"/>
        <v>0.05</v>
      </c>
      <c r="N2788" s="464">
        <f t="shared" si="137"/>
        <v>135903</v>
      </c>
    </row>
    <row r="2789" spans="7:14" ht="11.25" customHeight="1" x14ac:dyDescent="0.3">
      <c r="G2789" s="459"/>
      <c r="H2789" s="459">
        <v>2782</v>
      </c>
      <c r="I2789" s="444">
        <f t="shared" ca="1" si="135"/>
        <v>-24199402929.411671</v>
      </c>
      <c r="J2789" s="444">
        <f t="array" ref="J2789">IFERROR(INDEX('Retirement Calculator'!K:K,MATCH('Lorri 401b'!N2789,'Retirement Calculator'!A:A,0),0),0)</f>
        <v>0</v>
      </c>
      <c r="K2789" s="444">
        <f t="shared" ca="1" si="133"/>
        <v>-100830845.5392153</v>
      </c>
      <c r="L2789" s="444">
        <f t="shared" ca="1" si="134"/>
        <v>-24300233774.950886</v>
      </c>
      <c r="M2789" s="460">
        <f t="shared" si="136"/>
        <v>0.05</v>
      </c>
      <c r="N2789" s="464">
        <f t="shared" si="137"/>
        <v>135932</v>
      </c>
    </row>
    <row r="2790" spans="7:14" ht="11.25" customHeight="1" x14ac:dyDescent="0.3">
      <c r="G2790" s="459"/>
      <c r="H2790" s="459">
        <v>2783</v>
      </c>
      <c r="I2790" s="444">
        <f t="shared" ca="1" si="135"/>
        <v>-24300233774.950886</v>
      </c>
      <c r="J2790" s="444">
        <f t="array" ref="J2790">IFERROR(INDEX('Retirement Calculator'!K:K,MATCH('Lorri 401b'!N2790,'Retirement Calculator'!A:A,0),0),0)</f>
        <v>0</v>
      </c>
      <c r="K2790" s="444">
        <f t="shared" ca="1" si="133"/>
        <v>-101250974.06229536</v>
      </c>
      <c r="L2790" s="444">
        <f t="shared" ca="1" si="134"/>
        <v>-24401484749.01318</v>
      </c>
      <c r="M2790" s="460">
        <f t="shared" si="136"/>
        <v>0.05</v>
      </c>
      <c r="N2790" s="464">
        <f t="shared" si="137"/>
        <v>135963</v>
      </c>
    </row>
    <row r="2791" spans="7:14" ht="11.25" customHeight="1" x14ac:dyDescent="0.3">
      <c r="G2791" s="459"/>
      <c r="H2791" s="459">
        <v>2784</v>
      </c>
      <c r="I2791" s="444">
        <f t="shared" ca="1" si="135"/>
        <v>-24401484749.01318</v>
      </c>
      <c r="J2791" s="444">
        <f t="array" ref="J2791">IFERROR(INDEX('Retirement Calculator'!K:K,MATCH('Lorri 401b'!N2791,'Retirement Calculator'!A:A,0),0),0)</f>
        <v>0</v>
      </c>
      <c r="K2791" s="444">
        <f t="shared" ca="1" si="133"/>
        <v>-101672853.12088825</v>
      </c>
      <c r="L2791" s="444">
        <f t="shared" ca="1" si="134"/>
        <v>-24503157602.134068</v>
      </c>
      <c r="M2791" s="460">
        <f t="shared" si="136"/>
        <v>0.05</v>
      </c>
      <c r="N2791" s="464">
        <f t="shared" si="137"/>
        <v>135993</v>
      </c>
    </row>
    <row r="2792" spans="7:14" ht="11.25" customHeight="1" x14ac:dyDescent="0.3">
      <c r="G2792" s="459"/>
      <c r="H2792" s="459">
        <v>2785</v>
      </c>
      <c r="I2792" s="444">
        <f t="shared" ca="1" si="135"/>
        <v>-24503157602.134068</v>
      </c>
      <c r="J2792" s="444">
        <f t="array" ref="J2792">IFERROR(INDEX('Retirement Calculator'!K:K,MATCH('Lorri 401b'!N2792,'Retirement Calculator'!A:A,0),0),0)</f>
        <v>0</v>
      </c>
      <c r="K2792" s="444">
        <f t="shared" ca="1" si="133"/>
        <v>-102096490.00889194</v>
      </c>
      <c r="L2792" s="444">
        <f t="shared" ca="1" si="134"/>
        <v>-24605254092.14296</v>
      </c>
      <c r="M2792" s="460">
        <f t="shared" si="136"/>
        <v>0.05</v>
      </c>
      <c r="N2792" s="464">
        <f t="shared" si="137"/>
        <v>136024</v>
      </c>
    </row>
    <row r="2793" spans="7:14" ht="11.25" customHeight="1" x14ac:dyDescent="0.3">
      <c r="G2793" s="459"/>
      <c r="H2793" s="459">
        <v>2786</v>
      </c>
      <c r="I2793" s="444">
        <f t="shared" ca="1" si="135"/>
        <v>-24605254092.14296</v>
      </c>
      <c r="J2793" s="444">
        <f t="array" ref="J2793">IFERROR(INDEX('Retirement Calculator'!K:K,MATCH('Lorri 401b'!N2793,'Retirement Calculator'!A:A,0),0),0)</f>
        <v>0</v>
      </c>
      <c r="K2793" s="444">
        <f t="shared" ca="1" si="133"/>
        <v>-102521892.05059567</v>
      </c>
      <c r="L2793" s="444">
        <f t="shared" ca="1" si="134"/>
        <v>-24707775984.193554</v>
      </c>
      <c r="M2793" s="460">
        <f t="shared" si="136"/>
        <v>0.05</v>
      </c>
      <c r="N2793" s="464">
        <f t="shared" si="137"/>
        <v>136054</v>
      </c>
    </row>
    <row r="2794" spans="7:14" ht="11.25" customHeight="1" x14ac:dyDescent="0.3">
      <c r="G2794" s="459"/>
      <c r="H2794" s="459">
        <v>2787</v>
      </c>
      <c r="I2794" s="444">
        <f t="shared" ca="1" si="135"/>
        <v>-24707775984.193554</v>
      </c>
      <c r="J2794" s="444">
        <f t="array" ref="J2794">IFERROR(INDEX('Retirement Calculator'!K:K,MATCH('Lorri 401b'!N2794,'Retirement Calculator'!A:A,0),0),0)</f>
        <v>0</v>
      </c>
      <c r="K2794" s="444">
        <f t="shared" ca="1" si="133"/>
        <v>-102949066.60080647</v>
      </c>
      <c r="L2794" s="444">
        <f t="shared" ca="1" si="134"/>
        <v>-24810725050.794361</v>
      </c>
      <c r="M2794" s="460">
        <f t="shared" si="136"/>
        <v>0.05</v>
      </c>
      <c r="N2794" s="464">
        <f t="shared" si="137"/>
        <v>136085</v>
      </c>
    </row>
    <row r="2795" spans="7:14" ht="11.25" customHeight="1" x14ac:dyDescent="0.3">
      <c r="G2795" s="459"/>
      <c r="H2795" s="459">
        <v>2788</v>
      </c>
      <c r="I2795" s="444">
        <f t="shared" ca="1" si="135"/>
        <v>-24810725050.794361</v>
      </c>
      <c r="J2795" s="444">
        <f t="array" ref="J2795">IFERROR(INDEX('Retirement Calculator'!K:K,MATCH('Lorri 401b'!N2795,'Retirement Calculator'!A:A,0),0),0)</f>
        <v>0</v>
      </c>
      <c r="K2795" s="444">
        <f t="shared" ca="1" si="133"/>
        <v>-103378021.0449765</v>
      </c>
      <c r="L2795" s="444">
        <f t="shared" ca="1" si="134"/>
        <v>-24914103071.839336</v>
      </c>
      <c r="M2795" s="460">
        <f t="shared" si="136"/>
        <v>0.05</v>
      </c>
      <c r="N2795" s="464">
        <f t="shared" si="137"/>
        <v>136116</v>
      </c>
    </row>
    <row r="2796" spans="7:14" ht="11.25" customHeight="1" x14ac:dyDescent="0.3">
      <c r="G2796" s="459"/>
      <c r="H2796" s="459">
        <v>2789</v>
      </c>
      <c r="I2796" s="444">
        <f t="shared" ca="1" si="135"/>
        <v>-24914103071.839336</v>
      </c>
      <c r="J2796" s="444">
        <f t="array" ref="J2796">IFERROR(INDEX('Retirement Calculator'!K:K,MATCH('Lorri 401b'!N2796,'Retirement Calculator'!A:A,0),0),0)</f>
        <v>0</v>
      </c>
      <c r="K2796" s="444">
        <f t="shared" ca="1" si="133"/>
        <v>-103808762.79933056</v>
      </c>
      <c r="L2796" s="444">
        <f t="shared" ca="1" si="134"/>
        <v>-25017911834.638668</v>
      </c>
      <c r="M2796" s="460">
        <f t="shared" si="136"/>
        <v>0.05</v>
      </c>
      <c r="N2796" s="464">
        <f t="shared" si="137"/>
        <v>136146</v>
      </c>
    </row>
    <row r="2797" spans="7:14" ht="11.25" customHeight="1" x14ac:dyDescent="0.3">
      <c r="G2797" s="459"/>
      <c r="H2797" s="459">
        <v>2790</v>
      </c>
      <c r="I2797" s="444">
        <f t="shared" ca="1" si="135"/>
        <v>-25017911834.638668</v>
      </c>
      <c r="J2797" s="444">
        <f t="array" ref="J2797">IFERROR(INDEX('Retirement Calculator'!K:K,MATCH('Lorri 401b'!N2797,'Retirement Calculator'!A:A,0),0),0)</f>
        <v>0</v>
      </c>
      <c r="K2797" s="444">
        <f t="shared" ca="1" si="133"/>
        <v>-104241299.31099445</v>
      </c>
      <c r="L2797" s="444">
        <f t="shared" ca="1" si="134"/>
        <v>-25122153133.949661</v>
      </c>
      <c r="M2797" s="460">
        <f t="shared" si="136"/>
        <v>0.05</v>
      </c>
      <c r="N2797" s="464">
        <f t="shared" si="137"/>
        <v>136177</v>
      </c>
    </row>
    <row r="2798" spans="7:14" ht="11.25" customHeight="1" x14ac:dyDescent="0.3">
      <c r="G2798" s="459"/>
      <c r="H2798" s="459">
        <v>2791</v>
      </c>
      <c r="I2798" s="444">
        <f t="shared" ca="1" si="135"/>
        <v>-25122153133.949661</v>
      </c>
      <c r="J2798" s="444">
        <f t="array" ref="J2798">IFERROR(INDEX('Retirement Calculator'!K:K,MATCH('Lorri 401b'!N2798,'Retirement Calculator'!A:A,0),0),0)</f>
        <v>0</v>
      </c>
      <c r="K2798" s="444">
        <f t="shared" ca="1" si="133"/>
        <v>-104675638.05812359</v>
      </c>
      <c r="L2798" s="444">
        <f t="shared" ca="1" si="134"/>
        <v>-25226828772.007786</v>
      </c>
      <c r="M2798" s="460">
        <f t="shared" si="136"/>
        <v>0.05</v>
      </c>
      <c r="N2798" s="464">
        <f t="shared" si="137"/>
        <v>136207</v>
      </c>
    </row>
    <row r="2799" spans="7:14" ht="11.25" customHeight="1" x14ac:dyDescent="0.3">
      <c r="G2799" s="459"/>
      <c r="H2799" s="459">
        <v>2792</v>
      </c>
      <c r="I2799" s="444">
        <f t="shared" ca="1" si="135"/>
        <v>-25226828772.007786</v>
      </c>
      <c r="J2799" s="444">
        <f t="array" ref="J2799">IFERROR(INDEX('Retirement Calculator'!K:K,MATCH('Lorri 401b'!N2799,'Retirement Calculator'!A:A,0),0),0)</f>
        <v>0</v>
      </c>
      <c r="K2799" s="444">
        <f t="shared" ca="1" si="133"/>
        <v>-105111786.55003244</v>
      </c>
      <c r="L2799" s="444">
        <f t="shared" ca="1" si="134"/>
        <v>-25331940558.557819</v>
      </c>
      <c r="M2799" s="460">
        <f t="shared" si="136"/>
        <v>0.05</v>
      </c>
      <c r="N2799" s="464">
        <f t="shared" si="137"/>
        <v>136238</v>
      </c>
    </row>
    <row r="2800" spans="7:14" ht="11.25" customHeight="1" x14ac:dyDescent="0.3">
      <c r="G2800" s="459"/>
      <c r="H2800" s="459">
        <v>2793</v>
      </c>
      <c r="I2800" s="444">
        <f t="shared" ca="1" si="135"/>
        <v>-25331940558.557819</v>
      </c>
      <c r="J2800" s="444">
        <f t="array" ref="J2800">IFERROR(INDEX('Retirement Calculator'!K:K,MATCH('Lorri 401b'!N2800,'Retirement Calculator'!A:A,0),0),0)</f>
        <v>0</v>
      </c>
      <c r="K2800" s="444">
        <f t="shared" ca="1" si="133"/>
        <v>-105549752.32732424</v>
      </c>
      <c r="L2800" s="444">
        <f t="shared" ca="1" si="134"/>
        <v>-25437490310.885143</v>
      </c>
      <c r="M2800" s="460">
        <f t="shared" si="136"/>
        <v>0.05</v>
      </c>
      <c r="N2800" s="464">
        <f t="shared" si="137"/>
        <v>136269</v>
      </c>
    </row>
    <row r="2801" spans="7:14" ht="11.25" customHeight="1" x14ac:dyDescent="0.3">
      <c r="G2801" s="459"/>
      <c r="H2801" s="459">
        <v>2794</v>
      </c>
      <c r="I2801" s="444">
        <f t="shared" ca="1" si="135"/>
        <v>-25437490310.885143</v>
      </c>
      <c r="J2801" s="444">
        <f t="array" ref="J2801">IFERROR(INDEX('Retirement Calculator'!K:K,MATCH('Lorri 401b'!N2801,'Retirement Calculator'!A:A,0),0),0)</f>
        <v>0</v>
      </c>
      <c r="K2801" s="444">
        <f t="shared" ca="1" si="133"/>
        <v>-105989542.96202143</v>
      </c>
      <c r="L2801" s="444">
        <f t="shared" ca="1" si="134"/>
        <v>-25543479853.847164</v>
      </c>
      <c r="M2801" s="460">
        <f t="shared" si="136"/>
        <v>0.05</v>
      </c>
      <c r="N2801" s="464">
        <f t="shared" si="137"/>
        <v>136297</v>
      </c>
    </row>
    <row r="2802" spans="7:14" ht="11.25" customHeight="1" x14ac:dyDescent="0.3">
      <c r="G2802" s="459"/>
      <c r="H2802" s="459">
        <v>2795</v>
      </c>
      <c r="I2802" s="444">
        <f t="shared" ca="1" si="135"/>
        <v>-25543479853.847164</v>
      </c>
      <c r="J2802" s="444">
        <f t="array" ref="J2802">IFERROR(INDEX('Retirement Calculator'!K:K,MATCH('Lorri 401b'!N2802,'Retirement Calculator'!A:A,0),0),0)</f>
        <v>0</v>
      </c>
      <c r="K2802" s="444">
        <f t="shared" ca="1" si="133"/>
        <v>-106431166.05769652</v>
      </c>
      <c r="L2802" s="444">
        <f t="shared" ca="1" si="134"/>
        <v>-25649911019.904861</v>
      </c>
      <c r="M2802" s="460">
        <f t="shared" si="136"/>
        <v>0.05</v>
      </c>
      <c r="N2802" s="464">
        <f t="shared" si="137"/>
        <v>136328</v>
      </c>
    </row>
    <row r="2803" spans="7:14" ht="11.25" customHeight="1" x14ac:dyDescent="0.3">
      <c r="G2803" s="459"/>
      <c r="H2803" s="459">
        <v>2796</v>
      </c>
      <c r="I2803" s="444">
        <f t="shared" ca="1" si="135"/>
        <v>-25649911019.904861</v>
      </c>
      <c r="J2803" s="444">
        <f t="array" ref="J2803">IFERROR(INDEX('Retirement Calculator'!K:K,MATCH('Lorri 401b'!N2803,'Retirement Calculator'!A:A,0),0),0)</f>
        <v>0</v>
      </c>
      <c r="K2803" s="444">
        <f t="shared" ca="1" si="133"/>
        <v>-106874629.24960358</v>
      </c>
      <c r="L2803" s="444">
        <f t="shared" ca="1" si="134"/>
        <v>-25756785649.154465</v>
      </c>
      <c r="M2803" s="460">
        <f t="shared" si="136"/>
        <v>0.05</v>
      </c>
      <c r="N2803" s="464">
        <f t="shared" si="137"/>
        <v>136358</v>
      </c>
    </row>
    <row r="2804" spans="7:14" ht="11.25" customHeight="1" x14ac:dyDescent="0.3">
      <c r="G2804" s="459"/>
      <c r="H2804" s="459">
        <v>2797</v>
      </c>
      <c r="I2804" s="444">
        <f t="shared" ca="1" si="135"/>
        <v>-25756785649.154465</v>
      </c>
      <c r="J2804" s="444">
        <f t="array" ref="J2804">IFERROR(INDEX('Retirement Calculator'!K:K,MATCH('Lorri 401b'!N2804,'Retirement Calculator'!A:A,0),0),0)</f>
        <v>0</v>
      </c>
      <c r="K2804" s="444">
        <f t="shared" ca="1" si="133"/>
        <v>-107319940.20481026</v>
      </c>
      <c r="L2804" s="444">
        <f t="shared" ca="1" si="134"/>
        <v>-25864105589.359276</v>
      </c>
      <c r="M2804" s="460">
        <f t="shared" si="136"/>
        <v>0.05</v>
      </c>
      <c r="N2804" s="464">
        <f t="shared" si="137"/>
        <v>136389</v>
      </c>
    </row>
    <row r="2805" spans="7:14" ht="11.25" customHeight="1" x14ac:dyDescent="0.3">
      <c r="G2805" s="459"/>
      <c r="H2805" s="459">
        <v>2798</v>
      </c>
      <c r="I2805" s="444">
        <f t="shared" ca="1" si="135"/>
        <v>-25864105589.359276</v>
      </c>
      <c r="J2805" s="444">
        <f t="array" ref="J2805">IFERROR(INDEX('Retirement Calculator'!K:K,MATCH('Lorri 401b'!N2805,'Retirement Calculator'!A:A,0),0),0)</f>
        <v>0</v>
      </c>
      <c r="K2805" s="444">
        <f t="shared" ca="1" si="133"/>
        <v>-107767106.62233031</v>
      </c>
      <c r="L2805" s="444">
        <f t="shared" ca="1" si="134"/>
        <v>-25971872695.981606</v>
      </c>
      <c r="M2805" s="460">
        <f t="shared" si="136"/>
        <v>0.05</v>
      </c>
      <c r="N2805" s="464">
        <f t="shared" si="137"/>
        <v>136419</v>
      </c>
    </row>
    <row r="2806" spans="7:14" ht="11.25" customHeight="1" x14ac:dyDescent="0.3">
      <c r="G2806" s="459"/>
      <c r="H2806" s="459">
        <v>2799</v>
      </c>
      <c r="I2806" s="444">
        <f t="shared" ca="1" si="135"/>
        <v>-25971872695.981606</v>
      </c>
      <c r="J2806" s="444">
        <f t="array" ref="J2806">IFERROR(INDEX('Retirement Calculator'!K:K,MATCH('Lorri 401b'!N2806,'Retirement Calculator'!A:A,0),0),0)</f>
        <v>0</v>
      </c>
      <c r="K2806" s="444">
        <f t="shared" ca="1" si="133"/>
        <v>-108216136.23325668</v>
      </c>
      <c r="L2806" s="444">
        <f t="shared" ca="1" si="134"/>
        <v>-26080088832.214863</v>
      </c>
      <c r="M2806" s="460">
        <f t="shared" si="136"/>
        <v>0.05</v>
      </c>
      <c r="N2806" s="464">
        <f t="shared" si="137"/>
        <v>136450</v>
      </c>
    </row>
    <row r="2807" spans="7:14" ht="11.25" customHeight="1" x14ac:dyDescent="0.3">
      <c r="G2807" s="459"/>
      <c r="H2807" s="459">
        <v>2800</v>
      </c>
      <c r="I2807" s="444">
        <f t="shared" ca="1" si="135"/>
        <v>-26080088832.214863</v>
      </c>
      <c r="J2807" s="444">
        <f t="array" ref="J2807">IFERROR(INDEX('Retirement Calculator'!K:K,MATCH('Lorri 401b'!N2807,'Retirement Calculator'!A:A,0),0),0)</f>
        <v>0</v>
      </c>
      <c r="K2807" s="444">
        <f t="shared" ca="1" si="133"/>
        <v>-108667036.80089526</v>
      </c>
      <c r="L2807" s="444">
        <f t="shared" ca="1" si="134"/>
        <v>-26188755869.015759</v>
      </c>
      <c r="M2807" s="460">
        <f t="shared" si="136"/>
        <v>0.05</v>
      </c>
      <c r="N2807" s="464">
        <f t="shared" si="137"/>
        <v>136481</v>
      </c>
    </row>
    <row r="2808" spans="7:14" ht="11.25" customHeight="1" x14ac:dyDescent="0.3">
      <c r="G2808" s="459"/>
      <c r="H2808" s="459">
        <v>2801</v>
      </c>
      <c r="I2808" s="444">
        <f t="shared" ca="1" si="135"/>
        <v>-26188755869.015759</v>
      </c>
      <c r="J2808" s="444">
        <f t="array" ref="J2808">IFERROR(INDEX('Retirement Calculator'!K:K,MATCH('Lorri 401b'!N2808,'Retirement Calculator'!A:A,0),0),0)</f>
        <v>0</v>
      </c>
      <c r="K2808" s="444">
        <f t="shared" ca="1" si="133"/>
        <v>-109119816.12089899</v>
      </c>
      <c r="L2808" s="444">
        <f t="shared" ca="1" si="134"/>
        <v>-26297875685.136658</v>
      </c>
      <c r="M2808" s="460">
        <f t="shared" si="136"/>
        <v>0.05</v>
      </c>
      <c r="N2808" s="464">
        <f t="shared" si="137"/>
        <v>136511</v>
      </c>
    </row>
    <row r="2809" spans="7:14" ht="11.25" customHeight="1" x14ac:dyDescent="0.3">
      <c r="G2809" s="459"/>
      <c r="H2809" s="459">
        <v>2802</v>
      </c>
      <c r="I2809" s="444">
        <f t="shared" ca="1" si="135"/>
        <v>-26297875685.136658</v>
      </c>
      <c r="J2809" s="444">
        <f t="array" ref="J2809">IFERROR(INDEX('Retirement Calculator'!K:K,MATCH('Lorri 401b'!N2809,'Retirement Calculator'!A:A,0),0),0)</f>
        <v>0</v>
      </c>
      <c r="K2809" s="444">
        <f t="shared" ca="1" si="133"/>
        <v>-109574482.02140273</v>
      </c>
      <c r="L2809" s="444">
        <f t="shared" ca="1" si="134"/>
        <v>-26407450167.158062</v>
      </c>
      <c r="M2809" s="460">
        <f t="shared" si="136"/>
        <v>0.05</v>
      </c>
      <c r="N2809" s="464">
        <f t="shared" si="137"/>
        <v>136542</v>
      </c>
    </row>
    <row r="2810" spans="7:14" ht="11.25" customHeight="1" x14ac:dyDescent="0.3">
      <c r="G2810" s="459"/>
      <c r="H2810" s="459">
        <v>2803</v>
      </c>
      <c r="I2810" s="444">
        <f t="shared" ca="1" si="135"/>
        <v>-26407450167.158062</v>
      </c>
      <c r="J2810" s="444">
        <f t="array" ref="J2810">IFERROR(INDEX('Retirement Calculator'!K:K,MATCH('Lorri 401b'!N2810,'Retirement Calculator'!A:A,0),0),0)</f>
        <v>0</v>
      </c>
      <c r="K2810" s="444">
        <f t="shared" ca="1" si="133"/>
        <v>-110031042.36315858</v>
      </c>
      <c r="L2810" s="444">
        <f t="shared" ca="1" si="134"/>
        <v>-26517481209.521221</v>
      </c>
      <c r="M2810" s="460">
        <f t="shared" si="136"/>
        <v>0.05</v>
      </c>
      <c r="N2810" s="464">
        <f t="shared" si="137"/>
        <v>136572</v>
      </c>
    </row>
    <row r="2811" spans="7:14" ht="11.25" customHeight="1" x14ac:dyDescent="0.3">
      <c r="G2811" s="459"/>
      <c r="H2811" s="459">
        <v>2804</v>
      </c>
      <c r="I2811" s="444">
        <f t="shared" ca="1" si="135"/>
        <v>-26517481209.521221</v>
      </c>
      <c r="J2811" s="444">
        <f t="array" ref="J2811">IFERROR(INDEX('Retirement Calculator'!K:K,MATCH('Lorri 401b'!N2811,'Retirement Calculator'!A:A,0),0),0)</f>
        <v>0</v>
      </c>
      <c r="K2811" s="444">
        <f t="shared" ca="1" si="133"/>
        <v>-110489505.03967175</v>
      </c>
      <c r="L2811" s="444">
        <f t="shared" ca="1" si="134"/>
        <v>-26627970714.560894</v>
      </c>
      <c r="M2811" s="460">
        <f t="shared" si="136"/>
        <v>0.05</v>
      </c>
      <c r="N2811" s="464">
        <f t="shared" si="137"/>
        <v>136603</v>
      </c>
    </row>
    <row r="2812" spans="7:14" ht="11.25" customHeight="1" x14ac:dyDescent="0.3">
      <c r="G2812" s="459"/>
      <c r="H2812" s="459">
        <v>2805</v>
      </c>
      <c r="I2812" s="444">
        <f t="shared" ca="1" si="135"/>
        <v>-26627970714.560894</v>
      </c>
      <c r="J2812" s="444">
        <f t="array" ref="J2812">IFERROR(INDEX('Retirement Calculator'!K:K,MATCH('Lorri 401b'!N2812,'Retirement Calculator'!A:A,0),0),0)</f>
        <v>0</v>
      </c>
      <c r="K2812" s="444">
        <f t="shared" ca="1" si="133"/>
        <v>-110949877.97733706</v>
      </c>
      <c r="L2812" s="444">
        <f t="shared" ca="1" si="134"/>
        <v>-26738920592.538231</v>
      </c>
      <c r="M2812" s="460">
        <f t="shared" si="136"/>
        <v>0.05</v>
      </c>
      <c r="N2812" s="464">
        <f t="shared" si="137"/>
        <v>136634</v>
      </c>
    </row>
    <row r="2813" spans="7:14" ht="11.25" customHeight="1" x14ac:dyDescent="0.3">
      <c r="G2813" s="459"/>
      <c r="H2813" s="459">
        <v>2806</v>
      </c>
      <c r="I2813" s="444">
        <f t="shared" ca="1" si="135"/>
        <v>-26738920592.538231</v>
      </c>
      <c r="J2813" s="444">
        <f t="array" ref="J2813">IFERROR(INDEX('Retirement Calculator'!K:K,MATCH('Lorri 401b'!N2813,'Retirement Calculator'!A:A,0),0),0)</f>
        <v>0</v>
      </c>
      <c r="K2813" s="444">
        <f t="shared" ref="K2813:K3067" ca="1" si="138">IPMT(M2813/12,1,12,-I2813+J2813,,0)</f>
        <v>-111412169.13557597</v>
      </c>
      <c r="L2813" s="444">
        <f t="shared" ref="L2813:L3067" ca="1" si="139">I2813-J2813+K2813</f>
        <v>-26850332761.673805</v>
      </c>
      <c r="M2813" s="460">
        <f t="shared" si="136"/>
        <v>0.05</v>
      </c>
      <c r="N2813" s="464">
        <f t="shared" si="137"/>
        <v>136662</v>
      </c>
    </row>
    <row r="2814" spans="7:14" ht="11.25" customHeight="1" x14ac:dyDescent="0.3">
      <c r="G2814" s="459"/>
      <c r="H2814" s="459">
        <v>2807</v>
      </c>
      <c r="I2814" s="444">
        <f t="shared" ref="I2814:I3068" ca="1" si="140">L2813</f>
        <v>-26850332761.673805</v>
      </c>
      <c r="J2814" s="444">
        <f t="array" ref="J2814">IFERROR(INDEX('Retirement Calculator'!K:K,MATCH('Lorri 401b'!N2814,'Retirement Calculator'!A:A,0),0),0)</f>
        <v>0</v>
      </c>
      <c r="K2814" s="444">
        <f t="shared" ca="1" si="138"/>
        <v>-111876386.50697419</v>
      </c>
      <c r="L2814" s="444">
        <f t="shared" ca="1" si="139"/>
        <v>-26962209148.180779</v>
      </c>
      <c r="M2814" s="460">
        <f t="shared" ref="M2814:M3068" si="141">M2813</f>
        <v>0.05</v>
      </c>
      <c r="N2814" s="464">
        <f t="shared" ref="N2814:N3068" si="142">EDATE(N2813,1)</f>
        <v>136693</v>
      </c>
    </row>
    <row r="2815" spans="7:14" ht="11.25" customHeight="1" x14ac:dyDescent="0.3">
      <c r="G2815" s="459"/>
      <c r="H2815" s="459">
        <v>2808</v>
      </c>
      <c r="I2815" s="444">
        <f t="shared" ca="1" si="140"/>
        <v>-26962209148.180779</v>
      </c>
      <c r="J2815" s="444">
        <f t="array" ref="J2815">IFERROR(INDEX('Retirement Calculator'!K:K,MATCH('Lorri 401b'!N2815,'Retirement Calculator'!A:A,0),0),0)</f>
        <v>0</v>
      </c>
      <c r="K2815" s="444">
        <f t="shared" ca="1" si="138"/>
        <v>-112342538.11741991</v>
      </c>
      <c r="L2815" s="444">
        <f t="shared" ca="1" si="139"/>
        <v>-27074551686.298199</v>
      </c>
      <c r="M2815" s="460">
        <f t="shared" si="141"/>
        <v>0.05</v>
      </c>
      <c r="N2815" s="464">
        <f t="shared" si="142"/>
        <v>136723</v>
      </c>
    </row>
    <row r="2816" spans="7:14" ht="11.25" customHeight="1" x14ac:dyDescent="0.3">
      <c r="G2816" s="459"/>
      <c r="H2816" s="459">
        <v>2809</v>
      </c>
      <c r="I2816" s="444">
        <f t="shared" ca="1" si="140"/>
        <v>-27074551686.298199</v>
      </c>
      <c r="J2816" s="444">
        <f t="array" ref="J2816">IFERROR(INDEX('Retirement Calculator'!K:K,MATCH('Lorri 401b'!N2816,'Retirement Calculator'!A:A,0),0),0)</f>
        <v>0</v>
      </c>
      <c r="K2816" s="444">
        <f t="shared" ca="1" si="138"/>
        <v>-112810632.02624249</v>
      </c>
      <c r="L2816" s="444">
        <f t="shared" ca="1" si="139"/>
        <v>-27187362318.32444</v>
      </c>
      <c r="M2816" s="460">
        <f t="shared" si="141"/>
        <v>0.05</v>
      </c>
      <c r="N2816" s="464">
        <f t="shared" si="142"/>
        <v>136754</v>
      </c>
    </row>
    <row r="2817" spans="7:14" ht="11.25" customHeight="1" x14ac:dyDescent="0.3">
      <c r="G2817" s="459"/>
      <c r="H2817" s="459">
        <v>2810</v>
      </c>
      <c r="I2817" s="444">
        <f t="shared" ca="1" si="140"/>
        <v>-27187362318.32444</v>
      </c>
      <c r="J2817" s="444">
        <f t="array" ref="J2817">IFERROR(INDEX('Retirement Calculator'!K:K,MATCH('Lorri 401b'!N2817,'Retirement Calculator'!A:A,0),0),0)</f>
        <v>0</v>
      </c>
      <c r="K2817" s="444">
        <f t="shared" ca="1" si="138"/>
        <v>-113280676.32635184</v>
      </c>
      <c r="L2817" s="444">
        <f t="shared" ca="1" si="139"/>
        <v>-27300642994.650791</v>
      </c>
      <c r="M2817" s="460">
        <f t="shared" si="141"/>
        <v>0.05</v>
      </c>
      <c r="N2817" s="464">
        <f t="shared" si="142"/>
        <v>136784</v>
      </c>
    </row>
    <row r="2818" spans="7:14" ht="11.25" customHeight="1" x14ac:dyDescent="0.3">
      <c r="G2818" s="459"/>
      <c r="H2818" s="459">
        <v>2811</v>
      </c>
      <c r="I2818" s="444">
        <f t="shared" ca="1" si="140"/>
        <v>-27300642994.650791</v>
      </c>
      <c r="J2818" s="444">
        <f t="array" ref="J2818">IFERROR(INDEX('Retirement Calculator'!K:K,MATCH('Lorri 401b'!N2818,'Retirement Calculator'!A:A,0),0),0)</f>
        <v>0</v>
      </c>
      <c r="K2818" s="444">
        <f t="shared" ca="1" si="138"/>
        <v>-113752679.1443783</v>
      </c>
      <c r="L2818" s="444">
        <f t="shared" ca="1" si="139"/>
        <v>-27414395673.79517</v>
      </c>
      <c r="M2818" s="460">
        <f t="shared" si="141"/>
        <v>0.05</v>
      </c>
      <c r="N2818" s="464">
        <f t="shared" si="142"/>
        <v>136815</v>
      </c>
    </row>
    <row r="2819" spans="7:14" ht="11.25" customHeight="1" x14ac:dyDescent="0.3">
      <c r="G2819" s="459"/>
      <c r="H2819" s="459">
        <v>2812</v>
      </c>
      <c r="I2819" s="444">
        <f t="shared" ca="1" si="140"/>
        <v>-27414395673.79517</v>
      </c>
      <c r="J2819" s="444">
        <f t="array" ref="J2819">IFERROR(INDEX('Retirement Calculator'!K:K,MATCH('Lorri 401b'!N2819,'Retirement Calculator'!A:A,0),0),0)</f>
        <v>0</v>
      </c>
      <c r="K2819" s="444">
        <f t="shared" ca="1" si="138"/>
        <v>-114226648.64081319</v>
      </c>
      <c r="L2819" s="444">
        <f t="shared" ca="1" si="139"/>
        <v>-27528622322.435982</v>
      </c>
      <c r="M2819" s="460">
        <f t="shared" si="141"/>
        <v>0.05</v>
      </c>
      <c r="N2819" s="464">
        <f t="shared" si="142"/>
        <v>136846</v>
      </c>
    </row>
    <row r="2820" spans="7:14" ht="11.25" customHeight="1" x14ac:dyDescent="0.3">
      <c r="G2820" s="459"/>
      <c r="H2820" s="459">
        <v>2813</v>
      </c>
      <c r="I2820" s="444">
        <f t="shared" ca="1" si="140"/>
        <v>-27528622322.435982</v>
      </c>
      <c r="J2820" s="444">
        <f t="array" ref="J2820">IFERROR(INDEX('Retirement Calculator'!K:K,MATCH('Lorri 401b'!N2820,'Retirement Calculator'!A:A,0),0),0)</f>
        <v>0</v>
      </c>
      <c r="K2820" s="444">
        <f t="shared" ca="1" si="138"/>
        <v>-114702593.01014991</v>
      </c>
      <c r="L2820" s="444">
        <f t="shared" ca="1" si="139"/>
        <v>-27643324915.446133</v>
      </c>
      <c r="M2820" s="460">
        <f t="shared" si="141"/>
        <v>0.05</v>
      </c>
      <c r="N2820" s="464">
        <f t="shared" si="142"/>
        <v>136876</v>
      </c>
    </row>
    <row r="2821" spans="7:14" ht="11.25" customHeight="1" x14ac:dyDescent="0.3">
      <c r="G2821" s="459"/>
      <c r="H2821" s="459">
        <v>2814</v>
      </c>
      <c r="I2821" s="444">
        <f t="shared" ca="1" si="140"/>
        <v>-27643324915.446133</v>
      </c>
      <c r="J2821" s="444">
        <f t="array" ref="J2821">IFERROR(INDEX('Retirement Calculator'!K:K,MATCH('Lorri 401b'!N2821,'Retirement Calculator'!A:A,0),0),0)</f>
        <v>0</v>
      </c>
      <c r="K2821" s="444">
        <f t="shared" ca="1" si="138"/>
        <v>-115180520.48102556</v>
      </c>
      <c r="L2821" s="444">
        <f t="shared" ca="1" si="139"/>
        <v>-27758505435.927158</v>
      </c>
      <c r="M2821" s="460">
        <f t="shared" si="141"/>
        <v>0.05</v>
      </c>
      <c r="N2821" s="464">
        <f t="shared" si="142"/>
        <v>136907</v>
      </c>
    </row>
    <row r="2822" spans="7:14" ht="11.25" customHeight="1" x14ac:dyDescent="0.3">
      <c r="G2822" s="459"/>
      <c r="H2822" s="459">
        <v>2815</v>
      </c>
      <c r="I2822" s="444">
        <f t="shared" ca="1" si="140"/>
        <v>-27758505435.927158</v>
      </c>
      <c r="J2822" s="444">
        <f t="array" ref="J2822">IFERROR(INDEX('Retirement Calculator'!K:K,MATCH('Lorri 401b'!N2822,'Retirement Calculator'!A:A,0),0),0)</f>
        <v>0</v>
      </c>
      <c r="K2822" s="444">
        <f t="shared" ca="1" si="138"/>
        <v>-115660439.31636316</v>
      </c>
      <c r="L2822" s="444">
        <f t="shared" ca="1" si="139"/>
        <v>-27874165875.243523</v>
      </c>
      <c r="M2822" s="460">
        <f t="shared" si="141"/>
        <v>0.05</v>
      </c>
      <c r="N2822" s="464">
        <f t="shared" si="142"/>
        <v>136937</v>
      </c>
    </row>
    <row r="2823" spans="7:14" ht="11.25" customHeight="1" x14ac:dyDescent="0.3">
      <c r="G2823" s="459"/>
      <c r="H2823" s="459">
        <v>2816</v>
      </c>
      <c r="I2823" s="444">
        <f t="shared" ca="1" si="140"/>
        <v>-27874165875.243523</v>
      </c>
      <c r="J2823" s="444">
        <f t="array" ref="J2823">IFERROR(INDEX('Retirement Calculator'!K:K,MATCH('Lorri 401b'!N2823,'Retirement Calculator'!A:A,0),0),0)</f>
        <v>0</v>
      </c>
      <c r="K2823" s="444">
        <f t="shared" ca="1" si="138"/>
        <v>-116142357.81351468</v>
      </c>
      <c r="L2823" s="444">
        <f t="shared" ca="1" si="139"/>
        <v>-27990308233.057037</v>
      </c>
      <c r="M2823" s="460">
        <f t="shared" si="141"/>
        <v>0.05</v>
      </c>
      <c r="N2823" s="464">
        <f t="shared" si="142"/>
        <v>136968</v>
      </c>
    </row>
    <row r="2824" spans="7:14" ht="11.25" customHeight="1" x14ac:dyDescent="0.3">
      <c r="G2824" s="459"/>
      <c r="H2824" s="459">
        <v>2817</v>
      </c>
      <c r="I2824" s="444">
        <f t="shared" ca="1" si="140"/>
        <v>-27990308233.057037</v>
      </c>
      <c r="J2824" s="444">
        <f t="array" ref="J2824">IFERROR(INDEX('Retirement Calculator'!K:K,MATCH('Lorri 401b'!N2824,'Retirement Calculator'!A:A,0),0),0)</f>
        <v>0</v>
      </c>
      <c r="K2824" s="444">
        <f t="shared" ca="1" si="138"/>
        <v>-116626284.30440433</v>
      </c>
      <c r="L2824" s="444">
        <f t="shared" ca="1" si="139"/>
        <v>-28106934517.361443</v>
      </c>
      <c r="M2824" s="460">
        <f t="shared" si="141"/>
        <v>0.05</v>
      </c>
      <c r="N2824" s="464">
        <f t="shared" si="142"/>
        <v>136999</v>
      </c>
    </row>
    <row r="2825" spans="7:14" ht="11.25" customHeight="1" x14ac:dyDescent="0.3">
      <c r="G2825" s="459"/>
      <c r="H2825" s="459">
        <v>2818</v>
      </c>
      <c r="I2825" s="444">
        <f t="shared" ca="1" si="140"/>
        <v>-28106934517.361443</v>
      </c>
      <c r="J2825" s="444">
        <f t="array" ref="J2825">IFERROR(INDEX('Retirement Calculator'!K:K,MATCH('Lorri 401b'!N2825,'Retirement Calculator'!A:A,0),0),0)</f>
        <v>0</v>
      </c>
      <c r="K2825" s="444">
        <f t="shared" ca="1" si="138"/>
        <v>-117112227.15567267</v>
      </c>
      <c r="L2825" s="444">
        <f t="shared" ca="1" si="139"/>
        <v>-28224046744.517117</v>
      </c>
      <c r="M2825" s="460">
        <f t="shared" si="141"/>
        <v>0.05</v>
      </c>
      <c r="N2825" s="464">
        <f t="shared" si="142"/>
        <v>137027</v>
      </c>
    </row>
    <row r="2826" spans="7:14" ht="11.25" customHeight="1" x14ac:dyDescent="0.3">
      <c r="G2826" s="459"/>
      <c r="H2826" s="459">
        <v>2819</v>
      </c>
      <c r="I2826" s="444">
        <f t="shared" ca="1" si="140"/>
        <v>-28224046744.517117</v>
      </c>
      <c r="J2826" s="444">
        <f t="array" ref="J2826">IFERROR(INDEX('Retirement Calculator'!K:K,MATCH('Lorri 401b'!N2826,'Retirement Calculator'!A:A,0),0),0)</f>
        <v>0</v>
      </c>
      <c r="K2826" s="444">
        <f t="shared" ca="1" si="138"/>
        <v>-117600194.76882131</v>
      </c>
      <c r="L2826" s="444">
        <f t="shared" ca="1" si="139"/>
        <v>-28341646939.285938</v>
      </c>
      <c r="M2826" s="460">
        <f t="shared" si="141"/>
        <v>0.05</v>
      </c>
      <c r="N2826" s="464">
        <f t="shared" si="142"/>
        <v>137058</v>
      </c>
    </row>
    <row r="2827" spans="7:14" ht="11.25" customHeight="1" x14ac:dyDescent="0.3">
      <c r="G2827" s="459"/>
      <c r="H2827" s="459">
        <v>2820</v>
      </c>
      <c r="I2827" s="444">
        <f t="shared" ca="1" si="140"/>
        <v>-28341646939.285938</v>
      </c>
      <c r="J2827" s="444">
        <f t="array" ref="J2827">IFERROR(INDEX('Retirement Calculator'!K:K,MATCH('Lorri 401b'!N2827,'Retirement Calculator'!A:A,0),0),0)</f>
        <v>0</v>
      </c>
      <c r="K2827" s="444">
        <f t="shared" ca="1" si="138"/>
        <v>-118090195.58035807</v>
      </c>
      <c r="L2827" s="444">
        <f t="shared" ca="1" si="139"/>
        <v>-28459737134.866295</v>
      </c>
      <c r="M2827" s="460">
        <f t="shared" si="141"/>
        <v>0.05</v>
      </c>
      <c r="N2827" s="464">
        <f t="shared" si="142"/>
        <v>137088</v>
      </c>
    </row>
    <row r="2828" spans="7:14" ht="11.25" customHeight="1" x14ac:dyDescent="0.3">
      <c r="G2828" s="459"/>
      <c r="H2828" s="459">
        <v>2821</v>
      </c>
      <c r="I2828" s="444">
        <f t="shared" ca="1" si="140"/>
        <v>-28459737134.866295</v>
      </c>
      <c r="J2828" s="444">
        <f t="array" ref="J2828">IFERROR(INDEX('Retirement Calculator'!K:K,MATCH('Lorri 401b'!N2828,'Retirement Calculator'!A:A,0),0),0)</f>
        <v>0</v>
      </c>
      <c r="K2828" s="444">
        <f t="shared" ca="1" si="138"/>
        <v>-118582238.06194289</v>
      </c>
      <c r="L2828" s="444">
        <f t="shared" ca="1" si="139"/>
        <v>-28578319372.928238</v>
      </c>
      <c r="M2828" s="460">
        <f t="shared" si="141"/>
        <v>0.05</v>
      </c>
      <c r="N2828" s="464">
        <f t="shared" si="142"/>
        <v>137119</v>
      </c>
    </row>
    <row r="2829" spans="7:14" ht="11.25" customHeight="1" x14ac:dyDescent="0.3">
      <c r="G2829" s="459"/>
      <c r="H2829" s="459">
        <v>2822</v>
      </c>
      <c r="I2829" s="444">
        <f t="shared" ca="1" si="140"/>
        <v>-28578319372.928238</v>
      </c>
      <c r="J2829" s="444">
        <f t="array" ref="J2829">IFERROR(INDEX('Retirement Calculator'!K:K,MATCH('Lorri 401b'!N2829,'Retirement Calculator'!A:A,0),0),0)</f>
        <v>0</v>
      </c>
      <c r="K2829" s="444">
        <f t="shared" ca="1" si="138"/>
        <v>-119076330.72053434</v>
      </c>
      <c r="L2829" s="444">
        <f t="shared" ca="1" si="139"/>
        <v>-28697395703.648773</v>
      </c>
      <c r="M2829" s="460">
        <f t="shared" si="141"/>
        <v>0.05</v>
      </c>
      <c r="N2829" s="464">
        <f t="shared" si="142"/>
        <v>137149</v>
      </c>
    </row>
    <row r="2830" spans="7:14" ht="11.25" customHeight="1" x14ac:dyDescent="0.3">
      <c r="G2830" s="459"/>
      <c r="H2830" s="459">
        <v>2823</v>
      </c>
      <c r="I2830" s="444">
        <f t="shared" ca="1" si="140"/>
        <v>-28697395703.648773</v>
      </c>
      <c r="J2830" s="444">
        <f t="array" ref="J2830">IFERROR(INDEX('Retirement Calculator'!K:K,MATCH('Lorri 401b'!N2830,'Retirement Calculator'!A:A,0),0),0)</f>
        <v>0</v>
      </c>
      <c r="K2830" s="444">
        <f t="shared" ca="1" si="138"/>
        <v>-119572482.09853655</v>
      </c>
      <c r="L2830" s="444">
        <f t="shared" ca="1" si="139"/>
        <v>-28816968185.747311</v>
      </c>
      <c r="M2830" s="460">
        <f t="shared" si="141"/>
        <v>0.05</v>
      </c>
      <c r="N2830" s="464">
        <f t="shared" si="142"/>
        <v>137180</v>
      </c>
    </row>
    <row r="2831" spans="7:14" ht="11.25" customHeight="1" x14ac:dyDescent="0.3">
      <c r="G2831" s="459"/>
      <c r="H2831" s="459">
        <v>2824</v>
      </c>
      <c r="I2831" s="444">
        <f t="shared" ca="1" si="140"/>
        <v>-28816968185.747311</v>
      </c>
      <c r="J2831" s="444">
        <f t="array" ref="J2831">IFERROR(INDEX('Retirement Calculator'!K:K,MATCH('Lorri 401b'!N2831,'Retirement Calculator'!A:A,0),0),0)</f>
        <v>0</v>
      </c>
      <c r="K2831" s="444">
        <f t="shared" ca="1" si="138"/>
        <v>-120070700.77394712</v>
      </c>
      <c r="L2831" s="444">
        <f t="shared" ca="1" si="139"/>
        <v>-28937038886.521259</v>
      </c>
      <c r="M2831" s="460">
        <f t="shared" si="141"/>
        <v>0.05</v>
      </c>
      <c r="N2831" s="464">
        <f t="shared" si="142"/>
        <v>137211</v>
      </c>
    </row>
    <row r="2832" spans="7:14" ht="11.25" customHeight="1" x14ac:dyDescent="0.3">
      <c r="G2832" s="459"/>
      <c r="H2832" s="459">
        <v>2825</v>
      </c>
      <c r="I2832" s="444">
        <f t="shared" ca="1" si="140"/>
        <v>-28937038886.521259</v>
      </c>
      <c r="J2832" s="444">
        <f t="array" ref="J2832">IFERROR(INDEX('Retirement Calculator'!K:K,MATCH('Lorri 401b'!N2832,'Retirement Calculator'!A:A,0),0),0)</f>
        <v>0</v>
      </c>
      <c r="K2832" s="444">
        <f t="shared" ca="1" si="138"/>
        <v>-120570995.36050524</v>
      </c>
      <c r="L2832" s="444">
        <f t="shared" ca="1" si="139"/>
        <v>-29057609881.881763</v>
      </c>
      <c r="M2832" s="460">
        <f t="shared" si="141"/>
        <v>0.05</v>
      </c>
      <c r="N2832" s="464">
        <f t="shared" si="142"/>
        <v>137241</v>
      </c>
    </row>
    <row r="2833" spans="7:14" ht="11.25" customHeight="1" x14ac:dyDescent="0.3">
      <c r="G2833" s="459"/>
      <c r="H2833" s="459">
        <v>2826</v>
      </c>
      <c r="I2833" s="444">
        <f t="shared" ca="1" si="140"/>
        <v>-29057609881.881763</v>
      </c>
      <c r="J2833" s="444">
        <f t="array" ref="J2833">IFERROR(INDEX('Retirement Calculator'!K:K,MATCH('Lorri 401b'!N2833,'Retirement Calculator'!A:A,0),0),0)</f>
        <v>0</v>
      </c>
      <c r="K2833" s="444">
        <f t="shared" ca="1" si="138"/>
        <v>-121073374.50784068</v>
      </c>
      <c r="L2833" s="444">
        <f t="shared" ca="1" si="139"/>
        <v>-29178683256.389603</v>
      </c>
      <c r="M2833" s="460">
        <f t="shared" si="141"/>
        <v>0.05</v>
      </c>
      <c r="N2833" s="464">
        <f t="shared" si="142"/>
        <v>137272</v>
      </c>
    </row>
    <row r="2834" spans="7:14" ht="11.25" customHeight="1" x14ac:dyDescent="0.3">
      <c r="G2834" s="459"/>
      <c r="H2834" s="459">
        <v>2827</v>
      </c>
      <c r="I2834" s="444">
        <f t="shared" ca="1" si="140"/>
        <v>-29178683256.389603</v>
      </c>
      <c r="J2834" s="444">
        <f t="array" ref="J2834">IFERROR(INDEX('Retirement Calculator'!K:K,MATCH('Lorri 401b'!N2834,'Retirement Calculator'!A:A,0),0),0)</f>
        <v>0</v>
      </c>
      <c r="K2834" s="444">
        <f t="shared" ca="1" si="138"/>
        <v>-121577846.90162334</v>
      </c>
      <c r="L2834" s="444">
        <f t="shared" ca="1" si="139"/>
        <v>-29300261103.291225</v>
      </c>
      <c r="M2834" s="460">
        <f t="shared" si="141"/>
        <v>0.05</v>
      </c>
      <c r="N2834" s="464">
        <f t="shared" si="142"/>
        <v>137302</v>
      </c>
    </row>
    <row r="2835" spans="7:14" ht="11.25" customHeight="1" x14ac:dyDescent="0.3">
      <c r="G2835" s="459"/>
      <c r="H2835" s="459">
        <v>2828</v>
      </c>
      <c r="I2835" s="444">
        <f t="shared" ca="1" si="140"/>
        <v>-29300261103.291225</v>
      </c>
      <c r="J2835" s="444">
        <f t="array" ref="J2835">IFERROR(INDEX('Retirement Calculator'!K:K,MATCH('Lorri 401b'!N2835,'Retirement Calculator'!A:A,0),0),0)</f>
        <v>0</v>
      </c>
      <c r="K2835" s="444">
        <f t="shared" ca="1" si="138"/>
        <v>-122084421.26371343</v>
      </c>
      <c r="L2835" s="444">
        <f t="shared" ca="1" si="139"/>
        <v>-29422345524.554939</v>
      </c>
      <c r="M2835" s="460">
        <f t="shared" si="141"/>
        <v>0.05</v>
      </c>
      <c r="N2835" s="464">
        <f t="shared" si="142"/>
        <v>137333</v>
      </c>
    </row>
    <row r="2836" spans="7:14" ht="11.25" customHeight="1" x14ac:dyDescent="0.3">
      <c r="G2836" s="459"/>
      <c r="H2836" s="459">
        <v>2829</v>
      </c>
      <c r="I2836" s="444">
        <f t="shared" ca="1" si="140"/>
        <v>-29422345524.554939</v>
      </c>
      <c r="J2836" s="444">
        <f t="array" ref="J2836">IFERROR(INDEX('Retirement Calculator'!K:K,MATCH('Lorri 401b'!N2836,'Retirement Calculator'!A:A,0),0),0)</f>
        <v>0</v>
      </c>
      <c r="K2836" s="444">
        <f t="shared" ca="1" si="138"/>
        <v>-122593106.35231225</v>
      </c>
      <c r="L2836" s="444">
        <f t="shared" ca="1" si="139"/>
        <v>-29544938630.907253</v>
      </c>
      <c r="M2836" s="460">
        <f t="shared" si="141"/>
        <v>0.05</v>
      </c>
      <c r="N2836" s="464">
        <f t="shared" si="142"/>
        <v>137364</v>
      </c>
    </row>
    <row r="2837" spans="7:14" ht="11.25" customHeight="1" x14ac:dyDescent="0.3">
      <c r="G2837" s="459"/>
      <c r="H2837" s="459">
        <v>2830</v>
      </c>
      <c r="I2837" s="444">
        <f t="shared" ca="1" si="140"/>
        <v>-29544938630.907253</v>
      </c>
      <c r="J2837" s="444">
        <f t="array" ref="J2837">IFERROR(INDEX('Retirement Calculator'!K:K,MATCH('Lorri 401b'!N2837,'Retirement Calculator'!A:A,0),0),0)</f>
        <v>0</v>
      </c>
      <c r="K2837" s="444">
        <f t="shared" ca="1" si="138"/>
        <v>-123103910.96211356</v>
      </c>
      <c r="L2837" s="444">
        <f t="shared" ca="1" si="139"/>
        <v>-29668042541.869366</v>
      </c>
      <c r="M2837" s="460">
        <f t="shared" si="141"/>
        <v>0.05</v>
      </c>
      <c r="N2837" s="464">
        <f t="shared" si="142"/>
        <v>137393</v>
      </c>
    </row>
    <row r="2838" spans="7:14" ht="11.25" customHeight="1" x14ac:dyDescent="0.3">
      <c r="G2838" s="459"/>
      <c r="H2838" s="459">
        <v>2831</v>
      </c>
      <c r="I2838" s="444">
        <f t="shared" ca="1" si="140"/>
        <v>-29668042541.869366</v>
      </c>
      <c r="J2838" s="444">
        <f t="array" ref="J2838">IFERROR(INDEX('Retirement Calculator'!K:K,MATCH('Lorri 401b'!N2838,'Retirement Calculator'!A:A,0),0),0)</f>
        <v>0</v>
      </c>
      <c r="K2838" s="444">
        <f t="shared" ca="1" si="138"/>
        <v>-123616843.92445569</v>
      </c>
      <c r="L2838" s="444">
        <f t="shared" ca="1" si="139"/>
        <v>-29791659385.793823</v>
      </c>
      <c r="M2838" s="460">
        <f t="shared" si="141"/>
        <v>0.05</v>
      </c>
      <c r="N2838" s="464">
        <f t="shared" si="142"/>
        <v>137424</v>
      </c>
    </row>
    <row r="2839" spans="7:14" ht="11.25" customHeight="1" x14ac:dyDescent="0.3">
      <c r="G2839" s="459"/>
      <c r="H2839" s="459">
        <v>2832</v>
      </c>
      <c r="I2839" s="444">
        <f t="shared" ca="1" si="140"/>
        <v>-29791659385.793823</v>
      </c>
      <c r="J2839" s="444">
        <f t="array" ref="J2839">IFERROR(INDEX('Retirement Calculator'!K:K,MATCH('Lorri 401b'!N2839,'Retirement Calculator'!A:A,0),0),0)</f>
        <v>0</v>
      </c>
      <c r="K2839" s="444">
        <f t="shared" ca="1" si="138"/>
        <v>-124131914.10747425</v>
      </c>
      <c r="L2839" s="444">
        <f t="shared" ca="1" si="139"/>
        <v>-29915791299.901299</v>
      </c>
      <c r="M2839" s="460">
        <f t="shared" si="141"/>
        <v>0.05</v>
      </c>
      <c r="N2839" s="464">
        <f t="shared" si="142"/>
        <v>137454</v>
      </c>
    </row>
    <row r="2840" spans="7:14" ht="11.25" customHeight="1" x14ac:dyDescent="0.3">
      <c r="G2840" s="459"/>
      <c r="H2840" s="459">
        <v>2833</v>
      </c>
      <c r="I2840" s="444">
        <f t="shared" ca="1" si="140"/>
        <v>-29915791299.901299</v>
      </c>
      <c r="J2840" s="444">
        <f t="array" ref="J2840">IFERROR(INDEX('Retirement Calculator'!K:K,MATCH('Lorri 401b'!N2840,'Retirement Calculator'!A:A,0),0),0)</f>
        <v>0</v>
      </c>
      <c r="K2840" s="444">
        <f t="shared" ca="1" si="138"/>
        <v>-124649130.41625541</v>
      </c>
      <c r="L2840" s="444">
        <f t="shared" ca="1" si="139"/>
        <v>-30040440430.317554</v>
      </c>
      <c r="M2840" s="460">
        <f t="shared" si="141"/>
        <v>0.05</v>
      </c>
      <c r="N2840" s="464">
        <f t="shared" si="142"/>
        <v>137485</v>
      </c>
    </row>
    <row r="2841" spans="7:14" ht="11.25" customHeight="1" x14ac:dyDescent="0.3">
      <c r="G2841" s="459"/>
      <c r="H2841" s="459">
        <v>2834</v>
      </c>
      <c r="I2841" s="444">
        <f t="shared" ca="1" si="140"/>
        <v>-30040440430.317554</v>
      </c>
      <c r="J2841" s="444">
        <f t="array" ref="J2841">IFERROR(INDEX('Retirement Calculator'!K:K,MATCH('Lorri 401b'!N2841,'Retirement Calculator'!A:A,0),0),0)</f>
        <v>0</v>
      </c>
      <c r="K2841" s="444">
        <f t="shared" ca="1" si="138"/>
        <v>-125168501.79298981</v>
      </c>
      <c r="L2841" s="444">
        <f t="shared" ca="1" si="139"/>
        <v>-30165608932.110546</v>
      </c>
      <c r="M2841" s="460">
        <f t="shared" si="141"/>
        <v>0.05</v>
      </c>
      <c r="N2841" s="464">
        <f t="shared" si="142"/>
        <v>137515</v>
      </c>
    </row>
    <row r="2842" spans="7:14" ht="11.25" customHeight="1" x14ac:dyDescent="0.3">
      <c r="G2842" s="459"/>
      <c r="H2842" s="459">
        <v>2835</v>
      </c>
      <c r="I2842" s="444">
        <f t="shared" ca="1" si="140"/>
        <v>-30165608932.110546</v>
      </c>
      <c r="J2842" s="444">
        <f t="array" ref="J2842">IFERROR(INDEX('Retirement Calculator'!K:K,MATCH('Lorri 401b'!N2842,'Retirement Calculator'!A:A,0),0),0)</f>
        <v>0</v>
      </c>
      <c r="K2842" s="444">
        <f t="shared" ca="1" si="138"/>
        <v>-125690037.21712726</v>
      </c>
      <c r="L2842" s="444">
        <f t="shared" ca="1" si="139"/>
        <v>-30291298969.327675</v>
      </c>
      <c r="M2842" s="460">
        <f t="shared" si="141"/>
        <v>0.05</v>
      </c>
      <c r="N2842" s="464">
        <f t="shared" si="142"/>
        <v>137546</v>
      </c>
    </row>
    <row r="2843" spans="7:14" ht="11.25" customHeight="1" x14ac:dyDescent="0.3">
      <c r="G2843" s="459"/>
      <c r="H2843" s="459">
        <v>2836</v>
      </c>
      <c r="I2843" s="444">
        <f t="shared" ca="1" si="140"/>
        <v>-30291298969.327675</v>
      </c>
      <c r="J2843" s="444">
        <f t="array" ref="J2843">IFERROR(INDEX('Retirement Calculator'!K:K,MATCH('Lorri 401b'!N2843,'Retirement Calculator'!A:A,0),0),0)</f>
        <v>0</v>
      </c>
      <c r="K2843" s="444">
        <f t="shared" ca="1" si="138"/>
        <v>-126213745.70553195</v>
      </c>
      <c r="L2843" s="444">
        <f t="shared" ca="1" si="139"/>
        <v>-30417512715.033207</v>
      </c>
      <c r="M2843" s="460">
        <f t="shared" si="141"/>
        <v>0.05</v>
      </c>
      <c r="N2843" s="464">
        <f t="shared" si="142"/>
        <v>137577</v>
      </c>
    </row>
    <row r="2844" spans="7:14" ht="11.25" customHeight="1" x14ac:dyDescent="0.3">
      <c r="G2844" s="459"/>
      <c r="H2844" s="459">
        <v>2837</v>
      </c>
      <c r="I2844" s="444">
        <f t="shared" ca="1" si="140"/>
        <v>-30417512715.033207</v>
      </c>
      <c r="J2844" s="444">
        <f t="array" ref="J2844">IFERROR(INDEX('Retirement Calculator'!K:K,MATCH('Lorri 401b'!N2844,'Retirement Calculator'!A:A,0),0),0)</f>
        <v>0</v>
      </c>
      <c r="K2844" s="444">
        <f t="shared" ca="1" si="138"/>
        <v>-126739636.31263837</v>
      </c>
      <c r="L2844" s="444">
        <f t="shared" ca="1" si="139"/>
        <v>-30544252351.345844</v>
      </c>
      <c r="M2844" s="460">
        <f t="shared" si="141"/>
        <v>0.05</v>
      </c>
      <c r="N2844" s="464">
        <f t="shared" si="142"/>
        <v>137607</v>
      </c>
    </row>
    <row r="2845" spans="7:14" ht="11.25" customHeight="1" x14ac:dyDescent="0.3">
      <c r="G2845" s="459"/>
      <c r="H2845" s="459">
        <v>2838</v>
      </c>
      <c r="I2845" s="444">
        <f t="shared" ca="1" si="140"/>
        <v>-30544252351.345844</v>
      </c>
      <c r="J2845" s="444">
        <f t="array" ref="J2845">IFERROR(INDEX('Retirement Calculator'!K:K,MATCH('Lorri 401b'!N2845,'Retirement Calculator'!A:A,0),0),0)</f>
        <v>0</v>
      </c>
      <c r="K2845" s="444">
        <f t="shared" ca="1" si="138"/>
        <v>-127267718.13060768</v>
      </c>
      <c r="L2845" s="444">
        <f t="shared" ca="1" si="139"/>
        <v>-30671520069.476452</v>
      </c>
      <c r="M2845" s="460">
        <f t="shared" si="141"/>
        <v>0.05</v>
      </c>
      <c r="N2845" s="464">
        <f t="shared" si="142"/>
        <v>137638</v>
      </c>
    </row>
    <row r="2846" spans="7:14" ht="11.25" customHeight="1" x14ac:dyDescent="0.3">
      <c r="G2846" s="459"/>
      <c r="H2846" s="459">
        <v>2839</v>
      </c>
      <c r="I2846" s="444">
        <f t="shared" ca="1" si="140"/>
        <v>-30671520069.476452</v>
      </c>
      <c r="J2846" s="444">
        <f t="array" ref="J2846">IFERROR(INDEX('Retirement Calculator'!K:K,MATCH('Lorri 401b'!N2846,'Retirement Calculator'!A:A,0),0),0)</f>
        <v>0</v>
      </c>
      <c r="K2846" s="444">
        <f t="shared" ca="1" si="138"/>
        <v>-127798000.28948522</v>
      </c>
      <c r="L2846" s="444">
        <f t="shared" ca="1" si="139"/>
        <v>-30799318069.765938</v>
      </c>
      <c r="M2846" s="460">
        <f t="shared" si="141"/>
        <v>0.05</v>
      </c>
      <c r="N2846" s="464">
        <f t="shared" si="142"/>
        <v>137668</v>
      </c>
    </row>
    <row r="2847" spans="7:14" ht="11.25" customHeight="1" x14ac:dyDescent="0.3">
      <c r="G2847" s="459"/>
      <c r="H2847" s="459">
        <v>2840</v>
      </c>
      <c r="I2847" s="444">
        <f t="shared" ca="1" si="140"/>
        <v>-30799318069.765938</v>
      </c>
      <c r="J2847" s="444">
        <f t="array" ref="J2847">IFERROR(INDEX('Retirement Calculator'!K:K,MATCH('Lorri 401b'!N2847,'Retirement Calculator'!A:A,0),0),0)</f>
        <v>0</v>
      </c>
      <c r="K2847" s="444">
        <f t="shared" ca="1" si="138"/>
        <v>-128330491.95735808</v>
      </c>
      <c r="L2847" s="444">
        <f t="shared" ca="1" si="139"/>
        <v>-30927648561.723297</v>
      </c>
      <c r="M2847" s="460">
        <f t="shared" si="141"/>
        <v>0.05</v>
      </c>
      <c r="N2847" s="464">
        <f t="shared" si="142"/>
        <v>137699</v>
      </c>
    </row>
    <row r="2848" spans="7:14" ht="11.25" customHeight="1" x14ac:dyDescent="0.3">
      <c r="G2848" s="459"/>
      <c r="H2848" s="459">
        <v>2841</v>
      </c>
      <c r="I2848" s="444">
        <f t="shared" ca="1" si="140"/>
        <v>-30927648561.723297</v>
      </c>
      <c r="J2848" s="444">
        <f t="array" ref="J2848">IFERROR(INDEX('Retirement Calculator'!K:K,MATCH('Lorri 401b'!N2848,'Retirement Calculator'!A:A,0),0),0)</f>
        <v>0</v>
      </c>
      <c r="K2848" s="444">
        <f t="shared" ca="1" si="138"/>
        <v>-128865202.34051375</v>
      </c>
      <c r="L2848" s="444">
        <f t="shared" ca="1" si="139"/>
        <v>-31056513764.063812</v>
      </c>
      <c r="M2848" s="460">
        <f t="shared" si="141"/>
        <v>0.05</v>
      </c>
      <c r="N2848" s="464">
        <f t="shared" si="142"/>
        <v>137730</v>
      </c>
    </row>
    <row r="2849" spans="7:14" ht="11.25" customHeight="1" x14ac:dyDescent="0.3">
      <c r="G2849" s="459"/>
      <c r="H2849" s="459">
        <v>2842</v>
      </c>
      <c r="I2849" s="444">
        <f t="shared" ca="1" si="140"/>
        <v>-31056513764.063812</v>
      </c>
      <c r="J2849" s="444">
        <f t="array" ref="J2849">IFERROR(INDEX('Retirement Calculator'!K:K,MATCH('Lorri 401b'!N2849,'Retirement Calculator'!A:A,0),0),0)</f>
        <v>0</v>
      </c>
      <c r="K2849" s="444">
        <f t="shared" ca="1" si="138"/>
        <v>-129402140.68359922</v>
      </c>
      <c r="L2849" s="444">
        <f t="shared" ca="1" si="139"/>
        <v>-31185915904.74741</v>
      </c>
      <c r="M2849" s="460">
        <f t="shared" si="141"/>
        <v>0.05</v>
      </c>
      <c r="N2849" s="464">
        <f t="shared" si="142"/>
        <v>137758</v>
      </c>
    </row>
    <row r="2850" spans="7:14" ht="11.25" customHeight="1" x14ac:dyDescent="0.3">
      <c r="G2850" s="459"/>
      <c r="H2850" s="459">
        <v>2843</v>
      </c>
      <c r="I2850" s="444">
        <f t="shared" ca="1" si="140"/>
        <v>-31185915904.74741</v>
      </c>
      <c r="J2850" s="444">
        <f t="array" ref="J2850">IFERROR(INDEX('Retirement Calculator'!K:K,MATCH('Lorri 401b'!N2850,'Retirement Calculator'!A:A,0),0),0)</f>
        <v>0</v>
      </c>
      <c r="K2850" s="444">
        <f t="shared" ca="1" si="138"/>
        <v>-129941316.26978087</v>
      </c>
      <c r="L2850" s="444">
        <f t="shared" ca="1" si="139"/>
        <v>-31315857221.017189</v>
      </c>
      <c r="M2850" s="460">
        <f t="shared" si="141"/>
        <v>0.05</v>
      </c>
      <c r="N2850" s="464">
        <f t="shared" si="142"/>
        <v>137789</v>
      </c>
    </row>
    <row r="2851" spans="7:14" ht="11.25" customHeight="1" x14ac:dyDescent="0.3">
      <c r="G2851" s="459"/>
      <c r="H2851" s="459">
        <v>2844</v>
      </c>
      <c r="I2851" s="444">
        <f t="shared" ca="1" si="140"/>
        <v>-31315857221.017189</v>
      </c>
      <c r="J2851" s="444">
        <f t="array" ref="J2851">IFERROR(INDEX('Retirement Calculator'!K:K,MATCH('Lorri 401b'!N2851,'Retirement Calculator'!A:A,0),0),0)</f>
        <v>0</v>
      </c>
      <c r="K2851" s="444">
        <f t="shared" ca="1" si="138"/>
        <v>-130482738.42090495</v>
      </c>
      <c r="L2851" s="444">
        <f t="shared" ca="1" si="139"/>
        <v>-31446339959.438095</v>
      </c>
      <c r="M2851" s="460">
        <f t="shared" si="141"/>
        <v>0.05</v>
      </c>
      <c r="N2851" s="464">
        <f t="shared" si="142"/>
        <v>137819</v>
      </c>
    </row>
    <row r="2852" spans="7:14" ht="11.25" customHeight="1" x14ac:dyDescent="0.3">
      <c r="G2852" s="459"/>
      <c r="H2852" s="459">
        <v>2845</v>
      </c>
      <c r="I2852" s="444">
        <f t="shared" ca="1" si="140"/>
        <v>-31446339959.438095</v>
      </c>
      <c r="J2852" s="444">
        <f t="array" ref="J2852">IFERROR(INDEX('Retirement Calculator'!K:K,MATCH('Lorri 401b'!N2852,'Retirement Calculator'!A:A,0),0),0)</f>
        <v>0</v>
      </c>
      <c r="K2852" s="444">
        <f t="shared" ca="1" si="138"/>
        <v>-131026416.49765874</v>
      </c>
      <c r="L2852" s="444">
        <f t="shared" ca="1" si="139"/>
        <v>-31577366375.935753</v>
      </c>
      <c r="M2852" s="460">
        <f t="shared" si="141"/>
        <v>0.05</v>
      </c>
      <c r="N2852" s="464">
        <f t="shared" si="142"/>
        <v>137850</v>
      </c>
    </row>
    <row r="2853" spans="7:14" ht="11.25" customHeight="1" x14ac:dyDescent="0.3">
      <c r="G2853" s="459"/>
      <c r="H2853" s="459">
        <v>2846</v>
      </c>
      <c r="I2853" s="444">
        <f t="shared" ca="1" si="140"/>
        <v>-31577366375.935753</v>
      </c>
      <c r="J2853" s="444">
        <f t="array" ref="J2853">IFERROR(INDEX('Retirement Calculator'!K:K,MATCH('Lorri 401b'!N2853,'Retirement Calculator'!A:A,0),0),0)</f>
        <v>0</v>
      </c>
      <c r="K2853" s="444">
        <f t="shared" ca="1" si="138"/>
        <v>-131572359.89973231</v>
      </c>
      <c r="L2853" s="444">
        <f t="shared" ca="1" si="139"/>
        <v>-31708938735.835484</v>
      </c>
      <c r="M2853" s="460">
        <f t="shared" si="141"/>
        <v>0.05</v>
      </c>
      <c r="N2853" s="464">
        <f t="shared" si="142"/>
        <v>137880</v>
      </c>
    </row>
    <row r="2854" spans="7:14" ht="11.25" customHeight="1" x14ac:dyDescent="0.3">
      <c r="G2854" s="459"/>
      <c r="H2854" s="459">
        <v>2847</v>
      </c>
      <c r="I2854" s="444">
        <f t="shared" ca="1" si="140"/>
        <v>-31708938735.835484</v>
      </c>
      <c r="J2854" s="444">
        <f t="array" ref="J2854">IFERROR(INDEX('Retirement Calculator'!K:K,MATCH('Lorri 401b'!N2854,'Retirement Calculator'!A:A,0),0),0)</f>
        <v>0</v>
      </c>
      <c r="K2854" s="444">
        <f t="shared" ca="1" si="138"/>
        <v>-132120578.06598119</v>
      </c>
      <c r="L2854" s="444">
        <f t="shared" ca="1" si="139"/>
        <v>-31841059313.901466</v>
      </c>
      <c r="M2854" s="460">
        <f t="shared" si="141"/>
        <v>0.05</v>
      </c>
      <c r="N2854" s="464">
        <f t="shared" si="142"/>
        <v>137911</v>
      </c>
    </row>
    <row r="2855" spans="7:14" ht="11.25" customHeight="1" x14ac:dyDescent="0.3">
      <c r="G2855" s="459"/>
      <c r="H2855" s="459">
        <v>2848</v>
      </c>
      <c r="I2855" s="444">
        <f t="shared" ca="1" si="140"/>
        <v>-31841059313.901466</v>
      </c>
      <c r="J2855" s="444">
        <f t="array" ref="J2855">IFERROR(INDEX('Retirement Calculator'!K:K,MATCH('Lorri 401b'!N2855,'Retirement Calculator'!A:A,0),0),0)</f>
        <v>0</v>
      </c>
      <c r="K2855" s="444">
        <f t="shared" ca="1" si="138"/>
        <v>-132671080.47458944</v>
      </c>
      <c r="L2855" s="444">
        <f t="shared" ca="1" si="139"/>
        <v>-31973730394.376057</v>
      </c>
      <c r="M2855" s="460">
        <f t="shared" si="141"/>
        <v>0.05</v>
      </c>
      <c r="N2855" s="464">
        <f t="shared" si="142"/>
        <v>137942</v>
      </c>
    </row>
    <row r="2856" spans="7:14" ht="11.25" customHeight="1" x14ac:dyDescent="0.3">
      <c r="G2856" s="459"/>
      <c r="H2856" s="459">
        <v>2849</v>
      </c>
      <c r="I2856" s="444">
        <f t="shared" ca="1" si="140"/>
        <v>-31973730394.376057</v>
      </c>
      <c r="J2856" s="444">
        <f t="array" ref="J2856">IFERROR(INDEX('Retirement Calculator'!K:K,MATCH('Lorri 401b'!N2856,'Retirement Calculator'!A:A,0),0),0)</f>
        <v>0</v>
      </c>
      <c r="K2856" s="444">
        <f t="shared" ca="1" si="138"/>
        <v>-133223876.64323357</v>
      </c>
      <c r="L2856" s="444">
        <f t="shared" ca="1" si="139"/>
        <v>-32106954271.019291</v>
      </c>
      <c r="M2856" s="460">
        <f t="shared" si="141"/>
        <v>0.05</v>
      </c>
      <c r="N2856" s="464">
        <f t="shared" si="142"/>
        <v>137972</v>
      </c>
    </row>
    <row r="2857" spans="7:14" ht="11.25" customHeight="1" x14ac:dyDescent="0.3">
      <c r="G2857" s="459"/>
      <c r="H2857" s="459">
        <v>2850</v>
      </c>
      <c r="I2857" s="444">
        <f t="shared" ca="1" si="140"/>
        <v>-32106954271.019291</v>
      </c>
      <c r="J2857" s="444">
        <f t="array" ref="J2857">IFERROR(INDEX('Retirement Calculator'!K:K,MATCH('Lorri 401b'!N2857,'Retirement Calculator'!A:A,0),0),0)</f>
        <v>0</v>
      </c>
      <c r="K2857" s="444">
        <f t="shared" ca="1" si="138"/>
        <v>-133778976.12924704</v>
      </c>
      <c r="L2857" s="444">
        <f t="shared" ca="1" si="139"/>
        <v>-32240733247.148537</v>
      </c>
      <c r="M2857" s="460">
        <f t="shared" si="141"/>
        <v>0.05</v>
      </c>
      <c r="N2857" s="464">
        <f t="shared" si="142"/>
        <v>138003</v>
      </c>
    </row>
    <row r="2858" spans="7:14" ht="11.25" customHeight="1" x14ac:dyDescent="0.3">
      <c r="G2858" s="459"/>
      <c r="H2858" s="459">
        <v>2851</v>
      </c>
      <c r="I2858" s="444">
        <f t="shared" ca="1" si="140"/>
        <v>-32240733247.148537</v>
      </c>
      <c r="J2858" s="444">
        <f t="array" ref="J2858">IFERROR(INDEX('Retirement Calculator'!K:K,MATCH('Lorri 401b'!N2858,'Retirement Calculator'!A:A,0),0),0)</f>
        <v>0</v>
      </c>
      <c r="K2858" s="444">
        <f t="shared" ca="1" si="138"/>
        <v>-134336388.52978557</v>
      </c>
      <c r="L2858" s="444">
        <f t="shared" ca="1" si="139"/>
        <v>-32375069635.678322</v>
      </c>
      <c r="M2858" s="460">
        <f t="shared" si="141"/>
        <v>0.05</v>
      </c>
      <c r="N2858" s="464">
        <f t="shared" si="142"/>
        <v>138033</v>
      </c>
    </row>
    <row r="2859" spans="7:14" ht="11.25" customHeight="1" x14ac:dyDescent="0.3">
      <c r="G2859" s="459"/>
      <c r="H2859" s="459">
        <v>2852</v>
      </c>
      <c r="I2859" s="444">
        <f t="shared" ca="1" si="140"/>
        <v>-32375069635.678322</v>
      </c>
      <c r="J2859" s="444">
        <f t="array" ref="J2859">IFERROR(INDEX('Retirement Calculator'!K:K,MATCH('Lorri 401b'!N2859,'Retirement Calculator'!A:A,0),0),0)</f>
        <v>0</v>
      </c>
      <c r="K2859" s="444">
        <f t="shared" ca="1" si="138"/>
        <v>-134896123.48199302</v>
      </c>
      <c r="L2859" s="444">
        <f t="shared" ca="1" si="139"/>
        <v>-32509965759.160316</v>
      </c>
      <c r="M2859" s="460">
        <f t="shared" si="141"/>
        <v>0.05</v>
      </c>
      <c r="N2859" s="464">
        <f t="shared" si="142"/>
        <v>138064</v>
      </c>
    </row>
    <row r="2860" spans="7:14" ht="11.25" customHeight="1" x14ac:dyDescent="0.3">
      <c r="G2860" s="459"/>
      <c r="H2860" s="459">
        <v>2853</v>
      </c>
      <c r="I2860" s="444">
        <f t="shared" ca="1" si="140"/>
        <v>-32509965759.160316</v>
      </c>
      <c r="J2860" s="444">
        <f t="array" ref="J2860">IFERROR(INDEX('Retirement Calculator'!K:K,MATCH('Lorri 401b'!N2860,'Retirement Calculator'!A:A,0),0),0)</f>
        <v>0</v>
      </c>
      <c r="K2860" s="444">
        <f t="shared" ca="1" si="138"/>
        <v>-135458190.66316798</v>
      </c>
      <c r="L2860" s="444">
        <f t="shared" ca="1" si="139"/>
        <v>-32645423949.823486</v>
      </c>
      <c r="M2860" s="460">
        <f t="shared" si="141"/>
        <v>0.05</v>
      </c>
      <c r="N2860" s="464">
        <f t="shared" si="142"/>
        <v>138095</v>
      </c>
    </row>
    <row r="2861" spans="7:14" ht="11.25" customHeight="1" x14ac:dyDescent="0.3">
      <c r="G2861" s="459"/>
      <c r="H2861" s="459">
        <v>2854</v>
      </c>
      <c r="I2861" s="444">
        <f t="shared" ca="1" si="140"/>
        <v>-32645423949.823486</v>
      </c>
      <c r="J2861" s="444">
        <f t="array" ref="J2861">IFERROR(INDEX('Retirement Calculator'!K:K,MATCH('Lorri 401b'!N2861,'Retirement Calculator'!A:A,0),0),0)</f>
        <v>0</v>
      </c>
      <c r="K2861" s="444">
        <f t="shared" ca="1" si="138"/>
        <v>-136022599.7909312</v>
      </c>
      <c r="L2861" s="444">
        <f t="shared" ca="1" si="139"/>
        <v>-32781446549.614418</v>
      </c>
      <c r="M2861" s="460">
        <f t="shared" si="141"/>
        <v>0.05</v>
      </c>
      <c r="N2861" s="464">
        <f t="shared" si="142"/>
        <v>138123</v>
      </c>
    </row>
    <row r="2862" spans="7:14" ht="11.25" customHeight="1" x14ac:dyDescent="0.3">
      <c r="G2862" s="459"/>
      <c r="H2862" s="459">
        <v>2855</v>
      </c>
      <c r="I2862" s="444">
        <f t="shared" ca="1" si="140"/>
        <v>-32781446549.614418</v>
      </c>
      <c r="J2862" s="444">
        <f t="array" ref="J2862">IFERROR(INDEX('Retirement Calculator'!K:K,MATCH('Lorri 401b'!N2862,'Retirement Calculator'!A:A,0),0),0)</f>
        <v>0</v>
      </c>
      <c r="K2862" s="444">
        <f t="shared" ca="1" si="138"/>
        <v>-136589360.62339342</v>
      </c>
      <c r="L2862" s="444">
        <f t="shared" ca="1" si="139"/>
        <v>-32918035910.237812</v>
      </c>
      <c r="M2862" s="460">
        <f t="shared" si="141"/>
        <v>0.05</v>
      </c>
      <c r="N2862" s="464">
        <f t="shared" si="142"/>
        <v>138154</v>
      </c>
    </row>
    <row r="2863" spans="7:14" ht="11.25" customHeight="1" x14ac:dyDescent="0.3">
      <c r="G2863" s="459"/>
      <c r="H2863" s="459">
        <v>2856</v>
      </c>
      <c r="I2863" s="444">
        <f t="shared" ca="1" si="140"/>
        <v>-32918035910.237812</v>
      </c>
      <c r="J2863" s="444">
        <f t="array" ref="J2863">IFERROR(INDEX('Retirement Calculator'!K:K,MATCH('Lorri 401b'!N2863,'Retirement Calculator'!A:A,0),0),0)</f>
        <v>0</v>
      </c>
      <c r="K2863" s="444">
        <f t="shared" ca="1" si="138"/>
        <v>-137158482.95932421</v>
      </c>
      <c r="L2863" s="444">
        <f t="shared" ca="1" si="139"/>
        <v>-33055194393.197136</v>
      </c>
      <c r="M2863" s="460">
        <f t="shared" si="141"/>
        <v>0.05</v>
      </c>
      <c r="N2863" s="464">
        <f t="shared" si="142"/>
        <v>138184</v>
      </c>
    </row>
    <row r="2864" spans="7:14" ht="11.25" customHeight="1" x14ac:dyDescent="0.3">
      <c r="G2864" s="459"/>
      <c r="H2864" s="459">
        <v>2857</v>
      </c>
      <c r="I2864" s="444">
        <f t="shared" ca="1" si="140"/>
        <v>-33055194393.197136</v>
      </c>
      <c r="J2864" s="444">
        <f t="array" ref="J2864">IFERROR(INDEX('Retirement Calculator'!K:K,MATCH('Lorri 401b'!N2864,'Retirement Calculator'!A:A,0),0),0)</f>
        <v>0</v>
      </c>
      <c r="K2864" s="444">
        <f t="shared" ca="1" si="138"/>
        <v>-137729976.6383214</v>
      </c>
      <c r="L2864" s="444">
        <f t="shared" ca="1" si="139"/>
        <v>-33192924369.835457</v>
      </c>
      <c r="M2864" s="460">
        <f t="shared" si="141"/>
        <v>0.05</v>
      </c>
      <c r="N2864" s="464">
        <f t="shared" si="142"/>
        <v>138215</v>
      </c>
    </row>
    <row r="2865" spans="7:14" ht="11.25" customHeight="1" x14ac:dyDescent="0.3">
      <c r="G2865" s="459"/>
      <c r="H2865" s="459">
        <v>2858</v>
      </c>
      <c r="I2865" s="444">
        <f t="shared" ca="1" si="140"/>
        <v>-33192924369.835457</v>
      </c>
      <c r="J2865" s="444">
        <f t="array" ref="J2865">IFERROR(INDEX('Retirement Calculator'!K:K,MATCH('Lorri 401b'!N2865,'Retirement Calculator'!A:A,0),0),0)</f>
        <v>0</v>
      </c>
      <c r="K2865" s="444">
        <f t="shared" ca="1" si="138"/>
        <v>-138303851.54098105</v>
      </c>
      <c r="L2865" s="444">
        <f t="shared" ca="1" si="139"/>
        <v>-33331228221.376438</v>
      </c>
      <c r="M2865" s="460">
        <f t="shared" si="141"/>
        <v>0.05</v>
      </c>
      <c r="N2865" s="464">
        <f t="shared" si="142"/>
        <v>138245</v>
      </c>
    </row>
    <row r="2866" spans="7:14" ht="11.25" customHeight="1" x14ac:dyDescent="0.3">
      <c r="G2866" s="459"/>
      <c r="H2866" s="459">
        <v>2859</v>
      </c>
      <c r="I2866" s="444">
        <f t="shared" ca="1" si="140"/>
        <v>-33331228221.376438</v>
      </c>
      <c r="J2866" s="444">
        <f t="array" ref="J2866">IFERROR(INDEX('Retirement Calculator'!K:K,MATCH('Lorri 401b'!N2866,'Retirement Calculator'!A:A,0),0),0)</f>
        <v>0</v>
      </c>
      <c r="K2866" s="444">
        <f t="shared" ca="1" si="138"/>
        <v>-138880117.58906847</v>
      </c>
      <c r="L2866" s="444">
        <f t="shared" ca="1" si="139"/>
        <v>-33470108338.965508</v>
      </c>
      <c r="M2866" s="460">
        <f t="shared" si="141"/>
        <v>0.05</v>
      </c>
      <c r="N2866" s="464">
        <f t="shared" si="142"/>
        <v>138276</v>
      </c>
    </row>
    <row r="2867" spans="7:14" ht="11.25" customHeight="1" x14ac:dyDescent="0.3">
      <c r="G2867" s="459"/>
      <c r="H2867" s="459">
        <v>2860</v>
      </c>
      <c r="I2867" s="444">
        <f t="shared" ca="1" si="140"/>
        <v>-33470108338.965508</v>
      </c>
      <c r="J2867" s="444">
        <f t="array" ref="J2867">IFERROR(INDEX('Retirement Calculator'!K:K,MATCH('Lorri 401b'!N2867,'Retirement Calculator'!A:A,0),0),0)</f>
        <v>0</v>
      </c>
      <c r="K2867" s="444">
        <f t="shared" ca="1" si="138"/>
        <v>-139458784.7456896</v>
      </c>
      <c r="L2867" s="444">
        <f t="shared" ca="1" si="139"/>
        <v>-33609567123.711197</v>
      </c>
      <c r="M2867" s="460">
        <f t="shared" si="141"/>
        <v>0.05</v>
      </c>
      <c r="N2867" s="464">
        <f t="shared" si="142"/>
        <v>138307</v>
      </c>
    </row>
    <row r="2868" spans="7:14" ht="11.25" customHeight="1" x14ac:dyDescent="0.3">
      <c r="G2868" s="459"/>
      <c r="H2868" s="459">
        <v>2861</v>
      </c>
      <c r="I2868" s="444">
        <f t="shared" ca="1" si="140"/>
        <v>-33609567123.711197</v>
      </c>
      <c r="J2868" s="444">
        <f t="array" ref="J2868">IFERROR(INDEX('Retirement Calculator'!K:K,MATCH('Lorri 401b'!N2868,'Retirement Calculator'!A:A,0),0),0)</f>
        <v>0</v>
      </c>
      <c r="K2868" s="444">
        <f t="shared" ca="1" si="138"/>
        <v>-140039863.01546332</v>
      </c>
      <c r="L2868" s="444">
        <f t="shared" ca="1" si="139"/>
        <v>-33749606986.726662</v>
      </c>
      <c r="M2868" s="460">
        <f t="shared" si="141"/>
        <v>0.05</v>
      </c>
      <c r="N2868" s="464">
        <f t="shared" si="142"/>
        <v>138337</v>
      </c>
    </row>
    <row r="2869" spans="7:14" ht="11.25" customHeight="1" x14ac:dyDescent="0.3">
      <c r="G2869" s="459"/>
      <c r="H2869" s="459">
        <v>2862</v>
      </c>
      <c r="I2869" s="444">
        <f t="shared" ca="1" si="140"/>
        <v>-33749606986.726662</v>
      </c>
      <c r="J2869" s="444">
        <f t="array" ref="J2869">IFERROR(INDEX('Retirement Calculator'!K:K,MATCH('Lorri 401b'!N2869,'Retirement Calculator'!A:A,0),0),0)</f>
        <v>0</v>
      </c>
      <c r="K2869" s="444">
        <f t="shared" ca="1" si="138"/>
        <v>-140623362.44469443</v>
      </c>
      <c r="L2869" s="444">
        <f t="shared" ca="1" si="139"/>
        <v>-33890230349.171356</v>
      </c>
      <c r="M2869" s="460">
        <f t="shared" si="141"/>
        <v>0.05</v>
      </c>
      <c r="N2869" s="464">
        <f t="shared" si="142"/>
        <v>138368</v>
      </c>
    </row>
    <row r="2870" spans="7:14" ht="11.25" customHeight="1" x14ac:dyDescent="0.3">
      <c r="G2870" s="459"/>
      <c r="H2870" s="459">
        <v>2863</v>
      </c>
      <c r="I2870" s="444">
        <f t="shared" ca="1" si="140"/>
        <v>-33890230349.171356</v>
      </c>
      <c r="J2870" s="444">
        <f t="array" ref="J2870">IFERROR(INDEX('Retirement Calculator'!K:K,MATCH('Lorri 401b'!N2870,'Retirement Calculator'!A:A,0),0),0)</f>
        <v>0</v>
      </c>
      <c r="K2870" s="444">
        <f t="shared" ca="1" si="138"/>
        <v>-141209293.12154731</v>
      </c>
      <c r="L2870" s="444">
        <f t="shared" ca="1" si="139"/>
        <v>-34031439642.292904</v>
      </c>
      <c r="M2870" s="460">
        <f t="shared" si="141"/>
        <v>0.05</v>
      </c>
      <c r="N2870" s="464">
        <f t="shared" si="142"/>
        <v>138398</v>
      </c>
    </row>
    <row r="2871" spans="7:14" ht="11.25" customHeight="1" x14ac:dyDescent="0.3">
      <c r="G2871" s="459"/>
      <c r="H2871" s="459">
        <v>2864</v>
      </c>
      <c r="I2871" s="444">
        <f t="shared" ca="1" si="140"/>
        <v>-34031439642.292904</v>
      </c>
      <c r="J2871" s="444">
        <f t="array" ref="J2871">IFERROR(INDEX('Retirement Calculator'!K:K,MATCH('Lorri 401b'!N2871,'Retirement Calculator'!A:A,0),0),0)</f>
        <v>0</v>
      </c>
      <c r="K2871" s="444">
        <f t="shared" ca="1" si="138"/>
        <v>-141797665.17622042</v>
      </c>
      <c r="L2871" s="444">
        <f t="shared" ca="1" si="139"/>
        <v>-34173237307.469124</v>
      </c>
      <c r="M2871" s="460">
        <f t="shared" si="141"/>
        <v>0.05</v>
      </c>
      <c r="N2871" s="464">
        <f t="shared" si="142"/>
        <v>138429</v>
      </c>
    </row>
    <row r="2872" spans="7:14" ht="11.25" customHeight="1" x14ac:dyDescent="0.3">
      <c r="G2872" s="459"/>
      <c r="H2872" s="459">
        <v>2865</v>
      </c>
      <c r="I2872" s="444">
        <f t="shared" ca="1" si="140"/>
        <v>-34173237307.469124</v>
      </c>
      <c r="J2872" s="444">
        <f t="array" ref="J2872">IFERROR(INDEX('Retirement Calculator'!K:K,MATCH('Lorri 401b'!N2872,'Retirement Calculator'!A:A,0),0),0)</f>
        <v>0</v>
      </c>
      <c r="K2872" s="444">
        <f t="shared" ca="1" si="138"/>
        <v>-142388488.78112134</v>
      </c>
      <c r="L2872" s="444">
        <f t="shared" ca="1" si="139"/>
        <v>-34315625796.250244</v>
      </c>
      <c r="M2872" s="460">
        <f t="shared" si="141"/>
        <v>0.05</v>
      </c>
      <c r="N2872" s="464">
        <f t="shared" si="142"/>
        <v>138460</v>
      </c>
    </row>
    <row r="2873" spans="7:14" ht="11.25" customHeight="1" x14ac:dyDescent="0.3">
      <c r="G2873" s="459"/>
      <c r="H2873" s="459">
        <v>2866</v>
      </c>
      <c r="I2873" s="444">
        <f t="shared" ca="1" si="140"/>
        <v>-34315625796.250244</v>
      </c>
      <c r="J2873" s="444">
        <f t="array" ref="J2873">IFERROR(INDEX('Retirement Calculator'!K:K,MATCH('Lorri 401b'!N2873,'Retirement Calculator'!A:A,0),0),0)</f>
        <v>0</v>
      </c>
      <c r="K2873" s="444">
        <f t="shared" ca="1" si="138"/>
        <v>-142981774.15104267</v>
      </c>
      <c r="L2873" s="444">
        <f t="shared" ca="1" si="139"/>
        <v>-34458607570.401283</v>
      </c>
      <c r="M2873" s="460">
        <f t="shared" si="141"/>
        <v>0.05</v>
      </c>
      <c r="N2873" s="464">
        <f t="shared" si="142"/>
        <v>138488</v>
      </c>
    </row>
    <row r="2874" spans="7:14" ht="11.25" customHeight="1" x14ac:dyDescent="0.3">
      <c r="G2874" s="459"/>
      <c r="H2874" s="459">
        <v>2867</v>
      </c>
      <c r="I2874" s="444">
        <f t="shared" ca="1" si="140"/>
        <v>-34458607570.401283</v>
      </c>
      <c r="J2874" s="444">
        <f t="array" ref="J2874">IFERROR(INDEX('Retirement Calculator'!K:K,MATCH('Lorri 401b'!N2874,'Retirement Calculator'!A:A,0),0),0)</f>
        <v>0</v>
      </c>
      <c r="K2874" s="444">
        <f t="shared" ca="1" si="138"/>
        <v>-143577531.54333869</v>
      </c>
      <c r="L2874" s="444">
        <f t="shared" ca="1" si="139"/>
        <v>-34602185101.944618</v>
      </c>
      <c r="M2874" s="460">
        <f t="shared" si="141"/>
        <v>0.05</v>
      </c>
      <c r="N2874" s="464">
        <f t="shared" si="142"/>
        <v>138519</v>
      </c>
    </row>
    <row r="2875" spans="7:14" ht="11.25" customHeight="1" x14ac:dyDescent="0.3">
      <c r="G2875" s="459"/>
      <c r="H2875" s="459">
        <v>2868</v>
      </c>
      <c r="I2875" s="444">
        <f t="shared" ca="1" si="140"/>
        <v>-34602185101.944618</v>
      </c>
      <c r="J2875" s="444">
        <f t="array" ref="J2875">IFERROR(INDEX('Retirement Calculator'!K:K,MATCH('Lorri 401b'!N2875,'Retirement Calculator'!A:A,0),0),0)</f>
        <v>0</v>
      </c>
      <c r="K2875" s="444">
        <f t="shared" ca="1" si="138"/>
        <v>-144175771.25810257</v>
      </c>
      <c r="L2875" s="444">
        <f t="shared" ca="1" si="139"/>
        <v>-34746360873.202721</v>
      </c>
      <c r="M2875" s="460">
        <f t="shared" si="141"/>
        <v>0.05</v>
      </c>
      <c r="N2875" s="464">
        <f t="shared" si="142"/>
        <v>138549</v>
      </c>
    </row>
    <row r="2876" spans="7:14" ht="11.25" customHeight="1" x14ac:dyDescent="0.3">
      <c r="G2876" s="459"/>
      <c r="H2876" s="459">
        <v>2869</v>
      </c>
      <c r="I2876" s="444">
        <f t="shared" ca="1" si="140"/>
        <v>-34746360873.202721</v>
      </c>
      <c r="J2876" s="444">
        <f t="array" ref="J2876">IFERROR(INDEX('Retirement Calculator'!K:K,MATCH('Lorri 401b'!N2876,'Retirement Calculator'!A:A,0),0),0)</f>
        <v>0</v>
      </c>
      <c r="K2876" s="444">
        <f t="shared" ca="1" si="138"/>
        <v>-144776503.63834468</v>
      </c>
      <c r="L2876" s="444">
        <f t="shared" ca="1" si="139"/>
        <v>-34891137376.841064</v>
      </c>
      <c r="M2876" s="460">
        <f t="shared" si="141"/>
        <v>0.05</v>
      </c>
      <c r="N2876" s="464">
        <f t="shared" si="142"/>
        <v>138580</v>
      </c>
    </row>
    <row r="2877" spans="7:14" ht="11.25" customHeight="1" x14ac:dyDescent="0.3">
      <c r="G2877" s="459"/>
      <c r="H2877" s="459">
        <v>2870</v>
      </c>
      <c r="I2877" s="444">
        <f t="shared" ca="1" si="140"/>
        <v>-34891137376.841064</v>
      </c>
      <c r="J2877" s="444">
        <f t="array" ref="J2877">IFERROR(INDEX('Retirement Calculator'!K:K,MATCH('Lorri 401b'!N2877,'Retirement Calculator'!A:A,0),0),0)</f>
        <v>0</v>
      </c>
      <c r="K2877" s="444">
        <f t="shared" ca="1" si="138"/>
        <v>-145379739.07017109</v>
      </c>
      <c r="L2877" s="444">
        <f t="shared" ca="1" si="139"/>
        <v>-35036517115.911232</v>
      </c>
      <c r="M2877" s="460">
        <f t="shared" si="141"/>
        <v>0.05</v>
      </c>
      <c r="N2877" s="464">
        <f t="shared" si="142"/>
        <v>138610</v>
      </c>
    </row>
    <row r="2878" spans="7:14" ht="11.25" customHeight="1" x14ac:dyDescent="0.3">
      <c r="G2878" s="459"/>
      <c r="H2878" s="459">
        <v>2871</v>
      </c>
      <c r="I2878" s="444">
        <f t="shared" ca="1" si="140"/>
        <v>-35036517115.911232</v>
      </c>
      <c r="J2878" s="444">
        <f t="array" ref="J2878">IFERROR(INDEX('Retirement Calculator'!K:K,MATCH('Lorri 401b'!N2878,'Retirement Calculator'!A:A,0),0),0)</f>
        <v>0</v>
      </c>
      <c r="K2878" s="444">
        <f t="shared" ca="1" si="138"/>
        <v>-145985487.98296347</v>
      </c>
      <c r="L2878" s="444">
        <f t="shared" ca="1" si="139"/>
        <v>-35182502603.894196</v>
      </c>
      <c r="M2878" s="460">
        <f t="shared" si="141"/>
        <v>0.05</v>
      </c>
      <c r="N2878" s="464">
        <f t="shared" si="142"/>
        <v>138641</v>
      </c>
    </row>
    <row r="2879" spans="7:14" ht="11.25" customHeight="1" x14ac:dyDescent="0.3">
      <c r="G2879" s="459"/>
      <c r="H2879" s="459">
        <v>2872</v>
      </c>
      <c r="I2879" s="444">
        <f t="shared" ca="1" si="140"/>
        <v>-35182502603.894196</v>
      </c>
      <c r="J2879" s="444">
        <f t="array" ref="J2879">IFERROR(INDEX('Retirement Calculator'!K:K,MATCH('Lorri 401b'!N2879,'Retirement Calculator'!A:A,0),0),0)</f>
        <v>0</v>
      </c>
      <c r="K2879" s="444">
        <f t="shared" ca="1" si="138"/>
        <v>-146593760.84955916</v>
      </c>
      <c r="L2879" s="444">
        <f t="shared" ca="1" si="139"/>
        <v>-35329096364.743752</v>
      </c>
      <c r="M2879" s="460">
        <f t="shared" si="141"/>
        <v>0.05</v>
      </c>
      <c r="N2879" s="464">
        <f t="shared" si="142"/>
        <v>138672</v>
      </c>
    </row>
    <row r="2880" spans="7:14" ht="11.25" customHeight="1" x14ac:dyDescent="0.3">
      <c r="G2880" s="459"/>
      <c r="H2880" s="459">
        <v>2873</v>
      </c>
      <c r="I2880" s="444">
        <f t="shared" ca="1" si="140"/>
        <v>-35329096364.743752</v>
      </c>
      <c r="J2880" s="444">
        <f t="array" ref="J2880">IFERROR(INDEX('Retirement Calculator'!K:K,MATCH('Lorri 401b'!N2880,'Retirement Calculator'!A:A,0),0),0)</f>
        <v>0</v>
      </c>
      <c r="K2880" s="444">
        <f t="shared" ca="1" si="138"/>
        <v>-147204568.1864323</v>
      </c>
      <c r="L2880" s="444">
        <f t="shared" ca="1" si="139"/>
        <v>-35476300932.930183</v>
      </c>
      <c r="M2880" s="460">
        <f t="shared" si="141"/>
        <v>0.05</v>
      </c>
      <c r="N2880" s="464">
        <f t="shared" si="142"/>
        <v>138702</v>
      </c>
    </row>
    <row r="2881" spans="7:14" ht="11.25" customHeight="1" x14ac:dyDescent="0.3">
      <c r="G2881" s="459"/>
      <c r="H2881" s="459">
        <v>2874</v>
      </c>
      <c r="I2881" s="444">
        <f t="shared" ca="1" si="140"/>
        <v>-35476300932.930183</v>
      </c>
      <c r="J2881" s="444">
        <f t="array" ref="J2881">IFERROR(INDEX('Retirement Calculator'!K:K,MATCH('Lorri 401b'!N2881,'Retirement Calculator'!A:A,0),0),0)</f>
        <v>0</v>
      </c>
      <c r="K2881" s="444">
        <f t="shared" ca="1" si="138"/>
        <v>-147817920.55387577</v>
      </c>
      <c r="L2881" s="444">
        <f t="shared" ca="1" si="139"/>
        <v>-35624118853.484062</v>
      </c>
      <c r="M2881" s="460">
        <f t="shared" si="141"/>
        <v>0.05</v>
      </c>
      <c r="N2881" s="464">
        <f t="shared" si="142"/>
        <v>138733</v>
      </c>
    </row>
    <row r="2882" spans="7:14" ht="11.25" customHeight="1" x14ac:dyDescent="0.3">
      <c r="G2882" s="459"/>
      <c r="H2882" s="459">
        <v>2875</v>
      </c>
      <c r="I2882" s="444">
        <f t="shared" ca="1" si="140"/>
        <v>-35624118853.484062</v>
      </c>
      <c r="J2882" s="444">
        <f t="array" ref="J2882">IFERROR(INDEX('Retirement Calculator'!K:K,MATCH('Lorri 401b'!N2882,'Retirement Calculator'!A:A,0),0),0)</f>
        <v>0</v>
      </c>
      <c r="K2882" s="444">
        <f t="shared" ca="1" si="138"/>
        <v>-148433828.55618358</v>
      </c>
      <c r="L2882" s="444">
        <f t="shared" ca="1" si="139"/>
        <v>-35772552682.040245</v>
      </c>
      <c r="M2882" s="460">
        <f t="shared" si="141"/>
        <v>0.05</v>
      </c>
      <c r="N2882" s="464">
        <f t="shared" si="142"/>
        <v>138763</v>
      </c>
    </row>
    <row r="2883" spans="7:14" ht="11.25" customHeight="1" x14ac:dyDescent="0.3">
      <c r="G2883" s="459"/>
      <c r="H2883" s="459">
        <v>2876</v>
      </c>
      <c r="I2883" s="444">
        <f t="shared" ca="1" si="140"/>
        <v>-35772552682.040245</v>
      </c>
      <c r="J2883" s="444">
        <f t="array" ref="J2883">IFERROR(INDEX('Retirement Calculator'!K:K,MATCH('Lorri 401b'!N2883,'Retirement Calculator'!A:A,0),0),0)</f>
        <v>0</v>
      </c>
      <c r="K2883" s="444">
        <f t="shared" ca="1" si="138"/>
        <v>-149052302.84183437</v>
      </c>
      <c r="L2883" s="444">
        <f t="shared" ca="1" si="139"/>
        <v>-35921604984.88208</v>
      </c>
      <c r="M2883" s="460">
        <f t="shared" si="141"/>
        <v>0.05</v>
      </c>
      <c r="N2883" s="464">
        <f t="shared" si="142"/>
        <v>138794</v>
      </c>
    </row>
    <row r="2884" spans="7:14" ht="11.25" customHeight="1" x14ac:dyDescent="0.3">
      <c r="G2884" s="459"/>
      <c r="H2884" s="459">
        <v>2877</v>
      </c>
      <c r="I2884" s="444">
        <f t="shared" ca="1" si="140"/>
        <v>-35921604984.88208</v>
      </c>
      <c r="J2884" s="444">
        <f t="array" ref="J2884">IFERROR(INDEX('Retirement Calculator'!K:K,MATCH('Lorri 401b'!N2884,'Retirement Calculator'!A:A,0),0),0)</f>
        <v>0</v>
      </c>
      <c r="K2884" s="444">
        <f t="shared" ca="1" si="138"/>
        <v>-149673354.10367534</v>
      </c>
      <c r="L2884" s="444">
        <f t="shared" ca="1" si="139"/>
        <v>-36071278338.985756</v>
      </c>
      <c r="M2884" s="460">
        <f t="shared" si="141"/>
        <v>0.05</v>
      </c>
      <c r="N2884" s="464">
        <f t="shared" si="142"/>
        <v>138825</v>
      </c>
    </row>
    <row r="2885" spans="7:14" ht="11.25" customHeight="1" x14ac:dyDescent="0.3">
      <c r="G2885" s="459"/>
      <c r="H2885" s="459">
        <v>2878</v>
      </c>
      <c r="I2885" s="444">
        <f t="shared" ca="1" si="140"/>
        <v>-36071278338.985756</v>
      </c>
      <c r="J2885" s="444">
        <f t="array" ref="J2885">IFERROR(INDEX('Retirement Calculator'!K:K,MATCH('Lorri 401b'!N2885,'Retirement Calculator'!A:A,0),0),0)</f>
        <v>0</v>
      </c>
      <c r="K2885" s="444">
        <f t="shared" ca="1" si="138"/>
        <v>-150296993.07910731</v>
      </c>
      <c r="L2885" s="444">
        <f t="shared" ca="1" si="139"/>
        <v>-36221575332.064865</v>
      </c>
      <c r="M2885" s="460">
        <f t="shared" si="141"/>
        <v>0.05</v>
      </c>
      <c r="N2885" s="464">
        <f t="shared" si="142"/>
        <v>138854</v>
      </c>
    </row>
    <row r="2886" spans="7:14" ht="11.25" customHeight="1" x14ac:dyDescent="0.3">
      <c r="G2886" s="459"/>
      <c r="H2886" s="459">
        <v>2879</v>
      </c>
      <c r="I2886" s="444">
        <f t="shared" ca="1" si="140"/>
        <v>-36221575332.064865</v>
      </c>
      <c r="J2886" s="444">
        <f t="array" ref="J2886">IFERROR(INDEX('Retirement Calculator'!K:K,MATCH('Lorri 401b'!N2886,'Retirement Calculator'!A:A,0),0),0)</f>
        <v>0</v>
      </c>
      <c r="K2886" s="444">
        <f t="shared" ca="1" si="138"/>
        <v>-150923230.55027026</v>
      </c>
      <c r="L2886" s="444">
        <f t="shared" ca="1" si="139"/>
        <v>-36372498562.615135</v>
      </c>
      <c r="M2886" s="460">
        <f t="shared" si="141"/>
        <v>0.05</v>
      </c>
      <c r="N2886" s="464">
        <f t="shared" si="142"/>
        <v>138885</v>
      </c>
    </row>
    <row r="2887" spans="7:14" ht="11.25" customHeight="1" x14ac:dyDescent="0.3">
      <c r="G2887" s="459"/>
      <c r="H2887" s="459">
        <v>2880</v>
      </c>
      <c r="I2887" s="444">
        <f t="shared" ca="1" si="140"/>
        <v>-36372498562.615135</v>
      </c>
      <c r="J2887" s="444">
        <f t="array" ref="J2887">IFERROR(INDEX('Retirement Calculator'!K:K,MATCH('Lorri 401b'!N2887,'Retirement Calculator'!A:A,0),0),0)</f>
        <v>0</v>
      </c>
      <c r="K2887" s="444">
        <f t="shared" ca="1" si="138"/>
        <v>-151552077.34422973</v>
      </c>
      <c r="L2887" s="444">
        <f t="shared" ca="1" si="139"/>
        <v>-36524050639.959366</v>
      </c>
      <c r="M2887" s="460">
        <f t="shared" si="141"/>
        <v>0.05</v>
      </c>
      <c r="N2887" s="464">
        <f t="shared" si="142"/>
        <v>138915</v>
      </c>
    </row>
    <row r="2888" spans="7:14" ht="11.25" customHeight="1" x14ac:dyDescent="0.3">
      <c r="G2888" s="459"/>
      <c r="H2888" s="459">
        <v>2881</v>
      </c>
      <c r="I2888" s="444">
        <f t="shared" ca="1" si="140"/>
        <v>-36524050639.959366</v>
      </c>
      <c r="J2888" s="444">
        <f t="array" ref="J2888">IFERROR(INDEX('Retirement Calculator'!K:K,MATCH('Lorri 401b'!N2888,'Retirement Calculator'!A:A,0),0),0)</f>
        <v>0</v>
      </c>
      <c r="K2888" s="444">
        <f t="shared" ca="1" si="138"/>
        <v>-152183544.33316404</v>
      </c>
      <c r="L2888" s="444">
        <f t="shared" ca="1" si="139"/>
        <v>-36676234184.292526</v>
      </c>
      <c r="M2888" s="460">
        <f t="shared" si="141"/>
        <v>0.05</v>
      </c>
      <c r="N2888" s="464">
        <f t="shared" si="142"/>
        <v>138946</v>
      </c>
    </row>
    <row r="2889" spans="7:14" ht="11.25" customHeight="1" x14ac:dyDescent="0.3">
      <c r="G2889" s="459"/>
      <c r="H2889" s="459">
        <v>2882</v>
      </c>
      <c r="I2889" s="444">
        <f t="shared" ca="1" si="140"/>
        <v>-36676234184.292526</v>
      </c>
      <c r="J2889" s="444">
        <f t="array" ref="J2889">IFERROR(INDEX('Retirement Calculator'!K:K,MATCH('Lorri 401b'!N2889,'Retirement Calculator'!A:A,0),0),0)</f>
        <v>0</v>
      </c>
      <c r="K2889" s="444">
        <f t="shared" ca="1" si="138"/>
        <v>-152817642.43455219</v>
      </c>
      <c r="L2889" s="444">
        <f t="shared" ca="1" si="139"/>
        <v>-36829051826.727081</v>
      </c>
      <c r="M2889" s="460">
        <f t="shared" si="141"/>
        <v>0.05</v>
      </c>
      <c r="N2889" s="464">
        <f t="shared" si="142"/>
        <v>138976</v>
      </c>
    </row>
    <row r="2890" spans="7:14" ht="11.25" customHeight="1" x14ac:dyDescent="0.3">
      <c r="G2890" s="459"/>
      <c r="H2890" s="459">
        <v>2883</v>
      </c>
      <c r="I2890" s="444">
        <f t="shared" ca="1" si="140"/>
        <v>-36829051826.727081</v>
      </c>
      <c r="J2890" s="444">
        <f t="array" ref="J2890">IFERROR(INDEX('Retirement Calculator'!K:K,MATCH('Lorri 401b'!N2890,'Retirement Calculator'!A:A,0),0),0)</f>
        <v>0</v>
      </c>
      <c r="K2890" s="444">
        <f t="shared" ca="1" si="138"/>
        <v>-153454382.61136284</v>
      </c>
      <c r="L2890" s="444">
        <f t="shared" ca="1" si="139"/>
        <v>-36982506209.338448</v>
      </c>
      <c r="M2890" s="460">
        <f t="shared" si="141"/>
        <v>0.05</v>
      </c>
      <c r="N2890" s="464">
        <f t="shared" si="142"/>
        <v>139007</v>
      </c>
    </row>
    <row r="2891" spans="7:14" ht="11.25" customHeight="1" x14ac:dyDescent="0.3">
      <c r="G2891" s="459"/>
      <c r="H2891" s="459">
        <v>2884</v>
      </c>
      <c r="I2891" s="444">
        <f t="shared" ca="1" si="140"/>
        <v>-36982506209.338448</v>
      </c>
      <c r="J2891" s="444">
        <f t="array" ref="J2891">IFERROR(INDEX('Retirement Calculator'!K:K,MATCH('Lorri 401b'!N2891,'Retirement Calculator'!A:A,0),0),0)</f>
        <v>0</v>
      </c>
      <c r="K2891" s="444">
        <f t="shared" ca="1" si="138"/>
        <v>-154093775.87224352</v>
      </c>
      <c r="L2891" s="444">
        <f t="shared" ca="1" si="139"/>
        <v>-37136599985.210693</v>
      </c>
      <c r="M2891" s="460">
        <f t="shared" si="141"/>
        <v>0.05</v>
      </c>
      <c r="N2891" s="464">
        <f t="shared" si="142"/>
        <v>139038</v>
      </c>
    </row>
    <row r="2892" spans="7:14" ht="11.25" customHeight="1" x14ac:dyDescent="0.3">
      <c r="G2892" s="459"/>
      <c r="H2892" s="459">
        <v>2885</v>
      </c>
      <c r="I2892" s="444">
        <f t="shared" ca="1" si="140"/>
        <v>-37136599985.210693</v>
      </c>
      <c r="J2892" s="444">
        <f t="array" ref="J2892">IFERROR(INDEX('Retirement Calculator'!K:K,MATCH('Lorri 401b'!N2892,'Retirement Calculator'!A:A,0),0),0)</f>
        <v>0</v>
      </c>
      <c r="K2892" s="444">
        <f t="shared" ca="1" si="138"/>
        <v>-154735833.27171123</v>
      </c>
      <c r="L2892" s="444">
        <f t="shared" ca="1" si="139"/>
        <v>-37291335818.482407</v>
      </c>
      <c r="M2892" s="460">
        <f t="shared" si="141"/>
        <v>0.05</v>
      </c>
      <c r="N2892" s="464">
        <f t="shared" si="142"/>
        <v>139068</v>
      </c>
    </row>
    <row r="2893" spans="7:14" ht="11.25" customHeight="1" x14ac:dyDescent="0.3">
      <c r="G2893" s="459"/>
      <c r="H2893" s="459">
        <v>2886</v>
      </c>
      <c r="I2893" s="444">
        <f t="shared" ca="1" si="140"/>
        <v>-37291335818.482407</v>
      </c>
      <c r="J2893" s="444">
        <f t="array" ref="J2893">IFERROR(INDEX('Retirement Calculator'!K:K,MATCH('Lorri 401b'!N2893,'Retirement Calculator'!A:A,0),0),0)</f>
        <v>0</v>
      </c>
      <c r="K2893" s="444">
        <f t="shared" ca="1" si="138"/>
        <v>-155380565.91034335</v>
      </c>
      <c r="L2893" s="444">
        <f t="shared" ca="1" si="139"/>
        <v>-37446716384.392754</v>
      </c>
      <c r="M2893" s="460">
        <f t="shared" si="141"/>
        <v>0.05</v>
      </c>
      <c r="N2893" s="464">
        <f t="shared" si="142"/>
        <v>139099</v>
      </c>
    </row>
    <row r="2894" spans="7:14" ht="11.25" customHeight="1" x14ac:dyDescent="0.3">
      <c r="G2894" s="459"/>
      <c r="H2894" s="459">
        <v>2887</v>
      </c>
      <c r="I2894" s="444">
        <f t="shared" ca="1" si="140"/>
        <v>-37446716384.392754</v>
      </c>
      <c r="J2894" s="444">
        <f t="array" ref="J2894">IFERROR(INDEX('Retirement Calculator'!K:K,MATCH('Lorri 401b'!N2894,'Retirement Calculator'!A:A,0),0),0)</f>
        <v>0</v>
      </c>
      <c r="K2894" s="444">
        <f t="shared" ca="1" si="138"/>
        <v>-156027984.93496981</v>
      </c>
      <c r="L2894" s="444">
        <f t="shared" ca="1" si="139"/>
        <v>-37602744369.327721</v>
      </c>
      <c r="M2894" s="460">
        <f t="shared" si="141"/>
        <v>0.05</v>
      </c>
      <c r="N2894" s="464">
        <f t="shared" si="142"/>
        <v>139129</v>
      </c>
    </row>
    <row r="2895" spans="7:14" ht="11.25" customHeight="1" x14ac:dyDescent="0.3">
      <c r="G2895" s="459"/>
      <c r="H2895" s="459">
        <v>2888</v>
      </c>
      <c r="I2895" s="444">
        <f t="shared" ca="1" si="140"/>
        <v>-37602744369.327721</v>
      </c>
      <c r="J2895" s="444">
        <f t="array" ref="J2895">IFERROR(INDEX('Retirement Calculator'!K:K,MATCH('Lorri 401b'!N2895,'Retirement Calculator'!A:A,0),0),0)</f>
        <v>0</v>
      </c>
      <c r="K2895" s="444">
        <f t="shared" ca="1" si="138"/>
        <v>-156678101.53886551</v>
      </c>
      <c r="L2895" s="444">
        <f t="shared" ca="1" si="139"/>
        <v>-37759422470.866585</v>
      </c>
      <c r="M2895" s="460">
        <f t="shared" si="141"/>
        <v>0.05</v>
      </c>
      <c r="N2895" s="464">
        <f t="shared" si="142"/>
        <v>139160</v>
      </c>
    </row>
    <row r="2896" spans="7:14" ht="11.25" customHeight="1" x14ac:dyDescent="0.3">
      <c r="G2896" s="459"/>
      <c r="H2896" s="459">
        <v>2889</v>
      </c>
      <c r="I2896" s="444">
        <f t="shared" ca="1" si="140"/>
        <v>-37759422470.866585</v>
      </c>
      <c r="J2896" s="444">
        <f t="array" ref="J2896">IFERROR(INDEX('Retirement Calculator'!K:K,MATCH('Lorri 401b'!N2896,'Retirement Calculator'!A:A,0),0),0)</f>
        <v>0</v>
      </c>
      <c r="K2896" s="444">
        <f t="shared" ca="1" si="138"/>
        <v>-157330926.9619441</v>
      </c>
      <c r="L2896" s="444">
        <f t="shared" ca="1" si="139"/>
        <v>-37916753397.828529</v>
      </c>
      <c r="M2896" s="460">
        <f t="shared" si="141"/>
        <v>0.05</v>
      </c>
      <c r="N2896" s="464">
        <f t="shared" si="142"/>
        <v>139191</v>
      </c>
    </row>
    <row r="2897" spans="7:14" ht="11.25" customHeight="1" x14ac:dyDescent="0.3">
      <c r="G2897" s="459"/>
      <c r="H2897" s="459">
        <v>2890</v>
      </c>
      <c r="I2897" s="444">
        <f t="shared" ca="1" si="140"/>
        <v>-37916753397.828529</v>
      </c>
      <c r="J2897" s="444">
        <f t="array" ref="J2897">IFERROR(INDEX('Retirement Calculator'!K:K,MATCH('Lorri 401b'!N2897,'Retirement Calculator'!A:A,0),0),0)</f>
        <v>0</v>
      </c>
      <c r="K2897" s="444">
        <f t="shared" ca="1" si="138"/>
        <v>-157986472.49095219</v>
      </c>
      <c r="L2897" s="444">
        <f t="shared" ca="1" si="139"/>
        <v>-38074739870.319481</v>
      </c>
      <c r="M2897" s="460">
        <f t="shared" si="141"/>
        <v>0.05</v>
      </c>
      <c r="N2897" s="464">
        <f t="shared" si="142"/>
        <v>139219</v>
      </c>
    </row>
    <row r="2898" spans="7:14" ht="11.25" customHeight="1" x14ac:dyDescent="0.3">
      <c r="G2898" s="459"/>
      <c r="H2898" s="459">
        <v>2891</v>
      </c>
      <c r="I2898" s="444">
        <f t="shared" ca="1" si="140"/>
        <v>-38074739870.319481</v>
      </c>
      <c r="J2898" s="444">
        <f t="array" ref="J2898">IFERROR(INDEX('Retirement Calculator'!K:K,MATCH('Lorri 401b'!N2898,'Retirement Calculator'!A:A,0),0),0)</f>
        <v>0</v>
      </c>
      <c r="K2898" s="444">
        <f t="shared" ca="1" si="138"/>
        <v>-158644749.45966449</v>
      </c>
      <c r="L2898" s="444">
        <f t="shared" ca="1" si="139"/>
        <v>-38233384619.779144</v>
      </c>
      <c r="M2898" s="460">
        <f t="shared" si="141"/>
        <v>0.05</v>
      </c>
      <c r="N2898" s="464">
        <f t="shared" si="142"/>
        <v>139250</v>
      </c>
    </row>
    <row r="2899" spans="7:14" ht="11.25" customHeight="1" x14ac:dyDescent="0.3">
      <c r="G2899" s="459"/>
      <c r="H2899" s="459">
        <v>2892</v>
      </c>
      <c r="I2899" s="444">
        <f t="shared" ca="1" si="140"/>
        <v>-38233384619.779144</v>
      </c>
      <c r="J2899" s="444">
        <f t="array" ref="J2899">IFERROR(INDEX('Retirement Calculator'!K:K,MATCH('Lorri 401b'!N2899,'Retirement Calculator'!A:A,0),0),0)</f>
        <v>0</v>
      </c>
      <c r="K2899" s="444">
        <f t="shared" ca="1" si="138"/>
        <v>-159305769.24907976</v>
      </c>
      <c r="L2899" s="444">
        <f t="shared" ca="1" si="139"/>
        <v>-38392690389.028221</v>
      </c>
      <c r="M2899" s="460">
        <f t="shared" si="141"/>
        <v>0.05</v>
      </c>
      <c r="N2899" s="464">
        <f t="shared" si="142"/>
        <v>139280</v>
      </c>
    </row>
    <row r="2900" spans="7:14" ht="11.25" customHeight="1" x14ac:dyDescent="0.3">
      <c r="G2900" s="459"/>
      <c r="H2900" s="459">
        <v>2893</v>
      </c>
      <c r="I2900" s="444">
        <f t="shared" ca="1" si="140"/>
        <v>-38392690389.028221</v>
      </c>
      <c r="J2900" s="444">
        <f t="array" ref="J2900">IFERROR(INDEX('Retirement Calculator'!K:K,MATCH('Lorri 401b'!N2900,'Retirement Calculator'!A:A,0),0),0)</f>
        <v>0</v>
      </c>
      <c r="K2900" s="444">
        <f t="shared" ca="1" si="138"/>
        <v>-159969543.28761759</v>
      </c>
      <c r="L2900" s="444">
        <f t="shared" ca="1" si="139"/>
        <v>-38552659932.315842</v>
      </c>
      <c r="M2900" s="460">
        <f t="shared" si="141"/>
        <v>0.05</v>
      </c>
      <c r="N2900" s="464">
        <f t="shared" si="142"/>
        <v>139311</v>
      </c>
    </row>
    <row r="2901" spans="7:14" ht="11.25" customHeight="1" x14ac:dyDescent="0.3">
      <c r="G2901" s="459"/>
      <c r="H2901" s="459">
        <v>2894</v>
      </c>
      <c r="I2901" s="444">
        <f t="shared" ca="1" si="140"/>
        <v>-38552659932.315842</v>
      </c>
      <c r="J2901" s="444">
        <f t="array" ref="J2901">IFERROR(INDEX('Retirement Calculator'!K:K,MATCH('Lorri 401b'!N2901,'Retirement Calculator'!A:A,0),0),0)</f>
        <v>0</v>
      </c>
      <c r="K2901" s="444">
        <f t="shared" ca="1" si="138"/>
        <v>-160636083.05131599</v>
      </c>
      <c r="L2901" s="444">
        <f t="shared" ca="1" si="139"/>
        <v>-38713296015.367157</v>
      </c>
      <c r="M2901" s="460">
        <f t="shared" si="141"/>
        <v>0.05</v>
      </c>
      <c r="N2901" s="464">
        <f t="shared" si="142"/>
        <v>139341</v>
      </c>
    </row>
    <row r="2902" spans="7:14" ht="11.25" customHeight="1" x14ac:dyDescent="0.3">
      <c r="G2902" s="459"/>
      <c r="H2902" s="459">
        <v>2895</v>
      </c>
      <c r="I2902" s="444">
        <f t="shared" ca="1" si="140"/>
        <v>-38713296015.367157</v>
      </c>
      <c r="J2902" s="444">
        <f t="array" ref="J2902">IFERROR(INDEX('Retirement Calculator'!K:K,MATCH('Lorri 401b'!N2902,'Retirement Calculator'!A:A,0),0),0)</f>
        <v>0</v>
      </c>
      <c r="K2902" s="444">
        <f t="shared" ca="1" si="138"/>
        <v>-161305400.06402981</v>
      </c>
      <c r="L2902" s="444">
        <f t="shared" ca="1" si="139"/>
        <v>-38874601415.43119</v>
      </c>
      <c r="M2902" s="460">
        <f t="shared" si="141"/>
        <v>0.05</v>
      </c>
      <c r="N2902" s="464">
        <f t="shared" si="142"/>
        <v>139372</v>
      </c>
    </row>
    <row r="2903" spans="7:14" ht="11.25" customHeight="1" x14ac:dyDescent="0.3">
      <c r="G2903" s="459"/>
      <c r="H2903" s="459">
        <v>2896</v>
      </c>
      <c r="I2903" s="444">
        <f t="shared" ca="1" si="140"/>
        <v>-38874601415.43119</v>
      </c>
      <c r="J2903" s="444">
        <f t="array" ref="J2903">IFERROR(INDEX('Retirement Calculator'!K:K,MATCH('Lorri 401b'!N2903,'Retirement Calculator'!A:A,0),0),0)</f>
        <v>0</v>
      </c>
      <c r="K2903" s="444">
        <f t="shared" ca="1" si="138"/>
        <v>-161977505.89762995</v>
      </c>
      <c r="L2903" s="444">
        <f t="shared" ca="1" si="139"/>
        <v>-39036578921.328819</v>
      </c>
      <c r="M2903" s="460">
        <f t="shared" si="141"/>
        <v>0.05</v>
      </c>
      <c r="N2903" s="464">
        <f t="shared" si="142"/>
        <v>139403</v>
      </c>
    </row>
    <row r="2904" spans="7:14" ht="11.25" customHeight="1" x14ac:dyDescent="0.3">
      <c r="G2904" s="459"/>
      <c r="H2904" s="459">
        <v>2897</v>
      </c>
      <c r="I2904" s="444">
        <f t="shared" ca="1" si="140"/>
        <v>-39036578921.328819</v>
      </c>
      <c r="J2904" s="444">
        <f t="array" ref="J2904">IFERROR(INDEX('Retirement Calculator'!K:K,MATCH('Lorri 401b'!N2904,'Retirement Calculator'!A:A,0),0),0)</f>
        <v>0</v>
      </c>
      <c r="K2904" s="444">
        <f t="shared" ca="1" si="138"/>
        <v>-162652412.17220342</v>
      </c>
      <c r="L2904" s="444">
        <f t="shared" ca="1" si="139"/>
        <v>-39199231333.501022</v>
      </c>
      <c r="M2904" s="460">
        <f t="shared" si="141"/>
        <v>0.05</v>
      </c>
      <c r="N2904" s="464">
        <f t="shared" si="142"/>
        <v>139433</v>
      </c>
    </row>
    <row r="2905" spans="7:14" ht="11.25" customHeight="1" x14ac:dyDescent="0.3">
      <c r="G2905" s="459"/>
      <c r="H2905" s="459">
        <v>2898</v>
      </c>
      <c r="I2905" s="444">
        <f t="shared" ca="1" si="140"/>
        <v>-39199231333.501022</v>
      </c>
      <c r="J2905" s="444">
        <f t="array" ref="J2905">IFERROR(INDEX('Retirement Calculator'!K:K,MATCH('Lorri 401b'!N2905,'Retirement Calculator'!A:A,0),0),0)</f>
        <v>0</v>
      </c>
      <c r="K2905" s="444">
        <f t="shared" ca="1" si="138"/>
        <v>-163330130.55625427</v>
      </c>
      <c r="L2905" s="444">
        <f t="shared" ca="1" si="139"/>
        <v>-39362561464.057274</v>
      </c>
      <c r="M2905" s="460">
        <f t="shared" si="141"/>
        <v>0.05</v>
      </c>
      <c r="N2905" s="464">
        <f t="shared" si="142"/>
        <v>139464</v>
      </c>
    </row>
    <row r="2906" spans="7:14" ht="11.25" customHeight="1" x14ac:dyDescent="0.3">
      <c r="G2906" s="459"/>
      <c r="H2906" s="459">
        <v>2899</v>
      </c>
      <c r="I2906" s="444">
        <f t="shared" ca="1" si="140"/>
        <v>-39362561464.057274</v>
      </c>
      <c r="J2906" s="444">
        <f t="array" ref="J2906">IFERROR(INDEX('Retirement Calculator'!K:K,MATCH('Lorri 401b'!N2906,'Retirement Calculator'!A:A,0),0),0)</f>
        <v>0</v>
      </c>
      <c r="K2906" s="444">
        <f t="shared" ca="1" si="138"/>
        <v>-164010672.76690531</v>
      </c>
      <c r="L2906" s="444">
        <f t="shared" ca="1" si="139"/>
        <v>-39526572136.824181</v>
      </c>
      <c r="M2906" s="460">
        <f t="shared" si="141"/>
        <v>0.05</v>
      </c>
      <c r="N2906" s="464">
        <f t="shared" si="142"/>
        <v>139494</v>
      </c>
    </row>
    <row r="2907" spans="7:14" ht="11.25" customHeight="1" x14ac:dyDescent="0.3">
      <c r="G2907" s="459"/>
      <c r="H2907" s="459">
        <v>2900</v>
      </c>
      <c r="I2907" s="444">
        <f t="shared" ca="1" si="140"/>
        <v>-39526572136.824181</v>
      </c>
      <c r="J2907" s="444">
        <f t="array" ref="J2907">IFERROR(INDEX('Retirement Calculator'!K:K,MATCH('Lorri 401b'!N2907,'Retirement Calculator'!A:A,0),0),0)</f>
        <v>0</v>
      </c>
      <c r="K2907" s="444">
        <f t="shared" ca="1" si="138"/>
        <v>-164694050.57010075</v>
      </c>
      <c r="L2907" s="444">
        <f t="shared" ca="1" si="139"/>
        <v>-39691266187.394279</v>
      </c>
      <c r="M2907" s="460">
        <f t="shared" si="141"/>
        <v>0.05</v>
      </c>
      <c r="N2907" s="464">
        <f t="shared" si="142"/>
        <v>139525</v>
      </c>
    </row>
    <row r="2908" spans="7:14" ht="11.25" customHeight="1" x14ac:dyDescent="0.3">
      <c r="G2908" s="459"/>
      <c r="H2908" s="459">
        <v>2901</v>
      </c>
      <c r="I2908" s="444">
        <f t="shared" ca="1" si="140"/>
        <v>-39691266187.394279</v>
      </c>
      <c r="J2908" s="444">
        <f t="array" ref="J2908">IFERROR(INDEX('Retirement Calculator'!K:K,MATCH('Lorri 401b'!N2908,'Retirement Calculator'!A:A,0),0),0)</f>
        <v>0</v>
      </c>
      <c r="K2908" s="444">
        <f t="shared" ca="1" si="138"/>
        <v>-165380275.78080949</v>
      </c>
      <c r="L2908" s="444">
        <f t="shared" ca="1" si="139"/>
        <v>-39856646463.175087</v>
      </c>
      <c r="M2908" s="460">
        <f t="shared" si="141"/>
        <v>0.05</v>
      </c>
      <c r="N2908" s="464">
        <f t="shared" si="142"/>
        <v>139556</v>
      </c>
    </row>
    <row r="2909" spans="7:14" ht="11.25" customHeight="1" x14ac:dyDescent="0.3">
      <c r="G2909" s="459"/>
      <c r="H2909" s="459">
        <v>2902</v>
      </c>
      <c r="I2909" s="444">
        <f t="shared" ca="1" si="140"/>
        <v>-39856646463.175087</v>
      </c>
      <c r="J2909" s="444">
        <f t="array" ref="J2909">IFERROR(INDEX('Retirement Calculator'!K:K,MATCH('Lorri 401b'!N2909,'Retirement Calculator'!A:A,0),0),0)</f>
        <v>0</v>
      </c>
      <c r="K2909" s="444">
        <f t="shared" ca="1" si="138"/>
        <v>-166069360.26322952</v>
      </c>
      <c r="L2909" s="444">
        <f t="shared" ca="1" si="139"/>
        <v>-40022715823.438316</v>
      </c>
      <c r="M2909" s="460">
        <f t="shared" si="141"/>
        <v>0.05</v>
      </c>
      <c r="N2909" s="464">
        <f t="shared" si="142"/>
        <v>139584</v>
      </c>
    </row>
    <row r="2910" spans="7:14" ht="11.25" customHeight="1" x14ac:dyDescent="0.3">
      <c r="G2910" s="459"/>
      <c r="H2910" s="459">
        <v>2903</v>
      </c>
      <c r="I2910" s="444">
        <f t="shared" ca="1" si="140"/>
        <v>-40022715823.438316</v>
      </c>
      <c r="J2910" s="444">
        <f t="array" ref="J2910">IFERROR(INDEX('Retirement Calculator'!K:K,MATCH('Lorri 401b'!N2910,'Retirement Calculator'!A:A,0),0),0)</f>
        <v>0</v>
      </c>
      <c r="K2910" s="444">
        <f t="shared" ca="1" si="138"/>
        <v>-166761315.93099299</v>
      </c>
      <c r="L2910" s="444">
        <f t="shared" ca="1" si="139"/>
        <v>-40189477139.369308</v>
      </c>
      <c r="M2910" s="460">
        <f t="shared" si="141"/>
        <v>0.05</v>
      </c>
      <c r="N2910" s="464">
        <f t="shared" si="142"/>
        <v>139615</v>
      </c>
    </row>
    <row r="2911" spans="7:14" ht="11.25" customHeight="1" x14ac:dyDescent="0.3">
      <c r="G2911" s="459"/>
      <c r="H2911" s="459">
        <v>2904</v>
      </c>
      <c r="I2911" s="444">
        <f t="shared" ca="1" si="140"/>
        <v>-40189477139.369308</v>
      </c>
      <c r="J2911" s="444">
        <f t="array" ref="J2911">IFERROR(INDEX('Retirement Calculator'!K:K,MATCH('Lorri 401b'!N2911,'Retirement Calculator'!A:A,0),0),0)</f>
        <v>0</v>
      </c>
      <c r="K2911" s="444">
        <f t="shared" ca="1" si="138"/>
        <v>-167456154.74737212</v>
      </c>
      <c r="L2911" s="444">
        <f t="shared" ca="1" si="139"/>
        <v>-40356933294.116684</v>
      </c>
      <c r="M2911" s="460">
        <f t="shared" si="141"/>
        <v>0.05</v>
      </c>
      <c r="N2911" s="464">
        <f t="shared" si="142"/>
        <v>139645</v>
      </c>
    </row>
    <row r="2912" spans="7:14" ht="11.25" customHeight="1" x14ac:dyDescent="0.3">
      <c r="G2912" s="459"/>
      <c r="H2912" s="459">
        <v>2905</v>
      </c>
      <c r="I2912" s="444">
        <f t="shared" ca="1" si="140"/>
        <v>-40356933294.116684</v>
      </c>
      <c r="J2912" s="444">
        <f t="array" ref="J2912">IFERROR(INDEX('Retirement Calculator'!K:K,MATCH('Lorri 401b'!N2912,'Retirement Calculator'!A:A,0),0),0)</f>
        <v>0</v>
      </c>
      <c r="K2912" s="444">
        <f t="shared" ca="1" si="138"/>
        <v>-168153888.72548619</v>
      </c>
      <c r="L2912" s="444">
        <f t="shared" ca="1" si="139"/>
        <v>-40525087182.842171</v>
      </c>
      <c r="M2912" s="460">
        <f t="shared" si="141"/>
        <v>0.05</v>
      </c>
      <c r="N2912" s="464">
        <f t="shared" si="142"/>
        <v>139676</v>
      </c>
    </row>
    <row r="2913" spans="7:14" ht="11.25" customHeight="1" x14ac:dyDescent="0.3">
      <c r="G2913" s="459"/>
      <c r="H2913" s="459">
        <v>2906</v>
      </c>
      <c r="I2913" s="444">
        <f t="shared" ca="1" si="140"/>
        <v>-40525087182.842171</v>
      </c>
      <c r="J2913" s="444">
        <f t="array" ref="J2913">IFERROR(INDEX('Retirement Calculator'!K:K,MATCH('Lorri 401b'!N2913,'Retirement Calculator'!A:A,0),0),0)</f>
        <v>0</v>
      </c>
      <c r="K2913" s="444">
        <f t="shared" ca="1" si="138"/>
        <v>-168854529.92850906</v>
      </c>
      <c r="L2913" s="444">
        <f t="shared" ca="1" si="139"/>
        <v>-40693941712.770683</v>
      </c>
      <c r="M2913" s="460">
        <f t="shared" si="141"/>
        <v>0.05</v>
      </c>
      <c r="N2913" s="464">
        <f t="shared" si="142"/>
        <v>139706</v>
      </c>
    </row>
    <row r="2914" spans="7:14" ht="11.25" customHeight="1" x14ac:dyDescent="0.3">
      <c r="G2914" s="459"/>
      <c r="H2914" s="459">
        <v>2907</v>
      </c>
      <c r="I2914" s="444">
        <f t="shared" ca="1" si="140"/>
        <v>-40693941712.770683</v>
      </c>
      <c r="J2914" s="444">
        <f t="array" ref="J2914">IFERROR(INDEX('Retirement Calculator'!K:K,MATCH('Lorri 401b'!N2914,'Retirement Calculator'!A:A,0),0),0)</f>
        <v>0</v>
      </c>
      <c r="K2914" s="444">
        <f t="shared" ca="1" si="138"/>
        <v>-169558090.46987784</v>
      </c>
      <c r="L2914" s="444">
        <f t="shared" ca="1" si="139"/>
        <v>-40863499803.240562</v>
      </c>
      <c r="M2914" s="460">
        <f t="shared" si="141"/>
        <v>0.05</v>
      </c>
      <c r="N2914" s="464">
        <f t="shared" si="142"/>
        <v>139737</v>
      </c>
    </row>
    <row r="2915" spans="7:14" ht="11.25" customHeight="1" x14ac:dyDescent="0.3">
      <c r="G2915" s="459"/>
      <c r="H2915" s="459">
        <v>2908</v>
      </c>
      <c r="I2915" s="444">
        <f t="shared" ca="1" si="140"/>
        <v>-40863499803.240562</v>
      </c>
      <c r="J2915" s="444">
        <f t="array" ref="J2915">IFERROR(INDEX('Retirement Calculator'!K:K,MATCH('Lorri 401b'!N2915,'Retirement Calculator'!A:A,0),0),0)</f>
        <v>0</v>
      </c>
      <c r="K2915" s="444">
        <f t="shared" ca="1" si="138"/>
        <v>-170264582.51350233</v>
      </c>
      <c r="L2915" s="444">
        <f t="shared" ca="1" si="139"/>
        <v>-41033764385.754066</v>
      </c>
      <c r="M2915" s="460">
        <f t="shared" si="141"/>
        <v>0.05</v>
      </c>
      <c r="N2915" s="464">
        <f t="shared" si="142"/>
        <v>139768</v>
      </c>
    </row>
    <row r="2916" spans="7:14" ht="11.25" customHeight="1" x14ac:dyDescent="0.3">
      <c r="G2916" s="459"/>
      <c r="H2916" s="459">
        <v>2909</v>
      </c>
      <c r="I2916" s="444">
        <f t="shared" ca="1" si="140"/>
        <v>-41033764385.754066</v>
      </c>
      <c r="J2916" s="444">
        <f t="array" ref="J2916">IFERROR(INDEX('Retirement Calculator'!K:K,MATCH('Lorri 401b'!N2916,'Retirement Calculator'!A:A,0),0),0)</f>
        <v>0</v>
      </c>
      <c r="K2916" s="444">
        <f t="shared" ca="1" si="138"/>
        <v>-170974018.27397528</v>
      </c>
      <c r="L2916" s="444">
        <f t="shared" ca="1" si="139"/>
        <v>-41204738404.028038</v>
      </c>
      <c r="M2916" s="460">
        <f t="shared" si="141"/>
        <v>0.05</v>
      </c>
      <c r="N2916" s="464">
        <f t="shared" si="142"/>
        <v>139798</v>
      </c>
    </row>
    <row r="2917" spans="7:14" ht="11.25" customHeight="1" x14ac:dyDescent="0.3">
      <c r="G2917" s="459"/>
      <c r="H2917" s="459">
        <v>2910</v>
      </c>
      <c r="I2917" s="444">
        <f t="shared" ca="1" si="140"/>
        <v>-41204738404.028038</v>
      </c>
      <c r="J2917" s="444">
        <f t="array" ref="J2917">IFERROR(INDEX('Retirement Calculator'!K:K,MATCH('Lorri 401b'!N2917,'Retirement Calculator'!A:A,0),0),0)</f>
        <v>0</v>
      </c>
      <c r="K2917" s="444">
        <f t="shared" ca="1" si="138"/>
        <v>-171686410.01678348</v>
      </c>
      <c r="L2917" s="444">
        <f t="shared" ca="1" si="139"/>
        <v>-41376424814.044823</v>
      </c>
      <c r="M2917" s="460">
        <f t="shared" si="141"/>
        <v>0.05</v>
      </c>
      <c r="N2917" s="464">
        <f t="shared" si="142"/>
        <v>139829</v>
      </c>
    </row>
    <row r="2918" spans="7:14" ht="11.25" customHeight="1" x14ac:dyDescent="0.3">
      <c r="G2918" s="459"/>
      <c r="H2918" s="459">
        <v>2911</v>
      </c>
      <c r="I2918" s="444">
        <f t="shared" ca="1" si="140"/>
        <v>-41376424814.044823</v>
      </c>
      <c r="J2918" s="444">
        <f t="array" ref="J2918">IFERROR(INDEX('Retirement Calculator'!K:K,MATCH('Lorri 401b'!N2918,'Retirement Calculator'!A:A,0),0),0)</f>
        <v>0</v>
      </c>
      <c r="K2918" s="444">
        <f t="shared" ca="1" si="138"/>
        <v>-172401770.05852008</v>
      </c>
      <c r="L2918" s="444">
        <f t="shared" ca="1" si="139"/>
        <v>-41548826584.10334</v>
      </c>
      <c r="M2918" s="460">
        <f t="shared" si="141"/>
        <v>0.05</v>
      </c>
      <c r="N2918" s="464">
        <f t="shared" si="142"/>
        <v>139859</v>
      </c>
    </row>
    <row r="2919" spans="7:14" ht="11.25" customHeight="1" x14ac:dyDescent="0.3">
      <c r="G2919" s="459"/>
      <c r="H2919" s="459">
        <v>2912</v>
      </c>
      <c r="I2919" s="444">
        <f t="shared" ca="1" si="140"/>
        <v>-41548826584.10334</v>
      </c>
      <c r="J2919" s="444">
        <f t="array" ref="J2919">IFERROR(INDEX('Retirement Calculator'!K:K,MATCH('Lorri 401b'!N2919,'Retirement Calculator'!A:A,0),0),0)</f>
        <v>0</v>
      </c>
      <c r="K2919" s="444">
        <f t="shared" ca="1" si="138"/>
        <v>-173120110.76709723</v>
      </c>
      <c r="L2919" s="444">
        <f t="shared" ca="1" si="139"/>
        <v>-41721946694.870438</v>
      </c>
      <c r="M2919" s="460">
        <f t="shared" si="141"/>
        <v>0.05</v>
      </c>
      <c r="N2919" s="464">
        <f t="shared" si="142"/>
        <v>139890</v>
      </c>
    </row>
    <row r="2920" spans="7:14" ht="11.25" customHeight="1" x14ac:dyDescent="0.3">
      <c r="G2920" s="459"/>
      <c r="H2920" s="459">
        <v>2913</v>
      </c>
      <c r="I2920" s="444">
        <f t="shared" ca="1" si="140"/>
        <v>-41721946694.870438</v>
      </c>
      <c r="J2920" s="444">
        <f t="array" ref="J2920">IFERROR(INDEX('Retirement Calculator'!K:K,MATCH('Lorri 401b'!N2920,'Retirement Calculator'!A:A,0),0),0)</f>
        <v>0</v>
      </c>
      <c r="K2920" s="444">
        <f t="shared" ca="1" si="138"/>
        <v>-173841444.56196016</v>
      </c>
      <c r="L2920" s="444">
        <f t="shared" ca="1" si="139"/>
        <v>-41895788139.432396</v>
      </c>
      <c r="M2920" s="460">
        <f t="shared" si="141"/>
        <v>0.05</v>
      </c>
      <c r="N2920" s="464">
        <f t="shared" si="142"/>
        <v>139921</v>
      </c>
    </row>
    <row r="2921" spans="7:14" ht="11.25" customHeight="1" x14ac:dyDescent="0.3">
      <c r="G2921" s="459"/>
      <c r="H2921" s="459">
        <v>2914</v>
      </c>
      <c r="I2921" s="444">
        <f t="shared" ca="1" si="140"/>
        <v>-41895788139.432396</v>
      </c>
      <c r="J2921" s="444">
        <f t="array" ref="J2921">IFERROR(INDEX('Retirement Calculator'!K:K,MATCH('Lorri 401b'!N2921,'Retirement Calculator'!A:A,0),0),0)</f>
        <v>0</v>
      </c>
      <c r="K2921" s="444">
        <f t="shared" ca="1" si="138"/>
        <v>-174565783.91430163</v>
      </c>
      <c r="L2921" s="444">
        <f t="shared" ca="1" si="139"/>
        <v>-42070353923.346695</v>
      </c>
      <c r="M2921" s="460">
        <f t="shared" si="141"/>
        <v>0.05</v>
      </c>
      <c r="N2921" s="464">
        <f t="shared" si="142"/>
        <v>139949</v>
      </c>
    </row>
    <row r="2922" spans="7:14" ht="11.25" customHeight="1" x14ac:dyDescent="0.3">
      <c r="G2922" s="459"/>
      <c r="H2922" s="459">
        <v>2915</v>
      </c>
      <c r="I2922" s="444">
        <f t="shared" ca="1" si="140"/>
        <v>-42070353923.346695</v>
      </c>
      <c r="J2922" s="444">
        <f t="array" ref="J2922">IFERROR(INDEX('Retirement Calculator'!K:K,MATCH('Lorri 401b'!N2922,'Retirement Calculator'!A:A,0),0),0)</f>
        <v>0</v>
      </c>
      <c r="K2922" s="444">
        <f t="shared" ca="1" si="138"/>
        <v>-175293141.34727788</v>
      </c>
      <c r="L2922" s="444">
        <f t="shared" ca="1" si="139"/>
        <v>-42245647064.69397</v>
      </c>
      <c r="M2922" s="460">
        <f t="shared" si="141"/>
        <v>0.05</v>
      </c>
      <c r="N2922" s="464">
        <f t="shared" si="142"/>
        <v>139980</v>
      </c>
    </row>
    <row r="2923" spans="7:14" ht="11.25" customHeight="1" x14ac:dyDescent="0.3">
      <c r="G2923" s="459"/>
      <c r="H2923" s="459">
        <v>2916</v>
      </c>
      <c r="I2923" s="444">
        <f t="shared" ca="1" si="140"/>
        <v>-42245647064.69397</v>
      </c>
      <c r="J2923" s="444">
        <f t="array" ref="J2923">IFERROR(INDEX('Retirement Calculator'!K:K,MATCH('Lorri 401b'!N2923,'Retirement Calculator'!A:A,0),0),0)</f>
        <v>0</v>
      </c>
      <c r="K2923" s="444">
        <f t="shared" ca="1" si="138"/>
        <v>-176023529.43622488</v>
      </c>
      <c r="L2923" s="444">
        <f t="shared" ca="1" si="139"/>
        <v>-42421670594.130196</v>
      </c>
      <c r="M2923" s="460">
        <f t="shared" si="141"/>
        <v>0.05</v>
      </c>
      <c r="N2923" s="464">
        <f t="shared" si="142"/>
        <v>140010</v>
      </c>
    </row>
    <row r="2924" spans="7:14" ht="11.25" customHeight="1" x14ac:dyDescent="0.3">
      <c r="G2924" s="459"/>
      <c r="H2924" s="459">
        <v>2917</v>
      </c>
      <c r="I2924" s="444">
        <f t="shared" ca="1" si="140"/>
        <v>-42421670594.130196</v>
      </c>
      <c r="J2924" s="444">
        <f t="array" ref="J2924">IFERROR(INDEX('Retirement Calculator'!K:K,MATCH('Lorri 401b'!N2924,'Retirement Calculator'!A:A,0),0),0)</f>
        <v>0</v>
      </c>
      <c r="K2924" s="444">
        <f t="shared" ca="1" si="138"/>
        <v>-176756960.8088758</v>
      </c>
      <c r="L2924" s="444">
        <f t="shared" ca="1" si="139"/>
        <v>-42598427554.939072</v>
      </c>
      <c r="M2924" s="460">
        <f t="shared" si="141"/>
        <v>0.05</v>
      </c>
      <c r="N2924" s="464">
        <f t="shared" si="142"/>
        <v>140041</v>
      </c>
    </row>
    <row r="2925" spans="7:14" ht="11.25" customHeight="1" x14ac:dyDescent="0.3">
      <c r="G2925" s="459"/>
      <c r="H2925" s="459">
        <v>2918</v>
      </c>
      <c r="I2925" s="444">
        <f t="shared" ca="1" si="140"/>
        <v>-42598427554.939072</v>
      </c>
      <c r="J2925" s="444">
        <f t="array" ref="J2925">IFERROR(INDEX('Retirement Calculator'!K:K,MATCH('Lorri 401b'!N2925,'Retirement Calculator'!A:A,0),0),0)</f>
        <v>0</v>
      </c>
      <c r="K2925" s="444">
        <f t="shared" ca="1" si="138"/>
        <v>-177493448.14557946</v>
      </c>
      <c r="L2925" s="444">
        <f t="shared" ca="1" si="139"/>
        <v>-42775921003.084648</v>
      </c>
      <c r="M2925" s="460">
        <f t="shared" si="141"/>
        <v>0.05</v>
      </c>
      <c r="N2925" s="464">
        <f t="shared" si="142"/>
        <v>140071</v>
      </c>
    </row>
    <row r="2926" spans="7:14" ht="11.25" customHeight="1" x14ac:dyDescent="0.3">
      <c r="G2926" s="459"/>
      <c r="H2926" s="459">
        <v>2919</v>
      </c>
      <c r="I2926" s="444">
        <f t="shared" ca="1" si="140"/>
        <v>-42775921003.084648</v>
      </c>
      <c r="J2926" s="444">
        <f t="array" ref="J2926">IFERROR(INDEX('Retirement Calculator'!K:K,MATCH('Lorri 401b'!N2926,'Retirement Calculator'!A:A,0),0),0)</f>
        <v>0</v>
      </c>
      <c r="K2926" s="444">
        <f t="shared" ca="1" si="138"/>
        <v>-178233004.17951936</v>
      </c>
      <c r="L2926" s="444">
        <f t="shared" ca="1" si="139"/>
        <v>-42954154007.264168</v>
      </c>
      <c r="M2926" s="460">
        <f t="shared" si="141"/>
        <v>0.05</v>
      </c>
      <c r="N2926" s="464">
        <f t="shared" si="142"/>
        <v>140102</v>
      </c>
    </row>
    <row r="2927" spans="7:14" ht="11.25" customHeight="1" x14ac:dyDescent="0.3">
      <c r="G2927" s="459"/>
      <c r="H2927" s="459">
        <v>2920</v>
      </c>
      <c r="I2927" s="444">
        <f t="shared" ca="1" si="140"/>
        <v>-42954154007.264168</v>
      </c>
      <c r="J2927" s="444">
        <f t="array" ref="J2927">IFERROR(INDEX('Retirement Calculator'!K:K,MATCH('Lorri 401b'!N2927,'Retirement Calculator'!A:A,0),0),0)</f>
        <v>0</v>
      </c>
      <c r="K2927" s="444">
        <f t="shared" ca="1" si="138"/>
        <v>-178975641.69693404</v>
      </c>
      <c r="L2927" s="444">
        <f t="shared" ca="1" si="139"/>
        <v>-43133129648.961105</v>
      </c>
      <c r="M2927" s="460">
        <f t="shared" si="141"/>
        <v>0.05</v>
      </c>
      <c r="N2927" s="464">
        <f t="shared" si="142"/>
        <v>140133</v>
      </c>
    </row>
    <row r="2928" spans="7:14" ht="11.25" customHeight="1" x14ac:dyDescent="0.3">
      <c r="G2928" s="459"/>
      <c r="H2928" s="459">
        <v>2921</v>
      </c>
      <c r="I2928" s="444">
        <f t="shared" ca="1" si="140"/>
        <v>-43133129648.961105</v>
      </c>
      <c r="J2928" s="444">
        <f t="array" ref="J2928">IFERROR(INDEX('Retirement Calculator'!K:K,MATCH('Lorri 401b'!N2928,'Retirement Calculator'!A:A,0),0),0)</f>
        <v>0</v>
      </c>
      <c r="K2928" s="444">
        <f t="shared" ca="1" si="138"/>
        <v>-179721373.53733793</v>
      </c>
      <c r="L2928" s="444">
        <f t="shared" ca="1" si="139"/>
        <v>-43312851022.498444</v>
      </c>
      <c r="M2928" s="460">
        <f t="shared" si="141"/>
        <v>0.05</v>
      </c>
      <c r="N2928" s="464">
        <f t="shared" si="142"/>
        <v>140163</v>
      </c>
    </row>
    <row r="2929" spans="7:14" ht="11.25" customHeight="1" x14ac:dyDescent="0.3">
      <c r="G2929" s="459"/>
      <c r="H2929" s="459">
        <v>2922</v>
      </c>
      <c r="I2929" s="444">
        <f t="shared" ca="1" si="140"/>
        <v>-43312851022.498444</v>
      </c>
      <c r="J2929" s="444">
        <f t="array" ref="J2929">IFERROR(INDEX('Retirement Calculator'!K:K,MATCH('Lorri 401b'!N2929,'Retirement Calculator'!A:A,0),0),0)</f>
        <v>0</v>
      </c>
      <c r="K2929" s="444">
        <f t="shared" ca="1" si="138"/>
        <v>-180470212.5937435</v>
      </c>
      <c r="L2929" s="444">
        <f t="shared" ca="1" si="139"/>
        <v>-43493321235.092186</v>
      </c>
      <c r="M2929" s="460">
        <f t="shared" si="141"/>
        <v>0.05</v>
      </c>
      <c r="N2929" s="464">
        <f t="shared" si="142"/>
        <v>140194</v>
      </c>
    </row>
    <row r="2930" spans="7:14" ht="11.25" customHeight="1" x14ac:dyDescent="0.3">
      <c r="G2930" s="459"/>
      <c r="H2930" s="459">
        <v>2923</v>
      </c>
      <c r="I2930" s="444">
        <f t="shared" ca="1" si="140"/>
        <v>-43493321235.092186</v>
      </c>
      <c r="J2930" s="444">
        <f t="array" ref="J2930">IFERROR(INDEX('Retirement Calculator'!K:K,MATCH('Lorri 401b'!N2930,'Retirement Calculator'!A:A,0),0),0)</f>
        <v>0</v>
      </c>
      <c r="K2930" s="444">
        <f t="shared" ca="1" si="138"/>
        <v>-181222171.81288409</v>
      </c>
      <c r="L2930" s="444">
        <f t="shared" ca="1" si="139"/>
        <v>-43674543406.905067</v>
      </c>
      <c r="M2930" s="460">
        <f t="shared" si="141"/>
        <v>0.05</v>
      </c>
      <c r="N2930" s="464">
        <f t="shared" si="142"/>
        <v>140224</v>
      </c>
    </row>
    <row r="2931" spans="7:14" ht="11.25" customHeight="1" x14ac:dyDescent="0.3">
      <c r="G2931" s="459"/>
      <c r="H2931" s="459">
        <v>2924</v>
      </c>
      <c r="I2931" s="444">
        <f t="shared" ca="1" si="140"/>
        <v>-43674543406.905067</v>
      </c>
      <c r="J2931" s="444">
        <f t="array" ref="J2931">IFERROR(INDEX('Retirement Calculator'!K:K,MATCH('Lorri 401b'!N2931,'Retirement Calculator'!A:A,0),0),0)</f>
        <v>0</v>
      </c>
      <c r="K2931" s="444">
        <f t="shared" ca="1" si="138"/>
        <v>-181977264.19543779</v>
      </c>
      <c r="L2931" s="444">
        <f t="shared" ca="1" si="139"/>
        <v>-43856520671.100502</v>
      </c>
      <c r="M2931" s="460">
        <f t="shared" si="141"/>
        <v>0.05</v>
      </c>
      <c r="N2931" s="464">
        <f t="shared" si="142"/>
        <v>140255</v>
      </c>
    </row>
    <row r="2932" spans="7:14" ht="11.25" customHeight="1" x14ac:dyDescent="0.3">
      <c r="G2932" s="459"/>
      <c r="H2932" s="459">
        <v>2925</v>
      </c>
      <c r="I2932" s="444">
        <f t="shared" ca="1" si="140"/>
        <v>-43856520671.100502</v>
      </c>
      <c r="J2932" s="444">
        <f t="array" ref="J2932">IFERROR(INDEX('Retirement Calculator'!K:K,MATCH('Lorri 401b'!N2932,'Retirement Calculator'!A:A,0),0),0)</f>
        <v>0</v>
      </c>
      <c r="K2932" s="444">
        <f t="shared" ca="1" si="138"/>
        <v>-182735502.7962521</v>
      </c>
      <c r="L2932" s="444">
        <f t="shared" ca="1" si="139"/>
        <v>-44039256173.896751</v>
      </c>
      <c r="M2932" s="460">
        <f t="shared" si="141"/>
        <v>0.05</v>
      </c>
      <c r="N2932" s="464">
        <f t="shared" si="142"/>
        <v>140286</v>
      </c>
    </row>
    <row r="2933" spans="7:14" ht="11.25" customHeight="1" x14ac:dyDescent="0.3">
      <c r="G2933" s="459"/>
      <c r="H2933" s="459">
        <v>2926</v>
      </c>
      <c r="I2933" s="444">
        <f t="shared" ca="1" si="140"/>
        <v>-44039256173.896751</v>
      </c>
      <c r="J2933" s="444">
        <f t="array" ref="J2933">IFERROR(INDEX('Retirement Calculator'!K:K,MATCH('Lorri 401b'!N2933,'Retirement Calculator'!A:A,0),0),0)</f>
        <v>0</v>
      </c>
      <c r="K2933" s="444">
        <f t="shared" ca="1" si="138"/>
        <v>-183496900.7245698</v>
      </c>
      <c r="L2933" s="444">
        <f t="shared" ca="1" si="139"/>
        <v>-44222753074.621323</v>
      </c>
      <c r="M2933" s="460">
        <f t="shared" si="141"/>
        <v>0.05</v>
      </c>
      <c r="N2933" s="464">
        <f t="shared" si="142"/>
        <v>140315</v>
      </c>
    </row>
    <row r="2934" spans="7:14" ht="11.25" customHeight="1" x14ac:dyDescent="0.3">
      <c r="G2934" s="459"/>
      <c r="H2934" s="459">
        <v>2927</v>
      </c>
      <c r="I2934" s="444">
        <f t="shared" ca="1" si="140"/>
        <v>-44222753074.621323</v>
      </c>
      <c r="J2934" s="444">
        <f t="array" ref="J2934">IFERROR(INDEX('Retirement Calculator'!K:K,MATCH('Lorri 401b'!N2934,'Retirement Calculator'!A:A,0),0),0)</f>
        <v>0</v>
      </c>
      <c r="K2934" s="444">
        <f t="shared" ca="1" si="138"/>
        <v>-184261471.14425552</v>
      </c>
      <c r="L2934" s="444">
        <f t="shared" ca="1" si="139"/>
        <v>-44407014545.765579</v>
      </c>
      <c r="M2934" s="460">
        <f t="shared" si="141"/>
        <v>0.05</v>
      </c>
      <c r="N2934" s="464">
        <f t="shared" si="142"/>
        <v>140346</v>
      </c>
    </row>
    <row r="2935" spans="7:14" ht="11.25" customHeight="1" x14ac:dyDescent="0.3">
      <c r="G2935" s="459"/>
      <c r="H2935" s="459">
        <v>2928</v>
      </c>
      <c r="I2935" s="444">
        <f t="shared" ca="1" si="140"/>
        <v>-44407014545.765579</v>
      </c>
      <c r="J2935" s="444">
        <f t="array" ref="J2935">IFERROR(INDEX('Retirement Calculator'!K:K,MATCH('Lorri 401b'!N2935,'Retirement Calculator'!A:A,0),0),0)</f>
        <v>0</v>
      </c>
      <c r="K2935" s="444">
        <f t="shared" ca="1" si="138"/>
        <v>-185029227.27402323</v>
      </c>
      <c r="L2935" s="444">
        <f t="shared" ca="1" si="139"/>
        <v>-44592043773.039604</v>
      </c>
      <c r="M2935" s="460">
        <f t="shared" si="141"/>
        <v>0.05</v>
      </c>
      <c r="N2935" s="464">
        <f t="shared" si="142"/>
        <v>140376</v>
      </c>
    </row>
    <row r="2936" spans="7:14" ht="11.25" customHeight="1" x14ac:dyDescent="0.3">
      <c r="G2936" s="459"/>
      <c r="H2936" s="459">
        <v>2929</v>
      </c>
      <c r="I2936" s="444">
        <f t="shared" ca="1" si="140"/>
        <v>-44592043773.039604</v>
      </c>
      <c r="J2936" s="444">
        <f t="array" ref="J2936">IFERROR(INDEX('Retirement Calculator'!K:K,MATCH('Lorri 401b'!N2936,'Retirement Calculator'!A:A,0),0),0)</f>
        <v>0</v>
      </c>
      <c r="K2936" s="444">
        <f t="shared" ca="1" si="138"/>
        <v>-185800182.387665</v>
      </c>
      <c r="L2936" s="444">
        <f t="shared" ca="1" si="139"/>
        <v>-44777843955.427269</v>
      </c>
      <c r="M2936" s="460">
        <f t="shared" si="141"/>
        <v>0.05</v>
      </c>
      <c r="N2936" s="464">
        <f t="shared" si="142"/>
        <v>140407</v>
      </c>
    </row>
    <row r="2937" spans="7:14" ht="11.25" customHeight="1" x14ac:dyDescent="0.3">
      <c r="G2937" s="459"/>
      <c r="H2937" s="459">
        <v>2930</v>
      </c>
      <c r="I2937" s="444">
        <f t="shared" ca="1" si="140"/>
        <v>-44777843955.427269</v>
      </c>
      <c r="J2937" s="444">
        <f t="array" ref="J2937">IFERROR(INDEX('Retirement Calculator'!K:K,MATCH('Lorri 401b'!N2937,'Retirement Calculator'!A:A,0),0),0)</f>
        <v>0</v>
      </c>
      <c r="K2937" s="444">
        <f t="shared" ca="1" si="138"/>
        <v>-186574349.81428027</v>
      </c>
      <c r="L2937" s="444">
        <f t="shared" ca="1" si="139"/>
        <v>-44964418305.241547</v>
      </c>
      <c r="M2937" s="460">
        <f t="shared" si="141"/>
        <v>0.05</v>
      </c>
      <c r="N2937" s="464">
        <f t="shared" si="142"/>
        <v>140437</v>
      </c>
    </row>
    <row r="2938" spans="7:14" ht="11.25" customHeight="1" x14ac:dyDescent="0.3">
      <c r="G2938" s="459"/>
      <c r="H2938" s="459">
        <v>2931</v>
      </c>
      <c r="I2938" s="444">
        <f t="shared" ca="1" si="140"/>
        <v>-44964418305.241547</v>
      </c>
      <c r="J2938" s="444">
        <f t="array" ref="J2938">IFERROR(INDEX('Retirement Calculator'!K:K,MATCH('Lorri 401b'!N2938,'Retirement Calculator'!A:A,0),0),0)</f>
        <v>0</v>
      </c>
      <c r="K2938" s="444">
        <f t="shared" ca="1" si="138"/>
        <v>-187351742.93850645</v>
      </c>
      <c r="L2938" s="444">
        <f t="shared" ca="1" si="139"/>
        <v>-45151770048.180054</v>
      </c>
      <c r="M2938" s="460">
        <f t="shared" si="141"/>
        <v>0.05</v>
      </c>
      <c r="N2938" s="464">
        <f t="shared" si="142"/>
        <v>140468</v>
      </c>
    </row>
    <row r="2939" spans="7:14" ht="11.25" customHeight="1" x14ac:dyDescent="0.3">
      <c r="G2939" s="459"/>
      <c r="H2939" s="459">
        <v>2932</v>
      </c>
      <c r="I2939" s="444">
        <f t="shared" ca="1" si="140"/>
        <v>-45151770048.180054</v>
      </c>
      <c r="J2939" s="444">
        <f t="array" ref="J2939">IFERROR(INDEX('Retirement Calculator'!K:K,MATCH('Lorri 401b'!N2939,'Retirement Calculator'!A:A,0),0),0)</f>
        <v>0</v>
      </c>
      <c r="K2939" s="444">
        <f t="shared" ca="1" si="138"/>
        <v>-188132375.20075023</v>
      </c>
      <c r="L2939" s="444">
        <f t="shared" ca="1" si="139"/>
        <v>-45339902423.380806</v>
      </c>
      <c r="M2939" s="460">
        <f t="shared" si="141"/>
        <v>0.05</v>
      </c>
      <c r="N2939" s="464">
        <f t="shared" si="142"/>
        <v>140499</v>
      </c>
    </row>
    <row r="2940" spans="7:14" ht="11.25" customHeight="1" x14ac:dyDescent="0.3">
      <c r="G2940" s="459"/>
      <c r="H2940" s="459">
        <v>2933</v>
      </c>
      <c r="I2940" s="444">
        <f t="shared" ca="1" si="140"/>
        <v>-45339902423.380806</v>
      </c>
      <c r="J2940" s="444">
        <f t="array" ref="J2940">IFERROR(INDEX('Retirement Calculator'!K:K,MATCH('Lorri 401b'!N2940,'Retirement Calculator'!A:A,0),0),0)</f>
        <v>0</v>
      </c>
      <c r="K2940" s="444">
        <f t="shared" ca="1" si="138"/>
        <v>-188916260.09742004</v>
      </c>
      <c r="L2940" s="444">
        <f t="shared" ca="1" si="139"/>
        <v>-45528818683.478226</v>
      </c>
      <c r="M2940" s="460">
        <f t="shared" si="141"/>
        <v>0.05</v>
      </c>
      <c r="N2940" s="464">
        <f t="shared" si="142"/>
        <v>140529</v>
      </c>
    </row>
    <row r="2941" spans="7:14" ht="11.25" customHeight="1" x14ac:dyDescent="0.3">
      <c r="G2941" s="459"/>
      <c r="H2941" s="459">
        <v>2934</v>
      </c>
      <c r="I2941" s="444">
        <f t="shared" ca="1" si="140"/>
        <v>-45528818683.478226</v>
      </c>
      <c r="J2941" s="444">
        <f t="array" ref="J2941">IFERROR(INDEX('Retirement Calculator'!K:K,MATCH('Lorri 401b'!N2941,'Retirement Calculator'!A:A,0),0),0)</f>
        <v>0</v>
      </c>
      <c r="K2941" s="444">
        <f t="shared" ca="1" si="138"/>
        <v>-189703411.18115926</v>
      </c>
      <c r="L2941" s="444">
        <f t="shared" ca="1" si="139"/>
        <v>-45718522094.659386</v>
      </c>
      <c r="M2941" s="460">
        <f t="shared" si="141"/>
        <v>0.05</v>
      </c>
      <c r="N2941" s="464">
        <f t="shared" si="142"/>
        <v>140560</v>
      </c>
    </row>
    <row r="2942" spans="7:14" ht="11.25" customHeight="1" x14ac:dyDescent="0.3">
      <c r="G2942" s="459"/>
      <c r="H2942" s="459">
        <v>2935</v>
      </c>
      <c r="I2942" s="444">
        <f t="shared" ca="1" si="140"/>
        <v>-45718522094.659386</v>
      </c>
      <c r="J2942" s="444">
        <f t="array" ref="J2942">IFERROR(INDEX('Retirement Calculator'!K:K,MATCH('Lorri 401b'!N2942,'Retirement Calculator'!A:A,0),0),0)</f>
        <v>0</v>
      </c>
      <c r="K2942" s="444">
        <f t="shared" ca="1" si="138"/>
        <v>-190493842.06108078</v>
      </c>
      <c r="L2942" s="444">
        <f t="shared" ca="1" si="139"/>
        <v>-45909015936.720467</v>
      </c>
      <c r="M2942" s="460">
        <f t="shared" si="141"/>
        <v>0.05</v>
      </c>
      <c r="N2942" s="464">
        <f t="shared" si="142"/>
        <v>140590</v>
      </c>
    </row>
    <row r="2943" spans="7:14" ht="11.25" customHeight="1" x14ac:dyDescent="0.3">
      <c r="G2943" s="459"/>
      <c r="H2943" s="459">
        <v>2936</v>
      </c>
      <c r="I2943" s="444">
        <f t="shared" ca="1" si="140"/>
        <v>-45909015936.720467</v>
      </c>
      <c r="J2943" s="444">
        <f t="array" ref="J2943">IFERROR(INDEX('Retirement Calculator'!K:K,MATCH('Lorri 401b'!N2943,'Retirement Calculator'!A:A,0),0),0)</f>
        <v>0</v>
      </c>
      <c r="K2943" s="444">
        <f t="shared" ca="1" si="138"/>
        <v>-191287566.40300193</v>
      </c>
      <c r="L2943" s="444">
        <f t="shared" ca="1" si="139"/>
        <v>-46100303503.123466</v>
      </c>
      <c r="M2943" s="460">
        <f t="shared" si="141"/>
        <v>0.05</v>
      </c>
      <c r="N2943" s="464">
        <f t="shared" si="142"/>
        <v>140621</v>
      </c>
    </row>
    <row r="2944" spans="7:14" ht="11.25" customHeight="1" x14ac:dyDescent="0.3">
      <c r="G2944" s="459"/>
      <c r="H2944" s="459">
        <v>2937</v>
      </c>
      <c r="I2944" s="444">
        <f t="shared" ca="1" si="140"/>
        <v>-46100303503.123466</v>
      </c>
      <c r="J2944" s="444">
        <f t="array" ref="J2944">IFERROR(INDEX('Retirement Calculator'!K:K,MATCH('Lorri 401b'!N2944,'Retirement Calculator'!A:A,0),0),0)</f>
        <v>0</v>
      </c>
      <c r="K2944" s="444">
        <f t="shared" ca="1" si="138"/>
        <v>-192084597.92968112</v>
      </c>
      <c r="L2944" s="444">
        <f t="shared" ca="1" si="139"/>
        <v>-46292388101.053146</v>
      </c>
      <c r="M2944" s="460">
        <f t="shared" si="141"/>
        <v>0.05</v>
      </c>
      <c r="N2944" s="464">
        <f t="shared" si="142"/>
        <v>140652</v>
      </c>
    </row>
    <row r="2945" spans="7:14" ht="11.25" customHeight="1" x14ac:dyDescent="0.3">
      <c r="G2945" s="459"/>
      <c r="H2945" s="459">
        <v>2938</v>
      </c>
      <c r="I2945" s="444">
        <f t="shared" ca="1" si="140"/>
        <v>-46292388101.053146</v>
      </c>
      <c r="J2945" s="444">
        <f t="array" ref="J2945">IFERROR(INDEX('Retirement Calculator'!K:K,MATCH('Lorri 401b'!N2945,'Retirement Calculator'!A:A,0),0),0)</f>
        <v>0</v>
      </c>
      <c r="K2945" s="444">
        <f t="shared" ca="1" si="138"/>
        <v>-192884950.42105478</v>
      </c>
      <c r="L2945" s="444">
        <f t="shared" ca="1" si="139"/>
        <v>-46485273051.474197</v>
      </c>
      <c r="M2945" s="460">
        <f t="shared" si="141"/>
        <v>0.05</v>
      </c>
      <c r="N2945" s="464">
        <f t="shared" si="142"/>
        <v>140680</v>
      </c>
    </row>
    <row r="2946" spans="7:14" ht="11.25" customHeight="1" x14ac:dyDescent="0.3">
      <c r="G2946" s="459"/>
      <c r="H2946" s="459">
        <v>2939</v>
      </c>
      <c r="I2946" s="444">
        <f t="shared" ca="1" si="140"/>
        <v>-46485273051.474197</v>
      </c>
      <c r="J2946" s="444">
        <f t="array" ref="J2946">IFERROR(INDEX('Retirement Calculator'!K:K,MATCH('Lorri 401b'!N2946,'Retirement Calculator'!A:A,0),0),0)</f>
        <v>0</v>
      </c>
      <c r="K2946" s="444">
        <f t="shared" ca="1" si="138"/>
        <v>-193688637.71447581</v>
      </c>
      <c r="L2946" s="444">
        <f t="shared" ca="1" si="139"/>
        <v>-46678961689.188675</v>
      </c>
      <c r="M2946" s="460">
        <f t="shared" si="141"/>
        <v>0.05</v>
      </c>
      <c r="N2946" s="464">
        <f t="shared" si="142"/>
        <v>140711</v>
      </c>
    </row>
    <row r="2947" spans="7:14" ht="11.25" customHeight="1" x14ac:dyDescent="0.3">
      <c r="G2947" s="459"/>
      <c r="H2947" s="459">
        <v>2940</v>
      </c>
      <c r="I2947" s="444">
        <f t="shared" ca="1" si="140"/>
        <v>-46678961689.188675</v>
      </c>
      <c r="J2947" s="444">
        <f t="array" ref="J2947">IFERROR(INDEX('Retirement Calculator'!K:K,MATCH('Lorri 401b'!N2947,'Retirement Calculator'!A:A,0),0),0)</f>
        <v>0</v>
      </c>
      <c r="K2947" s="444">
        <f t="shared" ca="1" si="138"/>
        <v>-194495673.70495281</v>
      </c>
      <c r="L2947" s="444">
        <f t="shared" ca="1" si="139"/>
        <v>-46873457362.893631</v>
      </c>
      <c r="M2947" s="460">
        <f t="shared" si="141"/>
        <v>0.05</v>
      </c>
      <c r="N2947" s="464">
        <f t="shared" si="142"/>
        <v>140741</v>
      </c>
    </row>
    <row r="2948" spans="7:14" ht="11.25" customHeight="1" x14ac:dyDescent="0.3">
      <c r="G2948" s="459"/>
      <c r="H2948" s="459">
        <v>2941</v>
      </c>
      <c r="I2948" s="444">
        <f t="shared" ca="1" si="140"/>
        <v>-46873457362.893631</v>
      </c>
      <c r="J2948" s="444">
        <f t="array" ref="J2948">IFERROR(INDEX('Retirement Calculator'!K:K,MATCH('Lorri 401b'!N2948,'Retirement Calculator'!A:A,0),0),0)</f>
        <v>0</v>
      </c>
      <c r="K2948" s="444">
        <f t="shared" ca="1" si="138"/>
        <v>-195306072.34539014</v>
      </c>
      <c r="L2948" s="444">
        <f t="shared" ca="1" si="139"/>
        <v>-47068763435.239021</v>
      </c>
      <c r="M2948" s="460">
        <f t="shared" si="141"/>
        <v>0.05</v>
      </c>
      <c r="N2948" s="464">
        <f t="shared" si="142"/>
        <v>140772</v>
      </c>
    </row>
    <row r="2949" spans="7:14" ht="11.25" customHeight="1" x14ac:dyDescent="0.3">
      <c r="G2949" s="459"/>
      <c r="H2949" s="459">
        <v>2942</v>
      </c>
      <c r="I2949" s="444">
        <f t="shared" ca="1" si="140"/>
        <v>-47068763435.239021</v>
      </c>
      <c r="J2949" s="444">
        <f t="array" ref="J2949">IFERROR(INDEX('Retirement Calculator'!K:K,MATCH('Lorri 401b'!N2949,'Retirement Calculator'!A:A,0),0),0)</f>
        <v>0</v>
      </c>
      <c r="K2949" s="444">
        <f t="shared" ca="1" si="138"/>
        <v>-196119847.64682925</v>
      </c>
      <c r="L2949" s="444">
        <f t="shared" ca="1" si="139"/>
        <v>-47264883282.885849</v>
      </c>
      <c r="M2949" s="460">
        <f t="shared" si="141"/>
        <v>0.05</v>
      </c>
      <c r="N2949" s="464">
        <f t="shared" si="142"/>
        <v>140802</v>
      </c>
    </row>
    <row r="2950" spans="7:14" ht="11.25" customHeight="1" x14ac:dyDescent="0.3">
      <c r="G2950" s="459"/>
      <c r="H2950" s="459">
        <v>2943</v>
      </c>
      <c r="I2950" s="444">
        <f t="shared" ca="1" si="140"/>
        <v>-47264883282.885849</v>
      </c>
      <c r="J2950" s="444">
        <f t="array" ref="J2950">IFERROR(INDEX('Retirement Calculator'!K:K,MATCH('Lorri 401b'!N2950,'Retirement Calculator'!A:A,0),0),0)</f>
        <v>0</v>
      </c>
      <c r="K2950" s="444">
        <f t="shared" ca="1" si="138"/>
        <v>-196937013.67869103</v>
      </c>
      <c r="L2950" s="444">
        <f t="shared" ca="1" si="139"/>
        <v>-47461820296.564537</v>
      </c>
      <c r="M2950" s="460">
        <f t="shared" si="141"/>
        <v>0.05</v>
      </c>
      <c r="N2950" s="464">
        <f t="shared" si="142"/>
        <v>140833</v>
      </c>
    </row>
    <row r="2951" spans="7:14" ht="11.25" customHeight="1" x14ac:dyDescent="0.3">
      <c r="G2951" s="459"/>
      <c r="H2951" s="459">
        <v>2944</v>
      </c>
      <c r="I2951" s="444">
        <f t="shared" ca="1" si="140"/>
        <v>-47461820296.564537</v>
      </c>
      <c r="J2951" s="444">
        <f t="array" ref="J2951">IFERROR(INDEX('Retirement Calculator'!K:K,MATCH('Lorri 401b'!N2951,'Retirement Calculator'!A:A,0),0),0)</f>
        <v>0</v>
      </c>
      <c r="K2951" s="444">
        <f t="shared" ca="1" si="138"/>
        <v>-197757584.5690189</v>
      </c>
      <c r="L2951" s="444">
        <f t="shared" ca="1" si="139"/>
        <v>-47659577881.133553</v>
      </c>
      <c r="M2951" s="460">
        <f t="shared" si="141"/>
        <v>0.05</v>
      </c>
      <c r="N2951" s="464">
        <f t="shared" si="142"/>
        <v>140864</v>
      </c>
    </row>
    <row r="2952" spans="7:14" ht="11.25" customHeight="1" x14ac:dyDescent="0.3">
      <c r="G2952" s="459"/>
      <c r="H2952" s="459">
        <v>2945</v>
      </c>
      <c r="I2952" s="444">
        <f t="shared" ca="1" si="140"/>
        <v>-47659577881.133553</v>
      </c>
      <c r="J2952" s="444">
        <f t="array" ref="J2952">IFERROR(INDEX('Retirement Calculator'!K:K,MATCH('Lorri 401b'!N2952,'Retirement Calculator'!A:A,0),0),0)</f>
        <v>0</v>
      </c>
      <c r="K2952" s="444">
        <f t="shared" ca="1" si="138"/>
        <v>-198581574.50472313</v>
      </c>
      <c r="L2952" s="444">
        <f t="shared" ca="1" si="139"/>
        <v>-47858159455.638275</v>
      </c>
      <c r="M2952" s="460">
        <f t="shared" si="141"/>
        <v>0.05</v>
      </c>
      <c r="N2952" s="464">
        <f t="shared" si="142"/>
        <v>140894</v>
      </c>
    </row>
    <row r="2953" spans="7:14" ht="11.25" customHeight="1" x14ac:dyDescent="0.3">
      <c r="G2953" s="459"/>
      <c r="H2953" s="459">
        <v>2946</v>
      </c>
      <c r="I2953" s="444">
        <f t="shared" ca="1" si="140"/>
        <v>-47858159455.638275</v>
      </c>
      <c r="J2953" s="444">
        <f t="array" ref="J2953">IFERROR(INDEX('Retirement Calculator'!K:K,MATCH('Lorri 401b'!N2953,'Retirement Calculator'!A:A,0),0),0)</f>
        <v>0</v>
      </c>
      <c r="K2953" s="444">
        <f t="shared" ca="1" si="138"/>
        <v>-199408997.73182616</v>
      </c>
      <c r="L2953" s="444">
        <f t="shared" ca="1" si="139"/>
        <v>-48057568453.370102</v>
      </c>
      <c r="M2953" s="460">
        <f t="shared" si="141"/>
        <v>0.05</v>
      </c>
      <c r="N2953" s="464">
        <f t="shared" si="142"/>
        <v>140925</v>
      </c>
    </row>
    <row r="2954" spans="7:14" ht="11.25" customHeight="1" x14ac:dyDescent="0.3">
      <c r="G2954" s="459"/>
      <c r="H2954" s="459">
        <v>2947</v>
      </c>
      <c r="I2954" s="444">
        <f t="shared" ca="1" si="140"/>
        <v>-48057568453.370102</v>
      </c>
      <c r="J2954" s="444">
        <f t="array" ref="J2954">IFERROR(INDEX('Retirement Calculator'!K:K,MATCH('Lorri 401b'!N2954,'Retirement Calculator'!A:A,0),0),0)</f>
        <v>0</v>
      </c>
      <c r="K2954" s="444">
        <f t="shared" ca="1" si="138"/>
        <v>-200239868.55570877</v>
      </c>
      <c r="L2954" s="444">
        <f t="shared" ca="1" si="139"/>
        <v>-48257808321.925812</v>
      </c>
      <c r="M2954" s="460">
        <f t="shared" si="141"/>
        <v>0.05</v>
      </c>
      <c r="N2954" s="464">
        <f t="shared" si="142"/>
        <v>140955</v>
      </c>
    </row>
    <row r="2955" spans="7:14" ht="11.25" customHeight="1" x14ac:dyDescent="0.3">
      <c r="G2955" s="459"/>
      <c r="H2955" s="459">
        <v>2948</v>
      </c>
      <c r="I2955" s="444">
        <f t="shared" ca="1" si="140"/>
        <v>-48257808321.925812</v>
      </c>
      <c r="J2955" s="444">
        <f t="array" ref="J2955">IFERROR(INDEX('Retirement Calculator'!K:K,MATCH('Lorri 401b'!N2955,'Retirement Calculator'!A:A,0),0),0)</f>
        <v>0</v>
      </c>
      <c r="K2955" s="444">
        <f t="shared" ca="1" si="138"/>
        <v>-201074201.34135756</v>
      </c>
      <c r="L2955" s="444">
        <f t="shared" ca="1" si="139"/>
        <v>-48458882523.267166</v>
      </c>
      <c r="M2955" s="460">
        <f t="shared" si="141"/>
        <v>0.05</v>
      </c>
      <c r="N2955" s="464">
        <f t="shared" si="142"/>
        <v>140986</v>
      </c>
    </row>
    <row r="2956" spans="7:14" ht="11.25" customHeight="1" x14ac:dyDescent="0.3">
      <c r="G2956" s="459"/>
      <c r="H2956" s="459">
        <v>2949</v>
      </c>
      <c r="I2956" s="444">
        <f t="shared" ca="1" si="140"/>
        <v>-48458882523.267166</v>
      </c>
      <c r="J2956" s="444">
        <f t="array" ref="J2956">IFERROR(INDEX('Retirement Calculator'!K:K,MATCH('Lorri 401b'!N2956,'Retirement Calculator'!A:A,0),0),0)</f>
        <v>0</v>
      </c>
      <c r="K2956" s="444">
        <f t="shared" ca="1" si="138"/>
        <v>-201912010.51361319</v>
      </c>
      <c r="L2956" s="444">
        <f t="shared" ca="1" si="139"/>
        <v>-48660794533.780777</v>
      </c>
      <c r="M2956" s="460">
        <f t="shared" si="141"/>
        <v>0.05</v>
      </c>
      <c r="N2956" s="464">
        <f t="shared" si="142"/>
        <v>141017</v>
      </c>
    </row>
    <row r="2957" spans="7:14" ht="11.25" customHeight="1" x14ac:dyDescent="0.3">
      <c r="G2957" s="459"/>
      <c r="H2957" s="459">
        <v>2950</v>
      </c>
      <c r="I2957" s="444">
        <f t="shared" ca="1" si="140"/>
        <v>-48660794533.780777</v>
      </c>
      <c r="J2957" s="444">
        <f t="array" ref="J2957">IFERROR(INDEX('Retirement Calculator'!K:K,MATCH('Lorri 401b'!N2957,'Retirement Calculator'!A:A,0),0),0)</f>
        <v>0</v>
      </c>
      <c r="K2957" s="444">
        <f t="shared" ca="1" si="138"/>
        <v>-202753310.5574199</v>
      </c>
      <c r="L2957" s="444">
        <f t="shared" ca="1" si="139"/>
        <v>-48863547844.338196</v>
      </c>
      <c r="M2957" s="460">
        <f t="shared" si="141"/>
        <v>0.05</v>
      </c>
      <c r="N2957" s="464">
        <f t="shared" si="142"/>
        <v>141045</v>
      </c>
    </row>
    <row r="2958" spans="7:14" ht="11.25" customHeight="1" x14ac:dyDescent="0.3">
      <c r="G2958" s="459"/>
      <c r="H2958" s="459">
        <v>2951</v>
      </c>
      <c r="I2958" s="444">
        <f t="shared" ca="1" si="140"/>
        <v>-48863547844.338196</v>
      </c>
      <c r="J2958" s="444">
        <f t="array" ref="J2958">IFERROR(INDEX('Retirement Calculator'!K:K,MATCH('Lorri 401b'!N2958,'Retirement Calculator'!A:A,0),0),0)</f>
        <v>0</v>
      </c>
      <c r="K2958" s="444">
        <f t="shared" ca="1" si="138"/>
        <v>-203598116.01807582</v>
      </c>
      <c r="L2958" s="444">
        <f t="shared" ca="1" si="139"/>
        <v>-49067145960.35627</v>
      </c>
      <c r="M2958" s="460">
        <f t="shared" si="141"/>
        <v>0.05</v>
      </c>
      <c r="N2958" s="464">
        <f t="shared" si="142"/>
        <v>141076</v>
      </c>
    </row>
    <row r="2959" spans="7:14" ht="11.25" customHeight="1" x14ac:dyDescent="0.3">
      <c r="G2959" s="459"/>
      <c r="H2959" s="459">
        <v>2952</v>
      </c>
      <c r="I2959" s="444">
        <f t="shared" ca="1" si="140"/>
        <v>-49067145960.35627</v>
      </c>
      <c r="J2959" s="444">
        <f t="array" ref="J2959">IFERROR(INDEX('Retirement Calculator'!K:K,MATCH('Lorri 401b'!N2959,'Retirement Calculator'!A:A,0),0),0)</f>
        <v>0</v>
      </c>
      <c r="K2959" s="444">
        <f t="shared" ca="1" si="138"/>
        <v>-204446441.50148445</v>
      </c>
      <c r="L2959" s="444">
        <f t="shared" ca="1" si="139"/>
        <v>-49271592401.857758</v>
      </c>
      <c r="M2959" s="460">
        <f t="shared" si="141"/>
        <v>0.05</v>
      </c>
      <c r="N2959" s="464">
        <f t="shared" si="142"/>
        <v>141106</v>
      </c>
    </row>
    <row r="2960" spans="7:14" ht="11.25" customHeight="1" x14ac:dyDescent="0.3">
      <c r="G2960" s="459"/>
      <c r="H2960" s="459">
        <v>2953</v>
      </c>
      <c r="I2960" s="444">
        <f t="shared" ca="1" si="140"/>
        <v>-49271592401.857758</v>
      </c>
      <c r="J2960" s="444">
        <f t="array" ref="J2960">IFERROR(INDEX('Retirement Calculator'!K:K,MATCH('Lorri 401b'!N2960,'Retirement Calculator'!A:A,0),0),0)</f>
        <v>0</v>
      </c>
      <c r="K2960" s="444">
        <f t="shared" ca="1" si="138"/>
        <v>-205298301.67440733</v>
      </c>
      <c r="L2960" s="444">
        <f t="shared" ca="1" si="139"/>
        <v>-49476890703.532166</v>
      </c>
      <c r="M2960" s="460">
        <f t="shared" si="141"/>
        <v>0.05</v>
      </c>
      <c r="N2960" s="464">
        <f t="shared" si="142"/>
        <v>141137</v>
      </c>
    </row>
    <row r="2961" spans="7:14" ht="11.25" customHeight="1" x14ac:dyDescent="0.3">
      <c r="G2961" s="459"/>
      <c r="H2961" s="459">
        <v>2954</v>
      </c>
      <c r="I2961" s="444">
        <f t="shared" ca="1" si="140"/>
        <v>-49476890703.532166</v>
      </c>
      <c r="J2961" s="444">
        <f t="array" ref="J2961">IFERROR(INDEX('Retirement Calculator'!K:K,MATCH('Lorri 401b'!N2961,'Retirement Calculator'!A:A,0),0),0)</f>
        <v>0</v>
      </c>
      <c r="K2961" s="444">
        <f t="shared" ca="1" si="138"/>
        <v>-206153711.26471734</v>
      </c>
      <c r="L2961" s="444">
        <f t="shared" ca="1" si="139"/>
        <v>-49683044414.796883</v>
      </c>
      <c r="M2961" s="460">
        <f t="shared" si="141"/>
        <v>0.05</v>
      </c>
      <c r="N2961" s="464">
        <f t="shared" si="142"/>
        <v>141167</v>
      </c>
    </row>
    <row r="2962" spans="7:14" ht="11.25" customHeight="1" x14ac:dyDescent="0.3">
      <c r="G2962" s="459"/>
      <c r="H2962" s="459">
        <v>2955</v>
      </c>
      <c r="I2962" s="444">
        <f t="shared" ca="1" si="140"/>
        <v>-49683044414.796883</v>
      </c>
      <c r="J2962" s="444">
        <f t="array" ref="J2962">IFERROR(INDEX('Retirement Calculator'!K:K,MATCH('Lorri 401b'!N2962,'Retirement Calculator'!A:A,0),0),0)</f>
        <v>0</v>
      </c>
      <c r="K2962" s="444">
        <f t="shared" ca="1" si="138"/>
        <v>-207012685.06165367</v>
      </c>
      <c r="L2962" s="444">
        <f t="shared" ca="1" si="139"/>
        <v>-49890057099.858536</v>
      </c>
      <c r="M2962" s="460">
        <f t="shared" si="141"/>
        <v>0.05</v>
      </c>
      <c r="N2962" s="464">
        <f t="shared" si="142"/>
        <v>141198</v>
      </c>
    </row>
    <row r="2963" spans="7:14" ht="11.25" customHeight="1" x14ac:dyDescent="0.3">
      <c r="G2963" s="459"/>
      <c r="H2963" s="459">
        <v>2956</v>
      </c>
      <c r="I2963" s="444">
        <f t="shared" ca="1" si="140"/>
        <v>-49890057099.858536</v>
      </c>
      <c r="J2963" s="444">
        <f t="array" ref="J2963">IFERROR(INDEX('Retirement Calculator'!K:K,MATCH('Lorri 401b'!N2963,'Retirement Calculator'!A:A,0),0),0)</f>
        <v>0</v>
      </c>
      <c r="K2963" s="444">
        <f t="shared" ca="1" si="138"/>
        <v>-207875237.91607723</v>
      </c>
      <c r="L2963" s="444">
        <f t="shared" ca="1" si="139"/>
        <v>-50097932337.774612</v>
      </c>
      <c r="M2963" s="460">
        <f t="shared" si="141"/>
        <v>0.05</v>
      </c>
      <c r="N2963" s="464">
        <f t="shared" si="142"/>
        <v>141229</v>
      </c>
    </row>
    <row r="2964" spans="7:14" ht="11.25" customHeight="1" x14ac:dyDescent="0.3">
      <c r="G2964" s="459"/>
      <c r="H2964" s="459">
        <v>2957</v>
      </c>
      <c r="I2964" s="444">
        <f t="shared" ca="1" si="140"/>
        <v>-50097932337.774612</v>
      </c>
      <c r="J2964" s="444">
        <f t="array" ref="J2964">IFERROR(INDEX('Retirement Calculator'!K:K,MATCH('Lorri 401b'!N2964,'Retirement Calculator'!A:A,0),0),0)</f>
        <v>0</v>
      </c>
      <c r="K2964" s="444">
        <f t="shared" ca="1" si="138"/>
        <v>-208741384.74072754</v>
      </c>
      <c r="L2964" s="444">
        <f t="shared" ca="1" si="139"/>
        <v>-50306673722.515343</v>
      </c>
      <c r="M2964" s="460">
        <f t="shared" si="141"/>
        <v>0.05</v>
      </c>
      <c r="N2964" s="464">
        <f t="shared" si="142"/>
        <v>141259</v>
      </c>
    </row>
    <row r="2965" spans="7:14" ht="11.25" customHeight="1" x14ac:dyDescent="0.3">
      <c r="G2965" s="459"/>
      <c r="H2965" s="459">
        <v>2958</v>
      </c>
      <c r="I2965" s="444">
        <f t="shared" ca="1" si="140"/>
        <v>-50306673722.515343</v>
      </c>
      <c r="J2965" s="444">
        <f t="array" ref="J2965">IFERROR(INDEX('Retirement Calculator'!K:K,MATCH('Lorri 401b'!N2965,'Retirement Calculator'!A:A,0),0),0)</f>
        <v>0</v>
      </c>
      <c r="K2965" s="444">
        <f t="shared" ca="1" si="138"/>
        <v>-209611140.51048058</v>
      </c>
      <c r="L2965" s="444">
        <f t="shared" ca="1" si="139"/>
        <v>-50516284863.025826</v>
      </c>
      <c r="M2965" s="460">
        <f t="shared" si="141"/>
        <v>0.05</v>
      </c>
      <c r="N2965" s="464">
        <f t="shared" si="142"/>
        <v>141290</v>
      </c>
    </row>
    <row r="2966" spans="7:14" ht="11.25" customHeight="1" x14ac:dyDescent="0.3">
      <c r="G2966" s="459"/>
      <c r="H2966" s="459">
        <v>2959</v>
      </c>
      <c r="I2966" s="444">
        <f t="shared" ca="1" si="140"/>
        <v>-50516284863.025826</v>
      </c>
      <c r="J2966" s="444">
        <f t="array" ref="J2966">IFERROR(INDEX('Retirement Calculator'!K:K,MATCH('Lorri 401b'!N2966,'Retirement Calculator'!A:A,0),0),0)</f>
        <v>0</v>
      </c>
      <c r="K2966" s="444">
        <f t="shared" ca="1" si="138"/>
        <v>-210484520.2626076</v>
      </c>
      <c r="L2966" s="444">
        <f t="shared" ca="1" si="139"/>
        <v>-50726769383.288437</v>
      </c>
      <c r="M2966" s="460">
        <f t="shared" si="141"/>
        <v>0.05</v>
      </c>
      <c r="N2966" s="464">
        <f t="shared" si="142"/>
        <v>141320</v>
      </c>
    </row>
    <row r="2967" spans="7:14" ht="11.25" customHeight="1" x14ac:dyDescent="0.3">
      <c r="G2967" s="459"/>
      <c r="H2967" s="459">
        <v>2960</v>
      </c>
      <c r="I2967" s="444">
        <f t="shared" ca="1" si="140"/>
        <v>-50726769383.288437</v>
      </c>
      <c r="J2967" s="444">
        <f t="array" ref="J2967">IFERROR(INDEX('Retirement Calculator'!K:K,MATCH('Lorri 401b'!N2967,'Retirement Calculator'!A:A,0),0),0)</f>
        <v>0</v>
      </c>
      <c r="K2967" s="444">
        <f t="shared" ca="1" si="138"/>
        <v>-211361539.09703514</v>
      </c>
      <c r="L2967" s="444">
        <f t="shared" ca="1" si="139"/>
        <v>-50938130922.385475</v>
      </c>
      <c r="M2967" s="460">
        <f t="shared" si="141"/>
        <v>0.05</v>
      </c>
      <c r="N2967" s="464">
        <f t="shared" si="142"/>
        <v>141351</v>
      </c>
    </row>
    <row r="2968" spans="7:14" ht="11.25" customHeight="1" x14ac:dyDescent="0.3">
      <c r="G2968" s="459"/>
      <c r="H2968" s="459">
        <v>2961</v>
      </c>
      <c r="I2968" s="444">
        <f t="shared" ca="1" si="140"/>
        <v>-50938130922.385475</v>
      </c>
      <c r="J2968" s="444">
        <f t="array" ref="J2968">IFERROR(INDEX('Retirement Calculator'!K:K,MATCH('Lorri 401b'!N2968,'Retirement Calculator'!A:A,0),0),0)</f>
        <v>0</v>
      </c>
      <c r="K2968" s="444">
        <f t="shared" ca="1" si="138"/>
        <v>-212242212.17660615</v>
      </c>
      <c r="L2968" s="444">
        <f t="shared" ca="1" si="139"/>
        <v>-51150373134.56208</v>
      </c>
      <c r="M2968" s="460">
        <f t="shared" si="141"/>
        <v>0.05</v>
      </c>
      <c r="N2968" s="464">
        <f t="shared" si="142"/>
        <v>141382</v>
      </c>
    </row>
    <row r="2969" spans="7:14" ht="11.25" customHeight="1" x14ac:dyDescent="0.3">
      <c r="G2969" s="459"/>
      <c r="H2969" s="459">
        <v>2962</v>
      </c>
      <c r="I2969" s="444">
        <f t="shared" ca="1" si="140"/>
        <v>-51150373134.56208</v>
      </c>
      <c r="J2969" s="444">
        <f t="array" ref="J2969">IFERROR(INDEX('Retirement Calculator'!K:K,MATCH('Lorri 401b'!N2969,'Retirement Calculator'!A:A,0),0),0)</f>
        <v>0</v>
      </c>
      <c r="K2969" s="444">
        <f t="shared" ca="1" si="138"/>
        <v>-213126554.72734201</v>
      </c>
      <c r="L2969" s="444">
        <f t="shared" ca="1" si="139"/>
        <v>-51363499689.289421</v>
      </c>
      <c r="M2969" s="460">
        <f t="shared" si="141"/>
        <v>0.05</v>
      </c>
      <c r="N2969" s="464">
        <f t="shared" si="142"/>
        <v>141410</v>
      </c>
    </row>
    <row r="2970" spans="7:14" ht="11.25" customHeight="1" x14ac:dyDescent="0.3">
      <c r="G2970" s="459"/>
      <c r="H2970" s="459">
        <v>2963</v>
      </c>
      <c r="I2970" s="444">
        <f t="shared" ca="1" si="140"/>
        <v>-51363499689.289421</v>
      </c>
      <c r="J2970" s="444">
        <f t="array" ref="J2970">IFERROR(INDEX('Retirement Calculator'!K:K,MATCH('Lorri 401b'!N2970,'Retirement Calculator'!A:A,0),0),0)</f>
        <v>0</v>
      </c>
      <c r="K2970" s="444">
        <f t="shared" ca="1" si="138"/>
        <v>-214014582.03870592</v>
      </c>
      <c r="L2970" s="444">
        <f t="shared" ca="1" si="139"/>
        <v>-51577514271.328125</v>
      </c>
      <c r="M2970" s="460">
        <f t="shared" si="141"/>
        <v>0.05</v>
      </c>
      <c r="N2970" s="464">
        <f t="shared" si="142"/>
        <v>141441</v>
      </c>
    </row>
    <row r="2971" spans="7:14" ht="11.25" customHeight="1" x14ac:dyDescent="0.3">
      <c r="G2971" s="459"/>
      <c r="H2971" s="459">
        <v>2964</v>
      </c>
      <c r="I2971" s="444">
        <f t="shared" ca="1" si="140"/>
        <v>-51577514271.328125</v>
      </c>
      <c r="J2971" s="444">
        <f t="array" ref="J2971">IFERROR(INDEX('Retirement Calculator'!K:K,MATCH('Lorri 401b'!N2971,'Retirement Calculator'!A:A,0),0),0)</f>
        <v>0</v>
      </c>
      <c r="K2971" s="444">
        <f t="shared" ca="1" si="138"/>
        <v>-214906309.46386719</v>
      </c>
      <c r="L2971" s="444">
        <f t="shared" ca="1" si="139"/>
        <v>-51792420580.791992</v>
      </c>
      <c r="M2971" s="460">
        <f t="shared" si="141"/>
        <v>0.05</v>
      </c>
      <c r="N2971" s="464">
        <f t="shared" si="142"/>
        <v>141471</v>
      </c>
    </row>
    <row r="2972" spans="7:14" ht="11.25" customHeight="1" x14ac:dyDescent="0.3">
      <c r="G2972" s="459"/>
      <c r="H2972" s="459">
        <v>2965</v>
      </c>
      <c r="I2972" s="444">
        <f t="shared" ca="1" si="140"/>
        <v>-51792420580.791992</v>
      </c>
      <c r="J2972" s="444">
        <f t="array" ref="J2972">IFERROR(INDEX('Retirement Calculator'!K:K,MATCH('Lorri 401b'!N2972,'Retirement Calculator'!A:A,0),0),0)</f>
        <v>0</v>
      </c>
      <c r="K2972" s="444">
        <f t="shared" ca="1" si="138"/>
        <v>-215801752.41996664</v>
      </c>
      <c r="L2972" s="444">
        <f t="shared" ca="1" si="139"/>
        <v>-52008222333.21196</v>
      </c>
      <c r="M2972" s="460">
        <f t="shared" si="141"/>
        <v>0.05</v>
      </c>
      <c r="N2972" s="464">
        <f t="shared" si="142"/>
        <v>141502</v>
      </c>
    </row>
    <row r="2973" spans="7:14" ht="11.25" customHeight="1" x14ac:dyDescent="0.3">
      <c r="G2973" s="459"/>
      <c r="H2973" s="459">
        <v>2966</v>
      </c>
      <c r="I2973" s="444">
        <f t="shared" ca="1" si="140"/>
        <v>-52008222333.21196</v>
      </c>
      <c r="J2973" s="444">
        <f t="array" ref="J2973">IFERROR(INDEX('Retirement Calculator'!K:K,MATCH('Lorri 401b'!N2973,'Retirement Calculator'!A:A,0),0),0)</f>
        <v>0</v>
      </c>
      <c r="K2973" s="444">
        <f t="shared" ca="1" si="138"/>
        <v>-216700926.38838315</v>
      </c>
      <c r="L2973" s="444">
        <f t="shared" ca="1" si="139"/>
        <v>-52224923259.600342</v>
      </c>
      <c r="M2973" s="460">
        <f t="shared" si="141"/>
        <v>0.05</v>
      </c>
      <c r="N2973" s="464">
        <f t="shared" si="142"/>
        <v>141532</v>
      </c>
    </row>
    <row r="2974" spans="7:14" ht="11.25" customHeight="1" x14ac:dyDescent="0.3">
      <c r="G2974" s="459"/>
      <c r="H2974" s="459">
        <v>2967</v>
      </c>
      <c r="I2974" s="444">
        <f t="shared" ca="1" si="140"/>
        <v>-52224923259.600342</v>
      </c>
      <c r="J2974" s="444">
        <f t="array" ref="J2974">IFERROR(INDEX('Retirement Calculator'!K:K,MATCH('Lorri 401b'!N2974,'Retirement Calculator'!A:A,0),0),0)</f>
        <v>0</v>
      </c>
      <c r="K2974" s="444">
        <f t="shared" ca="1" si="138"/>
        <v>-217603846.91500142</v>
      </c>
      <c r="L2974" s="444">
        <f t="shared" ca="1" si="139"/>
        <v>-52442527106.515343</v>
      </c>
      <c r="M2974" s="460">
        <f t="shared" si="141"/>
        <v>0.05</v>
      </c>
      <c r="N2974" s="464">
        <f t="shared" si="142"/>
        <v>141563</v>
      </c>
    </row>
    <row r="2975" spans="7:14" ht="11.25" customHeight="1" x14ac:dyDescent="0.3">
      <c r="G2975" s="459"/>
      <c r="H2975" s="459">
        <v>2968</v>
      </c>
      <c r="I2975" s="444">
        <f t="shared" ca="1" si="140"/>
        <v>-52442527106.515343</v>
      </c>
      <c r="J2975" s="444">
        <f t="array" ref="J2975">IFERROR(INDEX('Retirement Calculator'!K:K,MATCH('Lorri 401b'!N2975,'Retirement Calculator'!A:A,0),0),0)</f>
        <v>0</v>
      </c>
      <c r="K2975" s="444">
        <f t="shared" ca="1" si="138"/>
        <v>-218510529.61048058</v>
      </c>
      <c r="L2975" s="444">
        <f t="shared" ca="1" si="139"/>
        <v>-52661037636.125824</v>
      </c>
      <c r="M2975" s="460">
        <f t="shared" si="141"/>
        <v>0.05</v>
      </c>
      <c r="N2975" s="464">
        <f t="shared" si="142"/>
        <v>141594</v>
      </c>
    </row>
    <row r="2976" spans="7:14" ht="11.25" customHeight="1" x14ac:dyDescent="0.3">
      <c r="G2976" s="459"/>
      <c r="H2976" s="459">
        <v>2969</v>
      </c>
      <c r="I2976" s="444">
        <f t="shared" ca="1" si="140"/>
        <v>-52661037636.125824</v>
      </c>
      <c r="J2976" s="444">
        <f t="array" ref="J2976">IFERROR(INDEX('Retirement Calculator'!K:K,MATCH('Lorri 401b'!N2976,'Retirement Calculator'!A:A,0),0),0)</f>
        <v>0</v>
      </c>
      <c r="K2976" s="444">
        <f t="shared" ca="1" si="138"/>
        <v>-219420990.15052426</v>
      </c>
      <c r="L2976" s="444">
        <f t="shared" ca="1" si="139"/>
        <v>-52880458626.276352</v>
      </c>
      <c r="M2976" s="460">
        <f t="shared" si="141"/>
        <v>0.05</v>
      </c>
      <c r="N2976" s="464">
        <f t="shared" si="142"/>
        <v>141624</v>
      </c>
    </row>
    <row r="2977" spans="7:14" ht="11.25" customHeight="1" x14ac:dyDescent="0.3">
      <c r="G2977" s="459"/>
      <c r="H2977" s="459">
        <v>2970</v>
      </c>
      <c r="I2977" s="444">
        <f t="shared" ca="1" si="140"/>
        <v>-52880458626.276352</v>
      </c>
      <c r="J2977" s="444">
        <f t="array" ref="J2977">IFERROR(INDEX('Retirement Calculator'!K:K,MATCH('Lorri 401b'!N2977,'Retirement Calculator'!A:A,0),0),0)</f>
        <v>0</v>
      </c>
      <c r="K2977" s="444">
        <f t="shared" ca="1" si="138"/>
        <v>-220335244.27615145</v>
      </c>
      <c r="L2977" s="444">
        <f t="shared" ca="1" si="139"/>
        <v>-53100793870.552505</v>
      </c>
      <c r="M2977" s="460">
        <f t="shared" si="141"/>
        <v>0.05</v>
      </c>
      <c r="N2977" s="464">
        <f t="shared" si="142"/>
        <v>141655</v>
      </c>
    </row>
    <row r="2978" spans="7:14" ht="11.25" customHeight="1" x14ac:dyDescent="0.3">
      <c r="G2978" s="459"/>
      <c r="H2978" s="459">
        <v>2971</v>
      </c>
      <c r="I2978" s="444">
        <f t="shared" ca="1" si="140"/>
        <v>-53100793870.552505</v>
      </c>
      <c r="J2978" s="444">
        <f t="array" ref="J2978">IFERROR(INDEX('Retirement Calculator'!K:K,MATCH('Lorri 401b'!N2978,'Retirement Calculator'!A:A,0),0),0)</f>
        <v>0</v>
      </c>
      <c r="K2978" s="444">
        <f t="shared" ca="1" si="138"/>
        <v>-221253307.79396877</v>
      </c>
      <c r="L2978" s="444">
        <f t="shared" ca="1" si="139"/>
        <v>-53322047178.346474</v>
      </c>
      <c r="M2978" s="460">
        <f t="shared" si="141"/>
        <v>0.05</v>
      </c>
      <c r="N2978" s="464">
        <f t="shared" si="142"/>
        <v>141685</v>
      </c>
    </row>
    <row r="2979" spans="7:14" ht="11.25" customHeight="1" x14ac:dyDescent="0.3">
      <c r="G2979" s="459"/>
      <c r="H2979" s="459">
        <v>2972</v>
      </c>
      <c r="I2979" s="444">
        <f t="shared" ca="1" si="140"/>
        <v>-53322047178.346474</v>
      </c>
      <c r="J2979" s="444">
        <f t="array" ref="J2979">IFERROR(INDEX('Retirement Calculator'!K:K,MATCH('Lorri 401b'!N2979,'Retirement Calculator'!A:A,0),0),0)</f>
        <v>0</v>
      </c>
      <c r="K2979" s="444">
        <f t="shared" ca="1" si="138"/>
        <v>-222175196.57644364</v>
      </c>
      <c r="L2979" s="444">
        <f t="shared" ca="1" si="139"/>
        <v>-53544222374.92292</v>
      </c>
      <c r="M2979" s="460">
        <f t="shared" si="141"/>
        <v>0.05</v>
      </c>
      <c r="N2979" s="464">
        <f t="shared" si="142"/>
        <v>141716</v>
      </c>
    </row>
    <row r="2980" spans="7:14" ht="11.25" customHeight="1" x14ac:dyDescent="0.3">
      <c r="G2980" s="459"/>
      <c r="H2980" s="459">
        <v>2973</v>
      </c>
      <c r="I2980" s="444">
        <f t="shared" ca="1" si="140"/>
        <v>-53544222374.92292</v>
      </c>
      <c r="J2980" s="444">
        <f t="array" ref="J2980">IFERROR(INDEX('Retirement Calculator'!K:K,MATCH('Lorri 401b'!N2980,'Retirement Calculator'!A:A,0),0),0)</f>
        <v>0</v>
      </c>
      <c r="K2980" s="444">
        <f t="shared" ca="1" si="138"/>
        <v>-223100926.56217882</v>
      </c>
      <c r="L2980" s="444">
        <f t="shared" ca="1" si="139"/>
        <v>-53767323301.4851</v>
      </c>
      <c r="M2980" s="460">
        <f t="shared" si="141"/>
        <v>0.05</v>
      </c>
      <c r="N2980" s="464">
        <f t="shared" si="142"/>
        <v>141747</v>
      </c>
    </row>
    <row r="2981" spans="7:14" ht="11.25" customHeight="1" x14ac:dyDescent="0.3">
      <c r="G2981" s="459"/>
      <c r="H2981" s="459">
        <v>2974</v>
      </c>
      <c r="I2981" s="444">
        <f t="shared" ca="1" si="140"/>
        <v>-53767323301.4851</v>
      </c>
      <c r="J2981" s="444">
        <f t="array" ref="J2981">IFERROR(INDEX('Retirement Calculator'!K:K,MATCH('Lorri 401b'!N2981,'Retirement Calculator'!A:A,0),0),0)</f>
        <v>0</v>
      </c>
      <c r="K2981" s="444">
        <f t="shared" ca="1" si="138"/>
        <v>-224030513.75618792</v>
      </c>
      <c r="L2981" s="444">
        <f t="shared" ca="1" si="139"/>
        <v>-53991353815.241287</v>
      </c>
      <c r="M2981" s="460">
        <f t="shared" si="141"/>
        <v>0.05</v>
      </c>
      <c r="N2981" s="464">
        <f t="shared" si="142"/>
        <v>141776</v>
      </c>
    </row>
    <row r="2982" spans="7:14" ht="11.25" customHeight="1" x14ac:dyDescent="0.3">
      <c r="G2982" s="459"/>
      <c r="H2982" s="459">
        <v>2975</v>
      </c>
      <c r="I2982" s="444">
        <f t="shared" ca="1" si="140"/>
        <v>-53991353815.241287</v>
      </c>
      <c r="J2982" s="444">
        <f t="array" ref="J2982">IFERROR(INDEX('Retirement Calculator'!K:K,MATCH('Lorri 401b'!N2982,'Retirement Calculator'!A:A,0),0),0)</f>
        <v>0</v>
      </c>
      <c r="K2982" s="444">
        <f t="shared" ca="1" si="138"/>
        <v>-224963974.23017201</v>
      </c>
      <c r="L2982" s="444">
        <f t="shared" ca="1" si="139"/>
        <v>-54216317789.471458</v>
      </c>
      <c r="M2982" s="460">
        <f t="shared" si="141"/>
        <v>0.05</v>
      </c>
      <c r="N2982" s="464">
        <f t="shared" si="142"/>
        <v>141807</v>
      </c>
    </row>
    <row r="2983" spans="7:14" ht="11.25" customHeight="1" x14ac:dyDescent="0.3">
      <c r="G2983" s="459"/>
      <c r="H2983" s="459">
        <v>2976</v>
      </c>
      <c r="I2983" s="444">
        <f t="shared" ca="1" si="140"/>
        <v>-54216317789.471458</v>
      </c>
      <c r="J2983" s="444">
        <f t="array" ref="J2983">IFERROR(INDEX('Retirement Calculator'!K:K,MATCH('Lorri 401b'!N2983,'Retirement Calculator'!A:A,0),0),0)</f>
        <v>0</v>
      </c>
      <c r="K2983" s="444">
        <f t="shared" ca="1" si="138"/>
        <v>-225901324.12279776</v>
      </c>
      <c r="L2983" s="444">
        <f t="shared" ca="1" si="139"/>
        <v>-54442219113.594254</v>
      </c>
      <c r="M2983" s="460">
        <f t="shared" si="141"/>
        <v>0.05</v>
      </c>
      <c r="N2983" s="464">
        <f t="shared" si="142"/>
        <v>141837</v>
      </c>
    </row>
    <row r="2984" spans="7:14" ht="11.25" customHeight="1" x14ac:dyDescent="0.3">
      <c r="G2984" s="459"/>
      <c r="H2984" s="459">
        <v>2977</v>
      </c>
      <c r="I2984" s="444">
        <f t="shared" ca="1" si="140"/>
        <v>-54442219113.594254</v>
      </c>
      <c r="J2984" s="444">
        <f t="array" ref="J2984">IFERROR(INDEX('Retirement Calculator'!K:K,MATCH('Lorri 401b'!N2984,'Retirement Calculator'!A:A,0),0),0)</f>
        <v>0</v>
      </c>
      <c r="K2984" s="444">
        <f t="shared" ca="1" si="138"/>
        <v>-226842579.63997605</v>
      </c>
      <c r="L2984" s="444">
        <f t="shared" ca="1" si="139"/>
        <v>-54669061693.23423</v>
      </c>
      <c r="M2984" s="460">
        <f t="shared" si="141"/>
        <v>0.05</v>
      </c>
      <c r="N2984" s="464">
        <f t="shared" si="142"/>
        <v>141868</v>
      </c>
    </row>
    <row r="2985" spans="7:14" ht="11.25" customHeight="1" x14ac:dyDescent="0.3">
      <c r="G2985" s="459"/>
      <c r="H2985" s="459">
        <v>2978</v>
      </c>
      <c r="I2985" s="444">
        <f t="shared" ca="1" si="140"/>
        <v>-54669061693.23423</v>
      </c>
      <c r="J2985" s="444">
        <f t="array" ref="J2985">IFERROR(INDEX('Retirement Calculator'!K:K,MATCH('Lorri 401b'!N2985,'Retirement Calculator'!A:A,0),0),0)</f>
        <v>0</v>
      </c>
      <c r="K2985" s="444">
        <f t="shared" ca="1" si="138"/>
        <v>-227787757.05514261</v>
      </c>
      <c r="L2985" s="444">
        <f t="shared" ca="1" si="139"/>
        <v>-54896849450.289375</v>
      </c>
      <c r="M2985" s="460">
        <f t="shared" si="141"/>
        <v>0.05</v>
      </c>
      <c r="N2985" s="464">
        <f t="shared" si="142"/>
        <v>141898</v>
      </c>
    </row>
    <row r="2986" spans="7:14" ht="11.25" customHeight="1" x14ac:dyDescent="0.3">
      <c r="G2986" s="459"/>
      <c r="H2986" s="459">
        <v>2979</v>
      </c>
      <c r="I2986" s="444">
        <f t="shared" ca="1" si="140"/>
        <v>-54896849450.289375</v>
      </c>
      <c r="J2986" s="444">
        <f t="array" ref="J2986">IFERROR(INDEX('Retirement Calculator'!K:K,MATCH('Lorri 401b'!N2986,'Retirement Calculator'!A:A,0),0),0)</f>
        <v>0</v>
      </c>
      <c r="K2986" s="444">
        <f t="shared" ca="1" si="138"/>
        <v>-228736872.70953906</v>
      </c>
      <c r="L2986" s="444">
        <f t="shared" ca="1" si="139"/>
        <v>-55125586322.998917</v>
      </c>
      <c r="M2986" s="460">
        <f t="shared" si="141"/>
        <v>0.05</v>
      </c>
      <c r="N2986" s="464">
        <f t="shared" si="142"/>
        <v>141929</v>
      </c>
    </row>
    <row r="2987" spans="7:14" ht="11.25" customHeight="1" x14ac:dyDescent="0.3">
      <c r="G2987" s="459"/>
      <c r="H2987" s="459">
        <v>2980</v>
      </c>
      <c r="I2987" s="444">
        <f t="shared" ca="1" si="140"/>
        <v>-55125586322.998917</v>
      </c>
      <c r="J2987" s="444">
        <f t="array" ref="J2987">IFERROR(INDEX('Retirement Calculator'!K:K,MATCH('Lorri 401b'!N2987,'Retirement Calculator'!A:A,0),0),0)</f>
        <v>0</v>
      </c>
      <c r="K2987" s="444">
        <f t="shared" ca="1" si="138"/>
        <v>-229689943.01249546</v>
      </c>
      <c r="L2987" s="444">
        <f t="shared" ca="1" si="139"/>
        <v>-55355276266.011414</v>
      </c>
      <c r="M2987" s="460">
        <f t="shared" si="141"/>
        <v>0.05</v>
      </c>
      <c r="N2987" s="464">
        <f t="shared" si="142"/>
        <v>141960</v>
      </c>
    </row>
    <row r="2988" spans="7:14" ht="11.25" customHeight="1" x14ac:dyDescent="0.3">
      <c r="G2988" s="459"/>
      <c r="H2988" s="459">
        <v>2981</v>
      </c>
      <c r="I2988" s="444">
        <f t="shared" ca="1" si="140"/>
        <v>-55355276266.011414</v>
      </c>
      <c r="J2988" s="444">
        <f t="array" ref="J2988">IFERROR(INDEX('Retirement Calculator'!K:K,MATCH('Lorri 401b'!N2988,'Retirement Calculator'!A:A,0),0),0)</f>
        <v>0</v>
      </c>
      <c r="K2988" s="444">
        <f t="shared" ca="1" si="138"/>
        <v>-230646984.44171423</v>
      </c>
      <c r="L2988" s="444">
        <f t="shared" ca="1" si="139"/>
        <v>-55585923250.453125</v>
      </c>
      <c r="M2988" s="460">
        <f t="shared" si="141"/>
        <v>0.05</v>
      </c>
      <c r="N2988" s="464">
        <f t="shared" si="142"/>
        <v>141990</v>
      </c>
    </row>
    <row r="2989" spans="7:14" ht="11.25" customHeight="1" x14ac:dyDescent="0.3">
      <c r="G2989" s="459"/>
      <c r="H2989" s="459">
        <v>2982</v>
      </c>
      <c r="I2989" s="444">
        <f t="shared" ca="1" si="140"/>
        <v>-55585923250.453125</v>
      </c>
      <c r="J2989" s="444">
        <f t="array" ref="J2989">IFERROR(INDEX('Retirement Calculator'!K:K,MATCH('Lorri 401b'!N2989,'Retirement Calculator'!A:A,0),0),0)</f>
        <v>0</v>
      </c>
      <c r="K2989" s="444">
        <f t="shared" ca="1" si="138"/>
        <v>-231608013.54355469</v>
      </c>
      <c r="L2989" s="444">
        <f t="shared" ca="1" si="139"/>
        <v>-55817531263.996681</v>
      </c>
      <c r="M2989" s="460">
        <f t="shared" si="141"/>
        <v>0.05</v>
      </c>
      <c r="N2989" s="464">
        <f t="shared" si="142"/>
        <v>142021</v>
      </c>
    </row>
    <row r="2990" spans="7:14" ht="11.25" customHeight="1" x14ac:dyDescent="0.3">
      <c r="G2990" s="459"/>
      <c r="H2990" s="459">
        <v>2983</v>
      </c>
      <c r="I2990" s="444">
        <f t="shared" ca="1" si="140"/>
        <v>-55817531263.996681</v>
      </c>
      <c r="J2990" s="444">
        <f t="array" ref="J2990">IFERROR(INDEX('Retirement Calculator'!K:K,MATCH('Lorri 401b'!N2990,'Retirement Calculator'!A:A,0),0),0)</f>
        <v>0</v>
      </c>
      <c r="K2990" s="444">
        <f t="shared" ca="1" si="138"/>
        <v>-232573046.93331948</v>
      </c>
      <c r="L2990" s="444">
        <f t="shared" ca="1" si="139"/>
        <v>-56050104310.93</v>
      </c>
      <c r="M2990" s="460">
        <f t="shared" si="141"/>
        <v>0.05</v>
      </c>
      <c r="N2990" s="464">
        <f t="shared" si="142"/>
        <v>142051</v>
      </c>
    </row>
    <row r="2991" spans="7:14" ht="11.25" customHeight="1" x14ac:dyDescent="0.3">
      <c r="G2991" s="459"/>
      <c r="H2991" s="459">
        <v>2984</v>
      </c>
      <c r="I2991" s="444">
        <f t="shared" ca="1" si="140"/>
        <v>-56050104310.93</v>
      </c>
      <c r="J2991" s="444">
        <f t="array" ref="J2991">IFERROR(INDEX('Retirement Calculator'!K:K,MATCH('Lorri 401b'!N2991,'Retirement Calculator'!A:A,0),0),0)</f>
        <v>0</v>
      </c>
      <c r="K2991" s="444">
        <f t="shared" ca="1" si="138"/>
        <v>-233542101.29554167</v>
      </c>
      <c r="L2991" s="444">
        <f t="shared" ca="1" si="139"/>
        <v>-56283646412.22554</v>
      </c>
      <c r="M2991" s="460">
        <f t="shared" si="141"/>
        <v>0.05</v>
      </c>
      <c r="N2991" s="464">
        <f t="shared" si="142"/>
        <v>142082</v>
      </c>
    </row>
    <row r="2992" spans="7:14" ht="11.25" customHeight="1" x14ac:dyDescent="0.3">
      <c r="G2992" s="459"/>
      <c r="H2992" s="459">
        <v>2985</v>
      </c>
      <c r="I2992" s="444">
        <f t="shared" ca="1" si="140"/>
        <v>-56283646412.22554</v>
      </c>
      <c r="J2992" s="444">
        <f t="array" ref="J2992">IFERROR(INDEX('Retirement Calculator'!K:K,MATCH('Lorri 401b'!N2992,'Retirement Calculator'!A:A,0),0),0)</f>
        <v>0</v>
      </c>
      <c r="K2992" s="444">
        <f t="shared" ca="1" si="138"/>
        <v>-234515193.38427308</v>
      </c>
      <c r="L2992" s="444">
        <f t="shared" ca="1" si="139"/>
        <v>-56518161605.60981</v>
      </c>
      <c r="M2992" s="460">
        <f t="shared" si="141"/>
        <v>0.05</v>
      </c>
      <c r="N2992" s="464">
        <f t="shared" si="142"/>
        <v>142113</v>
      </c>
    </row>
    <row r="2993" spans="7:14" ht="11.25" customHeight="1" x14ac:dyDescent="0.3">
      <c r="G2993" s="459"/>
      <c r="H2993" s="459">
        <v>2986</v>
      </c>
      <c r="I2993" s="444">
        <f t="shared" ca="1" si="140"/>
        <v>-56518161605.60981</v>
      </c>
      <c r="J2993" s="444">
        <f t="array" ref="J2993">IFERROR(INDEX('Retirement Calculator'!K:K,MATCH('Lorri 401b'!N2993,'Retirement Calculator'!A:A,0),0),0)</f>
        <v>0</v>
      </c>
      <c r="K2993" s="444">
        <f t="shared" ca="1" si="138"/>
        <v>-235492340.0233742</v>
      </c>
      <c r="L2993" s="444">
        <f t="shared" ca="1" si="139"/>
        <v>-56753653945.633186</v>
      </c>
      <c r="M2993" s="460">
        <f t="shared" si="141"/>
        <v>0.05</v>
      </c>
      <c r="N2993" s="464">
        <f t="shared" si="142"/>
        <v>142141</v>
      </c>
    </row>
    <row r="2994" spans="7:14" ht="11.25" customHeight="1" x14ac:dyDescent="0.3">
      <c r="G2994" s="459"/>
      <c r="H2994" s="459">
        <v>2987</v>
      </c>
      <c r="I2994" s="444">
        <f t="shared" ca="1" si="140"/>
        <v>-56753653945.633186</v>
      </c>
      <c r="J2994" s="444">
        <f t="array" ref="J2994">IFERROR(INDEX('Retirement Calculator'!K:K,MATCH('Lorri 401b'!N2994,'Retirement Calculator'!A:A,0),0),0)</f>
        <v>0</v>
      </c>
      <c r="K2994" s="444">
        <f t="shared" ca="1" si="138"/>
        <v>-236473558.10680494</v>
      </c>
      <c r="L2994" s="444">
        <f t="shared" ca="1" si="139"/>
        <v>-56990127503.73999</v>
      </c>
      <c r="M2994" s="460">
        <f t="shared" si="141"/>
        <v>0.05</v>
      </c>
      <c r="N2994" s="464">
        <f t="shared" si="142"/>
        <v>142172</v>
      </c>
    </row>
    <row r="2995" spans="7:14" ht="11.25" customHeight="1" x14ac:dyDescent="0.3">
      <c r="G2995" s="459"/>
      <c r="H2995" s="459">
        <v>2988</v>
      </c>
      <c r="I2995" s="444">
        <f t="shared" ca="1" si="140"/>
        <v>-56990127503.73999</v>
      </c>
      <c r="J2995" s="444">
        <f t="array" ref="J2995">IFERROR(INDEX('Retirement Calculator'!K:K,MATCH('Lorri 401b'!N2995,'Retirement Calculator'!A:A,0),0),0)</f>
        <v>0</v>
      </c>
      <c r="K2995" s="444">
        <f t="shared" ca="1" si="138"/>
        <v>-237458864.59891665</v>
      </c>
      <c r="L2995" s="444">
        <f t="shared" ca="1" si="139"/>
        <v>-57227586368.338905</v>
      </c>
      <c r="M2995" s="460">
        <f t="shared" si="141"/>
        <v>0.05</v>
      </c>
      <c r="N2995" s="464">
        <f t="shared" si="142"/>
        <v>142202</v>
      </c>
    </row>
    <row r="2996" spans="7:14" ht="11.25" customHeight="1" x14ac:dyDescent="0.3">
      <c r="G2996" s="459"/>
      <c r="H2996" s="459">
        <v>2989</v>
      </c>
      <c r="I2996" s="444">
        <f t="shared" ca="1" si="140"/>
        <v>-57227586368.338905</v>
      </c>
      <c r="J2996" s="444">
        <f t="array" ref="J2996">IFERROR(INDEX('Retirement Calculator'!K:K,MATCH('Lorri 401b'!N2996,'Retirement Calculator'!A:A,0),0),0)</f>
        <v>0</v>
      </c>
      <c r="K2996" s="444">
        <f t="shared" ca="1" si="138"/>
        <v>-238448276.53474542</v>
      </c>
      <c r="L2996" s="444">
        <f t="shared" ca="1" si="139"/>
        <v>-57466034644.87365</v>
      </c>
      <c r="M2996" s="460">
        <f t="shared" si="141"/>
        <v>0.05</v>
      </c>
      <c r="N2996" s="464">
        <f t="shared" si="142"/>
        <v>142233</v>
      </c>
    </row>
    <row r="2997" spans="7:14" ht="11.25" customHeight="1" x14ac:dyDescent="0.3">
      <c r="G2997" s="459"/>
      <c r="H2997" s="459">
        <v>2990</v>
      </c>
      <c r="I2997" s="444">
        <f t="shared" ca="1" si="140"/>
        <v>-57466034644.87365</v>
      </c>
      <c r="J2997" s="444">
        <f t="array" ref="J2997">IFERROR(INDEX('Retirement Calculator'!K:K,MATCH('Lorri 401b'!N2997,'Retirement Calculator'!A:A,0),0),0)</f>
        <v>0</v>
      </c>
      <c r="K2997" s="444">
        <f t="shared" ca="1" si="138"/>
        <v>-239441811.02030686</v>
      </c>
      <c r="L2997" s="444">
        <f t="shared" ca="1" si="139"/>
        <v>-57705476455.893959</v>
      </c>
      <c r="M2997" s="460">
        <f t="shared" si="141"/>
        <v>0.05</v>
      </c>
      <c r="N2997" s="464">
        <f t="shared" si="142"/>
        <v>142263</v>
      </c>
    </row>
    <row r="2998" spans="7:14" ht="11.25" customHeight="1" x14ac:dyDescent="0.3">
      <c r="G2998" s="459"/>
      <c r="H2998" s="459">
        <v>2991</v>
      </c>
      <c r="I2998" s="444">
        <f t="shared" ca="1" si="140"/>
        <v>-57705476455.893959</v>
      </c>
      <c r="J2998" s="444">
        <f t="array" ref="J2998">IFERROR(INDEX('Retirement Calculator'!K:K,MATCH('Lorri 401b'!N2998,'Retirement Calculator'!A:A,0),0),0)</f>
        <v>0</v>
      </c>
      <c r="K2998" s="444">
        <f t="shared" ca="1" si="138"/>
        <v>-240439485.23289153</v>
      </c>
      <c r="L2998" s="444">
        <f t="shared" ca="1" si="139"/>
        <v>-57945915941.126854</v>
      </c>
      <c r="M2998" s="460">
        <f t="shared" si="141"/>
        <v>0.05</v>
      </c>
      <c r="N2998" s="464">
        <f t="shared" si="142"/>
        <v>142294</v>
      </c>
    </row>
    <row r="2999" spans="7:14" ht="11.25" customHeight="1" x14ac:dyDescent="0.3">
      <c r="G2999" s="459"/>
      <c r="H2999" s="459">
        <v>2992</v>
      </c>
      <c r="I2999" s="444">
        <f t="shared" ca="1" si="140"/>
        <v>-57945915941.126854</v>
      </c>
      <c r="J2999" s="444">
        <f t="array" ref="J2999">IFERROR(INDEX('Retirement Calculator'!K:K,MATCH('Lorri 401b'!N2999,'Retirement Calculator'!A:A,0),0),0)</f>
        <v>0</v>
      </c>
      <c r="K2999" s="444">
        <f t="shared" ca="1" si="138"/>
        <v>-241441316.42136189</v>
      </c>
      <c r="L2999" s="444">
        <f t="shared" ca="1" si="139"/>
        <v>-58187357257.548218</v>
      </c>
      <c r="M2999" s="460">
        <f t="shared" si="141"/>
        <v>0.05</v>
      </c>
      <c r="N2999" s="464">
        <f t="shared" si="142"/>
        <v>142325</v>
      </c>
    </row>
    <row r="3000" spans="7:14" ht="11.25" customHeight="1" x14ac:dyDescent="0.3">
      <c r="G3000" s="459"/>
      <c r="H3000" s="459">
        <v>2993</v>
      </c>
      <c r="I3000" s="444">
        <f t="shared" ca="1" si="140"/>
        <v>-58187357257.548218</v>
      </c>
      <c r="J3000" s="444">
        <f t="array" ref="J3000">IFERROR(INDEX('Retirement Calculator'!K:K,MATCH('Lorri 401b'!N3000,'Retirement Calculator'!A:A,0),0),0)</f>
        <v>0</v>
      </c>
      <c r="K3000" s="444">
        <f t="shared" ca="1" si="138"/>
        <v>-242447321.90645087</v>
      </c>
      <c r="L3000" s="444">
        <f t="shared" ca="1" si="139"/>
        <v>-58429804579.454666</v>
      </c>
      <c r="M3000" s="460">
        <f t="shared" si="141"/>
        <v>0.05</v>
      </c>
      <c r="N3000" s="464">
        <f t="shared" si="142"/>
        <v>142355</v>
      </c>
    </row>
    <row r="3001" spans="7:14" ht="11.25" customHeight="1" x14ac:dyDescent="0.3">
      <c r="G3001" s="459"/>
      <c r="H3001" s="459">
        <v>2994</v>
      </c>
      <c r="I3001" s="444">
        <f t="shared" ca="1" si="140"/>
        <v>-58429804579.454666</v>
      </c>
      <c r="J3001" s="444">
        <f t="array" ref="J3001">IFERROR(INDEX('Retirement Calculator'!K:K,MATCH('Lorri 401b'!N3001,'Retirement Calculator'!A:A,0),0),0)</f>
        <v>0</v>
      </c>
      <c r="K3001" s="444">
        <f t="shared" ca="1" si="138"/>
        <v>-243457519.08106109</v>
      </c>
      <c r="L3001" s="444">
        <f t="shared" ca="1" si="139"/>
        <v>-58673262098.535728</v>
      </c>
      <c r="M3001" s="460">
        <f t="shared" si="141"/>
        <v>0.05</v>
      </c>
      <c r="N3001" s="464">
        <f t="shared" si="142"/>
        <v>142386</v>
      </c>
    </row>
    <row r="3002" spans="7:14" ht="11.25" customHeight="1" x14ac:dyDescent="0.3">
      <c r="G3002" s="459"/>
      <c r="H3002" s="459">
        <v>2995</v>
      </c>
      <c r="I3002" s="444">
        <f t="shared" ca="1" si="140"/>
        <v>-58673262098.535728</v>
      </c>
      <c r="J3002" s="444">
        <f t="array" ref="J3002">IFERROR(INDEX('Retirement Calculator'!K:K,MATCH('Lorri 401b'!N3002,'Retirement Calculator'!A:A,0),0),0)</f>
        <v>0</v>
      </c>
      <c r="K3002" s="444">
        <f t="shared" ca="1" si="138"/>
        <v>-244471925.41056553</v>
      </c>
      <c r="L3002" s="444">
        <f t="shared" ca="1" si="139"/>
        <v>-58917734023.946297</v>
      </c>
      <c r="M3002" s="460">
        <f t="shared" si="141"/>
        <v>0.05</v>
      </c>
      <c r="N3002" s="464">
        <f t="shared" si="142"/>
        <v>142416</v>
      </c>
    </row>
    <row r="3003" spans="7:14" ht="11.25" customHeight="1" x14ac:dyDescent="0.3">
      <c r="G3003" s="459"/>
      <c r="H3003" s="459">
        <v>2996</v>
      </c>
      <c r="I3003" s="444">
        <f t="shared" ca="1" si="140"/>
        <v>-58917734023.946297</v>
      </c>
      <c r="J3003" s="444">
        <f t="array" ref="J3003">IFERROR(INDEX('Retirement Calculator'!K:K,MATCH('Lorri 401b'!N3003,'Retirement Calculator'!A:A,0),0),0)</f>
        <v>0</v>
      </c>
      <c r="K3003" s="444">
        <f t="shared" ca="1" si="138"/>
        <v>-245490558.43310955</v>
      </c>
      <c r="L3003" s="444">
        <f t="shared" ca="1" si="139"/>
        <v>-59163224582.37941</v>
      </c>
      <c r="M3003" s="460">
        <f t="shared" si="141"/>
        <v>0.05</v>
      </c>
      <c r="N3003" s="464">
        <f t="shared" si="142"/>
        <v>142447</v>
      </c>
    </row>
    <row r="3004" spans="7:14" ht="11.25" customHeight="1" x14ac:dyDescent="0.3">
      <c r="G3004" s="459"/>
      <c r="H3004" s="459">
        <v>2997</v>
      </c>
      <c r="I3004" s="444">
        <f t="shared" ca="1" si="140"/>
        <v>-59163224582.37941</v>
      </c>
      <c r="J3004" s="444">
        <f t="array" ref="J3004">IFERROR(INDEX('Retirement Calculator'!K:K,MATCH('Lorri 401b'!N3004,'Retirement Calculator'!A:A,0),0),0)</f>
        <v>0</v>
      </c>
      <c r="K3004" s="444">
        <f t="shared" ca="1" si="138"/>
        <v>-246513435.75991419</v>
      </c>
      <c r="L3004" s="444">
        <f t="shared" ca="1" si="139"/>
        <v>-59409738018.13932</v>
      </c>
      <c r="M3004" s="460">
        <f t="shared" si="141"/>
        <v>0.05</v>
      </c>
      <c r="N3004" s="464">
        <f t="shared" si="142"/>
        <v>142478</v>
      </c>
    </row>
    <row r="3005" spans="7:14" ht="11.25" customHeight="1" x14ac:dyDescent="0.3">
      <c r="G3005" s="459"/>
      <c r="H3005" s="459">
        <v>2998</v>
      </c>
      <c r="I3005" s="444">
        <f t="shared" ca="1" si="140"/>
        <v>-59409738018.13932</v>
      </c>
      <c r="J3005" s="444">
        <f t="array" ref="J3005">IFERROR(INDEX('Retirement Calculator'!K:K,MATCH('Lorri 401b'!N3005,'Retirement Calculator'!A:A,0),0),0)</f>
        <v>0</v>
      </c>
      <c r="K3005" s="444">
        <f t="shared" ca="1" si="138"/>
        <v>-247540575.07558051</v>
      </c>
      <c r="L3005" s="444">
        <f t="shared" ca="1" si="139"/>
        <v>-59657278593.214897</v>
      </c>
      <c r="M3005" s="460">
        <f t="shared" si="141"/>
        <v>0.05</v>
      </c>
      <c r="N3005" s="464">
        <f t="shared" si="142"/>
        <v>142506</v>
      </c>
    </row>
    <row r="3006" spans="7:14" ht="11.25" customHeight="1" x14ac:dyDescent="0.3">
      <c r="G3006" s="459"/>
      <c r="H3006" s="459">
        <v>2999</v>
      </c>
      <c r="I3006" s="444">
        <f t="shared" ca="1" si="140"/>
        <v>-59657278593.214897</v>
      </c>
      <c r="J3006" s="444">
        <f t="array" ref="J3006">IFERROR(INDEX('Retirement Calculator'!K:K,MATCH('Lorri 401b'!N3006,'Retirement Calculator'!A:A,0),0),0)</f>
        <v>0</v>
      </c>
      <c r="K3006" s="444">
        <f t="shared" ca="1" si="138"/>
        <v>-248571994.13839537</v>
      </c>
      <c r="L3006" s="444">
        <f t="shared" ca="1" si="139"/>
        <v>-59905850587.353294</v>
      </c>
      <c r="M3006" s="460">
        <f t="shared" si="141"/>
        <v>0.05</v>
      </c>
      <c r="N3006" s="464">
        <f t="shared" si="142"/>
        <v>142537</v>
      </c>
    </row>
    <row r="3007" spans="7:14" ht="11.25" customHeight="1" x14ac:dyDescent="0.3">
      <c r="G3007" s="459"/>
      <c r="H3007" s="459">
        <v>3000</v>
      </c>
      <c r="I3007" s="444">
        <f t="shared" ca="1" si="140"/>
        <v>-59905850587.353294</v>
      </c>
      <c r="J3007" s="444">
        <f t="array" ref="J3007">IFERROR(INDEX('Retirement Calculator'!K:K,MATCH('Lorri 401b'!N3007,'Retirement Calculator'!A:A,0),0),0)</f>
        <v>0</v>
      </c>
      <c r="K3007" s="444">
        <f t="shared" ca="1" si="138"/>
        <v>-249607710.78063872</v>
      </c>
      <c r="L3007" s="444">
        <f t="shared" ca="1" si="139"/>
        <v>-60155458298.133934</v>
      </c>
      <c r="M3007" s="460">
        <f t="shared" si="141"/>
        <v>0.05</v>
      </c>
      <c r="N3007" s="464">
        <f t="shared" si="142"/>
        <v>142567</v>
      </c>
    </row>
    <row r="3008" spans="7:14" ht="11.25" customHeight="1" x14ac:dyDescent="0.3">
      <c r="G3008" s="459"/>
      <c r="H3008" s="459">
        <v>3001</v>
      </c>
      <c r="I3008" s="444">
        <f t="shared" ca="1" si="140"/>
        <v>-60155458298.133934</v>
      </c>
      <c r="J3008" s="444">
        <f t="array" ref="J3008">IFERROR(INDEX('Retirement Calculator'!K:K,MATCH('Lorri 401b'!N3008,'Retirement Calculator'!A:A,0),0),0)</f>
        <v>0</v>
      </c>
      <c r="K3008" s="444">
        <f t="shared" ca="1" si="138"/>
        <v>-250647742.90889138</v>
      </c>
      <c r="L3008" s="444">
        <f t="shared" ca="1" si="139"/>
        <v>-60406106041.042824</v>
      </c>
      <c r="M3008" s="460">
        <f t="shared" si="141"/>
        <v>0.05</v>
      </c>
      <c r="N3008" s="464">
        <f t="shared" si="142"/>
        <v>142598</v>
      </c>
    </row>
    <row r="3009" spans="7:14" ht="11.25" customHeight="1" x14ac:dyDescent="0.3">
      <c r="G3009" s="459"/>
      <c r="H3009" s="459">
        <v>3002</v>
      </c>
      <c r="I3009" s="444">
        <f t="shared" ca="1" si="140"/>
        <v>-60406106041.042824</v>
      </c>
      <c r="J3009" s="444">
        <f t="array" ref="J3009">IFERROR(INDEX('Retirement Calculator'!K:K,MATCH('Lorri 401b'!N3009,'Retirement Calculator'!A:A,0),0),0)</f>
        <v>0</v>
      </c>
      <c r="K3009" s="444">
        <f t="shared" ca="1" si="138"/>
        <v>-251692108.50434509</v>
      </c>
      <c r="L3009" s="444">
        <f t="shared" ca="1" si="139"/>
        <v>-60657798149.547173</v>
      </c>
      <c r="M3009" s="460">
        <f t="shared" si="141"/>
        <v>0.05</v>
      </c>
      <c r="N3009" s="464">
        <f t="shared" si="142"/>
        <v>142628</v>
      </c>
    </row>
    <row r="3010" spans="7:14" ht="11.25" customHeight="1" x14ac:dyDescent="0.3">
      <c r="G3010" s="459"/>
      <c r="H3010" s="459">
        <v>3003</v>
      </c>
      <c r="I3010" s="444">
        <f t="shared" ca="1" si="140"/>
        <v>-60657798149.547173</v>
      </c>
      <c r="J3010" s="444">
        <f t="array" ref="J3010">IFERROR(INDEX('Retirement Calculator'!K:K,MATCH('Lorri 401b'!N3010,'Retirement Calculator'!A:A,0),0),0)</f>
        <v>0</v>
      </c>
      <c r="K3010" s="444">
        <f t="shared" ca="1" si="138"/>
        <v>-252740825.62311319</v>
      </c>
      <c r="L3010" s="444">
        <f t="shared" ca="1" si="139"/>
        <v>-60910538975.170288</v>
      </c>
      <c r="M3010" s="460">
        <f t="shared" si="141"/>
        <v>0.05</v>
      </c>
      <c r="N3010" s="464">
        <f t="shared" si="142"/>
        <v>142659</v>
      </c>
    </row>
    <row r="3011" spans="7:14" ht="11.25" customHeight="1" x14ac:dyDescent="0.3">
      <c r="G3011" s="459"/>
      <c r="H3011" s="459">
        <v>3004</v>
      </c>
      <c r="I3011" s="444">
        <f t="shared" ca="1" si="140"/>
        <v>-60910538975.170288</v>
      </c>
      <c r="J3011" s="444">
        <f t="array" ref="J3011">IFERROR(INDEX('Retirement Calculator'!K:K,MATCH('Lorri 401b'!N3011,'Retirement Calculator'!A:A,0),0),0)</f>
        <v>0</v>
      </c>
      <c r="K3011" s="444">
        <f t="shared" ca="1" si="138"/>
        <v>-253793912.39654288</v>
      </c>
      <c r="L3011" s="444">
        <f t="shared" ca="1" si="139"/>
        <v>-61164332887.566833</v>
      </c>
      <c r="M3011" s="460">
        <f t="shared" si="141"/>
        <v>0.05</v>
      </c>
      <c r="N3011" s="464">
        <f t="shared" si="142"/>
        <v>142690</v>
      </c>
    </row>
    <row r="3012" spans="7:14" ht="11.25" customHeight="1" x14ac:dyDescent="0.3">
      <c r="G3012" s="459"/>
      <c r="H3012" s="459">
        <v>3005</v>
      </c>
      <c r="I3012" s="444">
        <f t="shared" ca="1" si="140"/>
        <v>-61164332887.566833</v>
      </c>
      <c r="J3012" s="444">
        <f t="array" ref="J3012">IFERROR(INDEX('Retirement Calculator'!K:K,MATCH('Lorri 401b'!N3012,'Retirement Calculator'!A:A,0),0),0)</f>
        <v>0</v>
      </c>
      <c r="K3012" s="444">
        <f t="shared" ca="1" si="138"/>
        <v>-254851387.03152847</v>
      </c>
      <c r="L3012" s="444">
        <f t="shared" ca="1" si="139"/>
        <v>-61419184274.598358</v>
      </c>
      <c r="M3012" s="460">
        <f t="shared" si="141"/>
        <v>0.05</v>
      </c>
      <c r="N3012" s="464">
        <f t="shared" si="142"/>
        <v>142720</v>
      </c>
    </row>
    <row r="3013" spans="7:14" ht="11.25" customHeight="1" x14ac:dyDescent="0.3">
      <c r="G3013" s="459"/>
      <c r="H3013" s="459">
        <v>3006</v>
      </c>
      <c r="I3013" s="444">
        <f t="shared" ca="1" si="140"/>
        <v>-61419184274.598358</v>
      </c>
      <c r="J3013" s="444">
        <f t="array" ref="J3013">IFERROR(INDEX('Retirement Calculator'!K:K,MATCH('Lorri 401b'!N3013,'Retirement Calculator'!A:A,0),0),0)</f>
        <v>0</v>
      </c>
      <c r="K3013" s="444">
        <f t="shared" ca="1" si="138"/>
        <v>-255913267.81082645</v>
      </c>
      <c r="L3013" s="444">
        <f t="shared" ca="1" si="139"/>
        <v>-61675097542.409187</v>
      </c>
      <c r="M3013" s="460">
        <f t="shared" si="141"/>
        <v>0.05</v>
      </c>
      <c r="N3013" s="464">
        <f t="shared" si="142"/>
        <v>142751</v>
      </c>
    </row>
    <row r="3014" spans="7:14" ht="11.25" customHeight="1" x14ac:dyDescent="0.3">
      <c r="G3014" s="459"/>
      <c r="H3014" s="459">
        <v>3007</v>
      </c>
      <c r="I3014" s="444">
        <f t="shared" ca="1" si="140"/>
        <v>-61675097542.409187</v>
      </c>
      <c r="J3014" s="444">
        <f t="array" ref="J3014">IFERROR(INDEX('Retirement Calculator'!K:K,MATCH('Lorri 401b'!N3014,'Retirement Calculator'!A:A,0),0),0)</f>
        <v>0</v>
      </c>
      <c r="K3014" s="444">
        <f t="shared" ca="1" si="138"/>
        <v>-256979573.09337157</v>
      </c>
      <c r="L3014" s="444">
        <f t="shared" ca="1" si="139"/>
        <v>-61932077115.502556</v>
      </c>
      <c r="M3014" s="460">
        <f t="shared" si="141"/>
        <v>0.05</v>
      </c>
      <c r="N3014" s="464">
        <f t="shared" si="142"/>
        <v>142781</v>
      </c>
    </row>
    <row r="3015" spans="7:14" ht="11.25" customHeight="1" x14ac:dyDescent="0.3">
      <c r="G3015" s="459"/>
      <c r="H3015" s="459">
        <v>3008</v>
      </c>
      <c r="I3015" s="444">
        <f t="shared" ca="1" si="140"/>
        <v>-61932077115.502556</v>
      </c>
      <c r="J3015" s="444">
        <f t="array" ref="J3015">IFERROR(INDEX('Retirement Calculator'!K:K,MATCH('Lorri 401b'!N3015,'Retirement Calculator'!A:A,0),0),0)</f>
        <v>0</v>
      </c>
      <c r="K3015" s="444">
        <f t="shared" ca="1" si="138"/>
        <v>-258050321.31459397</v>
      </c>
      <c r="L3015" s="444">
        <f t="shared" ca="1" si="139"/>
        <v>-62190127436.817146</v>
      </c>
      <c r="M3015" s="460">
        <f t="shared" si="141"/>
        <v>0.05</v>
      </c>
      <c r="N3015" s="464">
        <f t="shared" si="142"/>
        <v>142812</v>
      </c>
    </row>
    <row r="3016" spans="7:14" ht="11.25" customHeight="1" x14ac:dyDescent="0.3">
      <c r="G3016" s="459"/>
      <c r="H3016" s="459">
        <v>3009</v>
      </c>
      <c r="I3016" s="444">
        <f t="shared" ca="1" si="140"/>
        <v>-62190127436.817146</v>
      </c>
      <c r="J3016" s="444">
        <f t="array" ref="J3016">IFERROR(INDEX('Retirement Calculator'!K:K,MATCH('Lorri 401b'!N3016,'Retirement Calculator'!A:A,0),0),0)</f>
        <v>0</v>
      </c>
      <c r="K3016" s="444">
        <f t="shared" ca="1" si="138"/>
        <v>-259125530.98673809</v>
      </c>
      <c r="L3016" s="444">
        <f t="shared" ca="1" si="139"/>
        <v>-62449252967.803886</v>
      </c>
      <c r="M3016" s="460">
        <f t="shared" si="141"/>
        <v>0.05</v>
      </c>
      <c r="N3016" s="464">
        <f t="shared" si="142"/>
        <v>142843</v>
      </c>
    </row>
    <row r="3017" spans="7:14" ht="11.25" customHeight="1" x14ac:dyDescent="0.3">
      <c r="G3017" s="459"/>
      <c r="H3017" s="459">
        <v>3010</v>
      </c>
      <c r="I3017" s="444">
        <f t="shared" ca="1" si="140"/>
        <v>-62449252967.803886</v>
      </c>
      <c r="J3017" s="444">
        <f t="array" ref="J3017">IFERROR(INDEX('Retirement Calculator'!K:K,MATCH('Lorri 401b'!N3017,'Retirement Calculator'!A:A,0),0),0)</f>
        <v>0</v>
      </c>
      <c r="K3017" s="444">
        <f t="shared" ca="1" si="138"/>
        <v>-260205220.69918287</v>
      </c>
      <c r="L3017" s="444">
        <f t="shared" ca="1" si="139"/>
        <v>-62709458188.503067</v>
      </c>
      <c r="M3017" s="460">
        <f t="shared" si="141"/>
        <v>0.05</v>
      </c>
      <c r="N3017" s="464">
        <f t="shared" si="142"/>
        <v>142871</v>
      </c>
    </row>
    <row r="3018" spans="7:14" ht="11.25" customHeight="1" x14ac:dyDescent="0.3">
      <c r="G3018" s="459"/>
      <c r="H3018" s="459">
        <v>3011</v>
      </c>
      <c r="I3018" s="444">
        <f t="shared" ca="1" si="140"/>
        <v>-62709458188.503067</v>
      </c>
      <c r="J3018" s="444">
        <f t="array" ref="J3018">IFERROR(INDEX('Retirement Calculator'!K:K,MATCH('Lorri 401b'!N3018,'Retirement Calculator'!A:A,0),0),0)</f>
        <v>0</v>
      </c>
      <c r="K3018" s="444">
        <f t="shared" ca="1" si="138"/>
        <v>-261289409.11876276</v>
      </c>
      <c r="L3018" s="444">
        <f t="shared" ca="1" si="139"/>
        <v>-62970747597.621826</v>
      </c>
      <c r="M3018" s="460">
        <f t="shared" si="141"/>
        <v>0.05</v>
      </c>
      <c r="N3018" s="464">
        <f t="shared" si="142"/>
        <v>142902</v>
      </c>
    </row>
    <row r="3019" spans="7:14" ht="11.25" customHeight="1" x14ac:dyDescent="0.3">
      <c r="G3019" s="459"/>
      <c r="H3019" s="459">
        <v>3012</v>
      </c>
      <c r="I3019" s="444">
        <f t="shared" ca="1" si="140"/>
        <v>-62970747597.621826</v>
      </c>
      <c r="J3019" s="444">
        <f t="array" ref="J3019">IFERROR(INDEX('Retirement Calculator'!K:K,MATCH('Lorri 401b'!N3019,'Retirement Calculator'!A:A,0),0),0)</f>
        <v>0</v>
      </c>
      <c r="K3019" s="444">
        <f t="shared" ca="1" si="138"/>
        <v>-262378114.99009094</v>
      </c>
      <c r="L3019" s="444">
        <f t="shared" ca="1" si="139"/>
        <v>-63233125712.611916</v>
      </c>
      <c r="M3019" s="460">
        <f t="shared" si="141"/>
        <v>0.05</v>
      </c>
      <c r="N3019" s="464">
        <f t="shared" si="142"/>
        <v>142932</v>
      </c>
    </row>
    <row r="3020" spans="7:14" ht="11.25" customHeight="1" x14ac:dyDescent="0.3">
      <c r="G3020" s="459"/>
      <c r="H3020" s="459">
        <v>3013</v>
      </c>
      <c r="I3020" s="444">
        <f t="shared" ca="1" si="140"/>
        <v>-63233125712.611916</v>
      </c>
      <c r="J3020" s="444">
        <f t="array" ref="J3020">IFERROR(INDEX('Retirement Calculator'!K:K,MATCH('Lorri 401b'!N3020,'Retirement Calculator'!A:A,0),0),0)</f>
        <v>0</v>
      </c>
      <c r="K3020" s="444">
        <f t="shared" ca="1" si="138"/>
        <v>-263471357.13588297</v>
      </c>
      <c r="L3020" s="444">
        <f t="shared" ca="1" si="139"/>
        <v>-63496597069.747795</v>
      </c>
      <c r="M3020" s="460">
        <f t="shared" si="141"/>
        <v>0.05</v>
      </c>
      <c r="N3020" s="464">
        <f t="shared" si="142"/>
        <v>142963</v>
      </c>
    </row>
    <row r="3021" spans="7:14" ht="11.25" customHeight="1" x14ac:dyDescent="0.3">
      <c r="G3021" s="459"/>
      <c r="H3021" s="459">
        <v>3014</v>
      </c>
      <c r="I3021" s="444">
        <f t="shared" ca="1" si="140"/>
        <v>-63496597069.747795</v>
      </c>
      <c r="J3021" s="444">
        <f t="array" ref="J3021">IFERROR(INDEX('Retirement Calculator'!K:K,MATCH('Lorri 401b'!N3021,'Retirement Calculator'!A:A,0),0),0)</f>
        <v>0</v>
      </c>
      <c r="K3021" s="444">
        <f t="shared" ca="1" si="138"/>
        <v>-264569154.45728251</v>
      </c>
      <c r="L3021" s="444">
        <f t="shared" ca="1" si="139"/>
        <v>-63761166224.205078</v>
      </c>
      <c r="M3021" s="460">
        <f t="shared" si="141"/>
        <v>0.05</v>
      </c>
      <c r="N3021" s="464">
        <f t="shared" si="142"/>
        <v>142993</v>
      </c>
    </row>
    <row r="3022" spans="7:14" ht="11.25" customHeight="1" x14ac:dyDescent="0.3">
      <c r="G3022" s="459"/>
      <c r="H3022" s="459">
        <v>3015</v>
      </c>
      <c r="I3022" s="444">
        <f t="shared" ca="1" si="140"/>
        <v>-63761166224.205078</v>
      </c>
      <c r="J3022" s="444">
        <f t="array" ref="J3022">IFERROR(INDEX('Retirement Calculator'!K:K,MATCH('Lorri 401b'!N3022,'Retirement Calculator'!A:A,0),0),0)</f>
        <v>0</v>
      </c>
      <c r="K3022" s="444">
        <f t="shared" ca="1" si="138"/>
        <v>-265671525.93418786</v>
      </c>
      <c r="L3022" s="444">
        <f t="shared" ca="1" si="139"/>
        <v>-64026837750.139267</v>
      </c>
      <c r="M3022" s="460">
        <f t="shared" si="141"/>
        <v>0.05</v>
      </c>
      <c r="N3022" s="464">
        <f t="shared" si="142"/>
        <v>143024</v>
      </c>
    </row>
    <row r="3023" spans="7:14" ht="11.25" customHeight="1" x14ac:dyDescent="0.3">
      <c r="G3023" s="459"/>
      <c r="H3023" s="459">
        <v>3016</v>
      </c>
      <c r="I3023" s="444">
        <f t="shared" ca="1" si="140"/>
        <v>-64026837750.139267</v>
      </c>
      <c r="J3023" s="444">
        <f t="array" ref="J3023">IFERROR(INDEX('Retirement Calculator'!K:K,MATCH('Lorri 401b'!N3023,'Retirement Calculator'!A:A,0),0),0)</f>
        <v>0</v>
      </c>
      <c r="K3023" s="444">
        <f t="shared" ca="1" si="138"/>
        <v>-266778490.62558031</v>
      </c>
      <c r="L3023" s="444">
        <f t="shared" ca="1" si="139"/>
        <v>-64293616240.764847</v>
      </c>
      <c r="M3023" s="460">
        <f t="shared" si="141"/>
        <v>0.05</v>
      </c>
      <c r="N3023" s="464">
        <f t="shared" si="142"/>
        <v>143055</v>
      </c>
    </row>
    <row r="3024" spans="7:14" ht="11.25" customHeight="1" x14ac:dyDescent="0.3">
      <c r="G3024" s="459"/>
      <c r="H3024" s="459">
        <v>3017</v>
      </c>
      <c r="I3024" s="444">
        <f t="shared" ca="1" si="140"/>
        <v>-64293616240.764847</v>
      </c>
      <c r="J3024" s="444">
        <f t="array" ref="J3024">IFERROR(INDEX('Retirement Calculator'!K:K,MATCH('Lorri 401b'!N3024,'Retirement Calculator'!A:A,0),0),0)</f>
        <v>0</v>
      </c>
      <c r="K3024" s="444">
        <f t="shared" ca="1" si="138"/>
        <v>-267890067.66985348</v>
      </c>
      <c r="L3024" s="444">
        <f t="shared" ca="1" si="139"/>
        <v>-64561506308.4347</v>
      </c>
      <c r="M3024" s="460">
        <f t="shared" si="141"/>
        <v>0.05</v>
      </c>
      <c r="N3024" s="464">
        <f t="shared" si="142"/>
        <v>143085</v>
      </c>
    </row>
    <row r="3025" spans="7:14" ht="11.25" customHeight="1" x14ac:dyDescent="0.3">
      <c r="G3025" s="459"/>
      <c r="H3025" s="459">
        <v>3018</v>
      </c>
      <c r="I3025" s="444">
        <f t="shared" ca="1" si="140"/>
        <v>-64561506308.4347</v>
      </c>
      <c r="J3025" s="444">
        <f t="array" ref="J3025">IFERROR(INDEX('Retirement Calculator'!K:K,MATCH('Lorri 401b'!N3025,'Retirement Calculator'!A:A,0),0),0)</f>
        <v>0</v>
      </c>
      <c r="K3025" s="444">
        <f t="shared" ca="1" si="138"/>
        <v>-269006276.28514457</v>
      </c>
      <c r="L3025" s="444">
        <f t="shared" ca="1" si="139"/>
        <v>-64830512584.719841</v>
      </c>
      <c r="M3025" s="460">
        <f t="shared" si="141"/>
        <v>0.05</v>
      </c>
      <c r="N3025" s="464">
        <f t="shared" si="142"/>
        <v>143116</v>
      </c>
    </row>
    <row r="3026" spans="7:14" ht="11.25" customHeight="1" x14ac:dyDescent="0.3">
      <c r="G3026" s="459"/>
      <c r="H3026" s="459">
        <v>3019</v>
      </c>
      <c r="I3026" s="444">
        <f t="shared" ca="1" si="140"/>
        <v>-64830512584.719841</v>
      </c>
      <c r="J3026" s="444">
        <f t="array" ref="J3026">IFERROR(INDEX('Retirement Calculator'!K:K,MATCH('Lorri 401b'!N3026,'Retirement Calculator'!A:A,0),0),0)</f>
        <v>0</v>
      </c>
      <c r="K3026" s="444">
        <f t="shared" ca="1" si="138"/>
        <v>-270127135.76966596</v>
      </c>
      <c r="L3026" s="444">
        <f t="shared" ca="1" si="139"/>
        <v>-65100639720.48951</v>
      </c>
      <c r="M3026" s="460">
        <f t="shared" si="141"/>
        <v>0.05</v>
      </c>
      <c r="N3026" s="464">
        <f t="shared" si="142"/>
        <v>143146</v>
      </c>
    </row>
    <row r="3027" spans="7:14" ht="11.25" customHeight="1" x14ac:dyDescent="0.3">
      <c r="G3027" s="459"/>
      <c r="H3027" s="459">
        <v>3020</v>
      </c>
      <c r="I3027" s="444">
        <f t="shared" ca="1" si="140"/>
        <v>-65100639720.48951</v>
      </c>
      <c r="J3027" s="444">
        <f t="array" ref="J3027">IFERROR(INDEX('Retirement Calculator'!K:K,MATCH('Lorri 401b'!N3027,'Retirement Calculator'!A:A,0),0),0)</f>
        <v>0</v>
      </c>
      <c r="K3027" s="444">
        <f t="shared" ca="1" si="138"/>
        <v>-271252665.50203961</v>
      </c>
      <c r="L3027" s="444">
        <f t="shared" ca="1" si="139"/>
        <v>-65371892385.991547</v>
      </c>
      <c r="M3027" s="460">
        <f t="shared" si="141"/>
        <v>0.05</v>
      </c>
      <c r="N3027" s="464">
        <f t="shared" si="142"/>
        <v>143177</v>
      </c>
    </row>
    <row r="3028" spans="7:14" ht="11.25" customHeight="1" x14ac:dyDescent="0.3">
      <c r="G3028" s="459"/>
      <c r="H3028" s="459">
        <v>3021</v>
      </c>
      <c r="I3028" s="444">
        <f t="shared" ca="1" si="140"/>
        <v>-65371892385.991547</v>
      </c>
      <c r="J3028" s="444">
        <f t="array" ref="J3028">IFERROR(INDEX('Retirement Calculator'!K:K,MATCH('Lorri 401b'!N3028,'Retirement Calculator'!A:A,0),0),0)</f>
        <v>0</v>
      </c>
      <c r="K3028" s="444">
        <f t="shared" ca="1" si="138"/>
        <v>-272382884.94163144</v>
      </c>
      <c r="L3028" s="444">
        <f t="shared" ca="1" si="139"/>
        <v>-65644275270.933182</v>
      </c>
      <c r="M3028" s="460">
        <f t="shared" si="141"/>
        <v>0.05</v>
      </c>
      <c r="N3028" s="464">
        <f t="shared" si="142"/>
        <v>143208</v>
      </c>
    </row>
    <row r="3029" spans="7:14" ht="11.25" customHeight="1" x14ac:dyDescent="0.3">
      <c r="G3029" s="459"/>
      <c r="H3029" s="459">
        <v>3022</v>
      </c>
      <c r="I3029" s="444">
        <f t="shared" ca="1" si="140"/>
        <v>-65644275270.933182</v>
      </c>
      <c r="J3029" s="444">
        <f t="array" ref="J3029">IFERROR(INDEX('Retirement Calculator'!K:K,MATCH('Lorri 401b'!N3029,'Retirement Calculator'!A:A,0),0),0)</f>
        <v>0</v>
      </c>
      <c r="K3029" s="444">
        <f t="shared" ca="1" si="138"/>
        <v>-273517813.62888825</v>
      </c>
      <c r="L3029" s="444">
        <f t="shared" ca="1" si="139"/>
        <v>-65917793084.562073</v>
      </c>
      <c r="M3029" s="460">
        <f t="shared" si="141"/>
        <v>0.05</v>
      </c>
      <c r="N3029" s="464">
        <f t="shared" si="142"/>
        <v>143237</v>
      </c>
    </row>
    <row r="3030" spans="7:14" ht="11.25" customHeight="1" x14ac:dyDescent="0.3">
      <c r="G3030" s="459"/>
      <c r="H3030" s="459">
        <v>3023</v>
      </c>
      <c r="I3030" s="444">
        <f t="shared" ca="1" si="140"/>
        <v>-65917793084.562073</v>
      </c>
      <c r="J3030" s="444">
        <f t="array" ref="J3030">IFERROR(INDEX('Retirement Calculator'!K:K,MATCH('Lorri 401b'!N3030,'Retirement Calculator'!A:A,0),0),0)</f>
        <v>0</v>
      </c>
      <c r="K3030" s="444">
        <f t="shared" ca="1" si="138"/>
        <v>-274657471.18567532</v>
      </c>
      <c r="L3030" s="444">
        <f t="shared" ca="1" si="139"/>
        <v>-66192450555.747749</v>
      </c>
      <c r="M3030" s="460">
        <f t="shared" si="141"/>
        <v>0.05</v>
      </c>
      <c r="N3030" s="464">
        <f t="shared" si="142"/>
        <v>143268</v>
      </c>
    </row>
    <row r="3031" spans="7:14" ht="11.25" customHeight="1" x14ac:dyDescent="0.3">
      <c r="G3031" s="459"/>
      <c r="H3031" s="459">
        <v>3024</v>
      </c>
      <c r="I3031" s="444">
        <f t="shared" ca="1" si="140"/>
        <v>-66192450555.747749</v>
      </c>
      <c r="J3031" s="444">
        <f t="array" ref="J3031">IFERROR(INDEX('Retirement Calculator'!K:K,MATCH('Lorri 401b'!N3031,'Retirement Calculator'!A:A,0),0),0)</f>
        <v>0</v>
      </c>
      <c r="K3031" s="444">
        <f t="shared" ca="1" si="138"/>
        <v>-275801877.31561565</v>
      </c>
      <c r="L3031" s="444">
        <f t="shared" ca="1" si="139"/>
        <v>-66468252433.063362</v>
      </c>
      <c r="M3031" s="460">
        <f t="shared" si="141"/>
        <v>0.05</v>
      </c>
      <c r="N3031" s="464">
        <f t="shared" si="142"/>
        <v>143298</v>
      </c>
    </row>
    <row r="3032" spans="7:14" ht="11.25" customHeight="1" x14ac:dyDescent="0.3">
      <c r="G3032" s="459"/>
      <c r="H3032" s="459">
        <v>3025</v>
      </c>
      <c r="I3032" s="444">
        <f t="shared" ca="1" si="140"/>
        <v>-66468252433.063362</v>
      </c>
      <c r="J3032" s="444">
        <f t="array" ref="J3032">IFERROR(INDEX('Retirement Calculator'!K:K,MATCH('Lorri 401b'!N3032,'Retirement Calculator'!A:A,0),0),0)</f>
        <v>0</v>
      </c>
      <c r="K3032" s="444">
        <f t="shared" ca="1" si="138"/>
        <v>-276951051.80443066</v>
      </c>
      <c r="L3032" s="444">
        <f t="shared" ca="1" si="139"/>
        <v>-66745203484.86779</v>
      </c>
      <c r="M3032" s="460">
        <f t="shared" si="141"/>
        <v>0.05</v>
      </c>
      <c r="N3032" s="464">
        <f t="shared" si="142"/>
        <v>143329</v>
      </c>
    </row>
    <row r="3033" spans="7:14" ht="11.25" customHeight="1" x14ac:dyDescent="0.3">
      <c r="G3033" s="459"/>
      <c r="H3033" s="459">
        <v>3026</v>
      </c>
      <c r="I3033" s="444">
        <f t="shared" ca="1" si="140"/>
        <v>-66745203484.86779</v>
      </c>
      <c r="J3033" s="444">
        <f t="array" ref="J3033">IFERROR(INDEX('Retirement Calculator'!K:K,MATCH('Lorri 401b'!N3033,'Retirement Calculator'!A:A,0),0),0)</f>
        <v>0</v>
      </c>
      <c r="K3033" s="444">
        <f t="shared" ca="1" si="138"/>
        <v>-278105014.52028245</v>
      </c>
      <c r="L3033" s="444">
        <f t="shared" ca="1" si="139"/>
        <v>-67023308499.388069</v>
      </c>
      <c r="M3033" s="460">
        <f t="shared" si="141"/>
        <v>0.05</v>
      </c>
      <c r="N3033" s="464">
        <f t="shared" si="142"/>
        <v>143359</v>
      </c>
    </row>
    <row r="3034" spans="7:14" ht="11.25" customHeight="1" x14ac:dyDescent="0.3">
      <c r="G3034" s="459"/>
      <c r="H3034" s="459">
        <v>3027</v>
      </c>
      <c r="I3034" s="444">
        <f t="shared" ca="1" si="140"/>
        <v>-67023308499.388069</v>
      </c>
      <c r="J3034" s="444">
        <f t="array" ref="J3034">IFERROR(INDEX('Retirement Calculator'!K:K,MATCH('Lorri 401b'!N3034,'Retirement Calculator'!A:A,0),0),0)</f>
        <v>0</v>
      </c>
      <c r="K3034" s="444">
        <f t="shared" ca="1" si="138"/>
        <v>-279263785.41411698</v>
      </c>
      <c r="L3034" s="444">
        <f t="shared" ca="1" si="139"/>
        <v>-67302572284.802185</v>
      </c>
      <c r="M3034" s="460">
        <f t="shared" si="141"/>
        <v>0.05</v>
      </c>
      <c r="N3034" s="464">
        <f t="shared" si="142"/>
        <v>143390</v>
      </c>
    </row>
    <row r="3035" spans="7:14" ht="11.25" customHeight="1" x14ac:dyDescent="0.3">
      <c r="G3035" s="459"/>
      <c r="H3035" s="459">
        <v>3028</v>
      </c>
      <c r="I3035" s="444">
        <f t="shared" ca="1" si="140"/>
        <v>-67302572284.802185</v>
      </c>
      <c r="J3035" s="444">
        <f t="array" ref="J3035">IFERROR(INDEX('Retirement Calculator'!K:K,MATCH('Lorri 401b'!N3035,'Retirement Calculator'!A:A,0),0),0)</f>
        <v>0</v>
      </c>
      <c r="K3035" s="444">
        <f t="shared" ca="1" si="138"/>
        <v>-280427384.5200091</v>
      </c>
      <c r="L3035" s="444">
        <f t="shared" ca="1" si="139"/>
        <v>-67582999669.322197</v>
      </c>
      <c r="M3035" s="460">
        <f t="shared" si="141"/>
        <v>0.05</v>
      </c>
      <c r="N3035" s="464">
        <f t="shared" si="142"/>
        <v>143421</v>
      </c>
    </row>
    <row r="3036" spans="7:14" ht="11.25" customHeight="1" x14ac:dyDescent="0.3">
      <c r="G3036" s="459"/>
      <c r="H3036" s="459">
        <v>3029</v>
      </c>
      <c r="I3036" s="444">
        <f t="shared" ca="1" si="140"/>
        <v>-67582999669.322197</v>
      </c>
      <c r="J3036" s="444">
        <f t="array" ref="J3036">IFERROR(INDEX('Retirement Calculator'!K:K,MATCH('Lorri 401b'!N3036,'Retirement Calculator'!A:A,0),0),0)</f>
        <v>0</v>
      </c>
      <c r="K3036" s="444">
        <f t="shared" ca="1" si="138"/>
        <v>-281595831.95550913</v>
      </c>
      <c r="L3036" s="444">
        <f t="shared" ca="1" si="139"/>
        <v>-67864595501.277702</v>
      </c>
      <c r="M3036" s="460">
        <f t="shared" si="141"/>
        <v>0.05</v>
      </c>
      <c r="N3036" s="464">
        <f t="shared" si="142"/>
        <v>143451</v>
      </c>
    </row>
    <row r="3037" spans="7:14" ht="11.25" customHeight="1" x14ac:dyDescent="0.3">
      <c r="G3037" s="459"/>
      <c r="H3037" s="459">
        <v>3030</v>
      </c>
      <c r="I3037" s="444">
        <f t="shared" ca="1" si="140"/>
        <v>-67864595501.277702</v>
      </c>
      <c r="J3037" s="444">
        <f t="array" ref="J3037">IFERROR(INDEX('Retirement Calculator'!K:K,MATCH('Lorri 401b'!N3037,'Retirement Calculator'!A:A,0),0),0)</f>
        <v>0</v>
      </c>
      <c r="K3037" s="444">
        <f t="shared" ca="1" si="138"/>
        <v>-282769147.92199039</v>
      </c>
      <c r="L3037" s="444">
        <f t="shared" ca="1" si="139"/>
        <v>-68147364649.199692</v>
      </c>
      <c r="M3037" s="460">
        <f t="shared" si="141"/>
        <v>0.05</v>
      </c>
      <c r="N3037" s="464">
        <f t="shared" si="142"/>
        <v>143482</v>
      </c>
    </row>
    <row r="3038" spans="7:14" ht="11.25" customHeight="1" x14ac:dyDescent="0.3">
      <c r="G3038" s="459"/>
      <c r="H3038" s="459">
        <v>3031</v>
      </c>
      <c r="I3038" s="444">
        <f t="shared" ca="1" si="140"/>
        <v>-68147364649.199692</v>
      </c>
      <c r="J3038" s="444">
        <f t="array" ref="J3038">IFERROR(INDEX('Retirement Calculator'!K:K,MATCH('Lorri 401b'!N3038,'Retirement Calculator'!A:A,0),0),0)</f>
        <v>0</v>
      </c>
      <c r="K3038" s="444">
        <f t="shared" ca="1" si="138"/>
        <v>-283947352.70499873</v>
      </c>
      <c r="L3038" s="444">
        <f t="shared" ca="1" si="139"/>
        <v>-68431312001.904694</v>
      </c>
      <c r="M3038" s="460">
        <f t="shared" si="141"/>
        <v>0.05</v>
      </c>
      <c r="N3038" s="464">
        <f t="shared" si="142"/>
        <v>143512</v>
      </c>
    </row>
    <row r="3039" spans="7:14" ht="11.25" customHeight="1" x14ac:dyDescent="0.3">
      <c r="G3039" s="459"/>
      <c r="H3039" s="459">
        <v>3032</v>
      </c>
      <c r="I3039" s="444">
        <f t="shared" ca="1" si="140"/>
        <v>-68431312001.904694</v>
      </c>
      <c r="J3039" s="444">
        <f t="array" ref="J3039">IFERROR(INDEX('Retirement Calculator'!K:K,MATCH('Lorri 401b'!N3039,'Retirement Calculator'!A:A,0),0),0)</f>
        <v>0</v>
      </c>
      <c r="K3039" s="444">
        <f t="shared" ca="1" si="138"/>
        <v>-285130466.67460287</v>
      </c>
      <c r="L3039" s="444">
        <f t="shared" ca="1" si="139"/>
        <v>-68716442468.5793</v>
      </c>
      <c r="M3039" s="460">
        <f t="shared" si="141"/>
        <v>0.05</v>
      </c>
      <c r="N3039" s="464">
        <f t="shared" si="142"/>
        <v>143543</v>
      </c>
    </row>
    <row r="3040" spans="7:14" ht="11.25" customHeight="1" x14ac:dyDescent="0.3">
      <c r="G3040" s="459"/>
      <c r="H3040" s="459">
        <v>3033</v>
      </c>
      <c r="I3040" s="444">
        <f t="shared" ca="1" si="140"/>
        <v>-68716442468.5793</v>
      </c>
      <c r="J3040" s="444">
        <f t="array" ref="J3040">IFERROR(INDEX('Retirement Calculator'!K:K,MATCH('Lorri 401b'!N3040,'Retirement Calculator'!A:A,0),0),0)</f>
        <v>0</v>
      </c>
      <c r="K3040" s="444">
        <f t="shared" ca="1" si="138"/>
        <v>-286318510.28574705</v>
      </c>
      <c r="L3040" s="444">
        <f t="shared" ca="1" si="139"/>
        <v>-69002760978.865051</v>
      </c>
      <c r="M3040" s="460">
        <f t="shared" si="141"/>
        <v>0.05</v>
      </c>
      <c r="N3040" s="464">
        <f t="shared" si="142"/>
        <v>143574</v>
      </c>
    </row>
    <row r="3041" spans="7:14" ht="11.25" customHeight="1" x14ac:dyDescent="0.3">
      <c r="G3041" s="459"/>
      <c r="H3041" s="459">
        <v>3034</v>
      </c>
      <c r="I3041" s="444">
        <f t="shared" ca="1" si="140"/>
        <v>-69002760978.865051</v>
      </c>
      <c r="J3041" s="444">
        <f t="array" ref="J3041">IFERROR(INDEX('Retirement Calculator'!K:K,MATCH('Lorri 401b'!N3041,'Retirement Calculator'!A:A,0),0),0)</f>
        <v>0</v>
      </c>
      <c r="K3041" s="444">
        <f t="shared" ca="1" si="138"/>
        <v>-287511504.0786044</v>
      </c>
      <c r="L3041" s="444">
        <f t="shared" ca="1" si="139"/>
        <v>-69290272482.943649</v>
      </c>
      <c r="M3041" s="460">
        <f t="shared" si="141"/>
        <v>0.05</v>
      </c>
      <c r="N3041" s="464">
        <f t="shared" si="142"/>
        <v>143602</v>
      </c>
    </row>
    <row r="3042" spans="7:14" ht="11.25" customHeight="1" x14ac:dyDescent="0.3">
      <c r="G3042" s="459"/>
      <c r="H3042" s="459">
        <v>3035</v>
      </c>
      <c r="I3042" s="444">
        <f t="shared" ca="1" si="140"/>
        <v>-69290272482.943649</v>
      </c>
      <c r="J3042" s="444">
        <f t="array" ref="J3042">IFERROR(INDEX('Retirement Calculator'!K:K,MATCH('Lorri 401b'!N3042,'Retirement Calculator'!A:A,0),0),0)</f>
        <v>0</v>
      </c>
      <c r="K3042" s="444">
        <f t="shared" ca="1" si="138"/>
        <v>-288709468.67893189</v>
      </c>
      <c r="L3042" s="444">
        <f t="shared" ca="1" si="139"/>
        <v>-69578981951.622574</v>
      </c>
      <c r="M3042" s="460">
        <f t="shared" si="141"/>
        <v>0.05</v>
      </c>
      <c r="N3042" s="464">
        <f t="shared" si="142"/>
        <v>143633</v>
      </c>
    </row>
    <row r="3043" spans="7:14" ht="11.25" customHeight="1" x14ac:dyDescent="0.3">
      <c r="G3043" s="459"/>
      <c r="H3043" s="459">
        <v>3036</v>
      </c>
      <c r="I3043" s="444">
        <f t="shared" ca="1" si="140"/>
        <v>-69578981951.622574</v>
      </c>
      <c r="J3043" s="444">
        <f t="array" ref="J3043">IFERROR(INDEX('Retirement Calculator'!K:K,MATCH('Lorri 401b'!N3043,'Retirement Calculator'!A:A,0),0),0)</f>
        <v>0</v>
      </c>
      <c r="K3043" s="444">
        <f t="shared" ca="1" si="138"/>
        <v>-289912424.7984274</v>
      </c>
      <c r="L3043" s="444">
        <f t="shared" ca="1" si="139"/>
        <v>-69868894376.421005</v>
      </c>
      <c r="M3043" s="460">
        <f t="shared" si="141"/>
        <v>0.05</v>
      </c>
      <c r="N3043" s="464">
        <f t="shared" si="142"/>
        <v>143663</v>
      </c>
    </row>
    <row r="3044" spans="7:14" ht="11.25" customHeight="1" x14ac:dyDescent="0.3">
      <c r="G3044" s="459"/>
      <c r="H3044" s="459">
        <v>3037</v>
      </c>
      <c r="I3044" s="444">
        <f t="shared" ca="1" si="140"/>
        <v>-69868894376.421005</v>
      </c>
      <c r="J3044" s="444">
        <f t="array" ref="J3044">IFERROR(INDEX('Retirement Calculator'!K:K,MATCH('Lorri 401b'!N3044,'Retirement Calculator'!A:A,0),0),0)</f>
        <v>0</v>
      </c>
      <c r="K3044" s="444">
        <f t="shared" ca="1" si="138"/>
        <v>-291120393.23508751</v>
      </c>
      <c r="L3044" s="444">
        <f t="shared" ca="1" si="139"/>
        <v>-70160014769.656097</v>
      </c>
      <c r="M3044" s="460">
        <f t="shared" si="141"/>
        <v>0.05</v>
      </c>
      <c r="N3044" s="464">
        <f t="shared" si="142"/>
        <v>143694</v>
      </c>
    </row>
    <row r="3045" spans="7:14" ht="11.25" customHeight="1" x14ac:dyDescent="0.3">
      <c r="G3045" s="459"/>
      <c r="H3045" s="459">
        <v>3038</v>
      </c>
      <c r="I3045" s="444">
        <f t="shared" ca="1" si="140"/>
        <v>-70160014769.656097</v>
      </c>
      <c r="J3045" s="444">
        <f t="array" ref="J3045">IFERROR(INDEX('Retirement Calculator'!K:K,MATCH('Lorri 401b'!N3045,'Retirement Calculator'!A:A,0),0),0)</f>
        <v>0</v>
      </c>
      <c r="K3045" s="444">
        <f t="shared" ca="1" si="138"/>
        <v>-292333394.87356704</v>
      </c>
      <c r="L3045" s="444">
        <f t="shared" ca="1" si="139"/>
        <v>-70452348164.529663</v>
      </c>
      <c r="M3045" s="460">
        <f t="shared" si="141"/>
        <v>0.05</v>
      </c>
      <c r="N3045" s="464">
        <f t="shared" si="142"/>
        <v>143724</v>
      </c>
    </row>
    <row r="3046" spans="7:14" ht="11.25" customHeight="1" x14ac:dyDescent="0.3">
      <c r="G3046" s="459"/>
      <c r="H3046" s="459">
        <v>3039</v>
      </c>
      <c r="I3046" s="444">
        <f t="shared" ca="1" si="140"/>
        <v>-70452348164.529663</v>
      </c>
      <c r="J3046" s="444">
        <f t="array" ref="J3046">IFERROR(INDEX('Retirement Calculator'!K:K,MATCH('Lorri 401b'!N3046,'Retirement Calculator'!A:A,0),0),0)</f>
        <v>0</v>
      </c>
      <c r="K3046" s="444">
        <f t="shared" ca="1" si="138"/>
        <v>-293551450.68554026</v>
      </c>
      <c r="L3046" s="444">
        <f t="shared" ca="1" si="139"/>
        <v>-70745899615.21521</v>
      </c>
      <c r="M3046" s="460">
        <f t="shared" si="141"/>
        <v>0.05</v>
      </c>
      <c r="N3046" s="464">
        <f t="shared" si="142"/>
        <v>143755</v>
      </c>
    </row>
    <row r="3047" spans="7:14" ht="11.25" customHeight="1" x14ac:dyDescent="0.3">
      <c r="G3047" s="459"/>
      <c r="H3047" s="459">
        <v>3040</v>
      </c>
      <c r="I3047" s="444">
        <f t="shared" ca="1" si="140"/>
        <v>-70745899615.21521</v>
      </c>
      <c r="J3047" s="444">
        <f t="array" ref="J3047">IFERROR(INDEX('Retirement Calculator'!K:K,MATCH('Lorri 401b'!N3047,'Retirement Calculator'!A:A,0),0),0)</f>
        <v>0</v>
      </c>
      <c r="K3047" s="444">
        <f t="shared" ca="1" si="138"/>
        <v>-294774581.73006338</v>
      </c>
      <c r="L3047" s="444">
        <f t="shared" ca="1" si="139"/>
        <v>-71040674196.945267</v>
      </c>
      <c r="M3047" s="460">
        <f t="shared" si="141"/>
        <v>0.05</v>
      </c>
      <c r="N3047" s="464">
        <f t="shared" si="142"/>
        <v>143786</v>
      </c>
    </row>
    <row r="3048" spans="7:14" ht="11.25" customHeight="1" x14ac:dyDescent="0.3">
      <c r="G3048" s="459"/>
      <c r="H3048" s="459">
        <v>3041</v>
      </c>
      <c r="I3048" s="444">
        <f t="shared" ca="1" si="140"/>
        <v>-71040674196.945267</v>
      </c>
      <c r="J3048" s="444">
        <f t="array" ref="J3048">IFERROR(INDEX('Retirement Calculator'!K:K,MATCH('Lorri 401b'!N3048,'Retirement Calculator'!A:A,0),0),0)</f>
        <v>0</v>
      </c>
      <c r="K3048" s="444">
        <f t="shared" ca="1" si="138"/>
        <v>-296002809.15393859</v>
      </c>
      <c r="L3048" s="444">
        <f t="shared" ca="1" si="139"/>
        <v>-71336677006.099213</v>
      </c>
      <c r="M3048" s="460">
        <f t="shared" si="141"/>
        <v>0.05</v>
      </c>
      <c r="N3048" s="464">
        <f t="shared" si="142"/>
        <v>143816</v>
      </c>
    </row>
    <row r="3049" spans="7:14" ht="11.25" customHeight="1" x14ac:dyDescent="0.3">
      <c r="G3049" s="459"/>
      <c r="H3049" s="459">
        <v>3042</v>
      </c>
      <c r="I3049" s="444">
        <f t="shared" ca="1" si="140"/>
        <v>-71336677006.099213</v>
      </c>
      <c r="J3049" s="444">
        <f t="array" ref="J3049">IFERROR(INDEX('Retirement Calculator'!K:K,MATCH('Lorri 401b'!N3049,'Retirement Calculator'!A:A,0),0),0)</f>
        <v>0</v>
      </c>
      <c r="K3049" s="444">
        <f t="shared" ca="1" si="138"/>
        <v>-297236154.19208002</v>
      </c>
      <c r="L3049" s="444">
        <f t="shared" ca="1" si="139"/>
        <v>-71633913160.29129</v>
      </c>
      <c r="M3049" s="460">
        <f t="shared" si="141"/>
        <v>0.05</v>
      </c>
      <c r="N3049" s="464">
        <f t="shared" si="142"/>
        <v>143847</v>
      </c>
    </row>
    <row r="3050" spans="7:14" ht="11.25" customHeight="1" x14ac:dyDescent="0.3">
      <c r="G3050" s="459"/>
      <c r="H3050" s="459">
        <v>3043</v>
      </c>
      <c r="I3050" s="444">
        <f t="shared" ca="1" si="140"/>
        <v>-71633913160.29129</v>
      </c>
      <c r="J3050" s="444">
        <f t="array" ref="J3050">IFERROR(INDEX('Retirement Calculator'!K:K,MATCH('Lorri 401b'!N3050,'Retirement Calculator'!A:A,0),0),0)</f>
        <v>0</v>
      </c>
      <c r="K3050" s="444">
        <f t="shared" ca="1" si="138"/>
        <v>-298474638.16788036</v>
      </c>
      <c r="L3050" s="444">
        <f t="shared" ca="1" si="139"/>
        <v>-71932387798.459167</v>
      </c>
      <c r="M3050" s="460">
        <f t="shared" si="141"/>
        <v>0.05</v>
      </c>
      <c r="N3050" s="464">
        <f t="shared" si="142"/>
        <v>143877</v>
      </c>
    </row>
    <row r="3051" spans="7:14" ht="11.25" customHeight="1" x14ac:dyDescent="0.3">
      <c r="G3051" s="459"/>
      <c r="H3051" s="459">
        <v>3044</v>
      </c>
      <c r="I3051" s="444">
        <f t="shared" ca="1" si="140"/>
        <v>-71932387798.459167</v>
      </c>
      <c r="J3051" s="444">
        <f t="array" ref="J3051">IFERROR(INDEX('Retirement Calculator'!K:K,MATCH('Lorri 401b'!N3051,'Retirement Calculator'!A:A,0),0),0)</f>
        <v>0</v>
      </c>
      <c r="K3051" s="444">
        <f t="shared" ca="1" si="138"/>
        <v>-299718282.49357986</v>
      </c>
      <c r="L3051" s="444">
        <f t="shared" ca="1" si="139"/>
        <v>-72232106080.952744</v>
      </c>
      <c r="M3051" s="460">
        <f t="shared" si="141"/>
        <v>0.05</v>
      </c>
      <c r="N3051" s="464">
        <f t="shared" si="142"/>
        <v>143908</v>
      </c>
    </row>
    <row r="3052" spans="7:14" ht="11.25" customHeight="1" x14ac:dyDescent="0.3">
      <c r="G3052" s="459"/>
      <c r="H3052" s="459">
        <v>3045</v>
      </c>
      <c r="I3052" s="444">
        <f t="shared" ca="1" si="140"/>
        <v>-72232106080.952744</v>
      </c>
      <c r="J3052" s="444">
        <f t="array" ref="J3052">IFERROR(INDEX('Retirement Calculator'!K:K,MATCH('Lorri 401b'!N3052,'Retirement Calculator'!A:A,0),0),0)</f>
        <v>0</v>
      </c>
      <c r="K3052" s="444">
        <f t="shared" ca="1" si="138"/>
        <v>-300967108.67063642</v>
      </c>
      <c r="L3052" s="444">
        <f t="shared" ca="1" si="139"/>
        <v>-72533073189.623383</v>
      </c>
      <c r="M3052" s="460">
        <f t="shared" si="141"/>
        <v>0.05</v>
      </c>
      <c r="N3052" s="464">
        <f t="shared" si="142"/>
        <v>143939</v>
      </c>
    </row>
    <row r="3053" spans="7:14" ht="11.25" customHeight="1" x14ac:dyDescent="0.3">
      <c r="G3053" s="459"/>
      <c r="H3053" s="459">
        <v>3046</v>
      </c>
      <c r="I3053" s="444">
        <f t="shared" ca="1" si="140"/>
        <v>-72533073189.623383</v>
      </c>
      <c r="J3053" s="444">
        <f t="array" ref="J3053">IFERROR(INDEX('Retirement Calculator'!K:K,MATCH('Lorri 401b'!N3053,'Retirement Calculator'!A:A,0),0),0)</f>
        <v>0</v>
      </c>
      <c r="K3053" s="444">
        <f t="shared" ca="1" si="138"/>
        <v>-302221138.29009742</v>
      </c>
      <c r="L3053" s="444">
        <f t="shared" ca="1" si="139"/>
        <v>-72835294327.913483</v>
      </c>
      <c r="M3053" s="460">
        <f t="shared" si="141"/>
        <v>0.05</v>
      </c>
      <c r="N3053" s="464">
        <f t="shared" si="142"/>
        <v>143967</v>
      </c>
    </row>
    <row r="3054" spans="7:14" ht="11.25" customHeight="1" x14ac:dyDescent="0.3">
      <c r="G3054" s="459"/>
      <c r="H3054" s="459">
        <v>3047</v>
      </c>
      <c r="I3054" s="444">
        <f t="shared" ca="1" si="140"/>
        <v>-72835294327.913483</v>
      </c>
      <c r="J3054" s="444">
        <f t="array" ref="J3054">IFERROR(INDEX('Retirement Calculator'!K:K,MATCH('Lorri 401b'!N3054,'Retirement Calculator'!A:A,0),0),0)</f>
        <v>0</v>
      </c>
      <c r="K3054" s="444">
        <f t="shared" ca="1" si="138"/>
        <v>-303480393.03297281</v>
      </c>
      <c r="L3054" s="444">
        <f t="shared" ca="1" si="139"/>
        <v>-73138774720.946457</v>
      </c>
      <c r="M3054" s="460">
        <f t="shared" si="141"/>
        <v>0.05</v>
      </c>
      <c r="N3054" s="464">
        <f t="shared" si="142"/>
        <v>143998</v>
      </c>
    </row>
    <row r="3055" spans="7:14" ht="11.25" customHeight="1" x14ac:dyDescent="0.3">
      <c r="G3055" s="459"/>
      <c r="H3055" s="459">
        <v>3048</v>
      </c>
      <c r="I3055" s="444">
        <f t="shared" ca="1" si="140"/>
        <v>-73138774720.946457</v>
      </c>
      <c r="J3055" s="444">
        <f t="array" ref="J3055">IFERROR(INDEX('Retirement Calculator'!K:K,MATCH('Lorri 401b'!N3055,'Retirement Calculator'!A:A,0),0),0)</f>
        <v>0</v>
      </c>
      <c r="K3055" s="444">
        <f t="shared" ca="1" si="138"/>
        <v>-304744894.67061025</v>
      </c>
      <c r="L3055" s="444">
        <f t="shared" ca="1" si="139"/>
        <v>-73443519615.617065</v>
      </c>
      <c r="M3055" s="460">
        <f t="shared" si="141"/>
        <v>0.05</v>
      </c>
      <c r="N3055" s="464">
        <f t="shared" si="142"/>
        <v>144028</v>
      </c>
    </row>
    <row r="3056" spans="7:14" ht="11.25" customHeight="1" x14ac:dyDescent="0.3">
      <c r="G3056" s="459"/>
      <c r="H3056" s="459">
        <v>3049</v>
      </c>
      <c r="I3056" s="444">
        <f t="shared" ca="1" si="140"/>
        <v>-73443519615.617065</v>
      </c>
      <c r="J3056" s="444">
        <f t="array" ref="J3056">IFERROR(INDEX('Retirement Calculator'!K:K,MATCH('Lorri 401b'!N3056,'Retirement Calculator'!A:A,0),0),0)</f>
        <v>0</v>
      </c>
      <c r="K3056" s="444">
        <f t="shared" ca="1" si="138"/>
        <v>-306014665.06507111</v>
      </c>
      <c r="L3056" s="444">
        <f t="shared" ca="1" si="139"/>
        <v>-73749534280.682129</v>
      </c>
      <c r="M3056" s="460">
        <f t="shared" si="141"/>
        <v>0.05</v>
      </c>
      <c r="N3056" s="464">
        <f t="shared" si="142"/>
        <v>144059</v>
      </c>
    </row>
    <row r="3057" spans="7:14" ht="11.25" customHeight="1" x14ac:dyDescent="0.3">
      <c r="G3057" s="459"/>
      <c r="H3057" s="459">
        <v>3050</v>
      </c>
      <c r="I3057" s="444">
        <f t="shared" ca="1" si="140"/>
        <v>-73749534280.682129</v>
      </c>
      <c r="J3057" s="444">
        <f t="array" ref="J3057">IFERROR(INDEX('Retirement Calculator'!K:K,MATCH('Lorri 401b'!N3057,'Retirement Calculator'!A:A,0),0),0)</f>
        <v>0</v>
      </c>
      <c r="K3057" s="444">
        <f t="shared" ca="1" si="138"/>
        <v>-307289726.16950887</v>
      </c>
      <c r="L3057" s="444">
        <f t="shared" ca="1" si="139"/>
        <v>-74056824006.851639</v>
      </c>
      <c r="M3057" s="460">
        <f t="shared" si="141"/>
        <v>0.05</v>
      </c>
      <c r="N3057" s="464">
        <f t="shared" si="142"/>
        <v>144089</v>
      </c>
    </row>
    <row r="3058" spans="7:14" ht="11.25" customHeight="1" x14ac:dyDescent="0.3">
      <c r="G3058" s="459"/>
      <c r="H3058" s="459">
        <v>3051</v>
      </c>
      <c r="I3058" s="444">
        <f t="shared" ca="1" si="140"/>
        <v>-74056824006.851639</v>
      </c>
      <c r="J3058" s="444">
        <f t="array" ref="J3058">IFERROR(INDEX('Retirement Calculator'!K:K,MATCH('Lorri 401b'!N3058,'Retirement Calculator'!A:A,0),0),0)</f>
        <v>0</v>
      </c>
      <c r="K3058" s="444">
        <f t="shared" ca="1" si="138"/>
        <v>-308570100.02854848</v>
      </c>
      <c r="L3058" s="444">
        <f t="shared" ca="1" si="139"/>
        <v>-74365394106.880188</v>
      </c>
      <c r="M3058" s="460">
        <f t="shared" si="141"/>
        <v>0.05</v>
      </c>
      <c r="N3058" s="464">
        <f t="shared" si="142"/>
        <v>144120</v>
      </c>
    </row>
    <row r="3059" spans="7:14" ht="11.25" customHeight="1" x14ac:dyDescent="0.3">
      <c r="G3059" s="459"/>
      <c r="H3059" s="459">
        <v>3052</v>
      </c>
      <c r="I3059" s="444">
        <f t="shared" ca="1" si="140"/>
        <v>-74365394106.880188</v>
      </c>
      <c r="J3059" s="444">
        <f t="array" ref="J3059">IFERROR(INDEX('Retirement Calculator'!K:K,MATCH('Lorri 401b'!N3059,'Retirement Calculator'!A:A,0),0),0)</f>
        <v>0</v>
      </c>
      <c r="K3059" s="444">
        <f t="shared" ca="1" si="138"/>
        <v>-309855808.77866745</v>
      </c>
      <c r="L3059" s="444">
        <f t="shared" ca="1" si="139"/>
        <v>-74675249915.658859</v>
      </c>
      <c r="M3059" s="460">
        <f t="shared" si="141"/>
        <v>0.05</v>
      </c>
      <c r="N3059" s="464">
        <f t="shared" si="142"/>
        <v>144151</v>
      </c>
    </row>
    <row r="3060" spans="7:14" ht="11.25" customHeight="1" x14ac:dyDescent="0.3">
      <c r="G3060" s="459"/>
      <c r="H3060" s="459">
        <v>3053</v>
      </c>
      <c r="I3060" s="444">
        <f t="shared" ca="1" si="140"/>
        <v>-74675249915.658859</v>
      </c>
      <c r="J3060" s="444">
        <f t="array" ref="J3060">IFERROR(INDEX('Retirement Calculator'!K:K,MATCH('Lorri 401b'!N3060,'Retirement Calculator'!A:A,0),0),0)</f>
        <v>0</v>
      </c>
      <c r="K3060" s="444">
        <f t="shared" ca="1" si="138"/>
        <v>-311146874.64857858</v>
      </c>
      <c r="L3060" s="444">
        <f t="shared" ca="1" si="139"/>
        <v>-74986396790.307434</v>
      </c>
      <c r="M3060" s="460">
        <f t="shared" si="141"/>
        <v>0.05</v>
      </c>
      <c r="N3060" s="464">
        <f t="shared" si="142"/>
        <v>144181</v>
      </c>
    </row>
    <row r="3061" spans="7:14" ht="11.25" customHeight="1" x14ac:dyDescent="0.3">
      <c r="G3061" s="459"/>
      <c r="H3061" s="459">
        <v>3054</v>
      </c>
      <c r="I3061" s="444">
        <f t="shared" ca="1" si="140"/>
        <v>-74986396790.307434</v>
      </c>
      <c r="J3061" s="444">
        <f t="array" ref="J3061">IFERROR(INDEX('Retirement Calculator'!K:K,MATCH('Lorri 401b'!N3061,'Retirement Calculator'!A:A,0),0),0)</f>
        <v>0</v>
      </c>
      <c r="K3061" s="444">
        <f t="shared" ca="1" si="138"/>
        <v>-312443319.95961428</v>
      </c>
      <c r="L3061" s="444">
        <f t="shared" ca="1" si="139"/>
        <v>-75298840110.267044</v>
      </c>
      <c r="M3061" s="460">
        <f t="shared" si="141"/>
        <v>0.05</v>
      </c>
      <c r="N3061" s="464">
        <f t="shared" si="142"/>
        <v>144212</v>
      </c>
    </row>
    <row r="3062" spans="7:14" ht="11.25" customHeight="1" x14ac:dyDescent="0.3">
      <c r="G3062" s="459"/>
      <c r="H3062" s="459">
        <v>3055</v>
      </c>
      <c r="I3062" s="444">
        <f t="shared" ca="1" si="140"/>
        <v>-75298840110.267044</v>
      </c>
      <c r="J3062" s="444">
        <f t="array" ref="J3062">IFERROR(INDEX('Retirement Calculator'!K:K,MATCH('Lorri 401b'!N3062,'Retirement Calculator'!A:A,0),0),0)</f>
        <v>0</v>
      </c>
      <c r="K3062" s="444">
        <f t="shared" ca="1" si="138"/>
        <v>-313745167.1261127</v>
      </c>
      <c r="L3062" s="444">
        <f t="shared" ca="1" si="139"/>
        <v>-75612585277.393158</v>
      </c>
      <c r="M3062" s="460">
        <f t="shared" si="141"/>
        <v>0.05</v>
      </c>
      <c r="N3062" s="464">
        <f t="shared" si="142"/>
        <v>144242</v>
      </c>
    </row>
    <row r="3063" spans="7:14" ht="11.25" customHeight="1" x14ac:dyDescent="0.3">
      <c r="G3063" s="459"/>
      <c r="H3063" s="459">
        <v>3056</v>
      </c>
      <c r="I3063" s="444">
        <f t="shared" ca="1" si="140"/>
        <v>-75612585277.393158</v>
      </c>
      <c r="J3063" s="444">
        <f t="array" ref="J3063">IFERROR(INDEX('Retirement Calculator'!K:K,MATCH('Lorri 401b'!N3063,'Retirement Calculator'!A:A,0),0),0)</f>
        <v>0</v>
      </c>
      <c r="K3063" s="444">
        <f t="shared" ca="1" si="138"/>
        <v>-315052438.65580481</v>
      </c>
      <c r="L3063" s="444">
        <f t="shared" ca="1" si="139"/>
        <v>-75927637716.048965</v>
      </c>
      <c r="M3063" s="460">
        <f t="shared" si="141"/>
        <v>0.05</v>
      </c>
      <c r="N3063" s="464">
        <f t="shared" si="142"/>
        <v>144273</v>
      </c>
    </row>
    <row r="3064" spans="7:14" ht="11.25" customHeight="1" x14ac:dyDescent="0.3">
      <c r="G3064" s="459"/>
      <c r="H3064" s="459">
        <v>3057</v>
      </c>
      <c r="I3064" s="444">
        <f t="shared" ca="1" si="140"/>
        <v>-75927637716.048965</v>
      </c>
      <c r="J3064" s="444">
        <f t="array" ref="J3064">IFERROR(INDEX('Retirement Calculator'!K:K,MATCH('Lorri 401b'!N3064,'Retirement Calculator'!A:A,0),0),0)</f>
        <v>0</v>
      </c>
      <c r="K3064" s="444">
        <f t="shared" ca="1" si="138"/>
        <v>-316365157.150204</v>
      </c>
      <c r="L3064" s="444">
        <f t="shared" ca="1" si="139"/>
        <v>-76244002873.199173</v>
      </c>
      <c r="M3064" s="460">
        <f t="shared" si="141"/>
        <v>0.05</v>
      </c>
      <c r="N3064" s="464">
        <f t="shared" si="142"/>
        <v>144304</v>
      </c>
    </row>
    <row r="3065" spans="7:14" ht="11.25" customHeight="1" x14ac:dyDescent="0.3">
      <c r="G3065" s="459"/>
      <c r="H3065" s="459">
        <v>3058</v>
      </c>
      <c r="I3065" s="444">
        <f t="shared" ca="1" si="140"/>
        <v>-76244002873.199173</v>
      </c>
      <c r="J3065" s="444">
        <f t="array" ref="J3065">IFERROR(INDEX('Retirement Calculator'!K:K,MATCH('Lorri 401b'!N3065,'Retirement Calculator'!A:A,0),0),0)</f>
        <v>0</v>
      </c>
      <c r="K3065" s="444">
        <f t="shared" ca="1" si="138"/>
        <v>-317683345.30499655</v>
      </c>
      <c r="L3065" s="444">
        <f t="shared" ca="1" si="139"/>
        <v>-76561686218.504166</v>
      </c>
      <c r="M3065" s="460">
        <f t="shared" si="141"/>
        <v>0.05</v>
      </c>
      <c r="N3065" s="464">
        <f t="shared" si="142"/>
        <v>144332</v>
      </c>
    </row>
    <row r="3066" spans="7:14" ht="11.25" customHeight="1" x14ac:dyDescent="0.3">
      <c r="G3066" s="459"/>
      <c r="H3066" s="459">
        <v>3059</v>
      </c>
      <c r="I3066" s="444">
        <f t="shared" ca="1" si="140"/>
        <v>-76561686218.504166</v>
      </c>
      <c r="J3066" s="444">
        <f t="array" ref="J3066">IFERROR(INDEX('Retirement Calculator'!K:K,MATCH('Lorri 401b'!N3066,'Retirement Calculator'!A:A,0),0),0)</f>
        <v>0</v>
      </c>
      <c r="K3066" s="444">
        <f t="shared" ca="1" si="138"/>
        <v>-319007025.91043401</v>
      </c>
      <c r="L3066" s="444">
        <f t="shared" ca="1" si="139"/>
        <v>-76880693244.414597</v>
      </c>
      <c r="M3066" s="460">
        <f t="shared" si="141"/>
        <v>0.05</v>
      </c>
      <c r="N3066" s="464">
        <f t="shared" si="142"/>
        <v>144363</v>
      </c>
    </row>
    <row r="3067" spans="7:14" ht="11.25" customHeight="1" x14ac:dyDescent="0.3">
      <c r="G3067" s="459"/>
      <c r="H3067" s="459">
        <v>3060</v>
      </c>
      <c r="I3067" s="444">
        <f t="shared" ca="1" si="140"/>
        <v>-76880693244.414597</v>
      </c>
      <c r="J3067" s="444">
        <f t="array" ref="J3067">IFERROR(INDEX('Retirement Calculator'!K:K,MATCH('Lorri 401b'!N3067,'Retirement Calculator'!A:A,0),0),0)</f>
        <v>0</v>
      </c>
      <c r="K3067" s="444">
        <f t="shared" ca="1" si="138"/>
        <v>-320336221.85172749</v>
      </c>
      <c r="L3067" s="444">
        <f t="shared" ca="1" si="139"/>
        <v>-77201029466.266327</v>
      </c>
      <c r="M3067" s="460">
        <f t="shared" si="141"/>
        <v>0.05</v>
      </c>
      <c r="N3067" s="464">
        <f t="shared" si="142"/>
        <v>144393</v>
      </c>
    </row>
    <row r="3068" spans="7:14" ht="11.25" customHeight="1" x14ac:dyDescent="0.3">
      <c r="G3068" s="459"/>
      <c r="H3068" s="459">
        <v>3061</v>
      </c>
      <c r="I3068" s="444">
        <f t="shared" ca="1" si="140"/>
        <v>-77201029466.266327</v>
      </c>
      <c r="J3068" s="444">
        <f t="array" ref="J3068">IFERROR(INDEX('Retirement Calculator'!K:K,MATCH('Lorri 401b'!N3068,'Retirement Calculator'!A:A,0),0),0)</f>
        <v>0</v>
      </c>
      <c r="K3068" s="444">
        <f t="shared" ref="K3068:K3322" ca="1" si="143">IPMT(M3068/12,1,12,-I3068+J3068,,0)</f>
        <v>-321670956.10944301</v>
      </c>
      <c r="L3068" s="444">
        <f t="shared" ref="L3068:L3322" ca="1" si="144">I3068-J3068+K3068</f>
        <v>-77522700422.375763</v>
      </c>
      <c r="M3068" s="460">
        <f t="shared" si="141"/>
        <v>0.05</v>
      </c>
      <c r="N3068" s="464">
        <f t="shared" si="142"/>
        <v>144424</v>
      </c>
    </row>
    <row r="3069" spans="7:14" ht="11.25" customHeight="1" x14ac:dyDescent="0.3">
      <c r="G3069" s="459"/>
      <c r="H3069" s="459">
        <v>3062</v>
      </c>
      <c r="I3069" s="444">
        <f t="shared" ref="I3069:I3323" ca="1" si="145">L3068</f>
        <v>-77522700422.375763</v>
      </c>
      <c r="J3069" s="444">
        <f t="array" ref="J3069">IFERROR(INDEX('Retirement Calculator'!K:K,MATCH('Lorri 401b'!N3069,'Retirement Calculator'!A:A,0),0),0)</f>
        <v>0</v>
      </c>
      <c r="K3069" s="444">
        <f t="shared" ca="1" si="143"/>
        <v>-323011251.75989902</v>
      </c>
      <c r="L3069" s="444">
        <f t="shared" ca="1" si="144"/>
        <v>-77845711674.135666</v>
      </c>
      <c r="M3069" s="460">
        <f t="shared" ref="M3069:M3323" si="146">M3068</f>
        <v>0.05</v>
      </c>
      <c r="N3069" s="464">
        <f t="shared" ref="N3069:N3323" si="147">EDATE(N3068,1)</f>
        <v>144454</v>
      </c>
    </row>
    <row r="3070" spans="7:14" ht="11.25" customHeight="1" x14ac:dyDescent="0.3">
      <c r="G3070" s="459"/>
      <c r="H3070" s="459">
        <v>3063</v>
      </c>
      <c r="I3070" s="444">
        <f t="shared" ca="1" si="145"/>
        <v>-77845711674.135666</v>
      </c>
      <c r="J3070" s="444">
        <f t="array" ref="J3070">IFERROR(INDEX('Retirement Calculator'!K:K,MATCH('Lorri 401b'!N3070,'Retirement Calculator'!A:A,0),0),0)</f>
        <v>0</v>
      </c>
      <c r="K3070" s="444">
        <f t="shared" ca="1" si="143"/>
        <v>-324357131.97556525</v>
      </c>
      <c r="L3070" s="444">
        <f t="shared" ca="1" si="144"/>
        <v>-78170068806.111237</v>
      </c>
      <c r="M3070" s="460">
        <f t="shared" si="146"/>
        <v>0.05</v>
      </c>
      <c r="N3070" s="464">
        <f t="shared" si="147"/>
        <v>144485</v>
      </c>
    </row>
    <row r="3071" spans="7:14" ht="11.25" customHeight="1" x14ac:dyDescent="0.3">
      <c r="G3071" s="459"/>
      <c r="H3071" s="459">
        <v>3064</v>
      </c>
      <c r="I3071" s="444">
        <f t="shared" ca="1" si="145"/>
        <v>-78170068806.111237</v>
      </c>
      <c r="J3071" s="444">
        <f t="array" ref="J3071">IFERROR(INDEX('Retirement Calculator'!K:K,MATCH('Lorri 401b'!N3071,'Retirement Calculator'!A:A,0),0),0)</f>
        <v>0</v>
      </c>
      <c r="K3071" s="444">
        <f t="shared" ca="1" si="143"/>
        <v>-325708620.02546346</v>
      </c>
      <c r="L3071" s="444">
        <f t="shared" ca="1" si="144"/>
        <v>-78495777426.136703</v>
      </c>
      <c r="M3071" s="460">
        <f t="shared" si="146"/>
        <v>0.05</v>
      </c>
      <c r="N3071" s="464">
        <f t="shared" si="147"/>
        <v>144516</v>
      </c>
    </row>
    <row r="3072" spans="7:14" ht="11.25" customHeight="1" x14ac:dyDescent="0.3">
      <c r="G3072" s="459"/>
      <c r="H3072" s="459">
        <v>3065</v>
      </c>
      <c r="I3072" s="444">
        <f t="shared" ca="1" si="145"/>
        <v>-78495777426.136703</v>
      </c>
      <c r="J3072" s="444">
        <f t="array" ref="J3072">IFERROR(INDEX('Retirement Calculator'!K:K,MATCH('Lorri 401b'!N3072,'Retirement Calculator'!A:A,0),0),0)</f>
        <v>0</v>
      </c>
      <c r="K3072" s="444">
        <f t="shared" ca="1" si="143"/>
        <v>-327065739.27556962</v>
      </c>
      <c r="L3072" s="444">
        <f t="shared" ca="1" si="144"/>
        <v>-78822843165.412277</v>
      </c>
      <c r="M3072" s="460">
        <f t="shared" si="146"/>
        <v>0.05</v>
      </c>
      <c r="N3072" s="464">
        <f t="shared" si="147"/>
        <v>144546</v>
      </c>
    </row>
    <row r="3073" spans="7:14" ht="11.25" customHeight="1" x14ac:dyDescent="0.3">
      <c r="G3073" s="459"/>
      <c r="H3073" s="459">
        <v>3066</v>
      </c>
      <c r="I3073" s="444">
        <f t="shared" ca="1" si="145"/>
        <v>-78822843165.412277</v>
      </c>
      <c r="J3073" s="444">
        <f t="array" ref="J3073">IFERROR(INDEX('Retirement Calculator'!K:K,MATCH('Lorri 401b'!N3073,'Retirement Calculator'!A:A,0),0),0)</f>
        <v>0</v>
      </c>
      <c r="K3073" s="444">
        <f t="shared" ca="1" si="143"/>
        <v>-328428513.18921781</v>
      </c>
      <c r="L3073" s="444">
        <f t="shared" ca="1" si="144"/>
        <v>-79151271678.601501</v>
      </c>
      <c r="M3073" s="460">
        <f t="shared" si="146"/>
        <v>0.05</v>
      </c>
      <c r="N3073" s="464">
        <f t="shared" si="147"/>
        <v>144577</v>
      </c>
    </row>
    <row r="3074" spans="7:14" ht="11.25" customHeight="1" x14ac:dyDescent="0.3">
      <c r="G3074" s="459"/>
      <c r="H3074" s="459">
        <v>3067</v>
      </c>
      <c r="I3074" s="444">
        <f t="shared" ca="1" si="145"/>
        <v>-79151271678.601501</v>
      </c>
      <c r="J3074" s="444">
        <f t="array" ref="J3074">IFERROR(INDEX('Retirement Calculator'!K:K,MATCH('Lorri 401b'!N3074,'Retirement Calculator'!A:A,0),0),0)</f>
        <v>0</v>
      </c>
      <c r="K3074" s="444">
        <f t="shared" ca="1" si="143"/>
        <v>-329796965.32750624</v>
      </c>
      <c r="L3074" s="444">
        <f t="shared" ca="1" si="144"/>
        <v>-79481068643.929001</v>
      </c>
      <c r="M3074" s="460">
        <f t="shared" si="146"/>
        <v>0.05</v>
      </c>
      <c r="N3074" s="464">
        <f t="shared" si="147"/>
        <v>144607</v>
      </c>
    </row>
    <row r="3075" spans="7:14" ht="11.25" customHeight="1" x14ac:dyDescent="0.3">
      <c r="G3075" s="459"/>
      <c r="H3075" s="459">
        <v>3068</v>
      </c>
      <c r="I3075" s="444">
        <f t="shared" ca="1" si="145"/>
        <v>-79481068643.929001</v>
      </c>
      <c r="J3075" s="444">
        <f t="array" ref="J3075">IFERROR(INDEX('Retirement Calculator'!K:K,MATCH('Lorri 401b'!N3075,'Retirement Calculator'!A:A,0),0),0)</f>
        <v>0</v>
      </c>
      <c r="K3075" s="444">
        <f t="shared" ca="1" si="143"/>
        <v>-331171119.34970415</v>
      </c>
      <c r="L3075" s="444">
        <f t="shared" ca="1" si="144"/>
        <v>-79812239763.278702</v>
      </c>
      <c r="M3075" s="460">
        <f t="shared" si="146"/>
        <v>0.05</v>
      </c>
      <c r="N3075" s="464">
        <f t="shared" si="147"/>
        <v>144638</v>
      </c>
    </row>
    <row r="3076" spans="7:14" ht="11.25" customHeight="1" x14ac:dyDescent="0.3">
      <c r="G3076" s="459"/>
      <c r="H3076" s="459">
        <v>3069</v>
      </c>
      <c r="I3076" s="444">
        <f t="shared" ca="1" si="145"/>
        <v>-79812239763.278702</v>
      </c>
      <c r="J3076" s="444">
        <f t="array" ref="J3076">IFERROR(INDEX('Retirement Calculator'!K:K,MATCH('Lorri 401b'!N3076,'Retirement Calculator'!A:A,0),0),0)</f>
        <v>0</v>
      </c>
      <c r="K3076" s="444">
        <f t="shared" ca="1" si="143"/>
        <v>-332550999.01366127</v>
      </c>
      <c r="L3076" s="444">
        <f t="shared" ca="1" si="144"/>
        <v>-80144790762.292358</v>
      </c>
      <c r="M3076" s="460">
        <f t="shared" si="146"/>
        <v>0.05</v>
      </c>
      <c r="N3076" s="464">
        <f t="shared" si="147"/>
        <v>144669</v>
      </c>
    </row>
    <row r="3077" spans="7:14" ht="11.25" customHeight="1" x14ac:dyDescent="0.3">
      <c r="G3077" s="459"/>
      <c r="H3077" s="459">
        <v>3070</v>
      </c>
      <c r="I3077" s="444">
        <f t="shared" ca="1" si="145"/>
        <v>-80144790762.292358</v>
      </c>
      <c r="J3077" s="444">
        <f t="array" ref="J3077">IFERROR(INDEX('Retirement Calculator'!K:K,MATCH('Lorri 401b'!N3077,'Retirement Calculator'!A:A,0),0),0)</f>
        <v>0</v>
      </c>
      <c r="K3077" s="444">
        <f t="shared" ca="1" si="143"/>
        <v>-333936628.17621815</v>
      </c>
      <c r="L3077" s="444">
        <f t="shared" ca="1" si="144"/>
        <v>-80478727390.468582</v>
      </c>
      <c r="M3077" s="460">
        <f t="shared" si="146"/>
        <v>0.05</v>
      </c>
      <c r="N3077" s="464">
        <f t="shared" si="147"/>
        <v>144698</v>
      </c>
    </row>
    <row r="3078" spans="7:14" ht="11.25" customHeight="1" x14ac:dyDescent="0.3">
      <c r="G3078" s="459"/>
      <c r="H3078" s="459">
        <v>3071</v>
      </c>
      <c r="I3078" s="444">
        <f t="shared" ca="1" si="145"/>
        <v>-80478727390.468582</v>
      </c>
      <c r="J3078" s="444">
        <f t="array" ref="J3078">IFERROR(INDEX('Retirement Calculator'!K:K,MATCH('Lorri 401b'!N3078,'Retirement Calculator'!A:A,0),0),0)</f>
        <v>0</v>
      </c>
      <c r="K3078" s="444">
        <f t="shared" ca="1" si="143"/>
        <v>-335328030.7936191</v>
      </c>
      <c r="L3078" s="444">
        <f t="shared" ca="1" si="144"/>
        <v>-80814055421.262207</v>
      </c>
      <c r="M3078" s="460">
        <f t="shared" si="146"/>
        <v>0.05</v>
      </c>
      <c r="N3078" s="464">
        <f t="shared" si="147"/>
        <v>144729</v>
      </c>
    </row>
    <row r="3079" spans="7:14" ht="11.25" customHeight="1" x14ac:dyDescent="0.3">
      <c r="G3079" s="459"/>
      <c r="H3079" s="459">
        <v>3072</v>
      </c>
      <c r="I3079" s="444">
        <f t="shared" ca="1" si="145"/>
        <v>-80814055421.262207</v>
      </c>
      <c r="J3079" s="444">
        <f t="array" ref="J3079">IFERROR(INDEX('Retirement Calculator'!K:K,MATCH('Lorri 401b'!N3079,'Retirement Calculator'!A:A,0),0),0)</f>
        <v>0</v>
      </c>
      <c r="K3079" s="444">
        <f t="shared" ca="1" si="143"/>
        <v>-336725230.92192584</v>
      </c>
      <c r="L3079" s="444">
        <f t="shared" ca="1" si="144"/>
        <v>-81150780652.184128</v>
      </c>
      <c r="M3079" s="460">
        <f t="shared" si="146"/>
        <v>0.05</v>
      </c>
      <c r="N3079" s="464">
        <f t="shared" si="147"/>
        <v>144759</v>
      </c>
    </row>
    <row r="3080" spans="7:14" ht="11.25" customHeight="1" x14ac:dyDescent="0.3">
      <c r="G3080" s="459"/>
      <c r="H3080" s="459">
        <v>3073</v>
      </c>
      <c r="I3080" s="444">
        <f t="shared" ca="1" si="145"/>
        <v>-81150780652.184128</v>
      </c>
      <c r="J3080" s="444">
        <f t="array" ref="J3080">IFERROR(INDEX('Retirement Calculator'!K:K,MATCH('Lorri 401b'!N3080,'Retirement Calculator'!A:A,0),0),0)</f>
        <v>0</v>
      </c>
      <c r="K3080" s="444">
        <f t="shared" ca="1" si="143"/>
        <v>-338128252.71743387</v>
      </c>
      <c r="L3080" s="444">
        <f t="shared" ca="1" si="144"/>
        <v>-81488908904.901566</v>
      </c>
      <c r="M3080" s="460">
        <f t="shared" si="146"/>
        <v>0.05</v>
      </c>
      <c r="N3080" s="464">
        <f t="shared" si="147"/>
        <v>144790</v>
      </c>
    </row>
    <row r="3081" spans="7:14" ht="11.25" customHeight="1" x14ac:dyDescent="0.3">
      <c r="G3081" s="459"/>
      <c r="H3081" s="459">
        <v>3074</v>
      </c>
      <c r="I3081" s="444">
        <f t="shared" ca="1" si="145"/>
        <v>-81488908904.901566</v>
      </c>
      <c r="J3081" s="444">
        <f t="array" ref="J3081">IFERROR(INDEX('Retirement Calculator'!K:K,MATCH('Lorri 401b'!N3081,'Retirement Calculator'!A:A,0),0),0)</f>
        <v>0</v>
      </c>
      <c r="K3081" s="444">
        <f t="shared" ca="1" si="143"/>
        <v>-339537120.43708986</v>
      </c>
      <c r="L3081" s="444">
        <f t="shared" ca="1" si="144"/>
        <v>-81828446025.338654</v>
      </c>
      <c r="M3081" s="460">
        <f t="shared" si="146"/>
        <v>0.05</v>
      </c>
      <c r="N3081" s="464">
        <f t="shared" si="147"/>
        <v>144820</v>
      </c>
    </row>
    <row r="3082" spans="7:14" ht="11.25" customHeight="1" x14ac:dyDescent="0.3">
      <c r="G3082" s="459"/>
      <c r="H3082" s="459">
        <v>3075</v>
      </c>
      <c r="I3082" s="444">
        <f t="shared" ca="1" si="145"/>
        <v>-81828446025.338654</v>
      </c>
      <c r="J3082" s="444">
        <f t="array" ref="J3082">IFERROR(INDEX('Retirement Calculator'!K:K,MATCH('Lorri 401b'!N3082,'Retirement Calculator'!A:A,0),0),0)</f>
        <v>0</v>
      </c>
      <c r="K3082" s="444">
        <f t="shared" ca="1" si="143"/>
        <v>-340951858.43891108</v>
      </c>
      <c r="L3082" s="444">
        <f t="shared" ca="1" si="144"/>
        <v>-82169397883.777557</v>
      </c>
      <c r="M3082" s="460">
        <f t="shared" si="146"/>
        <v>0.05</v>
      </c>
      <c r="N3082" s="464">
        <f t="shared" si="147"/>
        <v>144851</v>
      </c>
    </row>
    <row r="3083" spans="7:14" ht="11.25" customHeight="1" x14ac:dyDescent="0.3">
      <c r="G3083" s="459"/>
      <c r="H3083" s="459">
        <v>3076</v>
      </c>
      <c r="I3083" s="444">
        <f t="shared" ca="1" si="145"/>
        <v>-82169397883.777557</v>
      </c>
      <c r="J3083" s="444">
        <f t="array" ref="J3083">IFERROR(INDEX('Retirement Calculator'!K:K,MATCH('Lorri 401b'!N3083,'Retirement Calculator'!A:A,0),0),0)</f>
        <v>0</v>
      </c>
      <c r="K3083" s="444">
        <f t="shared" ca="1" si="143"/>
        <v>-342372491.18240649</v>
      </c>
      <c r="L3083" s="444">
        <f t="shared" ca="1" si="144"/>
        <v>-82511770374.959961</v>
      </c>
      <c r="M3083" s="460">
        <f t="shared" si="146"/>
        <v>0.05</v>
      </c>
      <c r="N3083" s="464">
        <f t="shared" si="147"/>
        <v>144882</v>
      </c>
    </row>
    <row r="3084" spans="7:14" ht="11.25" customHeight="1" x14ac:dyDescent="0.3">
      <c r="G3084" s="459"/>
      <c r="H3084" s="459">
        <v>3077</v>
      </c>
      <c r="I3084" s="444">
        <f t="shared" ca="1" si="145"/>
        <v>-82511770374.959961</v>
      </c>
      <c r="J3084" s="444">
        <f t="array" ref="J3084">IFERROR(INDEX('Retirement Calculator'!K:K,MATCH('Lorri 401b'!N3084,'Retirement Calculator'!A:A,0),0),0)</f>
        <v>0</v>
      </c>
      <c r="K3084" s="444">
        <f t="shared" ca="1" si="143"/>
        <v>-343799043.22899985</v>
      </c>
      <c r="L3084" s="444">
        <f t="shared" ca="1" si="144"/>
        <v>-82855569418.188965</v>
      </c>
      <c r="M3084" s="460">
        <f t="shared" si="146"/>
        <v>0.05</v>
      </c>
      <c r="N3084" s="464">
        <f t="shared" si="147"/>
        <v>144912</v>
      </c>
    </row>
    <row r="3085" spans="7:14" ht="11.25" customHeight="1" x14ac:dyDescent="0.3">
      <c r="G3085" s="459"/>
      <c r="H3085" s="459">
        <v>3078</v>
      </c>
      <c r="I3085" s="444">
        <f t="shared" ca="1" si="145"/>
        <v>-82855569418.188965</v>
      </c>
      <c r="J3085" s="444">
        <f t="array" ref="J3085">IFERROR(INDEX('Retirement Calculator'!K:K,MATCH('Lorri 401b'!N3085,'Retirement Calculator'!A:A,0),0),0)</f>
        <v>0</v>
      </c>
      <c r="K3085" s="444">
        <f t="shared" ca="1" si="143"/>
        <v>-345231539.24245399</v>
      </c>
      <c r="L3085" s="444">
        <f t="shared" ca="1" si="144"/>
        <v>-83200800957.431412</v>
      </c>
      <c r="M3085" s="460">
        <f t="shared" si="146"/>
        <v>0.05</v>
      </c>
      <c r="N3085" s="464">
        <f t="shared" si="147"/>
        <v>144943</v>
      </c>
    </row>
    <row r="3086" spans="7:14" ht="11.25" customHeight="1" x14ac:dyDescent="0.3">
      <c r="G3086" s="459"/>
      <c r="H3086" s="459">
        <v>3079</v>
      </c>
      <c r="I3086" s="444">
        <f t="shared" ca="1" si="145"/>
        <v>-83200800957.431412</v>
      </c>
      <c r="J3086" s="444">
        <f t="array" ref="J3086">IFERROR(INDEX('Retirement Calculator'!K:K,MATCH('Lorri 401b'!N3086,'Retirement Calculator'!A:A,0),0),0)</f>
        <v>0</v>
      </c>
      <c r="K3086" s="444">
        <f t="shared" ca="1" si="143"/>
        <v>-346670003.98929757</v>
      </c>
      <c r="L3086" s="444">
        <f t="shared" ca="1" si="144"/>
        <v>-83547470961.420715</v>
      </c>
      <c r="M3086" s="460">
        <f t="shared" si="146"/>
        <v>0.05</v>
      </c>
      <c r="N3086" s="464">
        <f t="shared" si="147"/>
        <v>144973</v>
      </c>
    </row>
    <row r="3087" spans="7:14" ht="11.25" customHeight="1" x14ac:dyDescent="0.3">
      <c r="G3087" s="459"/>
      <c r="H3087" s="459">
        <v>3080</v>
      </c>
      <c r="I3087" s="444">
        <f t="shared" ca="1" si="145"/>
        <v>-83547470961.420715</v>
      </c>
      <c r="J3087" s="444">
        <f t="array" ref="J3087">IFERROR(INDEX('Retirement Calculator'!K:K,MATCH('Lorri 401b'!N3087,'Retirement Calculator'!A:A,0),0),0)</f>
        <v>0</v>
      </c>
      <c r="K3087" s="444">
        <f t="shared" ca="1" si="143"/>
        <v>-348114462.33925295</v>
      </c>
      <c r="L3087" s="444">
        <f t="shared" ca="1" si="144"/>
        <v>-83895585423.759964</v>
      </c>
      <c r="M3087" s="460">
        <f t="shared" si="146"/>
        <v>0.05</v>
      </c>
      <c r="N3087" s="464">
        <f t="shared" si="147"/>
        <v>145004</v>
      </c>
    </row>
    <row r="3088" spans="7:14" ht="11.25" customHeight="1" x14ac:dyDescent="0.3">
      <c r="G3088" s="459"/>
      <c r="H3088" s="459">
        <v>3081</v>
      </c>
      <c r="I3088" s="444">
        <f t="shared" ca="1" si="145"/>
        <v>-83895585423.759964</v>
      </c>
      <c r="J3088" s="444">
        <f t="array" ref="J3088">IFERROR(INDEX('Retirement Calculator'!K:K,MATCH('Lorri 401b'!N3088,'Retirement Calculator'!A:A,0),0),0)</f>
        <v>0</v>
      </c>
      <c r="K3088" s="444">
        <f t="shared" ca="1" si="143"/>
        <v>-349564939.26566648</v>
      </c>
      <c r="L3088" s="444">
        <f t="shared" ca="1" si="144"/>
        <v>-84245150363.025635</v>
      </c>
      <c r="M3088" s="460">
        <f t="shared" si="146"/>
        <v>0.05</v>
      </c>
      <c r="N3088" s="464">
        <f t="shared" si="147"/>
        <v>145035</v>
      </c>
    </row>
    <row r="3089" spans="7:14" ht="11.25" customHeight="1" x14ac:dyDescent="0.3">
      <c r="G3089" s="459"/>
      <c r="H3089" s="459">
        <v>3082</v>
      </c>
      <c r="I3089" s="444">
        <f t="shared" ca="1" si="145"/>
        <v>-84245150363.025635</v>
      </c>
      <c r="J3089" s="444">
        <f t="array" ref="J3089">IFERROR(INDEX('Retirement Calculator'!K:K,MATCH('Lorri 401b'!N3089,'Retirement Calculator'!A:A,0),0),0)</f>
        <v>0</v>
      </c>
      <c r="K3089" s="444">
        <f t="shared" ca="1" si="143"/>
        <v>-351021459.84594011</v>
      </c>
      <c r="L3089" s="444">
        <f t="shared" ca="1" si="144"/>
        <v>-84596171822.871582</v>
      </c>
      <c r="M3089" s="460">
        <f t="shared" si="146"/>
        <v>0.05</v>
      </c>
      <c r="N3089" s="464">
        <f t="shared" si="147"/>
        <v>145063</v>
      </c>
    </row>
    <row r="3090" spans="7:14" ht="11.25" customHeight="1" x14ac:dyDescent="0.3">
      <c r="G3090" s="459"/>
      <c r="H3090" s="459">
        <v>3083</v>
      </c>
      <c r="I3090" s="444">
        <f t="shared" ca="1" si="145"/>
        <v>-84596171822.871582</v>
      </c>
      <c r="J3090" s="444">
        <f t="array" ref="J3090">IFERROR(INDEX('Retirement Calculator'!K:K,MATCH('Lorri 401b'!N3090,'Retirement Calculator'!A:A,0),0),0)</f>
        <v>0</v>
      </c>
      <c r="K3090" s="444">
        <f t="shared" ca="1" si="143"/>
        <v>-352484049.26196492</v>
      </c>
      <c r="L3090" s="444">
        <f t="shared" ca="1" si="144"/>
        <v>-84948655872.133545</v>
      </c>
      <c r="M3090" s="460">
        <f t="shared" si="146"/>
        <v>0.05</v>
      </c>
      <c r="N3090" s="464">
        <f t="shared" si="147"/>
        <v>145094</v>
      </c>
    </row>
    <row r="3091" spans="7:14" ht="11.25" customHeight="1" x14ac:dyDescent="0.3">
      <c r="G3091" s="459"/>
      <c r="H3091" s="459">
        <v>3084</v>
      </c>
      <c r="I3091" s="444">
        <f t="shared" ca="1" si="145"/>
        <v>-84948655872.133545</v>
      </c>
      <c r="J3091" s="444">
        <f t="array" ref="J3091">IFERROR(INDEX('Retirement Calculator'!K:K,MATCH('Lorri 401b'!N3091,'Retirement Calculator'!A:A,0),0),0)</f>
        <v>0</v>
      </c>
      <c r="K3091" s="444">
        <f t="shared" ca="1" si="143"/>
        <v>-353952732.80055642</v>
      </c>
      <c r="L3091" s="444">
        <f t="shared" ca="1" si="144"/>
        <v>-85302608604.934097</v>
      </c>
      <c r="M3091" s="460">
        <f t="shared" si="146"/>
        <v>0.05</v>
      </c>
      <c r="N3091" s="464">
        <f t="shared" si="147"/>
        <v>145124</v>
      </c>
    </row>
    <row r="3092" spans="7:14" ht="11.25" customHeight="1" x14ac:dyDescent="0.3">
      <c r="G3092" s="459"/>
      <c r="H3092" s="459">
        <v>3085</v>
      </c>
      <c r="I3092" s="444">
        <f t="shared" ca="1" si="145"/>
        <v>-85302608604.934097</v>
      </c>
      <c r="J3092" s="444">
        <f t="array" ref="J3092">IFERROR(INDEX('Retirement Calculator'!K:K,MATCH('Lorri 401b'!N3092,'Retirement Calculator'!A:A,0),0),0)</f>
        <v>0</v>
      </c>
      <c r="K3092" s="444">
        <f t="shared" ca="1" si="143"/>
        <v>-355427535.85389209</v>
      </c>
      <c r="L3092" s="444">
        <f t="shared" ca="1" si="144"/>
        <v>-85658036140.787994</v>
      </c>
      <c r="M3092" s="460">
        <f t="shared" si="146"/>
        <v>0.05</v>
      </c>
      <c r="N3092" s="464">
        <f t="shared" si="147"/>
        <v>145155</v>
      </c>
    </row>
    <row r="3093" spans="7:14" ht="11.25" customHeight="1" x14ac:dyDescent="0.3">
      <c r="G3093" s="459"/>
      <c r="H3093" s="459">
        <v>3086</v>
      </c>
      <c r="I3093" s="444">
        <f t="shared" ca="1" si="145"/>
        <v>-85658036140.787994</v>
      </c>
      <c r="J3093" s="444">
        <f t="array" ref="J3093">IFERROR(INDEX('Retirement Calculator'!K:K,MATCH('Lorri 401b'!N3093,'Retirement Calculator'!A:A,0),0),0)</f>
        <v>0</v>
      </c>
      <c r="K3093" s="444">
        <f t="shared" ca="1" si="143"/>
        <v>-356908483.91994995</v>
      </c>
      <c r="L3093" s="444">
        <f t="shared" ca="1" si="144"/>
        <v>-86014944624.707947</v>
      </c>
      <c r="M3093" s="460">
        <f t="shared" si="146"/>
        <v>0.05</v>
      </c>
      <c r="N3093" s="464">
        <f t="shared" si="147"/>
        <v>145185</v>
      </c>
    </row>
    <row r="3094" spans="7:14" ht="11.25" customHeight="1" x14ac:dyDescent="0.3">
      <c r="G3094" s="459"/>
      <c r="H3094" s="459">
        <v>3087</v>
      </c>
      <c r="I3094" s="444">
        <f t="shared" ca="1" si="145"/>
        <v>-86014944624.707947</v>
      </c>
      <c r="J3094" s="444">
        <f t="array" ref="J3094">IFERROR(INDEX('Retirement Calculator'!K:K,MATCH('Lorri 401b'!N3094,'Retirement Calculator'!A:A,0),0),0)</f>
        <v>0</v>
      </c>
      <c r="K3094" s="444">
        <f t="shared" ca="1" si="143"/>
        <v>-358395602.6029498</v>
      </c>
      <c r="L3094" s="444">
        <f t="shared" ca="1" si="144"/>
        <v>-86373340227.310898</v>
      </c>
      <c r="M3094" s="460">
        <f t="shared" si="146"/>
        <v>0.05</v>
      </c>
      <c r="N3094" s="464">
        <f t="shared" si="147"/>
        <v>145216</v>
      </c>
    </row>
    <row r="3095" spans="7:14" ht="11.25" customHeight="1" x14ac:dyDescent="0.3">
      <c r="G3095" s="459"/>
      <c r="H3095" s="459">
        <v>3088</v>
      </c>
      <c r="I3095" s="444">
        <f t="shared" ca="1" si="145"/>
        <v>-86373340227.310898</v>
      </c>
      <c r="J3095" s="444">
        <f t="array" ref="J3095">IFERROR(INDEX('Retirement Calculator'!K:K,MATCH('Lorri 401b'!N3095,'Retirement Calculator'!A:A,0),0),0)</f>
        <v>0</v>
      </c>
      <c r="K3095" s="444">
        <f t="shared" ca="1" si="143"/>
        <v>-359888917.6137954</v>
      </c>
      <c r="L3095" s="444">
        <f t="shared" ca="1" si="144"/>
        <v>-86733229144.924698</v>
      </c>
      <c r="M3095" s="460">
        <f t="shared" si="146"/>
        <v>0.05</v>
      </c>
      <c r="N3095" s="464">
        <f t="shared" si="147"/>
        <v>145247</v>
      </c>
    </row>
    <row r="3096" spans="7:14" ht="11.25" customHeight="1" x14ac:dyDescent="0.3">
      <c r="G3096" s="459"/>
      <c r="H3096" s="459">
        <v>3089</v>
      </c>
      <c r="I3096" s="444">
        <f t="shared" ca="1" si="145"/>
        <v>-86733229144.924698</v>
      </c>
      <c r="J3096" s="444">
        <f t="array" ref="J3096">IFERROR(INDEX('Retirement Calculator'!K:K,MATCH('Lorri 401b'!N3096,'Retirement Calculator'!A:A,0),0),0)</f>
        <v>0</v>
      </c>
      <c r="K3096" s="444">
        <f t="shared" ca="1" si="143"/>
        <v>-361388454.77051955</v>
      </c>
      <c r="L3096" s="444">
        <f t="shared" ca="1" si="144"/>
        <v>-87094617599.695221</v>
      </c>
      <c r="M3096" s="460">
        <f t="shared" si="146"/>
        <v>0.05</v>
      </c>
      <c r="N3096" s="464">
        <f t="shared" si="147"/>
        <v>145277</v>
      </c>
    </row>
    <row r="3097" spans="7:14" ht="11.25" customHeight="1" x14ac:dyDescent="0.3">
      <c r="G3097" s="459"/>
      <c r="H3097" s="459">
        <v>3090</v>
      </c>
      <c r="I3097" s="444">
        <f t="shared" ca="1" si="145"/>
        <v>-87094617599.695221</v>
      </c>
      <c r="J3097" s="444">
        <f t="array" ref="J3097">IFERROR(INDEX('Retirement Calculator'!K:K,MATCH('Lorri 401b'!N3097,'Retirement Calculator'!A:A,0),0),0)</f>
        <v>0</v>
      </c>
      <c r="K3097" s="444">
        <f t="shared" ca="1" si="143"/>
        <v>-362894239.99873006</v>
      </c>
      <c r="L3097" s="444">
        <f t="shared" ca="1" si="144"/>
        <v>-87457511839.693954</v>
      </c>
      <c r="M3097" s="460">
        <f t="shared" si="146"/>
        <v>0.05</v>
      </c>
      <c r="N3097" s="464">
        <f t="shared" si="147"/>
        <v>145308</v>
      </c>
    </row>
    <row r="3098" spans="7:14" ht="11.25" customHeight="1" x14ac:dyDescent="0.3">
      <c r="G3098" s="459"/>
      <c r="H3098" s="459">
        <v>3091</v>
      </c>
      <c r="I3098" s="444">
        <f t="shared" ca="1" si="145"/>
        <v>-87457511839.693954</v>
      </c>
      <c r="J3098" s="444">
        <f t="array" ref="J3098">IFERROR(INDEX('Retirement Calculator'!K:K,MATCH('Lorri 401b'!N3098,'Retirement Calculator'!A:A,0),0),0)</f>
        <v>0</v>
      </c>
      <c r="K3098" s="444">
        <f t="shared" ca="1" si="143"/>
        <v>-364406299.33205813</v>
      </c>
      <c r="L3098" s="444">
        <f t="shared" ca="1" si="144"/>
        <v>-87821918139.026016</v>
      </c>
      <c r="M3098" s="460">
        <f t="shared" si="146"/>
        <v>0.05</v>
      </c>
      <c r="N3098" s="464">
        <f t="shared" si="147"/>
        <v>145338</v>
      </c>
    </row>
    <row r="3099" spans="7:14" ht="11.25" customHeight="1" x14ac:dyDescent="0.3">
      <c r="G3099" s="459"/>
      <c r="H3099" s="459">
        <v>3092</v>
      </c>
      <c r="I3099" s="444">
        <f t="shared" ca="1" si="145"/>
        <v>-87821918139.026016</v>
      </c>
      <c r="J3099" s="444">
        <f t="array" ref="J3099">IFERROR(INDEX('Retirement Calculator'!K:K,MATCH('Lorri 401b'!N3099,'Retirement Calculator'!A:A,0),0),0)</f>
        <v>0</v>
      </c>
      <c r="K3099" s="444">
        <f t="shared" ca="1" si="143"/>
        <v>-365924658.91260839</v>
      </c>
      <c r="L3099" s="444">
        <f t="shared" ca="1" si="144"/>
        <v>-88187842797.938629</v>
      </c>
      <c r="M3099" s="460">
        <f t="shared" si="146"/>
        <v>0.05</v>
      </c>
      <c r="N3099" s="464">
        <f t="shared" si="147"/>
        <v>145369</v>
      </c>
    </row>
    <row r="3100" spans="7:14" ht="11.25" customHeight="1" x14ac:dyDescent="0.3">
      <c r="G3100" s="459"/>
      <c r="H3100" s="459">
        <v>3093</v>
      </c>
      <c r="I3100" s="444">
        <f t="shared" ca="1" si="145"/>
        <v>-88187842797.938629</v>
      </c>
      <c r="J3100" s="444">
        <f t="array" ref="J3100">IFERROR(INDEX('Retirement Calculator'!K:K,MATCH('Lorri 401b'!N3100,'Retirement Calculator'!A:A,0),0),0)</f>
        <v>0</v>
      </c>
      <c r="K3100" s="444">
        <f t="shared" ca="1" si="143"/>
        <v>-367449344.99141097</v>
      </c>
      <c r="L3100" s="444">
        <f t="shared" ca="1" si="144"/>
        <v>-88555292142.930038</v>
      </c>
      <c r="M3100" s="460">
        <f t="shared" si="146"/>
        <v>0.05</v>
      </c>
      <c r="N3100" s="464">
        <f t="shared" si="147"/>
        <v>145400</v>
      </c>
    </row>
    <row r="3101" spans="7:14" ht="11.25" customHeight="1" x14ac:dyDescent="0.3">
      <c r="G3101" s="459"/>
      <c r="H3101" s="459">
        <v>3094</v>
      </c>
      <c r="I3101" s="444">
        <f t="shared" ca="1" si="145"/>
        <v>-88555292142.930038</v>
      </c>
      <c r="J3101" s="444">
        <f t="array" ref="J3101">IFERROR(INDEX('Retirement Calculator'!K:K,MATCH('Lorri 401b'!N3101,'Retirement Calculator'!A:A,0),0),0)</f>
        <v>0</v>
      </c>
      <c r="K3101" s="444">
        <f t="shared" ca="1" si="143"/>
        <v>-368980383.92887515</v>
      </c>
      <c r="L3101" s="444">
        <f t="shared" ca="1" si="144"/>
        <v>-88924272526.858917</v>
      </c>
      <c r="M3101" s="460">
        <f t="shared" si="146"/>
        <v>0.05</v>
      </c>
      <c r="N3101" s="464">
        <f t="shared" si="147"/>
        <v>145428</v>
      </c>
    </row>
    <row r="3102" spans="7:14" ht="11.25" customHeight="1" x14ac:dyDescent="0.3">
      <c r="G3102" s="459"/>
      <c r="H3102" s="459">
        <v>3095</v>
      </c>
      <c r="I3102" s="444">
        <f t="shared" ca="1" si="145"/>
        <v>-88924272526.858917</v>
      </c>
      <c r="J3102" s="444">
        <f t="array" ref="J3102">IFERROR(INDEX('Retirement Calculator'!K:K,MATCH('Lorri 401b'!N3102,'Retirement Calculator'!A:A,0),0),0)</f>
        <v>0</v>
      </c>
      <c r="K3102" s="444">
        <f t="shared" ca="1" si="143"/>
        <v>-370517802.1952455</v>
      </c>
      <c r="L3102" s="444">
        <f t="shared" ca="1" si="144"/>
        <v>-89294790329.054169</v>
      </c>
      <c r="M3102" s="460">
        <f t="shared" si="146"/>
        <v>0.05</v>
      </c>
      <c r="N3102" s="464">
        <f t="shared" si="147"/>
        <v>145459</v>
      </c>
    </row>
    <row r="3103" spans="7:14" ht="11.25" customHeight="1" x14ac:dyDescent="0.3">
      <c r="G3103" s="459"/>
      <c r="H3103" s="459">
        <v>3096</v>
      </c>
      <c r="I3103" s="444">
        <f t="shared" ca="1" si="145"/>
        <v>-89294790329.054169</v>
      </c>
      <c r="J3103" s="444">
        <f t="array" ref="J3103">IFERROR(INDEX('Retirement Calculator'!K:K,MATCH('Lorri 401b'!N3103,'Retirement Calculator'!A:A,0),0),0)</f>
        <v>0</v>
      </c>
      <c r="K3103" s="444">
        <f t="shared" ca="1" si="143"/>
        <v>-372061626.37105906</v>
      </c>
      <c r="L3103" s="444">
        <f t="shared" ca="1" si="144"/>
        <v>-89666851955.425232</v>
      </c>
      <c r="M3103" s="460">
        <f t="shared" si="146"/>
        <v>0.05</v>
      </c>
      <c r="N3103" s="464">
        <f t="shared" si="147"/>
        <v>145489</v>
      </c>
    </row>
    <row r="3104" spans="7:14" ht="11.25" customHeight="1" x14ac:dyDescent="0.3">
      <c r="G3104" s="459"/>
      <c r="H3104" s="459">
        <v>3097</v>
      </c>
      <c r="I3104" s="444">
        <f t="shared" ca="1" si="145"/>
        <v>-89666851955.425232</v>
      </c>
      <c r="J3104" s="444">
        <f t="array" ref="J3104">IFERROR(INDEX('Retirement Calculator'!K:K,MATCH('Lorri 401b'!N3104,'Retirement Calculator'!A:A,0),0),0)</f>
        <v>0</v>
      </c>
      <c r="K3104" s="444">
        <f t="shared" ca="1" si="143"/>
        <v>-373611883.14760512</v>
      </c>
      <c r="L3104" s="444">
        <f t="shared" ca="1" si="144"/>
        <v>-90040463838.57283</v>
      </c>
      <c r="M3104" s="460">
        <f t="shared" si="146"/>
        <v>0.05</v>
      </c>
      <c r="N3104" s="464">
        <f t="shared" si="147"/>
        <v>145520</v>
      </c>
    </row>
    <row r="3105" spans="7:14" ht="11.25" customHeight="1" x14ac:dyDescent="0.3">
      <c r="G3105" s="459"/>
      <c r="H3105" s="459">
        <v>3098</v>
      </c>
      <c r="I3105" s="444">
        <f t="shared" ca="1" si="145"/>
        <v>-90040463838.57283</v>
      </c>
      <c r="J3105" s="444">
        <f t="array" ref="J3105">IFERROR(INDEX('Retirement Calculator'!K:K,MATCH('Lorri 401b'!N3105,'Retirement Calculator'!A:A,0),0),0)</f>
        <v>0</v>
      </c>
      <c r="K3105" s="444">
        <f t="shared" ca="1" si="143"/>
        <v>-375168599.3273868</v>
      </c>
      <c r="L3105" s="444">
        <f t="shared" ca="1" si="144"/>
        <v>-90415632437.900223</v>
      </c>
      <c r="M3105" s="460">
        <f t="shared" si="146"/>
        <v>0.05</v>
      </c>
      <c r="N3105" s="464">
        <f t="shared" si="147"/>
        <v>145550</v>
      </c>
    </row>
    <row r="3106" spans="7:14" ht="11.25" customHeight="1" x14ac:dyDescent="0.3">
      <c r="G3106" s="459"/>
      <c r="H3106" s="459">
        <v>3099</v>
      </c>
      <c r="I3106" s="444">
        <f t="shared" ca="1" si="145"/>
        <v>-90415632437.900223</v>
      </c>
      <c r="J3106" s="444">
        <f t="array" ref="J3106">IFERROR(INDEX('Retirement Calculator'!K:K,MATCH('Lorri 401b'!N3106,'Retirement Calculator'!A:A,0),0),0)</f>
        <v>0</v>
      </c>
      <c r="K3106" s="444">
        <f t="shared" ca="1" si="143"/>
        <v>-376731801.82458425</v>
      </c>
      <c r="L3106" s="444">
        <f t="shared" ca="1" si="144"/>
        <v>-90792364239.724808</v>
      </c>
      <c r="M3106" s="460">
        <f t="shared" si="146"/>
        <v>0.05</v>
      </c>
      <c r="N3106" s="464">
        <f t="shared" si="147"/>
        <v>145581</v>
      </c>
    </row>
    <row r="3107" spans="7:14" ht="11.25" customHeight="1" x14ac:dyDescent="0.3">
      <c r="G3107" s="459"/>
      <c r="H3107" s="459">
        <v>3100</v>
      </c>
      <c r="I3107" s="444">
        <f t="shared" ca="1" si="145"/>
        <v>-90792364239.724808</v>
      </c>
      <c r="J3107" s="444">
        <f t="array" ref="J3107">IFERROR(INDEX('Retirement Calculator'!K:K,MATCH('Lorri 401b'!N3107,'Retirement Calculator'!A:A,0),0),0)</f>
        <v>0</v>
      </c>
      <c r="K3107" s="444">
        <f t="shared" ca="1" si="143"/>
        <v>-378301517.66552001</v>
      </c>
      <c r="L3107" s="444">
        <f t="shared" ca="1" si="144"/>
        <v>-91170665757.390335</v>
      </c>
      <c r="M3107" s="460">
        <f t="shared" si="146"/>
        <v>0.05</v>
      </c>
      <c r="N3107" s="464">
        <f t="shared" si="147"/>
        <v>145612</v>
      </c>
    </row>
    <row r="3108" spans="7:14" ht="11.25" customHeight="1" x14ac:dyDescent="0.3">
      <c r="G3108" s="459"/>
      <c r="H3108" s="459">
        <v>3101</v>
      </c>
      <c r="I3108" s="444">
        <f t="shared" ca="1" si="145"/>
        <v>-91170665757.390335</v>
      </c>
      <c r="J3108" s="444">
        <f t="array" ref="J3108">IFERROR(INDEX('Retirement Calculator'!K:K,MATCH('Lorri 401b'!N3108,'Retirement Calculator'!A:A,0),0),0)</f>
        <v>0</v>
      </c>
      <c r="K3108" s="444">
        <f t="shared" ca="1" si="143"/>
        <v>-379877773.98912638</v>
      </c>
      <c r="L3108" s="444">
        <f t="shared" ca="1" si="144"/>
        <v>-91550543531.379456</v>
      </c>
      <c r="M3108" s="460">
        <f t="shared" si="146"/>
        <v>0.05</v>
      </c>
      <c r="N3108" s="464">
        <f t="shared" si="147"/>
        <v>145642</v>
      </c>
    </row>
    <row r="3109" spans="7:14" ht="11.25" customHeight="1" x14ac:dyDescent="0.3">
      <c r="G3109" s="459"/>
      <c r="H3109" s="459">
        <v>3102</v>
      </c>
      <c r="I3109" s="444">
        <f t="shared" ca="1" si="145"/>
        <v>-91550543531.379456</v>
      </c>
      <c r="J3109" s="444">
        <f t="array" ref="J3109">IFERROR(INDEX('Retirement Calculator'!K:K,MATCH('Lorri 401b'!N3109,'Retirement Calculator'!A:A,0),0),0)</f>
        <v>0</v>
      </c>
      <c r="K3109" s="444">
        <f t="shared" ca="1" si="143"/>
        <v>-381460598.04741442</v>
      </c>
      <c r="L3109" s="444">
        <f t="shared" ca="1" si="144"/>
        <v>-91932004129.426865</v>
      </c>
      <c r="M3109" s="460">
        <f t="shared" si="146"/>
        <v>0.05</v>
      </c>
      <c r="N3109" s="464">
        <f t="shared" si="147"/>
        <v>145673</v>
      </c>
    </row>
    <row r="3110" spans="7:14" ht="11.25" customHeight="1" x14ac:dyDescent="0.3">
      <c r="G3110" s="459"/>
      <c r="H3110" s="459">
        <v>3103</v>
      </c>
      <c r="I3110" s="444">
        <f t="shared" ca="1" si="145"/>
        <v>-91932004129.426865</v>
      </c>
      <c r="J3110" s="444">
        <f t="array" ref="J3110">IFERROR(INDEX('Retirement Calculator'!K:K,MATCH('Lorri 401b'!N3110,'Retirement Calculator'!A:A,0),0),0)</f>
        <v>0</v>
      </c>
      <c r="K3110" s="444">
        <f t="shared" ca="1" si="143"/>
        <v>-383050017.20594525</v>
      </c>
      <c r="L3110" s="444">
        <f t="shared" ca="1" si="144"/>
        <v>-92315054146.632813</v>
      </c>
      <c r="M3110" s="460">
        <f t="shared" si="146"/>
        <v>0.05</v>
      </c>
      <c r="N3110" s="464">
        <f t="shared" si="147"/>
        <v>145703</v>
      </c>
    </row>
    <row r="3111" spans="7:14" ht="11.25" customHeight="1" x14ac:dyDescent="0.3">
      <c r="G3111" s="459"/>
      <c r="H3111" s="459">
        <v>3104</v>
      </c>
      <c r="I3111" s="444">
        <f t="shared" ca="1" si="145"/>
        <v>-92315054146.632813</v>
      </c>
      <c r="J3111" s="444">
        <f t="array" ref="J3111">IFERROR(INDEX('Retirement Calculator'!K:K,MATCH('Lorri 401b'!N3111,'Retirement Calculator'!A:A,0),0),0)</f>
        <v>0</v>
      </c>
      <c r="K3111" s="444">
        <f t="shared" ca="1" si="143"/>
        <v>-384646058.94430339</v>
      </c>
      <c r="L3111" s="444">
        <f t="shared" ca="1" si="144"/>
        <v>-92699700205.577118</v>
      </c>
      <c r="M3111" s="460">
        <f t="shared" si="146"/>
        <v>0.05</v>
      </c>
      <c r="N3111" s="464">
        <f t="shared" si="147"/>
        <v>145734</v>
      </c>
    </row>
    <row r="3112" spans="7:14" ht="11.25" customHeight="1" x14ac:dyDescent="0.3">
      <c r="G3112" s="459"/>
      <c r="H3112" s="459">
        <v>3105</v>
      </c>
      <c r="I3112" s="444">
        <f t="shared" ca="1" si="145"/>
        <v>-92699700205.577118</v>
      </c>
      <c r="J3112" s="444">
        <f t="array" ref="J3112">IFERROR(INDEX('Retirement Calculator'!K:K,MATCH('Lorri 401b'!N3112,'Retirement Calculator'!A:A,0),0),0)</f>
        <v>0</v>
      </c>
      <c r="K3112" s="444">
        <f t="shared" ca="1" si="143"/>
        <v>-386248750.85657132</v>
      </c>
      <c r="L3112" s="444">
        <f t="shared" ca="1" si="144"/>
        <v>-93085948956.433685</v>
      </c>
      <c r="M3112" s="460">
        <f t="shared" si="146"/>
        <v>0.05</v>
      </c>
      <c r="N3112" s="464">
        <f t="shared" si="147"/>
        <v>145765</v>
      </c>
    </row>
    <row r="3113" spans="7:14" ht="11.25" customHeight="1" x14ac:dyDescent="0.3">
      <c r="G3113" s="459"/>
      <c r="H3113" s="459">
        <v>3106</v>
      </c>
      <c r="I3113" s="444">
        <f t="shared" ca="1" si="145"/>
        <v>-93085948956.433685</v>
      </c>
      <c r="J3113" s="444">
        <f t="array" ref="J3113">IFERROR(INDEX('Retirement Calculator'!K:K,MATCH('Lorri 401b'!N3113,'Retirement Calculator'!A:A,0),0),0)</f>
        <v>0</v>
      </c>
      <c r="K3113" s="444">
        <f t="shared" ca="1" si="143"/>
        <v>-387858120.65180701</v>
      </c>
      <c r="L3113" s="444">
        <f t="shared" ca="1" si="144"/>
        <v>-93473807077.085495</v>
      </c>
      <c r="M3113" s="460">
        <f t="shared" si="146"/>
        <v>0.05</v>
      </c>
      <c r="N3113" s="464">
        <f t="shared" si="147"/>
        <v>145793</v>
      </c>
    </row>
    <row r="3114" spans="7:14" ht="11.25" customHeight="1" x14ac:dyDescent="0.3">
      <c r="G3114" s="459"/>
      <c r="H3114" s="459">
        <v>3107</v>
      </c>
      <c r="I3114" s="444">
        <f t="shared" ca="1" si="145"/>
        <v>-93473807077.085495</v>
      </c>
      <c r="J3114" s="444">
        <f t="array" ref="J3114">IFERROR(INDEX('Retirement Calculator'!K:K,MATCH('Lorri 401b'!N3114,'Retirement Calculator'!A:A,0),0),0)</f>
        <v>0</v>
      </c>
      <c r="K3114" s="444">
        <f t="shared" ca="1" si="143"/>
        <v>-389474196.1545229</v>
      </c>
      <c r="L3114" s="444">
        <f t="shared" ca="1" si="144"/>
        <v>-93863281273.240021</v>
      </c>
      <c r="M3114" s="460">
        <f t="shared" si="146"/>
        <v>0.05</v>
      </c>
      <c r="N3114" s="464">
        <f t="shared" si="147"/>
        <v>145824</v>
      </c>
    </row>
    <row r="3115" spans="7:14" ht="11.25" customHeight="1" x14ac:dyDescent="0.3">
      <c r="G3115" s="459"/>
      <c r="H3115" s="459">
        <v>3108</v>
      </c>
      <c r="I3115" s="444">
        <f t="shared" ca="1" si="145"/>
        <v>-93863281273.240021</v>
      </c>
      <c r="J3115" s="444">
        <f t="array" ref="J3115">IFERROR(INDEX('Retirement Calculator'!K:K,MATCH('Lorri 401b'!N3115,'Retirement Calculator'!A:A,0),0),0)</f>
        <v>0</v>
      </c>
      <c r="K3115" s="444">
        <f t="shared" ca="1" si="143"/>
        <v>-391097005.30516672</v>
      </c>
      <c r="L3115" s="444">
        <f t="shared" ca="1" si="144"/>
        <v>-94254378278.545181</v>
      </c>
      <c r="M3115" s="460">
        <f t="shared" si="146"/>
        <v>0.05</v>
      </c>
      <c r="N3115" s="464">
        <f t="shared" si="147"/>
        <v>145854</v>
      </c>
    </row>
    <row r="3116" spans="7:14" ht="11.25" customHeight="1" x14ac:dyDescent="0.3">
      <c r="G3116" s="459"/>
      <c r="H3116" s="459">
        <v>3109</v>
      </c>
      <c r="I3116" s="444">
        <f t="shared" ca="1" si="145"/>
        <v>-94254378278.545181</v>
      </c>
      <c r="J3116" s="444">
        <f t="array" ref="J3116">IFERROR(INDEX('Retirement Calculator'!K:K,MATCH('Lorri 401b'!N3116,'Retirement Calculator'!A:A,0),0),0)</f>
        <v>0</v>
      </c>
      <c r="K3116" s="444">
        <f t="shared" ca="1" si="143"/>
        <v>-392726576.16060489</v>
      </c>
      <c r="L3116" s="444">
        <f t="shared" ca="1" si="144"/>
        <v>-94647104854.70578</v>
      </c>
      <c r="M3116" s="460">
        <f t="shared" si="146"/>
        <v>0.05</v>
      </c>
      <c r="N3116" s="464">
        <f t="shared" si="147"/>
        <v>145885</v>
      </c>
    </row>
    <row r="3117" spans="7:14" ht="11.25" customHeight="1" x14ac:dyDescent="0.3">
      <c r="G3117" s="459"/>
      <c r="H3117" s="459">
        <v>3110</v>
      </c>
      <c r="I3117" s="444">
        <f t="shared" ca="1" si="145"/>
        <v>-94647104854.70578</v>
      </c>
      <c r="J3117" s="444">
        <f t="array" ref="J3117">IFERROR(INDEX('Retirement Calculator'!K:K,MATCH('Lorri 401b'!N3117,'Retirement Calculator'!A:A,0),0),0)</f>
        <v>0</v>
      </c>
      <c r="K3117" s="444">
        <f t="shared" ca="1" si="143"/>
        <v>-394362936.89460742</v>
      </c>
      <c r="L3117" s="444">
        <f t="shared" ca="1" si="144"/>
        <v>-95041467791.600388</v>
      </c>
      <c r="M3117" s="460">
        <f t="shared" si="146"/>
        <v>0.05</v>
      </c>
      <c r="N3117" s="464">
        <f t="shared" si="147"/>
        <v>145915</v>
      </c>
    </row>
    <row r="3118" spans="7:14" ht="11.25" customHeight="1" x14ac:dyDescent="0.3">
      <c r="G3118" s="459"/>
      <c r="H3118" s="459">
        <v>3111</v>
      </c>
      <c r="I3118" s="444">
        <f t="shared" ca="1" si="145"/>
        <v>-95041467791.600388</v>
      </c>
      <c r="J3118" s="444">
        <f t="array" ref="J3118">IFERROR(INDEX('Retirement Calculator'!K:K,MATCH('Lorri 401b'!N3118,'Retirement Calculator'!A:A,0),0),0)</f>
        <v>0</v>
      </c>
      <c r="K3118" s="444">
        <f t="shared" ca="1" si="143"/>
        <v>-396006115.79833496</v>
      </c>
      <c r="L3118" s="444">
        <f t="shared" ca="1" si="144"/>
        <v>-95437473907.398727</v>
      </c>
      <c r="M3118" s="460">
        <f t="shared" si="146"/>
        <v>0.05</v>
      </c>
      <c r="N3118" s="464">
        <f t="shared" si="147"/>
        <v>145946</v>
      </c>
    </row>
    <row r="3119" spans="7:14" ht="11.25" customHeight="1" x14ac:dyDescent="0.3">
      <c r="G3119" s="459"/>
      <c r="H3119" s="459">
        <v>3112</v>
      </c>
      <c r="I3119" s="444">
        <f t="shared" ca="1" si="145"/>
        <v>-95437473907.398727</v>
      </c>
      <c r="J3119" s="444">
        <f t="array" ref="J3119">IFERROR(INDEX('Retirement Calculator'!K:K,MATCH('Lorri 401b'!N3119,'Retirement Calculator'!A:A,0),0),0)</f>
        <v>0</v>
      </c>
      <c r="K3119" s="444">
        <f t="shared" ca="1" si="143"/>
        <v>-397656141.280828</v>
      </c>
      <c r="L3119" s="444">
        <f t="shared" ca="1" si="144"/>
        <v>-95835130048.67955</v>
      </c>
      <c r="M3119" s="460">
        <f t="shared" si="146"/>
        <v>0.05</v>
      </c>
      <c r="N3119" s="464">
        <f t="shared" si="147"/>
        <v>145977</v>
      </c>
    </row>
    <row r="3120" spans="7:14" ht="11.25" customHeight="1" x14ac:dyDescent="0.3">
      <c r="G3120" s="459"/>
      <c r="H3120" s="459">
        <v>3113</v>
      </c>
      <c r="I3120" s="444">
        <f t="shared" ca="1" si="145"/>
        <v>-95835130048.67955</v>
      </c>
      <c r="J3120" s="444">
        <f t="array" ref="J3120">IFERROR(INDEX('Retirement Calculator'!K:K,MATCH('Lorri 401b'!N3120,'Retirement Calculator'!A:A,0),0),0)</f>
        <v>0</v>
      </c>
      <c r="K3120" s="444">
        <f t="shared" ca="1" si="143"/>
        <v>-399313041.86949813</v>
      </c>
      <c r="L3120" s="444">
        <f t="shared" ca="1" si="144"/>
        <v>-96234443090.549042</v>
      </c>
      <c r="M3120" s="460">
        <f t="shared" si="146"/>
        <v>0.05</v>
      </c>
      <c r="N3120" s="464">
        <f t="shared" si="147"/>
        <v>146007</v>
      </c>
    </row>
    <row r="3121" spans="7:14" ht="11.25" customHeight="1" x14ac:dyDescent="0.3">
      <c r="G3121" s="459"/>
      <c r="H3121" s="459">
        <v>3114</v>
      </c>
      <c r="I3121" s="444">
        <f t="shared" ca="1" si="145"/>
        <v>-96234443090.549042</v>
      </c>
      <c r="J3121" s="444">
        <f t="array" ref="J3121">IFERROR(INDEX('Retirement Calculator'!K:K,MATCH('Lorri 401b'!N3121,'Retirement Calculator'!A:A,0),0),0)</f>
        <v>0</v>
      </c>
      <c r="K3121" s="444">
        <f t="shared" ca="1" si="143"/>
        <v>-400976846.210621</v>
      </c>
      <c r="L3121" s="444">
        <f t="shared" ca="1" si="144"/>
        <v>-96635419936.759659</v>
      </c>
      <c r="M3121" s="460">
        <f t="shared" si="146"/>
        <v>0.05</v>
      </c>
      <c r="N3121" s="464">
        <f t="shared" si="147"/>
        <v>146038</v>
      </c>
    </row>
    <row r="3122" spans="7:14" ht="11.25" customHeight="1" x14ac:dyDescent="0.3">
      <c r="G3122" s="459"/>
      <c r="H3122" s="459">
        <v>3115</v>
      </c>
      <c r="I3122" s="444">
        <f t="shared" ca="1" si="145"/>
        <v>-96635419936.759659</v>
      </c>
      <c r="J3122" s="444">
        <f t="array" ref="J3122">IFERROR(INDEX('Retirement Calculator'!K:K,MATCH('Lorri 401b'!N3122,'Retirement Calculator'!A:A,0),0),0)</f>
        <v>0</v>
      </c>
      <c r="K3122" s="444">
        <f t="shared" ca="1" si="143"/>
        <v>-402647583.06983191</v>
      </c>
      <c r="L3122" s="444">
        <f t="shared" ca="1" si="144"/>
        <v>-97038067519.829498</v>
      </c>
      <c r="M3122" s="460">
        <f t="shared" si="146"/>
        <v>0.05</v>
      </c>
      <c r="N3122" s="464">
        <f t="shared" si="147"/>
        <v>146068</v>
      </c>
    </row>
    <row r="3123" spans="7:14" ht="11.25" customHeight="1" x14ac:dyDescent="0.3">
      <c r="G3123" s="459"/>
      <c r="H3123" s="459">
        <v>3116</v>
      </c>
      <c r="I3123" s="444">
        <f t="shared" ca="1" si="145"/>
        <v>-97038067519.829498</v>
      </c>
      <c r="J3123" s="444">
        <f t="array" ref="J3123">IFERROR(INDEX('Retirement Calculator'!K:K,MATCH('Lorri 401b'!N3123,'Retirement Calculator'!A:A,0),0),0)</f>
        <v>0</v>
      </c>
      <c r="K3123" s="444">
        <f t="shared" ca="1" si="143"/>
        <v>-404325281.33262289</v>
      </c>
      <c r="L3123" s="444">
        <f t="shared" ca="1" si="144"/>
        <v>-97442392801.162125</v>
      </c>
      <c r="M3123" s="460">
        <f t="shared" si="146"/>
        <v>0.05</v>
      </c>
      <c r="N3123" s="464">
        <f t="shared" si="147"/>
        <v>146099</v>
      </c>
    </row>
    <row r="3124" spans="7:14" ht="11.25" customHeight="1" x14ac:dyDescent="0.3">
      <c r="G3124" s="459"/>
      <c r="H3124" s="459">
        <v>3117</v>
      </c>
      <c r="I3124" s="444">
        <f t="shared" ca="1" si="145"/>
        <v>-97442392801.162125</v>
      </c>
      <c r="J3124" s="444">
        <f t="array" ref="J3124">IFERROR(INDEX('Retirement Calculator'!K:K,MATCH('Lorri 401b'!N3124,'Retirement Calculator'!A:A,0),0),0)</f>
        <v>0</v>
      </c>
      <c r="K3124" s="444">
        <f t="shared" ca="1" si="143"/>
        <v>-406009970.00484216</v>
      </c>
      <c r="L3124" s="444">
        <f t="shared" ca="1" si="144"/>
        <v>-97848402771.166962</v>
      </c>
      <c r="M3124" s="460">
        <f t="shared" si="146"/>
        <v>0.05</v>
      </c>
      <c r="N3124" s="464">
        <f t="shared" si="147"/>
        <v>146130</v>
      </c>
    </row>
    <row r="3125" spans="7:14" ht="11.25" customHeight="1" x14ac:dyDescent="0.3">
      <c r="G3125" s="459"/>
      <c r="H3125" s="459">
        <v>3118</v>
      </c>
      <c r="I3125" s="444">
        <f t="shared" ca="1" si="145"/>
        <v>-97848402771.166962</v>
      </c>
      <c r="J3125" s="444">
        <f t="array" ref="J3125">IFERROR(INDEX('Retirement Calculator'!K:K,MATCH('Lorri 401b'!N3125,'Retirement Calculator'!A:A,0),0),0)</f>
        <v>0</v>
      </c>
      <c r="K3125" s="444">
        <f t="shared" ca="1" si="143"/>
        <v>-407701678.21319568</v>
      </c>
      <c r="L3125" s="444">
        <f t="shared" ca="1" si="144"/>
        <v>-98256104449.380157</v>
      </c>
      <c r="M3125" s="460">
        <f t="shared" si="146"/>
        <v>0.05</v>
      </c>
      <c r="N3125" s="464">
        <f t="shared" si="147"/>
        <v>146158</v>
      </c>
    </row>
    <row r="3126" spans="7:14" ht="11.25" customHeight="1" x14ac:dyDescent="0.3">
      <c r="G3126" s="459"/>
      <c r="H3126" s="459">
        <v>3119</v>
      </c>
      <c r="I3126" s="444">
        <f t="shared" ca="1" si="145"/>
        <v>-98256104449.380157</v>
      </c>
      <c r="J3126" s="444">
        <f t="array" ref="J3126">IFERROR(INDEX('Retirement Calculator'!K:K,MATCH('Lorri 401b'!N3126,'Retirement Calculator'!A:A,0),0),0)</f>
        <v>0</v>
      </c>
      <c r="K3126" s="444">
        <f t="shared" ca="1" si="143"/>
        <v>-409400435.20575064</v>
      </c>
      <c r="L3126" s="444">
        <f t="shared" ca="1" si="144"/>
        <v>-98665504884.585907</v>
      </c>
      <c r="M3126" s="460">
        <f t="shared" si="146"/>
        <v>0.05</v>
      </c>
      <c r="N3126" s="464">
        <f t="shared" si="147"/>
        <v>146189</v>
      </c>
    </row>
    <row r="3127" spans="7:14" ht="11.25" customHeight="1" x14ac:dyDescent="0.3">
      <c r="G3127" s="459"/>
      <c r="H3127" s="459">
        <v>3120</v>
      </c>
      <c r="I3127" s="444">
        <f t="shared" ca="1" si="145"/>
        <v>-98665504884.585907</v>
      </c>
      <c r="J3127" s="444">
        <f t="array" ref="J3127">IFERROR(INDEX('Retirement Calculator'!K:K,MATCH('Lorri 401b'!N3127,'Retirement Calculator'!A:A,0),0),0)</f>
        <v>0</v>
      </c>
      <c r="K3127" s="444">
        <f t="shared" ca="1" si="143"/>
        <v>-411106270.35244125</v>
      </c>
      <c r="L3127" s="444">
        <f t="shared" ca="1" si="144"/>
        <v>-99076611154.938354</v>
      </c>
      <c r="M3127" s="460">
        <f t="shared" si="146"/>
        <v>0.05</v>
      </c>
      <c r="N3127" s="464">
        <f t="shared" si="147"/>
        <v>146219</v>
      </c>
    </row>
    <row r="3128" spans="7:14" ht="11.25" customHeight="1" x14ac:dyDescent="0.3">
      <c r="G3128" s="459"/>
      <c r="H3128" s="459">
        <v>3121</v>
      </c>
      <c r="I3128" s="444">
        <f t="shared" ca="1" si="145"/>
        <v>-99076611154.938354</v>
      </c>
      <c r="J3128" s="444">
        <f t="array" ref="J3128">IFERROR(INDEX('Retirement Calculator'!K:K,MATCH('Lorri 401b'!N3128,'Retirement Calculator'!A:A,0),0),0)</f>
        <v>0</v>
      </c>
      <c r="K3128" s="444">
        <f t="shared" ca="1" si="143"/>
        <v>-412819213.14557648</v>
      </c>
      <c r="L3128" s="444">
        <f t="shared" ca="1" si="144"/>
        <v>-99489430368.083923</v>
      </c>
      <c r="M3128" s="460">
        <f t="shared" si="146"/>
        <v>0.05</v>
      </c>
      <c r="N3128" s="464">
        <f t="shared" si="147"/>
        <v>146250</v>
      </c>
    </row>
    <row r="3129" spans="7:14" ht="11.25" customHeight="1" x14ac:dyDescent="0.3">
      <c r="G3129" s="459"/>
      <c r="H3129" s="459">
        <v>3122</v>
      </c>
      <c r="I3129" s="444">
        <f t="shared" ca="1" si="145"/>
        <v>-99489430368.083923</v>
      </c>
      <c r="J3129" s="444">
        <f t="array" ref="J3129">IFERROR(INDEX('Retirement Calculator'!K:K,MATCH('Lorri 401b'!N3129,'Retirement Calculator'!A:A,0),0),0)</f>
        <v>0</v>
      </c>
      <c r="K3129" s="444">
        <f t="shared" ca="1" si="143"/>
        <v>-414539293.20034969</v>
      </c>
      <c r="L3129" s="444">
        <f t="shared" ca="1" si="144"/>
        <v>-99903969661.284271</v>
      </c>
      <c r="M3129" s="460">
        <f t="shared" si="146"/>
        <v>0.05</v>
      </c>
      <c r="N3129" s="464">
        <f t="shared" si="147"/>
        <v>146280</v>
      </c>
    </row>
    <row r="3130" spans="7:14" ht="11.25" customHeight="1" x14ac:dyDescent="0.3">
      <c r="G3130" s="459"/>
      <c r="H3130" s="459">
        <v>3123</v>
      </c>
      <c r="I3130" s="444">
        <f t="shared" ca="1" si="145"/>
        <v>-99903969661.284271</v>
      </c>
      <c r="J3130" s="444">
        <f t="array" ref="J3130">IFERROR(INDEX('Retirement Calculator'!K:K,MATCH('Lorri 401b'!N3130,'Retirement Calculator'!A:A,0),0),0)</f>
        <v>0</v>
      </c>
      <c r="K3130" s="444">
        <f t="shared" ca="1" si="143"/>
        <v>-416266540.25535113</v>
      </c>
      <c r="L3130" s="444">
        <f t="shared" ca="1" si="144"/>
        <v>-100320236201.53963</v>
      </c>
      <c r="M3130" s="460">
        <f t="shared" si="146"/>
        <v>0.05</v>
      </c>
      <c r="N3130" s="464">
        <f t="shared" si="147"/>
        <v>146311</v>
      </c>
    </row>
    <row r="3131" spans="7:14" ht="11.25" customHeight="1" x14ac:dyDescent="0.3">
      <c r="G3131" s="459"/>
      <c r="H3131" s="459">
        <v>3124</v>
      </c>
      <c r="I3131" s="444">
        <f t="shared" ca="1" si="145"/>
        <v>-100320236201.53963</v>
      </c>
      <c r="J3131" s="444">
        <f t="array" ref="J3131">IFERROR(INDEX('Retirement Calculator'!K:K,MATCH('Lorri 401b'!N3131,'Retirement Calculator'!A:A,0),0),0)</f>
        <v>0</v>
      </c>
      <c r="K3131" s="444">
        <f t="shared" ca="1" si="143"/>
        <v>-418000984.17308176</v>
      </c>
      <c r="L3131" s="444">
        <f t="shared" ca="1" si="144"/>
        <v>-100738237185.71271</v>
      </c>
      <c r="M3131" s="460">
        <f t="shared" si="146"/>
        <v>0.05</v>
      </c>
      <c r="N3131" s="464">
        <f t="shared" si="147"/>
        <v>146342</v>
      </c>
    </row>
    <row r="3132" spans="7:14" ht="11.25" customHeight="1" x14ac:dyDescent="0.3">
      <c r="G3132" s="459"/>
      <c r="H3132" s="459">
        <v>3125</v>
      </c>
      <c r="I3132" s="444">
        <f t="shared" ca="1" si="145"/>
        <v>-100738237185.71271</v>
      </c>
      <c r="J3132" s="444">
        <f t="array" ref="J3132">IFERROR(INDEX('Retirement Calculator'!K:K,MATCH('Lorri 401b'!N3132,'Retirement Calculator'!A:A,0),0),0)</f>
        <v>0</v>
      </c>
      <c r="K3132" s="444">
        <f t="shared" ca="1" si="143"/>
        <v>-419742654.94046962</v>
      </c>
      <c r="L3132" s="444">
        <f t="shared" ca="1" si="144"/>
        <v>-101157979840.65318</v>
      </c>
      <c r="M3132" s="460">
        <f t="shared" si="146"/>
        <v>0.05</v>
      </c>
      <c r="N3132" s="464">
        <f t="shared" si="147"/>
        <v>146372</v>
      </c>
    </row>
    <row r="3133" spans="7:14" ht="11.25" customHeight="1" x14ac:dyDescent="0.3">
      <c r="G3133" s="459"/>
      <c r="H3133" s="459">
        <v>3126</v>
      </c>
      <c r="I3133" s="444">
        <f t="shared" ca="1" si="145"/>
        <v>-101157979840.65318</v>
      </c>
      <c r="J3133" s="444">
        <f t="array" ref="J3133">IFERROR(INDEX('Retirement Calculator'!K:K,MATCH('Lorri 401b'!N3133,'Retirement Calculator'!A:A,0),0),0)</f>
        <v>0</v>
      </c>
      <c r="K3133" s="444">
        <f t="shared" ca="1" si="143"/>
        <v>-421491582.66938823</v>
      </c>
      <c r="L3133" s="444">
        <f t="shared" ca="1" si="144"/>
        <v>-101579471423.32257</v>
      </c>
      <c r="M3133" s="460">
        <f t="shared" si="146"/>
        <v>0.05</v>
      </c>
      <c r="N3133" s="464">
        <f t="shared" si="147"/>
        <v>146403</v>
      </c>
    </row>
    <row r="3134" spans="7:14" ht="11.25" customHeight="1" x14ac:dyDescent="0.3">
      <c r="G3134" s="459"/>
      <c r="H3134" s="459">
        <v>3127</v>
      </c>
      <c r="I3134" s="444">
        <f t="shared" ca="1" si="145"/>
        <v>-101579471423.32257</v>
      </c>
      <c r="J3134" s="444">
        <f t="array" ref="J3134">IFERROR(INDEX('Retirement Calculator'!K:K,MATCH('Lorri 401b'!N3134,'Retirement Calculator'!A:A,0),0),0)</f>
        <v>0</v>
      </c>
      <c r="K3134" s="444">
        <f t="shared" ca="1" si="143"/>
        <v>-423247797.59717739</v>
      </c>
      <c r="L3134" s="444">
        <f t="shared" ca="1" si="144"/>
        <v>-102002719220.91975</v>
      </c>
      <c r="M3134" s="460">
        <f t="shared" si="146"/>
        <v>0.05</v>
      </c>
      <c r="N3134" s="464">
        <f t="shared" si="147"/>
        <v>146433</v>
      </c>
    </row>
    <row r="3135" spans="7:14" ht="11.25" customHeight="1" x14ac:dyDescent="0.3">
      <c r="G3135" s="459"/>
      <c r="H3135" s="459">
        <v>3128</v>
      </c>
      <c r="I3135" s="444">
        <f t="shared" ca="1" si="145"/>
        <v>-102002719220.91975</v>
      </c>
      <c r="J3135" s="444">
        <f t="array" ref="J3135">IFERROR(INDEX('Retirement Calculator'!K:K,MATCH('Lorri 401b'!N3135,'Retirement Calculator'!A:A,0),0),0)</f>
        <v>0</v>
      </c>
      <c r="K3135" s="444">
        <f t="shared" ca="1" si="143"/>
        <v>-425011330.08716565</v>
      </c>
      <c r="L3135" s="444">
        <f t="shared" ca="1" si="144"/>
        <v>-102427730551.00691</v>
      </c>
      <c r="M3135" s="460">
        <f t="shared" si="146"/>
        <v>0.05</v>
      </c>
      <c r="N3135" s="464">
        <f t="shared" si="147"/>
        <v>146464</v>
      </c>
    </row>
    <row r="3136" spans="7:14" ht="11.25" customHeight="1" x14ac:dyDescent="0.3">
      <c r="G3136" s="459"/>
      <c r="H3136" s="459">
        <v>3129</v>
      </c>
      <c r="I3136" s="444">
        <f t="shared" ca="1" si="145"/>
        <v>-102427730551.00691</v>
      </c>
      <c r="J3136" s="444">
        <f t="array" ref="J3136">IFERROR(INDEX('Retirement Calculator'!K:K,MATCH('Lorri 401b'!N3136,'Retirement Calculator'!A:A,0),0),0)</f>
        <v>0</v>
      </c>
      <c r="K3136" s="444">
        <f t="shared" ca="1" si="143"/>
        <v>-426782210.62919545</v>
      </c>
      <c r="L3136" s="444">
        <f t="shared" ca="1" si="144"/>
        <v>-102854512761.63611</v>
      </c>
      <c r="M3136" s="460">
        <f t="shared" si="146"/>
        <v>0.05</v>
      </c>
      <c r="N3136" s="464">
        <f t="shared" si="147"/>
        <v>146495</v>
      </c>
    </row>
    <row r="3137" spans="7:14" ht="11.25" customHeight="1" x14ac:dyDescent="0.3">
      <c r="G3137" s="459"/>
      <c r="H3137" s="459">
        <v>3130</v>
      </c>
      <c r="I3137" s="444">
        <f t="shared" ca="1" si="145"/>
        <v>-102854512761.63611</v>
      </c>
      <c r="J3137" s="444">
        <f t="array" ref="J3137">IFERROR(INDEX('Retirement Calculator'!K:K,MATCH('Lorri 401b'!N3137,'Retirement Calculator'!A:A,0),0),0)</f>
        <v>0</v>
      </c>
      <c r="K3137" s="444">
        <f t="shared" ca="1" si="143"/>
        <v>-428560469.84015048</v>
      </c>
      <c r="L3137" s="444">
        <f t="shared" ca="1" si="144"/>
        <v>-103283073231.47626</v>
      </c>
      <c r="M3137" s="460">
        <f t="shared" si="146"/>
        <v>0.05</v>
      </c>
      <c r="N3137" s="464">
        <f t="shared" si="147"/>
        <v>146523</v>
      </c>
    </row>
    <row r="3138" spans="7:14" ht="11.25" customHeight="1" x14ac:dyDescent="0.3">
      <c r="G3138" s="459"/>
      <c r="H3138" s="459">
        <v>3131</v>
      </c>
      <c r="I3138" s="444">
        <f t="shared" ca="1" si="145"/>
        <v>-103283073231.47626</v>
      </c>
      <c r="J3138" s="444">
        <f t="array" ref="J3138">IFERROR(INDEX('Retirement Calculator'!K:K,MATCH('Lorri 401b'!N3138,'Retirement Calculator'!A:A,0),0),0)</f>
        <v>0</v>
      </c>
      <c r="K3138" s="444">
        <f t="shared" ca="1" si="143"/>
        <v>-430346138.46448439</v>
      </c>
      <c r="L3138" s="444">
        <f t="shared" ca="1" si="144"/>
        <v>-103713419369.94073</v>
      </c>
      <c r="M3138" s="460">
        <f t="shared" si="146"/>
        <v>0.05</v>
      </c>
      <c r="N3138" s="464">
        <f t="shared" si="147"/>
        <v>146554</v>
      </c>
    </row>
    <row r="3139" spans="7:14" ht="11.25" customHeight="1" x14ac:dyDescent="0.3">
      <c r="G3139" s="459"/>
      <c r="H3139" s="459">
        <v>3132</v>
      </c>
      <c r="I3139" s="444">
        <f t="shared" ca="1" si="145"/>
        <v>-103713419369.94073</v>
      </c>
      <c r="J3139" s="444">
        <f t="array" ref="J3139">IFERROR(INDEX('Retirement Calculator'!K:K,MATCH('Lorri 401b'!N3139,'Retirement Calculator'!A:A,0),0),0)</f>
        <v>0</v>
      </c>
      <c r="K3139" s="444">
        <f t="shared" ca="1" si="143"/>
        <v>-432139247.37475306</v>
      </c>
      <c r="L3139" s="444">
        <f t="shared" ca="1" si="144"/>
        <v>-104145558617.31549</v>
      </c>
      <c r="M3139" s="460">
        <f t="shared" si="146"/>
        <v>0.05</v>
      </c>
      <c r="N3139" s="464">
        <f t="shared" si="147"/>
        <v>146584</v>
      </c>
    </row>
    <row r="3140" spans="7:14" ht="11.25" customHeight="1" x14ac:dyDescent="0.3">
      <c r="G3140" s="459"/>
      <c r="H3140" s="459">
        <v>3133</v>
      </c>
      <c r="I3140" s="444">
        <f t="shared" ca="1" si="145"/>
        <v>-104145558617.31549</v>
      </c>
      <c r="J3140" s="444">
        <f t="array" ref="J3140">IFERROR(INDEX('Retirement Calculator'!K:K,MATCH('Lorri 401b'!N3140,'Retirement Calculator'!A:A,0),0),0)</f>
        <v>0</v>
      </c>
      <c r="K3140" s="444">
        <f t="shared" ca="1" si="143"/>
        <v>-433939827.57214785</v>
      </c>
      <c r="L3140" s="444">
        <f t="shared" ca="1" si="144"/>
        <v>-104579498444.88763</v>
      </c>
      <c r="M3140" s="460">
        <f t="shared" si="146"/>
        <v>0.05</v>
      </c>
      <c r="N3140" s="464">
        <f t="shared" si="147"/>
        <v>146615</v>
      </c>
    </row>
    <row r="3141" spans="7:14" ht="11.25" customHeight="1" x14ac:dyDescent="0.3">
      <c r="G3141" s="459"/>
      <c r="H3141" s="459">
        <v>3134</v>
      </c>
      <c r="I3141" s="444">
        <f t="shared" ca="1" si="145"/>
        <v>-104579498444.88763</v>
      </c>
      <c r="J3141" s="444">
        <f t="array" ref="J3141">IFERROR(INDEX('Retirement Calculator'!K:K,MATCH('Lorri 401b'!N3141,'Retirement Calculator'!A:A,0),0),0)</f>
        <v>0</v>
      </c>
      <c r="K3141" s="444">
        <f t="shared" ca="1" si="143"/>
        <v>-435747910.18703181</v>
      </c>
      <c r="L3141" s="444">
        <f t="shared" ca="1" si="144"/>
        <v>-105015246355.07466</v>
      </c>
      <c r="M3141" s="460">
        <f t="shared" si="146"/>
        <v>0.05</v>
      </c>
      <c r="N3141" s="464">
        <f t="shared" si="147"/>
        <v>146645</v>
      </c>
    </row>
    <row r="3142" spans="7:14" ht="11.25" customHeight="1" x14ac:dyDescent="0.3">
      <c r="G3142" s="459"/>
      <c r="H3142" s="459">
        <v>3135</v>
      </c>
      <c r="I3142" s="444">
        <f t="shared" ca="1" si="145"/>
        <v>-105015246355.07466</v>
      </c>
      <c r="J3142" s="444">
        <f t="array" ref="J3142">IFERROR(INDEX('Retirement Calculator'!K:K,MATCH('Lorri 401b'!N3142,'Retirement Calculator'!A:A,0),0),0)</f>
        <v>0</v>
      </c>
      <c r="K3142" s="444">
        <f t="shared" ca="1" si="143"/>
        <v>-437563526.47947776</v>
      </c>
      <c r="L3142" s="444">
        <f t="shared" ca="1" si="144"/>
        <v>-105452809881.55414</v>
      </c>
      <c r="M3142" s="460">
        <f t="shared" si="146"/>
        <v>0.05</v>
      </c>
      <c r="N3142" s="464">
        <f t="shared" si="147"/>
        <v>146676</v>
      </c>
    </row>
    <row r="3143" spans="7:14" ht="11.25" customHeight="1" x14ac:dyDescent="0.3">
      <c r="G3143" s="459"/>
      <c r="H3143" s="459">
        <v>3136</v>
      </c>
      <c r="I3143" s="444">
        <f t="shared" ca="1" si="145"/>
        <v>-105452809881.55414</v>
      </c>
      <c r="J3143" s="444">
        <f t="array" ref="J3143">IFERROR(INDEX('Retirement Calculator'!K:K,MATCH('Lorri 401b'!N3143,'Retirement Calculator'!A:A,0),0),0)</f>
        <v>0</v>
      </c>
      <c r="K3143" s="444">
        <f t="shared" ca="1" si="143"/>
        <v>-439386707.83980888</v>
      </c>
      <c r="L3143" s="444">
        <f t="shared" ca="1" si="144"/>
        <v>-105892196589.39395</v>
      </c>
      <c r="M3143" s="460">
        <f t="shared" si="146"/>
        <v>0.05</v>
      </c>
      <c r="N3143" s="464">
        <f t="shared" si="147"/>
        <v>146707</v>
      </c>
    </row>
    <row r="3144" spans="7:14" ht="11.25" customHeight="1" x14ac:dyDescent="0.3">
      <c r="G3144" s="459"/>
      <c r="H3144" s="459">
        <v>3137</v>
      </c>
      <c r="I3144" s="444">
        <f t="shared" ca="1" si="145"/>
        <v>-105892196589.39395</v>
      </c>
      <c r="J3144" s="444">
        <f t="array" ref="J3144">IFERROR(INDEX('Retirement Calculator'!K:K,MATCH('Lorri 401b'!N3144,'Retirement Calculator'!A:A,0),0),0)</f>
        <v>0</v>
      </c>
      <c r="K3144" s="444">
        <f t="shared" ca="1" si="143"/>
        <v>-441217485.78914148</v>
      </c>
      <c r="L3144" s="444">
        <f t="shared" ca="1" si="144"/>
        <v>-106333414075.18309</v>
      </c>
      <c r="M3144" s="460">
        <f t="shared" si="146"/>
        <v>0.05</v>
      </c>
      <c r="N3144" s="464">
        <f t="shared" si="147"/>
        <v>146737</v>
      </c>
    </row>
    <row r="3145" spans="7:14" ht="11.25" customHeight="1" x14ac:dyDescent="0.3">
      <c r="G3145" s="459"/>
      <c r="H3145" s="459">
        <v>3138</v>
      </c>
      <c r="I3145" s="444">
        <f t="shared" ca="1" si="145"/>
        <v>-106333414075.18309</v>
      </c>
      <c r="J3145" s="444">
        <f t="array" ref="J3145">IFERROR(INDEX('Retirement Calculator'!K:K,MATCH('Lorri 401b'!N3145,'Retirement Calculator'!A:A,0),0),0)</f>
        <v>0</v>
      </c>
      <c r="K3145" s="444">
        <f t="shared" ca="1" si="143"/>
        <v>-443055891.97992951</v>
      </c>
      <c r="L3145" s="444">
        <f t="shared" ca="1" si="144"/>
        <v>-106776469967.16302</v>
      </c>
      <c r="M3145" s="460">
        <f t="shared" si="146"/>
        <v>0.05</v>
      </c>
      <c r="N3145" s="464">
        <f t="shared" si="147"/>
        <v>146768</v>
      </c>
    </row>
    <row r="3146" spans="7:14" ht="11.25" customHeight="1" x14ac:dyDescent="0.3">
      <c r="G3146" s="459"/>
      <c r="H3146" s="459">
        <v>3139</v>
      </c>
      <c r="I3146" s="444">
        <f t="shared" ca="1" si="145"/>
        <v>-106776469967.16302</v>
      </c>
      <c r="J3146" s="444">
        <f t="array" ref="J3146">IFERROR(INDEX('Retirement Calculator'!K:K,MATCH('Lorri 401b'!N3146,'Retirement Calculator'!A:A,0),0),0)</f>
        <v>0</v>
      </c>
      <c r="K3146" s="444">
        <f t="shared" ca="1" si="143"/>
        <v>-444901958.19651258</v>
      </c>
      <c r="L3146" s="444">
        <f t="shared" ca="1" si="144"/>
        <v>-107221371925.35954</v>
      </c>
      <c r="M3146" s="460">
        <f t="shared" si="146"/>
        <v>0.05</v>
      </c>
      <c r="N3146" s="464">
        <f t="shared" si="147"/>
        <v>146798</v>
      </c>
    </row>
    <row r="3147" spans="7:14" ht="11.25" customHeight="1" x14ac:dyDescent="0.3">
      <c r="G3147" s="459"/>
      <c r="H3147" s="459">
        <v>3140</v>
      </c>
      <c r="I3147" s="444">
        <f t="shared" ca="1" si="145"/>
        <v>-107221371925.35954</v>
      </c>
      <c r="J3147" s="444">
        <f t="array" ref="J3147">IFERROR(INDEX('Retirement Calculator'!K:K,MATCH('Lorri 401b'!N3147,'Retirement Calculator'!A:A,0),0),0)</f>
        <v>0</v>
      </c>
      <c r="K3147" s="444">
        <f t="shared" ca="1" si="143"/>
        <v>-446755716.35566473</v>
      </c>
      <c r="L3147" s="444">
        <f t="shared" ca="1" si="144"/>
        <v>-107668127641.71521</v>
      </c>
      <c r="M3147" s="460">
        <f t="shared" si="146"/>
        <v>0.05</v>
      </c>
      <c r="N3147" s="464">
        <f t="shared" si="147"/>
        <v>146829</v>
      </c>
    </row>
    <row r="3148" spans="7:14" ht="11.25" customHeight="1" x14ac:dyDescent="0.3">
      <c r="G3148" s="459"/>
      <c r="H3148" s="459">
        <v>3141</v>
      </c>
      <c r="I3148" s="444">
        <f t="shared" ca="1" si="145"/>
        <v>-107668127641.71521</v>
      </c>
      <c r="J3148" s="444">
        <f t="array" ref="J3148">IFERROR(INDEX('Retirement Calculator'!K:K,MATCH('Lorri 401b'!N3148,'Retirement Calculator'!A:A,0),0),0)</f>
        <v>0</v>
      </c>
      <c r="K3148" s="444">
        <f t="shared" ca="1" si="143"/>
        <v>-448617198.50714672</v>
      </c>
      <c r="L3148" s="444">
        <f t="shared" ca="1" si="144"/>
        <v>-108116744840.22235</v>
      </c>
      <c r="M3148" s="460">
        <f t="shared" si="146"/>
        <v>0.05</v>
      </c>
      <c r="N3148" s="464">
        <f t="shared" si="147"/>
        <v>146860</v>
      </c>
    </row>
    <row r="3149" spans="7:14" ht="11.25" customHeight="1" x14ac:dyDescent="0.3">
      <c r="G3149" s="459"/>
      <c r="H3149" s="459">
        <v>3142</v>
      </c>
      <c r="I3149" s="444">
        <f t="shared" ca="1" si="145"/>
        <v>-108116744840.22235</v>
      </c>
      <c r="J3149" s="444">
        <f t="array" ref="J3149">IFERROR(INDEX('Retirement Calculator'!K:K,MATCH('Lorri 401b'!N3149,'Retirement Calculator'!A:A,0),0),0)</f>
        <v>0</v>
      </c>
      <c r="K3149" s="444">
        <f t="shared" ca="1" si="143"/>
        <v>-450486436.83425987</v>
      </c>
      <c r="L3149" s="444">
        <f t="shared" ca="1" si="144"/>
        <v>-108567231277.05661</v>
      </c>
      <c r="M3149" s="460">
        <f t="shared" si="146"/>
        <v>0.05</v>
      </c>
      <c r="N3149" s="464">
        <f t="shared" si="147"/>
        <v>146888</v>
      </c>
    </row>
    <row r="3150" spans="7:14" ht="11.25" customHeight="1" x14ac:dyDescent="0.3">
      <c r="G3150" s="459"/>
      <c r="H3150" s="459">
        <v>3143</v>
      </c>
      <c r="I3150" s="444">
        <f t="shared" ca="1" si="145"/>
        <v>-108567231277.05661</v>
      </c>
      <c r="J3150" s="444">
        <f t="array" ref="J3150">IFERROR(INDEX('Retirement Calculator'!K:K,MATCH('Lorri 401b'!N3150,'Retirement Calculator'!A:A,0),0),0)</f>
        <v>0</v>
      </c>
      <c r="K3150" s="444">
        <f t="shared" ca="1" si="143"/>
        <v>-452363463.65440255</v>
      </c>
      <c r="L3150" s="444">
        <f t="shared" ca="1" si="144"/>
        <v>-109019594740.71101</v>
      </c>
      <c r="M3150" s="460">
        <f t="shared" si="146"/>
        <v>0.05</v>
      </c>
      <c r="N3150" s="464">
        <f t="shared" si="147"/>
        <v>146919</v>
      </c>
    </row>
    <row r="3151" spans="7:14" ht="11.25" customHeight="1" x14ac:dyDescent="0.3">
      <c r="G3151" s="459"/>
      <c r="H3151" s="459">
        <v>3144</v>
      </c>
      <c r="I3151" s="444">
        <f t="shared" ca="1" si="145"/>
        <v>-109019594740.71101</v>
      </c>
      <c r="J3151" s="444">
        <f t="array" ref="J3151">IFERROR(INDEX('Retirement Calculator'!K:K,MATCH('Lorri 401b'!N3151,'Retirement Calculator'!A:A,0),0),0)</f>
        <v>0</v>
      </c>
      <c r="K3151" s="444">
        <f t="shared" ca="1" si="143"/>
        <v>-454248311.41962922</v>
      </c>
      <c r="L3151" s="444">
        <f t="shared" ca="1" si="144"/>
        <v>-109473843052.13065</v>
      </c>
      <c r="M3151" s="460">
        <f t="shared" si="146"/>
        <v>0.05</v>
      </c>
      <c r="N3151" s="464">
        <f t="shared" si="147"/>
        <v>146949</v>
      </c>
    </row>
    <row r="3152" spans="7:14" ht="11.25" customHeight="1" x14ac:dyDescent="0.3">
      <c r="G3152" s="459"/>
      <c r="H3152" s="459">
        <v>3145</v>
      </c>
      <c r="I3152" s="444">
        <f t="shared" ca="1" si="145"/>
        <v>-109473843052.13065</v>
      </c>
      <c r="J3152" s="444">
        <f t="array" ref="J3152">IFERROR(INDEX('Retirement Calculator'!K:K,MATCH('Lorri 401b'!N3152,'Retirement Calculator'!A:A,0),0),0)</f>
        <v>0</v>
      </c>
      <c r="K3152" s="444">
        <f t="shared" ca="1" si="143"/>
        <v>-456141012.71721101</v>
      </c>
      <c r="L3152" s="444">
        <f t="shared" ca="1" si="144"/>
        <v>-109929984064.84785</v>
      </c>
      <c r="M3152" s="460">
        <f t="shared" si="146"/>
        <v>0.05</v>
      </c>
      <c r="N3152" s="464">
        <f t="shared" si="147"/>
        <v>146980</v>
      </c>
    </row>
    <row r="3153" spans="7:14" ht="11.25" customHeight="1" x14ac:dyDescent="0.3">
      <c r="G3153" s="459"/>
      <c r="H3153" s="459">
        <v>3146</v>
      </c>
      <c r="I3153" s="444">
        <f t="shared" ca="1" si="145"/>
        <v>-109929984064.84785</v>
      </c>
      <c r="J3153" s="444">
        <f t="array" ref="J3153">IFERROR(INDEX('Retirement Calculator'!K:K,MATCH('Lorri 401b'!N3153,'Retirement Calculator'!A:A,0),0),0)</f>
        <v>0</v>
      </c>
      <c r="K3153" s="444">
        <f t="shared" ca="1" si="143"/>
        <v>-458041600.2701993</v>
      </c>
      <c r="L3153" s="444">
        <f t="shared" ca="1" si="144"/>
        <v>-110388025665.11806</v>
      </c>
      <c r="M3153" s="460">
        <f t="shared" si="146"/>
        <v>0.05</v>
      </c>
      <c r="N3153" s="464">
        <f t="shared" si="147"/>
        <v>147010</v>
      </c>
    </row>
    <row r="3154" spans="7:14" ht="11.25" customHeight="1" x14ac:dyDescent="0.3">
      <c r="G3154" s="459"/>
      <c r="H3154" s="459">
        <v>3147</v>
      </c>
      <c r="I3154" s="444">
        <f t="shared" ca="1" si="145"/>
        <v>-110388025665.11806</v>
      </c>
      <c r="J3154" s="444">
        <f t="array" ref="J3154">IFERROR(INDEX('Retirement Calculator'!K:K,MATCH('Lorri 401b'!N3154,'Retirement Calculator'!A:A,0),0),0)</f>
        <v>0</v>
      </c>
      <c r="K3154" s="444">
        <f t="shared" ca="1" si="143"/>
        <v>-459950106.93799192</v>
      </c>
      <c r="L3154" s="444">
        <f t="shared" ca="1" si="144"/>
        <v>-110847975772.05605</v>
      </c>
      <c r="M3154" s="460">
        <f t="shared" si="146"/>
        <v>0.05</v>
      </c>
      <c r="N3154" s="464">
        <f t="shared" si="147"/>
        <v>147041</v>
      </c>
    </row>
    <row r="3155" spans="7:14" ht="11.25" customHeight="1" x14ac:dyDescent="0.3">
      <c r="G3155" s="459"/>
      <c r="H3155" s="459">
        <v>3148</v>
      </c>
      <c r="I3155" s="444">
        <f t="shared" ca="1" si="145"/>
        <v>-110847975772.05605</v>
      </c>
      <c r="J3155" s="444">
        <f t="array" ref="J3155">IFERROR(INDEX('Retirement Calculator'!K:K,MATCH('Lorri 401b'!N3155,'Retirement Calculator'!A:A,0),0),0)</f>
        <v>0</v>
      </c>
      <c r="K3155" s="444">
        <f t="shared" ca="1" si="143"/>
        <v>-461866565.71690011</v>
      </c>
      <c r="L3155" s="444">
        <f t="shared" ca="1" si="144"/>
        <v>-111309842337.77295</v>
      </c>
      <c r="M3155" s="460">
        <f t="shared" si="146"/>
        <v>0.05</v>
      </c>
      <c r="N3155" s="464">
        <f t="shared" si="147"/>
        <v>147072</v>
      </c>
    </row>
    <row r="3156" spans="7:14" ht="11.25" customHeight="1" x14ac:dyDescent="0.3">
      <c r="G3156" s="459"/>
      <c r="H3156" s="459">
        <v>3149</v>
      </c>
      <c r="I3156" s="444">
        <f t="shared" ca="1" si="145"/>
        <v>-111309842337.77295</v>
      </c>
      <c r="J3156" s="444">
        <f t="array" ref="J3156">IFERROR(INDEX('Retirement Calculator'!K:K,MATCH('Lorri 401b'!N3156,'Retirement Calculator'!A:A,0),0),0)</f>
        <v>0</v>
      </c>
      <c r="K3156" s="444">
        <f t="shared" ca="1" si="143"/>
        <v>-463791009.74072057</v>
      </c>
      <c r="L3156" s="444">
        <f t="shared" ca="1" si="144"/>
        <v>-111773633347.51367</v>
      </c>
      <c r="M3156" s="460">
        <f t="shared" si="146"/>
        <v>0.05</v>
      </c>
      <c r="N3156" s="464">
        <f t="shared" si="147"/>
        <v>147102</v>
      </c>
    </row>
    <row r="3157" spans="7:14" ht="11.25" customHeight="1" x14ac:dyDescent="0.3">
      <c r="G3157" s="459"/>
      <c r="H3157" s="459">
        <v>3150</v>
      </c>
      <c r="I3157" s="444">
        <f t="shared" ca="1" si="145"/>
        <v>-111773633347.51367</v>
      </c>
      <c r="J3157" s="444">
        <f t="array" ref="J3157">IFERROR(INDEX('Retirement Calculator'!K:K,MATCH('Lorri 401b'!N3157,'Retirement Calculator'!A:A,0),0),0)</f>
        <v>0</v>
      </c>
      <c r="K3157" s="444">
        <f t="shared" ca="1" si="143"/>
        <v>-465723472.28130692</v>
      </c>
      <c r="L3157" s="444">
        <f t="shared" ca="1" si="144"/>
        <v>-112239356819.79498</v>
      </c>
      <c r="M3157" s="460">
        <f t="shared" si="146"/>
        <v>0.05</v>
      </c>
      <c r="N3157" s="464">
        <f t="shared" si="147"/>
        <v>147133</v>
      </c>
    </row>
    <row r="3158" spans="7:14" ht="11.25" customHeight="1" x14ac:dyDescent="0.3">
      <c r="G3158" s="459"/>
      <c r="H3158" s="459">
        <v>3151</v>
      </c>
      <c r="I3158" s="444">
        <f t="shared" ca="1" si="145"/>
        <v>-112239356819.79498</v>
      </c>
      <c r="J3158" s="444">
        <f t="array" ref="J3158">IFERROR(INDEX('Retirement Calculator'!K:K,MATCH('Lorri 401b'!N3158,'Retirement Calculator'!A:A,0),0),0)</f>
        <v>0</v>
      </c>
      <c r="K3158" s="444">
        <f t="shared" ca="1" si="143"/>
        <v>-467663986.74914581</v>
      </c>
      <c r="L3158" s="444">
        <f t="shared" ca="1" si="144"/>
        <v>-112707020806.54413</v>
      </c>
      <c r="M3158" s="460">
        <f t="shared" si="146"/>
        <v>0.05</v>
      </c>
      <c r="N3158" s="464">
        <f t="shared" si="147"/>
        <v>147163</v>
      </c>
    </row>
    <row r="3159" spans="7:14" ht="11.25" customHeight="1" x14ac:dyDescent="0.3">
      <c r="G3159" s="459"/>
      <c r="H3159" s="459">
        <v>3152</v>
      </c>
      <c r="I3159" s="444">
        <f t="shared" ca="1" si="145"/>
        <v>-112707020806.54413</v>
      </c>
      <c r="J3159" s="444">
        <f t="array" ref="J3159">IFERROR(INDEX('Retirement Calculator'!K:K,MATCH('Lorri 401b'!N3159,'Retirement Calculator'!A:A,0),0),0)</f>
        <v>0</v>
      </c>
      <c r="K3159" s="444">
        <f t="shared" ca="1" si="143"/>
        <v>-469612586.6939339</v>
      </c>
      <c r="L3159" s="444">
        <f t="shared" ca="1" si="144"/>
        <v>-113176633393.23807</v>
      </c>
      <c r="M3159" s="460">
        <f t="shared" si="146"/>
        <v>0.05</v>
      </c>
      <c r="N3159" s="464">
        <f t="shared" si="147"/>
        <v>147194</v>
      </c>
    </row>
    <row r="3160" spans="7:14" ht="11.25" customHeight="1" x14ac:dyDescent="0.3">
      <c r="G3160" s="459"/>
      <c r="H3160" s="459">
        <v>3153</v>
      </c>
      <c r="I3160" s="444">
        <f t="shared" ca="1" si="145"/>
        <v>-113176633393.23807</v>
      </c>
      <c r="J3160" s="444">
        <f t="array" ref="J3160">IFERROR(INDEX('Retirement Calculator'!K:K,MATCH('Lorri 401b'!N3160,'Retirement Calculator'!A:A,0),0),0)</f>
        <v>0</v>
      </c>
      <c r="K3160" s="444">
        <f t="shared" ca="1" si="143"/>
        <v>-471569305.80515862</v>
      </c>
      <c r="L3160" s="444">
        <f t="shared" ca="1" si="144"/>
        <v>-113648202699.04323</v>
      </c>
      <c r="M3160" s="460">
        <f t="shared" si="146"/>
        <v>0.05</v>
      </c>
      <c r="N3160" s="464">
        <f t="shared" si="147"/>
        <v>147225</v>
      </c>
    </row>
    <row r="3161" spans="7:14" ht="11.25" customHeight="1" x14ac:dyDescent="0.3">
      <c r="G3161" s="459"/>
      <c r="H3161" s="459">
        <v>3154</v>
      </c>
      <c r="I3161" s="444">
        <f t="shared" ca="1" si="145"/>
        <v>-113648202699.04323</v>
      </c>
      <c r="J3161" s="444">
        <f t="array" ref="J3161">IFERROR(INDEX('Retirement Calculator'!K:K,MATCH('Lorri 401b'!N3161,'Retirement Calculator'!A:A,0),0),0)</f>
        <v>0</v>
      </c>
      <c r="K3161" s="444">
        <f t="shared" ca="1" si="143"/>
        <v>-473534177.91268009</v>
      </c>
      <c r="L3161" s="444">
        <f t="shared" ca="1" si="144"/>
        <v>-114121736876.9559</v>
      </c>
      <c r="M3161" s="460">
        <f t="shared" si="146"/>
        <v>0.05</v>
      </c>
      <c r="N3161" s="464">
        <f t="shared" si="147"/>
        <v>147253</v>
      </c>
    </row>
    <row r="3162" spans="7:14" ht="11.25" customHeight="1" x14ac:dyDescent="0.3">
      <c r="G3162" s="459"/>
      <c r="H3162" s="459">
        <v>3155</v>
      </c>
      <c r="I3162" s="444">
        <f t="shared" ca="1" si="145"/>
        <v>-114121736876.9559</v>
      </c>
      <c r="J3162" s="444">
        <f t="array" ref="J3162">IFERROR(INDEX('Retirement Calculator'!K:K,MATCH('Lorri 401b'!N3162,'Retirement Calculator'!A:A,0),0),0)</f>
        <v>0</v>
      </c>
      <c r="K3162" s="444">
        <f t="shared" ca="1" si="143"/>
        <v>-475507236.98731625</v>
      </c>
      <c r="L3162" s="444">
        <f t="shared" ca="1" si="144"/>
        <v>-114597244113.94322</v>
      </c>
      <c r="M3162" s="460">
        <f t="shared" si="146"/>
        <v>0.05</v>
      </c>
      <c r="N3162" s="464">
        <f t="shared" si="147"/>
        <v>147284</v>
      </c>
    </row>
    <row r="3163" spans="7:14" ht="11.25" customHeight="1" x14ac:dyDescent="0.3">
      <c r="G3163" s="459"/>
      <c r="H3163" s="459">
        <v>3156</v>
      </c>
      <c r="I3163" s="444">
        <f t="shared" ca="1" si="145"/>
        <v>-114597244113.94322</v>
      </c>
      <c r="J3163" s="444">
        <f t="array" ref="J3163">IFERROR(INDEX('Retirement Calculator'!K:K,MATCH('Lorri 401b'!N3163,'Retirement Calculator'!A:A,0),0),0)</f>
        <v>0</v>
      </c>
      <c r="K3163" s="444">
        <f t="shared" ca="1" si="143"/>
        <v>-477488517.14143008</v>
      </c>
      <c r="L3163" s="444">
        <f t="shared" ca="1" si="144"/>
        <v>-115074732631.08466</v>
      </c>
      <c r="M3163" s="460">
        <f t="shared" si="146"/>
        <v>0.05</v>
      </c>
      <c r="N3163" s="464">
        <f t="shared" si="147"/>
        <v>147314</v>
      </c>
    </row>
    <row r="3164" spans="7:14" ht="11.25" customHeight="1" x14ac:dyDescent="0.3">
      <c r="G3164" s="459"/>
      <c r="H3164" s="459">
        <v>3157</v>
      </c>
      <c r="I3164" s="444">
        <f t="shared" ca="1" si="145"/>
        <v>-115074732631.08466</v>
      </c>
      <c r="J3164" s="444">
        <f t="array" ref="J3164">IFERROR(INDEX('Retirement Calculator'!K:K,MATCH('Lorri 401b'!N3164,'Retirement Calculator'!A:A,0),0),0)</f>
        <v>0</v>
      </c>
      <c r="K3164" s="444">
        <f t="shared" ca="1" si="143"/>
        <v>-479478052.6295194</v>
      </c>
      <c r="L3164" s="444">
        <f t="shared" ca="1" si="144"/>
        <v>-115554210683.71417</v>
      </c>
      <c r="M3164" s="460">
        <f t="shared" si="146"/>
        <v>0.05</v>
      </c>
      <c r="N3164" s="464">
        <f t="shared" si="147"/>
        <v>147345</v>
      </c>
    </row>
    <row r="3165" spans="7:14" ht="11.25" customHeight="1" x14ac:dyDescent="0.3">
      <c r="G3165" s="459"/>
      <c r="H3165" s="459">
        <v>3158</v>
      </c>
      <c r="I3165" s="444">
        <f t="shared" ca="1" si="145"/>
        <v>-115554210683.71417</v>
      </c>
      <c r="J3165" s="444">
        <f t="array" ref="J3165">IFERROR(INDEX('Retirement Calculator'!K:K,MATCH('Lorri 401b'!N3165,'Retirement Calculator'!A:A,0),0),0)</f>
        <v>0</v>
      </c>
      <c r="K3165" s="444">
        <f t="shared" ca="1" si="143"/>
        <v>-481475877.84880906</v>
      </c>
      <c r="L3165" s="444">
        <f t="shared" ca="1" si="144"/>
        <v>-116035686561.56299</v>
      </c>
      <c r="M3165" s="460">
        <f t="shared" si="146"/>
        <v>0.05</v>
      </c>
      <c r="N3165" s="464">
        <f t="shared" si="147"/>
        <v>147375</v>
      </c>
    </row>
    <row r="3166" spans="7:14" ht="11.25" customHeight="1" x14ac:dyDescent="0.3">
      <c r="G3166" s="459"/>
      <c r="H3166" s="459">
        <v>3159</v>
      </c>
      <c r="I3166" s="444">
        <f t="shared" ca="1" si="145"/>
        <v>-116035686561.56299</v>
      </c>
      <c r="J3166" s="444">
        <f t="array" ref="J3166">IFERROR(INDEX('Retirement Calculator'!K:K,MATCH('Lorri 401b'!N3166,'Retirement Calculator'!A:A,0),0),0)</f>
        <v>0</v>
      </c>
      <c r="K3166" s="444">
        <f t="shared" ca="1" si="143"/>
        <v>-483482027.33984572</v>
      </c>
      <c r="L3166" s="444">
        <f t="shared" ca="1" si="144"/>
        <v>-116519168588.90283</v>
      </c>
      <c r="M3166" s="460">
        <f t="shared" si="146"/>
        <v>0.05</v>
      </c>
      <c r="N3166" s="464">
        <f t="shared" si="147"/>
        <v>147406</v>
      </c>
    </row>
    <row r="3167" spans="7:14" ht="11.25" customHeight="1" x14ac:dyDescent="0.3">
      <c r="G3167" s="459"/>
      <c r="H3167" s="459">
        <v>3160</v>
      </c>
      <c r="I3167" s="444">
        <f t="shared" ca="1" si="145"/>
        <v>-116519168588.90283</v>
      </c>
      <c r="J3167" s="444">
        <f t="array" ref="J3167">IFERROR(INDEX('Retirement Calculator'!K:K,MATCH('Lorri 401b'!N3167,'Retirement Calculator'!A:A,0),0),0)</f>
        <v>0</v>
      </c>
      <c r="K3167" s="444">
        <f t="shared" ca="1" si="143"/>
        <v>-485496535.78709513</v>
      </c>
      <c r="L3167" s="444">
        <f t="shared" ca="1" si="144"/>
        <v>-117004665124.68993</v>
      </c>
      <c r="M3167" s="460">
        <f t="shared" si="146"/>
        <v>0.05</v>
      </c>
      <c r="N3167" s="464">
        <f t="shared" si="147"/>
        <v>147437</v>
      </c>
    </row>
    <row r="3168" spans="7:14" ht="11.25" customHeight="1" x14ac:dyDescent="0.3">
      <c r="G3168" s="459"/>
      <c r="H3168" s="459">
        <v>3161</v>
      </c>
      <c r="I3168" s="444">
        <f t="shared" ca="1" si="145"/>
        <v>-117004665124.68993</v>
      </c>
      <c r="J3168" s="444">
        <f t="array" ref="J3168">IFERROR(INDEX('Retirement Calculator'!K:K,MATCH('Lorri 401b'!N3168,'Retirement Calculator'!A:A,0),0),0)</f>
        <v>0</v>
      </c>
      <c r="K3168" s="444">
        <f t="shared" ca="1" si="143"/>
        <v>-487519438.01954132</v>
      </c>
      <c r="L3168" s="444">
        <f t="shared" ca="1" si="144"/>
        <v>-117492184562.70947</v>
      </c>
      <c r="M3168" s="460">
        <f t="shared" si="146"/>
        <v>0.05</v>
      </c>
      <c r="N3168" s="464">
        <f t="shared" si="147"/>
        <v>147467</v>
      </c>
    </row>
    <row r="3169" spans="7:14" ht="11.25" customHeight="1" x14ac:dyDescent="0.3">
      <c r="G3169" s="459"/>
      <c r="H3169" s="459">
        <v>3162</v>
      </c>
      <c r="I3169" s="444">
        <f t="shared" ca="1" si="145"/>
        <v>-117492184562.70947</v>
      </c>
      <c r="J3169" s="444">
        <f t="array" ref="J3169">IFERROR(INDEX('Retirement Calculator'!K:K,MATCH('Lorri 401b'!N3169,'Retirement Calculator'!A:A,0),0),0)</f>
        <v>0</v>
      </c>
      <c r="K3169" s="444">
        <f t="shared" ca="1" si="143"/>
        <v>-489550769.01128948</v>
      </c>
      <c r="L3169" s="444">
        <f t="shared" ca="1" si="144"/>
        <v>-117981735331.72076</v>
      </c>
      <c r="M3169" s="460">
        <f t="shared" si="146"/>
        <v>0.05</v>
      </c>
      <c r="N3169" s="464">
        <f t="shared" si="147"/>
        <v>147498</v>
      </c>
    </row>
    <row r="3170" spans="7:14" ht="11.25" customHeight="1" x14ac:dyDescent="0.3">
      <c r="G3170" s="459"/>
      <c r="H3170" s="459">
        <v>3163</v>
      </c>
      <c r="I3170" s="444">
        <f t="shared" ca="1" si="145"/>
        <v>-117981735331.72076</v>
      </c>
      <c r="J3170" s="444">
        <f t="array" ref="J3170">IFERROR(INDEX('Retirement Calculator'!K:K,MATCH('Lorri 401b'!N3170,'Retirement Calculator'!A:A,0),0),0)</f>
        <v>0</v>
      </c>
      <c r="K3170" s="444">
        <f t="shared" ca="1" si="143"/>
        <v>-491590563.88216978</v>
      </c>
      <c r="L3170" s="444">
        <f t="shared" ca="1" si="144"/>
        <v>-118473325895.60294</v>
      </c>
      <c r="M3170" s="460">
        <f t="shared" si="146"/>
        <v>0.05</v>
      </c>
      <c r="N3170" s="464">
        <f t="shared" si="147"/>
        <v>147528</v>
      </c>
    </row>
    <row r="3171" spans="7:14" ht="11.25" customHeight="1" x14ac:dyDescent="0.3">
      <c r="G3171" s="459"/>
      <c r="H3171" s="459">
        <v>3164</v>
      </c>
      <c r="I3171" s="444">
        <f t="shared" ca="1" si="145"/>
        <v>-118473325895.60294</v>
      </c>
      <c r="J3171" s="444">
        <f t="array" ref="J3171">IFERROR(INDEX('Retirement Calculator'!K:K,MATCH('Lorri 401b'!N3171,'Retirement Calculator'!A:A,0),0),0)</f>
        <v>0</v>
      </c>
      <c r="K3171" s="444">
        <f t="shared" ca="1" si="143"/>
        <v>-493638857.89834553</v>
      </c>
      <c r="L3171" s="444">
        <f t="shared" ca="1" si="144"/>
        <v>-118966964753.50128</v>
      </c>
      <c r="M3171" s="460">
        <f t="shared" si="146"/>
        <v>0.05</v>
      </c>
      <c r="N3171" s="464">
        <f t="shared" si="147"/>
        <v>147559</v>
      </c>
    </row>
    <row r="3172" spans="7:14" ht="11.25" customHeight="1" x14ac:dyDescent="0.3">
      <c r="G3172" s="459"/>
      <c r="H3172" s="459">
        <v>3165</v>
      </c>
      <c r="I3172" s="444">
        <f t="shared" ca="1" si="145"/>
        <v>-118966964753.50128</v>
      </c>
      <c r="J3172" s="444">
        <f t="array" ref="J3172">IFERROR(INDEX('Retirement Calculator'!K:K,MATCH('Lorri 401b'!N3172,'Retirement Calculator'!A:A,0),0),0)</f>
        <v>0</v>
      </c>
      <c r="K3172" s="444">
        <f t="shared" ca="1" si="143"/>
        <v>-495695686.47292191</v>
      </c>
      <c r="L3172" s="444">
        <f t="shared" ca="1" si="144"/>
        <v>-119462660439.9742</v>
      </c>
      <c r="M3172" s="460">
        <f t="shared" si="146"/>
        <v>0.05</v>
      </c>
      <c r="N3172" s="464">
        <f t="shared" si="147"/>
        <v>147590</v>
      </c>
    </row>
    <row r="3173" spans="7:14" ht="11.25" customHeight="1" x14ac:dyDescent="0.3">
      <c r="G3173" s="459"/>
      <c r="H3173" s="459">
        <v>3166</v>
      </c>
      <c r="I3173" s="444">
        <f t="shared" ca="1" si="145"/>
        <v>-119462660439.9742</v>
      </c>
      <c r="J3173" s="444">
        <f t="array" ref="J3173">IFERROR(INDEX('Retirement Calculator'!K:K,MATCH('Lorri 401b'!N3173,'Retirement Calculator'!A:A,0),0),0)</f>
        <v>0</v>
      </c>
      <c r="K3173" s="444">
        <f t="shared" ca="1" si="143"/>
        <v>-497761085.1665591</v>
      </c>
      <c r="L3173" s="444">
        <f t="shared" ca="1" si="144"/>
        <v>-119960421525.14076</v>
      </c>
      <c r="M3173" s="460">
        <f t="shared" si="146"/>
        <v>0.05</v>
      </c>
      <c r="N3173" s="464">
        <f t="shared" si="147"/>
        <v>147619</v>
      </c>
    </row>
    <row r="3174" spans="7:14" ht="11.25" customHeight="1" x14ac:dyDescent="0.3">
      <c r="G3174" s="459"/>
      <c r="H3174" s="459">
        <v>3167</v>
      </c>
      <c r="I3174" s="444">
        <f t="shared" ca="1" si="145"/>
        <v>-119960421525.14076</v>
      </c>
      <c r="J3174" s="444">
        <f t="array" ref="J3174">IFERROR(INDEX('Retirement Calculator'!K:K,MATCH('Lorri 401b'!N3174,'Retirement Calculator'!A:A,0),0),0)</f>
        <v>0</v>
      </c>
      <c r="K3174" s="444">
        <f t="shared" ca="1" si="143"/>
        <v>-499835089.68808651</v>
      </c>
      <c r="L3174" s="444">
        <f t="shared" ca="1" si="144"/>
        <v>-120460256614.82884</v>
      </c>
      <c r="M3174" s="460">
        <f t="shared" si="146"/>
        <v>0.05</v>
      </c>
      <c r="N3174" s="464">
        <f t="shared" si="147"/>
        <v>147650</v>
      </c>
    </row>
    <row r="3175" spans="7:14" ht="11.25" customHeight="1" x14ac:dyDescent="0.3">
      <c r="G3175" s="459"/>
      <c r="H3175" s="459">
        <v>3168</v>
      </c>
      <c r="I3175" s="444">
        <f t="shared" ca="1" si="145"/>
        <v>-120460256614.82884</v>
      </c>
      <c r="J3175" s="444">
        <f t="array" ref="J3175">IFERROR(INDEX('Retirement Calculator'!K:K,MATCH('Lorri 401b'!N3175,'Retirement Calculator'!A:A,0),0),0)</f>
        <v>0</v>
      </c>
      <c r="K3175" s="444">
        <f t="shared" ca="1" si="143"/>
        <v>-501917735.89512014</v>
      </c>
      <c r="L3175" s="444">
        <f t="shared" ca="1" si="144"/>
        <v>-120962174350.72397</v>
      </c>
      <c r="M3175" s="460">
        <f t="shared" si="146"/>
        <v>0.05</v>
      </c>
      <c r="N3175" s="464">
        <f t="shared" si="147"/>
        <v>147680</v>
      </c>
    </row>
    <row r="3176" spans="7:14" ht="11.25" customHeight="1" x14ac:dyDescent="0.3">
      <c r="G3176" s="459"/>
      <c r="H3176" s="459">
        <v>3169</v>
      </c>
      <c r="I3176" s="444">
        <f t="shared" ca="1" si="145"/>
        <v>-120962174350.72397</v>
      </c>
      <c r="J3176" s="444">
        <f t="array" ref="J3176">IFERROR(INDEX('Retirement Calculator'!K:K,MATCH('Lorri 401b'!N3176,'Retirement Calculator'!A:A,0),0),0)</f>
        <v>0</v>
      </c>
      <c r="K3176" s="444">
        <f t="shared" ca="1" si="143"/>
        <v>-504009059.79468322</v>
      </c>
      <c r="L3176" s="444">
        <f t="shared" ca="1" si="144"/>
        <v>-121466183410.51865</v>
      </c>
      <c r="M3176" s="460">
        <f t="shared" si="146"/>
        <v>0.05</v>
      </c>
      <c r="N3176" s="464">
        <f t="shared" si="147"/>
        <v>147711</v>
      </c>
    </row>
    <row r="3177" spans="7:14" ht="11.25" customHeight="1" x14ac:dyDescent="0.3">
      <c r="G3177" s="459"/>
      <c r="H3177" s="459">
        <v>3170</v>
      </c>
      <c r="I3177" s="444">
        <f t="shared" ca="1" si="145"/>
        <v>-121466183410.51865</v>
      </c>
      <c r="J3177" s="444">
        <f t="array" ref="J3177">IFERROR(INDEX('Retirement Calculator'!K:K,MATCH('Lorri 401b'!N3177,'Retirement Calculator'!A:A,0),0),0)</f>
        <v>0</v>
      </c>
      <c r="K3177" s="444">
        <f t="shared" ca="1" si="143"/>
        <v>-506109097.54382771</v>
      </c>
      <c r="L3177" s="444">
        <f t="shared" ca="1" si="144"/>
        <v>-121972292508.06247</v>
      </c>
      <c r="M3177" s="460">
        <f t="shared" si="146"/>
        <v>0.05</v>
      </c>
      <c r="N3177" s="464">
        <f t="shared" si="147"/>
        <v>147741</v>
      </c>
    </row>
    <row r="3178" spans="7:14" ht="11.25" customHeight="1" x14ac:dyDescent="0.3">
      <c r="G3178" s="459"/>
      <c r="H3178" s="459">
        <v>3171</v>
      </c>
      <c r="I3178" s="444">
        <f t="shared" ca="1" si="145"/>
        <v>-121972292508.06247</v>
      </c>
      <c r="J3178" s="444">
        <f t="array" ref="J3178">IFERROR(INDEX('Retirement Calculator'!K:K,MATCH('Lorri 401b'!N3178,'Retirement Calculator'!A:A,0),0),0)</f>
        <v>0</v>
      </c>
      <c r="K3178" s="444">
        <f t="shared" ca="1" si="143"/>
        <v>-508217885.45026028</v>
      </c>
      <c r="L3178" s="444">
        <f t="shared" ca="1" si="144"/>
        <v>-122480510393.51273</v>
      </c>
      <c r="M3178" s="460">
        <f t="shared" si="146"/>
        <v>0.05</v>
      </c>
      <c r="N3178" s="464">
        <f t="shared" si="147"/>
        <v>147772</v>
      </c>
    </row>
    <row r="3179" spans="7:14" ht="11.25" customHeight="1" x14ac:dyDescent="0.3">
      <c r="G3179" s="459"/>
      <c r="H3179" s="459">
        <v>3172</v>
      </c>
      <c r="I3179" s="444">
        <f t="shared" ca="1" si="145"/>
        <v>-122480510393.51273</v>
      </c>
      <c r="J3179" s="444">
        <f t="array" ref="J3179">IFERROR(INDEX('Retirement Calculator'!K:K,MATCH('Lorri 401b'!N3179,'Retirement Calculator'!A:A,0),0),0)</f>
        <v>0</v>
      </c>
      <c r="K3179" s="444">
        <f t="shared" ca="1" si="143"/>
        <v>-510335459.97296971</v>
      </c>
      <c r="L3179" s="444">
        <f t="shared" ca="1" si="144"/>
        <v>-122990845853.4857</v>
      </c>
      <c r="M3179" s="460">
        <f t="shared" si="146"/>
        <v>0.05</v>
      </c>
      <c r="N3179" s="464">
        <f t="shared" si="147"/>
        <v>147803</v>
      </c>
    </row>
    <row r="3180" spans="7:14" ht="11.25" customHeight="1" x14ac:dyDescent="0.3">
      <c r="G3180" s="459"/>
      <c r="H3180" s="459">
        <v>3173</v>
      </c>
      <c r="I3180" s="444">
        <f t="shared" ca="1" si="145"/>
        <v>-122990845853.4857</v>
      </c>
      <c r="J3180" s="444">
        <f t="array" ref="J3180">IFERROR(INDEX('Retirement Calculator'!K:K,MATCH('Lorri 401b'!N3180,'Retirement Calculator'!A:A,0),0),0)</f>
        <v>0</v>
      </c>
      <c r="K3180" s="444">
        <f t="shared" ca="1" si="143"/>
        <v>-512461857.72285706</v>
      </c>
      <c r="L3180" s="444">
        <f t="shared" ca="1" si="144"/>
        <v>-123503307711.20856</v>
      </c>
      <c r="M3180" s="460">
        <f t="shared" si="146"/>
        <v>0.05</v>
      </c>
      <c r="N3180" s="464">
        <f t="shared" si="147"/>
        <v>147833</v>
      </c>
    </row>
    <row r="3181" spans="7:14" ht="11.25" customHeight="1" x14ac:dyDescent="0.3">
      <c r="G3181" s="459"/>
      <c r="H3181" s="459">
        <v>3174</v>
      </c>
      <c r="I3181" s="444">
        <f t="shared" ca="1" si="145"/>
        <v>-123503307711.20856</v>
      </c>
      <c r="J3181" s="444">
        <f t="array" ref="J3181">IFERROR(INDEX('Retirement Calculator'!K:K,MATCH('Lorri 401b'!N3181,'Retirement Calculator'!A:A,0),0),0)</f>
        <v>0</v>
      </c>
      <c r="K3181" s="444">
        <f t="shared" ca="1" si="143"/>
        <v>-514597115.46336895</v>
      </c>
      <c r="L3181" s="444">
        <f t="shared" ca="1" si="144"/>
        <v>-124017904826.67192</v>
      </c>
      <c r="M3181" s="460">
        <f t="shared" si="146"/>
        <v>0.05</v>
      </c>
      <c r="N3181" s="464">
        <f t="shared" si="147"/>
        <v>147864</v>
      </c>
    </row>
    <row r="3182" spans="7:14" ht="11.25" customHeight="1" x14ac:dyDescent="0.3">
      <c r="G3182" s="459"/>
      <c r="H3182" s="459">
        <v>3175</v>
      </c>
      <c r="I3182" s="444">
        <f t="shared" ca="1" si="145"/>
        <v>-124017904826.67192</v>
      </c>
      <c r="J3182" s="444">
        <f t="array" ref="J3182">IFERROR(INDEX('Retirement Calculator'!K:K,MATCH('Lorri 401b'!N3182,'Retirement Calculator'!A:A,0),0),0)</f>
        <v>0</v>
      </c>
      <c r="K3182" s="444">
        <f t="shared" ca="1" si="143"/>
        <v>-516741270.11113298</v>
      </c>
      <c r="L3182" s="444">
        <f t="shared" ca="1" si="144"/>
        <v>-124534646096.78305</v>
      </c>
      <c r="M3182" s="460">
        <f t="shared" si="146"/>
        <v>0.05</v>
      </c>
      <c r="N3182" s="464">
        <f t="shared" si="147"/>
        <v>147894</v>
      </c>
    </row>
    <row r="3183" spans="7:14" ht="11.25" customHeight="1" x14ac:dyDescent="0.3">
      <c r="G3183" s="459"/>
      <c r="H3183" s="459">
        <v>3176</v>
      </c>
      <c r="I3183" s="444">
        <f t="shared" ca="1" si="145"/>
        <v>-124534646096.78305</v>
      </c>
      <c r="J3183" s="444">
        <f t="array" ref="J3183">IFERROR(INDEX('Retirement Calculator'!K:K,MATCH('Lorri 401b'!N3183,'Retirement Calculator'!A:A,0),0),0)</f>
        <v>0</v>
      </c>
      <c r="K3183" s="444">
        <f t="shared" ca="1" si="143"/>
        <v>-518894358.73659605</v>
      </c>
      <c r="L3183" s="444">
        <f t="shared" ca="1" si="144"/>
        <v>-125053540455.51965</v>
      </c>
      <c r="M3183" s="460">
        <f t="shared" si="146"/>
        <v>0.05</v>
      </c>
      <c r="N3183" s="464">
        <f t="shared" si="147"/>
        <v>147925</v>
      </c>
    </row>
    <row r="3184" spans="7:14" ht="11.25" customHeight="1" x14ac:dyDescent="0.3">
      <c r="G3184" s="459"/>
      <c r="H3184" s="459">
        <v>3177</v>
      </c>
      <c r="I3184" s="444">
        <f t="shared" ca="1" si="145"/>
        <v>-125053540455.51965</v>
      </c>
      <c r="J3184" s="444">
        <f t="array" ref="J3184">IFERROR(INDEX('Retirement Calculator'!K:K,MATCH('Lorri 401b'!N3184,'Retirement Calculator'!A:A,0),0),0)</f>
        <v>0</v>
      </c>
      <c r="K3184" s="444">
        <f t="shared" ca="1" si="143"/>
        <v>-521056418.5646652</v>
      </c>
      <c r="L3184" s="444">
        <f t="shared" ca="1" si="144"/>
        <v>-125574596874.08432</v>
      </c>
      <c r="M3184" s="460">
        <f t="shared" si="146"/>
        <v>0.05</v>
      </c>
      <c r="N3184" s="464">
        <f t="shared" si="147"/>
        <v>147956</v>
      </c>
    </row>
    <row r="3185" spans="7:14" ht="11.25" customHeight="1" x14ac:dyDescent="0.3">
      <c r="G3185" s="459"/>
      <c r="H3185" s="459">
        <v>3178</v>
      </c>
      <c r="I3185" s="444">
        <f t="shared" ca="1" si="145"/>
        <v>-125574596874.08432</v>
      </c>
      <c r="J3185" s="444">
        <f t="array" ref="J3185">IFERROR(INDEX('Retirement Calculator'!K:K,MATCH('Lorri 401b'!N3185,'Retirement Calculator'!A:A,0),0),0)</f>
        <v>0</v>
      </c>
      <c r="K3185" s="444">
        <f t="shared" ca="1" si="143"/>
        <v>-523227486.97535133</v>
      </c>
      <c r="L3185" s="444">
        <f t="shared" ca="1" si="144"/>
        <v>-126097824361.05968</v>
      </c>
      <c r="M3185" s="460">
        <f t="shared" si="146"/>
        <v>0.05</v>
      </c>
      <c r="N3185" s="464">
        <f t="shared" si="147"/>
        <v>147984</v>
      </c>
    </row>
    <row r="3186" spans="7:14" ht="11.25" customHeight="1" x14ac:dyDescent="0.3">
      <c r="G3186" s="459"/>
      <c r="H3186" s="459">
        <v>3179</v>
      </c>
      <c r="I3186" s="444">
        <f t="shared" ca="1" si="145"/>
        <v>-126097824361.05968</v>
      </c>
      <c r="J3186" s="444">
        <f t="array" ref="J3186">IFERROR(INDEX('Retirement Calculator'!K:K,MATCH('Lorri 401b'!N3186,'Retirement Calculator'!A:A,0),0),0)</f>
        <v>0</v>
      </c>
      <c r="K3186" s="444">
        <f t="shared" ca="1" si="143"/>
        <v>-525407601.50441533</v>
      </c>
      <c r="L3186" s="444">
        <f t="shared" ca="1" si="144"/>
        <v>-126623231962.56409</v>
      </c>
      <c r="M3186" s="460">
        <f t="shared" si="146"/>
        <v>0.05</v>
      </c>
      <c r="N3186" s="464">
        <f t="shared" si="147"/>
        <v>148015</v>
      </c>
    </row>
    <row r="3187" spans="7:14" ht="11.25" customHeight="1" x14ac:dyDescent="0.3">
      <c r="G3187" s="459"/>
      <c r="H3187" s="459">
        <v>3180</v>
      </c>
      <c r="I3187" s="444">
        <f t="shared" ca="1" si="145"/>
        <v>-126623231962.56409</v>
      </c>
      <c r="J3187" s="444">
        <f t="array" ref="J3187">IFERROR(INDEX('Retirement Calculator'!K:K,MATCH('Lorri 401b'!N3187,'Retirement Calculator'!A:A,0),0),0)</f>
        <v>0</v>
      </c>
      <c r="K3187" s="444">
        <f t="shared" ca="1" si="143"/>
        <v>-527596799.84401703</v>
      </c>
      <c r="L3187" s="444">
        <f t="shared" ca="1" si="144"/>
        <v>-127150828762.40811</v>
      </c>
      <c r="M3187" s="460">
        <f t="shared" si="146"/>
        <v>0.05</v>
      </c>
      <c r="N3187" s="464">
        <f t="shared" si="147"/>
        <v>148045</v>
      </c>
    </row>
    <row r="3188" spans="7:14" ht="11.25" customHeight="1" x14ac:dyDescent="0.3">
      <c r="G3188" s="459"/>
      <c r="H3188" s="459">
        <v>3181</v>
      </c>
      <c r="I3188" s="444">
        <f t="shared" ca="1" si="145"/>
        <v>-127150828762.40811</v>
      </c>
      <c r="J3188" s="444">
        <f t="array" ref="J3188">IFERROR(INDEX('Retirement Calculator'!K:K,MATCH('Lorri 401b'!N3188,'Retirement Calculator'!A:A,0),0),0)</f>
        <v>0</v>
      </c>
      <c r="K3188" s="444">
        <f t="shared" ca="1" si="143"/>
        <v>-529795119.8433671</v>
      </c>
      <c r="L3188" s="444">
        <f t="shared" ca="1" si="144"/>
        <v>-127680623882.25148</v>
      </c>
      <c r="M3188" s="460">
        <f t="shared" si="146"/>
        <v>0.05</v>
      </c>
      <c r="N3188" s="464">
        <f t="shared" si="147"/>
        <v>148076</v>
      </c>
    </row>
    <row r="3189" spans="7:14" ht="11.25" customHeight="1" x14ac:dyDescent="0.3">
      <c r="G3189" s="459"/>
      <c r="H3189" s="459">
        <v>3182</v>
      </c>
      <c r="I3189" s="444">
        <f t="shared" ca="1" si="145"/>
        <v>-127680623882.25148</v>
      </c>
      <c r="J3189" s="444">
        <f t="array" ref="J3189">IFERROR(INDEX('Retirement Calculator'!K:K,MATCH('Lorri 401b'!N3189,'Retirement Calculator'!A:A,0),0),0)</f>
        <v>0</v>
      </c>
      <c r="K3189" s="444">
        <f t="shared" ca="1" si="143"/>
        <v>-532002599.50938123</v>
      </c>
      <c r="L3189" s="444">
        <f t="shared" ca="1" si="144"/>
        <v>-128212626481.76086</v>
      </c>
      <c r="M3189" s="460">
        <f t="shared" si="146"/>
        <v>0.05</v>
      </c>
      <c r="N3189" s="464">
        <f t="shared" si="147"/>
        <v>148106</v>
      </c>
    </row>
    <row r="3190" spans="7:14" ht="11.25" customHeight="1" x14ac:dyDescent="0.3">
      <c r="G3190" s="459"/>
      <c r="H3190" s="459">
        <v>3183</v>
      </c>
      <c r="I3190" s="444">
        <f t="shared" ca="1" si="145"/>
        <v>-128212626481.76086</v>
      </c>
      <c r="J3190" s="444">
        <f t="array" ref="J3190">IFERROR(INDEX('Retirement Calculator'!K:K,MATCH('Lorri 401b'!N3190,'Retirement Calculator'!A:A,0),0),0)</f>
        <v>0</v>
      </c>
      <c r="K3190" s="444">
        <f t="shared" ca="1" si="143"/>
        <v>-534219277.00733691</v>
      </c>
      <c r="L3190" s="444">
        <f t="shared" ca="1" si="144"/>
        <v>-128746845758.7682</v>
      </c>
      <c r="M3190" s="460">
        <f t="shared" si="146"/>
        <v>0.05</v>
      </c>
      <c r="N3190" s="464">
        <f t="shared" si="147"/>
        <v>148137</v>
      </c>
    </row>
    <row r="3191" spans="7:14" ht="11.25" customHeight="1" x14ac:dyDescent="0.3">
      <c r="G3191" s="459"/>
      <c r="H3191" s="459">
        <v>3184</v>
      </c>
      <c r="I3191" s="444">
        <f t="shared" ca="1" si="145"/>
        <v>-128746845758.7682</v>
      </c>
      <c r="J3191" s="444">
        <f t="array" ref="J3191">IFERROR(INDEX('Retirement Calculator'!K:K,MATCH('Lorri 401b'!N3191,'Retirement Calculator'!A:A,0),0),0)</f>
        <v>0</v>
      </c>
      <c r="K3191" s="444">
        <f t="shared" ca="1" si="143"/>
        <v>-536445190.66153419</v>
      </c>
      <c r="L3191" s="444">
        <f t="shared" ca="1" si="144"/>
        <v>-129283290949.42973</v>
      </c>
      <c r="M3191" s="460">
        <f t="shared" si="146"/>
        <v>0.05</v>
      </c>
      <c r="N3191" s="464">
        <f t="shared" si="147"/>
        <v>148168</v>
      </c>
    </row>
    <row r="3192" spans="7:14" ht="11.25" customHeight="1" x14ac:dyDescent="0.3">
      <c r="G3192" s="459"/>
      <c r="H3192" s="459">
        <v>3185</v>
      </c>
      <c r="I3192" s="444">
        <f t="shared" ca="1" si="145"/>
        <v>-129283290949.42973</v>
      </c>
      <c r="J3192" s="444">
        <f t="array" ref="J3192">IFERROR(INDEX('Retirement Calculator'!K:K,MATCH('Lorri 401b'!N3192,'Retirement Calculator'!A:A,0),0),0)</f>
        <v>0</v>
      </c>
      <c r="K3192" s="444">
        <f t="shared" ca="1" si="143"/>
        <v>-538680378.95595717</v>
      </c>
      <c r="L3192" s="444">
        <f t="shared" ca="1" si="144"/>
        <v>-129821971328.3857</v>
      </c>
      <c r="M3192" s="460">
        <f t="shared" si="146"/>
        <v>0.05</v>
      </c>
      <c r="N3192" s="464">
        <f t="shared" si="147"/>
        <v>148198</v>
      </c>
    </row>
    <row r="3193" spans="7:14" ht="11.25" customHeight="1" x14ac:dyDescent="0.3">
      <c r="G3193" s="459"/>
      <c r="H3193" s="459">
        <v>3186</v>
      </c>
      <c r="I3193" s="444">
        <f t="shared" ca="1" si="145"/>
        <v>-129821971328.3857</v>
      </c>
      <c r="J3193" s="444">
        <f t="array" ref="J3193">IFERROR(INDEX('Retirement Calculator'!K:K,MATCH('Lorri 401b'!N3193,'Retirement Calculator'!A:A,0),0),0)</f>
        <v>0</v>
      </c>
      <c r="K3193" s="444">
        <f t="shared" ca="1" si="143"/>
        <v>-540924880.53494048</v>
      </c>
      <c r="L3193" s="444">
        <f t="shared" ca="1" si="144"/>
        <v>-130362896208.92064</v>
      </c>
      <c r="M3193" s="460">
        <f t="shared" si="146"/>
        <v>0.05</v>
      </c>
      <c r="N3193" s="464">
        <f t="shared" si="147"/>
        <v>148229</v>
      </c>
    </row>
    <row r="3194" spans="7:14" ht="11.25" customHeight="1" x14ac:dyDescent="0.3">
      <c r="G3194" s="459"/>
      <c r="H3194" s="459">
        <v>3187</v>
      </c>
      <c r="I3194" s="444">
        <f t="shared" ca="1" si="145"/>
        <v>-130362896208.92064</v>
      </c>
      <c r="J3194" s="444">
        <f t="array" ref="J3194">IFERROR(INDEX('Retirement Calculator'!K:K,MATCH('Lorri 401b'!N3194,'Retirement Calculator'!A:A,0),0),0)</f>
        <v>0</v>
      </c>
      <c r="K3194" s="444">
        <f t="shared" ca="1" si="143"/>
        <v>-543178734.20383608</v>
      </c>
      <c r="L3194" s="444">
        <f t="shared" ca="1" si="144"/>
        <v>-130906074943.12448</v>
      </c>
      <c r="M3194" s="460">
        <f t="shared" si="146"/>
        <v>0.05</v>
      </c>
      <c r="N3194" s="464">
        <f t="shared" si="147"/>
        <v>148259</v>
      </c>
    </row>
    <row r="3195" spans="7:14" ht="11.25" customHeight="1" x14ac:dyDescent="0.3">
      <c r="G3195" s="459"/>
      <c r="H3195" s="459">
        <v>3188</v>
      </c>
      <c r="I3195" s="444">
        <f t="shared" ca="1" si="145"/>
        <v>-130906074943.12448</v>
      </c>
      <c r="J3195" s="444">
        <f t="array" ref="J3195">IFERROR(INDEX('Retirement Calculator'!K:K,MATCH('Lorri 401b'!N3195,'Retirement Calculator'!A:A,0),0),0)</f>
        <v>0</v>
      </c>
      <c r="K3195" s="444">
        <f t="shared" ca="1" si="143"/>
        <v>-545441978.92968524</v>
      </c>
      <c r="L3195" s="444">
        <f t="shared" ca="1" si="144"/>
        <v>-131451516922.05417</v>
      </c>
      <c r="M3195" s="460">
        <f t="shared" si="146"/>
        <v>0.05</v>
      </c>
      <c r="N3195" s="464">
        <f t="shared" si="147"/>
        <v>148290</v>
      </c>
    </row>
    <row r="3196" spans="7:14" ht="11.25" customHeight="1" x14ac:dyDescent="0.3">
      <c r="G3196" s="459"/>
      <c r="H3196" s="459">
        <v>3189</v>
      </c>
      <c r="I3196" s="444">
        <f t="shared" ca="1" si="145"/>
        <v>-131451516922.05417</v>
      </c>
      <c r="J3196" s="444">
        <f t="array" ref="J3196">IFERROR(INDEX('Retirement Calculator'!K:K,MATCH('Lorri 401b'!N3196,'Retirement Calculator'!A:A,0),0),0)</f>
        <v>0</v>
      </c>
      <c r="K3196" s="444">
        <f t="shared" ca="1" si="143"/>
        <v>-547714653.84189236</v>
      </c>
      <c r="L3196" s="444">
        <f t="shared" ca="1" si="144"/>
        <v>-131999231575.89606</v>
      </c>
      <c r="M3196" s="460">
        <f t="shared" si="146"/>
        <v>0.05</v>
      </c>
      <c r="N3196" s="464">
        <f t="shared" si="147"/>
        <v>148321</v>
      </c>
    </row>
    <row r="3197" spans="7:14" ht="11.25" customHeight="1" x14ac:dyDescent="0.3">
      <c r="G3197" s="459"/>
      <c r="H3197" s="459">
        <v>3190</v>
      </c>
      <c r="I3197" s="444">
        <f t="shared" ca="1" si="145"/>
        <v>-131999231575.89606</v>
      </c>
      <c r="J3197" s="444">
        <f t="array" ref="J3197">IFERROR(INDEX('Retirement Calculator'!K:K,MATCH('Lorri 401b'!N3197,'Retirement Calculator'!A:A,0),0),0)</f>
        <v>0</v>
      </c>
      <c r="K3197" s="444">
        <f t="shared" ca="1" si="143"/>
        <v>-549996798.23290026</v>
      </c>
      <c r="L3197" s="444">
        <f t="shared" ca="1" si="144"/>
        <v>-132549228374.12895</v>
      </c>
      <c r="M3197" s="460">
        <f t="shared" si="146"/>
        <v>0.05</v>
      </c>
      <c r="N3197" s="464">
        <f t="shared" si="147"/>
        <v>148349</v>
      </c>
    </row>
    <row r="3198" spans="7:14" ht="11.25" customHeight="1" x14ac:dyDescent="0.3">
      <c r="G3198" s="459"/>
      <c r="H3198" s="459">
        <v>3191</v>
      </c>
      <c r="I3198" s="444">
        <f t="shared" ca="1" si="145"/>
        <v>-132549228374.12895</v>
      </c>
      <c r="J3198" s="444">
        <f t="array" ref="J3198">IFERROR(INDEX('Retirement Calculator'!K:K,MATCH('Lorri 401b'!N3198,'Retirement Calculator'!A:A,0),0),0)</f>
        <v>0</v>
      </c>
      <c r="K3198" s="444">
        <f t="shared" ca="1" si="143"/>
        <v>-552288451.55887067</v>
      </c>
      <c r="L3198" s="444">
        <f t="shared" ca="1" si="144"/>
        <v>-133101516825.68782</v>
      </c>
      <c r="M3198" s="460">
        <f t="shared" si="146"/>
        <v>0.05</v>
      </c>
      <c r="N3198" s="464">
        <f t="shared" si="147"/>
        <v>148380</v>
      </c>
    </row>
    <row r="3199" spans="7:14" ht="11.25" customHeight="1" x14ac:dyDescent="0.3">
      <c r="G3199" s="459"/>
      <c r="H3199" s="459">
        <v>3192</v>
      </c>
      <c r="I3199" s="444">
        <f t="shared" ca="1" si="145"/>
        <v>-133101516825.68782</v>
      </c>
      <c r="J3199" s="444">
        <f t="array" ref="J3199">IFERROR(INDEX('Retirement Calculator'!K:K,MATCH('Lorri 401b'!N3199,'Retirement Calculator'!A:A,0),0),0)</f>
        <v>0</v>
      </c>
      <c r="K3199" s="444">
        <f t="shared" ca="1" si="143"/>
        <v>-554589653.44036603</v>
      </c>
      <c r="L3199" s="444">
        <f t="shared" ca="1" si="144"/>
        <v>-133656106479.12819</v>
      </c>
      <c r="M3199" s="460">
        <f t="shared" si="146"/>
        <v>0.05</v>
      </c>
      <c r="N3199" s="464">
        <f t="shared" si="147"/>
        <v>148410</v>
      </c>
    </row>
    <row r="3200" spans="7:14" ht="11.25" customHeight="1" x14ac:dyDescent="0.3">
      <c r="G3200" s="459"/>
      <c r="H3200" s="459">
        <v>3193</v>
      </c>
      <c r="I3200" s="444">
        <f t="shared" ca="1" si="145"/>
        <v>-133656106479.12819</v>
      </c>
      <c r="J3200" s="444">
        <f t="array" ref="J3200">IFERROR(INDEX('Retirement Calculator'!K:K,MATCH('Lorri 401b'!N3200,'Retirement Calculator'!A:A,0),0),0)</f>
        <v>0</v>
      </c>
      <c r="K3200" s="444">
        <f t="shared" ca="1" si="143"/>
        <v>-556900443.66303408</v>
      </c>
      <c r="L3200" s="444">
        <f t="shared" ca="1" si="144"/>
        <v>-134213006922.79123</v>
      </c>
      <c r="M3200" s="460">
        <f t="shared" si="146"/>
        <v>0.05</v>
      </c>
      <c r="N3200" s="464">
        <f t="shared" si="147"/>
        <v>148441</v>
      </c>
    </row>
    <row r="3201" spans="7:14" ht="11.25" customHeight="1" x14ac:dyDescent="0.3">
      <c r="G3201" s="459"/>
      <c r="H3201" s="459">
        <v>3194</v>
      </c>
      <c r="I3201" s="444">
        <f t="shared" ca="1" si="145"/>
        <v>-134213006922.79123</v>
      </c>
      <c r="J3201" s="444">
        <f t="array" ref="J3201">IFERROR(INDEX('Retirement Calculator'!K:K,MATCH('Lorri 401b'!N3201,'Retirement Calculator'!A:A,0),0),0)</f>
        <v>0</v>
      </c>
      <c r="K3201" s="444">
        <f t="shared" ca="1" si="143"/>
        <v>-559220862.1782968</v>
      </c>
      <c r="L3201" s="444">
        <f t="shared" ca="1" si="144"/>
        <v>-134772227784.96953</v>
      </c>
      <c r="M3201" s="460">
        <f t="shared" si="146"/>
        <v>0.05</v>
      </c>
      <c r="N3201" s="464">
        <f t="shared" si="147"/>
        <v>148471</v>
      </c>
    </row>
    <row r="3202" spans="7:14" ht="11.25" customHeight="1" x14ac:dyDescent="0.3">
      <c r="G3202" s="459"/>
      <c r="H3202" s="459">
        <v>3195</v>
      </c>
      <c r="I3202" s="444">
        <f t="shared" ca="1" si="145"/>
        <v>-134772227784.96953</v>
      </c>
      <c r="J3202" s="444">
        <f t="array" ref="J3202">IFERROR(INDEX('Retirement Calculator'!K:K,MATCH('Lorri 401b'!N3202,'Retirement Calculator'!A:A,0),0),0)</f>
        <v>0</v>
      </c>
      <c r="K3202" s="444">
        <f t="shared" ca="1" si="143"/>
        <v>-561550949.10403967</v>
      </c>
      <c r="L3202" s="444">
        <f t="shared" ca="1" si="144"/>
        <v>-135333778734.07356</v>
      </c>
      <c r="M3202" s="460">
        <f t="shared" si="146"/>
        <v>0.05</v>
      </c>
      <c r="N3202" s="464">
        <f t="shared" si="147"/>
        <v>148502</v>
      </c>
    </row>
    <row r="3203" spans="7:14" ht="11.25" customHeight="1" x14ac:dyDescent="0.3">
      <c r="G3203" s="459"/>
      <c r="H3203" s="459">
        <v>3196</v>
      </c>
      <c r="I3203" s="444">
        <f t="shared" ca="1" si="145"/>
        <v>-135333778734.07356</v>
      </c>
      <c r="J3203" s="444">
        <f t="array" ref="J3203">IFERROR(INDEX('Retirement Calculator'!K:K,MATCH('Lorri 401b'!N3203,'Retirement Calculator'!A:A,0),0),0)</f>
        <v>0</v>
      </c>
      <c r="K3203" s="444">
        <f t="shared" ca="1" si="143"/>
        <v>-563890744.72530651</v>
      </c>
      <c r="L3203" s="444">
        <f t="shared" ca="1" si="144"/>
        <v>-135897669478.79887</v>
      </c>
      <c r="M3203" s="460">
        <f t="shared" si="146"/>
        <v>0.05</v>
      </c>
      <c r="N3203" s="464">
        <f t="shared" si="147"/>
        <v>148533</v>
      </c>
    </row>
    <row r="3204" spans="7:14" ht="11.25" customHeight="1" x14ac:dyDescent="0.3">
      <c r="G3204" s="459"/>
      <c r="H3204" s="459">
        <v>3197</v>
      </c>
      <c r="I3204" s="444">
        <f t="shared" ca="1" si="145"/>
        <v>-135897669478.79887</v>
      </c>
      <c r="J3204" s="444">
        <f t="array" ref="J3204">IFERROR(INDEX('Retirement Calculator'!K:K,MATCH('Lorri 401b'!N3204,'Retirement Calculator'!A:A,0),0),0)</f>
        <v>0</v>
      </c>
      <c r="K3204" s="444">
        <f t="shared" ca="1" si="143"/>
        <v>-566240289.49499536</v>
      </c>
      <c r="L3204" s="444">
        <f t="shared" ca="1" si="144"/>
        <v>-136463909768.29387</v>
      </c>
      <c r="M3204" s="460">
        <f t="shared" si="146"/>
        <v>0.05</v>
      </c>
      <c r="N3204" s="464">
        <f t="shared" si="147"/>
        <v>148563</v>
      </c>
    </row>
    <row r="3205" spans="7:14" ht="11.25" customHeight="1" x14ac:dyDescent="0.3">
      <c r="G3205" s="459"/>
      <c r="H3205" s="459">
        <v>3198</v>
      </c>
      <c r="I3205" s="444">
        <f t="shared" ca="1" si="145"/>
        <v>-136463909768.29387</v>
      </c>
      <c r="J3205" s="444">
        <f t="array" ref="J3205">IFERROR(INDEX('Retirement Calculator'!K:K,MATCH('Lorri 401b'!N3205,'Retirement Calculator'!A:A,0),0),0)</f>
        <v>0</v>
      </c>
      <c r="K3205" s="444">
        <f t="shared" ca="1" si="143"/>
        <v>-568599624.03455782</v>
      </c>
      <c r="L3205" s="444">
        <f t="shared" ca="1" si="144"/>
        <v>-137032509392.32843</v>
      </c>
      <c r="M3205" s="460">
        <f t="shared" si="146"/>
        <v>0.05</v>
      </c>
      <c r="N3205" s="464">
        <f t="shared" si="147"/>
        <v>148594</v>
      </c>
    </row>
    <row r="3206" spans="7:14" ht="11.25" customHeight="1" x14ac:dyDescent="0.3">
      <c r="G3206" s="459"/>
      <c r="H3206" s="459">
        <v>3199</v>
      </c>
      <c r="I3206" s="444">
        <f t="shared" ca="1" si="145"/>
        <v>-137032509392.32843</v>
      </c>
      <c r="J3206" s="444">
        <f t="array" ref="J3206">IFERROR(INDEX('Retirement Calculator'!K:K,MATCH('Lorri 401b'!N3206,'Retirement Calculator'!A:A,0),0),0)</f>
        <v>0</v>
      </c>
      <c r="K3206" s="444">
        <f t="shared" ca="1" si="143"/>
        <v>-570968789.13470185</v>
      </c>
      <c r="L3206" s="444">
        <f t="shared" ca="1" si="144"/>
        <v>-137603478181.46313</v>
      </c>
      <c r="M3206" s="460">
        <f t="shared" si="146"/>
        <v>0.05</v>
      </c>
      <c r="N3206" s="464">
        <f t="shared" si="147"/>
        <v>148624</v>
      </c>
    </row>
    <row r="3207" spans="7:14" ht="11.25" customHeight="1" x14ac:dyDescent="0.3">
      <c r="G3207" s="459"/>
      <c r="H3207" s="459">
        <v>3200</v>
      </c>
      <c r="I3207" s="444">
        <f t="shared" ca="1" si="145"/>
        <v>-137603478181.46313</v>
      </c>
      <c r="J3207" s="444">
        <f t="array" ref="J3207">IFERROR(INDEX('Retirement Calculator'!K:K,MATCH('Lorri 401b'!N3207,'Retirement Calculator'!A:A,0),0),0)</f>
        <v>0</v>
      </c>
      <c r="K3207" s="444">
        <f t="shared" ca="1" si="143"/>
        <v>-573347825.75609636</v>
      </c>
      <c r="L3207" s="444">
        <f t="shared" ca="1" si="144"/>
        <v>-138176826007.21924</v>
      </c>
      <c r="M3207" s="460">
        <f t="shared" si="146"/>
        <v>0.05</v>
      </c>
      <c r="N3207" s="464">
        <f t="shared" si="147"/>
        <v>148655</v>
      </c>
    </row>
    <row r="3208" spans="7:14" ht="11.25" customHeight="1" x14ac:dyDescent="0.3">
      <c r="G3208" s="459"/>
      <c r="H3208" s="459">
        <v>3201</v>
      </c>
      <c r="I3208" s="444">
        <f t="shared" ca="1" si="145"/>
        <v>-138176826007.21924</v>
      </c>
      <c r="J3208" s="444">
        <f t="array" ref="J3208">IFERROR(INDEX('Retirement Calculator'!K:K,MATCH('Lorri 401b'!N3208,'Retirement Calculator'!A:A,0),0),0)</f>
        <v>0</v>
      </c>
      <c r="K3208" s="444">
        <f t="shared" ca="1" si="143"/>
        <v>-575736775.0300802</v>
      </c>
      <c r="L3208" s="444">
        <f t="shared" ca="1" si="144"/>
        <v>-138752562782.24933</v>
      </c>
      <c r="M3208" s="460">
        <f t="shared" si="146"/>
        <v>0.05</v>
      </c>
      <c r="N3208" s="464">
        <f t="shared" si="147"/>
        <v>148686</v>
      </c>
    </row>
    <row r="3209" spans="7:14" ht="11.25" customHeight="1" x14ac:dyDescent="0.3">
      <c r="G3209" s="459"/>
      <c r="H3209" s="459">
        <v>3202</v>
      </c>
      <c r="I3209" s="444">
        <f t="shared" ca="1" si="145"/>
        <v>-138752562782.24933</v>
      </c>
      <c r="J3209" s="444">
        <f t="array" ref="J3209">IFERROR(INDEX('Retirement Calculator'!K:K,MATCH('Lorri 401b'!N3209,'Retirement Calculator'!A:A,0),0),0)</f>
        <v>0</v>
      </c>
      <c r="K3209" s="444">
        <f t="shared" ca="1" si="143"/>
        <v>-578135678.25937223</v>
      </c>
      <c r="L3209" s="444">
        <f t="shared" ca="1" si="144"/>
        <v>-139330698460.5087</v>
      </c>
      <c r="M3209" s="460">
        <f t="shared" si="146"/>
        <v>0.05</v>
      </c>
      <c r="N3209" s="464">
        <f t="shared" si="147"/>
        <v>148714</v>
      </c>
    </row>
    <row r="3210" spans="7:14" ht="11.25" customHeight="1" x14ac:dyDescent="0.3">
      <c r="G3210" s="459"/>
      <c r="H3210" s="459">
        <v>3203</v>
      </c>
      <c r="I3210" s="444">
        <f t="shared" ca="1" si="145"/>
        <v>-139330698460.5087</v>
      </c>
      <c r="J3210" s="444">
        <f t="array" ref="J3210">IFERROR(INDEX('Retirement Calculator'!K:K,MATCH('Lorri 401b'!N3210,'Retirement Calculator'!A:A,0),0),0)</f>
        <v>0</v>
      </c>
      <c r="K3210" s="444">
        <f t="shared" ca="1" si="143"/>
        <v>-580544576.91878629</v>
      </c>
      <c r="L3210" s="444">
        <f t="shared" ca="1" si="144"/>
        <v>-139911243037.42749</v>
      </c>
      <c r="M3210" s="460">
        <f t="shared" si="146"/>
        <v>0.05</v>
      </c>
      <c r="N3210" s="464">
        <f t="shared" si="147"/>
        <v>148745</v>
      </c>
    </row>
    <row r="3211" spans="7:14" ht="11.25" customHeight="1" x14ac:dyDescent="0.3">
      <c r="G3211" s="459"/>
      <c r="H3211" s="459">
        <v>3204</v>
      </c>
      <c r="I3211" s="444">
        <f t="shared" ca="1" si="145"/>
        <v>-139911243037.42749</v>
      </c>
      <c r="J3211" s="444">
        <f t="array" ref="J3211">IFERROR(INDEX('Retirement Calculator'!K:K,MATCH('Lorri 401b'!N3211,'Retirement Calculator'!A:A,0),0),0)</f>
        <v>0</v>
      </c>
      <c r="K3211" s="444">
        <f t="shared" ca="1" si="143"/>
        <v>-582963512.65594792</v>
      </c>
      <c r="L3211" s="444">
        <f t="shared" ca="1" si="144"/>
        <v>-140494206550.08344</v>
      </c>
      <c r="M3211" s="460">
        <f t="shared" si="146"/>
        <v>0.05</v>
      </c>
      <c r="N3211" s="464">
        <f t="shared" si="147"/>
        <v>148775</v>
      </c>
    </row>
    <row r="3212" spans="7:14" ht="11.25" customHeight="1" x14ac:dyDescent="0.3">
      <c r="G3212" s="459"/>
      <c r="H3212" s="459">
        <v>3205</v>
      </c>
      <c r="I3212" s="444">
        <f t="shared" ca="1" si="145"/>
        <v>-140494206550.08344</v>
      </c>
      <c r="J3212" s="444">
        <f t="array" ref="J3212">IFERROR(INDEX('Retirement Calculator'!K:K,MATCH('Lorri 401b'!N3212,'Retirement Calculator'!A:A,0),0),0)</f>
        <v>0</v>
      </c>
      <c r="K3212" s="444">
        <f t="shared" ca="1" si="143"/>
        <v>-585392527.29201436</v>
      </c>
      <c r="L3212" s="444">
        <f t="shared" ca="1" si="144"/>
        <v>-141079599077.37546</v>
      </c>
      <c r="M3212" s="460">
        <f t="shared" si="146"/>
        <v>0.05</v>
      </c>
      <c r="N3212" s="464">
        <f t="shared" si="147"/>
        <v>148806</v>
      </c>
    </row>
    <row r="3213" spans="7:14" ht="11.25" customHeight="1" x14ac:dyDescent="0.3">
      <c r="G3213" s="459"/>
      <c r="H3213" s="459">
        <v>3206</v>
      </c>
      <c r="I3213" s="444">
        <f t="shared" ca="1" si="145"/>
        <v>-141079599077.37546</v>
      </c>
      <c r="J3213" s="444">
        <f t="array" ref="J3213">IFERROR(INDEX('Retirement Calculator'!K:K,MATCH('Lorri 401b'!N3213,'Retirement Calculator'!A:A,0),0),0)</f>
        <v>0</v>
      </c>
      <c r="K3213" s="444">
        <f t="shared" ca="1" si="143"/>
        <v>-587831662.82239771</v>
      </c>
      <c r="L3213" s="444">
        <f t="shared" ca="1" si="144"/>
        <v>-141667430740.19785</v>
      </c>
      <c r="M3213" s="460">
        <f t="shared" si="146"/>
        <v>0.05</v>
      </c>
      <c r="N3213" s="464">
        <f t="shared" si="147"/>
        <v>148836</v>
      </c>
    </row>
    <row r="3214" spans="7:14" ht="11.25" customHeight="1" x14ac:dyDescent="0.3">
      <c r="G3214" s="459"/>
      <c r="H3214" s="459">
        <v>3207</v>
      </c>
      <c r="I3214" s="444">
        <f t="shared" ca="1" si="145"/>
        <v>-141667430740.19785</v>
      </c>
      <c r="J3214" s="444">
        <f t="array" ref="J3214">IFERROR(INDEX('Retirement Calculator'!K:K,MATCH('Lorri 401b'!N3214,'Retirement Calculator'!A:A,0),0),0)</f>
        <v>0</v>
      </c>
      <c r="K3214" s="444">
        <f t="shared" ca="1" si="143"/>
        <v>-590280961.41749096</v>
      </c>
      <c r="L3214" s="444">
        <f t="shared" ca="1" si="144"/>
        <v>-142257711701.61533</v>
      </c>
      <c r="M3214" s="460">
        <f t="shared" si="146"/>
        <v>0.05</v>
      </c>
      <c r="N3214" s="464">
        <f t="shared" si="147"/>
        <v>148867</v>
      </c>
    </row>
    <row r="3215" spans="7:14" ht="11.25" customHeight="1" x14ac:dyDescent="0.3">
      <c r="G3215" s="459"/>
      <c r="H3215" s="459">
        <v>3208</v>
      </c>
      <c r="I3215" s="444">
        <f t="shared" ca="1" si="145"/>
        <v>-142257711701.61533</v>
      </c>
      <c r="J3215" s="444">
        <f t="array" ref="J3215">IFERROR(INDEX('Retirement Calculator'!K:K,MATCH('Lorri 401b'!N3215,'Retirement Calculator'!A:A,0),0),0)</f>
        <v>0</v>
      </c>
      <c r="K3215" s="444">
        <f t="shared" ca="1" si="143"/>
        <v>-592740465.42339718</v>
      </c>
      <c r="L3215" s="444">
        <f t="shared" ca="1" si="144"/>
        <v>-142850452167.03873</v>
      </c>
      <c r="M3215" s="460">
        <f t="shared" si="146"/>
        <v>0.05</v>
      </c>
      <c r="N3215" s="464">
        <f t="shared" si="147"/>
        <v>148898</v>
      </c>
    </row>
    <row r="3216" spans="7:14" ht="11.25" customHeight="1" x14ac:dyDescent="0.3">
      <c r="G3216" s="459"/>
      <c r="H3216" s="459">
        <v>3209</v>
      </c>
      <c r="I3216" s="444">
        <f t="shared" ca="1" si="145"/>
        <v>-142850452167.03873</v>
      </c>
      <c r="J3216" s="444">
        <f t="array" ref="J3216">IFERROR(INDEX('Retirement Calculator'!K:K,MATCH('Lorri 401b'!N3216,'Retirement Calculator'!A:A,0),0),0)</f>
        <v>0</v>
      </c>
      <c r="K3216" s="444">
        <f t="shared" ca="1" si="143"/>
        <v>-595210217.36266136</v>
      </c>
      <c r="L3216" s="444">
        <f t="shared" ca="1" si="144"/>
        <v>-143445662384.4014</v>
      </c>
      <c r="M3216" s="460">
        <f t="shared" si="146"/>
        <v>0.05</v>
      </c>
      <c r="N3216" s="464">
        <f t="shared" si="147"/>
        <v>148928</v>
      </c>
    </row>
    <row r="3217" spans="7:14" ht="11.25" customHeight="1" x14ac:dyDescent="0.3">
      <c r="G3217" s="459"/>
      <c r="H3217" s="459">
        <v>3210</v>
      </c>
      <c r="I3217" s="444">
        <f t="shared" ca="1" si="145"/>
        <v>-143445662384.4014</v>
      </c>
      <c r="J3217" s="444">
        <f t="array" ref="J3217">IFERROR(INDEX('Retirement Calculator'!K:K,MATCH('Lorri 401b'!N3217,'Retirement Calculator'!A:A,0),0),0)</f>
        <v>0</v>
      </c>
      <c r="K3217" s="444">
        <f t="shared" ca="1" si="143"/>
        <v>-597690259.93500578</v>
      </c>
      <c r="L3217" s="444">
        <f t="shared" ca="1" si="144"/>
        <v>-144043352644.3364</v>
      </c>
      <c r="M3217" s="460">
        <f t="shared" si="146"/>
        <v>0.05</v>
      </c>
      <c r="N3217" s="464">
        <f t="shared" si="147"/>
        <v>148959</v>
      </c>
    </row>
    <row r="3218" spans="7:14" ht="11.25" customHeight="1" x14ac:dyDescent="0.3">
      <c r="G3218" s="459"/>
      <c r="H3218" s="459">
        <v>3211</v>
      </c>
      <c r="I3218" s="444">
        <f t="shared" ca="1" si="145"/>
        <v>-144043352644.3364</v>
      </c>
      <c r="J3218" s="444">
        <f t="array" ref="J3218">IFERROR(INDEX('Retirement Calculator'!K:K,MATCH('Lorri 401b'!N3218,'Retirement Calculator'!A:A,0),0),0)</f>
        <v>0</v>
      </c>
      <c r="K3218" s="444">
        <f t="shared" ca="1" si="143"/>
        <v>-600180636.01806831</v>
      </c>
      <c r="L3218" s="444">
        <f t="shared" ca="1" si="144"/>
        <v>-144643533280.35446</v>
      </c>
      <c r="M3218" s="460">
        <f t="shared" si="146"/>
        <v>0.05</v>
      </c>
      <c r="N3218" s="464">
        <f t="shared" si="147"/>
        <v>148989</v>
      </c>
    </row>
    <row r="3219" spans="7:14" ht="11.25" customHeight="1" x14ac:dyDescent="0.3">
      <c r="G3219" s="459"/>
      <c r="H3219" s="459">
        <v>3212</v>
      </c>
      <c r="I3219" s="444">
        <f t="shared" ca="1" si="145"/>
        <v>-144643533280.35446</v>
      </c>
      <c r="J3219" s="444">
        <f t="array" ref="J3219">IFERROR(INDEX('Retirement Calculator'!K:K,MATCH('Lorri 401b'!N3219,'Retirement Calculator'!A:A,0),0),0)</f>
        <v>0</v>
      </c>
      <c r="K3219" s="444">
        <f t="shared" ca="1" si="143"/>
        <v>-602681388.66814363</v>
      </c>
      <c r="L3219" s="444">
        <f t="shared" ca="1" si="144"/>
        <v>-145246214669.02261</v>
      </c>
      <c r="M3219" s="460">
        <f t="shared" si="146"/>
        <v>0.05</v>
      </c>
      <c r="N3219" s="464">
        <f t="shared" si="147"/>
        <v>149020</v>
      </c>
    </row>
    <row r="3220" spans="7:14" ht="11.25" customHeight="1" x14ac:dyDescent="0.3">
      <c r="G3220" s="459"/>
      <c r="H3220" s="459">
        <v>3213</v>
      </c>
      <c r="I3220" s="444">
        <f t="shared" ca="1" si="145"/>
        <v>-145246214669.02261</v>
      </c>
      <c r="J3220" s="444">
        <f t="array" ref="J3220">IFERROR(INDEX('Retirement Calculator'!K:K,MATCH('Lorri 401b'!N3220,'Retirement Calculator'!A:A,0),0),0)</f>
        <v>0</v>
      </c>
      <c r="K3220" s="444">
        <f t="shared" ca="1" si="143"/>
        <v>-605192561.12092757</v>
      </c>
      <c r="L3220" s="444">
        <f t="shared" ca="1" si="144"/>
        <v>-145851407230.14355</v>
      </c>
      <c r="M3220" s="460">
        <f t="shared" si="146"/>
        <v>0.05</v>
      </c>
      <c r="N3220" s="464">
        <f t="shared" si="147"/>
        <v>149051</v>
      </c>
    </row>
    <row r="3221" spans="7:14" ht="11.25" customHeight="1" x14ac:dyDescent="0.3">
      <c r="G3221" s="459"/>
      <c r="H3221" s="459">
        <v>3214</v>
      </c>
      <c r="I3221" s="444">
        <f t="shared" ca="1" si="145"/>
        <v>-145851407230.14355</v>
      </c>
      <c r="J3221" s="444">
        <f t="array" ref="J3221">IFERROR(INDEX('Retirement Calculator'!K:K,MATCH('Lorri 401b'!N3221,'Retirement Calculator'!A:A,0),0),0)</f>
        <v>0</v>
      </c>
      <c r="K3221" s="444">
        <f t="shared" ca="1" si="143"/>
        <v>-607714196.79226482</v>
      </c>
      <c r="L3221" s="444">
        <f t="shared" ca="1" si="144"/>
        <v>-146459121426.93582</v>
      </c>
      <c r="M3221" s="460">
        <f t="shared" si="146"/>
        <v>0.05</v>
      </c>
      <c r="N3221" s="464">
        <f t="shared" si="147"/>
        <v>149080</v>
      </c>
    </row>
    <row r="3222" spans="7:14" ht="11.25" customHeight="1" x14ac:dyDescent="0.3">
      <c r="G3222" s="459"/>
      <c r="H3222" s="459">
        <v>3215</v>
      </c>
      <c r="I3222" s="444">
        <f t="shared" ca="1" si="145"/>
        <v>-146459121426.93582</v>
      </c>
      <c r="J3222" s="444">
        <f t="array" ref="J3222">IFERROR(INDEX('Retirement Calculator'!K:K,MATCH('Lorri 401b'!N3222,'Retirement Calculator'!A:A,0),0),0)</f>
        <v>0</v>
      </c>
      <c r="K3222" s="444">
        <f t="shared" ca="1" si="143"/>
        <v>-610246339.27889919</v>
      </c>
      <c r="L3222" s="444">
        <f t="shared" ca="1" si="144"/>
        <v>-147069367766.21472</v>
      </c>
      <c r="M3222" s="460">
        <f t="shared" si="146"/>
        <v>0.05</v>
      </c>
      <c r="N3222" s="464">
        <f t="shared" si="147"/>
        <v>149111</v>
      </c>
    </row>
    <row r="3223" spans="7:14" ht="11.25" customHeight="1" x14ac:dyDescent="0.3">
      <c r="G3223" s="459"/>
      <c r="H3223" s="459">
        <v>3216</v>
      </c>
      <c r="I3223" s="444">
        <f t="shared" ca="1" si="145"/>
        <v>-147069367766.21472</v>
      </c>
      <c r="J3223" s="444">
        <f t="array" ref="J3223">IFERROR(INDEX('Retirement Calculator'!K:K,MATCH('Lorri 401b'!N3223,'Retirement Calculator'!A:A,0),0),0)</f>
        <v>0</v>
      </c>
      <c r="K3223" s="444">
        <f t="shared" ca="1" si="143"/>
        <v>-612789032.35922801</v>
      </c>
      <c r="L3223" s="444">
        <f t="shared" ca="1" si="144"/>
        <v>-147682156798.57394</v>
      </c>
      <c r="M3223" s="460">
        <f t="shared" si="146"/>
        <v>0.05</v>
      </c>
      <c r="N3223" s="464">
        <f t="shared" si="147"/>
        <v>149141</v>
      </c>
    </row>
    <row r="3224" spans="7:14" ht="11.25" customHeight="1" x14ac:dyDescent="0.3">
      <c r="G3224" s="459"/>
      <c r="H3224" s="459">
        <v>3217</v>
      </c>
      <c r="I3224" s="444">
        <f t="shared" ca="1" si="145"/>
        <v>-147682156798.57394</v>
      </c>
      <c r="J3224" s="444">
        <f t="array" ref="J3224">IFERROR(INDEX('Retirement Calculator'!K:K,MATCH('Lorri 401b'!N3224,'Retirement Calculator'!A:A,0),0),0)</f>
        <v>0</v>
      </c>
      <c r="K3224" s="444">
        <f t="shared" ca="1" si="143"/>
        <v>-615342319.99405813</v>
      </c>
      <c r="L3224" s="444">
        <f t="shared" ca="1" si="144"/>
        <v>-148297499118.56799</v>
      </c>
      <c r="M3224" s="460">
        <f t="shared" si="146"/>
        <v>0.05</v>
      </c>
      <c r="N3224" s="464">
        <f t="shared" si="147"/>
        <v>149172</v>
      </c>
    </row>
    <row r="3225" spans="7:14" ht="11.25" customHeight="1" x14ac:dyDescent="0.3">
      <c r="G3225" s="459"/>
      <c r="H3225" s="459">
        <v>3218</v>
      </c>
      <c r="I3225" s="444">
        <f t="shared" ca="1" si="145"/>
        <v>-148297499118.56799</v>
      </c>
      <c r="J3225" s="444">
        <f t="array" ref="J3225">IFERROR(INDEX('Retirement Calculator'!K:K,MATCH('Lorri 401b'!N3225,'Retirement Calculator'!A:A,0),0),0)</f>
        <v>0</v>
      </c>
      <c r="K3225" s="444">
        <f t="shared" ca="1" si="143"/>
        <v>-617906246.32736659</v>
      </c>
      <c r="L3225" s="444">
        <f t="shared" ca="1" si="144"/>
        <v>-148915405364.89536</v>
      </c>
      <c r="M3225" s="460">
        <f t="shared" si="146"/>
        <v>0.05</v>
      </c>
      <c r="N3225" s="464">
        <f t="shared" si="147"/>
        <v>149202</v>
      </c>
    </row>
    <row r="3226" spans="7:14" ht="11.25" customHeight="1" x14ac:dyDescent="0.3">
      <c r="G3226" s="459"/>
      <c r="H3226" s="459">
        <v>3219</v>
      </c>
      <c r="I3226" s="444">
        <f t="shared" ca="1" si="145"/>
        <v>-148915405364.89536</v>
      </c>
      <c r="J3226" s="444">
        <f t="array" ref="J3226">IFERROR(INDEX('Retirement Calculator'!K:K,MATCH('Lorri 401b'!N3226,'Retirement Calculator'!A:A,0),0),0)</f>
        <v>0</v>
      </c>
      <c r="K3226" s="444">
        <f t="shared" ca="1" si="143"/>
        <v>-620480855.68706393</v>
      </c>
      <c r="L3226" s="444">
        <f t="shared" ca="1" si="144"/>
        <v>-149535886220.58243</v>
      </c>
      <c r="M3226" s="460">
        <f t="shared" si="146"/>
        <v>0.05</v>
      </c>
      <c r="N3226" s="464">
        <f t="shared" si="147"/>
        <v>149233</v>
      </c>
    </row>
    <row r="3227" spans="7:14" ht="11.25" customHeight="1" x14ac:dyDescent="0.3">
      <c r="G3227" s="459"/>
      <c r="H3227" s="459">
        <v>3220</v>
      </c>
      <c r="I3227" s="444">
        <f t="shared" ca="1" si="145"/>
        <v>-149535886220.58243</v>
      </c>
      <c r="J3227" s="444">
        <f t="array" ref="J3227">IFERROR(INDEX('Retirement Calculator'!K:K,MATCH('Lorri 401b'!N3227,'Retirement Calculator'!A:A,0),0),0)</f>
        <v>0</v>
      </c>
      <c r="K3227" s="444">
        <f t="shared" ca="1" si="143"/>
        <v>-623066192.58576012</v>
      </c>
      <c r="L3227" s="444">
        <f t="shared" ca="1" si="144"/>
        <v>-150158952413.16818</v>
      </c>
      <c r="M3227" s="460">
        <f t="shared" si="146"/>
        <v>0.05</v>
      </c>
      <c r="N3227" s="464">
        <f t="shared" si="147"/>
        <v>149264</v>
      </c>
    </row>
    <row r="3228" spans="7:14" ht="11.25" customHeight="1" x14ac:dyDescent="0.3">
      <c r="G3228" s="459"/>
      <c r="H3228" s="459">
        <v>3221</v>
      </c>
      <c r="I3228" s="444">
        <f t="shared" ca="1" si="145"/>
        <v>-150158952413.16818</v>
      </c>
      <c r="J3228" s="444">
        <f t="array" ref="J3228">IFERROR(INDEX('Retirement Calculator'!K:K,MATCH('Lorri 401b'!N3228,'Retirement Calculator'!A:A,0),0),0)</f>
        <v>0</v>
      </c>
      <c r="K3228" s="444">
        <f t="shared" ca="1" si="143"/>
        <v>-625662301.72153413</v>
      </c>
      <c r="L3228" s="444">
        <f t="shared" ca="1" si="144"/>
        <v>-150784614714.88971</v>
      </c>
      <c r="M3228" s="460">
        <f t="shared" si="146"/>
        <v>0.05</v>
      </c>
      <c r="N3228" s="464">
        <f t="shared" si="147"/>
        <v>149294</v>
      </c>
    </row>
    <row r="3229" spans="7:14" ht="11.25" customHeight="1" x14ac:dyDescent="0.3">
      <c r="G3229" s="459"/>
      <c r="H3229" s="459">
        <v>3222</v>
      </c>
      <c r="I3229" s="444">
        <f t="shared" ca="1" si="145"/>
        <v>-150784614714.88971</v>
      </c>
      <c r="J3229" s="444">
        <f t="array" ref="J3229">IFERROR(INDEX('Retirement Calculator'!K:K,MATCH('Lorri 401b'!N3229,'Retirement Calculator'!A:A,0),0),0)</f>
        <v>0</v>
      </c>
      <c r="K3229" s="444">
        <f t="shared" ca="1" si="143"/>
        <v>-628269227.97870708</v>
      </c>
      <c r="L3229" s="444">
        <f t="shared" ca="1" si="144"/>
        <v>-151412883942.86841</v>
      </c>
      <c r="M3229" s="460">
        <f t="shared" si="146"/>
        <v>0.05</v>
      </c>
      <c r="N3229" s="464">
        <f t="shared" si="147"/>
        <v>149325</v>
      </c>
    </row>
    <row r="3230" spans="7:14" ht="11.25" customHeight="1" x14ac:dyDescent="0.3">
      <c r="G3230" s="459"/>
      <c r="H3230" s="459">
        <v>3223</v>
      </c>
      <c r="I3230" s="444">
        <f t="shared" ca="1" si="145"/>
        <v>-151412883942.86841</v>
      </c>
      <c r="J3230" s="444">
        <f t="array" ref="J3230">IFERROR(INDEX('Retirement Calculator'!K:K,MATCH('Lorri 401b'!N3230,'Retirement Calculator'!A:A,0),0),0)</f>
        <v>0</v>
      </c>
      <c r="K3230" s="444">
        <f t="shared" ca="1" si="143"/>
        <v>-630887016.42861831</v>
      </c>
      <c r="L3230" s="444">
        <f t="shared" ca="1" si="144"/>
        <v>-152043770959.29703</v>
      </c>
      <c r="M3230" s="460">
        <f t="shared" si="146"/>
        <v>0.05</v>
      </c>
      <c r="N3230" s="464">
        <f t="shared" si="147"/>
        <v>149355</v>
      </c>
    </row>
    <row r="3231" spans="7:14" ht="11.25" customHeight="1" x14ac:dyDescent="0.3">
      <c r="G3231" s="459"/>
      <c r="H3231" s="459">
        <v>3224</v>
      </c>
      <c r="I3231" s="444">
        <f t="shared" ca="1" si="145"/>
        <v>-152043770959.29703</v>
      </c>
      <c r="J3231" s="444">
        <f t="array" ref="J3231">IFERROR(INDEX('Retirement Calculator'!K:K,MATCH('Lorri 401b'!N3231,'Retirement Calculator'!A:A,0),0),0)</f>
        <v>0</v>
      </c>
      <c r="K3231" s="444">
        <f t="shared" ca="1" si="143"/>
        <v>-633515712.33040428</v>
      </c>
      <c r="L3231" s="444">
        <f t="shared" ca="1" si="144"/>
        <v>-152677286671.62744</v>
      </c>
      <c r="M3231" s="460">
        <f t="shared" si="146"/>
        <v>0.05</v>
      </c>
      <c r="N3231" s="464">
        <f t="shared" si="147"/>
        <v>149386</v>
      </c>
    </row>
    <row r="3232" spans="7:14" ht="11.25" customHeight="1" x14ac:dyDescent="0.3">
      <c r="G3232" s="459"/>
      <c r="H3232" s="459">
        <v>3225</v>
      </c>
      <c r="I3232" s="444">
        <f t="shared" ca="1" si="145"/>
        <v>-152677286671.62744</v>
      </c>
      <c r="J3232" s="444">
        <f t="array" ref="J3232">IFERROR(INDEX('Retirement Calculator'!K:K,MATCH('Lorri 401b'!N3232,'Retirement Calculator'!A:A,0),0),0)</f>
        <v>0</v>
      </c>
      <c r="K3232" s="444">
        <f t="shared" ca="1" si="143"/>
        <v>-636155361.13178098</v>
      </c>
      <c r="L3232" s="444">
        <f t="shared" ca="1" si="144"/>
        <v>-153313442032.75922</v>
      </c>
      <c r="M3232" s="460">
        <f t="shared" si="146"/>
        <v>0.05</v>
      </c>
      <c r="N3232" s="464">
        <f t="shared" si="147"/>
        <v>149417</v>
      </c>
    </row>
    <row r="3233" spans="7:14" ht="11.25" customHeight="1" x14ac:dyDescent="0.3">
      <c r="G3233" s="459"/>
      <c r="H3233" s="459">
        <v>3226</v>
      </c>
      <c r="I3233" s="444">
        <f t="shared" ca="1" si="145"/>
        <v>-153313442032.75922</v>
      </c>
      <c r="J3233" s="444">
        <f t="array" ref="J3233">IFERROR(INDEX('Retirement Calculator'!K:K,MATCH('Lorri 401b'!N3233,'Retirement Calculator'!A:A,0),0),0)</f>
        <v>0</v>
      </c>
      <c r="K3233" s="444">
        <f t="shared" ca="1" si="143"/>
        <v>-638806008.46983004</v>
      </c>
      <c r="L3233" s="444">
        <f t="shared" ca="1" si="144"/>
        <v>-153952248041.22903</v>
      </c>
      <c r="M3233" s="460">
        <f t="shared" si="146"/>
        <v>0.05</v>
      </c>
      <c r="N3233" s="464">
        <f t="shared" si="147"/>
        <v>149445</v>
      </c>
    </row>
    <row r="3234" spans="7:14" ht="11.25" customHeight="1" x14ac:dyDescent="0.3">
      <c r="G3234" s="459"/>
      <c r="H3234" s="459">
        <v>3227</v>
      </c>
      <c r="I3234" s="444">
        <f t="shared" ca="1" si="145"/>
        <v>-153952248041.22903</v>
      </c>
      <c r="J3234" s="444">
        <f t="array" ref="J3234">IFERROR(INDEX('Retirement Calculator'!K:K,MATCH('Lorri 401b'!N3234,'Retirement Calculator'!A:A,0),0),0)</f>
        <v>0</v>
      </c>
      <c r="K3234" s="444">
        <f t="shared" ca="1" si="143"/>
        <v>-641467700.17178762</v>
      </c>
      <c r="L3234" s="444">
        <f t="shared" ca="1" si="144"/>
        <v>-154593715741.40082</v>
      </c>
      <c r="M3234" s="460">
        <f t="shared" si="146"/>
        <v>0.05</v>
      </c>
      <c r="N3234" s="464">
        <f t="shared" si="147"/>
        <v>149476</v>
      </c>
    </row>
    <row r="3235" spans="7:14" ht="11.25" customHeight="1" x14ac:dyDescent="0.3">
      <c r="G3235" s="459"/>
      <c r="H3235" s="459">
        <v>3228</v>
      </c>
      <c r="I3235" s="444">
        <f t="shared" ca="1" si="145"/>
        <v>-154593715741.40082</v>
      </c>
      <c r="J3235" s="444">
        <f t="array" ref="J3235">IFERROR(INDEX('Retirement Calculator'!K:K,MATCH('Lorri 401b'!N3235,'Retirement Calculator'!A:A,0),0),0)</f>
        <v>0</v>
      </c>
      <c r="K3235" s="444">
        <f t="shared" ca="1" si="143"/>
        <v>-644140482.25583673</v>
      </c>
      <c r="L3235" s="444">
        <f t="shared" ca="1" si="144"/>
        <v>-155237856223.65665</v>
      </c>
      <c r="M3235" s="460">
        <f t="shared" si="146"/>
        <v>0.05</v>
      </c>
      <c r="N3235" s="464">
        <f t="shared" si="147"/>
        <v>149506</v>
      </c>
    </row>
    <row r="3236" spans="7:14" ht="11.25" customHeight="1" x14ac:dyDescent="0.3">
      <c r="G3236" s="459"/>
      <c r="H3236" s="459">
        <v>3229</v>
      </c>
      <c r="I3236" s="444">
        <f t="shared" ca="1" si="145"/>
        <v>-155237856223.65665</v>
      </c>
      <c r="J3236" s="444">
        <f t="array" ref="J3236">IFERROR(INDEX('Retirement Calculator'!K:K,MATCH('Lorri 401b'!N3236,'Retirement Calculator'!A:A,0),0),0)</f>
        <v>0</v>
      </c>
      <c r="K3236" s="444">
        <f t="shared" ca="1" si="143"/>
        <v>-646824400.93190265</v>
      </c>
      <c r="L3236" s="444">
        <f t="shared" ca="1" si="144"/>
        <v>-155884680624.58856</v>
      </c>
      <c r="M3236" s="460">
        <f t="shared" si="146"/>
        <v>0.05</v>
      </c>
      <c r="N3236" s="464">
        <f t="shared" si="147"/>
        <v>149537</v>
      </c>
    </row>
    <row r="3237" spans="7:14" ht="11.25" customHeight="1" x14ac:dyDescent="0.3">
      <c r="G3237" s="459"/>
      <c r="H3237" s="459">
        <v>3230</v>
      </c>
      <c r="I3237" s="444">
        <f t="shared" ca="1" si="145"/>
        <v>-155884680624.58856</v>
      </c>
      <c r="J3237" s="444">
        <f t="array" ref="J3237">IFERROR(INDEX('Retirement Calculator'!K:K,MATCH('Lorri 401b'!N3237,'Retirement Calculator'!A:A,0),0),0)</f>
        <v>0</v>
      </c>
      <c r="K3237" s="444">
        <f t="shared" ca="1" si="143"/>
        <v>-649519502.60245228</v>
      </c>
      <c r="L3237" s="444">
        <f t="shared" ca="1" si="144"/>
        <v>-156534200127.19101</v>
      </c>
      <c r="M3237" s="460">
        <f t="shared" si="146"/>
        <v>0.05</v>
      </c>
      <c r="N3237" s="464">
        <f t="shared" si="147"/>
        <v>149567</v>
      </c>
    </row>
    <row r="3238" spans="7:14" ht="11.25" customHeight="1" x14ac:dyDescent="0.3">
      <c r="G3238" s="459"/>
      <c r="H3238" s="459">
        <v>3231</v>
      </c>
      <c r="I3238" s="444">
        <f t="shared" ca="1" si="145"/>
        <v>-156534200127.19101</v>
      </c>
      <c r="J3238" s="444">
        <f t="array" ref="J3238">IFERROR(INDEX('Retirement Calculator'!K:K,MATCH('Lorri 401b'!N3238,'Retirement Calculator'!A:A,0),0),0)</f>
        <v>0</v>
      </c>
      <c r="K3238" s="444">
        <f t="shared" ca="1" si="143"/>
        <v>-652225833.86329591</v>
      </c>
      <c r="L3238" s="444">
        <f t="shared" ca="1" si="144"/>
        <v>-157186425961.05429</v>
      </c>
      <c r="M3238" s="460">
        <f t="shared" si="146"/>
        <v>0.05</v>
      </c>
      <c r="N3238" s="464">
        <f t="shared" si="147"/>
        <v>149598</v>
      </c>
    </row>
    <row r="3239" spans="7:14" ht="11.25" customHeight="1" x14ac:dyDescent="0.3">
      <c r="G3239" s="459"/>
      <c r="H3239" s="459">
        <v>3232</v>
      </c>
      <c r="I3239" s="444">
        <f t="shared" ca="1" si="145"/>
        <v>-157186425961.05429</v>
      </c>
      <c r="J3239" s="444">
        <f t="array" ref="J3239">IFERROR(INDEX('Retirement Calculator'!K:K,MATCH('Lorri 401b'!N3239,'Retirement Calculator'!A:A,0),0),0)</f>
        <v>0</v>
      </c>
      <c r="K3239" s="444">
        <f t="shared" ca="1" si="143"/>
        <v>-654943441.50439286</v>
      </c>
      <c r="L3239" s="444">
        <f t="shared" ca="1" si="144"/>
        <v>-157841369402.55869</v>
      </c>
      <c r="M3239" s="460">
        <f t="shared" si="146"/>
        <v>0.05</v>
      </c>
      <c r="N3239" s="464">
        <f t="shared" si="147"/>
        <v>149629</v>
      </c>
    </row>
    <row r="3240" spans="7:14" ht="11.25" customHeight="1" x14ac:dyDescent="0.3">
      <c r="G3240" s="459"/>
      <c r="H3240" s="459">
        <v>3233</v>
      </c>
      <c r="I3240" s="444">
        <f t="shared" ca="1" si="145"/>
        <v>-157841369402.55869</v>
      </c>
      <c r="J3240" s="444">
        <f t="array" ref="J3240">IFERROR(INDEX('Retirement Calculator'!K:K,MATCH('Lorri 401b'!N3240,'Retirement Calculator'!A:A,0),0),0)</f>
        <v>0</v>
      </c>
      <c r="K3240" s="444">
        <f t="shared" ca="1" si="143"/>
        <v>-657672372.51066113</v>
      </c>
      <c r="L3240" s="444">
        <f t="shared" ca="1" si="144"/>
        <v>-158499041775.06934</v>
      </c>
      <c r="M3240" s="460">
        <f t="shared" si="146"/>
        <v>0.05</v>
      </c>
      <c r="N3240" s="464">
        <f t="shared" si="147"/>
        <v>149659</v>
      </c>
    </row>
    <row r="3241" spans="7:14" ht="11.25" customHeight="1" x14ac:dyDescent="0.3">
      <c r="G3241" s="459"/>
      <c r="H3241" s="459">
        <v>3234</v>
      </c>
      <c r="I3241" s="444">
        <f t="shared" ca="1" si="145"/>
        <v>-158499041775.06934</v>
      </c>
      <c r="J3241" s="444">
        <f t="array" ref="J3241">IFERROR(INDEX('Retirement Calculator'!K:K,MATCH('Lorri 401b'!N3241,'Retirement Calculator'!A:A,0),0),0)</f>
        <v>0</v>
      </c>
      <c r="K3241" s="444">
        <f t="shared" ca="1" si="143"/>
        <v>-660412674.06278884</v>
      </c>
      <c r="L3241" s="444">
        <f t="shared" ca="1" si="144"/>
        <v>-159159454449.13211</v>
      </c>
      <c r="M3241" s="460">
        <f t="shared" si="146"/>
        <v>0.05</v>
      </c>
      <c r="N3241" s="464">
        <f t="shared" si="147"/>
        <v>149690</v>
      </c>
    </row>
    <row r="3242" spans="7:14" ht="11.25" customHeight="1" x14ac:dyDescent="0.3">
      <c r="G3242" s="459"/>
      <c r="H3242" s="459">
        <v>3235</v>
      </c>
      <c r="I3242" s="444">
        <f t="shared" ca="1" si="145"/>
        <v>-159159454449.13211</v>
      </c>
      <c r="J3242" s="444">
        <f t="array" ref="J3242">IFERROR(INDEX('Retirement Calculator'!K:K,MATCH('Lorri 401b'!N3242,'Retirement Calculator'!A:A,0),0),0)</f>
        <v>0</v>
      </c>
      <c r="K3242" s="444">
        <f t="shared" ca="1" si="143"/>
        <v>-663164393.53805041</v>
      </c>
      <c r="L3242" s="444">
        <f t="shared" ca="1" si="144"/>
        <v>-159822618842.67017</v>
      </c>
      <c r="M3242" s="460">
        <f t="shared" si="146"/>
        <v>0.05</v>
      </c>
      <c r="N3242" s="464">
        <f t="shared" si="147"/>
        <v>149720</v>
      </c>
    </row>
    <row r="3243" spans="7:14" ht="11.25" customHeight="1" x14ac:dyDescent="0.3">
      <c r="G3243" s="459"/>
      <c r="H3243" s="459">
        <v>3236</v>
      </c>
      <c r="I3243" s="444">
        <f t="shared" ca="1" si="145"/>
        <v>-159822618842.67017</v>
      </c>
      <c r="J3243" s="444">
        <f t="array" ref="J3243">IFERROR(INDEX('Retirement Calculator'!K:K,MATCH('Lorri 401b'!N3243,'Retirement Calculator'!A:A,0),0),0)</f>
        <v>0</v>
      </c>
      <c r="K3243" s="444">
        <f t="shared" ca="1" si="143"/>
        <v>-665927578.51112568</v>
      </c>
      <c r="L3243" s="444">
        <f t="shared" ca="1" si="144"/>
        <v>-160488546421.1813</v>
      </c>
      <c r="M3243" s="460">
        <f t="shared" si="146"/>
        <v>0.05</v>
      </c>
      <c r="N3243" s="464">
        <f t="shared" si="147"/>
        <v>149751</v>
      </c>
    </row>
    <row r="3244" spans="7:14" ht="11.25" customHeight="1" x14ac:dyDescent="0.3">
      <c r="G3244" s="459"/>
      <c r="H3244" s="459">
        <v>3237</v>
      </c>
      <c r="I3244" s="444">
        <f t="shared" ca="1" si="145"/>
        <v>-160488546421.1813</v>
      </c>
      <c r="J3244" s="444">
        <f t="array" ref="J3244">IFERROR(INDEX('Retirement Calculator'!K:K,MATCH('Lorri 401b'!N3244,'Retirement Calculator'!A:A,0),0),0)</f>
        <v>0</v>
      </c>
      <c r="K3244" s="444">
        <f t="shared" ca="1" si="143"/>
        <v>-668702276.75492215</v>
      </c>
      <c r="L3244" s="444">
        <f t="shared" ca="1" si="144"/>
        <v>-161157248697.93622</v>
      </c>
      <c r="M3244" s="460">
        <f t="shared" si="146"/>
        <v>0.05</v>
      </c>
      <c r="N3244" s="464">
        <f t="shared" si="147"/>
        <v>149782</v>
      </c>
    </row>
    <row r="3245" spans="7:14" ht="11.25" customHeight="1" x14ac:dyDescent="0.3">
      <c r="G3245" s="459"/>
      <c r="H3245" s="459">
        <v>3238</v>
      </c>
      <c r="I3245" s="444">
        <f t="shared" ca="1" si="145"/>
        <v>-161157248697.93622</v>
      </c>
      <c r="J3245" s="444">
        <f t="array" ref="J3245">IFERROR(INDEX('Retirement Calculator'!K:K,MATCH('Lorri 401b'!N3245,'Retirement Calculator'!A:A,0),0),0)</f>
        <v>0</v>
      </c>
      <c r="K3245" s="444">
        <f t="shared" ca="1" si="143"/>
        <v>-671488536.24140096</v>
      </c>
      <c r="L3245" s="444">
        <f t="shared" ca="1" si="144"/>
        <v>-161828737234.17761</v>
      </c>
      <c r="M3245" s="460">
        <f t="shared" si="146"/>
        <v>0.05</v>
      </c>
      <c r="N3245" s="464">
        <f t="shared" si="147"/>
        <v>149810</v>
      </c>
    </row>
    <row r="3246" spans="7:14" ht="11.25" customHeight="1" x14ac:dyDescent="0.3">
      <c r="G3246" s="459"/>
      <c r="H3246" s="459">
        <v>3239</v>
      </c>
      <c r="I3246" s="444">
        <f t="shared" ca="1" si="145"/>
        <v>-161828737234.17761</v>
      </c>
      <c r="J3246" s="444">
        <f t="array" ref="J3246">IFERROR(INDEX('Retirement Calculator'!K:K,MATCH('Lorri 401b'!N3246,'Retirement Calculator'!A:A,0),0),0)</f>
        <v>0</v>
      </c>
      <c r="K3246" s="444">
        <f t="shared" ca="1" si="143"/>
        <v>-674286405.1424067</v>
      </c>
      <c r="L3246" s="444">
        <f t="shared" ca="1" si="144"/>
        <v>-162503023639.32001</v>
      </c>
      <c r="M3246" s="460">
        <f t="shared" si="146"/>
        <v>0.05</v>
      </c>
      <c r="N3246" s="464">
        <f t="shared" si="147"/>
        <v>149841</v>
      </c>
    </row>
    <row r="3247" spans="7:14" ht="11.25" customHeight="1" x14ac:dyDescent="0.3">
      <c r="G3247" s="459"/>
      <c r="H3247" s="459">
        <v>3240</v>
      </c>
      <c r="I3247" s="444">
        <f t="shared" ca="1" si="145"/>
        <v>-162503023639.32001</v>
      </c>
      <c r="J3247" s="444">
        <f t="array" ref="J3247">IFERROR(INDEX('Retirement Calculator'!K:K,MATCH('Lorri 401b'!N3247,'Retirement Calculator'!A:A,0),0),0)</f>
        <v>0</v>
      </c>
      <c r="K3247" s="444">
        <f t="shared" ca="1" si="143"/>
        <v>-677095931.83050001</v>
      </c>
      <c r="L3247" s="444">
        <f t="shared" ca="1" si="144"/>
        <v>-163180119571.15051</v>
      </c>
      <c r="M3247" s="460">
        <f t="shared" si="146"/>
        <v>0.05</v>
      </c>
      <c r="N3247" s="464">
        <f t="shared" si="147"/>
        <v>149871</v>
      </c>
    </row>
    <row r="3248" spans="7:14" ht="11.25" customHeight="1" x14ac:dyDescent="0.3">
      <c r="G3248" s="459"/>
      <c r="H3248" s="459">
        <v>3241</v>
      </c>
      <c r="I3248" s="444">
        <f t="shared" ca="1" si="145"/>
        <v>-163180119571.15051</v>
      </c>
      <c r="J3248" s="444">
        <f t="array" ref="J3248">IFERROR(INDEX('Retirement Calculator'!K:K,MATCH('Lorri 401b'!N3248,'Retirement Calculator'!A:A,0),0),0)</f>
        <v>0</v>
      </c>
      <c r="K3248" s="444">
        <f t="shared" ca="1" si="143"/>
        <v>-679917164.87979376</v>
      </c>
      <c r="L3248" s="444">
        <f t="shared" ca="1" si="144"/>
        <v>-163860036736.0303</v>
      </c>
      <c r="M3248" s="460">
        <f t="shared" si="146"/>
        <v>0.05</v>
      </c>
      <c r="N3248" s="464">
        <f t="shared" si="147"/>
        <v>149902</v>
      </c>
    </row>
    <row r="3249" spans="7:14" ht="11.25" customHeight="1" x14ac:dyDescent="0.3">
      <c r="G3249" s="459"/>
      <c r="H3249" s="459">
        <v>3242</v>
      </c>
      <c r="I3249" s="444">
        <f t="shared" ca="1" si="145"/>
        <v>-163860036736.0303</v>
      </c>
      <c r="J3249" s="444">
        <f t="array" ref="J3249">IFERROR(INDEX('Retirement Calculator'!K:K,MATCH('Lorri 401b'!N3249,'Retirement Calculator'!A:A,0),0),0)</f>
        <v>0</v>
      </c>
      <c r="K3249" s="444">
        <f t="shared" ca="1" si="143"/>
        <v>-682750153.06679296</v>
      </c>
      <c r="L3249" s="444">
        <f t="shared" ca="1" si="144"/>
        <v>-164542786889.09711</v>
      </c>
      <c r="M3249" s="460">
        <f t="shared" si="146"/>
        <v>0.05</v>
      </c>
      <c r="N3249" s="464">
        <f t="shared" si="147"/>
        <v>149932</v>
      </c>
    </row>
    <row r="3250" spans="7:14" ht="11.25" customHeight="1" x14ac:dyDescent="0.3">
      <c r="G3250" s="459"/>
      <c r="H3250" s="459">
        <v>3243</v>
      </c>
      <c r="I3250" s="444">
        <f t="shared" ca="1" si="145"/>
        <v>-164542786889.09711</v>
      </c>
      <c r="J3250" s="444">
        <f t="array" ref="J3250">IFERROR(INDEX('Retirement Calculator'!K:K,MATCH('Lorri 401b'!N3250,'Retirement Calculator'!A:A,0),0),0)</f>
        <v>0</v>
      </c>
      <c r="K3250" s="444">
        <f t="shared" ca="1" si="143"/>
        <v>-685594945.37123799</v>
      </c>
      <c r="L3250" s="444">
        <f t="shared" ca="1" si="144"/>
        <v>-165228381834.46835</v>
      </c>
      <c r="M3250" s="460">
        <f t="shared" si="146"/>
        <v>0.05</v>
      </c>
      <c r="N3250" s="464">
        <f t="shared" si="147"/>
        <v>149963</v>
      </c>
    </row>
    <row r="3251" spans="7:14" ht="11.25" customHeight="1" x14ac:dyDescent="0.3">
      <c r="G3251" s="459"/>
      <c r="H3251" s="459">
        <v>3244</v>
      </c>
      <c r="I3251" s="444">
        <f t="shared" ca="1" si="145"/>
        <v>-165228381834.46835</v>
      </c>
      <c r="J3251" s="444">
        <f t="array" ref="J3251">IFERROR(INDEX('Retirement Calculator'!K:K,MATCH('Lorri 401b'!N3251,'Retirement Calculator'!A:A,0),0),0)</f>
        <v>0</v>
      </c>
      <c r="K3251" s="444">
        <f t="shared" ca="1" si="143"/>
        <v>-688451590.97695148</v>
      </c>
      <c r="L3251" s="444">
        <f t="shared" ca="1" si="144"/>
        <v>-165916833425.44531</v>
      </c>
      <c r="M3251" s="460">
        <f t="shared" si="146"/>
        <v>0.05</v>
      </c>
      <c r="N3251" s="464">
        <f t="shared" si="147"/>
        <v>149994</v>
      </c>
    </row>
    <row r="3252" spans="7:14" ht="11.25" customHeight="1" x14ac:dyDescent="0.3">
      <c r="G3252" s="459"/>
      <c r="H3252" s="459">
        <v>3245</v>
      </c>
      <c r="I3252" s="444">
        <f t="shared" ca="1" si="145"/>
        <v>-165916833425.44531</v>
      </c>
      <c r="J3252" s="444">
        <f t="array" ref="J3252">IFERROR(INDEX('Retirement Calculator'!K:K,MATCH('Lorri 401b'!N3252,'Retirement Calculator'!A:A,0),0),0)</f>
        <v>0</v>
      </c>
      <c r="K3252" s="444">
        <f t="shared" ca="1" si="143"/>
        <v>-691320139.27268875</v>
      </c>
      <c r="L3252" s="444">
        <f t="shared" ca="1" si="144"/>
        <v>-166608153564.71799</v>
      </c>
      <c r="M3252" s="460">
        <f t="shared" si="146"/>
        <v>0.05</v>
      </c>
      <c r="N3252" s="464">
        <f t="shared" si="147"/>
        <v>150024</v>
      </c>
    </row>
    <row r="3253" spans="7:14" ht="11.25" customHeight="1" x14ac:dyDescent="0.3">
      <c r="G3253" s="459"/>
      <c r="H3253" s="459">
        <v>3246</v>
      </c>
      <c r="I3253" s="444">
        <f t="shared" ca="1" si="145"/>
        <v>-166608153564.71799</v>
      </c>
      <c r="J3253" s="444">
        <f t="array" ref="J3253">IFERROR(INDEX('Retirement Calculator'!K:K,MATCH('Lorri 401b'!N3253,'Retirement Calculator'!A:A,0),0),0)</f>
        <v>0</v>
      </c>
      <c r="K3253" s="444">
        <f t="shared" ca="1" si="143"/>
        <v>-694200639.85299158</v>
      </c>
      <c r="L3253" s="444">
        <f t="shared" ca="1" si="144"/>
        <v>-167302354204.57098</v>
      </c>
      <c r="M3253" s="460">
        <f t="shared" si="146"/>
        <v>0.05</v>
      </c>
      <c r="N3253" s="464">
        <f t="shared" si="147"/>
        <v>150055</v>
      </c>
    </row>
    <row r="3254" spans="7:14" ht="11.25" customHeight="1" x14ac:dyDescent="0.3">
      <c r="G3254" s="459"/>
      <c r="H3254" s="459">
        <v>3247</v>
      </c>
      <c r="I3254" s="444">
        <f t="shared" ca="1" si="145"/>
        <v>-167302354204.57098</v>
      </c>
      <c r="J3254" s="444">
        <f t="array" ref="J3254">IFERROR(INDEX('Retirement Calculator'!K:K,MATCH('Lorri 401b'!N3254,'Retirement Calculator'!A:A,0),0),0)</f>
        <v>0</v>
      </c>
      <c r="K3254" s="444">
        <f t="shared" ca="1" si="143"/>
        <v>-697093142.51904571</v>
      </c>
      <c r="L3254" s="444">
        <f t="shared" ca="1" si="144"/>
        <v>-167999447347.09003</v>
      </c>
      <c r="M3254" s="460">
        <f t="shared" si="146"/>
        <v>0.05</v>
      </c>
      <c r="N3254" s="464">
        <f t="shared" si="147"/>
        <v>150085</v>
      </c>
    </row>
    <row r="3255" spans="7:14" ht="11.25" customHeight="1" x14ac:dyDescent="0.3">
      <c r="G3255" s="459"/>
      <c r="H3255" s="459">
        <v>3248</v>
      </c>
      <c r="I3255" s="444">
        <f t="shared" ca="1" si="145"/>
        <v>-167999447347.09003</v>
      </c>
      <c r="J3255" s="444">
        <f t="array" ref="J3255">IFERROR(INDEX('Retirement Calculator'!K:K,MATCH('Lorri 401b'!N3255,'Retirement Calculator'!A:A,0),0),0)</f>
        <v>0</v>
      </c>
      <c r="K3255" s="444">
        <f t="shared" ca="1" si="143"/>
        <v>-699997697.27954173</v>
      </c>
      <c r="L3255" s="444">
        <f t="shared" ca="1" si="144"/>
        <v>-168699445044.36957</v>
      </c>
      <c r="M3255" s="460">
        <f t="shared" si="146"/>
        <v>0.05</v>
      </c>
      <c r="N3255" s="464">
        <f t="shared" si="147"/>
        <v>150116</v>
      </c>
    </row>
    <row r="3256" spans="7:14" ht="11.25" customHeight="1" x14ac:dyDescent="0.3">
      <c r="G3256" s="459"/>
      <c r="H3256" s="459">
        <v>3249</v>
      </c>
      <c r="I3256" s="444">
        <f t="shared" ca="1" si="145"/>
        <v>-168699445044.36957</v>
      </c>
      <c r="J3256" s="444">
        <f t="array" ref="J3256">IFERROR(INDEX('Retirement Calculator'!K:K,MATCH('Lorri 401b'!N3256,'Retirement Calculator'!A:A,0),0),0)</f>
        <v>0</v>
      </c>
      <c r="K3256" s="444">
        <f t="shared" ca="1" si="143"/>
        <v>-702914354.35153985</v>
      </c>
      <c r="L3256" s="444">
        <f t="shared" ca="1" si="144"/>
        <v>-169402359398.7211</v>
      </c>
      <c r="M3256" s="460">
        <f t="shared" si="146"/>
        <v>0.05</v>
      </c>
      <c r="N3256" s="464">
        <f t="shared" si="147"/>
        <v>150147</v>
      </c>
    </row>
    <row r="3257" spans="7:14" ht="11.25" customHeight="1" x14ac:dyDescent="0.3">
      <c r="G3257" s="459"/>
      <c r="H3257" s="459">
        <v>3250</v>
      </c>
      <c r="I3257" s="444">
        <f t="shared" ca="1" si="145"/>
        <v>-169402359398.7211</v>
      </c>
      <c r="J3257" s="444">
        <f t="array" ref="J3257">IFERROR(INDEX('Retirement Calculator'!K:K,MATCH('Lorri 401b'!N3257,'Retirement Calculator'!A:A,0),0),0)</f>
        <v>0</v>
      </c>
      <c r="K3257" s="444">
        <f t="shared" ca="1" si="143"/>
        <v>-705843164.16133785</v>
      </c>
      <c r="L3257" s="444">
        <f t="shared" ca="1" si="144"/>
        <v>-170108202562.88245</v>
      </c>
      <c r="M3257" s="460">
        <f t="shared" si="146"/>
        <v>0.05</v>
      </c>
      <c r="N3257" s="464">
        <f t="shared" si="147"/>
        <v>150175</v>
      </c>
    </row>
    <row r="3258" spans="7:14" ht="11.25" customHeight="1" x14ac:dyDescent="0.3">
      <c r="G3258" s="459"/>
      <c r="H3258" s="459">
        <v>3251</v>
      </c>
      <c r="I3258" s="444">
        <f t="shared" ca="1" si="145"/>
        <v>-170108202562.88245</v>
      </c>
      <c r="J3258" s="444">
        <f t="array" ref="J3258">IFERROR(INDEX('Retirement Calculator'!K:K,MATCH('Lorri 401b'!N3258,'Retirement Calculator'!A:A,0),0),0)</f>
        <v>0</v>
      </c>
      <c r="K3258" s="444">
        <f t="shared" ca="1" si="143"/>
        <v>-708784177.34534347</v>
      </c>
      <c r="L3258" s="444">
        <f t="shared" ca="1" si="144"/>
        <v>-170816986740.22778</v>
      </c>
      <c r="M3258" s="460">
        <f t="shared" si="146"/>
        <v>0.05</v>
      </c>
      <c r="N3258" s="464">
        <f t="shared" si="147"/>
        <v>150206</v>
      </c>
    </row>
    <row r="3259" spans="7:14" ht="11.25" customHeight="1" x14ac:dyDescent="0.3">
      <c r="G3259" s="459"/>
      <c r="H3259" s="459">
        <v>3252</v>
      </c>
      <c r="I3259" s="444">
        <f t="shared" ca="1" si="145"/>
        <v>-170816986740.22778</v>
      </c>
      <c r="J3259" s="444">
        <f t="array" ref="J3259">IFERROR(INDEX('Retirement Calculator'!K:K,MATCH('Lorri 401b'!N3259,'Retirement Calculator'!A:A,0),0),0)</f>
        <v>0</v>
      </c>
      <c r="K3259" s="444">
        <f t="shared" ca="1" si="143"/>
        <v>-711737444.75094914</v>
      </c>
      <c r="L3259" s="444">
        <f t="shared" ca="1" si="144"/>
        <v>-171528724184.97873</v>
      </c>
      <c r="M3259" s="460">
        <f t="shared" si="146"/>
        <v>0.05</v>
      </c>
      <c r="N3259" s="464">
        <f t="shared" si="147"/>
        <v>150236</v>
      </c>
    </row>
    <row r="3260" spans="7:14" ht="11.25" customHeight="1" x14ac:dyDescent="0.3">
      <c r="G3260" s="459"/>
      <c r="H3260" s="459">
        <v>3253</v>
      </c>
      <c r="I3260" s="444">
        <f t="shared" ca="1" si="145"/>
        <v>-171528724184.97873</v>
      </c>
      <c r="J3260" s="444">
        <f t="array" ref="J3260">IFERROR(INDEX('Retirement Calculator'!K:K,MATCH('Lorri 401b'!N3260,'Retirement Calculator'!A:A,0),0),0)</f>
        <v>0</v>
      </c>
      <c r="K3260" s="444">
        <f t="shared" ca="1" si="143"/>
        <v>-714703017.43741131</v>
      </c>
      <c r="L3260" s="444">
        <f t="shared" ca="1" si="144"/>
        <v>-172243427202.41614</v>
      </c>
      <c r="M3260" s="460">
        <f t="shared" si="146"/>
        <v>0.05</v>
      </c>
      <c r="N3260" s="464">
        <f t="shared" si="147"/>
        <v>150267</v>
      </c>
    </row>
    <row r="3261" spans="7:14" ht="11.25" customHeight="1" x14ac:dyDescent="0.3">
      <c r="G3261" s="459"/>
      <c r="H3261" s="459">
        <v>3254</v>
      </c>
      <c r="I3261" s="444">
        <f t="shared" ca="1" si="145"/>
        <v>-172243427202.41614</v>
      </c>
      <c r="J3261" s="444">
        <f t="array" ref="J3261">IFERROR(INDEX('Retirement Calculator'!K:K,MATCH('Lorri 401b'!N3261,'Retirement Calculator'!A:A,0),0),0)</f>
        <v>0</v>
      </c>
      <c r="K3261" s="444">
        <f t="shared" ca="1" si="143"/>
        <v>-717680946.67673385</v>
      </c>
      <c r="L3261" s="444">
        <f t="shared" ca="1" si="144"/>
        <v>-172961108149.09286</v>
      </c>
      <c r="M3261" s="460">
        <f t="shared" si="146"/>
        <v>0.05</v>
      </c>
      <c r="N3261" s="464">
        <f t="shared" si="147"/>
        <v>150297</v>
      </c>
    </row>
    <row r="3262" spans="7:14" ht="11.25" customHeight="1" x14ac:dyDescent="0.3">
      <c r="G3262" s="459"/>
      <c r="H3262" s="459">
        <v>3255</v>
      </c>
      <c r="I3262" s="444">
        <f t="shared" ca="1" si="145"/>
        <v>-172961108149.09286</v>
      </c>
      <c r="J3262" s="444">
        <f t="array" ref="J3262">IFERROR(INDEX('Retirement Calculator'!K:K,MATCH('Lorri 401b'!N3262,'Retirement Calculator'!A:A,0),0),0)</f>
        <v>0</v>
      </c>
      <c r="K3262" s="444">
        <f t="shared" ca="1" si="143"/>
        <v>-720671283.9545536</v>
      </c>
      <c r="L3262" s="444">
        <f t="shared" ca="1" si="144"/>
        <v>-173681779433.04742</v>
      </c>
      <c r="M3262" s="460">
        <f t="shared" si="146"/>
        <v>0.05</v>
      </c>
      <c r="N3262" s="464">
        <f t="shared" si="147"/>
        <v>150328</v>
      </c>
    </row>
    <row r="3263" spans="7:14" ht="11.25" customHeight="1" x14ac:dyDescent="0.3">
      <c r="G3263" s="459"/>
      <c r="H3263" s="459">
        <v>3256</v>
      </c>
      <c r="I3263" s="444">
        <f t="shared" ca="1" si="145"/>
        <v>-173681779433.04742</v>
      </c>
      <c r="J3263" s="444">
        <f t="array" ref="J3263">IFERROR(INDEX('Retirement Calculator'!K:K,MATCH('Lorri 401b'!N3263,'Retirement Calculator'!A:A,0),0),0)</f>
        <v>0</v>
      </c>
      <c r="K3263" s="444">
        <f t="shared" ca="1" si="143"/>
        <v>-723674080.97103095</v>
      </c>
      <c r="L3263" s="444">
        <f t="shared" ca="1" si="144"/>
        <v>-174405453514.01846</v>
      </c>
      <c r="M3263" s="460">
        <f t="shared" si="146"/>
        <v>0.05</v>
      </c>
      <c r="N3263" s="464">
        <f t="shared" si="147"/>
        <v>150359</v>
      </c>
    </row>
    <row r="3264" spans="7:14" ht="11.25" customHeight="1" x14ac:dyDescent="0.3">
      <c r="G3264" s="459"/>
      <c r="H3264" s="459">
        <v>3257</v>
      </c>
      <c r="I3264" s="444">
        <f t="shared" ca="1" si="145"/>
        <v>-174405453514.01846</v>
      </c>
      <c r="J3264" s="444">
        <f t="array" ref="J3264">IFERROR(INDEX('Retirement Calculator'!K:K,MATCH('Lorri 401b'!N3264,'Retirement Calculator'!A:A,0),0),0)</f>
        <v>0</v>
      </c>
      <c r="K3264" s="444">
        <f t="shared" ca="1" si="143"/>
        <v>-726689389.64174354</v>
      </c>
      <c r="L3264" s="444">
        <f t="shared" ca="1" si="144"/>
        <v>-175132142903.66022</v>
      </c>
      <c r="M3264" s="460">
        <f t="shared" si="146"/>
        <v>0.05</v>
      </c>
      <c r="N3264" s="464">
        <f t="shared" si="147"/>
        <v>150389</v>
      </c>
    </row>
    <row r="3265" spans="7:14" ht="11.25" customHeight="1" x14ac:dyDescent="0.3">
      <c r="G3265" s="459"/>
      <c r="H3265" s="459">
        <v>3258</v>
      </c>
      <c r="I3265" s="444">
        <f t="shared" ca="1" si="145"/>
        <v>-175132142903.66022</v>
      </c>
      <c r="J3265" s="444">
        <f t="array" ref="J3265">IFERROR(INDEX('Retirement Calculator'!K:K,MATCH('Lorri 401b'!N3265,'Retirement Calculator'!A:A,0),0),0)</f>
        <v>0</v>
      </c>
      <c r="K3265" s="444">
        <f t="shared" ca="1" si="143"/>
        <v>-729717262.09858418</v>
      </c>
      <c r="L3265" s="444">
        <f t="shared" ca="1" si="144"/>
        <v>-175861860165.75879</v>
      </c>
      <c r="M3265" s="460">
        <f t="shared" si="146"/>
        <v>0.05</v>
      </c>
      <c r="N3265" s="464">
        <f t="shared" si="147"/>
        <v>150420</v>
      </c>
    </row>
    <row r="3266" spans="7:14" ht="11.25" customHeight="1" x14ac:dyDescent="0.3">
      <c r="G3266" s="459"/>
      <c r="H3266" s="459">
        <v>3259</v>
      </c>
      <c r="I3266" s="444">
        <f t="shared" ca="1" si="145"/>
        <v>-175861860165.75879</v>
      </c>
      <c r="J3266" s="444">
        <f t="array" ref="J3266">IFERROR(INDEX('Retirement Calculator'!K:K,MATCH('Lorri 401b'!N3266,'Retirement Calculator'!A:A,0),0),0)</f>
        <v>0</v>
      </c>
      <c r="K3266" s="444">
        <f t="shared" ca="1" si="143"/>
        <v>-732757750.69066167</v>
      </c>
      <c r="L3266" s="444">
        <f t="shared" ca="1" si="144"/>
        <v>-176594617916.44946</v>
      </c>
      <c r="M3266" s="460">
        <f t="shared" si="146"/>
        <v>0.05</v>
      </c>
      <c r="N3266" s="464">
        <f t="shared" si="147"/>
        <v>150450</v>
      </c>
    </row>
    <row r="3267" spans="7:14" ht="11.25" customHeight="1" x14ac:dyDescent="0.3">
      <c r="G3267" s="459"/>
      <c r="H3267" s="459">
        <v>3260</v>
      </c>
      <c r="I3267" s="444">
        <f t="shared" ca="1" si="145"/>
        <v>-176594617916.44946</v>
      </c>
      <c r="J3267" s="444">
        <f t="array" ref="J3267">IFERROR(INDEX('Retirement Calculator'!K:K,MATCH('Lorri 401b'!N3267,'Retirement Calculator'!A:A,0),0),0)</f>
        <v>0</v>
      </c>
      <c r="K3267" s="444">
        <f t="shared" ca="1" si="143"/>
        <v>-735810907.98520613</v>
      </c>
      <c r="L3267" s="444">
        <f t="shared" ca="1" si="144"/>
        <v>-177330428824.43466</v>
      </c>
      <c r="M3267" s="460">
        <f t="shared" si="146"/>
        <v>0.05</v>
      </c>
      <c r="N3267" s="464">
        <f t="shared" si="147"/>
        <v>150481</v>
      </c>
    </row>
    <row r="3268" spans="7:14" ht="11.25" customHeight="1" x14ac:dyDescent="0.3">
      <c r="G3268" s="459"/>
      <c r="H3268" s="459">
        <v>3261</v>
      </c>
      <c r="I3268" s="444">
        <f t="shared" ca="1" si="145"/>
        <v>-177330428824.43466</v>
      </c>
      <c r="J3268" s="444">
        <f t="array" ref="J3268">IFERROR(INDEX('Retirement Calculator'!K:K,MATCH('Lorri 401b'!N3268,'Retirement Calculator'!A:A,0),0),0)</f>
        <v>0</v>
      </c>
      <c r="K3268" s="444">
        <f t="shared" ca="1" si="143"/>
        <v>-738876786.7684778</v>
      </c>
      <c r="L3268" s="444">
        <f t="shared" ca="1" si="144"/>
        <v>-178069305611.20313</v>
      </c>
      <c r="M3268" s="460">
        <f t="shared" si="146"/>
        <v>0.05</v>
      </c>
      <c r="N3268" s="464">
        <f t="shared" si="147"/>
        <v>150512</v>
      </c>
    </row>
    <row r="3269" spans="7:14" ht="11.25" customHeight="1" x14ac:dyDescent="0.3">
      <c r="G3269" s="459"/>
      <c r="H3269" s="459">
        <v>3262</v>
      </c>
      <c r="I3269" s="444">
        <f t="shared" ca="1" si="145"/>
        <v>-178069305611.20313</v>
      </c>
      <c r="J3269" s="444">
        <f t="array" ref="J3269">IFERROR(INDEX('Retirement Calculator'!K:K,MATCH('Lorri 401b'!N3269,'Retirement Calculator'!A:A,0),0),0)</f>
        <v>0</v>
      </c>
      <c r="K3269" s="444">
        <f t="shared" ca="1" si="143"/>
        <v>-741955440.04667974</v>
      </c>
      <c r="L3269" s="444">
        <f t="shared" ca="1" si="144"/>
        <v>-178811261051.24982</v>
      </c>
      <c r="M3269" s="460">
        <f t="shared" si="146"/>
        <v>0.05</v>
      </c>
      <c r="N3269" s="464">
        <f t="shared" si="147"/>
        <v>150541</v>
      </c>
    </row>
    <row r="3270" spans="7:14" ht="11.25" customHeight="1" x14ac:dyDescent="0.3">
      <c r="G3270" s="459"/>
      <c r="H3270" s="459">
        <v>3263</v>
      </c>
      <c r="I3270" s="444">
        <f t="shared" ca="1" si="145"/>
        <v>-178811261051.24982</v>
      </c>
      <c r="J3270" s="444">
        <f t="array" ref="J3270">IFERROR(INDEX('Retirement Calculator'!K:K,MATCH('Lorri 401b'!N3270,'Retirement Calculator'!A:A,0),0),0)</f>
        <v>0</v>
      </c>
      <c r="K3270" s="444">
        <f t="shared" ca="1" si="143"/>
        <v>-745046921.04687428</v>
      </c>
      <c r="L3270" s="444">
        <f t="shared" ca="1" si="144"/>
        <v>-179556307972.29669</v>
      </c>
      <c r="M3270" s="460">
        <f t="shared" si="146"/>
        <v>0.05</v>
      </c>
      <c r="N3270" s="464">
        <f t="shared" si="147"/>
        <v>150572</v>
      </c>
    </row>
    <row r="3271" spans="7:14" ht="11.25" customHeight="1" x14ac:dyDescent="0.3">
      <c r="G3271" s="459"/>
      <c r="H3271" s="459">
        <v>3264</v>
      </c>
      <c r="I3271" s="444">
        <f t="shared" ca="1" si="145"/>
        <v>-179556307972.29669</v>
      </c>
      <c r="J3271" s="444">
        <f t="array" ref="J3271">IFERROR(INDEX('Retirement Calculator'!K:K,MATCH('Lorri 401b'!N3271,'Retirement Calculator'!A:A,0),0),0)</f>
        <v>0</v>
      </c>
      <c r="K3271" s="444">
        <f t="shared" ca="1" si="143"/>
        <v>-748151283.2179029</v>
      </c>
      <c r="L3271" s="444">
        <f t="shared" ca="1" si="144"/>
        <v>-180304459255.51459</v>
      </c>
      <c r="M3271" s="460">
        <f t="shared" si="146"/>
        <v>0.05</v>
      </c>
      <c r="N3271" s="464">
        <f t="shared" si="147"/>
        <v>150602</v>
      </c>
    </row>
    <row r="3272" spans="7:14" ht="11.25" customHeight="1" x14ac:dyDescent="0.3">
      <c r="G3272" s="459"/>
      <c r="H3272" s="459">
        <v>3265</v>
      </c>
      <c r="I3272" s="444">
        <f t="shared" ca="1" si="145"/>
        <v>-180304459255.51459</v>
      </c>
      <c r="J3272" s="444">
        <f t="array" ref="J3272">IFERROR(INDEX('Retirement Calculator'!K:K,MATCH('Lorri 401b'!N3272,'Retirement Calculator'!A:A,0),0),0)</f>
        <v>0</v>
      </c>
      <c r="K3272" s="444">
        <f t="shared" ca="1" si="143"/>
        <v>-751268580.23131073</v>
      </c>
      <c r="L3272" s="444">
        <f t="shared" ca="1" si="144"/>
        <v>-181055727835.74591</v>
      </c>
      <c r="M3272" s="460">
        <f t="shared" si="146"/>
        <v>0.05</v>
      </c>
      <c r="N3272" s="464">
        <f t="shared" si="147"/>
        <v>150633</v>
      </c>
    </row>
    <row r="3273" spans="7:14" ht="11.25" customHeight="1" x14ac:dyDescent="0.3">
      <c r="G3273" s="459"/>
      <c r="H3273" s="459">
        <v>3266</v>
      </c>
      <c r="I3273" s="444">
        <f t="shared" ca="1" si="145"/>
        <v>-181055727835.74591</v>
      </c>
      <c r="J3273" s="444">
        <f t="array" ref="J3273">IFERROR(INDEX('Retirement Calculator'!K:K,MATCH('Lorri 401b'!N3273,'Retirement Calculator'!A:A,0),0),0)</f>
        <v>0</v>
      </c>
      <c r="K3273" s="444">
        <f t="shared" ca="1" si="143"/>
        <v>-754398865.98227465</v>
      </c>
      <c r="L3273" s="444">
        <f t="shared" ca="1" si="144"/>
        <v>-181810126701.72818</v>
      </c>
      <c r="M3273" s="460">
        <f t="shared" si="146"/>
        <v>0.05</v>
      </c>
      <c r="N3273" s="464">
        <f t="shared" si="147"/>
        <v>150663</v>
      </c>
    </row>
    <row r="3274" spans="7:14" ht="11.25" customHeight="1" x14ac:dyDescent="0.3">
      <c r="G3274" s="459"/>
      <c r="H3274" s="459">
        <v>3267</v>
      </c>
      <c r="I3274" s="444">
        <f t="shared" ca="1" si="145"/>
        <v>-181810126701.72818</v>
      </c>
      <c r="J3274" s="444">
        <f t="array" ref="J3274">IFERROR(INDEX('Retirement Calculator'!K:K,MATCH('Lorri 401b'!N3274,'Retirement Calculator'!A:A,0),0),0)</f>
        <v>0</v>
      </c>
      <c r="K3274" s="444">
        <f t="shared" ca="1" si="143"/>
        <v>-757542194.59053409</v>
      </c>
      <c r="L3274" s="444">
        <f t="shared" ca="1" si="144"/>
        <v>-182567668896.31873</v>
      </c>
      <c r="M3274" s="460">
        <f t="shared" si="146"/>
        <v>0.05</v>
      </c>
      <c r="N3274" s="464">
        <f t="shared" si="147"/>
        <v>150694</v>
      </c>
    </row>
    <row r="3275" spans="7:14" ht="11.25" customHeight="1" x14ac:dyDescent="0.3">
      <c r="G3275" s="459"/>
      <c r="H3275" s="459">
        <v>3268</v>
      </c>
      <c r="I3275" s="444">
        <f t="shared" ca="1" si="145"/>
        <v>-182567668896.31873</v>
      </c>
      <c r="J3275" s="444">
        <f t="array" ref="J3275">IFERROR(INDEX('Retirement Calculator'!K:K,MATCH('Lorri 401b'!N3275,'Retirement Calculator'!A:A,0),0),0)</f>
        <v>0</v>
      </c>
      <c r="K3275" s="444">
        <f t="shared" ca="1" si="143"/>
        <v>-760698620.40132797</v>
      </c>
      <c r="L3275" s="444">
        <f t="shared" ca="1" si="144"/>
        <v>-183328367516.72006</v>
      </c>
      <c r="M3275" s="460">
        <f t="shared" si="146"/>
        <v>0.05</v>
      </c>
      <c r="N3275" s="464">
        <f t="shared" si="147"/>
        <v>150725</v>
      </c>
    </row>
    <row r="3276" spans="7:14" ht="11.25" customHeight="1" x14ac:dyDescent="0.3">
      <c r="G3276" s="459"/>
      <c r="H3276" s="459">
        <v>3269</v>
      </c>
      <c r="I3276" s="444">
        <f t="shared" ca="1" si="145"/>
        <v>-183328367516.72006</v>
      </c>
      <c r="J3276" s="444">
        <f t="array" ref="J3276">IFERROR(INDEX('Retirement Calculator'!K:K,MATCH('Lorri 401b'!N3276,'Retirement Calculator'!A:A,0),0),0)</f>
        <v>0</v>
      </c>
      <c r="K3276" s="444">
        <f t="shared" ca="1" si="143"/>
        <v>-763868197.98633361</v>
      </c>
      <c r="L3276" s="444">
        <f t="shared" ca="1" si="144"/>
        <v>-184092235714.70639</v>
      </c>
      <c r="M3276" s="460">
        <f t="shared" si="146"/>
        <v>0.05</v>
      </c>
      <c r="N3276" s="464">
        <f t="shared" si="147"/>
        <v>150755</v>
      </c>
    </row>
    <row r="3277" spans="7:14" ht="11.25" customHeight="1" x14ac:dyDescent="0.3">
      <c r="G3277" s="459"/>
      <c r="H3277" s="459">
        <v>3270</v>
      </c>
      <c r="I3277" s="444">
        <f t="shared" ca="1" si="145"/>
        <v>-184092235714.70639</v>
      </c>
      <c r="J3277" s="444">
        <f t="array" ref="J3277">IFERROR(INDEX('Retirement Calculator'!K:K,MATCH('Lorri 401b'!N3277,'Retirement Calculator'!A:A,0),0),0)</f>
        <v>0</v>
      </c>
      <c r="K3277" s="444">
        <f t="shared" ca="1" si="143"/>
        <v>-767050982.14460993</v>
      </c>
      <c r="L3277" s="444">
        <f t="shared" ca="1" si="144"/>
        <v>-184859286696.85101</v>
      </c>
      <c r="M3277" s="460">
        <f t="shared" si="146"/>
        <v>0.05</v>
      </c>
      <c r="N3277" s="464">
        <f t="shared" si="147"/>
        <v>150786</v>
      </c>
    </row>
    <row r="3278" spans="7:14" ht="11.25" customHeight="1" x14ac:dyDescent="0.3">
      <c r="G3278" s="459"/>
      <c r="H3278" s="459">
        <v>3271</v>
      </c>
      <c r="I3278" s="444">
        <f t="shared" ca="1" si="145"/>
        <v>-184859286696.85101</v>
      </c>
      <c r="J3278" s="444">
        <f t="array" ref="J3278">IFERROR(INDEX('Retirement Calculator'!K:K,MATCH('Lorri 401b'!N3278,'Retirement Calculator'!A:A,0),0),0)</f>
        <v>0</v>
      </c>
      <c r="K3278" s="444">
        <f t="shared" ca="1" si="143"/>
        <v>-770247027.90354586</v>
      </c>
      <c r="L3278" s="444">
        <f t="shared" ca="1" si="144"/>
        <v>-185629533724.75455</v>
      </c>
      <c r="M3278" s="460">
        <f t="shared" si="146"/>
        <v>0.05</v>
      </c>
      <c r="N3278" s="464">
        <f t="shared" si="147"/>
        <v>150816</v>
      </c>
    </row>
    <row r="3279" spans="7:14" ht="11.25" customHeight="1" x14ac:dyDescent="0.3">
      <c r="G3279" s="459"/>
      <c r="H3279" s="459">
        <v>3272</v>
      </c>
      <c r="I3279" s="444">
        <f t="shared" ca="1" si="145"/>
        <v>-185629533724.75455</v>
      </c>
      <c r="J3279" s="444">
        <f t="array" ref="J3279">IFERROR(INDEX('Retirement Calculator'!K:K,MATCH('Lorri 401b'!N3279,'Retirement Calculator'!A:A,0),0),0)</f>
        <v>0</v>
      </c>
      <c r="K3279" s="444">
        <f t="shared" ca="1" si="143"/>
        <v>-773456390.51981056</v>
      </c>
      <c r="L3279" s="444">
        <f t="shared" ca="1" si="144"/>
        <v>-186402990115.27435</v>
      </c>
      <c r="M3279" s="460">
        <f t="shared" si="146"/>
        <v>0.05</v>
      </c>
      <c r="N3279" s="464">
        <f t="shared" si="147"/>
        <v>150847</v>
      </c>
    </row>
    <row r="3280" spans="7:14" ht="11.25" customHeight="1" x14ac:dyDescent="0.3">
      <c r="G3280" s="459"/>
      <c r="H3280" s="459">
        <v>3273</v>
      </c>
      <c r="I3280" s="444">
        <f t="shared" ca="1" si="145"/>
        <v>-186402990115.27435</v>
      </c>
      <c r="J3280" s="444">
        <f t="array" ref="J3280">IFERROR(INDEX('Retirement Calculator'!K:K,MATCH('Lorri 401b'!N3280,'Retirement Calculator'!A:A,0),0),0)</f>
        <v>0</v>
      </c>
      <c r="K3280" s="444">
        <f t="shared" ca="1" si="143"/>
        <v>-776679125.48030984</v>
      </c>
      <c r="L3280" s="444">
        <f t="shared" ca="1" si="144"/>
        <v>-187179669240.75467</v>
      </c>
      <c r="M3280" s="460">
        <f t="shared" si="146"/>
        <v>0.05</v>
      </c>
      <c r="N3280" s="464">
        <f t="shared" si="147"/>
        <v>150878</v>
      </c>
    </row>
    <row r="3281" spans="7:14" ht="11.25" customHeight="1" x14ac:dyDescent="0.3">
      <c r="G3281" s="459"/>
      <c r="H3281" s="459">
        <v>3274</v>
      </c>
      <c r="I3281" s="444">
        <f t="shared" ca="1" si="145"/>
        <v>-187179669240.75467</v>
      </c>
      <c r="J3281" s="444">
        <f t="array" ref="J3281">IFERROR(INDEX('Retirement Calculator'!K:K,MATCH('Lorri 401b'!N3281,'Retirement Calculator'!A:A,0),0),0)</f>
        <v>0</v>
      </c>
      <c r="K3281" s="444">
        <f t="shared" ca="1" si="143"/>
        <v>-779915288.5031445</v>
      </c>
      <c r="L3281" s="444">
        <f t="shared" ca="1" si="144"/>
        <v>-187959584529.25781</v>
      </c>
      <c r="M3281" s="460">
        <f t="shared" si="146"/>
        <v>0.05</v>
      </c>
      <c r="N3281" s="464">
        <f t="shared" si="147"/>
        <v>150906</v>
      </c>
    </row>
    <row r="3282" spans="7:14" ht="11.25" customHeight="1" x14ac:dyDescent="0.3">
      <c r="G3282" s="459"/>
      <c r="H3282" s="459">
        <v>3275</v>
      </c>
      <c r="I3282" s="444">
        <f t="shared" ca="1" si="145"/>
        <v>-187959584529.25781</v>
      </c>
      <c r="J3282" s="444">
        <f t="array" ref="J3282">IFERROR(INDEX('Retirement Calculator'!K:K,MATCH('Lorri 401b'!N3282,'Retirement Calculator'!A:A,0),0),0)</f>
        <v>0</v>
      </c>
      <c r="K3282" s="444">
        <f t="shared" ca="1" si="143"/>
        <v>-783164935.53857422</v>
      </c>
      <c r="L3282" s="444">
        <f t="shared" ca="1" si="144"/>
        <v>-188742749464.79639</v>
      </c>
      <c r="M3282" s="460">
        <f t="shared" si="146"/>
        <v>0.05</v>
      </c>
      <c r="N3282" s="464">
        <f t="shared" si="147"/>
        <v>150937</v>
      </c>
    </row>
    <row r="3283" spans="7:14" ht="11.25" customHeight="1" x14ac:dyDescent="0.3">
      <c r="G3283" s="459"/>
      <c r="H3283" s="459">
        <v>3276</v>
      </c>
      <c r="I3283" s="444">
        <f t="shared" ca="1" si="145"/>
        <v>-188742749464.79639</v>
      </c>
      <c r="J3283" s="444">
        <f t="array" ref="J3283">IFERROR(INDEX('Retirement Calculator'!K:K,MATCH('Lorri 401b'!N3283,'Retirement Calculator'!A:A,0),0),0)</f>
        <v>0</v>
      </c>
      <c r="K3283" s="444">
        <f t="shared" ca="1" si="143"/>
        <v>-786428122.76998496</v>
      </c>
      <c r="L3283" s="444">
        <f t="shared" ca="1" si="144"/>
        <v>-189529177587.56638</v>
      </c>
      <c r="M3283" s="460">
        <f t="shared" si="146"/>
        <v>0.05</v>
      </c>
      <c r="N3283" s="464">
        <f t="shared" si="147"/>
        <v>150967</v>
      </c>
    </row>
    <row r="3284" spans="7:14" ht="11.25" customHeight="1" x14ac:dyDescent="0.3">
      <c r="G3284" s="459"/>
      <c r="H3284" s="459">
        <v>3277</v>
      </c>
      <c r="I3284" s="444">
        <f t="shared" ca="1" si="145"/>
        <v>-189529177587.56638</v>
      </c>
      <c r="J3284" s="444">
        <f t="array" ref="J3284">IFERROR(INDEX('Retirement Calculator'!K:K,MATCH('Lorri 401b'!N3284,'Retirement Calculator'!A:A,0),0),0)</f>
        <v>0</v>
      </c>
      <c r="K3284" s="444">
        <f t="shared" ca="1" si="143"/>
        <v>-789704906.61485994</v>
      </c>
      <c r="L3284" s="444">
        <f t="shared" ca="1" si="144"/>
        <v>-190318882494.18124</v>
      </c>
      <c r="M3284" s="460">
        <f t="shared" si="146"/>
        <v>0.05</v>
      </c>
      <c r="N3284" s="464">
        <f t="shared" si="147"/>
        <v>150998</v>
      </c>
    </row>
    <row r="3285" spans="7:14" ht="11.25" customHeight="1" x14ac:dyDescent="0.3">
      <c r="G3285" s="459"/>
      <c r="H3285" s="459">
        <v>3278</v>
      </c>
      <c r="I3285" s="444">
        <f t="shared" ca="1" si="145"/>
        <v>-190318882494.18124</v>
      </c>
      <c r="J3285" s="444">
        <f t="array" ref="J3285">IFERROR(INDEX('Retirement Calculator'!K:K,MATCH('Lorri 401b'!N3285,'Retirement Calculator'!A:A,0),0),0)</f>
        <v>0</v>
      </c>
      <c r="K3285" s="444">
        <f t="shared" ca="1" si="143"/>
        <v>-792995343.72575521</v>
      </c>
      <c r="L3285" s="444">
        <f t="shared" ca="1" si="144"/>
        <v>-191111877837.90701</v>
      </c>
      <c r="M3285" s="460">
        <f t="shared" si="146"/>
        <v>0.05</v>
      </c>
      <c r="N3285" s="464">
        <f t="shared" si="147"/>
        <v>151028</v>
      </c>
    </row>
    <row r="3286" spans="7:14" ht="11.25" customHeight="1" x14ac:dyDescent="0.3">
      <c r="G3286" s="459"/>
      <c r="H3286" s="459">
        <v>3279</v>
      </c>
      <c r="I3286" s="444">
        <f t="shared" ca="1" si="145"/>
        <v>-191111877837.90701</v>
      </c>
      <c r="J3286" s="444">
        <f t="array" ref="J3286">IFERROR(INDEX('Retirement Calculator'!K:K,MATCH('Lorri 401b'!N3286,'Retirement Calculator'!A:A,0),0),0)</f>
        <v>0</v>
      </c>
      <c r="K3286" s="444">
        <f t="shared" ca="1" si="143"/>
        <v>-796299490.99127924</v>
      </c>
      <c r="L3286" s="444">
        <f t="shared" ca="1" si="144"/>
        <v>-191908177328.89828</v>
      </c>
      <c r="M3286" s="460">
        <f t="shared" si="146"/>
        <v>0.05</v>
      </c>
      <c r="N3286" s="464">
        <f t="shared" si="147"/>
        <v>151059</v>
      </c>
    </row>
    <row r="3287" spans="7:14" ht="11.25" customHeight="1" x14ac:dyDescent="0.3">
      <c r="G3287" s="459"/>
      <c r="H3287" s="459">
        <v>3280</v>
      </c>
      <c r="I3287" s="444">
        <f t="shared" ca="1" si="145"/>
        <v>-191908177328.89828</v>
      </c>
      <c r="J3287" s="444">
        <f t="array" ref="J3287">IFERROR(INDEX('Retirement Calculator'!K:K,MATCH('Lorri 401b'!N3287,'Retirement Calculator'!A:A,0),0),0)</f>
        <v>0</v>
      </c>
      <c r="K3287" s="444">
        <f t="shared" ca="1" si="143"/>
        <v>-799617405.53707623</v>
      </c>
      <c r="L3287" s="444">
        <f t="shared" ca="1" si="144"/>
        <v>-192707794734.43536</v>
      </c>
      <c r="M3287" s="460">
        <f t="shared" si="146"/>
        <v>0.05</v>
      </c>
      <c r="N3287" s="464">
        <f t="shared" si="147"/>
        <v>151090</v>
      </c>
    </row>
    <row r="3288" spans="7:14" ht="11.25" customHeight="1" x14ac:dyDescent="0.3">
      <c r="G3288" s="459"/>
      <c r="H3288" s="459">
        <v>3281</v>
      </c>
      <c r="I3288" s="444">
        <f t="shared" ca="1" si="145"/>
        <v>-192707794734.43536</v>
      </c>
      <c r="J3288" s="444">
        <f t="array" ref="J3288">IFERROR(INDEX('Retirement Calculator'!K:K,MATCH('Lorri 401b'!N3288,'Retirement Calculator'!A:A,0),0),0)</f>
        <v>0</v>
      </c>
      <c r="K3288" s="444">
        <f t="shared" ca="1" si="143"/>
        <v>-802949144.72681403</v>
      </c>
      <c r="L3288" s="444">
        <f t="shared" ca="1" si="144"/>
        <v>-193510743879.16217</v>
      </c>
      <c r="M3288" s="460">
        <f t="shared" si="146"/>
        <v>0.05</v>
      </c>
      <c r="N3288" s="464">
        <f t="shared" si="147"/>
        <v>151120</v>
      </c>
    </row>
    <row r="3289" spans="7:14" ht="11.25" customHeight="1" x14ac:dyDescent="0.3">
      <c r="G3289" s="459"/>
      <c r="H3289" s="459">
        <v>3282</v>
      </c>
      <c r="I3289" s="444">
        <f t="shared" ca="1" si="145"/>
        <v>-193510743879.16217</v>
      </c>
      <c r="J3289" s="444">
        <f t="array" ref="J3289">IFERROR(INDEX('Retirement Calculator'!K:K,MATCH('Lorri 401b'!N3289,'Retirement Calculator'!A:A,0),0),0)</f>
        <v>0</v>
      </c>
      <c r="K3289" s="444">
        <f t="shared" ca="1" si="143"/>
        <v>-806294766.1631757</v>
      </c>
      <c r="L3289" s="444">
        <f t="shared" ca="1" si="144"/>
        <v>-194317038645.32535</v>
      </c>
      <c r="M3289" s="460">
        <f t="shared" si="146"/>
        <v>0.05</v>
      </c>
      <c r="N3289" s="464">
        <f t="shared" si="147"/>
        <v>151151</v>
      </c>
    </row>
    <row r="3290" spans="7:14" ht="11.25" customHeight="1" x14ac:dyDescent="0.3">
      <c r="G3290" s="459"/>
      <c r="H3290" s="459">
        <v>3283</v>
      </c>
      <c r="I3290" s="444">
        <f t="shared" ca="1" si="145"/>
        <v>-194317038645.32535</v>
      </c>
      <c r="J3290" s="444">
        <f t="array" ref="J3290">IFERROR(INDEX('Retirement Calculator'!K:K,MATCH('Lorri 401b'!N3290,'Retirement Calculator'!A:A,0),0),0)</f>
        <v>0</v>
      </c>
      <c r="K3290" s="444">
        <f t="shared" ca="1" si="143"/>
        <v>-809654327.68885565</v>
      </c>
      <c r="L3290" s="444">
        <f t="shared" ca="1" si="144"/>
        <v>-195126692973.01419</v>
      </c>
      <c r="M3290" s="460">
        <f t="shared" si="146"/>
        <v>0.05</v>
      </c>
      <c r="N3290" s="464">
        <f t="shared" si="147"/>
        <v>151181</v>
      </c>
    </row>
    <row r="3291" spans="7:14" ht="11.25" customHeight="1" x14ac:dyDescent="0.3">
      <c r="G3291" s="459"/>
      <c r="H3291" s="459">
        <v>3284</v>
      </c>
      <c r="I3291" s="444">
        <f t="shared" ca="1" si="145"/>
        <v>-195126692973.01419</v>
      </c>
      <c r="J3291" s="444">
        <f t="array" ref="J3291">IFERROR(INDEX('Retirement Calculator'!K:K,MATCH('Lorri 401b'!N3291,'Retirement Calculator'!A:A,0),0),0)</f>
        <v>0</v>
      </c>
      <c r="K3291" s="444">
        <f t="shared" ca="1" si="143"/>
        <v>-813027887.38755918</v>
      </c>
      <c r="L3291" s="444">
        <f t="shared" ca="1" si="144"/>
        <v>-195939720860.40176</v>
      </c>
      <c r="M3291" s="460">
        <f t="shared" si="146"/>
        <v>0.05</v>
      </c>
      <c r="N3291" s="464">
        <f t="shared" si="147"/>
        <v>151212</v>
      </c>
    </row>
    <row r="3292" spans="7:14" ht="11.25" customHeight="1" x14ac:dyDescent="0.3">
      <c r="G3292" s="459"/>
      <c r="H3292" s="459">
        <v>3285</v>
      </c>
      <c r="I3292" s="444">
        <f t="shared" ca="1" si="145"/>
        <v>-195939720860.40176</v>
      </c>
      <c r="J3292" s="444">
        <f t="array" ref="J3292">IFERROR(INDEX('Retirement Calculator'!K:K,MATCH('Lorri 401b'!N3292,'Retirement Calculator'!A:A,0),0),0)</f>
        <v>0</v>
      </c>
      <c r="K3292" s="444">
        <f t="shared" ca="1" si="143"/>
        <v>-816415503.58500731</v>
      </c>
      <c r="L3292" s="444">
        <f t="shared" ca="1" si="144"/>
        <v>-196756136363.98679</v>
      </c>
      <c r="M3292" s="460">
        <f t="shared" si="146"/>
        <v>0.05</v>
      </c>
      <c r="N3292" s="464">
        <f t="shared" si="147"/>
        <v>151243</v>
      </c>
    </row>
    <row r="3293" spans="7:14" ht="11.25" customHeight="1" x14ac:dyDescent="0.3">
      <c r="G3293" s="459"/>
      <c r="H3293" s="459">
        <v>3286</v>
      </c>
      <c r="I3293" s="444">
        <f t="shared" ca="1" si="145"/>
        <v>-196756136363.98679</v>
      </c>
      <c r="J3293" s="444">
        <f t="array" ref="J3293">IFERROR(INDEX('Retirement Calculator'!K:K,MATCH('Lorri 401b'!N3293,'Retirement Calculator'!A:A,0),0),0)</f>
        <v>0</v>
      </c>
      <c r="K3293" s="444">
        <f t="shared" ca="1" si="143"/>
        <v>-819817234.84994495</v>
      </c>
      <c r="L3293" s="444">
        <f t="shared" ca="1" si="144"/>
        <v>-197575953598.83673</v>
      </c>
      <c r="M3293" s="460">
        <f t="shared" si="146"/>
        <v>0.05</v>
      </c>
      <c r="N3293" s="464">
        <f t="shared" si="147"/>
        <v>151271</v>
      </c>
    </row>
    <row r="3294" spans="7:14" ht="11.25" customHeight="1" x14ac:dyDescent="0.3">
      <c r="G3294" s="459"/>
      <c r="H3294" s="459">
        <v>3287</v>
      </c>
      <c r="I3294" s="444">
        <f t="shared" ca="1" si="145"/>
        <v>-197575953598.83673</v>
      </c>
      <c r="J3294" s="444">
        <f t="array" ref="J3294">IFERROR(INDEX('Retirement Calculator'!K:K,MATCH('Lorri 401b'!N3294,'Retirement Calculator'!A:A,0),0),0)</f>
        <v>0</v>
      </c>
      <c r="K3294" s="444">
        <f t="shared" ca="1" si="143"/>
        <v>-823233139.99515307</v>
      </c>
      <c r="L3294" s="444">
        <f t="shared" ca="1" si="144"/>
        <v>-198399186738.83188</v>
      </c>
      <c r="M3294" s="460">
        <f t="shared" si="146"/>
        <v>0.05</v>
      </c>
      <c r="N3294" s="464">
        <f t="shared" si="147"/>
        <v>151302</v>
      </c>
    </row>
    <row r="3295" spans="7:14" ht="11.25" customHeight="1" x14ac:dyDescent="0.3">
      <c r="G3295" s="459"/>
      <c r="H3295" s="459">
        <v>3288</v>
      </c>
      <c r="I3295" s="444">
        <f t="shared" ca="1" si="145"/>
        <v>-198399186738.83188</v>
      </c>
      <c r="J3295" s="444">
        <f t="array" ref="J3295">IFERROR(INDEX('Retirement Calculator'!K:K,MATCH('Lorri 401b'!N3295,'Retirement Calculator'!A:A,0),0),0)</f>
        <v>0</v>
      </c>
      <c r="K3295" s="444">
        <f t="shared" ca="1" si="143"/>
        <v>-826663278.07846618</v>
      </c>
      <c r="L3295" s="444">
        <f t="shared" ca="1" si="144"/>
        <v>-199225850016.91034</v>
      </c>
      <c r="M3295" s="460">
        <f t="shared" si="146"/>
        <v>0.05</v>
      </c>
      <c r="N3295" s="464">
        <f t="shared" si="147"/>
        <v>151332</v>
      </c>
    </row>
    <row r="3296" spans="7:14" ht="11.25" customHeight="1" x14ac:dyDescent="0.3">
      <c r="G3296" s="459"/>
      <c r="H3296" s="459">
        <v>3289</v>
      </c>
      <c r="I3296" s="444">
        <f t="shared" ca="1" si="145"/>
        <v>-199225850016.91034</v>
      </c>
      <c r="J3296" s="444">
        <f t="array" ref="J3296">IFERROR(INDEX('Retirement Calculator'!K:K,MATCH('Lorri 401b'!N3296,'Retirement Calculator'!A:A,0),0),0)</f>
        <v>0</v>
      </c>
      <c r="K3296" s="444">
        <f t="shared" ca="1" si="143"/>
        <v>-830107708.4037931</v>
      </c>
      <c r="L3296" s="444">
        <f t="shared" ca="1" si="144"/>
        <v>-200055957725.31412</v>
      </c>
      <c r="M3296" s="460">
        <f t="shared" si="146"/>
        <v>0.05</v>
      </c>
      <c r="N3296" s="464">
        <f t="shared" si="147"/>
        <v>151363</v>
      </c>
    </row>
    <row r="3297" spans="7:14" ht="11.25" customHeight="1" x14ac:dyDescent="0.3">
      <c r="G3297" s="459"/>
      <c r="H3297" s="459">
        <v>3290</v>
      </c>
      <c r="I3297" s="444">
        <f t="shared" ca="1" si="145"/>
        <v>-200055957725.31412</v>
      </c>
      <c r="J3297" s="444">
        <f t="array" ref="J3297">IFERROR(INDEX('Retirement Calculator'!K:K,MATCH('Lorri 401b'!N3297,'Retirement Calculator'!A:A,0),0),0)</f>
        <v>0</v>
      </c>
      <c r="K3297" s="444">
        <f t="shared" ca="1" si="143"/>
        <v>-833566490.52214217</v>
      </c>
      <c r="L3297" s="444">
        <f t="shared" ca="1" si="144"/>
        <v>-200889524215.83627</v>
      </c>
      <c r="M3297" s="460">
        <f t="shared" si="146"/>
        <v>0.05</v>
      </c>
      <c r="N3297" s="464">
        <f t="shared" si="147"/>
        <v>151393</v>
      </c>
    </row>
    <row r="3298" spans="7:14" ht="11.25" customHeight="1" x14ac:dyDescent="0.3">
      <c r="G3298" s="459"/>
      <c r="H3298" s="459">
        <v>3291</v>
      </c>
      <c r="I3298" s="444">
        <f t="shared" ca="1" si="145"/>
        <v>-200889524215.83627</v>
      </c>
      <c r="J3298" s="444">
        <f t="array" ref="J3298">IFERROR(INDEX('Retirement Calculator'!K:K,MATCH('Lorri 401b'!N3298,'Retirement Calculator'!A:A,0),0),0)</f>
        <v>0</v>
      </c>
      <c r="K3298" s="444">
        <f t="shared" ca="1" si="143"/>
        <v>-837039684.23265111</v>
      </c>
      <c r="L3298" s="444">
        <f t="shared" ca="1" si="144"/>
        <v>-201726563900.06894</v>
      </c>
      <c r="M3298" s="460">
        <f t="shared" si="146"/>
        <v>0.05</v>
      </c>
      <c r="N3298" s="464">
        <f t="shared" si="147"/>
        <v>151424</v>
      </c>
    </row>
    <row r="3299" spans="7:14" ht="11.25" customHeight="1" x14ac:dyDescent="0.3">
      <c r="G3299" s="459"/>
      <c r="H3299" s="459">
        <v>3292</v>
      </c>
      <c r="I3299" s="444">
        <f t="shared" ca="1" si="145"/>
        <v>-201726563900.06894</v>
      </c>
      <c r="J3299" s="444">
        <f t="array" ref="J3299">IFERROR(INDEX('Retirement Calculator'!K:K,MATCH('Lorri 401b'!N3299,'Retirement Calculator'!A:A,0),0),0)</f>
        <v>0</v>
      </c>
      <c r="K3299" s="444">
        <f t="shared" ca="1" si="143"/>
        <v>-840527349.58362055</v>
      </c>
      <c r="L3299" s="444">
        <f t="shared" ca="1" si="144"/>
        <v>-202567091249.65256</v>
      </c>
      <c r="M3299" s="460">
        <f t="shared" si="146"/>
        <v>0.05</v>
      </c>
      <c r="N3299" s="464">
        <f t="shared" si="147"/>
        <v>151455</v>
      </c>
    </row>
    <row r="3300" spans="7:14" ht="11.25" customHeight="1" x14ac:dyDescent="0.3">
      <c r="G3300" s="459"/>
      <c r="H3300" s="459">
        <v>3293</v>
      </c>
      <c r="I3300" s="444">
        <f t="shared" ca="1" si="145"/>
        <v>-202567091249.65256</v>
      </c>
      <c r="J3300" s="444">
        <f t="array" ref="J3300">IFERROR(INDEX('Retirement Calculator'!K:K,MATCH('Lorri 401b'!N3300,'Retirement Calculator'!A:A,0),0),0)</f>
        <v>0</v>
      </c>
      <c r="K3300" s="444">
        <f t="shared" ca="1" si="143"/>
        <v>-844029546.87355232</v>
      </c>
      <c r="L3300" s="444">
        <f t="shared" ca="1" si="144"/>
        <v>-203411120796.52612</v>
      </c>
      <c r="M3300" s="460">
        <f t="shared" si="146"/>
        <v>0.05</v>
      </c>
      <c r="N3300" s="464">
        <f t="shared" si="147"/>
        <v>151485</v>
      </c>
    </row>
    <row r="3301" spans="7:14" ht="11.25" customHeight="1" x14ac:dyDescent="0.3">
      <c r="G3301" s="459"/>
      <c r="H3301" s="459">
        <v>3294</v>
      </c>
      <c r="I3301" s="444">
        <f t="shared" ca="1" si="145"/>
        <v>-203411120796.52612</v>
      </c>
      <c r="J3301" s="444">
        <f t="array" ref="J3301">IFERROR(INDEX('Retirement Calculator'!K:K,MATCH('Lorri 401b'!N3301,'Retirement Calculator'!A:A,0),0),0)</f>
        <v>0</v>
      </c>
      <c r="K3301" s="444">
        <f t="shared" ca="1" si="143"/>
        <v>-847546336.65219212</v>
      </c>
      <c r="L3301" s="444">
        <f t="shared" ca="1" si="144"/>
        <v>-204258667133.17831</v>
      </c>
      <c r="M3301" s="460">
        <f t="shared" si="146"/>
        <v>0.05</v>
      </c>
      <c r="N3301" s="464">
        <f t="shared" si="147"/>
        <v>151516</v>
      </c>
    </row>
    <row r="3302" spans="7:14" ht="11.25" customHeight="1" x14ac:dyDescent="0.3">
      <c r="G3302" s="459"/>
      <c r="H3302" s="459">
        <v>3295</v>
      </c>
      <c r="I3302" s="444">
        <f t="shared" ca="1" si="145"/>
        <v>-204258667133.17831</v>
      </c>
      <c r="J3302" s="444">
        <f t="array" ref="J3302">IFERROR(INDEX('Retirement Calculator'!K:K,MATCH('Lorri 401b'!N3302,'Retirement Calculator'!A:A,0),0),0)</f>
        <v>0</v>
      </c>
      <c r="K3302" s="444">
        <f t="shared" ca="1" si="143"/>
        <v>-851077779.72157633</v>
      </c>
      <c r="L3302" s="444">
        <f t="shared" ca="1" si="144"/>
        <v>-205109744912.8999</v>
      </c>
      <c r="M3302" s="460">
        <f t="shared" si="146"/>
        <v>0.05</v>
      </c>
      <c r="N3302" s="464">
        <f t="shared" si="147"/>
        <v>151546</v>
      </c>
    </row>
    <row r="3303" spans="7:14" ht="11.25" customHeight="1" x14ac:dyDescent="0.3">
      <c r="G3303" s="459"/>
      <c r="H3303" s="459">
        <v>3296</v>
      </c>
      <c r="I3303" s="444">
        <f t="shared" ca="1" si="145"/>
        <v>-205109744912.8999</v>
      </c>
      <c r="J3303" s="444">
        <f t="array" ref="J3303">IFERROR(INDEX('Retirement Calculator'!K:K,MATCH('Lorri 401b'!N3303,'Retirement Calculator'!A:A,0),0),0)</f>
        <v>0</v>
      </c>
      <c r="K3303" s="444">
        <f t="shared" ca="1" si="143"/>
        <v>-854623937.13708293</v>
      </c>
      <c r="L3303" s="444">
        <f t="shared" ca="1" si="144"/>
        <v>-205964368850.03699</v>
      </c>
      <c r="M3303" s="460">
        <f t="shared" si="146"/>
        <v>0.05</v>
      </c>
      <c r="N3303" s="464">
        <f t="shared" si="147"/>
        <v>151577</v>
      </c>
    </row>
    <row r="3304" spans="7:14" ht="11.25" customHeight="1" x14ac:dyDescent="0.3">
      <c r="G3304" s="459"/>
      <c r="H3304" s="459">
        <v>3297</v>
      </c>
      <c r="I3304" s="444">
        <f t="shared" ca="1" si="145"/>
        <v>-205964368850.03699</v>
      </c>
      <c r="J3304" s="444">
        <f t="array" ref="J3304">IFERROR(INDEX('Retirement Calculator'!K:K,MATCH('Lorri 401b'!N3304,'Retirement Calculator'!A:A,0),0),0)</f>
        <v>0</v>
      </c>
      <c r="K3304" s="444">
        <f t="shared" ca="1" si="143"/>
        <v>-858184870.20848739</v>
      </c>
      <c r="L3304" s="444">
        <f t="shared" ca="1" si="144"/>
        <v>-206822553720.24548</v>
      </c>
      <c r="M3304" s="460">
        <f t="shared" si="146"/>
        <v>0.05</v>
      </c>
      <c r="N3304" s="464">
        <f t="shared" si="147"/>
        <v>151608</v>
      </c>
    </row>
    <row r="3305" spans="7:14" ht="11.25" customHeight="1" x14ac:dyDescent="0.3">
      <c r="G3305" s="459"/>
      <c r="H3305" s="459">
        <v>3298</v>
      </c>
      <c r="I3305" s="444">
        <f t="shared" ca="1" si="145"/>
        <v>-206822553720.24548</v>
      </c>
      <c r="J3305" s="444">
        <f t="array" ref="J3305">IFERROR(INDEX('Retirement Calculator'!K:K,MATCH('Lorri 401b'!N3305,'Retirement Calculator'!A:A,0),0),0)</f>
        <v>0</v>
      </c>
      <c r="K3305" s="444">
        <f t="shared" ca="1" si="143"/>
        <v>-861760640.50102282</v>
      </c>
      <c r="L3305" s="444">
        <f t="shared" ca="1" si="144"/>
        <v>-207684314360.74652</v>
      </c>
      <c r="M3305" s="460">
        <f t="shared" si="146"/>
        <v>0.05</v>
      </c>
      <c r="N3305" s="464">
        <f t="shared" si="147"/>
        <v>151636</v>
      </c>
    </row>
    <row r="3306" spans="7:14" ht="11.25" customHeight="1" x14ac:dyDescent="0.3">
      <c r="G3306" s="459"/>
      <c r="H3306" s="459">
        <v>3299</v>
      </c>
      <c r="I3306" s="444">
        <f t="shared" ca="1" si="145"/>
        <v>-207684314360.74652</v>
      </c>
      <c r="J3306" s="444">
        <f t="array" ref="J3306">IFERROR(INDEX('Retirement Calculator'!K:K,MATCH('Lorri 401b'!N3306,'Retirement Calculator'!A:A,0),0),0)</f>
        <v>0</v>
      </c>
      <c r="K3306" s="444">
        <f t="shared" ca="1" si="143"/>
        <v>-865351309.83644378</v>
      </c>
      <c r="L3306" s="444">
        <f t="shared" ca="1" si="144"/>
        <v>-208549665670.58298</v>
      </c>
      <c r="M3306" s="460">
        <f t="shared" si="146"/>
        <v>0.05</v>
      </c>
      <c r="N3306" s="464">
        <f t="shared" si="147"/>
        <v>151667</v>
      </c>
    </row>
    <row r="3307" spans="7:14" ht="11.25" customHeight="1" x14ac:dyDescent="0.3">
      <c r="G3307" s="459"/>
      <c r="H3307" s="459">
        <v>3300</v>
      </c>
      <c r="I3307" s="444">
        <f t="shared" ca="1" si="145"/>
        <v>-208549665670.58298</v>
      </c>
      <c r="J3307" s="444">
        <f t="array" ref="J3307">IFERROR(INDEX('Retirement Calculator'!K:K,MATCH('Lorri 401b'!N3307,'Retirement Calculator'!A:A,0),0),0)</f>
        <v>0</v>
      </c>
      <c r="K3307" s="444">
        <f t="shared" ca="1" si="143"/>
        <v>-868956940.29409575</v>
      </c>
      <c r="L3307" s="444">
        <f t="shared" ca="1" si="144"/>
        <v>-209418622610.87708</v>
      </c>
      <c r="M3307" s="460">
        <f t="shared" si="146"/>
        <v>0.05</v>
      </c>
      <c r="N3307" s="464">
        <f t="shared" si="147"/>
        <v>151697</v>
      </c>
    </row>
    <row r="3308" spans="7:14" ht="11.25" customHeight="1" x14ac:dyDescent="0.3">
      <c r="G3308" s="459"/>
      <c r="H3308" s="459">
        <v>3301</v>
      </c>
      <c r="I3308" s="444">
        <f t="shared" ca="1" si="145"/>
        <v>-209418622610.87708</v>
      </c>
      <c r="J3308" s="444">
        <f t="array" ref="J3308">IFERROR(INDEX('Retirement Calculator'!K:K,MATCH('Lorri 401b'!N3308,'Retirement Calculator'!A:A,0),0),0)</f>
        <v>0</v>
      </c>
      <c r="K3308" s="444">
        <f t="shared" ca="1" si="143"/>
        <v>-872577594.21198785</v>
      </c>
      <c r="L3308" s="444">
        <f t="shared" ca="1" si="144"/>
        <v>-210291200205.08905</v>
      </c>
      <c r="M3308" s="460">
        <f t="shared" si="146"/>
        <v>0.05</v>
      </c>
      <c r="N3308" s="464">
        <f t="shared" si="147"/>
        <v>151728</v>
      </c>
    </row>
    <row r="3309" spans="7:14" ht="11.25" customHeight="1" x14ac:dyDescent="0.3">
      <c r="G3309" s="459"/>
      <c r="H3309" s="459">
        <v>3302</v>
      </c>
      <c r="I3309" s="444">
        <f t="shared" ca="1" si="145"/>
        <v>-210291200205.08905</v>
      </c>
      <c r="J3309" s="444">
        <f t="array" ref="J3309">IFERROR(INDEX('Retirement Calculator'!K:K,MATCH('Lorri 401b'!N3309,'Retirement Calculator'!A:A,0),0),0)</f>
        <v>0</v>
      </c>
      <c r="K3309" s="444">
        <f t="shared" ca="1" si="143"/>
        <v>-876213334.18787098</v>
      </c>
      <c r="L3309" s="444">
        <f t="shared" ca="1" si="144"/>
        <v>-211167413539.27692</v>
      </c>
      <c r="M3309" s="460">
        <f t="shared" si="146"/>
        <v>0.05</v>
      </c>
      <c r="N3309" s="464">
        <f t="shared" si="147"/>
        <v>151758</v>
      </c>
    </row>
    <row r="3310" spans="7:14" ht="11.25" customHeight="1" x14ac:dyDescent="0.3">
      <c r="G3310" s="459"/>
      <c r="H3310" s="459">
        <v>3303</v>
      </c>
      <c r="I3310" s="444">
        <f t="shared" ca="1" si="145"/>
        <v>-211167413539.27692</v>
      </c>
      <c r="J3310" s="444">
        <f t="array" ref="J3310">IFERROR(INDEX('Retirement Calculator'!K:K,MATCH('Lorri 401b'!N3310,'Retirement Calculator'!A:A,0),0),0)</f>
        <v>0</v>
      </c>
      <c r="K3310" s="444">
        <f t="shared" ca="1" si="143"/>
        <v>-879864223.08032048</v>
      </c>
      <c r="L3310" s="444">
        <f t="shared" ca="1" si="144"/>
        <v>-212047277762.35724</v>
      </c>
      <c r="M3310" s="460">
        <f t="shared" si="146"/>
        <v>0.05</v>
      </c>
      <c r="N3310" s="464">
        <f t="shared" si="147"/>
        <v>151789</v>
      </c>
    </row>
    <row r="3311" spans="7:14" ht="11.25" customHeight="1" x14ac:dyDescent="0.3">
      <c r="G3311" s="459"/>
      <c r="H3311" s="459">
        <v>3304</v>
      </c>
      <c r="I3311" s="444">
        <f t="shared" ca="1" si="145"/>
        <v>-212047277762.35724</v>
      </c>
      <c r="J3311" s="444">
        <f t="array" ref="J3311">IFERROR(INDEX('Retirement Calculator'!K:K,MATCH('Lorri 401b'!N3311,'Retirement Calculator'!A:A,0),0),0)</f>
        <v>0</v>
      </c>
      <c r="K3311" s="444">
        <f t="shared" ca="1" si="143"/>
        <v>-883530324.00982177</v>
      </c>
      <c r="L3311" s="444">
        <f t="shared" ca="1" si="144"/>
        <v>-212930808086.36707</v>
      </c>
      <c r="M3311" s="460">
        <f t="shared" si="146"/>
        <v>0.05</v>
      </c>
      <c r="N3311" s="464">
        <f t="shared" si="147"/>
        <v>151820</v>
      </c>
    </row>
    <row r="3312" spans="7:14" ht="11.25" customHeight="1" x14ac:dyDescent="0.3">
      <c r="G3312" s="459"/>
      <c r="H3312" s="459">
        <v>3305</v>
      </c>
      <c r="I3312" s="444">
        <f t="shared" ca="1" si="145"/>
        <v>-212930808086.36707</v>
      </c>
      <c r="J3312" s="444">
        <f t="array" ref="J3312">IFERROR(INDEX('Retirement Calculator'!K:K,MATCH('Lorri 401b'!N3312,'Retirement Calculator'!A:A,0),0),0)</f>
        <v>0</v>
      </c>
      <c r="K3312" s="444">
        <f t="shared" ca="1" si="143"/>
        <v>-887211700.3598628</v>
      </c>
      <c r="L3312" s="444">
        <f t="shared" ca="1" si="144"/>
        <v>-213818019786.72693</v>
      </c>
      <c r="M3312" s="460">
        <f t="shared" si="146"/>
        <v>0.05</v>
      </c>
      <c r="N3312" s="464">
        <f t="shared" si="147"/>
        <v>151850</v>
      </c>
    </row>
    <row r="3313" spans="7:14" ht="11.25" customHeight="1" x14ac:dyDescent="0.3">
      <c r="G3313" s="459"/>
      <c r="H3313" s="459">
        <v>3306</v>
      </c>
      <c r="I3313" s="444">
        <f t="shared" ca="1" si="145"/>
        <v>-213818019786.72693</v>
      </c>
      <c r="J3313" s="444">
        <f t="array" ref="J3313">IFERROR(INDEX('Retirement Calculator'!K:K,MATCH('Lorri 401b'!N3313,'Retirement Calculator'!A:A,0),0),0)</f>
        <v>0</v>
      </c>
      <c r="K3313" s="444">
        <f t="shared" ca="1" si="143"/>
        <v>-890908415.77802885</v>
      </c>
      <c r="L3313" s="444">
        <f t="shared" ca="1" si="144"/>
        <v>-214708928202.50494</v>
      </c>
      <c r="M3313" s="460">
        <f t="shared" si="146"/>
        <v>0.05</v>
      </c>
      <c r="N3313" s="464">
        <f t="shared" si="147"/>
        <v>151881</v>
      </c>
    </row>
    <row r="3314" spans="7:14" ht="11.25" customHeight="1" x14ac:dyDescent="0.3">
      <c r="G3314" s="459"/>
      <c r="H3314" s="459">
        <v>3307</v>
      </c>
      <c r="I3314" s="444">
        <f t="shared" ca="1" si="145"/>
        <v>-214708928202.50494</v>
      </c>
      <c r="J3314" s="444">
        <f t="array" ref="J3314">IFERROR(INDEX('Retirement Calculator'!K:K,MATCH('Lorri 401b'!N3314,'Retirement Calculator'!A:A,0),0),0)</f>
        <v>0</v>
      </c>
      <c r="K3314" s="444">
        <f t="shared" ca="1" si="143"/>
        <v>-894620534.177104</v>
      </c>
      <c r="L3314" s="444">
        <f t="shared" ca="1" si="144"/>
        <v>-215603548736.68204</v>
      </c>
      <c r="M3314" s="460">
        <f t="shared" si="146"/>
        <v>0.05</v>
      </c>
      <c r="N3314" s="464">
        <f t="shared" si="147"/>
        <v>151911</v>
      </c>
    </row>
    <row r="3315" spans="7:14" ht="11.25" customHeight="1" x14ac:dyDescent="0.3">
      <c r="G3315" s="459"/>
      <c r="H3315" s="459">
        <v>3308</v>
      </c>
      <c r="I3315" s="444">
        <f t="shared" ca="1" si="145"/>
        <v>-215603548736.68204</v>
      </c>
      <c r="J3315" s="444">
        <f t="array" ref="J3315">IFERROR(INDEX('Retirement Calculator'!K:K,MATCH('Lorri 401b'!N3315,'Retirement Calculator'!A:A,0),0),0)</f>
        <v>0</v>
      </c>
      <c r="K3315" s="444">
        <f t="shared" ca="1" si="143"/>
        <v>-898348119.7361753</v>
      </c>
      <c r="L3315" s="444">
        <f t="shared" ca="1" si="144"/>
        <v>-216501896856.41821</v>
      </c>
      <c r="M3315" s="460">
        <f t="shared" si="146"/>
        <v>0.05</v>
      </c>
      <c r="N3315" s="464">
        <f t="shared" si="147"/>
        <v>151942</v>
      </c>
    </row>
    <row r="3316" spans="7:14" ht="11.25" customHeight="1" x14ac:dyDescent="0.3">
      <c r="G3316" s="459"/>
      <c r="H3316" s="459">
        <v>3309</v>
      </c>
      <c r="I3316" s="444">
        <f t="shared" ca="1" si="145"/>
        <v>-216501896856.41821</v>
      </c>
      <c r="J3316" s="444">
        <f t="array" ref="J3316">IFERROR(INDEX('Retirement Calculator'!K:K,MATCH('Lorri 401b'!N3316,'Retirement Calculator'!A:A,0),0),0)</f>
        <v>0</v>
      </c>
      <c r="K3316" s="444">
        <f t="shared" ca="1" si="143"/>
        <v>-902091236.90174258</v>
      </c>
      <c r="L3316" s="444">
        <f t="shared" ca="1" si="144"/>
        <v>-217403988093.31995</v>
      </c>
      <c r="M3316" s="460">
        <f t="shared" si="146"/>
        <v>0.05</v>
      </c>
      <c r="N3316" s="464">
        <f t="shared" si="147"/>
        <v>151973</v>
      </c>
    </row>
    <row r="3317" spans="7:14" ht="11.25" customHeight="1" x14ac:dyDescent="0.3">
      <c r="G3317" s="459"/>
      <c r="H3317" s="459">
        <v>3310</v>
      </c>
      <c r="I3317" s="444">
        <f t="shared" ca="1" si="145"/>
        <v>-217403988093.31995</v>
      </c>
      <c r="J3317" s="444">
        <f t="array" ref="J3317">IFERROR(INDEX('Retirement Calculator'!K:K,MATCH('Lorri 401b'!N3317,'Retirement Calculator'!A:A,0),0),0)</f>
        <v>0</v>
      </c>
      <c r="K3317" s="444">
        <f t="shared" ca="1" si="143"/>
        <v>-905849950.38883317</v>
      </c>
      <c r="L3317" s="444">
        <f t="shared" ca="1" si="144"/>
        <v>-218309838043.70877</v>
      </c>
      <c r="M3317" s="460">
        <f t="shared" si="146"/>
        <v>0.05</v>
      </c>
      <c r="N3317" s="464">
        <f t="shared" si="147"/>
        <v>152002</v>
      </c>
    </row>
    <row r="3318" spans="7:14" ht="11.25" customHeight="1" x14ac:dyDescent="0.3">
      <c r="G3318" s="459"/>
      <c r="H3318" s="459">
        <v>3311</v>
      </c>
      <c r="I3318" s="444">
        <f t="shared" ca="1" si="145"/>
        <v>-218309838043.70877</v>
      </c>
      <c r="J3318" s="444">
        <f t="array" ref="J3318">IFERROR(INDEX('Retirement Calculator'!K:K,MATCH('Lorri 401b'!N3318,'Retirement Calculator'!A:A,0),0),0)</f>
        <v>0</v>
      </c>
      <c r="K3318" s="444">
        <f t="shared" ca="1" si="143"/>
        <v>-909624325.18211985</v>
      </c>
      <c r="L3318" s="444">
        <f t="shared" ca="1" si="144"/>
        <v>-219219462368.8909</v>
      </c>
      <c r="M3318" s="460">
        <f t="shared" si="146"/>
        <v>0.05</v>
      </c>
      <c r="N3318" s="464">
        <f t="shared" si="147"/>
        <v>152033</v>
      </c>
    </row>
    <row r="3319" spans="7:14" ht="11.25" customHeight="1" x14ac:dyDescent="0.3">
      <c r="G3319" s="459"/>
      <c r="H3319" s="459">
        <v>3312</v>
      </c>
      <c r="I3319" s="444">
        <f t="shared" ca="1" si="145"/>
        <v>-219219462368.8909</v>
      </c>
      <c r="J3319" s="444">
        <f t="array" ref="J3319">IFERROR(INDEX('Retirement Calculator'!K:K,MATCH('Lorri 401b'!N3319,'Retirement Calculator'!A:A,0),0),0)</f>
        <v>0</v>
      </c>
      <c r="K3319" s="444">
        <f t="shared" ca="1" si="143"/>
        <v>-913414426.53704536</v>
      </c>
      <c r="L3319" s="444">
        <f t="shared" ca="1" si="144"/>
        <v>-220132876795.42795</v>
      </c>
      <c r="M3319" s="460">
        <f t="shared" si="146"/>
        <v>0.05</v>
      </c>
      <c r="N3319" s="464">
        <f t="shared" si="147"/>
        <v>152063</v>
      </c>
    </row>
    <row r="3320" spans="7:14" ht="11.25" customHeight="1" x14ac:dyDescent="0.3">
      <c r="G3320" s="459"/>
      <c r="H3320" s="459">
        <v>3313</v>
      </c>
      <c r="I3320" s="444">
        <f t="shared" ca="1" si="145"/>
        <v>-220132876795.42795</v>
      </c>
      <c r="J3320" s="444">
        <f t="array" ref="J3320">IFERROR(INDEX('Retirement Calculator'!K:K,MATCH('Lorri 401b'!N3320,'Retirement Calculator'!A:A,0),0),0)</f>
        <v>0</v>
      </c>
      <c r="K3320" s="444">
        <f t="shared" ca="1" si="143"/>
        <v>-917220319.98094964</v>
      </c>
      <c r="L3320" s="444">
        <f t="shared" ca="1" si="144"/>
        <v>-221050097115.40891</v>
      </c>
      <c r="M3320" s="460">
        <f t="shared" si="146"/>
        <v>0.05</v>
      </c>
      <c r="N3320" s="464">
        <f t="shared" si="147"/>
        <v>152094</v>
      </c>
    </row>
    <row r="3321" spans="7:14" ht="11.25" customHeight="1" x14ac:dyDescent="0.3">
      <c r="G3321" s="459"/>
      <c r="H3321" s="459">
        <v>3314</v>
      </c>
      <c r="I3321" s="444">
        <f t="shared" ca="1" si="145"/>
        <v>-221050097115.40891</v>
      </c>
      <c r="J3321" s="444">
        <f t="array" ref="J3321">IFERROR(INDEX('Retirement Calculator'!K:K,MATCH('Lorri 401b'!N3321,'Retirement Calculator'!A:A,0),0),0)</f>
        <v>0</v>
      </c>
      <c r="K3321" s="444">
        <f t="shared" ca="1" si="143"/>
        <v>-921042071.31420362</v>
      </c>
      <c r="L3321" s="444">
        <f t="shared" ca="1" si="144"/>
        <v>-221971139186.72311</v>
      </c>
      <c r="M3321" s="460">
        <f t="shared" si="146"/>
        <v>0.05</v>
      </c>
      <c r="N3321" s="464">
        <f t="shared" si="147"/>
        <v>152124</v>
      </c>
    </row>
    <row r="3322" spans="7:14" ht="11.25" customHeight="1" x14ac:dyDescent="0.3">
      <c r="G3322" s="459"/>
      <c r="H3322" s="459">
        <v>3315</v>
      </c>
      <c r="I3322" s="444">
        <f t="shared" ca="1" si="145"/>
        <v>-221971139186.72311</v>
      </c>
      <c r="J3322" s="444">
        <f t="array" ref="J3322">IFERROR(INDEX('Retirement Calculator'!K:K,MATCH('Lorri 401b'!N3322,'Retirement Calculator'!A:A,0),0),0)</f>
        <v>0</v>
      </c>
      <c r="K3322" s="444">
        <f t="shared" ca="1" si="143"/>
        <v>-924879746.61134624</v>
      </c>
      <c r="L3322" s="444">
        <f t="shared" ca="1" si="144"/>
        <v>-222896018933.33447</v>
      </c>
      <c r="M3322" s="460">
        <f t="shared" si="146"/>
        <v>0.05</v>
      </c>
      <c r="N3322" s="464">
        <f t="shared" si="147"/>
        <v>152155</v>
      </c>
    </row>
    <row r="3323" spans="7:14" ht="11.25" customHeight="1" x14ac:dyDescent="0.3">
      <c r="G3323" s="459"/>
      <c r="H3323" s="459">
        <v>3316</v>
      </c>
      <c r="I3323" s="444">
        <f t="shared" ca="1" si="145"/>
        <v>-222896018933.33447</v>
      </c>
      <c r="J3323" s="444">
        <f t="array" ref="J3323">IFERROR(INDEX('Retirement Calculator'!K:K,MATCH('Lorri 401b'!N3323,'Retirement Calculator'!A:A,0),0),0)</f>
        <v>0</v>
      </c>
      <c r="K3323" s="444">
        <f t="shared" ref="K3323:K3577" ca="1" si="148">IPMT(M3323/12,1,12,-I3323+J3323,,0)</f>
        <v>-928733412.22222698</v>
      </c>
      <c r="L3323" s="444">
        <f t="shared" ref="L3323:L3577" ca="1" si="149">I3323-J3323+K3323</f>
        <v>-223824752345.5567</v>
      </c>
      <c r="M3323" s="460">
        <f t="shared" si="146"/>
        <v>0.05</v>
      </c>
      <c r="N3323" s="464">
        <f t="shared" si="147"/>
        <v>152186</v>
      </c>
    </row>
    <row r="3324" spans="7:14" ht="11.25" customHeight="1" x14ac:dyDescent="0.3">
      <c r="G3324" s="459"/>
      <c r="H3324" s="459">
        <v>3317</v>
      </c>
      <c r="I3324" s="444">
        <f t="shared" ref="I3324:I3578" ca="1" si="150">L3323</f>
        <v>-223824752345.5567</v>
      </c>
      <c r="J3324" s="444">
        <f t="array" ref="J3324">IFERROR(INDEX('Retirement Calculator'!K:K,MATCH('Lorri 401b'!N3324,'Retirement Calculator'!A:A,0),0),0)</f>
        <v>0</v>
      </c>
      <c r="K3324" s="444">
        <f t="shared" ca="1" si="148"/>
        <v>-932603134.77315295</v>
      </c>
      <c r="L3324" s="444">
        <f t="shared" ca="1" si="149"/>
        <v>-224757355480.32986</v>
      </c>
      <c r="M3324" s="460">
        <f t="shared" ref="M3324:M3578" si="151">M3323</f>
        <v>0.05</v>
      </c>
      <c r="N3324" s="464">
        <f t="shared" ref="N3324:N3578" si="152">EDATE(N3323,1)</f>
        <v>152216</v>
      </c>
    </row>
    <row r="3325" spans="7:14" ht="11.25" customHeight="1" x14ac:dyDescent="0.3">
      <c r="G3325" s="459"/>
      <c r="H3325" s="459">
        <v>3318</v>
      </c>
      <c r="I3325" s="444">
        <f t="shared" ca="1" si="150"/>
        <v>-224757355480.32986</v>
      </c>
      <c r="J3325" s="444">
        <f t="array" ref="J3325">IFERROR(INDEX('Retirement Calculator'!K:K,MATCH('Lorri 401b'!N3325,'Retirement Calculator'!A:A,0),0),0)</f>
        <v>0</v>
      </c>
      <c r="K3325" s="444">
        <f t="shared" ca="1" si="148"/>
        <v>-936488981.16804111</v>
      </c>
      <c r="L3325" s="444">
        <f t="shared" ca="1" si="149"/>
        <v>-225693844461.49789</v>
      </c>
      <c r="M3325" s="460">
        <f t="shared" si="151"/>
        <v>0.05</v>
      </c>
      <c r="N3325" s="464">
        <f t="shared" si="152"/>
        <v>152247</v>
      </c>
    </row>
    <row r="3326" spans="7:14" ht="11.25" customHeight="1" x14ac:dyDescent="0.3">
      <c r="G3326" s="459"/>
      <c r="H3326" s="459">
        <v>3319</v>
      </c>
      <c r="I3326" s="444">
        <f t="shared" ca="1" si="150"/>
        <v>-225693844461.49789</v>
      </c>
      <c r="J3326" s="444">
        <f t="array" ref="J3326">IFERROR(INDEX('Retirement Calculator'!K:K,MATCH('Lorri 401b'!N3326,'Retirement Calculator'!A:A,0),0),0)</f>
        <v>0</v>
      </c>
      <c r="K3326" s="444">
        <f t="shared" ca="1" si="148"/>
        <v>-940391018.58957469</v>
      </c>
      <c r="L3326" s="444">
        <f t="shared" ca="1" si="149"/>
        <v>-226634235480.08746</v>
      </c>
      <c r="M3326" s="460">
        <f t="shared" si="151"/>
        <v>0.05</v>
      </c>
      <c r="N3326" s="464">
        <f t="shared" si="152"/>
        <v>152277</v>
      </c>
    </row>
    <row r="3327" spans="7:14" ht="11.25" customHeight="1" x14ac:dyDescent="0.3">
      <c r="G3327" s="459"/>
      <c r="H3327" s="459">
        <v>3320</v>
      </c>
      <c r="I3327" s="444">
        <f t="shared" ca="1" si="150"/>
        <v>-226634235480.08746</v>
      </c>
      <c r="J3327" s="444">
        <f t="array" ref="J3327">IFERROR(INDEX('Retirement Calculator'!K:K,MATCH('Lorri 401b'!N3327,'Retirement Calculator'!A:A,0),0),0)</f>
        <v>0</v>
      </c>
      <c r="K3327" s="444">
        <f t="shared" ca="1" si="148"/>
        <v>-944309314.5003643</v>
      </c>
      <c r="L3327" s="444">
        <f t="shared" ca="1" si="149"/>
        <v>-227578544794.58783</v>
      </c>
      <c r="M3327" s="460">
        <f t="shared" si="151"/>
        <v>0.05</v>
      </c>
      <c r="N3327" s="464">
        <f t="shared" si="152"/>
        <v>152308</v>
      </c>
    </row>
    <row r="3328" spans="7:14" ht="11.25" customHeight="1" x14ac:dyDescent="0.3">
      <c r="G3328" s="459"/>
      <c r="H3328" s="459">
        <v>3321</v>
      </c>
      <c r="I3328" s="444">
        <f t="shared" ca="1" si="150"/>
        <v>-227578544794.58783</v>
      </c>
      <c r="J3328" s="444">
        <f t="array" ref="J3328">IFERROR(INDEX('Retirement Calculator'!K:K,MATCH('Lorri 401b'!N3328,'Retirement Calculator'!A:A,0),0),0)</f>
        <v>0</v>
      </c>
      <c r="K3328" s="444">
        <f t="shared" ca="1" si="148"/>
        <v>-948243936.64411581</v>
      </c>
      <c r="L3328" s="444">
        <f t="shared" ca="1" si="149"/>
        <v>-228526788731.23193</v>
      </c>
      <c r="M3328" s="460">
        <f t="shared" si="151"/>
        <v>0.05</v>
      </c>
      <c r="N3328" s="464">
        <f t="shared" si="152"/>
        <v>152339</v>
      </c>
    </row>
    <row r="3329" spans="7:14" ht="11.25" customHeight="1" x14ac:dyDescent="0.3">
      <c r="G3329" s="459"/>
      <c r="H3329" s="459">
        <v>3322</v>
      </c>
      <c r="I3329" s="444">
        <f t="shared" ca="1" si="150"/>
        <v>-228526788731.23193</v>
      </c>
      <c r="J3329" s="444">
        <f t="array" ref="J3329">IFERROR(INDEX('Retirement Calculator'!K:K,MATCH('Lorri 401b'!N3329,'Retirement Calculator'!A:A,0),0),0)</f>
        <v>0</v>
      </c>
      <c r="K3329" s="444">
        <f t="shared" ca="1" si="148"/>
        <v>-952194953.04679954</v>
      </c>
      <c r="L3329" s="444">
        <f t="shared" ca="1" si="149"/>
        <v>-229478983684.27875</v>
      </c>
      <c r="M3329" s="460">
        <f t="shared" si="151"/>
        <v>0.05</v>
      </c>
      <c r="N3329" s="464">
        <f t="shared" si="152"/>
        <v>152367</v>
      </c>
    </row>
    <row r="3330" spans="7:14" ht="11.25" customHeight="1" x14ac:dyDescent="0.3">
      <c r="G3330" s="459"/>
      <c r="H3330" s="459">
        <v>3323</v>
      </c>
      <c r="I3330" s="444">
        <f t="shared" ca="1" si="150"/>
        <v>-229478983684.27875</v>
      </c>
      <c r="J3330" s="444">
        <f t="array" ref="J3330">IFERROR(INDEX('Retirement Calculator'!K:K,MATCH('Lorri 401b'!N3330,'Retirement Calculator'!A:A,0),0),0)</f>
        <v>0</v>
      </c>
      <c r="K3330" s="444">
        <f t="shared" ca="1" si="148"/>
        <v>-956162432.01782811</v>
      </c>
      <c r="L3330" s="444">
        <f t="shared" ca="1" si="149"/>
        <v>-230435146116.29657</v>
      </c>
      <c r="M3330" s="460">
        <f t="shared" si="151"/>
        <v>0.05</v>
      </c>
      <c r="N3330" s="464">
        <f t="shared" si="152"/>
        <v>152398</v>
      </c>
    </row>
    <row r="3331" spans="7:14" ht="11.25" customHeight="1" x14ac:dyDescent="0.3">
      <c r="G3331" s="459"/>
      <c r="H3331" s="459">
        <v>3324</v>
      </c>
      <c r="I3331" s="444">
        <f t="shared" ca="1" si="150"/>
        <v>-230435146116.29657</v>
      </c>
      <c r="J3331" s="444">
        <f t="array" ref="J3331">IFERROR(INDEX('Retirement Calculator'!K:K,MATCH('Lorri 401b'!N3331,'Retirement Calculator'!A:A,0),0),0)</f>
        <v>0</v>
      </c>
      <c r="K3331" s="444">
        <f t="shared" ca="1" si="148"/>
        <v>-960146442.1512357</v>
      </c>
      <c r="L3331" s="444">
        <f t="shared" ca="1" si="149"/>
        <v>-231395292558.44781</v>
      </c>
      <c r="M3331" s="460">
        <f t="shared" si="151"/>
        <v>0.05</v>
      </c>
      <c r="N3331" s="464">
        <f t="shared" si="152"/>
        <v>152428</v>
      </c>
    </row>
    <row r="3332" spans="7:14" ht="11.25" customHeight="1" x14ac:dyDescent="0.3">
      <c r="G3332" s="459"/>
      <c r="H3332" s="459">
        <v>3325</v>
      </c>
      <c r="I3332" s="444">
        <f t="shared" ca="1" si="150"/>
        <v>-231395292558.44781</v>
      </c>
      <c r="J3332" s="444">
        <f t="array" ref="J3332">IFERROR(INDEX('Retirement Calculator'!K:K,MATCH('Lorri 401b'!N3332,'Retirement Calculator'!A:A,0),0),0)</f>
        <v>0</v>
      </c>
      <c r="K3332" s="444">
        <f t="shared" ca="1" si="148"/>
        <v>-964147052.32686603</v>
      </c>
      <c r="L3332" s="444">
        <f t="shared" ca="1" si="149"/>
        <v>-232359439610.77469</v>
      </c>
      <c r="M3332" s="460">
        <f t="shared" si="151"/>
        <v>0.05</v>
      </c>
      <c r="N3332" s="464">
        <f t="shared" si="152"/>
        <v>152459</v>
      </c>
    </row>
    <row r="3333" spans="7:14" ht="11.25" customHeight="1" x14ac:dyDescent="0.3">
      <c r="G3333" s="459"/>
      <c r="H3333" s="459">
        <v>3326</v>
      </c>
      <c r="I3333" s="444">
        <f t="shared" ca="1" si="150"/>
        <v>-232359439610.77469</v>
      </c>
      <c r="J3333" s="444">
        <f t="array" ref="J3333">IFERROR(INDEX('Retirement Calculator'!K:K,MATCH('Lorri 401b'!N3333,'Retirement Calculator'!A:A,0),0),0)</f>
        <v>0</v>
      </c>
      <c r="K3333" s="444">
        <f t="shared" ca="1" si="148"/>
        <v>-968164331.7115612</v>
      </c>
      <c r="L3333" s="444">
        <f t="shared" ca="1" si="149"/>
        <v>-233327603942.48624</v>
      </c>
      <c r="M3333" s="460">
        <f t="shared" si="151"/>
        <v>0.05</v>
      </c>
      <c r="N3333" s="464">
        <f t="shared" si="152"/>
        <v>152489</v>
      </c>
    </row>
    <row r="3334" spans="7:14" ht="11.25" customHeight="1" x14ac:dyDescent="0.3">
      <c r="G3334" s="459"/>
      <c r="H3334" s="459">
        <v>3327</v>
      </c>
      <c r="I3334" s="444">
        <f t="shared" ca="1" si="150"/>
        <v>-233327603942.48624</v>
      </c>
      <c r="J3334" s="444">
        <f t="array" ref="J3334">IFERROR(INDEX('Retirement Calculator'!K:K,MATCH('Lorri 401b'!N3334,'Retirement Calculator'!A:A,0),0),0)</f>
        <v>0</v>
      </c>
      <c r="K3334" s="444">
        <f t="shared" ca="1" si="148"/>
        <v>-972198349.76035917</v>
      </c>
      <c r="L3334" s="444">
        <f t="shared" ca="1" si="149"/>
        <v>-234299802292.24658</v>
      </c>
      <c r="M3334" s="460">
        <f t="shared" si="151"/>
        <v>0.05</v>
      </c>
      <c r="N3334" s="464">
        <f t="shared" si="152"/>
        <v>152520</v>
      </c>
    </row>
    <row r="3335" spans="7:14" ht="11.25" customHeight="1" x14ac:dyDescent="0.3">
      <c r="G3335" s="459"/>
      <c r="H3335" s="459">
        <v>3328</v>
      </c>
      <c r="I3335" s="444">
        <f t="shared" ca="1" si="150"/>
        <v>-234299802292.24658</v>
      </c>
      <c r="J3335" s="444">
        <f t="array" ref="J3335">IFERROR(INDEX('Retirement Calculator'!K:K,MATCH('Lorri 401b'!N3335,'Retirement Calculator'!A:A,0),0),0)</f>
        <v>0</v>
      </c>
      <c r="K3335" s="444">
        <f t="shared" ca="1" si="148"/>
        <v>-976249176.21769404</v>
      </c>
      <c r="L3335" s="444">
        <f t="shared" ca="1" si="149"/>
        <v>-235276051468.46426</v>
      </c>
      <c r="M3335" s="460">
        <f t="shared" si="151"/>
        <v>0.05</v>
      </c>
      <c r="N3335" s="464">
        <f t="shared" si="152"/>
        <v>152551</v>
      </c>
    </row>
    <row r="3336" spans="7:14" ht="11.25" customHeight="1" x14ac:dyDescent="0.3">
      <c r="G3336" s="459"/>
      <c r="H3336" s="459">
        <v>3329</v>
      </c>
      <c r="I3336" s="444">
        <f t="shared" ca="1" si="150"/>
        <v>-235276051468.46426</v>
      </c>
      <c r="J3336" s="444">
        <f t="array" ref="J3336">IFERROR(INDEX('Retirement Calculator'!K:K,MATCH('Lorri 401b'!N3336,'Retirement Calculator'!A:A,0),0),0)</f>
        <v>0</v>
      </c>
      <c r="K3336" s="444">
        <f t="shared" ca="1" si="148"/>
        <v>-980316881.1186012</v>
      </c>
      <c r="L3336" s="444">
        <f t="shared" ca="1" si="149"/>
        <v>-236256368349.58286</v>
      </c>
      <c r="M3336" s="460">
        <f t="shared" si="151"/>
        <v>0.05</v>
      </c>
      <c r="N3336" s="464">
        <f t="shared" si="152"/>
        <v>152581</v>
      </c>
    </row>
    <row r="3337" spans="7:14" ht="11.25" customHeight="1" x14ac:dyDescent="0.3">
      <c r="G3337" s="459"/>
      <c r="H3337" s="459">
        <v>3330</v>
      </c>
      <c r="I3337" s="444">
        <f t="shared" ca="1" si="150"/>
        <v>-236256368349.58286</v>
      </c>
      <c r="J3337" s="444">
        <f t="array" ref="J3337">IFERROR(INDEX('Retirement Calculator'!K:K,MATCH('Lorri 401b'!N3337,'Retirement Calculator'!A:A,0),0),0)</f>
        <v>0</v>
      </c>
      <c r="K3337" s="444">
        <f t="shared" ca="1" si="148"/>
        <v>-984401534.78992856</v>
      </c>
      <c r="L3337" s="444">
        <f t="shared" ca="1" si="149"/>
        <v>-237240769884.37277</v>
      </c>
      <c r="M3337" s="460">
        <f t="shared" si="151"/>
        <v>0.05</v>
      </c>
      <c r="N3337" s="464">
        <f t="shared" si="152"/>
        <v>152612</v>
      </c>
    </row>
    <row r="3338" spans="7:14" ht="11.25" customHeight="1" x14ac:dyDescent="0.3">
      <c r="G3338" s="459"/>
      <c r="H3338" s="459">
        <v>3331</v>
      </c>
      <c r="I3338" s="444">
        <f t="shared" ca="1" si="150"/>
        <v>-237240769884.37277</v>
      </c>
      <c r="J3338" s="444">
        <f t="array" ref="J3338">IFERROR(INDEX('Retirement Calculator'!K:K,MATCH('Lorri 401b'!N3338,'Retirement Calculator'!A:A,0),0),0)</f>
        <v>0</v>
      </c>
      <c r="K3338" s="444">
        <f t="shared" ca="1" si="148"/>
        <v>-988503207.8515532</v>
      </c>
      <c r="L3338" s="444">
        <f t="shared" ca="1" si="149"/>
        <v>-238229273092.22433</v>
      </c>
      <c r="M3338" s="460">
        <f t="shared" si="151"/>
        <v>0.05</v>
      </c>
      <c r="N3338" s="464">
        <f t="shared" si="152"/>
        <v>152642</v>
      </c>
    </row>
    <row r="3339" spans="7:14" ht="11.25" customHeight="1" x14ac:dyDescent="0.3">
      <c r="G3339" s="459"/>
      <c r="H3339" s="459">
        <v>3332</v>
      </c>
      <c r="I3339" s="444">
        <f t="shared" ca="1" si="150"/>
        <v>-238229273092.22433</v>
      </c>
      <c r="J3339" s="444">
        <f t="array" ref="J3339">IFERROR(INDEX('Retirement Calculator'!K:K,MATCH('Lorri 401b'!N3339,'Retirement Calculator'!A:A,0),0),0)</f>
        <v>0</v>
      </c>
      <c r="K3339" s="444">
        <f t="shared" ca="1" si="148"/>
        <v>-992621971.2176013</v>
      </c>
      <c r="L3339" s="444">
        <f t="shared" ca="1" si="149"/>
        <v>-239221895063.44193</v>
      </c>
      <c r="M3339" s="460">
        <f t="shared" si="151"/>
        <v>0.05</v>
      </c>
      <c r="N3339" s="464">
        <f t="shared" si="152"/>
        <v>152673</v>
      </c>
    </row>
    <row r="3340" spans="7:14" ht="11.25" customHeight="1" x14ac:dyDescent="0.3">
      <c r="G3340" s="459"/>
      <c r="H3340" s="459">
        <v>3333</v>
      </c>
      <c r="I3340" s="444">
        <f t="shared" ca="1" si="150"/>
        <v>-239221895063.44193</v>
      </c>
      <c r="J3340" s="444">
        <f t="array" ref="J3340">IFERROR(INDEX('Retirement Calculator'!K:K,MATCH('Lorri 401b'!N3340,'Retirement Calculator'!A:A,0),0),0)</f>
        <v>0</v>
      </c>
      <c r="K3340" s="444">
        <f t="shared" ca="1" si="148"/>
        <v>-996757896.09767473</v>
      </c>
      <c r="L3340" s="444">
        <f t="shared" ca="1" si="149"/>
        <v>-240218652959.53961</v>
      </c>
      <c r="M3340" s="460">
        <f t="shared" si="151"/>
        <v>0.05</v>
      </c>
      <c r="N3340" s="464">
        <f t="shared" si="152"/>
        <v>152704</v>
      </c>
    </row>
    <row r="3341" spans="7:14" ht="11.25" customHeight="1" x14ac:dyDescent="0.3">
      <c r="G3341" s="459"/>
      <c r="H3341" s="459">
        <v>3334</v>
      </c>
      <c r="I3341" s="444">
        <f t="shared" ca="1" si="150"/>
        <v>-240218652959.53961</v>
      </c>
      <c r="J3341" s="444">
        <f t="array" ref="J3341">IFERROR(INDEX('Retirement Calculator'!K:K,MATCH('Lorri 401b'!N3341,'Retirement Calculator'!A:A,0),0),0)</f>
        <v>0</v>
      </c>
      <c r="K3341" s="444">
        <f t="shared" ca="1" si="148"/>
        <v>-1000911053.9980818</v>
      </c>
      <c r="L3341" s="444">
        <f t="shared" ca="1" si="149"/>
        <v>-241219564013.53769</v>
      </c>
      <c r="M3341" s="460">
        <f t="shared" si="151"/>
        <v>0.05</v>
      </c>
      <c r="N3341" s="464">
        <f t="shared" si="152"/>
        <v>152732</v>
      </c>
    </row>
    <row r="3342" spans="7:14" ht="11.25" customHeight="1" x14ac:dyDescent="0.3">
      <c r="G3342" s="459"/>
      <c r="H3342" s="459">
        <v>3335</v>
      </c>
      <c r="I3342" s="444">
        <f t="shared" ca="1" si="150"/>
        <v>-241219564013.53769</v>
      </c>
      <c r="J3342" s="444">
        <f t="array" ref="J3342">IFERROR(INDEX('Retirement Calculator'!K:K,MATCH('Lorri 401b'!N3342,'Retirement Calculator'!A:A,0),0),0)</f>
        <v>0</v>
      </c>
      <c r="K3342" s="444">
        <f t="shared" ca="1" si="148"/>
        <v>-1005081516.7230737</v>
      </c>
      <c r="L3342" s="444">
        <f t="shared" ca="1" si="149"/>
        <v>-242224645530.26077</v>
      </c>
      <c r="M3342" s="460">
        <f t="shared" si="151"/>
        <v>0.05</v>
      </c>
      <c r="N3342" s="464">
        <f t="shared" si="152"/>
        <v>152763</v>
      </c>
    </row>
    <row r="3343" spans="7:14" ht="11.25" customHeight="1" x14ac:dyDescent="0.3">
      <c r="G3343" s="459"/>
      <c r="H3343" s="459">
        <v>3336</v>
      </c>
      <c r="I3343" s="444">
        <f t="shared" ca="1" si="150"/>
        <v>-242224645530.26077</v>
      </c>
      <c r="J3343" s="444">
        <f t="array" ref="J3343">IFERROR(INDEX('Retirement Calculator'!K:K,MATCH('Lorri 401b'!N3343,'Retirement Calculator'!A:A,0),0),0)</f>
        <v>0</v>
      </c>
      <c r="K3343" s="444">
        <f t="shared" ca="1" si="148"/>
        <v>-1009269356.3760864</v>
      </c>
      <c r="L3343" s="444">
        <f t="shared" ca="1" si="149"/>
        <v>-243233914886.63687</v>
      </c>
      <c r="M3343" s="460">
        <f t="shared" si="151"/>
        <v>0.05</v>
      </c>
      <c r="N3343" s="464">
        <f t="shared" si="152"/>
        <v>152793</v>
      </c>
    </row>
    <row r="3344" spans="7:14" ht="11.25" customHeight="1" x14ac:dyDescent="0.3">
      <c r="G3344" s="459"/>
      <c r="H3344" s="459">
        <v>3337</v>
      </c>
      <c r="I3344" s="444">
        <f t="shared" ca="1" si="150"/>
        <v>-243233914886.63687</v>
      </c>
      <c r="J3344" s="444">
        <f t="array" ref="J3344">IFERROR(INDEX('Retirement Calculator'!K:K,MATCH('Lorri 401b'!N3344,'Retirement Calculator'!A:A,0),0),0)</f>
        <v>0</v>
      </c>
      <c r="K3344" s="444">
        <f t="shared" ca="1" si="148"/>
        <v>-1013474645.3609869</v>
      </c>
      <c r="L3344" s="444">
        <f t="shared" ca="1" si="149"/>
        <v>-244247389531.99786</v>
      </c>
      <c r="M3344" s="460">
        <f t="shared" si="151"/>
        <v>0.05</v>
      </c>
      <c r="N3344" s="464">
        <f t="shared" si="152"/>
        <v>152824</v>
      </c>
    </row>
    <row r="3345" spans="7:14" ht="11.25" customHeight="1" x14ac:dyDescent="0.3">
      <c r="G3345" s="459"/>
      <c r="H3345" s="459">
        <v>3338</v>
      </c>
      <c r="I3345" s="444">
        <f t="shared" ca="1" si="150"/>
        <v>-244247389531.99786</v>
      </c>
      <c r="J3345" s="444">
        <f t="array" ref="J3345">IFERROR(INDEX('Retirement Calculator'!K:K,MATCH('Lorri 401b'!N3345,'Retirement Calculator'!A:A,0),0),0)</f>
        <v>0</v>
      </c>
      <c r="K3345" s="444">
        <f t="shared" ca="1" si="148"/>
        <v>-1017697456.3833245</v>
      </c>
      <c r="L3345" s="444">
        <f t="shared" ca="1" si="149"/>
        <v>-245265086988.3812</v>
      </c>
      <c r="M3345" s="460">
        <f t="shared" si="151"/>
        <v>0.05</v>
      </c>
      <c r="N3345" s="464">
        <f t="shared" si="152"/>
        <v>152854</v>
      </c>
    </row>
    <row r="3346" spans="7:14" ht="11.25" customHeight="1" x14ac:dyDescent="0.3">
      <c r="G3346" s="459"/>
      <c r="H3346" s="459">
        <v>3339</v>
      </c>
      <c r="I3346" s="444">
        <f t="shared" ca="1" si="150"/>
        <v>-245265086988.3812</v>
      </c>
      <c r="J3346" s="444">
        <f t="array" ref="J3346">IFERROR(INDEX('Retirement Calculator'!K:K,MATCH('Lorri 401b'!N3346,'Retirement Calculator'!A:A,0),0),0)</f>
        <v>0</v>
      </c>
      <c r="K3346" s="444">
        <f t="shared" ca="1" si="148"/>
        <v>-1021937862.4515884</v>
      </c>
      <c r="L3346" s="444">
        <f t="shared" ca="1" si="149"/>
        <v>-246287024850.83279</v>
      </c>
      <c r="M3346" s="460">
        <f t="shared" si="151"/>
        <v>0.05</v>
      </c>
      <c r="N3346" s="464">
        <f t="shared" si="152"/>
        <v>152885</v>
      </c>
    </row>
    <row r="3347" spans="7:14" ht="11.25" customHeight="1" x14ac:dyDescent="0.3">
      <c r="G3347" s="459"/>
      <c r="H3347" s="459">
        <v>3340</v>
      </c>
      <c r="I3347" s="444">
        <f t="shared" ca="1" si="150"/>
        <v>-246287024850.83279</v>
      </c>
      <c r="J3347" s="444">
        <f t="array" ref="J3347">IFERROR(INDEX('Retirement Calculator'!K:K,MATCH('Lorri 401b'!N3347,'Retirement Calculator'!A:A,0),0),0)</f>
        <v>0</v>
      </c>
      <c r="K3347" s="444">
        <f t="shared" ca="1" si="148"/>
        <v>-1026195936.8784698</v>
      </c>
      <c r="L3347" s="444">
        <f t="shared" ca="1" si="149"/>
        <v>-247313220787.71127</v>
      </c>
      <c r="M3347" s="460">
        <f t="shared" si="151"/>
        <v>0.05</v>
      </c>
      <c r="N3347" s="464">
        <f t="shared" si="152"/>
        <v>152916</v>
      </c>
    </row>
    <row r="3348" spans="7:14" ht="11.25" customHeight="1" x14ac:dyDescent="0.3">
      <c r="G3348" s="459"/>
      <c r="H3348" s="459">
        <v>3341</v>
      </c>
      <c r="I3348" s="444">
        <f t="shared" ca="1" si="150"/>
        <v>-247313220787.71127</v>
      </c>
      <c r="J3348" s="444">
        <f t="array" ref="J3348">IFERROR(INDEX('Retirement Calculator'!K:K,MATCH('Lorri 401b'!N3348,'Retirement Calculator'!A:A,0),0),0)</f>
        <v>0</v>
      </c>
      <c r="K3348" s="444">
        <f t="shared" ca="1" si="148"/>
        <v>-1030471753.2821302</v>
      </c>
      <c r="L3348" s="444">
        <f t="shared" ca="1" si="149"/>
        <v>-248343692540.99341</v>
      </c>
      <c r="M3348" s="460">
        <f t="shared" si="151"/>
        <v>0.05</v>
      </c>
      <c r="N3348" s="464">
        <f t="shared" si="152"/>
        <v>152946</v>
      </c>
    </row>
    <row r="3349" spans="7:14" ht="11.25" customHeight="1" x14ac:dyDescent="0.3">
      <c r="G3349" s="459"/>
      <c r="H3349" s="459">
        <v>3342</v>
      </c>
      <c r="I3349" s="444">
        <f t="shared" ca="1" si="150"/>
        <v>-248343692540.99341</v>
      </c>
      <c r="J3349" s="444">
        <f t="array" ref="J3349">IFERROR(INDEX('Retirement Calculator'!K:K,MATCH('Lorri 401b'!N3349,'Retirement Calculator'!A:A,0),0),0)</f>
        <v>0</v>
      </c>
      <c r="K3349" s="444">
        <f t="shared" ca="1" si="148"/>
        <v>-1034765385.5874726</v>
      </c>
      <c r="L3349" s="444">
        <f t="shared" ca="1" si="149"/>
        <v>-249378457926.58087</v>
      </c>
      <c r="M3349" s="460">
        <f t="shared" si="151"/>
        <v>0.05</v>
      </c>
      <c r="N3349" s="464">
        <f t="shared" si="152"/>
        <v>152977</v>
      </c>
    </row>
    <row r="3350" spans="7:14" ht="11.25" customHeight="1" x14ac:dyDescent="0.3">
      <c r="G3350" s="459"/>
      <c r="H3350" s="459">
        <v>3343</v>
      </c>
      <c r="I3350" s="444">
        <f t="shared" ca="1" si="150"/>
        <v>-249378457926.58087</v>
      </c>
      <c r="J3350" s="444">
        <f t="array" ref="J3350">IFERROR(INDEX('Retirement Calculator'!K:K,MATCH('Lorri 401b'!N3350,'Retirement Calculator'!A:A,0),0),0)</f>
        <v>0</v>
      </c>
      <c r="K3350" s="444">
        <f t="shared" ca="1" si="148"/>
        <v>-1039076908.0274203</v>
      </c>
      <c r="L3350" s="444">
        <f t="shared" ca="1" si="149"/>
        <v>-250417534834.60831</v>
      </c>
      <c r="M3350" s="460">
        <f t="shared" si="151"/>
        <v>0.05</v>
      </c>
      <c r="N3350" s="464">
        <f t="shared" si="152"/>
        <v>153007</v>
      </c>
    </row>
    <row r="3351" spans="7:14" ht="11.25" customHeight="1" x14ac:dyDescent="0.3">
      <c r="G3351" s="459"/>
      <c r="H3351" s="459">
        <v>3344</v>
      </c>
      <c r="I3351" s="444">
        <f t="shared" ca="1" si="150"/>
        <v>-250417534834.60831</v>
      </c>
      <c r="J3351" s="444">
        <f t="array" ref="J3351">IFERROR(INDEX('Retirement Calculator'!K:K,MATCH('Lorri 401b'!N3351,'Retirement Calculator'!A:A,0),0),0)</f>
        <v>0</v>
      </c>
      <c r="K3351" s="444">
        <f t="shared" ca="1" si="148"/>
        <v>-1043406395.1442014</v>
      </c>
      <c r="L3351" s="444">
        <f t="shared" ca="1" si="149"/>
        <v>-251460941229.7525</v>
      </c>
      <c r="M3351" s="460">
        <f t="shared" si="151"/>
        <v>0.05</v>
      </c>
      <c r="N3351" s="464">
        <f t="shared" si="152"/>
        <v>153038</v>
      </c>
    </row>
    <row r="3352" spans="7:14" ht="11.25" customHeight="1" x14ac:dyDescent="0.3">
      <c r="G3352" s="459"/>
      <c r="H3352" s="459">
        <v>3345</v>
      </c>
      <c r="I3352" s="444">
        <f t="shared" ca="1" si="150"/>
        <v>-251460941229.7525</v>
      </c>
      <c r="J3352" s="444">
        <f t="array" ref="J3352">IFERROR(INDEX('Retirement Calculator'!K:K,MATCH('Lorri 401b'!N3352,'Retirement Calculator'!A:A,0),0),0)</f>
        <v>0</v>
      </c>
      <c r="K3352" s="444">
        <f t="shared" ca="1" si="148"/>
        <v>-1047753921.7906355</v>
      </c>
      <c r="L3352" s="444">
        <f t="shared" ca="1" si="149"/>
        <v>-252508695151.54315</v>
      </c>
      <c r="M3352" s="460">
        <f t="shared" si="151"/>
        <v>0.05</v>
      </c>
      <c r="N3352" s="464">
        <f t="shared" si="152"/>
        <v>153069</v>
      </c>
    </row>
    <row r="3353" spans="7:14" ht="11.25" customHeight="1" x14ac:dyDescent="0.3">
      <c r="G3353" s="459"/>
      <c r="H3353" s="459">
        <v>3346</v>
      </c>
      <c r="I3353" s="444">
        <f t="shared" ca="1" si="150"/>
        <v>-252508695151.54315</v>
      </c>
      <c r="J3353" s="444">
        <f t="array" ref="J3353">IFERROR(INDEX('Retirement Calculator'!K:K,MATCH('Lorri 401b'!N3353,'Retirement Calculator'!A:A,0),0),0)</f>
        <v>0</v>
      </c>
      <c r="K3353" s="444">
        <f t="shared" ca="1" si="148"/>
        <v>-1052119563.1314298</v>
      </c>
      <c r="L3353" s="444">
        <f t="shared" ca="1" si="149"/>
        <v>-253560814714.67459</v>
      </c>
      <c r="M3353" s="460">
        <f t="shared" si="151"/>
        <v>0.05</v>
      </c>
      <c r="N3353" s="464">
        <f t="shared" si="152"/>
        <v>153097</v>
      </c>
    </row>
    <row r="3354" spans="7:14" ht="11.25" customHeight="1" x14ac:dyDescent="0.3">
      <c r="G3354" s="459"/>
      <c r="H3354" s="459">
        <v>3347</v>
      </c>
      <c r="I3354" s="444">
        <f t="shared" ca="1" si="150"/>
        <v>-253560814714.67459</v>
      </c>
      <c r="J3354" s="444">
        <f t="array" ref="J3354">IFERROR(INDEX('Retirement Calculator'!K:K,MATCH('Lorri 401b'!N3354,'Retirement Calculator'!A:A,0),0),0)</f>
        <v>0</v>
      </c>
      <c r="K3354" s="444">
        <f t="shared" ca="1" si="148"/>
        <v>-1056503394.6444774</v>
      </c>
      <c r="L3354" s="444">
        <f t="shared" ca="1" si="149"/>
        <v>-254617318109.31906</v>
      </c>
      <c r="M3354" s="460">
        <f t="shared" si="151"/>
        <v>0.05</v>
      </c>
      <c r="N3354" s="464">
        <f t="shared" si="152"/>
        <v>153128</v>
      </c>
    </row>
    <row r="3355" spans="7:14" ht="11.25" customHeight="1" x14ac:dyDescent="0.3">
      <c r="G3355" s="459"/>
      <c r="H3355" s="459">
        <v>3348</v>
      </c>
      <c r="I3355" s="444">
        <f t="shared" ca="1" si="150"/>
        <v>-254617318109.31906</v>
      </c>
      <c r="J3355" s="444">
        <f t="array" ref="J3355">IFERROR(INDEX('Retirement Calculator'!K:K,MATCH('Lorri 401b'!N3355,'Retirement Calculator'!A:A,0),0),0)</f>
        <v>0</v>
      </c>
      <c r="K3355" s="444">
        <f t="shared" ca="1" si="148"/>
        <v>-1060905492.1221628</v>
      </c>
      <c r="L3355" s="444">
        <f t="shared" ca="1" si="149"/>
        <v>-255678223601.44122</v>
      </c>
      <c r="M3355" s="460">
        <f t="shared" si="151"/>
        <v>0.05</v>
      </c>
      <c r="N3355" s="464">
        <f t="shared" si="152"/>
        <v>153158</v>
      </c>
    </row>
    <row r="3356" spans="7:14" ht="11.25" customHeight="1" x14ac:dyDescent="0.3">
      <c r="G3356" s="459"/>
      <c r="H3356" s="459">
        <v>3349</v>
      </c>
      <c r="I3356" s="444">
        <f t="shared" ca="1" si="150"/>
        <v>-255678223601.44122</v>
      </c>
      <c r="J3356" s="444">
        <f t="array" ref="J3356">IFERROR(INDEX('Retirement Calculator'!K:K,MATCH('Lorri 401b'!N3356,'Retirement Calculator'!A:A,0),0),0)</f>
        <v>0</v>
      </c>
      <c r="K3356" s="444">
        <f t="shared" ca="1" si="148"/>
        <v>-1065325931.6726718</v>
      </c>
      <c r="L3356" s="444">
        <f t="shared" ca="1" si="149"/>
        <v>-256743549533.11389</v>
      </c>
      <c r="M3356" s="460">
        <f t="shared" si="151"/>
        <v>0.05</v>
      </c>
      <c r="N3356" s="464">
        <f t="shared" si="152"/>
        <v>153189</v>
      </c>
    </row>
    <row r="3357" spans="7:14" ht="11.25" customHeight="1" x14ac:dyDescent="0.3">
      <c r="G3357" s="459"/>
      <c r="H3357" s="459">
        <v>3350</v>
      </c>
      <c r="I3357" s="444">
        <f t="shared" ca="1" si="150"/>
        <v>-256743549533.11389</v>
      </c>
      <c r="J3357" s="444">
        <f t="array" ref="J3357">IFERROR(INDEX('Retirement Calculator'!K:K,MATCH('Lorri 401b'!N3357,'Retirement Calculator'!A:A,0),0),0)</f>
        <v>0</v>
      </c>
      <c r="K3357" s="444">
        <f t="shared" ca="1" si="148"/>
        <v>-1069764789.7213079</v>
      </c>
      <c r="L3357" s="444">
        <f t="shared" ca="1" si="149"/>
        <v>-257813314322.83521</v>
      </c>
      <c r="M3357" s="460">
        <f t="shared" si="151"/>
        <v>0.05</v>
      </c>
      <c r="N3357" s="464">
        <f t="shared" si="152"/>
        <v>153219</v>
      </c>
    </row>
    <row r="3358" spans="7:14" ht="11.25" customHeight="1" x14ac:dyDescent="0.3">
      <c r="G3358" s="459"/>
      <c r="H3358" s="459">
        <v>3351</v>
      </c>
      <c r="I3358" s="444">
        <f t="shared" ca="1" si="150"/>
        <v>-257813314322.83521</v>
      </c>
      <c r="J3358" s="444">
        <f t="array" ref="J3358">IFERROR(INDEX('Retirement Calculator'!K:K,MATCH('Lorri 401b'!N3358,'Retirement Calculator'!A:A,0),0),0)</f>
        <v>0</v>
      </c>
      <c r="K3358" s="444">
        <f t="shared" ca="1" si="148"/>
        <v>-1074222143.0118134</v>
      </c>
      <c r="L3358" s="444">
        <f t="shared" ca="1" si="149"/>
        <v>-258887536465.84702</v>
      </c>
      <c r="M3358" s="460">
        <f t="shared" si="151"/>
        <v>0.05</v>
      </c>
      <c r="N3358" s="464">
        <f t="shared" si="152"/>
        <v>153250</v>
      </c>
    </row>
    <row r="3359" spans="7:14" ht="11.25" customHeight="1" x14ac:dyDescent="0.3">
      <c r="G3359" s="459"/>
      <c r="H3359" s="459">
        <v>3352</v>
      </c>
      <c r="I3359" s="444">
        <f t="shared" ca="1" si="150"/>
        <v>-258887536465.84702</v>
      </c>
      <c r="J3359" s="444">
        <f t="array" ref="J3359">IFERROR(INDEX('Retirement Calculator'!K:K,MATCH('Lorri 401b'!N3359,'Retirement Calculator'!A:A,0),0),0)</f>
        <v>0</v>
      </c>
      <c r="K3359" s="444">
        <f t="shared" ca="1" si="148"/>
        <v>-1078698068.6076958</v>
      </c>
      <c r="L3359" s="444">
        <f t="shared" ca="1" si="149"/>
        <v>-259966234534.45471</v>
      </c>
      <c r="M3359" s="460">
        <f t="shared" si="151"/>
        <v>0.05</v>
      </c>
      <c r="N3359" s="464">
        <f t="shared" si="152"/>
        <v>153281</v>
      </c>
    </row>
    <row r="3360" spans="7:14" ht="11.25" customHeight="1" x14ac:dyDescent="0.3">
      <c r="G3360" s="459"/>
      <c r="H3360" s="459">
        <v>3353</v>
      </c>
      <c r="I3360" s="444">
        <f t="shared" ca="1" si="150"/>
        <v>-259966234534.45471</v>
      </c>
      <c r="J3360" s="444">
        <f t="array" ref="J3360">IFERROR(INDEX('Retirement Calculator'!K:K,MATCH('Lorri 401b'!N3360,'Retirement Calculator'!A:A,0),0),0)</f>
        <v>0</v>
      </c>
      <c r="K3360" s="444">
        <f t="shared" ca="1" si="148"/>
        <v>-1083192643.8935614</v>
      </c>
      <c r="L3360" s="444">
        <f t="shared" ca="1" si="149"/>
        <v>-261049427178.34827</v>
      </c>
      <c r="M3360" s="460">
        <f t="shared" si="151"/>
        <v>0.05</v>
      </c>
      <c r="N3360" s="464">
        <f t="shared" si="152"/>
        <v>153311</v>
      </c>
    </row>
    <row r="3361" spans="7:14" ht="11.25" customHeight="1" x14ac:dyDescent="0.3">
      <c r="G3361" s="459"/>
      <c r="H3361" s="459">
        <v>3354</v>
      </c>
      <c r="I3361" s="444">
        <f t="shared" ca="1" si="150"/>
        <v>-261049427178.34827</v>
      </c>
      <c r="J3361" s="444">
        <f t="array" ref="J3361">IFERROR(INDEX('Retirement Calculator'!K:K,MATCH('Lorri 401b'!N3361,'Retirement Calculator'!A:A,0),0),0)</f>
        <v>0</v>
      </c>
      <c r="K3361" s="444">
        <f t="shared" ca="1" si="148"/>
        <v>-1087705946.5764511</v>
      </c>
      <c r="L3361" s="444">
        <f t="shared" ca="1" si="149"/>
        <v>-262137133124.92471</v>
      </c>
      <c r="M3361" s="460">
        <f t="shared" si="151"/>
        <v>0.05</v>
      </c>
      <c r="N3361" s="464">
        <f t="shared" si="152"/>
        <v>153342</v>
      </c>
    </row>
    <row r="3362" spans="7:14" ht="11.25" customHeight="1" x14ac:dyDescent="0.3">
      <c r="G3362" s="459"/>
      <c r="H3362" s="459">
        <v>3355</v>
      </c>
      <c r="I3362" s="444">
        <f t="shared" ca="1" si="150"/>
        <v>-262137133124.92471</v>
      </c>
      <c r="J3362" s="444">
        <f t="array" ref="J3362">IFERROR(INDEX('Retirement Calculator'!K:K,MATCH('Lorri 401b'!N3362,'Retirement Calculator'!A:A,0),0),0)</f>
        <v>0</v>
      </c>
      <c r="K3362" s="444">
        <f t="shared" ca="1" si="148"/>
        <v>-1092238054.6871865</v>
      </c>
      <c r="L3362" s="444">
        <f t="shared" ca="1" si="149"/>
        <v>-263229371179.61191</v>
      </c>
      <c r="M3362" s="460">
        <f t="shared" si="151"/>
        <v>0.05</v>
      </c>
      <c r="N3362" s="464">
        <f t="shared" si="152"/>
        <v>153372</v>
      </c>
    </row>
    <row r="3363" spans="7:14" ht="11.25" customHeight="1" x14ac:dyDescent="0.3">
      <c r="G3363" s="459"/>
      <c r="H3363" s="459">
        <v>3356</v>
      </c>
      <c r="I3363" s="444">
        <f t="shared" ca="1" si="150"/>
        <v>-263229371179.61191</v>
      </c>
      <c r="J3363" s="444">
        <f t="array" ref="J3363">IFERROR(INDEX('Retirement Calculator'!K:K,MATCH('Lorri 401b'!N3363,'Retirement Calculator'!A:A,0),0),0)</f>
        <v>0</v>
      </c>
      <c r="K3363" s="444">
        <f t="shared" ca="1" si="148"/>
        <v>-1096789046.5817161</v>
      </c>
      <c r="L3363" s="444">
        <f t="shared" ca="1" si="149"/>
        <v>-264326160226.19363</v>
      </c>
      <c r="M3363" s="460">
        <f t="shared" si="151"/>
        <v>0.05</v>
      </c>
      <c r="N3363" s="464">
        <f t="shared" si="152"/>
        <v>153403</v>
      </c>
    </row>
    <row r="3364" spans="7:14" ht="11.25" customHeight="1" x14ac:dyDescent="0.3">
      <c r="G3364" s="459"/>
      <c r="H3364" s="459">
        <v>3357</v>
      </c>
      <c r="I3364" s="444">
        <f t="shared" ca="1" si="150"/>
        <v>-264326160226.19363</v>
      </c>
      <c r="J3364" s="444">
        <f t="array" ref="J3364">IFERROR(INDEX('Retirement Calculator'!K:K,MATCH('Lorri 401b'!N3364,'Retirement Calculator'!A:A,0),0),0)</f>
        <v>0</v>
      </c>
      <c r="K3364" s="444">
        <f t="shared" ca="1" si="148"/>
        <v>-1101359000.9424734</v>
      </c>
      <c r="L3364" s="444">
        <f t="shared" ca="1" si="149"/>
        <v>-265427519227.13611</v>
      </c>
      <c r="M3364" s="460">
        <f t="shared" si="151"/>
        <v>0.05</v>
      </c>
      <c r="N3364" s="464">
        <f t="shared" si="152"/>
        <v>153434</v>
      </c>
    </row>
    <row r="3365" spans="7:14" ht="11.25" customHeight="1" x14ac:dyDescent="0.3">
      <c r="G3365" s="459"/>
      <c r="H3365" s="459">
        <v>3358</v>
      </c>
      <c r="I3365" s="444">
        <f t="shared" ca="1" si="150"/>
        <v>-265427519227.13611</v>
      </c>
      <c r="J3365" s="444">
        <f t="array" ref="J3365">IFERROR(INDEX('Retirement Calculator'!K:K,MATCH('Lorri 401b'!N3365,'Retirement Calculator'!A:A,0),0),0)</f>
        <v>0</v>
      </c>
      <c r="K3365" s="444">
        <f t="shared" ca="1" si="148"/>
        <v>-1105947996.7797337</v>
      </c>
      <c r="L3365" s="444">
        <f t="shared" ca="1" si="149"/>
        <v>-266533467223.91583</v>
      </c>
      <c r="M3365" s="460">
        <f t="shared" si="151"/>
        <v>0.05</v>
      </c>
      <c r="N3365" s="464">
        <f t="shared" si="152"/>
        <v>153463</v>
      </c>
    </row>
    <row r="3366" spans="7:14" ht="11.25" customHeight="1" x14ac:dyDescent="0.3">
      <c r="G3366" s="459"/>
      <c r="H3366" s="459">
        <v>3359</v>
      </c>
      <c r="I3366" s="444">
        <f t="shared" ca="1" si="150"/>
        <v>-266533467223.91583</v>
      </c>
      <c r="J3366" s="444">
        <f t="array" ref="J3366">IFERROR(INDEX('Retirement Calculator'!K:K,MATCH('Lorri 401b'!N3366,'Retirement Calculator'!A:A,0),0),0)</f>
        <v>0</v>
      </c>
      <c r="K3366" s="444">
        <f t="shared" ca="1" si="148"/>
        <v>-1110556113.4329827</v>
      </c>
      <c r="L3366" s="444">
        <f t="shared" ca="1" si="149"/>
        <v>-267644023337.34882</v>
      </c>
      <c r="M3366" s="460">
        <f t="shared" si="151"/>
        <v>0.05</v>
      </c>
      <c r="N3366" s="464">
        <f t="shared" si="152"/>
        <v>153494</v>
      </c>
    </row>
    <row r="3367" spans="7:14" ht="11.25" customHeight="1" x14ac:dyDescent="0.3">
      <c r="G3367" s="459"/>
      <c r="H3367" s="459">
        <v>3360</v>
      </c>
      <c r="I3367" s="444">
        <f t="shared" ca="1" si="150"/>
        <v>-267644023337.34882</v>
      </c>
      <c r="J3367" s="444">
        <f t="array" ref="J3367">IFERROR(INDEX('Retirement Calculator'!K:K,MATCH('Lorri 401b'!N3367,'Retirement Calculator'!A:A,0),0),0)</f>
        <v>0</v>
      </c>
      <c r="K3367" s="444">
        <f t="shared" ca="1" si="148"/>
        <v>-1115183430.5722866</v>
      </c>
      <c r="L3367" s="444">
        <f t="shared" ca="1" si="149"/>
        <v>-268759206767.92111</v>
      </c>
      <c r="M3367" s="460">
        <f t="shared" si="151"/>
        <v>0.05</v>
      </c>
      <c r="N3367" s="464">
        <f t="shared" si="152"/>
        <v>153524</v>
      </c>
    </row>
    <row r="3368" spans="7:14" ht="11.25" customHeight="1" x14ac:dyDescent="0.3">
      <c r="G3368" s="459"/>
      <c r="H3368" s="459">
        <v>3361</v>
      </c>
      <c r="I3368" s="444">
        <f t="shared" ca="1" si="150"/>
        <v>-268759206767.92111</v>
      </c>
      <c r="J3368" s="444">
        <f t="array" ref="J3368">IFERROR(INDEX('Retirement Calculator'!K:K,MATCH('Lorri 401b'!N3368,'Retirement Calculator'!A:A,0),0),0)</f>
        <v>0</v>
      </c>
      <c r="K3368" s="444">
        <f t="shared" ca="1" si="148"/>
        <v>-1119830028.1996715</v>
      </c>
      <c r="L3368" s="444">
        <f t="shared" ca="1" si="149"/>
        <v>-269879036796.12079</v>
      </c>
      <c r="M3368" s="460">
        <f t="shared" si="151"/>
        <v>0.05</v>
      </c>
      <c r="N3368" s="464">
        <f t="shared" si="152"/>
        <v>153555</v>
      </c>
    </row>
    <row r="3369" spans="7:14" ht="11.25" customHeight="1" x14ac:dyDescent="0.3">
      <c r="G3369" s="459"/>
      <c r="H3369" s="459">
        <v>3362</v>
      </c>
      <c r="I3369" s="444">
        <f t="shared" ca="1" si="150"/>
        <v>-269879036796.12079</v>
      </c>
      <c r="J3369" s="444">
        <f t="array" ref="J3369">IFERROR(INDEX('Retirement Calculator'!K:K,MATCH('Lorri 401b'!N3369,'Retirement Calculator'!A:A,0),0),0)</f>
        <v>0</v>
      </c>
      <c r="K3369" s="444">
        <f t="shared" ca="1" si="148"/>
        <v>-1124495986.6505032</v>
      </c>
      <c r="L3369" s="444">
        <f t="shared" ca="1" si="149"/>
        <v>-271003532782.7713</v>
      </c>
      <c r="M3369" s="460">
        <f t="shared" si="151"/>
        <v>0.05</v>
      </c>
      <c r="N3369" s="464">
        <f t="shared" si="152"/>
        <v>153585</v>
      </c>
    </row>
    <row r="3370" spans="7:14" ht="11.25" customHeight="1" x14ac:dyDescent="0.3">
      <c r="G3370" s="459"/>
      <c r="H3370" s="459">
        <v>3363</v>
      </c>
      <c r="I3370" s="444">
        <f t="shared" ca="1" si="150"/>
        <v>-271003532782.7713</v>
      </c>
      <c r="J3370" s="444">
        <f t="array" ref="J3370">IFERROR(INDEX('Retirement Calculator'!K:K,MATCH('Lorri 401b'!N3370,'Retirement Calculator'!A:A,0),0),0)</f>
        <v>0</v>
      </c>
      <c r="K3370" s="444">
        <f t="shared" ca="1" si="148"/>
        <v>-1129181386.5948803</v>
      </c>
      <c r="L3370" s="444">
        <f t="shared" ca="1" si="149"/>
        <v>-272132714169.36618</v>
      </c>
      <c r="M3370" s="460">
        <f t="shared" si="151"/>
        <v>0.05</v>
      </c>
      <c r="N3370" s="464">
        <f t="shared" si="152"/>
        <v>153616</v>
      </c>
    </row>
    <row r="3371" spans="7:14" ht="11.25" customHeight="1" x14ac:dyDescent="0.3">
      <c r="G3371" s="459"/>
      <c r="H3371" s="459">
        <v>3364</v>
      </c>
      <c r="I3371" s="444">
        <f t="shared" ca="1" si="150"/>
        <v>-272132714169.36618</v>
      </c>
      <c r="J3371" s="444">
        <f t="array" ref="J3371">IFERROR(INDEX('Retirement Calculator'!K:K,MATCH('Lorri 401b'!N3371,'Retirement Calculator'!A:A,0),0),0)</f>
        <v>0</v>
      </c>
      <c r="K3371" s="444">
        <f t="shared" ca="1" si="148"/>
        <v>-1133886309.0390258</v>
      </c>
      <c r="L3371" s="444">
        <f t="shared" ca="1" si="149"/>
        <v>-273266600478.40521</v>
      </c>
      <c r="M3371" s="460">
        <f t="shared" si="151"/>
        <v>0.05</v>
      </c>
      <c r="N3371" s="464">
        <f t="shared" si="152"/>
        <v>153647</v>
      </c>
    </row>
    <row r="3372" spans="7:14" ht="11.25" customHeight="1" x14ac:dyDescent="0.3">
      <c r="G3372" s="459"/>
      <c r="H3372" s="459">
        <v>3365</v>
      </c>
      <c r="I3372" s="444">
        <f t="shared" ca="1" si="150"/>
        <v>-273266600478.40521</v>
      </c>
      <c r="J3372" s="444">
        <f t="array" ref="J3372">IFERROR(INDEX('Retirement Calculator'!K:K,MATCH('Lorri 401b'!N3372,'Retirement Calculator'!A:A,0),0),0)</f>
        <v>0</v>
      </c>
      <c r="K3372" s="444">
        <f t="shared" ca="1" si="148"/>
        <v>-1138610835.3266883</v>
      </c>
      <c r="L3372" s="444">
        <f t="shared" ca="1" si="149"/>
        <v>-274405211313.7319</v>
      </c>
      <c r="M3372" s="460">
        <f t="shared" si="151"/>
        <v>0.05</v>
      </c>
      <c r="N3372" s="464">
        <f t="shared" si="152"/>
        <v>153677</v>
      </c>
    </row>
    <row r="3373" spans="7:14" ht="11.25" customHeight="1" x14ac:dyDescent="0.3">
      <c r="G3373" s="459"/>
      <c r="H3373" s="459">
        <v>3366</v>
      </c>
      <c r="I3373" s="444">
        <f t="shared" ca="1" si="150"/>
        <v>-274405211313.7319</v>
      </c>
      <c r="J3373" s="444">
        <f t="array" ref="J3373">IFERROR(INDEX('Retirement Calculator'!K:K,MATCH('Lorri 401b'!N3373,'Retirement Calculator'!A:A,0),0),0)</f>
        <v>0</v>
      </c>
      <c r="K3373" s="444">
        <f t="shared" ca="1" si="148"/>
        <v>-1143355047.1405497</v>
      </c>
      <c r="L3373" s="444">
        <f t="shared" ca="1" si="149"/>
        <v>-275548566360.87244</v>
      </c>
      <c r="M3373" s="460">
        <f t="shared" si="151"/>
        <v>0.05</v>
      </c>
      <c r="N3373" s="464">
        <f t="shared" si="152"/>
        <v>153708</v>
      </c>
    </row>
    <row r="3374" spans="7:14" ht="11.25" customHeight="1" x14ac:dyDescent="0.3">
      <c r="G3374" s="459"/>
      <c r="H3374" s="459">
        <v>3367</v>
      </c>
      <c r="I3374" s="444">
        <f t="shared" ca="1" si="150"/>
        <v>-275548566360.87244</v>
      </c>
      <c r="J3374" s="444">
        <f t="array" ref="J3374">IFERROR(INDEX('Retirement Calculator'!K:K,MATCH('Lorri 401b'!N3374,'Retirement Calculator'!A:A,0),0),0)</f>
        <v>0</v>
      </c>
      <c r="K3374" s="444">
        <f t="shared" ca="1" si="148"/>
        <v>-1148119026.5036352</v>
      </c>
      <c r="L3374" s="444">
        <f t="shared" ca="1" si="149"/>
        <v>-276696685387.3761</v>
      </c>
      <c r="M3374" s="460">
        <f t="shared" si="151"/>
        <v>0.05</v>
      </c>
      <c r="N3374" s="464">
        <f t="shared" si="152"/>
        <v>153738</v>
      </c>
    </row>
    <row r="3375" spans="7:14" ht="11.25" customHeight="1" x14ac:dyDescent="0.3">
      <c r="G3375" s="459"/>
      <c r="H3375" s="459">
        <v>3368</v>
      </c>
      <c r="I3375" s="444">
        <f t="shared" ca="1" si="150"/>
        <v>-276696685387.3761</v>
      </c>
      <c r="J3375" s="444">
        <f t="array" ref="J3375">IFERROR(INDEX('Retirement Calculator'!K:K,MATCH('Lorri 401b'!N3375,'Retirement Calculator'!A:A,0),0),0)</f>
        <v>0</v>
      </c>
      <c r="K3375" s="444">
        <f t="shared" ca="1" si="148"/>
        <v>-1152902855.7807338</v>
      </c>
      <c r="L3375" s="444">
        <f t="shared" ca="1" si="149"/>
        <v>-277849588243.15686</v>
      </c>
      <c r="M3375" s="460">
        <f t="shared" si="151"/>
        <v>0.05</v>
      </c>
      <c r="N3375" s="464">
        <f t="shared" si="152"/>
        <v>153769</v>
      </c>
    </row>
    <row r="3376" spans="7:14" ht="11.25" customHeight="1" x14ac:dyDescent="0.3">
      <c r="G3376" s="459"/>
      <c r="H3376" s="459">
        <v>3369</v>
      </c>
      <c r="I3376" s="444">
        <f t="shared" ca="1" si="150"/>
        <v>-277849588243.15686</v>
      </c>
      <c r="J3376" s="444">
        <f t="array" ref="J3376">IFERROR(INDEX('Retirement Calculator'!K:K,MATCH('Lorri 401b'!N3376,'Retirement Calculator'!A:A,0),0),0)</f>
        <v>0</v>
      </c>
      <c r="K3376" s="444">
        <f t="shared" ca="1" si="148"/>
        <v>-1157706617.6798203</v>
      </c>
      <c r="L3376" s="444">
        <f t="shared" ca="1" si="149"/>
        <v>-279007294860.83667</v>
      </c>
      <c r="M3376" s="460">
        <f t="shared" si="151"/>
        <v>0.05</v>
      </c>
      <c r="N3376" s="464">
        <f t="shared" si="152"/>
        <v>153800</v>
      </c>
    </row>
    <row r="3377" spans="7:14" ht="11.25" customHeight="1" x14ac:dyDescent="0.3">
      <c r="G3377" s="459"/>
      <c r="H3377" s="459">
        <v>3370</v>
      </c>
      <c r="I3377" s="444">
        <f t="shared" ca="1" si="150"/>
        <v>-279007294860.83667</v>
      </c>
      <c r="J3377" s="444">
        <f t="array" ref="J3377">IFERROR(INDEX('Retirement Calculator'!K:K,MATCH('Lorri 401b'!N3377,'Retirement Calculator'!A:A,0),0),0)</f>
        <v>0</v>
      </c>
      <c r="K3377" s="444">
        <f t="shared" ca="1" si="148"/>
        <v>-1162530395.2534862</v>
      </c>
      <c r="L3377" s="444">
        <f t="shared" ca="1" si="149"/>
        <v>-280169825256.09015</v>
      </c>
      <c r="M3377" s="460">
        <f t="shared" si="151"/>
        <v>0.05</v>
      </c>
      <c r="N3377" s="464">
        <f t="shared" si="152"/>
        <v>153828</v>
      </c>
    </row>
    <row r="3378" spans="7:14" ht="11.25" customHeight="1" x14ac:dyDescent="0.3">
      <c r="G3378" s="459"/>
      <c r="H3378" s="459">
        <v>3371</v>
      </c>
      <c r="I3378" s="444">
        <f t="shared" ca="1" si="150"/>
        <v>-280169825256.09015</v>
      </c>
      <c r="J3378" s="444">
        <f t="array" ref="J3378">IFERROR(INDEX('Retirement Calculator'!K:K,MATCH('Lorri 401b'!N3378,'Retirement Calculator'!A:A,0),0),0)</f>
        <v>0</v>
      </c>
      <c r="K3378" s="444">
        <f t="shared" ca="1" si="148"/>
        <v>-1167374271.9003756</v>
      </c>
      <c r="L3378" s="444">
        <f t="shared" ca="1" si="149"/>
        <v>-281337199527.99054</v>
      </c>
      <c r="M3378" s="460">
        <f t="shared" si="151"/>
        <v>0.05</v>
      </c>
      <c r="N3378" s="464">
        <f t="shared" si="152"/>
        <v>153859</v>
      </c>
    </row>
    <row r="3379" spans="7:14" ht="11.25" customHeight="1" x14ac:dyDescent="0.3">
      <c r="G3379" s="459"/>
      <c r="H3379" s="459">
        <v>3372</v>
      </c>
      <c r="I3379" s="444">
        <f t="shared" ca="1" si="150"/>
        <v>-281337199527.99054</v>
      </c>
      <c r="J3379" s="444">
        <f t="array" ref="J3379">IFERROR(INDEX('Retirement Calculator'!K:K,MATCH('Lorri 401b'!N3379,'Retirement Calculator'!A:A,0),0),0)</f>
        <v>0</v>
      </c>
      <c r="K3379" s="444">
        <f t="shared" ca="1" si="148"/>
        <v>-1172238331.3666272</v>
      </c>
      <c r="L3379" s="444">
        <f t="shared" ca="1" si="149"/>
        <v>-282509437859.35718</v>
      </c>
      <c r="M3379" s="460">
        <f t="shared" si="151"/>
        <v>0.05</v>
      </c>
      <c r="N3379" s="464">
        <f t="shared" si="152"/>
        <v>153889</v>
      </c>
    </row>
    <row r="3380" spans="7:14" ht="11.25" customHeight="1" x14ac:dyDescent="0.3">
      <c r="G3380" s="459"/>
      <c r="H3380" s="459">
        <v>3373</v>
      </c>
      <c r="I3380" s="444">
        <f t="shared" ca="1" si="150"/>
        <v>-282509437859.35718</v>
      </c>
      <c r="J3380" s="444">
        <f t="array" ref="J3380">IFERROR(INDEX('Retirement Calculator'!K:K,MATCH('Lorri 401b'!N3380,'Retirement Calculator'!A:A,0),0),0)</f>
        <v>0</v>
      </c>
      <c r="K3380" s="444">
        <f t="shared" ca="1" si="148"/>
        <v>-1177122657.7473216</v>
      </c>
      <c r="L3380" s="444">
        <f t="shared" ca="1" si="149"/>
        <v>-283686560517.10449</v>
      </c>
      <c r="M3380" s="460">
        <f t="shared" si="151"/>
        <v>0.05</v>
      </c>
      <c r="N3380" s="464">
        <f t="shared" si="152"/>
        <v>153920</v>
      </c>
    </row>
    <row r="3381" spans="7:14" ht="11.25" customHeight="1" x14ac:dyDescent="0.3">
      <c r="G3381" s="459"/>
      <c r="H3381" s="459">
        <v>3374</v>
      </c>
      <c r="I3381" s="444">
        <f t="shared" ca="1" si="150"/>
        <v>-283686560517.10449</v>
      </c>
      <c r="J3381" s="444">
        <f t="array" ref="J3381">IFERROR(INDEX('Retirement Calculator'!K:K,MATCH('Lorri 401b'!N3381,'Retirement Calculator'!A:A,0),0),0)</f>
        <v>0</v>
      </c>
      <c r="K3381" s="444">
        <f t="shared" ca="1" si="148"/>
        <v>-1182027335.4879353</v>
      </c>
      <c r="L3381" s="444">
        <f t="shared" ca="1" si="149"/>
        <v>-284868587852.59241</v>
      </c>
      <c r="M3381" s="460">
        <f t="shared" si="151"/>
        <v>0.05</v>
      </c>
      <c r="N3381" s="464">
        <f t="shared" si="152"/>
        <v>153950</v>
      </c>
    </row>
    <row r="3382" spans="7:14" ht="11.25" customHeight="1" x14ac:dyDescent="0.3">
      <c r="G3382" s="459"/>
      <c r="H3382" s="459">
        <v>3375</v>
      </c>
      <c r="I3382" s="444">
        <f t="shared" ca="1" si="150"/>
        <v>-284868587852.59241</v>
      </c>
      <c r="J3382" s="444">
        <f t="array" ref="J3382">IFERROR(INDEX('Retirement Calculator'!K:K,MATCH('Lorri 401b'!N3382,'Retirement Calculator'!A:A,0),0),0)</f>
        <v>0</v>
      </c>
      <c r="K3382" s="444">
        <f t="shared" ca="1" si="148"/>
        <v>-1186952449.3858018</v>
      </c>
      <c r="L3382" s="444">
        <f t="shared" ca="1" si="149"/>
        <v>-286055540301.97821</v>
      </c>
      <c r="M3382" s="460">
        <f t="shared" si="151"/>
        <v>0.05</v>
      </c>
      <c r="N3382" s="464">
        <f t="shared" si="152"/>
        <v>153981</v>
      </c>
    </row>
    <row r="3383" spans="7:14" ht="11.25" customHeight="1" x14ac:dyDescent="0.3">
      <c r="G3383" s="459"/>
      <c r="H3383" s="459">
        <v>3376</v>
      </c>
      <c r="I3383" s="444">
        <f t="shared" ca="1" si="150"/>
        <v>-286055540301.97821</v>
      </c>
      <c r="J3383" s="444">
        <f t="array" ref="J3383">IFERROR(INDEX('Retirement Calculator'!K:K,MATCH('Lorri 401b'!N3383,'Retirement Calculator'!A:A,0),0),0)</f>
        <v>0</v>
      </c>
      <c r="K3383" s="444">
        <f t="shared" ca="1" si="148"/>
        <v>-1191898084.5915759</v>
      </c>
      <c r="L3383" s="444">
        <f t="shared" ca="1" si="149"/>
        <v>-287247438386.56976</v>
      </c>
      <c r="M3383" s="460">
        <f t="shared" si="151"/>
        <v>0.05</v>
      </c>
      <c r="N3383" s="464">
        <f t="shared" si="152"/>
        <v>154012</v>
      </c>
    </row>
    <row r="3384" spans="7:14" ht="11.25" customHeight="1" x14ac:dyDescent="0.3">
      <c r="G3384" s="459"/>
      <c r="H3384" s="459">
        <v>3377</v>
      </c>
      <c r="I3384" s="444">
        <f t="shared" ca="1" si="150"/>
        <v>-287247438386.56976</v>
      </c>
      <c r="J3384" s="444">
        <f t="array" ref="J3384">IFERROR(INDEX('Retirement Calculator'!K:K,MATCH('Lorri 401b'!N3384,'Retirement Calculator'!A:A,0),0),0)</f>
        <v>0</v>
      </c>
      <c r="K3384" s="444">
        <f t="shared" ca="1" si="148"/>
        <v>-1196864326.6107073</v>
      </c>
      <c r="L3384" s="444">
        <f t="shared" ca="1" si="149"/>
        <v>-288444302713.18048</v>
      </c>
      <c r="M3384" s="460">
        <f t="shared" si="151"/>
        <v>0.05</v>
      </c>
      <c r="N3384" s="464">
        <f t="shared" si="152"/>
        <v>154042</v>
      </c>
    </row>
    <row r="3385" spans="7:14" ht="11.25" customHeight="1" x14ac:dyDescent="0.3">
      <c r="G3385" s="459"/>
      <c r="H3385" s="459">
        <v>3378</v>
      </c>
      <c r="I3385" s="444">
        <f t="shared" ca="1" si="150"/>
        <v>-288444302713.18048</v>
      </c>
      <c r="J3385" s="444">
        <f t="array" ref="J3385">IFERROR(INDEX('Retirement Calculator'!K:K,MATCH('Lorri 401b'!N3385,'Retirement Calculator'!A:A,0),0),0)</f>
        <v>0</v>
      </c>
      <c r="K3385" s="444">
        <f t="shared" ca="1" si="148"/>
        <v>-1201851261.3049188</v>
      </c>
      <c r="L3385" s="444">
        <f t="shared" ca="1" si="149"/>
        <v>-289646153974.48541</v>
      </c>
      <c r="M3385" s="460">
        <f t="shared" si="151"/>
        <v>0.05</v>
      </c>
      <c r="N3385" s="464">
        <f t="shared" si="152"/>
        <v>154073</v>
      </c>
    </row>
    <row r="3386" spans="7:14" ht="11.25" customHeight="1" x14ac:dyDescent="0.3">
      <c r="G3386" s="459"/>
      <c r="H3386" s="459">
        <v>3379</v>
      </c>
      <c r="I3386" s="444">
        <f t="shared" ca="1" si="150"/>
        <v>-289646153974.48541</v>
      </c>
      <c r="J3386" s="444">
        <f t="array" ref="J3386">IFERROR(INDEX('Retirement Calculator'!K:K,MATCH('Lorri 401b'!N3386,'Retirement Calculator'!A:A,0),0),0)</f>
        <v>0</v>
      </c>
      <c r="K3386" s="444">
        <f t="shared" ca="1" si="148"/>
        <v>-1206858974.8936892</v>
      </c>
      <c r="L3386" s="444">
        <f t="shared" ca="1" si="149"/>
        <v>-290853012949.37909</v>
      </c>
      <c r="M3386" s="460">
        <f t="shared" si="151"/>
        <v>0.05</v>
      </c>
      <c r="N3386" s="464">
        <f t="shared" si="152"/>
        <v>154103</v>
      </c>
    </row>
    <row r="3387" spans="7:14" ht="11.25" customHeight="1" x14ac:dyDescent="0.3">
      <c r="G3387" s="459"/>
      <c r="H3387" s="459">
        <v>3380</v>
      </c>
      <c r="I3387" s="444">
        <f t="shared" ca="1" si="150"/>
        <v>-290853012949.37909</v>
      </c>
      <c r="J3387" s="444">
        <f t="array" ref="J3387">IFERROR(INDEX('Retirement Calculator'!K:K,MATCH('Lorri 401b'!N3387,'Retirement Calculator'!A:A,0),0),0)</f>
        <v>0</v>
      </c>
      <c r="K3387" s="444">
        <f t="shared" ca="1" si="148"/>
        <v>-1211887553.9557462</v>
      </c>
      <c r="L3387" s="444">
        <f t="shared" ca="1" si="149"/>
        <v>-292064900503.33484</v>
      </c>
      <c r="M3387" s="460">
        <f t="shared" si="151"/>
        <v>0.05</v>
      </c>
      <c r="N3387" s="464">
        <f t="shared" si="152"/>
        <v>154134</v>
      </c>
    </row>
    <row r="3388" spans="7:14" ht="11.25" customHeight="1" x14ac:dyDescent="0.3">
      <c r="G3388" s="459"/>
      <c r="H3388" s="459">
        <v>3381</v>
      </c>
      <c r="I3388" s="444">
        <f t="shared" ca="1" si="150"/>
        <v>-292064900503.33484</v>
      </c>
      <c r="J3388" s="444">
        <f t="array" ref="J3388">IFERROR(INDEX('Retirement Calculator'!K:K,MATCH('Lorri 401b'!N3388,'Retirement Calculator'!A:A,0),0),0)</f>
        <v>0</v>
      </c>
      <c r="K3388" s="444">
        <f t="shared" ca="1" si="148"/>
        <v>-1216937085.4305618</v>
      </c>
      <c r="L3388" s="444">
        <f t="shared" ca="1" si="149"/>
        <v>-293281837588.76538</v>
      </c>
      <c r="M3388" s="460">
        <f t="shared" si="151"/>
        <v>0.05</v>
      </c>
      <c r="N3388" s="464">
        <f t="shared" si="152"/>
        <v>154165</v>
      </c>
    </row>
    <row r="3389" spans="7:14" ht="11.25" customHeight="1" x14ac:dyDescent="0.3">
      <c r="G3389" s="459"/>
      <c r="H3389" s="459">
        <v>3382</v>
      </c>
      <c r="I3389" s="444">
        <f t="shared" ca="1" si="150"/>
        <v>-293281837588.76538</v>
      </c>
      <c r="J3389" s="444">
        <f t="array" ref="J3389">IFERROR(INDEX('Retirement Calculator'!K:K,MATCH('Lorri 401b'!N3389,'Retirement Calculator'!A:A,0),0),0)</f>
        <v>0</v>
      </c>
      <c r="K3389" s="444">
        <f t="shared" ca="1" si="148"/>
        <v>-1222007656.6198556</v>
      </c>
      <c r="L3389" s="444">
        <f t="shared" ca="1" si="149"/>
        <v>-294503845245.38525</v>
      </c>
      <c r="M3389" s="460">
        <f t="shared" si="151"/>
        <v>0.05</v>
      </c>
      <c r="N3389" s="464">
        <f t="shared" si="152"/>
        <v>154193</v>
      </c>
    </row>
    <row r="3390" spans="7:14" ht="11.25" customHeight="1" x14ac:dyDescent="0.3">
      <c r="G3390" s="459"/>
      <c r="H3390" s="459">
        <v>3383</v>
      </c>
      <c r="I3390" s="444">
        <f t="shared" ca="1" si="150"/>
        <v>-294503845245.38525</v>
      </c>
      <c r="J3390" s="444">
        <f t="array" ref="J3390">IFERROR(INDEX('Retirement Calculator'!K:K,MATCH('Lorri 401b'!N3390,'Retirement Calculator'!A:A,0),0),0)</f>
        <v>0</v>
      </c>
      <c r="K3390" s="444">
        <f t="shared" ca="1" si="148"/>
        <v>-1227099355.1891053</v>
      </c>
      <c r="L3390" s="444">
        <f t="shared" ca="1" si="149"/>
        <v>-295730944600.57434</v>
      </c>
      <c r="M3390" s="460">
        <f t="shared" si="151"/>
        <v>0.05</v>
      </c>
      <c r="N3390" s="464">
        <f t="shared" si="152"/>
        <v>154224</v>
      </c>
    </row>
    <row r="3391" spans="7:14" ht="11.25" customHeight="1" x14ac:dyDescent="0.3">
      <c r="G3391" s="459"/>
      <c r="H3391" s="459">
        <v>3384</v>
      </c>
      <c r="I3391" s="444">
        <f t="shared" ca="1" si="150"/>
        <v>-295730944600.57434</v>
      </c>
      <c r="J3391" s="444">
        <f t="array" ref="J3391">IFERROR(INDEX('Retirement Calculator'!K:K,MATCH('Lorri 401b'!N3391,'Retirement Calculator'!A:A,0),0),0)</f>
        <v>0</v>
      </c>
      <c r="K3391" s="444">
        <f t="shared" ca="1" si="148"/>
        <v>-1232212269.1690598</v>
      </c>
      <c r="L3391" s="444">
        <f t="shared" ca="1" si="149"/>
        <v>-296963156869.74341</v>
      </c>
      <c r="M3391" s="460">
        <f t="shared" si="151"/>
        <v>0.05</v>
      </c>
      <c r="N3391" s="464">
        <f t="shared" si="152"/>
        <v>154254</v>
      </c>
    </row>
    <row r="3392" spans="7:14" ht="11.25" customHeight="1" x14ac:dyDescent="0.3">
      <c r="G3392" s="459"/>
      <c r="H3392" s="459">
        <v>3385</v>
      </c>
      <c r="I3392" s="444">
        <f t="shared" ca="1" si="150"/>
        <v>-296963156869.74341</v>
      </c>
      <c r="J3392" s="444">
        <f t="array" ref="J3392">IFERROR(INDEX('Retirement Calculator'!K:K,MATCH('Lorri 401b'!N3392,'Retirement Calculator'!A:A,0),0),0)</f>
        <v>0</v>
      </c>
      <c r="K3392" s="444">
        <f t="shared" ca="1" si="148"/>
        <v>-1237346486.9572642</v>
      </c>
      <c r="L3392" s="444">
        <f t="shared" ca="1" si="149"/>
        <v>-298200503356.70068</v>
      </c>
      <c r="M3392" s="460">
        <f t="shared" si="151"/>
        <v>0.05</v>
      </c>
      <c r="N3392" s="464">
        <f t="shared" si="152"/>
        <v>154285</v>
      </c>
    </row>
    <row r="3393" spans="7:14" ht="11.25" customHeight="1" x14ac:dyDescent="0.3">
      <c r="G3393" s="459"/>
      <c r="H3393" s="459">
        <v>3386</v>
      </c>
      <c r="I3393" s="444">
        <f t="shared" ca="1" si="150"/>
        <v>-298200503356.70068</v>
      </c>
      <c r="J3393" s="444">
        <f t="array" ref="J3393">IFERROR(INDEX('Retirement Calculator'!K:K,MATCH('Lorri 401b'!N3393,'Retirement Calculator'!A:A,0),0),0)</f>
        <v>0</v>
      </c>
      <c r="K3393" s="444">
        <f t="shared" ca="1" si="148"/>
        <v>-1242502097.3195863</v>
      </c>
      <c r="L3393" s="444">
        <f t="shared" ca="1" si="149"/>
        <v>-299443005454.02026</v>
      </c>
      <c r="M3393" s="460">
        <f t="shared" si="151"/>
        <v>0.05</v>
      </c>
      <c r="N3393" s="464">
        <f t="shared" si="152"/>
        <v>154315</v>
      </c>
    </row>
    <row r="3394" spans="7:14" ht="11.25" customHeight="1" x14ac:dyDescent="0.3">
      <c r="G3394" s="459"/>
      <c r="H3394" s="459">
        <v>3387</v>
      </c>
      <c r="I3394" s="444">
        <f t="shared" ca="1" si="150"/>
        <v>-299443005454.02026</v>
      </c>
      <c r="J3394" s="444">
        <f t="array" ref="J3394">IFERROR(INDEX('Retirement Calculator'!K:K,MATCH('Lorri 401b'!N3394,'Retirement Calculator'!A:A,0),0),0)</f>
        <v>0</v>
      </c>
      <c r="K3394" s="444">
        <f t="shared" ca="1" si="148"/>
        <v>-1247679189.3917511</v>
      </c>
      <c r="L3394" s="444">
        <f t="shared" ca="1" si="149"/>
        <v>-300690684643.41199</v>
      </c>
      <c r="M3394" s="460">
        <f t="shared" si="151"/>
        <v>0.05</v>
      </c>
      <c r="N3394" s="464">
        <f t="shared" si="152"/>
        <v>154346</v>
      </c>
    </row>
    <row r="3395" spans="7:14" ht="11.25" customHeight="1" x14ac:dyDescent="0.3">
      <c r="G3395" s="459"/>
      <c r="H3395" s="459">
        <v>3388</v>
      </c>
      <c r="I3395" s="444">
        <f t="shared" ca="1" si="150"/>
        <v>-300690684643.41199</v>
      </c>
      <c r="J3395" s="444">
        <f t="array" ref="J3395">IFERROR(INDEX('Retirement Calculator'!K:K,MATCH('Lorri 401b'!N3395,'Retirement Calculator'!A:A,0),0),0)</f>
        <v>0</v>
      </c>
      <c r="K3395" s="444">
        <f t="shared" ca="1" si="148"/>
        <v>-1252877852.6808832</v>
      </c>
      <c r="L3395" s="444">
        <f t="shared" ca="1" si="149"/>
        <v>-301943562496.0929</v>
      </c>
      <c r="M3395" s="460">
        <f t="shared" si="151"/>
        <v>0.05</v>
      </c>
      <c r="N3395" s="464">
        <f t="shared" si="152"/>
        <v>154377</v>
      </c>
    </row>
    <row r="3396" spans="7:14" ht="11.25" customHeight="1" x14ac:dyDescent="0.3">
      <c r="G3396" s="459"/>
      <c r="H3396" s="459">
        <v>3389</v>
      </c>
      <c r="I3396" s="444">
        <f t="shared" ca="1" si="150"/>
        <v>-301943562496.0929</v>
      </c>
      <c r="J3396" s="444">
        <f t="array" ref="J3396">IFERROR(INDEX('Retirement Calculator'!K:K,MATCH('Lorri 401b'!N3396,'Retirement Calculator'!A:A,0),0),0)</f>
        <v>0</v>
      </c>
      <c r="K3396" s="444">
        <f t="shared" ca="1" si="148"/>
        <v>-1258098177.0670538</v>
      </c>
      <c r="L3396" s="444">
        <f t="shared" ca="1" si="149"/>
        <v>-303201660673.15997</v>
      </c>
      <c r="M3396" s="460">
        <f t="shared" si="151"/>
        <v>0.05</v>
      </c>
      <c r="N3396" s="464">
        <f t="shared" si="152"/>
        <v>154407</v>
      </c>
    </row>
    <row r="3397" spans="7:14" ht="11.25" customHeight="1" x14ac:dyDescent="0.3">
      <c r="G3397" s="459"/>
      <c r="H3397" s="459">
        <v>3390</v>
      </c>
      <c r="I3397" s="444">
        <f t="shared" ca="1" si="150"/>
        <v>-303201660673.15997</v>
      </c>
      <c r="J3397" s="444">
        <f t="array" ref="J3397">IFERROR(INDEX('Retirement Calculator'!K:K,MATCH('Lorri 401b'!N3397,'Retirement Calculator'!A:A,0),0),0)</f>
        <v>0</v>
      </c>
      <c r="K3397" s="444">
        <f t="shared" ca="1" si="148"/>
        <v>-1263340252.8048332</v>
      </c>
      <c r="L3397" s="444">
        <f t="shared" ca="1" si="149"/>
        <v>-304465000925.96478</v>
      </c>
      <c r="M3397" s="460">
        <f t="shared" si="151"/>
        <v>0.05</v>
      </c>
      <c r="N3397" s="464">
        <f t="shared" si="152"/>
        <v>154438</v>
      </c>
    </row>
    <row r="3398" spans="7:14" ht="11.25" customHeight="1" x14ac:dyDescent="0.3">
      <c r="G3398" s="459"/>
      <c r="H3398" s="459">
        <v>3391</v>
      </c>
      <c r="I3398" s="444">
        <f t="shared" ca="1" si="150"/>
        <v>-304465000925.96478</v>
      </c>
      <c r="J3398" s="444">
        <f t="array" ref="J3398">IFERROR(INDEX('Retirement Calculator'!K:K,MATCH('Lorri 401b'!N3398,'Retirement Calculator'!A:A,0),0),0)</f>
        <v>0</v>
      </c>
      <c r="K3398" s="444">
        <f t="shared" ca="1" si="148"/>
        <v>-1268604170.5248532</v>
      </c>
      <c r="L3398" s="444">
        <f t="shared" ca="1" si="149"/>
        <v>-305733605096.48962</v>
      </c>
      <c r="M3398" s="460">
        <f t="shared" si="151"/>
        <v>0.05</v>
      </c>
      <c r="N3398" s="464">
        <f t="shared" si="152"/>
        <v>154468</v>
      </c>
    </row>
    <row r="3399" spans="7:14" ht="11.25" customHeight="1" x14ac:dyDescent="0.3">
      <c r="G3399" s="459"/>
      <c r="H3399" s="459">
        <v>3392</v>
      </c>
      <c r="I3399" s="444">
        <f t="shared" ca="1" si="150"/>
        <v>-305733605096.48962</v>
      </c>
      <c r="J3399" s="444">
        <f t="array" ref="J3399">IFERROR(INDEX('Retirement Calculator'!K:K,MATCH('Lorri 401b'!N3399,'Retirement Calculator'!A:A,0),0),0)</f>
        <v>0</v>
      </c>
      <c r="K3399" s="444">
        <f t="shared" ca="1" si="148"/>
        <v>-1273890021.2353735</v>
      </c>
      <c r="L3399" s="444">
        <f t="shared" ca="1" si="149"/>
        <v>-307007495117.72498</v>
      </c>
      <c r="M3399" s="460">
        <f t="shared" si="151"/>
        <v>0.05</v>
      </c>
      <c r="N3399" s="464">
        <f t="shared" si="152"/>
        <v>154499</v>
      </c>
    </row>
    <row r="3400" spans="7:14" ht="11.25" customHeight="1" x14ac:dyDescent="0.3">
      <c r="G3400" s="459"/>
      <c r="H3400" s="459">
        <v>3393</v>
      </c>
      <c r="I3400" s="444">
        <f t="shared" ca="1" si="150"/>
        <v>-307007495117.72498</v>
      </c>
      <c r="J3400" s="444">
        <f t="array" ref="J3400">IFERROR(INDEX('Retirement Calculator'!K:K,MATCH('Lorri 401b'!N3400,'Retirement Calculator'!A:A,0),0),0)</f>
        <v>0</v>
      </c>
      <c r="K3400" s="444">
        <f t="shared" ca="1" si="148"/>
        <v>-1279197896.323854</v>
      </c>
      <c r="L3400" s="444">
        <f t="shared" ca="1" si="149"/>
        <v>-308286693014.04883</v>
      </c>
      <c r="M3400" s="460">
        <f t="shared" si="151"/>
        <v>0.05</v>
      </c>
      <c r="N3400" s="464">
        <f t="shared" si="152"/>
        <v>154530</v>
      </c>
    </row>
    <row r="3401" spans="7:14" ht="11.25" customHeight="1" x14ac:dyDescent="0.3">
      <c r="G3401" s="459"/>
      <c r="H3401" s="459">
        <v>3394</v>
      </c>
      <c r="I3401" s="444">
        <f t="shared" ca="1" si="150"/>
        <v>-308286693014.04883</v>
      </c>
      <c r="J3401" s="444">
        <f t="array" ref="J3401">IFERROR(INDEX('Retirement Calculator'!K:K,MATCH('Lorri 401b'!N3401,'Retirement Calculator'!A:A,0),0),0)</f>
        <v>0</v>
      </c>
      <c r="K3401" s="444">
        <f t="shared" ca="1" si="148"/>
        <v>-1284527887.5585368</v>
      </c>
      <c r="L3401" s="444">
        <f t="shared" ca="1" si="149"/>
        <v>-309571220901.60736</v>
      </c>
      <c r="M3401" s="460">
        <f t="shared" si="151"/>
        <v>0.05</v>
      </c>
      <c r="N3401" s="464">
        <f t="shared" si="152"/>
        <v>154558</v>
      </c>
    </row>
    <row r="3402" spans="7:14" ht="11.25" customHeight="1" x14ac:dyDescent="0.3">
      <c r="G3402" s="459"/>
      <c r="H3402" s="459">
        <v>3395</v>
      </c>
      <c r="I3402" s="444">
        <f t="shared" ca="1" si="150"/>
        <v>-309571220901.60736</v>
      </c>
      <c r="J3402" s="444">
        <f t="array" ref="J3402">IFERROR(INDEX('Retirement Calculator'!K:K,MATCH('Lorri 401b'!N3402,'Retirement Calculator'!A:A,0),0),0)</f>
        <v>0</v>
      </c>
      <c r="K3402" s="444">
        <f t="shared" ca="1" si="148"/>
        <v>-1289880087.0900307</v>
      </c>
      <c r="L3402" s="444">
        <f t="shared" ca="1" si="149"/>
        <v>-310861100988.69739</v>
      </c>
      <c r="M3402" s="460">
        <f t="shared" si="151"/>
        <v>0.05</v>
      </c>
      <c r="N3402" s="464">
        <f t="shared" si="152"/>
        <v>154589</v>
      </c>
    </row>
    <row r="3403" spans="7:14" ht="11.25" customHeight="1" x14ac:dyDescent="0.3">
      <c r="G3403" s="459"/>
      <c r="H3403" s="459">
        <v>3396</v>
      </c>
      <c r="I3403" s="444">
        <f t="shared" ca="1" si="150"/>
        <v>-310861100988.69739</v>
      </c>
      <c r="J3403" s="444">
        <f t="array" ref="J3403">IFERROR(INDEX('Retirement Calculator'!K:K,MATCH('Lorri 401b'!N3403,'Retirement Calculator'!A:A,0),0),0)</f>
        <v>0</v>
      </c>
      <c r="K3403" s="444">
        <f t="shared" ca="1" si="148"/>
        <v>-1295254587.4529057</v>
      </c>
      <c r="L3403" s="444">
        <f t="shared" ca="1" si="149"/>
        <v>-312156355576.15027</v>
      </c>
      <c r="M3403" s="460">
        <f t="shared" si="151"/>
        <v>0.05</v>
      </c>
      <c r="N3403" s="464">
        <f t="shared" si="152"/>
        <v>154619</v>
      </c>
    </row>
    <row r="3404" spans="7:14" ht="11.25" customHeight="1" x14ac:dyDescent="0.3">
      <c r="G3404" s="459"/>
      <c r="H3404" s="459">
        <v>3397</v>
      </c>
      <c r="I3404" s="444">
        <f t="shared" ca="1" si="150"/>
        <v>-312156355576.15027</v>
      </c>
      <c r="J3404" s="444">
        <f t="array" ref="J3404">IFERROR(INDEX('Retirement Calculator'!K:K,MATCH('Lorri 401b'!N3404,'Retirement Calculator'!A:A,0),0),0)</f>
        <v>0</v>
      </c>
      <c r="K3404" s="444">
        <f t="shared" ca="1" si="148"/>
        <v>-1300651481.5672927</v>
      </c>
      <c r="L3404" s="444">
        <f t="shared" ca="1" si="149"/>
        <v>-313457007057.71759</v>
      </c>
      <c r="M3404" s="460">
        <f t="shared" si="151"/>
        <v>0.05</v>
      </c>
      <c r="N3404" s="464">
        <f t="shared" si="152"/>
        <v>154650</v>
      </c>
    </row>
    <row r="3405" spans="7:14" ht="11.25" customHeight="1" x14ac:dyDescent="0.3">
      <c r="G3405" s="459"/>
      <c r="H3405" s="459">
        <v>3398</v>
      </c>
      <c r="I3405" s="444">
        <f t="shared" ca="1" si="150"/>
        <v>-313457007057.71759</v>
      </c>
      <c r="J3405" s="444">
        <f t="array" ref="J3405">IFERROR(INDEX('Retirement Calculator'!K:K,MATCH('Lorri 401b'!N3405,'Retirement Calculator'!A:A,0),0),0)</f>
        <v>0</v>
      </c>
      <c r="K3405" s="444">
        <f t="shared" ca="1" si="148"/>
        <v>-1306070862.74049</v>
      </c>
      <c r="L3405" s="444">
        <f t="shared" ca="1" si="149"/>
        <v>-314763077920.45807</v>
      </c>
      <c r="M3405" s="460">
        <f t="shared" si="151"/>
        <v>0.05</v>
      </c>
      <c r="N3405" s="464">
        <f t="shared" si="152"/>
        <v>154680</v>
      </c>
    </row>
    <row r="3406" spans="7:14" ht="11.25" customHeight="1" x14ac:dyDescent="0.3">
      <c r="G3406" s="459"/>
      <c r="H3406" s="459">
        <v>3399</v>
      </c>
      <c r="I3406" s="444">
        <f t="shared" ca="1" si="150"/>
        <v>-314763077920.45807</v>
      </c>
      <c r="J3406" s="444">
        <f t="array" ref="J3406">IFERROR(INDEX('Retirement Calculator'!K:K,MATCH('Lorri 401b'!N3406,'Retirement Calculator'!A:A,0),0),0)</f>
        <v>0</v>
      </c>
      <c r="K3406" s="444">
        <f t="shared" ca="1" si="148"/>
        <v>-1311512824.6685753</v>
      </c>
      <c r="L3406" s="444">
        <f t="shared" ca="1" si="149"/>
        <v>-316074590745.12665</v>
      </c>
      <c r="M3406" s="460">
        <f t="shared" si="151"/>
        <v>0.05</v>
      </c>
      <c r="N3406" s="464">
        <f t="shared" si="152"/>
        <v>154711</v>
      </c>
    </row>
    <row r="3407" spans="7:14" ht="11.25" customHeight="1" x14ac:dyDescent="0.3">
      <c r="G3407" s="459"/>
      <c r="H3407" s="459">
        <v>3400</v>
      </c>
      <c r="I3407" s="444">
        <f t="shared" ca="1" si="150"/>
        <v>-316074590745.12665</v>
      </c>
      <c r="J3407" s="444">
        <f t="array" ref="J3407">IFERROR(INDEX('Retirement Calculator'!K:K,MATCH('Lorri 401b'!N3407,'Retirement Calculator'!A:A,0),0),0)</f>
        <v>0</v>
      </c>
      <c r="K3407" s="444">
        <f t="shared" ca="1" si="148"/>
        <v>-1316977461.4380276</v>
      </c>
      <c r="L3407" s="444">
        <f t="shared" ca="1" si="149"/>
        <v>-317391568206.5647</v>
      </c>
      <c r="M3407" s="460">
        <f t="shared" si="151"/>
        <v>0.05</v>
      </c>
      <c r="N3407" s="464">
        <f t="shared" si="152"/>
        <v>154742</v>
      </c>
    </row>
    <row r="3408" spans="7:14" ht="11.25" customHeight="1" x14ac:dyDescent="0.3">
      <c r="G3408" s="459"/>
      <c r="H3408" s="459">
        <v>3401</v>
      </c>
      <c r="I3408" s="444">
        <f t="shared" ca="1" si="150"/>
        <v>-317391568206.5647</v>
      </c>
      <c r="J3408" s="444">
        <f t="array" ref="J3408">IFERROR(INDEX('Retirement Calculator'!K:K,MATCH('Lorri 401b'!N3408,'Retirement Calculator'!A:A,0),0),0)</f>
        <v>0</v>
      </c>
      <c r="K3408" s="444">
        <f t="shared" ca="1" si="148"/>
        <v>-1322464867.5273528</v>
      </c>
      <c r="L3408" s="444">
        <f t="shared" ca="1" si="149"/>
        <v>-318714033074.09204</v>
      </c>
      <c r="M3408" s="460">
        <f t="shared" si="151"/>
        <v>0.05</v>
      </c>
      <c r="N3408" s="464">
        <f t="shared" si="152"/>
        <v>154772</v>
      </c>
    </row>
    <row r="3409" spans="7:14" ht="11.25" customHeight="1" x14ac:dyDescent="0.3">
      <c r="G3409" s="459"/>
      <c r="H3409" s="459">
        <v>3402</v>
      </c>
      <c r="I3409" s="444">
        <f t="shared" ca="1" si="150"/>
        <v>-318714033074.09204</v>
      </c>
      <c r="J3409" s="444">
        <f t="array" ref="J3409">IFERROR(INDEX('Retirement Calculator'!K:K,MATCH('Lorri 401b'!N3409,'Retirement Calculator'!A:A,0),0),0)</f>
        <v>0</v>
      </c>
      <c r="K3409" s="444">
        <f t="shared" ca="1" si="148"/>
        <v>-1327975137.8087168</v>
      </c>
      <c r="L3409" s="444">
        <f t="shared" ca="1" si="149"/>
        <v>-320042008211.90076</v>
      </c>
      <c r="M3409" s="460">
        <f t="shared" si="151"/>
        <v>0.05</v>
      </c>
      <c r="N3409" s="464">
        <f t="shared" si="152"/>
        <v>154803</v>
      </c>
    </row>
    <row r="3410" spans="7:14" ht="11.25" customHeight="1" x14ac:dyDescent="0.3">
      <c r="G3410" s="459"/>
      <c r="H3410" s="459">
        <v>3403</v>
      </c>
      <c r="I3410" s="444">
        <f t="shared" ca="1" si="150"/>
        <v>-320042008211.90076</v>
      </c>
      <c r="J3410" s="444">
        <f t="array" ref="J3410">IFERROR(INDEX('Retirement Calculator'!K:K,MATCH('Lorri 401b'!N3410,'Retirement Calculator'!A:A,0),0),0)</f>
        <v>0</v>
      </c>
      <c r="K3410" s="444">
        <f t="shared" ca="1" si="148"/>
        <v>-1333508367.5495865</v>
      </c>
      <c r="L3410" s="444">
        <f t="shared" ca="1" si="149"/>
        <v>-321375516579.45032</v>
      </c>
      <c r="M3410" s="460">
        <f t="shared" si="151"/>
        <v>0.05</v>
      </c>
      <c r="N3410" s="464">
        <f t="shared" si="152"/>
        <v>154833</v>
      </c>
    </row>
    <row r="3411" spans="7:14" ht="11.25" customHeight="1" x14ac:dyDescent="0.3">
      <c r="G3411" s="459"/>
      <c r="H3411" s="459">
        <v>3404</v>
      </c>
      <c r="I3411" s="444">
        <f t="shared" ca="1" si="150"/>
        <v>-321375516579.45032</v>
      </c>
      <c r="J3411" s="444">
        <f t="array" ref="J3411">IFERROR(INDEX('Retirement Calculator'!K:K,MATCH('Lorri 401b'!N3411,'Retirement Calculator'!A:A,0),0),0)</f>
        <v>0</v>
      </c>
      <c r="K3411" s="444">
        <f t="shared" ca="1" si="148"/>
        <v>-1339064652.4143763</v>
      </c>
      <c r="L3411" s="444">
        <f t="shared" ca="1" si="149"/>
        <v>-322714581231.86469</v>
      </c>
      <c r="M3411" s="460">
        <f t="shared" si="151"/>
        <v>0.05</v>
      </c>
      <c r="N3411" s="464">
        <f t="shared" si="152"/>
        <v>154864</v>
      </c>
    </row>
    <row r="3412" spans="7:14" ht="11.25" customHeight="1" x14ac:dyDescent="0.3">
      <c r="G3412" s="459"/>
      <c r="H3412" s="459">
        <v>3405</v>
      </c>
      <c r="I3412" s="444">
        <f t="shared" ca="1" si="150"/>
        <v>-322714581231.86469</v>
      </c>
      <c r="J3412" s="444">
        <f t="array" ref="J3412">IFERROR(INDEX('Retirement Calculator'!K:K,MATCH('Lorri 401b'!N3412,'Retirement Calculator'!A:A,0),0),0)</f>
        <v>0</v>
      </c>
      <c r="K3412" s="444">
        <f t="shared" ca="1" si="148"/>
        <v>-1344644088.4661028</v>
      </c>
      <c r="L3412" s="444">
        <f t="shared" ca="1" si="149"/>
        <v>-324059225320.33081</v>
      </c>
      <c r="M3412" s="460">
        <f t="shared" si="151"/>
        <v>0.05</v>
      </c>
      <c r="N3412" s="464">
        <f t="shared" si="152"/>
        <v>154895</v>
      </c>
    </row>
    <row r="3413" spans="7:14" ht="11.25" customHeight="1" x14ac:dyDescent="0.3">
      <c r="G3413" s="459"/>
      <c r="H3413" s="459">
        <v>3406</v>
      </c>
      <c r="I3413" s="444">
        <f t="shared" ca="1" si="150"/>
        <v>-324059225320.33081</v>
      </c>
      <c r="J3413" s="444">
        <f t="array" ref="J3413">IFERROR(INDEX('Retirement Calculator'!K:K,MATCH('Lorri 401b'!N3413,'Retirement Calculator'!A:A,0),0),0)</f>
        <v>0</v>
      </c>
      <c r="K3413" s="444">
        <f t="shared" ca="1" si="148"/>
        <v>-1350246772.168045</v>
      </c>
      <c r="L3413" s="444">
        <f t="shared" ca="1" si="149"/>
        <v>-325409472092.49884</v>
      </c>
      <c r="M3413" s="460">
        <f t="shared" si="151"/>
        <v>0.05</v>
      </c>
      <c r="N3413" s="464">
        <f t="shared" si="152"/>
        <v>154924</v>
      </c>
    </row>
    <row r="3414" spans="7:14" ht="11.25" customHeight="1" x14ac:dyDescent="0.3">
      <c r="G3414" s="459"/>
      <c r="H3414" s="459">
        <v>3407</v>
      </c>
      <c r="I3414" s="444">
        <f t="shared" ca="1" si="150"/>
        <v>-325409472092.49884</v>
      </c>
      <c r="J3414" s="444">
        <f t="array" ref="J3414">IFERROR(INDEX('Retirement Calculator'!K:K,MATCH('Lorri 401b'!N3414,'Retirement Calculator'!A:A,0),0),0)</f>
        <v>0</v>
      </c>
      <c r="K3414" s="444">
        <f t="shared" ca="1" si="148"/>
        <v>-1355872800.3854117</v>
      </c>
      <c r="L3414" s="444">
        <f t="shared" ca="1" si="149"/>
        <v>-326765344892.88428</v>
      </c>
      <c r="M3414" s="460">
        <f t="shared" si="151"/>
        <v>0.05</v>
      </c>
      <c r="N3414" s="464">
        <f t="shared" si="152"/>
        <v>154955</v>
      </c>
    </row>
    <row r="3415" spans="7:14" ht="11.25" customHeight="1" x14ac:dyDescent="0.3">
      <c r="G3415" s="459"/>
      <c r="H3415" s="459">
        <v>3408</v>
      </c>
      <c r="I3415" s="444">
        <f t="shared" ca="1" si="150"/>
        <v>-326765344892.88428</v>
      </c>
      <c r="J3415" s="444">
        <f t="array" ref="J3415">IFERROR(INDEX('Retirement Calculator'!K:K,MATCH('Lorri 401b'!N3415,'Retirement Calculator'!A:A,0),0),0)</f>
        <v>0</v>
      </c>
      <c r="K3415" s="444">
        <f t="shared" ca="1" si="148"/>
        <v>-1361522270.3870177</v>
      </c>
      <c r="L3415" s="444">
        <f t="shared" ca="1" si="149"/>
        <v>-328126867163.2713</v>
      </c>
      <c r="M3415" s="460">
        <f t="shared" si="151"/>
        <v>0.05</v>
      </c>
      <c r="N3415" s="464">
        <f t="shared" si="152"/>
        <v>154985</v>
      </c>
    </row>
    <row r="3416" spans="7:14" ht="11.25" customHeight="1" x14ac:dyDescent="0.3">
      <c r="G3416" s="459"/>
      <c r="H3416" s="459">
        <v>3409</v>
      </c>
      <c r="I3416" s="444">
        <f t="shared" ca="1" si="150"/>
        <v>-328126867163.2713</v>
      </c>
      <c r="J3416" s="444">
        <f t="array" ref="J3416">IFERROR(INDEX('Retirement Calculator'!K:K,MATCH('Lorri 401b'!N3416,'Retirement Calculator'!A:A,0),0),0)</f>
        <v>0</v>
      </c>
      <c r="K3416" s="444">
        <f t="shared" ca="1" si="148"/>
        <v>-1367195279.8469636</v>
      </c>
      <c r="L3416" s="444">
        <f t="shared" ca="1" si="149"/>
        <v>-329494062443.11829</v>
      </c>
      <c r="M3416" s="460">
        <f t="shared" si="151"/>
        <v>0.05</v>
      </c>
      <c r="N3416" s="464">
        <f t="shared" si="152"/>
        <v>155016</v>
      </c>
    </row>
    <row r="3417" spans="7:14" ht="11.25" customHeight="1" x14ac:dyDescent="0.3">
      <c r="G3417" s="459"/>
      <c r="H3417" s="459">
        <v>3410</v>
      </c>
      <c r="I3417" s="444">
        <f t="shared" ca="1" si="150"/>
        <v>-329494062443.11829</v>
      </c>
      <c r="J3417" s="444">
        <f t="array" ref="J3417">IFERROR(INDEX('Retirement Calculator'!K:K,MATCH('Lorri 401b'!N3417,'Retirement Calculator'!A:A,0),0),0)</f>
        <v>0</v>
      </c>
      <c r="K3417" s="444">
        <f t="shared" ca="1" si="148"/>
        <v>-1372891926.8463261</v>
      </c>
      <c r="L3417" s="444">
        <f t="shared" ca="1" si="149"/>
        <v>-330866954369.9646</v>
      </c>
      <c r="M3417" s="460">
        <f t="shared" si="151"/>
        <v>0.05</v>
      </c>
      <c r="N3417" s="464">
        <f t="shared" si="152"/>
        <v>155046</v>
      </c>
    </row>
    <row r="3418" spans="7:14" ht="11.25" customHeight="1" x14ac:dyDescent="0.3">
      <c r="G3418" s="459"/>
      <c r="H3418" s="459">
        <v>3411</v>
      </c>
      <c r="I3418" s="444">
        <f t="shared" ca="1" si="150"/>
        <v>-330866954369.9646</v>
      </c>
      <c r="J3418" s="444">
        <f t="array" ref="J3418">IFERROR(INDEX('Retirement Calculator'!K:K,MATCH('Lorri 401b'!N3418,'Retirement Calculator'!A:A,0),0),0)</f>
        <v>0</v>
      </c>
      <c r="K3418" s="444">
        <f t="shared" ca="1" si="148"/>
        <v>-1378612309.8748524</v>
      </c>
      <c r="L3418" s="444">
        <f t="shared" ca="1" si="149"/>
        <v>-332245566679.83948</v>
      </c>
      <c r="M3418" s="460">
        <f t="shared" si="151"/>
        <v>0.05</v>
      </c>
      <c r="N3418" s="464">
        <f t="shared" si="152"/>
        <v>155077</v>
      </c>
    </row>
    <row r="3419" spans="7:14" ht="11.25" customHeight="1" x14ac:dyDescent="0.3">
      <c r="G3419" s="459"/>
      <c r="H3419" s="459">
        <v>3412</v>
      </c>
      <c r="I3419" s="444">
        <f t="shared" ca="1" si="150"/>
        <v>-332245566679.83948</v>
      </c>
      <c r="J3419" s="444">
        <f t="array" ref="J3419">IFERROR(INDEX('Retirement Calculator'!K:K,MATCH('Lorri 401b'!N3419,'Retirement Calculator'!A:A,0),0),0)</f>
        <v>0</v>
      </c>
      <c r="K3419" s="444">
        <f t="shared" ca="1" si="148"/>
        <v>-1384356527.8326645</v>
      </c>
      <c r="L3419" s="444">
        <f t="shared" ca="1" si="149"/>
        <v>-333629923207.67212</v>
      </c>
      <c r="M3419" s="460">
        <f t="shared" si="151"/>
        <v>0.05</v>
      </c>
      <c r="N3419" s="464">
        <f t="shared" si="152"/>
        <v>155108</v>
      </c>
    </row>
    <row r="3420" spans="7:14" ht="11.25" customHeight="1" x14ac:dyDescent="0.3">
      <c r="G3420" s="459"/>
      <c r="H3420" s="459">
        <v>3413</v>
      </c>
      <c r="I3420" s="444">
        <f t="shared" ca="1" si="150"/>
        <v>-333629923207.67212</v>
      </c>
      <c r="J3420" s="444">
        <f t="array" ref="J3420">IFERROR(INDEX('Retirement Calculator'!K:K,MATCH('Lorri 401b'!N3420,'Retirement Calculator'!A:A,0),0),0)</f>
        <v>0</v>
      </c>
      <c r="K3420" s="444">
        <f t="shared" ca="1" si="148"/>
        <v>-1390124680.0319672</v>
      </c>
      <c r="L3420" s="444">
        <f t="shared" ca="1" si="149"/>
        <v>-335020047887.7041</v>
      </c>
      <c r="M3420" s="460">
        <f t="shared" si="151"/>
        <v>0.05</v>
      </c>
      <c r="N3420" s="464">
        <f t="shared" si="152"/>
        <v>155138</v>
      </c>
    </row>
    <row r="3421" spans="7:14" ht="11.25" customHeight="1" x14ac:dyDescent="0.3">
      <c r="G3421" s="459"/>
      <c r="H3421" s="459">
        <v>3414</v>
      </c>
      <c r="I3421" s="444">
        <f t="shared" ca="1" si="150"/>
        <v>-335020047887.7041</v>
      </c>
      <c r="J3421" s="444">
        <f t="array" ref="J3421">IFERROR(INDEX('Retirement Calculator'!K:K,MATCH('Lorri 401b'!N3421,'Retirement Calculator'!A:A,0),0),0)</f>
        <v>0</v>
      </c>
      <c r="K3421" s="444">
        <f t="shared" ca="1" si="148"/>
        <v>-1395916866.1987672</v>
      </c>
      <c r="L3421" s="444">
        <f t="shared" ca="1" si="149"/>
        <v>-336415964753.90289</v>
      </c>
      <c r="M3421" s="460">
        <f t="shared" si="151"/>
        <v>0.05</v>
      </c>
      <c r="N3421" s="464">
        <f t="shared" si="152"/>
        <v>155169</v>
      </c>
    </row>
    <row r="3422" spans="7:14" ht="11.25" customHeight="1" x14ac:dyDescent="0.3">
      <c r="G3422" s="459"/>
      <c r="H3422" s="459">
        <v>3415</v>
      </c>
      <c r="I3422" s="444">
        <f t="shared" ca="1" si="150"/>
        <v>-336415964753.90289</v>
      </c>
      <c r="J3422" s="444">
        <f t="array" ref="J3422">IFERROR(INDEX('Retirement Calculator'!K:K,MATCH('Lorri 401b'!N3422,'Retirement Calculator'!A:A,0),0),0)</f>
        <v>0</v>
      </c>
      <c r="K3422" s="444">
        <f t="shared" ca="1" si="148"/>
        <v>-1401733186.4745953</v>
      </c>
      <c r="L3422" s="444">
        <f t="shared" ca="1" si="149"/>
        <v>-337817697940.3775</v>
      </c>
      <c r="M3422" s="460">
        <f t="shared" si="151"/>
        <v>0.05</v>
      </c>
      <c r="N3422" s="464">
        <f t="shared" si="152"/>
        <v>155199</v>
      </c>
    </row>
    <row r="3423" spans="7:14" ht="11.25" customHeight="1" x14ac:dyDescent="0.3">
      <c r="G3423" s="459"/>
      <c r="H3423" s="459">
        <v>3416</v>
      </c>
      <c r="I3423" s="444">
        <f t="shared" ca="1" si="150"/>
        <v>-337817697940.3775</v>
      </c>
      <c r="J3423" s="444">
        <f t="array" ref="J3423">IFERROR(INDEX('Retirement Calculator'!K:K,MATCH('Lorri 401b'!N3423,'Retirement Calculator'!A:A,0),0),0)</f>
        <v>0</v>
      </c>
      <c r="K3423" s="444">
        <f t="shared" ca="1" si="148"/>
        <v>-1407573741.4182396</v>
      </c>
      <c r="L3423" s="444">
        <f t="shared" ca="1" si="149"/>
        <v>-339225271681.79572</v>
      </c>
      <c r="M3423" s="460">
        <f t="shared" si="151"/>
        <v>0.05</v>
      </c>
      <c r="N3423" s="464">
        <f t="shared" si="152"/>
        <v>155230</v>
      </c>
    </row>
    <row r="3424" spans="7:14" ht="11.25" customHeight="1" x14ac:dyDescent="0.3">
      <c r="G3424" s="459"/>
      <c r="H3424" s="459">
        <v>3417</v>
      </c>
      <c r="I3424" s="444">
        <f t="shared" ca="1" si="150"/>
        <v>-339225271681.79572</v>
      </c>
      <c r="J3424" s="444">
        <f t="array" ref="J3424">IFERROR(INDEX('Retirement Calculator'!K:K,MATCH('Lorri 401b'!N3424,'Retirement Calculator'!A:A,0),0),0)</f>
        <v>0</v>
      </c>
      <c r="K3424" s="444">
        <f t="shared" ca="1" si="148"/>
        <v>-1413438632.0074821</v>
      </c>
      <c r="L3424" s="444">
        <f t="shared" ca="1" si="149"/>
        <v>-340638710313.80322</v>
      </c>
      <c r="M3424" s="460">
        <f t="shared" si="151"/>
        <v>0.05</v>
      </c>
      <c r="N3424" s="464">
        <f t="shared" si="152"/>
        <v>155261</v>
      </c>
    </row>
    <row r="3425" spans="7:14" ht="11.25" customHeight="1" x14ac:dyDescent="0.3">
      <c r="G3425" s="459"/>
      <c r="H3425" s="459">
        <v>3418</v>
      </c>
      <c r="I3425" s="444">
        <f t="shared" ca="1" si="150"/>
        <v>-340638710313.80322</v>
      </c>
      <c r="J3425" s="444">
        <f t="array" ref="J3425">IFERROR(INDEX('Retirement Calculator'!K:K,MATCH('Lorri 401b'!N3425,'Retirement Calculator'!A:A,0),0),0)</f>
        <v>0</v>
      </c>
      <c r="K3425" s="444">
        <f t="shared" ca="1" si="148"/>
        <v>-1419327959.6408467</v>
      </c>
      <c r="L3425" s="444">
        <f t="shared" ca="1" si="149"/>
        <v>-342058038273.44409</v>
      </c>
      <c r="M3425" s="460">
        <f t="shared" si="151"/>
        <v>0.05</v>
      </c>
      <c r="N3425" s="464">
        <f t="shared" si="152"/>
        <v>155289</v>
      </c>
    </row>
    <row r="3426" spans="7:14" ht="11.25" customHeight="1" x14ac:dyDescent="0.3">
      <c r="G3426" s="459"/>
      <c r="H3426" s="459">
        <v>3419</v>
      </c>
      <c r="I3426" s="444">
        <f t="shared" ca="1" si="150"/>
        <v>-342058038273.44409</v>
      </c>
      <c r="J3426" s="444">
        <f t="array" ref="J3426">IFERROR(INDEX('Retirement Calculator'!K:K,MATCH('Lorri 401b'!N3426,'Retirement Calculator'!A:A,0),0),0)</f>
        <v>0</v>
      </c>
      <c r="K3426" s="444">
        <f t="shared" ca="1" si="148"/>
        <v>-1425241826.1393504</v>
      </c>
      <c r="L3426" s="444">
        <f t="shared" ca="1" si="149"/>
        <v>-343483280099.58344</v>
      </c>
      <c r="M3426" s="460">
        <f t="shared" si="151"/>
        <v>0.05</v>
      </c>
      <c r="N3426" s="464">
        <f t="shared" si="152"/>
        <v>155320</v>
      </c>
    </row>
    <row r="3427" spans="7:14" ht="11.25" customHeight="1" x14ac:dyDescent="0.3">
      <c r="G3427" s="459"/>
      <c r="H3427" s="459">
        <v>3420</v>
      </c>
      <c r="I3427" s="444">
        <f t="shared" ca="1" si="150"/>
        <v>-343483280099.58344</v>
      </c>
      <c r="J3427" s="444">
        <f t="array" ref="J3427">IFERROR(INDEX('Retirement Calculator'!K:K,MATCH('Lorri 401b'!N3427,'Retirement Calculator'!A:A,0),0),0)</f>
        <v>0</v>
      </c>
      <c r="K3427" s="444">
        <f t="shared" ca="1" si="148"/>
        <v>-1431180333.7482643</v>
      </c>
      <c r="L3427" s="444">
        <f t="shared" ca="1" si="149"/>
        <v>-344914460433.33173</v>
      </c>
      <c r="M3427" s="460">
        <f t="shared" si="151"/>
        <v>0.05</v>
      </c>
      <c r="N3427" s="464">
        <f t="shared" si="152"/>
        <v>155350</v>
      </c>
    </row>
    <row r="3428" spans="7:14" ht="11.25" customHeight="1" x14ac:dyDescent="0.3">
      <c r="G3428" s="459"/>
      <c r="H3428" s="459">
        <v>3421</v>
      </c>
      <c r="I3428" s="444">
        <f t="shared" ca="1" si="150"/>
        <v>-344914460433.33173</v>
      </c>
      <c r="J3428" s="444">
        <f t="array" ref="J3428">IFERROR(INDEX('Retirement Calculator'!K:K,MATCH('Lorri 401b'!N3428,'Retirement Calculator'!A:A,0),0),0)</f>
        <v>0</v>
      </c>
      <c r="K3428" s="444">
        <f t="shared" ca="1" si="148"/>
        <v>-1437143585.1388822</v>
      </c>
      <c r="L3428" s="444">
        <f t="shared" ca="1" si="149"/>
        <v>-346351604018.47058</v>
      </c>
      <c r="M3428" s="460">
        <f t="shared" si="151"/>
        <v>0.05</v>
      </c>
      <c r="N3428" s="464">
        <f t="shared" si="152"/>
        <v>155381</v>
      </c>
    </row>
    <row r="3429" spans="7:14" ht="11.25" customHeight="1" x14ac:dyDescent="0.3">
      <c r="G3429" s="459"/>
      <c r="H3429" s="459">
        <v>3422</v>
      </c>
      <c r="I3429" s="444">
        <f t="shared" ca="1" si="150"/>
        <v>-346351604018.47058</v>
      </c>
      <c r="J3429" s="444">
        <f t="array" ref="J3429">IFERROR(INDEX('Retirement Calculator'!K:K,MATCH('Lorri 401b'!N3429,'Retirement Calculator'!A:A,0),0),0)</f>
        <v>0</v>
      </c>
      <c r="K3429" s="444">
        <f t="shared" ca="1" si="148"/>
        <v>-1443131683.4102941</v>
      </c>
      <c r="L3429" s="444">
        <f t="shared" ca="1" si="149"/>
        <v>-347794735701.88086</v>
      </c>
      <c r="M3429" s="460">
        <f t="shared" si="151"/>
        <v>0.05</v>
      </c>
      <c r="N3429" s="464">
        <f t="shared" si="152"/>
        <v>155411</v>
      </c>
    </row>
    <row r="3430" spans="7:14" ht="11.25" customHeight="1" x14ac:dyDescent="0.3">
      <c r="G3430" s="459"/>
      <c r="H3430" s="459">
        <v>3423</v>
      </c>
      <c r="I3430" s="444">
        <f t="shared" ca="1" si="150"/>
        <v>-347794735701.88086</v>
      </c>
      <c r="J3430" s="444">
        <f t="array" ref="J3430">IFERROR(INDEX('Retirement Calculator'!K:K,MATCH('Lorri 401b'!N3430,'Retirement Calculator'!A:A,0),0),0)</f>
        <v>0</v>
      </c>
      <c r="K3430" s="444">
        <f t="shared" ca="1" si="148"/>
        <v>-1449144732.0911703</v>
      </c>
      <c r="L3430" s="444">
        <f t="shared" ca="1" si="149"/>
        <v>-349243880433.97205</v>
      </c>
      <c r="M3430" s="460">
        <f t="shared" si="151"/>
        <v>0.05</v>
      </c>
      <c r="N3430" s="464">
        <f t="shared" si="152"/>
        <v>155442</v>
      </c>
    </row>
    <row r="3431" spans="7:14" ht="11.25" customHeight="1" x14ac:dyDescent="0.3">
      <c r="G3431" s="459"/>
      <c r="H3431" s="459">
        <v>3424</v>
      </c>
      <c r="I3431" s="444">
        <f t="shared" ca="1" si="150"/>
        <v>-349243880433.97205</v>
      </c>
      <c r="J3431" s="444">
        <f t="array" ref="J3431">IFERROR(INDEX('Retirement Calculator'!K:K,MATCH('Lorri 401b'!N3431,'Retirement Calculator'!A:A,0),0),0)</f>
        <v>0</v>
      </c>
      <c r="K3431" s="444">
        <f t="shared" ca="1" si="148"/>
        <v>-1455182835.1415501</v>
      </c>
      <c r="L3431" s="444">
        <f t="shared" ca="1" si="149"/>
        <v>-350699063269.11359</v>
      </c>
      <c r="M3431" s="460">
        <f t="shared" si="151"/>
        <v>0.05</v>
      </c>
      <c r="N3431" s="464">
        <f t="shared" si="152"/>
        <v>155473</v>
      </c>
    </row>
    <row r="3432" spans="7:14" ht="11.25" customHeight="1" x14ac:dyDescent="0.3">
      <c r="G3432" s="459"/>
      <c r="H3432" s="459">
        <v>3425</v>
      </c>
      <c r="I3432" s="444">
        <f t="shared" ca="1" si="150"/>
        <v>-350699063269.11359</v>
      </c>
      <c r="J3432" s="444">
        <f t="array" ref="J3432">IFERROR(INDEX('Retirement Calculator'!K:K,MATCH('Lorri 401b'!N3432,'Retirement Calculator'!A:A,0),0),0)</f>
        <v>0</v>
      </c>
      <c r="K3432" s="444">
        <f t="shared" ca="1" si="148"/>
        <v>-1461246096.9546399</v>
      </c>
      <c r="L3432" s="444">
        <f t="shared" ca="1" si="149"/>
        <v>-352160309366.06824</v>
      </c>
      <c r="M3432" s="460">
        <f t="shared" si="151"/>
        <v>0.05</v>
      </c>
      <c r="N3432" s="464">
        <f t="shared" si="152"/>
        <v>155503</v>
      </c>
    </row>
    <row r="3433" spans="7:14" ht="11.25" customHeight="1" x14ac:dyDescent="0.3">
      <c r="G3433" s="459"/>
      <c r="H3433" s="459">
        <v>3426</v>
      </c>
      <c r="I3433" s="444">
        <f t="shared" ca="1" si="150"/>
        <v>-352160309366.06824</v>
      </c>
      <c r="J3433" s="444">
        <f t="array" ref="J3433">IFERROR(INDEX('Retirement Calculator'!K:K,MATCH('Lorri 401b'!N3433,'Retirement Calculator'!A:A,0),0),0)</f>
        <v>0</v>
      </c>
      <c r="K3433" s="444">
        <f t="shared" ca="1" si="148"/>
        <v>-1467334622.3586175</v>
      </c>
      <c r="L3433" s="444">
        <f t="shared" ca="1" si="149"/>
        <v>-353627643988.42688</v>
      </c>
      <c r="M3433" s="460">
        <f t="shared" si="151"/>
        <v>0.05</v>
      </c>
      <c r="N3433" s="464">
        <f t="shared" si="152"/>
        <v>155534</v>
      </c>
    </row>
    <row r="3434" spans="7:14" ht="11.25" customHeight="1" x14ac:dyDescent="0.3">
      <c r="G3434" s="459"/>
      <c r="H3434" s="459">
        <v>3427</v>
      </c>
      <c r="I3434" s="444">
        <f t="shared" ca="1" si="150"/>
        <v>-353627643988.42688</v>
      </c>
      <c r="J3434" s="444">
        <f t="array" ref="J3434">IFERROR(INDEX('Retirement Calculator'!K:K,MATCH('Lorri 401b'!N3434,'Retirement Calculator'!A:A,0),0),0)</f>
        <v>0</v>
      </c>
      <c r="K3434" s="444">
        <f t="shared" ca="1" si="148"/>
        <v>-1473448516.6184454</v>
      </c>
      <c r="L3434" s="444">
        <f t="shared" ca="1" si="149"/>
        <v>-355101092505.04535</v>
      </c>
      <c r="M3434" s="460">
        <f t="shared" si="151"/>
        <v>0.05</v>
      </c>
      <c r="N3434" s="464">
        <f t="shared" si="152"/>
        <v>155564</v>
      </c>
    </row>
    <row r="3435" spans="7:14" ht="11.25" customHeight="1" x14ac:dyDescent="0.3">
      <c r="G3435" s="459"/>
      <c r="H3435" s="459">
        <v>3428</v>
      </c>
      <c r="I3435" s="444">
        <f t="shared" ca="1" si="150"/>
        <v>-355101092505.04535</v>
      </c>
      <c r="J3435" s="444">
        <f t="array" ref="J3435">IFERROR(INDEX('Retirement Calculator'!K:K,MATCH('Lorri 401b'!N3435,'Retirement Calculator'!A:A,0),0),0)</f>
        <v>0</v>
      </c>
      <c r="K3435" s="444">
        <f t="shared" ca="1" si="148"/>
        <v>-1479587885.4376888</v>
      </c>
      <c r="L3435" s="444">
        <f t="shared" ca="1" si="149"/>
        <v>-356580680390.48303</v>
      </c>
      <c r="M3435" s="460">
        <f t="shared" si="151"/>
        <v>0.05</v>
      </c>
      <c r="N3435" s="464">
        <f t="shared" si="152"/>
        <v>155595</v>
      </c>
    </row>
    <row r="3436" spans="7:14" ht="11.25" customHeight="1" x14ac:dyDescent="0.3">
      <c r="G3436" s="459"/>
      <c r="H3436" s="459">
        <v>3429</v>
      </c>
      <c r="I3436" s="444">
        <f t="shared" ca="1" si="150"/>
        <v>-356580680390.48303</v>
      </c>
      <c r="J3436" s="444">
        <f t="array" ref="J3436">IFERROR(INDEX('Retirement Calculator'!K:K,MATCH('Lorri 401b'!N3436,'Retirement Calculator'!A:A,0),0),0)</f>
        <v>0</v>
      </c>
      <c r="K3436" s="444">
        <f t="shared" ca="1" si="148"/>
        <v>-1485752834.960346</v>
      </c>
      <c r="L3436" s="444">
        <f t="shared" ca="1" si="149"/>
        <v>-358066433225.44336</v>
      </c>
      <c r="M3436" s="460">
        <f t="shared" si="151"/>
        <v>0.05</v>
      </c>
      <c r="N3436" s="464">
        <f t="shared" si="152"/>
        <v>155626</v>
      </c>
    </row>
    <row r="3437" spans="7:14" ht="11.25" customHeight="1" x14ac:dyDescent="0.3">
      <c r="G3437" s="459"/>
      <c r="H3437" s="459">
        <v>3430</v>
      </c>
      <c r="I3437" s="444">
        <f t="shared" ca="1" si="150"/>
        <v>-358066433225.44336</v>
      </c>
      <c r="J3437" s="444">
        <f t="array" ref="J3437">IFERROR(INDEX('Retirement Calculator'!K:K,MATCH('Lorri 401b'!N3437,'Retirement Calculator'!A:A,0),0),0)</f>
        <v>0</v>
      </c>
      <c r="K3437" s="444">
        <f t="shared" ca="1" si="148"/>
        <v>-1491943471.7726808</v>
      </c>
      <c r="L3437" s="444">
        <f t="shared" ca="1" si="149"/>
        <v>-359558376697.21606</v>
      </c>
      <c r="M3437" s="460">
        <f t="shared" si="151"/>
        <v>0.05</v>
      </c>
      <c r="N3437" s="464">
        <f t="shared" si="152"/>
        <v>155654</v>
      </c>
    </row>
    <row r="3438" spans="7:14" ht="11.25" customHeight="1" x14ac:dyDescent="0.3">
      <c r="G3438" s="459"/>
      <c r="H3438" s="459">
        <v>3431</v>
      </c>
      <c r="I3438" s="444">
        <f t="shared" ca="1" si="150"/>
        <v>-359558376697.21606</v>
      </c>
      <c r="J3438" s="444">
        <f t="array" ref="J3438">IFERROR(INDEX('Retirement Calculator'!K:K,MATCH('Lorri 401b'!N3438,'Retirement Calculator'!A:A,0),0),0)</f>
        <v>0</v>
      </c>
      <c r="K3438" s="444">
        <f t="shared" ca="1" si="148"/>
        <v>-1498159902.905067</v>
      </c>
      <c r="L3438" s="444">
        <f t="shared" ca="1" si="149"/>
        <v>-361056536600.12115</v>
      </c>
      <c r="M3438" s="460">
        <f t="shared" si="151"/>
        <v>0.05</v>
      </c>
      <c r="N3438" s="464">
        <f t="shared" si="152"/>
        <v>155685</v>
      </c>
    </row>
    <row r="3439" spans="7:14" ht="11.25" customHeight="1" x14ac:dyDescent="0.3">
      <c r="G3439" s="459"/>
      <c r="H3439" s="459">
        <v>3432</v>
      </c>
      <c r="I3439" s="444">
        <f t="shared" ca="1" si="150"/>
        <v>-361056536600.12115</v>
      </c>
      <c r="J3439" s="444">
        <f t="array" ref="J3439">IFERROR(INDEX('Retirement Calculator'!K:K,MATCH('Lorri 401b'!N3439,'Retirement Calculator'!A:A,0),0),0)</f>
        <v>0</v>
      </c>
      <c r="K3439" s="444">
        <f t="shared" ca="1" si="148"/>
        <v>-1504402235.8338382</v>
      </c>
      <c r="L3439" s="444">
        <f t="shared" ca="1" si="149"/>
        <v>-362560938835.95502</v>
      </c>
      <c r="M3439" s="460">
        <f t="shared" si="151"/>
        <v>0.05</v>
      </c>
      <c r="N3439" s="464">
        <f t="shared" si="152"/>
        <v>155715</v>
      </c>
    </row>
    <row r="3440" spans="7:14" ht="11.25" customHeight="1" x14ac:dyDescent="0.3">
      <c r="G3440" s="459"/>
      <c r="H3440" s="459">
        <v>3433</v>
      </c>
      <c r="I3440" s="444">
        <f t="shared" ca="1" si="150"/>
        <v>-362560938835.95502</v>
      </c>
      <c r="J3440" s="444">
        <f t="array" ref="J3440">IFERROR(INDEX('Retirement Calculator'!K:K,MATCH('Lorri 401b'!N3440,'Retirement Calculator'!A:A,0),0),0)</f>
        <v>0</v>
      </c>
      <c r="K3440" s="444">
        <f t="shared" ca="1" si="148"/>
        <v>-1510670578.483146</v>
      </c>
      <c r="L3440" s="444">
        <f t="shared" ca="1" si="149"/>
        <v>-364071609414.43817</v>
      </c>
      <c r="M3440" s="460">
        <f t="shared" si="151"/>
        <v>0.05</v>
      </c>
      <c r="N3440" s="464">
        <f t="shared" si="152"/>
        <v>155746</v>
      </c>
    </row>
    <row r="3441" spans="7:14" ht="11.25" customHeight="1" x14ac:dyDescent="0.3">
      <c r="G3441" s="459"/>
      <c r="H3441" s="459">
        <v>3434</v>
      </c>
      <c r="I3441" s="444">
        <f t="shared" ca="1" si="150"/>
        <v>-364071609414.43817</v>
      </c>
      <c r="J3441" s="444">
        <f t="array" ref="J3441">IFERROR(INDEX('Retirement Calculator'!K:K,MATCH('Lorri 401b'!N3441,'Retirement Calculator'!A:A,0),0),0)</f>
        <v>0</v>
      </c>
      <c r="K3441" s="444">
        <f t="shared" ca="1" si="148"/>
        <v>-1516965039.2268257</v>
      </c>
      <c r="L3441" s="444">
        <f t="shared" ca="1" si="149"/>
        <v>-365588574453.66498</v>
      </c>
      <c r="M3441" s="460">
        <f t="shared" si="151"/>
        <v>0.05</v>
      </c>
      <c r="N3441" s="464">
        <f t="shared" si="152"/>
        <v>155776</v>
      </c>
    </row>
    <row r="3442" spans="7:14" ht="11.25" customHeight="1" x14ac:dyDescent="0.3">
      <c r="G3442" s="459"/>
      <c r="H3442" s="459">
        <v>3435</v>
      </c>
      <c r="I3442" s="444">
        <f t="shared" ca="1" si="150"/>
        <v>-365588574453.66498</v>
      </c>
      <c r="J3442" s="444">
        <f t="array" ref="J3442">IFERROR(INDEX('Retirement Calculator'!K:K,MATCH('Lorri 401b'!N3442,'Retirement Calculator'!A:A,0),0),0)</f>
        <v>0</v>
      </c>
      <c r="K3442" s="444">
        <f t="shared" ca="1" si="148"/>
        <v>-1523285726.8902707</v>
      </c>
      <c r="L3442" s="444">
        <f t="shared" ca="1" si="149"/>
        <v>-367111860180.55524</v>
      </c>
      <c r="M3442" s="460">
        <f t="shared" si="151"/>
        <v>0.05</v>
      </c>
      <c r="N3442" s="464">
        <f t="shared" si="152"/>
        <v>155807</v>
      </c>
    </row>
    <row r="3443" spans="7:14" ht="11.25" customHeight="1" x14ac:dyDescent="0.3">
      <c r="G3443" s="459"/>
      <c r="H3443" s="459">
        <v>3436</v>
      </c>
      <c r="I3443" s="444">
        <f t="shared" ca="1" si="150"/>
        <v>-367111860180.55524</v>
      </c>
      <c r="J3443" s="444">
        <f t="array" ref="J3443">IFERROR(INDEX('Retirement Calculator'!K:K,MATCH('Lorri 401b'!N3443,'Retirement Calculator'!A:A,0),0),0)</f>
        <v>0</v>
      </c>
      <c r="K3443" s="444">
        <f t="shared" ca="1" si="148"/>
        <v>-1529632750.7523134</v>
      </c>
      <c r="L3443" s="444">
        <f t="shared" ca="1" si="149"/>
        <v>-368641492931.30756</v>
      </c>
      <c r="M3443" s="460">
        <f t="shared" si="151"/>
        <v>0.05</v>
      </c>
      <c r="N3443" s="464">
        <f t="shared" si="152"/>
        <v>155838</v>
      </c>
    </row>
    <row r="3444" spans="7:14" ht="11.25" customHeight="1" x14ac:dyDescent="0.3">
      <c r="G3444" s="459"/>
      <c r="H3444" s="459">
        <v>3437</v>
      </c>
      <c r="I3444" s="444">
        <f t="shared" ca="1" si="150"/>
        <v>-368641492931.30756</v>
      </c>
      <c r="J3444" s="444">
        <f t="array" ref="J3444">IFERROR(INDEX('Retirement Calculator'!K:K,MATCH('Lorri 401b'!N3444,'Retirement Calculator'!A:A,0),0),0)</f>
        <v>0</v>
      </c>
      <c r="K3444" s="444">
        <f t="shared" ca="1" si="148"/>
        <v>-1536006220.5471148</v>
      </c>
      <c r="L3444" s="444">
        <f t="shared" ca="1" si="149"/>
        <v>-370177499151.85468</v>
      </c>
      <c r="M3444" s="460">
        <f t="shared" si="151"/>
        <v>0.05</v>
      </c>
      <c r="N3444" s="464">
        <f t="shared" si="152"/>
        <v>155868</v>
      </c>
    </row>
    <row r="3445" spans="7:14" ht="11.25" customHeight="1" x14ac:dyDescent="0.3">
      <c r="G3445" s="459"/>
      <c r="H3445" s="459">
        <v>3438</v>
      </c>
      <c r="I3445" s="444">
        <f t="shared" ca="1" si="150"/>
        <v>-370177499151.85468</v>
      </c>
      <c r="J3445" s="444">
        <f t="array" ref="J3445">IFERROR(INDEX('Retirement Calculator'!K:K,MATCH('Lorri 401b'!N3445,'Retirement Calculator'!A:A,0),0),0)</f>
        <v>0</v>
      </c>
      <c r="K3445" s="444">
        <f t="shared" ca="1" si="148"/>
        <v>-1542406246.4660611</v>
      </c>
      <c r="L3445" s="444">
        <f t="shared" ca="1" si="149"/>
        <v>-371719905398.32074</v>
      </c>
      <c r="M3445" s="460">
        <f t="shared" si="151"/>
        <v>0.05</v>
      </c>
      <c r="N3445" s="464">
        <f t="shared" si="152"/>
        <v>155899</v>
      </c>
    </row>
    <row r="3446" spans="7:14" ht="11.25" customHeight="1" x14ac:dyDescent="0.3">
      <c r="G3446" s="459"/>
      <c r="H3446" s="459">
        <v>3439</v>
      </c>
      <c r="I3446" s="444">
        <f t="shared" ca="1" si="150"/>
        <v>-371719905398.32074</v>
      </c>
      <c r="J3446" s="444">
        <f t="array" ref="J3446">IFERROR(INDEX('Retirement Calculator'!K:K,MATCH('Lorri 401b'!N3446,'Retirement Calculator'!A:A,0),0),0)</f>
        <v>0</v>
      </c>
      <c r="K3446" s="444">
        <f t="shared" ca="1" si="148"/>
        <v>-1548832939.1596696</v>
      </c>
      <c r="L3446" s="444">
        <f t="shared" ca="1" si="149"/>
        <v>-373268738337.48041</v>
      </c>
      <c r="M3446" s="460">
        <f t="shared" si="151"/>
        <v>0.05</v>
      </c>
      <c r="N3446" s="464">
        <f t="shared" si="152"/>
        <v>155929</v>
      </c>
    </row>
    <row r="3447" spans="7:14" ht="11.25" customHeight="1" x14ac:dyDescent="0.3">
      <c r="G3447" s="459"/>
      <c r="H3447" s="459">
        <v>3440</v>
      </c>
      <c r="I3447" s="444">
        <f t="shared" ca="1" si="150"/>
        <v>-373268738337.48041</v>
      </c>
      <c r="J3447" s="444">
        <f t="array" ref="J3447">IFERROR(INDEX('Retirement Calculator'!K:K,MATCH('Lorri 401b'!N3447,'Retirement Calculator'!A:A,0),0),0)</f>
        <v>0</v>
      </c>
      <c r="K3447" s="444">
        <f t="shared" ca="1" si="148"/>
        <v>-1555286409.7395017</v>
      </c>
      <c r="L3447" s="444">
        <f t="shared" ca="1" si="149"/>
        <v>-374824024747.21991</v>
      </c>
      <c r="M3447" s="460">
        <f t="shared" si="151"/>
        <v>0.05</v>
      </c>
      <c r="N3447" s="464">
        <f t="shared" si="152"/>
        <v>155960</v>
      </c>
    </row>
    <row r="3448" spans="7:14" ht="11.25" customHeight="1" x14ac:dyDescent="0.3">
      <c r="G3448" s="459"/>
      <c r="H3448" s="459">
        <v>3441</v>
      </c>
      <c r="I3448" s="444">
        <f t="shared" ca="1" si="150"/>
        <v>-374824024747.21991</v>
      </c>
      <c r="J3448" s="444">
        <f t="array" ref="J3448">IFERROR(INDEX('Retirement Calculator'!K:K,MATCH('Lorri 401b'!N3448,'Retirement Calculator'!A:A,0),0),0)</f>
        <v>0</v>
      </c>
      <c r="K3448" s="444">
        <f t="shared" ca="1" si="148"/>
        <v>-1561766769.7800829</v>
      </c>
      <c r="L3448" s="444">
        <f t="shared" ca="1" si="149"/>
        <v>-376385791517</v>
      </c>
      <c r="M3448" s="460">
        <f t="shared" si="151"/>
        <v>0.05</v>
      </c>
      <c r="N3448" s="464">
        <f t="shared" si="152"/>
        <v>155991</v>
      </c>
    </row>
    <row r="3449" spans="7:14" ht="11.25" customHeight="1" x14ac:dyDescent="0.3">
      <c r="G3449" s="459"/>
      <c r="H3449" s="459">
        <v>3442</v>
      </c>
      <c r="I3449" s="444">
        <f t="shared" ca="1" si="150"/>
        <v>-376385791517</v>
      </c>
      <c r="J3449" s="444">
        <f t="array" ref="J3449">IFERROR(INDEX('Retirement Calculator'!K:K,MATCH('Lorri 401b'!N3449,'Retirement Calculator'!A:A,0),0),0)</f>
        <v>0</v>
      </c>
      <c r="K3449" s="444">
        <f t="shared" ca="1" si="148"/>
        <v>-1568274131.3208332</v>
      </c>
      <c r="L3449" s="444">
        <f t="shared" ca="1" si="149"/>
        <v>-377954065648.32086</v>
      </c>
      <c r="M3449" s="460">
        <f t="shared" si="151"/>
        <v>0.05</v>
      </c>
      <c r="N3449" s="464">
        <f t="shared" si="152"/>
        <v>156019</v>
      </c>
    </row>
    <row r="3450" spans="7:14" ht="11.25" customHeight="1" x14ac:dyDescent="0.3">
      <c r="G3450" s="459"/>
      <c r="H3450" s="459">
        <v>3443</v>
      </c>
      <c r="I3450" s="444">
        <f t="shared" ca="1" si="150"/>
        <v>-377954065648.32086</v>
      </c>
      <c r="J3450" s="444">
        <f t="array" ref="J3450">IFERROR(INDEX('Retirement Calculator'!K:K,MATCH('Lorri 401b'!N3450,'Retirement Calculator'!A:A,0),0),0)</f>
        <v>0</v>
      </c>
      <c r="K3450" s="444">
        <f t="shared" ca="1" si="148"/>
        <v>-1574808606.8680036</v>
      </c>
      <c r="L3450" s="444">
        <f t="shared" ca="1" si="149"/>
        <v>-379528874255.18884</v>
      </c>
      <c r="M3450" s="460">
        <f t="shared" si="151"/>
        <v>0.05</v>
      </c>
      <c r="N3450" s="464">
        <f t="shared" si="152"/>
        <v>156050</v>
      </c>
    </row>
    <row r="3451" spans="7:14" ht="11.25" customHeight="1" x14ac:dyDescent="0.3">
      <c r="G3451" s="459"/>
      <c r="H3451" s="459">
        <v>3444</v>
      </c>
      <c r="I3451" s="444">
        <f t="shared" ca="1" si="150"/>
        <v>-379528874255.18884</v>
      </c>
      <c r="J3451" s="444">
        <f t="array" ref="J3451">IFERROR(INDEX('Retirement Calculator'!K:K,MATCH('Lorri 401b'!N3451,'Retirement Calculator'!A:A,0),0),0)</f>
        <v>0</v>
      </c>
      <c r="K3451" s="444">
        <f t="shared" ca="1" si="148"/>
        <v>-1581370309.3966203</v>
      </c>
      <c r="L3451" s="444">
        <f t="shared" ca="1" si="149"/>
        <v>-381110244564.58545</v>
      </c>
      <c r="M3451" s="460">
        <f t="shared" si="151"/>
        <v>0.05</v>
      </c>
      <c r="N3451" s="464">
        <f t="shared" si="152"/>
        <v>156080</v>
      </c>
    </row>
    <row r="3452" spans="7:14" ht="11.25" customHeight="1" x14ac:dyDescent="0.3">
      <c r="G3452" s="459"/>
      <c r="H3452" s="459">
        <v>3445</v>
      </c>
      <c r="I3452" s="444">
        <f t="shared" ca="1" si="150"/>
        <v>-381110244564.58545</v>
      </c>
      <c r="J3452" s="444">
        <f t="array" ref="J3452">IFERROR(INDEX('Retirement Calculator'!K:K,MATCH('Lorri 401b'!N3452,'Retirement Calculator'!A:A,0),0),0)</f>
        <v>0</v>
      </c>
      <c r="K3452" s="444">
        <f t="shared" ca="1" si="148"/>
        <v>-1587959352.3524394</v>
      </c>
      <c r="L3452" s="444">
        <f t="shared" ca="1" si="149"/>
        <v>-382698203916.93787</v>
      </c>
      <c r="M3452" s="460">
        <f t="shared" si="151"/>
        <v>0.05</v>
      </c>
      <c r="N3452" s="464">
        <f t="shared" si="152"/>
        <v>156111</v>
      </c>
    </row>
    <row r="3453" spans="7:14" ht="11.25" customHeight="1" x14ac:dyDescent="0.3">
      <c r="G3453" s="459"/>
      <c r="H3453" s="459">
        <v>3446</v>
      </c>
      <c r="I3453" s="444">
        <f t="shared" ca="1" si="150"/>
        <v>-382698203916.93787</v>
      </c>
      <c r="J3453" s="444">
        <f t="array" ref="J3453">IFERROR(INDEX('Retirement Calculator'!K:K,MATCH('Lorri 401b'!N3453,'Retirement Calculator'!A:A,0),0),0)</f>
        <v>0</v>
      </c>
      <c r="K3453" s="444">
        <f t="shared" ca="1" si="148"/>
        <v>-1594575849.6539078</v>
      </c>
      <c r="L3453" s="444">
        <f t="shared" ca="1" si="149"/>
        <v>-384292779766.5918</v>
      </c>
      <c r="M3453" s="460">
        <f t="shared" si="151"/>
        <v>0.05</v>
      </c>
      <c r="N3453" s="464">
        <f t="shared" si="152"/>
        <v>156141</v>
      </c>
    </row>
    <row r="3454" spans="7:14" ht="11.25" customHeight="1" x14ac:dyDescent="0.3">
      <c r="G3454" s="459"/>
      <c r="H3454" s="459">
        <v>3447</v>
      </c>
      <c r="I3454" s="444">
        <f t="shared" ca="1" si="150"/>
        <v>-384292779766.5918</v>
      </c>
      <c r="J3454" s="444">
        <f t="array" ref="J3454">IFERROR(INDEX('Retirement Calculator'!K:K,MATCH('Lorri 401b'!N3454,'Retirement Calculator'!A:A,0),0),0)</f>
        <v>0</v>
      </c>
      <c r="K3454" s="444">
        <f t="shared" ca="1" si="148"/>
        <v>-1601219915.6941326</v>
      </c>
      <c r="L3454" s="444">
        <f t="shared" ca="1" si="149"/>
        <v>-385893999682.28595</v>
      </c>
      <c r="M3454" s="460">
        <f t="shared" si="151"/>
        <v>0.05</v>
      </c>
      <c r="N3454" s="464">
        <f t="shared" si="152"/>
        <v>156172</v>
      </c>
    </row>
    <row r="3455" spans="7:14" ht="11.25" customHeight="1" x14ac:dyDescent="0.3">
      <c r="G3455" s="459"/>
      <c r="H3455" s="459">
        <v>3448</v>
      </c>
      <c r="I3455" s="444">
        <f t="shared" ca="1" si="150"/>
        <v>-385893999682.28595</v>
      </c>
      <c r="J3455" s="444">
        <f t="array" ref="J3455">IFERROR(INDEX('Retirement Calculator'!K:K,MATCH('Lorri 401b'!N3455,'Retirement Calculator'!A:A,0),0),0)</f>
        <v>0</v>
      </c>
      <c r="K3455" s="444">
        <f t="shared" ca="1" si="148"/>
        <v>-1607891665.3428581</v>
      </c>
      <c r="L3455" s="444">
        <f t="shared" ca="1" si="149"/>
        <v>-387501891347.62878</v>
      </c>
      <c r="M3455" s="460">
        <f t="shared" si="151"/>
        <v>0.05</v>
      </c>
      <c r="N3455" s="464">
        <f t="shared" si="152"/>
        <v>156203</v>
      </c>
    </row>
    <row r="3456" spans="7:14" ht="11.25" customHeight="1" x14ac:dyDescent="0.3">
      <c r="G3456" s="459"/>
      <c r="H3456" s="459">
        <v>3449</v>
      </c>
      <c r="I3456" s="444">
        <f t="shared" ca="1" si="150"/>
        <v>-387501891347.62878</v>
      </c>
      <c r="J3456" s="444">
        <f t="array" ref="J3456">IFERROR(INDEX('Retirement Calculator'!K:K,MATCH('Lorri 401b'!N3456,'Retirement Calculator'!A:A,0),0),0)</f>
        <v>0</v>
      </c>
      <c r="K3456" s="444">
        <f t="shared" ca="1" si="148"/>
        <v>-1614591213.9484532</v>
      </c>
      <c r="L3456" s="444">
        <f t="shared" ca="1" si="149"/>
        <v>-389116482561.57721</v>
      </c>
      <c r="M3456" s="460">
        <f t="shared" si="151"/>
        <v>0.05</v>
      </c>
      <c r="N3456" s="464">
        <f t="shared" si="152"/>
        <v>156233</v>
      </c>
    </row>
    <row r="3457" spans="7:14" ht="11.25" customHeight="1" x14ac:dyDescent="0.3">
      <c r="G3457" s="459"/>
      <c r="H3457" s="459">
        <v>3450</v>
      </c>
      <c r="I3457" s="444">
        <f t="shared" ca="1" si="150"/>
        <v>-389116482561.57721</v>
      </c>
      <c r="J3457" s="444">
        <f t="array" ref="J3457">IFERROR(INDEX('Retirement Calculator'!K:K,MATCH('Lorri 401b'!N3457,'Retirement Calculator'!A:A,0),0),0)</f>
        <v>0</v>
      </c>
      <c r="K3457" s="444">
        <f t="shared" ca="1" si="148"/>
        <v>-1621318677.339905</v>
      </c>
      <c r="L3457" s="444">
        <f t="shared" ca="1" si="149"/>
        <v>-390737801238.91711</v>
      </c>
      <c r="M3457" s="460">
        <f t="shared" si="151"/>
        <v>0.05</v>
      </c>
      <c r="N3457" s="464">
        <f t="shared" si="152"/>
        <v>156264</v>
      </c>
    </row>
    <row r="3458" spans="7:14" ht="11.25" customHeight="1" x14ac:dyDescent="0.3">
      <c r="G3458" s="459"/>
      <c r="H3458" s="459">
        <v>3451</v>
      </c>
      <c r="I3458" s="444">
        <f t="shared" ca="1" si="150"/>
        <v>-390737801238.91711</v>
      </c>
      <c r="J3458" s="444">
        <f t="array" ref="J3458">IFERROR(INDEX('Retirement Calculator'!K:K,MATCH('Lorri 401b'!N3458,'Retirement Calculator'!A:A,0),0),0)</f>
        <v>0</v>
      </c>
      <c r="K3458" s="444">
        <f t="shared" ca="1" si="148"/>
        <v>-1628074171.8288212</v>
      </c>
      <c r="L3458" s="444">
        <f t="shared" ca="1" si="149"/>
        <v>-392365875410.74591</v>
      </c>
      <c r="M3458" s="460">
        <f t="shared" si="151"/>
        <v>0.05</v>
      </c>
      <c r="N3458" s="464">
        <f t="shared" si="152"/>
        <v>156294</v>
      </c>
    </row>
    <row r="3459" spans="7:14" ht="11.25" customHeight="1" x14ac:dyDescent="0.3">
      <c r="G3459" s="459"/>
      <c r="H3459" s="459">
        <v>3452</v>
      </c>
      <c r="I3459" s="444">
        <f t="shared" ca="1" si="150"/>
        <v>-392365875410.74591</v>
      </c>
      <c r="J3459" s="444">
        <f t="array" ref="J3459">IFERROR(INDEX('Retirement Calculator'!K:K,MATCH('Lorri 401b'!N3459,'Retirement Calculator'!A:A,0),0),0)</f>
        <v>0</v>
      </c>
      <c r="K3459" s="444">
        <f t="shared" ca="1" si="148"/>
        <v>-1634857814.2114413</v>
      </c>
      <c r="L3459" s="444">
        <f t="shared" ca="1" si="149"/>
        <v>-394000733224.95734</v>
      </c>
      <c r="M3459" s="460">
        <f t="shared" si="151"/>
        <v>0.05</v>
      </c>
      <c r="N3459" s="464">
        <f t="shared" si="152"/>
        <v>156325</v>
      </c>
    </row>
    <row r="3460" spans="7:14" ht="11.25" customHeight="1" x14ac:dyDescent="0.3">
      <c r="G3460" s="459"/>
      <c r="H3460" s="459">
        <v>3453</v>
      </c>
      <c r="I3460" s="444">
        <f t="shared" ca="1" si="150"/>
        <v>-394000733224.95734</v>
      </c>
      <c r="J3460" s="444">
        <f t="array" ref="J3460">IFERROR(INDEX('Retirement Calculator'!K:K,MATCH('Lorri 401b'!N3460,'Retirement Calculator'!A:A,0),0),0)</f>
        <v>0</v>
      </c>
      <c r="K3460" s="444">
        <f t="shared" ca="1" si="148"/>
        <v>-1641669721.7706556</v>
      </c>
      <c r="L3460" s="444">
        <f t="shared" ca="1" si="149"/>
        <v>-395642402946.72797</v>
      </c>
      <c r="M3460" s="460">
        <f t="shared" si="151"/>
        <v>0.05</v>
      </c>
      <c r="N3460" s="464">
        <f t="shared" si="152"/>
        <v>156356</v>
      </c>
    </row>
    <row r="3461" spans="7:14" ht="11.25" customHeight="1" x14ac:dyDescent="0.3">
      <c r="G3461" s="459"/>
      <c r="H3461" s="459">
        <v>3454</v>
      </c>
      <c r="I3461" s="444">
        <f t="shared" ca="1" si="150"/>
        <v>-395642402946.72797</v>
      </c>
      <c r="J3461" s="444">
        <f t="array" ref="J3461">IFERROR(INDEX('Retirement Calculator'!K:K,MATCH('Lorri 401b'!N3461,'Retirement Calculator'!A:A,0),0),0)</f>
        <v>0</v>
      </c>
      <c r="K3461" s="444">
        <f t="shared" ca="1" si="148"/>
        <v>-1648510012.2780333</v>
      </c>
      <c r="L3461" s="444">
        <f t="shared" ca="1" si="149"/>
        <v>-397290912959.00598</v>
      </c>
      <c r="M3461" s="460">
        <f t="shared" si="151"/>
        <v>0.05</v>
      </c>
      <c r="N3461" s="464">
        <f t="shared" si="152"/>
        <v>156385</v>
      </c>
    </row>
    <row r="3462" spans="7:14" ht="11.25" customHeight="1" x14ac:dyDescent="0.3">
      <c r="G3462" s="459"/>
      <c r="H3462" s="459">
        <v>3455</v>
      </c>
      <c r="I3462" s="444">
        <f t="shared" ca="1" si="150"/>
        <v>-397290912959.00598</v>
      </c>
      <c r="J3462" s="444">
        <f t="array" ref="J3462">IFERROR(INDEX('Retirement Calculator'!K:K,MATCH('Lorri 401b'!N3462,'Retirement Calculator'!A:A,0),0),0)</f>
        <v>0</v>
      </c>
      <c r="K3462" s="444">
        <f t="shared" ca="1" si="148"/>
        <v>-1655378803.9958582</v>
      </c>
      <c r="L3462" s="444">
        <f t="shared" ca="1" si="149"/>
        <v>-398946291763.00183</v>
      </c>
      <c r="M3462" s="460">
        <f t="shared" si="151"/>
        <v>0.05</v>
      </c>
      <c r="N3462" s="464">
        <f t="shared" si="152"/>
        <v>156416</v>
      </c>
    </row>
    <row r="3463" spans="7:14" ht="11.25" customHeight="1" x14ac:dyDescent="0.3">
      <c r="G3463" s="459"/>
      <c r="H3463" s="459">
        <v>3456</v>
      </c>
      <c r="I3463" s="444">
        <f t="shared" ca="1" si="150"/>
        <v>-398946291763.00183</v>
      </c>
      <c r="J3463" s="444">
        <f t="array" ref="J3463">IFERROR(INDEX('Retirement Calculator'!K:K,MATCH('Lorri 401b'!N3463,'Retirement Calculator'!A:A,0),0),0)</f>
        <v>0</v>
      </c>
      <c r="K3463" s="444">
        <f t="shared" ca="1" si="148"/>
        <v>-1662276215.6791742</v>
      </c>
      <c r="L3463" s="444">
        <f t="shared" ca="1" si="149"/>
        <v>-400608567978.68103</v>
      </c>
      <c r="M3463" s="460">
        <f t="shared" si="151"/>
        <v>0.05</v>
      </c>
      <c r="N3463" s="464">
        <f t="shared" si="152"/>
        <v>156446</v>
      </c>
    </row>
    <row r="3464" spans="7:14" ht="11.25" customHeight="1" x14ac:dyDescent="0.3">
      <c r="G3464" s="459"/>
      <c r="H3464" s="459">
        <v>3457</v>
      </c>
      <c r="I3464" s="444">
        <f t="shared" ca="1" si="150"/>
        <v>-400608567978.68103</v>
      </c>
      <c r="J3464" s="444">
        <f t="array" ref="J3464">IFERROR(INDEX('Retirement Calculator'!K:K,MATCH('Lorri 401b'!N3464,'Retirement Calculator'!A:A,0),0),0)</f>
        <v>0</v>
      </c>
      <c r="K3464" s="444">
        <f t="shared" ca="1" si="148"/>
        <v>-1669202366.5778377</v>
      </c>
      <c r="L3464" s="444">
        <f t="shared" ca="1" si="149"/>
        <v>-402277770345.25885</v>
      </c>
      <c r="M3464" s="460">
        <f t="shared" si="151"/>
        <v>0.05</v>
      </c>
      <c r="N3464" s="464">
        <f t="shared" si="152"/>
        <v>156477</v>
      </c>
    </row>
    <row r="3465" spans="7:14" ht="11.25" customHeight="1" x14ac:dyDescent="0.3">
      <c r="G3465" s="459"/>
      <c r="H3465" s="459">
        <v>3458</v>
      </c>
      <c r="I3465" s="444">
        <f t="shared" ca="1" si="150"/>
        <v>-402277770345.25885</v>
      </c>
      <c r="J3465" s="444">
        <f t="array" ref="J3465">IFERROR(INDEX('Retirement Calculator'!K:K,MATCH('Lorri 401b'!N3465,'Retirement Calculator'!A:A,0),0),0)</f>
        <v>0</v>
      </c>
      <c r="K3465" s="444">
        <f t="shared" ca="1" si="148"/>
        <v>-1676157376.4385786</v>
      </c>
      <c r="L3465" s="444">
        <f t="shared" ca="1" si="149"/>
        <v>-403953927721.69745</v>
      </c>
      <c r="M3465" s="460">
        <f t="shared" si="151"/>
        <v>0.05</v>
      </c>
      <c r="N3465" s="464">
        <f t="shared" si="152"/>
        <v>156507</v>
      </c>
    </row>
    <row r="3466" spans="7:14" ht="11.25" customHeight="1" x14ac:dyDescent="0.3">
      <c r="G3466" s="459"/>
      <c r="H3466" s="459">
        <v>3459</v>
      </c>
      <c r="I3466" s="444">
        <f t="shared" ca="1" si="150"/>
        <v>-403953927721.69745</v>
      </c>
      <c r="J3466" s="444">
        <f t="array" ref="J3466">IFERROR(INDEX('Retirement Calculator'!K:K,MATCH('Lorri 401b'!N3466,'Retirement Calculator'!A:A,0),0),0)</f>
        <v>0</v>
      </c>
      <c r="K3466" s="444">
        <f t="shared" ca="1" si="148"/>
        <v>-1683141365.5070727</v>
      </c>
      <c r="L3466" s="444">
        <f t="shared" ca="1" si="149"/>
        <v>-405637069087.20453</v>
      </c>
      <c r="M3466" s="460">
        <f t="shared" si="151"/>
        <v>0.05</v>
      </c>
      <c r="N3466" s="464">
        <f t="shared" si="152"/>
        <v>156538</v>
      </c>
    </row>
    <row r="3467" spans="7:14" ht="11.25" customHeight="1" x14ac:dyDescent="0.3">
      <c r="G3467" s="459"/>
      <c r="H3467" s="459">
        <v>3460</v>
      </c>
      <c r="I3467" s="444">
        <f t="shared" ca="1" si="150"/>
        <v>-405637069087.20453</v>
      </c>
      <c r="J3467" s="444">
        <f t="array" ref="J3467">IFERROR(INDEX('Retirement Calculator'!K:K,MATCH('Lorri 401b'!N3467,'Retirement Calculator'!A:A,0),0),0)</f>
        <v>0</v>
      </c>
      <c r="K3467" s="444">
        <f t="shared" ca="1" si="148"/>
        <v>-1690154454.5300188</v>
      </c>
      <c r="L3467" s="444">
        <f t="shared" ca="1" si="149"/>
        <v>-407327223541.73456</v>
      </c>
      <c r="M3467" s="460">
        <f t="shared" si="151"/>
        <v>0.05</v>
      </c>
      <c r="N3467" s="464">
        <f t="shared" si="152"/>
        <v>156569</v>
      </c>
    </row>
    <row r="3468" spans="7:14" ht="11.25" customHeight="1" x14ac:dyDescent="0.3">
      <c r="G3468" s="459"/>
      <c r="H3468" s="459">
        <v>3461</v>
      </c>
      <c r="I3468" s="444">
        <f t="shared" ca="1" si="150"/>
        <v>-407327223541.73456</v>
      </c>
      <c r="J3468" s="444">
        <f t="array" ref="J3468">IFERROR(INDEX('Retirement Calculator'!K:K,MATCH('Lorri 401b'!N3468,'Retirement Calculator'!A:A,0),0),0)</f>
        <v>0</v>
      </c>
      <c r="K3468" s="444">
        <f t="shared" ca="1" si="148"/>
        <v>-1697196764.7572274</v>
      </c>
      <c r="L3468" s="444">
        <f t="shared" ca="1" si="149"/>
        <v>-409024420306.49176</v>
      </c>
      <c r="M3468" s="460">
        <f t="shared" si="151"/>
        <v>0.05</v>
      </c>
      <c r="N3468" s="464">
        <f t="shared" si="152"/>
        <v>156599</v>
      </c>
    </row>
    <row r="3469" spans="7:14" ht="11.25" customHeight="1" x14ac:dyDescent="0.3">
      <c r="G3469" s="459"/>
      <c r="H3469" s="459">
        <v>3462</v>
      </c>
      <c r="I3469" s="444">
        <f t="shared" ca="1" si="150"/>
        <v>-409024420306.49176</v>
      </c>
      <c r="J3469" s="444">
        <f t="array" ref="J3469">IFERROR(INDEX('Retirement Calculator'!K:K,MATCH('Lorri 401b'!N3469,'Retirement Calculator'!A:A,0),0),0)</f>
        <v>0</v>
      </c>
      <c r="K3469" s="444">
        <f t="shared" ca="1" si="148"/>
        <v>-1704268417.9437156</v>
      </c>
      <c r="L3469" s="444">
        <f t="shared" ca="1" si="149"/>
        <v>-410728688724.43549</v>
      </c>
      <c r="M3469" s="460">
        <f t="shared" si="151"/>
        <v>0.05</v>
      </c>
      <c r="N3469" s="464">
        <f t="shared" si="152"/>
        <v>156630</v>
      </c>
    </row>
    <row r="3470" spans="7:14" ht="11.25" customHeight="1" x14ac:dyDescent="0.3">
      <c r="G3470" s="459"/>
      <c r="H3470" s="459">
        <v>3463</v>
      </c>
      <c r="I3470" s="444">
        <f t="shared" ca="1" si="150"/>
        <v>-410728688724.43549</v>
      </c>
      <c r="J3470" s="444">
        <f t="array" ref="J3470">IFERROR(INDEX('Retirement Calculator'!K:K,MATCH('Lorri 401b'!N3470,'Retirement Calculator'!A:A,0),0),0)</f>
        <v>0</v>
      </c>
      <c r="K3470" s="444">
        <f t="shared" ca="1" si="148"/>
        <v>-1711369536.3518145</v>
      </c>
      <c r="L3470" s="444">
        <f t="shared" ca="1" si="149"/>
        <v>-412440058260.78729</v>
      </c>
      <c r="M3470" s="460">
        <f t="shared" si="151"/>
        <v>0.05</v>
      </c>
      <c r="N3470" s="464">
        <f t="shared" si="152"/>
        <v>156660</v>
      </c>
    </row>
    <row r="3471" spans="7:14" ht="11.25" customHeight="1" x14ac:dyDescent="0.3">
      <c r="G3471" s="459"/>
      <c r="H3471" s="459">
        <v>3464</v>
      </c>
      <c r="I3471" s="444">
        <f t="shared" ca="1" si="150"/>
        <v>-412440058260.78729</v>
      </c>
      <c r="J3471" s="444">
        <f t="array" ref="J3471">IFERROR(INDEX('Retirement Calculator'!K:K,MATCH('Lorri 401b'!N3471,'Retirement Calculator'!A:A,0),0),0)</f>
        <v>0</v>
      </c>
      <c r="K3471" s="444">
        <f t="shared" ca="1" si="148"/>
        <v>-1718500242.7532804</v>
      </c>
      <c r="L3471" s="444">
        <f t="shared" ca="1" si="149"/>
        <v>-414158558503.54059</v>
      </c>
      <c r="M3471" s="460">
        <f t="shared" si="151"/>
        <v>0.05</v>
      </c>
      <c r="N3471" s="464">
        <f t="shared" si="152"/>
        <v>156691</v>
      </c>
    </row>
    <row r="3472" spans="7:14" ht="11.25" customHeight="1" x14ac:dyDescent="0.3">
      <c r="G3472" s="459"/>
      <c r="H3472" s="459">
        <v>3465</v>
      </c>
      <c r="I3472" s="444">
        <f t="shared" ca="1" si="150"/>
        <v>-414158558503.54059</v>
      </c>
      <c r="J3472" s="444">
        <f t="array" ref="J3472">IFERROR(INDEX('Retirement Calculator'!K:K,MATCH('Lorri 401b'!N3472,'Retirement Calculator'!A:A,0),0),0)</f>
        <v>0</v>
      </c>
      <c r="K3472" s="444">
        <f t="shared" ca="1" si="148"/>
        <v>-1725660660.4314191</v>
      </c>
      <c r="L3472" s="444">
        <f t="shared" ca="1" si="149"/>
        <v>-415884219163.97198</v>
      </c>
      <c r="M3472" s="460">
        <f t="shared" si="151"/>
        <v>0.05</v>
      </c>
      <c r="N3472" s="464">
        <f t="shared" si="152"/>
        <v>156722</v>
      </c>
    </row>
    <row r="3473" spans="7:14" ht="11.25" customHeight="1" x14ac:dyDescent="0.3">
      <c r="G3473" s="459"/>
      <c r="H3473" s="459">
        <v>3466</v>
      </c>
      <c r="I3473" s="444">
        <f t="shared" ca="1" si="150"/>
        <v>-415884219163.97198</v>
      </c>
      <c r="J3473" s="444">
        <f t="array" ref="J3473">IFERROR(INDEX('Retirement Calculator'!K:K,MATCH('Lorri 401b'!N3473,'Retirement Calculator'!A:A,0),0),0)</f>
        <v>0</v>
      </c>
      <c r="K3473" s="444">
        <f t="shared" ca="1" si="148"/>
        <v>-1732850913.1832166</v>
      </c>
      <c r="L3473" s="444">
        <f t="shared" ca="1" si="149"/>
        <v>-417617070077.15521</v>
      </c>
      <c r="M3473" s="460">
        <f t="shared" si="151"/>
        <v>0.05</v>
      </c>
      <c r="N3473" s="464">
        <f t="shared" si="152"/>
        <v>156750</v>
      </c>
    </row>
    <row r="3474" spans="7:14" ht="11.25" customHeight="1" x14ac:dyDescent="0.3">
      <c r="G3474" s="459"/>
      <c r="H3474" s="459">
        <v>3467</v>
      </c>
      <c r="I3474" s="444">
        <f t="shared" ca="1" si="150"/>
        <v>-417617070077.15521</v>
      </c>
      <c r="J3474" s="444">
        <f t="array" ref="J3474">IFERROR(INDEX('Retirement Calculator'!K:K,MATCH('Lorri 401b'!N3474,'Retirement Calculator'!A:A,0),0),0)</f>
        <v>0</v>
      </c>
      <c r="K3474" s="444">
        <f t="shared" ca="1" si="148"/>
        <v>-1740071125.32148</v>
      </c>
      <c r="L3474" s="444">
        <f t="shared" ca="1" si="149"/>
        <v>-419357141202.47668</v>
      </c>
      <c r="M3474" s="460">
        <f t="shared" si="151"/>
        <v>0.05</v>
      </c>
      <c r="N3474" s="464">
        <f t="shared" si="152"/>
        <v>156781</v>
      </c>
    </row>
    <row r="3475" spans="7:14" ht="11.25" customHeight="1" x14ac:dyDescent="0.3">
      <c r="G3475" s="459"/>
      <c r="H3475" s="459">
        <v>3468</v>
      </c>
      <c r="I3475" s="444">
        <f t="shared" ca="1" si="150"/>
        <v>-419357141202.47668</v>
      </c>
      <c r="J3475" s="444">
        <f t="array" ref="J3475">IFERROR(INDEX('Retirement Calculator'!K:K,MATCH('Lorri 401b'!N3475,'Retirement Calculator'!A:A,0),0),0)</f>
        <v>0</v>
      </c>
      <c r="K3475" s="444">
        <f t="shared" ca="1" si="148"/>
        <v>-1747321421.6769862</v>
      </c>
      <c r="L3475" s="444">
        <f t="shared" ca="1" si="149"/>
        <v>-421104462624.15369</v>
      </c>
      <c r="M3475" s="460">
        <f t="shared" si="151"/>
        <v>0.05</v>
      </c>
      <c r="N3475" s="464">
        <f t="shared" si="152"/>
        <v>156811</v>
      </c>
    </row>
    <row r="3476" spans="7:14" ht="11.25" customHeight="1" x14ac:dyDescent="0.3">
      <c r="G3476" s="459"/>
      <c r="H3476" s="459">
        <v>3469</v>
      </c>
      <c r="I3476" s="444">
        <f t="shared" ca="1" si="150"/>
        <v>-421104462624.15369</v>
      </c>
      <c r="J3476" s="444">
        <f t="array" ref="J3476">IFERROR(INDEX('Retirement Calculator'!K:K,MATCH('Lorri 401b'!N3476,'Retirement Calculator'!A:A,0),0),0)</f>
        <v>0</v>
      </c>
      <c r="K3476" s="444">
        <f t="shared" ca="1" si="148"/>
        <v>-1754601927.6006403</v>
      </c>
      <c r="L3476" s="444">
        <f t="shared" ca="1" si="149"/>
        <v>-422859064551.75433</v>
      </c>
      <c r="M3476" s="460">
        <f t="shared" si="151"/>
        <v>0.05</v>
      </c>
      <c r="N3476" s="464">
        <f t="shared" si="152"/>
        <v>156842</v>
      </c>
    </row>
    <row r="3477" spans="7:14" ht="11.25" customHeight="1" x14ac:dyDescent="0.3">
      <c r="G3477" s="459"/>
      <c r="H3477" s="459">
        <v>3470</v>
      </c>
      <c r="I3477" s="444">
        <f t="shared" ca="1" si="150"/>
        <v>-422859064551.75433</v>
      </c>
      <c r="J3477" s="444">
        <f t="array" ref="J3477">IFERROR(INDEX('Retirement Calculator'!K:K,MATCH('Lorri 401b'!N3477,'Retirement Calculator'!A:A,0),0),0)</f>
        <v>0</v>
      </c>
      <c r="K3477" s="444">
        <f t="shared" ca="1" si="148"/>
        <v>-1761912768.9656429</v>
      </c>
      <c r="L3477" s="444">
        <f t="shared" ca="1" si="149"/>
        <v>-424620977320.71997</v>
      </c>
      <c r="M3477" s="460">
        <f t="shared" si="151"/>
        <v>0.05</v>
      </c>
      <c r="N3477" s="464">
        <f t="shared" si="152"/>
        <v>156872</v>
      </c>
    </row>
    <row r="3478" spans="7:14" ht="11.25" customHeight="1" x14ac:dyDescent="0.3">
      <c r="G3478" s="459"/>
      <c r="H3478" s="459">
        <v>3471</v>
      </c>
      <c r="I3478" s="444">
        <f t="shared" ca="1" si="150"/>
        <v>-424620977320.71997</v>
      </c>
      <c r="J3478" s="444">
        <f t="array" ref="J3478">IFERROR(INDEX('Retirement Calculator'!K:K,MATCH('Lorri 401b'!N3478,'Retirement Calculator'!A:A,0),0),0)</f>
        <v>0</v>
      </c>
      <c r="K3478" s="444">
        <f t="shared" ca="1" si="148"/>
        <v>-1769254072.1696665</v>
      </c>
      <c r="L3478" s="444">
        <f t="shared" ca="1" si="149"/>
        <v>-426390231392.88965</v>
      </c>
      <c r="M3478" s="460">
        <f t="shared" si="151"/>
        <v>0.05</v>
      </c>
      <c r="N3478" s="464">
        <f t="shared" si="152"/>
        <v>156903</v>
      </c>
    </row>
    <row r="3479" spans="7:14" ht="11.25" customHeight="1" x14ac:dyDescent="0.3">
      <c r="G3479" s="459"/>
      <c r="H3479" s="459">
        <v>3472</v>
      </c>
      <c r="I3479" s="444">
        <f t="shared" ca="1" si="150"/>
        <v>-426390231392.88965</v>
      </c>
      <c r="J3479" s="444">
        <f t="array" ref="J3479">IFERROR(INDEX('Retirement Calculator'!K:K,MATCH('Lorri 401b'!N3479,'Retirement Calculator'!A:A,0),0),0)</f>
        <v>0</v>
      </c>
      <c r="K3479" s="444">
        <f t="shared" ca="1" si="148"/>
        <v>-1776625964.1370401</v>
      </c>
      <c r="L3479" s="444">
        <f t="shared" ca="1" si="149"/>
        <v>-428166857357.02667</v>
      </c>
      <c r="M3479" s="460">
        <f t="shared" si="151"/>
        <v>0.05</v>
      </c>
      <c r="N3479" s="464">
        <f t="shared" si="152"/>
        <v>156934</v>
      </c>
    </row>
    <row r="3480" spans="7:14" ht="11.25" customHeight="1" x14ac:dyDescent="0.3">
      <c r="G3480" s="459"/>
      <c r="H3480" s="459">
        <v>3473</v>
      </c>
      <c r="I3480" s="444">
        <f t="shared" ca="1" si="150"/>
        <v>-428166857357.02667</v>
      </c>
      <c r="J3480" s="444">
        <f t="array" ref="J3480">IFERROR(INDEX('Retirement Calculator'!K:K,MATCH('Lorri 401b'!N3480,'Retirement Calculator'!A:A,0),0),0)</f>
        <v>0</v>
      </c>
      <c r="K3480" s="444">
        <f t="shared" ca="1" si="148"/>
        <v>-1784028572.3209445</v>
      </c>
      <c r="L3480" s="444">
        <f t="shared" ca="1" si="149"/>
        <v>-429950885929.3476</v>
      </c>
      <c r="M3480" s="460">
        <f t="shared" si="151"/>
        <v>0.05</v>
      </c>
      <c r="N3480" s="464">
        <f t="shared" si="152"/>
        <v>156964</v>
      </c>
    </row>
    <row r="3481" spans="7:14" ht="11.25" customHeight="1" x14ac:dyDescent="0.3">
      <c r="G3481" s="459"/>
      <c r="H3481" s="459">
        <v>3474</v>
      </c>
      <c r="I3481" s="444">
        <f t="shared" ca="1" si="150"/>
        <v>-429950885929.3476</v>
      </c>
      <c r="J3481" s="444">
        <f t="array" ref="J3481">IFERROR(INDEX('Retirement Calculator'!K:K,MATCH('Lorri 401b'!N3481,'Retirement Calculator'!A:A,0),0),0)</f>
        <v>0</v>
      </c>
      <c r="K3481" s="444">
        <f t="shared" ca="1" si="148"/>
        <v>-1791462024.705615</v>
      </c>
      <c r="L3481" s="444">
        <f t="shared" ca="1" si="149"/>
        <v>-431742347954.05322</v>
      </c>
      <c r="M3481" s="460">
        <f t="shared" si="151"/>
        <v>0.05</v>
      </c>
      <c r="N3481" s="464">
        <f t="shared" si="152"/>
        <v>156995</v>
      </c>
    </row>
    <row r="3482" spans="7:14" ht="11.25" customHeight="1" x14ac:dyDescent="0.3">
      <c r="G3482" s="459"/>
      <c r="H3482" s="459">
        <v>3475</v>
      </c>
      <c r="I3482" s="444">
        <f t="shared" ca="1" si="150"/>
        <v>-431742347954.05322</v>
      </c>
      <c r="J3482" s="444">
        <f t="array" ref="J3482">IFERROR(INDEX('Retirement Calculator'!K:K,MATCH('Lorri 401b'!N3482,'Retirement Calculator'!A:A,0),0),0)</f>
        <v>0</v>
      </c>
      <c r="K3482" s="444">
        <f t="shared" ca="1" si="148"/>
        <v>-1798926449.8085554</v>
      </c>
      <c r="L3482" s="444">
        <f t="shared" ca="1" si="149"/>
        <v>-433541274403.86176</v>
      </c>
      <c r="M3482" s="460">
        <f t="shared" si="151"/>
        <v>0.05</v>
      </c>
      <c r="N3482" s="464">
        <f t="shared" si="152"/>
        <v>157025</v>
      </c>
    </row>
    <row r="3483" spans="7:14" ht="11.25" customHeight="1" x14ac:dyDescent="0.3">
      <c r="G3483" s="459"/>
      <c r="H3483" s="459">
        <v>3476</v>
      </c>
      <c r="I3483" s="444">
        <f t="shared" ca="1" si="150"/>
        <v>-433541274403.86176</v>
      </c>
      <c r="J3483" s="444">
        <f t="array" ref="J3483">IFERROR(INDEX('Retirement Calculator'!K:K,MATCH('Lorri 401b'!N3483,'Retirement Calculator'!A:A,0),0),0)</f>
        <v>0</v>
      </c>
      <c r="K3483" s="444">
        <f t="shared" ca="1" si="148"/>
        <v>-1806421976.6827574</v>
      </c>
      <c r="L3483" s="444">
        <f t="shared" ca="1" si="149"/>
        <v>-435347696380.54449</v>
      </c>
      <c r="M3483" s="460">
        <f t="shared" si="151"/>
        <v>0.05</v>
      </c>
      <c r="N3483" s="464">
        <f t="shared" si="152"/>
        <v>157056</v>
      </c>
    </row>
    <row r="3484" spans="7:14" ht="11.25" customHeight="1" x14ac:dyDescent="0.3">
      <c r="G3484" s="459"/>
      <c r="H3484" s="459">
        <v>3477</v>
      </c>
      <c r="I3484" s="444">
        <f t="shared" ca="1" si="150"/>
        <v>-435347696380.54449</v>
      </c>
      <c r="J3484" s="444">
        <f t="array" ref="J3484">IFERROR(INDEX('Retirement Calculator'!K:K,MATCH('Lorri 401b'!N3484,'Retirement Calculator'!A:A,0),0),0)</f>
        <v>0</v>
      </c>
      <c r="K3484" s="444">
        <f t="shared" ca="1" si="148"/>
        <v>-1813948734.9189355</v>
      </c>
      <c r="L3484" s="444">
        <f t="shared" ca="1" si="149"/>
        <v>-437161645115.46344</v>
      </c>
      <c r="M3484" s="460">
        <f t="shared" si="151"/>
        <v>0.05</v>
      </c>
      <c r="N3484" s="464">
        <f t="shared" si="152"/>
        <v>157087</v>
      </c>
    </row>
    <row r="3485" spans="7:14" ht="11.25" customHeight="1" x14ac:dyDescent="0.3">
      <c r="G3485" s="459"/>
      <c r="H3485" s="459">
        <v>3478</v>
      </c>
      <c r="I3485" s="444">
        <f t="shared" ca="1" si="150"/>
        <v>-437161645115.46344</v>
      </c>
      <c r="J3485" s="444">
        <f t="array" ref="J3485">IFERROR(INDEX('Retirement Calculator'!K:K,MATCH('Lorri 401b'!N3485,'Retirement Calculator'!A:A,0),0),0)</f>
        <v>0</v>
      </c>
      <c r="K3485" s="444">
        <f t="shared" ca="1" si="148"/>
        <v>-1821506854.647764</v>
      </c>
      <c r="L3485" s="444">
        <f t="shared" ca="1" si="149"/>
        <v>-438983151970.11121</v>
      </c>
      <c r="M3485" s="460">
        <f t="shared" si="151"/>
        <v>0.05</v>
      </c>
      <c r="N3485" s="464">
        <f t="shared" si="152"/>
        <v>157115</v>
      </c>
    </row>
    <row r="3486" spans="7:14" ht="11.25" customHeight="1" x14ac:dyDescent="0.3">
      <c r="G3486" s="459"/>
      <c r="H3486" s="459">
        <v>3479</v>
      </c>
      <c r="I3486" s="444">
        <f t="shared" ca="1" si="150"/>
        <v>-438983151970.11121</v>
      </c>
      <c r="J3486" s="444">
        <f t="array" ref="J3486">IFERROR(INDEX('Retirement Calculator'!K:K,MATCH('Lorri 401b'!N3486,'Retirement Calculator'!A:A,0),0),0)</f>
        <v>0</v>
      </c>
      <c r="K3486" s="444">
        <f t="shared" ca="1" si="148"/>
        <v>-1829096466.54213</v>
      </c>
      <c r="L3486" s="444">
        <f t="shared" ca="1" si="149"/>
        <v>-440812248436.65332</v>
      </c>
      <c r="M3486" s="460">
        <f t="shared" si="151"/>
        <v>0.05</v>
      </c>
      <c r="N3486" s="464">
        <f t="shared" si="152"/>
        <v>157146</v>
      </c>
    </row>
    <row r="3487" spans="7:14" ht="11.25" customHeight="1" x14ac:dyDescent="0.3">
      <c r="G3487" s="459"/>
      <c r="H3487" s="459">
        <v>3480</v>
      </c>
      <c r="I3487" s="444">
        <f t="shared" ca="1" si="150"/>
        <v>-440812248436.65332</v>
      </c>
      <c r="J3487" s="444">
        <f t="array" ref="J3487">IFERROR(INDEX('Retirement Calculator'!K:K,MATCH('Lorri 401b'!N3487,'Retirement Calculator'!A:A,0),0),0)</f>
        <v>0</v>
      </c>
      <c r="K3487" s="444">
        <f t="shared" ca="1" si="148"/>
        <v>-1836717701.8193889</v>
      </c>
      <c r="L3487" s="444">
        <f t="shared" ca="1" si="149"/>
        <v>-442648966138.47272</v>
      </c>
      <c r="M3487" s="460">
        <f t="shared" si="151"/>
        <v>0.05</v>
      </c>
      <c r="N3487" s="464">
        <f t="shared" si="152"/>
        <v>157176</v>
      </c>
    </row>
    <row r="3488" spans="7:14" ht="11.25" customHeight="1" x14ac:dyDescent="0.3">
      <c r="G3488" s="459"/>
      <c r="H3488" s="459">
        <v>3481</v>
      </c>
      <c r="I3488" s="444">
        <f t="shared" ca="1" si="150"/>
        <v>-442648966138.47272</v>
      </c>
      <c r="J3488" s="444">
        <f t="array" ref="J3488">IFERROR(INDEX('Retirement Calculator'!K:K,MATCH('Lorri 401b'!N3488,'Retirement Calculator'!A:A,0),0),0)</f>
        <v>0</v>
      </c>
      <c r="K3488" s="444">
        <f t="shared" ca="1" si="148"/>
        <v>-1844370692.2436364</v>
      </c>
      <c r="L3488" s="444">
        <f t="shared" ca="1" si="149"/>
        <v>-444493336830.71637</v>
      </c>
      <c r="M3488" s="460">
        <f t="shared" si="151"/>
        <v>0.05</v>
      </c>
      <c r="N3488" s="464">
        <f t="shared" si="152"/>
        <v>157207</v>
      </c>
    </row>
    <row r="3489" spans="7:14" ht="11.25" customHeight="1" x14ac:dyDescent="0.3">
      <c r="G3489" s="459"/>
      <c r="H3489" s="459">
        <v>3482</v>
      </c>
      <c r="I3489" s="444">
        <f t="shared" ca="1" si="150"/>
        <v>-444493336830.71637</v>
      </c>
      <c r="J3489" s="444">
        <f t="array" ref="J3489">IFERROR(INDEX('Retirement Calculator'!K:K,MATCH('Lorri 401b'!N3489,'Retirement Calculator'!A:A,0),0),0)</f>
        <v>0</v>
      </c>
      <c r="K3489" s="444">
        <f t="shared" ca="1" si="148"/>
        <v>-1852055570.1279845</v>
      </c>
      <c r="L3489" s="444">
        <f t="shared" ca="1" si="149"/>
        <v>-446345392400.84436</v>
      </c>
      <c r="M3489" s="460">
        <f t="shared" si="151"/>
        <v>0.05</v>
      </c>
      <c r="N3489" s="464">
        <f t="shared" si="152"/>
        <v>157237</v>
      </c>
    </row>
    <row r="3490" spans="7:14" ht="11.25" customHeight="1" x14ac:dyDescent="0.3">
      <c r="G3490" s="459"/>
      <c r="H3490" s="459">
        <v>3483</v>
      </c>
      <c r="I3490" s="444">
        <f t="shared" ca="1" si="150"/>
        <v>-446345392400.84436</v>
      </c>
      <c r="J3490" s="444">
        <f t="array" ref="J3490">IFERROR(INDEX('Retirement Calculator'!K:K,MATCH('Lorri 401b'!N3490,'Retirement Calculator'!A:A,0),0),0)</f>
        <v>0</v>
      </c>
      <c r="K3490" s="444">
        <f t="shared" ca="1" si="148"/>
        <v>-1859772468.3368514</v>
      </c>
      <c r="L3490" s="444">
        <f t="shared" ca="1" si="149"/>
        <v>-448205164869.18121</v>
      </c>
      <c r="M3490" s="460">
        <f t="shared" si="151"/>
        <v>0.05</v>
      </c>
      <c r="N3490" s="464">
        <f t="shared" si="152"/>
        <v>157268</v>
      </c>
    </row>
    <row r="3491" spans="7:14" ht="11.25" customHeight="1" x14ac:dyDescent="0.3">
      <c r="G3491" s="459"/>
      <c r="H3491" s="459">
        <v>3484</v>
      </c>
      <c r="I3491" s="444">
        <f t="shared" ca="1" si="150"/>
        <v>-448205164869.18121</v>
      </c>
      <c r="J3491" s="444">
        <f t="array" ref="J3491">IFERROR(INDEX('Retirement Calculator'!K:K,MATCH('Lorri 401b'!N3491,'Retirement Calculator'!A:A,0),0),0)</f>
        <v>0</v>
      </c>
      <c r="K3491" s="444">
        <f t="shared" ca="1" si="148"/>
        <v>-1867521520.2882547</v>
      </c>
      <c r="L3491" s="444">
        <f t="shared" ca="1" si="149"/>
        <v>-450072686389.46948</v>
      </c>
      <c r="M3491" s="460">
        <f t="shared" si="151"/>
        <v>0.05</v>
      </c>
      <c r="N3491" s="464">
        <f t="shared" si="152"/>
        <v>157299</v>
      </c>
    </row>
    <row r="3492" spans="7:14" ht="11.25" customHeight="1" x14ac:dyDescent="0.3">
      <c r="G3492" s="459"/>
      <c r="H3492" s="459">
        <v>3485</v>
      </c>
      <c r="I3492" s="444">
        <f t="shared" ca="1" si="150"/>
        <v>-450072686389.46948</v>
      </c>
      <c r="J3492" s="444">
        <f t="array" ref="J3492">IFERROR(INDEX('Retirement Calculator'!K:K,MATCH('Lorri 401b'!N3492,'Retirement Calculator'!A:A,0),0),0)</f>
        <v>0</v>
      </c>
      <c r="K3492" s="444">
        <f t="shared" ca="1" si="148"/>
        <v>-1875302859.9561231</v>
      </c>
      <c r="L3492" s="444">
        <f t="shared" ca="1" si="149"/>
        <v>-451947989249.4256</v>
      </c>
      <c r="M3492" s="460">
        <f t="shared" si="151"/>
        <v>0.05</v>
      </c>
      <c r="N3492" s="464">
        <f t="shared" si="152"/>
        <v>157329</v>
      </c>
    </row>
    <row r="3493" spans="7:14" ht="11.25" customHeight="1" x14ac:dyDescent="0.3">
      <c r="G3493" s="459"/>
      <c r="H3493" s="459">
        <v>3486</v>
      </c>
      <c r="I3493" s="444">
        <f t="shared" ca="1" si="150"/>
        <v>-451947989249.4256</v>
      </c>
      <c r="J3493" s="444">
        <f t="array" ref="J3493">IFERROR(INDEX('Retirement Calculator'!K:K,MATCH('Lorri 401b'!N3493,'Retirement Calculator'!A:A,0),0),0)</f>
        <v>0</v>
      </c>
      <c r="K3493" s="444">
        <f t="shared" ca="1" si="148"/>
        <v>-1883116621.8726065</v>
      </c>
      <c r="L3493" s="444">
        <f t="shared" ca="1" si="149"/>
        <v>-453831105871.29822</v>
      </c>
      <c r="M3493" s="460">
        <f t="shared" si="151"/>
        <v>0.05</v>
      </c>
      <c r="N3493" s="464">
        <f t="shared" si="152"/>
        <v>157360</v>
      </c>
    </row>
    <row r="3494" spans="7:14" ht="11.25" customHeight="1" x14ac:dyDescent="0.3">
      <c r="G3494" s="459"/>
      <c r="H3494" s="459">
        <v>3487</v>
      </c>
      <c r="I3494" s="444">
        <f t="shared" ca="1" si="150"/>
        <v>-453831105871.29822</v>
      </c>
      <c r="J3494" s="444">
        <f t="array" ref="J3494">IFERROR(INDEX('Retirement Calculator'!K:K,MATCH('Lorri 401b'!N3494,'Retirement Calculator'!A:A,0),0),0)</f>
        <v>0</v>
      </c>
      <c r="K3494" s="444">
        <f t="shared" ca="1" si="148"/>
        <v>-1890962941.130409</v>
      </c>
      <c r="L3494" s="444">
        <f t="shared" ca="1" si="149"/>
        <v>-455722068812.42865</v>
      </c>
      <c r="M3494" s="460">
        <f t="shared" si="151"/>
        <v>0.05</v>
      </c>
      <c r="N3494" s="464">
        <f t="shared" si="152"/>
        <v>157390</v>
      </c>
    </row>
    <row r="3495" spans="7:14" ht="11.25" customHeight="1" x14ac:dyDescent="0.3">
      <c r="G3495" s="459"/>
      <c r="H3495" s="459">
        <v>3488</v>
      </c>
      <c r="I3495" s="444">
        <f t="shared" ca="1" si="150"/>
        <v>-455722068812.42865</v>
      </c>
      <c r="J3495" s="444">
        <f t="array" ref="J3495">IFERROR(INDEX('Retirement Calculator'!K:K,MATCH('Lorri 401b'!N3495,'Retirement Calculator'!A:A,0),0),0)</f>
        <v>0</v>
      </c>
      <c r="K3495" s="444">
        <f t="shared" ca="1" si="148"/>
        <v>-1898841953.3851194</v>
      </c>
      <c r="L3495" s="444">
        <f t="shared" ca="1" si="149"/>
        <v>-457620910765.81378</v>
      </c>
      <c r="M3495" s="460">
        <f t="shared" si="151"/>
        <v>0.05</v>
      </c>
      <c r="N3495" s="464">
        <f t="shared" si="152"/>
        <v>157421</v>
      </c>
    </row>
    <row r="3496" spans="7:14" ht="11.25" customHeight="1" x14ac:dyDescent="0.3">
      <c r="G3496" s="459"/>
      <c r="H3496" s="459">
        <v>3489</v>
      </c>
      <c r="I3496" s="444">
        <f t="shared" ca="1" si="150"/>
        <v>-457620910765.81378</v>
      </c>
      <c r="J3496" s="444">
        <f t="array" ref="J3496">IFERROR(INDEX('Retirement Calculator'!K:K,MATCH('Lorri 401b'!N3496,'Retirement Calculator'!A:A,0),0),0)</f>
        <v>0</v>
      </c>
      <c r="K3496" s="444">
        <f t="shared" ca="1" si="148"/>
        <v>-1906753794.8575573</v>
      </c>
      <c r="L3496" s="444">
        <f t="shared" ca="1" si="149"/>
        <v>-459527664560.67133</v>
      </c>
      <c r="M3496" s="460">
        <f t="shared" si="151"/>
        <v>0.05</v>
      </c>
      <c r="N3496" s="464">
        <f t="shared" si="152"/>
        <v>157452</v>
      </c>
    </row>
    <row r="3497" spans="7:14" ht="11.25" customHeight="1" x14ac:dyDescent="0.3">
      <c r="G3497" s="459"/>
      <c r="H3497" s="459">
        <v>3490</v>
      </c>
      <c r="I3497" s="444">
        <f t="shared" ca="1" si="150"/>
        <v>-459527664560.67133</v>
      </c>
      <c r="J3497" s="444">
        <f t="array" ref="J3497">IFERROR(INDEX('Retirement Calculator'!K:K,MATCH('Lorri 401b'!N3497,'Retirement Calculator'!A:A,0),0),0)</f>
        <v>0</v>
      </c>
      <c r="K3497" s="444">
        <f t="shared" ca="1" si="148"/>
        <v>-1914698602.3361304</v>
      </c>
      <c r="L3497" s="444">
        <f t="shared" ca="1" si="149"/>
        <v>-461442363163.00745</v>
      </c>
      <c r="M3497" s="460">
        <f t="shared" si="151"/>
        <v>0.05</v>
      </c>
      <c r="N3497" s="464">
        <f t="shared" si="152"/>
        <v>157480</v>
      </c>
    </row>
    <row r="3498" spans="7:14" ht="11.25" customHeight="1" x14ac:dyDescent="0.3">
      <c r="G3498" s="459"/>
      <c r="H3498" s="459">
        <v>3491</v>
      </c>
      <c r="I3498" s="444">
        <f t="shared" ca="1" si="150"/>
        <v>-461442363163.00745</v>
      </c>
      <c r="J3498" s="444">
        <f t="array" ref="J3498">IFERROR(INDEX('Retirement Calculator'!K:K,MATCH('Lorri 401b'!N3498,'Retirement Calculator'!A:A,0),0),0)</f>
        <v>0</v>
      </c>
      <c r="K3498" s="444">
        <f t="shared" ca="1" si="148"/>
        <v>-1922676513.1791975</v>
      </c>
      <c r="L3498" s="444">
        <f t="shared" ca="1" si="149"/>
        <v>-463365039676.18665</v>
      </c>
      <c r="M3498" s="460">
        <f t="shared" si="151"/>
        <v>0.05</v>
      </c>
      <c r="N3498" s="464">
        <f t="shared" si="152"/>
        <v>157511</v>
      </c>
    </row>
    <row r="3499" spans="7:14" ht="11.25" customHeight="1" x14ac:dyDescent="0.3">
      <c r="G3499" s="459"/>
      <c r="H3499" s="459">
        <v>3492</v>
      </c>
      <c r="I3499" s="444">
        <f t="shared" ca="1" si="150"/>
        <v>-463365039676.18665</v>
      </c>
      <c r="J3499" s="444">
        <f t="array" ref="J3499">IFERROR(INDEX('Retirement Calculator'!K:K,MATCH('Lorri 401b'!N3499,'Retirement Calculator'!A:A,0),0),0)</f>
        <v>0</v>
      </c>
      <c r="K3499" s="444">
        <f t="shared" ca="1" si="148"/>
        <v>-1930687665.3174443</v>
      </c>
      <c r="L3499" s="444">
        <f t="shared" ca="1" si="149"/>
        <v>-465295727341.50409</v>
      </c>
      <c r="M3499" s="460">
        <f t="shared" si="151"/>
        <v>0.05</v>
      </c>
      <c r="N3499" s="464">
        <f t="shared" si="152"/>
        <v>157541</v>
      </c>
    </row>
    <row r="3500" spans="7:14" ht="11.25" customHeight="1" x14ac:dyDescent="0.3">
      <c r="G3500" s="459"/>
      <c r="H3500" s="459">
        <v>3493</v>
      </c>
      <c r="I3500" s="444">
        <f t="shared" ca="1" si="150"/>
        <v>-465295727341.50409</v>
      </c>
      <c r="J3500" s="444">
        <f t="array" ref="J3500">IFERROR(INDEX('Retirement Calculator'!K:K,MATCH('Lorri 401b'!N3500,'Retirement Calculator'!A:A,0),0),0)</f>
        <v>0</v>
      </c>
      <c r="K3500" s="444">
        <f t="shared" ca="1" si="148"/>
        <v>-1938732197.2562671</v>
      </c>
      <c r="L3500" s="444">
        <f t="shared" ca="1" si="149"/>
        <v>-467234459538.76038</v>
      </c>
      <c r="M3500" s="460">
        <f t="shared" si="151"/>
        <v>0.05</v>
      </c>
      <c r="N3500" s="464">
        <f t="shared" si="152"/>
        <v>157572</v>
      </c>
    </row>
    <row r="3501" spans="7:14" ht="11.25" customHeight="1" x14ac:dyDescent="0.3">
      <c r="G3501" s="459"/>
      <c r="H3501" s="459">
        <v>3494</v>
      </c>
      <c r="I3501" s="444">
        <f t="shared" ca="1" si="150"/>
        <v>-467234459538.76038</v>
      </c>
      <c r="J3501" s="444">
        <f t="array" ref="J3501">IFERROR(INDEX('Retirement Calculator'!K:K,MATCH('Lorri 401b'!N3501,'Retirement Calculator'!A:A,0),0),0)</f>
        <v>0</v>
      </c>
      <c r="K3501" s="444">
        <f t="shared" ca="1" si="148"/>
        <v>-1946810248.0781679</v>
      </c>
      <c r="L3501" s="444">
        <f t="shared" ca="1" si="149"/>
        <v>-469181269786.83856</v>
      </c>
      <c r="M3501" s="460">
        <f t="shared" si="151"/>
        <v>0.05</v>
      </c>
      <c r="N3501" s="464">
        <f t="shared" si="152"/>
        <v>157602</v>
      </c>
    </row>
    <row r="3502" spans="7:14" ht="11.25" customHeight="1" x14ac:dyDescent="0.3">
      <c r="G3502" s="459"/>
      <c r="H3502" s="459">
        <v>3495</v>
      </c>
      <c r="I3502" s="444">
        <f t="shared" ca="1" si="150"/>
        <v>-469181269786.83856</v>
      </c>
      <c r="J3502" s="444">
        <f t="array" ref="J3502">IFERROR(INDEX('Retirement Calculator'!K:K,MATCH('Lorri 401b'!N3502,'Retirement Calculator'!A:A,0),0),0)</f>
        <v>0</v>
      </c>
      <c r="K3502" s="444">
        <f t="shared" ca="1" si="148"/>
        <v>-1954921957.4451606</v>
      </c>
      <c r="L3502" s="444">
        <f t="shared" ca="1" si="149"/>
        <v>-471136191744.28375</v>
      </c>
      <c r="M3502" s="460">
        <f t="shared" si="151"/>
        <v>0.05</v>
      </c>
      <c r="N3502" s="464">
        <f t="shared" si="152"/>
        <v>157633</v>
      </c>
    </row>
    <row r="3503" spans="7:14" ht="11.25" customHeight="1" x14ac:dyDescent="0.3">
      <c r="G3503" s="459"/>
      <c r="H3503" s="459">
        <v>3496</v>
      </c>
      <c r="I3503" s="444">
        <f t="shared" ca="1" si="150"/>
        <v>-471136191744.28375</v>
      </c>
      <c r="J3503" s="444">
        <f t="array" ref="J3503">IFERROR(INDEX('Retirement Calculator'!K:K,MATCH('Lorri 401b'!N3503,'Retirement Calculator'!A:A,0),0),0)</f>
        <v>0</v>
      </c>
      <c r="K3503" s="444">
        <f t="shared" ca="1" si="148"/>
        <v>-1963067465.6011825</v>
      </c>
      <c r="L3503" s="444">
        <f t="shared" ca="1" si="149"/>
        <v>-473099259209.88495</v>
      </c>
      <c r="M3503" s="460">
        <f t="shared" si="151"/>
        <v>0.05</v>
      </c>
      <c r="N3503" s="464">
        <f t="shared" si="152"/>
        <v>157664</v>
      </c>
    </row>
    <row r="3504" spans="7:14" ht="11.25" customHeight="1" x14ac:dyDescent="0.3">
      <c r="G3504" s="459"/>
      <c r="H3504" s="459">
        <v>3497</v>
      </c>
      <c r="I3504" s="444">
        <f t="shared" ca="1" si="150"/>
        <v>-473099259209.88495</v>
      </c>
      <c r="J3504" s="444">
        <f t="array" ref="J3504">IFERROR(INDEX('Retirement Calculator'!K:K,MATCH('Lorri 401b'!N3504,'Retirement Calculator'!A:A,0),0),0)</f>
        <v>0</v>
      </c>
      <c r="K3504" s="444">
        <f t="shared" ca="1" si="148"/>
        <v>-1971246913.3745205</v>
      </c>
      <c r="L3504" s="444">
        <f t="shared" ca="1" si="149"/>
        <v>-475070506123.25946</v>
      </c>
      <c r="M3504" s="460">
        <f t="shared" si="151"/>
        <v>0.05</v>
      </c>
      <c r="N3504" s="464">
        <f t="shared" si="152"/>
        <v>157694</v>
      </c>
    </row>
    <row r="3505" spans="7:14" ht="11.25" customHeight="1" x14ac:dyDescent="0.3">
      <c r="G3505" s="459"/>
      <c r="H3505" s="459">
        <v>3498</v>
      </c>
      <c r="I3505" s="444">
        <f t="shared" ca="1" si="150"/>
        <v>-475070506123.25946</v>
      </c>
      <c r="J3505" s="444">
        <f t="array" ref="J3505">IFERROR(INDEX('Retirement Calculator'!K:K,MATCH('Lorri 401b'!N3505,'Retirement Calculator'!A:A,0),0),0)</f>
        <v>0</v>
      </c>
      <c r="K3505" s="444">
        <f t="shared" ca="1" si="148"/>
        <v>-1979460442.1802478</v>
      </c>
      <c r="L3505" s="444">
        <f t="shared" ca="1" si="149"/>
        <v>-477049966565.4397</v>
      </c>
      <c r="M3505" s="460">
        <f t="shared" si="151"/>
        <v>0.05</v>
      </c>
      <c r="N3505" s="464">
        <f t="shared" si="152"/>
        <v>157725</v>
      </c>
    </row>
    <row r="3506" spans="7:14" ht="11.25" customHeight="1" x14ac:dyDescent="0.3">
      <c r="G3506" s="459"/>
      <c r="H3506" s="459">
        <v>3499</v>
      </c>
      <c r="I3506" s="444">
        <f t="shared" ca="1" si="150"/>
        <v>-477049966565.4397</v>
      </c>
      <c r="J3506" s="444">
        <f t="array" ref="J3506">IFERROR(INDEX('Retirement Calculator'!K:K,MATCH('Lorri 401b'!N3506,'Retirement Calculator'!A:A,0),0),0)</f>
        <v>0</v>
      </c>
      <c r="K3506" s="444">
        <f t="shared" ca="1" si="148"/>
        <v>-1987708194.0226653</v>
      </c>
      <c r="L3506" s="444">
        <f t="shared" ca="1" si="149"/>
        <v>-479037674759.46234</v>
      </c>
      <c r="M3506" s="460">
        <f t="shared" si="151"/>
        <v>0.05</v>
      </c>
      <c r="N3506" s="464">
        <f t="shared" si="152"/>
        <v>157755</v>
      </c>
    </row>
    <row r="3507" spans="7:14" ht="11.25" customHeight="1" x14ac:dyDescent="0.3">
      <c r="G3507" s="459"/>
      <c r="H3507" s="459">
        <v>3500</v>
      </c>
      <c r="I3507" s="444">
        <f t="shared" ca="1" si="150"/>
        <v>-479037674759.46234</v>
      </c>
      <c r="J3507" s="444">
        <f t="array" ref="J3507">IFERROR(INDEX('Retirement Calculator'!K:K,MATCH('Lorri 401b'!N3507,'Retirement Calculator'!A:A,0),0),0)</f>
        <v>0</v>
      </c>
      <c r="K3507" s="444">
        <f t="shared" ca="1" si="148"/>
        <v>-1995990311.4977598</v>
      </c>
      <c r="L3507" s="444">
        <f t="shared" ca="1" si="149"/>
        <v>-481033665070.96008</v>
      </c>
      <c r="M3507" s="460">
        <f t="shared" si="151"/>
        <v>0.05</v>
      </c>
      <c r="N3507" s="464">
        <f t="shared" si="152"/>
        <v>157786</v>
      </c>
    </row>
    <row r="3508" spans="7:14" ht="11.25" customHeight="1" x14ac:dyDescent="0.3">
      <c r="G3508" s="459"/>
      <c r="H3508" s="459">
        <v>3501</v>
      </c>
      <c r="I3508" s="444">
        <f t="shared" ca="1" si="150"/>
        <v>-481033665070.96008</v>
      </c>
      <c r="J3508" s="444">
        <f t="array" ref="J3508">IFERROR(INDEX('Retirement Calculator'!K:K,MATCH('Lorri 401b'!N3508,'Retirement Calculator'!A:A,0),0),0)</f>
        <v>0</v>
      </c>
      <c r="K3508" s="444">
        <f t="shared" ca="1" si="148"/>
        <v>-2004306937.7956672</v>
      </c>
      <c r="L3508" s="444">
        <f t="shared" ca="1" si="149"/>
        <v>-483037972008.75574</v>
      </c>
      <c r="M3508" s="460">
        <f t="shared" si="151"/>
        <v>0.05</v>
      </c>
      <c r="N3508" s="464">
        <f t="shared" si="152"/>
        <v>157817</v>
      </c>
    </row>
    <row r="3509" spans="7:14" ht="11.25" customHeight="1" x14ac:dyDescent="0.3">
      <c r="G3509" s="459"/>
      <c r="H3509" s="459">
        <v>3502</v>
      </c>
      <c r="I3509" s="444">
        <f t="shared" ca="1" si="150"/>
        <v>-483037972008.75574</v>
      </c>
      <c r="J3509" s="444">
        <f t="array" ref="J3509">IFERROR(INDEX('Retirement Calculator'!K:K,MATCH('Lorri 401b'!N3509,'Retirement Calculator'!A:A,0),0),0)</f>
        <v>0</v>
      </c>
      <c r="K3509" s="444">
        <f t="shared" ca="1" si="148"/>
        <v>-2012658216.7031488</v>
      </c>
      <c r="L3509" s="444">
        <f t="shared" ca="1" si="149"/>
        <v>-485050630225.45886</v>
      </c>
      <c r="M3509" s="460">
        <f t="shared" si="151"/>
        <v>0.05</v>
      </c>
      <c r="N3509" s="464">
        <f t="shared" si="152"/>
        <v>157846</v>
      </c>
    </row>
    <row r="3510" spans="7:14" ht="11.25" customHeight="1" x14ac:dyDescent="0.3">
      <c r="G3510" s="459"/>
      <c r="H3510" s="459">
        <v>3503</v>
      </c>
      <c r="I3510" s="444">
        <f t="shared" ca="1" si="150"/>
        <v>-485050630225.45886</v>
      </c>
      <c r="J3510" s="444">
        <f t="array" ref="J3510">IFERROR(INDEX('Retirement Calculator'!K:K,MATCH('Lorri 401b'!N3510,'Retirement Calculator'!A:A,0),0),0)</f>
        <v>0</v>
      </c>
      <c r="K3510" s="444">
        <f t="shared" ca="1" si="148"/>
        <v>-2021044292.6060786</v>
      </c>
      <c r="L3510" s="444">
        <f t="shared" ca="1" si="149"/>
        <v>-487071674518.06494</v>
      </c>
      <c r="M3510" s="460">
        <f t="shared" si="151"/>
        <v>0.05</v>
      </c>
      <c r="N3510" s="464">
        <f t="shared" si="152"/>
        <v>157877</v>
      </c>
    </row>
    <row r="3511" spans="7:14" ht="11.25" customHeight="1" x14ac:dyDescent="0.3">
      <c r="G3511" s="459"/>
      <c r="H3511" s="459">
        <v>3504</v>
      </c>
      <c r="I3511" s="444">
        <f t="shared" ca="1" si="150"/>
        <v>-487071674518.06494</v>
      </c>
      <c r="J3511" s="444">
        <f t="array" ref="J3511">IFERROR(INDEX('Retirement Calculator'!K:K,MATCH('Lorri 401b'!N3511,'Retirement Calculator'!A:A,0),0),0)</f>
        <v>0</v>
      </c>
      <c r="K3511" s="444">
        <f t="shared" ca="1" si="148"/>
        <v>-2029465310.4919369</v>
      </c>
      <c r="L3511" s="444">
        <f t="shared" ca="1" si="149"/>
        <v>-489101139828.55688</v>
      </c>
      <c r="M3511" s="460">
        <f t="shared" si="151"/>
        <v>0.05</v>
      </c>
      <c r="N3511" s="464">
        <f t="shared" si="152"/>
        <v>157907</v>
      </c>
    </row>
    <row r="3512" spans="7:14" ht="11.25" customHeight="1" x14ac:dyDescent="0.3">
      <c r="G3512" s="459"/>
      <c r="H3512" s="459">
        <v>3505</v>
      </c>
      <c r="I3512" s="444">
        <f t="shared" ca="1" si="150"/>
        <v>-489101139828.55688</v>
      </c>
      <c r="J3512" s="444">
        <f t="array" ref="J3512">IFERROR(INDEX('Retirement Calculator'!K:K,MATCH('Lorri 401b'!N3512,'Retirement Calculator'!A:A,0),0),0)</f>
        <v>0</v>
      </c>
      <c r="K3512" s="444">
        <f t="shared" ca="1" si="148"/>
        <v>-2037921415.9523203</v>
      </c>
      <c r="L3512" s="444">
        <f t="shared" ca="1" si="149"/>
        <v>-491139061244.50922</v>
      </c>
      <c r="M3512" s="460">
        <f t="shared" si="151"/>
        <v>0.05</v>
      </c>
      <c r="N3512" s="464">
        <f t="shared" si="152"/>
        <v>157938</v>
      </c>
    </row>
    <row r="3513" spans="7:14" ht="11.25" customHeight="1" x14ac:dyDescent="0.3">
      <c r="G3513" s="459"/>
      <c r="H3513" s="459">
        <v>3506</v>
      </c>
      <c r="I3513" s="444">
        <f t="shared" ca="1" si="150"/>
        <v>-491139061244.50922</v>
      </c>
      <c r="J3513" s="444">
        <f t="array" ref="J3513">IFERROR(INDEX('Retirement Calculator'!K:K,MATCH('Lorri 401b'!N3513,'Retirement Calculator'!A:A,0),0),0)</f>
        <v>0</v>
      </c>
      <c r="K3513" s="444">
        <f t="shared" ca="1" si="148"/>
        <v>-2046412755.1854551</v>
      </c>
      <c r="L3513" s="444">
        <f t="shared" ca="1" si="149"/>
        <v>-493185473999.69464</v>
      </c>
      <c r="M3513" s="460">
        <f t="shared" si="151"/>
        <v>0.05</v>
      </c>
      <c r="N3513" s="464">
        <f t="shared" si="152"/>
        <v>157968</v>
      </c>
    </row>
    <row r="3514" spans="7:14" ht="11.25" customHeight="1" x14ac:dyDescent="0.3">
      <c r="G3514" s="459"/>
      <c r="H3514" s="459">
        <v>3507</v>
      </c>
      <c r="I3514" s="444">
        <f t="shared" ca="1" si="150"/>
        <v>-493185473999.69464</v>
      </c>
      <c r="J3514" s="444">
        <f t="array" ref="J3514">IFERROR(INDEX('Retirement Calculator'!K:K,MATCH('Lorri 401b'!N3514,'Retirement Calculator'!A:A,0),0),0)</f>
        <v>0</v>
      </c>
      <c r="K3514" s="444">
        <f t="shared" ca="1" si="148"/>
        <v>-2054939474.9987276</v>
      </c>
      <c r="L3514" s="444">
        <f t="shared" ca="1" si="149"/>
        <v>-495240413474.69336</v>
      </c>
      <c r="M3514" s="460">
        <f t="shared" si="151"/>
        <v>0.05</v>
      </c>
      <c r="N3514" s="464">
        <f t="shared" si="152"/>
        <v>157999</v>
      </c>
    </row>
    <row r="3515" spans="7:14" ht="11.25" customHeight="1" x14ac:dyDescent="0.3">
      <c r="G3515" s="459"/>
      <c r="H3515" s="459">
        <v>3508</v>
      </c>
      <c r="I3515" s="444">
        <f t="shared" ca="1" si="150"/>
        <v>-495240413474.69336</v>
      </c>
      <c r="J3515" s="444">
        <f t="array" ref="J3515">IFERROR(INDEX('Retirement Calculator'!K:K,MATCH('Lorri 401b'!N3515,'Retirement Calculator'!A:A,0),0),0)</f>
        <v>0</v>
      </c>
      <c r="K3515" s="444">
        <f t="shared" ca="1" si="148"/>
        <v>-2063501722.8112226</v>
      </c>
      <c r="L3515" s="444">
        <f t="shared" ca="1" si="149"/>
        <v>-497303915197.50458</v>
      </c>
      <c r="M3515" s="460">
        <f t="shared" si="151"/>
        <v>0.05</v>
      </c>
      <c r="N3515" s="464">
        <f t="shared" si="152"/>
        <v>158030</v>
      </c>
    </row>
    <row r="3516" spans="7:14" ht="11.25" customHeight="1" x14ac:dyDescent="0.3">
      <c r="G3516" s="459"/>
      <c r="H3516" s="459">
        <v>3509</v>
      </c>
      <c r="I3516" s="444">
        <f t="shared" ca="1" si="150"/>
        <v>-497303915197.50458</v>
      </c>
      <c r="J3516" s="444">
        <f t="array" ref="J3516">IFERROR(INDEX('Retirement Calculator'!K:K,MATCH('Lorri 401b'!N3516,'Retirement Calculator'!A:A,0),0),0)</f>
        <v>0</v>
      </c>
      <c r="K3516" s="444">
        <f t="shared" ca="1" si="148"/>
        <v>-2072099646.6562691</v>
      </c>
      <c r="L3516" s="444">
        <f t="shared" ca="1" si="149"/>
        <v>-499376014844.16083</v>
      </c>
      <c r="M3516" s="460">
        <f t="shared" si="151"/>
        <v>0.05</v>
      </c>
      <c r="N3516" s="464">
        <f t="shared" si="152"/>
        <v>158060</v>
      </c>
    </row>
    <row r="3517" spans="7:14" ht="11.25" customHeight="1" x14ac:dyDescent="0.3">
      <c r="G3517" s="459"/>
      <c r="H3517" s="459">
        <v>3510</v>
      </c>
      <c r="I3517" s="444">
        <f t="shared" ca="1" si="150"/>
        <v>-499376014844.16083</v>
      </c>
      <c r="J3517" s="444">
        <f t="array" ref="J3517">IFERROR(INDEX('Retirement Calculator'!K:K,MATCH('Lorri 401b'!N3517,'Retirement Calculator'!A:A,0),0),0)</f>
        <v>0</v>
      </c>
      <c r="K3517" s="444">
        <f t="shared" ca="1" si="148"/>
        <v>-2080733395.1840034</v>
      </c>
      <c r="L3517" s="444">
        <f t="shared" ca="1" si="149"/>
        <v>-501456748239.34485</v>
      </c>
      <c r="M3517" s="460">
        <f t="shared" si="151"/>
        <v>0.05</v>
      </c>
      <c r="N3517" s="464">
        <f t="shared" si="152"/>
        <v>158091</v>
      </c>
    </row>
    <row r="3518" spans="7:14" ht="11.25" customHeight="1" x14ac:dyDescent="0.3">
      <c r="G3518" s="459"/>
      <c r="H3518" s="459">
        <v>3511</v>
      </c>
      <c r="I3518" s="444">
        <f t="shared" ca="1" si="150"/>
        <v>-501456748239.34485</v>
      </c>
      <c r="J3518" s="444">
        <f t="array" ref="J3518">IFERROR(INDEX('Retirement Calculator'!K:K,MATCH('Lorri 401b'!N3518,'Retirement Calculator'!A:A,0),0),0)</f>
        <v>0</v>
      </c>
      <c r="K3518" s="444">
        <f t="shared" ca="1" si="148"/>
        <v>-2089403117.6639369</v>
      </c>
      <c r="L3518" s="444">
        <f t="shared" ca="1" si="149"/>
        <v>-503546151357.00879</v>
      </c>
      <c r="M3518" s="460">
        <f t="shared" si="151"/>
        <v>0.05</v>
      </c>
      <c r="N3518" s="464">
        <f t="shared" si="152"/>
        <v>158121</v>
      </c>
    </row>
    <row r="3519" spans="7:14" ht="11.25" customHeight="1" x14ac:dyDescent="0.3">
      <c r="G3519" s="459"/>
      <c r="H3519" s="459">
        <v>3512</v>
      </c>
      <c r="I3519" s="444">
        <f t="shared" ca="1" si="150"/>
        <v>-503546151357.00879</v>
      </c>
      <c r="J3519" s="444">
        <f t="array" ref="J3519">IFERROR(INDEX('Retirement Calculator'!K:K,MATCH('Lorri 401b'!N3519,'Retirement Calculator'!A:A,0),0),0)</f>
        <v>0</v>
      </c>
      <c r="K3519" s="444">
        <f t="shared" ca="1" si="148"/>
        <v>-2098108963.9875367</v>
      </c>
      <c r="L3519" s="444">
        <f t="shared" ca="1" si="149"/>
        <v>-505644260320.99634</v>
      </c>
      <c r="M3519" s="460">
        <f t="shared" si="151"/>
        <v>0.05</v>
      </c>
      <c r="N3519" s="464">
        <f t="shared" si="152"/>
        <v>158152</v>
      </c>
    </row>
    <row r="3520" spans="7:14" ht="11.25" customHeight="1" x14ac:dyDescent="0.3">
      <c r="G3520" s="459"/>
      <c r="H3520" s="459">
        <v>3513</v>
      </c>
      <c r="I3520" s="444">
        <f t="shared" ca="1" si="150"/>
        <v>-505644260320.99634</v>
      </c>
      <c r="J3520" s="444">
        <f t="array" ref="J3520">IFERROR(INDEX('Retirement Calculator'!K:K,MATCH('Lorri 401b'!N3520,'Retirement Calculator'!A:A,0),0),0)</f>
        <v>0</v>
      </c>
      <c r="K3520" s="444">
        <f t="shared" ca="1" si="148"/>
        <v>-2106851084.6708179</v>
      </c>
      <c r="L3520" s="444">
        <f t="shared" ca="1" si="149"/>
        <v>-507751111405.66718</v>
      </c>
      <c r="M3520" s="460">
        <f t="shared" si="151"/>
        <v>0.05</v>
      </c>
      <c r="N3520" s="464">
        <f t="shared" si="152"/>
        <v>158183</v>
      </c>
    </row>
    <row r="3521" spans="7:14" ht="11.25" customHeight="1" x14ac:dyDescent="0.3">
      <c r="G3521" s="459"/>
      <c r="H3521" s="459">
        <v>3514</v>
      </c>
      <c r="I3521" s="444">
        <f t="shared" ca="1" si="150"/>
        <v>-507751111405.66718</v>
      </c>
      <c r="J3521" s="444">
        <f t="array" ref="J3521">IFERROR(INDEX('Retirement Calculator'!K:K,MATCH('Lorri 401b'!N3521,'Retirement Calculator'!A:A,0),0),0)</f>
        <v>0</v>
      </c>
      <c r="K3521" s="444">
        <f t="shared" ca="1" si="148"/>
        <v>-2115629630.8569465</v>
      </c>
      <c r="L3521" s="444">
        <f t="shared" ca="1" si="149"/>
        <v>-509866741036.52411</v>
      </c>
      <c r="M3521" s="460">
        <f t="shared" si="151"/>
        <v>0.05</v>
      </c>
      <c r="N3521" s="464">
        <f t="shared" si="152"/>
        <v>158211</v>
      </c>
    </row>
    <row r="3522" spans="7:14" ht="11.25" customHeight="1" x14ac:dyDescent="0.3">
      <c r="G3522" s="459"/>
      <c r="H3522" s="459">
        <v>3515</v>
      </c>
      <c r="I3522" s="444">
        <f t="shared" ca="1" si="150"/>
        <v>-509866741036.52411</v>
      </c>
      <c r="J3522" s="444">
        <f t="array" ref="J3522">IFERROR(INDEX('Retirement Calculator'!K:K,MATCH('Lorri 401b'!N3522,'Retirement Calculator'!A:A,0),0),0)</f>
        <v>0</v>
      </c>
      <c r="K3522" s="444">
        <f t="shared" ca="1" si="148"/>
        <v>-2124444754.3188505</v>
      </c>
      <c r="L3522" s="444">
        <f t="shared" ca="1" si="149"/>
        <v>-511991185790.84296</v>
      </c>
      <c r="M3522" s="460">
        <f t="shared" si="151"/>
        <v>0.05</v>
      </c>
      <c r="N3522" s="464">
        <f t="shared" si="152"/>
        <v>158242</v>
      </c>
    </row>
    <row r="3523" spans="7:14" ht="11.25" customHeight="1" x14ac:dyDescent="0.3">
      <c r="G3523" s="459"/>
      <c r="H3523" s="459">
        <v>3516</v>
      </c>
      <c r="I3523" s="444">
        <f t="shared" ca="1" si="150"/>
        <v>-511991185790.84296</v>
      </c>
      <c r="J3523" s="444">
        <f t="array" ref="J3523">IFERROR(INDEX('Retirement Calculator'!K:K,MATCH('Lorri 401b'!N3523,'Retirement Calculator'!A:A,0),0),0)</f>
        <v>0</v>
      </c>
      <c r="K3523" s="444">
        <f t="shared" ca="1" si="148"/>
        <v>-2133296607.4618456</v>
      </c>
      <c r="L3523" s="444">
        <f t="shared" ca="1" si="149"/>
        <v>-514124482398.30481</v>
      </c>
      <c r="M3523" s="460">
        <f t="shared" si="151"/>
        <v>0.05</v>
      </c>
      <c r="N3523" s="464">
        <f t="shared" si="152"/>
        <v>158272</v>
      </c>
    </row>
    <row r="3524" spans="7:14" ht="11.25" customHeight="1" x14ac:dyDescent="0.3">
      <c r="G3524" s="459"/>
      <c r="H3524" s="459">
        <v>3517</v>
      </c>
      <c r="I3524" s="444">
        <f t="shared" ca="1" si="150"/>
        <v>-514124482398.30481</v>
      </c>
      <c r="J3524" s="444">
        <f t="array" ref="J3524">IFERROR(INDEX('Retirement Calculator'!K:K,MATCH('Lorri 401b'!N3524,'Retirement Calculator'!A:A,0),0),0)</f>
        <v>0</v>
      </c>
      <c r="K3524" s="444">
        <f t="shared" ca="1" si="148"/>
        <v>-2142185343.3262701</v>
      </c>
      <c r="L3524" s="444">
        <f t="shared" ca="1" si="149"/>
        <v>-516266667741.6311</v>
      </c>
      <c r="M3524" s="460">
        <f t="shared" si="151"/>
        <v>0.05</v>
      </c>
      <c r="N3524" s="464">
        <f t="shared" si="152"/>
        <v>158303</v>
      </c>
    </row>
    <row r="3525" spans="7:14" ht="11.25" customHeight="1" x14ac:dyDescent="0.3">
      <c r="G3525" s="459"/>
      <c r="H3525" s="459">
        <v>3518</v>
      </c>
      <c r="I3525" s="444">
        <f t="shared" ca="1" si="150"/>
        <v>-516266667741.6311</v>
      </c>
      <c r="J3525" s="444">
        <f t="array" ref="J3525">IFERROR(INDEX('Retirement Calculator'!K:K,MATCH('Lorri 401b'!N3525,'Retirement Calculator'!A:A,0),0),0)</f>
        <v>0</v>
      </c>
      <c r="K3525" s="444">
        <f t="shared" ca="1" si="148"/>
        <v>-2151111115.5901294</v>
      </c>
      <c r="L3525" s="444">
        <f t="shared" ca="1" si="149"/>
        <v>-518417778857.22125</v>
      </c>
      <c r="M3525" s="460">
        <f t="shared" si="151"/>
        <v>0.05</v>
      </c>
      <c r="N3525" s="464">
        <f t="shared" si="152"/>
        <v>158333</v>
      </c>
    </row>
    <row r="3526" spans="7:14" ht="11.25" customHeight="1" x14ac:dyDescent="0.3">
      <c r="G3526" s="459"/>
      <c r="H3526" s="459">
        <v>3519</v>
      </c>
      <c r="I3526" s="444">
        <f t="shared" ca="1" si="150"/>
        <v>-518417778857.22125</v>
      </c>
      <c r="J3526" s="444">
        <f t="array" ref="J3526">IFERROR(INDEX('Retirement Calculator'!K:K,MATCH('Lorri 401b'!N3526,'Retirement Calculator'!A:A,0),0),0)</f>
        <v>0</v>
      </c>
      <c r="K3526" s="444">
        <f t="shared" ca="1" si="148"/>
        <v>-2160074078.5717554</v>
      </c>
      <c r="L3526" s="444">
        <f t="shared" ca="1" si="149"/>
        <v>-520577852935.79303</v>
      </c>
      <c r="M3526" s="460">
        <f t="shared" si="151"/>
        <v>0.05</v>
      </c>
      <c r="N3526" s="464">
        <f t="shared" si="152"/>
        <v>158364</v>
      </c>
    </row>
    <row r="3527" spans="7:14" ht="11.25" customHeight="1" x14ac:dyDescent="0.3">
      <c r="G3527" s="459"/>
      <c r="H3527" s="459">
        <v>3520</v>
      </c>
      <c r="I3527" s="444">
        <f t="shared" ca="1" si="150"/>
        <v>-520577852935.79303</v>
      </c>
      <c r="J3527" s="444">
        <f t="array" ref="J3527">IFERROR(INDEX('Retirement Calculator'!K:K,MATCH('Lorri 401b'!N3527,'Retirement Calculator'!A:A,0),0),0)</f>
        <v>0</v>
      </c>
      <c r="K3527" s="444">
        <f t="shared" ca="1" si="148"/>
        <v>-2169074387.232471</v>
      </c>
      <c r="L3527" s="444">
        <f t="shared" ca="1" si="149"/>
        <v>-522746927323.02551</v>
      </c>
      <c r="M3527" s="460">
        <f t="shared" si="151"/>
        <v>0.05</v>
      </c>
      <c r="N3527" s="464">
        <f t="shared" si="152"/>
        <v>158395</v>
      </c>
    </row>
    <row r="3528" spans="7:14" ht="11.25" customHeight="1" x14ac:dyDescent="0.3">
      <c r="G3528" s="459"/>
      <c r="H3528" s="459">
        <v>3521</v>
      </c>
      <c r="I3528" s="444">
        <f t="shared" ca="1" si="150"/>
        <v>-522746927323.02551</v>
      </c>
      <c r="J3528" s="444">
        <f t="array" ref="J3528">IFERROR(INDEX('Retirement Calculator'!K:K,MATCH('Lorri 401b'!N3528,'Retirement Calculator'!A:A,0),0),0)</f>
        <v>0</v>
      </c>
      <c r="K3528" s="444">
        <f t="shared" ca="1" si="148"/>
        <v>-2178112197.1792731</v>
      </c>
      <c r="L3528" s="444">
        <f t="shared" ca="1" si="149"/>
        <v>-524925039520.20477</v>
      </c>
      <c r="M3528" s="460">
        <f t="shared" si="151"/>
        <v>0.05</v>
      </c>
      <c r="N3528" s="464">
        <f t="shared" si="152"/>
        <v>158425</v>
      </c>
    </row>
    <row r="3529" spans="7:14" ht="11.25" customHeight="1" x14ac:dyDescent="0.3">
      <c r="G3529" s="459"/>
      <c r="H3529" s="459">
        <v>3522</v>
      </c>
      <c r="I3529" s="444">
        <f t="shared" ca="1" si="150"/>
        <v>-524925039520.20477</v>
      </c>
      <c r="J3529" s="444">
        <f t="array" ref="J3529">IFERROR(INDEX('Retirement Calculator'!K:K,MATCH('Lorri 401b'!N3529,'Retirement Calculator'!A:A,0),0),0)</f>
        <v>0</v>
      </c>
      <c r="K3529" s="444">
        <f t="shared" ca="1" si="148"/>
        <v>-2187187664.66752</v>
      </c>
      <c r="L3529" s="444">
        <f t="shared" ca="1" si="149"/>
        <v>-527112227184.87231</v>
      </c>
      <c r="M3529" s="460">
        <f t="shared" si="151"/>
        <v>0.05</v>
      </c>
      <c r="N3529" s="464">
        <f t="shared" si="152"/>
        <v>158456</v>
      </c>
    </row>
    <row r="3530" spans="7:14" ht="11.25" customHeight="1" x14ac:dyDescent="0.3">
      <c r="G3530" s="459"/>
      <c r="H3530" s="459">
        <v>3523</v>
      </c>
      <c r="I3530" s="444">
        <f t="shared" ca="1" si="150"/>
        <v>-527112227184.87231</v>
      </c>
      <c r="J3530" s="444">
        <f t="array" ref="J3530">IFERROR(INDEX('Retirement Calculator'!K:K,MATCH('Lorri 401b'!N3530,'Retirement Calculator'!A:A,0),0),0)</f>
        <v>0</v>
      </c>
      <c r="K3530" s="444">
        <f t="shared" ca="1" si="148"/>
        <v>-2196300946.6036348</v>
      </c>
      <c r="L3530" s="444">
        <f t="shared" ca="1" si="149"/>
        <v>-529308528131.47595</v>
      </c>
      <c r="M3530" s="460">
        <f t="shared" si="151"/>
        <v>0.05</v>
      </c>
      <c r="N3530" s="464">
        <f t="shared" si="152"/>
        <v>158486</v>
      </c>
    </row>
    <row r="3531" spans="7:14" ht="11.25" customHeight="1" x14ac:dyDescent="0.3">
      <c r="G3531" s="459"/>
      <c r="H3531" s="459">
        <v>3524</v>
      </c>
      <c r="I3531" s="444">
        <f t="shared" ca="1" si="150"/>
        <v>-529308528131.47595</v>
      </c>
      <c r="J3531" s="444">
        <f t="array" ref="J3531">IFERROR(INDEX('Retirement Calculator'!K:K,MATCH('Lorri 401b'!N3531,'Retirement Calculator'!A:A,0),0),0)</f>
        <v>0</v>
      </c>
      <c r="K3531" s="444">
        <f t="shared" ca="1" si="148"/>
        <v>-2205452200.5478163</v>
      </c>
      <c r="L3531" s="444">
        <f t="shared" ca="1" si="149"/>
        <v>-531513980332.02374</v>
      </c>
      <c r="M3531" s="460">
        <f t="shared" si="151"/>
        <v>0.05</v>
      </c>
      <c r="N3531" s="464">
        <f t="shared" si="152"/>
        <v>158517</v>
      </c>
    </row>
    <row r="3532" spans="7:14" ht="11.25" customHeight="1" x14ac:dyDescent="0.3">
      <c r="G3532" s="459"/>
      <c r="H3532" s="459">
        <v>3525</v>
      </c>
      <c r="I3532" s="444">
        <f t="shared" ca="1" si="150"/>
        <v>-531513980332.02374</v>
      </c>
      <c r="J3532" s="444">
        <f t="array" ref="J3532">IFERROR(INDEX('Retirement Calculator'!K:K,MATCH('Lorri 401b'!N3532,'Retirement Calculator'!A:A,0),0),0)</f>
        <v>0</v>
      </c>
      <c r="K3532" s="444">
        <f t="shared" ca="1" si="148"/>
        <v>-2214641584.7167654</v>
      </c>
      <c r="L3532" s="444">
        <f t="shared" ca="1" si="149"/>
        <v>-533728621916.74048</v>
      </c>
      <c r="M3532" s="460">
        <f t="shared" si="151"/>
        <v>0.05</v>
      </c>
      <c r="N3532" s="464">
        <f t="shared" si="152"/>
        <v>158548</v>
      </c>
    </row>
    <row r="3533" spans="7:14" ht="11.25" customHeight="1" x14ac:dyDescent="0.3">
      <c r="G3533" s="459"/>
      <c r="H3533" s="459">
        <v>3526</v>
      </c>
      <c r="I3533" s="444">
        <f t="shared" ca="1" si="150"/>
        <v>-533728621916.74048</v>
      </c>
      <c r="J3533" s="444">
        <f t="array" ref="J3533">IFERROR(INDEX('Retirement Calculator'!K:K,MATCH('Lorri 401b'!N3533,'Retirement Calculator'!A:A,0),0),0)</f>
        <v>0</v>
      </c>
      <c r="K3533" s="444">
        <f t="shared" ca="1" si="148"/>
        <v>-2223869257.9864187</v>
      </c>
      <c r="L3533" s="444">
        <f t="shared" ca="1" si="149"/>
        <v>-535952491174.72687</v>
      </c>
      <c r="M3533" s="460">
        <f t="shared" si="151"/>
        <v>0.05</v>
      </c>
      <c r="N3533" s="464">
        <f t="shared" si="152"/>
        <v>158576</v>
      </c>
    </row>
    <row r="3534" spans="7:14" ht="11.25" customHeight="1" x14ac:dyDescent="0.3">
      <c r="G3534" s="459"/>
      <c r="H3534" s="459">
        <v>3527</v>
      </c>
      <c r="I3534" s="444">
        <f t="shared" ca="1" si="150"/>
        <v>-535952491174.72687</v>
      </c>
      <c r="J3534" s="444">
        <f t="array" ref="J3534">IFERROR(INDEX('Retirement Calculator'!K:K,MATCH('Lorri 401b'!N3534,'Retirement Calculator'!A:A,0),0),0)</f>
        <v>0</v>
      </c>
      <c r="K3534" s="444">
        <f t="shared" ca="1" si="148"/>
        <v>-2233135379.8946953</v>
      </c>
      <c r="L3534" s="444">
        <f t="shared" ca="1" si="149"/>
        <v>-538185626554.62158</v>
      </c>
      <c r="M3534" s="460">
        <f t="shared" si="151"/>
        <v>0.05</v>
      </c>
      <c r="N3534" s="464">
        <f t="shared" si="152"/>
        <v>158607</v>
      </c>
    </row>
    <row r="3535" spans="7:14" ht="11.25" customHeight="1" x14ac:dyDescent="0.3">
      <c r="G3535" s="459"/>
      <c r="H3535" s="459">
        <v>3528</v>
      </c>
      <c r="I3535" s="444">
        <f t="shared" ca="1" si="150"/>
        <v>-538185626554.62158</v>
      </c>
      <c r="J3535" s="444">
        <f t="array" ref="J3535">IFERROR(INDEX('Retirement Calculator'!K:K,MATCH('Lorri 401b'!N3535,'Retirement Calculator'!A:A,0),0),0)</f>
        <v>0</v>
      </c>
      <c r="K3535" s="444">
        <f t="shared" ca="1" si="148"/>
        <v>-2242440110.6442566</v>
      </c>
      <c r="L3535" s="444">
        <f t="shared" ca="1" si="149"/>
        <v>-540428066665.26587</v>
      </c>
      <c r="M3535" s="460">
        <f t="shared" si="151"/>
        <v>0.05</v>
      </c>
      <c r="N3535" s="464">
        <f t="shared" si="152"/>
        <v>158637</v>
      </c>
    </row>
    <row r="3536" spans="7:14" ht="11.25" customHeight="1" x14ac:dyDescent="0.3">
      <c r="G3536" s="459"/>
      <c r="H3536" s="459">
        <v>3529</v>
      </c>
      <c r="I3536" s="444">
        <f t="shared" ca="1" si="150"/>
        <v>-540428066665.26587</v>
      </c>
      <c r="J3536" s="444">
        <f t="array" ref="J3536">IFERROR(INDEX('Retirement Calculator'!K:K,MATCH('Lorri 401b'!N3536,'Retirement Calculator'!A:A,0),0),0)</f>
        <v>0</v>
      </c>
      <c r="K3536" s="444">
        <f t="shared" ca="1" si="148"/>
        <v>-2251783611.1052747</v>
      </c>
      <c r="L3536" s="444">
        <f t="shared" ca="1" si="149"/>
        <v>-542679850276.37115</v>
      </c>
      <c r="M3536" s="460">
        <f t="shared" si="151"/>
        <v>0.05</v>
      </c>
      <c r="N3536" s="464">
        <f t="shared" si="152"/>
        <v>158668</v>
      </c>
    </row>
    <row r="3537" spans="7:14" ht="11.25" customHeight="1" x14ac:dyDescent="0.3">
      <c r="G3537" s="459"/>
      <c r="H3537" s="459">
        <v>3530</v>
      </c>
      <c r="I3537" s="444">
        <f t="shared" ca="1" si="150"/>
        <v>-542679850276.37115</v>
      </c>
      <c r="J3537" s="444">
        <f t="array" ref="J3537">IFERROR(INDEX('Retirement Calculator'!K:K,MATCH('Lorri 401b'!N3537,'Retirement Calculator'!A:A,0),0),0)</f>
        <v>0</v>
      </c>
      <c r="K3537" s="444">
        <f t="shared" ca="1" si="148"/>
        <v>-2261166042.818213</v>
      </c>
      <c r="L3537" s="444">
        <f t="shared" ca="1" si="149"/>
        <v>-544941016319.18939</v>
      </c>
      <c r="M3537" s="460">
        <f t="shared" si="151"/>
        <v>0.05</v>
      </c>
      <c r="N3537" s="464">
        <f t="shared" si="152"/>
        <v>158698</v>
      </c>
    </row>
    <row r="3538" spans="7:14" ht="11.25" customHeight="1" x14ac:dyDescent="0.3">
      <c r="G3538" s="459"/>
      <c r="H3538" s="459">
        <v>3531</v>
      </c>
      <c r="I3538" s="444">
        <f t="shared" ca="1" si="150"/>
        <v>-544941016319.18939</v>
      </c>
      <c r="J3538" s="444">
        <f t="array" ref="J3538">IFERROR(INDEX('Retirement Calculator'!K:K,MATCH('Lorri 401b'!N3538,'Retirement Calculator'!A:A,0),0),0)</f>
        <v>0</v>
      </c>
      <c r="K3538" s="444">
        <f t="shared" ca="1" si="148"/>
        <v>-2270587567.9966226</v>
      </c>
      <c r="L3538" s="444">
        <f t="shared" ca="1" si="149"/>
        <v>-547211603887.18604</v>
      </c>
      <c r="M3538" s="460">
        <f t="shared" si="151"/>
        <v>0.05</v>
      </c>
      <c r="N3538" s="464">
        <f t="shared" si="152"/>
        <v>158729</v>
      </c>
    </row>
    <row r="3539" spans="7:14" ht="11.25" customHeight="1" x14ac:dyDescent="0.3">
      <c r="G3539" s="459"/>
      <c r="H3539" s="459">
        <v>3532</v>
      </c>
      <c r="I3539" s="444">
        <f t="shared" ca="1" si="150"/>
        <v>-547211603887.18604</v>
      </c>
      <c r="J3539" s="444">
        <f t="array" ref="J3539">IFERROR(INDEX('Retirement Calculator'!K:K,MATCH('Lorri 401b'!N3539,'Retirement Calculator'!A:A,0),0),0)</f>
        <v>0</v>
      </c>
      <c r="K3539" s="444">
        <f t="shared" ca="1" si="148"/>
        <v>-2280048349.5299416</v>
      </c>
      <c r="L3539" s="444">
        <f t="shared" ca="1" si="149"/>
        <v>-549491652236.716</v>
      </c>
      <c r="M3539" s="460">
        <f t="shared" si="151"/>
        <v>0.05</v>
      </c>
      <c r="N3539" s="464">
        <f t="shared" si="152"/>
        <v>158760</v>
      </c>
    </row>
    <row r="3540" spans="7:14" ht="11.25" customHeight="1" x14ac:dyDescent="0.3">
      <c r="G3540" s="459"/>
      <c r="H3540" s="459">
        <v>3533</v>
      </c>
      <c r="I3540" s="444">
        <f t="shared" ca="1" si="150"/>
        <v>-549491652236.716</v>
      </c>
      <c r="J3540" s="444">
        <f t="array" ref="J3540">IFERROR(INDEX('Retirement Calculator'!K:K,MATCH('Lorri 401b'!N3540,'Retirement Calculator'!A:A,0),0),0)</f>
        <v>0</v>
      </c>
      <c r="K3540" s="444">
        <f t="shared" ca="1" si="148"/>
        <v>-2289548550.9863167</v>
      </c>
      <c r="L3540" s="444">
        <f t="shared" ca="1" si="149"/>
        <v>-551781200787.70227</v>
      </c>
      <c r="M3540" s="460">
        <f t="shared" si="151"/>
        <v>0.05</v>
      </c>
      <c r="N3540" s="464">
        <f t="shared" si="152"/>
        <v>158790</v>
      </c>
    </row>
    <row r="3541" spans="7:14" ht="11.25" customHeight="1" x14ac:dyDescent="0.3">
      <c r="G3541" s="459"/>
      <c r="H3541" s="459">
        <v>3534</v>
      </c>
      <c r="I3541" s="444">
        <f t="shared" ca="1" si="150"/>
        <v>-551781200787.70227</v>
      </c>
      <c r="J3541" s="444">
        <f t="array" ref="J3541">IFERROR(INDEX('Retirement Calculator'!K:K,MATCH('Lorri 401b'!N3541,'Retirement Calculator'!A:A,0),0),0)</f>
        <v>0</v>
      </c>
      <c r="K3541" s="444">
        <f t="shared" ca="1" si="148"/>
        <v>-2299088336.6154261</v>
      </c>
      <c r="L3541" s="444">
        <f t="shared" ca="1" si="149"/>
        <v>-554080289124.31775</v>
      </c>
      <c r="M3541" s="460">
        <f t="shared" si="151"/>
        <v>0.05</v>
      </c>
      <c r="N3541" s="464">
        <f t="shared" si="152"/>
        <v>158821</v>
      </c>
    </row>
    <row r="3542" spans="7:14" ht="11.25" customHeight="1" x14ac:dyDescent="0.3">
      <c r="G3542" s="459"/>
      <c r="H3542" s="459">
        <v>3535</v>
      </c>
      <c r="I3542" s="444">
        <f t="shared" ca="1" si="150"/>
        <v>-554080289124.31775</v>
      </c>
      <c r="J3542" s="444">
        <f t="array" ref="J3542">IFERROR(INDEX('Retirement Calculator'!K:K,MATCH('Lorri 401b'!N3542,'Retirement Calculator'!A:A,0),0),0)</f>
        <v>0</v>
      </c>
      <c r="K3542" s="444">
        <f t="shared" ca="1" si="148"/>
        <v>-2308667871.3513241</v>
      </c>
      <c r="L3542" s="444">
        <f t="shared" ca="1" si="149"/>
        <v>-556388956995.66907</v>
      </c>
      <c r="M3542" s="460">
        <f t="shared" si="151"/>
        <v>0.05</v>
      </c>
      <c r="N3542" s="464">
        <f t="shared" si="152"/>
        <v>158851</v>
      </c>
    </row>
    <row r="3543" spans="7:14" ht="11.25" customHeight="1" x14ac:dyDescent="0.3">
      <c r="G3543" s="459"/>
      <c r="H3543" s="459">
        <v>3536</v>
      </c>
      <c r="I3543" s="444">
        <f t="shared" ca="1" si="150"/>
        <v>-556388956995.66907</v>
      </c>
      <c r="J3543" s="444">
        <f t="array" ref="J3543">IFERROR(INDEX('Retirement Calculator'!K:K,MATCH('Lorri 401b'!N3543,'Retirement Calculator'!A:A,0),0),0)</f>
        <v>0</v>
      </c>
      <c r="K3543" s="444">
        <f t="shared" ca="1" si="148"/>
        <v>-2318287320.8152876</v>
      </c>
      <c r="L3543" s="444">
        <f t="shared" ca="1" si="149"/>
        <v>-558707244316.48438</v>
      </c>
      <c r="M3543" s="460">
        <f t="shared" si="151"/>
        <v>0.05</v>
      </c>
      <c r="N3543" s="464">
        <f t="shared" si="152"/>
        <v>158882</v>
      </c>
    </row>
    <row r="3544" spans="7:14" ht="11.25" customHeight="1" x14ac:dyDescent="0.3">
      <c r="G3544" s="459"/>
      <c r="H3544" s="459">
        <v>3537</v>
      </c>
      <c r="I3544" s="444">
        <f t="shared" ca="1" si="150"/>
        <v>-558707244316.48438</v>
      </c>
      <c r="J3544" s="444">
        <f t="array" ref="J3544">IFERROR(INDEX('Retirement Calculator'!K:K,MATCH('Lorri 401b'!N3544,'Retirement Calculator'!A:A,0),0),0)</f>
        <v>0</v>
      </c>
      <c r="K3544" s="444">
        <f t="shared" ca="1" si="148"/>
        <v>-2327946851.3186851</v>
      </c>
      <c r="L3544" s="444">
        <f t="shared" ca="1" si="149"/>
        <v>-561035191167.8031</v>
      </c>
      <c r="M3544" s="460">
        <f t="shared" si="151"/>
        <v>0.05</v>
      </c>
      <c r="N3544" s="464">
        <f t="shared" si="152"/>
        <v>158913</v>
      </c>
    </row>
    <row r="3545" spans="7:14" ht="11.25" customHeight="1" x14ac:dyDescent="0.3">
      <c r="G3545" s="459"/>
      <c r="H3545" s="459">
        <v>3538</v>
      </c>
      <c r="I3545" s="444">
        <f t="shared" ca="1" si="150"/>
        <v>-561035191167.8031</v>
      </c>
      <c r="J3545" s="444">
        <f t="array" ref="J3545">IFERROR(INDEX('Retirement Calculator'!K:K,MATCH('Lorri 401b'!N3545,'Retirement Calculator'!A:A,0),0),0)</f>
        <v>0</v>
      </c>
      <c r="K3545" s="444">
        <f t="shared" ca="1" si="148"/>
        <v>-2337646629.8658462</v>
      </c>
      <c r="L3545" s="444">
        <f t="shared" ca="1" si="149"/>
        <v>-563372837797.66895</v>
      </c>
      <c r="M3545" s="460">
        <f t="shared" si="151"/>
        <v>0.05</v>
      </c>
      <c r="N3545" s="464">
        <f t="shared" si="152"/>
        <v>158941</v>
      </c>
    </row>
    <row r="3546" spans="7:14" ht="11.25" customHeight="1" x14ac:dyDescent="0.3">
      <c r="G3546" s="459"/>
      <c r="H3546" s="459">
        <v>3539</v>
      </c>
      <c r="I3546" s="444">
        <f t="shared" ca="1" si="150"/>
        <v>-563372837797.66895</v>
      </c>
      <c r="J3546" s="444">
        <f t="array" ref="J3546">IFERROR(INDEX('Retirement Calculator'!K:K,MATCH('Lorri 401b'!N3546,'Retirement Calculator'!A:A,0),0),0)</f>
        <v>0</v>
      </c>
      <c r="K3546" s="444">
        <f t="shared" ca="1" si="148"/>
        <v>-2347386824.1569538</v>
      </c>
      <c r="L3546" s="444">
        <f t="shared" ca="1" si="149"/>
        <v>-565720224621.82593</v>
      </c>
      <c r="M3546" s="460">
        <f t="shared" si="151"/>
        <v>0.05</v>
      </c>
      <c r="N3546" s="464">
        <f t="shared" si="152"/>
        <v>158972</v>
      </c>
    </row>
    <row r="3547" spans="7:14" ht="11.25" customHeight="1" x14ac:dyDescent="0.3">
      <c r="G3547" s="459"/>
      <c r="H3547" s="459">
        <v>3540</v>
      </c>
      <c r="I3547" s="444">
        <f t="shared" ca="1" si="150"/>
        <v>-565720224621.82593</v>
      </c>
      <c r="J3547" s="444">
        <f t="array" ref="J3547">IFERROR(INDEX('Retirement Calculator'!K:K,MATCH('Lorri 401b'!N3547,'Retirement Calculator'!A:A,0),0),0)</f>
        <v>0</v>
      </c>
      <c r="K3547" s="444">
        <f t="shared" ca="1" si="148"/>
        <v>-2357167602.5909414</v>
      </c>
      <c r="L3547" s="444">
        <f t="shared" ca="1" si="149"/>
        <v>-568077392224.41687</v>
      </c>
      <c r="M3547" s="460">
        <f t="shared" si="151"/>
        <v>0.05</v>
      </c>
      <c r="N3547" s="464">
        <f t="shared" si="152"/>
        <v>159002</v>
      </c>
    </row>
    <row r="3548" spans="7:14" ht="11.25" customHeight="1" x14ac:dyDescent="0.3">
      <c r="G3548" s="459"/>
      <c r="H3548" s="459">
        <v>3541</v>
      </c>
      <c r="I3548" s="444">
        <f t="shared" ca="1" si="150"/>
        <v>-568077392224.41687</v>
      </c>
      <c r="J3548" s="444">
        <f t="array" ref="J3548">IFERROR(INDEX('Retirement Calculator'!K:K,MATCH('Lorri 401b'!N3548,'Retirement Calculator'!A:A,0),0),0)</f>
        <v>0</v>
      </c>
      <c r="K3548" s="444">
        <f t="shared" ca="1" si="148"/>
        <v>-2366989134.2684035</v>
      </c>
      <c r="L3548" s="444">
        <f t="shared" ca="1" si="149"/>
        <v>-570444381358.6853</v>
      </c>
      <c r="M3548" s="460">
        <f t="shared" si="151"/>
        <v>0.05</v>
      </c>
      <c r="N3548" s="464">
        <f t="shared" si="152"/>
        <v>159033</v>
      </c>
    </row>
    <row r="3549" spans="7:14" ht="11.25" customHeight="1" x14ac:dyDescent="0.3">
      <c r="G3549" s="459"/>
      <c r="H3549" s="459">
        <v>3542</v>
      </c>
      <c r="I3549" s="444">
        <f t="shared" ca="1" si="150"/>
        <v>-570444381358.6853</v>
      </c>
      <c r="J3549" s="444">
        <f t="array" ref="J3549">IFERROR(INDEX('Retirement Calculator'!K:K,MATCH('Lorri 401b'!N3549,'Retirement Calculator'!A:A,0),0),0)</f>
        <v>0</v>
      </c>
      <c r="K3549" s="444">
        <f t="shared" ca="1" si="148"/>
        <v>-2376851588.9945221</v>
      </c>
      <c r="L3549" s="444">
        <f t="shared" ca="1" si="149"/>
        <v>-572821232947.67981</v>
      </c>
      <c r="M3549" s="460">
        <f t="shared" si="151"/>
        <v>0.05</v>
      </c>
      <c r="N3549" s="464">
        <f t="shared" si="152"/>
        <v>159063</v>
      </c>
    </row>
    <row r="3550" spans="7:14" ht="11.25" customHeight="1" x14ac:dyDescent="0.3">
      <c r="G3550" s="459"/>
      <c r="H3550" s="459">
        <v>3543</v>
      </c>
      <c r="I3550" s="444">
        <f t="shared" ca="1" si="150"/>
        <v>-572821232947.67981</v>
      </c>
      <c r="J3550" s="444">
        <f t="array" ref="J3550">IFERROR(INDEX('Retirement Calculator'!K:K,MATCH('Lorri 401b'!N3550,'Retirement Calculator'!A:A,0),0),0)</f>
        <v>0</v>
      </c>
      <c r="K3550" s="444">
        <f t="shared" ca="1" si="148"/>
        <v>-2386755137.2819991</v>
      </c>
      <c r="L3550" s="444">
        <f t="shared" ca="1" si="149"/>
        <v>-575207988084.96179</v>
      </c>
      <c r="M3550" s="460">
        <f t="shared" si="151"/>
        <v>0.05</v>
      </c>
      <c r="N3550" s="464">
        <f t="shared" si="152"/>
        <v>159094</v>
      </c>
    </row>
    <row r="3551" spans="7:14" ht="11.25" customHeight="1" x14ac:dyDescent="0.3">
      <c r="G3551" s="459"/>
      <c r="H3551" s="459">
        <v>3544</v>
      </c>
      <c r="I3551" s="444">
        <f t="shared" ca="1" si="150"/>
        <v>-575207988084.96179</v>
      </c>
      <c r="J3551" s="444">
        <f t="array" ref="J3551">IFERROR(INDEX('Retirement Calculator'!K:K,MATCH('Lorri 401b'!N3551,'Retirement Calculator'!A:A,0),0),0)</f>
        <v>0</v>
      </c>
      <c r="K3551" s="444">
        <f t="shared" ca="1" si="148"/>
        <v>-2396699950.3540072</v>
      </c>
      <c r="L3551" s="444">
        <f t="shared" ca="1" si="149"/>
        <v>-577604688035.3158</v>
      </c>
      <c r="M3551" s="460">
        <f t="shared" si="151"/>
        <v>0.05</v>
      </c>
      <c r="N3551" s="464">
        <f t="shared" si="152"/>
        <v>159125</v>
      </c>
    </row>
    <row r="3552" spans="7:14" ht="11.25" customHeight="1" x14ac:dyDescent="0.3">
      <c r="G3552" s="459"/>
      <c r="H3552" s="459">
        <v>3545</v>
      </c>
      <c r="I3552" s="444">
        <f t="shared" ca="1" si="150"/>
        <v>-577604688035.3158</v>
      </c>
      <c r="J3552" s="444">
        <f t="array" ref="J3552">IFERROR(INDEX('Retirement Calculator'!K:K,MATCH('Lorri 401b'!N3552,'Retirement Calculator'!A:A,0),0),0)</f>
        <v>0</v>
      </c>
      <c r="K3552" s="444">
        <f t="shared" ca="1" si="148"/>
        <v>-2406686200.1471491</v>
      </c>
      <c r="L3552" s="444">
        <f t="shared" ca="1" si="149"/>
        <v>-580011374235.46289</v>
      </c>
      <c r="M3552" s="460">
        <f t="shared" si="151"/>
        <v>0.05</v>
      </c>
      <c r="N3552" s="464">
        <f t="shared" si="152"/>
        <v>159155</v>
      </c>
    </row>
    <row r="3553" spans="7:14" ht="11.25" customHeight="1" x14ac:dyDescent="0.3">
      <c r="G3553" s="459"/>
      <c r="H3553" s="459">
        <v>3546</v>
      </c>
      <c r="I3553" s="444">
        <f t="shared" ca="1" si="150"/>
        <v>-580011374235.46289</v>
      </c>
      <c r="J3553" s="444">
        <f t="array" ref="J3553">IFERROR(INDEX('Retirement Calculator'!K:K,MATCH('Lorri 401b'!N3553,'Retirement Calculator'!A:A,0),0),0)</f>
        <v>0</v>
      </c>
      <c r="K3553" s="444">
        <f t="shared" ca="1" si="148"/>
        <v>-2416714059.3144288</v>
      </c>
      <c r="L3553" s="444">
        <f t="shared" ca="1" si="149"/>
        <v>-582428088294.77734</v>
      </c>
      <c r="M3553" s="460">
        <f t="shared" si="151"/>
        <v>0.05</v>
      </c>
      <c r="N3553" s="464">
        <f t="shared" si="152"/>
        <v>159186</v>
      </c>
    </row>
    <row r="3554" spans="7:14" ht="11.25" customHeight="1" x14ac:dyDescent="0.3">
      <c r="G3554" s="459"/>
      <c r="H3554" s="459">
        <v>3547</v>
      </c>
      <c r="I3554" s="444">
        <f t="shared" ca="1" si="150"/>
        <v>-582428088294.77734</v>
      </c>
      <c r="J3554" s="444">
        <f t="array" ref="J3554">IFERROR(INDEX('Retirement Calculator'!K:K,MATCH('Lorri 401b'!N3554,'Retirement Calculator'!A:A,0),0),0)</f>
        <v>0</v>
      </c>
      <c r="K3554" s="444">
        <f t="shared" ca="1" si="148"/>
        <v>-2426783701.2282391</v>
      </c>
      <c r="L3554" s="444">
        <f t="shared" ca="1" si="149"/>
        <v>-584854871996.00562</v>
      </c>
      <c r="M3554" s="460">
        <f t="shared" si="151"/>
        <v>0.05</v>
      </c>
      <c r="N3554" s="464">
        <f t="shared" si="152"/>
        <v>159216</v>
      </c>
    </row>
    <row r="3555" spans="7:14" ht="11.25" customHeight="1" x14ac:dyDescent="0.3">
      <c r="G3555" s="459"/>
      <c r="H3555" s="459">
        <v>3548</v>
      </c>
      <c r="I3555" s="444">
        <f t="shared" ca="1" si="150"/>
        <v>-584854871996.00562</v>
      </c>
      <c r="J3555" s="444">
        <f t="array" ref="J3555">IFERROR(INDEX('Retirement Calculator'!K:K,MATCH('Lorri 401b'!N3555,'Retirement Calculator'!A:A,0),0),0)</f>
        <v>0</v>
      </c>
      <c r="K3555" s="444">
        <f t="shared" ca="1" si="148"/>
        <v>-2436895299.9833565</v>
      </c>
      <c r="L3555" s="444">
        <f t="shared" ca="1" si="149"/>
        <v>-587291767295.98901</v>
      </c>
      <c r="M3555" s="460">
        <f t="shared" si="151"/>
        <v>0.05</v>
      </c>
      <c r="N3555" s="464">
        <f t="shared" si="152"/>
        <v>159247</v>
      </c>
    </row>
    <row r="3556" spans="7:14" ht="11.25" customHeight="1" x14ac:dyDescent="0.3">
      <c r="G3556" s="459"/>
      <c r="H3556" s="459">
        <v>3549</v>
      </c>
      <c r="I3556" s="444">
        <f t="shared" ca="1" si="150"/>
        <v>-587291767295.98901</v>
      </c>
      <c r="J3556" s="444">
        <f t="array" ref="J3556">IFERROR(INDEX('Retirement Calculator'!K:K,MATCH('Lorri 401b'!N3556,'Retirement Calculator'!A:A,0),0),0)</f>
        <v>0</v>
      </c>
      <c r="K3556" s="444">
        <f t="shared" ca="1" si="148"/>
        <v>-2447049030.3999543</v>
      </c>
      <c r="L3556" s="444">
        <f t="shared" ca="1" si="149"/>
        <v>-589738816326.38892</v>
      </c>
      <c r="M3556" s="460">
        <f t="shared" si="151"/>
        <v>0.05</v>
      </c>
      <c r="N3556" s="464">
        <f t="shared" si="152"/>
        <v>159278</v>
      </c>
    </row>
    <row r="3557" spans="7:14" ht="11.25" customHeight="1" x14ac:dyDescent="0.3">
      <c r="G3557" s="459"/>
      <c r="H3557" s="459">
        <v>3550</v>
      </c>
      <c r="I3557" s="444">
        <f t="shared" ca="1" si="150"/>
        <v>-589738816326.38892</v>
      </c>
      <c r="J3557" s="444">
        <f t="array" ref="J3557">IFERROR(INDEX('Retirement Calculator'!K:K,MATCH('Lorri 401b'!N3557,'Retirement Calculator'!A:A,0),0),0)</f>
        <v>0</v>
      </c>
      <c r="K3557" s="444">
        <f t="shared" ca="1" si="148"/>
        <v>-2457245068.0266204</v>
      </c>
      <c r="L3557" s="444">
        <f t="shared" ca="1" si="149"/>
        <v>-592196061394.41553</v>
      </c>
      <c r="M3557" s="460">
        <f t="shared" si="151"/>
        <v>0.05</v>
      </c>
      <c r="N3557" s="464">
        <f t="shared" si="152"/>
        <v>159307</v>
      </c>
    </row>
    <row r="3558" spans="7:14" ht="11.25" customHeight="1" x14ac:dyDescent="0.3">
      <c r="G3558" s="459"/>
      <c r="H3558" s="459">
        <v>3551</v>
      </c>
      <c r="I3558" s="444">
        <f t="shared" ca="1" si="150"/>
        <v>-592196061394.41553</v>
      </c>
      <c r="J3558" s="444">
        <f t="array" ref="J3558">IFERROR(INDEX('Retirement Calculator'!K:K,MATCH('Lorri 401b'!N3558,'Retirement Calculator'!A:A,0),0),0)</f>
        <v>0</v>
      </c>
      <c r="K3558" s="444">
        <f t="shared" ca="1" si="148"/>
        <v>-2467483589.1433978</v>
      </c>
      <c r="L3558" s="444">
        <f t="shared" ca="1" si="149"/>
        <v>-594663544983.55896</v>
      </c>
      <c r="M3558" s="460">
        <f t="shared" si="151"/>
        <v>0.05</v>
      </c>
      <c r="N3558" s="464">
        <f t="shared" si="152"/>
        <v>159338</v>
      </c>
    </row>
    <row r="3559" spans="7:14" ht="11.25" customHeight="1" x14ac:dyDescent="0.3">
      <c r="G3559" s="459"/>
      <c r="H3559" s="459">
        <v>3552</v>
      </c>
      <c r="I3559" s="444">
        <f t="shared" ca="1" si="150"/>
        <v>-594663544983.55896</v>
      </c>
      <c r="J3559" s="444">
        <f t="array" ref="J3559">IFERROR(INDEX('Retirement Calculator'!K:K,MATCH('Lorri 401b'!N3559,'Retirement Calculator'!A:A,0),0),0)</f>
        <v>0</v>
      </c>
      <c r="K3559" s="444">
        <f t="shared" ca="1" si="148"/>
        <v>-2477764770.7648292</v>
      </c>
      <c r="L3559" s="444">
        <f t="shared" ca="1" si="149"/>
        <v>-597141309754.32373</v>
      </c>
      <c r="M3559" s="460">
        <f t="shared" si="151"/>
        <v>0.05</v>
      </c>
      <c r="N3559" s="464">
        <f t="shared" si="152"/>
        <v>159368</v>
      </c>
    </row>
    <row r="3560" spans="7:14" ht="11.25" customHeight="1" x14ac:dyDescent="0.3">
      <c r="G3560" s="459"/>
      <c r="H3560" s="459">
        <v>3553</v>
      </c>
      <c r="I3560" s="444">
        <f t="shared" ca="1" si="150"/>
        <v>-597141309754.32373</v>
      </c>
      <c r="J3560" s="444">
        <f t="array" ref="J3560">IFERROR(INDEX('Retirement Calculator'!K:K,MATCH('Lorri 401b'!N3560,'Retirement Calculator'!A:A,0),0),0)</f>
        <v>0</v>
      </c>
      <c r="K3560" s="444">
        <f t="shared" ca="1" si="148"/>
        <v>-2488088790.6430154</v>
      </c>
      <c r="L3560" s="444">
        <f t="shared" ca="1" si="149"/>
        <v>-599629398544.9668</v>
      </c>
      <c r="M3560" s="460">
        <f t="shared" si="151"/>
        <v>0.05</v>
      </c>
      <c r="N3560" s="464">
        <f t="shared" si="152"/>
        <v>159399</v>
      </c>
    </row>
    <row r="3561" spans="7:14" ht="11.25" customHeight="1" x14ac:dyDescent="0.3">
      <c r="G3561" s="459"/>
      <c r="H3561" s="459">
        <v>3554</v>
      </c>
      <c r="I3561" s="444">
        <f t="shared" ca="1" si="150"/>
        <v>-599629398544.9668</v>
      </c>
      <c r="J3561" s="444">
        <f t="array" ref="J3561">IFERROR(INDEX('Retirement Calculator'!K:K,MATCH('Lorri 401b'!N3561,'Retirement Calculator'!A:A,0),0),0)</f>
        <v>0</v>
      </c>
      <c r="K3561" s="444">
        <f t="shared" ca="1" si="148"/>
        <v>-2498455827.2706947</v>
      </c>
      <c r="L3561" s="444">
        <f t="shared" ca="1" si="149"/>
        <v>-602127854372.23755</v>
      </c>
      <c r="M3561" s="460">
        <f t="shared" si="151"/>
        <v>0.05</v>
      </c>
      <c r="N3561" s="464">
        <f t="shared" si="152"/>
        <v>159429</v>
      </c>
    </row>
    <row r="3562" spans="7:14" ht="11.25" customHeight="1" x14ac:dyDescent="0.3">
      <c r="G3562" s="459"/>
      <c r="H3562" s="459">
        <v>3555</v>
      </c>
      <c r="I3562" s="444">
        <f t="shared" ca="1" si="150"/>
        <v>-602127854372.23755</v>
      </c>
      <c r="J3562" s="444">
        <f t="array" ref="J3562">IFERROR(INDEX('Retirement Calculator'!K:K,MATCH('Lorri 401b'!N3562,'Retirement Calculator'!A:A,0),0),0)</f>
        <v>0</v>
      </c>
      <c r="K3562" s="444">
        <f t="shared" ca="1" si="148"/>
        <v>-2508866059.8843231</v>
      </c>
      <c r="L3562" s="444">
        <f t="shared" ca="1" si="149"/>
        <v>-604636720432.12183</v>
      </c>
      <c r="M3562" s="460">
        <f t="shared" si="151"/>
        <v>0.05</v>
      </c>
      <c r="N3562" s="464">
        <f t="shared" si="152"/>
        <v>159460</v>
      </c>
    </row>
    <row r="3563" spans="7:14" ht="11.25" customHeight="1" x14ac:dyDescent="0.3">
      <c r="G3563" s="459"/>
      <c r="H3563" s="459">
        <v>3556</v>
      </c>
      <c r="I3563" s="444">
        <f t="shared" ca="1" si="150"/>
        <v>-604636720432.12183</v>
      </c>
      <c r="J3563" s="444">
        <f t="array" ref="J3563">IFERROR(INDEX('Retirement Calculator'!K:K,MATCH('Lorri 401b'!N3563,'Retirement Calculator'!A:A,0),0),0)</f>
        <v>0</v>
      </c>
      <c r="K3563" s="444">
        <f t="shared" ca="1" si="148"/>
        <v>-2519319668.4671741</v>
      </c>
      <c r="L3563" s="444">
        <f t="shared" ca="1" si="149"/>
        <v>-607156040100.58899</v>
      </c>
      <c r="M3563" s="460">
        <f t="shared" si="151"/>
        <v>0.05</v>
      </c>
      <c r="N3563" s="464">
        <f t="shared" si="152"/>
        <v>159491</v>
      </c>
    </row>
    <row r="3564" spans="7:14" ht="11.25" customHeight="1" x14ac:dyDescent="0.3">
      <c r="G3564" s="459"/>
      <c r="H3564" s="459">
        <v>3557</v>
      </c>
      <c r="I3564" s="444">
        <f t="shared" ca="1" si="150"/>
        <v>-607156040100.58899</v>
      </c>
      <c r="J3564" s="444">
        <f t="array" ref="J3564">IFERROR(INDEX('Retirement Calculator'!K:K,MATCH('Lorri 401b'!N3564,'Retirement Calculator'!A:A,0),0),0)</f>
        <v>0</v>
      </c>
      <c r="K3564" s="444">
        <f t="shared" ca="1" si="148"/>
        <v>-2529816833.7524543</v>
      </c>
      <c r="L3564" s="444">
        <f t="shared" ca="1" si="149"/>
        <v>-609685856934.34143</v>
      </c>
      <c r="M3564" s="460">
        <f t="shared" si="151"/>
        <v>0.05</v>
      </c>
      <c r="N3564" s="464">
        <f t="shared" si="152"/>
        <v>159521</v>
      </c>
    </row>
    <row r="3565" spans="7:14" ht="11.25" customHeight="1" x14ac:dyDescent="0.3">
      <c r="G3565" s="459"/>
      <c r="H3565" s="459">
        <v>3558</v>
      </c>
      <c r="I3565" s="444">
        <f t="shared" ca="1" si="150"/>
        <v>-609685856934.34143</v>
      </c>
      <c r="J3565" s="444">
        <f t="array" ref="J3565">IFERROR(INDEX('Retirement Calculator'!K:K,MATCH('Lorri 401b'!N3565,'Retirement Calculator'!A:A,0),0),0)</f>
        <v>0</v>
      </c>
      <c r="K3565" s="444">
        <f t="shared" ca="1" si="148"/>
        <v>-2540357737.2264228</v>
      </c>
      <c r="L3565" s="444">
        <f t="shared" ca="1" si="149"/>
        <v>-612226214671.56787</v>
      </c>
      <c r="M3565" s="460">
        <f t="shared" si="151"/>
        <v>0.05</v>
      </c>
      <c r="N3565" s="464">
        <f t="shared" si="152"/>
        <v>159552</v>
      </c>
    </row>
    <row r="3566" spans="7:14" ht="11.25" customHeight="1" x14ac:dyDescent="0.3">
      <c r="G3566" s="459"/>
      <c r="H3566" s="459">
        <v>3559</v>
      </c>
      <c r="I3566" s="444">
        <f t="shared" ca="1" si="150"/>
        <v>-612226214671.56787</v>
      </c>
      <c r="J3566" s="444">
        <f t="array" ref="J3566">IFERROR(INDEX('Retirement Calculator'!K:K,MATCH('Lorri 401b'!N3566,'Retirement Calculator'!A:A,0),0),0)</f>
        <v>0</v>
      </c>
      <c r="K3566" s="444">
        <f t="shared" ca="1" si="148"/>
        <v>-2550942561.1315327</v>
      </c>
      <c r="L3566" s="444">
        <f t="shared" ca="1" si="149"/>
        <v>-614777157232.69946</v>
      </c>
      <c r="M3566" s="460">
        <f t="shared" si="151"/>
        <v>0.05</v>
      </c>
      <c r="N3566" s="464">
        <f t="shared" si="152"/>
        <v>159582</v>
      </c>
    </row>
    <row r="3567" spans="7:14" ht="11.25" customHeight="1" x14ac:dyDescent="0.3">
      <c r="G3567" s="459"/>
      <c r="H3567" s="459">
        <v>3560</v>
      </c>
      <c r="I3567" s="444">
        <f t="shared" ca="1" si="150"/>
        <v>-614777157232.69946</v>
      </c>
      <c r="J3567" s="444">
        <f t="array" ref="J3567">IFERROR(INDEX('Retirement Calculator'!K:K,MATCH('Lorri 401b'!N3567,'Retirement Calculator'!A:A,0),0),0)</f>
        <v>0</v>
      </c>
      <c r="K3567" s="444">
        <f t="shared" ca="1" si="148"/>
        <v>-2561571488.4695811</v>
      </c>
      <c r="L3567" s="444">
        <f t="shared" ca="1" si="149"/>
        <v>-617338728721.16907</v>
      </c>
      <c r="M3567" s="460">
        <f t="shared" si="151"/>
        <v>0.05</v>
      </c>
      <c r="N3567" s="464">
        <f t="shared" si="152"/>
        <v>159613</v>
      </c>
    </row>
    <row r="3568" spans="7:14" ht="11.25" customHeight="1" x14ac:dyDescent="0.3">
      <c r="G3568" s="459"/>
      <c r="H3568" s="459">
        <v>3561</v>
      </c>
      <c r="I3568" s="444">
        <f t="shared" ca="1" si="150"/>
        <v>-617338728721.16907</v>
      </c>
      <c r="J3568" s="444">
        <f t="array" ref="J3568">IFERROR(INDEX('Retirement Calculator'!K:K,MATCH('Lorri 401b'!N3568,'Retirement Calculator'!A:A,0),0),0)</f>
        <v>0</v>
      </c>
      <c r="K3568" s="444">
        <f t="shared" ca="1" si="148"/>
        <v>-2572244703.0048709</v>
      </c>
      <c r="L3568" s="444">
        <f t="shared" ca="1" si="149"/>
        <v>-619910973424.17395</v>
      </c>
      <c r="M3568" s="460">
        <f t="shared" si="151"/>
        <v>0.05</v>
      </c>
      <c r="N3568" s="464">
        <f t="shared" si="152"/>
        <v>159644</v>
      </c>
    </row>
    <row r="3569" spans="7:14" ht="11.25" customHeight="1" x14ac:dyDescent="0.3">
      <c r="G3569" s="459"/>
      <c r="H3569" s="459">
        <v>3562</v>
      </c>
      <c r="I3569" s="444">
        <f t="shared" ca="1" si="150"/>
        <v>-619910973424.17395</v>
      </c>
      <c r="J3569" s="444">
        <f t="array" ref="J3569">IFERROR(INDEX('Retirement Calculator'!K:K,MATCH('Lorri 401b'!N3569,'Retirement Calculator'!A:A,0),0),0)</f>
        <v>0</v>
      </c>
      <c r="K3569" s="444">
        <f t="shared" ca="1" si="148"/>
        <v>-2582962389.2673912</v>
      </c>
      <c r="L3569" s="444">
        <f t="shared" ca="1" si="149"/>
        <v>-622493935813.44128</v>
      </c>
      <c r="M3569" s="460">
        <f t="shared" si="151"/>
        <v>0.05</v>
      </c>
      <c r="N3569" s="464">
        <f t="shared" si="152"/>
        <v>159672</v>
      </c>
    </row>
    <row r="3570" spans="7:14" ht="11.25" customHeight="1" x14ac:dyDescent="0.3">
      <c r="G3570" s="459"/>
      <c r="H3570" s="459">
        <v>3563</v>
      </c>
      <c r="I3570" s="444">
        <f t="shared" ca="1" si="150"/>
        <v>-622493935813.44128</v>
      </c>
      <c r="J3570" s="444">
        <f t="array" ref="J3570">IFERROR(INDEX('Retirement Calculator'!K:K,MATCH('Lorri 401b'!N3570,'Retirement Calculator'!A:A,0),0),0)</f>
        <v>0</v>
      </c>
      <c r="K3570" s="444">
        <f t="shared" ca="1" si="148"/>
        <v>-2593724732.5560055</v>
      </c>
      <c r="L3570" s="444">
        <f t="shared" ca="1" si="149"/>
        <v>-625087660545.99731</v>
      </c>
      <c r="M3570" s="460">
        <f t="shared" si="151"/>
        <v>0.05</v>
      </c>
      <c r="N3570" s="464">
        <f t="shared" si="152"/>
        <v>159703</v>
      </c>
    </row>
    <row r="3571" spans="7:14" ht="11.25" customHeight="1" x14ac:dyDescent="0.3">
      <c r="G3571" s="459"/>
      <c r="H3571" s="459">
        <v>3564</v>
      </c>
      <c r="I3571" s="444">
        <f t="shared" ca="1" si="150"/>
        <v>-625087660545.99731</v>
      </c>
      <c r="J3571" s="444">
        <f t="array" ref="J3571">IFERROR(INDEX('Retirement Calculator'!K:K,MATCH('Lorri 401b'!N3571,'Retirement Calculator'!A:A,0),0),0)</f>
        <v>0</v>
      </c>
      <c r="K3571" s="444">
        <f t="shared" ca="1" si="148"/>
        <v>-2604531918.9416556</v>
      </c>
      <c r="L3571" s="444">
        <f t="shared" ca="1" si="149"/>
        <v>-627692192464.93896</v>
      </c>
      <c r="M3571" s="460">
        <f t="shared" si="151"/>
        <v>0.05</v>
      </c>
      <c r="N3571" s="464">
        <f t="shared" si="152"/>
        <v>159733</v>
      </c>
    </row>
    <row r="3572" spans="7:14" ht="11.25" customHeight="1" x14ac:dyDescent="0.3">
      <c r="G3572" s="459"/>
      <c r="H3572" s="459">
        <v>3565</v>
      </c>
      <c r="I3572" s="444">
        <f t="shared" ca="1" si="150"/>
        <v>-627692192464.93896</v>
      </c>
      <c r="J3572" s="444">
        <f t="array" ref="J3572">IFERROR(INDEX('Retirement Calculator'!K:K,MATCH('Lorri 401b'!N3572,'Retirement Calculator'!A:A,0),0),0)</f>
        <v>0</v>
      </c>
      <c r="K3572" s="444">
        <f t="shared" ca="1" si="148"/>
        <v>-2615384135.2705789</v>
      </c>
      <c r="L3572" s="444">
        <f t="shared" ca="1" si="149"/>
        <v>-630307576600.20959</v>
      </c>
      <c r="M3572" s="460">
        <f t="shared" si="151"/>
        <v>0.05</v>
      </c>
      <c r="N3572" s="464">
        <f t="shared" si="152"/>
        <v>159764</v>
      </c>
    </row>
    <row r="3573" spans="7:14" ht="11.25" customHeight="1" x14ac:dyDescent="0.3">
      <c r="G3573" s="459"/>
      <c r="H3573" s="459">
        <v>3566</v>
      </c>
      <c r="I3573" s="444">
        <f t="shared" ca="1" si="150"/>
        <v>-630307576600.20959</v>
      </c>
      <c r="J3573" s="444">
        <f t="array" ref="J3573">IFERROR(INDEX('Retirement Calculator'!K:K,MATCH('Lorri 401b'!N3573,'Retirement Calculator'!A:A,0),0),0)</f>
        <v>0</v>
      </c>
      <c r="K3573" s="444">
        <f t="shared" ca="1" si="148"/>
        <v>-2626281569.1675401</v>
      </c>
      <c r="L3573" s="444">
        <f t="shared" ca="1" si="149"/>
        <v>-632933858169.37708</v>
      </c>
      <c r="M3573" s="460">
        <f t="shared" si="151"/>
        <v>0.05</v>
      </c>
      <c r="N3573" s="464">
        <f t="shared" si="152"/>
        <v>159794</v>
      </c>
    </row>
    <row r="3574" spans="7:14" ht="11.25" customHeight="1" x14ac:dyDescent="0.3">
      <c r="G3574" s="459"/>
      <c r="H3574" s="459">
        <v>3567</v>
      </c>
      <c r="I3574" s="444">
        <f t="shared" ca="1" si="150"/>
        <v>-632933858169.37708</v>
      </c>
      <c r="J3574" s="444">
        <f t="array" ref="J3574">IFERROR(INDEX('Retirement Calculator'!K:K,MATCH('Lorri 401b'!N3574,'Retirement Calculator'!A:A,0),0),0)</f>
        <v>0</v>
      </c>
      <c r="K3574" s="444">
        <f t="shared" ca="1" si="148"/>
        <v>-2637224409.0390711</v>
      </c>
      <c r="L3574" s="444">
        <f t="shared" ca="1" si="149"/>
        <v>-635571082578.41614</v>
      </c>
      <c r="M3574" s="460">
        <f t="shared" si="151"/>
        <v>0.05</v>
      </c>
      <c r="N3574" s="464">
        <f t="shared" si="152"/>
        <v>159825</v>
      </c>
    </row>
    <row r="3575" spans="7:14" ht="11.25" customHeight="1" x14ac:dyDescent="0.3">
      <c r="G3575" s="459"/>
      <c r="H3575" s="459">
        <v>3568</v>
      </c>
      <c r="I3575" s="444">
        <f t="shared" ca="1" si="150"/>
        <v>-635571082578.41614</v>
      </c>
      <c r="J3575" s="444">
        <f t="array" ref="J3575">IFERROR(INDEX('Retirement Calculator'!K:K,MATCH('Lorri 401b'!N3575,'Retirement Calculator'!A:A,0),0),0)</f>
        <v>0</v>
      </c>
      <c r="K3575" s="444">
        <f t="shared" ca="1" si="148"/>
        <v>-2648212844.0767341</v>
      </c>
      <c r="L3575" s="444">
        <f t="shared" ca="1" si="149"/>
        <v>-638219295422.49292</v>
      </c>
      <c r="M3575" s="460">
        <f t="shared" si="151"/>
        <v>0.05</v>
      </c>
      <c r="N3575" s="464">
        <f t="shared" si="152"/>
        <v>159856</v>
      </c>
    </row>
    <row r="3576" spans="7:14" ht="11.25" customHeight="1" x14ac:dyDescent="0.3">
      <c r="G3576" s="459"/>
      <c r="H3576" s="459">
        <v>3569</v>
      </c>
      <c r="I3576" s="444">
        <f t="shared" ca="1" si="150"/>
        <v>-638219295422.49292</v>
      </c>
      <c r="J3576" s="444">
        <f t="array" ref="J3576">IFERROR(INDEX('Retirement Calculator'!K:K,MATCH('Lorri 401b'!N3576,'Retirement Calculator'!A:A,0),0),0)</f>
        <v>0</v>
      </c>
      <c r="K3576" s="444">
        <f t="shared" ca="1" si="148"/>
        <v>-2659247064.2603869</v>
      </c>
      <c r="L3576" s="444">
        <f t="shared" ca="1" si="149"/>
        <v>-640878542486.7533</v>
      </c>
      <c r="M3576" s="460">
        <f t="shared" si="151"/>
        <v>0.05</v>
      </c>
      <c r="N3576" s="464">
        <f t="shared" si="152"/>
        <v>159886</v>
      </c>
    </row>
    <row r="3577" spans="7:14" ht="11.25" customHeight="1" x14ac:dyDescent="0.3">
      <c r="G3577" s="459"/>
      <c r="H3577" s="459">
        <v>3570</v>
      </c>
      <c r="I3577" s="444">
        <f t="shared" ca="1" si="150"/>
        <v>-640878542486.7533</v>
      </c>
      <c r="J3577" s="444">
        <f t="array" ref="J3577">IFERROR(INDEX('Retirement Calculator'!K:K,MATCH('Lorri 401b'!N3577,'Retirement Calculator'!A:A,0),0),0)</f>
        <v>0</v>
      </c>
      <c r="K3577" s="444">
        <f t="shared" ca="1" si="148"/>
        <v>-2670327260.3614721</v>
      </c>
      <c r="L3577" s="444">
        <f t="shared" ca="1" si="149"/>
        <v>-643548869747.11475</v>
      </c>
      <c r="M3577" s="460">
        <f t="shared" si="151"/>
        <v>0.05</v>
      </c>
      <c r="N3577" s="464">
        <f t="shared" si="152"/>
        <v>159917</v>
      </c>
    </row>
    <row r="3578" spans="7:14" ht="11.25" customHeight="1" x14ac:dyDescent="0.3">
      <c r="G3578" s="459"/>
      <c r="H3578" s="459">
        <v>3571</v>
      </c>
      <c r="I3578" s="444">
        <f t="shared" ca="1" si="150"/>
        <v>-643548869747.11475</v>
      </c>
      <c r="J3578" s="444">
        <f t="array" ref="J3578">IFERROR(INDEX('Retirement Calculator'!K:K,MATCH('Lorri 401b'!N3578,'Retirement Calculator'!A:A,0),0),0)</f>
        <v>0</v>
      </c>
      <c r="K3578" s="444">
        <f t="shared" ref="K3578:K3832" ca="1" si="153">IPMT(M3578/12,1,12,-I3578+J3578,,0)</f>
        <v>-2681453623.9463115</v>
      </c>
      <c r="L3578" s="444">
        <f t="shared" ref="L3578:L3832" ca="1" si="154">I3578-J3578+K3578</f>
        <v>-646230323371.06104</v>
      </c>
      <c r="M3578" s="460">
        <f t="shared" si="151"/>
        <v>0.05</v>
      </c>
      <c r="N3578" s="464">
        <f t="shared" si="152"/>
        <v>159947</v>
      </c>
    </row>
    <row r="3579" spans="7:14" ht="11.25" customHeight="1" x14ac:dyDescent="0.3">
      <c r="G3579" s="459"/>
      <c r="H3579" s="459">
        <v>3572</v>
      </c>
      <c r="I3579" s="444">
        <f t="shared" ref="I3579:I3833" ca="1" si="155">L3578</f>
        <v>-646230323371.06104</v>
      </c>
      <c r="J3579" s="444">
        <f t="array" ref="J3579">IFERROR(INDEX('Retirement Calculator'!K:K,MATCH('Lorri 401b'!N3579,'Retirement Calculator'!A:A,0),0),0)</f>
        <v>0</v>
      </c>
      <c r="K3579" s="444">
        <f t="shared" ca="1" si="153"/>
        <v>-2692626347.3794208</v>
      </c>
      <c r="L3579" s="444">
        <f t="shared" ca="1" si="154"/>
        <v>-648922949718.44043</v>
      </c>
      <c r="M3579" s="460">
        <f t="shared" ref="M3579:M3833" si="156">M3578</f>
        <v>0.05</v>
      </c>
      <c r="N3579" s="464">
        <f t="shared" ref="N3579:N3833" si="157">EDATE(N3578,1)</f>
        <v>159978</v>
      </c>
    </row>
    <row r="3580" spans="7:14" ht="11.25" customHeight="1" x14ac:dyDescent="0.3">
      <c r="G3580" s="459"/>
      <c r="H3580" s="459">
        <v>3573</v>
      </c>
      <c r="I3580" s="444">
        <f t="shared" ca="1" si="155"/>
        <v>-648922949718.44043</v>
      </c>
      <c r="J3580" s="444">
        <f t="array" ref="J3580">IFERROR(INDEX('Retirement Calculator'!K:K,MATCH('Lorri 401b'!N3580,'Retirement Calculator'!A:A,0),0),0)</f>
        <v>0</v>
      </c>
      <c r="K3580" s="444">
        <f t="shared" ca="1" si="153"/>
        <v>-2703845623.8268352</v>
      </c>
      <c r="L3580" s="444">
        <f t="shared" ca="1" si="154"/>
        <v>-651626795342.26721</v>
      </c>
      <c r="M3580" s="460">
        <f t="shared" si="156"/>
        <v>0.05</v>
      </c>
      <c r="N3580" s="464">
        <f t="shared" si="157"/>
        <v>160009</v>
      </c>
    </row>
    <row r="3581" spans="7:14" ht="11.25" customHeight="1" x14ac:dyDescent="0.3">
      <c r="G3581" s="459"/>
      <c r="H3581" s="459">
        <v>3574</v>
      </c>
      <c r="I3581" s="444">
        <f t="shared" ca="1" si="155"/>
        <v>-651626795342.26721</v>
      </c>
      <c r="J3581" s="444">
        <f t="array" ref="J3581">IFERROR(INDEX('Retirement Calculator'!K:K,MATCH('Lorri 401b'!N3581,'Retirement Calculator'!A:A,0),0),0)</f>
        <v>0</v>
      </c>
      <c r="K3581" s="444">
        <f t="shared" ca="1" si="153"/>
        <v>-2715111647.2594466</v>
      </c>
      <c r="L3581" s="444">
        <f t="shared" ca="1" si="154"/>
        <v>-654341906989.52661</v>
      </c>
      <c r="M3581" s="460">
        <f t="shared" si="156"/>
        <v>0.05</v>
      </c>
      <c r="N3581" s="464">
        <f t="shared" si="157"/>
        <v>160037</v>
      </c>
    </row>
    <row r="3582" spans="7:14" ht="11.25" customHeight="1" x14ac:dyDescent="0.3">
      <c r="G3582" s="459"/>
      <c r="H3582" s="459">
        <v>3575</v>
      </c>
      <c r="I3582" s="444">
        <f t="shared" ca="1" si="155"/>
        <v>-654341906989.52661</v>
      </c>
      <c r="J3582" s="444">
        <f t="array" ref="J3582">IFERROR(INDEX('Retirement Calculator'!K:K,MATCH('Lorri 401b'!N3582,'Retirement Calculator'!A:A,0),0),0)</f>
        <v>0</v>
      </c>
      <c r="K3582" s="444">
        <f t="shared" ca="1" si="153"/>
        <v>-2726424612.4563608</v>
      </c>
      <c r="L3582" s="444">
        <f t="shared" ca="1" si="154"/>
        <v>-657068331601.98303</v>
      </c>
      <c r="M3582" s="460">
        <f t="shared" si="156"/>
        <v>0.05</v>
      </c>
      <c r="N3582" s="464">
        <f t="shared" si="157"/>
        <v>160068</v>
      </c>
    </row>
    <row r="3583" spans="7:14" ht="11.25" customHeight="1" x14ac:dyDescent="0.3">
      <c r="G3583" s="459"/>
      <c r="H3583" s="459">
        <v>3576</v>
      </c>
      <c r="I3583" s="444">
        <f t="shared" ca="1" si="155"/>
        <v>-657068331601.98303</v>
      </c>
      <c r="J3583" s="444">
        <f t="array" ref="J3583">IFERROR(INDEX('Retirement Calculator'!K:K,MATCH('Lorri 401b'!N3583,'Retirement Calculator'!A:A,0),0),0)</f>
        <v>0</v>
      </c>
      <c r="K3583" s="444">
        <f t="shared" ca="1" si="153"/>
        <v>-2737784715.0082626</v>
      </c>
      <c r="L3583" s="444">
        <f t="shared" ca="1" si="154"/>
        <v>-659806116316.99133</v>
      </c>
      <c r="M3583" s="460">
        <f t="shared" si="156"/>
        <v>0.05</v>
      </c>
      <c r="N3583" s="464">
        <f t="shared" si="157"/>
        <v>160098</v>
      </c>
    </row>
    <row r="3584" spans="7:14" ht="11.25" customHeight="1" x14ac:dyDescent="0.3">
      <c r="G3584" s="459"/>
      <c r="H3584" s="459">
        <v>3577</v>
      </c>
      <c r="I3584" s="444">
        <f t="shared" ca="1" si="155"/>
        <v>-659806116316.99133</v>
      </c>
      <c r="J3584" s="444">
        <f t="array" ref="J3584">IFERROR(INDEX('Retirement Calculator'!K:K,MATCH('Lorri 401b'!N3584,'Retirement Calculator'!A:A,0),0),0)</f>
        <v>0</v>
      </c>
      <c r="K3584" s="444">
        <f t="shared" ca="1" si="153"/>
        <v>-2749192151.320797</v>
      </c>
      <c r="L3584" s="444">
        <f t="shared" ca="1" si="154"/>
        <v>-662555308468.31213</v>
      </c>
      <c r="M3584" s="460">
        <f t="shared" si="156"/>
        <v>0.05</v>
      </c>
      <c r="N3584" s="464">
        <f t="shared" si="157"/>
        <v>160129</v>
      </c>
    </row>
    <row r="3585" spans="7:14" ht="11.25" customHeight="1" x14ac:dyDescent="0.3">
      <c r="G3585" s="459"/>
      <c r="H3585" s="459">
        <v>3578</v>
      </c>
      <c r="I3585" s="444">
        <f t="shared" ca="1" si="155"/>
        <v>-662555308468.31213</v>
      </c>
      <c r="J3585" s="444">
        <f t="array" ref="J3585">IFERROR(INDEX('Retirement Calculator'!K:K,MATCH('Lorri 401b'!N3585,'Retirement Calculator'!A:A,0),0),0)</f>
        <v>0</v>
      </c>
      <c r="K3585" s="444">
        <f t="shared" ca="1" si="153"/>
        <v>-2760647118.6179671</v>
      </c>
      <c r="L3585" s="444">
        <f t="shared" ca="1" si="154"/>
        <v>-665315955586.93005</v>
      </c>
      <c r="M3585" s="460">
        <f t="shared" si="156"/>
        <v>0.05</v>
      </c>
      <c r="N3585" s="464">
        <f t="shared" si="157"/>
        <v>160159</v>
      </c>
    </row>
    <row r="3586" spans="7:14" ht="11.25" customHeight="1" x14ac:dyDescent="0.3">
      <c r="G3586" s="459"/>
      <c r="H3586" s="459">
        <v>3579</v>
      </c>
      <c r="I3586" s="444">
        <f t="shared" ca="1" si="155"/>
        <v>-665315955586.93005</v>
      </c>
      <c r="J3586" s="444">
        <f t="array" ref="J3586">IFERROR(INDEX('Retirement Calculator'!K:K,MATCH('Lorri 401b'!N3586,'Retirement Calculator'!A:A,0),0),0)</f>
        <v>0</v>
      </c>
      <c r="K3586" s="444">
        <f t="shared" ca="1" si="153"/>
        <v>-2772149814.9455419</v>
      </c>
      <c r="L3586" s="444">
        <f t="shared" ca="1" si="154"/>
        <v>-668088105401.87561</v>
      </c>
      <c r="M3586" s="460">
        <f t="shared" si="156"/>
        <v>0.05</v>
      </c>
      <c r="N3586" s="464">
        <f t="shared" si="157"/>
        <v>160190</v>
      </c>
    </row>
    <row r="3587" spans="7:14" ht="11.25" customHeight="1" x14ac:dyDescent="0.3">
      <c r="G3587" s="459"/>
      <c r="H3587" s="459">
        <v>3580</v>
      </c>
      <c r="I3587" s="444">
        <f t="shared" ca="1" si="155"/>
        <v>-668088105401.87561</v>
      </c>
      <c r="J3587" s="444">
        <f t="array" ref="J3587">IFERROR(INDEX('Retirement Calculator'!K:K,MATCH('Lorri 401b'!N3587,'Retirement Calculator'!A:A,0),0),0)</f>
        <v>0</v>
      </c>
      <c r="K3587" s="444">
        <f t="shared" ca="1" si="153"/>
        <v>-2783700439.1744819</v>
      </c>
      <c r="L3587" s="444">
        <f t="shared" ca="1" si="154"/>
        <v>-670871805841.05005</v>
      </c>
      <c r="M3587" s="460">
        <f t="shared" si="156"/>
        <v>0.05</v>
      </c>
      <c r="N3587" s="464">
        <f t="shared" si="157"/>
        <v>160221</v>
      </c>
    </row>
    <row r="3588" spans="7:14" ht="11.25" customHeight="1" x14ac:dyDescent="0.3">
      <c r="G3588" s="459"/>
      <c r="H3588" s="459">
        <v>3581</v>
      </c>
      <c r="I3588" s="444">
        <f t="shared" ca="1" si="155"/>
        <v>-670871805841.05005</v>
      </c>
      <c r="J3588" s="444">
        <f t="array" ref="J3588">IFERROR(INDEX('Retirement Calculator'!K:K,MATCH('Lorri 401b'!N3588,'Retirement Calculator'!A:A,0),0),0)</f>
        <v>0</v>
      </c>
      <c r="K3588" s="444">
        <f t="shared" ca="1" si="153"/>
        <v>-2795299191.004375</v>
      </c>
      <c r="L3588" s="444">
        <f t="shared" ca="1" si="154"/>
        <v>-673667105032.05444</v>
      </c>
      <c r="M3588" s="460">
        <f t="shared" si="156"/>
        <v>0.05</v>
      </c>
      <c r="N3588" s="464">
        <f t="shared" si="157"/>
        <v>160251</v>
      </c>
    </row>
    <row r="3589" spans="7:14" ht="11.25" customHeight="1" x14ac:dyDescent="0.3">
      <c r="G3589" s="459"/>
      <c r="H3589" s="459">
        <v>3582</v>
      </c>
      <c r="I3589" s="444">
        <f t="shared" ca="1" si="155"/>
        <v>-673667105032.05444</v>
      </c>
      <c r="J3589" s="444">
        <f t="array" ref="J3589">IFERROR(INDEX('Retirement Calculator'!K:K,MATCH('Lorri 401b'!N3589,'Retirement Calculator'!A:A,0),0),0)</f>
        <v>0</v>
      </c>
      <c r="K3589" s="444">
        <f t="shared" ca="1" si="153"/>
        <v>-2806946270.9668937</v>
      </c>
      <c r="L3589" s="444">
        <f t="shared" ca="1" si="154"/>
        <v>-676474051303.02136</v>
      </c>
      <c r="M3589" s="460">
        <f t="shared" si="156"/>
        <v>0.05</v>
      </c>
      <c r="N3589" s="464">
        <f t="shared" si="157"/>
        <v>160282</v>
      </c>
    </row>
    <row r="3590" spans="7:14" ht="11.25" customHeight="1" x14ac:dyDescent="0.3">
      <c r="G3590" s="459"/>
      <c r="H3590" s="459">
        <v>3583</v>
      </c>
      <c r="I3590" s="444">
        <f t="shared" ca="1" si="155"/>
        <v>-676474051303.02136</v>
      </c>
      <c r="J3590" s="444">
        <f t="array" ref="J3590">IFERROR(INDEX('Retirement Calculator'!K:K,MATCH('Lorri 401b'!N3590,'Retirement Calculator'!A:A,0),0),0)</f>
        <v>0</v>
      </c>
      <c r="K3590" s="444">
        <f t="shared" ca="1" si="153"/>
        <v>-2818641880.4292555</v>
      </c>
      <c r="L3590" s="444">
        <f t="shared" ca="1" si="154"/>
        <v>-679292693183.45056</v>
      </c>
      <c r="M3590" s="460">
        <f t="shared" si="156"/>
        <v>0.05</v>
      </c>
      <c r="N3590" s="464">
        <f t="shared" si="157"/>
        <v>160312</v>
      </c>
    </row>
    <row r="3591" spans="7:14" ht="11.25" customHeight="1" x14ac:dyDescent="0.3">
      <c r="G3591" s="459"/>
      <c r="H3591" s="459">
        <v>3584</v>
      </c>
      <c r="I3591" s="444">
        <f t="shared" ca="1" si="155"/>
        <v>-679292693183.45056</v>
      </c>
      <c r="J3591" s="444">
        <f t="array" ref="J3591">IFERROR(INDEX('Retirement Calculator'!K:K,MATCH('Lorri 401b'!N3591,'Retirement Calculator'!A:A,0),0),0)</f>
        <v>0</v>
      </c>
      <c r="K3591" s="444">
        <f t="shared" ca="1" si="153"/>
        <v>-2830386221.5977106</v>
      </c>
      <c r="L3591" s="444">
        <f t="shared" ca="1" si="154"/>
        <v>-682123079405.04822</v>
      </c>
      <c r="M3591" s="460">
        <f t="shared" si="156"/>
        <v>0.05</v>
      </c>
      <c r="N3591" s="464">
        <f t="shared" si="157"/>
        <v>160343</v>
      </c>
    </row>
    <row r="3592" spans="7:14" ht="11.25" customHeight="1" x14ac:dyDescent="0.3">
      <c r="G3592" s="459"/>
      <c r="H3592" s="459">
        <v>3585</v>
      </c>
      <c r="I3592" s="444">
        <f t="shared" ca="1" si="155"/>
        <v>-682123079405.04822</v>
      </c>
      <c r="J3592" s="444">
        <f t="array" ref="J3592">IFERROR(INDEX('Retirement Calculator'!K:K,MATCH('Lorri 401b'!N3592,'Retirement Calculator'!A:A,0),0),0)</f>
        <v>0</v>
      </c>
      <c r="K3592" s="444">
        <f t="shared" ca="1" si="153"/>
        <v>-2842179497.5210342</v>
      </c>
      <c r="L3592" s="444">
        <f t="shared" ca="1" si="154"/>
        <v>-684965258902.56921</v>
      </c>
      <c r="M3592" s="460">
        <f t="shared" si="156"/>
        <v>0.05</v>
      </c>
      <c r="N3592" s="464">
        <f t="shared" si="157"/>
        <v>160374</v>
      </c>
    </row>
    <row r="3593" spans="7:14" ht="11.25" customHeight="1" x14ac:dyDescent="0.3">
      <c r="G3593" s="459"/>
      <c r="H3593" s="459">
        <v>3586</v>
      </c>
      <c r="I3593" s="444">
        <f t="shared" ca="1" si="155"/>
        <v>-684965258902.56921</v>
      </c>
      <c r="J3593" s="444">
        <f t="array" ref="J3593">IFERROR(INDEX('Retirement Calculator'!K:K,MATCH('Lorri 401b'!N3593,'Retirement Calculator'!A:A,0),0),0)</f>
        <v>0</v>
      </c>
      <c r="K3593" s="444">
        <f t="shared" ca="1" si="153"/>
        <v>-2854021912.0940385</v>
      </c>
      <c r="L3593" s="444">
        <f t="shared" ca="1" si="154"/>
        <v>-687819280814.66321</v>
      </c>
      <c r="M3593" s="460">
        <f t="shared" si="156"/>
        <v>0.05</v>
      </c>
      <c r="N3593" s="464">
        <f t="shared" si="157"/>
        <v>160402</v>
      </c>
    </row>
    <row r="3594" spans="7:14" ht="11.25" customHeight="1" x14ac:dyDescent="0.3">
      <c r="G3594" s="459"/>
      <c r="H3594" s="459">
        <v>3587</v>
      </c>
      <c r="I3594" s="444">
        <f t="shared" ca="1" si="155"/>
        <v>-687819280814.66321</v>
      </c>
      <c r="J3594" s="444">
        <f t="array" ref="J3594">IFERROR(INDEX('Retirement Calculator'!K:K,MATCH('Lorri 401b'!N3594,'Retirement Calculator'!A:A,0),0),0)</f>
        <v>0</v>
      </c>
      <c r="K3594" s="444">
        <f t="shared" ca="1" si="153"/>
        <v>-2865913670.0610967</v>
      </c>
      <c r="L3594" s="444">
        <f t="shared" ca="1" si="154"/>
        <v>-690685194484.72437</v>
      </c>
      <c r="M3594" s="460">
        <f t="shared" si="156"/>
        <v>0.05</v>
      </c>
      <c r="N3594" s="464">
        <f t="shared" si="157"/>
        <v>160433</v>
      </c>
    </row>
    <row r="3595" spans="7:14" ht="11.25" customHeight="1" x14ac:dyDescent="0.3">
      <c r="G3595" s="459"/>
      <c r="H3595" s="459">
        <v>3588</v>
      </c>
      <c r="I3595" s="444">
        <f t="shared" ca="1" si="155"/>
        <v>-690685194484.72437</v>
      </c>
      <c r="J3595" s="444">
        <f t="array" ref="J3595">IFERROR(INDEX('Retirement Calculator'!K:K,MATCH('Lorri 401b'!N3595,'Retirement Calculator'!A:A,0),0),0)</f>
        <v>0</v>
      </c>
      <c r="K3595" s="444">
        <f t="shared" ca="1" si="153"/>
        <v>-2877854977.0196848</v>
      </c>
      <c r="L3595" s="444">
        <f t="shared" ca="1" si="154"/>
        <v>-693563049461.74402</v>
      </c>
      <c r="M3595" s="460">
        <f t="shared" si="156"/>
        <v>0.05</v>
      </c>
      <c r="N3595" s="464">
        <f t="shared" si="157"/>
        <v>160463</v>
      </c>
    </row>
    <row r="3596" spans="7:14" ht="11.25" customHeight="1" x14ac:dyDescent="0.3">
      <c r="G3596" s="459"/>
      <c r="H3596" s="459">
        <v>3589</v>
      </c>
      <c r="I3596" s="444">
        <f t="shared" ca="1" si="155"/>
        <v>-693563049461.74402</v>
      </c>
      <c r="J3596" s="444">
        <f t="array" ref="J3596">IFERROR(INDEX('Retirement Calculator'!K:K,MATCH('Lorri 401b'!N3596,'Retirement Calculator'!A:A,0),0),0)</f>
        <v>0</v>
      </c>
      <c r="K3596" s="444">
        <f t="shared" ca="1" si="153"/>
        <v>-2889846039.4239335</v>
      </c>
      <c r="L3596" s="444">
        <f t="shared" ca="1" si="154"/>
        <v>-696452895501.16797</v>
      </c>
      <c r="M3596" s="460">
        <f t="shared" si="156"/>
        <v>0.05</v>
      </c>
      <c r="N3596" s="464">
        <f t="shared" si="157"/>
        <v>160494</v>
      </c>
    </row>
    <row r="3597" spans="7:14" ht="11.25" customHeight="1" x14ac:dyDescent="0.3">
      <c r="G3597" s="459"/>
      <c r="H3597" s="459">
        <v>3590</v>
      </c>
      <c r="I3597" s="444">
        <f t="shared" ca="1" si="155"/>
        <v>-696452895501.16797</v>
      </c>
      <c r="J3597" s="444">
        <f t="array" ref="J3597">IFERROR(INDEX('Retirement Calculator'!K:K,MATCH('Lorri 401b'!N3597,'Retirement Calculator'!A:A,0),0),0)</f>
        <v>0</v>
      </c>
      <c r="K3597" s="444">
        <f t="shared" ca="1" si="153"/>
        <v>-2901887064.5881996</v>
      </c>
      <c r="L3597" s="444">
        <f t="shared" ca="1" si="154"/>
        <v>-699354782565.75623</v>
      </c>
      <c r="M3597" s="460">
        <f t="shared" si="156"/>
        <v>0.05</v>
      </c>
      <c r="N3597" s="464">
        <f t="shared" si="157"/>
        <v>160524</v>
      </c>
    </row>
    <row r="3598" spans="7:14" ht="11.25" customHeight="1" x14ac:dyDescent="0.3">
      <c r="G3598" s="459"/>
      <c r="H3598" s="459">
        <v>3591</v>
      </c>
      <c r="I3598" s="444">
        <f t="shared" ca="1" si="155"/>
        <v>-699354782565.75623</v>
      </c>
      <c r="J3598" s="444">
        <f t="array" ref="J3598">IFERROR(INDEX('Retirement Calculator'!K:K,MATCH('Lorri 401b'!N3598,'Retirement Calculator'!A:A,0),0),0)</f>
        <v>0</v>
      </c>
      <c r="K3598" s="444">
        <f t="shared" ca="1" si="153"/>
        <v>-2913978260.6906509</v>
      </c>
      <c r="L3598" s="444">
        <f t="shared" ca="1" si="154"/>
        <v>-702268760826.4469</v>
      </c>
      <c r="M3598" s="460">
        <f t="shared" si="156"/>
        <v>0.05</v>
      </c>
      <c r="N3598" s="464">
        <f t="shared" si="157"/>
        <v>160555</v>
      </c>
    </row>
    <row r="3599" spans="7:14" ht="11.25" customHeight="1" x14ac:dyDescent="0.3">
      <c r="G3599" s="459"/>
      <c r="H3599" s="459">
        <v>3592</v>
      </c>
      <c r="I3599" s="444">
        <f t="shared" ca="1" si="155"/>
        <v>-702268760826.4469</v>
      </c>
      <c r="J3599" s="444">
        <f t="array" ref="J3599">IFERROR(INDEX('Retirement Calculator'!K:K,MATCH('Lorri 401b'!N3599,'Retirement Calculator'!A:A,0),0),0)</f>
        <v>0</v>
      </c>
      <c r="K3599" s="444">
        <f t="shared" ca="1" si="153"/>
        <v>-2926119836.7768621</v>
      </c>
      <c r="L3599" s="444">
        <f t="shared" ca="1" si="154"/>
        <v>-705194880663.22375</v>
      </c>
      <c r="M3599" s="460">
        <f t="shared" si="156"/>
        <v>0.05</v>
      </c>
      <c r="N3599" s="464">
        <f t="shared" si="157"/>
        <v>160586</v>
      </c>
    </row>
    <row r="3600" spans="7:14" ht="11.25" customHeight="1" x14ac:dyDescent="0.3">
      <c r="G3600" s="459"/>
      <c r="H3600" s="459">
        <v>3593</v>
      </c>
      <c r="I3600" s="444">
        <f t="shared" ca="1" si="155"/>
        <v>-705194880663.22375</v>
      </c>
      <c r="J3600" s="444">
        <f t="array" ref="J3600">IFERROR(INDEX('Retirement Calculator'!K:K,MATCH('Lorri 401b'!N3600,'Retirement Calculator'!A:A,0),0),0)</f>
        <v>0</v>
      </c>
      <c r="K3600" s="444">
        <f t="shared" ca="1" si="153"/>
        <v>-2938312002.7634325</v>
      </c>
      <c r="L3600" s="444">
        <f t="shared" ca="1" si="154"/>
        <v>-708133192665.98718</v>
      </c>
      <c r="M3600" s="460">
        <f t="shared" si="156"/>
        <v>0.05</v>
      </c>
      <c r="N3600" s="464">
        <f t="shared" si="157"/>
        <v>160616</v>
      </c>
    </row>
    <row r="3601" spans="7:14" ht="11.25" customHeight="1" x14ac:dyDescent="0.3">
      <c r="G3601" s="459"/>
      <c r="H3601" s="459">
        <v>3594</v>
      </c>
      <c r="I3601" s="444">
        <f t="shared" ca="1" si="155"/>
        <v>-708133192665.98718</v>
      </c>
      <c r="J3601" s="444">
        <f t="array" ref="J3601">IFERROR(INDEX('Retirement Calculator'!K:K,MATCH('Lorri 401b'!N3601,'Retirement Calculator'!A:A,0),0),0)</f>
        <v>0</v>
      </c>
      <c r="K3601" s="444">
        <f t="shared" ca="1" si="153"/>
        <v>-2950554969.4416132</v>
      </c>
      <c r="L3601" s="444">
        <f t="shared" ca="1" si="154"/>
        <v>-711083747635.42883</v>
      </c>
      <c r="M3601" s="460">
        <f t="shared" si="156"/>
        <v>0.05</v>
      </c>
      <c r="N3601" s="464">
        <f t="shared" si="157"/>
        <v>160647</v>
      </c>
    </row>
    <row r="3602" spans="7:14" ht="11.25" customHeight="1" x14ac:dyDescent="0.3">
      <c r="G3602" s="459"/>
      <c r="H3602" s="459">
        <v>3595</v>
      </c>
      <c r="I3602" s="444">
        <f t="shared" ca="1" si="155"/>
        <v>-711083747635.42883</v>
      </c>
      <c r="J3602" s="444">
        <f t="array" ref="J3602">IFERROR(INDEX('Retirement Calculator'!K:K,MATCH('Lorri 401b'!N3602,'Retirement Calculator'!A:A,0),0),0)</f>
        <v>0</v>
      </c>
      <c r="K3602" s="444">
        <f t="shared" ca="1" si="153"/>
        <v>-2962848948.4809532</v>
      </c>
      <c r="L3602" s="444">
        <f t="shared" ca="1" si="154"/>
        <v>-714046596583.90979</v>
      </c>
      <c r="M3602" s="460">
        <f t="shared" si="156"/>
        <v>0.05</v>
      </c>
      <c r="N3602" s="464">
        <f t="shared" si="157"/>
        <v>160677</v>
      </c>
    </row>
    <row r="3603" spans="7:14" ht="11.25" customHeight="1" x14ac:dyDescent="0.3">
      <c r="G3603" s="459"/>
      <c r="H3603" s="459">
        <v>3596</v>
      </c>
      <c r="I3603" s="444">
        <f t="shared" ca="1" si="155"/>
        <v>-714046596583.90979</v>
      </c>
      <c r="J3603" s="444">
        <f t="array" ref="J3603">IFERROR(INDEX('Retirement Calculator'!K:K,MATCH('Lorri 401b'!N3603,'Retirement Calculator'!A:A,0),0),0)</f>
        <v>0</v>
      </c>
      <c r="K3603" s="444">
        <f t="shared" ca="1" si="153"/>
        <v>-2975194152.4329576</v>
      </c>
      <c r="L3603" s="444">
        <f t="shared" ca="1" si="154"/>
        <v>-717021790736.34277</v>
      </c>
      <c r="M3603" s="460">
        <f t="shared" si="156"/>
        <v>0.05</v>
      </c>
      <c r="N3603" s="464">
        <f t="shared" si="157"/>
        <v>160708</v>
      </c>
    </row>
    <row r="3604" spans="7:14" ht="11.25" customHeight="1" x14ac:dyDescent="0.3">
      <c r="G3604" s="459"/>
      <c r="H3604" s="459">
        <v>3597</v>
      </c>
      <c r="I3604" s="444">
        <f t="shared" ca="1" si="155"/>
        <v>-717021790736.34277</v>
      </c>
      <c r="J3604" s="444">
        <f t="array" ref="J3604">IFERROR(INDEX('Retirement Calculator'!K:K,MATCH('Lorri 401b'!N3604,'Retirement Calculator'!A:A,0),0),0)</f>
        <v>0</v>
      </c>
      <c r="K3604" s="444">
        <f t="shared" ca="1" si="153"/>
        <v>-2987590794.7347617</v>
      </c>
      <c r="L3604" s="444">
        <f t="shared" ca="1" si="154"/>
        <v>-720009381531.07751</v>
      </c>
      <c r="M3604" s="460">
        <f t="shared" si="156"/>
        <v>0.05</v>
      </c>
      <c r="N3604" s="464">
        <f t="shared" si="157"/>
        <v>160739</v>
      </c>
    </row>
    <row r="3605" spans="7:14" ht="11.25" customHeight="1" x14ac:dyDescent="0.3">
      <c r="G3605" s="459"/>
      <c r="H3605" s="459">
        <v>3598</v>
      </c>
      <c r="I3605" s="444">
        <f t="shared" ca="1" si="155"/>
        <v>-720009381531.07751</v>
      </c>
      <c r="J3605" s="444">
        <f t="array" ref="J3605">IFERROR(INDEX('Retirement Calculator'!K:K,MATCH('Lorri 401b'!N3605,'Retirement Calculator'!A:A,0),0),0)</f>
        <v>0</v>
      </c>
      <c r="K3605" s="444">
        <f t="shared" ca="1" si="153"/>
        <v>-3000039089.7128229</v>
      </c>
      <c r="L3605" s="444">
        <f t="shared" ca="1" si="154"/>
        <v>-723009420620.79028</v>
      </c>
      <c r="M3605" s="460">
        <f t="shared" si="156"/>
        <v>0.05</v>
      </c>
      <c r="N3605" s="464">
        <f t="shared" si="157"/>
        <v>160768</v>
      </c>
    </row>
    <row r="3606" spans="7:14" ht="11.25" customHeight="1" x14ac:dyDescent="0.3">
      <c r="G3606" s="459"/>
      <c r="H3606" s="459">
        <v>3599</v>
      </c>
      <c r="I3606" s="444">
        <f t="shared" ca="1" si="155"/>
        <v>-723009420620.79028</v>
      </c>
      <c r="J3606" s="444">
        <f t="array" ref="J3606">IFERROR(INDEX('Retirement Calculator'!K:K,MATCH('Lorri 401b'!N3606,'Retirement Calculator'!A:A,0),0),0)</f>
        <v>0</v>
      </c>
      <c r="K3606" s="444">
        <f t="shared" ca="1" si="153"/>
        <v>-3012539252.5866261</v>
      </c>
      <c r="L3606" s="444">
        <f t="shared" ca="1" si="154"/>
        <v>-726021959873.37695</v>
      </c>
      <c r="M3606" s="460">
        <f t="shared" si="156"/>
        <v>0.05</v>
      </c>
      <c r="N3606" s="464">
        <f t="shared" si="157"/>
        <v>160799</v>
      </c>
    </row>
    <row r="3607" spans="7:14" ht="11.25" customHeight="1" x14ac:dyDescent="0.3">
      <c r="G3607" s="459"/>
      <c r="H3607" s="459">
        <v>3600</v>
      </c>
      <c r="I3607" s="444">
        <f t="shared" ca="1" si="155"/>
        <v>-726021959873.37695</v>
      </c>
      <c r="J3607" s="444">
        <f t="array" ref="J3607">IFERROR(INDEX('Retirement Calculator'!K:K,MATCH('Lorri 401b'!N3607,'Retirement Calculator'!A:A,0),0),0)</f>
        <v>0</v>
      </c>
      <c r="K3607" s="444">
        <f t="shared" ca="1" si="153"/>
        <v>-3025091499.472404</v>
      </c>
      <c r="L3607" s="444">
        <f t="shared" ca="1" si="154"/>
        <v>-729047051372.84937</v>
      </c>
      <c r="M3607" s="460">
        <f t="shared" si="156"/>
        <v>0.05</v>
      </c>
      <c r="N3607" s="464">
        <f t="shared" si="157"/>
        <v>160829</v>
      </c>
    </row>
    <row r="3608" spans="7:14" ht="11.25" customHeight="1" x14ac:dyDescent="0.3">
      <c r="G3608" s="459"/>
      <c r="H3608" s="459">
        <v>3601</v>
      </c>
      <c r="I3608" s="444">
        <f t="shared" ca="1" si="155"/>
        <v>-729047051372.84937</v>
      </c>
      <c r="J3608" s="444">
        <f t="array" ref="J3608">IFERROR(INDEX('Retirement Calculator'!K:K,MATCH('Lorri 401b'!N3608,'Retirement Calculator'!A:A,0),0),0)</f>
        <v>0</v>
      </c>
      <c r="K3608" s="444">
        <f t="shared" ca="1" si="153"/>
        <v>-3037696047.3868723</v>
      </c>
      <c r="L3608" s="444">
        <f t="shared" ca="1" si="154"/>
        <v>-732084747420.23621</v>
      </c>
      <c r="M3608" s="460">
        <f t="shared" si="156"/>
        <v>0.05</v>
      </c>
      <c r="N3608" s="464">
        <f t="shared" si="157"/>
        <v>160860</v>
      </c>
    </row>
    <row r="3609" spans="7:14" ht="11.25" customHeight="1" x14ac:dyDescent="0.3">
      <c r="G3609" s="459"/>
      <c r="H3609" s="459">
        <v>3602</v>
      </c>
      <c r="I3609" s="444">
        <f t="shared" ca="1" si="155"/>
        <v>-732084747420.23621</v>
      </c>
      <c r="J3609" s="444">
        <f t="array" ref="J3609">IFERROR(INDEX('Retirement Calculator'!K:K,MATCH('Lorri 401b'!N3609,'Retirement Calculator'!A:A,0),0),0)</f>
        <v>0</v>
      </c>
      <c r="K3609" s="444">
        <f t="shared" ca="1" si="153"/>
        <v>-3050353114.2509842</v>
      </c>
      <c r="L3609" s="444">
        <f t="shared" ca="1" si="154"/>
        <v>-735135100534.48718</v>
      </c>
      <c r="M3609" s="460">
        <f t="shared" si="156"/>
        <v>0.05</v>
      </c>
      <c r="N3609" s="464">
        <f t="shared" si="157"/>
        <v>160890</v>
      </c>
    </row>
    <row r="3610" spans="7:14" ht="11.25" customHeight="1" x14ac:dyDescent="0.3">
      <c r="G3610" s="459"/>
      <c r="H3610" s="459">
        <v>3603</v>
      </c>
      <c r="I3610" s="444">
        <f t="shared" ca="1" si="155"/>
        <v>-735135100534.48718</v>
      </c>
      <c r="J3610" s="444">
        <f t="array" ref="J3610">IFERROR(INDEX('Retirement Calculator'!K:K,MATCH('Lorri 401b'!N3610,'Retirement Calculator'!A:A,0),0),0)</f>
        <v>0</v>
      </c>
      <c r="K3610" s="444">
        <f t="shared" ca="1" si="153"/>
        <v>-3063062918.8936968</v>
      </c>
      <c r="L3610" s="444">
        <f t="shared" ca="1" si="154"/>
        <v>-738198163453.38086</v>
      </c>
      <c r="M3610" s="460">
        <f t="shared" si="156"/>
        <v>0.05</v>
      </c>
      <c r="N3610" s="464">
        <f t="shared" si="157"/>
        <v>160921</v>
      </c>
    </row>
    <row r="3611" spans="7:14" ht="11.25" customHeight="1" x14ac:dyDescent="0.3">
      <c r="G3611" s="459"/>
      <c r="H3611" s="459">
        <v>3604</v>
      </c>
      <c r="I3611" s="444">
        <f t="shared" ca="1" si="155"/>
        <v>-738198163453.38086</v>
      </c>
      <c r="J3611" s="444">
        <f t="array" ref="J3611">IFERROR(INDEX('Retirement Calculator'!K:K,MATCH('Lorri 401b'!N3611,'Retirement Calculator'!A:A,0),0),0)</f>
        <v>0</v>
      </c>
      <c r="K3611" s="444">
        <f t="shared" ca="1" si="153"/>
        <v>-3075825681.0557537</v>
      </c>
      <c r="L3611" s="444">
        <f t="shared" ca="1" si="154"/>
        <v>-741273989134.43665</v>
      </c>
      <c r="M3611" s="460">
        <f t="shared" si="156"/>
        <v>0.05</v>
      </c>
      <c r="N3611" s="464">
        <f t="shared" si="157"/>
        <v>160952</v>
      </c>
    </row>
    <row r="3612" spans="7:14" ht="11.25" customHeight="1" x14ac:dyDescent="0.3">
      <c r="G3612" s="459"/>
      <c r="H3612" s="459">
        <v>3605</v>
      </c>
      <c r="I3612" s="444">
        <f t="shared" ca="1" si="155"/>
        <v>-741273989134.43665</v>
      </c>
      <c r="J3612" s="444">
        <f t="array" ref="J3612">IFERROR(INDEX('Retirement Calculator'!K:K,MATCH('Lorri 401b'!N3612,'Retirement Calculator'!A:A,0),0),0)</f>
        <v>0</v>
      </c>
      <c r="K3612" s="444">
        <f t="shared" ca="1" si="153"/>
        <v>-3088641621.393486</v>
      </c>
      <c r="L3612" s="444">
        <f t="shared" ca="1" si="154"/>
        <v>-744362630755.83008</v>
      </c>
      <c r="M3612" s="460">
        <f t="shared" si="156"/>
        <v>0.05</v>
      </c>
      <c r="N3612" s="464">
        <f t="shared" si="157"/>
        <v>160982</v>
      </c>
    </row>
    <row r="3613" spans="7:14" ht="11.25" customHeight="1" x14ac:dyDescent="0.3">
      <c r="G3613" s="459"/>
      <c r="H3613" s="459">
        <v>3606</v>
      </c>
      <c r="I3613" s="444">
        <f t="shared" ca="1" si="155"/>
        <v>-744362630755.83008</v>
      </c>
      <c r="J3613" s="444">
        <f t="array" ref="J3613">IFERROR(INDEX('Retirement Calculator'!K:K,MATCH('Lorri 401b'!N3613,'Retirement Calculator'!A:A,0),0),0)</f>
        <v>0</v>
      </c>
      <c r="K3613" s="444">
        <f t="shared" ca="1" si="153"/>
        <v>-3101510961.4826255</v>
      </c>
      <c r="L3613" s="444">
        <f t="shared" ca="1" si="154"/>
        <v>-747464141717.31274</v>
      </c>
      <c r="M3613" s="460">
        <f t="shared" si="156"/>
        <v>0.05</v>
      </c>
      <c r="N3613" s="464">
        <f t="shared" si="157"/>
        <v>161013</v>
      </c>
    </row>
    <row r="3614" spans="7:14" ht="11.25" customHeight="1" x14ac:dyDescent="0.3">
      <c r="G3614" s="459"/>
      <c r="H3614" s="459">
        <v>3607</v>
      </c>
      <c r="I3614" s="444">
        <f t="shared" ca="1" si="155"/>
        <v>-747464141717.31274</v>
      </c>
      <c r="J3614" s="444">
        <f t="array" ref="J3614">IFERROR(INDEX('Retirement Calculator'!K:K,MATCH('Lorri 401b'!N3614,'Retirement Calculator'!A:A,0),0),0)</f>
        <v>0</v>
      </c>
      <c r="K3614" s="444">
        <f t="shared" ca="1" si="153"/>
        <v>-3114433923.8221364</v>
      </c>
      <c r="L3614" s="444">
        <f t="shared" ca="1" si="154"/>
        <v>-750578575641.13489</v>
      </c>
      <c r="M3614" s="460">
        <f t="shared" si="156"/>
        <v>0.05</v>
      </c>
      <c r="N3614" s="464">
        <f t="shared" si="157"/>
        <v>161043</v>
      </c>
    </row>
    <row r="3615" spans="7:14" ht="11.25" customHeight="1" x14ac:dyDescent="0.3">
      <c r="G3615" s="459"/>
      <c r="H3615" s="459">
        <v>3608</v>
      </c>
      <c r="I3615" s="444">
        <f t="shared" ca="1" si="155"/>
        <v>-750578575641.13489</v>
      </c>
      <c r="J3615" s="444">
        <f t="array" ref="J3615">IFERROR(INDEX('Retirement Calculator'!K:K,MATCH('Lorri 401b'!N3615,'Retirement Calculator'!A:A,0),0),0)</f>
        <v>0</v>
      </c>
      <c r="K3615" s="444">
        <f t="shared" ca="1" si="153"/>
        <v>-3127410731.8380618</v>
      </c>
      <c r="L3615" s="444">
        <f t="shared" ca="1" si="154"/>
        <v>-753705986372.9729</v>
      </c>
      <c r="M3615" s="460">
        <f t="shared" si="156"/>
        <v>0.05</v>
      </c>
      <c r="N3615" s="464">
        <f t="shared" si="157"/>
        <v>161074</v>
      </c>
    </row>
    <row r="3616" spans="7:14" ht="11.25" customHeight="1" x14ac:dyDescent="0.3">
      <c r="G3616" s="459"/>
      <c r="H3616" s="459">
        <v>3609</v>
      </c>
      <c r="I3616" s="444">
        <f t="shared" ca="1" si="155"/>
        <v>-753705986372.9729</v>
      </c>
      <c r="J3616" s="444">
        <f t="array" ref="J3616">IFERROR(INDEX('Retirement Calculator'!K:K,MATCH('Lorri 401b'!N3616,'Retirement Calculator'!A:A,0),0),0)</f>
        <v>0</v>
      </c>
      <c r="K3616" s="444">
        <f t="shared" ca="1" si="153"/>
        <v>-3140441609.8873873</v>
      </c>
      <c r="L3616" s="444">
        <f t="shared" ca="1" si="154"/>
        <v>-756846427982.86023</v>
      </c>
      <c r="M3616" s="460">
        <f t="shared" si="156"/>
        <v>0.05</v>
      </c>
      <c r="N3616" s="464">
        <f t="shared" si="157"/>
        <v>161105</v>
      </c>
    </row>
    <row r="3617" spans="7:14" ht="11.25" customHeight="1" x14ac:dyDescent="0.3">
      <c r="G3617" s="459"/>
      <c r="H3617" s="459">
        <v>3610</v>
      </c>
      <c r="I3617" s="444">
        <f t="shared" ca="1" si="155"/>
        <v>-756846427982.86023</v>
      </c>
      <c r="J3617" s="444">
        <f t="array" ref="J3617">IFERROR(INDEX('Retirement Calculator'!K:K,MATCH('Lorri 401b'!N3617,'Retirement Calculator'!A:A,0),0),0)</f>
        <v>0</v>
      </c>
      <c r="K3617" s="444">
        <f t="shared" ca="1" si="153"/>
        <v>-3153526783.2619176</v>
      </c>
      <c r="L3617" s="444">
        <f t="shared" ca="1" si="154"/>
        <v>-759999954766.12219</v>
      </c>
      <c r="M3617" s="460">
        <f t="shared" si="156"/>
        <v>0.05</v>
      </c>
      <c r="N3617" s="464">
        <f t="shared" si="157"/>
        <v>161133</v>
      </c>
    </row>
    <row r="3618" spans="7:14" ht="11.25" customHeight="1" x14ac:dyDescent="0.3">
      <c r="G3618" s="459"/>
      <c r="H3618" s="459">
        <v>3611</v>
      </c>
      <c r="I3618" s="444">
        <f t="shared" ca="1" si="155"/>
        <v>-759999954766.12219</v>
      </c>
      <c r="J3618" s="444">
        <f t="array" ref="J3618">IFERROR(INDEX('Retirement Calculator'!K:K,MATCH('Lorri 401b'!N3618,'Retirement Calculator'!A:A,0),0),0)</f>
        <v>0</v>
      </c>
      <c r="K3618" s="444">
        <f t="shared" ca="1" si="153"/>
        <v>-3166666478.1921759</v>
      </c>
      <c r="L3618" s="444">
        <f t="shared" ca="1" si="154"/>
        <v>-763166621244.31433</v>
      </c>
      <c r="M3618" s="460">
        <f t="shared" si="156"/>
        <v>0.05</v>
      </c>
      <c r="N3618" s="464">
        <f t="shared" si="157"/>
        <v>161164</v>
      </c>
    </row>
    <row r="3619" spans="7:14" ht="11.25" customHeight="1" x14ac:dyDescent="0.3">
      <c r="G3619" s="459"/>
      <c r="H3619" s="459">
        <v>3612</v>
      </c>
      <c r="I3619" s="444">
        <f t="shared" ca="1" si="155"/>
        <v>-763166621244.31433</v>
      </c>
      <c r="J3619" s="444">
        <f t="array" ref="J3619">IFERROR(INDEX('Retirement Calculator'!K:K,MATCH('Lorri 401b'!N3619,'Retirement Calculator'!A:A,0),0),0)</f>
        <v>0</v>
      </c>
      <c r="K3619" s="444">
        <f t="shared" ca="1" si="153"/>
        <v>-3179860921.8513098</v>
      </c>
      <c r="L3619" s="444">
        <f t="shared" ca="1" si="154"/>
        <v>-766346482166.16565</v>
      </c>
      <c r="M3619" s="460">
        <f t="shared" si="156"/>
        <v>0.05</v>
      </c>
      <c r="N3619" s="464">
        <f t="shared" si="157"/>
        <v>161194</v>
      </c>
    </row>
    <row r="3620" spans="7:14" ht="11.25" customHeight="1" x14ac:dyDescent="0.3">
      <c r="G3620" s="459"/>
      <c r="H3620" s="459">
        <v>3613</v>
      </c>
      <c r="I3620" s="444">
        <f t="shared" ca="1" si="155"/>
        <v>-766346482166.16565</v>
      </c>
      <c r="J3620" s="444">
        <f t="array" ref="J3620">IFERROR(INDEX('Retirement Calculator'!K:K,MATCH('Lorri 401b'!N3620,'Retirement Calculator'!A:A,0),0),0)</f>
        <v>0</v>
      </c>
      <c r="K3620" s="444">
        <f t="shared" ca="1" si="153"/>
        <v>-3193110342.3590236</v>
      </c>
      <c r="L3620" s="444">
        <f t="shared" ca="1" si="154"/>
        <v>-769539592508.52466</v>
      </c>
      <c r="M3620" s="460">
        <f t="shared" si="156"/>
        <v>0.05</v>
      </c>
      <c r="N3620" s="464">
        <f t="shared" si="157"/>
        <v>161225</v>
      </c>
    </row>
    <row r="3621" spans="7:14" ht="11.25" customHeight="1" x14ac:dyDescent="0.3">
      <c r="G3621" s="459"/>
      <c r="H3621" s="459">
        <v>3614</v>
      </c>
      <c r="I3621" s="444">
        <f t="shared" ca="1" si="155"/>
        <v>-769539592508.52466</v>
      </c>
      <c r="J3621" s="444">
        <f t="array" ref="J3621">IFERROR(INDEX('Retirement Calculator'!K:K,MATCH('Lorri 401b'!N3621,'Retirement Calculator'!A:A,0),0),0)</f>
        <v>0</v>
      </c>
      <c r="K3621" s="444">
        <f t="shared" ca="1" si="153"/>
        <v>-3206414968.7855196</v>
      </c>
      <c r="L3621" s="444">
        <f t="shared" ca="1" si="154"/>
        <v>-772746007477.31018</v>
      </c>
      <c r="M3621" s="460">
        <f t="shared" si="156"/>
        <v>0.05</v>
      </c>
      <c r="N3621" s="464">
        <f t="shared" si="157"/>
        <v>161255</v>
      </c>
    </row>
    <row r="3622" spans="7:14" ht="11.25" customHeight="1" x14ac:dyDescent="0.3">
      <c r="G3622" s="459"/>
      <c r="H3622" s="459">
        <v>3615</v>
      </c>
      <c r="I3622" s="444">
        <f t="shared" ca="1" si="155"/>
        <v>-772746007477.31018</v>
      </c>
      <c r="J3622" s="444">
        <f t="array" ref="J3622">IFERROR(INDEX('Retirement Calculator'!K:K,MATCH('Lorri 401b'!N3622,'Retirement Calculator'!A:A,0),0),0)</f>
        <v>0</v>
      </c>
      <c r="K3622" s="444">
        <f t="shared" ca="1" si="153"/>
        <v>-3219775031.1554589</v>
      </c>
      <c r="L3622" s="444">
        <f t="shared" ca="1" si="154"/>
        <v>-775965782508.4657</v>
      </c>
      <c r="M3622" s="460">
        <f t="shared" si="156"/>
        <v>0.05</v>
      </c>
      <c r="N3622" s="464">
        <f t="shared" si="157"/>
        <v>161286</v>
      </c>
    </row>
    <row r="3623" spans="7:14" ht="11.25" customHeight="1" x14ac:dyDescent="0.3">
      <c r="G3623" s="459"/>
      <c r="H3623" s="459">
        <v>3616</v>
      </c>
      <c r="I3623" s="444">
        <f t="shared" ca="1" si="155"/>
        <v>-775965782508.4657</v>
      </c>
      <c r="J3623" s="444">
        <f t="array" ref="J3623">IFERROR(INDEX('Retirement Calculator'!K:K,MATCH('Lorri 401b'!N3623,'Retirement Calculator'!A:A,0),0),0)</f>
        <v>0</v>
      </c>
      <c r="K3623" s="444">
        <f t="shared" ca="1" si="153"/>
        <v>-3233190760.4519405</v>
      </c>
      <c r="L3623" s="444">
        <f t="shared" ca="1" si="154"/>
        <v>-779198973268.9176</v>
      </c>
      <c r="M3623" s="460">
        <f t="shared" si="156"/>
        <v>0.05</v>
      </c>
      <c r="N3623" s="464">
        <f t="shared" si="157"/>
        <v>161317</v>
      </c>
    </row>
    <row r="3624" spans="7:14" ht="11.25" customHeight="1" x14ac:dyDescent="0.3">
      <c r="G3624" s="459"/>
      <c r="H3624" s="459">
        <v>3617</v>
      </c>
      <c r="I3624" s="444">
        <f t="shared" ca="1" si="155"/>
        <v>-779198973268.9176</v>
      </c>
      <c r="J3624" s="444">
        <f t="array" ref="J3624">IFERROR(INDEX('Retirement Calculator'!K:K,MATCH('Lorri 401b'!N3624,'Retirement Calculator'!A:A,0),0),0)</f>
        <v>0</v>
      </c>
      <c r="K3624" s="444">
        <f t="shared" ca="1" si="153"/>
        <v>-3246662388.6204901</v>
      </c>
      <c r="L3624" s="444">
        <f t="shared" ca="1" si="154"/>
        <v>-782445635657.53809</v>
      </c>
      <c r="M3624" s="460">
        <f t="shared" si="156"/>
        <v>0.05</v>
      </c>
      <c r="N3624" s="464">
        <f t="shared" si="157"/>
        <v>161347</v>
      </c>
    </row>
    <row r="3625" spans="7:14" ht="11.25" customHeight="1" x14ac:dyDescent="0.3">
      <c r="G3625" s="459"/>
      <c r="H3625" s="459">
        <v>3618</v>
      </c>
      <c r="I3625" s="444">
        <f t="shared" ca="1" si="155"/>
        <v>-782445635657.53809</v>
      </c>
      <c r="J3625" s="444">
        <f t="array" ref="J3625">IFERROR(INDEX('Retirement Calculator'!K:K,MATCH('Lorri 401b'!N3625,'Retirement Calculator'!A:A,0),0),0)</f>
        <v>0</v>
      </c>
      <c r="K3625" s="444">
        <f t="shared" ca="1" si="153"/>
        <v>-3260190148.5730753</v>
      </c>
      <c r="L3625" s="444">
        <f t="shared" ca="1" si="154"/>
        <v>-785705825806.11121</v>
      </c>
      <c r="M3625" s="460">
        <f t="shared" si="156"/>
        <v>0.05</v>
      </c>
      <c r="N3625" s="464">
        <f t="shared" si="157"/>
        <v>161378</v>
      </c>
    </row>
    <row r="3626" spans="7:14" ht="11.25" customHeight="1" x14ac:dyDescent="0.3">
      <c r="G3626" s="459"/>
      <c r="H3626" s="459">
        <v>3619</v>
      </c>
      <c r="I3626" s="444">
        <f t="shared" ca="1" si="155"/>
        <v>-785705825806.11121</v>
      </c>
      <c r="J3626" s="444">
        <f t="array" ref="J3626">IFERROR(INDEX('Retirement Calculator'!K:K,MATCH('Lorri 401b'!N3626,'Retirement Calculator'!A:A,0),0),0)</f>
        <v>0</v>
      </c>
      <c r="K3626" s="444">
        <f t="shared" ca="1" si="153"/>
        <v>-3273774274.1921301</v>
      </c>
      <c r="L3626" s="444">
        <f t="shared" ca="1" si="154"/>
        <v>-788979600080.30334</v>
      </c>
      <c r="M3626" s="460">
        <f t="shared" si="156"/>
        <v>0.05</v>
      </c>
      <c r="N3626" s="464">
        <f t="shared" si="157"/>
        <v>161408</v>
      </c>
    </row>
    <row r="3627" spans="7:14" ht="11.25" customHeight="1" x14ac:dyDescent="0.3">
      <c r="G3627" s="459"/>
      <c r="H3627" s="459">
        <v>3620</v>
      </c>
      <c r="I3627" s="444">
        <f t="shared" ca="1" si="155"/>
        <v>-788979600080.30334</v>
      </c>
      <c r="J3627" s="444">
        <f t="array" ref="J3627">IFERROR(INDEX('Retirement Calculator'!K:K,MATCH('Lorri 401b'!N3627,'Retirement Calculator'!A:A,0),0),0)</f>
        <v>0</v>
      </c>
      <c r="K3627" s="444">
        <f t="shared" ca="1" si="153"/>
        <v>-3287415000.3345971</v>
      </c>
      <c r="L3627" s="444">
        <f t="shared" ca="1" si="154"/>
        <v>-792267015080.63794</v>
      </c>
      <c r="M3627" s="460">
        <f t="shared" si="156"/>
        <v>0.05</v>
      </c>
      <c r="N3627" s="464">
        <f t="shared" si="157"/>
        <v>161439</v>
      </c>
    </row>
    <row r="3628" spans="7:14" ht="11.25" customHeight="1" x14ac:dyDescent="0.3">
      <c r="G3628" s="459"/>
      <c r="H3628" s="459">
        <v>3621</v>
      </c>
      <c r="I3628" s="444">
        <f t="shared" ca="1" si="155"/>
        <v>-792267015080.63794</v>
      </c>
      <c r="J3628" s="444">
        <f t="array" ref="J3628">IFERROR(INDEX('Retirement Calculator'!K:K,MATCH('Lorri 401b'!N3628,'Retirement Calculator'!A:A,0),0),0)</f>
        <v>0</v>
      </c>
      <c r="K3628" s="444">
        <f t="shared" ca="1" si="153"/>
        <v>-3301112562.8359914</v>
      </c>
      <c r="L3628" s="444">
        <f t="shared" ca="1" si="154"/>
        <v>-795568127643.47388</v>
      </c>
      <c r="M3628" s="460">
        <f t="shared" si="156"/>
        <v>0.05</v>
      </c>
      <c r="N3628" s="464">
        <f t="shared" si="157"/>
        <v>161470</v>
      </c>
    </row>
    <row r="3629" spans="7:14" ht="11.25" customHeight="1" x14ac:dyDescent="0.3">
      <c r="G3629" s="459"/>
      <c r="H3629" s="459">
        <v>3622</v>
      </c>
      <c r="I3629" s="444">
        <f t="shared" ca="1" si="155"/>
        <v>-795568127643.47388</v>
      </c>
      <c r="J3629" s="444">
        <f t="array" ref="J3629">IFERROR(INDEX('Retirement Calculator'!K:K,MATCH('Lorri 401b'!N3629,'Retirement Calculator'!A:A,0),0),0)</f>
        <v>0</v>
      </c>
      <c r="K3629" s="444">
        <f t="shared" ca="1" si="153"/>
        <v>-3314867198.5144744</v>
      </c>
      <c r="L3629" s="444">
        <f t="shared" ca="1" si="154"/>
        <v>-798882994841.9884</v>
      </c>
      <c r="M3629" s="460">
        <f t="shared" si="156"/>
        <v>0.05</v>
      </c>
      <c r="N3629" s="464">
        <f t="shared" si="157"/>
        <v>161498</v>
      </c>
    </row>
    <row r="3630" spans="7:14" ht="11.25" customHeight="1" x14ac:dyDescent="0.3">
      <c r="G3630" s="459"/>
      <c r="H3630" s="459">
        <v>3623</v>
      </c>
      <c r="I3630" s="444">
        <f t="shared" ca="1" si="155"/>
        <v>-798882994841.9884</v>
      </c>
      <c r="J3630" s="444">
        <f t="array" ref="J3630">IFERROR(INDEX('Retirement Calculator'!K:K,MATCH('Lorri 401b'!N3630,'Retirement Calculator'!A:A,0),0),0)</f>
        <v>0</v>
      </c>
      <c r="K3630" s="444">
        <f t="shared" ca="1" si="153"/>
        <v>-3328679145.1749516</v>
      </c>
      <c r="L3630" s="444">
        <f t="shared" ca="1" si="154"/>
        <v>-802211673987.16333</v>
      </c>
      <c r="M3630" s="460">
        <f t="shared" si="156"/>
        <v>0.05</v>
      </c>
      <c r="N3630" s="464">
        <f t="shared" si="157"/>
        <v>161529</v>
      </c>
    </row>
    <row r="3631" spans="7:14" ht="11.25" customHeight="1" x14ac:dyDescent="0.3">
      <c r="G3631" s="459"/>
      <c r="H3631" s="459">
        <v>3624</v>
      </c>
      <c r="I3631" s="444">
        <f t="shared" ca="1" si="155"/>
        <v>-802211673987.16333</v>
      </c>
      <c r="J3631" s="444">
        <f t="array" ref="J3631">IFERROR(INDEX('Retirement Calculator'!K:K,MATCH('Lorri 401b'!N3631,'Retirement Calculator'!A:A,0),0),0)</f>
        <v>0</v>
      </c>
      <c r="K3631" s="444">
        <f t="shared" ca="1" si="153"/>
        <v>-3342548641.6131806</v>
      </c>
      <c r="L3631" s="444">
        <f t="shared" ca="1" si="154"/>
        <v>-805554222628.77649</v>
      </c>
      <c r="M3631" s="460">
        <f t="shared" si="156"/>
        <v>0.05</v>
      </c>
      <c r="N3631" s="464">
        <f t="shared" si="157"/>
        <v>161559</v>
      </c>
    </row>
    <row r="3632" spans="7:14" ht="11.25" customHeight="1" x14ac:dyDescent="0.3">
      <c r="G3632" s="459"/>
      <c r="H3632" s="459">
        <v>3625</v>
      </c>
      <c r="I3632" s="444">
        <f t="shared" ca="1" si="155"/>
        <v>-805554222628.77649</v>
      </c>
      <c r="J3632" s="444">
        <f t="array" ref="J3632">IFERROR(INDEX('Retirement Calculator'!K:K,MATCH('Lorri 401b'!N3632,'Retirement Calculator'!A:A,0),0),0)</f>
        <v>0</v>
      </c>
      <c r="K3632" s="444">
        <f t="shared" ca="1" si="153"/>
        <v>-3356475927.6199021</v>
      </c>
      <c r="L3632" s="444">
        <f t="shared" ca="1" si="154"/>
        <v>-808910698556.39636</v>
      </c>
      <c r="M3632" s="460">
        <f t="shared" si="156"/>
        <v>0.05</v>
      </c>
      <c r="N3632" s="464">
        <f t="shared" si="157"/>
        <v>161590</v>
      </c>
    </row>
    <row r="3633" spans="7:14" ht="11.25" customHeight="1" x14ac:dyDescent="0.3">
      <c r="G3633" s="459"/>
      <c r="H3633" s="459">
        <v>3626</v>
      </c>
      <c r="I3633" s="444">
        <f t="shared" ca="1" si="155"/>
        <v>-808910698556.39636</v>
      </c>
      <c r="J3633" s="444">
        <f t="array" ref="J3633">IFERROR(INDEX('Retirement Calculator'!K:K,MATCH('Lorri 401b'!N3633,'Retirement Calculator'!A:A,0),0),0)</f>
        <v>0</v>
      </c>
      <c r="K3633" s="444">
        <f t="shared" ca="1" si="153"/>
        <v>-3370461243.9849849</v>
      </c>
      <c r="L3633" s="444">
        <f t="shared" ca="1" si="154"/>
        <v>-812281159800.38135</v>
      </c>
      <c r="M3633" s="460">
        <f t="shared" si="156"/>
        <v>0.05</v>
      </c>
      <c r="N3633" s="464">
        <f t="shared" si="157"/>
        <v>161620</v>
      </c>
    </row>
    <row r="3634" spans="7:14" ht="11.25" customHeight="1" x14ac:dyDescent="0.3">
      <c r="G3634" s="459"/>
      <c r="H3634" s="459">
        <v>3627</v>
      </c>
      <c r="I3634" s="444">
        <f t="shared" ca="1" si="155"/>
        <v>-812281159800.38135</v>
      </c>
      <c r="J3634" s="444">
        <f t="array" ref="J3634">IFERROR(INDEX('Retirement Calculator'!K:K,MATCH('Lorri 401b'!N3634,'Retirement Calculator'!A:A,0),0),0)</f>
        <v>0</v>
      </c>
      <c r="K3634" s="444">
        <f t="shared" ca="1" si="153"/>
        <v>-3384504832.5015888</v>
      </c>
      <c r="L3634" s="444">
        <f t="shared" ca="1" si="154"/>
        <v>-815665664632.88293</v>
      </c>
      <c r="M3634" s="460">
        <f t="shared" si="156"/>
        <v>0.05</v>
      </c>
      <c r="N3634" s="464">
        <f t="shared" si="157"/>
        <v>161651</v>
      </c>
    </row>
    <row r="3635" spans="7:14" ht="11.25" customHeight="1" x14ac:dyDescent="0.3">
      <c r="G3635" s="459"/>
      <c r="H3635" s="459">
        <v>3628</v>
      </c>
      <c r="I3635" s="444">
        <f t="shared" ca="1" si="155"/>
        <v>-815665664632.88293</v>
      </c>
      <c r="J3635" s="444">
        <f t="array" ref="J3635">IFERROR(INDEX('Retirement Calculator'!K:K,MATCH('Lorri 401b'!N3635,'Retirement Calculator'!A:A,0),0),0)</f>
        <v>0</v>
      </c>
      <c r="K3635" s="444">
        <f t="shared" ca="1" si="153"/>
        <v>-3398606935.9703455</v>
      </c>
      <c r="L3635" s="444">
        <f t="shared" ca="1" si="154"/>
        <v>-819064271568.85327</v>
      </c>
      <c r="M3635" s="460">
        <f t="shared" si="156"/>
        <v>0.05</v>
      </c>
      <c r="N3635" s="464">
        <f t="shared" si="157"/>
        <v>161682</v>
      </c>
    </row>
    <row r="3636" spans="7:14" ht="11.25" customHeight="1" x14ac:dyDescent="0.3">
      <c r="G3636" s="459"/>
      <c r="H3636" s="459">
        <v>3629</v>
      </c>
      <c r="I3636" s="444">
        <f t="shared" ca="1" si="155"/>
        <v>-819064271568.85327</v>
      </c>
      <c r="J3636" s="444">
        <f t="array" ref="J3636">IFERROR(INDEX('Retirement Calculator'!K:K,MATCH('Lorri 401b'!N3636,'Retirement Calculator'!A:A,0),0),0)</f>
        <v>0</v>
      </c>
      <c r="K3636" s="444">
        <f t="shared" ca="1" si="153"/>
        <v>-3412767798.2035551</v>
      </c>
      <c r="L3636" s="444">
        <f t="shared" ca="1" si="154"/>
        <v>-822477039367.05688</v>
      </c>
      <c r="M3636" s="460">
        <f t="shared" si="156"/>
        <v>0.05</v>
      </c>
      <c r="N3636" s="464">
        <f t="shared" si="157"/>
        <v>161712</v>
      </c>
    </row>
    <row r="3637" spans="7:14" ht="11.25" customHeight="1" x14ac:dyDescent="0.3">
      <c r="G3637" s="459"/>
      <c r="H3637" s="459">
        <v>3630</v>
      </c>
      <c r="I3637" s="444">
        <f t="shared" ca="1" si="155"/>
        <v>-822477039367.05688</v>
      </c>
      <c r="J3637" s="444">
        <f t="array" ref="J3637">IFERROR(INDEX('Retirement Calculator'!K:K,MATCH('Lorri 401b'!N3637,'Retirement Calculator'!A:A,0),0),0)</f>
        <v>0</v>
      </c>
      <c r="K3637" s="444">
        <f t="shared" ca="1" si="153"/>
        <v>-3426987664.0294037</v>
      </c>
      <c r="L3637" s="444">
        <f t="shared" ca="1" si="154"/>
        <v>-825904027031.0863</v>
      </c>
      <c r="M3637" s="460">
        <f t="shared" si="156"/>
        <v>0.05</v>
      </c>
      <c r="N3637" s="464">
        <f t="shared" si="157"/>
        <v>161743</v>
      </c>
    </row>
    <row r="3638" spans="7:14" ht="11.25" customHeight="1" x14ac:dyDescent="0.3">
      <c r="G3638" s="459"/>
      <c r="H3638" s="459">
        <v>3631</v>
      </c>
      <c r="I3638" s="444">
        <f t="shared" ca="1" si="155"/>
        <v>-825904027031.0863</v>
      </c>
      <c r="J3638" s="444">
        <f t="array" ref="J3638">IFERROR(INDEX('Retirement Calculator'!K:K,MATCH('Lorri 401b'!N3638,'Retirement Calculator'!A:A,0),0),0)</f>
        <v>0</v>
      </c>
      <c r="K3638" s="444">
        <f t="shared" ca="1" si="153"/>
        <v>-3441266779.2961931</v>
      </c>
      <c r="L3638" s="444">
        <f t="shared" ca="1" si="154"/>
        <v>-829345293810.38245</v>
      </c>
      <c r="M3638" s="460">
        <f t="shared" si="156"/>
        <v>0.05</v>
      </c>
      <c r="N3638" s="464">
        <f t="shared" si="157"/>
        <v>161773</v>
      </c>
    </row>
    <row r="3639" spans="7:14" ht="11.25" customHeight="1" x14ac:dyDescent="0.3">
      <c r="G3639" s="459"/>
      <c r="H3639" s="459">
        <v>3632</v>
      </c>
      <c r="I3639" s="444">
        <f t="shared" ca="1" si="155"/>
        <v>-829345293810.38245</v>
      </c>
      <c r="J3639" s="444">
        <f t="array" ref="J3639">IFERROR(INDEX('Retirement Calculator'!K:K,MATCH('Lorri 401b'!N3639,'Retirement Calculator'!A:A,0),0),0)</f>
        <v>0</v>
      </c>
      <c r="K3639" s="444">
        <f t="shared" ca="1" si="153"/>
        <v>-3455605390.8765936</v>
      </c>
      <c r="L3639" s="444">
        <f t="shared" ca="1" si="154"/>
        <v>-832800899201.25903</v>
      </c>
      <c r="M3639" s="460">
        <f t="shared" si="156"/>
        <v>0.05</v>
      </c>
      <c r="N3639" s="464">
        <f t="shared" si="157"/>
        <v>161804</v>
      </c>
    </row>
    <row r="3640" spans="7:14" ht="11.25" customHeight="1" x14ac:dyDescent="0.3">
      <c r="G3640" s="459"/>
      <c r="H3640" s="459">
        <v>3633</v>
      </c>
      <c r="I3640" s="444">
        <f t="shared" ca="1" si="155"/>
        <v>-832800899201.25903</v>
      </c>
      <c r="J3640" s="444">
        <f t="array" ref="J3640">IFERROR(INDEX('Retirement Calculator'!K:K,MATCH('Lorri 401b'!N3640,'Retirement Calculator'!A:A,0),0),0)</f>
        <v>0</v>
      </c>
      <c r="K3640" s="444">
        <f t="shared" ca="1" si="153"/>
        <v>-3470003746.6719127</v>
      </c>
      <c r="L3640" s="444">
        <f t="shared" ca="1" si="154"/>
        <v>-836270902947.93091</v>
      </c>
      <c r="M3640" s="460">
        <f t="shared" si="156"/>
        <v>0.05</v>
      </c>
      <c r="N3640" s="464">
        <f t="shared" si="157"/>
        <v>161835</v>
      </c>
    </row>
    <row r="3641" spans="7:14" ht="11.25" customHeight="1" x14ac:dyDescent="0.3">
      <c r="G3641" s="459"/>
      <c r="H3641" s="459">
        <v>3634</v>
      </c>
      <c r="I3641" s="444">
        <f t="shared" ca="1" si="155"/>
        <v>-836270902947.93091</v>
      </c>
      <c r="J3641" s="444">
        <f t="array" ref="J3641">IFERROR(INDEX('Retirement Calculator'!K:K,MATCH('Lorri 401b'!N3641,'Retirement Calculator'!A:A,0),0),0)</f>
        <v>0</v>
      </c>
      <c r="K3641" s="444">
        <f t="shared" ca="1" si="153"/>
        <v>-3484462095.6163788</v>
      </c>
      <c r="L3641" s="444">
        <f t="shared" ca="1" si="154"/>
        <v>-839755365043.54724</v>
      </c>
      <c r="M3641" s="460">
        <f t="shared" si="156"/>
        <v>0.05</v>
      </c>
      <c r="N3641" s="464">
        <f t="shared" si="157"/>
        <v>161863</v>
      </c>
    </row>
    <row r="3642" spans="7:14" ht="11.25" customHeight="1" x14ac:dyDescent="0.3">
      <c r="G3642" s="459"/>
      <c r="H3642" s="459">
        <v>3635</v>
      </c>
      <c r="I3642" s="444">
        <f t="shared" ca="1" si="155"/>
        <v>-839755365043.54724</v>
      </c>
      <c r="J3642" s="444">
        <f t="array" ref="J3642">IFERROR(INDEX('Retirement Calculator'!K:K,MATCH('Lorri 401b'!N3642,'Retirement Calculator'!A:A,0),0),0)</f>
        <v>0</v>
      </c>
      <c r="K3642" s="444">
        <f t="shared" ca="1" si="153"/>
        <v>-3498980687.6814466</v>
      </c>
      <c r="L3642" s="444">
        <f t="shared" ca="1" si="154"/>
        <v>-843254345731.22864</v>
      </c>
      <c r="M3642" s="460">
        <f t="shared" si="156"/>
        <v>0.05</v>
      </c>
      <c r="N3642" s="464">
        <f t="shared" si="157"/>
        <v>161894</v>
      </c>
    </row>
    <row r="3643" spans="7:14" ht="11.25" customHeight="1" x14ac:dyDescent="0.3">
      <c r="G3643" s="459"/>
      <c r="H3643" s="459">
        <v>3636</v>
      </c>
      <c r="I3643" s="444">
        <f t="shared" ca="1" si="155"/>
        <v>-843254345731.22864</v>
      </c>
      <c r="J3643" s="444">
        <f t="array" ref="J3643">IFERROR(INDEX('Retirement Calculator'!K:K,MATCH('Lorri 401b'!N3643,'Retirement Calculator'!A:A,0),0),0)</f>
        <v>0</v>
      </c>
      <c r="K3643" s="444">
        <f t="shared" ca="1" si="153"/>
        <v>-3513559773.8801193</v>
      </c>
      <c r="L3643" s="444">
        <f t="shared" ca="1" si="154"/>
        <v>-846767905505.10876</v>
      </c>
      <c r="M3643" s="460">
        <f t="shared" si="156"/>
        <v>0.05</v>
      </c>
      <c r="N3643" s="464">
        <f t="shared" si="157"/>
        <v>161924</v>
      </c>
    </row>
    <row r="3644" spans="7:14" ht="11.25" customHeight="1" x14ac:dyDescent="0.3">
      <c r="G3644" s="459"/>
      <c r="H3644" s="459">
        <v>3637</v>
      </c>
      <c r="I3644" s="444">
        <f t="shared" ca="1" si="155"/>
        <v>-846767905505.10876</v>
      </c>
      <c r="J3644" s="444">
        <f t="array" ref="J3644">IFERROR(INDEX('Retirement Calculator'!K:K,MATCH('Lorri 401b'!N3644,'Retirement Calculator'!A:A,0),0),0)</f>
        <v>0</v>
      </c>
      <c r="K3644" s="444">
        <f t="shared" ca="1" si="153"/>
        <v>-3528199606.2712865</v>
      </c>
      <c r="L3644" s="444">
        <f t="shared" ca="1" si="154"/>
        <v>-850296105111.38</v>
      </c>
      <c r="M3644" s="460">
        <f t="shared" si="156"/>
        <v>0.05</v>
      </c>
      <c r="N3644" s="464">
        <f t="shared" si="157"/>
        <v>161955</v>
      </c>
    </row>
    <row r="3645" spans="7:14" ht="11.25" customHeight="1" x14ac:dyDescent="0.3">
      <c r="G3645" s="459"/>
      <c r="H3645" s="459">
        <v>3638</v>
      </c>
      <c r="I3645" s="444">
        <f t="shared" ca="1" si="155"/>
        <v>-850296105111.38</v>
      </c>
      <c r="J3645" s="444">
        <f t="array" ref="J3645">IFERROR(INDEX('Retirement Calculator'!K:K,MATCH('Lorri 401b'!N3645,'Retirement Calculator'!A:A,0),0),0)</f>
        <v>0</v>
      </c>
      <c r="K3645" s="444">
        <f t="shared" ca="1" si="153"/>
        <v>-3542900437.9640832</v>
      </c>
      <c r="L3645" s="444">
        <f t="shared" ca="1" si="154"/>
        <v>-853839005549.34412</v>
      </c>
      <c r="M3645" s="460">
        <f t="shared" si="156"/>
        <v>0.05</v>
      </c>
      <c r="N3645" s="464">
        <f t="shared" si="157"/>
        <v>161985</v>
      </c>
    </row>
    <row r="3646" spans="7:14" ht="11.25" customHeight="1" x14ac:dyDescent="0.3">
      <c r="G3646" s="459"/>
      <c r="H3646" s="459">
        <v>3639</v>
      </c>
      <c r="I3646" s="444">
        <f t="shared" ca="1" si="155"/>
        <v>-853839005549.34412</v>
      </c>
      <c r="J3646" s="444">
        <f t="array" ref="J3646">IFERROR(INDEX('Retirement Calculator'!K:K,MATCH('Lorri 401b'!N3646,'Retirement Calculator'!A:A,0),0),0)</f>
        <v>0</v>
      </c>
      <c r="K3646" s="444">
        <f t="shared" ca="1" si="153"/>
        <v>-3557662523.1222672</v>
      </c>
      <c r="L3646" s="444">
        <f t="shared" ca="1" si="154"/>
        <v>-857396668072.46643</v>
      </c>
      <c r="M3646" s="460">
        <f t="shared" si="156"/>
        <v>0.05</v>
      </c>
      <c r="N3646" s="464">
        <f t="shared" si="157"/>
        <v>162016</v>
      </c>
    </row>
    <row r="3647" spans="7:14" ht="11.25" customHeight="1" x14ac:dyDescent="0.3">
      <c r="G3647" s="459"/>
      <c r="H3647" s="459">
        <v>3640</v>
      </c>
      <c r="I3647" s="444">
        <f t="shared" ca="1" si="155"/>
        <v>-857396668072.46643</v>
      </c>
      <c r="J3647" s="444">
        <f t="array" ref="J3647">IFERROR(INDEX('Retirement Calculator'!K:K,MATCH('Lorri 401b'!N3647,'Retirement Calculator'!A:A,0),0),0)</f>
        <v>0</v>
      </c>
      <c r="K3647" s="444">
        <f t="shared" ca="1" si="153"/>
        <v>-3572486116.9686103</v>
      </c>
      <c r="L3647" s="444">
        <f t="shared" ca="1" si="154"/>
        <v>-860969154189.43506</v>
      </c>
      <c r="M3647" s="460">
        <f t="shared" si="156"/>
        <v>0.05</v>
      </c>
      <c r="N3647" s="464">
        <f t="shared" si="157"/>
        <v>162047</v>
      </c>
    </row>
    <row r="3648" spans="7:14" ht="11.25" customHeight="1" x14ac:dyDescent="0.3">
      <c r="G3648" s="459"/>
      <c r="H3648" s="459">
        <v>3641</v>
      </c>
      <c r="I3648" s="444">
        <f t="shared" ca="1" si="155"/>
        <v>-860969154189.43506</v>
      </c>
      <c r="J3648" s="444">
        <f t="array" ref="J3648">IFERROR(INDEX('Retirement Calculator'!K:K,MATCH('Lorri 401b'!N3648,'Retirement Calculator'!A:A,0),0),0)</f>
        <v>0</v>
      </c>
      <c r="K3648" s="444">
        <f t="shared" ca="1" si="153"/>
        <v>-3587371475.7893124</v>
      </c>
      <c r="L3648" s="444">
        <f t="shared" ca="1" si="154"/>
        <v>-864556525665.22437</v>
      </c>
      <c r="M3648" s="460">
        <f t="shared" si="156"/>
        <v>0.05</v>
      </c>
      <c r="N3648" s="464">
        <f t="shared" si="157"/>
        <v>162077</v>
      </c>
    </row>
    <row r="3649" spans="7:14" ht="11.25" customHeight="1" x14ac:dyDescent="0.3">
      <c r="G3649" s="459"/>
      <c r="H3649" s="459">
        <v>3642</v>
      </c>
      <c r="I3649" s="444">
        <f t="shared" ca="1" si="155"/>
        <v>-864556525665.22437</v>
      </c>
      <c r="J3649" s="444">
        <f t="array" ref="J3649">IFERROR(INDEX('Retirement Calculator'!K:K,MATCH('Lorri 401b'!N3649,'Retirement Calculator'!A:A,0),0),0)</f>
        <v>0</v>
      </c>
      <c r="K3649" s="444">
        <f t="shared" ca="1" si="153"/>
        <v>-3602318856.9384351</v>
      </c>
      <c r="L3649" s="444">
        <f t="shared" ca="1" si="154"/>
        <v>-868158844522.16284</v>
      </c>
      <c r="M3649" s="460">
        <f t="shared" si="156"/>
        <v>0.05</v>
      </c>
      <c r="N3649" s="464">
        <f t="shared" si="157"/>
        <v>162108</v>
      </c>
    </row>
    <row r="3650" spans="7:14" ht="11.25" customHeight="1" x14ac:dyDescent="0.3">
      <c r="G3650" s="459"/>
      <c r="H3650" s="459">
        <v>3643</v>
      </c>
      <c r="I3650" s="444">
        <f t="shared" ca="1" si="155"/>
        <v>-868158844522.16284</v>
      </c>
      <c r="J3650" s="444">
        <f t="array" ref="J3650">IFERROR(INDEX('Retirement Calculator'!K:K,MATCH('Lorri 401b'!N3650,'Retirement Calculator'!A:A,0),0),0)</f>
        <v>0</v>
      </c>
      <c r="K3650" s="444">
        <f t="shared" ca="1" si="153"/>
        <v>-3617328518.8423452</v>
      </c>
      <c r="L3650" s="444">
        <f t="shared" ca="1" si="154"/>
        <v>-871776173041.00513</v>
      </c>
      <c r="M3650" s="460">
        <f t="shared" si="156"/>
        <v>0.05</v>
      </c>
      <c r="N3650" s="464">
        <f t="shared" si="157"/>
        <v>162138</v>
      </c>
    </row>
    <row r="3651" spans="7:14" ht="11.25" customHeight="1" x14ac:dyDescent="0.3">
      <c r="G3651" s="459"/>
      <c r="H3651" s="459">
        <v>3644</v>
      </c>
      <c r="I3651" s="444">
        <f t="shared" ca="1" si="155"/>
        <v>-871776173041.00513</v>
      </c>
      <c r="J3651" s="444">
        <f t="array" ref="J3651">IFERROR(INDEX('Retirement Calculator'!K:K,MATCH('Lorri 401b'!N3651,'Retirement Calculator'!A:A,0),0),0)</f>
        <v>0</v>
      </c>
      <c r="K3651" s="444">
        <f t="shared" ca="1" si="153"/>
        <v>-3632400721.0041876</v>
      </c>
      <c r="L3651" s="444">
        <f t="shared" ca="1" si="154"/>
        <v>-875408573762.00928</v>
      </c>
      <c r="M3651" s="460">
        <f t="shared" si="156"/>
        <v>0.05</v>
      </c>
      <c r="N3651" s="464">
        <f t="shared" si="157"/>
        <v>162169</v>
      </c>
    </row>
    <row r="3652" spans="7:14" ht="11.25" customHeight="1" x14ac:dyDescent="0.3">
      <c r="G3652" s="459"/>
      <c r="H3652" s="459">
        <v>3645</v>
      </c>
      <c r="I3652" s="444">
        <f t="shared" ca="1" si="155"/>
        <v>-875408573762.00928</v>
      </c>
      <c r="J3652" s="444">
        <f t="array" ref="J3652">IFERROR(INDEX('Retirement Calculator'!K:K,MATCH('Lorri 401b'!N3652,'Retirement Calculator'!A:A,0),0),0)</f>
        <v>0</v>
      </c>
      <c r="K3652" s="444">
        <f t="shared" ca="1" si="153"/>
        <v>-3647535724.0083714</v>
      </c>
      <c r="L3652" s="444">
        <f t="shared" ca="1" si="154"/>
        <v>-879056109486.0177</v>
      </c>
      <c r="M3652" s="460">
        <f t="shared" si="156"/>
        <v>0.05</v>
      </c>
      <c r="N3652" s="464">
        <f t="shared" si="157"/>
        <v>162200</v>
      </c>
    </row>
    <row r="3653" spans="7:14" ht="11.25" customHeight="1" x14ac:dyDescent="0.3">
      <c r="G3653" s="459"/>
      <c r="H3653" s="459">
        <v>3646</v>
      </c>
      <c r="I3653" s="444">
        <f t="shared" ca="1" si="155"/>
        <v>-879056109486.0177</v>
      </c>
      <c r="J3653" s="444">
        <f t="array" ref="J3653">IFERROR(INDEX('Retirement Calculator'!K:K,MATCH('Lorri 401b'!N3653,'Retirement Calculator'!A:A,0),0),0)</f>
        <v>0</v>
      </c>
      <c r="K3653" s="444">
        <f t="shared" ca="1" si="153"/>
        <v>-3662733789.5250735</v>
      </c>
      <c r="L3653" s="444">
        <f t="shared" ca="1" si="154"/>
        <v>-882718843275.54272</v>
      </c>
      <c r="M3653" s="460">
        <f t="shared" si="156"/>
        <v>0.05</v>
      </c>
      <c r="N3653" s="464">
        <f t="shared" si="157"/>
        <v>162229</v>
      </c>
    </row>
    <row r="3654" spans="7:14" ht="11.25" customHeight="1" x14ac:dyDescent="0.3">
      <c r="G3654" s="459"/>
      <c r="H3654" s="459">
        <v>3647</v>
      </c>
      <c r="I3654" s="444">
        <f t="shared" ca="1" si="155"/>
        <v>-882718843275.54272</v>
      </c>
      <c r="J3654" s="444">
        <f t="array" ref="J3654">IFERROR(INDEX('Retirement Calculator'!K:K,MATCH('Lorri 401b'!N3654,'Retirement Calculator'!A:A,0),0),0)</f>
        <v>0</v>
      </c>
      <c r="K3654" s="444">
        <f t="shared" ca="1" si="153"/>
        <v>-3677995180.3147607</v>
      </c>
      <c r="L3654" s="444">
        <f t="shared" ca="1" si="154"/>
        <v>-886396838455.85754</v>
      </c>
      <c r="M3654" s="460">
        <f t="shared" si="156"/>
        <v>0.05</v>
      </c>
      <c r="N3654" s="464">
        <f t="shared" si="157"/>
        <v>162260</v>
      </c>
    </row>
    <row r="3655" spans="7:14" ht="11.25" customHeight="1" x14ac:dyDescent="0.3">
      <c r="G3655" s="459"/>
      <c r="H3655" s="459">
        <v>3648</v>
      </c>
      <c r="I3655" s="444">
        <f t="shared" ca="1" si="155"/>
        <v>-886396838455.85754</v>
      </c>
      <c r="J3655" s="444">
        <f t="array" ref="J3655">IFERROR(INDEX('Retirement Calculator'!K:K,MATCH('Lorri 401b'!N3655,'Retirement Calculator'!A:A,0),0),0)</f>
        <v>0</v>
      </c>
      <c r="K3655" s="444">
        <f t="shared" ca="1" si="153"/>
        <v>-3693320160.2327399</v>
      </c>
      <c r="L3655" s="444">
        <f t="shared" ca="1" si="154"/>
        <v>-890090158616.09033</v>
      </c>
      <c r="M3655" s="460">
        <f t="shared" si="156"/>
        <v>0.05</v>
      </c>
      <c r="N3655" s="464">
        <f t="shared" si="157"/>
        <v>162290</v>
      </c>
    </row>
    <row r="3656" spans="7:14" ht="11.25" customHeight="1" x14ac:dyDescent="0.3">
      <c r="G3656" s="459"/>
      <c r="H3656" s="459">
        <v>3649</v>
      </c>
      <c r="I3656" s="444">
        <f t="shared" ca="1" si="155"/>
        <v>-890090158616.09033</v>
      </c>
      <c r="J3656" s="444">
        <f t="array" ref="J3656">IFERROR(INDEX('Retirement Calculator'!K:K,MATCH('Lorri 401b'!N3656,'Retirement Calculator'!A:A,0),0),0)</f>
        <v>0</v>
      </c>
      <c r="K3656" s="444">
        <f t="shared" ca="1" si="153"/>
        <v>-3708708994.2337098</v>
      </c>
      <c r="L3656" s="444">
        <f t="shared" ca="1" si="154"/>
        <v>-893798867610.3241</v>
      </c>
      <c r="M3656" s="460">
        <f t="shared" si="156"/>
        <v>0.05</v>
      </c>
      <c r="N3656" s="464">
        <f t="shared" si="157"/>
        <v>162321</v>
      </c>
    </row>
    <row r="3657" spans="7:14" ht="11.25" customHeight="1" x14ac:dyDescent="0.3">
      <c r="G3657" s="459"/>
      <c r="H3657" s="459">
        <v>3650</v>
      </c>
      <c r="I3657" s="444">
        <f t="shared" ca="1" si="155"/>
        <v>-893798867610.3241</v>
      </c>
      <c r="J3657" s="444">
        <f t="array" ref="J3657">IFERROR(INDEX('Retirement Calculator'!K:K,MATCH('Lorri 401b'!N3657,'Retirement Calculator'!A:A,0),0),0)</f>
        <v>0</v>
      </c>
      <c r="K3657" s="444">
        <f t="shared" ca="1" si="153"/>
        <v>-3724161948.3763509</v>
      </c>
      <c r="L3657" s="444">
        <f t="shared" ca="1" si="154"/>
        <v>-897523029558.70044</v>
      </c>
      <c r="M3657" s="460">
        <f t="shared" si="156"/>
        <v>0.05</v>
      </c>
      <c r="N3657" s="464">
        <f t="shared" si="157"/>
        <v>162351</v>
      </c>
    </row>
    <row r="3658" spans="7:14" ht="11.25" customHeight="1" x14ac:dyDescent="0.3">
      <c r="G3658" s="459"/>
      <c r="H3658" s="459">
        <v>3651</v>
      </c>
      <c r="I3658" s="444">
        <f t="shared" ca="1" si="155"/>
        <v>-897523029558.70044</v>
      </c>
      <c r="J3658" s="444">
        <f t="array" ref="J3658">IFERROR(INDEX('Retirement Calculator'!K:K,MATCH('Lorri 401b'!N3658,'Retirement Calculator'!A:A,0),0),0)</f>
        <v>0</v>
      </c>
      <c r="K3658" s="444">
        <f t="shared" ca="1" si="153"/>
        <v>-3739679289.8279181</v>
      </c>
      <c r="L3658" s="444">
        <f t="shared" ca="1" si="154"/>
        <v>-901262708848.52832</v>
      </c>
      <c r="M3658" s="460">
        <f t="shared" si="156"/>
        <v>0.05</v>
      </c>
      <c r="N3658" s="464">
        <f t="shared" si="157"/>
        <v>162382</v>
      </c>
    </row>
    <row r="3659" spans="7:14" ht="11.25" customHeight="1" x14ac:dyDescent="0.3">
      <c r="G3659" s="459"/>
      <c r="H3659" s="459">
        <v>3652</v>
      </c>
      <c r="I3659" s="444">
        <f t="shared" ca="1" si="155"/>
        <v>-901262708848.52832</v>
      </c>
      <c r="J3659" s="444">
        <f t="array" ref="J3659">IFERROR(INDEX('Retirement Calculator'!K:K,MATCH('Lorri 401b'!N3659,'Retirement Calculator'!A:A,0),0),0)</f>
        <v>0</v>
      </c>
      <c r="K3659" s="444">
        <f t="shared" ca="1" si="153"/>
        <v>-3755261286.8688674</v>
      </c>
      <c r="L3659" s="444">
        <f t="shared" ca="1" si="154"/>
        <v>-905017970135.39722</v>
      </c>
      <c r="M3659" s="460">
        <f t="shared" si="156"/>
        <v>0.05</v>
      </c>
      <c r="N3659" s="464">
        <f t="shared" si="157"/>
        <v>162413</v>
      </c>
    </row>
    <row r="3660" spans="7:14" ht="11.25" customHeight="1" x14ac:dyDescent="0.3">
      <c r="G3660" s="459"/>
      <c r="H3660" s="459">
        <v>3653</v>
      </c>
      <c r="I3660" s="444">
        <f t="shared" ca="1" si="155"/>
        <v>-905017970135.39722</v>
      </c>
      <c r="J3660" s="444">
        <f t="array" ref="J3660">IFERROR(INDEX('Retirement Calculator'!K:K,MATCH('Lorri 401b'!N3660,'Retirement Calculator'!A:A,0),0),0)</f>
        <v>0</v>
      </c>
      <c r="K3660" s="444">
        <f t="shared" ca="1" si="153"/>
        <v>-3770908208.8974891</v>
      </c>
      <c r="L3660" s="444">
        <f t="shared" ca="1" si="154"/>
        <v>-908788878344.29468</v>
      </c>
      <c r="M3660" s="460">
        <f t="shared" si="156"/>
        <v>0.05</v>
      </c>
      <c r="N3660" s="464">
        <f t="shared" si="157"/>
        <v>162443</v>
      </c>
    </row>
    <row r="3661" spans="7:14" ht="11.25" customHeight="1" x14ac:dyDescent="0.3">
      <c r="G3661" s="459"/>
      <c r="H3661" s="459">
        <v>3654</v>
      </c>
      <c r="I3661" s="444">
        <f t="shared" ca="1" si="155"/>
        <v>-908788878344.29468</v>
      </c>
      <c r="J3661" s="444">
        <f t="array" ref="J3661">IFERROR(INDEX('Retirement Calculator'!K:K,MATCH('Lorri 401b'!N3661,'Retirement Calculator'!A:A,0),0),0)</f>
        <v>0</v>
      </c>
      <c r="K3661" s="444">
        <f t="shared" ca="1" si="153"/>
        <v>-3786620326.4345608</v>
      </c>
      <c r="L3661" s="444">
        <f t="shared" ca="1" si="154"/>
        <v>-912575498670.72925</v>
      </c>
      <c r="M3661" s="460">
        <f t="shared" si="156"/>
        <v>0.05</v>
      </c>
      <c r="N3661" s="464">
        <f t="shared" si="157"/>
        <v>162474</v>
      </c>
    </row>
    <row r="3662" spans="7:14" ht="11.25" customHeight="1" x14ac:dyDescent="0.3">
      <c r="G3662" s="459"/>
      <c r="H3662" s="459">
        <v>3655</v>
      </c>
      <c r="I3662" s="444">
        <f t="shared" ca="1" si="155"/>
        <v>-912575498670.72925</v>
      </c>
      <c r="J3662" s="444">
        <f t="array" ref="J3662">IFERROR(INDEX('Retirement Calculator'!K:K,MATCH('Lorri 401b'!N3662,'Retirement Calculator'!A:A,0),0),0)</f>
        <v>0</v>
      </c>
      <c r="K3662" s="444">
        <f t="shared" ca="1" si="153"/>
        <v>-3802397911.1280384</v>
      </c>
      <c r="L3662" s="444">
        <f t="shared" ca="1" si="154"/>
        <v>-916377896581.8573</v>
      </c>
      <c r="M3662" s="460">
        <f t="shared" si="156"/>
        <v>0.05</v>
      </c>
      <c r="N3662" s="464">
        <f t="shared" si="157"/>
        <v>162504</v>
      </c>
    </row>
    <row r="3663" spans="7:14" ht="11.25" customHeight="1" x14ac:dyDescent="0.3">
      <c r="G3663" s="459"/>
      <c r="H3663" s="459">
        <v>3656</v>
      </c>
      <c r="I3663" s="444">
        <f t="shared" ca="1" si="155"/>
        <v>-916377896581.8573</v>
      </c>
      <c r="J3663" s="444">
        <f t="array" ref="J3663">IFERROR(INDEX('Retirement Calculator'!K:K,MATCH('Lorri 401b'!N3663,'Retirement Calculator'!A:A,0),0),0)</f>
        <v>0</v>
      </c>
      <c r="K3663" s="444">
        <f t="shared" ca="1" si="153"/>
        <v>-3818241235.7577381</v>
      </c>
      <c r="L3663" s="444">
        <f t="shared" ca="1" si="154"/>
        <v>-920196137817.61499</v>
      </c>
      <c r="M3663" s="460">
        <f t="shared" si="156"/>
        <v>0.05</v>
      </c>
      <c r="N3663" s="464">
        <f t="shared" si="157"/>
        <v>162535</v>
      </c>
    </row>
    <row r="3664" spans="7:14" ht="11.25" customHeight="1" x14ac:dyDescent="0.3">
      <c r="G3664" s="459"/>
      <c r="H3664" s="459">
        <v>3657</v>
      </c>
      <c r="I3664" s="444">
        <f t="shared" ca="1" si="155"/>
        <v>-920196137817.61499</v>
      </c>
      <c r="J3664" s="444">
        <f t="array" ref="J3664">IFERROR(INDEX('Retirement Calculator'!K:K,MATCH('Lorri 401b'!N3664,'Retirement Calculator'!A:A,0),0),0)</f>
        <v>0</v>
      </c>
      <c r="K3664" s="444">
        <f t="shared" ca="1" si="153"/>
        <v>-3834150574.2400618</v>
      </c>
      <c r="L3664" s="444">
        <f t="shared" ca="1" si="154"/>
        <v>-924030288391.8551</v>
      </c>
      <c r="M3664" s="460">
        <f t="shared" si="156"/>
        <v>0.05</v>
      </c>
      <c r="N3664" s="464">
        <f t="shared" si="157"/>
        <v>162566</v>
      </c>
    </row>
    <row r="3665" spans="7:14" ht="11.25" customHeight="1" x14ac:dyDescent="0.3">
      <c r="G3665" s="459"/>
      <c r="H3665" s="459">
        <v>3658</v>
      </c>
      <c r="I3665" s="444">
        <f t="shared" ca="1" si="155"/>
        <v>-924030288391.8551</v>
      </c>
      <c r="J3665" s="444">
        <f t="array" ref="J3665">IFERROR(INDEX('Retirement Calculator'!K:K,MATCH('Lorri 401b'!N3665,'Retirement Calculator'!A:A,0),0),0)</f>
        <v>0</v>
      </c>
      <c r="K3665" s="444">
        <f t="shared" ca="1" si="153"/>
        <v>-3850126201.6327295</v>
      </c>
      <c r="L3665" s="444">
        <f t="shared" ca="1" si="154"/>
        <v>-927880414593.48779</v>
      </c>
      <c r="M3665" s="460">
        <f t="shared" si="156"/>
        <v>0.05</v>
      </c>
      <c r="N3665" s="464">
        <f t="shared" si="157"/>
        <v>162594</v>
      </c>
    </row>
    <row r="3666" spans="7:14" ht="11.25" customHeight="1" x14ac:dyDescent="0.3">
      <c r="G3666" s="459"/>
      <c r="H3666" s="459">
        <v>3659</v>
      </c>
      <c r="I3666" s="444">
        <f t="shared" ca="1" si="155"/>
        <v>-927880414593.48779</v>
      </c>
      <c r="J3666" s="444">
        <f t="array" ref="J3666">IFERROR(INDEX('Retirement Calculator'!K:K,MATCH('Lorri 401b'!N3666,'Retirement Calculator'!A:A,0),0),0)</f>
        <v>0</v>
      </c>
      <c r="K3666" s="444">
        <f t="shared" ca="1" si="153"/>
        <v>-3866168394.1395326</v>
      </c>
      <c r="L3666" s="444">
        <f t="shared" ca="1" si="154"/>
        <v>-931746582987.62732</v>
      </c>
      <c r="M3666" s="460">
        <f t="shared" si="156"/>
        <v>0.05</v>
      </c>
      <c r="N3666" s="464">
        <f t="shared" si="157"/>
        <v>162625</v>
      </c>
    </row>
    <row r="3667" spans="7:14" ht="11.25" customHeight="1" x14ac:dyDescent="0.3">
      <c r="G3667" s="459"/>
      <c r="H3667" s="459">
        <v>3660</v>
      </c>
      <c r="I3667" s="444">
        <f t="shared" ca="1" si="155"/>
        <v>-931746582987.62732</v>
      </c>
      <c r="J3667" s="444">
        <f t="array" ref="J3667">IFERROR(INDEX('Retirement Calculator'!K:K,MATCH('Lorri 401b'!N3667,'Retirement Calculator'!A:A,0),0),0)</f>
        <v>0</v>
      </c>
      <c r="K3667" s="444">
        <f t="shared" ca="1" si="153"/>
        <v>-3882277429.1151137</v>
      </c>
      <c r="L3667" s="444">
        <f t="shared" ca="1" si="154"/>
        <v>-935628860416.74243</v>
      </c>
      <c r="M3667" s="460">
        <f t="shared" si="156"/>
        <v>0.05</v>
      </c>
      <c r="N3667" s="464">
        <f t="shared" si="157"/>
        <v>162655</v>
      </c>
    </row>
    <row r="3668" spans="7:14" ht="11.25" customHeight="1" x14ac:dyDescent="0.3">
      <c r="G3668" s="459"/>
      <c r="H3668" s="459">
        <v>3661</v>
      </c>
      <c r="I3668" s="444">
        <f t="shared" ca="1" si="155"/>
        <v>-935628860416.74243</v>
      </c>
      <c r="J3668" s="444">
        <f t="array" ref="J3668">IFERROR(INDEX('Retirement Calculator'!K:K,MATCH('Lorri 401b'!N3668,'Retirement Calculator'!A:A,0),0),0)</f>
        <v>0</v>
      </c>
      <c r="K3668" s="444">
        <f t="shared" ca="1" si="153"/>
        <v>-3898453585.0697598</v>
      </c>
      <c r="L3668" s="444">
        <f t="shared" ca="1" si="154"/>
        <v>-939527314001.81213</v>
      </c>
      <c r="M3668" s="460">
        <f t="shared" si="156"/>
        <v>0.05</v>
      </c>
      <c r="N3668" s="464">
        <f t="shared" si="157"/>
        <v>162686</v>
      </c>
    </row>
    <row r="3669" spans="7:14" ht="11.25" customHeight="1" x14ac:dyDescent="0.3">
      <c r="G3669" s="459"/>
      <c r="H3669" s="459">
        <v>3662</v>
      </c>
      <c r="I3669" s="444">
        <f t="shared" ca="1" si="155"/>
        <v>-939527314001.81213</v>
      </c>
      <c r="J3669" s="444">
        <f t="array" ref="J3669">IFERROR(INDEX('Retirement Calculator'!K:K,MATCH('Lorri 401b'!N3669,'Retirement Calculator'!A:A,0),0),0)</f>
        <v>0</v>
      </c>
      <c r="K3669" s="444">
        <f t="shared" ca="1" si="153"/>
        <v>-3914697141.6742172</v>
      </c>
      <c r="L3669" s="444">
        <f t="shared" ca="1" si="154"/>
        <v>-943442011143.48633</v>
      </c>
      <c r="M3669" s="460">
        <f t="shared" si="156"/>
        <v>0.05</v>
      </c>
      <c r="N3669" s="464">
        <f t="shared" si="157"/>
        <v>162716</v>
      </c>
    </row>
    <row r="3670" spans="7:14" ht="11.25" customHeight="1" x14ac:dyDescent="0.3">
      <c r="G3670" s="459"/>
      <c r="H3670" s="459">
        <v>3663</v>
      </c>
      <c r="I3670" s="444">
        <f t="shared" ca="1" si="155"/>
        <v>-943442011143.48633</v>
      </c>
      <c r="J3670" s="444">
        <f t="array" ref="J3670">IFERROR(INDEX('Retirement Calculator'!K:K,MATCH('Lorri 401b'!N3670,'Retirement Calculator'!A:A,0),0),0)</f>
        <v>0</v>
      </c>
      <c r="K3670" s="444">
        <f t="shared" ca="1" si="153"/>
        <v>-3931008379.7645264</v>
      </c>
      <c r="L3670" s="444">
        <f t="shared" ca="1" si="154"/>
        <v>-947373019523.25085</v>
      </c>
      <c r="M3670" s="460">
        <f t="shared" si="156"/>
        <v>0.05</v>
      </c>
      <c r="N3670" s="464">
        <f t="shared" si="157"/>
        <v>162747</v>
      </c>
    </row>
    <row r="3671" spans="7:14" ht="11.25" customHeight="1" x14ac:dyDescent="0.3">
      <c r="G3671" s="459"/>
      <c r="H3671" s="459">
        <v>3664</v>
      </c>
      <c r="I3671" s="444">
        <f t="shared" ca="1" si="155"/>
        <v>-947373019523.25085</v>
      </c>
      <c r="J3671" s="444">
        <f t="array" ref="J3671">IFERROR(INDEX('Retirement Calculator'!K:K,MATCH('Lorri 401b'!N3671,'Retirement Calculator'!A:A,0),0),0)</f>
        <v>0</v>
      </c>
      <c r="K3671" s="444">
        <f t="shared" ca="1" si="153"/>
        <v>-3947387581.3468785</v>
      </c>
      <c r="L3671" s="444">
        <f t="shared" ca="1" si="154"/>
        <v>-951320407104.59778</v>
      </c>
      <c r="M3671" s="460">
        <f t="shared" si="156"/>
        <v>0.05</v>
      </c>
      <c r="N3671" s="464">
        <f t="shared" si="157"/>
        <v>162778</v>
      </c>
    </row>
    <row r="3672" spans="7:14" ht="11.25" customHeight="1" x14ac:dyDescent="0.3">
      <c r="G3672" s="459"/>
      <c r="H3672" s="459">
        <v>3665</v>
      </c>
      <c r="I3672" s="444">
        <f t="shared" ca="1" si="155"/>
        <v>-951320407104.59778</v>
      </c>
      <c r="J3672" s="444">
        <f t="array" ref="J3672">IFERROR(INDEX('Retirement Calculator'!K:K,MATCH('Lorri 401b'!N3672,'Retirement Calculator'!A:A,0),0),0)</f>
        <v>0</v>
      </c>
      <c r="K3672" s="444">
        <f t="shared" ca="1" si="153"/>
        <v>-3963835029.6024909</v>
      </c>
      <c r="L3672" s="444">
        <f t="shared" ca="1" si="154"/>
        <v>-955284242134.20032</v>
      </c>
      <c r="M3672" s="460">
        <f t="shared" si="156"/>
        <v>0.05</v>
      </c>
      <c r="N3672" s="464">
        <f t="shared" si="157"/>
        <v>162808</v>
      </c>
    </row>
    <row r="3673" spans="7:14" ht="11.25" customHeight="1" x14ac:dyDescent="0.3">
      <c r="G3673" s="459"/>
      <c r="H3673" s="459">
        <v>3666</v>
      </c>
      <c r="I3673" s="444">
        <f t="shared" ca="1" si="155"/>
        <v>-955284242134.20032</v>
      </c>
      <c r="J3673" s="444">
        <f t="array" ref="J3673">IFERROR(INDEX('Retirement Calculator'!K:K,MATCH('Lorri 401b'!N3673,'Retirement Calculator'!A:A,0),0),0)</f>
        <v>0</v>
      </c>
      <c r="K3673" s="444">
        <f t="shared" ca="1" si="153"/>
        <v>-3980351008.8925018</v>
      </c>
      <c r="L3673" s="444">
        <f t="shared" ca="1" si="154"/>
        <v>-959264593143.09277</v>
      </c>
      <c r="M3673" s="460">
        <f t="shared" si="156"/>
        <v>0.05</v>
      </c>
      <c r="N3673" s="464">
        <f t="shared" si="157"/>
        <v>162839</v>
      </c>
    </row>
    <row r="3674" spans="7:14" ht="11.25" customHeight="1" x14ac:dyDescent="0.3">
      <c r="G3674" s="459"/>
      <c r="H3674" s="459">
        <v>3667</v>
      </c>
      <c r="I3674" s="444">
        <f t="shared" ca="1" si="155"/>
        <v>-959264593143.09277</v>
      </c>
      <c r="J3674" s="444">
        <f t="array" ref="J3674">IFERROR(INDEX('Retirement Calculator'!K:K,MATCH('Lorri 401b'!N3674,'Retirement Calculator'!A:A,0),0),0)</f>
        <v>0</v>
      </c>
      <c r="K3674" s="444">
        <f t="shared" ca="1" si="153"/>
        <v>-3996935804.762887</v>
      </c>
      <c r="L3674" s="444">
        <f t="shared" ca="1" si="154"/>
        <v>-963261528947.85571</v>
      </c>
      <c r="M3674" s="460">
        <f t="shared" si="156"/>
        <v>0.05</v>
      </c>
      <c r="N3674" s="464">
        <f t="shared" si="157"/>
        <v>162869</v>
      </c>
    </row>
    <row r="3675" spans="7:14" ht="11.25" customHeight="1" x14ac:dyDescent="0.3">
      <c r="G3675" s="459"/>
      <c r="H3675" s="459">
        <v>3668</v>
      </c>
      <c r="I3675" s="444">
        <f t="shared" ca="1" si="155"/>
        <v>-963261528947.85571</v>
      </c>
      <c r="J3675" s="444">
        <f t="array" ref="J3675">IFERROR(INDEX('Retirement Calculator'!K:K,MATCH('Lorri 401b'!N3675,'Retirement Calculator'!A:A,0),0),0)</f>
        <v>0</v>
      </c>
      <c r="K3675" s="444">
        <f t="shared" ca="1" si="153"/>
        <v>-4013589703.949398</v>
      </c>
      <c r="L3675" s="444">
        <f t="shared" ca="1" si="154"/>
        <v>-967275118651.80505</v>
      </c>
      <c r="M3675" s="460">
        <f t="shared" si="156"/>
        <v>0.05</v>
      </c>
      <c r="N3675" s="464">
        <f t="shared" si="157"/>
        <v>162900</v>
      </c>
    </row>
    <row r="3676" spans="7:14" ht="11.25" customHeight="1" x14ac:dyDescent="0.3">
      <c r="G3676" s="459"/>
      <c r="H3676" s="459">
        <v>3669</v>
      </c>
      <c r="I3676" s="444">
        <f t="shared" ca="1" si="155"/>
        <v>-967275118651.80505</v>
      </c>
      <c r="J3676" s="444">
        <f t="array" ref="J3676">IFERROR(INDEX('Retirement Calculator'!K:K,MATCH('Lorri 401b'!N3676,'Retirement Calculator'!A:A,0),0),0)</f>
        <v>0</v>
      </c>
      <c r="K3676" s="444">
        <f t="shared" ca="1" si="153"/>
        <v>-4030312994.3825207</v>
      </c>
      <c r="L3676" s="444">
        <f t="shared" ca="1" si="154"/>
        <v>-971305431646.18762</v>
      </c>
      <c r="M3676" s="460">
        <f t="shared" si="156"/>
        <v>0.05</v>
      </c>
      <c r="N3676" s="464">
        <f t="shared" si="157"/>
        <v>162931</v>
      </c>
    </row>
    <row r="3677" spans="7:14" ht="11.25" customHeight="1" x14ac:dyDescent="0.3">
      <c r="G3677" s="459"/>
      <c r="H3677" s="459">
        <v>3670</v>
      </c>
      <c r="I3677" s="444">
        <f t="shared" ca="1" si="155"/>
        <v>-971305431646.18762</v>
      </c>
      <c r="J3677" s="444">
        <f t="array" ref="J3677">IFERROR(INDEX('Retirement Calculator'!K:K,MATCH('Lorri 401b'!N3677,'Retirement Calculator'!A:A,0),0),0)</f>
        <v>0</v>
      </c>
      <c r="K3677" s="444">
        <f t="shared" ca="1" si="153"/>
        <v>-4047105965.1924491</v>
      </c>
      <c r="L3677" s="444">
        <f t="shared" ca="1" si="154"/>
        <v>-975352537611.38013</v>
      </c>
      <c r="M3677" s="460">
        <f t="shared" si="156"/>
        <v>0.05</v>
      </c>
      <c r="N3677" s="464">
        <f t="shared" si="157"/>
        <v>162959</v>
      </c>
    </row>
    <row r="3678" spans="7:14" ht="11.25" customHeight="1" x14ac:dyDescent="0.3">
      <c r="G3678" s="459"/>
      <c r="H3678" s="459">
        <v>3671</v>
      </c>
      <c r="I3678" s="444">
        <f t="shared" ca="1" si="155"/>
        <v>-975352537611.38013</v>
      </c>
      <c r="J3678" s="444">
        <f t="array" ref="J3678">IFERROR(INDEX('Retirement Calculator'!K:K,MATCH('Lorri 401b'!N3678,'Retirement Calculator'!A:A,0),0),0)</f>
        <v>0</v>
      </c>
      <c r="K3678" s="444">
        <f t="shared" ca="1" si="153"/>
        <v>-4063968906.7140841</v>
      </c>
      <c r="L3678" s="444">
        <f t="shared" ca="1" si="154"/>
        <v>-979416506518.09424</v>
      </c>
      <c r="M3678" s="460">
        <f t="shared" si="156"/>
        <v>0.05</v>
      </c>
      <c r="N3678" s="464">
        <f t="shared" si="157"/>
        <v>162990</v>
      </c>
    </row>
    <row r="3679" spans="7:14" ht="11.25" customHeight="1" x14ac:dyDescent="0.3">
      <c r="G3679" s="459"/>
      <c r="H3679" s="459">
        <v>3672</v>
      </c>
      <c r="I3679" s="444">
        <f t="shared" ca="1" si="155"/>
        <v>-979416506518.09424</v>
      </c>
      <c r="J3679" s="444">
        <f t="array" ref="J3679">IFERROR(INDEX('Retirement Calculator'!K:K,MATCH('Lorri 401b'!N3679,'Retirement Calculator'!A:A,0),0),0)</f>
        <v>0</v>
      </c>
      <c r="K3679" s="444">
        <f t="shared" ca="1" si="153"/>
        <v>-4080902110.4920588</v>
      </c>
      <c r="L3679" s="444">
        <f t="shared" ca="1" si="154"/>
        <v>-983497408628.5863</v>
      </c>
      <c r="M3679" s="460">
        <f t="shared" si="156"/>
        <v>0.05</v>
      </c>
      <c r="N3679" s="464">
        <f t="shared" si="157"/>
        <v>163020</v>
      </c>
    </row>
    <row r="3680" spans="7:14" ht="11.25" customHeight="1" x14ac:dyDescent="0.3">
      <c r="G3680" s="459"/>
      <c r="H3680" s="459">
        <v>3673</v>
      </c>
      <c r="I3680" s="444">
        <f t="shared" ca="1" si="155"/>
        <v>-983497408628.5863</v>
      </c>
      <c r="J3680" s="444">
        <f t="array" ref="J3680">IFERROR(INDEX('Retirement Calculator'!K:K,MATCH('Lorri 401b'!N3680,'Retirement Calculator'!A:A,0),0),0)</f>
        <v>0</v>
      </c>
      <c r="K3680" s="444">
        <f t="shared" ca="1" si="153"/>
        <v>-4097905869.2857761</v>
      </c>
      <c r="L3680" s="444">
        <f t="shared" ca="1" si="154"/>
        <v>-987595314497.87207</v>
      </c>
      <c r="M3680" s="460">
        <f t="shared" si="156"/>
        <v>0.05</v>
      </c>
      <c r="N3680" s="464">
        <f t="shared" si="157"/>
        <v>163051</v>
      </c>
    </row>
    <row r="3681" spans="7:14" ht="11.25" customHeight="1" x14ac:dyDescent="0.3">
      <c r="G3681" s="459"/>
      <c r="H3681" s="459">
        <v>3674</v>
      </c>
      <c r="I3681" s="444">
        <f t="shared" ca="1" si="155"/>
        <v>-987595314497.87207</v>
      </c>
      <c r="J3681" s="444">
        <f t="array" ref="J3681">IFERROR(INDEX('Retirement Calculator'!K:K,MATCH('Lorri 401b'!N3681,'Retirement Calculator'!A:A,0),0),0)</f>
        <v>0</v>
      </c>
      <c r="K3681" s="444">
        <f t="shared" ca="1" si="153"/>
        <v>-4114980477.0744667</v>
      </c>
      <c r="L3681" s="444">
        <f t="shared" ca="1" si="154"/>
        <v>-991710294974.94653</v>
      </c>
      <c r="M3681" s="460">
        <f t="shared" si="156"/>
        <v>0.05</v>
      </c>
      <c r="N3681" s="464">
        <f t="shared" si="157"/>
        <v>163081</v>
      </c>
    </row>
    <row r="3682" spans="7:14" ht="11.25" customHeight="1" x14ac:dyDescent="0.3">
      <c r="G3682" s="459"/>
      <c r="H3682" s="459">
        <v>3675</v>
      </c>
      <c r="I3682" s="444">
        <f t="shared" ca="1" si="155"/>
        <v>-991710294974.94653</v>
      </c>
      <c r="J3682" s="444">
        <f t="array" ref="J3682">IFERROR(INDEX('Retirement Calculator'!K:K,MATCH('Lorri 401b'!N3682,'Retirement Calculator'!A:A,0),0),0)</f>
        <v>0</v>
      </c>
      <c r="K3682" s="444">
        <f t="shared" ca="1" si="153"/>
        <v>-4132126229.0622768</v>
      </c>
      <c r="L3682" s="444">
        <f t="shared" ca="1" si="154"/>
        <v>-995842421204.00879</v>
      </c>
      <c r="M3682" s="460">
        <f t="shared" si="156"/>
        <v>0.05</v>
      </c>
      <c r="N3682" s="464">
        <f t="shared" si="157"/>
        <v>163112</v>
      </c>
    </row>
    <row r="3683" spans="7:14" ht="11.25" customHeight="1" x14ac:dyDescent="0.3">
      <c r="G3683" s="459"/>
      <c r="H3683" s="459">
        <v>3676</v>
      </c>
      <c r="I3683" s="444">
        <f t="shared" ca="1" si="155"/>
        <v>-995842421204.00879</v>
      </c>
      <c r="J3683" s="444">
        <f t="array" ref="J3683">IFERROR(INDEX('Retirement Calculator'!K:K,MATCH('Lorri 401b'!N3683,'Retirement Calculator'!A:A,0),0),0)</f>
        <v>0</v>
      </c>
      <c r="K3683" s="444">
        <f t="shared" ca="1" si="153"/>
        <v>-4149343421.6833701</v>
      </c>
      <c r="L3683" s="444">
        <f t="shared" ca="1" si="154"/>
        <v>-999991764625.69214</v>
      </c>
      <c r="M3683" s="460">
        <f t="shared" si="156"/>
        <v>0.05</v>
      </c>
      <c r="N3683" s="464">
        <f t="shared" si="157"/>
        <v>163143</v>
      </c>
    </row>
    <row r="3684" spans="7:14" ht="11.25" customHeight="1" x14ac:dyDescent="0.3">
      <c r="G3684" s="459"/>
      <c r="H3684" s="459">
        <v>3677</v>
      </c>
      <c r="I3684" s="444">
        <f t="shared" ca="1" si="155"/>
        <v>-999991764625.69214</v>
      </c>
      <c r="J3684" s="444">
        <f t="array" ref="J3684">IFERROR(INDEX('Retirement Calculator'!K:K,MATCH('Lorri 401b'!N3684,'Retirement Calculator'!A:A,0),0),0)</f>
        <v>0</v>
      </c>
      <c r="K3684" s="444">
        <f t="shared" ca="1" si="153"/>
        <v>-4166632352.6070504</v>
      </c>
      <c r="L3684" s="444">
        <f t="shared" ca="1" si="154"/>
        <v>-1004158396978.2992</v>
      </c>
      <c r="M3684" s="460">
        <f t="shared" si="156"/>
        <v>0.05</v>
      </c>
      <c r="N3684" s="464">
        <f t="shared" si="157"/>
        <v>163173</v>
      </c>
    </row>
    <row r="3685" spans="7:14" ht="11.25" customHeight="1" x14ac:dyDescent="0.3">
      <c r="G3685" s="459"/>
      <c r="H3685" s="459">
        <v>3678</v>
      </c>
      <c r="I3685" s="444">
        <f t="shared" ca="1" si="155"/>
        <v>-1004158396978.2992</v>
      </c>
      <c r="J3685" s="444">
        <f t="array" ref="J3685">IFERROR(INDEX('Retirement Calculator'!K:K,MATCH('Lorri 401b'!N3685,'Retirement Calculator'!A:A,0),0),0)</f>
        <v>0</v>
      </c>
      <c r="K3685" s="444">
        <f t="shared" ca="1" si="153"/>
        <v>-4183993320.7429128</v>
      </c>
      <c r="L3685" s="444">
        <f t="shared" ca="1" si="154"/>
        <v>-1008342390299.0421</v>
      </c>
      <c r="M3685" s="460">
        <f t="shared" si="156"/>
        <v>0.05</v>
      </c>
      <c r="N3685" s="464">
        <f t="shared" si="157"/>
        <v>163204</v>
      </c>
    </row>
    <row r="3686" spans="7:14" ht="11.25" customHeight="1" x14ac:dyDescent="0.3">
      <c r="G3686" s="459"/>
      <c r="H3686" s="459">
        <v>3679</v>
      </c>
      <c r="I3686" s="444">
        <f t="shared" ca="1" si="155"/>
        <v>-1008342390299.0421</v>
      </c>
      <c r="J3686" s="444">
        <f t="array" ref="J3686">IFERROR(INDEX('Retirement Calculator'!K:K,MATCH('Lorri 401b'!N3686,'Retirement Calculator'!A:A,0),0),0)</f>
        <v>0</v>
      </c>
      <c r="K3686" s="444">
        <f t="shared" ca="1" si="153"/>
        <v>-4201426626.2460089</v>
      </c>
      <c r="L3686" s="444">
        <f t="shared" ca="1" si="154"/>
        <v>-1012543816925.2881</v>
      </c>
      <c r="M3686" s="460">
        <f t="shared" si="156"/>
        <v>0.05</v>
      </c>
      <c r="N3686" s="464">
        <f t="shared" si="157"/>
        <v>163234</v>
      </c>
    </row>
    <row r="3687" spans="7:14" ht="11.25" customHeight="1" x14ac:dyDescent="0.3">
      <c r="G3687" s="459"/>
      <c r="H3687" s="459">
        <v>3680</v>
      </c>
      <c r="I3687" s="444">
        <f t="shared" ca="1" si="155"/>
        <v>-1012543816925.2881</v>
      </c>
      <c r="J3687" s="444">
        <f t="array" ref="J3687">IFERROR(INDEX('Retirement Calculator'!K:K,MATCH('Lorri 401b'!N3687,'Retirement Calculator'!A:A,0),0),0)</f>
        <v>0</v>
      </c>
      <c r="K3687" s="444">
        <f t="shared" ca="1" si="153"/>
        <v>-4218932570.5220337</v>
      </c>
      <c r="L3687" s="444">
        <f t="shared" ca="1" si="154"/>
        <v>-1016762749495.8101</v>
      </c>
      <c r="M3687" s="460">
        <f t="shared" si="156"/>
        <v>0.05</v>
      </c>
      <c r="N3687" s="464">
        <f t="shared" si="157"/>
        <v>163265</v>
      </c>
    </row>
    <row r="3688" spans="7:14" ht="11.25" customHeight="1" x14ac:dyDescent="0.3">
      <c r="G3688" s="459"/>
      <c r="H3688" s="459">
        <v>3681</v>
      </c>
      <c r="I3688" s="444">
        <f t="shared" ca="1" si="155"/>
        <v>-1016762749495.8101</v>
      </c>
      <c r="J3688" s="444">
        <f t="array" ref="J3688">IFERROR(INDEX('Retirement Calculator'!K:K,MATCH('Lorri 401b'!N3688,'Retirement Calculator'!A:A,0),0),0)</f>
        <v>0</v>
      </c>
      <c r="K3688" s="444">
        <f t="shared" ca="1" si="153"/>
        <v>-4236511456.232542</v>
      </c>
      <c r="L3688" s="444">
        <f t="shared" ca="1" si="154"/>
        <v>-1020999260952.0426</v>
      </c>
      <c r="M3688" s="460">
        <f t="shared" si="156"/>
        <v>0.05</v>
      </c>
      <c r="N3688" s="464">
        <f t="shared" si="157"/>
        <v>163296</v>
      </c>
    </row>
    <row r="3689" spans="7:14" ht="11.25" customHeight="1" x14ac:dyDescent="0.3">
      <c r="G3689" s="459"/>
      <c r="H3689" s="459">
        <v>3682</v>
      </c>
      <c r="I3689" s="444">
        <f t="shared" ca="1" si="155"/>
        <v>-1020999260952.0426</v>
      </c>
      <c r="J3689" s="444">
        <f t="array" ref="J3689">IFERROR(INDEX('Retirement Calculator'!K:K,MATCH('Lorri 401b'!N3689,'Retirement Calculator'!A:A,0),0),0)</f>
        <v>0</v>
      </c>
      <c r="K3689" s="444">
        <f t="shared" ca="1" si="153"/>
        <v>-4254163587.3001776</v>
      </c>
      <c r="L3689" s="444">
        <f t="shared" ca="1" si="154"/>
        <v>-1025253424539.3428</v>
      </c>
      <c r="M3689" s="460">
        <f t="shared" si="156"/>
        <v>0.05</v>
      </c>
      <c r="N3689" s="464">
        <f t="shared" si="157"/>
        <v>163324</v>
      </c>
    </row>
    <row r="3690" spans="7:14" ht="11.25" customHeight="1" x14ac:dyDescent="0.3">
      <c r="G3690" s="459"/>
      <c r="H3690" s="459">
        <v>3683</v>
      </c>
      <c r="I3690" s="444">
        <f t="shared" ca="1" si="155"/>
        <v>-1025253424539.3428</v>
      </c>
      <c r="J3690" s="444">
        <f t="array" ref="J3690">IFERROR(INDEX('Retirement Calculator'!K:K,MATCH('Lorri 401b'!N3690,'Retirement Calculator'!A:A,0),0),0)</f>
        <v>0</v>
      </c>
      <c r="K3690" s="444">
        <f t="shared" ca="1" si="153"/>
        <v>-4271889268.913928</v>
      </c>
      <c r="L3690" s="444">
        <f t="shared" ca="1" si="154"/>
        <v>-1029525313808.2567</v>
      </c>
      <c r="M3690" s="460">
        <f t="shared" si="156"/>
        <v>0.05</v>
      </c>
      <c r="N3690" s="464">
        <f t="shared" si="157"/>
        <v>163355</v>
      </c>
    </row>
    <row r="3691" spans="7:14" ht="11.25" customHeight="1" x14ac:dyDescent="0.3">
      <c r="G3691" s="459"/>
      <c r="H3691" s="459">
        <v>3684</v>
      </c>
      <c r="I3691" s="444">
        <f t="shared" ca="1" si="155"/>
        <v>-1029525313808.2567</v>
      </c>
      <c r="J3691" s="444">
        <f t="array" ref="J3691">IFERROR(INDEX('Retirement Calculator'!K:K,MATCH('Lorri 401b'!N3691,'Retirement Calculator'!A:A,0),0),0)</f>
        <v>0</v>
      </c>
      <c r="K3691" s="444">
        <f t="shared" ca="1" si="153"/>
        <v>-4289688807.5344033</v>
      </c>
      <c r="L3691" s="444">
        <f t="shared" ca="1" si="154"/>
        <v>-1033815002615.7911</v>
      </c>
      <c r="M3691" s="460">
        <f t="shared" si="156"/>
        <v>0.05</v>
      </c>
      <c r="N3691" s="464">
        <f t="shared" si="157"/>
        <v>163385</v>
      </c>
    </row>
    <row r="3692" spans="7:14" ht="11.25" customHeight="1" x14ac:dyDescent="0.3">
      <c r="G3692" s="459"/>
      <c r="H3692" s="459">
        <v>3685</v>
      </c>
      <c r="I3692" s="444">
        <f t="shared" ca="1" si="155"/>
        <v>-1033815002615.7911</v>
      </c>
      <c r="J3692" s="444">
        <f t="array" ref="J3692">IFERROR(INDEX('Retirement Calculator'!K:K,MATCH('Lorri 401b'!N3692,'Retirement Calculator'!A:A,0),0),0)</f>
        <v>0</v>
      </c>
      <c r="K3692" s="444">
        <f t="shared" ca="1" si="153"/>
        <v>-4307562510.8991299</v>
      </c>
      <c r="L3692" s="444">
        <f t="shared" ca="1" si="154"/>
        <v>-1038122565126.6903</v>
      </c>
      <c r="M3692" s="460">
        <f t="shared" si="156"/>
        <v>0.05</v>
      </c>
      <c r="N3692" s="464">
        <f t="shared" si="157"/>
        <v>163416</v>
      </c>
    </row>
    <row r="3693" spans="7:14" ht="11.25" customHeight="1" x14ac:dyDescent="0.3">
      <c r="G3693" s="459"/>
      <c r="H3693" s="459">
        <v>3686</v>
      </c>
      <c r="I3693" s="444">
        <f t="shared" ca="1" si="155"/>
        <v>-1038122565126.6903</v>
      </c>
      <c r="J3693" s="444">
        <f t="array" ref="J3693">IFERROR(INDEX('Retirement Calculator'!K:K,MATCH('Lorri 401b'!N3693,'Retirement Calculator'!A:A,0),0),0)</f>
        <v>0</v>
      </c>
      <c r="K3693" s="444">
        <f t="shared" ca="1" si="153"/>
        <v>-4325510688.0278759</v>
      </c>
      <c r="L3693" s="444">
        <f t="shared" ca="1" si="154"/>
        <v>-1042448075814.7181</v>
      </c>
      <c r="M3693" s="460">
        <f t="shared" si="156"/>
        <v>0.05</v>
      </c>
      <c r="N3693" s="464">
        <f t="shared" si="157"/>
        <v>163446</v>
      </c>
    </row>
    <row r="3694" spans="7:14" ht="11.25" customHeight="1" x14ac:dyDescent="0.3">
      <c r="G3694" s="459"/>
      <c r="H3694" s="459">
        <v>3687</v>
      </c>
      <c r="I3694" s="444">
        <f t="shared" ca="1" si="155"/>
        <v>-1042448075814.7181</v>
      </c>
      <c r="J3694" s="444">
        <f t="array" ref="J3694">IFERROR(INDEX('Retirement Calculator'!K:K,MATCH('Lorri 401b'!N3694,'Retirement Calculator'!A:A,0),0),0)</f>
        <v>0</v>
      </c>
      <c r="K3694" s="444">
        <f t="shared" ca="1" si="153"/>
        <v>-4343533649.2279921</v>
      </c>
      <c r="L3694" s="444">
        <f t="shared" ca="1" si="154"/>
        <v>-1046791609463.9462</v>
      </c>
      <c r="M3694" s="460">
        <f t="shared" si="156"/>
        <v>0.05</v>
      </c>
      <c r="N3694" s="464">
        <f t="shared" si="157"/>
        <v>163477</v>
      </c>
    </row>
    <row r="3695" spans="7:14" ht="11.25" customHeight="1" x14ac:dyDescent="0.3">
      <c r="G3695" s="459"/>
      <c r="H3695" s="459">
        <v>3688</v>
      </c>
      <c r="I3695" s="444">
        <f t="shared" ca="1" si="155"/>
        <v>-1046791609463.9462</v>
      </c>
      <c r="J3695" s="444">
        <f t="array" ref="J3695">IFERROR(INDEX('Retirement Calculator'!K:K,MATCH('Lorri 401b'!N3695,'Retirement Calculator'!A:A,0),0),0)</f>
        <v>0</v>
      </c>
      <c r="K3695" s="444">
        <f t="shared" ca="1" si="153"/>
        <v>-4361631706.0997753</v>
      </c>
      <c r="L3695" s="444">
        <f t="shared" ca="1" si="154"/>
        <v>-1051153241170.0459</v>
      </c>
      <c r="M3695" s="460">
        <f t="shared" si="156"/>
        <v>0.05</v>
      </c>
      <c r="N3695" s="464">
        <f t="shared" si="157"/>
        <v>163508</v>
      </c>
    </row>
    <row r="3696" spans="7:14" ht="11.25" customHeight="1" x14ac:dyDescent="0.3">
      <c r="G3696" s="459"/>
      <c r="H3696" s="459">
        <v>3689</v>
      </c>
      <c r="I3696" s="444">
        <f t="shared" ca="1" si="155"/>
        <v>-1051153241170.0459</v>
      </c>
      <c r="J3696" s="444">
        <f t="array" ref="J3696">IFERROR(INDEX('Retirement Calculator'!K:K,MATCH('Lorri 401b'!N3696,'Retirement Calculator'!A:A,0),0),0)</f>
        <v>0</v>
      </c>
      <c r="K3696" s="444">
        <f t="shared" ca="1" si="153"/>
        <v>-4379805171.5418577</v>
      </c>
      <c r="L3696" s="444">
        <f t="shared" ca="1" si="154"/>
        <v>-1055533046341.5878</v>
      </c>
      <c r="M3696" s="460">
        <f t="shared" si="156"/>
        <v>0.05</v>
      </c>
      <c r="N3696" s="464">
        <f t="shared" si="157"/>
        <v>163538</v>
      </c>
    </row>
    <row r="3697" spans="7:14" ht="11.25" customHeight="1" x14ac:dyDescent="0.3">
      <c r="G3697" s="459"/>
      <c r="H3697" s="459">
        <v>3690</v>
      </c>
      <c r="I3697" s="444">
        <f t="shared" ca="1" si="155"/>
        <v>-1055533046341.5878</v>
      </c>
      <c r="J3697" s="444">
        <f t="array" ref="J3697">IFERROR(INDEX('Retirement Calculator'!K:K,MATCH('Lorri 401b'!N3697,'Retirement Calculator'!A:A,0),0),0)</f>
        <v>0</v>
      </c>
      <c r="K3697" s="444">
        <f t="shared" ca="1" si="153"/>
        <v>-4398054359.7566166</v>
      </c>
      <c r="L3697" s="444">
        <f t="shared" ca="1" si="154"/>
        <v>-1059931100701.3444</v>
      </c>
      <c r="M3697" s="460">
        <f t="shared" si="156"/>
        <v>0.05</v>
      </c>
      <c r="N3697" s="464">
        <f t="shared" si="157"/>
        <v>163569</v>
      </c>
    </row>
    <row r="3698" spans="7:14" ht="11.25" customHeight="1" x14ac:dyDescent="0.3">
      <c r="G3698" s="459"/>
      <c r="H3698" s="459">
        <v>3691</v>
      </c>
      <c r="I3698" s="444">
        <f t="shared" ca="1" si="155"/>
        <v>-1059931100701.3444</v>
      </c>
      <c r="J3698" s="444">
        <f t="array" ref="J3698">IFERROR(INDEX('Retirement Calculator'!K:K,MATCH('Lorri 401b'!N3698,'Retirement Calculator'!A:A,0),0),0)</f>
        <v>0</v>
      </c>
      <c r="K3698" s="444">
        <f t="shared" ca="1" si="153"/>
        <v>-4416379586.2556019</v>
      </c>
      <c r="L3698" s="444">
        <f t="shared" ca="1" si="154"/>
        <v>-1064347480287.6</v>
      </c>
      <c r="M3698" s="460">
        <f t="shared" si="156"/>
        <v>0.05</v>
      </c>
      <c r="N3698" s="464">
        <f t="shared" si="157"/>
        <v>163599</v>
      </c>
    </row>
    <row r="3699" spans="7:14" ht="11.25" customHeight="1" x14ac:dyDescent="0.3">
      <c r="G3699" s="459"/>
      <c r="H3699" s="459">
        <v>3692</v>
      </c>
      <c r="I3699" s="444">
        <f t="shared" ca="1" si="155"/>
        <v>-1064347480287.6</v>
      </c>
      <c r="J3699" s="444">
        <f t="array" ref="J3699">IFERROR(INDEX('Retirement Calculator'!K:K,MATCH('Lorri 401b'!N3699,'Retirement Calculator'!A:A,0),0),0)</f>
        <v>0</v>
      </c>
      <c r="K3699" s="444">
        <f t="shared" ca="1" si="153"/>
        <v>-4434781167.8650007</v>
      </c>
      <c r="L3699" s="444">
        <f t="shared" ca="1" si="154"/>
        <v>-1068782261455.465</v>
      </c>
      <c r="M3699" s="460">
        <f t="shared" si="156"/>
        <v>0.05</v>
      </c>
      <c r="N3699" s="464">
        <f t="shared" si="157"/>
        <v>163630</v>
      </c>
    </row>
    <row r="3700" spans="7:14" ht="11.25" customHeight="1" x14ac:dyDescent="0.3">
      <c r="G3700" s="459"/>
      <c r="H3700" s="459">
        <v>3693</v>
      </c>
      <c r="I3700" s="444">
        <f t="shared" ca="1" si="155"/>
        <v>-1068782261455.465</v>
      </c>
      <c r="J3700" s="444">
        <f t="array" ref="J3700">IFERROR(INDEX('Retirement Calculator'!K:K,MATCH('Lorri 401b'!N3700,'Retirement Calculator'!A:A,0),0),0)</f>
        <v>0</v>
      </c>
      <c r="K3700" s="444">
        <f t="shared" ca="1" si="153"/>
        <v>-4453259422.7311039</v>
      </c>
      <c r="L3700" s="444">
        <f t="shared" ca="1" si="154"/>
        <v>-1073235520878.196</v>
      </c>
      <c r="M3700" s="460">
        <f t="shared" si="156"/>
        <v>0.05</v>
      </c>
      <c r="N3700" s="464">
        <f t="shared" si="157"/>
        <v>163661</v>
      </c>
    </row>
    <row r="3701" spans="7:14" ht="11.25" customHeight="1" x14ac:dyDescent="0.3">
      <c r="G3701" s="459"/>
      <c r="H3701" s="459">
        <v>3694</v>
      </c>
      <c r="I3701" s="444">
        <f t="shared" ca="1" si="155"/>
        <v>-1073235520878.196</v>
      </c>
      <c r="J3701" s="444">
        <f t="array" ref="J3701">IFERROR(INDEX('Retirement Calculator'!K:K,MATCH('Lorri 401b'!N3701,'Retirement Calculator'!A:A,0),0),0)</f>
        <v>0</v>
      </c>
      <c r="K3701" s="444">
        <f t="shared" ca="1" si="153"/>
        <v>-4471814670.3258162</v>
      </c>
      <c r="L3701" s="444">
        <f t="shared" ca="1" si="154"/>
        <v>-1077707335548.5219</v>
      </c>
      <c r="M3701" s="460">
        <f t="shared" si="156"/>
        <v>0.05</v>
      </c>
      <c r="N3701" s="464">
        <f t="shared" si="157"/>
        <v>163690</v>
      </c>
    </row>
    <row r="3702" spans="7:14" ht="11.25" customHeight="1" x14ac:dyDescent="0.3">
      <c r="G3702" s="459"/>
      <c r="H3702" s="459">
        <v>3695</v>
      </c>
      <c r="I3702" s="444">
        <f t="shared" ca="1" si="155"/>
        <v>-1077707335548.5219</v>
      </c>
      <c r="J3702" s="444">
        <f t="array" ref="J3702">IFERROR(INDEX('Retirement Calculator'!K:K,MATCH('Lorri 401b'!N3702,'Retirement Calculator'!A:A,0),0),0)</f>
        <v>0</v>
      </c>
      <c r="K3702" s="444">
        <f t="shared" ca="1" si="153"/>
        <v>-4490447231.4521742</v>
      </c>
      <c r="L3702" s="444">
        <f t="shared" ca="1" si="154"/>
        <v>-1082197782779.974</v>
      </c>
      <c r="M3702" s="460">
        <f t="shared" si="156"/>
        <v>0.05</v>
      </c>
      <c r="N3702" s="464">
        <f t="shared" si="157"/>
        <v>163721</v>
      </c>
    </row>
    <row r="3703" spans="7:14" ht="11.25" customHeight="1" x14ac:dyDescent="0.3">
      <c r="G3703" s="459"/>
      <c r="H3703" s="459">
        <v>3696</v>
      </c>
      <c r="I3703" s="444">
        <f t="shared" ca="1" si="155"/>
        <v>-1082197782779.974</v>
      </c>
      <c r="J3703" s="444">
        <f t="array" ref="J3703">IFERROR(INDEX('Retirement Calculator'!K:K,MATCH('Lorri 401b'!N3703,'Retirement Calculator'!A:A,0),0),0)</f>
        <v>0</v>
      </c>
      <c r="K3703" s="444">
        <f t="shared" ca="1" si="153"/>
        <v>-4509157428.2498922</v>
      </c>
      <c r="L3703" s="444">
        <f t="shared" ca="1" si="154"/>
        <v>-1086706940208.2239</v>
      </c>
      <c r="M3703" s="460">
        <f t="shared" si="156"/>
        <v>0.05</v>
      </c>
      <c r="N3703" s="464">
        <f t="shared" si="157"/>
        <v>163751</v>
      </c>
    </row>
    <row r="3704" spans="7:14" ht="11.25" customHeight="1" x14ac:dyDescent="0.3">
      <c r="G3704" s="459"/>
      <c r="H3704" s="459">
        <v>3697</v>
      </c>
      <c r="I3704" s="444">
        <f t="shared" ca="1" si="155"/>
        <v>-1086706940208.2239</v>
      </c>
      <c r="J3704" s="444">
        <f t="array" ref="J3704">IFERROR(INDEX('Retirement Calculator'!K:K,MATCH('Lorri 401b'!N3704,'Retirement Calculator'!A:A,0),0),0)</f>
        <v>0</v>
      </c>
      <c r="K3704" s="444">
        <f t="shared" ca="1" si="153"/>
        <v>-4527945584.2009325</v>
      </c>
      <c r="L3704" s="444">
        <f t="shared" ca="1" si="154"/>
        <v>-1091234885792.4248</v>
      </c>
      <c r="M3704" s="460">
        <f t="shared" si="156"/>
        <v>0.05</v>
      </c>
      <c r="N3704" s="464">
        <f t="shared" si="157"/>
        <v>163782</v>
      </c>
    </row>
    <row r="3705" spans="7:14" ht="11.25" customHeight="1" x14ac:dyDescent="0.3">
      <c r="G3705" s="459"/>
      <c r="H3705" s="459">
        <v>3698</v>
      </c>
      <c r="I3705" s="444">
        <f t="shared" ca="1" si="155"/>
        <v>-1091234885792.4248</v>
      </c>
      <c r="J3705" s="444">
        <f t="array" ref="J3705">IFERROR(INDEX('Retirement Calculator'!K:K,MATCH('Lorri 401b'!N3705,'Retirement Calculator'!A:A,0),0),0)</f>
        <v>0</v>
      </c>
      <c r="K3705" s="444">
        <f t="shared" ca="1" si="153"/>
        <v>-4546812024.1351032</v>
      </c>
      <c r="L3705" s="444">
        <f t="shared" ca="1" si="154"/>
        <v>-1095781697816.5599</v>
      </c>
      <c r="M3705" s="460">
        <f t="shared" si="156"/>
        <v>0.05</v>
      </c>
      <c r="N3705" s="464">
        <f t="shared" si="157"/>
        <v>163812</v>
      </c>
    </row>
    <row r="3706" spans="7:14" ht="11.25" customHeight="1" x14ac:dyDescent="0.3">
      <c r="G3706" s="459"/>
      <c r="H3706" s="459">
        <v>3699</v>
      </c>
      <c r="I3706" s="444">
        <f t="shared" ca="1" si="155"/>
        <v>-1095781697816.5599</v>
      </c>
      <c r="J3706" s="444">
        <f t="array" ref="J3706">IFERROR(INDEX('Retirement Calculator'!K:K,MATCH('Lorri 401b'!N3706,'Retirement Calculator'!A:A,0),0),0)</f>
        <v>0</v>
      </c>
      <c r="K3706" s="444">
        <f t="shared" ca="1" si="153"/>
        <v>-4565757074.2356663</v>
      </c>
      <c r="L3706" s="444">
        <f t="shared" ca="1" si="154"/>
        <v>-1100347454890.7957</v>
      </c>
      <c r="M3706" s="460">
        <f t="shared" si="156"/>
        <v>0.05</v>
      </c>
      <c r="N3706" s="464">
        <f t="shared" si="157"/>
        <v>163843</v>
      </c>
    </row>
    <row r="3707" spans="7:14" ht="11.25" customHeight="1" x14ac:dyDescent="0.3">
      <c r="G3707" s="459"/>
      <c r="H3707" s="459">
        <v>3700</v>
      </c>
      <c r="I3707" s="444">
        <f t="shared" ca="1" si="155"/>
        <v>-1100347454890.7957</v>
      </c>
      <c r="J3707" s="444">
        <f t="array" ref="J3707">IFERROR(INDEX('Retirement Calculator'!K:K,MATCH('Lorri 401b'!N3707,'Retirement Calculator'!A:A,0),0),0)</f>
        <v>0</v>
      </c>
      <c r="K3707" s="444">
        <f t="shared" ca="1" si="153"/>
        <v>-4584781062.044982</v>
      </c>
      <c r="L3707" s="444">
        <f t="shared" ca="1" si="154"/>
        <v>-1104932235952.8406</v>
      </c>
      <c r="M3707" s="460">
        <f t="shared" si="156"/>
        <v>0.05</v>
      </c>
      <c r="N3707" s="464">
        <f t="shared" si="157"/>
        <v>163874</v>
      </c>
    </row>
    <row r="3708" spans="7:14" ht="11.25" customHeight="1" x14ac:dyDescent="0.3">
      <c r="G3708" s="459"/>
      <c r="H3708" s="459">
        <v>3701</v>
      </c>
      <c r="I3708" s="444">
        <f t="shared" ca="1" si="155"/>
        <v>-1104932235952.8406</v>
      </c>
      <c r="J3708" s="444">
        <f t="array" ref="J3708">IFERROR(INDEX('Retirement Calculator'!K:K,MATCH('Lorri 401b'!N3708,'Retirement Calculator'!A:A,0),0),0)</f>
        <v>0</v>
      </c>
      <c r="K3708" s="444">
        <f t="shared" ca="1" si="153"/>
        <v>-4603884316.4701691</v>
      </c>
      <c r="L3708" s="444">
        <f t="shared" ca="1" si="154"/>
        <v>-1109536120269.3108</v>
      </c>
      <c r="M3708" s="460">
        <f t="shared" si="156"/>
        <v>0.05</v>
      </c>
      <c r="N3708" s="464">
        <f t="shared" si="157"/>
        <v>163904</v>
      </c>
    </row>
    <row r="3709" spans="7:14" ht="11.25" customHeight="1" x14ac:dyDescent="0.3">
      <c r="G3709" s="459"/>
      <c r="H3709" s="459">
        <v>3702</v>
      </c>
      <c r="I3709" s="444">
        <f t="shared" ca="1" si="155"/>
        <v>-1109536120269.3108</v>
      </c>
      <c r="J3709" s="444">
        <f t="array" ref="J3709">IFERROR(INDEX('Retirement Calculator'!K:K,MATCH('Lorri 401b'!N3709,'Retirement Calculator'!A:A,0),0),0)</f>
        <v>0</v>
      </c>
      <c r="K3709" s="444">
        <f t="shared" ca="1" si="153"/>
        <v>-4623067167.7887945</v>
      </c>
      <c r="L3709" s="444">
        <f t="shared" ca="1" si="154"/>
        <v>-1114159187437.0996</v>
      </c>
      <c r="M3709" s="460">
        <f t="shared" si="156"/>
        <v>0.05</v>
      </c>
      <c r="N3709" s="464">
        <f t="shared" si="157"/>
        <v>163935</v>
      </c>
    </row>
    <row r="3710" spans="7:14" ht="11.25" customHeight="1" x14ac:dyDescent="0.3">
      <c r="G3710" s="459"/>
      <c r="H3710" s="459">
        <v>3703</v>
      </c>
      <c r="I3710" s="444">
        <f t="shared" ca="1" si="155"/>
        <v>-1114159187437.0996</v>
      </c>
      <c r="J3710" s="444">
        <f t="array" ref="J3710">IFERROR(INDEX('Retirement Calculator'!K:K,MATCH('Lorri 401b'!N3710,'Retirement Calculator'!A:A,0),0),0)</f>
        <v>0</v>
      </c>
      <c r="K3710" s="444">
        <f t="shared" ca="1" si="153"/>
        <v>-4642329947.654582</v>
      </c>
      <c r="L3710" s="444">
        <f t="shared" ca="1" si="154"/>
        <v>-1118801517384.7542</v>
      </c>
      <c r="M3710" s="460">
        <f t="shared" si="156"/>
        <v>0.05</v>
      </c>
      <c r="N3710" s="464">
        <f t="shared" si="157"/>
        <v>163965</v>
      </c>
    </row>
    <row r="3711" spans="7:14" ht="11.25" customHeight="1" x14ac:dyDescent="0.3">
      <c r="G3711" s="459"/>
      <c r="H3711" s="459">
        <v>3704</v>
      </c>
      <c r="I3711" s="444">
        <f t="shared" ca="1" si="155"/>
        <v>-1118801517384.7542</v>
      </c>
      <c r="J3711" s="444">
        <f t="array" ref="J3711">IFERROR(INDEX('Retirement Calculator'!K:K,MATCH('Lorri 401b'!N3711,'Retirement Calculator'!A:A,0),0),0)</f>
        <v>0</v>
      </c>
      <c r="K3711" s="444">
        <f t="shared" ca="1" si="153"/>
        <v>-4661672989.1031418</v>
      </c>
      <c r="L3711" s="444">
        <f t="shared" ca="1" si="154"/>
        <v>-1123463190373.8572</v>
      </c>
      <c r="M3711" s="460">
        <f t="shared" si="156"/>
        <v>0.05</v>
      </c>
      <c r="N3711" s="464">
        <f t="shared" si="157"/>
        <v>163996</v>
      </c>
    </row>
    <row r="3712" spans="7:14" ht="11.25" customHeight="1" x14ac:dyDescent="0.3">
      <c r="G3712" s="459"/>
      <c r="H3712" s="459">
        <v>3705</v>
      </c>
      <c r="I3712" s="444">
        <f t="shared" ca="1" si="155"/>
        <v>-1123463190373.8572</v>
      </c>
      <c r="J3712" s="444">
        <f t="array" ref="J3712">IFERROR(INDEX('Retirement Calculator'!K:K,MATCH('Lorri 401b'!N3712,'Retirement Calculator'!A:A,0),0),0)</f>
        <v>0</v>
      </c>
      <c r="K3712" s="444">
        <f t="shared" ca="1" si="153"/>
        <v>-4681096626.5577383</v>
      </c>
      <c r="L3712" s="444">
        <f t="shared" ca="1" si="154"/>
        <v>-1128144287000.4148</v>
      </c>
      <c r="M3712" s="460">
        <f t="shared" si="156"/>
        <v>0.05</v>
      </c>
      <c r="N3712" s="464">
        <f t="shared" si="157"/>
        <v>164027</v>
      </c>
    </row>
    <row r="3713" spans="7:14" ht="11.25" customHeight="1" x14ac:dyDescent="0.3">
      <c r="G3713" s="459"/>
      <c r="H3713" s="459">
        <v>3706</v>
      </c>
      <c r="I3713" s="444">
        <f t="shared" ca="1" si="155"/>
        <v>-1128144287000.4148</v>
      </c>
      <c r="J3713" s="444">
        <f t="array" ref="J3713">IFERROR(INDEX('Retirement Calculator'!K:K,MATCH('Lorri 401b'!N3713,'Retirement Calculator'!A:A,0),0),0)</f>
        <v>0</v>
      </c>
      <c r="K3713" s="444">
        <f t="shared" ca="1" si="153"/>
        <v>-4700601195.835062</v>
      </c>
      <c r="L3713" s="444">
        <f t="shared" ca="1" si="154"/>
        <v>-1132844888196.2498</v>
      </c>
      <c r="M3713" s="460">
        <f t="shared" si="156"/>
        <v>0.05</v>
      </c>
      <c r="N3713" s="464">
        <f t="shared" si="157"/>
        <v>164055</v>
      </c>
    </row>
    <row r="3714" spans="7:14" ht="11.25" customHeight="1" x14ac:dyDescent="0.3">
      <c r="G3714" s="459"/>
      <c r="H3714" s="459">
        <v>3707</v>
      </c>
      <c r="I3714" s="444">
        <f t="shared" ca="1" si="155"/>
        <v>-1132844888196.2498</v>
      </c>
      <c r="J3714" s="444">
        <f t="array" ref="J3714">IFERROR(INDEX('Retirement Calculator'!K:K,MATCH('Lorri 401b'!N3714,'Retirement Calculator'!A:A,0),0),0)</f>
        <v>0</v>
      </c>
      <c r="K3714" s="444">
        <f t="shared" ca="1" si="153"/>
        <v>-4720187034.151041</v>
      </c>
      <c r="L3714" s="444">
        <f t="shared" ca="1" si="154"/>
        <v>-1137565075230.4009</v>
      </c>
      <c r="M3714" s="460">
        <f t="shared" si="156"/>
        <v>0.05</v>
      </c>
      <c r="N3714" s="464">
        <f t="shared" si="157"/>
        <v>164086</v>
      </c>
    </row>
    <row r="3715" spans="7:14" ht="11.25" customHeight="1" x14ac:dyDescent="0.3">
      <c r="G3715" s="459"/>
      <c r="H3715" s="459">
        <v>3708</v>
      </c>
      <c r="I3715" s="444">
        <f t="shared" ca="1" si="155"/>
        <v>-1137565075230.4009</v>
      </c>
      <c r="J3715" s="444">
        <f t="array" ref="J3715">IFERROR(INDEX('Retirement Calculator'!K:K,MATCH('Lorri 401b'!N3715,'Retirement Calculator'!A:A,0),0),0)</f>
        <v>0</v>
      </c>
      <c r="K3715" s="444">
        <f t="shared" ca="1" si="153"/>
        <v>-4739854480.1266699</v>
      </c>
      <c r="L3715" s="444">
        <f t="shared" ca="1" si="154"/>
        <v>-1142304929710.5276</v>
      </c>
      <c r="M3715" s="460">
        <f t="shared" si="156"/>
        <v>0.05</v>
      </c>
      <c r="N3715" s="464">
        <f t="shared" si="157"/>
        <v>164116</v>
      </c>
    </row>
    <row r="3716" spans="7:14" ht="11.25" customHeight="1" x14ac:dyDescent="0.3">
      <c r="G3716" s="459"/>
      <c r="H3716" s="459">
        <v>3709</v>
      </c>
      <c r="I3716" s="444">
        <f t="shared" ca="1" si="155"/>
        <v>-1142304929710.5276</v>
      </c>
      <c r="J3716" s="444">
        <f t="array" ref="J3716">IFERROR(INDEX('Retirement Calculator'!K:K,MATCH('Lorri 401b'!N3716,'Retirement Calculator'!A:A,0),0),0)</f>
        <v>0</v>
      </c>
      <c r="K3716" s="444">
        <f t="shared" ca="1" si="153"/>
        <v>-4759603873.7938652</v>
      </c>
      <c r="L3716" s="444">
        <f t="shared" ca="1" si="154"/>
        <v>-1147064533584.3215</v>
      </c>
      <c r="M3716" s="460">
        <f t="shared" si="156"/>
        <v>0.05</v>
      </c>
      <c r="N3716" s="464">
        <f t="shared" si="157"/>
        <v>164147</v>
      </c>
    </row>
    <row r="3717" spans="7:14" ht="11.25" customHeight="1" x14ac:dyDescent="0.3">
      <c r="G3717" s="459"/>
      <c r="H3717" s="459">
        <v>3710</v>
      </c>
      <c r="I3717" s="444">
        <f t="shared" ca="1" si="155"/>
        <v>-1147064533584.3215</v>
      </c>
      <c r="J3717" s="444">
        <f t="array" ref="J3717">IFERROR(INDEX('Retirement Calculator'!K:K,MATCH('Lorri 401b'!N3717,'Retirement Calculator'!A:A,0),0),0)</f>
        <v>0</v>
      </c>
      <c r="K3717" s="444">
        <f t="shared" ca="1" si="153"/>
        <v>-4779435556.6013393</v>
      </c>
      <c r="L3717" s="444">
        <f t="shared" ca="1" si="154"/>
        <v>-1151843969140.9229</v>
      </c>
      <c r="M3717" s="460">
        <f t="shared" si="156"/>
        <v>0.05</v>
      </c>
      <c r="N3717" s="464">
        <f t="shared" si="157"/>
        <v>164177</v>
      </c>
    </row>
    <row r="3718" spans="7:14" ht="11.25" customHeight="1" x14ac:dyDescent="0.3">
      <c r="G3718" s="459"/>
      <c r="H3718" s="459">
        <v>3711</v>
      </c>
      <c r="I3718" s="444">
        <f t="shared" ca="1" si="155"/>
        <v>-1151843969140.9229</v>
      </c>
      <c r="J3718" s="444">
        <f t="array" ref="J3718">IFERROR(INDEX('Retirement Calculator'!K:K,MATCH('Lorri 401b'!N3718,'Retirement Calculator'!A:A,0),0),0)</f>
        <v>0</v>
      </c>
      <c r="K3718" s="444">
        <f t="shared" ca="1" si="153"/>
        <v>-4799349871.4205122</v>
      </c>
      <c r="L3718" s="444">
        <f t="shared" ca="1" si="154"/>
        <v>-1156643319012.3433</v>
      </c>
      <c r="M3718" s="460">
        <f t="shared" si="156"/>
        <v>0.05</v>
      </c>
      <c r="N3718" s="464">
        <f t="shared" si="157"/>
        <v>164208</v>
      </c>
    </row>
    <row r="3719" spans="7:14" ht="11.25" customHeight="1" x14ac:dyDescent="0.3">
      <c r="G3719" s="459"/>
      <c r="H3719" s="459">
        <v>3712</v>
      </c>
      <c r="I3719" s="444">
        <f t="shared" ca="1" si="155"/>
        <v>-1156643319012.3433</v>
      </c>
      <c r="J3719" s="444">
        <f t="array" ref="J3719">IFERROR(INDEX('Retirement Calculator'!K:K,MATCH('Lorri 401b'!N3719,'Retirement Calculator'!A:A,0),0),0)</f>
        <v>0</v>
      </c>
      <c r="K3719" s="444">
        <f t="shared" ca="1" si="153"/>
        <v>-4819347162.5514297</v>
      </c>
      <c r="L3719" s="444">
        <f t="shared" ca="1" si="154"/>
        <v>-1161462666174.8948</v>
      </c>
      <c r="M3719" s="460">
        <f t="shared" si="156"/>
        <v>0.05</v>
      </c>
      <c r="N3719" s="464">
        <f t="shared" si="157"/>
        <v>164239</v>
      </c>
    </row>
    <row r="3720" spans="7:14" ht="11.25" customHeight="1" x14ac:dyDescent="0.3">
      <c r="G3720" s="459"/>
      <c r="H3720" s="459">
        <v>3713</v>
      </c>
      <c r="I3720" s="444">
        <f t="shared" ca="1" si="155"/>
        <v>-1161462666174.8948</v>
      </c>
      <c r="J3720" s="444">
        <f t="array" ref="J3720">IFERROR(INDEX('Retirement Calculator'!K:K,MATCH('Lorri 401b'!N3720,'Retirement Calculator'!A:A,0),0),0)</f>
        <v>0</v>
      </c>
      <c r="K3720" s="444">
        <f t="shared" ca="1" si="153"/>
        <v>-4839427775.7287283</v>
      </c>
      <c r="L3720" s="444">
        <f t="shared" ca="1" si="154"/>
        <v>-1166302093950.6235</v>
      </c>
      <c r="M3720" s="460">
        <f t="shared" si="156"/>
        <v>0.05</v>
      </c>
      <c r="N3720" s="464">
        <f t="shared" si="157"/>
        <v>164269</v>
      </c>
    </row>
    <row r="3721" spans="7:14" ht="11.25" customHeight="1" x14ac:dyDescent="0.3">
      <c r="G3721" s="459"/>
      <c r="H3721" s="459">
        <v>3714</v>
      </c>
      <c r="I3721" s="444">
        <f t="shared" ca="1" si="155"/>
        <v>-1166302093950.6235</v>
      </c>
      <c r="J3721" s="444">
        <f t="array" ref="J3721">IFERROR(INDEX('Retirement Calculator'!K:K,MATCH('Lorri 401b'!N3721,'Retirement Calculator'!A:A,0),0),0)</f>
        <v>0</v>
      </c>
      <c r="K3721" s="444">
        <f t="shared" ca="1" si="153"/>
        <v>-4859592058.1275978</v>
      </c>
      <c r="L3721" s="444">
        <f t="shared" ca="1" si="154"/>
        <v>-1171161686008.7512</v>
      </c>
      <c r="M3721" s="460">
        <f t="shared" si="156"/>
        <v>0.05</v>
      </c>
      <c r="N3721" s="464">
        <f t="shared" si="157"/>
        <v>164300</v>
      </c>
    </row>
    <row r="3722" spans="7:14" ht="11.25" customHeight="1" x14ac:dyDescent="0.3">
      <c r="G3722" s="459"/>
      <c r="H3722" s="459">
        <v>3715</v>
      </c>
      <c r="I3722" s="444">
        <f t="shared" ca="1" si="155"/>
        <v>-1171161686008.7512</v>
      </c>
      <c r="J3722" s="444">
        <f t="array" ref="J3722">IFERROR(INDEX('Retirement Calculator'!K:K,MATCH('Lorri 401b'!N3722,'Retirement Calculator'!A:A,0),0),0)</f>
        <v>0</v>
      </c>
      <c r="K3722" s="444">
        <f t="shared" ca="1" si="153"/>
        <v>-4879840358.3697968</v>
      </c>
      <c r="L3722" s="444">
        <f t="shared" ca="1" si="154"/>
        <v>-1176041526367.1211</v>
      </c>
      <c r="M3722" s="460">
        <f t="shared" si="156"/>
        <v>0.05</v>
      </c>
      <c r="N3722" s="464">
        <f t="shared" si="157"/>
        <v>164330</v>
      </c>
    </row>
    <row r="3723" spans="7:14" ht="11.25" customHeight="1" x14ac:dyDescent="0.3">
      <c r="G3723" s="459"/>
      <c r="H3723" s="459">
        <v>3716</v>
      </c>
      <c r="I3723" s="444">
        <f t="shared" ca="1" si="155"/>
        <v>-1176041526367.1211</v>
      </c>
      <c r="J3723" s="444">
        <f t="array" ref="J3723">IFERROR(INDEX('Retirement Calculator'!K:K,MATCH('Lorri 401b'!N3723,'Retirement Calculator'!A:A,0),0),0)</f>
        <v>0</v>
      </c>
      <c r="K3723" s="444">
        <f t="shared" ca="1" si="153"/>
        <v>-4900173026.5296707</v>
      </c>
      <c r="L3723" s="444">
        <f t="shared" ca="1" si="154"/>
        <v>-1180941699393.6509</v>
      </c>
      <c r="M3723" s="460">
        <f t="shared" si="156"/>
        <v>0.05</v>
      </c>
      <c r="N3723" s="464">
        <f t="shared" si="157"/>
        <v>164361</v>
      </c>
    </row>
    <row r="3724" spans="7:14" ht="11.25" customHeight="1" x14ac:dyDescent="0.3">
      <c r="G3724" s="459"/>
      <c r="H3724" s="459">
        <v>3717</v>
      </c>
      <c r="I3724" s="444">
        <f t="shared" ca="1" si="155"/>
        <v>-1180941699393.6509</v>
      </c>
      <c r="J3724" s="444">
        <f t="array" ref="J3724">IFERROR(INDEX('Retirement Calculator'!K:K,MATCH('Lorri 401b'!N3724,'Retirement Calculator'!A:A,0),0),0)</f>
        <v>0</v>
      </c>
      <c r="K3724" s="444">
        <f t="shared" ca="1" si="153"/>
        <v>-4920590414.1402121</v>
      </c>
      <c r="L3724" s="444">
        <f t="shared" ca="1" si="154"/>
        <v>-1185862289807.791</v>
      </c>
      <c r="M3724" s="460">
        <f t="shared" si="156"/>
        <v>0.05</v>
      </c>
      <c r="N3724" s="464">
        <f t="shared" si="157"/>
        <v>164392</v>
      </c>
    </row>
    <row r="3725" spans="7:14" ht="11.25" customHeight="1" x14ac:dyDescent="0.3">
      <c r="G3725" s="459"/>
      <c r="H3725" s="459">
        <v>3718</v>
      </c>
      <c r="I3725" s="444">
        <f t="shared" ca="1" si="155"/>
        <v>-1185862289807.791</v>
      </c>
      <c r="J3725" s="444">
        <f t="array" ref="J3725">IFERROR(INDEX('Retirement Calculator'!K:K,MATCH('Lorri 401b'!N3725,'Retirement Calculator'!A:A,0),0),0)</f>
        <v>0</v>
      </c>
      <c r="K3725" s="444">
        <f t="shared" ca="1" si="153"/>
        <v>-4941092874.1991291</v>
      </c>
      <c r="L3725" s="444">
        <f t="shared" ca="1" si="154"/>
        <v>-1190803382681.9902</v>
      </c>
      <c r="M3725" s="460">
        <f t="shared" si="156"/>
        <v>0.05</v>
      </c>
      <c r="N3725" s="464">
        <f t="shared" si="157"/>
        <v>164420</v>
      </c>
    </row>
    <row r="3726" spans="7:14" ht="11.25" customHeight="1" x14ac:dyDescent="0.3">
      <c r="G3726" s="459"/>
      <c r="H3726" s="459">
        <v>3719</v>
      </c>
      <c r="I3726" s="444">
        <f t="shared" ca="1" si="155"/>
        <v>-1190803382681.9902</v>
      </c>
      <c r="J3726" s="444">
        <f t="array" ref="J3726">IFERROR(INDEX('Retirement Calculator'!K:K,MATCH('Lorri 401b'!N3726,'Retirement Calculator'!A:A,0),0),0)</f>
        <v>0</v>
      </c>
      <c r="K3726" s="444">
        <f t="shared" ca="1" si="153"/>
        <v>-4961680761.1749592</v>
      </c>
      <c r="L3726" s="444">
        <f t="shared" ca="1" si="154"/>
        <v>-1195765063443.1653</v>
      </c>
      <c r="M3726" s="460">
        <f t="shared" si="156"/>
        <v>0.05</v>
      </c>
      <c r="N3726" s="464">
        <f t="shared" si="157"/>
        <v>164451</v>
      </c>
    </row>
    <row r="3727" spans="7:14" ht="11.25" customHeight="1" x14ac:dyDescent="0.3">
      <c r="G3727" s="459"/>
      <c r="H3727" s="459">
        <v>3720</v>
      </c>
      <c r="I3727" s="444">
        <f t="shared" ca="1" si="155"/>
        <v>-1195765063443.1653</v>
      </c>
      <c r="J3727" s="444">
        <f t="array" ref="J3727">IFERROR(INDEX('Retirement Calculator'!K:K,MATCH('Lorri 401b'!N3727,'Retirement Calculator'!A:A,0),0),0)</f>
        <v>0</v>
      </c>
      <c r="K3727" s="444">
        <f t="shared" ca="1" si="153"/>
        <v>-4982354431.0131884</v>
      </c>
      <c r="L3727" s="444">
        <f t="shared" ca="1" si="154"/>
        <v>-1200747417874.1785</v>
      </c>
      <c r="M3727" s="460">
        <f t="shared" si="156"/>
        <v>0.05</v>
      </c>
      <c r="N3727" s="464">
        <f t="shared" si="157"/>
        <v>164481</v>
      </c>
    </row>
    <row r="3728" spans="7:14" ht="11.25" customHeight="1" x14ac:dyDescent="0.3">
      <c r="G3728" s="459"/>
      <c r="H3728" s="459">
        <v>3721</v>
      </c>
      <c r="I3728" s="444">
        <f t="shared" ca="1" si="155"/>
        <v>-1200747417874.1785</v>
      </c>
      <c r="J3728" s="444">
        <f t="array" ref="J3728">IFERROR(INDEX('Retirement Calculator'!K:K,MATCH('Lorri 401b'!N3728,'Retirement Calculator'!A:A,0),0),0)</f>
        <v>0</v>
      </c>
      <c r="K3728" s="444">
        <f t="shared" ca="1" si="153"/>
        <v>-5003114241.1424103</v>
      </c>
      <c r="L3728" s="444">
        <f t="shared" ca="1" si="154"/>
        <v>-1205750532115.3208</v>
      </c>
      <c r="M3728" s="460">
        <f t="shared" si="156"/>
        <v>0.05</v>
      </c>
      <c r="N3728" s="464">
        <f t="shared" si="157"/>
        <v>164512</v>
      </c>
    </row>
    <row r="3729" spans="7:14" ht="11.25" customHeight="1" x14ac:dyDescent="0.3">
      <c r="G3729" s="459"/>
      <c r="H3729" s="459">
        <v>3722</v>
      </c>
      <c r="I3729" s="444">
        <f t="shared" ca="1" si="155"/>
        <v>-1205750532115.3208</v>
      </c>
      <c r="J3729" s="444">
        <f t="array" ref="J3729">IFERROR(INDEX('Retirement Calculator'!K:K,MATCH('Lorri 401b'!N3729,'Retirement Calculator'!A:A,0),0),0)</f>
        <v>0</v>
      </c>
      <c r="K3729" s="444">
        <f t="shared" ca="1" si="153"/>
        <v>-5023960550.4805031</v>
      </c>
      <c r="L3729" s="444">
        <f t="shared" ca="1" si="154"/>
        <v>-1210774492665.8013</v>
      </c>
      <c r="M3729" s="460">
        <f t="shared" si="156"/>
        <v>0.05</v>
      </c>
      <c r="N3729" s="464">
        <f t="shared" si="157"/>
        <v>164542</v>
      </c>
    </row>
    <row r="3730" spans="7:14" ht="11.25" customHeight="1" x14ac:dyDescent="0.3">
      <c r="G3730" s="459"/>
      <c r="H3730" s="459">
        <v>3723</v>
      </c>
      <c r="I3730" s="444">
        <f t="shared" ca="1" si="155"/>
        <v>-1210774492665.8013</v>
      </c>
      <c r="J3730" s="444">
        <f t="array" ref="J3730">IFERROR(INDEX('Retirement Calculator'!K:K,MATCH('Lorri 401b'!N3730,'Retirement Calculator'!A:A,0),0),0)</f>
        <v>0</v>
      </c>
      <c r="K3730" s="444">
        <f t="shared" ca="1" si="153"/>
        <v>-5044893719.4408388</v>
      </c>
      <c r="L3730" s="444">
        <f t="shared" ca="1" si="154"/>
        <v>-1215819386385.2422</v>
      </c>
      <c r="M3730" s="460">
        <f t="shared" si="156"/>
        <v>0.05</v>
      </c>
      <c r="N3730" s="464">
        <f t="shared" si="157"/>
        <v>164573</v>
      </c>
    </row>
    <row r="3731" spans="7:14" ht="11.25" customHeight="1" x14ac:dyDescent="0.3">
      <c r="G3731" s="459"/>
      <c r="H3731" s="459">
        <v>3724</v>
      </c>
      <c r="I3731" s="444">
        <f t="shared" ca="1" si="155"/>
        <v>-1215819386385.2422</v>
      </c>
      <c r="J3731" s="444">
        <f t="array" ref="J3731">IFERROR(INDEX('Retirement Calculator'!K:K,MATCH('Lorri 401b'!N3731,'Retirement Calculator'!A:A,0),0),0)</f>
        <v>0</v>
      </c>
      <c r="K3731" s="444">
        <f t="shared" ca="1" si="153"/>
        <v>-5065914109.938509</v>
      </c>
      <c r="L3731" s="444">
        <f t="shared" ca="1" si="154"/>
        <v>-1220885300495.1807</v>
      </c>
      <c r="M3731" s="460">
        <f t="shared" si="156"/>
        <v>0.05</v>
      </c>
      <c r="N3731" s="464">
        <f t="shared" si="157"/>
        <v>164604</v>
      </c>
    </row>
    <row r="3732" spans="7:14" ht="11.25" customHeight="1" x14ac:dyDescent="0.3">
      <c r="G3732" s="459"/>
      <c r="H3732" s="459">
        <v>3725</v>
      </c>
      <c r="I3732" s="444">
        <f t="shared" ca="1" si="155"/>
        <v>-1220885300495.1807</v>
      </c>
      <c r="J3732" s="444">
        <f t="array" ref="J3732">IFERROR(INDEX('Retirement Calculator'!K:K,MATCH('Lorri 401b'!N3732,'Retirement Calculator'!A:A,0),0),0)</f>
        <v>0</v>
      </c>
      <c r="K3732" s="444">
        <f t="shared" ca="1" si="153"/>
        <v>-5087022085.3965864</v>
      </c>
      <c r="L3732" s="444">
        <f t="shared" ca="1" si="154"/>
        <v>-1225972322580.5771</v>
      </c>
      <c r="M3732" s="460">
        <f t="shared" si="156"/>
        <v>0.05</v>
      </c>
      <c r="N3732" s="464">
        <f t="shared" si="157"/>
        <v>164634</v>
      </c>
    </row>
    <row r="3733" spans="7:14" ht="11.25" customHeight="1" x14ac:dyDescent="0.3">
      <c r="G3733" s="459"/>
      <c r="H3733" s="459">
        <v>3726</v>
      </c>
      <c r="I3733" s="444">
        <f t="shared" ca="1" si="155"/>
        <v>-1225972322580.5771</v>
      </c>
      <c r="J3733" s="444">
        <f t="array" ref="J3733">IFERROR(INDEX('Retirement Calculator'!K:K,MATCH('Lorri 401b'!N3733,'Retirement Calculator'!A:A,0),0),0)</f>
        <v>0</v>
      </c>
      <c r="K3733" s="444">
        <f t="shared" ca="1" si="153"/>
        <v>-5108218010.7524052</v>
      </c>
      <c r="L3733" s="444">
        <f t="shared" ca="1" si="154"/>
        <v>-1231080540591.3296</v>
      </c>
      <c r="M3733" s="460">
        <f t="shared" si="156"/>
        <v>0.05</v>
      </c>
      <c r="N3733" s="464">
        <f t="shared" si="157"/>
        <v>164665</v>
      </c>
    </row>
    <row r="3734" spans="7:14" ht="11.25" customHeight="1" x14ac:dyDescent="0.3">
      <c r="G3734" s="459"/>
      <c r="H3734" s="459">
        <v>3727</v>
      </c>
      <c r="I3734" s="444">
        <f t="shared" ca="1" si="155"/>
        <v>-1231080540591.3296</v>
      </c>
      <c r="J3734" s="444">
        <f t="array" ref="J3734">IFERROR(INDEX('Retirement Calculator'!K:K,MATCH('Lorri 401b'!N3734,'Retirement Calculator'!A:A,0),0),0)</f>
        <v>0</v>
      </c>
      <c r="K3734" s="444">
        <f t="shared" ca="1" si="153"/>
        <v>-5129502252.4638729</v>
      </c>
      <c r="L3734" s="444">
        <f t="shared" ca="1" si="154"/>
        <v>-1236210042843.7935</v>
      </c>
      <c r="M3734" s="460">
        <f t="shared" si="156"/>
        <v>0.05</v>
      </c>
      <c r="N3734" s="464">
        <f t="shared" si="157"/>
        <v>164695</v>
      </c>
    </row>
    <row r="3735" spans="7:14" ht="11.25" customHeight="1" x14ac:dyDescent="0.3">
      <c r="G3735" s="459"/>
      <c r="H3735" s="459">
        <v>3728</v>
      </c>
      <c r="I3735" s="444">
        <f t="shared" ca="1" si="155"/>
        <v>-1236210042843.7935</v>
      </c>
      <c r="J3735" s="444">
        <f t="array" ref="J3735">IFERROR(INDEX('Retirement Calculator'!K:K,MATCH('Lorri 401b'!N3735,'Retirement Calculator'!A:A,0),0),0)</f>
        <v>0</v>
      </c>
      <c r="K3735" s="444">
        <f t="shared" ca="1" si="153"/>
        <v>-5150875178.5158062</v>
      </c>
      <c r="L3735" s="444">
        <f t="shared" ca="1" si="154"/>
        <v>-1241360918022.3093</v>
      </c>
      <c r="M3735" s="460">
        <f t="shared" si="156"/>
        <v>0.05</v>
      </c>
      <c r="N3735" s="464">
        <f t="shared" si="157"/>
        <v>164726</v>
      </c>
    </row>
    <row r="3736" spans="7:14" ht="11.25" customHeight="1" x14ac:dyDescent="0.3">
      <c r="G3736" s="459"/>
      <c r="H3736" s="459">
        <v>3729</v>
      </c>
      <c r="I3736" s="444">
        <f t="shared" ca="1" si="155"/>
        <v>-1241360918022.3093</v>
      </c>
      <c r="J3736" s="444">
        <f t="array" ref="J3736">IFERROR(INDEX('Retirement Calculator'!K:K,MATCH('Lorri 401b'!N3736,'Retirement Calculator'!A:A,0),0),0)</f>
        <v>0</v>
      </c>
      <c r="K3736" s="444">
        <f t="shared" ca="1" si="153"/>
        <v>-5172337158.4262886</v>
      </c>
      <c r="L3736" s="444">
        <f t="shared" ca="1" si="154"/>
        <v>-1246533255180.7356</v>
      </c>
      <c r="M3736" s="460">
        <f t="shared" si="156"/>
        <v>0.05</v>
      </c>
      <c r="N3736" s="464">
        <f t="shared" si="157"/>
        <v>164757</v>
      </c>
    </row>
    <row r="3737" spans="7:14" ht="11.25" customHeight="1" x14ac:dyDescent="0.3">
      <c r="G3737" s="459"/>
      <c r="H3737" s="459">
        <v>3730</v>
      </c>
      <c r="I3737" s="444">
        <f t="shared" ca="1" si="155"/>
        <v>-1246533255180.7356</v>
      </c>
      <c r="J3737" s="444">
        <f t="array" ref="J3737">IFERROR(INDEX('Retirement Calculator'!K:K,MATCH('Lorri 401b'!N3737,'Retirement Calculator'!A:A,0),0),0)</f>
        <v>0</v>
      </c>
      <c r="K3737" s="444">
        <f t="shared" ca="1" si="153"/>
        <v>-5193888563.2530651</v>
      </c>
      <c r="L3737" s="444">
        <f t="shared" ca="1" si="154"/>
        <v>-1251727143743.9888</v>
      </c>
      <c r="M3737" s="460">
        <f t="shared" si="156"/>
        <v>0.05</v>
      </c>
      <c r="N3737" s="464">
        <f t="shared" si="157"/>
        <v>164785</v>
      </c>
    </row>
    <row r="3738" spans="7:14" ht="11.25" customHeight="1" x14ac:dyDescent="0.3">
      <c r="G3738" s="459"/>
      <c r="H3738" s="459">
        <v>3731</v>
      </c>
      <c r="I3738" s="444">
        <f t="shared" ca="1" si="155"/>
        <v>-1251727143743.9888</v>
      </c>
      <c r="J3738" s="444">
        <f t="array" ref="J3738">IFERROR(INDEX('Retirement Calculator'!K:K,MATCH('Lorri 401b'!N3738,'Retirement Calculator'!A:A,0),0),0)</f>
        <v>0</v>
      </c>
      <c r="K3738" s="444">
        <f t="shared" ca="1" si="153"/>
        <v>-5215529765.5999527</v>
      </c>
      <c r="L3738" s="444">
        <f t="shared" ca="1" si="154"/>
        <v>-1256942673509.5886</v>
      </c>
      <c r="M3738" s="460">
        <f t="shared" si="156"/>
        <v>0.05</v>
      </c>
      <c r="N3738" s="464">
        <f t="shared" si="157"/>
        <v>164816</v>
      </c>
    </row>
    <row r="3739" spans="7:14" ht="11.25" customHeight="1" x14ac:dyDescent="0.3">
      <c r="G3739" s="459"/>
      <c r="H3739" s="459">
        <v>3732</v>
      </c>
      <c r="I3739" s="444">
        <f t="shared" ca="1" si="155"/>
        <v>-1256942673509.5886</v>
      </c>
      <c r="J3739" s="444">
        <f t="array" ref="J3739">IFERROR(INDEX('Retirement Calculator'!K:K,MATCH('Lorri 401b'!N3739,'Retirement Calculator'!A:A,0),0),0)</f>
        <v>0</v>
      </c>
      <c r="K3739" s="444">
        <f t="shared" ca="1" si="153"/>
        <v>-5237261139.6232862</v>
      </c>
      <c r="L3739" s="444">
        <f t="shared" ca="1" si="154"/>
        <v>-1262179934649.2119</v>
      </c>
      <c r="M3739" s="460">
        <f t="shared" si="156"/>
        <v>0.05</v>
      </c>
      <c r="N3739" s="464">
        <f t="shared" si="157"/>
        <v>164846</v>
      </c>
    </row>
    <row r="3740" spans="7:14" ht="11.25" customHeight="1" x14ac:dyDescent="0.3">
      <c r="G3740" s="459"/>
      <c r="H3740" s="459">
        <v>3733</v>
      </c>
      <c r="I3740" s="444">
        <f t="shared" ca="1" si="155"/>
        <v>-1262179934649.2119</v>
      </c>
      <c r="J3740" s="444">
        <f t="array" ref="J3740">IFERROR(INDEX('Retirement Calculator'!K:K,MATCH('Lorri 401b'!N3740,'Retirement Calculator'!A:A,0),0),0)</f>
        <v>0</v>
      </c>
      <c r="K3740" s="444">
        <f t="shared" ca="1" si="153"/>
        <v>-5259083061.0383825</v>
      </c>
      <c r="L3740" s="444">
        <f t="shared" ca="1" si="154"/>
        <v>-1267439017710.2502</v>
      </c>
      <c r="M3740" s="460">
        <f t="shared" si="156"/>
        <v>0.05</v>
      </c>
      <c r="N3740" s="464">
        <f t="shared" si="157"/>
        <v>164877</v>
      </c>
    </row>
    <row r="3741" spans="7:14" ht="11.25" customHeight="1" x14ac:dyDescent="0.3">
      <c r="G3741" s="459"/>
      <c r="H3741" s="459">
        <v>3734</v>
      </c>
      <c r="I3741" s="444">
        <f t="shared" ca="1" si="155"/>
        <v>-1267439017710.2502</v>
      </c>
      <c r="J3741" s="444">
        <f t="array" ref="J3741">IFERROR(INDEX('Retirement Calculator'!K:K,MATCH('Lorri 401b'!N3741,'Retirement Calculator'!A:A,0),0),0)</f>
        <v>0</v>
      </c>
      <c r="K3741" s="444">
        <f t="shared" ca="1" si="153"/>
        <v>-5280995907.1260424</v>
      </c>
      <c r="L3741" s="444">
        <f t="shared" ca="1" si="154"/>
        <v>-1272720013617.3762</v>
      </c>
      <c r="M3741" s="460">
        <f t="shared" si="156"/>
        <v>0.05</v>
      </c>
      <c r="N3741" s="464">
        <f t="shared" si="157"/>
        <v>164907</v>
      </c>
    </row>
    <row r="3742" spans="7:14" ht="11.25" customHeight="1" x14ac:dyDescent="0.3">
      <c r="G3742" s="459"/>
      <c r="H3742" s="459">
        <v>3735</v>
      </c>
      <c r="I3742" s="444">
        <f t="shared" ca="1" si="155"/>
        <v>-1272720013617.3762</v>
      </c>
      <c r="J3742" s="444">
        <f t="array" ref="J3742">IFERROR(INDEX('Retirement Calculator'!K:K,MATCH('Lorri 401b'!N3742,'Retirement Calculator'!A:A,0),0),0)</f>
        <v>0</v>
      </c>
      <c r="K3742" s="444">
        <f t="shared" ca="1" si="153"/>
        <v>-5303000056.7390671</v>
      </c>
      <c r="L3742" s="444">
        <f t="shared" ca="1" si="154"/>
        <v>-1278023013674.1152</v>
      </c>
      <c r="M3742" s="460">
        <f t="shared" si="156"/>
        <v>0.05</v>
      </c>
      <c r="N3742" s="464">
        <f t="shared" si="157"/>
        <v>164938</v>
      </c>
    </row>
    <row r="3743" spans="7:14" ht="11.25" customHeight="1" x14ac:dyDescent="0.3">
      <c r="G3743" s="459"/>
      <c r="H3743" s="459">
        <v>3736</v>
      </c>
      <c r="I3743" s="444">
        <f t="shared" ca="1" si="155"/>
        <v>-1278023013674.1152</v>
      </c>
      <c r="J3743" s="444">
        <f t="array" ref="J3743">IFERROR(INDEX('Retirement Calculator'!K:K,MATCH('Lorri 401b'!N3743,'Retirement Calculator'!A:A,0),0),0)</f>
        <v>0</v>
      </c>
      <c r="K3743" s="444">
        <f t="shared" ca="1" si="153"/>
        <v>-5325095890.3088131</v>
      </c>
      <c r="L3743" s="444">
        <f t="shared" ca="1" si="154"/>
        <v>-1283348109564.4241</v>
      </c>
      <c r="M3743" s="460">
        <f t="shared" si="156"/>
        <v>0.05</v>
      </c>
      <c r="N3743" s="464">
        <f t="shared" si="157"/>
        <v>164969</v>
      </c>
    </row>
    <row r="3744" spans="7:14" ht="11.25" customHeight="1" x14ac:dyDescent="0.3">
      <c r="G3744" s="459"/>
      <c r="H3744" s="459">
        <v>3737</v>
      </c>
      <c r="I3744" s="444">
        <f t="shared" ca="1" si="155"/>
        <v>-1283348109564.4241</v>
      </c>
      <c r="J3744" s="444">
        <f t="array" ref="J3744">IFERROR(INDEX('Retirement Calculator'!K:K,MATCH('Lorri 401b'!N3744,'Retirement Calculator'!A:A,0),0),0)</f>
        <v>0</v>
      </c>
      <c r="K3744" s="444">
        <f t="shared" ca="1" si="153"/>
        <v>-5347283789.8517666</v>
      </c>
      <c r="L3744" s="444">
        <f t="shared" ca="1" si="154"/>
        <v>-1288695393354.2759</v>
      </c>
      <c r="M3744" s="460">
        <f t="shared" si="156"/>
        <v>0.05</v>
      </c>
      <c r="N3744" s="464">
        <f t="shared" si="157"/>
        <v>164999</v>
      </c>
    </row>
    <row r="3745" spans="7:14" ht="11.25" customHeight="1" x14ac:dyDescent="0.3">
      <c r="G3745" s="459"/>
      <c r="H3745" s="459">
        <v>3738</v>
      </c>
      <c r="I3745" s="444">
        <f t="shared" ca="1" si="155"/>
        <v>-1288695393354.2759</v>
      </c>
      <c r="J3745" s="444">
        <f t="array" ref="J3745">IFERROR(INDEX('Retirement Calculator'!K:K,MATCH('Lorri 401b'!N3745,'Retirement Calculator'!A:A,0),0),0)</f>
        <v>0</v>
      </c>
      <c r="K3745" s="444">
        <f t="shared" ca="1" si="153"/>
        <v>-5369564138.9761496</v>
      </c>
      <c r="L3745" s="444">
        <f t="shared" ca="1" si="154"/>
        <v>-1294064957493.252</v>
      </c>
      <c r="M3745" s="460">
        <f t="shared" si="156"/>
        <v>0.05</v>
      </c>
      <c r="N3745" s="464">
        <f t="shared" si="157"/>
        <v>165030</v>
      </c>
    </row>
    <row r="3746" spans="7:14" ht="11.25" customHeight="1" x14ac:dyDescent="0.3">
      <c r="G3746" s="459"/>
      <c r="H3746" s="459">
        <v>3739</v>
      </c>
      <c r="I3746" s="444">
        <f t="shared" ca="1" si="155"/>
        <v>-1294064957493.252</v>
      </c>
      <c r="J3746" s="444">
        <f t="array" ref="J3746">IFERROR(INDEX('Retirement Calculator'!K:K,MATCH('Lorri 401b'!N3746,'Retirement Calculator'!A:A,0),0),0)</f>
        <v>0</v>
      </c>
      <c r="K3746" s="444">
        <f t="shared" ca="1" si="153"/>
        <v>-5391937322.8885498</v>
      </c>
      <c r="L3746" s="444">
        <f t="shared" ca="1" si="154"/>
        <v>-1299456894816.1406</v>
      </c>
      <c r="M3746" s="460">
        <f t="shared" si="156"/>
        <v>0.05</v>
      </c>
      <c r="N3746" s="464">
        <f t="shared" si="157"/>
        <v>165060</v>
      </c>
    </row>
    <row r="3747" spans="7:14" ht="11.25" customHeight="1" x14ac:dyDescent="0.3">
      <c r="G3747" s="459"/>
      <c r="H3747" s="459">
        <v>3740</v>
      </c>
      <c r="I3747" s="444">
        <f t="shared" ca="1" si="155"/>
        <v>-1299456894816.1406</v>
      </c>
      <c r="J3747" s="444">
        <f t="array" ref="J3747">IFERROR(INDEX('Retirement Calculator'!K:K,MATCH('Lorri 401b'!N3747,'Retirement Calculator'!A:A,0),0),0)</f>
        <v>0</v>
      </c>
      <c r="K3747" s="444">
        <f t="shared" ca="1" si="153"/>
        <v>-5414403728.4005861</v>
      </c>
      <c r="L3747" s="444">
        <f t="shared" ca="1" si="154"/>
        <v>-1304871298544.5413</v>
      </c>
      <c r="M3747" s="460">
        <f t="shared" si="156"/>
        <v>0.05</v>
      </c>
      <c r="N3747" s="464">
        <f t="shared" si="157"/>
        <v>165091</v>
      </c>
    </row>
    <row r="3748" spans="7:14" ht="11.25" customHeight="1" x14ac:dyDescent="0.3">
      <c r="G3748" s="459"/>
      <c r="H3748" s="459">
        <v>3741</v>
      </c>
      <c r="I3748" s="444">
        <f t="shared" ca="1" si="155"/>
        <v>-1304871298544.5413</v>
      </c>
      <c r="J3748" s="444">
        <f t="array" ref="J3748">IFERROR(INDEX('Retirement Calculator'!K:K,MATCH('Lorri 401b'!N3748,'Retirement Calculator'!A:A,0),0),0)</f>
        <v>0</v>
      </c>
      <c r="K3748" s="444">
        <f t="shared" ca="1" si="153"/>
        <v>-5436963743.9355888</v>
      </c>
      <c r="L3748" s="444">
        <f t="shared" ca="1" si="154"/>
        <v>-1310308262288.4768</v>
      </c>
      <c r="M3748" s="460">
        <f t="shared" si="156"/>
        <v>0.05</v>
      </c>
      <c r="N3748" s="464">
        <f t="shared" si="157"/>
        <v>165122</v>
      </c>
    </row>
    <row r="3749" spans="7:14" ht="11.25" customHeight="1" x14ac:dyDescent="0.3">
      <c r="G3749" s="459"/>
      <c r="H3749" s="459">
        <v>3742</v>
      </c>
      <c r="I3749" s="444">
        <f t="shared" ca="1" si="155"/>
        <v>-1310308262288.4768</v>
      </c>
      <c r="J3749" s="444">
        <f t="array" ref="J3749">IFERROR(INDEX('Retirement Calculator'!K:K,MATCH('Lorri 401b'!N3749,'Retirement Calculator'!A:A,0),0),0)</f>
        <v>0</v>
      </c>
      <c r="K3749" s="444">
        <f t="shared" ca="1" si="153"/>
        <v>-5459617759.5353203</v>
      </c>
      <c r="L3749" s="444">
        <f t="shared" ca="1" si="154"/>
        <v>-1315767880048.0122</v>
      </c>
      <c r="M3749" s="460">
        <f t="shared" si="156"/>
        <v>0.05</v>
      </c>
      <c r="N3749" s="464">
        <f t="shared" si="157"/>
        <v>165151</v>
      </c>
    </row>
    <row r="3750" spans="7:14" ht="11.25" customHeight="1" x14ac:dyDescent="0.3">
      <c r="G3750" s="459"/>
      <c r="H3750" s="459">
        <v>3743</v>
      </c>
      <c r="I3750" s="444">
        <f t="shared" ca="1" si="155"/>
        <v>-1315767880048.0122</v>
      </c>
      <c r="J3750" s="444">
        <f t="array" ref="J3750">IFERROR(INDEX('Retirement Calculator'!K:K,MATCH('Lorri 401b'!N3750,'Retirement Calculator'!A:A,0),0),0)</f>
        <v>0</v>
      </c>
      <c r="K3750" s="444">
        <f t="shared" ca="1" si="153"/>
        <v>-5482366166.8667173</v>
      </c>
      <c r="L3750" s="444">
        <f t="shared" ca="1" si="154"/>
        <v>-1321250246214.8789</v>
      </c>
      <c r="M3750" s="460">
        <f t="shared" si="156"/>
        <v>0.05</v>
      </c>
      <c r="N3750" s="464">
        <f t="shared" si="157"/>
        <v>165182</v>
      </c>
    </row>
    <row r="3751" spans="7:14" ht="11.25" customHeight="1" x14ac:dyDescent="0.3">
      <c r="G3751" s="459"/>
      <c r="H3751" s="459">
        <v>3744</v>
      </c>
      <c r="I3751" s="444">
        <f t="shared" ca="1" si="155"/>
        <v>-1321250246214.8789</v>
      </c>
      <c r="J3751" s="444">
        <f t="array" ref="J3751">IFERROR(INDEX('Retirement Calculator'!K:K,MATCH('Lorri 401b'!N3751,'Retirement Calculator'!A:A,0),0),0)</f>
        <v>0</v>
      </c>
      <c r="K3751" s="444">
        <f t="shared" ca="1" si="153"/>
        <v>-5505209359.2286625</v>
      </c>
      <c r="L3751" s="444">
        <f t="shared" ca="1" si="154"/>
        <v>-1326755455574.1077</v>
      </c>
      <c r="M3751" s="460">
        <f t="shared" si="156"/>
        <v>0.05</v>
      </c>
      <c r="N3751" s="464">
        <f t="shared" si="157"/>
        <v>165212</v>
      </c>
    </row>
    <row r="3752" spans="7:14" ht="11.25" customHeight="1" x14ac:dyDescent="0.3">
      <c r="G3752" s="459"/>
      <c r="H3752" s="459">
        <v>3745</v>
      </c>
      <c r="I3752" s="444">
        <f t="shared" ca="1" si="155"/>
        <v>-1326755455574.1077</v>
      </c>
      <c r="J3752" s="444">
        <f t="array" ref="J3752">IFERROR(INDEX('Retirement Calculator'!K:K,MATCH('Lorri 401b'!N3752,'Retirement Calculator'!A:A,0),0),0)</f>
        <v>0</v>
      </c>
      <c r="K3752" s="444">
        <f t="shared" ca="1" si="153"/>
        <v>-5528147731.5587816</v>
      </c>
      <c r="L3752" s="444">
        <f t="shared" ca="1" si="154"/>
        <v>-1332283603305.6665</v>
      </c>
      <c r="M3752" s="460">
        <f t="shared" si="156"/>
        <v>0.05</v>
      </c>
      <c r="N3752" s="464">
        <f t="shared" si="157"/>
        <v>165243</v>
      </c>
    </row>
    <row r="3753" spans="7:14" ht="11.25" customHeight="1" x14ac:dyDescent="0.3">
      <c r="G3753" s="459"/>
      <c r="H3753" s="459">
        <v>3746</v>
      </c>
      <c r="I3753" s="444">
        <f t="shared" ca="1" si="155"/>
        <v>-1332283603305.6665</v>
      </c>
      <c r="J3753" s="444">
        <f t="array" ref="J3753">IFERROR(INDEX('Retirement Calculator'!K:K,MATCH('Lorri 401b'!N3753,'Retirement Calculator'!A:A,0),0),0)</f>
        <v>0</v>
      </c>
      <c r="K3753" s="444">
        <f t="shared" ca="1" si="153"/>
        <v>-5551181680.4402771</v>
      </c>
      <c r="L3753" s="444">
        <f t="shared" ca="1" si="154"/>
        <v>-1337834784986.1067</v>
      </c>
      <c r="M3753" s="460">
        <f t="shared" si="156"/>
        <v>0.05</v>
      </c>
      <c r="N3753" s="464">
        <f t="shared" si="157"/>
        <v>165273</v>
      </c>
    </row>
    <row r="3754" spans="7:14" ht="11.25" customHeight="1" x14ac:dyDescent="0.3">
      <c r="G3754" s="459"/>
      <c r="H3754" s="459">
        <v>3747</v>
      </c>
      <c r="I3754" s="444">
        <f t="shared" ca="1" si="155"/>
        <v>-1337834784986.1067</v>
      </c>
      <c r="J3754" s="444">
        <f t="array" ref="J3754">IFERROR(INDEX('Retirement Calculator'!K:K,MATCH('Lorri 401b'!N3754,'Retirement Calculator'!A:A,0),0),0)</f>
        <v>0</v>
      </c>
      <c r="K3754" s="444">
        <f t="shared" ca="1" si="153"/>
        <v>-5574311604.108778</v>
      </c>
      <c r="L3754" s="444">
        <f t="shared" ca="1" si="154"/>
        <v>-1343409096590.2156</v>
      </c>
      <c r="M3754" s="460">
        <f t="shared" si="156"/>
        <v>0.05</v>
      </c>
      <c r="N3754" s="464">
        <f t="shared" si="157"/>
        <v>165304</v>
      </c>
    </row>
    <row r="3755" spans="7:14" ht="11.25" customHeight="1" x14ac:dyDescent="0.3">
      <c r="G3755" s="459"/>
      <c r="H3755" s="459">
        <v>3748</v>
      </c>
      <c r="I3755" s="444">
        <f t="shared" ca="1" si="155"/>
        <v>-1343409096590.2156</v>
      </c>
      <c r="J3755" s="444">
        <f t="array" ref="J3755">IFERROR(INDEX('Retirement Calculator'!K:K,MATCH('Lorri 401b'!N3755,'Retirement Calculator'!A:A,0),0),0)</f>
        <v>0</v>
      </c>
      <c r="K3755" s="444">
        <f t="shared" ca="1" si="153"/>
        <v>-5597537902.4592314</v>
      </c>
      <c r="L3755" s="444">
        <f t="shared" ca="1" si="154"/>
        <v>-1349006634492.6748</v>
      </c>
      <c r="M3755" s="460">
        <f t="shared" si="156"/>
        <v>0.05</v>
      </c>
      <c r="N3755" s="464">
        <f t="shared" si="157"/>
        <v>165335</v>
      </c>
    </row>
    <row r="3756" spans="7:14" ht="11.25" customHeight="1" x14ac:dyDescent="0.3">
      <c r="G3756" s="459"/>
      <c r="H3756" s="459">
        <v>3749</v>
      </c>
      <c r="I3756" s="444">
        <f t="shared" ca="1" si="155"/>
        <v>-1349006634492.6748</v>
      </c>
      <c r="J3756" s="444">
        <f t="array" ref="J3756">IFERROR(INDEX('Retirement Calculator'!K:K,MATCH('Lorri 401b'!N3756,'Retirement Calculator'!A:A,0),0),0)</f>
        <v>0</v>
      </c>
      <c r="K3756" s="444">
        <f t="shared" ca="1" si="153"/>
        <v>-5620860977.0528116</v>
      </c>
      <c r="L3756" s="444">
        <f t="shared" ca="1" si="154"/>
        <v>-1354627495469.7275</v>
      </c>
      <c r="M3756" s="460">
        <f t="shared" si="156"/>
        <v>0.05</v>
      </c>
      <c r="N3756" s="464">
        <f t="shared" si="157"/>
        <v>165365</v>
      </c>
    </row>
    <row r="3757" spans="7:14" ht="11.25" customHeight="1" x14ac:dyDescent="0.3">
      <c r="G3757" s="459"/>
      <c r="H3757" s="459">
        <v>3750</v>
      </c>
      <c r="I3757" s="444">
        <f t="shared" ca="1" si="155"/>
        <v>-1354627495469.7275</v>
      </c>
      <c r="J3757" s="444">
        <f t="array" ref="J3757">IFERROR(INDEX('Retirement Calculator'!K:K,MATCH('Lorri 401b'!N3757,'Retirement Calculator'!A:A,0),0),0)</f>
        <v>0</v>
      </c>
      <c r="K3757" s="444">
        <f t="shared" ca="1" si="153"/>
        <v>-5644281231.1238651</v>
      </c>
      <c r="L3757" s="444">
        <f t="shared" ca="1" si="154"/>
        <v>-1360271776700.8513</v>
      </c>
      <c r="M3757" s="460">
        <f t="shared" si="156"/>
        <v>0.05</v>
      </c>
      <c r="N3757" s="464">
        <f t="shared" si="157"/>
        <v>165396</v>
      </c>
    </row>
    <row r="3758" spans="7:14" ht="11.25" customHeight="1" x14ac:dyDescent="0.3">
      <c r="G3758" s="459"/>
      <c r="H3758" s="459">
        <v>3751</v>
      </c>
      <c r="I3758" s="444">
        <f t="shared" ca="1" si="155"/>
        <v>-1360271776700.8513</v>
      </c>
      <c r="J3758" s="444">
        <f t="array" ref="J3758">IFERROR(INDEX('Retirement Calculator'!K:K,MATCH('Lorri 401b'!N3758,'Retirement Calculator'!A:A,0),0),0)</f>
        <v>0</v>
      </c>
      <c r="K3758" s="444">
        <f t="shared" ca="1" si="153"/>
        <v>-5667799069.5868807</v>
      </c>
      <c r="L3758" s="444">
        <f t="shared" ca="1" si="154"/>
        <v>-1365939575770.4382</v>
      </c>
      <c r="M3758" s="460">
        <f t="shared" si="156"/>
        <v>0.05</v>
      </c>
      <c r="N3758" s="464">
        <f t="shared" si="157"/>
        <v>165426</v>
      </c>
    </row>
    <row r="3759" spans="7:14" ht="11.25" customHeight="1" x14ac:dyDescent="0.3">
      <c r="G3759" s="459"/>
      <c r="H3759" s="459">
        <v>3752</v>
      </c>
      <c r="I3759" s="444">
        <f t="shared" ca="1" si="155"/>
        <v>-1365939575770.4382</v>
      </c>
      <c r="J3759" s="444">
        <f t="array" ref="J3759">IFERROR(INDEX('Retirement Calculator'!K:K,MATCH('Lorri 401b'!N3759,'Retirement Calculator'!A:A,0),0),0)</f>
        <v>0</v>
      </c>
      <c r="K3759" s="444">
        <f t="shared" ca="1" si="153"/>
        <v>-5691414899.0434923</v>
      </c>
      <c r="L3759" s="444">
        <f t="shared" ca="1" si="154"/>
        <v>-1371630990669.4817</v>
      </c>
      <c r="M3759" s="460">
        <f t="shared" si="156"/>
        <v>0.05</v>
      </c>
      <c r="N3759" s="464">
        <f t="shared" si="157"/>
        <v>165457</v>
      </c>
    </row>
    <row r="3760" spans="7:14" ht="11.25" customHeight="1" x14ac:dyDescent="0.3">
      <c r="G3760" s="459"/>
      <c r="H3760" s="459">
        <v>3753</v>
      </c>
      <c r="I3760" s="444">
        <f t="shared" ca="1" si="155"/>
        <v>-1371630990669.4817</v>
      </c>
      <c r="J3760" s="444">
        <f t="array" ref="J3760">IFERROR(INDEX('Retirement Calculator'!K:K,MATCH('Lorri 401b'!N3760,'Retirement Calculator'!A:A,0),0),0)</f>
        <v>0</v>
      </c>
      <c r="K3760" s="444">
        <f t="shared" ca="1" si="153"/>
        <v>-5715129127.7895069</v>
      </c>
      <c r="L3760" s="444">
        <f t="shared" ca="1" si="154"/>
        <v>-1377346119797.2712</v>
      </c>
      <c r="M3760" s="460">
        <f t="shared" si="156"/>
        <v>0.05</v>
      </c>
      <c r="N3760" s="464">
        <f t="shared" si="157"/>
        <v>165488</v>
      </c>
    </row>
    <row r="3761" spans="7:14" ht="11.25" customHeight="1" x14ac:dyDescent="0.3">
      <c r="G3761" s="459"/>
      <c r="H3761" s="459">
        <v>3754</v>
      </c>
      <c r="I3761" s="444">
        <f t="shared" ca="1" si="155"/>
        <v>-1377346119797.2712</v>
      </c>
      <c r="J3761" s="444">
        <f t="array" ref="J3761">IFERROR(INDEX('Retirement Calculator'!K:K,MATCH('Lorri 401b'!N3761,'Retirement Calculator'!A:A,0),0),0)</f>
        <v>0</v>
      </c>
      <c r="K3761" s="444">
        <f t="shared" ca="1" si="153"/>
        <v>-5738942165.8219633</v>
      </c>
      <c r="L3761" s="444">
        <f t="shared" ca="1" si="154"/>
        <v>-1383085061963.0933</v>
      </c>
      <c r="M3761" s="460">
        <f t="shared" si="156"/>
        <v>0.05</v>
      </c>
      <c r="N3761" s="464">
        <f t="shared" si="157"/>
        <v>165516</v>
      </c>
    </row>
    <row r="3762" spans="7:14" ht="11.25" customHeight="1" x14ac:dyDescent="0.3">
      <c r="G3762" s="459"/>
      <c r="H3762" s="459">
        <v>3755</v>
      </c>
      <c r="I3762" s="444">
        <f t="shared" ca="1" si="155"/>
        <v>-1383085061963.0933</v>
      </c>
      <c r="J3762" s="444">
        <f t="array" ref="J3762">IFERROR(INDEX('Retirement Calculator'!K:K,MATCH('Lorri 401b'!N3762,'Retirement Calculator'!A:A,0),0),0)</f>
        <v>0</v>
      </c>
      <c r="K3762" s="444">
        <f t="shared" ca="1" si="153"/>
        <v>-5762854424.8462219</v>
      </c>
      <c r="L3762" s="444">
        <f t="shared" ca="1" si="154"/>
        <v>-1388847916387.9395</v>
      </c>
      <c r="M3762" s="460">
        <f t="shared" si="156"/>
        <v>0.05</v>
      </c>
      <c r="N3762" s="464">
        <f t="shared" si="157"/>
        <v>165547</v>
      </c>
    </row>
    <row r="3763" spans="7:14" ht="11.25" customHeight="1" x14ac:dyDescent="0.3">
      <c r="G3763" s="459"/>
      <c r="H3763" s="459">
        <v>3756</v>
      </c>
      <c r="I3763" s="444">
        <f t="shared" ca="1" si="155"/>
        <v>-1388847916387.9395</v>
      </c>
      <c r="J3763" s="444">
        <f t="array" ref="J3763">IFERROR(INDEX('Retirement Calculator'!K:K,MATCH('Lorri 401b'!N3763,'Retirement Calculator'!A:A,0),0),0)</f>
        <v>0</v>
      </c>
      <c r="K3763" s="444">
        <f t="shared" ca="1" si="153"/>
        <v>-5786866318.2830811</v>
      </c>
      <c r="L3763" s="444">
        <f t="shared" ca="1" si="154"/>
        <v>-1394634782706.2227</v>
      </c>
      <c r="M3763" s="460">
        <f t="shared" si="156"/>
        <v>0.05</v>
      </c>
      <c r="N3763" s="464">
        <f t="shared" si="157"/>
        <v>165577</v>
      </c>
    </row>
    <row r="3764" spans="7:14" ht="11.25" customHeight="1" x14ac:dyDescent="0.3">
      <c r="G3764" s="459"/>
      <c r="H3764" s="459">
        <v>3757</v>
      </c>
      <c r="I3764" s="444">
        <f t="shared" ca="1" si="155"/>
        <v>-1394634782706.2227</v>
      </c>
      <c r="J3764" s="444">
        <f t="array" ref="J3764">IFERROR(INDEX('Retirement Calculator'!K:K,MATCH('Lorri 401b'!N3764,'Retirement Calculator'!A:A,0),0),0)</f>
        <v>0</v>
      </c>
      <c r="K3764" s="444">
        <f t="shared" ca="1" si="153"/>
        <v>-5810978261.2759275</v>
      </c>
      <c r="L3764" s="444">
        <f t="shared" ca="1" si="154"/>
        <v>-1400445760967.4985</v>
      </c>
      <c r="M3764" s="460">
        <f t="shared" si="156"/>
        <v>0.05</v>
      </c>
      <c r="N3764" s="464">
        <f t="shared" si="157"/>
        <v>165608</v>
      </c>
    </row>
    <row r="3765" spans="7:14" ht="11.25" customHeight="1" x14ac:dyDescent="0.3">
      <c r="G3765" s="459"/>
      <c r="H3765" s="459">
        <v>3758</v>
      </c>
      <c r="I3765" s="444">
        <f t="shared" ca="1" si="155"/>
        <v>-1400445760967.4985</v>
      </c>
      <c r="J3765" s="444">
        <f t="array" ref="J3765">IFERROR(INDEX('Retirement Calculator'!K:K,MATCH('Lorri 401b'!N3765,'Retirement Calculator'!A:A,0),0),0)</f>
        <v>0</v>
      </c>
      <c r="K3765" s="444">
        <f t="shared" ca="1" si="153"/>
        <v>-5835190670.6979103</v>
      </c>
      <c r="L3765" s="444">
        <f t="shared" ca="1" si="154"/>
        <v>-1406280951638.1965</v>
      </c>
      <c r="M3765" s="460">
        <f t="shared" si="156"/>
        <v>0.05</v>
      </c>
      <c r="N3765" s="464">
        <f t="shared" si="157"/>
        <v>165638</v>
      </c>
    </row>
    <row r="3766" spans="7:14" ht="11.25" customHeight="1" x14ac:dyDescent="0.3">
      <c r="G3766" s="459"/>
      <c r="H3766" s="459">
        <v>3759</v>
      </c>
      <c r="I3766" s="444">
        <f t="shared" ca="1" si="155"/>
        <v>-1406280951638.1965</v>
      </c>
      <c r="J3766" s="444">
        <f t="array" ref="J3766">IFERROR(INDEX('Retirement Calculator'!K:K,MATCH('Lorri 401b'!N3766,'Retirement Calculator'!A:A,0),0),0)</f>
        <v>0</v>
      </c>
      <c r="K3766" s="444">
        <f t="shared" ca="1" si="153"/>
        <v>-5859503965.159152</v>
      </c>
      <c r="L3766" s="444">
        <f t="shared" ca="1" si="154"/>
        <v>-1412140455603.3557</v>
      </c>
      <c r="M3766" s="460">
        <f t="shared" si="156"/>
        <v>0.05</v>
      </c>
      <c r="N3766" s="464">
        <f t="shared" si="157"/>
        <v>165669</v>
      </c>
    </row>
    <row r="3767" spans="7:14" ht="11.25" customHeight="1" x14ac:dyDescent="0.3">
      <c r="G3767" s="459"/>
      <c r="H3767" s="459">
        <v>3760</v>
      </c>
      <c r="I3767" s="444">
        <f t="shared" ca="1" si="155"/>
        <v>-1412140455603.3557</v>
      </c>
      <c r="J3767" s="444">
        <f t="array" ref="J3767">IFERROR(INDEX('Retirement Calculator'!K:K,MATCH('Lorri 401b'!N3767,'Retirement Calculator'!A:A,0),0),0)</f>
        <v>0</v>
      </c>
      <c r="K3767" s="444">
        <f t="shared" ca="1" si="153"/>
        <v>-5883918565.0139818</v>
      </c>
      <c r="L3767" s="444">
        <f t="shared" ca="1" si="154"/>
        <v>-1418024374168.3696</v>
      </c>
      <c r="M3767" s="460">
        <f t="shared" si="156"/>
        <v>0.05</v>
      </c>
      <c r="N3767" s="464">
        <f t="shared" si="157"/>
        <v>165700</v>
      </c>
    </row>
    <row r="3768" spans="7:14" ht="11.25" customHeight="1" x14ac:dyDescent="0.3">
      <c r="G3768" s="459"/>
      <c r="H3768" s="459">
        <v>3761</v>
      </c>
      <c r="I3768" s="444">
        <f t="shared" ca="1" si="155"/>
        <v>-1418024374168.3696</v>
      </c>
      <c r="J3768" s="444">
        <f t="array" ref="J3768">IFERROR(INDEX('Retirement Calculator'!K:K,MATCH('Lorri 401b'!N3768,'Retirement Calculator'!A:A,0),0),0)</f>
        <v>0</v>
      </c>
      <c r="K3768" s="444">
        <f t="shared" ca="1" si="153"/>
        <v>-5908434892.368207</v>
      </c>
      <c r="L3768" s="444">
        <f t="shared" ca="1" si="154"/>
        <v>-1423932809060.7378</v>
      </c>
      <c r="M3768" s="460">
        <f t="shared" si="156"/>
        <v>0.05</v>
      </c>
      <c r="N3768" s="464">
        <f t="shared" si="157"/>
        <v>165730</v>
      </c>
    </row>
    <row r="3769" spans="7:14" ht="11.25" customHeight="1" x14ac:dyDescent="0.3">
      <c r="G3769" s="459"/>
      <c r="H3769" s="459">
        <v>3762</v>
      </c>
      <c r="I3769" s="444">
        <f t="shared" ca="1" si="155"/>
        <v>-1423932809060.7378</v>
      </c>
      <c r="J3769" s="444">
        <f t="array" ref="J3769">IFERROR(INDEX('Retirement Calculator'!K:K,MATCH('Lorri 401b'!N3769,'Retirement Calculator'!A:A,0),0),0)</f>
        <v>0</v>
      </c>
      <c r="K3769" s="444">
        <f t="shared" ca="1" si="153"/>
        <v>-5933053371.0864077</v>
      </c>
      <c r="L3769" s="444">
        <f t="shared" ca="1" si="154"/>
        <v>-1429865862431.8242</v>
      </c>
      <c r="M3769" s="460">
        <f t="shared" si="156"/>
        <v>0.05</v>
      </c>
      <c r="N3769" s="464">
        <f t="shared" si="157"/>
        <v>165761</v>
      </c>
    </row>
    <row r="3770" spans="7:14" ht="11.25" customHeight="1" x14ac:dyDescent="0.3">
      <c r="G3770" s="459"/>
      <c r="H3770" s="459">
        <v>3763</v>
      </c>
      <c r="I3770" s="444">
        <f t="shared" ca="1" si="155"/>
        <v>-1429865862431.8242</v>
      </c>
      <c r="J3770" s="444">
        <f t="array" ref="J3770">IFERROR(INDEX('Retirement Calculator'!K:K,MATCH('Lorri 401b'!N3770,'Retirement Calculator'!A:A,0),0),0)</f>
        <v>0</v>
      </c>
      <c r="K3770" s="444">
        <f t="shared" ca="1" si="153"/>
        <v>-5957774426.7992678</v>
      </c>
      <c r="L3770" s="444">
        <f t="shared" ca="1" si="154"/>
        <v>-1435823636858.6235</v>
      </c>
      <c r="M3770" s="460">
        <f t="shared" si="156"/>
        <v>0.05</v>
      </c>
      <c r="N3770" s="464">
        <f t="shared" si="157"/>
        <v>165791</v>
      </c>
    </row>
    <row r="3771" spans="7:14" ht="11.25" customHeight="1" x14ac:dyDescent="0.3">
      <c r="G3771" s="459"/>
      <c r="H3771" s="459">
        <v>3764</v>
      </c>
      <c r="I3771" s="444">
        <f t="shared" ca="1" si="155"/>
        <v>-1435823636858.6235</v>
      </c>
      <c r="J3771" s="444">
        <f t="array" ref="J3771">IFERROR(INDEX('Retirement Calculator'!K:K,MATCH('Lorri 401b'!N3771,'Retirement Calculator'!A:A,0),0),0)</f>
        <v>0</v>
      </c>
      <c r="K3771" s="444">
        <f t="shared" ca="1" si="153"/>
        <v>-5982598486.9109316</v>
      </c>
      <c r="L3771" s="444">
        <f t="shared" ca="1" si="154"/>
        <v>-1441806235345.5344</v>
      </c>
      <c r="M3771" s="460">
        <f t="shared" si="156"/>
        <v>0.05</v>
      </c>
      <c r="N3771" s="464">
        <f t="shared" si="157"/>
        <v>165822</v>
      </c>
    </row>
    <row r="3772" spans="7:14" ht="11.25" customHeight="1" x14ac:dyDescent="0.3">
      <c r="G3772" s="459"/>
      <c r="H3772" s="459">
        <v>3765</v>
      </c>
      <c r="I3772" s="444">
        <f t="shared" ca="1" si="155"/>
        <v>-1441806235345.5344</v>
      </c>
      <c r="J3772" s="444">
        <f t="array" ref="J3772">IFERROR(INDEX('Retirement Calculator'!K:K,MATCH('Lorri 401b'!N3772,'Retirement Calculator'!A:A,0),0),0)</f>
        <v>0</v>
      </c>
      <c r="K3772" s="444">
        <f t="shared" ca="1" si="153"/>
        <v>-6007525980.6063938</v>
      </c>
      <c r="L3772" s="444">
        <f t="shared" ca="1" si="154"/>
        <v>-1447813761326.1409</v>
      </c>
      <c r="M3772" s="460">
        <f t="shared" si="156"/>
        <v>0.05</v>
      </c>
      <c r="N3772" s="464">
        <f t="shared" si="157"/>
        <v>165853</v>
      </c>
    </row>
    <row r="3773" spans="7:14" ht="11.25" customHeight="1" x14ac:dyDescent="0.3">
      <c r="G3773" s="459"/>
      <c r="H3773" s="459">
        <v>3766</v>
      </c>
      <c r="I3773" s="444">
        <f t="shared" ca="1" si="155"/>
        <v>-1447813761326.1409</v>
      </c>
      <c r="J3773" s="444">
        <f t="array" ref="J3773">IFERROR(INDEX('Retirement Calculator'!K:K,MATCH('Lorri 401b'!N3773,'Retirement Calculator'!A:A,0),0),0)</f>
        <v>0</v>
      </c>
      <c r="K3773" s="444">
        <f t="shared" ca="1" si="153"/>
        <v>-6032557338.8589201</v>
      </c>
      <c r="L3773" s="444">
        <f t="shared" ca="1" si="154"/>
        <v>-1453846318664.9998</v>
      </c>
      <c r="M3773" s="460">
        <f t="shared" si="156"/>
        <v>0.05</v>
      </c>
      <c r="N3773" s="464">
        <f t="shared" si="157"/>
        <v>165881</v>
      </c>
    </row>
    <row r="3774" spans="7:14" ht="11.25" customHeight="1" x14ac:dyDescent="0.3">
      <c r="G3774" s="459"/>
      <c r="H3774" s="459">
        <v>3767</v>
      </c>
      <c r="I3774" s="444">
        <f t="shared" ca="1" si="155"/>
        <v>-1453846318664.9998</v>
      </c>
      <c r="J3774" s="444">
        <f t="array" ref="J3774">IFERROR(INDEX('Retirement Calculator'!K:K,MATCH('Lorri 401b'!N3774,'Retirement Calculator'!A:A,0),0),0)</f>
        <v>0</v>
      </c>
      <c r="K3774" s="444">
        <f t="shared" ca="1" si="153"/>
        <v>-6057692994.437499</v>
      </c>
      <c r="L3774" s="444">
        <f t="shared" ca="1" si="154"/>
        <v>-1459904011659.4373</v>
      </c>
      <c r="M3774" s="460">
        <f t="shared" si="156"/>
        <v>0.05</v>
      </c>
      <c r="N3774" s="464">
        <f t="shared" si="157"/>
        <v>165912</v>
      </c>
    </row>
    <row r="3775" spans="7:14" ht="11.25" customHeight="1" x14ac:dyDescent="0.3">
      <c r="G3775" s="459"/>
      <c r="H3775" s="459">
        <v>3768</v>
      </c>
      <c r="I3775" s="444">
        <f t="shared" ca="1" si="155"/>
        <v>-1459904011659.4373</v>
      </c>
      <c r="J3775" s="444">
        <f t="array" ref="J3775">IFERROR(INDEX('Retirement Calculator'!K:K,MATCH('Lorri 401b'!N3775,'Retirement Calculator'!A:A,0),0),0)</f>
        <v>0</v>
      </c>
      <c r="K3775" s="444">
        <f t="shared" ca="1" si="153"/>
        <v>-6082933381.9143219</v>
      </c>
      <c r="L3775" s="444">
        <f t="shared" ca="1" si="154"/>
        <v>-1465986945041.3516</v>
      </c>
      <c r="M3775" s="460">
        <f t="shared" si="156"/>
        <v>0.05</v>
      </c>
      <c r="N3775" s="464">
        <f t="shared" si="157"/>
        <v>165942</v>
      </c>
    </row>
    <row r="3776" spans="7:14" ht="11.25" customHeight="1" x14ac:dyDescent="0.3">
      <c r="G3776" s="459"/>
      <c r="H3776" s="459">
        <v>3769</v>
      </c>
      <c r="I3776" s="444">
        <f t="shared" ca="1" si="155"/>
        <v>-1465986945041.3516</v>
      </c>
      <c r="J3776" s="444">
        <f t="array" ref="J3776">IFERROR(INDEX('Retirement Calculator'!K:K,MATCH('Lorri 401b'!N3776,'Retirement Calculator'!A:A,0),0),0)</f>
        <v>0</v>
      </c>
      <c r="K3776" s="444">
        <f t="shared" ca="1" si="153"/>
        <v>-6108278937.6722984</v>
      </c>
      <c r="L3776" s="444">
        <f t="shared" ca="1" si="154"/>
        <v>-1472095223979.0239</v>
      </c>
      <c r="M3776" s="460">
        <f t="shared" si="156"/>
        <v>0.05</v>
      </c>
      <c r="N3776" s="464">
        <f t="shared" si="157"/>
        <v>165973</v>
      </c>
    </row>
    <row r="3777" spans="7:14" ht="11.25" customHeight="1" x14ac:dyDescent="0.3">
      <c r="G3777" s="459"/>
      <c r="H3777" s="459">
        <v>3770</v>
      </c>
      <c r="I3777" s="444">
        <f t="shared" ca="1" si="155"/>
        <v>-1472095223979.0239</v>
      </c>
      <c r="J3777" s="444">
        <f t="array" ref="J3777">IFERROR(INDEX('Retirement Calculator'!K:K,MATCH('Lorri 401b'!N3777,'Retirement Calculator'!A:A,0),0),0)</f>
        <v>0</v>
      </c>
      <c r="K3777" s="444">
        <f t="shared" ca="1" si="153"/>
        <v>-6133730099.9125996</v>
      </c>
      <c r="L3777" s="444">
        <f t="shared" ca="1" si="154"/>
        <v>-1478228954078.9365</v>
      </c>
      <c r="M3777" s="460">
        <f t="shared" si="156"/>
        <v>0.05</v>
      </c>
      <c r="N3777" s="464">
        <f t="shared" si="157"/>
        <v>166003</v>
      </c>
    </row>
    <row r="3778" spans="7:14" ht="11.25" customHeight="1" x14ac:dyDescent="0.3">
      <c r="G3778" s="459"/>
      <c r="H3778" s="459">
        <v>3771</v>
      </c>
      <c r="I3778" s="444">
        <f t="shared" ca="1" si="155"/>
        <v>-1478228954078.9365</v>
      </c>
      <c r="J3778" s="444">
        <f t="array" ref="J3778">IFERROR(INDEX('Retirement Calculator'!K:K,MATCH('Lorri 401b'!N3778,'Retirement Calculator'!A:A,0),0),0)</f>
        <v>0</v>
      </c>
      <c r="K3778" s="444">
        <f t="shared" ca="1" si="153"/>
        <v>-6159287308.6622353</v>
      </c>
      <c r="L3778" s="444">
        <f t="shared" ca="1" si="154"/>
        <v>-1484388241387.5989</v>
      </c>
      <c r="M3778" s="460">
        <f t="shared" si="156"/>
        <v>0.05</v>
      </c>
      <c r="N3778" s="464">
        <f t="shared" si="157"/>
        <v>166034</v>
      </c>
    </row>
    <row r="3779" spans="7:14" ht="11.25" customHeight="1" x14ac:dyDescent="0.3">
      <c r="G3779" s="459"/>
      <c r="H3779" s="459">
        <v>3772</v>
      </c>
      <c r="I3779" s="444">
        <f t="shared" ca="1" si="155"/>
        <v>-1484388241387.5989</v>
      </c>
      <c r="J3779" s="444">
        <f t="array" ref="J3779">IFERROR(INDEX('Retirement Calculator'!K:K,MATCH('Lorri 401b'!N3779,'Retirement Calculator'!A:A,0),0),0)</f>
        <v>0</v>
      </c>
      <c r="K3779" s="444">
        <f t="shared" ca="1" si="153"/>
        <v>-6184951005.781662</v>
      </c>
      <c r="L3779" s="444">
        <f t="shared" ca="1" si="154"/>
        <v>-1490573192393.3806</v>
      </c>
      <c r="M3779" s="460">
        <f t="shared" si="156"/>
        <v>0.05</v>
      </c>
      <c r="N3779" s="464">
        <f t="shared" si="157"/>
        <v>166065</v>
      </c>
    </row>
    <row r="3780" spans="7:14" ht="11.25" customHeight="1" x14ac:dyDescent="0.3">
      <c r="G3780" s="459"/>
      <c r="H3780" s="459">
        <v>3773</v>
      </c>
      <c r="I3780" s="444">
        <f t="shared" ca="1" si="155"/>
        <v>-1490573192393.3806</v>
      </c>
      <c r="J3780" s="444">
        <f t="array" ref="J3780">IFERROR(INDEX('Retirement Calculator'!K:K,MATCH('Lorri 401b'!N3780,'Retirement Calculator'!A:A,0),0),0)</f>
        <v>0</v>
      </c>
      <c r="K3780" s="444">
        <f t="shared" ca="1" si="153"/>
        <v>-6210721634.9724188</v>
      </c>
      <c r="L3780" s="444">
        <f t="shared" ca="1" si="154"/>
        <v>-1496783914028.353</v>
      </c>
      <c r="M3780" s="460">
        <f t="shared" si="156"/>
        <v>0.05</v>
      </c>
      <c r="N3780" s="464">
        <f t="shared" si="157"/>
        <v>166095</v>
      </c>
    </row>
    <row r="3781" spans="7:14" ht="11.25" customHeight="1" x14ac:dyDescent="0.3">
      <c r="G3781" s="459"/>
      <c r="H3781" s="459">
        <v>3774</v>
      </c>
      <c r="I3781" s="444">
        <f t="shared" ca="1" si="155"/>
        <v>-1496783914028.353</v>
      </c>
      <c r="J3781" s="444">
        <f t="array" ref="J3781">IFERROR(INDEX('Retirement Calculator'!K:K,MATCH('Lorri 401b'!N3781,'Retirement Calculator'!A:A,0),0),0)</f>
        <v>0</v>
      </c>
      <c r="K3781" s="444">
        <f t="shared" ca="1" si="153"/>
        <v>-6236599641.7848043</v>
      </c>
      <c r="L3781" s="444">
        <f t="shared" ca="1" si="154"/>
        <v>-1503020513670.1379</v>
      </c>
      <c r="M3781" s="460">
        <f t="shared" si="156"/>
        <v>0.05</v>
      </c>
      <c r="N3781" s="464">
        <f t="shared" si="157"/>
        <v>166126</v>
      </c>
    </row>
    <row r="3782" spans="7:14" ht="11.25" customHeight="1" x14ac:dyDescent="0.3">
      <c r="G3782" s="459"/>
      <c r="H3782" s="459">
        <v>3775</v>
      </c>
      <c r="I3782" s="444">
        <f t="shared" ca="1" si="155"/>
        <v>-1503020513670.1379</v>
      </c>
      <c r="J3782" s="444">
        <f t="array" ref="J3782">IFERROR(INDEX('Retirement Calculator'!K:K,MATCH('Lorri 401b'!N3782,'Retirement Calculator'!A:A,0),0),0)</f>
        <v>0</v>
      </c>
      <c r="K3782" s="444">
        <f t="shared" ca="1" si="153"/>
        <v>-6262585473.6255751</v>
      </c>
      <c r="L3782" s="444">
        <f t="shared" ca="1" si="154"/>
        <v>-1509283099143.7634</v>
      </c>
      <c r="M3782" s="460">
        <f t="shared" si="156"/>
        <v>0.05</v>
      </c>
      <c r="N3782" s="464">
        <f t="shared" si="157"/>
        <v>166156</v>
      </c>
    </row>
    <row r="3783" spans="7:14" ht="11.25" customHeight="1" x14ac:dyDescent="0.3">
      <c r="G3783" s="459"/>
      <c r="H3783" s="459">
        <v>3776</v>
      </c>
      <c r="I3783" s="444">
        <f t="shared" ca="1" si="155"/>
        <v>-1509283099143.7634</v>
      </c>
      <c r="J3783" s="444">
        <f t="array" ref="J3783">IFERROR(INDEX('Retirement Calculator'!K:K,MATCH('Lorri 401b'!N3783,'Retirement Calculator'!A:A,0),0),0)</f>
        <v>0</v>
      </c>
      <c r="K3783" s="444">
        <f t="shared" ca="1" si="153"/>
        <v>-6288679579.7656813</v>
      </c>
      <c r="L3783" s="444">
        <f t="shared" ca="1" si="154"/>
        <v>-1515571778723.5291</v>
      </c>
      <c r="M3783" s="460">
        <f t="shared" si="156"/>
        <v>0.05</v>
      </c>
      <c r="N3783" s="464">
        <f t="shared" si="157"/>
        <v>166187</v>
      </c>
    </row>
    <row r="3784" spans="7:14" ht="11.25" customHeight="1" x14ac:dyDescent="0.3">
      <c r="G3784" s="459"/>
      <c r="H3784" s="459">
        <v>3777</v>
      </c>
      <c r="I3784" s="444">
        <f t="shared" ca="1" si="155"/>
        <v>-1515571778723.5291</v>
      </c>
      <c r="J3784" s="444">
        <f t="array" ref="J3784">IFERROR(INDEX('Retirement Calculator'!K:K,MATCH('Lorri 401b'!N3784,'Retirement Calculator'!A:A,0),0),0)</f>
        <v>0</v>
      </c>
      <c r="K3784" s="444">
        <f t="shared" ca="1" si="153"/>
        <v>-6314882411.3480377</v>
      </c>
      <c r="L3784" s="444">
        <f t="shared" ca="1" si="154"/>
        <v>-1521886661134.8772</v>
      </c>
      <c r="M3784" s="460">
        <f t="shared" si="156"/>
        <v>0.05</v>
      </c>
      <c r="N3784" s="464">
        <f t="shared" si="157"/>
        <v>166218</v>
      </c>
    </row>
    <row r="3785" spans="7:14" ht="11.25" customHeight="1" x14ac:dyDescent="0.3">
      <c r="G3785" s="459"/>
      <c r="H3785" s="459">
        <v>3778</v>
      </c>
      <c r="I3785" s="444">
        <f t="shared" ca="1" si="155"/>
        <v>-1521886661134.8772</v>
      </c>
      <c r="J3785" s="444">
        <f t="array" ref="J3785">IFERROR(INDEX('Retirement Calculator'!K:K,MATCH('Lorri 401b'!N3785,'Retirement Calculator'!A:A,0),0),0)</f>
        <v>0</v>
      </c>
      <c r="K3785" s="444">
        <f t="shared" ca="1" si="153"/>
        <v>-6341194421.3953218</v>
      </c>
      <c r="L3785" s="444">
        <f t="shared" ca="1" si="154"/>
        <v>-1528227855556.2725</v>
      </c>
      <c r="M3785" s="460">
        <f t="shared" si="156"/>
        <v>0.05</v>
      </c>
      <c r="N3785" s="464">
        <f t="shared" si="157"/>
        <v>166246</v>
      </c>
    </row>
    <row r="3786" spans="7:14" ht="11.25" customHeight="1" x14ac:dyDescent="0.3">
      <c r="G3786" s="459"/>
      <c r="H3786" s="459">
        <v>3779</v>
      </c>
      <c r="I3786" s="444">
        <f t="shared" ca="1" si="155"/>
        <v>-1528227855556.2725</v>
      </c>
      <c r="J3786" s="444">
        <f t="array" ref="J3786">IFERROR(INDEX('Retirement Calculator'!K:K,MATCH('Lorri 401b'!N3786,'Retirement Calculator'!A:A,0),0),0)</f>
        <v>0</v>
      </c>
      <c r="K3786" s="444">
        <f t="shared" ca="1" si="153"/>
        <v>-6367616064.8178015</v>
      </c>
      <c r="L3786" s="444">
        <f t="shared" ca="1" si="154"/>
        <v>-1534595471621.0903</v>
      </c>
      <c r="M3786" s="460">
        <f t="shared" si="156"/>
        <v>0.05</v>
      </c>
      <c r="N3786" s="464">
        <f t="shared" si="157"/>
        <v>166277</v>
      </c>
    </row>
    <row r="3787" spans="7:14" ht="11.25" customHeight="1" x14ac:dyDescent="0.3">
      <c r="G3787" s="459"/>
      <c r="H3787" s="459">
        <v>3780</v>
      </c>
      <c r="I3787" s="444">
        <f t="shared" ca="1" si="155"/>
        <v>-1534595471621.0903</v>
      </c>
      <c r="J3787" s="444">
        <f t="array" ref="J3787">IFERROR(INDEX('Retirement Calculator'!K:K,MATCH('Lorri 401b'!N3787,'Retirement Calculator'!A:A,0),0),0)</f>
        <v>0</v>
      </c>
      <c r="K3787" s="444">
        <f t="shared" ca="1" si="153"/>
        <v>-6394147798.4212093</v>
      </c>
      <c r="L3787" s="444">
        <f t="shared" ca="1" si="154"/>
        <v>-1540989619419.5115</v>
      </c>
      <c r="M3787" s="460">
        <f t="shared" si="156"/>
        <v>0.05</v>
      </c>
      <c r="N3787" s="464">
        <f t="shared" si="157"/>
        <v>166307</v>
      </c>
    </row>
    <row r="3788" spans="7:14" ht="11.25" customHeight="1" x14ac:dyDescent="0.3">
      <c r="G3788" s="459"/>
      <c r="H3788" s="459">
        <v>3781</v>
      </c>
      <c r="I3788" s="444">
        <f t="shared" ca="1" si="155"/>
        <v>-1540989619419.5115</v>
      </c>
      <c r="J3788" s="444">
        <f t="array" ref="J3788">IFERROR(INDEX('Retirement Calculator'!K:K,MATCH('Lorri 401b'!N3788,'Retirement Calculator'!A:A,0),0),0)</f>
        <v>0</v>
      </c>
      <c r="K3788" s="444">
        <f t="shared" ca="1" si="153"/>
        <v>-6420790080.9146309</v>
      </c>
      <c r="L3788" s="444">
        <f t="shared" ca="1" si="154"/>
        <v>-1547410409500.426</v>
      </c>
      <c r="M3788" s="460">
        <f t="shared" si="156"/>
        <v>0.05</v>
      </c>
      <c r="N3788" s="464">
        <f t="shared" si="157"/>
        <v>166338</v>
      </c>
    </row>
    <row r="3789" spans="7:14" ht="11.25" customHeight="1" x14ac:dyDescent="0.3">
      <c r="G3789" s="459"/>
      <c r="H3789" s="459">
        <v>3782</v>
      </c>
      <c r="I3789" s="444">
        <f t="shared" ca="1" si="155"/>
        <v>-1547410409500.426</v>
      </c>
      <c r="J3789" s="444">
        <f t="array" ref="J3789">IFERROR(INDEX('Retirement Calculator'!K:K,MATCH('Lorri 401b'!N3789,'Retirement Calculator'!A:A,0),0),0)</f>
        <v>0</v>
      </c>
      <c r="K3789" s="444">
        <f t="shared" ca="1" si="153"/>
        <v>-6447543372.9184418</v>
      </c>
      <c r="L3789" s="444">
        <f t="shared" ca="1" si="154"/>
        <v>-1553857952873.3445</v>
      </c>
      <c r="M3789" s="460">
        <f t="shared" si="156"/>
        <v>0.05</v>
      </c>
      <c r="N3789" s="464">
        <f t="shared" si="157"/>
        <v>166368</v>
      </c>
    </row>
    <row r="3790" spans="7:14" ht="11.25" customHeight="1" x14ac:dyDescent="0.3">
      <c r="G3790" s="459"/>
      <c r="H3790" s="459">
        <v>3783</v>
      </c>
      <c r="I3790" s="444">
        <f t="shared" ca="1" si="155"/>
        <v>-1553857952873.3445</v>
      </c>
      <c r="J3790" s="444">
        <f t="array" ref="J3790">IFERROR(INDEX('Retirement Calculator'!K:K,MATCH('Lorri 401b'!N3790,'Retirement Calculator'!A:A,0),0),0)</f>
        <v>0</v>
      </c>
      <c r="K3790" s="444">
        <f t="shared" ca="1" si="153"/>
        <v>-6474408136.9722691</v>
      </c>
      <c r="L3790" s="444">
        <f t="shared" ca="1" si="154"/>
        <v>-1560332361010.3167</v>
      </c>
      <c r="M3790" s="460">
        <f t="shared" si="156"/>
        <v>0.05</v>
      </c>
      <c r="N3790" s="464">
        <f t="shared" si="157"/>
        <v>166399</v>
      </c>
    </row>
    <row r="3791" spans="7:14" ht="11.25" customHeight="1" x14ac:dyDescent="0.3">
      <c r="G3791" s="459"/>
      <c r="H3791" s="459">
        <v>3784</v>
      </c>
      <c r="I3791" s="444">
        <f t="shared" ca="1" si="155"/>
        <v>-1560332361010.3167</v>
      </c>
      <c r="J3791" s="444">
        <f t="array" ref="J3791">IFERROR(INDEX('Retirement Calculator'!K:K,MATCH('Lorri 401b'!N3791,'Retirement Calculator'!A:A,0),0),0)</f>
        <v>0</v>
      </c>
      <c r="K3791" s="444">
        <f t="shared" ca="1" si="153"/>
        <v>-6501384837.5429859</v>
      </c>
      <c r="L3791" s="444">
        <f t="shared" ca="1" si="154"/>
        <v>-1566833745847.8596</v>
      </c>
      <c r="M3791" s="460">
        <f t="shared" si="156"/>
        <v>0.05</v>
      </c>
      <c r="N3791" s="464">
        <f t="shared" si="157"/>
        <v>166430</v>
      </c>
    </row>
    <row r="3792" spans="7:14" ht="11.25" customHeight="1" x14ac:dyDescent="0.3">
      <c r="G3792" s="459"/>
      <c r="H3792" s="459">
        <v>3785</v>
      </c>
      <c r="I3792" s="444">
        <f t="shared" ca="1" si="155"/>
        <v>-1566833745847.8596</v>
      </c>
      <c r="J3792" s="444">
        <f t="array" ref="J3792">IFERROR(INDEX('Retirement Calculator'!K:K,MATCH('Lorri 401b'!N3792,'Retirement Calculator'!A:A,0),0),0)</f>
        <v>0</v>
      </c>
      <c r="K3792" s="444">
        <f t="shared" ca="1" si="153"/>
        <v>-6528473941.0327482</v>
      </c>
      <c r="L3792" s="444">
        <f t="shared" ca="1" si="154"/>
        <v>-1573362219788.8923</v>
      </c>
      <c r="M3792" s="460">
        <f t="shared" si="156"/>
        <v>0.05</v>
      </c>
      <c r="N3792" s="464">
        <f t="shared" si="157"/>
        <v>166460</v>
      </c>
    </row>
    <row r="3793" spans="7:14" ht="11.25" customHeight="1" x14ac:dyDescent="0.3">
      <c r="G3793" s="459"/>
      <c r="H3793" s="459">
        <v>3786</v>
      </c>
      <c r="I3793" s="444">
        <f t="shared" ca="1" si="155"/>
        <v>-1573362219788.8923</v>
      </c>
      <c r="J3793" s="444">
        <f t="array" ref="J3793">IFERROR(INDEX('Retirement Calculator'!K:K,MATCH('Lorri 401b'!N3793,'Retirement Calculator'!A:A,0),0),0)</f>
        <v>0</v>
      </c>
      <c r="K3793" s="444">
        <f t="shared" ca="1" si="153"/>
        <v>-6555675915.7870512</v>
      </c>
      <c r="L3793" s="444">
        <f t="shared" ca="1" si="154"/>
        <v>-1579917895704.6794</v>
      </c>
      <c r="M3793" s="460">
        <f t="shared" si="156"/>
        <v>0.05</v>
      </c>
      <c r="N3793" s="464">
        <f t="shared" si="157"/>
        <v>166491</v>
      </c>
    </row>
    <row r="3794" spans="7:14" ht="11.25" customHeight="1" x14ac:dyDescent="0.3">
      <c r="G3794" s="459"/>
      <c r="H3794" s="459">
        <v>3787</v>
      </c>
      <c r="I3794" s="444">
        <f t="shared" ca="1" si="155"/>
        <v>-1579917895704.6794</v>
      </c>
      <c r="J3794" s="444">
        <f t="array" ref="J3794">IFERROR(INDEX('Retirement Calculator'!K:K,MATCH('Lorri 401b'!N3794,'Retirement Calculator'!A:A,0),0),0)</f>
        <v>0</v>
      </c>
      <c r="K3794" s="444">
        <f t="shared" ca="1" si="153"/>
        <v>-6582991232.1028309</v>
      </c>
      <c r="L3794" s="444">
        <f t="shared" ca="1" si="154"/>
        <v>-1586500886936.7822</v>
      </c>
      <c r="M3794" s="460">
        <f t="shared" si="156"/>
        <v>0.05</v>
      </c>
      <c r="N3794" s="464">
        <f t="shared" si="157"/>
        <v>166521</v>
      </c>
    </row>
    <row r="3795" spans="7:14" ht="11.25" customHeight="1" x14ac:dyDescent="0.3">
      <c r="G3795" s="459"/>
      <c r="H3795" s="459">
        <v>3788</v>
      </c>
      <c r="I3795" s="444">
        <f t="shared" ca="1" si="155"/>
        <v>-1586500886936.7822</v>
      </c>
      <c r="J3795" s="444">
        <f t="array" ref="J3795">IFERROR(INDEX('Retirement Calculator'!K:K,MATCH('Lorri 401b'!N3795,'Retirement Calculator'!A:A,0),0),0)</f>
        <v>0</v>
      </c>
      <c r="K3795" s="444">
        <f t="shared" ca="1" si="153"/>
        <v>-6610420362.2365923</v>
      </c>
      <c r="L3795" s="444">
        <f t="shared" ca="1" si="154"/>
        <v>-1593111307299.0188</v>
      </c>
      <c r="M3795" s="460">
        <f t="shared" si="156"/>
        <v>0.05</v>
      </c>
      <c r="N3795" s="464">
        <f t="shared" si="157"/>
        <v>166552</v>
      </c>
    </row>
    <row r="3796" spans="7:14" ht="11.25" customHeight="1" x14ac:dyDescent="0.3">
      <c r="G3796" s="459"/>
      <c r="H3796" s="459">
        <v>3789</v>
      </c>
      <c r="I3796" s="444">
        <f t="shared" ca="1" si="155"/>
        <v>-1593111307299.0188</v>
      </c>
      <c r="J3796" s="444">
        <f t="array" ref="J3796">IFERROR(INDEX('Retirement Calculator'!K:K,MATCH('Lorri 401b'!N3796,'Retirement Calculator'!A:A,0),0),0)</f>
        <v>0</v>
      </c>
      <c r="K3796" s="444">
        <f t="shared" ca="1" si="153"/>
        <v>-6637963780.4125786</v>
      </c>
      <c r="L3796" s="444">
        <f t="shared" ca="1" si="154"/>
        <v>-1599749271079.4314</v>
      </c>
      <c r="M3796" s="460">
        <f t="shared" si="156"/>
        <v>0.05</v>
      </c>
      <c r="N3796" s="464">
        <f t="shared" si="157"/>
        <v>166583</v>
      </c>
    </row>
    <row r="3797" spans="7:14" ht="11.25" customHeight="1" x14ac:dyDescent="0.3">
      <c r="G3797" s="459"/>
      <c r="H3797" s="459">
        <v>3790</v>
      </c>
      <c r="I3797" s="444">
        <f t="shared" ca="1" si="155"/>
        <v>-1599749271079.4314</v>
      </c>
      <c r="J3797" s="444">
        <f t="array" ref="J3797">IFERROR(INDEX('Retirement Calculator'!K:K,MATCH('Lorri 401b'!N3797,'Retirement Calculator'!A:A,0),0),0)</f>
        <v>0</v>
      </c>
      <c r="K3797" s="444">
        <f t="shared" ca="1" si="153"/>
        <v>-6665621962.8309641</v>
      </c>
      <c r="L3797" s="444">
        <f t="shared" ca="1" si="154"/>
        <v>-1606414893042.2625</v>
      </c>
      <c r="M3797" s="460">
        <f t="shared" si="156"/>
        <v>0.05</v>
      </c>
      <c r="N3797" s="464">
        <f t="shared" si="157"/>
        <v>166612</v>
      </c>
    </row>
    <row r="3798" spans="7:14" ht="11.25" customHeight="1" x14ac:dyDescent="0.3">
      <c r="G3798" s="459"/>
      <c r="H3798" s="459">
        <v>3791</v>
      </c>
      <c r="I3798" s="444">
        <f t="shared" ca="1" si="155"/>
        <v>-1606414893042.2625</v>
      </c>
      <c r="J3798" s="444">
        <f t="array" ref="J3798">IFERROR(INDEX('Retirement Calculator'!K:K,MATCH('Lorri 401b'!N3798,'Retirement Calculator'!A:A,0),0),0)</f>
        <v>0</v>
      </c>
      <c r="K3798" s="444">
        <f t="shared" ca="1" si="153"/>
        <v>-6693395387.6760931</v>
      </c>
      <c r="L3798" s="444">
        <f t="shared" ca="1" si="154"/>
        <v>-1613108288429.9385</v>
      </c>
      <c r="M3798" s="460">
        <f t="shared" si="156"/>
        <v>0.05</v>
      </c>
      <c r="N3798" s="464">
        <f t="shared" si="157"/>
        <v>166643</v>
      </c>
    </row>
    <row r="3799" spans="7:14" ht="11.25" customHeight="1" x14ac:dyDescent="0.3">
      <c r="G3799" s="459"/>
      <c r="H3799" s="459">
        <v>3792</v>
      </c>
      <c r="I3799" s="444">
        <f t="shared" ca="1" si="155"/>
        <v>-1613108288429.9385</v>
      </c>
      <c r="J3799" s="444">
        <f t="array" ref="J3799">IFERROR(INDEX('Retirement Calculator'!K:K,MATCH('Lorri 401b'!N3799,'Retirement Calculator'!A:A,0),0),0)</f>
        <v>0</v>
      </c>
      <c r="K3799" s="444">
        <f t="shared" ca="1" si="153"/>
        <v>-6721284535.1247435</v>
      </c>
      <c r="L3799" s="444">
        <f t="shared" ca="1" si="154"/>
        <v>-1619829572965.0632</v>
      </c>
      <c r="M3799" s="460">
        <f t="shared" si="156"/>
        <v>0.05</v>
      </c>
      <c r="N3799" s="464">
        <f t="shared" si="157"/>
        <v>166673</v>
      </c>
    </row>
    <row r="3800" spans="7:14" ht="11.25" customHeight="1" x14ac:dyDescent="0.3">
      <c r="G3800" s="459"/>
      <c r="H3800" s="459">
        <v>3793</v>
      </c>
      <c r="I3800" s="444">
        <f t="shared" ca="1" si="155"/>
        <v>-1619829572965.0632</v>
      </c>
      <c r="J3800" s="444">
        <f t="array" ref="J3800">IFERROR(INDEX('Retirement Calculator'!K:K,MATCH('Lorri 401b'!N3800,'Retirement Calculator'!A:A,0),0),0)</f>
        <v>0</v>
      </c>
      <c r="K3800" s="444">
        <f t="shared" ca="1" si="153"/>
        <v>-6749289887.3544302</v>
      </c>
      <c r="L3800" s="444">
        <f t="shared" ca="1" si="154"/>
        <v>-1626578862852.4177</v>
      </c>
      <c r="M3800" s="460">
        <f t="shared" si="156"/>
        <v>0.05</v>
      </c>
      <c r="N3800" s="464">
        <f t="shared" si="157"/>
        <v>166704</v>
      </c>
    </row>
    <row r="3801" spans="7:14" ht="11.25" customHeight="1" x14ac:dyDescent="0.3">
      <c r="G3801" s="459"/>
      <c r="H3801" s="459">
        <v>3794</v>
      </c>
      <c r="I3801" s="444">
        <f t="shared" ca="1" si="155"/>
        <v>-1626578862852.4177</v>
      </c>
      <c r="J3801" s="444">
        <f t="array" ref="J3801">IFERROR(INDEX('Retirement Calculator'!K:K,MATCH('Lorri 401b'!N3801,'Retirement Calculator'!A:A,0),0),0)</f>
        <v>0</v>
      </c>
      <c r="K3801" s="444">
        <f t="shared" ca="1" si="153"/>
        <v>-6777411928.5517406</v>
      </c>
      <c r="L3801" s="444">
        <f t="shared" ca="1" si="154"/>
        <v>-1633356274780.9695</v>
      </c>
      <c r="M3801" s="460">
        <f t="shared" si="156"/>
        <v>0.05</v>
      </c>
      <c r="N3801" s="464">
        <f t="shared" si="157"/>
        <v>166734</v>
      </c>
    </row>
    <row r="3802" spans="7:14" ht="11.25" customHeight="1" x14ac:dyDescent="0.3">
      <c r="G3802" s="459"/>
      <c r="H3802" s="459">
        <v>3795</v>
      </c>
      <c r="I3802" s="444">
        <f t="shared" ca="1" si="155"/>
        <v>-1633356274780.9695</v>
      </c>
      <c r="J3802" s="444">
        <f t="array" ref="J3802">IFERROR(INDEX('Retirement Calculator'!K:K,MATCH('Lorri 401b'!N3802,'Retirement Calculator'!A:A,0),0),0)</f>
        <v>0</v>
      </c>
      <c r="K3802" s="444">
        <f t="shared" ca="1" si="153"/>
        <v>-6805651144.9207058</v>
      </c>
      <c r="L3802" s="444">
        <f t="shared" ca="1" si="154"/>
        <v>-1640161925925.8901</v>
      </c>
      <c r="M3802" s="460">
        <f t="shared" si="156"/>
        <v>0.05</v>
      </c>
      <c r="N3802" s="464">
        <f t="shared" si="157"/>
        <v>166765</v>
      </c>
    </row>
    <row r="3803" spans="7:14" ht="11.25" customHeight="1" x14ac:dyDescent="0.3">
      <c r="G3803" s="459"/>
      <c r="H3803" s="459">
        <v>3796</v>
      </c>
      <c r="I3803" s="444">
        <f t="shared" ca="1" si="155"/>
        <v>-1640161925925.8901</v>
      </c>
      <c r="J3803" s="444">
        <f t="array" ref="J3803">IFERROR(INDEX('Retirement Calculator'!K:K,MATCH('Lorri 401b'!N3803,'Retirement Calculator'!A:A,0),0),0)</f>
        <v>0</v>
      </c>
      <c r="K3803" s="444">
        <f t="shared" ca="1" si="153"/>
        <v>-6834008024.6912088</v>
      </c>
      <c r="L3803" s="444">
        <f t="shared" ca="1" si="154"/>
        <v>-1646995933950.5813</v>
      </c>
      <c r="M3803" s="460">
        <f t="shared" si="156"/>
        <v>0.05</v>
      </c>
      <c r="N3803" s="464">
        <f t="shared" si="157"/>
        <v>166796</v>
      </c>
    </row>
    <row r="3804" spans="7:14" ht="11.25" customHeight="1" x14ac:dyDescent="0.3">
      <c r="G3804" s="459"/>
      <c r="H3804" s="459">
        <v>3797</v>
      </c>
      <c r="I3804" s="444">
        <f t="shared" ca="1" si="155"/>
        <v>-1646995933950.5813</v>
      </c>
      <c r="J3804" s="444">
        <f t="array" ref="J3804">IFERROR(INDEX('Retirement Calculator'!K:K,MATCH('Lorri 401b'!N3804,'Retirement Calculator'!A:A,0),0),0)</f>
        <v>0</v>
      </c>
      <c r="K3804" s="444">
        <f t="shared" ca="1" si="153"/>
        <v>-6862483058.1274223</v>
      </c>
      <c r="L3804" s="444">
        <f t="shared" ca="1" si="154"/>
        <v>-1653858417008.7087</v>
      </c>
      <c r="M3804" s="460">
        <f t="shared" si="156"/>
        <v>0.05</v>
      </c>
      <c r="N3804" s="464">
        <f t="shared" si="157"/>
        <v>166826</v>
      </c>
    </row>
    <row r="3805" spans="7:14" ht="11.25" customHeight="1" x14ac:dyDescent="0.3">
      <c r="G3805" s="459"/>
      <c r="H3805" s="459">
        <v>3798</v>
      </c>
      <c r="I3805" s="444">
        <f t="shared" ca="1" si="155"/>
        <v>-1653858417008.7087</v>
      </c>
      <c r="J3805" s="444">
        <f t="array" ref="J3805">IFERROR(INDEX('Retirement Calculator'!K:K,MATCH('Lorri 401b'!N3805,'Retirement Calculator'!A:A,0),0),0)</f>
        <v>0</v>
      </c>
      <c r="K3805" s="444">
        <f t="shared" ca="1" si="153"/>
        <v>-6891076737.5362864</v>
      </c>
      <c r="L3805" s="444">
        <f t="shared" ca="1" si="154"/>
        <v>-1660749493746.2451</v>
      </c>
      <c r="M3805" s="460">
        <f t="shared" si="156"/>
        <v>0.05</v>
      </c>
      <c r="N3805" s="464">
        <f t="shared" si="157"/>
        <v>166857</v>
      </c>
    </row>
    <row r="3806" spans="7:14" ht="11.25" customHeight="1" x14ac:dyDescent="0.3">
      <c r="G3806" s="459"/>
      <c r="H3806" s="459">
        <v>3799</v>
      </c>
      <c r="I3806" s="444">
        <f t="shared" ca="1" si="155"/>
        <v>-1660749493746.2451</v>
      </c>
      <c r="J3806" s="444">
        <f t="array" ref="J3806">IFERROR(INDEX('Retirement Calculator'!K:K,MATCH('Lorri 401b'!N3806,'Retirement Calculator'!A:A,0),0),0)</f>
        <v>0</v>
      </c>
      <c r="K3806" s="444">
        <f t="shared" ca="1" si="153"/>
        <v>-6919789557.276021</v>
      </c>
      <c r="L3806" s="444">
        <f t="shared" ca="1" si="154"/>
        <v>-1667669283303.5212</v>
      </c>
      <c r="M3806" s="460">
        <f t="shared" si="156"/>
        <v>0.05</v>
      </c>
      <c r="N3806" s="464">
        <f t="shared" si="157"/>
        <v>166887</v>
      </c>
    </row>
    <row r="3807" spans="7:14" ht="11.25" customHeight="1" x14ac:dyDescent="0.3">
      <c r="G3807" s="459"/>
      <c r="H3807" s="459">
        <v>3800</v>
      </c>
      <c r="I3807" s="444">
        <f t="shared" ca="1" si="155"/>
        <v>-1667669283303.5212</v>
      </c>
      <c r="J3807" s="444">
        <f t="array" ref="J3807">IFERROR(INDEX('Retirement Calculator'!K:K,MATCH('Lorri 401b'!N3807,'Retirement Calculator'!A:A,0),0),0)</f>
        <v>0</v>
      </c>
      <c r="K3807" s="444">
        <f t="shared" ca="1" si="153"/>
        <v>-6948622013.7646713</v>
      </c>
      <c r="L3807" s="444">
        <f t="shared" ca="1" si="154"/>
        <v>-1674617905317.2859</v>
      </c>
      <c r="M3807" s="460">
        <f t="shared" si="156"/>
        <v>0.05</v>
      </c>
      <c r="N3807" s="464">
        <f t="shared" si="157"/>
        <v>166918</v>
      </c>
    </row>
    <row r="3808" spans="7:14" ht="11.25" customHeight="1" x14ac:dyDescent="0.3">
      <c r="G3808" s="459"/>
      <c r="H3808" s="459">
        <v>3801</v>
      </c>
      <c r="I3808" s="444">
        <f t="shared" ca="1" si="155"/>
        <v>-1674617905317.2859</v>
      </c>
      <c r="J3808" s="444">
        <f t="array" ref="J3808">IFERROR(INDEX('Retirement Calculator'!K:K,MATCH('Lorri 401b'!N3808,'Retirement Calculator'!A:A,0),0),0)</f>
        <v>0</v>
      </c>
      <c r="K3808" s="444">
        <f t="shared" ca="1" si="153"/>
        <v>-6977574605.4886913</v>
      </c>
      <c r="L3808" s="444">
        <f t="shared" ca="1" si="154"/>
        <v>-1681595479922.7747</v>
      </c>
      <c r="M3808" s="460">
        <f t="shared" si="156"/>
        <v>0.05</v>
      </c>
      <c r="N3808" s="464">
        <f t="shared" si="157"/>
        <v>166949</v>
      </c>
    </row>
    <row r="3809" spans="7:14" ht="11.25" customHeight="1" x14ac:dyDescent="0.3">
      <c r="G3809" s="459"/>
      <c r="H3809" s="459">
        <v>3802</v>
      </c>
      <c r="I3809" s="444">
        <f t="shared" ca="1" si="155"/>
        <v>-1681595479922.7747</v>
      </c>
      <c r="J3809" s="444">
        <f t="array" ref="J3809">IFERROR(INDEX('Retirement Calculator'!K:K,MATCH('Lorri 401b'!N3809,'Retirement Calculator'!A:A,0),0),0)</f>
        <v>0</v>
      </c>
      <c r="K3809" s="444">
        <f t="shared" ca="1" si="153"/>
        <v>-7006647833.0115614</v>
      </c>
      <c r="L3809" s="444">
        <f t="shared" ca="1" si="154"/>
        <v>-1688602127755.7861</v>
      </c>
      <c r="M3809" s="460">
        <f t="shared" si="156"/>
        <v>0.05</v>
      </c>
      <c r="N3809" s="464">
        <f t="shared" si="157"/>
        <v>166977</v>
      </c>
    </row>
    <row r="3810" spans="7:14" ht="11.25" customHeight="1" x14ac:dyDescent="0.3">
      <c r="G3810" s="459"/>
      <c r="H3810" s="459">
        <v>3803</v>
      </c>
      <c r="I3810" s="444">
        <f t="shared" ca="1" si="155"/>
        <v>-1688602127755.7861</v>
      </c>
      <c r="J3810" s="444">
        <f t="array" ref="J3810">IFERROR(INDEX('Retirement Calculator'!K:K,MATCH('Lorri 401b'!N3810,'Retirement Calculator'!A:A,0),0),0)</f>
        <v>0</v>
      </c>
      <c r="K3810" s="444">
        <f t="shared" ca="1" si="153"/>
        <v>-7035842198.9824419</v>
      </c>
      <c r="L3810" s="444">
        <f t="shared" ca="1" si="154"/>
        <v>-1695637969954.7686</v>
      </c>
      <c r="M3810" s="460">
        <f t="shared" si="156"/>
        <v>0.05</v>
      </c>
      <c r="N3810" s="464">
        <f t="shared" si="157"/>
        <v>167008</v>
      </c>
    </row>
    <row r="3811" spans="7:14" ht="11.25" customHeight="1" x14ac:dyDescent="0.3">
      <c r="G3811" s="459"/>
      <c r="H3811" s="459">
        <v>3804</v>
      </c>
      <c r="I3811" s="444">
        <f t="shared" ca="1" si="155"/>
        <v>-1695637969954.7686</v>
      </c>
      <c r="J3811" s="444">
        <f t="array" ref="J3811">IFERROR(INDEX('Retirement Calculator'!K:K,MATCH('Lorri 401b'!N3811,'Retirement Calculator'!A:A,0),0),0)</f>
        <v>0</v>
      </c>
      <c r="K3811" s="444">
        <f t="shared" ca="1" si="153"/>
        <v>-7065158208.1448689</v>
      </c>
      <c r="L3811" s="444">
        <f t="shared" ca="1" si="154"/>
        <v>-1702703128162.9133</v>
      </c>
      <c r="M3811" s="460">
        <f t="shared" si="156"/>
        <v>0.05</v>
      </c>
      <c r="N3811" s="464">
        <f t="shared" si="157"/>
        <v>167038</v>
      </c>
    </row>
    <row r="3812" spans="7:14" ht="11.25" customHeight="1" x14ac:dyDescent="0.3">
      <c r="G3812" s="459"/>
      <c r="H3812" s="459">
        <v>3805</v>
      </c>
      <c r="I3812" s="444">
        <f t="shared" ca="1" si="155"/>
        <v>-1702703128162.9133</v>
      </c>
      <c r="J3812" s="444">
        <f t="array" ref="J3812">IFERROR(INDEX('Retirement Calculator'!K:K,MATCH('Lorri 401b'!N3812,'Retirement Calculator'!A:A,0),0),0)</f>
        <v>0</v>
      </c>
      <c r="K3812" s="444">
        <f t="shared" ca="1" si="153"/>
        <v>-7094596367.3454723</v>
      </c>
      <c r="L3812" s="444">
        <f t="shared" ca="1" si="154"/>
        <v>-1709797724530.2588</v>
      </c>
      <c r="M3812" s="460">
        <f t="shared" si="156"/>
        <v>0.05</v>
      </c>
      <c r="N3812" s="464">
        <f t="shared" si="157"/>
        <v>167069</v>
      </c>
    </row>
    <row r="3813" spans="7:14" ht="11.25" customHeight="1" x14ac:dyDescent="0.3">
      <c r="G3813" s="459"/>
      <c r="H3813" s="459">
        <v>3806</v>
      </c>
      <c r="I3813" s="444">
        <f t="shared" ca="1" si="155"/>
        <v>-1709797724530.2588</v>
      </c>
      <c r="J3813" s="444">
        <f t="array" ref="J3813">IFERROR(INDEX('Retirement Calculator'!K:K,MATCH('Lorri 401b'!N3813,'Retirement Calculator'!A:A,0),0),0)</f>
        <v>0</v>
      </c>
      <c r="K3813" s="444">
        <f t="shared" ca="1" si="153"/>
        <v>-7124157185.5427446</v>
      </c>
      <c r="L3813" s="444">
        <f t="shared" ca="1" si="154"/>
        <v>-1716921881715.8015</v>
      </c>
      <c r="M3813" s="460">
        <f t="shared" si="156"/>
        <v>0.05</v>
      </c>
      <c r="N3813" s="464">
        <f t="shared" si="157"/>
        <v>167099</v>
      </c>
    </row>
    <row r="3814" spans="7:14" ht="11.25" customHeight="1" x14ac:dyDescent="0.3">
      <c r="G3814" s="459"/>
      <c r="H3814" s="459">
        <v>3807</v>
      </c>
      <c r="I3814" s="444">
        <f t="shared" ca="1" si="155"/>
        <v>-1716921881715.8015</v>
      </c>
      <c r="J3814" s="444">
        <f t="array" ref="J3814">IFERROR(INDEX('Retirement Calculator'!K:K,MATCH('Lorri 401b'!N3814,'Retirement Calculator'!A:A,0),0),0)</f>
        <v>0</v>
      </c>
      <c r="K3814" s="444">
        <f t="shared" ca="1" si="153"/>
        <v>-7153841173.8158398</v>
      </c>
      <c r="L3814" s="444">
        <f t="shared" ca="1" si="154"/>
        <v>-1724075722889.6174</v>
      </c>
      <c r="M3814" s="460">
        <f t="shared" si="156"/>
        <v>0.05</v>
      </c>
      <c r="N3814" s="464">
        <f t="shared" si="157"/>
        <v>167130</v>
      </c>
    </row>
    <row r="3815" spans="7:14" ht="11.25" customHeight="1" x14ac:dyDescent="0.3">
      <c r="G3815" s="459"/>
      <c r="H3815" s="459">
        <v>3808</v>
      </c>
      <c r="I3815" s="444">
        <f t="shared" ca="1" si="155"/>
        <v>-1724075722889.6174</v>
      </c>
      <c r="J3815" s="444">
        <f t="array" ref="J3815">IFERROR(INDEX('Retirement Calculator'!K:K,MATCH('Lorri 401b'!N3815,'Retirement Calculator'!A:A,0),0),0)</f>
        <v>0</v>
      </c>
      <c r="K3815" s="444">
        <f t="shared" ca="1" si="153"/>
        <v>-7183648845.3734055</v>
      </c>
      <c r="L3815" s="444">
        <f t="shared" ca="1" si="154"/>
        <v>-1731259371734.9907</v>
      </c>
      <c r="M3815" s="460">
        <f t="shared" si="156"/>
        <v>0.05</v>
      </c>
      <c r="N3815" s="464">
        <f t="shared" si="157"/>
        <v>167161</v>
      </c>
    </row>
    <row r="3816" spans="7:14" ht="11.25" customHeight="1" x14ac:dyDescent="0.3">
      <c r="G3816" s="459"/>
      <c r="H3816" s="459">
        <v>3809</v>
      </c>
      <c r="I3816" s="444">
        <f t="shared" ca="1" si="155"/>
        <v>-1731259371734.9907</v>
      </c>
      <c r="J3816" s="444">
        <f t="array" ref="J3816">IFERROR(INDEX('Retirement Calculator'!K:K,MATCH('Lorri 401b'!N3816,'Retirement Calculator'!A:A,0),0),0)</f>
        <v>0</v>
      </c>
      <c r="K3816" s="444">
        <f t="shared" ca="1" si="153"/>
        <v>-7213580715.5624619</v>
      </c>
      <c r="L3816" s="444">
        <f t="shared" ca="1" si="154"/>
        <v>-1738472952450.5532</v>
      </c>
      <c r="M3816" s="460">
        <f t="shared" si="156"/>
        <v>0.05</v>
      </c>
      <c r="N3816" s="464">
        <f t="shared" si="157"/>
        <v>167191</v>
      </c>
    </row>
    <row r="3817" spans="7:14" ht="11.25" customHeight="1" x14ac:dyDescent="0.3">
      <c r="G3817" s="459"/>
      <c r="H3817" s="459">
        <v>3810</v>
      </c>
      <c r="I3817" s="444">
        <f t="shared" ca="1" si="155"/>
        <v>-1738472952450.5532</v>
      </c>
      <c r="J3817" s="444">
        <f t="array" ref="J3817">IFERROR(INDEX('Retirement Calculator'!K:K,MATCH('Lorri 401b'!N3817,'Retirement Calculator'!A:A,0),0),0)</f>
        <v>0</v>
      </c>
      <c r="K3817" s="444">
        <f t="shared" ca="1" si="153"/>
        <v>-7243637301.877305</v>
      </c>
      <c r="L3817" s="444">
        <f t="shared" ca="1" si="154"/>
        <v>-1745716589752.4304</v>
      </c>
      <c r="M3817" s="460">
        <f t="shared" si="156"/>
        <v>0.05</v>
      </c>
      <c r="N3817" s="464">
        <f t="shared" si="157"/>
        <v>167222</v>
      </c>
    </row>
    <row r="3818" spans="7:14" ht="11.25" customHeight="1" x14ac:dyDescent="0.3">
      <c r="G3818" s="459"/>
      <c r="H3818" s="459">
        <v>3811</v>
      </c>
      <c r="I3818" s="444">
        <f t="shared" ca="1" si="155"/>
        <v>-1745716589752.4304</v>
      </c>
      <c r="J3818" s="444">
        <f t="array" ref="J3818">IFERROR(INDEX('Retirement Calculator'!K:K,MATCH('Lorri 401b'!N3818,'Retirement Calculator'!A:A,0),0),0)</f>
        <v>0</v>
      </c>
      <c r="K3818" s="444">
        <f t="shared" ca="1" si="153"/>
        <v>-7273819123.9684601</v>
      </c>
      <c r="L3818" s="444">
        <f t="shared" ca="1" si="154"/>
        <v>-1752990408876.3989</v>
      </c>
      <c r="M3818" s="460">
        <f t="shared" si="156"/>
        <v>0.05</v>
      </c>
      <c r="N3818" s="464">
        <f t="shared" si="157"/>
        <v>167252</v>
      </c>
    </row>
    <row r="3819" spans="7:14" ht="11.25" customHeight="1" x14ac:dyDescent="0.3">
      <c r="G3819" s="459"/>
      <c r="H3819" s="459">
        <v>3812</v>
      </c>
      <c r="I3819" s="444">
        <f t="shared" ca="1" si="155"/>
        <v>-1752990408876.3989</v>
      </c>
      <c r="J3819" s="444">
        <f t="array" ref="J3819">IFERROR(INDEX('Retirement Calculator'!K:K,MATCH('Lorri 401b'!N3819,'Retirement Calculator'!A:A,0),0),0)</f>
        <v>0</v>
      </c>
      <c r="K3819" s="444">
        <f t="shared" ca="1" si="153"/>
        <v>-7304126703.6516628</v>
      </c>
      <c r="L3819" s="444">
        <f t="shared" ca="1" si="154"/>
        <v>-1760294535580.0505</v>
      </c>
      <c r="M3819" s="460">
        <f t="shared" si="156"/>
        <v>0.05</v>
      </c>
      <c r="N3819" s="464">
        <f t="shared" si="157"/>
        <v>167283</v>
      </c>
    </row>
    <row r="3820" spans="7:14" ht="11.25" customHeight="1" x14ac:dyDescent="0.3">
      <c r="G3820" s="459"/>
      <c r="H3820" s="459">
        <v>3813</v>
      </c>
      <c r="I3820" s="444">
        <f t="shared" ca="1" si="155"/>
        <v>-1760294535580.0505</v>
      </c>
      <c r="J3820" s="444">
        <f t="array" ref="J3820">IFERROR(INDEX('Retirement Calculator'!K:K,MATCH('Lorri 401b'!N3820,'Retirement Calculator'!A:A,0),0),0)</f>
        <v>0</v>
      </c>
      <c r="K3820" s="444">
        <f t="shared" ca="1" si="153"/>
        <v>-7334560564.9168768</v>
      </c>
      <c r="L3820" s="444">
        <f t="shared" ca="1" si="154"/>
        <v>-1767629096144.9675</v>
      </c>
      <c r="M3820" s="460">
        <f t="shared" si="156"/>
        <v>0.05</v>
      </c>
      <c r="N3820" s="464">
        <f t="shared" si="157"/>
        <v>167314</v>
      </c>
    </row>
    <row r="3821" spans="7:14" ht="11.25" customHeight="1" x14ac:dyDescent="0.3">
      <c r="G3821" s="459"/>
      <c r="H3821" s="459">
        <v>3814</v>
      </c>
      <c r="I3821" s="444">
        <f t="shared" ca="1" si="155"/>
        <v>-1767629096144.9675</v>
      </c>
      <c r="J3821" s="444">
        <f t="array" ref="J3821">IFERROR(INDEX('Retirement Calculator'!K:K,MATCH('Lorri 401b'!N3821,'Retirement Calculator'!A:A,0),0),0)</f>
        <v>0</v>
      </c>
      <c r="K3821" s="444">
        <f t="shared" ca="1" si="153"/>
        <v>-7365121233.9373646</v>
      </c>
      <c r="L3821" s="444">
        <f t="shared" ca="1" si="154"/>
        <v>-1774994217378.9048</v>
      </c>
      <c r="M3821" s="460">
        <f t="shared" si="156"/>
        <v>0.05</v>
      </c>
      <c r="N3821" s="464">
        <f t="shared" si="157"/>
        <v>167342</v>
      </c>
    </row>
    <row r="3822" spans="7:14" ht="11.25" customHeight="1" x14ac:dyDescent="0.3">
      <c r="G3822" s="459"/>
      <c r="H3822" s="459">
        <v>3815</v>
      </c>
      <c r="I3822" s="444">
        <f t="shared" ca="1" si="155"/>
        <v>-1774994217378.9048</v>
      </c>
      <c r="J3822" s="444">
        <f t="array" ref="J3822">IFERROR(INDEX('Retirement Calculator'!K:K,MATCH('Lorri 401b'!N3822,'Retirement Calculator'!A:A,0),0),0)</f>
        <v>0</v>
      </c>
      <c r="K3822" s="444">
        <f t="shared" ca="1" si="153"/>
        <v>-7395809239.0787697</v>
      </c>
      <c r="L3822" s="444">
        <f t="shared" ca="1" si="154"/>
        <v>-1782390026617.9836</v>
      </c>
      <c r="M3822" s="460">
        <f t="shared" si="156"/>
        <v>0.05</v>
      </c>
      <c r="N3822" s="464">
        <f t="shared" si="157"/>
        <v>167373</v>
      </c>
    </row>
    <row r="3823" spans="7:14" ht="11.25" customHeight="1" x14ac:dyDescent="0.3">
      <c r="G3823" s="459"/>
      <c r="H3823" s="459">
        <v>3816</v>
      </c>
      <c r="I3823" s="444">
        <f t="shared" ca="1" si="155"/>
        <v>-1782390026617.9836</v>
      </c>
      <c r="J3823" s="444">
        <f t="array" ref="J3823">IFERROR(INDEX('Retirement Calculator'!K:K,MATCH('Lorri 401b'!N3823,'Retirement Calculator'!A:A,0),0),0)</f>
        <v>0</v>
      </c>
      <c r="K3823" s="444">
        <f t="shared" ca="1" si="153"/>
        <v>-7426625110.9082642</v>
      </c>
      <c r="L3823" s="444">
        <f t="shared" ca="1" si="154"/>
        <v>-1789816651728.8918</v>
      </c>
      <c r="M3823" s="460">
        <f t="shared" si="156"/>
        <v>0.05</v>
      </c>
      <c r="N3823" s="464">
        <f t="shared" si="157"/>
        <v>167403</v>
      </c>
    </row>
    <row r="3824" spans="7:14" ht="11.25" customHeight="1" x14ac:dyDescent="0.3">
      <c r="G3824" s="459"/>
      <c r="H3824" s="459">
        <v>3817</v>
      </c>
      <c r="I3824" s="444">
        <f t="shared" ca="1" si="155"/>
        <v>-1789816651728.8918</v>
      </c>
      <c r="J3824" s="444">
        <f t="array" ref="J3824">IFERROR(INDEX('Retirement Calculator'!K:K,MATCH('Lorri 401b'!N3824,'Retirement Calculator'!A:A,0),0),0)</f>
        <v>0</v>
      </c>
      <c r="K3824" s="444">
        <f t="shared" ca="1" si="153"/>
        <v>-7457569382.2037172</v>
      </c>
      <c r="L3824" s="444">
        <f t="shared" ca="1" si="154"/>
        <v>-1797274221111.0955</v>
      </c>
      <c r="M3824" s="460">
        <f t="shared" si="156"/>
        <v>0.05</v>
      </c>
      <c r="N3824" s="464">
        <f t="shared" si="157"/>
        <v>167434</v>
      </c>
    </row>
    <row r="3825" spans="7:14" ht="11.25" customHeight="1" x14ac:dyDescent="0.3">
      <c r="G3825" s="459"/>
      <c r="H3825" s="459">
        <v>3818</v>
      </c>
      <c r="I3825" s="444">
        <f t="shared" ca="1" si="155"/>
        <v>-1797274221111.0955</v>
      </c>
      <c r="J3825" s="444">
        <f t="array" ref="J3825">IFERROR(INDEX('Retirement Calculator'!K:K,MATCH('Lorri 401b'!N3825,'Retirement Calculator'!A:A,0),0),0)</f>
        <v>0</v>
      </c>
      <c r="K3825" s="444">
        <f t="shared" ca="1" si="153"/>
        <v>-7488642587.9628973</v>
      </c>
      <c r="L3825" s="444">
        <f t="shared" ca="1" si="154"/>
        <v>-1804762863699.0583</v>
      </c>
      <c r="M3825" s="460">
        <f t="shared" si="156"/>
        <v>0.05</v>
      </c>
      <c r="N3825" s="464">
        <f t="shared" si="157"/>
        <v>167464</v>
      </c>
    </row>
    <row r="3826" spans="7:14" ht="11.25" customHeight="1" x14ac:dyDescent="0.3">
      <c r="G3826" s="459"/>
      <c r="H3826" s="459">
        <v>3819</v>
      </c>
      <c r="I3826" s="444">
        <f t="shared" ca="1" si="155"/>
        <v>-1804762863699.0583</v>
      </c>
      <c r="J3826" s="444">
        <f t="array" ref="J3826">IFERROR(INDEX('Retirement Calculator'!K:K,MATCH('Lorri 401b'!N3826,'Retirement Calculator'!A:A,0),0),0)</f>
        <v>0</v>
      </c>
      <c r="K3826" s="444">
        <f t="shared" ca="1" si="153"/>
        <v>-7519845265.4127426</v>
      </c>
      <c r="L3826" s="444">
        <f t="shared" ca="1" si="154"/>
        <v>-1812282708964.4712</v>
      </c>
      <c r="M3826" s="460">
        <f t="shared" si="156"/>
        <v>0.05</v>
      </c>
      <c r="N3826" s="464">
        <f t="shared" si="157"/>
        <v>167495</v>
      </c>
    </row>
    <row r="3827" spans="7:14" ht="11.25" customHeight="1" x14ac:dyDescent="0.3">
      <c r="G3827" s="459"/>
      <c r="H3827" s="459">
        <v>3820</v>
      </c>
      <c r="I3827" s="444">
        <f t="shared" ca="1" si="155"/>
        <v>-1812282708964.4712</v>
      </c>
      <c r="J3827" s="444">
        <f t="array" ref="J3827">IFERROR(INDEX('Retirement Calculator'!K:K,MATCH('Lorri 401b'!N3827,'Retirement Calculator'!A:A,0),0),0)</f>
        <v>0</v>
      </c>
      <c r="K3827" s="444">
        <f t="shared" ca="1" si="153"/>
        <v>-7551177954.01863</v>
      </c>
      <c r="L3827" s="444">
        <f t="shared" ca="1" si="154"/>
        <v>-1819833886918.4897</v>
      </c>
      <c r="M3827" s="460">
        <f t="shared" si="156"/>
        <v>0.05</v>
      </c>
      <c r="N3827" s="464">
        <f t="shared" si="157"/>
        <v>167526</v>
      </c>
    </row>
    <row r="3828" spans="7:14" ht="11.25" customHeight="1" x14ac:dyDescent="0.3">
      <c r="G3828" s="459"/>
      <c r="H3828" s="459">
        <v>3821</v>
      </c>
      <c r="I3828" s="444">
        <f t="shared" ca="1" si="155"/>
        <v>-1819833886918.4897</v>
      </c>
      <c r="J3828" s="444">
        <f t="array" ref="J3828">IFERROR(INDEX('Retirement Calculator'!K:K,MATCH('Lorri 401b'!N3828,'Retirement Calculator'!A:A,0),0),0)</f>
        <v>0</v>
      </c>
      <c r="K3828" s="444">
        <f t="shared" ca="1" si="153"/>
        <v>-7582641195.4937067</v>
      </c>
      <c r="L3828" s="444">
        <f t="shared" ca="1" si="154"/>
        <v>-1827416528113.9834</v>
      </c>
      <c r="M3828" s="460">
        <f t="shared" si="156"/>
        <v>0.05</v>
      </c>
      <c r="N3828" s="464">
        <f t="shared" si="157"/>
        <v>167556</v>
      </c>
    </row>
    <row r="3829" spans="7:14" ht="11.25" customHeight="1" x14ac:dyDescent="0.3">
      <c r="G3829" s="459"/>
      <c r="H3829" s="459">
        <v>3822</v>
      </c>
      <c r="I3829" s="444">
        <f t="shared" ca="1" si="155"/>
        <v>-1827416528113.9834</v>
      </c>
      <c r="J3829" s="444">
        <f t="array" ref="J3829">IFERROR(INDEX('Retirement Calculator'!K:K,MATCH('Lorri 401b'!N3829,'Retirement Calculator'!A:A,0),0),0)</f>
        <v>0</v>
      </c>
      <c r="K3829" s="444">
        <f t="shared" ca="1" si="153"/>
        <v>-7614235533.8082638</v>
      </c>
      <c r="L3829" s="444">
        <f t="shared" ca="1" si="154"/>
        <v>-1835030763647.7917</v>
      </c>
      <c r="M3829" s="460">
        <f t="shared" si="156"/>
        <v>0.05</v>
      </c>
      <c r="N3829" s="464">
        <f t="shared" si="157"/>
        <v>167587</v>
      </c>
    </row>
    <row r="3830" spans="7:14" ht="11.25" customHeight="1" x14ac:dyDescent="0.3">
      <c r="G3830" s="459"/>
      <c r="H3830" s="459">
        <v>3823</v>
      </c>
      <c r="I3830" s="444">
        <f t="shared" ca="1" si="155"/>
        <v>-1835030763647.7917</v>
      </c>
      <c r="J3830" s="444">
        <f t="array" ref="J3830">IFERROR(INDEX('Retirement Calculator'!K:K,MATCH('Lorri 401b'!N3830,'Retirement Calculator'!A:A,0),0),0)</f>
        <v>0</v>
      </c>
      <c r="K3830" s="444">
        <f t="shared" ca="1" si="153"/>
        <v>-7645961515.1991329</v>
      </c>
      <c r="L3830" s="444">
        <f t="shared" ca="1" si="154"/>
        <v>-1842676725162.991</v>
      </c>
      <c r="M3830" s="460">
        <f t="shared" si="156"/>
        <v>0.05</v>
      </c>
      <c r="N3830" s="464">
        <f t="shared" si="157"/>
        <v>167617</v>
      </c>
    </row>
    <row r="3831" spans="7:14" ht="11.25" customHeight="1" x14ac:dyDescent="0.3">
      <c r="G3831" s="459"/>
      <c r="H3831" s="459">
        <v>3824</v>
      </c>
      <c r="I3831" s="444">
        <f t="shared" ca="1" si="155"/>
        <v>-1842676725162.991</v>
      </c>
      <c r="J3831" s="444">
        <f t="array" ref="J3831">IFERROR(INDEX('Retirement Calculator'!K:K,MATCH('Lorri 401b'!N3831,'Retirement Calculator'!A:A,0),0),0)</f>
        <v>0</v>
      </c>
      <c r="K3831" s="444">
        <f t="shared" ca="1" si="153"/>
        <v>-7677819688.1791296</v>
      </c>
      <c r="L3831" s="444">
        <f t="shared" ca="1" si="154"/>
        <v>-1850354544851.1702</v>
      </c>
      <c r="M3831" s="460">
        <f t="shared" si="156"/>
        <v>0.05</v>
      </c>
      <c r="N3831" s="464">
        <f t="shared" si="157"/>
        <v>167648</v>
      </c>
    </row>
    <row r="3832" spans="7:14" ht="11.25" customHeight="1" x14ac:dyDescent="0.3">
      <c r="G3832" s="459"/>
      <c r="H3832" s="459">
        <v>3825</v>
      </c>
      <c r="I3832" s="444">
        <f t="shared" ca="1" si="155"/>
        <v>-1850354544851.1702</v>
      </c>
      <c r="J3832" s="444">
        <f t="array" ref="J3832">IFERROR(INDEX('Retirement Calculator'!K:K,MATCH('Lorri 401b'!N3832,'Retirement Calculator'!A:A,0),0),0)</f>
        <v>0</v>
      </c>
      <c r="K3832" s="444">
        <f t="shared" ca="1" si="153"/>
        <v>-7709810603.5465422</v>
      </c>
      <c r="L3832" s="444">
        <f t="shared" ca="1" si="154"/>
        <v>-1858064355454.7168</v>
      </c>
      <c r="M3832" s="460">
        <f t="shared" si="156"/>
        <v>0.05</v>
      </c>
      <c r="N3832" s="464">
        <f t="shared" si="157"/>
        <v>167679</v>
      </c>
    </row>
    <row r="3833" spans="7:14" ht="11.25" customHeight="1" x14ac:dyDescent="0.3">
      <c r="G3833" s="459"/>
      <c r="H3833" s="459">
        <v>3826</v>
      </c>
      <c r="I3833" s="444">
        <f t="shared" ca="1" si="155"/>
        <v>-1858064355454.7168</v>
      </c>
      <c r="J3833" s="444">
        <f t="array" ref="J3833">IFERROR(INDEX('Retirement Calculator'!K:K,MATCH('Lorri 401b'!N3833,'Retirement Calculator'!A:A,0),0),0)</f>
        <v>0</v>
      </c>
      <c r="K3833" s="444">
        <f t="shared" ref="K3833:K4087" ca="1" si="158">IPMT(M3833/12,1,12,-I3833+J3833,,0)</f>
        <v>-7741934814.3946533</v>
      </c>
      <c r="L3833" s="444">
        <f t="shared" ref="L3833:L4087" ca="1" si="159">I3833-J3833+K3833</f>
        <v>-1865806290269.1113</v>
      </c>
      <c r="M3833" s="460">
        <f t="shared" si="156"/>
        <v>0.05</v>
      </c>
      <c r="N3833" s="464">
        <f t="shared" si="157"/>
        <v>167707</v>
      </c>
    </row>
    <row r="3834" spans="7:14" ht="11.25" customHeight="1" x14ac:dyDescent="0.3">
      <c r="G3834" s="459"/>
      <c r="H3834" s="459">
        <v>3827</v>
      </c>
      <c r="I3834" s="444">
        <f t="shared" ref="I3834:I4088" ca="1" si="160">L3833</f>
        <v>-1865806290269.1113</v>
      </c>
      <c r="J3834" s="444">
        <f t="array" ref="J3834">IFERROR(INDEX('Retirement Calculator'!K:K,MATCH('Lorri 401b'!N3834,'Retirement Calculator'!A:A,0),0),0)</f>
        <v>0</v>
      </c>
      <c r="K3834" s="444">
        <f t="shared" ca="1" si="158"/>
        <v>-7774192876.1212978</v>
      </c>
      <c r="L3834" s="444">
        <f t="shared" ca="1" si="159"/>
        <v>-1873580483145.2327</v>
      </c>
      <c r="M3834" s="460">
        <f t="shared" ref="M3834:M4088" si="161">M3833</f>
        <v>0.05</v>
      </c>
      <c r="N3834" s="464">
        <f t="shared" ref="N3834:N4088" si="162">EDATE(N3833,1)</f>
        <v>167738</v>
      </c>
    </row>
    <row r="3835" spans="7:14" ht="11.25" customHeight="1" x14ac:dyDescent="0.3">
      <c r="G3835" s="459"/>
      <c r="H3835" s="459">
        <v>3828</v>
      </c>
      <c r="I3835" s="444">
        <f t="shared" ca="1" si="160"/>
        <v>-1873580483145.2327</v>
      </c>
      <c r="J3835" s="444">
        <f t="array" ref="J3835">IFERROR(INDEX('Retirement Calculator'!K:K,MATCH('Lorri 401b'!N3835,'Retirement Calculator'!A:A,0),0),0)</f>
        <v>0</v>
      </c>
      <c r="K3835" s="444">
        <f t="shared" ca="1" si="158"/>
        <v>-7806585346.4384689</v>
      </c>
      <c r="L3835" s="444">
        <f t="shared" ca="1" si="159"/>
        <v>-1881387068491.6711</v>
      </c>
      <c r="M3835" s="460">
        <f t="shared" si="161"/>
        <v>0.05</v>
      </c>
      <c r="N3835" s="464">
        <f t="shared" si="162"/>
        <v>167768</v>
      </c>
    </row>
    <row r="3836" spans="7:14" ht="11.25" customHeight="1" x14ac:dyDescent="0.3">
      <c r="G3836" s="459"/>
      <c r="H3836" s="459">
        <v>3829</v>
      </c>
      <c r="I3836" s="444">
        <f t="shared" ca="1" si="160"/>
        <v>-1881387068491.6711</v>
      </c>
      <c r="J3836" s="444">
        <f t="array" ref="J3836">IFERROR(INDEX('Retirement Calculator'!K:K,MATCH('Lorri 401b'!N3836,'Retirement Calculator'!A:A,0),0),0)</f>
        <v>0</v>
      </c>
      <c r="K3836" s="444">
        <f t="shared" ca="1" si="158"/>
        <v>-7839112785.3819628</v>
      </c>
      <c r="L3836" s="444">
        <f t="shared" ca="1" si="159"/>
        <v>-1889226181277.0532</v>
      </c>
      <c r="M3836" s="460">
        <f t="shared" si="161"/>
        <v>0.05</v>
      </c>
      <c r="N3836" s="464">
        <f t="shared" si="162"/>
        <v>167799</v>
      </c>
    </row>
    <row r="3837" spans="7:14" ht="11.25" customHeight="1" x14ac:dyDescent="0.3">
      <c r="G3837" s="459"/>
      <c r="H3837" s="459">
        <v>3830</v>
      </c>
      <c r="I3837" s="444">
        <f t="shared" ca="1" si="160"/>
        <v>-1889226181277.0532</v>
      </c>
      <c r="J3837" s="444">
        <f t="array" ref="J3837">IFERROR(INDEX('Retirement Calculator'!K:K,MATCH('Lorri 401b'!N3837,'Retirement Calculator'!A:A,0),0),0)</f>
        <v>0</v>
      </c>
      <c r="K3837" s="444">
        <f t="shared" ca="1" si="158"/>
        <v>-7871775755.3210554</v>
      </c>
      <c r="L3837" s="444">
        <f t="shared" ca="1" si="159"/>
        <v>-1897097957032.3743</v>
      </c>
      <c r="M3837" s="460">
        <f t="shared" si="161"/>
        <v>0.05</v>
      </c>
      <c r="N3837" s="464">
        <f t="shared" si="162"/>
        <v>167829</v>
      </c>
    </row>
    <row r="3838" spans="7:14" ht="11.25" customHeight="1" x14ac:dyDescent="0.3">
      <c r="G3838" s="459"/>
      <c r="H3838" s="459">
        <v>3831</v>
      </c>
      <c r="I3838" s="444">
        <f t="shared" ca="1" si="160"/>
        <v>-1897097957032.3743</v>
      </c>
      <c r="J3838" s="444">
        <f t="array" ref="J3838">IFERROR(INDEX('Retirement Calculator'!K:K,MATCH('Lorri 401b'!N3838,'Retirement Calculator'!A:A,0),0),0)</f>
        <v>0</v>
      </c>
      <c r="K3838" s="444">
        <f t="shared" ca="1" si="158"/>
        <v>-7904574820.9682264</v>
      </c>
      <c r="L3838" s="444">
        <f t="shared" ca="1" si="159"/>
        <v>-1905002531853.3425</v>
      </c>
      <c r="M3838" s="460">
        <f t="shared" si="161"/>
        <v>0.05</v>
      </c>
      <c r="N3838" s="464">
        <f t="shared" si="162"/>
        <v>167860</v>
      </c>
    </row>
    <row r="3839" spans="7:14" ht="11.25" customHeight="1" x14ac:dyDescent="0.3">
      <c r="G3839" s="459"/>
      <c r="H3839" s="459">
        <v>3832</v>
      </c>
      <c r="I3839" s="444">
        <f t="shared" ca="1" si="160"/>
        <v>-1905002531853.3425</v>
      </c>
      <c r="J3839" s="444">
        <f t="array" ref="J3839">IFERROR(INDEX('Retirement Calculator'!K:K,MATCH('Lorri 401b'!N3839,'Retirement Calculator'!A:A,0),0),0)</f>
        <v>0</v>
      </c>
      <c r="K3839" s="444">
        <f t="shared" ca="1" si="158"/>
        <v>-7937510549.3889265</v>
      </c>
      <c r="L3839" s="444">
        <f t="shared" ca="1" si="159"/>
        <v>-1912940042402.7314</v>
      </c>
      <c r="M3839" s="460">
        <f t="shared" si="161"/>
        <v>0.05</v>
      </c>
      <c r="N3839" s="464">
        <f t="shared" si="162"/>
        <v>167891</v>
      </c>
    </row>
    <row r="3840" spans="7:14" ht="11.25" customHeight="1" x14ac:dyDescent="0.3">
      <c r="G3840" s="459"/>
      <c r="H3840" s="459">
        <v>3833</v>
      </c>
      <c r="I3840" s="444">
        <f t="shared" ca="1" si="160"/>
        <v>-1912940042402.7314</v>
      </c>
      <c r="J3840" s="444">
        <f t="array" ref="J3840">IFERROR(INDEX('Retirement Calculator'!K:K,MATCH('Lorri 401b'!N3840,'Retirement Calculator'!A:A,0),0),0)</f>
        <v>0</v>
      </c>
      <c r="K3840" s="444">
        <f t="shared" ca="1" si="158"/>
        <v>-7970583510.0113821</v>
      </c>
      <c r="L3840" s="444">
        <f t="shared" ca="1" si="159"/>
        <v>-1920910625912.7429</v>
      </c>
      <c r="M3840" s="460">
        <f t="shared" si="161"/>
        <v>0.05</v>
      </c>
      <c r="N3840" s="464">
        <f t="shared" si="162"/>
        <v>167921</v>
      </c>
    </row>
    <row r="3841" spans="7:14" ht="11.25" customHeight="1" x14ac:dyDescent="0.3">
      <c r="G3841" s="459"/>
      <c r="H3841" s="459">
        <v>3834</v>
      </c>
      <c r="I3841" s="444">
        <f t="shared" ca="1" si="160"/>
        <v>-1920910625912.7429</v>
      </c>
      <c r="J3841" s="444">
        <f t="array" ref="J3841">IFERROR(INDEX('Retirement Calculator'!K:K,MATCH('Lorri 401b'!N3841,'Retirement Calculator'!A:A,0),0),0)</f>
        <v>0</v>
      </c>
      <c r="K3841" s="444">
        <f t="shared" ca="1" si="158"/>
        <v>-8003794274.6364288</v>
      </c>
      <c r="L3841" s="444">
        <f t="shared" ca="1" si="159"/>
        <v>-1928914420187.3794</v>
      </c>
      <c r="M3841" s="460">
        <f t="shared" si="161"/>
        <v>0.05</v>
      </c>
      <c r="N3841" s="464">
        <f t="shared" si="162"/>
        <v>167952</v>
      </c>
    </row>
    <row r="3842" spans="7:14" ht="11.25" customHeight="1" x14ac:dyDescent="0.3">
      <c r="G3842" s="459"/>
      <c r="H3842" s="459">
        <v>3835</v>
      </c>
      <c r="I3842" s="444">
        <f t="shared" ca="1" si="160"/>
        <v>-1928914420187.3794</v>
      </c>
      <c r="J3842" s="444">
        <f t="array" ref="J3842">IFERROR(INDEX('Retirement Calculator'!K:K,MATCH('Lorri 401b'!N3842,'Retirement Calculator'!A:A,0),0),0)</f>
        <v>0</v>
      </c>
      <c r="K3842" s="444">
        <f t="shared" ca="1" si="158"/>
        <v>-8037143417.4474134</v>
      </c>
      <c r="L3842" s="444">
        <f t="shared" ca="1" si="159"/>
        <v>-1936951563604.8269</v>
      </c>
      <c r="M3842" s="460">
        <f t="shared" si="161"/>
        <v>0.05</v>
      </c>
      <c r="N3842" s="464">
        <f t="shared" si="162"/>
        <v>167982</v>
      </c>
    </row>
    <row r="3843" spans="7:14" ht="11.25" customHeight="1" x14ac:dyDescent="0.3">
      <c r="G3843" s="459"/>
      <c r="H3843" s="459">
        <v>3836</v>
      </c>
      <c r="I3843" s="444">
        <f t="shared" ca="1" si="160"/>
        <v>-1936951563604.8269</v>
      </c>
      <c r="J3843" s="444">
        <f t="array" ref="J3843">IFERROR(INDEX('Retirement Calculator'!K:K,MATCH('Lorri 401b'!N3843,'Retirement Calculator'!A:A,0),0),0)</f>
        <v>0</v>
      </c>
      <c r="K3843" s="444">
        <f t="shared" ca="1" si="158"/>
        <v>-8070631515.020113</v>
      </c>
      <c r="L3843" s="444">
        <f t="shared" ca="1" si="159"/>
        <v>-1945022195119.8469</v>
      </c>
      <c r="M3843" s="460">
        <f t="shared" si="161"/>
        <v>0.05</v>
      </c>
      <c r="N3843" s="464">
        <f t="shared" si="162"/>
        <v>168013</v>
      </c>
    </row>
    <row r="3844" spans="7:14" ht="11.25" customHeight="1" x14ac:dyDescent="0.3">
      <c r="G3844" s="459"/>
      <c r="H3844" s="459">
        <v>3837</v>
      </c>
      <c r="I3844" s="444">
        <f t="shared" ca="1" si="160"/>
        <v>-1945022195119.8469</v>
      </c>
      <c r="J3844" s="444">
        <f t="array" ref="J3844">IFERROR(INDEX('Retirement Calculator'!K:K,MATCH('Lorri 401b'!N3844,'Retirement Calculator'!A:A,0),0),0)</f>
        <v>0</v>
      </c>
      <c r="K3844" s="444">
        <f t="shared" ca="1" si="158"/>
        <v>-8104259146.332695</v>
      </c>
      <c r="L3844" s="444">
        <f t="shared" ca="1" si="159"/>
        <v>-1953126454266.1797</v>
      </c>
      <c r="M3844" s="460">
        <f t="shared" si="161"/>
        <v>0.05</v>
      </c>
      <c r="N3844" s="464">
        <f t="shared" si="162"/>
        <v>168044</v>
      </c>
    </row>
    <row r="3845" spans="7:14" ht="11.25" customHeight="1" x14ac:dyDescent="0.3">
      <c r="G3845" s="459"/>
      <c r="H3845" s="459">
        <v>3838</v>
      </c>
      <c r="I3845" s="444">
        <f t="shared" ca="1" si="160"/>
        <v>-1953126454266.1797</v>
      </c>
      <c r="J3845" s="444">
        <f t="array" ref="J3845">IFERROR(INDEX('Retirement Calculator'!K:K,MATCH('Lorri 401b'!N3845,'Retirement Calculator'!A:A,0),0),0)</f>
        <v>0</v>
      </c>
      <c r="K3845" s="444">
        <f t="shared" ca="1" si="158"/>
        <v>-8138026892.7757483</v>
      </c>
      <c r="L3845" s="444">
        <f t="shared" ca="1" si="159"/>
        <v>-1961264481158.9553</v>
      </c>
      <c r="M3845" s="460">
        <f t="shared" si="161"/>
        <v>0.05</v>
      </c>
      <c r="N3845" s="464">
        <f t="shared" si="162"/>
        <v>168073</v>
      </c>
    </row>
    <row r="3846" spans="7:14" ht="11.25" customHeight="1" x14ac:dyDescent="0.3">
      <c r="G3846" s="459"/>
      <c r="H3846" s="459">
        <v>3839</v>
      </c>
      <c r="I3846" s="444">
        <f t="shared" ca="1" si="160"/>
        <v>-1961264481158.9553</v>
      </c>
      <c r="J3846" s="444">
        <f t="array" ref="J3846">IFERROR(INDEX('Retirement Calculator'!K:K,MATCH('Lorri 401b'!N3846,'Retirement Calculator'!A:A,0),0),0)</f>
        <v>0</v>
      </c>
      <c r="K3846" s="444">
        <f t="shared" ca="1" si="158"/>
        <v>-8171935338.1623144</v>
      </c>
      <c r="L3846" s="444">
        <f t="shared" ca="1" si="159"/>
        <v>-1969436416497.1177</v>
      </c>
      <c r="M3846" s="460">
        <f t="shared" si="161"/>
        <v>0.05</v>
      </c>
      <c r="N3846" s="464">
        <f t="shared" si="162"/>
        <v>168104</v>
      </c>
    </row>
    <row r="3847" spans="7:14" ht="11.25" customHeight="1" x14ac:dyDescent="0.3">
      <c r="G3847" s="459"/>
      <c r="H3847" s="459">
        <v>3840</v>
      </c>
      <c r="I3847" s="444">
        <f t="shared" ca="1" si="160"/>
        <v>-1969436416497.1177</v>
      </c>
      <c r="J3847" s="444">
        <f t="array" ref="J3847">IFERROR(INDEX('Retirement Calculator'!K:K,MATCH('Lorri 401b'!N3847,'Retirement Calculator'!A:A,0),0),0)</f>
        <v>0</v>
      </c>
      <c r="K3847" s="444">
        <f t="shared" ca="1" si="158"/>
        <v>-8205985068.7379904</v>
      </c>
      <c r="L3847" s="444">
        <f t="shared" ca="1" si="159"/>
        <v>-1977642401565.8557</v>
      </c>
      <c r="M3847" s="460">
        <f t="shared" si="161"/>
        <v>0.05</v>
      </c>
      <c r="N3847" s="464">
        <f t="shared" si="162"/>
        <v>168134</v>
      </c>
    </row>
    <row r="3848" spans="7:14" ht="11.25" customHeight="1" x14ac:dyDescent="0.3">
      <c r="G3848" s="459"/>
      <c r="H3848" s="459">
        <v>3841</v>
      </c>
      <c r="I3848" s="444">
        <f t="shared" ca="1" si="160"/>
        <v>-1977642401565.8557</v>
      </c>
      <c r="J3848" s="444">
        <f t="array" ref="J3848">IFERROR(INDEX('Retirement Calculator'!K:K,MATCH('Lorri 401b'!N3848,'Retirement Calculator'!A:A,0),0),0)</f>
        <v>0</v>
      </c>
      <c r="K3848" s="444">
        <f t="shared" ca="1" si="158"/>
        <v>-8240176673.1910658</v>
      </c>
      <c r="L3848" s="444">
        <f t="shared" ca="1" si="159"/>
        <v>-1985882578239.0469</v>
      </c>
      <c r="M3848" s="460">
        <f t="shared" si="161"/>
        <v>0.05</v>
      </c>
      <c r="N3848" s="464">
        <f t="shared" si="162"/>
        <v>168165</v>
      </c>
    </row>
    <row r="3849" spans="7:14" ht="11.25" customHeight="1" x14ac:dyDescent="0.3">
      <c r="G3849" s="459"/>
      <c r="H3849" s="459">
        <v>3842</v>
      </c>
      <c r="I3849" s="444">
        <f t="shared" ca="1" si="160"/>
        <v>-1985882578239.0469</v>
      </c>
      <c r="J3849" s="444">
        <f t="array" ref="J3849">IFERROR(INDEX('Retirement Calculator'!K:K,MATCH('Lorri 401b'!N3849,'Retirement Calculator'!A:A,0),0),0)</f>
        <v>0</v>
      </c>
      <c r="K3849" s="444">
        <f t="shared" ca="1" si="158"/>
        <v>-8274510742.6626959</v>
      </c>
      <c r="L3849" s="444">
        <f t="shared" ca="1" si="159"/>
        <v>-1994157088981.7095</v>
      </c>
      <c r="M3849" s="460">
        <f t="shared" si="161"/>
        <v>0.05</v>
      </c>
      <c r="N3849" s="464">
        <f t="shared" si="162"/>
        <v>168195</v>
      </c>
    </row>
    <row r="3850" spans="7:14" ht="11.25" customHeight="1" x14ac:dyDescent="0.3">
      <c r="G3850" s="459"/>
      <c r="H3850" s="459">
        <v>3843</v>
      </c>
      <c r="I3850" s="444">
        <f t="shared" ca="1" si="160"/>
        <v>-1994157088981.7095</v>
      </c>
      <c r="J3850" s="444">
        <f t="array" ref="J3850">IFERROR(INDEX('Retirement Calculator'!K:K,MATCH('Lorri 401b'!N3850,'Retirement Calculator'!A:A,0),0),0)</f>
        <v>0</v>
      </c>
      <c r="K3850" s="444">
        <f t="shared" ca="1" si="158"/>
        <v>-8308987870.757122</v>
      </c>
      <c r="L3850" s="444">
        <f t="shared" ca="1" si="159"/>
        <v>-2002466076852.4666</v>
      </c>
      <c r="M3850" s="460">
        <f t="shared" si="161"/>
        <v>0.05</v>
      </c>
      <c r="N3850" s="464">
        <f t="shared" si="162"/>
        <v>168226</v>
      </c>
    </row>
    <row r="3851" spans="7:14" ht="11.25" customHeight="1" x14ac:dyDescent="0.3">
      <c r="G3851" s="459"/>
      <c r="H3851" s="459">
        <v>3844</v>
      </c>
      <c r="I3851" s="444">
        <f t="shared" ca="1" si="160"/>
        <v>-2002466076852.4666</v>
      </c>
      <c r="J3851" s="444">
        <f t="array" ref="J3851">IFERROR(INDEX('Retirement Calculator'!K:K,MATCH('Lorri 401b'!N3851,'Retirement Calculator'!A:A,0),0),0)</f>
        <v>0</v>
      </c>
      <c r="K3851" s="444">
        <f t="shared" ca="1" si="158"/>
        <v>-8343608653.5519428</v>
      </c>
      <c r="L3851" s="444">
        <f t="shared" ca="1" si="159"/>
        <v>-2010809685506.0186</v>
      </c>
      <c r="M3851" s="460">
        <f t="shared" si="161"/>
        <v>0.05</v>
      </c>
      <c r="N3851" s="464">
        <f t="shared" si="162"/>
        <v>168257</v>
      </c>
    </row>
    <row r="3852" spans="7:14" ht="11.25" customHeight="1" x14ac:dyDescent="0.3">
      <c r="G3852" s="459"/>
      <c r="H3852" s="459">
        <v>3845</v>
      </c>
      <c r="I3852" s="444">
        <f t="shared" ca="1" si="160"/>
        <v>-2010809685506.0186</v>
      </c>
      <c r="J3852" s="444">
        <f t="array" ref="J3852">IFERROR(INDEX('Retirement Calculator'!K:K,MATCH('Lorri 401b'!N3852,'Retirement Calculator'!A:A,0),0),0)</f>
        <v>0</v>
      </c>
      <c r="K3852" s="444">
        <f t="shared" ca="1" si="158"/>
        <v>-8378373689.6084099</v>
      </c>
      <c r="L3852" s="444">
        <f t="shared" ca="1" si="159"/>
        <v>-2019188059195.627</v>
      </c>
      <c r="M3852" s="460">
        <f t="shared" si="161"/>
        <v>0.05</v>
      </c>
      <c r="N3852" s="464">
        <f t="shared" si="162"/>
        <v>168287</v>
      </c>
    </row>
    <row r="3853" spans="7:14" ht="11.25" customHeight="1" x14ac:dyDescent="0.3">
      <c r="G3853" s="459"/>
      <c r="H3853" s="459">
        <v>3846</v>
      </c>
      <c r="I3853" s="444">
        <f t="shared" ca="1" si="160"/>
        <v>-2019188059195.627</v>
      </c>
      <c r="J3853" s="444">
        <f t="array" ref="J3853">IFERROR(INDEX('Retirement Calculator'!K:K,MATCH('Lorri 401b'!N3853,'Retirement Calculator'!A:A,0),0),0)</f>
        <v>0</v>
      </c>
      <c r="K3853" s="444">
        <f t="shared" ca="1" si="158"/>
        <v>-8413283579.9817791</v>
      </c>
      <c r="L3853" s="444">
        <f t="shared" ca="1" si="159"/>
        <v>-2027601342775.6086</v>
      </c>
      <c r="M3853" s="460">
        <f t="shared" si="161"/>
        <v>0.05</v>
      </c>
      <c r="N3853" s="464">
        <f t="shared" si="162"/>
        <v>168318</v>
      </c>
    </row>
    <row r="3854" spans="7:14" ht="11.25" customHeight="1" x14ac:dyDescent="0.3">
      <c r="G3854" s="459"/>
      <c r="H3854" s="459">
        <v>3847</v>
      </c>
      <c r="I3854" s="444">
        <f t="shared" ca="1" si="160"/>
        <v>-2027601342775.6086</v>
      </c>
      <c r="J3854" s="444">
        <f t="array" ref="J3854">IFERROR(INDEX('Retirement Calculator'!K:K,MATCH('Lorri 401b'!N3854,'Retirement Calculator'!A:A,0),0),0)</f>
        <v>0</v>
      </c>
      <c r="K3854" s="444">
        <f t="shared" ca="1" si="158"/>
        <v>-8448338928.2317028</v>
      </c>
      <c r="L3854" s="444">
        <f t="shared" ca="1" si="159"/>
        <v>-2036049681703.8403</v>
      </c>
      <c r="M3854" s="460">
        <f t="shared" si="161"/>
        <v>0.05</v>
      </c>
      <c r="N3854" s="464">
        <f t="shared" si="162"/>
        <v>168348</v>
      </c>
    </row>
    <row r="3855" spans="7:14" ht="11.25" customHeight="1" x14ac:dyDescent="0.3">
      <c r="G3855" s="459"/>
      <c r="H3855" s="459">
        <v>3848</v>
      </c>
      <c r="I3855" s="444">
        <f t="shared" ca="1" si="160"/>
        <v>-2036049681703.8403</v>
      </c>
      <c r="J3855" s="444">
        <f t="array" ref="J3855">IFERROR(INDEX('Retirement Calculator'!K:K,MATCH('Lorri 401b'!N3855,'Retirement Calculator'!A:A,0),0),0)</f>
        <v>0</v>
      </c>
      <c r="K3855" s="444">
        <f t="shared" ca="1" si="158"/>
        <v>-8483540340.4326677</v>
      </c>
      <c r="L3855" s="444">
        <f t="shared" ca="1" si="159"/>
        <v>-2044533222044.2729</v>
      </c>
      <c r="M3855" s="460">
        <f t="shared" si="161"/>
        <v>0.05</v>
      </c>
      <c r="N3855" s="464">
        <f t="shared" si="162"/>
        <v>168379</v>
      </c>
    </row>
    <row r="3856" spans="7:14" ht="11.25" customHeight="1" x14ac:dyDescent="0.3">
      <c r="G3856" s="459"/>
      <c r="H3856" s="459">
        <v>3849</v>
      </c>
      <c r="I3856" s="444">
        <f t="shared" ca="1" si="160"/>
        <v>-2044533222044.2729</v>
      </c>
      <c r="J3856" s="444">
        <f t="array" ref="J3856">IFERROR(INDEX('Retirement Calculator'!K:K,MATCH('Lorri 401b'!N3856,'Retirement Calculator'!A:A,0),0),0)</f>
        <v>0</v>
      </c>
      <c r="K3856" s="444">
        <f t="shared" ca="1" si="158"/>
        <v>-8518888425.1844702</v>
      </c>
      <c r="L3856" s="444">
        <f t="shared" ca="1" si="159"/>
        <v>-2053052110469.4575</v>
      </c>
      <c r="M3856" s="460">
        <f t="shared" si="161"/>
        <v>0.05</v>
      </c>
      <c r="N3856" s="464">
        <f t="shared" si="162"/>
        <v>168410</v>
      </c>
    </row>
    <row r="3857" spans="7:14" ht="11.25" customHeight="1" x14ac:dyDescent="0.3">
      <c r="G3857" s="459"/>
      <c r="H3857" s="459">
        <v>3850</v>
      </c>
      <c r="I3857" s="444">
        <f t="shared" ca="1" si="160"/>
        <v>-2053052110469.4575</v>
      </c>
      <c r="J3857" s="444">
        <f t="array" ref="J3857">IFERROR(INDEX('Retirement Calculator'!K:K,MATCH('Lorri 401b'!N3857,'Retirement Calculator'!A:A,0),0),0)</f>
        <v>0</v>
      </c>
      <c r="K3857" s="444">
        <f t="shared" ca="1" si="158"/>
        <v>-8554383793.6227398</v>
      </c>
      <c r="L3857" s="444">
        <f t="shared" ca="1" si="159"/>
        <v>-2061606494263.0803</v>
      </c>
      <c r="M3857" s="460">
        <f t="shared" si="161"/>
        <v>0.05</v>
      </c>
      <c r="N3857" s="464">
        <f t="shared" si="162"/>
        <v>168438</v>
      </c>
    </row>
    <row r="3858" spans="7:14" ht="11.25" customHeight="1" x14ac:dyDescent="0.3">
      <c r="G3858" s="459"/>
      <c r="H3858" s="459">
        <v>3851</v>
      </c>
      <c r="I3858" s="444">
        <f t="shared" ca="1" si="160"/>
        <v>-2061606494263.0803</v>
      </c>
      <c r="J3858" s="444">
        <f t="array" ref="J3858">IFERROR(INDEX('Retirement Calculator'!K:K,MATCH('Lorri 401b'!N3858,'Retirement Calculator'!A:A,0),0),0)</f>
        <v>0</v>
      </c>
      <c r="K3858" s="444">
        <f t="shared" ca="1" si="158"/>
        <v>-8590027059.4295006</v>
      </c>
      <c r="L3858" s="444">
        <f t="shared" ca="1" si="159"/>
        <v>-2070196521322.5098</v>
      </c>
      <c r="M3858" s="460">
        <f t="shared" si="161"/>
        <v>0.05</v>
      </c>
      <c r="N3858" s="464">
        <f t="shared" si="162"/>
        <v>168469</v>
      </c>
    </row>
    <row r="3859" spans="7:14" ht="11.25" customHeight="1" x14ac:dyDescent="0.3">
      <c r="G3859" s="459"/>
      <c r="H3859" s="459">
        <v>3852</v>
      </c>
      <c r="I3859" s="444">
        <f t="shared" ca="1" si="160"/>
        <v>-2070196521322.5098</v>
      </c>
      <c r="J3859" s="444">
        <f t="array" ref="J3859">IFERROR(INDEX('Retirement Calculator'!K:K,MATCH('Lorri 401b'!N3859,'Retirement Calculator'!A:A,0),0),0)</f>
        <v>0</v>
      </c>
      <c r="K3859" s="444">
        <f t="shared" ca="1" si="158"/>
        <v>-8625818838.8437901</v>
      </c>
      <c r="L3859" s="444">
        <f t="shared" ca="1" si="159"/>
        <v>-2078822340161.3535</v>
      </c>
      <c r="M3859" s="460">
        <f t="shared" si="161"/>
        <v>0.05</v>
      </c>
      <c r="N3859" s="464">
        <f t="shared" si="162"/>
        <v>168499</v>
      </c>
    </row>
    <row r="3860" spans="7:14" ht="11.25" customHeight="1" x14ac:dyDescent="0.3">
      <c r="G3860" s="459"/>
      <c r="H3860" s="459">
        <v>3853</v>
      </c>
      <c r="I3860" s="444">
        <f t="shared" ca="1" si="160"/>
        <v>-2078822340161.3535</v>
      </c>
      <c r="J3860" s="444">
        <f t="array" ref="J3860">IFERROR(INDEX('Retirement Calculator'!K:K,MATCH('Lorri 401b'!N3860,'Retirement Calculator'!A:A,0),0),0)</f>
        <v>0</v>
      </c>
      <c r="K3860" s="444">
        <f t="shared" ca="1" si="158"/>
        <v>-8661759750.6723061</v>
      </c>
      <c r="L3860" s="444">
        <f t="shared" ca="1" si="159"/>
        <v>-2087484099912.0259</v>
      </c>
      <c r="M3860" s="460">
        <f t="shared" si="161"/>
        <v>0.05</v>
      </c>
      <c r="N3860" s="464">
        <f t="shared" si="162"/>
        <v>168530</v>
      </c>
    </row>
    <row r="3861" spans="7:14" ht="11.25" customHeight="1" x14ac:dyDescent="0.3">
      <c r="G3861" s="459"/>
      <c r="H3861" s="459">
        <v>3854</v>
      </c>
      <c r="I3861" s="444">
        <f t="shared" ca="1" si="160"/>
        <v>-2087484099912.0259</v>
      </c>
      <c r="J3861" s="444">
        <f t="array" ref="J3861">IFERROR(INDEX('Retirement Calculator'!K:K,MATCH('Lorri 401b'!N3861,'Retirement Calculator'!A:A,0),0),0)</f>
        <v>0</v>
      </c>
      <c r="K3861" s="444">
        <f t="shared" ca="1" si="158"/>
        <v>-8697850416.300108</v>
      </c>
      <c r="L3861" s="444">
        <f t="shared" ca="1" si="159"/>
        <v>-2096181950328.3259</v>
      </c>
      <c r="M3861" s="460">
        <f t="shared" si="161"/>
        <v>0.05</v>
      </c>
      <c r="N3861" s="464">
        <f t="shared" si="162"/>
        <v>168560</v>
      </c>
    </row>
    <row r="3862" spans="7:14" ht="11.25" customHeight="1" x14ac:dyDescent="0.3">
      <c r="G3862" s="459"/>
      <c r="H3862" s="459">
        <v>3855</v>
      </c>
      <c r="I3862" s="444">
        <f t="shared" ca="1" si="160"/>
        <v>-2096181950328.3259</v>
      </c>
      <c r="J3862" s="444">
        <f t="array" ref="J3862">IFERROR(INDEX('Retirement Calculator'!K:K,MATCH('Lorri 401b'!N3862,'Retirement Calculator'!A:A,0),0),0)</f>
        <v>0</v>
      </c>
      <c r="K3862" s="444">
        <f t="shared" ca="1" si="158"/>
        <v>-8734091459.7013588</v>
      </c>
      <c r="L3862" s="444">
        <f t="shared" ca="1" si="159"/>
        <v>-2104916041788.0273</v>
      </c>
      <c r="M3862" s="460">
        <f t="shared" si="161"/>
        <v>0.05</v>
      </c>
      <c r="N3862" s="464">
        <f t="shared" si="162"/>
        <v>168591</v>
      </c>
    </row>
    <row r="3863" spans="7:14" ht="11.25" customHeight="1" x14ac:dyDescent="0.3">
      <c r="G3863" s="459"/>
      <c r="H3863" s="459">
        <v>3856</v>
      </c>
      <c r="I3863" s="444">
        <f t="shared" ca="1" si="160"/>
        <v>-2104916041788.0273</v>
      </c>
      <c r="J3863" s="444">
        <f t="array" ref="J3863">IFERROR(INDEX('Retirement Calculator'!K:K,MATCH('Lorri 401b'!N3863,'Retirement Calculator'!A:A,0),0),0)</f>
        <v>0</v>
      </c>
      <c r="K3863" s="444">
        <f t="shared" ca="1" si="158"/>
        <v>-8770483507.4501133</v>
      </c>
      <c r="L3863" s="444">
        <f t="shared" ca="1" si="159"/>
        <v>-2113686525295.4775</v>
      </c>
      <c r="M3863" s="460">
        <f t="shared" si="161"/>
        <v>0.05</v>
      </c>
      <c r="N3863" s="464">
        <f t="shared" si="162"/>
        <v>168622</v>
      </c>
    </row>
    <row r="3864" spans="7:14" ht="11.25" customHeight="1" x14ac:dyDescent="0.3">
      <c r="G3864" s="459"/>
      <c r="H3864" s="459">
        <v>3857</v>
      </c>
      <c r="I3864" s="444">
        <f t="shared" ca="1" si="160"/>
        <v>-2113686525295.4775</v>
      </c>
      <c r="J3864" s="444">
        <f t="array" ref="J3864">IFERROR(INDEX('Retirement Calculator'!K:K,MATCH('Lorri 401b'!N3864,'Retirement Calculator'!A:A,0),0),0)</f>
        <v>0</v>
      </c>
      <c r="K3864" s="444">
        <f t="shared" ca="1" si="158"/>
        <v>-8807027188.7311554</v>
      </c>
      <c r="L3864" s="444">
        <f t="shared" ca="1" si="159"/>
        <v>-2122493552484.2087</v>
      </c>
      <c r="M3864" s="460">
        <f t="shared" si="161"/>
        <v>0.05</v>
      </c>
      <c r="N3864" s="464">
        <f t="shared" si="162"/>
        <v>168652</v>
      </c>
    </row>
    <row r="3865" spans="7:14" ht="11.25" customHeight="1" x14ac:dyDescent="0.3">
      <c r="G3865" s="459"/>
      <c r="H3865" s="459">
        <v>3858</v>
      </c>
      <c r="I3865" s="444">
        <f t="shared" ca="1" si="160"/>
        <v>-2122493552484.2087</v>
      </c>
      <c r="J3865" s="444">
        <f t="array" ref="J3865">IFERROR(INDEX('Retirement Calculator'!K:K,MATCH('Lorri 401b'!N3865,'Retirement Calculator'!A:A,0),0),0)</f>
        <v>0</v>
      </c>
      <c r="K3865" s="444">
        <f t="shared" ca="1" si="158"/>
        <v>-8843723135.3508701</v>
      </c>
      <c r="L3865" s="444">
        <f t="shared" ca="1" si="159"/>
        <v>-2131337275619.5596</v>
      </c>
      <c r="M3865" s="460">
        <f t="shared" si="161"/>
        <v>0.05</v>
      </c>
      <c r="N3865" s="464">
        <f t="shared" si="162"/>
        <v>168683</v>
      </c>
    </row>
    <row r="3866" spans="7:14" ht="11.25" customHeight="1" x14ac:dyDescent="0.3">
      <c r="G3866" s="459"/>
      <c r="H3866" s="459">
        <v>3859</v>
      </c>
      <c r="I3866" s="444">
        <f t="shared" ca="1" si="160"/>
        <v>-2131337275619.5596</v>
      </c>
      <c r="J3866" s="444">
        <f t="array" ref="J3866">IFERROR(INDEX('Retirement Calculator'!K:K,MATCH('Lorri 401b'!N3866,'Retirement Calculator'!A:A,0),0),0)</f>
        <v>0</v>
      </c>
      <c r="K3866" s="444">
        <f t="shared" ca="1" si="158"/>
        <v>-8880571981.7481651</v>
      </c>
      <c r="L3866" s="444">
        <f t="shared" ca="1" si="159"/>
        <v>-2140217847601.3076</v>
      </c>
      <c r="M3866" s="460">
        <f t="shared" si="161"/>
        <v>0.05</v>
      </c>
      <c r="N3866" s="464">
        <f t="shared" si="162"/>
        <v>168713</v>
      </c>
    </row>
    <row r="3867" spans="7:14" ht="11.25" customHeight="1" x14ac:dyDescent="0.3">
      <c r="G3867" s="459"/>
      <c r="H3867" s="459">
        <v>3860</v>
      </c>
      <c r="I3867" s="444">
        <f t="shared" ca="1" si="160"/>
        <v>-2140217847601.3076</v>
      </c>
      <c r="J3867" s="444">
        <f t="array" ref="J3867">IFERROR(INDEX('Retirement Calculator'!K:K,MATCH('Lorri 401b'!N3867,'Retirement Calculator'!A:A,0),0),0)</f>
        <v>0</v>
      </c>
      <c r="K3867" s="444">
        <f t="shared" ca="1" si="158"/>
        <v>-8917574365.0054474</v>
      </c>
      <c r="L3867" s="444">
        <f t="shared" ca="1" si="159"/>
        <v>-2149135421966.313</v>
      </c>
      <c r="M3867" s="460">
        <f t="shared" si="161"/>
        <v>0.05</v>
      </c>
      <c r="N3867" s="464">
        <f t="shared" si="162"/>
        <v>168744</v>
      </c>
    </row>
    <row r="3868" spans="7:14" ht="11.25" customHeight="1" x14ac:dyDescent="0.3">
      <c r="G3868" s="459"/>
      <c r="H3868" s="459">
        <v>3861</v>
      </c>
      <c r="I3868" s="444">
        <f t="shared" ca="1" si="160"/>
        <v>-2149135421966.313</v>
      </c>
      <c r="J3868" s="444">
        <f t="array" ref="J3868">IFERROR(INDEX('Retirement Calculator'!K:K,MATCH('Lorri 401b'!N3868,'Retirement Calculator'!A:A,0),0),0)</f>
        <v>0</v>
      </c>
      <c r="K3868" s="444">
        <f t="shared" ca="1" si="158"/>
        <v>-8954730924.8596382</v>
      </c>
      <c r="L3868" s="444">
        <f t="shared" ca="1" si="159"/>
        <v>-2158090152891.1726</v>
      </c>
      <c r="M3868" s="460">
        <f t="shared" si="161"/>
        <v>0.05</v>
      </c>
      <c r="N3868" s="464">
        <f t="shared" si="162"/>
        <v>168775</v>
      </c>
    </row>
    <row r="3869" spans="7:14" ht="11.25" customHeight="1" x14ac:dyDescent="0.3">
      <c r="G3869" s="459"/>
      <c r="H3869" s="459">
        <v>3862</v>
      </c>
      <c r="I3869" s="444">
        <f t="shared" ca="1" si="160"/>
        <v>-2158090152891.1726</v>
      </c>
      <c r="J3869" s="444">
        <f t="array" ref="J3869">IFERROR(INDEX('Retirement Calculator'!K:K,MATCH('Lorri 401b'!N3869,'Retirement Calculator'!A:A,0),0),0)</f>
        <v>0</v>
      </c>
      <c r="K3869" s="444">
        <f t="shared" ca="1" si="158"/>
        <v>-8992042303.7132187</v>
      </c>
      <c r="L3869" s="444">
        <f t="shared" ca="1" si="159"/>
        <v>-2167082195194.8857</v>
      </c>
      <c r="M3869" s="460">
        <f t="shared" si="161"/>
        <v>0.05</v>
      </c>
      <c r="N3869" s="464">
        <f t="shared" si="162"/>
        <v>168803</v>
      </c>
    </row>
    <row r="3870" spans="7:14" ht="11.25" customHeight="1" x14ac:dyDescent="0.3">
      <c r="G3870" s="459"/>
      <c r="H3870" s="459">
        <v>3863</v>
      </c>
      <c r="I3870" s="444">
        <f t="shared" ca="1" si="160"/>
        <v>-2167082195194.8857</v>
      </c>
      <c r="J3870" s="444">
        <f t="array" ref="J3870">IFERROR(INDEX('Retirement Calculator'!K:K,MATCH('Lorri 401b'!N3870,'Retirement Calculator'!A:A,0),0),0)</f>
        <v>0</v>
      </c>
      <c r="K3870" s="444">
        <f t="shared" ca="1" si="158"/>
        <v>-9029509146.6453571</v>
      </c>
      <c r="L3870" s="444">
        <f t="shared" ca="1" si="159"/>
        <v>-2176111704341.531</v>
      </c>
      <c r="M3870" s="460">
        <f t="shared" si="161"/>
        <v>0.05</v>
      </c>
      <c r="N3870" s="464">
        <f t="shared" si="162"/>
        <v>168834</v>
      </c>
    </row>
    <row r="3871" spans="7:14" ht="11.25" customHeight="1" x14ac:dyDescent="0.3">
      <c r="G3871" s="459"/>
      <c r="H3871" s="459">
        <v>3864</v>
      </c>
      <c r="I3871" s="444">
        <f t="shared" ca="1" si="160"/>
        <v>-2176111704341.531</v>
      </c>
      <c r="J3871" s="444">
        <f t="array" ref="J3871">IFERROR(INDEX('Retirement Calculator'!K:K,MATCH('Lorri 401b'!N3871,'Retirement Calculator'!A:A,0),0),0)</f>
        <v>0</v>
      </c>
      <c r="K3871" s="444">
        <f t="shared" ca="1" si="158"/>
        <v>-9067132101.4230461</v>
      </c>
      <c r="L3871" s="444">
        <f t="shared" ca="1" si="159"/>
        <v>-2185178836442.9541</v>
      </c>
      <c r="M3871" s="460">
        <f t="shared" si="161"/>
        <v>0.05</v>
      </c>
      <c r="N3871" s="464">
        <f t="shared" si="162"/>
        <v>168864</v>
      </c>
    </row>
    <row r="3872" spans="7:14" ht="11.25" customHeight="1" x14ac:dyDescent="0.3">
      <c r="G3872" s="459"/>
      <c r="H3872" s="459">
        <v>3865</v>
      </c>
      <c r="I3872" s="444">
        <f t="shared" ca="1" si="160"/>
        <v>-2185178836442.9541</v>
      </c>
      <c r="J3872" s="444">
        <f t="array" ref="J3872">IFERROR(INDEX('Retirement Calculator'!K:K,MATCH('Lorri 401b'!N3872,'Retirement Calculator'!A:A,0),0),0)</f>
        <v>0</v>
      </c>
      <c r="K3872" s="444">
        <f t="shared" ca="1" si="158"/>
        <v>-9104911818.5123081</v>
      </c>
      <c r="L3872" s="444">
        <f t="shared" ca="1" si="159"/>
        <v>-2194283748261.4663</v>
      </c>
      <c r="M3872" s="460">
        <f t="shared" si="161"/>
        <v>0.05</v>
      </c>
      <c r="N3872" s="464">
        <f t="shared" si="162"/>
        <v>168895</v>
      </c>
    </row>
    <row r="3873" spans="7:14" ht="11.25" customHeight="1" x14ac:dyDescent="0.3">
      <c r="G3873" s="459"/>
      <c r="H3873" s="459">
        <v>3866</v>
      </c>
      <c r="I3873" s="444">
        <f t="shared" ca="1" si="160"/>
        <v>-2194283748261.4663</v>
      </c>
      <c r="J3873" s="444">
        <f t="array" ref="J3873">IFERROR(INDEX('Retirement Calculator'!K:K,MATCH('Lorri 401b'!N3873,'Retirement Calculator'!A:A,0),0),0)</f>
        <v>0</v>
      </c>
      <c r="K3873" s="444">
        <f t="shared" ca="1" si="158"/>
        <v>-9142848951.0894432</v>
      </c>
      <c r="L3873" s="444">
        <f t="shared" ca="1" si="159"/>
        <v>-2203426597212.5557</v>
      </c>
      <c r="M3873" s="460">
        <f t="shared" si="161"/>
        <v>0.05</v>
      </c>
      <c r="N3873" s="464">
        <f t="shared" si="162"/>
        <v>168925</v>
      </c>
    </row>
    <row r="3874" spans="7:14" ht="11.25" customHeight="1" x14ac:dyDescent="0.3">
      <c r="G3874" s="459"/>
      <c r="H3874" s="459">
        <v>3867</v>
      </c>
      <c r="I3874" s="444">
        <f t="shared" ca="1" si="160"/>
        <v>-2203426597212.5557</v>
      </c>
      <c r="J3874" s="444">
        <f t="array" ref="J3874">IFERROR(INDEX('Retirement Calculator'!K:K,MATCH('Lorri 401b'!N3874,'Retirement Calculator'!A:A,0),0),0)</f>
        <v>0</v>
      </c>
      <c r="K3874" s="444">
        <f t="shared" ca="1" si="158"/>
        <v>-9180944155.0523148</v>
      </c>
      <c r="L3874" s="444">
        <f t="shared" ca="1" si="159"/>
        <v>-2212607541367.6079</v>
      </c>
      <c r="M3874" s="460">
        <f t="shared" si="161"/>
        <v>0.05</v>
      </c>
      <c r="N3874" s="464">
        <f t="shared" si="162"/>
        <v>168956</v>
      </c>
    </row>
    <row r="3875" spans="7:14" ht="11.25" customHeight="1" x14ac:dyDescent="0.3">
      <c r="G3875" s="459"/>
      <c r="H3875" s="459">
        <v>3868</v>
      </c>
      <c r="I3875" s="444">
        <f t="shared" ca="1" si="160"/>
        <v>-2212607541367.6079</v>
      </c>
      <c r="J3875" s="444">
        <f t="array" ref="J3875">IFERROR(INDEX('Retirement Calculator'!K:K,MATCH('Lorri 401b'!N3875,'Retirement Calculator'!A:A,0),0),0)</f>
        <v>0</v>
      </c>
      <c r="K3875" s="444">
        <f t="shared" ca="1" si="158"/>
        <v>-9219198089.0317001</v>
      </c>
      <c r="L3875" s="444">
        <f t="shared" ca="1" si="159"/>
        <v>-2221826739456.6396</v>
      </c>
      <c r="M3875" s="460">
        <f t="shared" si="161"/>
        <v>0.05</v>
      </c>
      <c r="N3875" s="464">
        <f t="shared" si="162"/>
        <v>168987</v>
      </c>
    </row>
    <row r="3876" spans="7:14" ht="11.25" customHeight="1" x14ac:dyDescent="0.3">
      <c r="G3876" s="459"/>
      <c r="H3876" s="459">
        <v>3869</v>
      </c>
      <c r="I3876" s="444">
        <f t="shared" ca="1" si="160"/>
        <v>-2221826739456.6396</v>
      </c>
      <c r="J3876" s="444">
        <f t="array" ref="J3876">IFERROR(INDEX('Retirement Calculator'!K:K,MATCH('Lorri 401b'!N3876,'Retirement Calculator'!A:A,0),0),0)</f>
        <v>0</v>
      </c>
      <c r="K3876" s="444">
        <f t="shared" ca="1" si="158"/>
        <v>-9257611414.4026642</v>
      </c>
      <c r="L3876" s="444">
        <f t="shared" ca="1" si="159"/>
        <v>-2231084350871.0425</v>
      </c>
      <c r="M3876" s="460">
        <f t="shared" si="161"/>
        <v>0.05</v>
      </c>
      <c r="N3876" s="464">
        <f t="shared" si="162"/>
        <v>169017</v>
      </c>
    </row>
    <row r="3877" spans="7:14" ht="11.25" customHeight="1" x14ac:dyDescent="0.3">
      <c r="G3877" s="459"/>
      <c r="H3877" s="459">
        <v>3870</v>
      </c>
      <c r="I3877" s="444">
        <f t="shared" ca="1" si="160"/>
        <v>-2231084350871.0425</v>
      </c>
      <c r="J3877" s="444">
        <f t="array" ref="J3877">IFERROR(INDEX('Retirement Calculator'!K:K,MATCH('Lorri 401b'!N3877,'Retirement Calculator'!A:A,0),0),0)</f>
        <v>0</v>
      </c>
      <c r="K3877" s="444">
        <f t="shared" ca="1" si="158"/>
        <v>-9296184795.296011</v>
      </c>
      <c r="L3877" s="444">
        <f t="shared" ca="1" si="159"/>
        <v>-2240380535666.3384</v>
      </c>
      <c r="M3877" s="460">
        <f t="shared" si="161"/>
        <v>0.05</v>
      </c>
      <c r="N3877" s="464">
        <f t="shared" si="162"/>
        <v>169048</v>
      </c>
    </row>
    <row r="3878" spans="7:14" ht="11.25" customHeight="1" x14ac:dyDescent="0.3">
      <c r="G3878" s="459"/>
      <c r="H3878" s="459">
        <v>3871</v>
      </c>
      <c r="I3878" s="444">
        <f t="shared" ca="1" si="160"/>
        <v>-2240380535666.3384</v>
      </c>
      <c r="J3878" s="444">
        <f t="array" ref="J3878">IFERROR(INDEX('Retirement Calculator'!K:K,MATCH('Lorri 401b'!N3878,'Retirement Calculator'!A:A,0),0),0)</f>
        <v>0</v>
      </c>
      <c r="K3878" s="444">
        <f t="shared" ca="1" si="158"/>
        <v>-9334918898.6097431</v>
      </c>
      <c r="L3878" s="444">
        <f t="shared" ca="1" si="159"/>
        <v>-2249715454564.9482</v>
      </c>
      <c r="M3878" s="460">
        <f t="shared" si="161"/>
        <v>0.05</v>
      </c>
      <c r="N3878" s="464">
        <f t="shared" si="162"/>
        <v>169078</v>
      </c>
    </row>
    <row r="3879" spans="7:14" ht="11.25" customHeight="1" x14ac:dyDescent="0.3">
      <c r="G3879" s="459"/>
      <c r="H3879" s="459">
        <v>3872</v>
      </c>
      <c r="I3879" s="444">
        <f t="shared" ca="1" si="160"/>
        <v>-2249715454564.9482</v>
      </c>
      <c r="J3879" s="444">
        <f t="array" ref="J3879">IFERROR(INDEX('Retirement Calculator'!K:K,MATCH('Lorri 401b'!N3879,'Retirement Calculator'!A:A,0),0),0)</f>
        <v>0</v>
      </c>
      <c r="K3879" s="444">
        <f t="shared" ca="1" si="158"/>
        <v>-9373814394.0206184</v>
      </c>
      <c r="L3879" s="444">
        <f t="shared" ca="1" si="159"/>
        <v>-2259089268958.9688</v>
      </c>
      <c r="M3879" s="460">
        <f t="shared" si="161"/>
        <v>0.05</v>
      </c>
      <c r="N3879" s="464">
        <f t="shared" si="162"/>
        <v>169109</v>
      </c>
    </row>
    <row r="3880" spans="7:14" ht="11.25" customHeight="1" x14ac:dyDescent="0.3">
      <c r="G3880" s="459"/>
      <c r="H3880" s="459">
        <v>3873</v>
      </c>
      <c r="I3880" s="444">
        <f t="shared" ca="1" si="160"/>
        <v>-2259089268958.9688</v>
      </c>
      <c r="J3880" s="444">
        <f t="array" ref="J3880">IFERROR(INDEX('Retirement Calculator'!K:K,MATCH('Lorri 401b'!N3880,'Retirement Calculator'!A:A,0),0),0)</f>
        <v>0</v>
      </c>
      <c r="K3880" s="444">
        <f t="shared" ca="1" si="158"/>
        <v>-9412871953.9957027</v>
      </c>
      <c r="L3880" s="444">
        <f t="shared" ca="1" si="159"/>
        <v>-2268502140912.9644</v>
      </c>
      <c r="M3880" s="460">
        <f t="shared" si="161"/>
        <v>0.05</v>
      </c>
      <c r="N3880" s="464">
        <f t="shared" si="162"/>
        <v>169140</v>
      </c>
    </row>
    <row r="3881" spans="7:14" ht="11.25" customHeight="1" x14ac:dyDescent="0.3">
      <c r="G3881" s="459"/>
      <c r="H3881" s="459">
        <v>3874</v>
      </c>
      <c r="I3881" s="444">
        <f t="shared" ca="1" si="160"/>
        <v>-2268502140912.9644</v>
      </c>
      <c r="J3881" s="444">
        <f t="array" ref="J3881">IFERROR(INDEX('Retirement Calculator'!K:K,MATCH('Lorri 401b'!N3881,'Retirement Calculator'!A:A,0),0),0)</f>
        <v>0</v>
      </c>
      <c r="K3881" s="444">
        <f t="shared" ca="1" si="158"/>
        <v>-9452092253.804018</v>
      </c>
      <c r="L3881" s="444">
        <f t="shared" ca="1" si="159"/>
        <v>-2277954233166.7686</v>
      </c>
      <c r="M3881" s="460">
        <f t="shared" si="161"/>
        <v>0.05</v>
      </c>
      <c r="N3881" s="464">
        <f t="shared" si="162"/>
        <v>169168</v>
      </c>
    </row>
    <row r="3882" spans="7:14" ht="11.25" customHeight="1" x14ac:dyDescent="0.3">
      <c r="G3882" s="459"/>
      <c r="H3882" s="459">
        <v>3875</v>
      </c>
      <c r="I3882" s="444">
        <f t="shared" ca="1" si="160"/>
        <v>-2277954233166.7686</v>
      </c>
      <c r="J3882" s="444">
        <f t="array" ref="J3882">IFERROR(INDEX('Retirement Calculator'!K:K,MATCH('Lorri 401b'!N3882,'Retirement Calculator'!A:A,0),0),0)</f>
        <v>0</v>
      </c>
      <c r="K3882" s="444">
        <f t="shared" ca="1" si="158"/>
        <v>-9491475971.5282021</v>
      </c>
      <c r="L3882" s="444">
        <f t="shared" ca="1" si="159"/>
        <v>-2287445709138.2969</v>
      </c>
      <c r="M3882" s="460">
        <f t="shared" si="161"/>
        <v>0.05</v>
      </c>
      <c r="N3882" s="464">
        <f t="shared" si="162"/>
        <v>169199</v>
      </c>
    </row>
    <row r="3883" spans="7:14" ht="11.25" customHeight="1" x14ac:dyDescent="0.3">
      <c r="G3883" s="459"/>
      <c r="H3883" s="459">
        <v>3876</v>
      </c>
      <c r="I3883" s="444">
        <f t="shared" ca="1" si="160"/>
        <v>-2287445709138.2969</v>
      </c>
      <c r="J3883" s="444">
        <f t="array" ref="J3883">IFERROR(INDEX('Retirement Calculator'!K:K,MATCH('Lorri 401b'!N3883,'Retirement Calculator'!A:A,0),0),0)</f>
        <v>0</v>
      </c>
      <c r="K3883" s="444">
        <f t="shared" ca="1" si="158"/>
        <v>-9531023788.0762367</v>
      </c>
      <c r="L3883" s="444">
        <f t="shared" ca="1" si="159"/>
        <v>-2296976732926.373</v>
      </c>
      <c r="M3883" s="460">
        <f t="shared" si="161"/>
        <v>0.05</v>
      </c>
      <c r="N3883" s="464">
        <f t="shared" si="162"/>
        <v>169229</v>
      </c>
    </row>
    <row r="3884" spans="7:14" ht="11.25" customHeight="1" x14ac:dyDescent="0.3">
      <c r="G3884" s="459"/>
      <c r="H3884" s="459">
        <v>3877</v>
      </c>
      <c r="I3884" s="444">
        <f t="shared" ca="1" si="160"/>
        <v>-2296976732926.373</v>
      </c>
      <c r="J3884" s="444">
        <f t="array" ref="J3884">IFERROR(INDEX('Retirement Calculator'!K:K,MATCH('Lorri 401b'!N3884,'Retirement Calculator'!A:A,0),0),0)</f>
        <v>0</v>
      </c>
      <c r="K3884" s="444">
        <f t="shared" ca="1" si="158"/>
        <v>-9570736387.1932201</v>
      </c>
      <c r="L3884" s="444">
        <f t="shared" ca="1" si="159"/>
        <v>-2306547469313.5664</v>
      </c>
      <c r="M3884" s="460">
        <f t="shared" si="161"/>
        <v>0.05</v>
      </c>
      <c r="N3884" s="464">
        <f t="shared" si="162"/>
        <v>169260</v>
      </c>
    </row>
    <row r="3885" spans="7:14" ht="11.25" customHeight="1" x14ac:dyDescent="0.3">
      <c r="G3885" s="459"/>
      <c r="H3885" s="459">
        <v>3878</v>
      </c>
      <c r="I3885" s="444">
        <f t="shared" ca="1" si="160"/>
        <v>-2306547469313.5664</v>
      </c>
      <c r="J3885" s="444">
        <f t="array" ref="J3885">IFERROR(INDEX('Retirement Calculator'!K:K,MATCH('Lorri 401b'!N3885,'Retirement Calculator'!A:A,0),0),0)</f>
        <v>0</v>
      </c>
      <c r="K3885" s="444">
        <f t="shared" ca="1" si="158"/>
        <v>-9610614455.4731941</v>
      </c>
      <c r="L3885" s="444">
        <f t="shared" ca="1" si="159"/>
        <v>-2316158083769.0396</v>
      </c>
      <c r="M3885" s="460">
        <f t="shared" si="161"/>
        <v>0.05</v>
      </c>
      <c r="N3885" s="464">
        <f t="shared" si="162"/>
        <v>169290</v>
      </c>
    </row>
    <row r="3886" spans="7:14" ht="11.25" customHeight="1" x14ac:dyDescent="0.3">
      <c r="G3886" s="459"/>
      <c r="H3886" s="459">
        <v>3879</v>
      </c>
      <c r="I3886" s="444">
        <f t="shared" ca="1" si="160"/>
        <v>-2316158083769.0396</v>
      </c>
      <c r="J3886" s="444">
        <f t="array" ref="J3886">IFERROR(INDEX('Retirement Calculator'!K:K,MATCH('Lorri 401b'!N3886,'Retirement Calculator'!A:A,0),0),0)</f>
        <v>0</v>
      </c>
      <c r="K3886" s="444">
        <f t="shared" ca="1" si="158"/>
        <v>-9650658682.3709984</v>
      </c>
      <c r="L3886" s="444">
        <f t="shared" ca="1" si="159"/>
        <v>-2325808742451.4106</v>
      </c>
      <c r="M3886" s="460">
        <f t="shared" si="161"/>
        <v>0.05</v>
      </c>
      <c r="N3886" s="464">
        <f t="shared" si="162"/>
        <v>169321</v>
      </c>
    </row>
    <row r="3887" spans="7:14" ht="11.25" customHeight="1" x14ac:dyDescent="0.3">
      <c r="G3887" s="459"/>
      <c r="H3887" s="459">
        <v>3880</v>
      </c>
      <c r="I3887" s="444">
        <f t="shared" ca="1" si="160"/>
        <v>-2325808742451.4106</v>
      </c>
      <c r="J3887" s="444">
        <f t="array" ref="J3887">IFERROR(INDEX('Retirement Calculator'!K:K,MATCH('Lorri 401b'!N3887,'Retirement Calculator'!A:A,0),0),0)</f>
        <v>0</v>
      </c>
      <c r="K3887" s="444">
        <f t="shared" ca="1" si="158"/>
        <v>-9690869760.2142105</v>
      </c>
      <c r="L3887" s="444">
        <f t="shared" ca="1" si="159"/>
        <v>-2335499612211.625</v>
      </c>
      <c r="M3887" s="460">
        <f t="shared" si="161"/>
        <v>0.05</v>
      </c>
      <c r="N3887" s="464">
        <f t="shared" si="162"/>
        <v>169352</v>
      </c>
    </row>
    <row r="3888" spans="7:14" ht="11.25" customHeight="1" x14ac:dyDescent="0.3">
      <c r="G3888" s="459"/>
      <c r="H3888" s="459">
        <v>3881</v>
      </c>
      <c r="I3888" s="444">
        <f t="shared" ca="1" si="160"/>
        <v>-2335499612211.625</v>
      </c>
      <c r="J3888" s="444">
        <f t="array" ref="J3888">IFERROR(INDEX('Retirement Calculator'!K:K,MATCH('Lorri 401b'!N3888,'Retirement Calculator'!A:A,0),0),0)</f>
        <v>0</v>
      </c>
      <c r="K3888" s="444">
        <f t="shared" ca="1" si="158"/>
        <v>-9731248384.2151031</v>
      </c>
      <c r="L3888" s="444">
        <f t="shared" ca="1" si="159"/>
        <v>-2345230860595.8403</v>
      </c>
      <c r="M3888" s="460">
        <f t="shared" si="161"/>
        <v>0.05</v>
      </c>
      <c r="N3888" s="464">
        <f t="shared" si="162"/>
        <v>169382</v>
      </c>
    </row>
    <row r="3889" spans="7:14" ht="11.25" customHeight="1" x14ac:dyDescent="0.3">
      <c r="G3889" s="459"/>
      <c r="H3889" s="459">
        <v>3882</v>
      </c>
      <c r="I3889" s="444">
        <f t="shared" ca="1" si="160"/>
        <v>-2345230860595.8403</v>
      </c>
      <c r="J3889" s="444">
        <f t="array" ref="J3889">IFERROR(INDEX('Retirement Calculator'!K:K,MATCH('Lorri 401b'!N3889,'Retirement Calculator'!A:A,0),0),0)</f>
        <v>0</v>
      </c>
      <c r="K3889" s="444">
        <f t="shared" ca="1" si="158"/>
        <v>-9771795252.4826679</v>
      </c>
      <c r="L3889" s="444">
        <f t="shared" ca="1" si="159"/>
        <v>-2355002655848.3232</v>
      </c>
      <c r="M3889" s="460">
        <f t="shared" si="161"/>
        <v>0.05</v>
      </c>
      <c r="N3889" s="464">
        <f t="shared" si="162"/>
        <v>169413</v>
      </c>
    </row>
    <row r="3890" spans="7:14" ht="11.25" customHeight="1" x14ac:dyDescent="0.3">
      <c r="G3890" s="459"/>
      <c r="H3890" s="459">
        <v>3883</v>
      </c>
      <c r="I3890" s="444">
        <f t="shared" ca="1" si="160"/>
        <v>-2355002655848.3232</v>
      </c>
      <c r="J3890" s="444">
        <f t="array" ref="J3890">IFERROR(INDEX('Retirement Calculator'!K:K,MATCH('Lorri 401b'!N3890,'Retirement Calculator'!A:A,0),0),0)</f>
        <v>0</v>
      </c>
      <c r="K3890" s="444">
        <f t="shared" ca="1" si="158"/>
        <v>-9812511066.0346794</v>
      </c>
      <c r="L3890" s="444">
        <f t="shared" ca="1" si="159"/>
        <v>-2364815166914.3579</v>
      </c>
      <c r="M3890" s="460">
        <f t="shared" si="161"/>
        <v>0.05</v>
      </c>
      <c r="N3890" s="464">
        <f t="shared" si="162"/>
        <v>169443</v>
      </c>
    </row>
    <row r="3891" spans="7:14" ht="11.25" customHeight="1" x14ac:dyDescent="0.3">
      <c r="G3891" s="459"/>
      <c r="H3891" s="459">
        <v>3884</v>
      </c>
      <c r="I3891" s="444">
        <f t="shared" ca="1" si="160"/>
        <v>-2364815166914.3579</v>
      </c>
      <c r="J3891" s="444">
        <f t="array" ref="J3891">IFERROR(INDEX('Retirement Calculator'!K:K,MATCH('Lorri 401b'!N3891,'Retirement Calculator'!A:A,0),0),0)</f>
        <v>0</v>
      </c>
      <c r="K3891" s="444">
        <f t="shared" ca="1" si="158"/>
        <v>-9853396528.809824</v>
      </c>
      <c r="L3891" s="444">
        <f t="shared" ca="1" si="159"/>
        <v>-2374668563443.168</v>
      </c>
      <c r="M3891" s="460">
        <f t="shared" si="161"/>
        <v>0.05</v>
      </c>
      <c r="N3891" s="464">
        <f t="shared" si="162"/>
        <v>169474</v>
      </c>
    </row>
    <row r="3892" spans="7:14" ht="11.25" customHeight="1" x14ac:dyDescent="0.3">
      <c r="G3892" s="459"/>
      <c r="H3892" s="459">
        <v>3885</v>
      </c>
      <c r="I3892" s="444">
        <f t="shared" ca="1" si="160"/>
        <v>-2374668563443.168</v>
      </c>
      <c r="J3892" s="444">
        <f t="array" ref="J3892">IFERROR(INDEX('Retirement Calculator'!K:K,MATCH('Lorri 401b'!N3892,'Retirement Calculator'!A:A,0),0),0)</f>
        <v>0</v>
      </c>
      <c r="K3892" s="444">
        <f t="shared" ca="1" si="158"/>
        <v>-9894452347.6798668</v>
      </c>
      <c r="L3892" s="444">
        <f t="shared" ca="1" si="159"/>
        <v>-2384563015790.8477</v>
      </c>
      <c r="M3892" s="460">
        <f t="shared" si="161"/>
        <v>0.05</v>
      </c>
      <c r="N3892" s="464">
        <f t="shared" si="162"/>
        <v>169505</v>
      </c>
    </row>
    <row r="3893" spans="7:14" ht="11.25" customHeight="1" x14ac:dyDescent="0.3">
      <c r="G3893" s="459"/>
      <c r="H3893" s="459">
        <v>3886</v>
      </c>
      <c r="I3893" s="444">
        <f t="shared" ca="1" si="160"/>
        <v>-2384563015790.8477</v>
      </c>
      <c r="J3893" s="444">
        <f t="array" ref="J3893">IFERROR(INDEX('Retirement Calculator'!K:K,MATCH('Lorri 401b'!N3893,'Retirement Calculator'!A:A,0),0),0)</f>
        <v>0</v>
      </c>
      <c r="K3893" s="444">
        <f t="shared" ca="1" si="158"/>
        <v>-9935679232.4618645</v>
      </c>
      <c r="L3893" s="444">
        <f t="shared" ca="1" si="159"/>
        <v>-2394498695023.3096</v>
      </c>
      <c r="M3893" s="460">
        <f t="shared" si="161"/>
        <v>0.05</v>
      </c>
      <c r="N3893" s="464">
        <f t="shared" si="162"/>
        <v>169534</v>
      </c>
    </row>
    <row r="3894" spans="7:14" ht="11.25" customHeight="1" x14ac:dyDescent="0.3">
      <c r="G3894" s="459"/>
      <c r="H3894" s="459">
        <v>3887</v>
      </c>
      <c r="I3894" s="444">
        <f t="shared" ca="1" si="160"/>
        <v>-2394498695023.3096</v>
      </c>
      <c r="J3894" s="444">
        <f t="array" ref="J3894">IFERROR(INDEX('Retirement Calculator'!K:K,MATCH('Lorri 401b'!N3894,'Retirement Calculator'!A:A,0),0),0)</f>
        <v>0</v>
      </c>
      <c r="K3894" s="444">
        <f t="shared" ca="1" si="158"/>
        <v>-9977077895.9304562</v>
      </c>
      <c r="L3894" s="444">
        <f t="shared" ca="1" si="159"/>
        <v>-2404475772919.2402</v>
      </c>
      <c r="M3894" s="460">
        <f t="shared" si="161"/>
        <v>0.05</v>
      </c>
      <c r="N3894" s="464">
        <f t="shared" si="162"/>
        <v>169565</v>
      </c>
    </row>
    <row r="3895" spans="7:14" ht="11.25" customHeight="1" x14ac:dyDescent="0.3">
      <c r="G3895" s="459"/>
      <c r="H3895" s="459">
        <v>3888</v>
      </c>
      <c r="I3895" s="444">
        <f t="shared" ca="1" si="160"/>
        <v>-2404475772919.2402</v>
      </c>
      <c r="J3895" s="444">
        <f t="array" ref="J3895">IFERROR(INDEX('Retirement Calculator'!K:K,MATCH('Lorri 401b'!N3895,'Retirement Calculator'!A:A,0),0),0)</f>
        <v>0</v>
      </c>
      <c r="K3895" s="444">
        <f t="shared" ca="1" si="158"/>
        <v>-10018649053.830168</v>
      </c>
      <c r="L3895" s="444">
        <f t="shared" ca="1" si="159"/>
        <v>-2414494421973.0703</v>
      </c>
      <c r="M3895" s="460">
        <f t="shared" si="161"/>
        <v>0.05</v>
      </c>
      <c r="N3895" s="464">
        <f t="shared" si="162"/>
        <v>169595</v>
      </c>
    </row>
    <row r="3896" spans="7:14" ht="11.25" customHeight="1" x14ac:dyDescent="0.3">
      <c r="G3896" s="459"/>
      <c r="H3896" s="459">
        <v>3889</v>
      </c>
      <c r="I3896" s="444">
        <f t="shared" ca="1" si="160"/>
        <v>-2414494421973.0703</v>
      </c>
      <c r="J3896" s="444">
        <f t="array" ref="J3896">IFERROR(INDEX('Retirement Calculator'!K:K,MATCH('Lorri 401b'!N3896,'Retirement Calculator'!A:A,0),0),0)</f>
        <v>0</v>
      </c>
      <c r="K3896" s="444">
        <f t="shared" ca="1" si="158"/>
        <v>-10060393424.887793</v>
      </c>
      <c r="L3896" s="444">
        <f t="shared" ca="1" si="159"/>
        <v>-2424554815397.958</v>
      </c>
      <c r="M3896" s="460">
        <f t="shared" si="161"/>
        <v>0.05</v>
      </c>
      <c r="N3896" s="464">
        <f t="shared" si="162"/>
        <v>169626</v>
      </c>
    </row>
    <row r="3897" spans="7:14" ht="11.25" customHeight="1" x14ac:dyDescent="0.3">
      <c r="G3897" s="459"/>
      <c r="H3897" s="459">
        <v>3890</v>
      </c>
      <c r="I3897" s="444">
        <f t="shared" ca="1" si="160"/>
        <v>-2424554815397.958</v>
      </c>
      <c r="J3897" s="444">
        <f t="array" ref="J3897">IFERROR(INDEX('Retirement Calculator'!K:K,MATCH('Lorri 401b'!N3897,'Retirement Calculator'!A:A,0),0),0)</f>
        <v>0</v>
      </c>
      <c r="K3897" s="444">
        <f t="shared" ca="1" si="158"/>
        <v>-10102311730.824825</v>
      </c>
      <c r="L3897" s="444">
        <f t="shared" ca="1" si="159"/>
        <v>-2434657127128.7827</v>
      </c>
      <c r="M3897" s="460">
        <f t="shared" si="161"/>
        <v>0.05</v>
      </c>
      <c r="N3897" s="464">
        <f t="shared" si="162"/>
        <v>169656</v>
      </c>
    </row>
    <row r="3898" spans="7:14" ht="11.25" customHeight="1" x14ac:dyDescent="0.3">
      <c r="G3898" s="459"/>
      <c r="H3898" s="459">
        <v>3891</v>
      </c>
      <c r="I3898" s="444">
        <f t="shared" ca="1" si="160"/>
        <v>-2434657127128.7827</v>
      </c>
      <c r="J3898" s="444">
        <f t="array" ref="J3898">IFERROR(INDEX('Retirement Calculator'!K:K,MATCH('Lorri 401b'!N3898,'Retirement Calculator'!A:A,0),0),0)</f>
        <v>0</v>
      </c>
      <c r="K3898" s="444">
        <f t="shared" ca="1" si="158"/>
        <v>-10144404696.369928</v>
      </c>
      <c r="L3898" s="444">
        <f t="shared" ca="1" si="159"/>
        <v>-2444801531825.1528</v>
      </c>
      <c r="M3898" s="460">
        <f t="shared" si="161"/>
        <v>0.05</v>
      </c>
      <c r="N3898" s="464">
        <f t="shared" si="162"/>
        <v>169687</v>
      </c>
    </row>
    <row r="3899" spans="7:14" ht="11.25" customHeight="1" x14ac:dyDescent="0.3">
      <c r="G3899" s="459"/>
      <c r="H3899" s="459">
        <v>3892</v>
      </c>
      <c r="I3899" s="444">
        <f t="shared" ca="1" si="160"/>
        <v>-2444801531825.1528</v>
      </c>
      <c r="J3899" s="444">
        <f t="array" ref="J3899">IFERROR(INDEX('Retirement Calculator'!K:K,MATCH('Lorri 401b'!N3899,'Retirement Calculator'!A:A,0),0),0)</f>
        <v>0</v>
      </c>
      <c r="K3899" s="444">
        <f t="shared" ca="1" si="158"/>
        <v>-10186673049.271469</v>
      </c>
      <c r="L3899" s="444">
        <f t="shared" ca="1" si="159"/>
        <v>-2454988204874.4243</v>
      </c>
      <c r="M3899" s="460">
        <f t="shared" si="161"/>
        <v>0.05</v>
      </c>
      <c r="N3899" s="464">
        <f t="shared" si="162"/>
        <v>169718</v>
      </c>
    </row>
    <row r="3900" spans="7:14" ht="11.25" customHeight="1" x14ac:dyDescent="0.3">
      <c r="G3900" s="459"/>
      <c r="H3900" s="459">
        <v>3893</v>
      </c>
      <c r="I3900" s="444">
        <f t="shared" ca="1" si="160"/>
        <v>-2454988204874.4243</v>
      </c>
      <c r="J3900" s="444">
        <f t="array" ref="J3900">IFERROR(INDEX('Retirement Calculator'!K:K,MATCH('Lorri 401b'!N3900,'Retirement Calculator'!A:A,0),0),0)</f>
        <v>0</v>
      </c>
      <c r="K3900" s="444">
        <f t="shared" ca="1" si="158"/>
        <v>-10229117520.310101</v>
      </c>
      <c r="L3900" s="444">
        <f t="shared" ca="1" si="159"/>
        <v>-2465217322394.7344</v>
      </c>
      <c r="M3900" s="460">
        <f t="shared" si="161"/>
        <v>0.05</v>
      </c>
      <c r="N3900" s="464">
        <f t="shared" si="162"/>
        <v>169748</v>
      </c>
    </row>
    <row r="3901" spans="7:14" ht="11.25" customHeight="1" x14ac:dyDescent="0.3">
      <c r="G3901" s="459"/>
      <c r="H3901" s="459">
        <v>3894</v>
      </c>
      <c r="I3901" s="444">
        <f t="shared" ca="1" si="160"/>
        <v>-2465217322394.7344</v>
      </c>
      <c r="J3901" s="444">
        <f t="array" ref="J3901">IFERROR(INDEX('Retirement Calculator'!K:K,MATCH('Lorri 401b'!N3901,'Retirement Calculator'!A:A,0),0),0)</f>
        <v>0</v>
      </c>
      <c r="K3901" s="444">
        <f t="shared" ca="1" si="158"/>
        <v>-10271738843.311394</v>
      </c>
      <c r="L3901" s="444">
        <f t="shared" ca="1" si="159"/>
        <v>-2475489061238.0459</v>
      </c>
      <c r="M3901" s="460">
        <f t="shared" si="161"/>
        <v>0.05</v>
      </c>
      <c r="N3901" s="464">
        <f t="shared" si="162"/>
        <v>169779</v>
      </c>
    </row>
    <row r="3902" spans="7:14" ht="11.25" customHeight="1" x14ac:dyDescent="0.3">
      <c r="G3902" s="459"/>
      <c r="H3902" s="459">
        <v>3895</v>
      </c>
      <c r="I3902" s="444">
        <f t="shared" ca="1" si="160"/>
        <v>-2475489061238.0459</v>
      </c>
      <c r="J3902" s="444">
        <f t="array" ref="J3902">IFERROR(INDEX('Retirement Calculator'!K:K,MATCH('Lorri 401b'!N3902,'Retirement Calculator'!A:A,0),0),0)</f>
        <v>0</v>
      </c>
      <c r="K3902" s="444">
        <f t="shared" ca="1" si="158"/>
        <v>-10314537755.158524</v>
      </c>
      <c r="L3902" s="444">
        <f t="shared" ca="1" si="159"/>
        <v>-2485803598993.2046</v>
      </c>
      <c r="M3902" s="460">
        <f t="shared" si="161"/>
        <v>0.05</v>
      </c>
      <c r="N3902" s="464">
        <f t="shared" si="162"/>
        <v>169809</v>
      </c>
    </row>
    <row r="3903" spans="7:14" ht="11.25" customHeight="1" x14ac:dyDescent="0.3">
      <c r="G3903" s="459"/>
      <c r="H3903" s="459">
        <v>3896</v>
      </c>
      <c r="I3903" s="444">
        <f t="shared" ca="1" si="160"/>
        <v>-2485803598993.2046</v>
      </c>
      <c r="J3903" s="444">
        <f t="array" ref="J3903">IFERROR(INDEX('Retirement Calculator'!K:K,MATCH('Lorri 401b'!N3903,'Retirement Calculator'!A:A,0),0),0)</f>
        <v>0</v>
      </c>
      <c r="K3903" s="444">
        <f t="shared" ca="1" si="158"/>
        <v>-10357514995.805019</v>
      </c>
      <c r="L3903" s="444">
        <f t="shared" ca="1" si="159"/>
        <v>-2496161113989.0098</v>
      </c>
      <c r="M3903" s="460">
        <f t="shared" si="161"/>
        <v>0.05</v>
      </c>
      <c r="N3903" s="464">
        <f t="shared" si="162"/>
        <v>169840</v>
      </c>
    </row>
    <row r="3904" spans="7:14" ht="11.25" customHeight="1" x14ac:dyDescent="0.3">
      <c r="G3904" s="459"/>
      <c r="H3904" s="459">
        <v>3897</v>
      </c>
      <c r="I3904" s="444">
        <f t="shared" ca="1" si="160"/>
        <v>-2496161113989.0098</v>
      </c>
      <c r="J3904" s="444">
        <f t="array" ref="J3904">IFERROR(INDEX('Retirement Calculator'!K:K,MATCH('Lorri 401b'!N3904,'Retirement Calculator'!A:A,0),0),0)</f>
        <v>0</v>
      </c>
      <c r="K3904" s="444">
        <f t="shared" ca="1" si="158"/>
        <v>-10400671308.28754</v>
      </c>
      <c r="L3904" s="444">
        <f t="shared" ca="1" si="159"/>
        <v>-2506561785297.2974</v>
      </c>
      <c r="M3904" s="460">
        <f t="shared" si="161"/>
        <v>0.05</v>
      </c>
      <c r="N3904" s="464">
        <f t="shared" si="162"/>
        <v>169871</v>
      </c>
    </row>
    <row r="3905" spans="7:14" ht="11.25" customHeight="1" x14ac:dyDescent="0.3">
      <c r="G3905" s="459"/>
      <c r="H3905" s="459">
        <v>3898</v>
      </c>
      <c r="I3905" s="444">
        <f t="shared" ca="1" si="160"/>
        <v>-2506561785297.2974</v>
      </c>
      <c r="J3905" s="444">
        <f t="array" ref="J3905">IFERROR(INDEX('Retirement Calculator'!K:K,MATCH('Lorri 401b'!N3905,'Retirement Calculator'!A:A,0),0),0)</f>
        <v>0</v>
      </c>
      <c r="K3905" s="444">
        <f t="shared" ca="1" si="158"/>
        <v>-10444007438.738739</v>
      </c>
      <c r="L3905" s="444">
        <f t="shared" ca="1" si="159"/>
        <v>-2517005792736.0361</v>
      </c>
      <c r="M3905" s="460">
        <f t="shared" si="161"/>
        <v>0.05</v>
      </c>
      <c r="N3905" s="464">
        <f t="shared" si="162"/>
        <v>169899</v>
      </c>
    </row>
    <row r="3906" spans="7:14" ht="11.25" customHeight="1" x14ac:dyDescent="0.3">
      <c r="G3906" s="459"/>
      <c r="H3906" s="459">
        <v>3899</v>
      </c>
      <c r="I3906" s="444">
        <f t="shared" ca="1" si="160"/>
        <v>-2517005792736.0361</v>
      </c>
      <c r="J3906" s="444">
        <f t="array" ref="J3906">IFERROR(INDEX('Retirement Calculator'!K:K,MATCH('Lorri 401b'!N3906,'Retirement Calculator'!A:A,0),0),0)</f>
        <v>0</v>
      </c>
      <c r="K3906" s="444">
        <f t="shared" ca="1" si="158"/>
        <v>-10487524136.40015</v>
      </c>
      <c r="L3906" s="444">
        <f t="shared" ca="1" si="159"/>
        <v>-2527493316872.4365</v>
      </c>
      <c r="M3906" s="460">
        <f t="shared" si="161"/>
        <v>0.05</v>
      </c>
      <c r="N3906" s="464">
        <f t="shared" si="162"/>
        <v>169930</v>
      </c>
    </row>
    <row r="3907" spans="7:14" ht="11.25" customHeight="1" x14ac:dyDescent="0.3">
      <c r="G3907" s="459"/>
      <c r="H3907" s="459">
        <v>3900</v>
      </c>
      <c r="I3907" s="444">
        <f t="shared" ca="1" si="160"/>
        <v>-2527493316872.4365</v>
      </c>
      <c r="J3907" s="444">
        <f t="array" ref="J3907">IFERROR(INDEX('Retirement Calculator'!K:K,MATCH('Lorri 401b'!N3907,'Retirement Calculator'!A:A,0),0),0)</f>
        <v>0</v>
      </c>
      <c r="K3907" s="444">
        <f t="shared" ca="1" si="158"/>
        <v>-10531222153.635153</v>
      </c>
      <c r="L3907" s="444">
        <f t="shared" ca="1" si="159"/>
        <v>-2538024539026.0718</v>
      </c>
      <c r="M3907" s="460">
        <f t="shared" si="161"/>
        <v>0.05</v>
      </c>
      <c r="N3907" s="464">
        <f t="shared" si="162"/>
        <v>169960</v>
      </c>
    </row>
    <row r="3908" spans="7:14" ht="11.25" customHeight="1" x14ac:dyDescent="0.3">
      <c r="G3908" s="459"/>
      <c r="H3908" s="459">
        <v>3901</v>
      </c>
      <c r="I3908" s="444">
        <f t="shared" ca="1" si="160"/>
        <v>-2538024539026.0718</v>
      </c>
      <c r="J3908" s="444">
        <f t="array" ref="J3908">IFERROR(INDEX('Retirement Calculator'!K:K,MATCH('Lorri 401b'!N3908,'Retirement Calculator'!A:A,0),0),0)</f>
        <v>0</v>
      </c>
      <c r="K3908" s="444">
        <f t="shared" ca="1" si="158"/>
        <v>-10575102245.941965</v>
      </c>
      <c r="L3908" s="444">
        <f t="shared" ca="1" si="159"/>
        <v>-2548599641272.0137</v>
      </c>
      <c r="M3908" s="460">
        <f t="shared" si="161"/>
        <v>0.05</v>
      </c>
      <c r="N3908" s="464">
        <f t="shared" si="162"/>
        <v>169991</v>
      </c>
    </row>
    <row r="3909" spans="7:14" ht="11.25" customHeight="1" x14ac:dyDescent="0.3">
      <c r="G3909" s="459"/>
      <c r="H3909" s="459">
        <v>3902</v>
      </c>
      <c r="I3909" s="444">
        <f t="shared" ca="1" si="160"/>
        <v>-2548599641272.0137</v>
      </c>
      <c r="J3909" s="444">
        <f t="array" ref="J3909">IFERROR(INDEX('Retirement Calculator'!K:K,MATCH('Lorri 401b'!N3909,'Retirement Calculator'!A:A,0),0),0)</f>
        <v>0</v>
      </c>
      <c r="K3909" s="444">
        <f t="shared" ca="1" si="158"/>
        <v>-10619165171.966724</v>
      </c>
      <c r="L3909" s="444">
        <f t="shared" ca="1" si="159"/>
        <v>-2559218806443.9805</v>
      </c>
      <c r="M3909" s="460">
        <f t="shared" si="161"/>
        <v>0.05</v>
      </c>
      <c r="N3909" s="464">
        <f t="shared" si="162"/>
        <v>170021</v>
      </c>
    </row>
    <row r="3910" spans="7:14" ht="11.25" customHeight="1" x14ac:dyDescent="0.3">
      <c r="G3910" s="459"/>
      <c r="H3910" s="459">
        <v>3903</v>
      </c>
      <c r="I3910" s="444">
        <f t="shared" ca="1" si="160"/>
        <v>-2559218806443.9805</v>
      </c>
      <c r="J3910" s="444">
        <f t="array" ref="J3910">IFERROR(INDEX('Retirement Calculator'!K:K,MATCH('Lorri 401b'!N3910,'Retirement Calculator'!A:A,0),0),0)</f>
        <v>0</v>
      </c>
      <c r="K3910" s="444">
        <f t="shared" ca="1" si="158"/>
        <v>-10663411693.516584</v>
      </c>
      <c r="L3910" s="444">
        <f t="shared" ca="1" si="159"/>
        <v>-2569882218137.4971</v>
      </c>
      <c r="M3910" s="460">
        <f t="shared" si="161"/>
        <v>0.05</v>
      </c>
      <c r="N3910" s="464">
        <f t="shared" si="162"/>
        <v>170052</v>
      </c>
    </row>
    <row r="3911" spans="7:14" ht="11.25" customHeight="1" x14ac:dyDescent="0.3">
      <c r="G3911" s="459"/>
      <c r="H3911" s="459">
        <v>3904</v>
      </c>
      <c r="I3911" s="444">
        <f t="shared" ca="1" si="160"/>
        <v>-2569882218137.4971</v>
      </c>
      <c r="J3911" s="444">
        <f t="array" ref="J3911">IFERROR(INDEX('Retirement Calculator'!K:K,MATCH('Lorri 401b'!N3911,'Retirement Calculator'!A:A,0),0),0)</f>
        <v>0</v>
      </c>
      <c r="K3911" s="444">
        <f t="shared" ca="1" si="158"/>
        <v>-10707842575.572905</v>
      </c>
      <c r="L3911" s="444">
        <f t="shared" ca="1" si="159"/>
        <v>-2580590060713.0698</v>
      </c>
      <c r="M3911" s="460">
        <f t="shared" si="161"/>
        <v>0.05</v>
      </c>
      <c r="N3911" s="464">
        <f t="shared" si="162"/>
        <v>170083</v>
      </c>
    </row>
    <row r="3912" spans="7:14" ht="11.25" customHeight="1" x14ac:dyDescent="0.3">
      <c r="G3912" s="459"/>
      <c r="H3912" s="459">
        <v>3905</v>
      </c>
      <c r="I3912" s="444">
        <f t="shared" ca="1" si="160"/>
        <v>-2580590060713.0698</v>
      </c>
      <c r="J3912" s="444">
        <f t="array" ref="J3912">IFERROR(INDEX('Retirement Calculator'!K:K,MATCH('Lorri 401b'!N3912,'Retirement Calculator'!A:A,0),0),0)</f>
        <v>0</v>
      </c>
      <c r="K3912" s="444">
        <f t="shared" ca="1" si="158"/>
        <v>-10752458586.304457</v>
      </c>
      <c r="L3912" s="444">
        <f t="shared" ca="1" si="159"/>
        <v>-2591342519299.3745</v>
      </c>
      <c r="M3912" s="460">
        <f t="shared" si="161"/>
        <v>0.05</v>
      </c>
      <c r="N3912" s="464">
        <f t="shared" si="162"/>
        <v>170113</v>
      </c>
    </row>
    <row r="3913" spans="7:14" ht="11.25" customHeight="1" x14ac:dyDescent="0.3">
      <c r="G3913" s="459"/>
      <c r="H3913" s="459">
        <v>3906</v>
      </c>
      <c r="I3913" s="444">
        <f t="shared" ca="1" si="160"/>
        <v>-2591342519299.3745</v>
      </c>
      <c r="J3913" s="444">
        <f t="array" ref="J3913">IFERROR(INDEX('Retirement Calculator'!K:K,MATCH('Lorri 401b'!N3913,'Retirement Calculator'!A:A,0),0),0)</f>
        <v>0</v>
      </c>
      <c r="K3913" s="444">
        <f t="shared" ca="1" si="158"/>
        <v>-10797260497.080727</v>
      </c>
      <c r="L3913" s="444">
        <f t="shared" ca="1" si="159"/>
        <v>-2602139779796.4551</v>
      </c>
      <c r="M3913" s="460">
        <f t="shared" si="161"/>
        <v>0.05</v>
      </c>
      <c r="N3913" s="464">
        <f t="shared" si="162"/>
        <v>170144</v>
      </c>
    </row>
    <row r="3914" spans="7:14" ht="11.25" customHeight="1" x14ac:dyDescent="0.3">
      <c r="G3914" s="459"/>
      <c r="H3914" s="459">
        <v>3907</v>
      </c>
      <c r="I3914" s="444">
        <f t="shared" ca="1" si="160"/>
        <v>-2602139779796.4551</v>
      </c>
      <c r="J3914" s="444">
        <f t="array" ref="J3914">IFERROR(INDEX('Retirement Calculator'!K:K,MATCH('Lorri 401b'!N3914,'Retirement Calculator'!A:A,0),0),0)</f>
        <v>0</v>
      </c>
      <c r="K3914" s="444">
        <f t="shared" ca="1" si="158"/>
        <v>-10842249082.485229</v>
      </c>
      <c r="L3914" s="444">
        <f t="shared" ca="1" si="159"/>
        <v>-2612982028878.9404</v>
      </c>
      <c r="M3914" s="460">
        <f t="shared" si="161"/>
        <v>0.05</v>
      </c>
      <c r="N3914" s="464">
        <f t="shared" si="162"/>
        <v>170174</v>
      </c>
    </row>
    <row r="3915" spans="7:14" ht="11.25" customHeight="1" x14ac:dyDescent="0.3">
      <c r="G3915" s="459"/>
      <c r="H3915" s="459">
        <v>3908</v>
      </c>
      <c r="I3915" s="444">
        <f t="shared" ca="1" si="160"/>
        <v>-2612982028878.9404</v>
      </c>
      <c r="J3915" s="444">
        <f t="array" ref="J3915">IFERROR(INDEX('Retirement Calculator'!K:K,MATCH('Lorri 401b'!N3915,'Retirement Calculator'!A:A,0),0),0)</f>
        <v>0</v>
      </c>
      <c r="K3915" s="444">
        <f t="shared" ca="1" si="158"/>
        <v>-10887425120.328918</v>
      </c>
      <c r="L3915" s="444">
        <f t="shared" ca="1" si="159"/>
        <v>-2623869453999.2695</v>
      </c>
      <c r="M3915" s="460">
        <f t="shared" si="161"/>
        <v>0.05</v>
      </c>
      <c r="N3915" s="464">
        <f t="shared" si="162"/>
        <v>170205</v>
      </c>
    </row>
    <row r="3916" spans="7:14" ht="11.25" customHeight="1" x14ac:dyDescent="0.3">
      <c r="G3916" s="459"/>
      <c r="H3916" s="459">
        <v>3909</v>
      </c>
      <c r="I3916" s="444">
        <f t="shared" ca="1" si="160"/>
        <v>-2623869453999.2695</v>
      </c>
      <c r="J3916" s="444">
        <f t="array" ref="J3916">IFERROR(INDEX('Retirement Calculator'!K:K,MATCH('Lorri 401b'!N3916,'Retirement Calculator'!A:A,0),0),0)</f>
        <v>0</v>
      </c>
      <c r="K3916" s="444">
        <f t="shared" ca="1" si="158"/>
        <v>-10932789391.663624</v>
      </c>
      <c r="L3916" s="444">
        <f t="shared" ca="1" si="159"/>
        <v>-2634802243390.9331</v>
      </c>
      <c r="M3916" s="460">
        <f t="shared" si="161"/>
        <v>0.05</v>
      </c>
      <c r="N3916" s="464">
        <f t="shared" si="162"/>
        <v>170236</v>
      </c>
    </row>
    <row r="3917" spans="7:14" ht="11.25" customHeight="1" x14ac:dyDescent="0.3">
      <c r="G3917" s="459"/>
      <c r="H3917" s="459">
        <v>3910</v>
      </c>
      <c r="I3917" s="444">
        <f t="shared" ca="1" si="160"/>
        <v>-2634802243390.9331</v>
      </c>
      <c r="J3917" s="444">
        <f t="array" ref="J3917">IFERROR(INDEX('Retirement Calculator'!K:K,MATCH('Lorri 401b'!N3917,'Retirement Calculator'!A:A,0),0),0)</f>
        <v>0</v>
      </c>
      <c r="K3917" s="444">
        <f t="shared" ca="1" si="158"/>
        <v>-10978342680.795555</v>
      </c>
      <c r="L3917" s="444">
        <f t="shared" ca="1" si="159"/>
        <v>-2645780586071.7285</v>
      </c>
      <c r="M3917" s="460">
        <f t="shared" si="161"/>
        <v>0.05</v>
      </c>
      <c r="N3917" s="464">
        <f t="shared" si="162"/>
        <v>170264</v>
      </c>
    </row>
    <row r="3918" spans="7:14" ht="11.25" customHeight="1" x14ac:dyDescent="0.3">
      <c r="G3918" s="459"/>
      <c r="H3918" s="459">
        <v>3911</v>
      </c>
      <c r="I3918" s="444">
        <f t="shared" ca="1" si="160"/>
        <v>-2645780586071.7285</v>
      </c>
      <c r="J3918" s="444">
        <f t="array" ref="J3918">IFERROR(INDEX('Retirement Calculator'!K:K,MATCH('Lorri 401b'!N3918,'Retirement Calculator'!A:A,0),0),0)</f>
        <v>0</v>
      </c>
      <c r="K3918" s="444">
        <f t="shared" ca="1" si="158"/>
        <v>-11024085775.298868</v>
      </c>
      <c r="L3918" s="444">
        <f t="shared" ca="1" si="159"/>
        <v>-2656804671847.0273</v>
      </c>
      <c r="M3918" s="460">
        <f t="shared" si="161"/>
        <v>0.05</v>
      </c>
      <c r="N3918" s="464">
        <f t="shared" si="162"/>
        <v>170295</v>
      </c>
    </row>
    <row r="3919" spans="7:14" ht="11.25" customHeight="1" x14ac:dyDescent="0.3">
      <c r="G3919" s="459"/>
      <c r="H3919" s="459">
        <v>3912</v>
      </c>
      <c r="I3919" s="444">
        <f t="shared" ca="1" si="160"/>
        <v>-2656804671847.0273</v>
      </c>
      <c r="J3919" s="444">
        <f t="array" ref="J3919">IFERROR(INDEX('Retirement Calculator'!K:K,MATCH('Lorri 401b'!N3919,'Retirement Calculator'!A:A,0),0),0)</f>
        <v>0</v>
      </c>
      <c r="K3919" s="444">
        <f t="shared" ca="1" si="158"/>
        <v>-11070019466.02928</v>
      </c>
      <c r="L3919" s="444">
        <f t="shared" ca="1" si="159"/>
        <v>-2667874691313.0566</v>
      </c>
      <c r="M3919" s="460">
        <f t="shared" si="161"/>
        <v>0.05</v>
      </c>
      <c r="N3919" s="464">
        <f t="shared" si="162"/>
        <v>170325</v>
      </c>
    </row>
    <row r="3920" spans="7:14" ht="11.25" customHeight="1" x14ac:dyDescent="0.3">
      <c r="G3920" s="459"/>
      <c r="H3920" s="459">
        <v>3913</v>
      </c>
      <c r="I3920" s="444">
        <f t="shared" ca="1" si="160"/>
        <v>-2667874691313.0566</v>
      </c>
      <c r="J3920" s="444">
        <f t="array" ref="J3920">IFERROR(INDEX('Retirement Calculator'!K:K,MATCH('Lorri 401b'!N3920,'Retirement Calculator'!A:A,0),0),0)</f>
        <v>0</v>
      </c>
      <c r="K3920" s="444">
        <f t="shared" ca="1" si="158"/>
        <v>-11116144547.137735</v>
      </c>
      <c r="L3920" s="444">
        <f t="shared" ca="1" si="159"/>
        <v>-2678990835860.1943</v>
      </c>
      <c r="M3920" s="460">
        <f t="shared" si="161"/>
        <v>0.05</v>
      </c>
      <c r="N3920" s="464">
        <f t="shared" si="162"/>
        <v>170356</v>
      </c>
    </row>
    <row r="3921" spans="7:14" ht="11.25" customHeight="1" x14ac:dyDescent="0.3">
      <c r="G3921" s="459"/>
      <c r="H3921" s="459">
        <v>3914</v>
      </c>
      <c r="I3921" s="444">
        <f t="shared" ca="1" si="160"/>
        <v>-2678990835860.1943</v>
      </c>
      <c r="J3921" s="444">
        <f t="array" ref="J3921">IFERROR(INDEX('Retirement Calculator'!K:K,MATCH('Lorri 401b'!N3921,'Retirement Calculator'!A:A,0),0),0)</f>
        <v>0</v>
      </c>
      <c r="K3921" s="444">
        <f t="shared" ca="1" si="158"/>
        <v>-11162461816.084143</v>
      </c>
      <c r="L3921" s="444">
        <f t="shared" ca="1" si="159"/>
        <v>-2690153297676.2783</v>
      </c>
      <c r="M3921" s="460">
        <f t="shared" si="161"/>
        <v>0.05</v>
      </c>
      <c r="N3921" s="464">
        <f t="shared" si="162"/>
        <v>170386</v>
      </c>
    </row>
    <row r="3922" spans="7:14" ht="11.25" customHeight="1" x14ac:dyDescent="0.3">
      <c r="G3922" s="459"/>
      <c r="H3922" s="459">
        <v>3915</v>
      </c>
      <c r="I3922" s="444">
        <f t="shared" ca="1" si="160"/>
        <v>-2690153297676.2783</v>
      </c>
      <c r="J3922" s="444">
        <f t="array" ref="J3922">IFERROR(INDEX('Retirement Calculator'!K:K,MATCH('Lorri 401b'!N3922,'Retirement Calculator'!A:A,0),0),0)</f>
        <v>0</v>
      </c>
      <c r="K3922" s="444">
        <f t="shared" ca="1" si="158"/>
        <v>-11208972073.651159</v>
      </c>
      <c r="L3922" s="444">
        <f t="shared" ca="1" si="159"/>
        <v>-2701362269749.9297</v>
      </c>
      <c r="M3922" s="460">
        <f t="shared" si="161"/>
        <v>0.05</v>
      </c>
      <c r="N3922" s="464">
        <f t="shared" si="162"/>
        <v>170417</v>
      </c>
    </row>
    <row r="3923" spans="7:14" ht="11.25" customHeight="1" x14ac:dyDescent="0.3">
      <c r="G3923" s="459"/>
      <c r="H3923" s="459">
        <v>3916</v>
      </c>
      <c r="I3923" s="444">
        <f t="shared" ca="1" si="160"/>
        <v>-2701362269749.9297</v>
      </c>
      <c r="J3923" s="444">
        <f t="array" ref="J3923">IFERROR(INDEX('Retirement Calculator'!K:K,MATCH('Lorri 401b'!N3923,'Retirement Calculator'!A:A,0),0),0)</f>
        <v>0</v>
      </c>
      <c r="K3923" s="444">
        <f t="shared" ca="1" si="158"/>
        <v>-11255676123.95804</v>
      </c>
      <c r="L3923" s="444">
        <f t="shared" ca="1" si="159"/>
        <v>-2712617945873.8877</v>
      </c>
      <c r="M3923" s="460">
        <f t="shared" si="161"/>
        <v>0.05</v>
      </c>
      <c r="N3923" s="464">
        <f t="shared" si="162"/>
        <v>170448</v>
      </c>
    </row>
    <row r="3924" spans="7:14" ht="11.25" customHeight="1" x14ac:dyDescent="0.3">
      <c r="G3924" s="459"/>
      <c r="H3924" s="459">
        <v>3917</v>
      </c>
      <c r="I3924" s="444">
        <f t="shared" ca="1" si="160"/>
        <v>-2712617945873.8877</v>
      </c>
      <c r="J3924" s="444">
        <f t="array" ref="J3924">IFERROR(INDEX('Retirement Calculator'!K:K,MATCH('Lorri 401b'!N3924,'Retirement Calculator'!A:A,0),0),0)</f>
        <v>0</v>
      </c>
      <c r="K3924" s="444">
        <f t="shared" ca="1" si="158"/>
        <v>-11302574774.474531</v>
      </c>
      <c r="L3924" s="444">
        <f t="shared" ca="1" si="159"/>
        <v>-2723920520648.3623</v>
      </c>
      <c r="M3924" s="460">
        <f t="shared" si="161"/>
        <v>0.05</v>
      </c>
      <c r="N3924" s="464">
        <f t="shared" si="162"/>
        <v>170478</v>
      </c>
    </row>
    <row r="3925" spans="7:14" ht="11.25" customHeight="1" x14ac:dyDescent="0.3">
      <c r="G3925" s="459"/>
      <c r="H3925" s="459">
        <v>3918</v>
      </c>
      <c r="I3925" s="444">
        <f t="shared" ca="1" si="160"/>
        <v>-2723920520648.3623</v>
      </c>
      <c r="J3925" s="444">
        <f t="array" ref="J3925">IFERROR(INDEX('Retirement Calculator'!K:K,MATCH('Lorri 401b'!N3925,'Retirement Calculator'!A:A,0),0),0)</f>
        <v>0</v>
      </c>
      <c r="K3925" s="444">
        <f t="shared" ca="1" si="158"/>
        <v>-11349668836.034843</v>
      </c>
      <c r="L3925" s="444">
        <f t="shared" ca="1" si="159"/>
        <v>-2735270189484.397</v>
      </c>
      <c r="M3925" s="460">
        <f t="shared" si="161"/>
        <v>0.05</v>
      </c>
      <c r="N3925" s="464">
        <f t="shared" si="162"/>
        <v>170509</v>
      </c>
    </row>
    <row r="3926" spans="7:14" ht="11.25" customHeight="1" x14ac:dyDescent="0.3">
      <c r="G3926" s="459"/>
      <c r="H3926" s="459">
        <v>3919</v>
      </c>
      <c r="I3926" s="444">
        <f t="shared" ca="1" si="160"/>
        <v>-2735270189484.397</v>
      </c>
      <c r="J3926" s="444">
        <f t="array" ref="J3926">IFERROR(INDEX('Retirement Calculator'!K:K,MATCH('Lorri 401b'!N3926,'Retirement Calculator'!A:A,0),0),0)</f>
        <v>0</v>
      </c>
      <c r="K3926" s="444">
        <f t="shared" ca="1" si="158"/>
        <v>-11396959122.851654</v>
      </c>
      <c r="L3926" s="444">
        <f t="shared" ca="1" si="159"/>
        <v>-2746667148607.2485</v>
      </c>
      <c r="M3926" s="460">
        <f t="shared" si="161"/>
        <v>0.05</v>
      </c>
      <c r="N3926" s="464">
        <f t="shared" si="162"/>
        <v>170539</v>
      </c>
    </row>
    <row r="3927" spans="7:14" ht="11.25" customHeight="1" x14ac:dyDescent="0.3">
      <c r="G3927" s="459"/>
      <c r="H3927" s="459">
        <v>3920</v>
      </c>
      <c r="I3927" s="444">
        <f t="shared" ca="1" si="160"/>
        <v>-2746667148607.2485</v>
      </c>
      <c r="J3927" s="444">
        <f t="array" ref="J3927">IFERROR(INDEX('Retirement Calculator'!K:K,MATCH('Lorri 401b'!N3927,'Retirement Calculator'!A:A,0),0),0)</f>
        <v>0</v>
      </c>
      <c r="K3927" s="444">
        <f t="shared" ca="1" si="158"/>
        <v>-11444446452.530203</v>
      </c>
      <c r="L3927" s="444">
        <f t="shared" ca="1" si="159"/>
        <v>-2758111595059.7788</v>
      </c>
      <c r="M3927" s="460">
        <f t="shared" si="161"/>
        <v>0.05</v>
      </c>
      <c r="N3927" s="464">
        <f t="shared" si="162"/>
        <v>170570</v>
      </c>
    </row>
    <row r="3928" spans="7:14" ht="11.25" customHeight="1" x14ac:dyDescent="0.3">
      <c r="G3928" s="459"/>
      <c r="H3928" s="459">
        <v>3921</v>
      </c>
      <c r="I3928" s="444">
        <f t="shared" ca="1" si="160"/>
        <v>-2758111595059.7788</v>
      </c>
      <c r="J3928" s="444">
        <f t="array" ref="J3928">IFERROR(INDEX('Retirement Calculator'!K:K,MATCH('Lorri 401b'!N3928,'Retirement Calculator'!A:A,0),0),0)</f>
        <v>0</v>
      </c>
      <c r="K3928" s="444">
        <f t="shared" ca="1" si="158"/>
        <v>-11492131646.082411</v>
      </c>
      <c r="L3928" s="444">
        <f t="shared" ca="1" si="159"/>
        <v>-2769603726705.8613</v>
      </c>
      <c r="M3928" s="460">
        <f t="shared" si="161"/>
        <v>0.05</v>
      </c>
      <c r="N3928" s="464">
        <f t="shared" si="162"/>
        <v>170601</v>
      </c>
    </row>
    <row r="3929" spans="7:14" ht="11.25" customHeight="1" x14ac:dyDescent="0.3">
      <c r="G3929" s="459"/>
      <c r="H3929" s="459">
        <v>3922</v>
      </c>
      <c r="I3929" s="444">
        <f t="shared" ca="1" si="160"/>
        <v>-2769603726705.8613</v>
      </c>
      <c r="J3929" s="444">
        <f t="array" ref="J3929">IFERROR(INDEX('Retirement Calculator'!K:K,MATCH('Lorri 401b'!N3929,'Retirement Calculator'!A:A,0),0),0)</f>
        <v>0</v>
      </c>
      <c r="K3929" s="444">
        <f t="shared" ca="1" si="158"/>
        <v>-11540015527.94109</v>
      </c>
      <c r="L3929" s="444">
        <f t="shared" ca="1" si="159"/>
        <v>-2781143742233.8022</v>
      </c>
      <c r="M3929" s="460">
        <f t="shared" si="161"/>
        <v>0.05</v>
      </c>
      <c r="N3929" s="464">
        <f t="shared" si="162"/>
        <v>170629</v>
      </c>
    </row>
    <row r="3930" spans="7:14" ht="11.25" customHeight="1" x14ac:dyDescent="0.3">
      <c r="G3930" s="459"/>
      <c r="H3930" s="459">
        <v>3923</v>
      </c>
      <c r="I3930" s="444">
        <f t="shared" ca="1" si="160"/>
        <v>-2781143742233.8022</v>
      </c>
      <c r="J3930" s="444">
        <f t="array" ref="J3930">IFERROR(INDEX('Retirement Calculator'!K:K,MATCH('Lorri 401b'!N3930,'Retirement Calculator'!A:A,0),0),0)</f>
        <v>0</v>
      </c>
      <c r="K3930" s="444">
        <f t="shared" ca="1" si="158"/>
        <v>-11588098925.974176</v>
      </c>
      <c r="L3930" s="444">
        <f t="shared" ca="1" si="159"/>
        <v>-2792731841159.7764</v>
      </c>
      <c r="M3930" s="460">
        <f t="shared" si="161"/>
        <v>0.05</v>
      </c>
      <c r="N3930" s="464">
        <f t="shared" si="162"/>
        <v>170660</v>
      </c>
    </row>
    <row r="3931" spans="7:14" ht="11.25" customHeight="1" x14ac:dyDescent="0.3">
      <c r="G3931" s="459"/>
      <c r="H3931" s="459">
        <v>3924</v>
      </c>
      <c r="I3931" s="444">
        <f t="shared" ca="1" si="160"/>
        <v>-2792731841159.7764</v>
      </c>
      <c r="J3931" s="444">
        <f t="array" ref="J3931">IFERROR(INDEX('Retirement Calculator'!K:K,MATCH('Lorri 401b'!N3931,'Retirement Calculator'!A:A,0),0),0)</f>
        <v>0</v>
      </c>
      <c r="K3931" s="444">
        <f t="shared" ca="1" si="158"/>
        <v>-11636382671.499067</v>
      </c>
      <c r="L3931" s="444">
        <f t="shared" ca="1" si="159"/>
        <v>-2804368223831.2754</v>
      </c>
      <c r="M3931" s="460">
        <f t="shared" si="161"/>
        <v>0.05</v>
      </c>
      <c r="N3931" s="464">
        <f t="shared" si="162"/>
        <v>170690</v>
      </c>
    </row>
    <row r="3932" spans="7:14" ht="11.25" customHeight="1" x14ac:dyDescent="0.3">
      <c r="G3932" s="459"/>
      <c r="H3932" s="459">
        <v>3925</v>
      </c>
      <c r="I3932" s="444">
        <f t="shared" ca="1" si="160"/>
        <v>-2804368223831.2754</v>
      </c>
      <c r="J3932" s="444">
        <f t="array" ref="J3932">IFERROR(INDEX('Retirement Calculator'!K:K,MATCH('Lorri 401b'!N3932,'Retirement Calculator'!A:A,0),0),0)</f>
        <v>0</v>
      </c>
      <c r="K3932" s="444">
        <f t="shared" ca="1" si="158"/>
        <v>-11684867599.29698</v>
      </c>
      <c r="L3932" s="444">
        <f t="shared" ca="1" si="159"/>
        <v>-2816053091430.5723</v>
      </c>
      <c r="M3932" s="460">
        <f t="shared" si="161"/>
        <v>0.05</v>
      </c>
      <c r="N3932" s="464">
        <f t="shared" si="162"/>
        <v>170721</v>
      </c>
    </row>
    <row r="3933" spans="7:14" ht="11.25" customHeight="1" x14ac:dyDescent="0.3">
      <c r="G3933" s="459"/>
      <c r="H3933" s="459">
        <v>3926</v>
      </c>
      <c r="I3933" s="444">
        <f t="shared" ca="1" si="160"/>
        <v>-2816053091430.5723</v>
      </c>
      <c r="J3933" s="444">
        <f t="array" ref="J3933">IFERROR(INDEX('Retirement Calculator'!K:K,MATCH('Lorri 401b'!N3933,'Retirement Calculator'!A:A,0),0),0)</f>
        <v>0</v>
      </c>
      <c r="K3933" s="444">
        <f t="shared" ca="1" si="158"/>
        <v>-11733554547.627384</v>
      </c>
      <c r="L3933" s="444">
        <f t="shared" ca="1" si="159"/>
        <v>-2827786645978.1997</v>
      </c>
      <c r="M3933" s="460">
        <f t="shared" si="161"/>
        <v>0.05</v>
      </c>
      <c r="N3933" s="464">
        <f t="shared" si="162"/>
        <v>170751</v>
      </c>
    </row>
    <row r="3934" spans="7:14" ht="11.25" customHeight="1" x14ac:dyDescent="0.3">
      <c r="G3934" s="459"/>
      <c r="H3934" s="459">
        <v>3927</v>
      </c>
      <c r="I3934" s="444">
        <f t="shared" ca="1" si="160"/>
        <v>-2827786645978.1997</v>
      </c>
      <c r="J3934" s="444">
        <f t="array" ref="J3934">IFERROR(INDEX('Retirement Calculator'!K:K,MATCH('Lorri 401b'!N3934,'Retirement Calculator'!A:A,0),0),0)</f>
        <v>0</v>
      </c>
      <c r="K3934" s="444">
        <f t="shared" ca="1" si="158"/>
        <v>-11782444358.242498</v>
      </c>
      <c r="L3934" s="444">
        <f t="shared" ca="1" si="159"/>
        <v>-2839569090336.4424</v>
      </c>
      <c r="M3934" s="460">
        <f t="shared" si="161"/>
        <v>0.05</v>
      </c>
      <c r="N3934" s="464">
        <f t="shared" si="162"/>
        <v>170782</v>
      </c>
    </row>
    <row r="3935" spans="7:14" ht="11.25" customHeight="1" x14ac:dyDescent="0.3">
      <c r="G3935" s="459"/>
      <c r="H3935" s="459">
        <v>3928</v>
      </c>
      <c r="I3935" s="444">
        <f t="shared" ca="1" si="160"/>
        <v>-2839569090336.4424</v>
      </c>
      <c r="J3935" s="444">
        <f t="array" ref="J3935">IFERROR(INDEX('Retirement Calculator'!K:K,MATCH('Lorri 401b'!N3935,'Retirement Calculator'!A:A,0),0),0)</f>
        <v>0</v>
      </c>
      <c r="K3935" s="444">
        <f t="shared" ca="1" si="158"/>
        <v>-11831537876.401844</v>
      </c>
      <c r="L3935" s="444">
        <f t="shared" ca="1" si="159"/>
        <v>-2851400628212.8442</v>
      </c>
      <c r="M3935" s="460">
        <f t="shared" si="161"/>
        <v>0.05</v>
      </c>
      <c r="N3935" s="464">
        <f t="shared" si="162"/>
        <v>170813</v>
      </c>
    </row>
    <row r="3936" spans="7:14" ht="11.25" customHeight="1" x14ac:dyDescent="0.3">
      <c r="G3936" s="459"/>
      <c r="H3936" s="459">
        <v>3929</v>
      </c>
      <c r="I3936" s="444">
        <f t="shared" ca="1" si="160"/>
        <v>-2851400628212.8442</v>
      </c>
      <c r="J3936" s="444">
        <f t="array" ref="J3936">IFERROR(INDEX('Retirement Calculator'!K:K,MATCH('Lorri 401b'!N3936,'Retirement Calculator'!A:A,0),0),0)</f>
        <v>0</v>
      </c>
      <c r="K3936" s="444">
        <f t="shared" ca="1" si="158"/>
        <v>-11880835950.88685</v>
      </c>
      <c r="L3936" s="444">
        <f t="shared" ca="1" si="159"/>
        <v>-2863281464163.731</v>
      </c>
      <c r="M3936" s="460">
        <f t="shared" si="161"/>
        <v>0.05</v>
      </c>
      <c r="N3936" s="464">
        <f t="shared" si="162"/>
        <v>170843</v>
      </c>
    </row>
    <row r="3937" spans="7:14" ht="11.25" customHeight="1" x14ac:dyDescent="0.3">
      <c r="G3937" s="459"/>
      <c r="H3937" s="459">
        <v>3930</v>
      </c>
      <c r="I3937" s="444">
        <f t="shared" ca="1" si="160"/>
        <v>-2863281464163.731</v>
      </c>
      <c r="J3937" s="444">
        <f t="array" ref="J3937">IFERROR(INDEX('Retirement Calculator'!K:K,MATCH('Lorri 401b'!N3937,'Retirement Calculator'!A:A,0),0),0)</f>
        <v>0</v>
      </c>
      <c r="K3937" s="444">
        <f t="shared" ca="1" si="158"/>
        <v>-11930339434.015545</v>
      </c>
      <c r="L3937" s="444">
        <f t="shared" ca="1" si="159"/>
        <v>-2875211803597.7466</v>
      </c>
      <c r="M3937" s="460">
        <f t="shared" si="161"/>
        <v>0.05</v>
      </c>
      <c r="N3937" s="464">
        <f t="shared" si="162"/>
        <v>170874</v>
      </c>
    </row>
    <row r="3938" spans="7:14" ht="11.25" customHeight="1" x14ac:dyDescent="0.3">
      <c r="G3938" s="459"/>
      <c r="H3938" s="459">
        <v>3931</v>
      </c>
      <c r="I3938" s="444">
        <f t="shared" ca="1" si="160"/>
        <v>-2875211803597.7466</v>
      </c>
      <c r="J3938" s="444">
        <f t="array" ref="J3938">IFERROR(INDEX('Retirement Calculator'!K:K,MATCH('Lorri 401b'!N3938,'Retirement Calculator'!A:A,0),0),0)</f>
        <v>0</v>
      </c>
      <c r="K3938" s="444">
        <f t="shared" ca="1" si="158"/>
        <v>-11980049181.657278</v>
      </c>
      <c r="L3938" s="444">
        <f t="shared" ca="1" si="159"/>
        <v>-2887191852779.4038</v>
      </c>
      <c r="M3938" s="460">
        <f t="shared" si="161"/>
        <v>0.05</v>
      </c>
      <c r="N3938" s="464">
        <f t="shared" si="162"/>
        <v>170904</v>
      </c>
    </row>
    <row r="3939" spans="7:14" ht="11.25" customHeight="1" x14ac:dyDescent="0.3">
      <c r="G3939" s="459"/>
      <c r="H3939" s="459">
        <v>3932</v>
      </c>
      <c r="I3939" s="444">
        <f t="shared" ca="1" si="160"/>
        <v>-2887191852779.4038</v>
      </c>
      <c r="J3939" s="444">
        <f t="array" ref="J3939">IFERROR(INDEX('Retirement Calculator'!K:K,MATCH('Lorri 401b'!N3939,'Retirement Calculator'!A:A,0),0),0)</f>
        <v>0</v>
      </c>
      <c r="K3939" s="444">
        <f t="shared" ca="1" si="158"/>
        <v>-12029966053.247517</v>
      </c>
      <c r="L3939" s="444">
        <f t="shared" ca="1" si="159"/>
        <v>-2899221818832.6514</v>
      </c>
      <c r="M3939" s="460">
        <f t="shared" si="161"/>
        <v>0.05</v>
      </c>
      <c r="N3939" s="464">
        <f t="shared" si="162"/>
        <v>170935</v>
      </c>
    </row>
    <row r="3940" spans="7:14" ht="11.25" customHeight="1" x14ac:dyDescent="0.3">
      <c r="G3940" s="459"/>
      <c r="H3940" s="459">
        <v>3933</v>
      </c>
      <c r="I3940" s="444">
        <f t="shared" ca="1" si="160"/>
        <v>-2899221818832.6514</v>
      </c>
      <c r="J3940" s="444">
        <f t="array" ref="J3940">IFERROR(INDEX('Retirement Calculator'!K:K,MATCH('Lorri 401b'!N3940,'Retirement Calculator'!A:A,0),0),0)</f>
        <v>0</v>
      </c>
      <c r="K3940" s="444">
        <f t="shared" ca="1" si="158"/>
        <v>-12080090911.802713</v>
      </c>
      <c r="L3940" s="444">
        <f t="shared" ca="1" si="159"/>
        <v>-2911301909744.4541</v>
      </c>
      <c r="M3940" s="460">
        <f t="shared" si="161"/>
        <v>0.05</v>
      </c>
      <c r="N3940" s="464">
        <f t="shared" si="162"/>
        <v>170966</v>
      </c>
    </row>
    <row r="3941" spans="7:14" ht="11.25" customHeight="1" x14ac:dyDescent="0.3">
      <c r="G3941" s="459"/>
      <c r="H3941" s="459">
        <v>3934</v>
      </c>
      <c r="I3941" s="444">
        <f t="shared" ca="1" si="160"/>
        <v>-2911301909744.4541</v>
      </c>
      <c r="J3941" s="444">
        <f t="array" ref="J3941">IFERROR(INDEX('Retirement Calculator'!K:K,MATCH('Lorri 401b'!N3941,'Retirement Calculator'!A:A,0),0),0)</f>
        <v>0</v>
      </c>
      <c r="K3941" s="444">
        <f t="shared" ca="1" si="158"/>
        <v>-12130424623.935225</v>
      </c>
      <c r="L3941" s="444">
        <f t="shared" ca="1" si="159"/>
        <v>-2923432334368.3892</v>
      </c>
      <c r="M3941" s="460">
        <f t="shared" si="161"/>
        <v>0.05</v>
      </c>
      <c r="N3941" s="464">
        <f t="shared" si="162"/>
        <v>170995</v>
      </c>
    </row>
    <row r="3942" spans="7:14" ht="11.25" customHeight="1" x14ac:dyDescent="0.3">
      <c r="G3942" s="459"/>
      <c r="H3942" s="459">
        <v>3935</v>
      </c>
      <c r="I3942" s="444">
        <f t="shared" ca="1" si="160"/>
        <v>-2923432334368.3892</v>
      </c>
      <c r="J3942" s="444">
        <f t="array" ref="J3942">IFERROR(INDEX('Retirement Calculator'!K:K,MATCH('Lorri 401b'!N3942,'Retirement Calculator'!A:A,0),0),0)</f>
        <v>0</v>
      </c>
      <c r="K3942" s="444">
        <f t="shared" ca="1" si="158"/>
        <v>-12180968059.868288</v>
      </c>
      <c r="L3942" s="444">
        <f t="shared" ca="1" si="159"/>
        <v>-2935613302428.2573</v>
      </c>
      <c r="M3942" s="460">
        <f t="shared" si="161"/>
        <v>0.05</v>
      </c>
      <c r="N3942" s="464">
        <f t="shared" si="162"/>
        <v>171026</v>
      </c>
    </row>
    <row r="3943" spans="7:14" ht="11.25" customHeight="1" x14ac:dyDescent="0.3">
      <c r="G3943" s="459"/>
      <c r="H3943" s="459">
        <v>3936</v>
      </c>
      <c r="I3943" s="444">
        <f t="shared" ca="1" si="160"/>
        <v>-2935613302428.2573</v>
      </c>
      <c r="J3943" s="444">
        <f t="array" ref="J3943">IFERROR(INDEX('Retirement Calculator'!K:K,MATCH('Lorri 401b'!N3943,'Retirement Calculator'!A:A,0),0),0)</f>
        <v>0</v>
      </c>
      <c r="K3943" s="444">
        <f t="shared" ca="1" si="158"/>
        <v>-12231722093.451073</v>
      </c>
      <c r="L3943" s="444">
        <f t="shared" ca="1" si="159"/>
        <v>-2947845024521.7085</v>
      </c>
      <c r="M3943" s="460">
        <f t="shared" si="161"/>
        <v>0.05</v>
      </c>
      <c r="N3943" s="464">
        <f t="shared" si="162"/>
        <v>171056</v>
      </c>
    </row>
    <row r="3944" spans="7:14" ht="11.25" customHeight="1" x14ac:dyDescent="0.3">
      <c r="G3944" s="459"/>
      <c r="H3944" s="459">
        <v>3937</v>
      </c>
      <c r="I3944" s="444">
        <f t="shared" ca="1" si="160"/>
        <v>-2947845024521.7085</v>
      </c>
      <c r="J3944" s="444">
        <f t="array" ref="J3944">IFERROR(INDEX('Retirement Calculator'!K:K,MATCH('Lorri 401b'!N3944,'Retirement Calculator'!A:A,0),0),0)</f>
        <v>0</v>
      </c>
      <c r="K3944" s="444">
        <f t="shared" ca="1" si="158"/>
        <v>-12282687602.173786</v>
      </c>
      <c r="L3944" s="444">
        <f t="shared" ca="1" si="159"/>
        <v>-2960127712123.8823</v>
      </c>
      <c r="M3944" s="460">
        <f t="shared" si="161"/>
        <v>0.05</v>
      </c>
      <c r="N3944" s="464">
        <f t="shared" si="162"/>
        <v>171087</v>
      </c>
    </row>
    <row r="3945" spans="7:14" ht="11.25" customHeight="1" x14ac:dyDescent="0.3">
      <c r="G3945" s="459"/>
      <c r="H3945" s="459">
        <v>3938</v>
      </c>
      <c r="I3945" s="444">
        <f t="shared" ca="1" si="160"/>
        <v>-2960127712123.8823</v>
      </c>
      <c r="J3945" s="444">
        <f t="array" ref="J3945">IFERROR(INDEX('Retirement Calculator'!K:K,MATCH('Lorri 401b'!N3945,'Retirement Calculator'!A:A,0),0),0)</f>
        <v>0</v>
      </c>
      <c r="K3945" s="444">
        <f t="shared" ca="1" si="158"/>
        <v>-12333865467.182842</v>
      </c>
      <c r="L3945" s="444">
        <f t="shared" ca="1" si="159"/>
        <v>-2972461577591.0649</v>
      </c>
      <c r="M3945" s="460">
        <f t="shared" si="161"/>
        <v>0.05</v>
      </c>
      <c r="N3945" s="464">
        <f t="shared" si="162"/>
        <v>171117</v>
      </c>
    </row>
    <row r="3946" spans="7:14" ht="11.25" customHeight="1" x14ac:dyDescent="0.3">
      <c r="G3946" s="459"/>
      <c r="H3946" s="459">
        <v>3939</v>
      </c>
      <c r="I3946" s="444">
        <f t="shared" ca="1" si="160"/>
        <v>-2972461577591.0649</v>
      </c>
      <c r="J3946" s="444">
        <f t="array" ref="J3946">IFERROR(INDEX('Retirement Calculator'!K:K,MATCH('Lorri 401b'!N3946,'Retirement Calculator'!A:A,0),0),0)</f>
        <v>0</v>
      </c>
      <c r="K3946" s="444">
        <f t="shared" ca="1" si="158"/>
        <v>-12385256573.296104</v>
      </c>
      <c r="L3946" s="444">
        <f t="shared" ca="1" si="159"/>
        <v>-2984846834164.3608</v>
      </c>
      <c r="M3946" s="460">
        <f t="shared" si="161"/>
        <v>0.05</v>
      </c>
      <c r="N3946" s="464">
        <f t="shared" si="162"/>
        <v>171148</v>
      </c>
    </row>
    <row r="3947" spans="7:14" ht="11.25" customHeight="1" x14ac:dyDescent="0.3">
      <c r="G3947" s="459"/>
      <c r="H3947" s="459">
        <v>3940</v>
      </c>
      <c r="I3947" s="444">
        <f t="shared" ca="1" si="160"/>
        <v>-2984846834164.3608</v>
      </c>
      <c r="J3947" s="444">
        <f t="array" ref="J3947">IFERROR(INDEX('Retirement Calculator'!K:K,MATCH('Lorri 401b'!N3947,'Retirement Calculator'!A:A,0),0),0)</f>
        <v>0</v>
      </c>
      <c r="K3947" s="444">
        <f t="shared" ca="1" si="158"/>
        <v>-12436861809.018169</v>
      </c>
      <c r="L3947" s="444">
        <f t="shared" ca="1" si="159"/>
        <v>-2997283695973.3789</v>
      </c>
      <c r="M3947" s="460">
        <f t="shared" si="161"/>
        <v>0.05</v>
      </c>
      <c r="N3947" s="464">
        <f t="shared" si="162"/>
        <v>171179</v>
      </c>
    </row>
    <row r="3948" spans="7:14" ht="11.25" customHeight="1" x14ac:dyDescent="0.3">
      <c r="G3948" s="459"/>
      <c r="H3948" s="459">
        <v>3941</v>
      </c>
      <c r="I3948" s="444">
        <f t="shared" ca="1" si="160"/>
        <v>-2997283695973.3789</v>
      </c>
      <c r="J3948" s="444">
        <f t="array" ref="J3948">IFERROR(INDEX('Retirement Calculator'!K:K,MATCH('Lorri 401b'!N3948,'Retirement Calculator'!A:A,0),0),0)</f>
        <v>0</v>
      </c>
      <c r="K3948" s="444">
        <f t="shared" ca="1" si="158"/>
        <v>-12488682066.555746</v>
      </c>
      <c r="L3948" s="444">
        <f t="shared" ca="1" si="159"/>
        <v>-3009772378039.9346</v>
      </c>
      <c r="M3948" s="460">
        <f t="shared" si="161"/>
        <v>0.05</v>
      </c>
      <c r="N3948" s="464">
        <f t="shared" si="162"/>
        <v>171209</v>
      </c>
    </row>
    <row r="3949" spans="7:14" ht="11.25" customHeight="1" x14ac:dyDescent="0.3">
      <c r="G3949" s="459"/>
      <c r="H3949" s="459">
        <v>3942</v>
      </c>
      <c r="I3949" s="444">
        <f t="shared" ca="1" si="160"/>
        <v>-3009772378039.9346</v>
      </c>
      <c r="J3949" s="444">
        <f t="array" ref="J3949">IFERROR(INDEX('Retirement Calculator'!K:K,MATCH('Lorri 401b'!N3949,'Retirement Calculator'!A:A,0),0),0)</f>
        <v>0</v>
      </c>
      <c r="K3949" s="444">
        <f t="shared" ca="1" si="158"/>
        <v>-12540718241.833061</v>
      </c>
      <c r="L3949" s="444">
        <f t="shared" ca="1" si="159"/>
        <v>-3022313096281.7676</v>
      </c>
      <c r="M3949" s="460">
        <f t="shared" si="161"/>
        <v>0.05</v>
      </c>
      <c r="N3949" s="464">
        <f t="shared" si="162"/>
        <v>171240</v>
      </c>
    </row>
    <row r="3950" spans="7:14" ht="11.25" customHeight="1" x14ac:dyDescent="0.3">
      <c r="G3950" s="459"/>
      <c r="H3950" s="459">
        <v>3943</v>
      </c>
      <c r="I3950" s="444">
        <f t="shared" ca="1" si="160"/>
        <v>-3022313096281.7676</v>
      </c>
      <c r="J3950" s="444">
        <f t="array" ref="J3950">IFERROR(INDEX('Retirement Calculator'!K:K,MATCH('Lorri 401b'!N3950,'Retirement Calculator'!A:A,0),0),0)</f>
        <v>0</v>
      </c>
      <c r="K3950" s="444">
        <f t="shared" ca="1" si="158"/>
        <v>-12592971234.507364</v>
      </c>
      <c r="L3950" s="444">
        <f t="shared" ca="1" si="159"/>
        <v>-3034906067516.2749</v>
      </c>
      <c r="M3950" s="460">
        <f t="shared" si="161"/>
        <v>0.05</v>
      </c>
      <c r="N3950" s="464">
        <f t="shared" si="162"/>
        <v>171270</v>
      </c>
    </row>
    <row r="3951" spans="7:14" ht="11.25" customHeight="1" x14ac:dyDescent="0.3">
      <c r="G3951" s="459"/>
      <c r="H3951" s="459">
        <v>3944</v>
      </c>
      <c r="I3951" s="444">
        <f t="shared" ca="1" si="160"/>
        <v>-3034906067516.2749</v>
      </c>
      <c r="J3951" s="444">
        <f t="array" ref="J3951">IFERROR(INDEX('Retirement Calculator'!K:K,MATCH('Lorri 401b'!N3951,'Retirement Calculator'!A:A,0),0),0)</f>
        <v>0</v>
      </c>
      <c r="K3951" s="444">
        <f t="shared" ca="1" si="158"/>
        <v>-12645441947.984478</v>
      </c>
      <c r="L3951" s="444">
        <f t="shared" ca="1" si="159"/>
        <v>-3047551509464.2593</v>
      </c>
      <c r="M3951" s="460">
        <f t="shared" si="161"/>
        <v>0.05</v>
      </c>
      <c r="N3951" s="464">
        <f t="shared" si="162"/>
        <v>171301</v>
      </c>
    </row>
    <row r="3952" spans="7:14" ht="11.25" customHeight="1" x14ac:dyDescent="0.3">
      <c r="G3952" s="459"/>
      <c r="H3952" s="459">
        <v>3945</v>
      </c>
      <c r="I3952" s="444">
        <f t="shared" ca="1" si="160"/>
        <v>-3047551509464.2593</v>
      </c>
      <c r="J3952" s="444">
        <f t="array" ref="J3952">IFERROR(INDEX('Retirement Calculator'!K:K,MATCH('Lorri 401b'!N3952,'Retirement Calculator'!A:A,0),0),0)</f>
        <v>0</v>
      </c>
      <c r="K3952" s="444">
        <f t="shared" ca="1" si="158"/>
        <v>-12698131289.434414</v>
      </c>
      <c r="L3952" s="444">
        <f t="shared" ca="1" si="159"/>
        <v>-3060249640753.6938</v>
      </c>
      <c r="M3952" s="460">
        <f t="shared" si="161"/>
        <v>0.05</v>
      </c>
      <c r="N3952" s="464">
        <f t="shared" si="162"/>
        <v>171332</v>
      </c>
    </row>
    <row r="3953" spans="7:14" ht="11.25" customHeight="1" x14ac:dyDescent="0.3">
      <c r="G3953" s="459"/>
      <c r="H3953" s="459">
        <v>3946</v>
      </c>
      <c r="I3953" s="444">
        <f t="shared" ca="1" si="160"/>
        <v>-3060249640753.6938</v>
      </c>
      <c r="J3953" s="444">
        <f t="array" ref="J3953">IFERROR(INDEX('Retirement Calculator'!K:K,MATCH('Lorri 401b'!N3953,'Retirement Calculator'!A:A,0),0),0)</f>
        <v>0</v>
      </c>
      <c r="K3953" s="444">
        <f t="shared" ca="1" si="158"/>
        <v>-12751040169.807058</v>
      </c>
      <c r="L3953" s="444">
        <f t="shared" ca="1" si="159"/>
        <v>-3073000680923.501</v>
      </c>
      <c r="M3953" s="460">
        <f t="shared" si="161"/>
        <v>0.05</v>
      </c>
      <c r="N3953" s="464">
        <f t="shared" si="162"/>
        <v>171360</v>
      </c>
    </row>
    <row r="3954" spans="7:14" ht="11.25" customHeight="1" x14ac:dyDescent="0.3">
      <c r="G3954" s="459"/>
      <c r="H3954" s="459">
        <v>3947</v>
      </c>
      <c r="I3954" s="444">
        <f t="shared" ca="1" si="160"/>
        <v>-3073000680923.501</v>
      </c>
      <c r="J3954" s="444">
        <f t="array" ref="J3954">IFERROR(INDEX('Retirement Calculator'!K:K,MATCH('Lorri 401b'!N3954,'Retirement Calculator'!A:A,0),0),0)</f>
        <v>0</v>
      </c>
      <c r="K3954" s="444">
        <f t="shared" ca="1" si="158"/>
        <v>-12804169503.847921</v>
      </c>
      <c r="L3954" s="444">
        <f t="shared" ca="1" si="159"/>
        <v>-3085804850427.3491</v>
      </c>
      <c r="M3954" s="460">
        <f t="shared" si="161"/>
        <v>0.05</v>
      </c>
      <c r="N3954" s="464">
        <f t="shared" si="162"/>
        <v>171391</v>
      </c>
    </row>
    <row r="3955" spans="7:14" ht="11.25" customHeight="1" x14ac:dyDescent="0.3">
      <c r="G3955" s="459"/>
      <c r="H3955" s="459">
        <v>3948</v>
      </c>
      <c r="I3955" s="444">
        <f t="shared" ca="1" si="160"/>
        <v>-3085804850427.3491</v>
      </c>
      <c r="J3955" s="444">
        <f t="array" ref="J3955">IFERROR(INDEX('Retirement Calculator'!K:K,MATCH('Lorri 401b'!N3955,'Retirement Calculator'!A:A,0),0),0)</f>
        <v>0</v>
      </c>
      <c r="K3955" s="444">
        <f t="shared" ca="1" si="158"/>
        <v>-12857520210.113955</v>
      </c>
      <c r="L3955" s="444">
        <f t="shared" ca="1" si="159"/>
        <v>-3098662370637.4629</v>
      </c>
      <c r="M3955" s="460">
        <f t="shared" si="161"/>
        <v>0.05</v>
      </c>
      <c r="N3955" s="464">
        <f t="shared" si="162"/>
        <v>171421</v>
      </c>
    </row>
    <row r="3956" spans="7:14" ht="11.25" customHeight="1" x14ac:dyDescent="0.3">
      <c r="G3956" s="459"/>
      <c r="H3956" s="459">
        <v>3949</v>
      </c>
      <c r="I3956" s="444">
        <f t="shared" ca="1" si="160"/>
        <v>-3098662370637.4629</v>
      </c>
      <c r="J3956" s="444">
        <f t="array" ref="J3956">IFERROR(INDEX('Retirement Calculator'!K:K,MATCH('Lorri 401b'!N3956,'Retirement Calculator'!A:A,0),0),0)</f>
        <v>0</v>
      </c>
      <c r="K3956" s="444">
        <f t="shared" ca="1" si="158"/>
        <v>-12911093210.989429</v>
      </c>
      <c r="L3956" s="444">
        <f t="shared" ca="1" si="159"/>
        <v>-3111573463848.4521</v>
      </c>
      <c r="M3956" s="460">
        <f t="shared" si="161"/>
        <v>0.05</v>
      </c>
      <c r="N3956" s="464">
        <f t="shared" si="162"/>
        <v>171452</v>
      </c>
    </row>
    <row r="3957" spans="7:14" ht="11.25" customHeight="1" x14ac:dyDescent="0.3">
      <c r="G3957" s="459"/>
      <c r="H3957" s="459">
        <v>3950</v>
      </c>
      <c r="I3957" s="444">
        <f t="shared" ca="1" si="160"/>
        <v>-3111573463848.4521</v>
      </c>
      <c r="J3957" s="444">
        <f t="array" ref="J3957">IFERROR(INDEX('Retirement Calculator'!K:K,MATCH('Lorri 401b'!N3957,'Retirement Calculator'!A:A,0),0),0)</f>
        <v>0</v>
      </c>
      <c r="K3957" s="444">
        <f t="shared" ca="1" si="158"/>
        <v>-12964889432.701883</v>
      </c>
      <c r="L3957" s="444">
        <f t="shared" ca="1" si="159"/>
        <v>-3124538353281.1538</v>
      </c>
      <c r="M3957" s="460">
        <f t="shared" si="161"/>
        <v>0.05</v>
      </c>
      <c r="N3957" s="464">
        <f t="shared" si="162"/>
        <v>171482</v>
      </c>
    </row>
    <row r="3958" spans="7:14" ht="11.25" customHeight="1" x14ac:dyDescent="0.3">
      <c r="G3958" s="459"/>
      <c r="H3958" s="459">
        <v>3951</v>
      </c>
      <c r="I3958" s="444">
        <f t="shared" ca="1" si="160"/>
        <v>-3124538353281.1538</v>
      </c>
      <c r="J3958" s="444">
        <f t="array" ref="J3958">IFERROR(INDEX('Retirement Calculator'!K:K,MATCH('Lorri 401b'!N3958,'Retirement Calculator'!A:A,0),0),0)</f>
        <v>0</v>
      </c>
      <c r="K3958" s="444">
        <f t="shared" ca="1" si="158"/>
        <v>-13018909805.33814</v>
      </c>
      <c r="L3958" s="444">
        <f t="shared" ca="1" si="159"/>
        <v>-3137557263086.4922</v>
      </c>
      <c r="M3958" s="460">
        <f t="shared" si="161"/>
        <v>0.05</v>
      </c>
      <c r="N3958" s="464">
        <f t="shared" si="162"/>
        <v>171513</v>
      </c>
    </row>
    <row r="3959" spans="7:14" ht="11.25" customHeight="1" x14ac:dyDescent="0.3">
      <c r="G3959" s="459"/>
      <c r="H3959" s="459">
        <v>3952</v>
      </c>
      <c r="I3959" s="444">
        <f t="shared" ca="1" si="160"/>
        <v>-3137557263086.4922</v>
      </c>
      <c r="J3959" s="444">
        <f t="array" ref="J3959">IFERROR(INDEX('Retirement Calculator'!K:K,MATCH('Lorri 401b'!N3959,'Retirement Calculator'!A:A,0),0),0)</f>
        <v>0</v>
      </c>
      <c r="K3959" s="444">
        <f t="shared" ca="1" si="158"/>
        <v>-13073155262.860384</v>
      </c>
      <c r="L3959" s="444">
        <f t="shared" ca="1" si="159"/>
        <v>-3150630418349.3525</v>
      </c>
      <c r="M3959" s="460">
        <f t="shared" si="161"/>
        <v>0.05</v>
      </c>
      <c r="N3959" s="464">
        <f t="shared" si="162"/>
        <v>171544</v>
      </c>
    </row>
    <row r="3960" spans="7:14" ht="11.25" customHeight="1" x14ac:dyDescent="0.3">
      <c r="G3960" s="459"/>
      <c r="H3960" s="459">
        <v>3953</v>
      </c>
      <c r="I3960" s="444">
        <f t="shared" ca="1" si="160"/>
        <v>-3150630418349.3525</v>
      </c>
      <c r="J3960" s="444">
        <f t="array" ref="J3960">IFERROR(INDEX('Retirement Calculator'!K:K,MATCH('Lorri 401b'!N3960,'Retirement Calculator'!A:A,0),0),0)</f>
        <v>0</v>
      </c>
      <c r="K3960" s="444">
        <f t="shared" ca="1" si="158"/>
        <v>-13127626743.122303</v>
      </c>
      <c r="L3960" s="444">
        <f t="shared" ca="1" si="159"/>
        <v>-3163758045092.4746</v>
      </c>
      <c r="M3960" s="460">
        <f t="shared" si="161"/>
        <v>0.05</v>
      </c>
      <c r="N3960" s="464">
        <f t="shared" si="162"/>
        <v>171574</v>
      </c>
    </row>
    <row r="3961" spans="7:14" ht="11.25" customHeight="1" x14ac:dyDescent="0.3">
      <c r="G3961" s="459"/>
      <c r="H3961" s="459">
        <v>3954</v>
      </c>
      <c r="I3961" s="444">
        <f t="shared" ca="1" si="160"/>
        <v>-3163758045092.4746</v>
      </c>
      <c r="J3961" s="444">
        <f t="array" ref="J3961">IFERROR(INDEX('Retirement Calculator'!K:K,MATCH('Lorri 401b'!N3961,'Retirement Calculator'!A:A,0),0),0)</f>
        <v>0</v>
      </c>
      <c r="K3961" s="444">
        <f t="shared" ca="1" si="158"/>
        <v>-13182325187.885311</v>
      </c>
      <c r="L3961" s="444">
        <f t="shared" ca="1" si="159"/>
        <v>-3176940370280.3599</v>
      </c>
      <c r="M3961" s="460">
        <f t="shared" si="161"/>
        <v>0.05</v>
      </c>
      <c r="N3961" s="464">
        <f t="shared" si="162"/>
        <v>171605</v>
      </c>
    </row>
    <row r="3962" spans="7:14" ht="11.25" customHeight="1" x14ac:dyDescent="0.3">
      <c r="G3962" s="459"/>
      <c r="H3962" s="459">
        <v>3955</v>
      </c>
      <c r="I3962" s="444">
        <f t="shared" ca="1" si="160"/>
        <v>-3176940370280.3599</v>
      </c>
      <c r="J3962" s="444">
        <f t="array" ref="J3962">IFERROR(INDEX('Retirement Calculator'!K:K,MATCH('Lorri 401b'!N3962,'Retirement Calculator'!A:A,0),0),0)</f>
        <v>0</v>
      </c>
      <c r="K3962" s="444">
        <f t="shared" ca="1" si="158"/>
        <v>-13237251542.834833</v>
      </c>
      <c r="L3962" s="444">
        <f t="shared" ca="1" si="159"/>
        <v>-3190177621823.1948</v>
      </c>
      <c r="M3962" s="460">
        <f t="shared" si="161"/>
        <v>0.05</v>
      </c>
      <c r="N3962" s="464">
        <f t="shared" si="162"/>
        <v>171635</v>
      </c>
    </row>
    <row r="3963" spans="7:14" ht="11.25" customHeight="1" x14ac:dyDescent="0.3">
      <c r="G3963" s="459"/>
      <c r="H3963" s="459">
        <v>3956</v>
      </c>
      <c r="I3963" s="444">
        <f t="shared" ca="1" si="160"/>
        <v>-3190177621823.1948</v>
      </c>
      <c r="J3963" s="444">
        <f t="array" ref="J3963">IFERROR(INDEX('Retirement Calculator'!K:K,MATCH('Lorri 401b'!N3963,'Retirement Calculator'!A:A,0),0),0)</f>
        <v>0</v>
      </c>
      <c r="K3963" s="444">
        <f t="shared" ca="1" si="158"/>
        <v>-13292406757.596645</v>
      </c>
      <c r="L3963" s="444">
        <f t="shared" ca="1" si="159"/>
        <v>-3203470028580.7915</v>
      </c>
      <c r="M3963" s="460">
        <f t="shared" si="161"/>
        <v>0.05</v>
      </c>
      <c r="N3963" s="464">
        <f t="shared" si="162"/>
        <v>171666</v>
      </c>
    </row>
    <row r="3964" spans="7:14" ht="11.25" customHeight="1" x14ac:dyDescent="0.3">
      <c r="G3964" s="459"/>
      <c r="H3964" s="459">
        <v>3957</v>
      </c>
      <c r="I3964" s="444">
        <f t="shared" ca="1" si="160"/>
        <v>-3203470028580.7915</v>
      </c>
      <c r="J3964" s="444">
        <f t="array" ref="J3964">IFERROR(INDEX('Retirement Calculator'!K:K,MATCH('Lorri 401b'!N3964,'Retirement Calculator'!A:A,0),0),0)</f>
        <v>0</v>
      </c>
      <c r="K3964" s="444">
        <f t="shared" ca="1" si="158"/>
        <v>-13347791785.753298</v>
      </c>
      <c r="L3964" s="444">
        <f t="shared" ca="1" si="159"/>
        <v>-3216817820366.5449</v>
      </c>
      <c r="M3964" s="460">
        <f t="shared" si="161"/>
        <v>0.05</v>
      </c>
      <c r="N3964" s="464">
        <f t="shared" si="162"/>
        <v>171697</v>
      </c>
    </row>
    <row r="3965" spans="7:14" ht="11.25" customHeight="1" x14ac:dyDescent="0.3">
      <c r="G3965" s="459"/>
      <c r="H3965" s="459">
        <v>3958</v>
      </c>
      <c r="I3965" s="444">
        <f t="shared" ca="1" si="160"/>
        <v>-3216817820366.5449</v>
      </c>
      <c r="J3965" s="444">
        <f t="array" ref="J3965">IFERROR(INDEX('Retirement Calculator'!K:K,MATCH('Lorri 401b'!N3965,'Retirement Calculator'!A:A,0),0),0)</f>
        <v>0</v>
      </c>
      <c r="K3965" s="444">
        <f t="shared" ca="1" si="158"/>
        <v>-13403407584.860603</v>
      </c>
      <c r="L3965" s="444">
        <f t="shared" ca="1" si="159"/>
        <v>-3230221227951.4058</v>
      </c>
      <c r="M3965" s="460">
        <f t="shared" si="161"/>
        <v>0.05</v>
      </c>
      <c r="N3965" s="464">
        <f t="shared" si="162"/>
        <v>171725</v>
      </c>
    </row>
    <row r="3966" spans="7:14" ht="11.25" customHeight="1" x14ac:dyDescent="0.3">
      <c r="G3966" s="459"/>
      <c r="H3966" s="459">
        <v>3959</v>
      </c>
      <c r="I3966" s="444">
        <f t="shared" ca="1" si="160"/>
        <v>-3230221227951.4058</v>
      </c>
      <c r="J3966" s="444">
        <f t="array" ref="J3966">IFERROR(INDEX('Retirement Calculator'!K:K,MATCH('Lorri 401b'!N3966,'Retirement Calculator'!A:A,0),0),0)</f>
        <v>0</v>
      </c>
      <c r="K3966" s="444">
        <f t="shared" ca="1" si="158"/>
        <v>-13459255116.464191</v>
      </c>
      <c r="L3966" s="444">
        <f t="shared" ca="1" si="159"/>
        <v>-3243680483067.8701</v>
      </c>
      <c r="M3966" s="460">
        <f t="shared" si="161"/>
        <v>0.05</v>
      </c>
      <c r="N3966" s="464">
        <f t="shared" si="162"/>
        <v>171756</v>
      </c>
    </row>
    <row r="3967" spans="7:14" ht="11.25" customHeight="1" x14ac:dyDescent="0.3">
      <c r="G3967" s="459"/>
      <c r="H3967" s="459">
        <v>3960</v>
      </c>
      <c r="I3967" s="444">
        <f t="shared" ca="1" si="160"/>
        <v>-3243680483067.8701</v>
      </c>
      <c r="J3967" s="444">
        <f t="array" ref="J3967">IFERROR(INDEX('Retirement Calculator'!K:K,MATCH('Lorri 401b'!N3967,'Retirement Calculator'!A:A,0),0),0)</f>
        <v>0</v>
      </c>
      <c r="K3967" s="444">
        <f t="shared" ca="1" si="158"/>
        <v>-13515335346.116125</v>
      </c>
      <c r="L3967" s="444">
        <f t="shared" ca="1" si="159"/>
        <v>-3257195818413.9863</v>
      </c>
      <c r="M3967" s="460">
        <f t="shared" si="161"/>
        <v>0.05</v>
      </c>
      <c r="N3967" s="464">
        <f t="shared" si="162"/>
        <v>171786</v>
      </c>
    </row>
    <row r="3968" spans="7:14" ht="11.25" customHeight="1" x14ac:dyDescent="0.3">
      <c r="G3968" s="459"/>
      <c r="H3968" s="459">
        <v>3961</v>
      </c>
      <c r="I3968" s="444">
        <f t="shared" ca="1" si="160"/>
        <v>-3257195818413.9863</v>
      </c>
      <c r="J3968" s="444">
        <f t="array" ref="J3968">IFERROR(INDEX('Retirement Calculator'!K:K,MATCH('Lorri 401b'!N3968,'Retirement Calculator'!A:A,0),0),0)</f>
        <v>0</v>
      </c>
      <c r="K3968" s="444">
        <f t="shared" ca="1" si="158"/>
        <v>-13571649243.391609</v>
      </c>
      <c r="L3968" s="444">
        <f t="shared" ca="1" si="159"/>
        <v>-3270767467657.3779</v>
      </c>
      <c r="M3968" s="460">
        <f t="shared" si="161"/>
        <v>0.05</v>
      </c>
      <c r="N3968" s="464">
        <f t="shared" si="162"/>
        <v>171817</v>
      </c>
    </row>
    <row r="3969" spans="7:14" ht="11.25" customHeight="1" x14ac:dyDescent="0.3">
      <c r="G3969" s="459"/>
      <c r="H3969" s="459">
        <v>3962</v>
      </c>
      <c r="I3969" s="444">
        <f t="shared" ca="1" si="160"/>
        <v>-3270767467657.3779</v>
      </c>
      <c r="J3969" s="444">
        <f t="array" ref="J3969">IFERROR(INDEX('Retirement Calculator'!K:K,MATCH('Lorri 401b'!N3969,'Retirement Calculator'!A:A,0),0),0)</f>
        <v>0</v>
      </c>
      <c r="K3969" s="444">
        <f t="shared" ca="1" si="158"/>
        <v>-13628197781.905741</v>
      </c>
      <c r="L3969" s="444">
        <f t="shared" ca="1" si="159"/>
        <v>-3284395665439.2837</v>
      </c>
      <c r="M3969" s="460">
        <f t="shared" si="161"/>
        <v>0.05</v>
      </c>
      <c r="N3969" s="464">
        <f t="shared" si="162"/>
        <v>171847</v>
      </c>
    </row>
    <row r="3970" spans="7:14" ht="11.25" customHeight="1" x14ac:dyDescent="0.3">
      <c r="G3970" s="459"/>
      <c r="H3970" s="459">
        <v>3963</v>
      </c>
      <c r="I3970" s="444">
        <f t="shared" ca="1" si="160"/>
        <v>-3284395665439.2837</v>
      </c>
      <c r="J3970" s="444">
        <f t="array" ref="J3970">IFERROR(INDEX('Retirement Calculator'!K:K,MATCH('Lorri 401b'!N3970,'Retirement Calculator'!A:A,0),0),0)</f>
        <v>0</v>
      </c>
      <c r="K3970" s="444">
        <f t="shared" ca="1" si="158"/>
        <v>-13684981939.330349</v>
      </c>
      <c r="L3970" s="444">
        <f t="shared" ca="1" si="159"/>
        <v>-3298080647378.6143</v>
      </c>
      <c r="M3970" s="460">
        <f t="shared" si="161"/>
        <v>0.05</v>
      </c>
      <c r="N3970" s="464">
        <f t="shared" si="162"/>
        <v>171878</v>
      </c>
    </row>
    <row r="3971" spans="7:14" ht="11.25" customHeight="1" x14ac:dyDescent="0.3">
      <c r="G3971" s="459"/>
      <c r="H3971" s="459">
        <v>3964</v>
      </c>
      <c r="I3971" s="444">
        <f t="shared" ca="1" si="160"/>
        <v>-3298080647378.6143</v>
      </c>
      <c r="J3971" s="444">
        <f t="array" ref="J3971">IFERROR(INDEX('Retirement Calculator'!K:K,MATCH('Lorri 401b'!N3971,'Retirement Calculator'!A:A,0),0),0)</f>
        <v>0</v>
      </c>
      <c r="K3971" s="444">
        <f t="shared" ca="1" si="158"/>
        <v>-13742002697.410892</v>
      </c>
      <c r="L3971" s="444">
        <f t="shared" ca="1" si="159"/>
        <v>-3311822650076.0254</v>
      </c>
      <c r="M3971" s="460">
        <f t="shared" si="161"/>
        <v>0.05</v>
      </c>
      <c r="N3971" s="464">
        <f t="shared" si="162"/>
        <v>171909</v>
      </c>
    </row>
    <row r="3972" spans="7:14" ht="11.25" customHeight="1" x14ac:dyDescent="0.3">
      <c r="G3972" s="459"/>
      <c r="H3972" s="459">
        <v>3965</v>
      </c>
      <c r="I3972" s="444">
        <f t="shared" ca="1" si="160"/>
        <v>-3311822650076.0254</v>
      </c>
      <c r="J3972" s="444">
        <f t="array" ref="J3972">IFERROR(INDEX('Retirement Calculator'!K:K,MATCH('Lorri 401b'!N3972,'Retirement Calculator'!A:A,0),0),0)</f>
        <v>0</v>
      </c>
      <c r="K3972" s="444">
        <f t="shared" ca="1" si="158"/>
        <v>-13799261041.983438</v>
      </c>
      <c r="L3972" s="444">
        <f t="shared" ca="1" si="159"/>
        <v>-3325621911118.0088</v>
      </c>
      <c r="M3972" s="460">
        <f t="shared" si="161"/>
        <v>0.05</v>
      </c>
      <c r="N3972" s="464">
        <f t="shared" si="162"/>
        <v>171939</v>
      </c>
    </row>
    <row r="3973" spans="7:14" ht="11.25" customHeight="1" x14ac:dyDescent="0.3">
      <c r="G3973" s="459"/>
      <c r="H3973" s="459">
        <v>3966</v>
      </c>
      <c r="I3973" s="444">
        <f t="shared" ca="1" si="160"/>
        <v>-3325621911118.0088</v>
      </c>
      <c r="J3973" s="444">
        <f t="array" ref="J3973">IFERROR(INDEX('Retirement Calculator'!K:K,MATCH('Lorri 401b'!N3973,'Retirement Calculator'!A:A,0),0),0)</f>
        <v>0</v>
      </c>
      <c r="K3973" s="444">
        <f t="shared" ca="1" si="158"/>
        <v>-13856757962.991703</v>
      </c>
      <c r="L3973" s="444">
        <f t="shared" ca="1" si="159"/>
        <v>-3339478669081.0005</v>
      </c>
      <c r="M3973" s="460">
        <f t="shared" si="161"/>
        <v>0.05</v>
      </c>
      <c r="N3973" s="464">
        <f t="shared" si="162"/>
        <v>171970</v>
      </c>
    </row>
    <row r="3974" spans="7:14" ht="11.25" customHeight="1" x14ac:dyDescent="0.3">
      <c r="G3974" s="459"/>
      <c r="H3974" s="459">
        <v>3967</v>
      </c>
      <c r="I3974" s="444">
        <f t="shared" ca="1" si="160"/>
        <v>-3339478669081.0005</v>
      </c>
      <c r="J3974" s="444">
        <f t="array" ref="J3974">IFERROR(INDEX('Retirement Calculator'!K:K,MATCH('Lorri 401b'!N3974,'Retirement Calculator'!A:A,0),0),0)</f>
        <v>0</v>
      </c>
      <c r="K3974" s="444">
        <f t="shared" ca="1" si="158"/>
        <v>-13914494454.504168</v>
      </c>
      <c r="L3974" s="444">
        <f t="shared" ca="1" si="159"/>
        <v>-3353393163535.5049</v>
      </c>
      <c r="M3974" s="460">
        <f t="shared" si="161"/>
        <v>0.05</v>
      </c>
      <c r="N3974" s="464">
        <f t="shared" si="162"/>
        <v>172000</v>
      </c>
    </row>
    <row r="3975" spans="7:14" ht="11.25" customHeight="1" x14ac:dyDescent="0.3">
      <c r="G3975" s="459"/>
      <c r="H3975" s="459">
        <v>3968</v>
      </c>
      <c r="I3975" s="444">
        <f t="shared" ca="1" si="160"/>
        <v>-3353393163535.5049</v>
      </c>
      <c r="J3975" s="444">
        <f t="array" ref="J3975">IFERROR(INDEX('Retirement Calculator'!K:K,MATCH('Lorri 401b'!N3975,'Retirement Calculator'!A:A,0),0),0)</f>
        <v>0</v>
      </c>
      <c r="K3975" s="444">
        <f t="shared" ca="1" si="158"/>
        <v>-13972471514.73127</v>
      </c>
      <c r="L3975" s="444">
        <f t="shared" ca="1" si="159"/>
        <v>-3367365635050.2363</v>
      </c>
      <c r="M3975" s="460">
        <f t="shared" si="161"/>
        <v>0.05</v>
      </c>
      <c r="N3975" s="464">
        <f t="shared" si="162"/>
        <v>172031</v>
      </c>
    </row>
    <row r="3976" spans="7:14" ht="11.25" customHeight="1" x14ac:dyDescent="0.3">
      <c r="G3976" s="459"/>
      <c r="H3976" s="459">
        <v>3969</v>
      </c>
      <c r="I3976" s="444">
        <f t="shared" ca="1" si="160"/>
        <v>-3367365635050.2363</v>
      </c>
      <c r="J3976" s="444">
        <f t="array" ref="J3976">IFERROR(INDEX('Retirement Calculator'!K:K,MATCH('Lorri 401b'!N3976,'Retirement Calculator'!A:A,0),0),0)</f>
        <v>0</v>
      </c>
      <c r="K3976" s="444">
        <f t="shared" ca="1" si="158"/>
        <v>-14030690146.04265</v>
      </c>
      <c r="L3976" s="444">
        <f t="shared" ca="1" si="159"/>
        <v>-3381396325196.2788</v>
      </c>
      <c r="M3976" s="460">
        <f t="shared" si="161"/>
        <v>0.05</v>
      </c>
      <c r="N3976" s="464">
        <f t="shared" si="162"/>
        <v>172062</v>
      </c>
    </row>
    <row r="3977" spans="7:14" ht="11.25" customHeight="1" x14ac:dyDescent="0.3">
      <c r="G3977" s="459"/>
      <c r="H3977" s="459">
        <v>3970</v>
      </c>
      <c r="I3977" s="444">
        <f t="shared" ca="1" si="160"/>
        <v>-3381396325196.2788</v>
      </c>
      <c r="J3977" s="444">
        <f t="array" ref="J3977">IFERROR(INDEX('Retirement Calculator'!K:K,MATCH('Lorri 401b'!N3977,'Retirement Calculator'!A:A,0),0),0)</f>
        <v>0</v>
      </c>
      <c r="K3977" s="444">
        <f t="shared" ca="1" si="158"/>
        <v>-14089151354.984495</v>
      </c>
      <c r="L3977" s="444">
        <f t="shared" ca="1" si="159"/>
        <v>-3395485476551.2632</v>
      </c>
      <c r="M3977" s="460">
        <f t="shared" si="161"/>
        <v>0.05</v>
      </c>
      <c r="N3977" s="464">
        <f t="shared" si="162"/>
        <v>172090</v>
      </c>
    </row>
    <row r="3978" spans="7:14" ht="11.25" customHeight="1" x14ac:dyDescent="0.3">
      <c r="G3978" s="459"/>
      <c r="H3978" s="459">
        <v>3971</v>
      </c>
      <c r="I3978" s="444">
        <f t="shared" ca="1" si="160"/>
        <v>-3395485476551.2632</v>
      </c>
      <c r="J3978" s="444">
        <f t="array" ref="J3978">IFERROR(INDEX('Retirement Calculator'!K:K,MATCH('Lorri 401b'!N3978,'Retirement Calculator'!A:A,0),0),0)</f>
        <v>0</v>
      </c>
      <c r="K3978" s="444">
        <f t="shared" ca="1" si="158"/>
        <v>-14147856152.29693</v>
      </c>
      <c r="L3978" s="444">
        <f t="shared" ca="1" si="159"/>
        <v>-3409633332703.5601</v>
      </c>
      <c r="M3978" s="460">
        <f t="shared" si="161"/>
        <v>0.05</v>
      </c>
      <c r="N3978" s="464">
        <f t="shared" si="162"/>
        <v>172121</v>
      </c>
    </row>
    <row r="3979" spans="7:14" ht="11.25" customHeight="1" x14ac:dyDescent="0.3">
      <c r="G3979" s="459"/>
      <c r="H3979" s="459">
        <v>3972</v>
      </c>
      <c r="I3979" s="444">
        <f t="shared" ca="1" si="160"/>
        <v>-3409633332703.5601</v>
      </c>
      <c r="J3979" s="444">
        <f t="array" ref="J3979">IFERROR(INDEX('Retirement Calculator'!K:K,MATCH('Lorri 401b'!N3979,'Retirement Calculator'!A:A,0),0),0)</f>
        <v>0</v>
      </c>
      <c r="K3979" s="444">
        <f t="shared" ca="1" si="158"/>
        <v>-14206805552.931499</v>
      </c>
      <c r="L3979" s="444">
        <f t="shared" ca="1" si="159"/>
        <v>-3423840138256.4917</v>
      </c>
      <c r="M3979" s="460">
        <f t="shared" si="161"/>
        <v>0.05</v>
      </c>
      <c r="N3979" s="464">
        <f t="shared" si="162"/>
        <v>172151</v>
      </c>
    </row>
    <row r="3980" spans="7:14" ht="11.25" customHeight="1" x14ac:dyDescent="0.3">
      <c r="G3980" s="459"/>
      <c r="H3980" s="459">
        <v>3973</v>
      </c>
      <c r="I3980" s="444">
        <f t="shared" ca="1" si="160"/>
        <v>-3423840138256.4917</v>
      </c>
      <c r="J3980" s="444">
        <f t="array" ref="J3980">IFERROR(INDEX('Retirement Calculator'!K:K,MATCH('Lorri 401b'!N3980,'Retirement Calculator'!A:A,0),0),0)</f>
        <v>0</v>
      </c>
      <c r="K3980" s="444">
        <f t="shared" ca="1" si="158"/>
        <v>-14266000576.068716</v>
      </c>
      <c r="L3980" s="444">
        <f t="shared" ca="1" si="159"/>
        <v>-3438106138832.5605</v>
      </c>
      <c r="M3980" s="460">
        <f t="shared" si="161"/>
        <v>0.05</v>
      </c>
      <c r="N3980" s="464">
        <f t="shared" si="162"/>
        <v>172182</v>
      </c>
    </row>
    <row r="3981" spans="7:14" ht="11.25" customHeight="1" x14ac:dyDescent="0.3">
      <c r="G3981" s="459"/>
      <c r="H3981" s="459">
        <v>3974</v>
      </c>
      <c r="I3981" s="444">
        <f t="shared" ca="1" si="160"/>
        <v>-3438106138832.5605</v>
      </c>
      <c r="J3981" s="444">
        <f t="array" ref="J3981">IFERROR(INDEX('Retirement Calculator'!K:K,MATCH('Lorri 401b'!N3981,'Retirement Calculator'!A:A,0),0),0)</f>
        <v>0</v>
      </c>
      <c r="K3981" s="444">
        <f t="shared" ca="1" si="158"/>
        <v>-14325442245.135668</v>
      </c>
      <c r="L3981" s="444">
        <f t="shared" ca="1" si="159"/>
        <v>-3452431581077.6963</v>
      </c>
      <c r="M3981" s="460">
        <f t="shared" si="161"/>
        <v>0.05</v>
      </c>
      <c r="N3981" s="464">
        <f t="shared" si="162"/>
        <v>172212</v>
      </c>
    </row>
    <row r="3982" spans="7:14" ht="11.25" customHeight="1" x14ac:dyDescent="0.3">
      <c r="G3982" s="459"/>
      <c r="H3982" s="459">
        <v>3975</v>
      </c>
      <c r="I3982" s="444">
        <f t="shared" ca="1" si="160"/>
        <v>-3452431581077.6963</v>
      </c>
      <c r="J3982" s="444">
        <f t="array" ref="J3982">IFERROR(INDEX('Retirement Calculator'!K:K,MATCH('Lorri 401b'!N3982,'Retirement Calculator'!A:A,0),0),0)</f>
        <v>0</v>
      </c>
      <c r="K3982" s="444">
        <f t="shared" ca="1" si="158"/>
        <v>-14385131587.823736</v>
      </c>
      <c r="L3982" s="444">
        <f t="shared" ca="1" si="159"/>
        <v>-3466816712665.52</v>
      </c>
      <c r="M3982" s="460">
        <f t="shared" si="161"/>
        <v>0.05</v>
      </c>
      <c r="N3982" s="464">
        <f t="shared" si="162"/>
        <v>172243</v>
      </c>
    </row>
    <row r="3983" spans="7:14" ht="11.25" customHeight="1" x14ac:dyDescent="0.3">
      <c r="G3983" s="459"/>
      <c r="H3983" s="459">
        <v>3976</v>
      </c>
      <c r="I3983" s="444">
        <f t="shared" ca="1" si="160"/>
        <v>-3466816712665.52</v>
      </c>
      <c r="J3983" s="444">
        <f t="array" ref="J3983">IFERROR(INDEX('Retirement Calculator'!K:K,MATCH('Lorri 401b'!N3983,'Retirement Calculator'!A:A,0),0),0)</f>
        <v>0</v>
      </c>
      <c r="K3983" s="444">
        <f t="shared" ca="1" si="158"/>
        <v>-14445069636.106333</v>
      </c>
      <c r="L3983" s="444">
        <f t="shared" ca="1" si="159"/>
        <v>-3481261782301.6265</v>
      </c>
      <c r="M3983" s="460">
        <f t="shared" si="161"/>
        <v>0.05</v>
      </c>
      <c r="N3983" s="464">
        <f t="shared" si="162"/>
        <v>172274</v>
      </c>
    </row>
    <row r="3984" spans="7:14" ht="11.25" customHeight="1" x14ac:dyDescent="0.3">
      <c r="G3984" s="459"/>
      <c r="H3984" s="459">
        <v>3977</v>
      </c>
      <c r="I3984" s="444">
        <f t="shared" ca="1" si="160"/>
        <v>-3481261782301.6265</v>
      </c>
      <c r="J3984" s="444">
        <f t="array" ref="J3984">IFERROR(INDEX('Retirement Calculator'!K:K,MATCH('Lorri 401b'!N3984,'Retirement Calculator'!A:A,0),0),0)</f>
        <v>0</v>
      </c>
      <c r="K3984" s="444">
        <f t="shared" ca="1" si="158"/>
        <v>-14505257426.256777</v>
      </c>
      <c r="L3984" s="444">
        <f t="shared" ca="1" si="159"/>
        <v>-3495767039727.8833</v>
      </c>
      <c r="M3984" s="460">
        <f t="shared" si="161"/>
        <v>0.05</v>
      </c>
      <c r="N3984" s="464">
        <f t="shared" si="162"/>
        <v>172304</v>
      </c>
    </row>
    <row r="3985" spans="7:14" ht="11.25" customHeight="1" x14ac:dyDescent="0.3">
      <c r="G3985" s="459"/>
      <c r="H3985" s="459">
        <v>3978</v>
      </c>
      <c r="I3985" s="444">
        <f t="shared" ca="1" si="160"/>
        <v>-3495767039727.8833</v>
      </c>
      <c r="J3985" s="444">
        <f t="array" ref="J3985">IFERROR(INDEX('Retirement Calculator'!K:K,MATCH('Lorri 401b'!N3985,'Retirement Calculator'!A:A,0),0),0)</f>
        <v>0</v>
      </c>
      <c r="K3985" s="444">
        <f t="shared" ca="1" si="158"/>
        <v>-14565695998.866179</v>
      </c>
      <c r="L3985" s="444">
        <f t="shared" ca="1" si="159"/>
        <v>-3510332735726.7495</v>
      </c>
      <c r="M3985" s="460">
        <f t="shared" si="161"/>
        <v>0.05</v>
      </c>
      <c r="N3985" s="464">
        <f t="shared" si="162"/>
        <v>172335</v>
      </c>
    </row>
    <row r="3986" spans="7:14" ht="11.25" customHeight="1" x14ac:dyDescent="0.3">
      <c r="G3986" s="459"/>
      <c r="H3986" s="459">
        <v>3979</v>
      </c>
      <c r="I3986" s="444">
        <f t="shared" ca="1" si="160"/>
        <v>-3510332735726.7495</v>
      </c>
      <c r="J3986" s="444">
        <f t="array" ref="J3986">IFERROR(INDEX('Retirement Calculator'!K:K,MATCH('Lorri 401b'!N3986,'Retirement Calculator'!A:A,0),0),0)</f>
        <v>0</v>
      </c>
      <c r="K3986" s="444">
        <f t="shared" ca="1" si="158"/>
        <v>-14626386398.861456</v>
      </c>
      <c r="L3986" s="444">
        <f t="shared" ca="1" si="159"/>
        <v>-3524959122125.6108</v>
      </c>
      <c r="M3986" s="460">
        <f t="shared" si="161"/>
        <v>0.05</v>
      </c>
      <c r="N3986" s="464">
        <f t="shared" si="162"/>
        <v>172365</v>
      </c>
    </row>
    <row r="3987" spans="7:14" ht="11.25" customHeight="1" x14ac:dyDescent="0.3">
      <c r="G3987" s="459"/>
      <c r="H3987" s="459">
        <v>3980</v>
      </c>
      <c r="I3987" s="444">
        <f t="shared" ca="1" si="160"/>
        <v>-3524959122125.6108</v>
      </c>
      <c r="J3987" s="444">
        <f t="array" ref="J3987">IFERROR(INDEX('Retirement Calculator'!K:K,MATCH('Lorri 401b'!N3987,'Retirement Calculator'!A:A,0),0),0)</f>
        <v>0</v>
      </c>
      <c r="K3987" s="444">
        <f t="shared" ca="1" si="158"/>
        <v>-14687329675.523378</v>
      </c>
      <c r="L3987" s="444">
        <f t="shared" ca="1" si="159"/>
        <v>-3539646451801.1343</v>
      </c>
      <c r="M3987" s="460">
        <f t="shared" si="161"/>
        <v>0.05</v>
      </c>
      <c r="N3987" s="464">
        <f t="shared" si="162"/>
        <v>172396</v>
      </c>
    </row>
    <row r="3988" spans="7:14" ht="11.25" customHeight="1" x14ac:dyDescent="0.3">
      <c r="G3988" s="459"/>
      <c r="H3988" s="459">
        <v>3981</v>
      </c>
      <c r="I3988" s="444">
        <f t="shared" ca="1" si="160"/>
        <v>-3539646451801.1343</v>
      </c>
      <c r="J3988" s="444">
        <f t="array" ref="J3988">IFERROR(INDEX('Retirement Calculator'!K:K,MATCH('Lorri 401b'!N3988,'Retirement Calculator'!A:A,0),0),0)</f>
        <v>0</v>
      </c>
      <c r="K3988" s="444">
        <f t="shared" ca="1" si="158"/>
        <v>-14748526882.504725</v>
      </c>
      <c r="L3988" s="444">
        <f t="shared" ca="1" si="159"/>
        <v>-3554394978683.6392</v>
      </c>
      <c r="M3988" s="460">
        <f t="shared" si="161"/>
        <v>0.05</v>
      </c>
      <c r="N3988" s="464">
        <f t="shared" si="162"/>
        <v>172427</v>
      </c>
    </row>
    <row r="3989" spans="7:14" ht="11.25" customHeight="1" x14ac:dyDescent="0.3">
      <c r="G3989" s="459"/>
      <c r="H3989" s="459">
        <v>3982</v>
      </c>
      <c r="I3989" s="444">
        <f t="shared" ca="1" si="160"/>
        <v>-3554394978683.6392</v>
      </c>
      <c r="J3989" s="444">
        <f t="array" ref="J3989">IFERROR(INDEX('Retirement Calculator'!K:K,MATCH('Lorri 401b'!N3989,'Retirement Calculator'!A:A,0),0),0)</f>
        <v>0</v>
      </c>
      <c r="K3989" s="444">
        <f t="shared" ca="1" si="158"/>
        <v>-14809979077.848495</v>
      </c>
      <c r="L3989" s="444">
        <f t="shared" ca="1" si="159"/>
        <v>-3569204957761.4878</v>
      </c>
      <c r="M3989" s="460">
        <f t="shared" si="161"/>
        <v>0.05</v>
      </c>
      <c r="N3989" s="464">
        <f t="shared" si="162"/>
        <v>172456</v>
      </c>
    </row>
    <row r="3990" spans="7:14" ht="11.25" customHeight="1" x14ac:dyDescent="0.3">
      <c r="G3990" s="459"/>
      <c r="H3990" s="459">
        <v>3983</v>
      </c>
      <c r="I3990" s="444">
        <f t="shared" ca="1" si="160"/>
        <v>-3569204957761.4878</v>
      </c>
      <c r="J3990" s="444">
        <f t="array" ref="J3990">IFERROR(INDEX('Retirement Calculator'!K:K,MATCH('Lorri 401b'!N3990,'Retirement Calculator'!A:A,0),0),0)</f>
        <v>0</v>
      </c>
      <c r="K3990" s="444">
        <f t="shared" ca="1" si="158"/>
        <v>-14871687324.006201</v>
      </c>
      <c r="L3990" s="444">
        <f t="shared" ca="1" si="159"/>
        <v>-3584076645085.4941</v>
      </c>
      <c r="M3990" s="460">
        <f t="shared" si="161"/>
        <v>0.05</v>
      </c>
      <c r="N3990" s="464">
        <f t="shared" si="162"/>
        <v>172487</v>
      </c>
    </row>
    <row r="3991" spans="7:14" ht="11.25" customHeight="1" x14ac:dyDescent="0.3">
      <c r="G3991" s="459"/>
      <c r="H3991" s="459">
        <v>3984</v>
      </c>
      <c r="I3991" s="444">
        <f t="shared" ca="1" si="160"/>
        <v>-3584076645085.4941</v>
      </c>
      <c r="J3991" s="444">
        <f t="array" ref="J3991">IFERROR(INDEX('Retirement Calculator'!K:K,MATCH('Lorri 401b'!N3991,'Retirement Calculator'!A:A,0),0),0)</f>
        <v>0</v>
      </c>
      <c r="K3991" s="444">
        <f t="shared" ca="1" si="158"/>
        <v>-14933652687.856226</v>
      </c>
      <c r="L3991" s="444">
        <f t="shared" ca="1" si="159"/>
        <v>-3599010297773.3506</v>
      </c>
      <c r="M3991" s="460">
        <f t="shared" si="161"/>
        <v>0.05</v>
      </c>
      <c r="N3991" s="464">
        <f t="shared" si="162"/>
        <v>172517</v>
      </c>
    </row>
    <row r="3992" spans="7:14" ht="11.25" customHeight="1" x14ac:dyDescent="0.3">
      <c r="G3992" s="459"/>
      <c r="H3992" s="459">
        <v>3985</v>
      </c>
      <c r="I3992" s="444">
        <f t="shared" ca="1" si="160"/>
        <v>-3599010297773.3506</v>
      </c>
      <c r="J3992" s="444">
        <f t="array" ref="J3992">IFERROR(INDEX('Retirement Calculator'!K:K,MATCH('Lorri 401b'!N3992,'Retirement Calculator'!A:A,0),0),0)</f>
        <v>0</v>
      </c>
      <c r="K3992" s="444">
        <f t="shared" ca="1" si="158"/>
        <v>-14995876240.722294</v>
      </c>
      <c r="L3992" s="444">
        <f t="shared" ca="1" si="159"/>
        <v>-3614006174014.0728</v>
      </c>
      <c r="M3992" s="460">
        <f t="shared" si="161"/>
        <v>0.05</v>
      </c>
      <c r="N3992" s="464">
        <f t="shared" si="162"/>
        <v>172548</v>
      </c>
    </row>
    <row r="3993" spans="7:14" ht="11.25" customHeight="1" x14ac:dyDescent="0.3">
      <c r="G3993" s="459"/>
      <c r="H3993" s="459">
        <v>3986</v>
      </c>
      <c r="I3993" s="444">
        <f t="shared" ca="1" si="160"/>
        <v>-3614006174014.0728</v>
      </c>
      <c r="J3993" s="444">
        <f t="array" ref="J3993">IFERROR(INDEX('Retirement Calculator'!K:K,MATCH('Lorri 401b'!N3993,'Retirement Calculator'!A:A,0),0),0)</f>
        <v>0</v>
      </c>
      <c r="K3993" s="444">
        <f t="shared" ca="1" si="158"/>
        <v>-15058359058.39197</v>
      </c>
      <c r="L3993" s="444">
        <f t="shared" ca="1" si="159"/>
        <v>-3629064533072.4648</v>
      </c>
      <c r="M3993" s="460">
        <f t="shared" si="161"/>
        <v>0.05</v>
      </c>
      <c r="N3993" s="464">
        <f t="shared" si="162"/>
        <v>172578</v>
      </c>
    </row>
    <row r="3994" spans="7:14" ht="11.25" customHeight="1" x14ac:dyDescent="0.3">
      <c r="G3994" s="459"/>
      <c r="H3994" s="459">
        <v>3987</v>
      </c>
      <c r="I3994" s="444">
        <f t="shared" ca="1" si="160"/>
        <v>-3629064533072.4648</v>
      </c>
      <c r="J3994" s="444">
        <f t="array" ref="J3994">IFERROR(INDEX('Retirement Calculator'!K:K,MATCH('Lorri 401b'!N3994,'Retirement Calculator'!A:A,0),0),0)</f>
        <v>0</v>
      </c>
      <c r="K3994" s="444">
        <f t="shared" ca="1" si="158"/>
        <v>-15121102221.135269</v>
      </c>
      <c r="L3994" s="444">
        <f t="shared" ca="1" si="159"/>
        <v>-3644185635293.6001</v>
      </c>
      <c r="M3994" s="460">
        <f t="shared" si="161"/>
        <v>0.05</v>
      </c>
      <c r="N3994" s="464">
        <f t="shared" si="162"/>
        <v>172609</v>
      </c>
    </row>
    <row r="3995" spans="7:14" ht="11.25" customHeight="1" x14ac:dyDescent="0.3">
      <c r="G3995" s="459"/>
      <c r="H3995" s="459">
        <v>3988</v>
      </c>
      <c r="I3995" s="444">
        <f t="shared" ca="1" si="160"/>
        <v>-3644185635293.6001</v>
      </c>
      <c r="J3995" s="444">
        <f t="array" ref="J3995">IFERROR(INDEX('Retirement Calculator'!K:K,MATCH('Lorri 401b'!N3995,'Retirement Calculator'!A:A,0),0),0)</f>
        <v>0</v>
      </c>
      <c r="K3995" s="444">
        <f t="shared" ca="1" si="158"/>
        <v>-15184106813.723331</v>
      </c>
      <c r="L3995" s="444">
        <f t="shared" ca="1" si="159"/>
        <v>-3659369742107.3232</v>
      </c>
      <c r="M3995" s="460">
        <f t="shared" si="161"/>
        <v>0.05</v>
      </c>
      <c r="N3995" s="464">
        <f t="shared" si="162"/>
        <v>172640</v>
      </c>
    </row>
    <row r="3996" spans="7:14" ht="11.25" customHeight="1" x14ac:dyDescent="0.3">
      <c r="G3996" s="459"/>
      <c r="H3996" s="459">
        <v>3989</v>
      </c>
      <c r="I3996" s="444">
        <f t="shared" ca="1" si="160"/>
        <v>-3659369742107.3232</v>
      </c>
      <c r="J3996" s="444">
        <f t="array" ref="J3996">IFERROR(INDEX('Retirement Calculator'!K:K,MATCH('Lorri 401b'!N3996,'Retirement Calculator'!A:A,0),0),0)</f>
        <v>0</v>
      </c>
      <c r="K3996" s="444">
        <f t="shared" ca="1" si="158"/>
        <v>-15247373925.44718</v>
      </c>
      <c r="L3996" s="444">
        <f t="shared" ca="1" si="159"/>
        <v>-3674617116032.7705</v>
      </c>
      <c r="M3996" s="460">
        <f t="shared" si="161"/>
        <v>0.05</v>
      </c>
      <c r="N3996" s="464">
        <f t="shared" si="162"/>
        <v>172670</v>
      </c>
    </row>
    <row r="3997" spans="7:14" ht="11.25" customHeight="1" x14ac:dyDescent="0.3">
      <c r="G3997" s="459"/>
      <c r="H3997" s="459">
        <v>3990</v>
      </c>
      <c r="I3997" s="444">
        <f t="shared" ca="1" si="160"/>
        <v>-3674617116032.7705</v>
      </c>
      <c r="J3997" s="444">
        <f t="array" ref="J3997">IFERROR(INDEX('Retirement Calculator'!K:K,MATCH('Lorri 401b'!N3997,'Retirement Calculator'!A:A,0),0),0)</f>
        <v>0</v>
      </c>
      <c r="K3997" s="444">
        <f t="shared" ca="1" si="158"/>
        <v>-15310904650.136541</v>
      </c>
      <c r="L3997" s="444">
        <f t="shared" ca="1" si="159"/>
        <v>-3689928020682.9072</v>
      </c>
      <c r="M3997" s="460">
        <f t="shared" si="161"/>
        <v>0.05</v>
      </c>
      <c r="N3997" s="464">
        <f t="shared" si="162"/>
        <v>172701</v>
      </c>
    </row>
    <row r="3998" spans="7:14" ht="11.25" customHeight="1" x14ac:dyDescent="0.3">
      <c r="G3998" s="459"/>
      <c r="H3998" s="459">
        <v>3991</v>
      </c>
      <c r="I3998" s="444">
        <f t="shared" ca="1" si="160"/>
        <v>-3689928020682.9072</v>
      </c>
      <c r="J3998" s="444">
        <f t="array" ref="J3998">IFERROR(INDEX('Retirement Calculator'!K:K,MATCH('Lorri 401b'!N3998,'Retirement Calculator'!A:A,0),0),0)</f>
        <v>0</v>
      </c>
      <c r="K3998" s="444">
        <f t="shared" ca="1" si="158"/>
        <v>-15374700086.17878</v>
      </c>
      <c r="L3998" s="444">
        <f t="shared" ca="1" si="159"/>
        <v>-3705302720769.0859</v>
      </c>
      <c r="M3998" s="460">
        <f t="shared" si="161"/>
        <v>0.05</v>
      </c>
      <c r="N3998" s="464">
        <f t="shared" si="162"/>
        <v>172731</v>
      </c>
    </row>
    <row r="3999" spans="7:14" ht="11.25" customHeight="1" x14ac:dyDescent="0.3">
      <c r="G3999" s="459"/>
      <c r="H3999" s="459">
        <v>3992</v>
      </c>
      <c r="I3999" s="444">
        <f t="shared" ca="1" si="160"/>
        <v>-3705302720769.0859</v>
      </c>
      <c r="J3999" s="444">
        <f t="array" ref="J3999">IFERROR(INDEX('Retirement Calculator'!K:K,MATCH('Lorri 401b'!N3999,'Retirement Calculator'!A:A,0),0),0)</f>
        <v>0</v>
      </c>
      <c r="K3999" s="444">
        <f t="shared" ca="1" si="158"/>
        <v>-15438761336.537855</v>
      </c>
      <c r="L3999" s="444">
        <f t="shared" ca="1" si="159"/>
        <v>-3720741482105.624</v>
      </c>
      <c r="M3999" s="460">
        <f t="shared" si="161"/>
        <v>0.05</v>
      </c>
      <c r="N3999" s="464">
        <f t="shared" si="162"/>
        <v>172762</v>
      </c>
    </row>
    <row r="4000" spans="7:14" ht="11.25" customHeight="1" x14ac:dyDescent="0.3">
      <c r="G4000" s="459"/>
      <c r="H4000" s="459">
        <v>3993</v>
      </c>
      <c r="I4000" s="444">
        <f t="shared" ca="1" si="160"/>
        <v>-3720741482105.624</v>
      </c>
      <c r="J4000" s="444">
        <f t="array" ref="J4000">IFERROR(INDEX('Retirement Calculator'!K:K,MATCH('Lorri 401b'!N4000,'Retirement Calculator'!A:A,0),0),0)</f>
        <v>0</v>
      </c>
      <c r="K4000" s="444">
        <f t="shared" ca="1" si="158"/>
        <v>-15503089508.773436</v>
      </c>
      <c r="L4000" s="444">
        <f t="shared" ca="1" si="159"/>
        <v>-3736244571614.3975</v>
      </c>
      <c r="M4000" s="460">
        <f t="shared" si="161"/>
        <v>0.05</v>
      </c>
      <c r="N4000" s="464">
        <f t="shared" si="162"/>
        <v>172793</v>
      </c>
    </row>
    <row r="4001" spans="7:14" ht="11.25" customHeight="1" x14ac:dyDescent="0.3">
      <c r="G4001" s="459"/>
      <c r="H4001" s="459">
        <v>3994</v>
      </c>
      <c r="I4001" s="444">
        <f t="shared" ca="1" si="160"/>
        <v>-3736244571614.3975</v>
      </c>
      <c r="J4001" s="444">
        <f t="array" ref="J4001">IFERROR(INDEX('Retirement Calculator'!K:K,MATCH('Lorri 401b'!N4001,'Retirement Calculator'!A:A,0),0),0)</f>
        <v>0</v>
      </c>
      <c r="K4001" s="444">
        <f t="shared" ca="1" si="158"/>
        <v>-15567685715.059988</v>
      </c>
      <c r="L4001" s="444">
        <f t="shared" ca="1" si="159"/>
        <v>-3751812257329.4575</v>
      </c>
      <c r="M4001" s="460">
        <f t="shared" si="161"/>
        <v>0.05</v>
      </c>
      <c r="N4001" s="464">
        <f t="shared" si="162"/>
        <v>172821</v>
      </c>
    </row>
    <row r="4002" spans="7:14" ht="11.25" customHeight="1" x14ac:dyDescent="0.3">
      <c r="G4002" s="459"/>
      <c r="H4002" s="459">
        <v>3995</v>
      </c>
      <c r="I4002" s="444">
        <f t="shared" ca="1" si="160"/>
        <v>-3751812257329.4575</v>
      </c>
      <c r="J4002" s="444">
        <f t="array" ref="J4002">IFERROR(INDEX('Retirement Calculator'!K:K,MATCH('Lorri 401b'!N4002,'Retirement Calculator'!A:A,0),0),0)</f>
        <v>0</v>
      </c>
      <c r="K4002" s="444">
        <f t="shared" ca="1" si="158"/>
        <v>-15632551072.206072</v>
      </c>
      <c r="L4002" s="444">
        <f t="shared" ca="1" si="159"/>
        <v>-3767444808401.6636</v>
      </c>
      <c r="M4002" s="460">
        <f t="shared" si="161"/>
        <v>0.05</v>
      </c>
      <c r="N4002" s="464">
        <f t="shared" si="162"/>
        <v>172852</v>
      </c>
    </row>
    <row r="4003" spans="7:14" ht="11.25" customHeight="1" x14ac:dyDescent="0.3">
      <c r="G4003" s="459"/>
      <c r="H4003" s="459">
        <v>3996</v>
      </c>
      <c r="I4003" s="444">
        <f t="shared" ca="1" si="160"/>
        <v>-3767444808401.6636</v>
      </c>
      <c r="J4003" s="444">
        <f t="array" ref="J4003">IFERROR(INDEX('Retirement Calculator'!K:K,MATCH('Lorri 401b'!N4003,'Retirement Calculator'!A:A,0),0),0)</f>
        <v>0</v>
      </c>
      <c r="K4003" s="444">
        <f t="shared" ca="1" si="158"/>
        <v>-15697686701.673597</v>
      </c>
      <c r="L4003" s="444">
        <f t="shared" ca="1" si="159"/>
        <v>-3783142495103.3374</v>
      </c>
      <c r="M4003" s="460">
        <f t="shared" si="161"/>
        <v>0.05</v>
      </c>
      <c r="N4003" s="464">
        <f t="shared" si="162"/>
        <v>172882</v>
      </c>
    </row>
    <row r="4004" spans="7:14" ht="11.25" customHeight="1" x14ac:dyDescent="0.3">
      <c r="G4004" s="459"/>
      <c r="H4004" s="459">
        <v>3997</v>
      </c>
      <c r="I4004" s="444">
        <f t="shared" ca="1" si="160"/>
        <v>-3783142495103.3374</v>
      </c>
      <c r="J4004" s="444">
        <f t="array" ref="J4004">IFERROR(INDEX('Retirement Calculator'!K:K,MATCH('Lorri 401b'!N4004,'Retirement Calculator'!A:A,0),0),0)</f>
        <v>0</v>
      </c>
      <c r="K4004" s="444">
        <f t="shared" ca="1" si="158"/>
        <v>-15763093729.597237</v>
      </c>
      <c r="L4004" s="444">
        <f t="shared" ca="1" si="159"/>
        <v>-3798905588832.9346</v>
      </c>
      <c r="M4004" s="460">
        <f t="shared" si="161"/>
        <v>0.05</v>
      </c>
      <c r="N4004" s="464">
        <f t="shared" si="162"/>
        <v>172913</v>
      </c>
    </row>
    <row r="4005" spans="7:14" ht="11.25" customHeight="1" x14ac:dyDescent="0.3">
      <c r="G4005" s="459"/>
      <c r="H4005" s="459">
        <v>3998</v>
      </c>
      <c r="I4005" s="444">
        <f t="shared" ca="1" si="160"/>
        <v>-3798905588832.9346</v>
      </c>
      <c r="J4005" s="444">
        <f t="array" ref="J4005">IFERROR(INDEX('Retirement Calculator'!K:K,MATCH('Lorri 401b'!N4005,'Retirement Calculator'!A:A,0),0),0)</f>
        <v>0</v>
      </c>
      <c r="K4005" s="444">
        <f t="shared" ca="1" si="158"/>
        <v>-15828773286.803892</v>
      </c>
      <c r="L4005" s="444">
        <f t="shared" ca="1" si="159"/>
        <v>-3814734362119.7383</v>
      </c>
      <c r="M4005" s="460">
        <f t="shared" si="161"/>
        <v>0.05</v>
      </c>
      <c r="N4005" s="464">
        <f t="shared" si="162"/>
        <v>172943</v>
      </c>
    </row>
    <row r="4006" spans="7:14" ht="11.25" customHeight="1" x14ac:dyDescent="0.3">
      <c r="G4006" s="459"/>
      <c r="H4006" s="459">
        <v>3999</v>
      </c>
      <c r="I4006" s="444">
        <f t="shared" ca="1" si="160"/>
        <v>-3814734362119.7383</v>
      </c>
      <c r="J4006" s="444">
        <f t="array" ref="J4006">IFERROR(INDEX('Retirement Calculator'!K:K,MATCH('Lorri 401b'!N4006,'Retirement Calculator'!A:A,0),0),0)</f>
        <v>0</v>
      </c>
      <c r="K4006" s="444">
        <f t="shared" ca="1" si="158"/>
        <v>-15894726508.832243</v>
      </c>
      <c r="L4006" s="444">
        <f t="shared" ca="1" si="159"/>
        <v>-3830629088628.5703</v>
      </c>
      <c r="M4006" s="460">
        <f t="shared" si="161"/>
        <v>0.05</v>
      </c>
      <c r="N4006" s="464">
        <f t="shared" si="162"/>
        <v>172974</v>
      </c>
    </row>
    <row r="4007" spans="7:14" ht="11.25" customHeight="1" x14ac:dyDescent="0.3">
      <c r="G4007" s="459"/>
      <c r="H4007" s="459">
        <v>4000</v>
      </c>
      <c r="I4007" s="444">
        <f t="shared" ca="1" si="160"/>
        <v>-3830629088628.5703</v>
      </c>
      <c r="J4007" s="444">
        <f t="array" ref="J4007">IFERROR(INDEX('Retirement Calculator'!K:K,MATCH('Lorri 401b'!N4007,'Retirement Calculator'!A:A,0),0),0)</f>
        <v>0</v>
      </c>
      <c r="K4007" s="444">
        <f t="shared" ca="1" si="158"/>
        <v>-15960954535.952375</v>
      </c>
      <c r="L4007" s="444">
        <f t="shared" ca="1" si="159"/>
        <v>-3846590043164.5225</v>
      </c>
      <c r="M4007" s="460">
        <f t="shared" si="161"/>
        <v>0.05</v>
      </c>
      <c r="N4007" s="464">
        <f t="shared" si="162"/>
        <v>173005</v>
      </c>
    </row>
    <row r="4008" spans="7:14" ht="11.25" customHeight="1" x14ac:dyDescent="0.3">
      <c r="G4008" s="459"/>
      <c r="H4008" s="459">
        <v>4001</v>
      </c>
      <c r="I4008" s="444">
        <f t="shared" ca="1" si="160"/>
        <v>-3846590043164.5225</v>
      </c>
      <c r="J4008" s="444">
        <f t="array" ref="J4008">IFERROR(INDEX('Retirement Calculator'!K:K,MATCH('Lorri 401b'!N4008,'Retirement Calculator'!A:A,0),0),0)</f>
        <v>0</v>
      </c>
      <c r="K4008" s="444">
        <f t="shared" ca="1" si="158"/>
        <v>-16027458513.185511</v>
      </c>
      <c r="L4008" s="444">
        <f t="shared" ca="1" si="159"/>
        <v>-3862617501677.708</v>
      </c>
      <c r="M4008" s="460">
        <f t="shared" si="161"/>
        <v>0.05</v>
      </c>
      <c r="N4008" s="464">
        <f t="shared" si="162"/>
        <v>173035</v>
      </c>
    </row>
    <row r="4009" spans="7:14" ht="11.25" customHeight="1" x14ac:dyDescent="0.3">
      <c r="G4009" s="459"/>
      <c r="H4009" s="459">
        <v>4002</v>
      </c>
      <c r="I4009" s="444">
        <f t="shared" ca="1" si="160"/>
        <v>-3862617501677.708</v>
      </c>
      <c r="J4009" s="444">
        <f t="array" ref="J4009">IFERROR(INDEX('Retirement Calculator'!K:K,MATCH('Lorri 401b'!N4009,'Retirement Calculator'!A:A,0),0),0)</f>
        <v>0</v>
      </c>
      <c r="K4009" s="444">
        <f t="shared" ca="1" si="158"/>
        <v>-16094239590.323784</v>
      </c>
      <c r="L4009" s="444">
        <f t="shared" ca="1" si="159"/>
        <v>-3878711741268.0317</v>
      </c>
      <c r="M4009" s="460">
        <f t="shared" si="161"/>
        <v>0.05</v>
      </c>
      <c r="N4009" s="464">
        <f t="shared" si="162"/>
        <v>173066</v>
      </c>
    </row>
    <row r="4010" spans="7:14" ht="11.25" customHeight="1" x14ac:dyDescent="0.3">
      <c r="G4010" s="459"/>
      <c r="H4010" s="459">
        <v>4003</v>
      </c>
      <c r="I4010" s="444">
        <f t="shared" ca="1" si="160"/>
        <v>-3878711741268.0317</v>
      </c>
      <c r="J4010" s="444">
        <f t="array" ref="J4010">IFERROR(INDEX('Retirement Calculator'!K:K,MATCH('Lorri 401b'!N4010,'Retirement Calculator'!A:A,0),0),0)</f>
        <v>0</v>
      </c>
      <c r="K4010" s="444">
        <f t="shared" ca="1" si="158"/>
        <v>-16161298921.950132</v>
      </c>
      <c r="L4010" s="444">
        <f t="shared" ca="1" si="159"/>
        <v>-3894873040189.9819</v>
      </c>
      <c r="M4010" s="460">
        <f t="shared" si="161"/>
        <v>0.05</v>
      </c>
      <c r="N4010" s="464">
        <f t="shared" si="162"/>
        <v>173096</v>
      </c>
    </row>
    <row r="4011" spans="7:14" ht="11.25" customHeight="1" x14ac:dyDescent="0.3">
      <c r="G4011" s="459"/>
      <c r="H4011" s="459">
        <v>4004</v>
      </c>
      <c r="I4011" s="444">
        <f t="shared" ca="1" si="160"/>
        <v>-3894873040189.9819</v>
      </c>
      <c r="J4011" s="444">
        <f t="array" ref="J4011">IFERROR(INDEX('Retirement Calculator'!K:K,MATCH('Lorri 401b'!N4011,'Retirement Calculator'!A:A,0),0),0)</f>
        <v>0</v>
      </c>
      <c r="K4011" s="444">
        <f t="shared" ca="1" si="158"/>
        <v>-16228637667.458258</v>
      </c>
      <c r="L4011" s="444">
        <f t="shared" ca="1" si="159"/>
        <v>-3911101677857.4404</v>
      </c>
      <c r="M4011" s="460">
        <f t="shared" si="161"/>
        <v>0.05</v>
      </c>
      <c r="N4011" s="464">
        <f t="shared" si="162"/>
        <v>173127</v>
      </c>
    </row>
    <row r="4012" spans="7:14" ht="11.25" customHeight="1" x14ac:dyDescent="0.3">
      <c r="G4012" s="459"/>
      <c r="H4012" s="459">
        <v>4005</v>
      </c>
      <c r="I4012" s="444">
        <f t="shared" ca="1" si="160"/>
        <v>-3911101677857.4404</v>
      </c>
      <c r="J4012" s="444">
        <f t="array" ref="J4012">IFERROR(INDEX('Retirement Calculator'!K:K,MATCH('Lorri 401b'!N4012,'Retirement Calculator'!A:A,0),0),0)</f>
        <v>0</v>
      </c>
      <c r="K4012" s="444">
        <f t="shared" ca="1" si="158"/>
        <v>-16296256991.07267</v>
      </c>
      <c r="L4012" s="444">
        <f t="shared" ca="1" si="159"/>
        <v>-3927397934848.5132</v>
      </c>
      <c r="M4012" s="460">
        <f t="shared" si="161"/>
        <v>0.05</v>
      </c>
      <c r="N4012" s="464">
        <f t="shared" si="162"/>
        <v>173158</v>
      </c>
    </row>
    <row r="4013" spans="7:14" ht="11.25" customHeight="1" x14ac:dyDescent="0.3">
      <c r="G4013" s="459"/>
      <c r="H4013" s="459">
        <v>4006</v>
      </c>
      <c r="I4013" s="444">
        <f t="shared" ca="1" si="160"/>
        <v>-3927397934848.5132</v>
      </c>
      <c r="J4013" s="444">
        <f t="array" ref="J4013">IFERROR(INDEX('Retirement Calculator'!K:K,MATCH('Lorri 401b'!N4013,'Retirement Calculator'!A:A,0),0),0)</f>
        <v>0</v>
      </c>
      <c r="K4013" s="444">
        <f t="shared" ca="1" si="158"/>
        <v>-16364158061.868805</v>
      </c>
      <c r="L4013" s="444">
        <f t="shared" ca="1" si="159"/>
        <v>-3943762092910.3818</v>
      </c>
      <c r="M4013" s="460">
        <f t="shared" si="161"/>
        <v>0.05</v>
      </c>
      <c r="N4013" s="464">
        <f t="shared" si="162"/>
        <v>173186</v>
      </c>
    </row>
    <row r="4014" spans="7:14" ht="11.25" customHeight="1" x14ac:dyDescent="0.3">
      <c r="G4014" s="459"/>
      <c r="H4014" s="459">
        <v>4007</v>
      </c>
      <c r="I4014" s="444">
        <f t="shared" ca="1" si="160"/>
        <v>-3943762092910.3818</v>
      </c>
      <c r="J4014" s="444">
        <f t="array" ref="J4014">IFERROR(INDEX('Retirement Calculator'!K:K,MATCH('Lorri 401b'!N4014,'Retirement Calculator'!A:A,0),0),0)</f>
        <v>0</v>
      </c>
      <c r="K4014" s="444">
        <f t="shared" ca="1" si="158"/>
        <v>-16432342053.793257</v>
      </c>
      <c r="L4014" s="444">
        <f t="shared" ca="1" si="159"/>
        <v>-3960194434964.1753</v>
      </c>
      <c r="M4014" s="460">
        <f t="shared" si="161"/>
        <v>0.05</v>
      </c>
      <c r="N4014" s="464">
        <f t="shared" si="162"/>
        <v>173217</v>
      </c>
    </row>
    <row r="4015" spans="7:14" ht="11.25" customHeight="1" x14ac:dyDescent="0.3">
      <c r="G4015" s="459"/>
      <c r="H4015" s="459">
        <v>4008</v>
      </c>
      <c r="I4015" s="444">
        <f t="shared" ca="1" si="160"/>
        <v>-3960194434964.1753</v>
      </c>
      <c r="J4015" s="444">
        <f t="array" ref="J4015">IFERROR(INDEX('Retirement Calculator'!K:K,MATCH('Lorri 401b'!N4015,'Retirement Calculator'!A:A,0),0),0)</f>
        <v>0</v>
      </c>
      <c r="K4015" s="444">
        <f t="shared" ca="1" si="158"/>
        <v>-16500810145.684063</v>
      </c>
      <c r="L4015" s="444">
        <f t="shared" ca="1" si="159"/>
        <v>-3976695245109.8594</v>
      </c>
      <c r="M4015" s="460">
        <f t="shared" si="161"/>
        <v>0.05</v>
      </c>
      <c r="N4015" s="464">
        <f t="shared" si="162"/>
        <v>173247</v>
      </c>
    </row>
    <row r="4016" spans="7:14" ht="11.25" customHeight="1" x14ac:dyDescent="0.3">
      <c r="G4016" s="459"/>
      <c r="H4016" s="459">
        <v>4009</v>
      </c>
      <c r="I4016" s="444">
        <f t="shared" ca="1" si="160"/>
        <v>-3976695245109.8594</v>
      </c>
      <c r="J4016" s="444">
        <f t="array" ref="J4016">IFERROR(INDEX('Retirement Calculator'!K:K,MATCH('Lorri 401b'!N4016,'Retirement Calculator'!A:A,0),0),0)</f>
        <v>0</v>
      </c>
      <c r="K4016" s="444">
        <f t="shared" ca="1" si="158"/>
        <v>-16569563521.29108</v>
      </c>
      <c r="L4016" s="444">
        <f t="shared" ca="1" si="159"/>
        <v>-3993264808631.1504</v>
      </c>
      <c r="M4016" s="460">
        <f t="shared" si="161"/>
        <v>0.05</v>
      </c>
      <c r="N4016" s="464">
        <f t="shared" si="162"/>
        <v>173278</v>
      </c>
    </row>
    <row r="4017" spans="7:14" ht="11.25" customHeight="1" x14ac:dyDescent="0.3">
      <c r="G4017" s="459"/>
      <c r="H4017" s="459">
        <v>4010</v>
      </c>
      <c r="I4017" s="444">
        <f t="shared" ca="1" si="160"/>
        <v>-3993264808631.1504</v>
      </c>
      <c r="J4017" s="444">
        <f t="array" ref="J4017">IFERROR(INDEX('Retirement Calculator'!K:K,MATCH('Lorri 401b'!N4017,'Retirement Calculator'!A:A,0),0),0)</f>
        <v>0</v>
      </c>
      <c r="K4017" s="444">
        <f t="shared" ca="1" si="158"/>
        <v>-16638603369.296459</v>
      </c>
      <c r="L4017" s="444">
        <f t="shared" ca="1" si="159"/>
        <v>-4009903412000.4468</v>
      </c>
      <c r="M4017" s="460">
        <f t="shared" si="161"/>
        <v>0.05</v>
      </c>
      <c r="N4017" s="464">
        <f t="shared" si="162"/>
        <v>173308</v>
      </c>
    </row>
    <row r="4018" spans="7:14" ht="11.25" customHeight="1" x14ac:dyDescent="0.3">
      <c r="G4018" s="459"/>
      <c r="H4018" s="459">
        <v>4011</v>
      </c>
      <c r="I4018" s="444">
        <f t="shared" ca="1" si="160"/>
        <v>-4009903412000.4468</v>
      </c>
      <c r="J4018" s="444">
        <f t="array" ref="J4018">IFERROR(INDEX('Retirement Calculator'!K:K,MATCH('Lorri 401b'!N4018,'Retirement Calculator'!A:A,0),0),0)</f>
        <v>0</v>
      </c>
      <c r="K4018" s="444">
        <f t="shared" ca="1" si="158"/>
        <v>-16707930883.335192</v>
      </c>
      <c r="L4018" s="444">
        <f t="shared" ca="1" si="159"/>
        <v>-4026611342883.7817</v>
      </c>
      <c r="M4018" s="460">
        <f t="shared" si="161"/>
        <v>0.05</v>
      </c>
      <c r="N4018" s="464">
        <f t="shared" si="162"/>
        <v>173339</v>
      </c>
    </row>
    <row r="4019" spans="7:14" ht="11.25" customHeight="1" x14ac:dyDescent="0.3">
      <c r="G4019" s="459"/>
      <c r="H4019" s="459">
        <v>4012</v>
      </c>
      <c r="I4019" s="444">
        <f t="shared" ca="1" si="160"/>
        <v>-4026611342883.7817</v>
      </c>
      <c r="J4019" s="444">
        <f t="array" ref="J4019">IFERROR(INDEX('Retirement Calculator'!K:K,MATCH('Lorri 401b'!N4019,'Retirement Calculator'!A:A,0),0),0)</f>
        <v>0</v>
      </c>
      <c r="K4019" s="444">
        <f t="shared" ca="1" si="158"/>
        <v>-16777547262.015757</v>
      </c>
      <c r="L4019" s="444">
        <f t="shared" ca="1" si="159"/>
        <v>-4043388890145.7974</v>
      </c>
      <c r="M4019" s="460">
        <f t="shared" si="161"/>
        <v>0.05</v>
      </c>
      <c r="N4019" s="464">
        <f t="shared" si="162"/>
        <v>173370</v>
      </c>
    </row>
    <row r="4020" spans="7:14" ht="11.25" customHeight="1" x14ac:dyDescent="0.3">
      <c r="G4020" s="459"/>
      <c r="H4020" s="459">
        <v>4013</v>
      </c>
      <c r="I4020" s="444">
        <f t="shared" ca="1" si="160"/>
        <v>-4043388890145.7974</v>
      </c>
      <c r="J4020" s="444">
        <f t="array" ref="J4020">IFERROR(INDEX('Retirement Calculator'!K:K,MATCH('Lorri 401b'!N4020,'Retirement Calculator'!A:A,0),0),0)</f>
        <v>0</v>
      </c>
      <c r="K4020" s="444">
        <f t="shared" ca="1" si="158"/>
        <v>-16847453708.940823</v>
      </c>
      <c r="L4020" s="444">
        <f t="shared" ca="1" si="159"/>
        <v>-4060236343854.7383</v>
      </c>
      <c r="M4020" s="460">
        <f t="shared" si="161"/>
        <v>0.05</v>
      </c>
      <c r="N4020" s="464">
        <f t="shared" si="162"/>
        <v>173400</v>
      </c>
    </row>
    <row r="4021" spans="7:14" ht="11.25" customHeight="1" x14ac:dyDescent="0.3">
      <c r="G4021" s="459"/>
      <c r="H4021" s="459">
        <v>4014</v>
      </c>
      <c r="I4021" s="444">
        <f t="shared" ca="1" si="160"/>
        <v>-4060236343854.7383</v>
      </c>
      <c r="J4021" s="444">
        <f t="array" ref="J4021">IFERROR(INDEX('Retirement Calculator'!K:K,MATCH('Lorri 401b'!N4021,'Retirement Calculator'!A:A,0),0),0)</f>
        <v>0</v>
      </c>
      <c r="K4021" s="444">
        <f t="shared" ca="1" si="158"/>
        <v>-16917651432.728075</v>
      </c>
      <c r="L4021" s="444">
        <f t="shared" ca="1" si="159"/>
        <v>-4077153995287.4663</v>
      </c>
      <c r="M4021" s="460">
        <f t="shared" si="161"/>
        <v>0.05</v>
      </c>
      <c r="N4021" s="464">
        <f t="shared" si="162"/>
        <v>173431</v>
      </c>
    </row>
    <row r="4022" spans="7:14" ht="11.25" customHeight="1" x14ac:dyDescent="0.3">
      <c r="G4022" s="459"/>
      <c r="H4022" s="459">
        <v>4015</v>
      </c>
      <c r="I4022" s="444">
        <f t="shared" ca="1" si="160"/>
        <v>-4077153995287.4663</v>
      </c>
      <c r="J4022" s="444">
        <f t="array" ref="J4022">IFERROR(INDEX('Retirement Calculator'!K:K,MATCH('Lorri 401b'!N4022,'Retirement Calculator'!A:A,0),0),0)</f>
        <v>0</v>
      </c>
      <c r="K4022" s="444">
        <f t="shared" ca="1" si="158"/>
        <v>-16988141647.031109</v>
      </c>
      <c r="L4022" s="444">
        <f t="shared" ca="1" si="159"/>
        <v>-4094142136934.4976</v>
      </c>
      <c r="M4022" s="460">
        <f t="shared" si="161"/>
        <v>0.05</v>
      </c>
      <c r="N4022" s="464">
        <f t="shared" si="162"/>
        <v>173461</v>
      </c>
    </row>
    <row r="4023" spans="7:14" ht="11.25" customHeight="1" x14ac:dyDescent="0.3">
      <c r="G4023" s="459"/>
      <c r="H4023" s="459">
        <v>4016</v>
      </c>
      <c r="I4023" s="444">
        <f t="shared" ca="1" si="160"/>
        <v>-4094142136934.4976</v>
      </c>
      <c r="J4023" s="444">
        <f t="array" ref="J4023">IFERROR(INDEX('Retirement Calculator'!K:K,MATCH('Lorri 401b'!N4023,'Retirement Calculator'!A:A,0),0),0)</f>
        <v>0</v>
      </c>
      <c r="K4023" s="444">
        <f t="shared" ca="1" si="158"/>
        <v>-17058925570.560406</v>
      </c>
      <c r="L4023" s="444">
        <f t="shared" ca="1" si="159"/>
        <v>-4111201062505.0581</v>
      </c>
      <c r="M4023" s="460">
        <f t="shared" si="161"/>
        <v>0.05</v>
      </c>
      <c r="N4023" s="464">
        <f t="shared" si="162"/>
        <v>173492</v>
      </c>
    </row>
    <row r="4024" spans="7:14" ht="11.25" customHeight="1" x14ac:dyDescent="0.3">
      <c r="G4024" s="459"/>
      <c r="H4024" s="459">
        <v>4017</v>
      </c>
      <c r="I4024" s="444">
        <f t="shared" ca="1" si="160"/>
        <v>-4111201062505.0581</v>
      </c>
      <c r="J4024" s="444">
        <f t="array" ref="J4024">IFERROR(INDEX('Retirement Calculator'!K:K,MATCH('Lorri 401b'!N4024,'Retirement Calculator'!A:A,0),0),0)</f>
        <v>0</v>
      </c>
      <c r="K4024" s="444">
        <f t="shared" ca="1" si="158"/>
        <v>-17130004427.104406</v>
      </c>
      <c r="L4024" s="444">
        <f t="shared" ca="1" si="159"/>
        <v>-4128331066932.1626</v>
      </c>
      <c r="M4024" s="460">
        <f t="shared" si="161"/>
        <v>0.05</v>
      </c>
      <c r="N4024" s="464">
        <f t="shared" si="162"/>
        <v>173523</v>
      </c>
    </row>
    <row r="4025" spans="7:14" ht="11.25" customHeight="1" x14ac:dyDescent="0.3">
      <c r="G4025" s="459"/>
      <c r="H4025" s="459">
        <v>4018</v>
      </c>
      <c r="I4025" s="444">
        <f t="shared" ca="1" si="160"/>
        <v>-4128331066932.1626</v>
      </c>
      <c r="J4025" s="444">
        <f t="array" ref="J4025">IFERROR(INDEX('Retirement Calculator'!K:K,MATCH('Lorri 401b'!N4025,'Retirement Calculator'!A:A,0),0),0)</f>
        <v>0</v>
      </c>
      <c r="K4025" s="444">
        <f t="shared" ca="1" si="158"/>
        <v>-17201379445.550678</v>
      </c>
      <c r="L4025" s="444">
        <f t="shared" ca="1" si="159"/>
        <v>-4145532446377.7134</v>
      </c>
      <c r="M4025" s="460">
        <f t="shared" si="161"/>
        <v>0.05</v>
      </c>
      <c r="N4025" s="464">
        <f t="shared" si="162"/>
        <v>173551</v>
      </c>
    </row>
    <row r="4026" spans="7:14" ht="11.25" customHeight="1" x14ac:dyDescent="0.3">
      <c r="G4026" s="459"/>
      <c r="H4026" s="459">
        <v>4019</v>
      </c>
      <c r="I4026" s="444">
        <f t="shared" ca="1" si="160"/>
        <v>-4145532446377.7134</v>
      </c>
      <c r="J4026" s="444">
        <f t="array" ref="J4026">IFERROR(INDEX('Retirement Calculator'!K:K,MATCH('Lorri 401b'!N4026,'Retirement Calculator'!A:A,0),0),0)</f>
        <v>0</v>
      </c>
      <c r="K4026" s="444">
        <f t="shared" ca="1" si="158"/>
        <v>-17273051859.907139</v>
      </c>
      <c r="L4026" s="444">
        <f t="shared" ca="1" si="159"/>
        <v>-4162805498237.6206</v>
      </c>
      <c r="M4026" s="460">
        <f t="shared" si="161"/>
        <v>0.05</v>
      </c>
      <c r="N4026" s="464">
        <f t="shared" si="162"/>
        <v>173582</v>
      </c>
    </row>
    <row r="4027" spans="7:14" ht="11.25" customHeight="1" x14ac:dyDescent="0.3">
      <c r="G4027" s="459"/>
      <c r="H4027" s="459">
        <v>4020</v>
      </c>
      <c r="I4027" s="444">
        <f t="shared" ca="1" si="160"/>
        <v>-4162805498237.6206</v>
      </c>
      <c r="J4027" s="444">
        <f t="array" ref="J4027">IFERROR(INDEX('Retirement Calculator'!K:K,MATCH('Lorri 401b'!N4027,'Retirement Calculator'!A:A,0),0),0)</f>
        <v>0</v>
      </c>
      <c r="K4027" s="444">
        <f t="shared" ca="1" si="158"/>
        <v>-17345022909.323418</v>
      </c>
      <c r="L4027" s="444">
        <f t="shared" ca="1" si="159"/>
        <v>-4180150521146.9438</v>
      </c>
      <c r="M4027" s="460">
        <f t="shared" si="161"/>
        <v>0.05</v>
      </c>
      <c r="N4027" s="464">
        <f t="shared" si="162"/>
        <v>173612</v>
      </c>
    </row>
    <row r="4028" spans="7:14" ht="11.25" customHeight="1" x14ac:dyDescent="0.3">
      <c r="G4028" s="459"/>
      <c r="H4028" s="459">
        <v>4021</v>
      </c>
      <c r="I4028" s="444">
        <f t="shared" ca="1" si="160"/>
        <v>-4180150521146.9438</v>
      </c>
      <c r="J4028" s="444">
        <f t="array" ref="J4028">IFERROR(INDEX('Retirement Calculator'!K:K,MATCH('Lorri 401b'!N4028,'Retirement Calculator'!A:A,0),0),0)</f>
        <v>0</v>
      </c>
      <c r="K4028" s="444">
        <f t="shared" ca="1" si="158"/>
        <v>-17417293838.112263</v>
      </c>
      <c r="L4028" s="444">
        <f t="shared" ca="1" si="159"/>
        <v>-4197567814985.0562</v>
      </c>
      <c r="M4028" s="460">
        <f t="shared" si="161"/>
        <v>0.05</v>
      </c>
      <c r="N4028" s="464">
        <f t="shared" si="162"/>
        <v>173643</v>
      </c>
    </row>
    <row r="4029" spans="7:14" ht="11.25" customHeight="1" x14ac:dyDescent="0.3">
      <c r="G4029" s="459"/>
      <c r="H4029" s="459">
        <v>4022</v>
      </c>
      <c r="I4029" s="444">
        <f t="shared" ca="1" si="160"/>
        <v>-4197567814985.0562</v>
      </c>
      <c r="J4029" s="444">
        <f t="array" ref="J4029">IFERROR(INDEX('Retirement Calculator'!K:K,MATCH('Lorri 401b'!N4029,'Retirement Calculator'!A:A,0),0),0)</f>
        <v>0</v>
      </c>
      <c r="K4029" s="444">
        <f t="shared" ca="1" si="158"/>
        <v>-17489865895.771065</v>
      </c>
      <c r="L4029" s="444">
        <f t="shared" ca="1" si="159"/>
        <v>-4215057680880.8271</v>
      </c>
      <c r="M4029" s="460">
        <f t="shared" si="161"/>
        <v>0.05</v>
      </c>
      <c r="N4029" s="464">
        <f t="shared" si="162"/>
        <v>173673</v>
      </c>
    </row>
    <row r="4030" spans="7:14" ht="11.25" customHeight="1" x14ac:dyDescent="0.3">
      <c r="G4030" s="459"/>
      <c r="H4030" s="459">
        <v>4023</v>
      </c>
      <c r="I4030" s="444">
        <f t="shared" ca="1" si="160"/>
        <v>-4215057680880.8271</v>
      </c>
      <c r="J4030" s="444">
        <f t="array" ref="J4030">IFERROR(INDEX('Retirement Calculator'!K:K,MATCH('Lorri 401b'!N4030,'Retirement Calculator'!A:A,0),0),0)</f>
        <v>0</v>
      </c>
      <c r="K4030" s="444">
        <f t="shared" ca="1" si="158"/>
        <v>-17562740337.003445</v>
      </c>
      <c r="L4030" s="444">
        <f t="shared" ca="1" si="159"/>
        <v>-4232620421217.8306</v>
      </c>
      <c r="M4030" s="460">
        <f t="shared" si="161"/>
        <v>0.05</v>
      </c>
      <c r="N4030" s="464">
        <f t="shared" si="162"/>
        <v>173704</v>
      </c>
    </row>
    <row r="4031" spans="7:14" ht="11.25" customHeight="1" x14ac:dyDescent="0.3">
      <c r="G4031" s="459"/>
      <c r="H4031" s="459">
        <v>4024</v>
      </c>
      <c r="I4031" s="444">
        <f t="shared" ca="1" si="160"/>
        <v>-4232620421217.8306</v>
      </c>
      <c r="J4031" s="444">
        <f t="array" ref="J4031">IFERROR(INDEX('Retirement Calculator'!K:K,MATCH('Lorri 401b'!N4031,'Retirement Calculator'!A:A,0),0),0)</f>
        <v>0</v>
      </c>
      <c r="K4031" s="444">
        <f t="shared" ca="1" si="158"/>
        <v>-17635918421.740959</v>
      </c>
      <c r="L4031" s="444">
        <f t="shared" ca="1" si="159"/>
        <v>-4250256339639.5713</v>
      </c>
      <c r="M4031" s="460">
        <f t="shared" si="161"/>
        <v>0.05</v>
      </c>
      <c r="N4031" s="464">
        <f t="shared" si="162"/>
        <v>173735</v>
      </c>
    </row>
    <row r="4032" spans="7:14" ht="11.25" customHeight="1" x14ac:dyDescent="0.3">
      <c r="G4032" s="459"/>
      <c r="H4032" s="459">
        <v>4025</v>
      </c>
      <c r="I4032" s="444">
        <f t="shared" ca="1" si="160"/>
        <v>-4250256339639.5713</v>
      </c>
      <c r="J4032" s="444">
        <f t="array" ref="J4032">IFERROR(INDEX('Retirement Calculator'!K:K,MATCH('Lorri 401b'!N4032,'Retirement Calculator'!A:A,0),0),0)</f>
        <v>0</v>
      </c>
      <c r="K4032" s="444">
        <f t="shared" ca="1" si="158"/>
        <v>-17709401415.164883</v>
      </c>
      <c r="L4032" s="444">
        <f t="shared" ca="1" si="159"/>
        <v>-4267965741054.7363</v>
      </c>
      <c r="M4032" s="460">
        <f t="shared" si="161"/>
        <v>0.05</v>
      </c>
      <c r="N4032" s="464">
        <f t="shared" si="162"/>
        <v>173765</v>
      </c>
    </row>
    <row r="4033" spans="7:14" ht="11.25" customHeight="1" x14ac:dyDescent="0.3">
      <c r="G4033" s="459"/>
      <c r="H4033" s="459">
        <v>4026</v>
      </c>
      <c r="I4033" s="444">
        <f t="shared" ca="1" si="160"/>
        <v>-4267965741054.7363</v>
      </c>
      <c r="J4033" s="444">
        <f t="array" ref="J4033">IFERROR(INDEX('Retirement Calculator'!K:K,MATCH('Lorri 401b'!N4033,'Retirement Calculator'!A:A,0),0),0)</f>
        <v>0</v>
      </c>
      <c r="K4033" s="444">
        <f t="shared" ca="1" si="158"/>
        <v>-17783190587.728069</v>
      </c>
      <c r="L4033" s="444">
        <f t="shared" ca="1" si="159"/>
        <v>-4285748931642.4644</v>
      </c>
      <c r="M4033" s="460">
        <f t="shared" si="161"/>
        <v>0.05</v>
      </c>
      <c r="N4033" s="464">
        <f t="shared" si="162"/>
        <v>173796</v>
      </c>
    </row>
    <row r="4034" spans="7:14" ht="11.25" customHeight="1" x14ac:dyDescent="0.3">
      <c r="G4034" s="459"/>
      <c r="H4034" s="459">
        <v>4027</v>
      </c>
      <c r="I4034" s="444">
        <f t="shared" ca="1" si="160"/>
        <v>-4285748931642.4644</v>
      </c>
      <c r="J4034" s="444">
        <f t="array" ref="J4034">IFERROR(INDEX('Retirement Calculator'!K:K,MATCH('Lorri 401b'!N4034,'Retirement Calculator'!A:A,0),0),0)</f>
        <v>0</v>
      </c>
      <c r="K4034" s="444">
        <f t="shared" ca="1" si="158"/>
        <v>-17857287215.176933</v>
      </c>
      <c r="L4034" s="444">
        <f t="shared" ca="1" si="159"/>
        <v>-4303606218857.6411</v>
      </c>
      <c r="M4034" s="460">
        <f t="shared" si="161"/>
        <v>0.05</v>
      </c>
      <c r="N4034" s="464">
        <f t="shared" si="162"/>
        <v>173826</v>
      </c>
    </row>
    <row r="4035" spans="7:14" ht="11.25" customHeight="1" x14ac:dyDescent="0.3">
      <c r="G4035" s="459"/>
      <c r="H4035" s="459">
        <v>4028</v>
      </c>
      <c r="I4035" s="444">
        <f t="shared" ca="1" si="160"/>
        <v>-4303606218857.6411</v>
      </c>
      <c r="J4035" s="444">
        <f t="array" ref="J4035">IFERROR(INDEX('Retirement Calculator'!K:K,MATCH('Lorri 401b'!N4035,'Retirement Calculator'!A:A,0),0),0)</f>
        <v>0</v>
      </c>
      <c r="K4035" s="444">
        <f t="shared" ca="1" si="158"/>
        <v>-17931692578.573505</v>
      </c>
      <c r="L4035" s="444">
        <f t="shared" ca="1" si="159"/>
        <v>-4321537911436.2148</v>
      </c>
      <c r="M4035" s="460">
        <f t="shared" si="161"/>
        <v>0.05</v>
      </c>
      <c r="N4035" s="464">
        <f t="shared" si="162"/>
        <v>173857</v>
      </c>
    </row>
    <row r="4036" spans="7:14" ht="11.25" customHeight="1" x14ac:dyDescent="0.3">
      <c r="G4036" s="459"/>
      <c r="H4036" s="459">
        <v>4029</v>
      </c>
      <c r="I4036" s="444">
        <f t="shared" ca="1" si="160"/>
        <v>-4321537911436.2148</v>
      </c>
      <c r="J4036" s="444">
        <f t="array" ref="J4036">IFERROR(INDEX('Retirement Calculator'!K:K,MATCH('Lorri 401b'!N4036,'Retirement Calculator'!A:A,0),0),0)</f>
        <v>0</v>
      </c>
      <c r="K4036" s="444">
        <f t="shared" ca="1" si="158"/>
        <v>-18006407964.317562</v>
      </c>
      <c r="L4036" s="444">
        <f t="shared" ca="1" si="159"/>
        <v>-4339544319400.5322</v>
      </c>
      <c r="M4036" s="460">
        <f t="shared" si="161"/>
        <v>0.05</v>
      </c>
      <c r="N4036" s="464">
        <f t="shared" si="162"/>
        <v>173888</v>
      </c>
    </row>
    <row r="4037" spans="7:14" ht="11.25" customHeight="1" x14ac:dyDescent="0.3">
      <c r="G4037" s="459"/>
      <c r="H4037" s="459">
        <v>4030</v>
      </c>
      <c r="I4037" s="444">
        <f t="shared" ca="1" si="160"/>
        <v>-4339544319400.5322</v>
      </c>
      <c r="J4037" s="444">
        <f t="array" ref="J4037">IFERROR(INDEX('Retirement Calculator'!K:K,MATCH('Lorri 401b'!N4037,'Retirement Calculator'!A:A,0),0),0)</f>
        <v>0</v>
      </c>
      <c r="K4037" s="444">
        <f t="shared" ca="1" si="158"/>
        <v>-18081434664.16888</v>
      </c>
      <c r="L4037" s="444">
        <f t="shared" ca="1" si="159"/>
        <v>-4357625754064.7012</v>
      </c>
      <c r="M4037" s="460">
        <f t="shared" si="161"/>
        <v>0.05</v>
      </c>
      <c r="N4037" s="464">
        <f t="shared" si="162"/>
        <v>173917</v>
      </c>
    </row>
    <row r="4038" spans="7:14" ht="11.25" customHeight="1" x14ac:dyDescent="0.3">
      <c r="G4038" s="459"/>
      <c r="H4038" s="459">
        <v>4031</v>
      </c>
      <c r="I4038" s="444">
        <f t="shared" ca="1" si="160"/>
        <v>-4357625754064.7012</v>
      </c>
      <c r="J4038" s="444">
        <f t="array" ref="J4038">IFERROR(INDEX('Retirement Calculator'!K:K,MATCH('Lorri 401b'!N4038,'Retirement Calculator'!A:A,0),0),0)</f>
        <v>0</v>
      </c>
      <c r="K4038" s="444">
        <f t="shared" ca="1" si="158"/>
        <v>-18156773975.269585</v>
      </c>
      <c r="L4038" s="444">
        <f t="shared" ca="1" si="159"/>
        <v>-4375782528039.9707</v>
      </c>
      <c r="M4038" s="460">
        <f t="shared" si="161"/>
        <v>0.05</v>
      </c>
      <c r="N4038" s="464">
        <f t="shared" si="162"/>
        <v>173948</v>
      </c>
    </row>
    <row r="4039" spans="7:14" ht="11.25" customHeight="1" x14ac:dyDescent="0.3">
      <c r="G4039" s="459"/>
      <c r="H4039" s="459">
        <v>4032</v>
      </c>
      <c r="I4039" s="444">
        <f t="shared" ca="1" si="160"/>
        <v>-4375782528039.9707</v>
      </c>
      <c r="J4039" s="444">
        <f t="array" ref="J4039">IFERROR(INDEX('Retirement Calculator'!K:K,MATCH('Lorri 401b'!N4039,'Retirement Calculator'!A:A,0),0),0)</f>
        <v>0</v>
      </c>
      <c r="K4039" s="444">
        <f t="shared" ca="1" si="158"/>
        <v>-18232427200.166546</v>
      </c>
      <c r="L4039" s="444">
        <f t="shared" ca="1" si="159"/>
        <v>-4394014955240.1372</v>
      </c>
      <c r="M4039" s="460">
        <f t="shared" si="161"/>
        <v>0.05</v>
      </c>
      <c r="N4039" s="464">
        <f t="shared" si="162"/>
        <v>173978</v>
      </c>
    </row>
    <row r="4040" spans="7:14" ht="11.25" customHeight="1" x14ac:dyDescent="0.3">
      <c r="G4040" s="459"/>
      <c r="H4040" s="459">
        <v>4033</v>
      </c>
      <c r="I4040" s="444">
        <f t="shared" ca="1" si="160"/>
        <v>-4394014955240.1372</v>
      </c>
      <c r="J4040" s="444">
        <f t="array" ref="J4040">IFERROR(INDEX('Retirement Calculator'!K:K,MATCH('Lorri 401b'!N4040,'Retirement Calculator'!A:A,0),0),0)</f>
        <v>0</v>
      </c>
      <c r="K4040" s="444">
        <f t="shared" ca="1" si="158"/>
        <v>-18308395646.833904</v>
      </c>
      <c r="L4040" s="444">
        <f t="shared" ca="1" si="159"/>
        <v>-4412323350886.9707</v>
      </c>
      <c r="M4040" s="460">
        <f t="shared" si="161"/>
        <v>0.05</v>
      </c>
      <c r="N4040" s="464">
        <f t="shared" si="162"/>
        <v>174009</v>
      </c>
    </row>
    <row r="4041" spans="7:14" ht="11.25" customHeight="1" x14ac:dyDescent="0.3">
      <c r="G4041" s="459"/>
      <c r="H4041" s="459">
        <v>4034</v>
      </c>
      <c r="I4041" s="444">
        <f t="shared" ca="1" si="160"/>
        <v>-4412323350886.9707</v>
      </c>
      <c r="J4041" s="444">
        <f t="array" ref="J4041">IFERROR(INDEX('Retirement Calculator'!K:K,MATCH('Lorri 401b'!N4041,'Retirement Calculator'!A:A,0),0),0)</f>
        <v>0</v>
      </c>
      <c r="K4041" s="444">
        <f t="shared" ca="1" si="158"/>
        <v>-18384680628.695709</v>
      </c>
      <c r="L4041" s="444">
        <f t="shared" ca="1" si="159"/>
        <v>-4430708031515.666</v>
      </c>
      <c r="M4041" s="460">
        <f t="shared" si="161"/>
        <v>0.05</v>
      </c>
      <c r="N4041" s="464">
        <f t="shared" si="162"/>
        <v>174039</v>
      </c>
    </row>
    <row r="4042" spans="7:14" ht="11.25" customHeight="1" x14ac:dyDescent="0.3">
      <c r="G4042" s="459"/>
      <c r="H4042" s="459">
        <v>4035</v>
      </c>
      <c r="I4042" s="444">
        <f t="shared" ca="1" si="160"/>
        <v>-4430708031515.666</v>
      </c>
      <c r="J4042" s="444">
        <f t="array" ref="J4042">IFERROR(INDEX('Retirement Calculator'!K:K,MATCH('Lorri 401b'!N4042,'Retirement Calculator'!A:A,0),0),0)</f>
        <v>0</v>
      </c>
      <c r="K4042" s="444">
        <f t="shared" ca="1" si="158"/>
        <v>-18461283464.648609</v>
      </c>
      <c r="L4042" s="444">
        <f t="shared" ca="1" si="159"/>
        <v>-4449169314980.3145</v>
      </c>
      <c r="M4042" s="460">
        <f t="shared" si="161"/>
        <v>0.05</v>
      </c>
      <c r="N4042" s="464">
        <f t="shared" si="162"/>
        <v>174070</v>
      </c>
    </row>
    <row r="4043" spans="7:14" ht="11.25" customHeight="1" x14ac:dyDescent="0.3">
      <c r="G4043" s="459"/>
      <c r="H4043" s="459">
        <v>4036</v>
      </c>
      <c r="I4043" s="444">
        <f t="shared" ca="1" si="160"/>
        <v>-4449169314980.3145</v>
      </c>
      <c r="J4043" s="444">
        <f t="array" ref="J4043">IFERROR(INDEX('Retirement Calculator'!K:K,MATCH('Lorri 401b'!N4043,'Retirement Calculator'!A:A,0),0),0)</f>
        <v>0</v>
      </c>
      <c r="K4043" s="444">
        <f t="shared" ca="1" si="158"/>
        <v>-18538205479.084644</v>
      </c>
      <c r="L4043" s="444">
        <f t="shared" ca="1" si="159"/>
        <v>-4467707520459.3994</v>
      </c>
      <c r="M4043" s="460">
        <f t="shared" si="161"/>
        <v>0.05</v>
      </c>
      <c r="N4043" s="464">
        <f t="shared" si="162"/>
        <v>174101</v>
      </c>
    </row>
    <row r="4044" spans="7:14" ht="11.25" customHeight="1" x14ac:dyDescent="0.3">
      <c r="G4044" s="459"/>
      <c r="H4044" s="459">
        <v>4037</v>
      </c>
      <c r="I4044" s="444">
        <f t="shared" ca="1" si="160"/>
        <v>-4467707520459.3994</v>
      </c>
      <c r="J4044" s="444">
        <f t="array" ref="J4044">IFERROR(INDEX('Retirement Calculator'!K:K,MATCH('Lorri 401b'!N4044,'Retirement Calculator'!A:A,0),0),0)</f>
        <v>0</v>
      </c>
      <c r="K4044" s="444">
        <f t="shared" ca="1" si="158"/>
        <v>-18615448001.914165</v>
      </c>
      <c r="L4044" s="444">
        <f t="shared" ca="1" si="159"/>
        <v>-4486322968461.3135</v>
      </c>
      <c r="M4044" s="460">
        <f t="shared" si="161"/>
        <v>0.05</v>
      </c>
      <c r="N4044" s="464">
        <f t="shared" si="162"/>
        <v>174131</v>
      </c>
    </row>
    <row r="4045" spans="7:14" ht="11.25" customHeight="1" x14ac:dyDescent="0.3">
      <c r="G4045" s="459"/>
      <c r="H4045" s="459">
        <v>4038</v>
      </c>
      <c r="I4045" s="444">
        <f t="shared" ca="1" si="160"/>
        <v>-4486322968461.3135</v>
      </c>
      <c r="J4045" s="444">
        <f t="array" ref="J4045">IFERROR(INDEX('Retirement Calculator'!K:K,MATCH('Lorri 401b'!N4045,'Retirement Calculator'!A:A,0),0),0)</f>
        <v>0</v>
      </c>
      <c r="K4045" s="444">
        <f t="shared" ca="1" si="158"/>
        <v>-18693012368.588806</v>
      </c>
      <c r="L4045" s="444">
        <f t="shared" ca="1" si="159"/>
        <v>-4505015980829.9023</v>
      </c>
      <c r="M4045" s="460">
        <f t="shared" si="161"/>
        <v>0.05</v>
      </c>
      <c r="N4045" s="464">
        <f t="shared" si="162"/>
        <v>174162</v>
      </c>
    </row>
    <row r="4046" spans="7:14" ht="11.25" customHeight="1" x14ac:dyDescent="0.3">
      <c r="G4046" s="459"/>
      <c r="H4046" s="459">
        <v>4039</v>
      </c>
      <c r="I4046" s="444">
        <f t="shared" ca="1" si="160"/>
        <v>-4505015980829.9023</v>
      </c>
      <c r="J4046" s="444">
        <f t="array" ref="J4046">IFERROR(INDEX('Retirement Calculator'!K:K,MATCH('Lorri 401b'!N4046,'Retirement Calculator'!A:A,0),0),0)</f>
        <v>0</v>
      </c>
      <c r="K4046" s="444">
        <f t="shared" ca="1" si="158"/>
        <v>-18770899920.124592</v>
      </c>
      <c r="L4046" s="444">
        <f t="shared" ca="1" si="159"/>
        <v>-4523786880750.0273</v>
      </c>
      <c r="M4046" s="460">
        <f t="shared" si="161"/>
        <v>0.05</v>
      </c>
      <c r="N4046" s="464">
        <f t="shared" si="162"/>
        <v>174192</v>
      </c>
    </row>
    <row r="4047" spans="7:14" ht="11.25" customHeight="1" x14ac:dyDescent="0.3">
      <c r="G4047" s="459"/>
      <c r="H4047" s="459">
        <v>4040</v>
      </c>
      <c r="I4047" s="444">
        <f t="shared" ca="1" si="160"/>
        <v>-4523786880750.0273</v>
      </c>
      <c r="J4047" s="444">
        <f t="array" ref="J4047">IFERROR(INDEX('Retirement Calculator'!K:K,MATCH('Lorri 401b'!N4047,'Retirement Calculator'!A:A,0),0),0)</f>
        <v>0</v>
      </c>
      <c r="K4047" s="444">
        <f t="shared" ca="1" si="158"/>
        <v>-18849112003.125114</v>
      </c>
      <c r="L4047" s="444">
        <f t="shared" ca="1" si="159"/>
        <v>-4542635992753.1523</v>
      </c>
      <c r="M4047" s="460">
        <f t="shared" si="161"/>
        <v>0.05</v>
      </c>
      <c r="N4047" s="464">
        <f t="shared" si="162"/>
        <v>174223</v>
      </c>
    </row>
    <row r="4048" spans="7:14" ht="11.25" customHeight="1" x14ac:dyDescent="0.3">
      <c r="G4048" s="459"/>
      <c r="H4048" s="459">
        <v>4041</v>
      </c>
      <c r="I4048" s="444">
        <f t="shared" ca="1" si="160"/>
        <v>-4542635992753.1523</v>
      </c>
      <c r="J4048" s="444">
        <f t="array" ref="J4048">IFERROR(INDEX('Retirement Calculator'!K:K,MATCH('Lorri 401b'!N4048,'Retirement Calculator'!A:A,0),0),0)</f>
        <v>0</v>
      </c>
      <c r="K4048" s="444">
        <f t="shared" ca="1" si="158"/>
        <v>-18927649969.804802</v>
      </c>
      <c r="L4048" s="444">
        <f t="shared" ca="1" si="159"/>
        <v>-4561563642722.957</v>
      </c>
      <c r="M4048" s="460">
        <f t="shared" si="161"/>
        <v>0.05</v>
      </c>
      <c r="N4048" s="464">
        <f t="shared" si="162"/>
        <v>174254</v>
      </c>
    </row>
    <row r="4049" spans="7:14" ht="11.25" customHeight="1" x14ac:dyDescent="0.3">
      <c r="G4049" s="459"/>
      <c r="H4049" s="459">
        <v>4042</v>
      </c>
      <c r="I4049" s="444">
        <f t="shared" ca="1" si="160"/>
        <v>-4561563642722.957</v>
      </c>
      <c r="J4049" s="444">
        <f t="array" ref="J4049">IFERROR(INDEX('Retirement Calculator'!K:K,MATCH('Lorri 401b'!N4049,'Retirement Calculator'!A:A,0),0),0)</f>
        <v>0</v>
      </c>
      <c r="K4049" s="444">
        <f t="shared" ca="1" si="158"/>
        <v>-19006515178.012321</v>
      </c>
      <c r="L4049" s="444">
        <f t="shared" ca="1" si="159"/>
        <v>-4580570157900.9697</v>
      </c>
      <c r="M4049" s="460">
        <f t="shared" si="161"/>
        <v>0.05</v>
      </c>
      <c r="N4049" s="464">
        <f t="shared" si="162"/>
        <v>174282</v>
      </c>
    </row>
    <row r="4050" spans="7:14" ht="11.25" customHeight="1" x14ac:dyDescent="0.3">
      <c r="G4050" s="459"/>
      <c r="H4050" s="459">
        <v>4043</v>
      </c>
      <c r="I4050" s="444">
        <f t="shared" ca="1" si="160"/>
        <v>-4580570157900.9697</v>
      </c>
      <c r="J4050" s="444">
        <f t="array" ref="J4050">IFERROR(INDEX('Retirement Calculator'!K:K,MATCH('Lorri 401b'!N4050,'Retirement Calculator'!A:A,0),0),0)</f>
        <v>0</v>
      </c>
      <c r="K4050" s="444">
        <f t="shared" ca="1" si="158"/>
        <v>-19085708991.25404</v>
      </c>
      <c r="L4050" s="444">
        <f t="shared" ca="1" si="159"/>
        <v>-4599655866892.2236</v>
      </c>
      <c r="M4050" s="460">
        <f t="shared" si="161"/>
        <v>0.05</v>
      </c>
      <c r="N4050" s="464">
        <f t="shared" si="162"/>
        <v>174313</v>
      </c>
    </row>
    <row r="4051" spans="7:14" ht="11.25" customHeight="1" x14ac:dyDescent="0.3">
      <c r="G4051" s="459"/>
      <c r="H4051" s="459">
        <v>4044</v>
      </c>
      <c r="I4051" s="444">
        <f t="shared" ca="1" si="160"/>
        <v>-4599655866892.2236</v>
      </c>
      <c r="J4051" s="444">
        <f t="array" ref="J4051">IFERROR(INDEX('Retirement Calculator'!K:K,MATCH('Lorri 401b'!N4051,'Retirement Calculator'!A:A,0),0),0)</f>
        <v>0</v>
      </c>
      <c r="K4051" s="444">
        <f t="shared" ca="1" si="158"/>
        <v>-19165232778.717598</v>
      </c>
      <c r="L4051" s="444">
        <f t="shared" ca="1" si="159"/>
        <v>-4618821099670.9414</v>
      </c>
      <c r="M4051" s="460">
        <f t="shared" si="161"/>
        <v>0.05</v>
      </c>
      <c r="N4051" s="464">
        <f t="shared" si="162"/>
        <v>174343</v>
      </c>
    </row>
    <row r="4052" spans="7:14" ht="11.25" customHeight="1" x14ac:dyDescent="0.3">
      <c r="G4052" s="459"/>
      <c r="H4052" s="459">
        <v>4045</v>
      </c>
      <c r="I4052" s="444">
        <f t="shared" ca="1" si="160"/>
        <v>-4618821099670.9414</v>
      </c>
      <c r="J4052" s="444">
        <f t="array" ref="J4052">IFERROR(INDEX('Retirement Calculator'!K:K,MATCH('Lorri 401b'!N4052,'Retirement Calculator'!A:A,0),0),0)</f>
        <v>0</v>
      </c>
      <c r="K4052" s="444">
        <f t="shared" ca="1" si="158"/>
        <v>-19245087915.295589</v>
      </c>
      <c r="L4052" s="444">
        <f t="shared" ca="1" si="159"/>
        <v>-4638066187586.2373</v>
      </c>
      <c r="M4052" s="460">
        <f t="shared" si="161"/>
        <v>0.05</v>
      </c>
      <c r="N4052" s="464">
        <f t="shared" si="162"/>
        <v>174374</v>
      </c>
    </row>
    <row r="4053" spans="7:14" ht="11.25" customHeight="1" x14ac:dyDescent="0.3">
      <c r="G4053" s="459"/>
      <c r="H4053" s="459">
        <v>4046</v>
      </c>
      <c r="I4053" s="444">
        <f t="shared" ca="1" si="160"/>
        <v>-4638066187586.2373</v>
      </c>
      <c r="J4053" s="444">
        <f t="array" ref="J4053">IFERROR(INDEX('Retirement Calculator'!K:K,MATCH('Lorri 401b'!N4053,'Retirement Calculator'!A:A,0),0),0)</f>
        <v>0</v>
      </c>
      <c r="K4053" s="444">
        <f t="shared" ca="1" si="158"/>
        <v>-19325275781.609322</v>
      </c>
      <c r="L4053" s="444">
        <f t="shared" ca="1" si="159"/>
        <v>-4657391463367.8467</v>
      </c>
      <c r="M4053" s="460">
        <f t="shared" si="161"/>
        <v>0.05</v>
      </c>
      <c r="N4053" s="464">
        <f t="shared" si="162"/>
        <v>174404</v>
      </c>
    </row>
    <row r="4054" spans="7:14" ht="11.25" customHeight="1" x14ac:dyDescent="0.3">
      <c r="G4054" s="459"/>
      <c r="H4054" s="459">
        <v>4047</v>
      </c>
      <c r="I4054" s="444">
        <f t="shared" ca="1" si="160"/>
        <v>-4657391463367.8467</v>
      </c>
      <c r="J4054" s="444">
        <f t="array" ref="J4054">IFERROR(INDEX('Retirement Calculator'!K:K,MATCH('Lorri 401b'!N4054,'Retirement Calculator'!A:A,0),0),0)</f>
        <v>0</v>
      </c>
      <c r="K4054" s="444">
        <f t="shared" ca="1" si="158"/>
        <v>-19405797764.032696</v>
      </c>
      <c r="L4054" s="444">
        <f t="shared" ca="1" si="159"/>
        <v>-4676797261131.8789</v>
      </c>
      <c r="M4054" s="460">
        <f t="shared" si="161"/>
        <v>0.05</v>
      </c>
      <c r="N4054" s="464">
        <f t="shared" si="162"/>
        <v>174435</v>
      </c>
    </row>
    <row r="4055" spans="7:14" ht="11.25" customHeight="1" x14ac:dyDescent="0.3">
      <c r="G4055" s="459"/>
      <c r="H4055" s="459">
        <v>4048</v>
      </c>
      <c r="I4055" s="444">
        <f t="shared" ca="1" si="160"/>
        <v>-4676797261131.8789</v>
      </c>
      <c r="J4055" s="444">
        <f t="array" ref="J4055">IFERROR(INDEX('Retirement Calculator'!K:K,MATCH('Lorri 401b'!N4055,'Retirement Calculator'!A:A,0),0),0)</f>
        <v>0</v>
      </c>
      <c r="K4055" s="444">
        <f t="shared" ca="1" si="158"/>
        <v>-19486655254.716164</v>
      </c>
      <c r="L4055" s="444">
        <f t="shared" ca="1" si="159"/>
        <v>-4696283916386.5947</v>
      </c>
      <c r="M4055" s="460">
        <f t="shared" si="161"/>
        <v>0.05</v>
      </c>
      <c r="N4055" s="464">
        <f t="shared" si="162"/>
        <v>174466</v>
      </c>
    </row>
    <row r="4056" spans="7:14" ht="11.25" customHeight="1" x14ac:dyDescent="0.3">
      <c r="G4056" s="459"/>
      <c r="H4056" s="459">
        <v>4049</v>
      </c>
      <c r="I4056" s="444">
        <f t="shared" ca="1" si="160"/>
        <v>-4696283916386.5947</v>
      </c>
      <c r="J4056" s="444">
        <f t="array" ref="J4056">IFERROR(INDEX('Retirement Calculator'!K:K,MATCH('Lorri 401b'!N4056,'Retirement Calculator'!A:A,0),0),0)</f>
        <v>0</v>
      </c>
      <c r="K4056" s="444">
        <f t="shared" ca="1" si="158"/>
        <v>-19567849651.610809</v>
      </c>
      <c r="L4056" s="444">
        <f t="shared" ca="1" si="159"/>
        <v>-4715851766038.2051</v>
      </c>
      <c r="M4056" s="460">
        <f t="shared" si="161"/>
        <v>0.05</v>
      </c>
      <c r="N4056" s="464">
        <f t="shared" si="162"/>
        <v>174496</v>
      </c>
    </row>
    <row r="4057" spans="7:14" ht="11.25" customHeight="1" x14ac:dyDescent="0.3">
      <c r="G4057" s="459"/>
      <c r="H4057" s="459">
        <v>4050</v>
      </c>
      <c r="I4057" s="444">
        <f t="shared" ca="1" si="160"/>
        <v>-4715851766038.2051</v>
      </c>
      <c r="J4057" s="444">
        <f t="array" ref="J4057">IFERROR(INDEX('Retirement Calculator'!K:K,MATCH('Lorri 401b'!N4057,'Retirement Calculator'!A:A,0),0),0)</f>
        <v>0</v>
      </c>
      <c r="K4057" s="444">
        <f t="shared" ca="1" si="158"/>
        <v>-19649382358.492519</v>
      </c>
      <c r="L4057" s="444">
        <f t="shared" ca="1" si="159"/>
        <v>-4735501148396.6973</v>
      </c>
      <c r="M4057" s="460">
        <f t="shared" si="161"/>
        <v>0.05</v>
      </c>
      <c r="N4057" s="464">
        <f t="shared" si="162"/>
        <v>174527</v>
      </c>
    </row>
    <row r="4058" spans="7:14" ht="11.25" customHeight="1" x14ac:dyDescent="0.3">
      <c r="G4058" s="459"/>
      <c r="H4058" s="459">
        <v>4051</v>
      </c>
      <c r="I4058" s="444">
        <f t="shared" ca="1" si="160"/>
        <v>-4735501148396.6973</v>
      </c>
      <c r="J4058" s="444">
        <f t="array" ref="J4058">IFERROR(INDEX('Retirement Calculator'!K:K,MATCH('Lorri 401b'!N4058,'Retirement Calculator'!A:A,0),0),0)</f>
        <v>0</v>
      </c>
      <c r="K4058" s="444">
        <f t="shared" ca="1" si="158"/>
        <v>-19731254784.986237</v>
      </c>
      <c r="L4058" s="444">
        <f t="shared" ca="1" si="159"/>
        <v>-4755232403181.6836</v>
      </c>
      <c r="M4058" s="460">
        <f t="shared" si="161"/>
        <v>0.05</v>
      </c>
      <c r="N4058" s="464">
        <f t="shared" si="162"/>
        <v>174557</v>
      </c>
    </row>
    <row r="4059" spans="7:14" ht="11.25" customHeight="1" x14ac:dyDescent="0.3">
      <c r="G4059" s="459"/>
      <c r="H4059" s="459">
        <v>4052</v>
      </c>
      <c r="I4059" s="444">
        <f t="shared" ca="1" si="160"/>
        <v>-4755232403181.6836</v>
      </c>
      <c r="J4059" s="444">
        <f t="array" ref="J4059">IFERROR(INDEX('Retirement Calculator'!K:K,MATCH('Lorri 401b'!N4059,'Retirement Calculator'!A:A,0),0),0)</f>
        <v>0</v>
      </c>
      <c r="K4059" s="444">
        <f t="shared" ca="1" si="158"/>
        <v>-19813468346.590347</v>
      </c>
      <c r="L4059" s="444">
        <f t="shared" ca="1" si="159"/>
        <v>-4775045871528.2744</v>
      </c>
      <c r="M4059" s="460">
        <f t="shared" si="161"/>
        <v>0.05</v>
      </c>
      <c r="N4059" s="464">
        <f t="shared" si="162"/>
        <v>174588</v>
      </c>
    </row>
    <row r="4060" spans="7:14" ht="11.25" customHeight="1" x14ac:dyDescent="0.3">
      <c r="G4060" s="459"/>
      <c r="H4060" s="459">
        <v>4053</v>
      </c>
      <c r="I4060" s="444">
        <f t="shared" ca="1" si="160"/>
        <v>-4775045871528.2744</v>
      </c>
      <c r="J4060" s="444">
        <f t="array" ref="J4060">IFERROR(INDEX('Retirement Calculator'!K:K,MATCH('Lorri 401b'!N4060,'Retirement Calculator'!A:A,0),0),0)</f>
        <v>0</v>
      </c>
      <c r="K4060" s="444">
        <f t="shared" ca="1" si="158"/>
        <v>-19896024464.701141</v>
      </c>
      <c r="L4060" s="444">
        <f t="shared" ca="1" si="159"/>
        <v>-4794941895992.9756</v>
      </c>
      <c r="M4060" s="460">
        <f t="shared" si="161"/>
        <v>0.05</v>
      </c>
      <c r="N4060" s="464">
        <f t="shared" si="162"/>
        <v>174619</v>
      </c>
    </row>
    <row r="4061" spans="7:14" ht="11.25" customHeight="1" x14ac:dyDescent="0.3">
      <c r="G4061" s="459"/>
      <c r="H4061" s="459">
        <v>4054</v>
      </c>
      <c r="I4061" s="444">
        <f t="shared" ca="1" si="160"/>
        <v>-4794941895992.9756</v>
      </c>
      <c r="J4061" s="444">
        <f t="array" ref="J4061">IFERROR(INDEX('Retirement Calculator'!K:K,MATCH('Lorri 401b'!N4061,'Retirement Calculator'!A:A,0),0),0)</f>
        <v>0</v>
      </c>
      <c r="K4061" s="444">
        <f t="shared" ca="1" si="158"/>
        <v>-19978924566.637398</v>
      </c>
      <c r="L4061" s="444">
        <f t="shared" ca="1" si="159"/>
        <v>-4814920820559.6133</v>
      </c>
      <c r="M4061" s="460">
        <f t="shared" si="161"/>
        <v>0.05</v>
      </c>
      <c r="N4061" s="464">
        <f t="shared" si="162"/>
        <v>174647</v>
      </c>
    </row>
    <row r="4062" spans="7:14" ht="11.25" customHeight="1" x14ac:dyDescent="0.3">
      <c r="G4062" s="459"/>
      <c r="H4062" s="459">
        <v>4055</v>
      </c>
      <c r="I4062" s="444">
        <f t="shared" ca="1" si="160"/>
        <v>-4814920820559.6133</v>
      </c>
      <c r="J4062" s="444">
        <f t="array" ref="J4062">IFERROR(INDEX('Retirement Calculator'!K:K,MATCH('Lorri 401b'!N4062,'Retirement Calculator'!A:A,0),0),0)</f>
        <v>0</v>
      </c>
      <c r="K4062" s="444">
        <f t="shared" ca="1" si="158"/>
        <v>-20062170085.665054</v>
      </c>
      <c r="L4062" s="444">
        <f t="shared" ca="1" si="159"/>
        <v>-4834982990645.2783</v>
      </c>
      <c r="M4062" s="460">
        <f t="shared" si="161"/>
        <v>0.05</v>
      </c>
      <c r="N4062" s="464">
        <f t="shared" si="162"/>
        <v>174678</v>
      </c>
    </row>
    <row r="4063" spans="7:14" ht="11.25" customHeight="1" x14ac:dyDescent="0.3">
      <c r="G4063" s="459"/>
      <c r="H4063" s="459">
        <v>4056</v>
      </c>
      <c r="I4063" s="444">
        <f t="shared" ca="1" si="160"/>
        <v>-4834982990645.2783</v>
      </c>
      <c r="J4063" s="444">
        <f t="array" ref="J4063">IFERROR(INDEX('Retirement Calculator'!K:K,MATCH('Lorri 401b'!N4063,'Retirement Calculator'!A:A,0),0),0)</f>
        <v>0</v>
      </c>
      <c r="K4063" s="444">
        <f t="shared" ca="1" si="158"/>
        <v>-20145762461.021992</v>
      </c>
      <c r="L4063" s="444">
        <f t="shared" ca="1" si="159"/>
        <v>-4855128753106.3008</v>
      </c>
      <c r="M4063" s="460">
        <f t="shared" si="161"/>
        <v>0.05</v>
      </c>
      <c r="N4063" s="464">
        <f t="shared" si="162"/>
        <v>174708</v>
      </c>
    </row>
    <row r="4064" spans="7:14" ht="11.25" customHeight="1" x14ac:dyDescent="0.3">
      <c r="G4064" s="459"/>
      <c r="H4064" s="459">
        <v>4057</v>
      </c>
      <c r="I4064" s="444">
        <f t="shared" ca="1" si="160"/>
        <v>-4855128753106.3008</v>
      </c>
      <c r="J4064" s="444">
        <f t="array" ref="J4064">IFERROR(INDEX('Retirement Calculator'!K:K,MATCH('Lorri 401b'!N4064,'Retirement Calculator'!A:A,0),0),0)</f>
        <v>0</v>
      </c>
      <c r="K4064" s="444">
        <f t="shared" ca="1" si="158"/>
        <v>-20229703137.942921</v>
      </c>
      <c r="L4064" s="444">
        <f t="shared" ca="1" si="159"/>
        <v>-4875358456244.2441</v>
      </c>
      <c r="M4064" s="460">
        <f t="shared" si="161"/>
        <v>0.05</v>
      </c>
      <c r="N4064" s="464">
        <f t="shared" si="162"/>
        <v>174739</v>
      </c>
    </row>
    <row r="4065" spans="7:14" ht="11.25" customHeight="1" x14ac:dyDescent="0.3">
      <c r="G4065" s="459"/>
      <c r="H4065" s="459">
        <v>4058</v>
      </c>
      <c r="I4065" s="444">
        <f t="shared" ca="1" si="160"/>
        <v>-4875358456244.2441</v>
      </c>
      <c r="J4065" s="444">
        <f t="array" ref="J4065">IFERROR(INDEX('Retirement Calculator'!K:K,MATCH('Lorri 401b'!N4065,'Retirement Calculator'!A:A,0),0),0)</f>
        <v>0</v>
      </c>
      <c r="K4065" s="444">
        <f t="shared" ca="1" si="158"/>
        <v>-20313993567.684349</v>
      </c>
      <c r="L4065" s="444">
        <f t="shared" ca="1" si="159"/>
        <v>-4895672449811.9287</v>
      </c>
      <c r="M4065" s="460">
        <f t="shared" si="161"/>
        <v>0.05</v>
      </c>
      <c r="N4065" s="464">
        <f t="shared" si="162"/>
        <v>174769</v>
      </c>
    </row>
    <row r="4066" spans="7:14" ht="11.25" customHeight="1" x14ac:dyDescent="0.3">
      <c r="G4066" s="459"/>
      <c r="H4066" s="459">
        <v>4059</v>
      </c>
      <c r="I4066" s="444">
        <f t="shared" ca="1" si="160"/>
        <v>-4895672449811.9287</v>
      </c>
      <c r="J4066" s="444">
        <f t="array" ref="J4066">IFERROR(INDEX('Retirement Calculator'!K:K,MATCH('Lorri 401b'!N4066,'Retirement Calculator'!A:A,0),0),0)</f>
        <v>0</v>
      </c>
      <c r="K4066" s="444">
        <f t="shared" ca="1" si="158"/>
        <v>-20398635207.549702</v>
      </c>
      <c r="L4066" s="444">
        <f t="shared" ca="1" si="159"/>
        <v>-4916071085019.4785</v>
      </c>
      <c r="M4066" s="460">
        <f t="shared" si="161"/>
        <v>0.05</v>
      </c>
      <c r="N4066" s="464">
        <f t="shared" si="162"/>
        <v>174800</v>
      </c>
    </row>
    <row r="4067" spans="7:14" ht="11.25" customHeight="1" x14ac:dyDescent="0.3">
      <c r="G4067" s="459"/>
      <c r="H4067" s="459">
        <v>4060</v>
      </c>
      <c r="I4067" s="444">
        <f t="shared" ca="1" si="160"/>
        <v>-4916071085019.4785</v>
      </c>
      <c r="J4067" s="444">
        <f t="array" ref="J4067">IFERROR(INDEX('Retirement Calculator'!K:K,MATCH('Lorri 401b'!N4067,'Retirement Calculator'!A:A,0),0),0)</f>
        <v>0</v>
      </c>
      <c r="K4067" s="444">
        <f t="shared" ca="1" si="158"/>
        <v>-20483629520.914494</v>
      </c>
      <c r="L4067" s="444">
        <f t="shared" ca="1" si="159"/>
        <v>-4936554714540.3926</v>
      </c>
      <c r="M4067" s="460">
        <f t="shared" si="161"/>
        <v>0.05</v>
      </c>
      <c r="N4067" s="464">
        <f t="shared" si="162"/>
        <v>174831</v>
      </c>
    </row>
    <row r="4068" spans="7:14" ht="11.25" customHeight="1" x14ac:dyDescent="0.3">
      <c r="G4068" s="459"/>
      <c r="H4068" s="459">
        <v>4061</v>
      </c>
      <c r="I4068" s="444">
        <f t="shared" ca="1" si="160"/>
        <v>-4936554714540.3926</v>
      </c>
      <c r="J4068" s="444">
        <f t="array" ref="J4068">IFERROR(INDEX('Retirement Calculator'!K:K,MATCH('Lorri 401b'!N4068,'Retirement Calculator'!A:A,0),0),0)</f>
        <v>0</v>
      </c>
      <c r="K4068" s="444">
        <f t="shared" ca="1" si="158"/>
        <v>-20568977977.251637</v>
      </c>
      <c r="L4068" s="444">
        <f t="shared" ca="1" si="159"/>
        <v>-4957123692517.6445</v>
      </c>
      <c r="M4068" s="460">
        <f t="shared" si="161"/>
        <v>0.05</v>
      </c>
      <c r="N4068" s="464">
        <f t="shared" si="162"/>
        <v>174861</v>
      </c>
    </row>
    <row r="4069" spans="7:14" ht="11.25" customHeight="1" x14ac:dyDescent="0.3">
      <c r="G4069" s="459"/>
      <c r="H4069" s="459">
        <v>4062</v>
      </c>
      <c r="I4069" s="444">
        <f t="shared" ca="1" si="160"/>
        <v>-4957123692517.6445</v>
      </c>
      <c r="J4069" s="444">
        <f t="array" ref="J4069">IFERROR(INDEX('Retirement Calculator'!K:K,MATCH('Lorri 401b'!N4069,'Retirement Calculator'!A:A,0),0),0)</f>
        <v>0</v>
      </c>
      <c r="K4069" s="444">
        <f t="shared" ca="1" si="158"/>
        <v>-20654682052.156853</v>
      </c>
      <c r="L4069" s="444">
        <f t="shared" ca="1" si="159"/>
        <v>-4977778374569.8018</v>
      </c>
      <c r="M4069" s="460">
        <f t="shared" si="161"/>
        <v>0.05</v>
      </c>
      <c r="N4069" s="464">
        <f t="shared" si="162"/>
        <v>174892</v>
      </c>
    </row>
    <row r="4070" spans="7:14" ht="11.25" customHeight="1" x14ac:dyDescent="0.3">
      <c r="G4070" s="459"/>
      <c r="H4070" s="459">
        <v>4063</v>
      </c>
      <c r="I4070" s="444">
        <f t="shared" ca="1" si="160"/>
        <v>-4977778374569.8018</v>
      </c>
      <c r="J4070" s="444">
        <f t="array" ref="J4070">IFERROR(INDEX('Retirement Calculator'!K:K,MATCH('Lorri 401b'!N4070,'Retirement Calculator'!A:A,0),0),0)</f>
        <v>0</v>
      </c>
      <c r="K4070" s="444">
        <f t="shared" ca="1" si="158"/>
        <v>-20740743227.374172</v>
      </c>
      <c r="L4070" s="444">
        <f t="shared" ca="1" si="159"/>
        <v>-4998519117797.1758</v>
      </c>
      <c r="M4070" s="460">
        <f t="shared" si="161"/>
        <v>0.05</v>
      </c>
      <c r="N4070" s="464">
        <f t="shared" si="162"/>
        <v>174922</v>
      </c>
    </row>
    <row r="4071" spans="7:14" ht="11.25" customHeight="1" x14ac:dyDescent="0.3">
      <c r="G4071" s="459"/>
      <c r="H4071" s="459">
        <v>4064</v>
      </c>
      <c r="I4071" s="444">
        <f t="shared" ca="1" si="160"/>
        <v>-4998519117797.1758</v>
      </c>
      <c r="J4071" s="444">
        <f t="array" ref="J4071">IFERROR(INDEX('Retirement Calculator'!K:K,MATCH('Lorri 401b'!N4071,'Retirement Calculator'!A:A,0),0),0)</f>
        <v>0</v>
      </c>
      <c r="K4071" s="444">
        <f t="shared" ca="1" si="158"/>
        <v>-20827162990.821564</v>
      </c>
      <c r="L4071" s="444">
        <f t="shared" ca="1" si="159"/>
        <v>-5019346280787.9971</v>
      </c>
      <c r="M4071" s="460">
        <f t="shared" si="161"/>
        <v>0.05</v>
      </c>
      <c r="N4071" s="464">
        <f t="shared" si="162"/>
        <v>174953</v>
      </c>
    </row>
    <row r="4072" spans="7:14" ht="11.25" customHeight="1" x14ac:dyDescent="0.3">
      <c r="G4072" s="459"/>
      <c r="H4072" s="459">
        <v>4065</v>
      </c>
      <c r="I4072" s="444">
        <f t="shared" ca="1" si="160"/>
        <v>-5019346280787.9971</v>
      </c>
      <c r="J4072" s="444">
        <f t="array" ref="J4072">IFERROR(INDEX('Retirement Calculator'!K:K,MATCH('Lorri 401b'!N4072,'Retirement Calculator'!A:A,0),0),0)</f>
        <v>0</v>
      </c>
      <c r="K4072" s="444">
        <f t="shared" ca="1" si="158"/>
        <v>-20913942836.616653</v>
      </c>
      <c r="L4072" s="444">
        <f t="shared" ca="1" si="159"/>
        <v>-5040260223624.6133</v>
      </c>
      <c r="M4072" s="460">
        <f t="shared" si="161"/>
        <v>0.05</v>
      </c>
      <c r="N4072" s="464">
        <f t="shared" si="162"/>
        <v>174984</v>
      </c>
    </row>
    <row r="4073" spans="7:14" ht="11.25" customHeight="1" x14ac:dyDescent="0.3">
      <c r="G4073" s="459"/>
      <c r="H4073" s="459">
        <v>4066</v>
      </c>
      <c r="I4073" s="444">
        <f t="shared" ca="1" si="160"/>
        <v>-5040260223624.6133</v>
      </c>
      <c r="J4073" s="444">
        <f t="array" ref="J4073">IFERROR(INDEX('Retirement Calculator'!K:K,MATCH('Lorri 401b'!N4073,'Retirement Calculator'!A:A,0),0),0)</f>
        <v>0</v>
      </c>
      <c r="K4073" s="444">
        <f t="shared" ca="1" si="158"/>
        <v>-21001084265.102554</v>
      </c>
      <c r="L4073" s="444">
        <f t="shared" ca="1" si="159"/>
        <v>-5061261307889.7158</v>
      </c>
      <c r="M4073" s="460">
        <f t="shared" si="161"/>
        <v>0.05</v>
      </c>
      <c r="N4073" s="464">
        <f t="shared" si="162"/>
        <v>175012</v>
      </c>
    </row>
    <row r="4074" spans="7:14" ht="11.25" customHeight="1" x14ac:dyDescent="0.3">
      <c r="G4074" s="459"/>
      <c r="H4074" s="459">
        <v>4067</v>
      </c>
      <c r="I4074" s="444">
        <f t="shared" ca="1" si="160"/>
        <v>-5061261307889.7158</v>
      </c>
      <c r="J4074" s="444">
        <f t="array" ref="J4074">IFERROR(INDEX('Retirement Calculator'!K:K,MATCH('Lorri 401b'!N4074,'Retirement Calculator'!A:A,0),0),0)</f>
        <v>0</v>
      </c>
      <c r="K4074" s="444">
        <f t="shared" ca="1" si="158"/>
        <v>-21088588782.873817</v>
      </c>
      <c r="L4074" s="444">
        <f t="shared" ca="1" si="159"/>
        <v>-5082349896672.5898</v>
      </c>
      <c r="M4074" s="460">
        <f t="shared" si="161"/>
        <v>0.05</v>
      </c>
      <c r="N4074" s="464">
        <f t="shared" si="162"/>
        <v>175043</v>
      </c>
    </row>
    <row r="4075" spans="7:14" ht="11.25" customHeight="1" x14ac:dyDescent="0.3">
      <c r="G4075" s="459"/>
      <c r="H4075" s="459">
        <v>4068</v>
      </c>
      <c r="I4075" s="444">
        <f t="shared" ca="1" si="160"/>
        <v>-5082349896672.5898</v>
      </c>
      <c r="J4075" s="444">
        <f t="array" ref="J4075">IFERROR(INDEX('Retirement Calculator'!K:K,MATCH('Lorri 401b'!N4075,'Retirement Calculator'!A:A,0),0),0)</f>
        <v>0</v>
      </c>
      <c r="K4075" s="444">
        <f t="shared" ca="1" si="158"/>
        <v>-21176457902.802456</v>
      </c>
      <c r="L4075" s="444">
        <f t="shared" ca="1" si="159"/>
        <v>-5103526354575.3926</v>
      </c>
      <c r="M4075" s="460">
        <f t="shared" si="161"/>
        <v>0.05</v>
      </c>
      <c r="N4075" s="464">
        <f t="shared" si="162"/>
        <v>175073</v>
      </c>
    </row>
    <row r="4076" spans="7:14" ht="11.25" customHeight="1" x14ac:dyDescent="0.3">
      <c r="G4076" s="459"/>
      <c r="H4076" s="459">
        <v>4069</v>
      </c>
      <c r="I4076" s="444">
        <f t="shared" ca="1" si="160"/>
        <v>-5103526354575.3926</v>
      </c>
      <c r="J4076" s="444">
        <f t="array" ref="J4076">IFERROR(INDEX('Retirement Calculator'!K:K,MATCH('Lorri 401b'!N4076,'Retirement Calculator'!A:A,0),0),0)</f>
        <v>0</v>
      </c>
      <c r="K4076" s="444">
        <f t="shared" ca="1" si="158"/>
        <v>-21264693144.064137</v>
      </c>
      <c r="L4076" s="444">
        <f t="shared" ca="1" si="159"/>
        <v>-5124791047719.457</v>
      </c>
      <c r="M4076" s="460">
        <f t="shared" si="161"/>
        <v>0.05</v>
      </c>
      <c r="N4076" s="464">
        <f t="shared" si="162"/>
        <v>175104</v>
      </c>
    </row>
    <row r="4077" spans="7:14" ht="11.25" customHeight="1" x14ac:dyDescent="0.3">
      <c r="G4077" s="459"/>
      <c r="H4077" s="459">
        <v>4070</v>
      </c>
      <c r="I4077" s="444">
        <f t="shared" ca="1" si="160"/>
        <v>-5124791047719.457</v>
      </c>
      <c r="J4077" s="444">
        <f t="array" ref="J4077">IFERROR(INDEX('Retirement Calculator'!K:K,MATCH('Lorri 401b'!N4077,'Retirement Calculator'!A:A,0),0),0)</f>
        <v>0</v>
      </c>
      <c r="K4077" s="444">
        <f t="shared" ca="1" si="158"/>
        <v>-21353296032.164406</v>
      </c>
      <c r="L4077" s="444">
        <f t="shared" ca="1" si="159"/>
        <v>-5146144343751.6211</v>
      </c>
      <c r="M4077" s="460">
        <f t="shared" si="161"/>
        <v>0.05</v>
      </c>
      <c r="N4077" s="464">
        <f t="shared" si="162"/>
        <v>175134</v>
      </c>
    </row>
    <row r="4078" spans="7:14" ht="11.25" customHeight="1" x14ac:dyDescent="0.3">
      <c r="G4078" s="459"/>
      <c r="H4078" s="459">
        <v>4071</v>
      </c>
      <c r="I4078" s="444">
        <f t="shared" ca="1" si="160"/>
        <v>-5146144343751.6211</v>
      </c>
      <c r="J4078" s="444">
        <f t="array" ref="J4078">IFERROR(INDEX('Retirement Calculator'!K:K,MATCH('Lorri 401b'!N4078,'Retirement Calculator'!A:A,0),0),0)</f>
        <v>0</v>
      </c>
      <c r="K4078" s="444">
        <f t="shared" ca="1" si="158"/>
        <v>-21442268098.965088</v>
      </c>
      <c r="L4078" s="444">
        <f t="shared" ca="1" si="159"/>
        <v>-5167586611850.5859</v>
      </c>
      <c r="M4078" s="460">
        <f t="shared" si="161"/>
        <v>0.05</v>
      </c>
      <c r="N4078" s="464">
        <f t="shared" si="162"/>
        <v>175165</v>
      </c>
    </row>
    <row r="4079" spans="7:14" ht="11.25" customHeight="1" x14ac:dyDescent="0.3">
      <c r="G4079" s="459"/>
      <c r="H4079" s="459">
        <v>4072</v>
      </c>
      <c r="I4079" s="444">
        <f t="shared" ca="1" si="160"/>
        <v>-5167586611850.5859</v>
      </c>
      <c r="J4079" s="444">
        <f t="array" ref="J4079">IFERROR(INDEX('Retirement Calculator'!K:K,MATCH('Lorri 401b'!N4079,'Retirement Calculator'!A:A,0),0),0)</f>
        <v>0</v>
      </c>
      <c r="K4079" s="444">
        <f t="shared" ca="1" si="158"/>
        <v>-21531610882.710773</v>
      </c>
      <c r="L4079" s="444">
        <f t="shared" ca="1" si="159"/>
        <v>-5189118222733.2969</v>
      </c>
      <c r="M4079" s="460">
        <f t="shared" si="161"/>
        <v>0.05</v>
      </c>
      <c r="N4079" s="464">
        <f t="shared" si="162"/>
        <v>175196</v>
      </c>
    </row>
    <row r="4080" spans="7:14" ht="11.25" customHeight="1" x14ac:dyDescent="0.3">
      <c r="G4080" s="459"/>
      <c r="H4080" s="459">
        <v>4073</v>
      </c>
      <c r="I4080" s="444">
        <f t="shared" ca="1" si="160"/>
        <v>-5189118222733.2969</v>
      </c>
      <c r="J4080" s="444">
        <f t="array" ref="J4080">IFERROR(INDEX('Retirement Calculator'!K:K,MATCH('Lorri 401b'!N4080,'Retirement Calculator'!A:A,0),0),0)</f>
        <v>0</v>
      </c>
      <c r="K4080" s="444">
        <f t="shared" ca="1" si="158"/>
        <v>-21621325928.055405</v>
      </c>
      <c r="L4080" s="444">
        <f t="shared" ca="1" si="159"/>
        <v>-5210739548661.3525</v>
      </c>
      <c r="M4080" s="460">
        <f t="shared" si="161"/>
        <v>0.05</v>
      </c>
      <c r="N4080" s="464">
        <f t="shared" si="162"/>
        <v>175226</v>
      </c>
    </row>
    <row r="4081" spans="7:14" ht="11.25" customHeight="1" x14ac:dyDescent="0.3">
      <c r="G4081" s="459"/>
      <c r="H4081" s="459">
        <v>4074</v>
      </c>
      <c r="I4081" s="444">
        <f t="shared" ca="1" si="160"/>
        <v>-5210739548661.3525</v>
      </c>
      <c r="J4081" s="444">
        <f t="array" ref="J4081">IFERROR(INDEX('Retirement Calculator'!K:K,MATCH('Lorri 401b'!N4081,'Retirement Calculator'!A:A,0),0),0)</f>
        <v>0</v>
      </c>
      <c r="K4081" s="444">
        <f t="shared" ca="1" si="158"/>
        <v>-21711414786.08897</v>
      </c>
      <c r="L4081" s="444">
        <f t="shared" ca="1" si="159"/>
        <v>-5232450963447.4414</v>
      </c>
      <c r="M4081" s="460">
        <f t="shared" si="161"/>
        <v>0.05</v>
      </c>
      <c r="N4081" s="464">
        <f t="shared" si="162"/>
        <v>175257</v>
      </c>
    </row>
    <row r="4082" spans="7:14" ht="11.25" customHeight="1" x14ac:dyDescent="0.3">
      <c r="G4082" s="459"/>
      <c r="H4082" s="459">
        <v>4075</v>
      </c>
      <c r="I4082" s="444">
        <f t="shared" ca="1" si="160"/>
        <v>-5232450963447.4414</v>
      </c>
      <c r="J4082" s="444">
        <f t="array" ref="J4082">IFERROR(INDEX('Retirement Calculator'!K:K,MATCH('Lorri 401b'!N4082,'Retirement Calculator'!A:A,0),0),0)</f>
        <v>0</v>
      </c>
      <c r="K4082" s="444">
        <f t="shared" ca="1" si="158"/>
        <v>-21801879014.364338</v>
      </c>
      <c r="L4082" s="444">
        <f t="shared" ca="1" si="159"/>
        <v>-5254252842461.8057</v>
      </c>
      <c r="M4082" s="460">
        <f t="shared" si="161"/>
        <v>0.05</v>
      </c>
      <c r="N4082" s="464">
        <f t="shared" si="162"/>
        <v>175287</v>
      </c>
    </row>
    <row r="4083" spans="7:14" ht="11.25" customHeight="1" x14ac:dyDescent="0.3">
      <c r="G4083" s="459"/>
      <c r="H4083" s="459">
        <v>4076</v>
      </c>
      <c r="I4083" s="444">
        <f t="shared" ca="1" si="160"/>
        <v>-5254252842461.8057</v>
      </c>
      <c r="J4083" s="444">
        <f t="array" ref="J4083">IFERROR(INDEX('Retirement Calculator'!K:K,MATCH('Lorri 401b'!N4083,'Retirement Calculator'!A:A,0),0),0)</f>
        <v>0</v>
      </c>
      <c r="K4083" s="444">
        <f t="shared" ca="1" si="158"/>
        <v>-21892720176.924191</v>
      </c>
      <c r="L4083" s="444">
        <f t="shared" ca="1" si="159"/>
        <v>-5276145562638.7295</v>
      </c>
      <c r="M4083" s="460">
        <f t="shared" si="161"/>
        <v>0.05</v>
      </c>
      <c r="N4083" s="464">
        <f t="shared" si="162"/>
        <v>175318</v>
      </c>
    </row>
    <row r="4084" spans="7:14" ht="11.25" customHeight="1" x14ac:dyDescent="0.3">
      <c r="G4084" s="459"/>
      <c r="H4084" s="459">
        <v>4077</v>
      </c>
      <c r="I4084" s="444">
        <f t="shared" ca="1" si="160"/>
        <v>-5276145562638.7295</v>
      </c>
      <c r="J4084" s="444">
        <f t="array" ref="J4084">IFERROR(INDEX('Retirement Calculator'!K:K,MATCH('Lorri 401b'!N4084,'Retirement Calculator'!A:A,0),0),0)</f>
        <v>0</v>
      </c>
      <c r="K4084" s="444">
        <f t="shared" ca="1" si="158"/>
        <v>-21983939844.328041</v>
      </c>
      <c r="L4084" s="444">
        <f t="shared" ca="1" si="159"/>
        <v>-5298129502483.0576</v>
      </c>
      <c r="M4084" s="460">
        <f t="shared" si="161"/>
        <v>0.05</v>
      </c>
      <c r="N4084" s="464">
        <f t="shared" si="162"/>
        <v>175349</v>
      </c>
    </row>
    <row r="4085" spans="7:14" ht="11.25" customHeight="1" x14ac:dyDescent="0.3">
      <c r="G4085" s="459"/>
      <c r="H4085" s="459">
        <v>4078</v>
      </c>
      <c r="I4085" s="444">
        <f t="shared" ca="1" si="160"/>
        <v>-5298129502483.0576</v>
      </c>
      <c r="J4085" s="444">
        <f t="array" ref="J4085">IFERROR(INDEX('Retirement Calculator'!K:K,MATCH('Lorri 401b'!N4085,'Retirement Calculator'!A:A,0),0),0)</f>
        <v>0</v>
      </c>
      <c r="K4085" s="444">
        <f t="shared" ca="1" si="158"/>
        <v>-22075539593.679405</v>
      </c>
      <c r="L4085" s="444">
        <f t="shared" ca="1" si="159"/>
        <v>-5320205042076.7373</v>
      </c>
      <c r="M4085" s="460">
        <f t="shared" si="161"/>
        <v>0.05</v>
      </c>
      <c r="N4085" s="464">
        <f t="shared" si="162"/>
        <v>175378</v>
      </c>
    </row>
    <row r="4086" spans="7:14" ht="11.25" customHeight="1" x14ac:dyDescent="0.3">
      <c r="G4086" s="459"/>
      <c r="H4086" s="459">
        <v>4079</v>
      </c>
      <c r="I4086" s="444">
        <f t="shared" ca="1" si="160"/>
        <v>-5320205042076.7373</v>
      </c>
      <c r="J4086" s="444">
        <f t="array" ref="J4086">IFERROR(INDEX('Retirement Calculator'!K:K,MATCH('Lorri 401b'!N4086,'Retirement Calculator'!A:A,0),0),0)</f>
        <v>0</v>
      </c>
      <c r="K4086" s="444">
        <f t="shared" ca="1" si="158"/>
        <v>-22167521008.653072</v>
      </c>
      <c r="L4086" s="444">
        <f t="shared" ca="1" si="159"/>
        <v>-5342372563085.3906</v>
      </c>
      <c r="M4086" s="460">
        <f t="shared" si="161"/>
        <v>0.05</v>
      </c>
      <c r="N4086" s="464">
        <f t="shared" si="162"/>
        <v>175409</v>
      </c>
    </row>
    <row r="4087" spans="7:14" ht="11.25" customHeight="1" x14ac:dyDescent="0.3">
      <c r="G4087" s="459"/>
      <c r="H4087" s="459">
        <v>4080</v>
      </c>
      <c r="I4087" s="444">
        <f t="shared" ca="1" si="160"/>
        <v>-5342372563085.3906</v>
      </c>
      <c r="J4087" s="444">
        <f t="array" ref="J4087">IFERROR(INDEX('Retirement Calculator'!K:K,MATCH('Lorri 401b'!N4087,'Retirement Calculator'!A:A,0),0),0)</f>
        <v>0</v>
      </c>
      <c r="K4087" s="444">
        <f t="shared" ca="1" si="158"/>
        <v>-22259885679.522461</v>
      </c>
      <c r="L4087" s="444">
        <f t="shared" ca="1" si="159"/>
        <v>-5364632448764.9131</v>
      </c>
      <c r="M4087" s="460">
        <f t="shared" si="161"/>
        <v>0.05</v>
      </c>
      <c r="N4087" s="464">
        <f t="shared" si="162"/>
        <v>175439</v>
      </c>
    </row>
    <row r="4088" spans="7:14" ht="11.25" customHeight="1" x14ac:dyDescent="0.3">
      <c r="G4088" s="459"/>
      <c r="H4088" s="459">
        <v>4081</v>
      </c>
      <c r="I4088" s="444">
        <f t="shared" ca="1" si="160"/>
        <v>-5364632448764.9131</v>
      </c>
      <c r="J4088" s="444">
        <f t="array" ref="J4088">IFERROR(INDEX('Retirement Calculator'!K:K,MATCH('Lorri 401b'!N4088,'Retirement Calculator'!A:A,0),0),0)</f>
        <v>0</v>
      </c>
      <c r="K4088" s="444">
        <f t="shared" ref="K4088:K4342" ca="1" si="163">IPMT(M4088/12,1,12,-I4088+J4088,,0)</f>
        <v>-22352635203.187138</v>
      </c>
      <c r="L4088" s="444">
        <f t="shared" ref="L4088:L4342" ca="1" si="164">I4088-J4088+K4088</f>
        <v>-5386985083968.1006</v>
      </c>
      <c r="M4088" s="460">
        <f t="shared" si="161"/>
        <v>0.05</v>
      </c>
      <c r="N4088" s="464">
        <f t="shared" si="162"/>
        <v>175470</v>
      </c>
    </row>
    <row r="4089" spans="7:14" ht="11.25" customHeight="1" x14ac:dyDescent="0.3">
      <c r="G4089" s="459"/>
      <c r="H4089" s="459">
        <v>4082</v>
      </c>
      <c r="I4089" s="444">
        <f t="shared" ref="I4089:I4343" ca="1" si="165">L4088</f>
        <v>-5386985083968.1006</v>
      </c>
      <c r="J4089" s="444">
        <f t="array" ref="J4089">IFERROR(INDEX('Retirement Calculator'!K:K,MATCH('Lorri 401b'!N4089,'Retirement Calculator'!A:A,0),0),0)</f>
        <v>0</v>
      </c>
      <c r="K4089" s="444">
        <f t="shared" ca="1" si="163"/>
        <v>-22445771183.20042</v>
      </c>
      <c r="L4089" s="444">
        <f t="shared" ca="1" si="164"/>
        <v>-5409430855151.3008</v>
      </c>
      <c r="M4089" s="460">
        <f t="shared" ref="M4089:M4343" si="166">M4088</f>
        <v>0.05</v>
      </c>
      <c r="N4089" s="464">
        <f t="shared" ref="N4089:N4343" si="167">EDATE(N4088,1)</f>
        <v>175500</v>
      </c>
    </row>
    <row r="4090" spans="7:14" ht="11.25" customHeight="1" x14ac:dyDescent="0.3">
      <c r="G4090" s="459"/>
      <c r="H4090" s="459">
        <v>4083</v>
      </c>
      <c r="I4090" s="444">
        <f t="shared" ca="1" si="165"/>
        <v>-5409430855151.3008</v>
      </c>
      <c r="J4090" s="444">
        <f t="array" ref="J4090">IFERROR(INDEX('Retirement Calculator'!K:K,MATCH('Lorri 401b'!N4090,'Retirement Calculator'!A:A,0),0),0)</f>
        <v>0</v>
      </c>
      <c r="K4090" s="444">
        <f t="shared" ca="1" si="163"/>
        <v>-22539295229.797085</v>
      </c>
      <c r="L4090" s="444">
        <f t="shared" ca="1" si="164"/>
        <v>-5431970150381.0977</v>
      </c>
      <c r="M4090" s="460">
        <f t="shared" si="166"/>
        <v>0.05</v>
      </c>
      <c r="N4090" s="464">
        <f t="shared" si="167"/>
        <v>175531</v>
      </c>
    </row>
    <row r="4091" spans="7:14" ht="11.25" customHeight="1" x14ac:dyDescent="0.3">
      <c r="G4091" s="459"/>
      <c r="H4091" s="459">
        <v>4084</v>
      </c>
      <c r="I4091" s="444">
        <f t="shared" ca="1" si="165"/>
        <v>-5431970150381.0977</v>
      </c>
      <c r="J4091" s="444">
        <f t="array" ref="J4091">IFERROR(INDEX('Retirement Calculator'!K:K,MATCH('Lorri 401b'!N4091,'Retirement Calculator'!A:A,0),0),0)</f>
        <v>0</v>
      </c>
      <c r="K4091" s="444">
        <f t="shared" ca="1" si="163"/>
        <v>-22633208959.921242</v>
      </c>
      <c r="L4091" s="444">
        <f t="shared" ca="1" si="164"/>
        <v>-5454603359341.0186</v>
      </c>
      <c r="M4091" s="460">
        <f t="shared" si="166"/>
        <v>0.05</v>
      </c>
      <c r="N4091" s="464">
        <f t="shared" si="167"/>
        <v>175562</v>
      </c>
    </row>
    <row r="4092" spans="7:14" ht="11.25" customHeight="1" x14ac:dyDescent="0.3">
      <c r="G4092" s="459"/>
      <c r="H4092" s="459">
        <v>4085</v>
      </c>
      <c r="I4092" s="444">
        <f t="shared" ca="1" si="165"/>
        <v>-5454603359341.0186</v>
      </c>
      <c r="J4092" s="444">
        <f t="array" ref="J4092">IFERROR(INDEX('Retirement Calculator'!K:K,MATCH('Lorri 401b'!N4092,'Retirement Calculator'!A:A,0),0),0)</f>
        <v>0</v>
      </c>
      <c r="K4092" s="444">
        <f t="shared" ca="1" si="163"/>
        <v>-22727513997.254242</v>
      </c>
      <c r="L4092" s="444">
        <f t="shared" ca="1" si="164"/>
        <v>-5477330873338.2725</v>
      </c>
      <c r="M4092" s="460">
        <f t="shared" si="166"/>
        <v>0.05</v>
      </c>
      <c r="N4092" s="464">
        <f t="shared" si="167"/>
        <v>175592</v>
      </c>
    </row>
    <row r="4093" spans="7:14" ht="11.25" customHeight="1" x14ac:dyDescent="0.3">
      <c r="G4093" s="459"/>
      <c r="H4093" s="459">
        <v>4086</v>
      </c>
      <c r="I4093" s="444">
        <f t="shared" ca="1" si="165"/>
        <v>-5477330873338.2725</v>
      </c>
      <c r="J4093" s="444">
        <f t="array" ref="J4093">IFERROR(INDEX('Retirement Calculator'!K:K,MATCH('Lorri 401b'!N4093,'Retirement Calculator'!A:A,0),0),0)</f>
        <v>0</v>
      </c>
      <c r="K4093" s="444">
        <f t="shared" ca="1" si="163"/>
        <v>-22822211972.242802</v>
      </c>
      <c r="L4093" s="444">
        <f t="shared" ca="1" si="164"/>
        <v>-5500153085310.5156</v>
      </c>
      <c r="M4093" s="460">
        <f t="shared" si="166"/>
        <v>0.05</v>
      </c>
      <c r="N4093" s="464">
        <f t="shared" si="167"/>
        <v>175623</v>
      </c>
    </row>
    <row r="4094" spans="7:14" ht="11.25" customHeight="1" x14ac:dyDescent="0.3">
      <c r="G4094" s="459"/>
      <c r="H4094" s="459">
        <v>4087</v>
      </c>
      <c r="I4094" s="444">
        <f t="shared" ca="1" si="165"/>
        <v>-5500153085310.5156</v>
      </c>
      <c r="J4094" s="444">
        <f t="array" ref="J4094">IFERROR(INDEX('Retirement Calculator'!K:K,MATCH('Lorri 401b'!N4094,'Retirement Calculator'!A:A,0),0),0)</f>
        <v>0</v>
      </c>
      <c r="K4094" s="444">
        <f t="shared" ca="1" si="163"/>
        <v>-22917304522.127148</v>
      </c>
      <c r="L4094" s="444">
        <f t="shared" ca="1" si="164"/>
        <v>-5523070389832.6426</v>
      </c>
      <c r="M4094" s="460">
        <f t="shared" si="166"/>
        <v>0.05</v>
      </c>
      <c r="N4094" s="464">
        <f t="shared" si="167"/>
        <v>175653</v>
      </c>
    </row>
    <row r="4095" spans="7:14" ht="11.25" customHeight="1" x14ac:dyDescent="0.3">
      <c r="G4095" s="459"/>
      <c r="H4095" s="459">
        <v>4088</v>
      </c>
      <c r="I4095" s="444">
        <f t="shared" ca="1" si="165"/>
        <v>-5523070389832.6426</v>
      </c>
      <c r="J4095" s="444">
        <f t="array" ref="J4095">IFERROR(INDEX('Retirement Calculator'!K:K,MATCH('Lorri 401b'!N4095,'Retirement Calculator'!A:A,0),0),0)</f>
        <v>0</v>
      </c>
      <c r="K4095" s="444">
        <f t="shared" ca="1" si="163"/>
        <v>-23012793290.969345</v>
      </c>
      <c r="L4095" s="444">
        <f t="shared" ca="1" si="164"/>
        <v>-5546083183123.6123</v>
      </c>
      <c r="M4095" s="460">
        <f t="shared" si="166"/>
        <v>0.05</v>
      </c>
      <c r="N4095" s="464">
        <f t="shared" si="167"/>
        <v>175684</v>
      </c>
    </row>
    <row r="4096" spans="7:14" ht="11.25" customHeight="1" x14ac:dyDescent="0.3">
      <c r="G4096" s="459"/>
      <c r="H4096" s="459">
        <v>4089</v>
      </c>
      <c r="I4096" s="444">
        <f t="shared" ca="1" si="165"/>
        <v>-5546083183123.6123</v>
      </c>
      <c r="J4096" s="444">
        <f t="array" ref="J4096">IFERROR(INDEX('Retirement Calculator'!K:K,MATCH('Lorri 401b'!N4096,'Retirement Calculator'!A:A,0),0),0)</f>
        <v>0</v>
      </c>
      <c r="K4096" s="444">
        <f t="shared" ca="1" si="163"/>
        <v>-23108679929.681717</v>
      </c>
      <c r="L4096" s="444">
        <f t="shared" ca="1" si="164"/>
        <v>-5569191863053.2939</v>
      </c>
      <c r="M4096" s="460">
        <f t="shared" si="166"/>
        <v>0.05</v>
      </c>
      <c r="N4096" s="464">
        <f t="shared" si="167"/>
        <v>175715</v>
      </c>
    </row>
    <row r="4097" spans="7:14" ht="11.25" customHeight="1" x14ac:dyDescent="0.3">
      <c r="G4097" s="459"/>
      <c r="H4097" s="459">
        <v>4090</v>
      </c>
      <c r="I4097" s="444">
        <f t="shared" ca="1" si="165"/>
        <v>-5569191863053.2939</v>
      </c>
      <c r="J4097" s="444">
        <f t="array" ref="J4097">IFERROR(INDEX('Retirement Calculator'!K:K,MATCH('Lorri 401b'!N4097,'Retirement Calculator'!A:A,0),0),0)</f>
        <v>0</v>
      </c>
      <c r="K4097" s="444">
        <f t="shared" ca="1" si="163"/>
        <v>-23204966096.055389</v>
      </c>
      <c r="L4097" s="444">
        <f t="shared" ca="1" si="164"/>
        <v>-5592396829149.3496</v>
      </c>
      <c r="M4097" s="460">
        <f t="shared" si="166"/>
        <v>0.05</v>
      </c>
      <c r="N4097" s="464">
        <f t="shared" si="167"/>
        <v>175743</v>
      </c>
    </row>
    <row r="4098" spans="7:14" ht="11.25" customHeight="1" x14ac:dyDescent="0.3">
      <c r="G4098" s="459"/>
      <c r="H4098" s="459">
        <v>4091</v>
      </c>
      <c r="I4098" s="444">
        <f t="shared" ca="1" si="165"/>
        <v>-5592396829149.3496</v>
      </c>
      <c r="J4098" s="444">
        <f t="array" ref="J4098">IFERROR(INDEX('Retirement Calculator'!K:K,MATCH('Lorri 401b'!N4098,'Retirement Calculator'!A:A,0),0),0)</f>
        <v>0</v>
      </c>
      <c r="K4098" s="444">
        <f t="shared" ca="1" si="163"/>
        <v>-23301653454.788956</v>
      </c>
      <c r="L4098" s="444">
        <f t="shared" ca="1" si="164"/>
        <v>-5615698482604.1387</v>
      </c>
      <c r="M4098" s="460">
        <f t="shared" si="166"/>
        <v>0.05</v>
      </c>
      <c r="N4098" s="464">
        <f t="shared" si="167"/>
        <v>175774</v>
      </c>
    </row>
    <row r="4099" spans="7:14" ht="11.25" customHeight="1" x14ac:dyDescent="0.3">
      <c r="G4099" s="459"/>
      <c r="H4099" s="459">
        <v>4092</v>
      </c>
      <c r="I4099" s="444">
        <f t="shared" ca="1" si="165"/>
        <v>-5615698482604.1387</v>
      </c>
      <c r="J4099" s="444">
        <f t="array" ref="J4099">IFERROR(INDEX('Retirement Calculator'!K:K,MATCH('Lorri 401b'!N4099,'Retirement Calculator'!A:A,0),0),0)</f>
        <v>0</v>
      </c>
      <c r="K4099" s="444">
        <f t="shared" ca="1" si="163"/>
        <v>-23398743677.517242</v>
      </c>
      <c r="L4099" s="444">
        <f t="shared" ca="1" si="164"/>
        <v>-5639097226281.6563</v>
      </c>
      <c r="M4099" s="460">
        <f t="shared" si="166"/>
        <v>0.05</v>
      </c>
      <c r="N4099" s="464">
        <f t="shared" si="167"/>
        <v>175804</v>
      </c>
    </row>
    <row r="4100" spans="7:14" ht="11.25" customHeight="1" x14ac:dyDescent="0.3">
      <c r="G4100" s="459"/>
      <c r="H4100" s="459">
        <v>4093</v>
      </c>
      <c r="I4100" s="444">
        <f t="shared" ca="1" si="165"/>
        <v>-5639097226281.6563</v>
      </c>
      <c r="J4100" s="444">
        <f t="array" ref="J4100">IFERROR(INDEX('Retirement Calculator'!K:K,MATCH('Lorri 401b'!N4100,'Retirement Calculator'!A:A,0),0),0)</f>
        <v>0</v>
      </c>
      <c r="K4100" s="444">
        <f t="shared" ca="1" si="163"/>
        <v>-23496238442.840233</v>
      </c>
      <c r="L4100" s="444">
        <f t="shared" ca="1" si="164"/>
        <v>-5662593464724.4961</v>
      </c>
      <c r="M4100" s="460">
        <f t="shared" si="166"/>
        <v>0.05</v>
      </c>
      <c r="N4100" s="464">
        <f t="shared" si="167"/>
        <v>175835</v>
      </c>
    </row>
    <row r="4101" spans="7:14" ht="11.25" customHeight="1" x14ac:dyDescent="0.3">
      <c r="G4101" s="459"/>
      <c r="H4101" s="459">
        <v>4094</v>
      </c>
      <c r="I4101" s="444">
        <f t="shared" ca="1" si="165"/>
        <v>-5662593464724.4961</v>
      </c>
      <c r="J4101" s="444">
        <f t="array" ref="J4101">IFERROR(INDEX('Retirement Calculator'!K:K,MATCH('Lorri 401b'!N4101,'Retirement Calculator'!A:A,0),0),0)</f>
        <v>0</v>
      </c>
      <c r="K4101" s="444">
        <f t="shared" ca="1" si="163"/>
        <v>-23594139436.352066</v>
      </c>
      <c r="L4101" s="444">
        <f t="shared" ca="1" si="164"/>
        <v>-5686187604160.8486</v>
      </c>
      <c r="M4101" s="460">
        <f t="shared" si="166"/>
        <v>0.05</v>
      </c>
      <c r="N4101" s="464">
        <f t="shared" si="167"/>
        <v>175865</v>
      </c>
    </row>
    <row r="4102" spans="7:14" ht="11.25" customHeight="1" x14ac:dyDescent="0.3">
      <c r="G4102" s="459"/>
      <c r="H4102" s="459">
        <v>4095</v>
      </c>
      <c r="I4102" s="444">
        <f t="shared" ca="1" si="165"/>
        <v>-5686187604160.8486</v>
      </c>
      <c r="J4102" s="444">
        <f t="array" ref="J4102">IFERROR(INDEX('Retirement Calculator'!K:K,MATCH('Lorri 401b'!N4102,'Retirement Calculator'!A:A,0),0),0)</f>
        <v>0</v>
      </c>
      <c r="K4102" s="444">
        <f t="shared" ca="1" si="163"/>
        <v>-23692448350.670204</v>
      </c>
      <c r="L4102" s="444">
        <f t="shared" ca="1" si="164"/>
        <v>-5709880052511.5186</v>
      </c>
      <c r="M4102" s="460">
        <f t="shared" si="166"/>
        <v>0.05</v>
      </c>
      <c r="N4102" s="464">
        <f t="shared" si="167"/>
        <v>175896</v>
      </c>
    </row>
    <row r="4103" spans="7:14" ht="11.25" customHeight="1" x14ac:dyDescent="0.3">
      <c r="G4103" s="459"/>
      <c r="H4103" s="459">
        <v>4096</v>
      </c>
      <c r="I4103" s="444">
        <f t="shared" ca="1" si="165"/>
        <v>-5709880052511.5186</v>
      </c>
      <c r="J4103" s="444">
        <f t="array" ref="J4103">IFERROR(INDEX('Retirement Calculator'!K:K,MATCH('Lorri 401b'!N4103,'Retirement Calculator'!A:A,0),0),0)</f>
        <v>0</v>
      </c>
      <c r="K4103" s="444">
        <f t="shared" ca="1" si="163"/>
        <v>-23791166885.464661</v>
      </c>
      <c r="L4103" s="444">
        <f t="shared" ca="1" si="164"/>
        <v>-5733671219396.9834</v>
      </c>
      <c r="M4103" s="460">
        <f t="shared" si="166"/>
        <v>0.05</v>
      </c>
      <c r="N4103" s="464">
        <f t="shared" si="167"/>
        <v>175927</v>
      </c>
    </row>
    <row r="4104" spans="7:14" ht="11.25" customHeight="1" x14ac:dyDescent="0.3">
      <c r="G4104" s="459"/>
      <c r="H4104" s="459">
        <v>4097</v>
      </c>
      <c r="I4104" s="444">
        <f t="shared" ca="1" si="165"/>
        <v>-5733671219396.9834</v>
      </c>
      <c r="J4104" s="444">
        <f t="array" ref="J4104">IFERROR(INDEX('Retirement Calculator'!K:K,MATCH('Lorri 401b'!N4104,'Retirement Calculator'!A:A,0),0),0)</f>
        <v>0</v>
      </c>
      <c r="K4104" s="444">
        <f t="shared" ca="1" si="163"/>
        <v>-23890296747.487431</v>
      </c>
      <c r="L4104" s="444">
        <f t="shared" ca="1" si="164"/>
        <v>-5757561516144.4707</v>
      </c>
      <c r="M4104" s="460">
        <f t="shared" si="166"/>
        <v>0.05</v>
      </c>
      <c r="N4104" s="464">
        <f t="shared" si="167"/>
        <v>175957</v>
      </c>
    </row>
    <row r="4105" spans="7:14" ht="11.25" customHeight="1" x14ac:dyDescent="0.3">
      <c r="G4105" s="459"/>
      <c r="H4105" s="459">
        <v>4098</v>
      </c>
      <c r="I4105" s="444">
        <f t="shared" ca="1" si="165"/>
        <v>-5757561516144.4707</v>
      </c>
      <c r="J4105" s="444">
        <f t="array" ref="J4105">IFERROR(INDEX('Retirement Calculator'!K:K,MATCH('Lorri 401b'!N4105,'Retirement Calculator'!A:A,0),0),0)</f>
        <v>0</v>
      </c>
      <c r="K4105" s="444">
        <f t="shared" ca="1" si="163"/>
        <v>-23989839650.601959</v>
      </c>
      <c r="L4105" s="444">
        <f t="shared" ca="1" si="164"/>
        <v>-5781551355795.0723</v>
      </c>
      <c r="M4105" s="460">
        <f t="shared" si="166"/>
        <v>0.05</v>
      </c>
      <c r="N4105" s="464">
        <f t="shared" si="167"/>
        <v>175988</v>
      </c>
    </row>
    <row r="4106" spans="7:14" ht="11.25" customHeight="1" x14ac:dyDescent="0.3">
      <c r="G4106" s="459"/>
      <c r="H4106" s="459">
        <v>4099</v>
      </c>
      <c r="I4106" s="444">
        <f t="shared" ca="1" si="165"/>
        <v>-5781551355795.0723</v>
      </c>
      <c r="J4106" s="444">
        <f t="array" ref="J4106">IFERROR(INDEX('Retirement Calculator'!K:K,MATCH('Lorri 401b'!N4106,'Retirement Calculator'!A:A,0),0),0)</f>
        <v>0</v>
      </c>
      <c r="K4106" s="444">
        <f t="shared" ca="1" si="163"/>
        <v>-24089797315.812801</v>
      </c>
      <c r="L4106" s="444">
        <f t="shared" ca="1" si="164"/>
        <v>-5805641153110.8848</v>
      </c>
      <c r="M4106" s="460">
        <f t="shared" si="166"/>
        <v>0.05</v>
      </c>
      <c r="N4106" s="464">
        <f t="shared" si="167"/>
        <v>176018</v>
      </c>
    </row>
    <row r="4107" spans="7:14" ht="11.25" customHeight="1" x14ac:dyDescent="0.3">
      <c r="G4107" s="459"/>
      <c r="H4107" s="459">
        <v>4100</v>
      </c>
      <c r="I4107" s="444">
        <f t="shared" ca="1" si="165"/>
        <v>-5805641153110.8848</v>
      </c>
      <c r="J4107" s="444">
        <f t="array" ref="J4107">IFERROR(INDEX('Retirement Calculator'!K:K,MATCH('Lorri 401b'!N4107,'Retirement Calculator'!A:A,0),0),0)</f>
        <v>0</v>
      </c>
      <c r="K4107" s="444">
        <f t="shared" ca="1" si="163"/>
        <v>-24190171471.295353</v>
      </c>
      <c r="L4107" s="444">
        <f t="shared" ca="1" si="164"/>
        <v>-5829831324582.1797</v>
      </c>
      <c r="M4107" s="460">
        <f t="shared" si="166"/>
        <v>0.05</v>
      </c>
      <c r="N4107" s="464">
        <f t="shared" si="167"/>
        <v>176049</v>
      </c>
    </row>
    <row r="4108" spans="7:14" ht="11.25" customHeight="1" x14ac:dyDescent="0.3">
      <c r="G4108" s="459"/>
      <c r="H4108" s="459">
        <v>4101</v>
      </c>
      <c r="I4108" s="444">
        <f t="shared" ca="1" si="165"/>
        <v>-5829831324582.1797</v>
      </c>
      <c r="J4108" s="444">
        <f t="array" ref="J4108">IFERROR(INDEX('Retirement Calculator'!K:K,MATCH('Lorri 401b'!N4108,'Retirement Calculator'!A:A,0),0),0)</f>
        <v>0</v>
      </c>
      <c r="K4108" s="444">
        <f t="shared" ca="1" si="163"/>
        <v>-24290963852.425747</v>
      </c>
      <c r="L4108" s="444">
        <f t="shared" ca="1" si="164"/>
        <v>-5854122288434.6055</v>
      </c>
      <c r="M4108" s="460">
        <f t="shared" si="166"/>
        <v>0.05</v>
      </c>
      <c r="N4108" s="464">
        <f t="shared" si="167"/>
        <v>176080</v>
      </c>
    </row>
    <row r="4109" spans="7:14" ht="11.25" customHeight="1" x14ac:dyDescent="0.3">
      <c r="G4109" s="459"/>
      <c r="H4109" s="459">
        <v>4102</v>
      </c>
      <c r="I4109" s="444">
        <f t="shared" ca="1" si="165"/>
        <v>-5854122288434.6055</v>
      </c>
      <c r="J4109" s="444">
        <f t="array" ref="J4109">IFERROR(INDEX('Retirement Calculator'!K:K,MATCH('Lorri 401b'!N4109,'Retirement Calculator'!A:A,0),0),0)</f>
        <v>0</v>
      </c>
      <c r="K4109" s="444">
        <f t="shared" ca="1" si="163"/>
        <v>-24392176201.810856</v>
      </c>
      <c r="L4109" s="444">
        <f t="shared" ca="1" si="164"/>
        <v>-5878514464636.416</v>
      </c>
      <c r="M4109" s="460">
        <f t="shared" si="166"/>
        <v>0.05</v>
      </c>
      <c r="N4109" s="464">
        <f t="shared" si="167"/>
        <v>176108</v>
      </c>
    </row>
    <row r="4110" spans="7:14" ht="11.25" customHeight="1" x14ac:dyDescent="0.3">
      <c r="G4110" s="459"/>
      <c r="H4110" s="459">
        <v>4103</v>
      </c>
      <c r="I4110" s="444">
        <f t="shared" ca="1" si="165"/>
        <v>-5878514464636.416</v>
      </c>
      <c r="J4110" s="444">
        <f t="array" ref="J4110">IFERROR(INDEX('Retirement Calculator'!K:K,MATCH('Lorri 401b'!N4110,'Retirement Calculator'!A:A,0),0),0)</f>
        <v>0</v>
      </c>
      <c r="K4110" s="444">
        <f t="shared" ca="1" si="163"/>
        <v>-24493810269.318401</v>
      </c>
      <c r="L4110" s="444">
        <f t="shared" ca="1" si="164"/>
        <v>-5903008274905.7344</v>
      </c>
      <c r="M4110" s="460">
        <f t="shared" si="166"/>
        <v>0.05</v>
      </c>
      <c r="N4110" s="464">
        <f t="shared" si="167"/>
        <v>176139</v>
      </c>
    </row>
    <row r="4111" spans="7:14" ht="11.25" customHeight="1" x14ac:dyDescent="0.3">
      <c r="G4111" s="459"/>
      <c r="H4111" s="459">
        <v>4104</v>
      </c>
      <c r="I4111" s="444">
        <f t="shared" ca="1" si="165"/>
        <v>-5903008274905.7344</v>
      </c>
      <c r="J4111" s="444">
        <f t="array" ref="J4111">IFERROR(INDEX('Retirement Calculator'!K:K,MATCH('Lorri 401b'!N4111,'Retirement Calculator'!A:A,0),0),0)</f>
        <v>0</v>
      </c>
      <c r="K4111" s="444">
        <f t="shared" ca="1" si="163"/>
        <v>-24595867812.107227</v>
      </c>
      <c r="L4111" s="444">
        <f t="shared" ca="1" si="164"/>
        <v>-5927604142717.8418</v>
      </c>
      <c r="M4111" s="460">
        <f t="shared" si="166"/>
        <v>0.05</v>
      </c>
      <c r="N4111" s="464">
        <f t="shared" si="167"/>
        <v>176169</v>
      </c>
    </row>
    <row r="4112" spans="7:14" ht="11.25" customHeight="1" x14ac:dyDescent="0.3">
      <c r="G4112" s="459"/>
      <c r="H4112" s="459">
        <v>4105</v>
      </c>
      <c r="I4112" s="444">
        <f t="shared" ca="1" si="165"/>
        <v>-5927604142717.8418</v>
      </c>
      <c r="J4112" s="444">
        <f t="array" ref="J4112">IFERROR(INDEX('Retirement Calculator'!K:K,MATCH('Lorri 401b'!N4112,'Retirement Calculator'!A:A,0),0),0)</f>
        <v>0</v>
      </c>
      <c r="K4112" s="444">
        <f t="shared" ca="1" si="163"/>
        <v>-24698350594.657673</v>
      </c>
      <c r="L4112" s="444">
        <f t="shared" ca="1" si="164"/>
        <v>-5952302493312.499</v>
      </c>
      <c r="M4112" s="460">
        <f t="shared" si="166"/>
        <v>0.05</v>
      </c>
      <c r="N4112" s="464">
        <f t="shared" si="167"/>
        <v>176200</v>
      </c>
    </row>
    <row r="4113" spans="7:14" ht="11.25" customHeight="1" x14ac:dyDescent="0.3">
      <c r="G4113" s="459"/>
      <c r="H4113" s="459">
        <v>4106</v>
      </c>
      <c r="I4113" s="444">
        <f t="shared" ca="1" si="165"/>
        <v>-5952302493312.499</v>
      </c>
      <c r="J4113" s="444">
        <f t="array" ref="J4113">IFERROR(INDEX('Retirement Calculator'!K:K,MATCH('Lorri 401b'!N4113,'Retirement Calculator'!A:A,0),0),0)</f>
        <v>0</v>
      </c>
      <c r="K4113" s="444">
        <f t="shared" ca="1" si="163"/>
        <v>-24801260388.802078</v>
      </c>
      <c r="L4113" s="444">
        <f t="shared" ca="1" si="164"/>
        <v>-5977103753701.3008</v>
      </c>
      <c r="M4113" s="460">
        <f t="shared" si="166"/>
        <v>0.05</v>
      </c>
      <c r="N4113" s="464">
        <f t="shared" si="167"/>
        <v>176230</v>
      </c>
    </row>
    <row r="4114" spans="7:14" ht="11.25" customHeight="1" x14ac:dyDescent="0.3">
      <c r="G4114" s="459"/>
      <c r="H4114" s="459">
        <v>4107</v>
      </c>
      <c r="I4114" s="444">
        <f t="shared" ca="1" si="165"/>
        <v>-5977103753701.3008</v>
      </c>
      <c r="J4114" s="444">
        <f t="array" ref="J4114">IFERROR(INDEX('Retirement Calculator'!K:K,MATCH('Lorri 401b'!N4114,'Retirement Calculator'!A:A,0),0),0)</f>
        <v>0</v>
      </c>
      <c r="K4114" s="444">
        <f t="shared" ca="1" si="163"/>
        <v>-24904598973.755421</v>
      </c>
      <c r="L4114" s="444">
        <f t="shared" ca="1" si="164"/>
        <v>-6002008352675.0566</v>
      </c>
      <c r="M4114" s="460">
        <f t="shared" si="166"/>
        <v>0.05</v>
      </c>
      <c r="N4114" s="464">
        <f t="shared" si="167"/>
        <v>176261</v>
      </c>
    </row>
    <row r="4115" spans="7:14" ht="11.25" customHeight="1" x14ac:dyDescent="0.3">
      <c r="G4115" s="459"/>
      <c r="H4115" s="459">
        <v>4108</v>
      </c>
      <c r="I4115" s="444">
        <f t="shared" ca="1" si="165"/>
        <v>-6002008352675.0566</v>
      </c>
      <c r="J4115" s="444">
        <f t="array" ref="J4115">IFERROR(INDEX('Retirement Calculator'!K:K,MATCH('Lorri 401b'!N4115,'Retirement Calculator'!A:A,0),0),0)</f>
        <v>0</v>
      </c>
      <c r="K4115" s="444">
        <f t="shared" ca="1" si="163"/>
        <v>-25008368136.146069</v>
      </c>
      <c r="L4115" s="444">
        <f t="shared" ca="1" si="164"/>
        <v>-6027016720811.2031</v>
      </c>
      <c r="M4115" s="460">
        <f t="shared" si="166"/>
        <v>0.05</v>
      </c>
      <c r="N4115" s="464">
        <f t="shared" si="167"/>
        <v>176292</v>
      </c>
    </row>
    <row r="4116" spans="7:14" ht="11.25" customHeight="1" x14ac:dyDescent="0.3">
      <c r="G4116" s="459"/>
      <c r="H4116" s="459">
        <v>4109</v>
      </c>
      <c r="I4116" s="444">
        <f t="shared" ca="1" si="165"/>
        <v>-6027016720811.2031</v>
      </c>
      <c r="J4116" s="444">
        <f t="array" ref="J4116">IFERROR(INDEX('Retirement Calculator'!K:K,MATCH('Lorri 401b'!N4116,'Retirement Calculator'!A:A,0),0),0)</f>
        <v>0</v>
      </c>
      <c r="K4116" s="444">
        <f t="shared" ca="1" si="163"/>
        <v>-25112569670.04668</v>
      </c>
      <c r="L4116" s="444">
        <f t="shared" ca="1" si="164"/>
        <v>-6052129290481.25</v>
      </c>
      <c r="M4116" s="460">
        <f t="shared" si="166"/>
        <v>0.05</v>
      </c>
      <c r="N4116" s="464">
        <f t="shared" si="167"/>
        <v>176322</v>
      </c>
    </row>
    <row r="4117" spans="7:14" ht="11.25" customHeight="1" x14ac:dyDescent="0.3">
      <c r="G4117" s="459"/>
      <c r="H4117" s="459">
        <v>4110</v>
      </c>
      <c r="I4117" s="444">
        <f t="shared" ca="1" si="165"/>
        <v>-6052129290481.25</v>
      </c>
      <c r="J4117" s="444">
        <f t="array" ref="J4117">IFERROR(INDEX('Retirement Calculator'!K:K,MATCH('Lorri 401b'!N4117,'Retirement Calculator'!A:A,0),0),0)</f>
        <v>0</v>
      </c>
      <c r="K4117" s="444">
        <f t="shared" ca="1" si="163"/>
        <v>-25217205377.005207</v>
      </c>
      <c r="L4117" s="444">
        <f t="shared" ca="1" si="164"/>
        <v>-6077346495858.2549</v>
      </c>
      <c r="M4117" s="460">
        <f t="shared" si="166"/>
        <v>0.05</v>
      </c>
      <c r="N4117" s="464">
        <f t="shared" si="167"/>
        <v>176353</v>
      </c>
    </row>
    <row r="4118" spans="7:14" ht="11.25" customHeight="1" x14ac:dyDescent="0.3">
      <c r="G4118" s="459"/>
      <c r="H4118" s="459">
        <v>4111</v>
      </c>
      <c r="I4118" s="444">
        <f t="shared" ca="1" si="165"/>
        <v>-6077346495858.2549</v>
      </c>
      <c r="J4118" s="444">
        <f t="array" ref="J4118">IFERROR(INDEX('Retirement Calculator'!K:K,MATCH('Lorri 401b'!N4118,'Retirement Calculator'!A:A,0),0),0)</f>
        <v>0</v>
      </c>
      <c r="K4118" s="444">
        <f t="shared" ca="1" si="163"/>
        <v>-25322277066.076061</v>
      </c>
      <c r="L4118" s="444">
        <f t="shared" ca="1" si="164"/>
        <v>-6102668772924.3311</v>
      </c>
      <c r="M4118" s="460">
        <f t="shared" si="166"/>
        <v>0.05</v>
      </c>
      <c r="N4118" s="464">
        <f t="shared" si="167"/>
        <v>176383</v>
      </c>
    </row>
    <row r="4119" spans="7:14" ht="11.25" customHeight="1" x14ac:dyDescent="0.3">
      <c r="G4119" s="459"/>
      <c r="H4119" s="459">
        <v>4112</v>
      </c>
      <c r="I4119" s="444">
        <f t="shared" ca="1" si="165"/>
        <v>-6102668772924.3311</v>
      </c>
      <c r="J4119" s="444">
        <f t="array" ref="J4119">IFERROR(INDEX('Retirement Calculator'!K:K,MATCH('Lorri 401b'!N4119,'Retirement Calculator'!A:A,0),0),0)</f>
        <v>0</v>
      </c>
      <c r="K4119" s="444">
        <f t="shared" ca="1" si="163"/>
        <v>-25427786553.851379</v>
      </c>
      <c r="L4119" s="444">
        <f t="shared" ca="1" si="164"/>
        <v>-6128096559478.1826</v>
      </c>
      <c r="M4119" s="460">
        <f t="shared" si="166"/>
        <v>0.05</v>
      </c>
      <c r="N4119" s="464">
        <f t="shared" si="167"/>
        <v>176414</v>
      </c>
    </row>
    <row r="4120" spans="7:14" ht="11.25" customHeight="1" x14ac:dyDescent="0.3">
      <c r="G4120" s="459"/>
      <c r="H4120" s="459">
        <v>4113</v>
      </c>
      <c r="I4120" s="444">
        <f t="shared" ca="1" si="165"/>
        <v>-6128096559478.1826</v>
      </c>
      <c r="J4120" s="444">
        <f t="array" ref="J4120">IFERROR(INDEX('Retirement Calculator'!K:K,MATCH('Lorri 401b'!N4120,'Retirement Calculator'!A:A,0),0),0)</f>
        <v>0</v>
      </c>
      <c r="K4120" s="444">
        <f t="shared" ca="1" si="163"/>
        <v>-25533735664.492428</v>
      </c>
      <c r="L4120" s="444">
        <f t="shared" ca="1" si="164"/>
        <v>-6153630295142.6748</v>
      </c>
      <c r="M4120" s="460">
        <f t="shared" si="166"/>
        <v>0.05</v>
      </c>
      <c r="N4120" s="464">
        <f t="shared" si="167"/>
        <v>176445</v>
      </c>
    </row>
    <row r="4121" spans="7:14" ht="11.25" customHeight="1" x14ac:dyDescent="0.3">
      <c r="G4121" s="459"/>
      <c r="H4121" s="459">
        <v>4114</v>
      </c>
      <c r="I4121" s="444">
        <f t="shared" ca="1" si="165"/>
        <v>-6153630295142.6748</v>
      </c>
      <c r="J4121" s="444">
        <f t="array" ref="J4121">IFERROR(INDEX('Retirement Calculator'!K:K,MATCH('Lorri 401b'!N4121,'Retirement Calculator'!A:A,0),0),0)</f>
        <v>0</v>
      </c>
      <c r="K4121" s="444">
        <f t="shared" ca="1" si="163"/>
        <v>-25640126229.761147</v>
      </c>
      <c r="L4121" s="444">
        <f t="shared" ca="1" si="164"/>
        <v>-6179270421372.4355</v>
      </c>
      <c r="M4121" s="460">
        <f t="shared" si="166"/>
        <v>0.05</v>
      </c>
      <c r="N4121" s="464">
        <f t="shared" si="167"/>
        <v>176473</v>
      </c>
    </row>
    <row r="4122" spans="7:14" ht="11.25" customHeight="1" x14ac:dyDescent="0.3">
      <c r="G4122" s="459"/>
      <c r="H4122" s="459">
        <v>4115</v>
      </c>
      <c r="I4122" s="444">
        <f t="shared" ca="1" si="165"/>
        <v>-6179270421372.4355</v>
      </c>
      <c r="J4122" s="444">
        <f t="array" ref="J4122">IFERROR(INDEX('Retirement Calculator'!K:K,MATCH('Lorri 401b'!N4122,'Retirement Calculator'!A:A,0),0),0)</f>
        <v>0</v>
      </c>
      <c r="K4122" s="444">
        <f t="shared" ca="1" si="163"/>
        <v>-25746960089.051815</v>
      </c>
      <c r="L4122" s="444">
        <f t="shared" ca="1" si="164"/>
        <v>-6205017381461.4873</v>
      </c>
      <c r="M4122" s="460">
        <f t="shared" si="166"/>
        <v>0.05</v>
      </c>
      <c r="N4122" s="464">
        <f t="shared" si="167"/>
        <v>176504</v>
      </c>
    </row>
    <row r="4123" spans="7:14" ht="11.25" customHeight="1" x14ac:dyDescent="0.3">
      <c r="G4123" s="459"/>
      <c r="H4123" s="459">
        <v>4116</v>
      </c>
      <c r="I4123" s="444">
        <f t="shared" ca="1" si="165"/>
        <v>-6205017381461.4873</v>
      </c>
      <c r="J4123" s="444">
        <f t="array" ref="J4123">IFERROR(INDEX('Retirement Calculator'!K:K,MATCH('Lorri 401b'!N4123,'Retirement Calculator'!A:A,0),0),0)</f>
        <v>0</v>
      </c>
      <c r="K4123" s="444">
        <f t="shared" ca="1" si="163"/>
        <v>-25854239089.422863</v>
      </c>
      <c r="L4123" s="444">
        <f t="shared" ca="1" si="164"/>
        <v>-6230871620550.9102</v>
      </c>
      <c r="M4123" s="460">
        <f t="shared" si="166"/>
        <v>0.05</v>
      </c>
      <c r="N4123" s="464">
        <f t="shared" si="167"/>
        <v>176534</v>
      </c>
    </row>
    <row r="4124" spans="7:14" ht="11.25" customHeight="1" x14ac:dyDescent="0.3">
      <c r="G4124" s="459"/>
      <c r="H4124" s="459">
        <v>4117</v>
      </c>
      <c r="I4124" s="444">
        <f t="shared" ca="1" si="165"/>
        <v>-6230871620550.9102</v>
      </c>
      <c r="J4124" s="444">
        <f t="array" ref="J4124">IFERROR(INDEX('Retirement Calculator'!K:K,MATCH('Lorri 401b'!N4124,'Retirement Calculator'!A:A,0),0),0)</f>
        <v>0</v>
      </c>
      <c r="K4124" s="444">
        <f t="shared" ca="1" si="163"/>
        <v>-25961965085.628792</v>
      </c>
      <c r="L4124" s="444">
        <f t="shared" ca="1" si="164"/>
        <v>-6256833585636.5391</v>
      </c>
      <c r="M4124" s="460">
        <f t="shared" si="166"/>
        <v>0.05</v>
      </c>
      <c r="N4124" s="464">
        <f t="shared" si="167"/>
        <v>176565</v>
      </c>
    </row>
    <row r="4125" spans="7:14" ht="11.25" customHeight="1" x14ac:dyDescent="0.3">
      <c r="G4125" s="459"/>
      <c r="H4125" s="459">
        <v>4118</v>
      </c>
      <c r="I4125" s="444">
        <f t="shared" ca="1" si="165"/>
        <v>-6256833585636.5391</v>
      </c>
      <c r="J4125" s="444">
        <f t="array" ref="J4125">IFERROR(INDEX('Retirement Calculator'!K:K,MATCH('Lorri 401b'!N4125,'Retirement Calculator'!A:A,0),0),0)</f>
        <v>0</v>
      </c>
      <c r="K4125" s="444">
        <f t="shared" ca="1" si="163"/>
        <v>-26070139940.152245</v>
      </c>
      <c r="L4125" s="444">
        <f t="shared" ca="1" si="164"/>
        <v>-6282903725576.6914</v>
      </c>
      <c r="M4125" s="460">
        <f t="shared" si="166"/>
        <v>0.05</v>
      </c>
      <c r="N4125" s="464">
        <f t="shared" si="167"/>
        <v>176595</v>
      </c>
    </row>
    <row r="4126" spans="7:14" ht="11.25" customHeight="1" x14ac:dyDescent="0.3">
      <c r="G4126" s="459"/>
      <c r="H4126" s="459">
        <v>4119</v>
      </c>
      <c r="I4126" s="444">
        <f t="shared" ca="1" si="165"/>
        <v>-6282903725576.6914</v>
      </c>
      <c r="J4126" s="444">
        <f t="array" ref="J4126">IFERROR(INDEX('Retirement Calculator'!K:K,MATCH('Lorri 401b'!N4126,'Retirement Calculator'!A:A,0),0),0)</f>
        <v>0</v>
      </c>
      <c r="K4126" s="444">
        <f t="shared" ca="1" si="163"/>
        <v>-26178765523.236214</v>
      </c>
      <c r="L4126" s="444">
        <f t="shared" ca="1" si="164"/>
        <v>-6309082491099.9277</v>
      </c>
      <c r="M4126" s="460">
        <f t="shared" si="166"/>
        <v>0.05</v>
      </c>
      <c r="N4126" s="464">
        <f t="shared" si="167"/>
        <v>176626</v>
      </c>
    </row>
    <row r="4127" spans="7:14" ht="11.25" customHeight="1" x14ac:dyDescent="0.3">
      <c r="G4127" s="459"/>
      <c r="H4127" s="459">
        <v>4120</v>
      </c>
      <c r="I4127" s="444">
        <f t="shared" ca="1" si="165"/>
        <v>-6309082491099.9277</v>
      </c>
      <c r="J4127" s="444">
        <f t="array" ref="J4127">IFERROR(INDEX('Retirement Calculator'!K:K,MATCH('Lorri 401b'!N4127,'Retirement Calculator'!A:A,0),0),0)</f>
        <v>0</v>
      </c>
      <c r="K4127" s="444">
        <f t="shared" ca="1" si="163"/>
        <v>-26287843712.916367</v>
      </c>
      <c r="L4127" s="444">
        <f t="shared" ca="1" si="164"/>
        <v>-6335370334812.8438</v>
      </c>
      <c r="M4127" s="460">
        <f t="shared" si="166"/>
        <v>0.05</v>
      </c>
      <c r="N4127" s="464">
        <f t="shared" si="167"/>
        <v>176657</v>
      </c>
    </row>
    <row r="4128" spans="7:14" ht="11.25" customHeight="1" x14ac:dyDescent="0.3">
      <c r="G4128" s="459"/>
      <c r="H4128" s="459">
        <v>4121</v>
      </c>
      <c r="I4128" s="444">
        <f t="shared" ca="1" si="165"/>
        <v>-6335370334812.8438</v>
      </c>
      <c r="J4128" s="444">
        <f t="array" ref="J4128">IFERROR(INDEX('Retirement Calculator'!K:K,MATCH('Lorri 401b'!N4128,'Retirement Calculator'!A:A,0),0),0)</f>
        <v>0</v>
      </c>
      <c r="K4128" s="444">
        <f t="shared" ca="1" si="163"/>
        <v>-26397376395.053516</v>
      </c>
      <c r="L4128" s="444">
        <f t="shared" ca="1" si="164"/>
        <v>-6361767711207.8975</v>
      </c>
      <c r="M4128" s="460">
        <f t="shared" si="166"/>
        <v>0.05</v>
      </c>
      <c r="N4128" s="464">
        <f t="shared" si="167"/>
        <v>176687</v>
      </c>
    </row>
    <row r="4129" spans="7:14" ht="11.25" customHeight="1" x14ac:dyDescent="0.3">
      <c r="G4129" s="459"/>
      <c r="H4129" s="459">
        <v>4122</v>
      </c>
      <c r="I4129" s="444">
        <f t="shared" ca="1" si="165"/>
        <v>-6361767711207.8975</v>
      </c>
      <c r="J4129" s="444">
        <f t="array" ref="J4129">IFERROR(INDEX('Retirement Calculator'!K:K,MATCH('Lorri 401b'!N4129,'Retirement Calculator'!A:A,0),0),0)</f>
        <v>0</v>
      </c>
      <c r="K4129" s="444">
        <f t="shared" ca="1" si="163"/>
        <v>-26507365463.366238</v>
      </c>
      <c r="L4129" s="444">
        <f t="shared" ca="1" si="164"/>
        <v>-6388275076671.2637</v>
      </c>
      <c r="M4129" s="460">
        <f t="shared" si="166"/>
        <v>0.05</v>
      </c>
      <c r="N4129" s="464">
        <f t="shared" si="167"/>
        <v>176718</v>
      </c>
    </row>
    <row r="4130" spans="7:14" ht="11.25" customHeight="1" x14ac:dyDescent="0.3">
      <c r="G4130" s="459"/>
      <c r="H4130" s="459">
        <v>4123</v>
      </c>
      <c r="I4130" s="444">
        <f t="shared" ca="1" si="165"/>
        <v>-6388275076671.2637</v>
      </c>
      <c r="J4130" s="444">
        <f t="array" ref="J4130">IFERROR(INDEX('Retirement Calculator'!K:K,MATCH('Lorri 401b'!N4130,'Retirement Calculator'!A:A,0),0),0)</f>
        <v>0</v>
      </c>
      <c r="K4130" s="444">
        <f t="shared" ca="1" si="163"/>
        <v>-26617812819.4636</v>
      </c>
      <c r="L4130" s="444">
        <f t="shared" ca="1" si="164"/>
        <v>-6414892889490.7275</v>
      </c>
      <c r="M4130" s="460">
        <f t="shared" si="166"/>
        <v>0.05</v>
      </c>
      <c r="N4130" s="464">
        <f t="shared" si="167"/>
        <v>176748</v>
      </c>
    </row>
    <row r="4131" spans="7:14" ht="11.25" customHeight="1" x14ac:dyDescent="0.3">
      <c r="G4131" s="459"/>
      <c r="H4131" s="459">
        <v>4124</v>
      </c>
      <c r="I4131" s="444">
        <f t="shared" ca="1" si="165"/>
        <v>-6414892889490.7275</v>
      </c>
      <c r="J4131" s="444">
        <f t="array" ref="J4131">IFERROR(INDEX('Retirement Calculator'!K:K,MATCH('Lorri 401b'!N4131,'Retirement Calculator'!A:A,0),0),0)</f>
        <v>0</v>
      </c>
      <c r="K4131" s="444">
        <f t="shared" ca="1" si="163"/>
        <v>-26728720372.878033</v>
      </c>
      <c r="L4131" s="444">
        <f t="shared" ca="1" si="164"/>
        <v>-6441621609863.6055</v>
      </c>
      <c r="M4131" s="460">
        <f t="shared" si="166"/>
        <v>0.05</v>
      </c>
      <c r="N4131" s="464">
        <f t="shared" si="167"/>
        <v>176779</v>
      </c>
    </row>
    <row r="4132" spans="7:14" ht="11.25" customHeight="1" x14ac:dyDescent="0.3">
      <c r="G4132" s="459"/>
      <c r="H4132" s="459">
        <v>4125</v>
      </c>
      <c r="I4132" s="444">
        <f t="shared" ca="1" si="165"/>
        <v>-6441621609863.6055</v>
      </c>
      <c r="J4132" s="444">
        <f t="array" ref="J4132">IFERROR(INDEX('Retirement Calculator'!K:K,MATCH('Lorri 401b'!N4132,'Retirement Calculator'!A:A,0),0),0)</f>
        <v>0</v>
      </c>
      <c r="K4132" s="444">
        <f t="shared" ca="1" si="163"/>
        <v>-26840090041.098354</v>
      </c>
      <c r="L4132" s="444">
        <f t="shared" ca="1" si="164"/>
        <v>-6468461699904.7041</v>
      </c>
      <c r="M4132" s="460">
        <f t="shared" si="166"/>
        <v>0.05</v>
      </c>
      <c r="N4132" s="464">
        <f t="shared" si="167"/>
        <v>176810</v>
      </c>
    </row>
    <row r="4133" spans="7:14" ht="11.25" customHeight="1" x14ac:dyDescent="0.3">
      <c r="G4133" s="459"/>
      <c r="H4133" s="459">
        <v>4126</v>
      </c>
      <c r="I4133" s="444">
        <f t="shared" ca="1" si="165"/>
        <v>-6468461699904.7041</v>
      </c>
      <c r="J4133" s="444">
        <f t="array" ref="J4133">IFERROR(INDEX('Retirement Calculator'!K:K,MATCH('Lorri 401b'!N4133,'Retirement Calculator'!A:A,0),0),0)</f>
        <v>0</v>
      </c>
      <c r="K4133" s="444">
        <f t="shared" ca="1" si="163"/>
        <v>-26951923749.602932</v>
      </c>
      <c r="L4133" s="444">
        <f t="shared" ca="1" si="164"/>
        <v>-6495413623654.3066</v>
      </c>
      <c r="M4133" s="460">
        <f t="shared" si="166"/>
        <v>0.05</v>
      </c>
      <c r="N4133" s="464">
        <f t="shared" si="167"/>
        <v>176839</v>
      </c>
    </row>
    <row r="4134" spans="7:14" ht="11.25" customHeight="1" x14ac:dyDescent="0.3">
      <c r="G4134" s="459"/>
      <c r="H4134" s="459">
        <v>4127</v>
      </c>
      <c r="I4134" s="444">
        <f t="shared" ca="1" si="165"/>
        <v>-6495413623654.3066</v>
      </c>
      <c r="J4134" s="444">
        <f t="array" ref="J4134">IFERROR(INDEX('Retirement Calculator'!K:K,MATCH('Lorri 401b'!N4134,'Retirement Calculator'!A:A,0),0),0)</f>
        <v>0</v>
      </c>
      <c r="K4134" s="444">
        <f t="shared" ca="1" si="163"/>
        <v>-27064223431.892944</v>
      </c>
      <c r="L4134" s="444">
        <f t="shared" ca="1" si="164"/>
        <v>-6522477847086.1992</v>
      </c>
      <c r="M4134" s="460">
        <f t="shared" si="166"/>
        <v>0.05</v>
      </c>
      <c r="N4134" s="464">
        <f t="shared" si="167"/>
        <v>176870</v>
      </c>
    </row>
    <row r="4135" spans="7:14" ht="11.25" customHeight="1" x14ac:dyDescent="0.3">
      <c r="G4135" s="459"/>
      <c r="H4135" s="459">
        <v>4128</v>
      </c>
      <c r="I4135" s="444">
        <f t="shared" ca="1" si="165"/>
        <v>-6522477847086.1992</v>
      </c>
      <c r="J4135" s="444">
        <f t="array" ref="J4135">IFERROR(INDEX('Retirement Calculator'!K:K,MATCH('Lorri 401b'!N4135,'Retirement Calculator'!A:A,0),0),0)</f>
        <v>0</v>
      </c>
      <c r="K4135" s="444">
        <f t="shared" ca="1" si="163"/>
        <v>-27176991029.525829</v>
      </c>
      <c r="L4135" s="444">
        <f t="shared" ca="1" si="164"/>
        <v>-6549654838115.7246</v>
      </c>
      <c r="M4135" s="460">
        <f t="shared" si="166"/>
        <v>0.05</v>
      </c>
      <c r="N4135" s="464">
        <f t="shared" si="167"/>
        <v>176900</v>
      </c>
    </row>
    <row r="4136" spans="7:14" ht="11.25" customHeight="1" x14ac:dyDescent="0.3">
      <c r="G4136" s="459"/>
      <c r="H4136" s="459">
        <v>4129</v>
      </c>
      <c r="I4136" s="444">
        <f t="shared" ca="1" si="165"/>
        <v>-6549654838115.7246</v>
      </c>
      <c r="J4136" s="444">
        <f t="array" ref="J4136">IFERROR(INDEX('Retirement Calculator'!K:K,MATCH('Lorri 401b'!N4136,'Retirement Calculator'!A:A,0),0),0)</f>
        <v>0</v>
      </c>
      <c r="K4136" s="444">
        <f t="shared" ca="1" si="163"/>
        <v>-27290228492.148853</v>
      </c>
      <c r="L4136" s="444">
        <f t="shared" ca="1" si="164"/>
        <v>-6576945066607.873</v>
      </c>
      <c r="M4136" s="460">
        <f t="shared" si="166"/>
        <v>0.05</v>
      </c>
      <c r="N4136" s="464">
        <f t="shared" si="167"/>
        <v>176931</v>
      </c>
    </row>
    <row r="4137" spans="7:14" ht="11.25" customHeight="1" x14ac:dyDescent="0.3">
      <c r="G4137" s="459"/>
      <c r="H4137" s="459">
        <v>4130</v>
      </c>
      <c r="I4137" s="444">
        <f t="shared" ca="1" si="165"/>
        <v>-6576945066607.873</v>
      </c>
      <c r="J4137" s="444">
        <f t="array" ref="J4137">IFERROR(INDEX('Retirement Calculator'!K:K,MATCH('Lorri 401b'!N4137,'Retirement Calculator'!A:A,0),0),0)</f>
        <v>0</v>
      </c>
      <c r="K4137" s="444">
        <f t="shared" ca="1" si="163"/>
        <v>-27403937777.532803</v>
      </c>
      <c r="L4137" s="444">
        <f t="shared" ca="1" si="164"/>
        <v>-6604349004385.4063</v>
      </c>
      <c r="M4137" s="460">
        <f t="shared" si="166"/>
        <v>0.05</v>
      </c>
      <c r="N4137" s="464">
        <f t="shared" si="167"/>
        <v>176961</v>
      </c>
    </row>
    <row r="4138" spans="7:14" ht="11.25" customHeight="1" x14ac:dyDescent="0.3">
      <c r="G4138" s="459"/>
      <c r="H4138" s="459">
        <v>4131</v>
      </c>
      <c r="I4138" s="444">
        <f t="shared" ca="1" si="165"/>
        <v>-6604349004385.4063</v>
      </c>
      <c r="J4138" s="444">
        <f t="array" ref="J4138">IFERROR(INDEX('Retirement Calculator'!K:K,MATCH('Lorri 401b'!N4138,'Retirement Calculator'!A:A,0),0),0)</f>
        <v>0</v>
      </c>
      <c r="K4138" s="444">
        <f t="shared" ca="1" si="163"/>
        <v>-27518120851.605858</v>
      </c>
      <c r="L4138" s="444">
        <f t="shared" ca="1" si="164"/>
        <v>-6631867125237.0117</v>
      </c>
      <c r="M4138" s="460">
        <f t="shared" si="166"/>
        <v>0.05</v>
      </c>
      <c r="N4138" s="464">
        <f t="shared" si="167"/>
        <v>176992</v>
      </c>
    </row>
    <row r="4139" spans="7:14" ht="11.25" customHeight="1" x14ac:dyDescent="0.3">
      <c r="G4139" s="459"/>
      <c r="H4139" s="459">
        <v>4132</v>
      </c>
      <c r="I4139" s="444">
        <f t="shared" ca="1" si="165"/>
        <v>-6631867125237.0117</v>
      </c>
      <c r="J4139" s="444">
        <f t="array" ref="J4139">IFERROR(INDEX('Retirement Calculator'!K:K,MATCH('Lorri 401b'!N4139,'Retirement Calculator'!A:A,0),0),0)</f>
        <v>0</v>
      </c>
      <c r="K4139" s="444">
        <f t="shared" ca="1" si="163"/>
        <v>-27632779688.487549</v>
      </c>
      <c r="L4139" s="444">
        <f t="shared" ca="1" si="164"/>
        <v>-6659499904925.499</v>
      </c>
      <c r="M4139" s="460">
        <f t="shared" si="166"/>
        <v>0.05</v>
      </c>
      <c r="N4139" s="464">
        <f t="shared" si="167"/>
        <v>177023</v>
      </c>
    </row>
    <row r="4140" spans="7:14" ht="11.25" customHeight="1" x14ac:dyDescent="0.3">
      <c r="G4140" s="459"/>
      <c r="H4140" s="459">
        <v>4133</v>
      </c>
      <c r="I4140" s="444">
        <f t="shared" ca="1" si="165"/>
        <v>-6659499904925.499</v>
      </c>
      <c r="J4140" s="444">
        <f t="array" ref="J4140">IFERROR(INDEX('Retirement Calculator'!K:K,MATCH('Lorri 401b'!N4140,'Retirement Calculator'!A:A,0),0),0)</f>
        <v>0</v>
      </c>
      <c r="K4140" s="444">
        <f t="shared" ca="1" si="163"/>
        <v>-27747916270.522911</v>
      </c>
      <c r="L4140" s="444">
        <f t="shared" ca="1" si="164"/>
        <v>-6687247821196.0215</v>
      </c>
      <c r="M4140" s="460">
        <f t="shared" si="166"/>
        <v>0.05</v>
      </c>
      <c r="N4140" s="464">
        <f t="shared" si="167"/>
        <v>177053</v>
      </c>
    </row>
    <row r="4141" spans="7:14" ht="11.25" customHeight="1" x14ac:dyDescent="0.3">
      <c r="G4141" s="459"/>
      <c r="H4141" s="459">
        <v>4134</v>
      </c>
      <c r="I4141" s="444">
        <f t="shared" ca="1" si="165"/>
        <v>-6687247821196.0215</v>
      </c>
      <c r="J4141" s="444">
        <f t="array" ref="J4141">IFERROR(INDEX('Retirement Calculator'!K:K,MATCH('Lorri 401b'!N4141,'Retirement Calculator'!A:A,0),0),0)</f>
        <v>0</v>
      </c>
      <c r="K4141" s="444">
        <f t="shared" ca="1" si="163"/>
        <v>-27863532588.316757</v>
      </c>
      <c r="L4141" s="444">
        <f t="shared" ca="1" si="164"/>
        <v>-6715111353784.3379</v>
      </c>
      <c r="M4141" s="460">
        <f t="shared" si="166"/>
        <v>0.05</v>
      </c>
      <c r="N4141" s="464">
        <f t="shared" si="167"/>
        <v>177084</v>
      </c>
    </row>
    <row r="4142" spans="7:14" ht="11.25" customHeight="1" x14ac:dyDescent="0.3">
      <c r="G4142" s="459"/>
      <c r="H4142" s="459">
        <v>4135</v>
      </c>
      <c r="I4142" s="444">
        <f t="shared" ca="1" si="165"/>
        <v>-6715111353784.3379</v>
      </c>
      <c r="J4142" s="444">
        <f t="array" ref="J4142">IFERROR(INDEX('Retirement Calculator'!K:K,MATCH('Lorri 401b'!N4142,'Retirement Calculator'!A:A,0),0),0)</f>
        <v>0</v>
      </c>
      <c r="K4142" s="444">
        <f t="shared" ca="1" si="163"/>
        <v>-27979630640.768074</v>
      </c>
      <c r="L4142" s="444">
        <f t="shared" ca="1" si="164"/>
        <v>-6743090984425.1064</v>
      </c>
      <c r="M4142" s="460">
        <f t="shared" si="166"/>
        <v>0.05</v>
      </c>
      <c r="N4142" s="464">
        <f t="shared" si="167"/>
        <v>177114</v>
      </c>
    </row>
    <row r="4143" spans="7:14" ht="11.25" customHeight="1" x14ac:dyDescent="0.3">
      <c r="G4143" s="459"/>
      <c r="H4143" s="459">
        <v>4136</v>
      </c>
      <c r="I4143" s="444">
        <f t="shared" ca="1" si="165"/>
        <v>-6743090984425.1064</v>
      </c>
      <c r="J4143" s="444">
        <f t="array" ref="J4143">IFERROR(INDEX('Retirement Calculator'!K:K,MATCH('Lorri 401b'!N4143,'Retirement Calculator'!A:A,0),0),0)</f>
        <v>0</v>
      </c>
      <c r="K4143" s="444">
        <f t="shared" ca="1" si="163"/>
        <v>-28096212435.10461</v>
      </c>
      <c r="L4143" s="444">
        <f t="shared" ca="1" si="164"/>
        <v>-6771187196860.2109</v>
      </c>
      <c r="M4143" s="460">
        <f t="shared" si="166"/>
        <v>0.05</v>
      </c>
      <c r="N4143" s="464">
        <f t="shared" si="167"/>
        <v>177145</v>
      </c>
    </row>
    <row r="4144" spans="7:14" ht="11.25" customHeight="1" x14ac:dyDescent="0.3">
      <c r="G4144" s="459"/>
      <c r="H4144" s="459">
        <v>4137</v>
      </c>
      <c r="I4144" s="444">
        <f t="shared" ca="1" si="165"/>
        <v>-6771187196860.2109</v>
      </c>
      <c r="J4144" s="444">
        <f t="array" ref="J4144">IFERROR(INDEX('Retirement Calculator'!K:K,MATCH('Lorri 401b'!N4144,'Retirement Calculator'!A:A,0),0),0)</f>
        <v>0</v>
      </c>
      <c r="K4144" s="444">
        <f t="shared" ca="1" si="163"/>
        <v>-28213279986.917545</v>
      </c>
      <c r="L4144" s="444">
        <f t="shared" ca="1" si="164"/>
        <v>-6799400476847.1289</v>
      </c>
      <c r="M4144" s="460">
        <f t="shared" si="166"/>
        <v>0.05</v>
      </c>
      <c r="N4144" s="464">
        <f t="shared" si="167"/>
        <v>177176</v>
      </c>
    </row>
    <row r="4145" spans="7:14" ht="11.25" customHeight="1" x14ac:dyDescent="0.3">
      <c r="G4145" s="459"/>
      <c r="H4145" s="459">
        <v>4138</v>
      </c>
      <c r="I4145" s="444">
        <f t="shared" ca="1" si="165"/>
        <v>-6799400476847.1289</v>
      </c>
      <c r="J4145" s="444">
        <f t="array" ref="J4145">IFERROR(INDEX('Retirement Calculator'!K:K,MATCH('Lorri 401b'!N4145,'Retirement Calculator'!A:A,0),0),0)</f>
        <v>0</v>
      </c>
      <c r="K4145" s="444">
        <f t="shared" ca="1" si="163"/>
        <v>-28330835320.196369</v>
      </c>
      <c r="L4145" s="444">
        <f t="shared" ca="1" si="164"/>
        <v>-6827731312167.3252</v>
      </c>
      <c r="M4145" s="460">
        <f t="shared" si="166"/>
        <v>0.05</v>
      </c>
      <c r="N4145" s="464">
        <f t="shared" si="167"/>
        <v>177204</v>
      </c>
    </row>
    <row r="4146" spans="7:14" ht="11.25" customHeight="1" x14ac:dyDescent="0.3">
      <c r="G4146" s="459"/>
      <c r="H4146" s="459">
        <v>4139</v>
      </c>
      <c r="I4146" s="444">
        <f t="shared" ca="1" si="165"/>
        <v>-6827731312167.3252</v>
      </c>
      <c r="J4146" s="444">
        <f t="array" ref="J4146">IFERROR(INDEX('Retirement Calculator'!K:K,MATCH('Lorri 401b'!N4146,'Retirement Calculator'!A:A,0),0),0)</f>
        <v>0</v>
      </c>
      <c r="K4146" s="444">
        <f t="shared" ca="1" si="163"/>
        <v>-28448880467.363853</v>
      </c>
      <c r="L4146" s="444">
        <f t="shared" ca="1" si="164"/>
        <v>-6856180192634.6895</v>
      </c>
      <c r="M4146" s="460">
        <f t="shared" si="166"/>
        <v>0.05</v>
      </c>
      <c r="N4146" s="464">
        <f t="shared" si="167"/>
        <v>177235</v>
      </c>
    </row>
    <row r="4147" spans="7:14" ht="11.25" customHeight="1" x14ac:dyDescent="0.3">
      <c r="G4147" s="459"/>
      <c r="H4147" s="459">
        <v>4140</v>
      </c>
      <c r="I4147" s="444">
        <f t="shared" ca="1" si="165"/>
        <v>-6856180192634.6895</v>
      </c>
      <c r="J4147" s="444">
        <f t="array" ref="J4147">IFERROR(INDEX('Retirement Calculator'!K:K,MATCH('Lorri 401b'!N4147,'Retirement Calculator'!A:A,0),0),0)</f>
        <v>0</v>
      </c>
      <c r="K4147" s="444">
        <f t="shared" ca="1" si="163"/>
        <v>-28567417469.311203</v>
      </c>
      <c r="L4147" s="444">
        <f t="shared" ca="1" si="164"/>
        <v>-6884747610104.001</v>
      </c>
      <c r="M4147" s="460">
        <f t="shared" si="166"/>
        <v>0.05</v>
      </c>
      <c r="N4147" s="464">
        <f t="shared" si="167"/>
        <v>177265</v>
      </c>
    </row>
    <row r="4148" spans="7:14" ht="11.25" customHeight="1" x14ac:dyDescent="0.3">
      <c r="G4148" s="459"/>
      <c r="H4148" s="459">
        <v>4141</v>
      </c>
      <c r="I4148" s="444">
        <f t="shared" ca="1" si="165"/>
        <v>-6884747610104.001</v>
      </c>
      <c r="J4148" s="444">
        <f t="array" ref="J4148">IFERROR(INDEX('Retirement Calculator'!K:K,MATCH('Lorri 401b'!N4148,'Retirement Calculator'!A:A,0),0),0)</f>
        <v>0</v>
      </c>
      <c r="K4148" s="444">
        <f t="shared" ca="1" si="163"/>
        <v>-28686448375.433338</v>
      </c>
      <c r="L4148" s="444">
        <f t="shared" ca="1" si="164"/>
        <v>-6913434058479.4346</v>
      </c>
      <c r="M4148" s="460">
        <f t="shared" si="166"/>
        <v>0.05</v>
      </c>
      <c r="N4148" s="464">
        <f t="shared" si="167"/>
        <v>177296</v>
      </c>
    </row>
    <row r="4149" spans="7:14" ht="11.25" customHeight="1" x14ac:dyDescent="0.3">
      <c r="G4149" s="459"/>
      <c r="H4149" s="459">
        <v>4142</v>
      </c>
      <c r="I4149" s="444">
        <f t="shared" ca="1" si="165"/>
        <v>-6913434058479.4346</v>
      </c>
      <c r="J4149" s="444">
        <f t="array" ref="J4149">IFERROR(INDEX('Retirement Calculator'!K:K,MATCH('Lorri 401b'!N4149,'Retirement Calculator'!A:A,0),0),0)</f>
        <v>0</v>
      </c>
      <c r="K4149" s="444">
        <f t="shared" ca="1" si="163"/>
        <v>-28805975243.66431</v>
      </c>
      <c r="L4149" s="444">
        <f t="shared" ca="1" si="164"/>
        <v>-6942240033723.0986</v>
      </c>
      <c r="M4149" s="460">
        <f t="shared" si="166"/>
        <v>0.05</v>
      </c>
      <c r="N4149" s="464">
        <f t="shared" si="167"/>
        <v>177326</v>
      </c>
    </row>
    <row r="4150" spans="7:14" ht="11.25" customHeight="1" x14ac:dyDescent="0.3">
      <c r="G4150" s="459"/>
      <c r="H4150" s="459">
        <v>4143</v>
      </c>
      <c r="I4150" s="444">
        <f t="shared" ca="1" si="165"/>
        <v>-6942240033723.0986</v>
      </c>
      <c r="J4150" s="444">
        <f t="array" ref="J4150">IFERROR(INDEX('Retirement Calculator'!K:K,MATCH('Lorri 401b'!N4150,'Retirement Calculator'!A:A,0),0),0)</f>
        <v>0</v>
      </c>
      <c r="K4150" s="444">
        <f t="shared" ca="1" si="163"/>
        <v>-28926000140.512909</v>
      </c>
      <c r="L4150" s="444">
        <f t="shared" ca="1" si="164"/>
        <v>-6971166033863.6113</v>
      </c>
      <c r="M4150" s="460">
        <f t="shared" si="166"/>
        <v>0.05</v>
      </c>
      <c r="N4150" s="464">
        <f t="shared" si="167"/>
        <v>177357</v>
      </c>
    </row>
    <row r="4151" spans="7:14" ht="11.25" customHeight="1" x14ac:dyDescent="0.3">
      <c r="G4151" s="459"/>
      <c r="H4151" s="459">
        <v>4144</v>
      </c>
      <c r="I4151" s="444">
        <f t="shared" ca="1" si="165"/>
        <v>-6971166033863.6113</v>
      </c>
      <c r="J4151" s="444">
        <f t="array" ref="J4151">IFERROR(INDEX('Retirement Calculator'!K:K,MATCH('Lorri 401b'!N4151,'Retirement Calculator'!A:A,0),0),0)</f>
        <v>0</v>
      </c>
      <c r="K4151" s="444">
        <f t="shared" ca="1" si="163"/>
        <v>-29046525141.098381</v>
      </c>
      <c r="L4151" s="444">
        <f t="shared" ca="1" si="164"/>
        <v>-7000212559004.71</v>
      </c>
      <c r="M4151" s="460">
        <f t="shared" si="166"/>
        <v>0.05</v>
      </c>
      <c r="N4151" s="464">
        <f t="shared" si="167"/>
        <v>177388</v>
      </c>
    </row>
    <row r="4152" spans="7:14" ht="11.25" customHeight="1" x14ac:dyDescent="0.3">
      <c r="G4152" s="459"/>
      <c r="H4152" s="459">
        <v>4145</v>
      </c>
      <c r="I4152" s="444">
        <f t="shared" ca="1" si="165"/>
        <v>-7000212559004.71</v>
      </c>
      <c r="J4152" s="444">
        <f t="array" ref="J4152">IFERROR(INDEX('Retirement Calculator'!K:K,MATCH('Lorri 401b'!N4152,'Retirement Calculator'!A:A,0),0),0)</f>
        <v>0</v>
      </c>
      <c r="K4152" s="444">
        <f t="shared" ca="1" si="163"/>
        <v>-29167552329.186287</v>
      </c>
      <c r="L4152" s="444">
        <f t="shared" ca="1" si="164"/>
        <v>-7029380111333.8965</v>
      </c>
      <c r="M4152" s="460">
        <f t="shared" si="166"/>
        <v>0.05</v>
      </c>
      <c r="N4152" s="464">
        <f t="shared" si="167"/>
        <v>177418</v>
      </c>
    </row>
    <row r="4153" spans="7:14" ht="11.25" customHeight="1" x14ac:dyDescent="0.3">
      <c r="G4153" s="459"/>
      <c r="H4153" s="459">
        <v>4146</v>
      </c>
      <c r="I4153" s="444">
        <f t="shared" ca="1" si="165"/>
        <v>-7029380111333.8965</v>
      </c>
      <c r="J4153" s="444">
        <f t="array" ref="J4153">IFERROR(INDEX('Retirement Calculator'!K:K,MATCH('Lorri 401b'!N4153,'Retirement Calculator'!A:A,0),0),0)</f>
        <v>0</v>
      </c>
      <c r="K4153" s="444">
        <f t="shared" ca="1" si="163"/>
        <v>-29289083797.224567</v>
      </c>
      <c r="L4153" s="444">
        <f t="shared" ca="1" si="164"/>
        <v>-7058669195131.1211</v>
      </c>
      <c r="M4153" s="460">
        <f t="shared" si="166"/>
        <v>0.05</v>
      </c>
      <c r="N4153" s="464">
        <f t="shared" si="167"/>
        <v>177449</v>
      </c>
    </row>
    <row r="4154" spans="7:14" ht="11.25" customHeight="1" x14ac:dyDescent="0.3">
      <c r="G4154" s="459"/>
      <c r="H4154" s="459">
        <v>4147</v>
      </c>
      <c r="I4154" s="444">
        <f t="shared" ca="1" si="165"/>
        <v>-7058669195131.1211</v>
      </c>
      <c r="J4154" s="444">
        <f t="array" ref="J4154">IFERROR(INDEX('Retirement Calculator'!K:K,MATCH('Lorri 401b'!N4154,'Retirement Calculator'!A:A,0),0),0)</f>
        <v>0</v>
      </c>
      <c r="K4154" s="444">
        <f t="shared" ca="1" si="163"/>
        <v>-29411121646.379673</v>
      </c>
      <c r="L4154" s="444">
        <f t="shared" ca="1" si="164"/>
        <v>-7088080316777.501</v>
      </c>
      <c r="M4154" s="460">
        <f t="shared" si="166"/>
        <v>0.05</v>
      </c>
      <c r="N4154" s="464">
        <f t="shared" si="167"/>
        <v>177479</v>
      </c>
    </row>
    <row r="4155" spans="7:14" ht="11.25" customHeight="1" x14ac:dyDescent="0.3">
      <c r="G4155" s="459"/>
      <c r="H4155" s="459">
        <v>4148</v>
      </c>
      <c r="I4155" s="444">
        <f t="shared" ca="1" si="165"/>
        <v>-7088080316777.501</v>
      </c>
      <c r="J4155" s="444">
        <f t="array" ref="J4155">IFERROR(INDEX('Retirement Calculator'!K:K,MATCH('Lorri 401b'!N4155,'Retirement Calculator'!A:A,0),0),0)</f>
        <v>0</v>
      </c>
      <c r="K4155" s="444">
        <f t="shared" ca="1" si="163"/>
        <v>-29533667986.572922</v>
      </c>
      <c r="L4155" s="444">
        <f t="shared" ca="1" si="164"/>
        <v>-7117613984764.0742</v>
      </c>
      <c r="M4155" s="460">
        <f t="shared" si="166"/>
        <v>0.05</v>
      </c>
      <c r="N4155" s="464">
        <f t="shared" si="167"/>
        <v>177510</v>
      </c>
    </row>
    <row r="4156" spans="7:14" ht="11.25" customHeight="1" x14ac:dyDescent="0.3">
      <c r="G4156" s="459"/>
      <c r="H4156" s="459">
        <v>4149</v>
      </c>
      <c r="I4156" s="444">
        <f t="shared" ca="1" si="165"/>
        <v>-7117613984764.0742</v>
      </c>
      <c r="J4156" s="444">
        <f t="array" ref="J4156">IFERROR(INDEX('Retirement Calculator'!K:K,MATCH('Lorri 401b'!N4156,'Retirement Calculator'!A:A,0),0),0)</f>
        <v>0</v>
      </c>
      <c r="K4156" s="444">
        <f t="shared" ca="1" si="163"/>
        <v>-29656724936.516975</v>
      </c>
      <c r="L4156" s="444">
        <f t="shared" ca="1" si="164"/>
        <v>-7147270709700.5908</v>
      </c>
      <c r="M4156" s="460">
        <f t="shared" si="166"/>
        <v>0.05</v>
      </c>
      <c r="N4156" s="464">
        <f t="shared" si="167"/>
        <v>177541</v>
      </c>
    </row>
    <row r="4157" spans="7:14" ht="11.25" customHeight="1" x14ac:dyDescent="0.3">
      <c r="G4157" s="459"/>
      <c r="H4157" s="459">
        <v>4150</v>
      </c>
      <c r="I4157" s="444">
        <f t="shared" ca="1" si="165"/>
        <v>-7147270709700.5908</v>
      </c>
      <c r="J4157" s="444">
        <f t="array" ref="J4157">IFERROR(INDEX('Retirement Calculator'!K:K,MATCH('Lorri 401b'!N4157,'Retirement Calculator'!A:A,0),0),0)</f>
        <v>0</v>
      </c>
      <c r="K4157" s="444">
        <f t="shared" ca="1" si="163"/>
        <v>-29780294623.75246</v>
      </c>
      <c r="L4157" s="444">
        <f t="shared" ca="1" si="164"/>
        <v>-7177051004324.3438</v>
      </c>
      <c r="M4157" s="460">
        <f t="shared" si="166"/>
        <v>0.05</v>
      </c>
      <c r="N4157" s="464">
        <f t="shared" si="167"/>
        <v>177569</v>
      </c>
    </row>
    <row r="4158" spans="7:14" ht="11.25" customHeight="1" x14ac:dyDescent="0.3">
      <c r="G4158" s="459"/>
      <c r="H4158" s="459">
        <v>4151</v>
      </c>
      <c r="I4158" s="444">
        <f t="shared" ca="1" si="165"/>
        <v>-7177051004324.3438</v>
      </c>
      <c r="J4158" s="444">
        <f t="array" ref="J4158">IFERROR(INDEX('Retirement Calculator'!K:K,MATCH('Lorri 401b'!N4158,'Retirement Calculator'!A:A,0),0),0)</f>
        <v>0</v>
      </c>
      <c r="K4158" s="444">
        <f t="shared" ca="1" si="163"/>
        <v>-29904379184.684765</v>
      </c>
      <c r="L4158" s="444">
        <f t="shared" ca="1" si="164"/>
        <v>-7206955383509.0283</v>
      </c>
      <c r="M4158" s="460">
        <f t="shared" si="166"/>
        <v>0.05</v>
      </c>
      <c r="N4158" s="464">
        <f t="shared" si="167"/>
        <v>177600</v>
      </c>
    </row>
    <row r="4159" spans="7:14" ht="11.25" customHeight="1" x14ac:dyDescent="0.3">
      <c r="G4159" s="459"/>
      <c r="H4159" s="459">
        <v>4152</v>
      </c>
      <c r="I4159" s="444">
        <f t="shared" ca="1" si="165"/>
        <v>-7206955383509.0283</v>
      </c>
      <c r="J4159" s="444">
        <f t="array" ref="J4159">IFERROR(INDEX('Retirement Calculator'!K:K,MATCH('Lorri 401b'!N4159,'Retirement Calculator'!A:A,0),0),0)</f>
        <v>0</v>
      </c>
      <c r="K4159" s="444">
        <f t="shared" ca="1" si="163"/>
        <v>-30028980764.620953</v>
      </c>
      <c r="L4159" s="444">
        <f t="shared" ca="1" si="164"/>
        <v>-7236984364273.6494</v>
      </c>
      <c r="M4159" s="460">
        <f t="shared" si="166"/>
        <v>0.05</v>
      </c>
      <c r="N4159" s="464">
        <f t="shared" si="167"/>
        <v>177630</v>
      </c>
    </row>
    <row r="4160" spans="7:14" ht="11.25" customHeight="1" x14ac:dyDescent="0.3">
      <c r="G4160" s="459"/>
      <c r="H4160" s="459">
        <v>4153</v>
      </c>
      <c r="I4160" s="444">
        <f t="shared" ca="1" si="165"/>
        <v>-7236984364273.6494</v>
      </c>
      <c r="J4160" s="444">
        <f t="array" ref="J4160">IFERROR(INDEX('Retirement Calculator'!K:K,MATCH('Lorri 401b'!N4160,'Retirement Calculator'!A:A,0),0),0)</f>
        <v>0</v>
      </c>
      <c r="K4160" s="444">
        <f t="shared" ca="1" si="163"/>
        <v>-30154101517.806877</v>
      </c>
      <c r="L4160" s="444">
        <f t="shared" ca="1" si="164"/>
        <v>-7267138465791.4561</v>
      </c>
      <c r="M4160" s="460">
        <f t="shared" si="166"/>
        <v>0.05</v>
      </c>
      <c r="N4160" s="464">
        <f t="shared" si="167"/>
        <v>177661</v>
      </c>
    </row>
    <row r="4161" spans="7:14" ht="11.25" customHeight="1" x14ac:dyDescent="0.3">
      <c r="G4161" s="459"/>
      <c r="H4161" s="459">
        <v>4154</v>
      </c>
      <c r="I4161" s="444">
        <f t="shared" ca="1" si="165"/>
        <v>-7267138465791.4561</v>
      </c>
      <c r="J4161" s="444">
        <f t="array" ref="J4161">IFERROR(INDEX('Retirement Calculator'!K:K,MATCH('Lorri 401b'!N4161,'Retirement Calculator'!A:A,0),0),0)</f>
        <v>0</v>
      </c>
      <c r="K4161" s="444">
        <f t="shared" ca="1" si="163"/>
        <v>-30279743607.464401</v>
      </c>
      <c r="L4161" s="444">
        <f t="shared" ca="1" si="164"/>
        <v>-7297418209398.9209</v>
      </c>
      <c r="M4161" s="460">
        <f t="shared" si="166"/>
        <v>0.05</v>
      </c>
      <c r="N4161" s="464">
        <f t="shared" si="167"/>
        <v>177691</v>
      </c>
    </row>
    <row r="4162" spans="7:14" ht="11.25" customHeight="1" x14ac:dyDescent="0.3">
      <c r="G4162" s="459"/>
      <c r="H4162" s="459">
        <v>4155</v>
      </c>
      <c r="I4162" s="444">
        <f t="shared" ca="1" si="165"/>
        <v>-7297418209398.9209</v>
      </c>
      <c r="J4162" s="444">
        <f t="array" ref="J4162">IFERROR(INDEX('Retirement Calculator'!K:K,MATCH('Lorri 401b'!N4162,'Retirement Calculator'!A:A,0),0),0)</f>
        <v>0</v>
      </c>
      <c r="K4162" s="444">
        <f t="shared" ca="1" si="163"/>
        <v>-30405909205.828831</v>
      </c>
      <c r="L4162" s="444">
        <f t="shared" ca="1" si="164"/>
        <v>-7327824118604.75</v>
      </c>
      <c r="M4162" s="460">
        <f t="shared" si="166"/>
        <v>0.05</v>
      </c>
      <c r="N4162" s="464">
        <f t="shared" si="167"/>
        <v>177722</v>
      </c>
    </row>
    <row r="4163" spans="7:14" ht="11.25" customHeight="1" x14ac:dyDescent="0.3">
      <c r="G4163" s="459"/>
      <c r="H4163" s="459">
        <v>4156</v>
      </c>
      <c r="I4163" s="444">
        <f t="shared" ca="1" si="165"/>
        <v>-7327824118604.75</v>
      </c>
      <c r="J4163" s="444">
        <f t="array" ref="J4163">IFERROR(INDEX('Retirement Calculator'!K:K,MATCH('Lorri 401b'!N4163,'Retirement Calculator'!A:A,0),0),0)</f>
        <v>0</v>
      </c>
      <c r="K4163" s="444">
        <f t="shared" ca="1" si="163"/>
        <v>-30532600494.186459</v>
      </c>
      <c r="L4163" s="444">
        <f t="shared" ca="1" si="164"/>
        <v>-7358356719098.9365</v>
      </c>
      <c r="M4163" s="460">
        <f t="shared" si="166"/>
        <v>0.05</v>
      </c>
      <c r="N4163" s="464">
        <f t="shared" si="167"/>
        <v>177753</v>
      </c>
    </row>
    <row r="4164" spans="7:14" ht="11.25" customHeight="1" x14ac:dyDescent="0.3">
      <c r="G4164" s="459"/>
      <c r="H4164" s="459">
        <v>4157</v>
      </c>
      <c r="I4164" s="444">
        <f t="shared" ca="1" si="165"/>
        <v>-7358356719098.9365</v>
      </c>
      <c r="J4164" s="444">
        <f t="array" ref="J4164">IFERROR(INDEX('Retirement Calculator'!K:K,MATCH('Lorri 401b'!N4164,'Retirement Calculator'!A:A,0),0),0)</f>
        <v>0</v>
      </c>
      <c r="K4164" s="444">
        <f t="shared" ca="1" si="163"/>
        <v>-30659819662.912231</v>
      </c>
      <c r="L4164" s="444">
        <f t="shared" ca="1" si="164"/>
        <v>-7389016538761.8486</v>
      </c>
      <c r="M4164" s="460">
        <f t="shared" si="166"/>
        <v>0.05</v>
      </c>
      <c r="N4164" s="464">
        <f t="shared" si="167"/>
        <v>177783</v>
      </c>
    </row>
    <row r="4165" spans="7:14" ht="11.25" customHeight="1" x14ac:dyDescent="0.3">
      <c r="G4165" s="459"/>
      <c r="H4165" s="459">
        <v>4158</v>
      </c>
      <c r="I4165" s="444">
        <f t="shared" ca="1" si="165"/>
        <v>-7389016538761.8486</v>
      </c>
      <c r="J4165" s="444">
        <f t="array" ref="J4165">IFERROR(INDEX('Retirement Calculator'!K:K,MATCH('Lorri 401b'!N4165,'Retirement Calculator'!A:A,0),0),0)</f>
        <v>0</v>
      </c>
      <c r="K4165" s="444">
        <f t="shared" ca="1" si="163"/>
        <v>-30787568911.507702</v>
      </c>
      <c r="L4165" s="444">
        <f t="shared" ca="1" si="164"/>
        <v>-7419804107673.3564</v>
      </c>
      <c r="M4165" s="460">
        <f t="shared" si="166"/>
        <v>0.05</v>
      </c>
      <c r="N4165" s="464">
        <f t="shared" si="167"/>
        <v>177814</v>
      </c>
    </row>
    <row r="4166" spans="7:14" ht="11.25" customHeight="1" x14ac:dyDescent="0.3">
      <c r="G4166" s="459"/>
      <c r="H4166" s="459">
        <v>4159</v>
      </c>
      <c r="I4166" s="444">
        <f t="shared" ca="1" si="165"/>
        <v>-7419804107673.3564</v>
      </c>
      <c r="J4166" s="444">
        <f t="array" ref="J4166">IFERROR(INDEX('Retirement Calculator'!K:K,MATCH('Lorri 401b'!N4166,'Retirement Calculator'!A:A,0),0),0)</f>
        <v>0</v>
      </c>
      <c r="K4166" s="444">
        <f t="shared" ca="1" si="163"/>
        <v>-30915850448.638985</v>
      </c>
      <c r="L4166" s="444">
        <f t="shared" ca="1" si="164"/>
        <v>-7450719958121.9951</v>
      </c>
      <c r="M4166" s="460">
        <f t="shared" si="166"/>
        <v>0.05</v>
      </c>
      <c r="N4166" s="464">
        <f t="shared" si="167"/>
        <v>177844</v>
      </c>
    </row>
    <row r="4167" spans="7:14" ht="11.25" customHeight="1" x14ac:dyDescent="0.3">
      <c r="G4167" s="459"/>
      <c r="H4167" s="459">
        <v>4160</v>
      </c>
      <c r="I4167" s="444">
        <f t="shared" ca="1" si="165"/>
        <v>-7450719958121.9951</v>
      </c>
      <c r="J4167" s="444">
        <f t="array" ref="J4167">IFERROR(INDEX('Retirement Calculator'!K:K,MATCH('Lorri 401b'!N4167,'Retirement Calculator'!A:A,0),0),0)</f>
        <v>0</v>
      </c>
      <c r="K4167" s="444">
        <f t="shared" ca="1" si="163"/>
        <v>-31044666492.17498</v>
      </c>
      <c r="L4167" s="444">
        <f t="shared" ca="1" si="164"/>
        <v>-7481764624614.1699</v>
      </c>
      <c r="M4167" s="460">
        <f t="shared" si="166"/>
        <v>0.05</v>
      </c>
      <c r="N4167" s="464">
        <f t="shared" si="167"/>
        <v>177875</v>
      </c>
    </row>
    <row r="4168" spans="7:14" ht="11.25" customHeight="1" x14ac:dyDescent="0.3">
      <c r="G4168" s="459"/>
      <c r="H4168" s="459">
        <v>4161</v>
      </c>
      <c r="I4168" s="444">
        <f t="shared" ca="1" si="165"/>
        <v>-7481764624614.1699</v>
      </c>
      <c r="J4168" s="444">
        <f t="array" ref="J4168">IFERROR(INDEX('Retirement Calculator'!K:K,MATCH('Lorri 401b'!N4168,'Retirement Calculator'!A:A,0),0),0)</f>
        <v>0</v>
      </c>
      <c r="K4168" s="444">
        <f t="shared" ca="1" si="163"/>
        <v>-31174019269.225712</v>
      </c>
      <c r="L4168" s="444">
        <f t="shared" ca="1" si="164"/>
        <v>-7512938643883.3955</v>
      </c>
      <c r="M4168" s="460">
        <f t="shared" si="166"/>
        <v>0.05</v>
      </c>
      <c r="N4168" s="464">
        <f t="shared" si="167"/>
        <v>177906</v>
      </c>
    </row>
    <row r="4169" spans="7:14" ht="11.25" customHeight="1" x14ac:dyDescent="0.3">
      <c r="G4169" s="459"/>
      <c r="H4169" s="459">
        <v>4162</v>
      </c>
      <c r="I4169" s="444">
        <f t="shared" ca="1" si="165"/>
        <v>-7512938643883.3955</v>
      </c>
      <c r="J4169" s="444">
        <f t="array" ref="J4169">IFERROR(INDEX('Retirement Calculator'!K:K,MATCH('Lorri 401b'!N4169,'Retirement Calculator'!A:A,0),0),0)</f>
        <v>0</v>
      </c>
      <c r="K4169" s="444">
        <f t="shared" ca="1" si="163"/>
        <v>-31303911016.180813</v>
      </c>
      <c r="L4169" s="444">
        <f t="shared" ca="1" si="164"/>
        <v>-7544242554899.5762</v>
      </c>
      <c r="M4169" s="460">
        <f t="shared" si="166"/>
        <v>0.05</v>
      </c>
      <c r="N4169" s="464">
        <f t="shared" si="167"/>
        <v>177934</v>
      </c>
    </row>
    <row r="4170" spans="7:14" ht="11.25" customHeight="1" x14ac:dyDescent="0.3">
      <c r="G4170" s="459"/>
      <c r="H4170" s="459">
        <v>4163</v>
      </c>
      <c r="I4170" s="444">
        <f t="shared" ca="1" si="165"/>
        <v>-7544242554899.5762</v>
      </c>
      <c r="J4170" s="444">
        <f t="array" ref="J4170">IFERROR(INDEX('Retirement Calculator'!K:K,MATCH('Lorri 401b'!N4170,'Retirement Calculator'!A:A,0),0),0)</f>
        <v>0</v>
      </c>
      <c r="K4170" s="444">
        <f t="shared" ca="1" si="163"/>
        <v>-31434343978.74823</v>
      </c>
      <c r="L4170" s="444">
        <f t="shared" ca="1" si="164"/>
        <v>-7575676898878.3242</v>
      </c>
      <c r="M4170" s="460">
        <f t="shared" si="166"/>
        <v>0.05</v>
      </c>
      <c r="N4170" s="464">
        <f t="shared" si="167"/>
        <v>177965</v>
      </c>
    </row>
    <row r="4171" spans="7:14" ht="11.25" customHeight="1" x14ac:dyDescent="0.3">
      <c r="G4171" s="459"/>
      <c r="H4171" s="459">
        <v>4164</v>
      </c>
      <c r="I4171" s="444">
        <f t="shared" ca="1" si="165"/>
        <v>-7575676898878.3242</v>
      </c>
      <c r="J4171" s="444">
        <f t="array" ref="J4171">IFERROR(INDEX('Retirement Calculator'!K:K,MATCH('Lorri 401b'!N4171,'Retirement Calculator'!A:A,0),0),0)</f>
        <v>0</v>
      </c>
      <c r="K4171" s="444">
        <f t="shared" ca="1" si="163"/>
        <v>-31565320411.993015</v>
      </c>
      <c r="L4171" s="444">
        <f t="shared" ca="1" si="164"/>
        <v>-7607242219290.3174</v>
      </c>
      <c r="M4171" s="460">
        <f t="shared" si="166"/>
        <v>0.05</v>
      </c>
      <c r="N4171" s="464">
        <f t="shared" si="167"/>
        <v>177995</v>
      </c>
    </row>
    <row r="4172" spans="7:14" ht="11.25" customHeight="1" x14ac:dyDescent="0.3">
      <c r="G4172" s="459"/>
      <c r="H4172" s="459">
        <v>4165</v>
      </c>
      <c r="I4172" s="444">
        <f t="shared" ca="1" si="165"/>
        <v>-7607242219290.3174</v>
      </c>
      <c r="J4172" s="444">
        <f t="array" ref="J4172">IFERROR(INDEX('Retirement Calculator'!K:K,MATCH('Lorri 401b'!N4172,'Retirement Calculator'!A:A,0),0),0)</f>
        <v>0</v>
      </c>
      <c r="K4172" s="444">
        <f t="shared" ca="1" si="163"/>
        <v>-31696842580.376328</v>
      </c>
      <c r="L4172" s="444">
        <f t="shared" ca="1" si="164"/>
        <v>-7638939061870.6934</v>
      </c>
      <c r="M4172" s="460">
        <f t="shared" si="166"/>
        <v>0.05</v>
      </c>
      <c r="N4172" s="464">
        <f t="shared" si="167"/>
        <v>178026</v>
      </c>
    </row>
    <row r="4173" spans="7:14" ht="11.25" customHeight="1" x14ac:dyDescent="0.3">
      <c r="G4173" s="459"/>
      <c r="H4173" s="459">
        <v>4166</v>
      </c>
      <c r="I4173" s="444">
        <f t="shared" ca="1" si="165"/>
        <v>-7638939061870.6934</v>
      </c>
      <c r="J4173" s="444">
        <f t="array" ref="J4173">IFERROR(INDEX('Retirement Calculator'!K:K,MATCH('Lorri 401b'!N4173,'Retirement Calculator'!A:A,0),0),0)</f>
        <v>0</v>
      </c>
      <c r="K4173" s="444">
        <f t="shared" ca="1" si="163"/>
        <v>-31828912757.794556</v>
      </c>
      <c r="L4173" s="444">
        <f t="shared" ca="1" si="164"/>
        <v>-7670767974628.4883</v>
      </c>
      <c r="M4173" s="460">
        <f t="shared" si="166"/>
        <v>0.05</v>
      </c>
      <c r="N4173" s="464">
        <f t="shared" si="167"/>
        <v>178056</v>
      </c>
    </row>
    <row r="4174" spans="7:14" ht="11.25" customHeight="1" x14ac:dyDescent="0.3">
      <c r="G4174" s="459"/>
      <c r="H4174" s="459">
        <v>4167</v>
      </c>
      <c r="I4174" s="444">
        <f t="shared" ca="1" si="165"/>
        <v>-7670767974628.4883</v>
      </c>
      <c r="J4174" s="444">
        <f t="array" ref="J4174">IFERROR(INDEX('Retirement Calculator'!K:K,MATCH('Lorri 401b'!N4174,'Retirement Calculator'!A:A,0),0),0)</f>
        <v>0</v>
      </c>
      <c r="K4174" s="444">
        <f t="shared" ca="1" si="163"/>
        <v>-31961533227.618702</v>
      </c>
      <c r="L4174" s="444">
        <f t="shared" ca="1" si="164"/>
        <v>-7702729507856.1074</v>
      </c>
      <c r="M4174" s="460">
        <f t="shared" si="166"/>
        <v>0.05</v>
      </c>
      <c r="N4174" s="464">
        <f t="shared" si="167"/>
        <v>178087</v>
      </c>
    </row>
    <row r="4175" spans="7:14" ht="11.25" customHeight="1" x14ac:dyDescent="0.3">
      <c r="G4175" s="459"/>
      <c r="H4175" s="459">
        <v>4168</v>
      </c>
      <c r="I4175" s="444">
        <f t="shared" ca="1" si="165"/>
        <v>-7702729507856.1074</v>
      </c>
      <c r="J4175" s="444">
        <f t="array" ref="J4175">IFERROR(INDEX('Retirement Calculator'!K:K,MATCH('Lorri 401b'!N4175,'Retirement Calculator'!A:A,0),0),0)</f>
        <v>0</v>
      </c>
      <c r="K4175" s="444">
        <f t="shared" ca="1" si="163"/>
        <v>-32094706282.73378</v>
      </c>
      <c r="L4175" s="444">
        <f t="shared" ca="1" si="164"/>
        <v>-7734824214138.8408</v>
      </c>
      <c r="M4175" s="460">
        <f t="shared" si="166"/>
        <v>0.05</v>
      </c>
      <c r="N4175" s="464">
        <f t="shared" si="167"/>
        <v>178118</v>
      </c>
    </row>
    <row r="4176" spans="7:14" ht="11.25" customHeight="1" x14ac:dyDescent="0.3">
      <c r="G4176" s="459"/>
      <c r="H4176" s="459">
        <v>4169</v>
      </c>
      <c r="I4176" s="444">
        <f t="shared" ca="1" si="165"/>
        <v>-7734824214138.8408</v>
      </c>
      <c r="J4176" s="444">
        <f t="array" ref="J4176">IFERROR(INDEX('Retirement Calculator'!K:K,MATCH('Lorri 401b'!N4176,'Retirement Calculator'!A:A,0),0),0)</f>
        <v>0</v>
      </c>
      <c r="K4176" s="444">
        <f t="shared" ca="1" si="163"/>
        <v>-32228434225.578503</v>
      </c>
      <c r="L4176" s="444">
        <f t="shared" ca="1" si="164"/>
        <v>-7767052648364.4189</v>
      </c>
      <c r="M4176" s="460">
        <f t="shared" si="166"/>
        <v>0.05</v>
      </c>
      <c r="N4176" s="464">
        <f t="shared" si="167"/>
        <v>178148</v>
      </c>
    </row>
    <row r="4177" spans="7:14" ht="11.25" customHeight="1" x14ac:dyDescent="0.3">
      <c r="G4177" s="459"/>
      <c r="H4177" s="459">
        <v>4170</v>
      </c>
      <c r="I4177" s="444">
        <f t="shared" ca="1" si="165"/>
        <v>-7767052648364.4189</v>
      </c>
      <c r="J4177" s="444">
        <f t="array" ref="J4177">IFERROR(INDEX('Retirement Calculator'!K:K,MATCH('Lorri 401b'!N4177,'Retirement Calculator'!A:A,0),0),0)</f>
        <v>0</v>
      </c>
      <c r="K4177" s="444">
        <f t="shared" ca="1" si="163"/>
        <v>-32362719368.185078</v>
      </c>
      <c r="L4177" s="444">
        <f t="shared" ca="1" si="164"/>
        <v>-7799415367732.6045</v>
      </c>
      <c r="M4177" s="460">
        <f t="shared" si="166"/>
        <v>0.05</v>
      </c>
      <c r="N4177" s="464">
        <f t="shared" si="167"/>
        <v>178179</v>
      </c>
    </row>
    <row r="4178" spans="7:14" ht="11.25" customHeight="1" x14ac:dyDescent="0.3">
      <c r="G4178" s="459"/>
      <c r="H4178" s="459">
        <v>4171</v>
      </c>
      <c r="I4178" s="444">
        <f t="shared" ca="1" si="165"/>
        <v>-7799415367732.6045</v>
      </c>
      <c r="J4178" s="444">
        <f t="array" ref="J4178">IFERROR(INDEX('Retirement Calculator'!K:K,MATCH('Lorri 401b'!N4178,'Retirement Calculator'!A:A,0),0),0)</f>
        <v>0</v>
      </c>
      <c r="K4178" s="444">
        <f t="shared" ca="1" si="163"/>
        <v>-32497564032.219185</v>
      </c>
      <c r="L4178" s="444">
        <f t="shared" ca="1" si="164"/>
        <v>-7831912931764.8232</v>
      </c>
      <c r="M4178" s="460">
        <f t="shared" si="166"/>
        <v>0.05</v>
      </c>
      <c r="N4178" s="464">
        <f t="shared" si="167"/>
        <v>178209</v>
      </c>
    </row>
    <row r="4179" spans="7:14" ht="11.25" customHeight="1" x14ac:dyDescent="0.3">
      <c r="G4179" s="459"/>
      <c r="H4179" s="459">
        <v>4172</v>
      </c>
      <c r="I4179" s="444">
        <f t="shared" ca="1" si="165"/>
        <v>-7831912931764.8232</v>
      </c>
      <c r="J4179" s="444">
        <f t="array" ref="J4179">IFERROR(INDEX('Retirement Calculator'!K:K,MATCH('Lorri 401b'!N4179,'Retirement Calculator'!A:A,0),0),0)</f>
        <v>0</v>
      </c>
      <c r="K4179" s="444">
        <f t="shared" ca="1" si="163"/>
        <v>-32632970549.020096</v>
      </c>
      <c r="L4179" s="444">
        <f t="shared" ca="1" si="164"/>
        <v>-7864545902313.8438</v>
      </c>
      <c r="M4179" s="460">
        <f t="shared" si="166"/>
        <v>0.05</v>
      </c>
      <c r="N4179" s="464">
        <f t="shared" si="167"/>
        <v>178240</v>
      </c>
    </row>
    <row r="4180" spans="7:14" ht="11.25" customHeight="1" x14ac:dyDescent="0.3">
      <c r="G4180" s="459"/>
      <c r="H4180" s="459">
        <v>4173</v>
      </c>
      <c r="I4180" s="444">
        <f t="shared" ca="1" si="165"/>
        <v>-7864545902313.8438</v>
      </c>
      <c r="J4180" s="444">
        <f t="array" ref="J4180">IFERROR(INDEX('Retirement Calculator'!K:K,MATCH('Lorri 401b'!N4180,'Retirement Calculator'!A:A,0),0),0)</f>
        <v>0</v>
      </c>
      <c r="K4180" s="444">
        <f t="shared" ca="1" si="163"/>
        <v>-32768941259.641018</v>
      </c>
      <c r="L4180" s="444">
        <f t="shared" ca="1" si="164"/>
        <v>-7897314843573.4844</v>
      </c>
      <c r="M4180" s="460">
        <f t="shared" si="166"/>
        <v>0.05</v>
      </c>
      <c r="N4180" s="464">
        <f t="shared" si="167"/>
        <v>178271</v>
      </c>
    </row>
    <row r="4181" spans="7:14" ht="11.25" customHeight="1" x14ac:dyDescent="0.3">
      <c r="G4181" s="459"/>
      <c r="H4181" s="459">
        <v>4174</v>
      </c>
      <c r="I4181" s="444">
        <f t="shared" ca="1" si="165"/>
        <v>-7897314843573.4844</v>
      </c>
      <c r="J4181" s="444">
        <f t="array" ref="J4181">IFERROR(INDEX('Retirement Calculator'!K:K,MATCH('Lorri 401b'!N4181,'Retirement Calculator'!A:A,0),0),0)</f>
        <v>0</v>
      </c>
      <c r="K4181" s="444">
        <f t="shared" ca="1" si="163"/>
        <v>-32905478514.889519</v>
      </c>
      <c r="L4181" s="444">
        <f t="shared" ca="1" si="164"/>
        <v>-7930220322088.374</v>
      </c>
      <c r="M4181" s="460">
        <f t="shared" si="166"/>
        <v>0.05</v>
      </c>
      <c r="N4181" s="464">
        <f t="shared" si="167"/>
        <v>178300</v>
      </c>
    </row>
    <row r="4182" spans="7:14" ht="11.25" customHeight="1" x14ac:dyDescent="0.3">
      <c r="G4182" s="459"/>
      <c r="H4182" s="459">
        <v>4175</v>
      </c>
      <c r="I4182" s="444">
        <f t="shared" ca="1" si="165"/>
        <v>-7930220322088.374</v>
      </c>
      <c r="J4182" s="444">
        <f t="array" ref="J4182">IFERROR(INDEX('Retirement Calculator'!K:K,MATCH('Lorri 401b'!N4182,'Retirement Calculator'!A:A,0),0),0)</f>
        <v>0</v>
      </c>
      <c r="K4182" s="444">
        <f t="shared" ca="1" si="163"/>
        <v>-33042584675.368221</v>
      </c>
      <c r="L4182" s="444">
        <f t="shared" ca="1" si="164"/>
        <v>-7963262906763.7422</v>
      </c>
      <c r="M4182" s="460">
        <f t="shared" si="166"/>
        <v>0.05</v>
      </c>
      <c r="N4182" s="464">
        <f t="shared" si="167"/>
        <v>178331</v>
      </c>
    </row>
    <row r="4183" spans="7:14" ht="11.25" customHeight="1" x14ac:dyDescent="0.3">
      <c r="G4183" s="459"/>
      <c r="H4183" s="459">
        <v>4176</v>
      </c>
      <c r="I4183" s="444">
        <f t="shared" ca="1" si="165"/>
        <v>-7963262906763.7422</v>
      </c>
      <c r="J4183" s="444">
        <f t="array" ref="J4183">IFERROR(INDEX('Retirement Calculator'!K:K,MATCH('Lorri 401b'!N4183,'Retirement Calculator'!A:A,0),0),0)</f>
        <v>0</v>
      </c>
      <c r="K4183" s="444">
        <f t="shared" ca="1" si="163"/>
        <v>-33180262111.515591</v>
      </c>
      <c r="L4183" s="444">
        <f t="shared" ca="1" si="164"/>
        <v>-7996443168875.2578</v>
      </c>
      <c r="M4183" s="460">
        <f t="shared" si="166"/>
        <v>0.05</v>
      </c>
      <c r="N4183" s="464">
        <f t="shared" si="167"/>
        <v>178361</v>
      </c>
    </row>
    <row r="4184" spans="7:14" ht="11.25" customHeight="1" x14ac:dyDescent="0.3">
      <c r="G4184" s="459"/>
      <c r="H4184" s="459">
        <v>4177</v>
      </c>
      <c r="I4184" s="444">
        <f t="shared" ca="1" si="165"/>
        <v>-7996443168875.2578</v>
      </c>
      <c r="J4184" s="444">
        <f t="array" ref="J4184">IFERROR(INDEX('Retirement Calculator'!K:K,MATCH('Lorri 401b'!N4184,'Retirement Calculator'!A:A,0),0),0)</f>
        <v>0</v>
      </c>
      <c r="K4184" s="444">
        <f t="shared" ca="1" si="163"/>
        <v>-33318513203.646908</v>
      </c>
      <c r="L4184" s="444">
        <f t="shared" ca="1" si="164"/>
        <v>-8029761682078.9043</v>
      </c>
      <c r="M4184" s="460">
        <f t="shared" si="166"/>
        <v>0.05</v>
      </c>
      <c r="N4184" s="464">
        <f t="shared" si="167"/>
        <v>178392</v>
      </c>
    </row>
    <row r="4185" spans="7:14" ht="11.25" customHeight="1" x14ac:dyDescent="0.3">
      <c r="G4185" s="459"/>
      <c r="H4185" s="459">
        <v>4178</v>
      </c>
      <c r="I4185" s="444">
        <f t="shared" ca="1" si="165"/>
        <v>-8029761682078.9043</v>
      </c>
      <c r="J4185" s="444">
        <f t="array" ref="J4185">IFERROR(INDEX('Retirement Calculator'!K:K,MATCH('Lorri 401b'!N4185,'Retirement Calculator'!A:A,0),0),0)</f>
        <v>0</v>
      </c>
      <c r="K4185" s="444">
        <f t="shared" ca="1" si="163"/>
        <v>-33457340341.995438</v>
      </c>
      <c r="L4185" s="444">
        <f t="shared" ca="1" si="164"/>
        <v>-8063219022420.8994</v>
      </c>
      <c r="M4185" s="460">
        <f t="shared" si="166"/>
        <v>0.05</v>
      </c>
      <c r="N4185" s="464">
        <f t="shared" si="167"/>
        <v>178422</v>
      </c>
    </row>
    <row r="4186" spans="7:14" ht="11.25" customHeight="1" x14ac:dyDescent="0.3">
      <c r="G4186" s="459"/>
      <c r="H4186" s="459">
        <v>4179</v>
      </c>
      <c r="I4186" s="444">
        <f t="shared" ca="1" si="165"/>
        <v>-8063219022420.8994</v>
      </c>
      <c r="J4186" s="444">
        <f t="array" ref="J4186">IFERROR(INDEX('Retirement Calculator'!K:K,MATCH('Lorri 401b'!N4186,'Retirement Calculator'!A:A,0),0),0)</f>
        <v>0</v>
      </c>
      <c r="K4186" s="444">
        <f t="shared" ca="1" si="163"/>
        <v>-33596745926.753746</v>
      </c>
      <c r="L4186" s="444">
        <f t="shared" ca="1" si="164"/>
        <v>-8096815768347.6533</v>
      </c>
      <c r="M4186" s="460">
        <f t="shared" si="166"/>
        <v>0.05</v>
      </c>
      <c r="N4186" s="464">
        <f t="shared" si="167"/>
        <v>178453</v>
      </c>
    </row>
    <row r="4187" spans="7:14" ht="11.25" customHeight="1" x14ac:dyDescent="0.3">
      <c r="G4187" s="459"/>
      <c r="H4187" s="459">
        <v>4180</v>
      </c>
      <c r="I4187" s="444">
        <f t="shared" ca="1" si="165"/>
        <v>-8096815768347.6533</v>
      </c>
      <c r="J4187" s="444">
        <f t="array" ref="J4187">IFERROR(INDEX('Retirement Calculator'!K:K,MATCH('Lorri 401b'!N4187,'Retirement Calculator'!A:A,0),0),0)</f>
        <v>0</v>
      </c>
      <c r="K4187" s="444">
        <f t="shared" ca="1" si="163"/>
        <v>-33736732368.115223</v>
      </c>
      <c r="L4187" s="444">
        <f t="shared" ca="1" si="164"/>
        <v>-8130552500715.7686</v>
      </c>
      <c r="M4187" s="460">
        <f t="shared" si="166"/>
        <v>0.05</v>
      </c>
      <c r="N4187" s="464">
        <f t="shared" si="167"/>
        <v>178484</v>
      </c>
    </row>
    <row r="4188" spans="7:14" ht="11.25" customHeight="1" x14ac:dyDescent="0.3">
      <c r="G4188" s="459"/>
      <c r="H4188" s="459">
        <v>4181</v>
      </c>
      <c r="I4188" s="444">
        <f t="shared" ca="1" si="165"/>
        <v>-8130552500715.7686</v>
      </c>
      <c r="J4188" s="444">
        <f t="array" ref="J4188">IFERROR(INDEX('Retirement Calculator'!K:K,MATCH('Lorri 401b'!N4188,'Retirement Calculator'!A:A,0),0),0)</f>
        <v>0</v>
      </c>
      <c r="K4188" s="444">
        <f t="shared" ca="1" si="163"/>
        <v>-33877302086.315701</v>
      </c>
      <c r="L4188" s="444">
        <f t="shared" ca="1" si="164"/>
        <v>-8164429802802.084</v>
      </c>
      <c r="M4188" s="460">
        <f t="shared" si="166"/>
        <v>0.05</v>
      </c>
      <c r="N4188" s="464">
        <f t="shared" si="167"/>
        <v>178514</v>
      </c>
    </row>
    <row r="4189" spans="7:14" ht="11.25" customHeight="1" x14ac:dyDescent="0.3">
      <c r="G4189" s="459"/>
      <c r="H4189" s="459">
        <v>4182</v>
      </c>
      <c r="I4189" s="444">
        <f t="shared" ca="1" si="165"/>
        <v>-8164429802802.084</v>
      </c>
      <c r="J4189" s="444">
        <f t="array" ref="J4189">IFERROR(INDEX('Retirement Calculator'!K:K,MATCH('Lorri 401b'!N4189,'Retirement Calculator'!A:A,0),0),0)</f>
        <v>0</v>
      </c>
      <c r="K4189" s="444">
        <f t="shared" ca="1" si="163"/>
        <v>-34018457511.67535</v>
      </c>
      <c r="L4189" s="444">
        <f t="shared" ca="1" si="164"/>
        <v>-8198448260313.7598</v>
      </c>
      <c r="M4189" s="460">
        <f t="shared" si="166"/>
        <v>0.05</v>
      </c>
      <c r="N4189" s="464">
        <f t="shared" si="167"/>
        <v>178545</v>
      </c>
    </row>
    <row r="4190" spans="7:14" ht="11.25" customHeight="1" x14ac:dyDescent="0.3">
      <c r="G4190" s="459"/>
      <c r="H4190" s="459">
        <v>4183</v>
      </c>
      <c r="I4190" s="444">
        <f t="shared" ca="1" si="165"/>
        <v>-8198448260313.7598</v>
      </c>
      <c r="J4190" s="444">
        <f t="array" ref="J4190">IFERROR(INDEX('Retirement Calculator'!K:K,MATCH('Lorri 401b'!N4190,'Retirement Calculator'!A:A,0),0),0)</f>
        <v>0</v>
      </c>
      <c r="K4190" s="444">
        <f t="shared" ca="1" si="163"/>
        <v>-34160201084.640671</v>
      </c>
      <c r="L4190" s="444">
        <f t="shared" ca="1" si="164"/>
        <v>-8232608461398.4004</v>
      </c>
      <c r="M4190" s="460">
        <f t="shared" si="166"/>
        <v>0.05</v>
      </c>
      <c r="N4190" s="464">
        <f t="shared" si="167"/>
        <v>178575</v>
      </c>
    </row>
    <row r="4191" spans="7:14" ht="11.25" customHeight="1" x14ac:dyDescent="0.3">
      <c r="G4191" s="459"/>
      <c r="H4191" s="459">
        <v>4184</v>
      </c>
      <c r="I4191" s="444">
        <f t="shared" ca="1" si="165"/>
        <v>-8232608461398.4004</v>
      </c>
      <c r="J4191" s="444">
        <f t="array" ref="J4191">IFERROR(INDEX('Retirement Calculator'!K:K,MATCH('Lorri 401b'!N4191,'Retirement Calculator'!A:A,0),0),0)</f>
        <v>0</v>
      </c>
      <c r="K4191" s="444">
        <f t="shared" ca="1" si="163"/>
        <v>-34302535255.826672</v>
      </c>
      <c r="L4191" s="444">
        <f t="shared" ca="1" si="164"/>
        <v>-8266910996654.2275</v>
      </c>
      <c r="M4191" s="460">
        <f t="shared" si="166"/>
        <v>0.05</v>
      </c>
      <c r="N4191" s="464">
        <f t="shared" si="167"/>
        <v>178606</v>
      </c>
    </row>
    <row r="4192" spans="7:14" ht="11.25" customHeight="1" x14ac:dyDescent="0.3">
      <c r="G4192" s="459"/>
      <c r="H4192" s="459">
        <v>4185</v>
      </c>
      <c r="I4192" s="444">
        <f t="shared" ca="1" si="165"/>
        <v>-8266910996654.2275</v>
      </c>
      <c r="J4192" s="444">
        <f t="array" ref="J4192">IFERROR(INDEX('Retirement Calculator'!K:K,MATCH('Lorri 401b'!N4192,'Retirement Calculator'!A:A,0),0),0)</f>
        <v>0</v>
      </c>
      <c r="K4192" s="444">
        <f t="shared" ca="1" si="163"/>
        <v>-34445462486.05928</v>
      </c>
      <c r="L4192" s="444">
        <f t="shared" ca="1" si="164"/>
        <v>-8301356459140.2871</v>
      </c>
      <c r="M4192" s="460">
        <f t="shared" si="166"/>
        <v>0.05</v>
      </c>
      <c r="N4192" s="464">
        <f t="shared" si="167"/>
        <v>178637</v>
      </c>
    </row>
    <row r="4193" spans="7:14" ht="11.25" customHeight="1" x14ac:dyDescent="0.3">
      <c r="G4193" s="459"/>
      <c r="H4193" s="459">
        <v>4186</v>
      </c>
      <c r="I4193" s="444">
        <f t="shared" ca="1" si="165"/>
        <v>-8301356459140.2871</v>
      </c>
      <c r="J4193" s="444">
        <f t="array" ref="J4193">IFERROR(INDEX('Retirement Calculator'!K:K,MATCH('Lorri 401b'!N4193,'Retirement Calculator'!A:A,0),0),0)</f>
        <v>0</v>
      </c>
      <c r="K4193" s="444">
        <f t="shared" ca="1" si="163"/>
        <v>-34588985246.417862</v>
      </c>
      <c r="L4193" s="444">
        <f t="shared" ca="1" si="164"/>
        <v>-8335945444386.7051</v>
      </c>
      <c r="M4193" s="460">
        <f t="shared" si="166"/>
        <v>0.05</v>
      </c>
      <c r="N4193" s="464">
        <f t="shared" si="167"/>
        <v>178665</v>
      </c>
    </row>
    <row r="4194" spans="7:14" ht="11.25" customHeight="1" x14ac:dyDescent="0.3">
      <c r="G4194" s="459"/>
      <c r="H4194" s="459">
        <v>4187</v>
      </c>
      <c r="I4194" s="444">
        <f t="shared" ca="1" si="165"/>
        <v>-8335945444386.7051</v>
      </c>
      <c r="J4194" s="444">
        <f t="array" ref="J4194">IFERROR(INDEX('Retirement Calculator'!K:K,MATCH('Lorri 401b'!N4194,'Retirement Calculator'!A:A,0),0),0)</f>
        <v>0</v>
      </c>
      <c r="K4194" s="444">
        <f t="shared" ca="1" si="163"/>
        <v>-34733106018.277939</v>
      </c>
      <c r="L4194" s="444">
        <f t="shared" ca="1" si="164"/>
        <v>-8370678550404.9834</v>
      </c>
      <c r="M4194" s="460">
        <f t="shared" si="166"/>
        <v>0.05</v>
      </c>
      <c r="N4194" s="464">
        <f t="shared" si="167"/>
        <v>178696</v>
      </c>
    </row>
    <row r="4195" spans="7:14" ht="11.25" customHeight="1" x14ac:dyDescent="0.3">
      <c r="G4195" s="459"/>
      <c r="H4195" s="459">
        <v>4188</v>
      </c>
      <c r="I4195" s="444">
        <f t="shared" ca="1" si="165"/>
        <v>-8370678550404.9834</v>
      </c>
      <c r="J4195" s="444">
        <f t="array" ref="J4195">IFERROR(INDEX('Retirement Calculator'!K:K,MATCH('Lorri 401b'!N4195,'Retirement Calculator'!A:A,0),0),0)</f>
        <v>0</v>
      </c>
      <c r="K4195" s="444">
        <f t="shared" ca="1" si="163"/>
        <v>-34877827293.354095</v>
      </c>
      <c r="L4195" s="444">
        <f t="shared" ca="1" si="164"/>
        <v>-8405556377698.3379</v>
      </c>
      <c r="M4195" s="460">
        <f t="shared" si="166"/>
        <v>0.05</v>
      </c>
      <c r="N4195" s="464">
        <f t="shared" si="167"/>
        <v>178726</v>
      </c>
    </row>
    <row r="4196" spans="7:14" ht="11.25" customHeight="1" x14ac:dyDescent="0.3">
      <c r="G4196" s="459"/>
      <c r="H4196" s="459">
        <v>4189</v>
      </c>
      <c r="I4196" s="444">
        <f t="shared" ca="1" si="165"/>
        <v>-8405556377698.3379</v>
      </c>
      <c r="J4196" s="444">
        <f t="array" ref="J4196">IFERROR(INDEX('Retirement Calculator'!K:K,MATCH('Lorri 401b'!N4196,'Retirement Calculator'!A:A,0),0),0)</f>
        <v>0</v>
      </c>
      <c r="K4196" s="444">
        <f t="shared" ca="1" si="163"/>
        <v>-35023151573.743073</v>
      </c>
      <c r="L4196" s="444">
        <f t="shared" ca="1" si="164"/>
        <v>-8440579529272.0811</v>
      </c>
      <c r="M4196" s="460">
        <f t="shared" si="166"/>
        <v>0.05</v>
      </c>
      <c r="N4196" s="464">
        <f t="shared" si="167"/>
        <v>178757</v>
      </c>
    </row>
    <row r="4197" spans="7:14" ht="11.25" customHeight="1" x14ac:dyDescent="0.3">
      <c r="G4197" s="459"/>
      <c r="H4197" s="459">
        <v>4190</v>
      </c>
      <c r="I4197" s="444">
        <f t="shared" ca="1" si="165"/>
        <v>-8440579529272.0811</v>
      </c>
      <c r="J4197" s="444">
        <f t="array" ref="J4197">IFERROR(INDEX('Retirement Calculator'!K:K,MATCH('Lorri 401b'!N4197,'Retirement Calculator'!A:A,0),0),0)</f>
        <v>0</v>
      </c>
      <c r="K4197" s="444">
        <f t="shared" ca="1" si="163"/>
        <v>-35169081371.967003</v>
      </c>
      <c r="L4197" s="444">
        <f t="shared" ca="1" si="164"/>
        <v>-8475748610644.0479</v>
      </c>
      <c r="M4197" s="460">
        <f t="shared" si="166"/>
        <v>0.05</v>
      </c>
      <c r="N4197" s="464">
        <f t="shared" si="167"/>
        <v>178787</v>
      </c>
    </row>
    <row r="4198" spans="7:14" ht="11.25" customHeight="1" x14ac:dyDescent="0.3">
      <c r="G4198" s="459"/>
      <c r="H4198" s="459">
        <v>4191</v>
      </c>
      <c r="I4198" s="444">
        <f t="shared" ca="1" si="165"/>
        <v>-8475748610644.0479</v>
      </c>
      <c r="J4198" s="444">
        <f t="array" ref="J4198">IFERROR(INDEX('Retirement Calculator'!K:K,MATCH('Lorri 401b'!N4198,'Retirement Calculator'!A:A,0),0),0)</f>
        <v>0</v>
      </c>
      <c r="K4198" s="444">
        <f t="shared" ca="1" si="163"/>
        <v>-35315619211.016869</v>
      </c>
      <c r="L4198" s="444">
        <f t="shared" ca="1" si="164"/>
        <v>-8511064229855.0645</v>
      </c>
      <c r="M4198" s="460">
        <f t="shared" si="166"/>
        <v>0.05</v>
      </c>
      <c r="N4198" s="464">
        <f t="shared" si="167"/>
        <v>178818</v>
      </c>
    </row>
    <row r="4199" spans="7:14" ht="11.25" customHeight="1" x14ac:dyDescent="0.3">
      <c r="G4199" s="459"/>
      <c r="H4199" s="459">
        <v>4192</v>
      </c>
      <c r="I4199" s="444">
        <f t="shared" ca="1" si="165"/>
        <v>-8511064229855.0645</v>
      </c>
      <c r="J4199" s="444">
        <f t="array" ref="J4199">IFERROR(INDEX('Retirement Calculator'!K:K,MATCH('Lorri 401b'!N4199,'Retirement Calculator'!A:A,0),0),0)</f>
        <v>0</v>
      </c>
      <c r="K4199" s="444">
        <f t="shared" ca="1" si="163"/>
        <v>-35462767624.396103</v>
      </c>
      <c r="L4199" s="444">
        <f t="shared" ca="1" si="164"/>
        <v>-8546526997479.4609</v>
      </c>
      <c r="M4199" s="460">
        <f t="shared" si="166"/>
        <v>0.05</v>
      </c>
      <c r="N4199" s="464">
        <f t="shared" si="167"/>
        <v>178849</v>
      </c>
    </row>
    <row r="4200" spans="7:14" ht="11.25" customHeight="1" x14ac:dyDescent="0.3">
      <c r="G4200" s="459"/>
      <c r="H4200" s="459">
        <v>4193</v>
      </c>
      <c r="I4200" s="444">
        <f t="shared" ca="1" si="165"/>
        <v>-8546526997479.4609</v>
      </c>
      <c r="J4200" s="444">
        <f t="array" ref="J4200">IFERROR(INDEX('Retirement Calculator'!K:K,MATCH('Lorri 401b'!N4200,'Retirement Calculator'!A:A,0),0),0)</f>
        <v>0</v>
      </c>
      <c r="K4200" s="444">
        <f t="shared" ca="1" si="163"/>
        <v>-35610529156.164421</v>
      </c>
      <c r="L4200" s="444">
        <f t="shared" ca="1" si="164"/>
        <v>-8582137526635.625</v>
      </c>
      <c r="M4200" s="460">
        <f t="shared" si="166"/>
        <v>0.05</v>
      </c>
      <c r="N4200" s="464">
        <f t="shared" si="167"/>
        <v>178879</v>
      </c>
    </row>
    <row r="4201" spans="7:14" ht="11.25" customHeight="1" x14ac:dyDescent="0.3">
      <c r="G4201" s="459"/>
      <c r="H4201" s="459">
        <v>4194</v>
      </c>
      <c r="I4201" s="444">
        <f t="shared" ca="1" si="165"/>
        <v>-8582137526635.625</v>
      </c>
      <c r="J4201" s="444">
        <f t="array" ref="J4201">IFERROR(INDEX('Retirement Calculator'!K:K,MATCH('Lorri 401b'!N4201,'Retirement Calculator'!A:A,0),0),0)</f>
        <v>0</v>
      </c>
      <c r="K4201" s="444">
        <f t="shared" ca="1" si="163"/>
        <v>-35758906360.981766</v>
      </c>
      <c r="L4201" s="444">
        <f t="shared" ca="1" si="164"/>
        <v>-8617896432996.6064</v>
      </c>
      <c r="M4201" s="460">
        <f t="shared" si="166"/>
        <v>0.05</v>
      </c>
      <c r="N4201" s="464">
        <f t="shared" si="167"/>
        <v>178910</v>
      </c>
    </row>
    <row r="4202" spans="7:14" ht="11.25" customHeight="1" x14ac:dyDescent="0.3">
      <c r="G4202" s="459"/>
      <c r="H4202" s="459">
        <v>4195</v>
      </c>
      <c r="I4202" s="444">
        <f t="shared" ca="1" si="165"/>
        <v>-8617896432996.6064</v>
      </c>
      <c r="J4202" s="444">
        <f t="array" ref="J4202">IFERROR(INDEX('Retirement Calculator'!K:K,MATCH('Lorri 401b'!N4202,'Retirement Calculator'!A:A,0),0),0)</f>
        <v>0</v>
      </c>
      <c r="K4202" s="444">
        <f t="shared" ca="1" si="163"/>
        <v>-35907901804.152527</v>
      </c>
      <c r="L4202" s="444">
        <f t="shared" ca="1" si="164"/>
        <v>-8653804334800.7588</v>
      </c>
      <c r="M4202" s="460">
        <f t="shared" si="166"/>
        <v>0.05</v>
      </c>
      <c r="N4202" s="464">
        <f t="shared" si="167"/>
        <v>178940</v>
      </c>
    </row>
    <row r="4203" spans="7:14" ht="11.25" customHeight="1" x14ac:dyDescent="0.3">
      <c r="G4203" s="459"/>
      <c r="H4203" s="459">
        <v>4196</v>
      </c>
      <c r="I4203" s="444">
        <f t="shared" ca="1" si="165"/>
        <v>-8653804334800.7588</v>
      </c>
      <c r="J4203" s="444">
        <f t="array" ref="J4203">IFERROR(INDEX('Retirement Calculator'!K:K,MATCH('Lorri 401b'!N4203,'Retirement Calculator'!A:A,0),0),0)</f>
        <v>0</v>
      </c>
      <c r="K4203" s="444">
        <f t="shared" ca="1" si="163"/>
        <v>-36057518061.669823</v>
      </c>
      <c r="L4203" s="444">
        <f t="shared" ca="1" si="164"/>
        <v>-8689861852862.4287</v>
      </c>
      <c r="M4203" s="460">
        <f t="shared" si="166"/>
        <v>0.05</v>
      </c>
      <c r="N4203" s="464">
        <f t="shared" si="167"/>
        <v>178971</v>
      </c>
    </row>
    <row r="4204" spans="7:14" ht="11.25" customHeight="1" x14ac:dyDescent="0.3">
      <c r="G4204" s="459"/>
      <c r="H4204" s="459">
        <v>4197</v>
      </c>
      <c r="I4204" s="444">
        <f t="shared" ca="1" si="165"/>
        <v>-8689861852862.4287</v>
      </c>
      <c r="J4204" s="444">
        <f t="array" ref="J4204">IFERROR(INDEX('Retirement Calculator'!K:K,MATCH('Lorri 401b'!N4204,'Retirement Calculator'!A:A,0),0),0)</f>
        <v>0</v>
      </c>
      <c r="K4204" s="444">
        <f t="shared" ca="1" si="163"/>
        <v>-36207757720.260117</v>
      </c>
      <c r="L4204" s="444">
        <f t="shared" ca="1" si="164"/>
        <v>-8726069610582.6885</v>
      </c>
      <c r="M4204" s="460">
        <f t="shared" si="166"/>
        <v>0.05</v>
      </c>
      <c r="N4204" s="464">
        <f t="shared" si="167"/>
        <v>179002</v>
      </c>
    </row>
    <row r="4205" spans="7:14" ht="11.25" customHeight="1" x14ac:dyDescent="0.3">
      <c r="G4205" s="459"/>
      <c r="H4205" s="459">
        <v>4198</v>
      </c>
      <c r="I4205" s="444">
        <f t="shared" ca="1" si="165"/>
        <v>-8726069610582.6885</v>
      </c>
      <c r="J4205" s="444">
        <f t="array" ref="J4205">IFERROR(INDEX('Retirement Calculator'!K:K,MATCH('Lorri 401b'!N4205,'Retirement Calculator'!A:A,0),0),0)</f>
        <v>0</v>
      </c>
      <c r="K4205" s="444">
        <f t="shared" ca="1" si="163"/>
        <v>-36358623377.427864</v>
      </c>
      <c r="L4205" s="444">
        <f t="shared" ca="1" si="164"/>
        <v>-8762428233960.1162</v>
      </c>
      <c r="M4205" s="460">
        <f t="shared" si="166"/>
        <v>0.05</v>
      </c>
      <c r="N4205" s="464">
        <f t="shared" si="167"/>
        <v>179030</v>
      </c>
    </row>
    <row r="4206" spans="7:14" ht="11.25" customHeight="1" x14ac:dyDescent="0.3">
      <c r="G4206" s="459"/>
      <c r="H4206" s="459">
        <v>4199</v>
      </c>
      <c r="I4206" s="444">
        <f t="shared" ca="1" si="165"/>
        <v>-8762428233960.1162</v>
      </c>
      <c r="J4206" s="444">
        <f t="array" ref="J4206">IFERROR(INDEX('Retirement Calculator'!K:K,MATCH('Lorri 401b'!N4206,'Retirement Calculator'!A:A,0),0),0)</f>
        <v>0</v>
      </c>
      <c r="K4206" s="444">
        <f t="shared" ca="1" si="163"/>
        <v>-36510117641.500488</v>
      </c>
      <c r="L4206" s="444">
        <f t="shared" ca="1" si="164"/>
        <v>-8798938351601.6172</v>
      </c>
      <c r="M4206" s="460">
        <f t="shared" si="166"/>
        <v>0.05</v>
      </c>
      <c r="N4206" s="464">
        <f t="shared" si="167"/>
        <v>179061</v>
      </c>
    </row>
    <row r="4207" spans="7:14" ht="11.25" customHeight="1" x14ac:dyDescent="0.3">
      <c r="G4207" s="459"/>
      <c r="H4207" s="459">
        <v>4200</v>
      </c>
      <c r="I4207" s="444">
        <f t="shared" ca="1" si="165"/>
        <v>-8798938351601.6172</v>
      </c>
      <c r="J4207" s="444">
        <f t="array" ref="J4207">IFERROR(INDEX('Retirement Calculator'!K:K,MATCH('Lorri 401b'!N4207,'Retirement Calculator'!A:A,0),0),0)</f>
        <v>0</v>
      </c>
      <c r="K4207" s="444">
        <f t="shared" ca="1" si="163"/>
        <v>-36662243131.673401</v>
      </c>
      <c r="L4207" s="444">
        <f t="shared" ca="1" si="164"/>
        <v>-8835600594733.291</v>
      </c>
      <c r="M4207" s="460">
        <f t="shared" si="166"/>
        <v>0.05</v>
      </c>
      <c r="N4207" s="464">
        <f t="shared" si="167"/>
        <v>179091</v>
      </c>
    </row>
    <row r="4208" spans="7:14" ht="11.25" customHeight="1" x14ac:dyDescent="0.3">
      <c r="G4208" s="459"/>
      <c r="H4208" s="459">
        <v>4201</v>
      </c>
      <c r="I4208" s="444">
        <f t="shared" ca="1" si="165"/>
        <v>-8835600594733.291</v>
      </c>
      <c r="J4208" s="444">
        <f t="array" ref="J4208">IFERROR(INDEX('Retirement Calculator'!K:K,MATCH('Lorri 401b'!N4208,'Retirement Calculator'!A:A,0),0),0)</f>
        <v>0</v>
      </c>
      <c r="K4208" s="444">
        <f t="shared" ca="1" si="163"/>
        <v>-36815002478.055382</v>
      </c>
      <c r="L4208" s="444">
        <f t="shared" ca="1" si="164"/>
        <v>-8872415597211.3457</v>
      </c>
      <c r="M4208" s="460">
        <f t="shared" si="166"/>
        <v>0.05</v>
      </c>
      <c r="N4208" s="464">
        <f t="shared" si="167"/>
        <v>179122</v>
      </c>
    </row>
    <row r="4209" spans="7:14" ht="11.25" customHeight="1" x14ac:dyDescent="0.3">
      <c r="G4209" s="459"/>
      <c r="H4209" s="459">
        <v>4202</v>
      </c>
      <c r="I4209" s="444">
        <f t="shared" ca="1" si="165"/>
        <v>-8872415597211.3457</v>
      </c>
      <c r="J4209" s="444">
        <f t="array" ref="J4209">IFERROR(INDEX('Retirement Calculator'!K:K,MATCH('Lorri 401b'!N4209,'Retirement Calculator'!A:A,0),0),0)</f>
        <v>0</v>
      </c>
      <c r="K4209" s="444">
        <f t="shared" ca="1" si="163"/>
        <v>-36968398321.713943</v>
      </c>
      <c r="L4209" s="444">
        <f t="shared" ca="1" si="164"/>
        <v>-8909383995533.0605</v>
      </c>
      <c r="M4209" s="460">
        <f t="shared" si="166"/>
        <v>0.05</v>
      </c>
      <c r="N4209" s="464">
        <f t="shared" si="167"/>
        <v>179152</v>
      </c>
    </row>
    <row r="4210" spans="7:14" ht="11.25" customHeight="1" x14ac:dyDescent="0.3">
      <c r="G4210" s="459"/>
      <c r="H4210" s="459">
        <v>4203</v>
      </c>
      <c r="I4210" s="444">
        <f t="shared" ca="1" si="165"/>
        <v>-8909383995533.0605</v>
      </c>
      <c r="J4210" s="444">
        <f t="array" ref="J4210">IFERROR(INDEX('Retirement Calculator'!K:K,MATCH('Lorri 401b'!N4210,'Retirement Calculator'!A:A,0),0),0)</f>
        <v>0</v>
      </c>
      <c r="K4210" s="444">
        <f t="shared" ca="1" si="163"/>
        <v>-37122433314.721085</v>
      </c>
      <c r="L4210" s="444">
        <f t="shared" ca="1" si="164"/>
        <v>-8946506428847.7813</v>
      </c>
      <c r="M4210" s="460">
        <f t="shared" si="166"/>
        <v>0.05</v>
      </c>
      <c r="N4210" s="464">
        <f t="shared" si="167"/>
        <v>179183</v>
      </c>
    </row>
    <row r="4211" spans="7:14" ht="11.25" customHeight="1" x14ac:dyDescent="0.3">
      <c r="G4211" s="459"/>
      <c r="H4211" s="459">
        <v>4204</v>
      </c>
      <c r="I4211" s="444">
        <f t="shared" ca="1" si="165"/>
        <v>-8946506428847.7813</v>
      </c>
      <c r="J4211" s="444">
        <f t="array" ref="J4211">IFERROR(INDEX('Retirement Calculator'!K:K,MATCH('Lorri 401b'!N4211,'Retirement Calculator'!A:A,0),0),0)</f>
        <v>0</v>
      </c>
      <c r="K4211" s="444">
        <f t="shared" ca="1" si="163"/>
        <v>-37277110120.199089</v>
      </c>
      <c r="L4211" s="444">
        <f t="shared" ca="1" si="164"/>
        <v>-8983783538967.9805</v>
      </c>
      <c r="M4211" s="460">
        <f t="shared" si="166"/>
        <v>0.05</v>
      </c>
      <c r="N4211" s="464">
        <f t="shared" si="167"/>
        <v>179214</v>
      </c>
    </row>
    <row r="4212" spans="7:14" ht="11.25" customHeight="1" x14ac:dyDescent="0.3">
      <c r="G4212" s="459"/>
      <c r="H4212" s="459">
        <v>4205</v>
      </c>
      <c r="I4212" s="444">
        <f t="shared" ca="1" si="165"/>
        <v>-8983783538967.9805</v>
      </c>
      <c r="J4212" s="444">
        <f t="array" ref="J4212">IFERROR(INDEX('Retirement Calculator'!K:K,MATCH('Lorri 401b'!N4212,'Retirement Calculator'!A:A,0),0),0)</f>
        <v>0</v>
      </c>
      <c r="K4212" s="444">
        <f t="shared" ca="1" si="163"/>
        <v>-37432431412.366585</v>
      </c>
      <c r="L4212" s="444">
        <f t="shared" ca="1" si="164"/>
        <v>-9021215970380.3477</v>
      </c>
      <c r="M4212" s="460">
        <f t="shared" si="166"/>
        <v>0.05</v>
      </c>
      <c r="N4212" s="464">
        <f t="shared" si="167"/>
        <v>179244</v>
      </c>
    </row>
    <row r="4213" spans="7:14" ht="11.25" customHeight="1" x14ac:dyDescent="0.3">
      <c r="G4213" s="459"/>
      <c r="H4213" s="459">
        <v>4206</v>
      </c>
      <c r="I4213" s="444">
        <f t="shared" ca="1" si="165"/>
        <v>-9021215970380.3477</v>
      </c>
      <c r="J4213" s="444">
        <f t="array" ref="J4213">IFERROR(INDEX('Retirement Calculator'!K:K,MATCH('Lorri 401b'!N4213,'Retirement Calculator'!A:A,0),0),0)</f>
        <v>0</v>
      </c>
      <c r="K4213" s="444">
        <f t="shared" ca="1" si="163"/>
        <v>-37588399876.584778</v>
      </c>
      <c r="L4213" s="444">
        <f t="shared" ca="1" si="164"/>
        <v>-9058804370256.9316</v>
      </c>
      <c r="M4213" s="460">
        <f t="shared" si="166"/>
        <v>0.05</v>
      </c>
      <c r="N4213" s="464">
        <f t="shared" si="167"/>
        <v>179275</v>
      </c>
    </row>
    <row r="4214" spans="7:14" ht="11.25" customHeight="1" x14ac:dyDescent="0.3">
      <c r="G4214" s="459"/>
      <c r="H4214" s="459">
        <v>4207</v>
      </c>
      <c r="I4214" s="444">
        <f t="shared" ca="1" si="165"/>
        <v>-9058804370256.9316</v>
      </c>
      <c r="J4214" s="444">
        <f t="array" ref="J4214">IFERROR(INDEX('Retirement Calculator'!K:K,MATCH('Lorri 401b'!N4214,'Retirement Calculator'!A:A,0),0),0)</f>
        <v>0</v>
      </c>
      <c r="K4214" s="444">
        <f t="shared" ca="1" si="163"/>
        <v>-37745018209.403885</v>
      </c>
      <c r="L4214" s="444">
        <f t="shared" ca="1" si="164"/>
        <v>-9096549388466.3359</v>
      </c>
      <c r="M4214" s="460">
        <f t="shared" si="166"/>
        <v>0.05</v>
      </c>
      <c r="N4214" s="464">
        <f t="shared" si="167"/>
        <v>179305</v>
      </c>
    </row>
    <row r="4215" spans="7:14" ht="11.25" customHeight="1" x14ac:dyDescent="0.3">
      <c r="G4215" s="459"/>
      <c r="H4215" s="459">
        <v>4208</v>
      </c>
      <c r="I4215" s="444">
        <f t="shared" ca="1" si="165"/>
        <v>-9096549388466.3359</v>
      </c>
      <c r="J4215" s="444">
        <f t="array" ref="J4215">IFERROR(INDEX('Retirement Calculator'!K:K,MATCH('Lorri 401b'!N4215,'Retirement Calculator'!A:A,0),0),0)</f>
        <v>0</v>
      </c>
      <c r="K4215" s="444">
        <f t="shared" ca="1" si="163"/>
        <v>-37902289118.609734</v>
      </c>
      <c r="L4215" s="444">
        <f t="shared" ca="1" si="164"/>
        <v>-9134451677584.9453</v>
      </c>
      <c r="M4215" s="460">
        <f t="shared" si="166"/>
        <v>0.05</v>
      </c>
      <c r="N4215" s="464">
        <f t="shared" si="167"/>
        <v>179336</v>
      </c>
    </row>
    <row r="4216" spans="7:14" ht="11.25" customHeight="1" x14ac:dyDescent="0.3">
      <c r="G4216" s="459"/>
      <c r="H4216" s="459">
        <v>4209</v>
      </c>
      <c r="I4216" s="444">
        <f t="shared" ca="1" si="165"/>
        <v>-9134451677584.9453</v>
      </c>
      <c r="J4216" s="444">
        <f t="array" ref="J4216">IFERROR(INDEX('Retirement Calculator'!K:K,MATCH('Lorri 401b'!N4216,'Retirement Calculator'!A:A,0),0),0)</f>
        <v>0</v>
      </c>
      <c r="K4216" s="444">
        <f t="shared" ca="1" si="163"/>
        <v>-38060215323.270607</v>
      </c>
      <c r="L4216" s="444">
        <f t="shared" ca="1" si="164"/>
        <v>-9172511892908.2168</v>
      </c>
      <c r="M4216" s="460">
        <f t="shared" si="166"/>
        <v>0.05</v>
      </c>
      <c r="N4216" s="464">
        <f t="shared" si="167"/>
        <v>179367</v>
      </c>
    </row>
    <row r="4217" spans="7:14" ht="11.25" customHeight="1" x14ac:dyDescent="0.3">
      <c r="G4217" s="459"/>
      <c r="H4217" s="459">
        <v>4210</v>
      </c>
      <c r="I4217" s="444">
        <f t="shared" ca="1" si="165"/>
        <v>-9172511892908.2168</v>
      </c>
      <c r="J4217" s="444">
        <f t="array" ref="J4217">IFERROR(INDEX('Retirement Calculator'!K:K,MATCH('Lorri 401b'!N4217,'Retirement Calculator'!A:A,0),0),0)</f>
        <v>0</v>
      </c>
      <c r="K4217" s="444">
        <f t="shared" ca="1" si="163"/>
        <v>-38218799553.784233</v>
      </c>
      <c r="L4217" s="444">
        <f t="shared" ca="1" si="164"/>
        <v>-9210730692462.002</v>
      </c>
      <c r="M4217" s="460">
        <f t="shared" si="166"/>
        <v>0.05</v>
      </c>
      <c r="N4217" s="464">
        <f t="shared" si="167"/>
        <v>179395</v>
      </c>
    </row>
    <row r="4218" spans="7:14" ht="11.25" customHeight="1" x14ac:dyDescent="0.3">
      <c r="G4218" s="459"/>
      <c r="H4218" s="459">
        <v>4211</v>
      </c>
      <c r="I4218" s="444">
        <f t="shared" ca="1" si="165"/>
        <v>-9210730692462.002</v>
      </c>
      <c r="J4218" s="444">
        <f t="array" ref="J4218">IFERROR(INDEX('Retirement Calculator'!K:K,MATCH('Lorri 401b'!N4218,'Retirement Calculator'!A:A,0),0),0)</f>
        <v>0</v>
      </c>
      <c r="K4218" s="444">
        <f t="shared" ca="1" si="163"/>
        <v>-38378044551.925011</v>
      </c>
      <c r="L4218" s="444">
        <f t="shared" ca="1" si="164"/>
        <v>-9249108737013.9277</v>
      </c>
      <c r="M4218" s="460">
        <f t="shared" si="166"/>
        <v>0.05</v>
      </c>
      <c r="N4218" s="464">
        <f t="shared" si="167"/>
        <v>179426</v>
      </c>
    </row>
    <row r="4219" spans="7:14" ht="11.25" customHeight="1" x14ac:dyDescent="0.3">
      <c r="G4219" s="459"/>
      <c r="H4219" s="459">
        <v>4212</v>
      </c>
      <c r="I4219" s="444">
        <f t="shared" ca="1" si="165"/>
        <v>-9249108737013.9277</v>
      </c>
      <c r="J4219" s="444">
        <f t="array" ref="J4219">IFERROR(INDEX('Retirement Calculator'!K:K,MATCH('Lorri 401b'!N4219,'Retirement Calculator'!A:A,0),0),0)</f>
        <v>0</v>
      </c>
      <c r="K4219" s="444">
        <f t="shared" ca="1" si="163"/>
        <v>-38537953070.891365</v>
      </c>
      <c r="L4219" s="444">
        <f t="shared" ca="1" si="164"/>
        <v>-9287646690084.8184</v>
      </c>
      <c r="M4219" s="460">
        <f t="shared" si="166"/>
        <v>0.05</v>
      </c>
      <c r="N4219" s="464">
        <f t="shared" si="167"/>
        <v>179456</v>
      </c>
    </row>
    <row r="4220" spans="7:14" ht="11.25" customHeight="1" x14ac:dyDescent="0.3">
      <c r="G4220" s="459"/>
      <c r="H4220" s="459">
        <v>4213</v>
      </c>
      <c r="I4220" s="444">
        <f t="shared" ca="1" si="165"/>
        <v>-9287646690084.8184</v>
      </c>
      <c r="J4220" s="444">
        <f t="array" ref="J4220">IFERROR(INDEX('Retirement Calculator'!K:K,MATCH('Lorri 401b'!N4220,'Retirement Calculator'!A:A,0),0),0)</f>
        <v>0</v>
      </c>
      <c r="K4220" s="444">
        <f t="shared" ca="1" si="163"/>
        <v>-38698527875.353409</v>
      </c>
      <c r="L4220" s="444">
        <f t="shared" ca="1" si="164"/>
        <v>-9326345217960.1719</v>
      </c>
      <c r="M4220" s="460">
        <f t="shared" si="166"/>
        <v>0.05</v>
      </c>
      <c r="N4220" s="464">
        <f t="shared" si="167"/>
        <v>179487</v>
      </c>
    </row>
    <row r="4221" spans="7:14" ht="11.25" customHeight="1" x14ac:dyDescent="0.3">
      <c r="G4221" s="459"/>
      <c r="H4221" s="459">
        <v>4214</v>
      </c>
      <c r="I4221" s="444">
        <f t="shared" ca="1" si="165"/>
        <v>-9326345217960.1719</v>
      </c>
      <c r="J4221" s="444">
        <f t="array" ref="J4221">IFERROR(INDEX('Retirement Calculator'!K:K,MATCH('Lorri 401b'!N4221,'Retirement Calculator'!A:A,0),0),0)</f>
        <v>0</v>
      </c>
      <c r="K4221" s="444">
        <f t="shared" ca="1" si="163"/>
        <v>-38859771741.500717</v>
      </c>
      <c r="L4221" s="444">
        <f t="shared" ca="1" si="164"/>
        <v>-9365204989701.6719</v>
      </c>
      <c r="M4221" s="460">
        <f t="shared" si="166"/>
        <v>0.05</v>
      </c>
      <c r="N4221" s="464">
        <f t="shared" si="167"/>
        <v>179517</v>
      </c>
    </row>
    <row r="4222" spans="7:14" ht="11.25" customHeight="1" x14ac:dyDescent="0.3">
      <c r="G4222" s="459"/>
      <c r="H4222" s="459">
        <v>4215</v>
      </c>
      <c r="I4222" s="444">
        <f t="shared" ca="1" si="165"/>
        <v>-9365204989701.6719</v>
      </c>
      <c r="J4222" s="444">
        <f t="array" ref="J4222">IFERROR(INDEX('Retirement Calculator'!K:K,MATCH('Lorri 401b'!N4222,'Retirement Calculator'!A:A,0),0),0)</f>
        <v>0</v>
      </c>
      <c r="K4222" s="444">
        <f t="shared" ca="1" si="163"/>
        <v>-39021687457.090302</v>
      </c>
      <c r="L4222" s="444">
        <f t="shared" ca="1" si="164"/>
        <v>-9404226677158.7617</v>
      </c>
      <c r="M4222" s="460">
        <f t="shared" si="166"/>
        <v>0.05</v>
      </c>
      <c r="N4222" s="464">
        <f t="shared" si="167"/>
        <v>179548</v>
      </c>
    </row>
    <row r="4223" spans="7:14" ht="11.25" customHeight="1" x14ac:dyDescent="0.3">
      <c r="G4223" s="459"/>
      <c r="H4223" s="459">
        <v>4216</v>
      </c>
      <c r="I4223" s="444">
        <f t="shared" ca="1" si="165"/>
        <v>-9404226677158.7617</v>
      </c>
      <c r="J4223" s="444">
        <f t="array" ref="J4223">IFERROR(INDEX('Retirement Calculator'!K:K,MATCH('Lorri 401b'!N4223,'Retirement Calculator'!A:A,0),0),0)</f>
        <v>0</v>
      </c>
      <c r="K4223" s="444">
        <f t="shared" ca="1" si="163"/>
        <v>-39184277821.494843</v>
      </c>
      <c r="L4223" s="444">
        <f t="shared" ca="1" si="164"/>
        <v>-9443410954980.2559</v>
      </c>
      <c r="M4223" s="460">
        <f t="shared" si="166"/>
        <v>0.05</v>
      </c>
      <c r="N4223" s="464">
        <f t="shared" si="167"/>
        <v>179579</v>
      </c>
    </row>
    <row r="4224" spans="7:14" ht="11.25" customHeight="1" x14ac:dyDescent="0.3">
      <c r="G4224" s="459"/>
      <c r="H4224" s="459">
        <v>4217</v>
      </c>
      <c r="I4224" s="444">
        <f t="shared" ca="1" si="165"/>
        <v>-9443410954980.2559</v>
      </c>
      <c r="J4224" s="444">
        <f t="array" ref="J4224">IFERROR(INDEX('Retirement Calculator'!K:K,MATCH('Lorri 401b'!N4224,'Retirement Calculator'!A:A,0),0),0)</f>
        <v>0</v>
      </c>
      <c r="K4224" s="444">
        <f t="shared" ca="1" si="163"/>
        <v>-39347545645.751068</v>
      </c>
      <c r="L4224" s="444">
        <f t="shared" ca="1" si="164"/>
        <v>-9482758500626.0078</v>
      </c>
      <c r="M4224" s="460">
        <f t="shared" si="166"/>
        <v>0.05</v>
      </c>
      <c r="N4224" s="464">
        <f t="shared" si="167"/>
        <v>179609</v>
      </c>
    </row>
    <row r="4225" spans="7:14" ht="11.25" customHeight="1" x14ac:dyDescent="0.3">
      <c r="G4225" s="459"/>
      <c r="H4225" s="459">
        <v>4218</v>
      </c>
      <c r="I4225" s="444">
        <f t="shared" ca="1" si="165"/>
        <v>-9482758500626.0078</v>
      </c>
      <c r="J4225" s="444">
        <f t="array" ref="J4225">IFERROR(INDEX('Retirement Calculator'!K:K,MATCH('Lorri 401b'!N4225,'Retirement Calculator'!A:A,0),0),0)</f>
        <v>0</v>
      </c>
      <c r="K4225" s="444">
        <f t="shared" ca="1" si="163"/>
        <v>-39511493752.608368</v>
      </c>
      <c r="L4225" s="444">
        <f t="shared" ca="1" si="164"/>
        <v>-9522269994378.6152</v>
      </c>
      <c r="M4225" s="460">
        <f t="shared" si="166"/>
        <v>0.05</v>
      </c>
      <c r="N4225" s="464">
        <f t="shared" si="167"/>
        <v>179640</v>
      </c>
    </row>
    <row r="4226" spans="7:14" ht="11.25" customHeight="1" x14ac:dyDescent="0.3">
      <c r="G4226" s="459"/>
      <c r="H4226" s="459">
        <v>4219</v>
      </c>
      <c r="I4226" s="444">
        <f t="shared" ca="1" si="165"/>
        <v>-9522269994378.6152</v>
      </c>
      <c r="J4226" s="444">
        <f t="array" ref="J4226">IFERROR(INDEX('Retirement Calculator'!K:K,MATCH('Lorri 401b'!N4226,'Retirement Calculator'!A:A,0),0),0)</f>
        <v>0</v>
      </c>
      <c r="K4226" s="444">
        <f t="shared" ca="1" si="163"/>
        <v>-39676124976.57756</v>
      </c>
      <c r="L4226" s="444">
        <f t="shared" ca="1" si="164"/>
        <v>-9561946119355.1934</v>
      </c>
      <c r="M4226" s="460">
        <f t="shared" si="166"/>
        <v>0.05</v>
      </c>
      <c r="N4226" s="464">
        <f t="shared" si="167"/>
        <v>179670</v>
      </c>
    </row>
    <row r="4227" spans="7:14" ht="11.25" customHeight="1" x14ac:dyDescent="0.3">
      <c r="G4227" s="459"/>
      <c r="H4227" s="459">
        <v>4220</v>
      </c>
      <c r="I4227" s="444">
        <f t="shared" ca="1" si="165"/>
        <v>-9561946119355.1934</v>
      </c>
      <c r="J4227" s="444">
        <f t="array" ref="J4227">IFERROR(INDEX('Retirement Calculator'!K:K,MATCH('Lorri 401b'!N4227,'Retirement Calculator'!A:A,0),0),0)</f>
        <v>0</v>
      </c>
      <c r="K4227" s="444">
        <f t="shared" ca="1" si="163"/>
        <v>-39841442163.979973</v>
      </c>
      <c r="L4227" s="444">
        <f t="shared" ca="1" si="164"/>
        <v>-9601787561519.1738</v>
      </c>
      <c r="M4227" s="460">
        <f t="shared" si="166"/>
        <v>0.05</v>
      </c>
      <c r="N4227" s="464">
        <f t="shared" si="167"/>
        <v>179701</v>
      </c>
    </row>
    <row r="4228" spans="7:14" ht="11.25" customHeight="1" x14ac:dyDescent="0.3">
      <c r="G4228" s="459"/>
      <c r="H4228" s="459">
        <v>4221</v>
      </c>
      <c r="I4228" s="444">
        <f t="shared" ca="1" si="165"/>
        <v>-9601787561519.1738</v>
      </c>
      <c r="J4228" s="444">
        <f t="array" ref="J4228">IFERROR(INDEX('Retirement Calculator'!K:K,MATCH('Lorri 401b'!N4228,'Retirement Calculator'!A:A,0),0),0)</f>
        <v>0</v>
      </c>
      <c r="K4228" s="444">
        <f t="shared" ca="1" si="163"/>
        <v>-40007448172.996559</v>
      </c>
      <c r="L4228" s="444">
        <f t="shared" ca="1" si="164"/>
        <v>-9641795009692.1699</v>
      </c>
      <c r="M4228" s="460">
        <f t="shared" si="166"/>
        <v>0.05</v>
      </c>
      <c r="N4228" s="464">
        <f t="shared" si="167"/>
        <v>179732</v>
      </c>
    </row>
    <row r="4229" spans="7:14" ht="11.25" customHeight="1" x14ac:dyDescent="0.3">
      <c r="G4229" s="459"/>
      <c r="H4229" s="459">
        <v>4222</v>
      </c>
      <c r="I4229" s="444">
        <f t="shared" ca="1" si="165"/>
        <v>-9641795009692.1699</v>
      </c>
      <c r="J4229" s="444">
        <f t="array" ref="J4229">IFERROR(INDEX('Retirement Calculator'!K:K,MATCH('Lorri 401b'!N4229,'Retirement Calculator'!A:A,0),0),0)</f>
        <v>0</v>
      </c>
      <c r="K4229" s="444">
        <f t="shared" ca="1" si="163"/>
        <v>-40174145873.717377</v>
      </c>
      <c r="L4229" s="444">
        <f t="shared" ca="1" si="164"/>
        <v>-9681969155565.8867</v>
      </c>
      <c r="M4229" s="460">
        <f t="shared" si="166"/>
        <v>0.05</v>
      </c>
      <c r="N4229" s="464">
        <f t="shared" si="167"/>
        <v>179761</v>
      </c>
    </row>
    <row r="4230" spans="7:14" ht="11.25" customHeight="1" x14ac:dyDescent="0.3">
      <c r="G4230" s="459"/>
      <c r="H4230" s="459">
        <v>4223</v>
      </c>
      <c r="I4230" s="444">
        <f t="shared" ca="1" si="165"/>
        <v>-9681969155565.8867</v>
      </c>
      <c r="J4230" s="444">
        <f t="array" ref="J4230">IFERROR(INDEX('Retirement Calculator'!K:K,MATCH('Lorri 401b'!N4230,'Retirement Calculator'!A:A,0),0),0)</f>
        <v>0</v>
      </c>
      <c r="K4230" s="444">
        <f t="shared" ca="1" si="163"/>
        <v>-40341538148.191193</v>
      </c>
      <c r="L4230" s="444">
        <f t="shared" ca="1" si="164"/>
        <v>-9722310693714.0781</v>
      </c>
      <c r="M4230" s="460">
        <f t="shared" si="166"/>
        <v>0.05</v>
      </c>
      <c r="N4230" s="464">
        <f t="shared" si="167"/>
        <v>179792</v>
      </c>
    </row>
    <row r="4231" spans="7:14" ht="11.25" customHeight="1" x14ac:dyDescent="0.3">
      <c r="G4231" s="459"/>
      <c r="H4231" s="459">
        <v>4224</v>
      </c>
      <c r="I4231" s="444">
        <f t="shared" ca="1" si="165"/>
        <v>-9722310693714.0781</v>
      </c>
      <c r="J4231" s="444">
        <f t="array" ref="J4231">IFERROR(INDEX('Retirement Calculator'!K:K,MATCH('Lorri 401b'!N4231,'Retirement Calculator'!A:A,0),0),0)</f>
        <v>0</v>
      </c>
      <c r="K4231" s="444">
        <f t="shared" ca="1" si="163"/>
        <v>-40509627890.475327</v>
      </c>
      <c r="L4231" s="444">
        <f t="shared" ca="1" si="164"/>
        <v>-9762820321604.5527</v>
      </c>
      <c r="M4231" s="460">
        <f t="shared" si="166"/>
        <v>0.05</v>
      </c>
      <c r="N4231" s="464">
        <f t="shared" si="167"/>
        <v>179822</v>
      </c>
    </row>
    <row r="4232" spans="7:14" ht="11.25" customHeight="1" x14ac:dyDescent="0.3">
      <c r="G4232" s="459"/>
      <c r="H4232" s="459">
        <v>4225</v>
      </c>
      <c r="I4232" s="444">
        <f t="shared" ca="1" si="165"/>
        <v>-9762820321604.5527</v>
      </c>
      <c r="J4232" s="444">
        <f t="array" ref="J4232">IFERROR(INDEX('Retirement Calculator'!K:K,MATCH('Lorri 401b'!N4232,'Retirement Calculator'!A:A,0),0),0)</f>
        <v>0</v>
      </c>
      <c r="K4232" s="444">
        <f t="shared" ca="1" si="163"/>
        <v>-40678418006.685638</v>
      </c>
      <c r="L4232" s="444">
        <f t="shared" ca="1" si="164"/>
        <v>-9803498739611.2383</v>
      </c>
      <c r="M4232" s="460">
        <f t="shared" si="166"/>
        <v>0.05</v>
      </c>
      <c r="N4232" s="464">
        <f t="shared" si="167"/>
        <v>179853</v>
      </c>
    </row>
    <row r="4233" spans="7:14" ht="11.25" customHeight="1" x14ac:dyDescent="0.3">
      <c r="G4233" s="459"/>
      <c r="H4233" s="459">
        <v>4226</v>
      </c>
      <c r="I4233" s="444">
        <f t="shared" ca="1" si="165"/>
        <v>-9803498739611.2383</v>
      </c>
      <c r="J4233" s="444">
        <f t="array" ref="J4233">IFERROR(INDEX('Retirement Calculator'!K:K,MATCH('Lorri 401b'!N4233,'Retirement Calculator'!A:A,0),0),0)</f>
        <v>0</v>
      </c>
      <c r="K4233" s="444">
        <f t="shared" ca="1" si="163"/>
        <v>-40847911415.046829</v>
      </c>
      <c r="L4233" s="444">
        <f t="shared" ca="1" si="164"/>
        <v>-9844346651026.2852</v>
      </c>
      <c r="M4233" s="460">
        <f t="shared" si="166"/>
        <v>0.05</v>
      </c>
      <c r="N4233" s="464">
        <f t="shared" si="167"/>
        <v>179883</v>
      </c>
    </row>
    <row r="4234" spans="7:14" ht="11.25" customHeight="1" x14ac:dyDescent="0.3">
      <c r="G4234" s="459"/>
      <c r="H4234" s="459">
        <v>4227</v>
      </c>
      <c r="I4234" s="444">
        <f t="shared" ca="1" si="165"/>
        <v>-9844346651026.2852</v>
      </c>
      <c r="J4234" s="444">
        <f t="array" ref="J4234">IFERROR(INDEX('Retirement Calculator'!K:K,MATCH('Lorri 401b'!N4234,'Retirement Calculator'!A:A,0),0),0)</f>
        <v>0</v>
      </c>
      <c r="K4234" s="444">
        <f t="shared" ca="1" si="163"/>
        <v>-41018111045.942856</v>
      </c>
      <c r="L4234" s="444">
        <f t="shared" ca="1" si="164"/>
        <v>-9885364762072.2285</v>
      </c>
      <c r="M4234" s="460">
        <f t="shared" si="166"/>
        <v>0.05</v>
      </c>
      <c r="N4234" s="464">
        <f t="shared" si="167"/>
        <v>179914</v>
      </c>
    </row>
    <row r="4235" spans="7:14" ht="11.25" customHeight="1" x14ac:dyDescent="0.3">
      <c r="G4235" s="459"/>
      <c r="H4235" s="459">
        <v>4228</v>
      </c>
      <c r="I4235" s="444">
        <f t="shared" ca="1" si="165"/>
        <v>-9885364762072.2285</v>
      </c>
      <c r="J4235" s="444">
        <f t="array" ref="J4235">IFERROR(INDEX('Retirement Calculator'!K:K,MATCH('Lorri 401b'!N4235,'Retirement Calculator'!A:A,0),0),0)</f>
        <v>0</v>
      </c>
      <c r="K4235" s="444">
        <f t="shared" ca="1" si="163"/>
        <v>-41189019841.967621</v>
      </c>
      <c r="L4235" s="444">
        <f t="shared" ca="1" si="164"/>
        <v>-9926553781914.1953</v>
      </c>
      <c r="M4235" s="460">
        <f t="shared" si="166"/>
        <v>0.05</v>
      </c>
      <c r="N4235" s="464">
        <f t="shared" si="167"/>
        <v>179945</v>
      </c>
    </row>
    <row r="4236" spans="7:14" ht="11.25" customHeight="1" x14ac:dyDescent="0.3">
      <c r="G4236" s="459"/>
      <c r="H4236" s="459">
        <v>4229</v>
      </c>
      <c r="I4236" s="444">
        <f t="shared" ca="1" si="165"/>
        <v>-9926553781914.1953</v>
      </c>
      <c r="J4236" s="444">
        <f t="array" ref="J4236">IFERROR(INDEX('Retirement Calculator'!K:K,MATCH('Lorri 401b'!N4236,'Retirement Calculator'!A:A,0),0),0)</f>
        <v>0</v>
      </c>
      <c r="K4236" s="444">
        <f t="shared" ca="1" si="163"/>
        <v>-41360640757.975815</v>
      </c>
      <c r="L4236" s="444">
        <f t="shared" ca="1" si="164"/>
        <v>-9967914422672.1719</v>
      </c>
      <c r="M4236" s="460">
        <f t="shared" si="166"/>
        <v>0.05</v>
      </c>
      <c r="N4236" s="464">
        <f t="shared" si="167"/>
        <v>179975</v>
      </c>
    </row>
    <row r="4237" spans="7:14" ht="11.25" customHeight="1" x14ac:dyDescent="0.3">
      <c r="G4237" s="459"/>
      <c r="H4237" s="459">
        <v>4230</v>
      </c>
      <c r="I4237" s="444">
        <f t="shared" ca="1" si="165"/>
        <v>-9967914422672.1719</v>
      </c>
      <c r="J4237" s="444">
        <f t="array" ref="J4237">IFERROR(INDEX('Retirement Calculator'!K:K,MATCH('Lorri 401b'!N4237,'Retirement Calculator'!A:A,0),0),0)</f>
        <v>0</v>
      </c>
      <c r="K4237" s="444">
        <f t="shared" ca="1" si="163"/>
        <v>-41532976761.134048</v>
      </c>
      <c r="L4237" s="444">
        <f t="shared" ca="1" si="164"/>
        <v>-10009447399433.307</v>
      </c>
      <c r="M4237" s="460">
        <f t="shared" si="166"/>
        <v>0.05</v>
      </c>
      <c r="N4237" s="464">
        <f t="shared" si="167"/>
        <v>180006</v>
      </c>
    </row>
    <row r="4238" spans="7:14" ht="11.25" customHeight="1" x14ac:dyDescent="0.3">
      <c r="G4238" s="459"/>
      <c r="H4238" s="459">
        <v>4231</v>
      </c>
      <c r="I4238" s="444">
        <f t="shared" ca="1" si="165"/>
        <v>-10009447399433.307</v>
      </c>
      <c r="J4238" s="444">
        <f t="array" ref="J4238">IFERROR(INDEX('Retirement Calculator'!K:K,MATCH('Lorri 401b'!N4238,'Retirement Calculator'!A:A,0),0),0)</f>
        <v>0</v>
      </c>
      <c r="K4238" s="444">
        <f t="shared" ca="1" si="163"/>
        <v>-41706030830.972107</v>
      </c>
      <c r="L4238" s="444">
        <f t="shared" ca="1" si="164"/>
        <v>-10051153430264.279</v>
      </c>
      <c r="M4238" s="460">
        <f t="shared" si="166"/>
        <v>0.05</v>
      </c>
      <c r="N4238" s="464">
        <f t="shared" si="167"/>
        <v>180036</v>
      </c>
    </row>
    <row r="4239" spans="7:14" ht="11.25" customHeight="1" x14ac:dyDescent="0.3">
      <c r="G4239" s="459"/>
      <c r="H4239" s="459">
        <v>4232</v>
      </c>
      <c r="I4239" s="444">
        <f t="shared" ca="1" si="165"/>
        <v>-10051153430264.279</v>
      </c>
      <c r="J4239" s="444">
        <f t="array" ref="J4239">IFERROR(INDEX('Retirement Calculator'!K:K,MATCH('Lorri 401b'!N4239,'Retirement Calculator'!A:A,0),0),0)</f>
        <v>0</v>
      </c>
      <c r="K4239" s="444">
        <f t="shared" ca="1" si="163"/>
        <v>-41879805959.434494</v>
      </c>
      <c r="L4239" s="444">
        <f t="shared" ca="1" si="164"/>
        <v>-10093033236223.713</v>
      </c>
      <c r="M4239" s="460">
        <f t="shared" si="166"/>
        <v>0.05</v>
      </c>
      <c r="N4239" s="464">
        <f t="shared" si="167"/>
        <v>180067</v>
      </c>
    </row>
    <row r="4240" spans="7:14" ht="11.25" customHeight="1" x14ac:dyDescent="0.3">
      <c r="G4240" s="459"/>
      <c r="H4240" s="459">
        <v>4233</v>
      </c>
      <c r="I4240" s="444">
        <f t="shared" ca="1" si="165"/>
        <v>-10093033236223.713</v>
      </c>
      <c r="J4240" s="444">
        <f t="array" ref="J4240">IFERROR(INDEX('Retirement Calculator'!K:K,MATCH('Lorri 401b'!N4240,'Retirement Calculator'!A:A,0),0),0)</f>
        <v>0</v>
      </c>
      <c r="K4240" s="444">
        <f t="shared" ca="1" si="163"/>
        <v>-42054305150.932137</v>
      </c>
      <c r="L4240" s="444">
        <f t="shared" ca="1" si="164"/>
        <v>-10135087541374.645</v>
      </c>
      <c r="M4240" s="460">
        <f t="shared" si="166"/>
        <v>0.05</v>
      </c>
      <c r="N4240" s="464">
        <f t="shared" si="167"/>
        <v>180098</v>
      </c>
    </row>
    <row r="4241" spans="7:14" ht="11.25" customHeight="1" x14ac:dyDescent="0.3">
      <c r="G4241" s="459"/>
      <c r="H4241" s="459">
        <v>4234</v>
      </c>
      <c r="I4241" s="444">
        <f t="shared" ca="1" si="165"/>
        <v>-10135087541374.645</v>
      </c>
      <c r="J4241" s="444">
        <f t="array" ref="J4241">IFERROR(INDEX('Retirement Calculator'!K:K,MATCH('Lorri 401b'!N4241,'Retirement Calculator'!A:A,0),0),0)</f>
        <v>0</v>
      </c>
      <c r="K4241" s="444">
        <f t="shared" ca="1" si="163"/>
        <v>-42229531422.394348</v>
      </c>
      <c r="L4241" s="444">
        <f t="shared" ca="1" si="164"/>
        <v>-10177317072797.039</v>
      </c>
      <c r="M4241" s="460">
        <f t="shared" si="166"/>
        <v>0.05</v>
      </c>
      <c r="N4241" s="464">
        <f t="shared" si="167"/>
        <v>180126</v>
      </c>
    </row>
    <row r="4242" spans="7:14" ht="11.25" customHeight="1" x14ac:dyDescent="0.3">
      <c r="G4242" s="459"/>
      <c r="H4242" s="459">
        <v>4235</v>
      </c>
      <c r="I4242" s="444">
        <f t="shared" ca="1" si="165"/>
        <v>-10177317072797.039</v>
      </c>
      <c r="J4242" s="444">
        <f t="array" ref="J4242">IFERROR(INDEX('Retirement Calculator'!K:K,MATCH('Lorri 401b'!N4242,'Retirement Calculator'!A:A,0),0),0)</f>
        <v>0</v>
      </c>
      <c r="K4242" s="444">
        <f t="shared" ca="1" si="163"/>
        <v>-42405487803.320999</v>
      </c>
      <c r="L4242" s="444">
        <f t="shared" ca="1" si="164"/>
        <v>-10219722560600.359</v>
      </c>
      <c r="M4242" s="460">
        <f t="shared" si="166"/>
        <v>0.05</v>
      </c>
      <c r="N4242" s="464">
        <f t="shared" si="167"/>
        <v>180157</v>
      </c>
    </row>
    <row r="4243" spans="7:14" ht="11.25" customHeight="1" x14ac:dyDescent="0.3">
      <c r="G4243" s="459"/>
      <c r="H4243" s="459">
        <v>4236</v>
      </c>
      <c r="I4243" s="444">
        <f t="shared" ca="1" si="165"/>
        <v>-10219722560600.359</v>
      </c>
      <c r="J4243" s="444">
        <f t="array" ref="J4243">IFERROR(INDEX('Retirement Calculator'!K:K,MATCH('Lorri 401b'!N4243,'Retirement Calculator'!A:A,0),0),0)</f>
        <v>0</v>
      </c>
      <c r="K4243" s="444">
        <f t="shared" ca="1" si="163"/>
        <v>-42582177335.834831</v>
      </c>
      <c r="L4243" s="444">
        <f t="shared" ca="1" si="164"/>
        <v>-10262304737936.193</v>
      </c>
      <c r="M4243" s="460">
        <f t="shared" si="166"/>
        <v>0.05</v>
      </c>
      <c r="N4243" s="464">
        <f t="shared" si="167"/>
        <v>180187</v>
      </c>
    </row>
    <row r="4244" spans="7:14" ht="11.25" customHeight="1" x14ac:dyDescent="0.3">
      <c r="G4244" s="459"/>
      <c r="H4244" s="459">
        <v>4237</v>
      </c>
      <c r="I4244" s="444">
        <f t="shared" ca="1" si="165"/>
        <v>-10262304737936.193</v>
      </c>
      <c r="J4244" s="444">
        <f t="array" ref="J4244">IFERROR(INDEX('Retirement Calculator'!K:K,MATCH('Lorri 401b'!N4244,'Retirement Calculator'!A:A,0),0),0)</f>
        <v>0</v>
      </c>
      <c r="K4244" s="444">
        <f t="shared" ca="1" si="163"/>
        <v>-42759603074.734138</v>
      </c>
      <c r="L4244" s="444">
        <f t="shared" ca="1" si="164"/>
        <v>-10305064341010.928</v>
      </c>
      <c r="M4244" s="460">
        <f t="shared" si="166"/>
        <v>0.05</v>
      </c>
      <c r="N4244" s="464">
        <f t="shared" si="167"/>
        <v>180218</v>
      </c>
    </row>
    <row r="4245" spans="7:14" ht="11.25" customHeight="1" x14ac:dyDescent="0.3">
      <c r="G4245" s="459"/>
      <c r="H4245" s="459">
        <v>4238</v>
      </c>
      <c r="I4245" s="444">
        <f t="shared" ca="1" si="165"/>
        <v>-10305064341010.928</v>
      </c>
      <c r="J4245" s="444">
        <f t="array" ref="J4245">IFERROR(INDEX('Retirement Calculator'!K:K,MATCH('Lorri 401b'!N4245,'Retirement Calculator'!A:A,0),0),0)</f>
        <v>0</v>
      </c>
      <c r="K4245" s="444">
        <f t="shared" ca="1" si="163"/>
        <v>-42937768087.545532</v>
      </c>
      <c r="L4245" s="444">
        <f t="shared" ca="1" si="164"/>
        <v>-10348002109098.473</v>
      </c>
      <c r="M4245" s="460">
        <f t="shared" si="166"/>
        <v>0.05</v>
      </c>
      <c r="N4245" s="464">
        <f t="shared" si="167"/>
        <v>180248</v>
      </c>
    </row>
    <row r="4246" spans="7:14" ht="11.25" customHeight="1" x14ac:dyDescent="0.3">
      <c r="G4246" s="459"/>
      <c r="H4246" s="459">
        <v>4239</v>
      </c>
      <c r="I4246" s="444">
        <f t="shared" ca="1" si="165"/>
        <v>-10348002109098.473</v>
      </c>
      <c r="J4246" s="444">
        <f t="array" ref="J4246">IFERROR(INDEX('Retirement Calculator'!K:K,MATCH('Lorri 401b'!N4246,'Retirement Calculator'!A:A,0),0),0)</f>
        <v>0</v>
      </c>
      <c r="K4246" s="444">
        <f t="shared" ca="1" si="163"/>
        <v>-43116675454.576965</v>
      </c>
      <c r="L4246" s="444">
        <f t="shared" ca="1" si="164"/>
        <v>-10391118784553.049</v>
      </c>
      <c r="M4246" s="460">
        <f t="shared" si="166"/>
        <v>0.05</v>
      </c>
      <c r="N4246" s="464">
        <f t="shared" si="167"/>
        <v>180279</v>
      </c>
    </row>
    <row r="4247" spans="7:14" ht="11.25" customHeight="1" x14ac:dyDescent="0.3">
      <c r="G4247" s="459"/>
      <c r="H4247" s="459">
        <v>4240</v>
      </c>
      <c r="I4247" s="444">
        <f t="shared" ca="1" si="165"/>
        <v>-10391118784553.049</v>
      </c>
      <c r="J4247" s="444">
        <f t="array" ref="J4247">IFERROR(INDEX('Retirement Calculator'!K:K,MATCH('Lorri 401b'!N4247,'Retirement Calculator'!A:A,0),0),0)</f>
        <v>0</v>
      </c>
      <c r="K4247" s="444">
        <f t="shared" ca="1" si="163"/>
        <v>-43296328268.971039</v>
      </c>
      <c r="L4247" s="444">
        <f t="shared" ca="1" si="164"/>
        <v>-10434415112822.02</v>
      </c>
      <c r="M4247" s="460">
        <f t="shared" si="166"/>
        <v>0.05</v>
      </c>
      <c r="N4247" s="464">
        <f t="shared" si="167"/>
        <v>180310</v>
      </c>
    </row>
    <row r="4248" spans="7:14" ht="11.25" customHeight="1" x14ac:dyDescent="0.3">
      <c r="G4248" s="459"/>
      <c r="H4248" s="459">
        <v>4241</v>
      </c>
      <c r="I4248" s="444">
        <f t="shared" ca="1" si="165"/>
        <v>-10434415112822.02</v>
      </c>
      <c r="J4248" s="444">
        <f t="array" ref="J4248">IFERROR(INDEX('Retirement Calculator'!K:K,MATCH('Lorri 401b'!N4248,'Retirement Calculator'!A:A,0),0),0)</f>
        <v>0</v>
      </c>
      <c r="K4248" s="444">
        <f t="shared" ca="1" si="163"/>
        <v>-43476729636.758415</v>
      </c>
      <c r="L4248" s="444">
        <f t="shared" ca="1" si="164"/>
        <v>-10477891842458.777</v>
      </c>
      <c r="M4248" s="460">
        <f t="shared" si="166"/>
        <v>0.05</v>
      </c>
      <c r="N4248" s="464">
        <f t="shared" si="167"/>
        <v>180340</v>
      </c>
    </row>
    <row r="4249" spans="7:14" ht="11.25" customHeight="1" x14ac:dyDescent="0.3">
      <c r="G4249" s="459"/>
      <c r="H4249" s="459">
        <v>4242</v>
      </c>
      <c r="I4249" s="444">
        <f t="shared" ca="1" si="165"/>
        <v>-10477891842458.777</v>
      </c>
      <c r="J4249" s="444">
        <f t="array" ref="J4249">IFERROR(INDEX('Retirement Calculator'!K:K,MATCH('Lorri 401b'!N4249,'Retirement Calculator'!A:A,0),0),0)</f>
        <v>0</v>
      </c>
      <c r="K4249" s="444">
        <f t="shared" ca="1" si="163"/>
        <v>-43657882676.911575</v>
      </c>
      <c r="L4249" s="444">
        <f t="shared" ca="1" si="164"/>
        <v>-10521549725135.689</v>
      </c>
      <c r="M4249" s="460">
        <f t="shared" si="166"/>
        <v>0.05</v>
      </c>
      <c r="N4249" s="464">
        <f t="shared" si="167"/>
        <v>180371</v>
      </c>
    </row>
    <row r="4250" spans="7:14" ht="11.25" customHeight="1" x14ac:dyDescent="0.3">
      <c r="G4250" s="459"/>
      <c r="H4250" s="459">
        <v>4243</v>
      </c>
      <c r="I4250" s="444">
        <f t="shared" ca="1" si="165"/>
        <v>-10521549725135.689</v>
      </c>
      <c r="J4250" s="444">
        <f t="array" ref="J4250">IFERROR(INDEX('Retirement Calculator'!K:K,MATCH('Lorri 401b'!N4250,'Retirement Calculator'!A:A,0),0),0)</f>
        <v>0</v>
      </c>
      <c r="K4250" s="444">
        <f t="shared" ca="1" si="163"/>
        <v>-43839790521.398705</v>
      </c>
      <c r="L4250" s="444">
        <f t="shared" ca="1" si="164"/>
        <v>-10565389515657.088</v>
      </c>
      <c r="M4250" s="460">
        <f t="shared" si="166"/>
        <v>0.05</v>
      </c>
      <c r="N4250" s="464">
        <f t="shared" si="167"/>
        <v>180401</v>
      </c>
    </row>
    <row r="4251" spans="7:14" ht="11.25" customHeight="1" x14ac:dyDescent="0.3">
      <c r="G4251" s="459"/>
      <c r="H4251" s="459">
        <v>4244</v>
      </c>
      <c r="I4251" s="444">
        <f t="shared" ca="1" si="165"/>
        <v>-10565389515657.088</v>
      </c>
      <c r="J4251" s="444">
        <f t="array" ref="J4251">IFERROR(INDEX('Retirement Calculator'!K:K,MATCH('Lorri 401b'!N4251,'Retirement Calculator'!A:A,0),0),0)</f>
        <v>0</v>
      </c>
      <c r="K4251" s="444">
        <f t="shared" ca="1" si="163"/>
        <v>-44022456315.237869</v>
      </c>
      <c r="L4251" s="444">
        <f t="shared" ca="1" si="164"/>
        <v>-10609411971972.326</v>
      </c>
      <c r="M4251" s="460">
        <f t="shared" si="166"/>
        <v>0.05</v>
      </c>
      <c r="N4251" s="464">
        <f t="shared" si="167"/>
        <v>180432</v>
      </c>
    </row>
    <row r="4252" spans="7:14" ht="11.25" customHeight="1" x14ac:dyDescent="0.3">
      <c r="G4252" s="459"/>
      <c r="H4252" s="459">
        <v>4245</v>
      </c>
      <c r="I4252" s="444">
        <f t="shared" ca="1" si="165"/>
        <v>-10609411971972.326</v>
      </c>
      <c r="J4252" s="444">
        <f t="array" ref="J4252">IFERROR(INDEX('Retirement Calculator'!K:K,MATCH('Lorri 401b'!N4252,'Retirement Calculator'!A:A,0),0),0)</f>
        <v>0</v>
      </c>
      <c r="K4252" s="444">
        <f t="shared" ca="1" si="163"/>
        <v>-44205883216.551361</v>
      </c>
      <c r="L4252" s="444">
        <f t="shared" ca="1" si="164"/>
        <v>-10653617855188.877</v>
      </c>
      <c r="M4252" s="460">
        <f t="shared" si="166"/>
        <v>0.05</v>
      </c>
      <c r="N4252" s="464">
        <f t="shared" si="167"/>
        <v>180463</v>
      </c>
    </row>
    <row r="4253" spans="7:14" ht="11.25" customHeight="1" x14ac:dyDescent="0.3">
      <c r="G4253" s="459"/>
      <c r="H4253" s="459">
        <v>4246</v>
      </c>
      <c r="I4253" s="444">
        <f t="shared" ca="1" si="165"/>
        <v>-10653617855188.877</v>
      </c>
      <c r="J4253" s="444">
        <f t="array" ref="J4253">IFERROR(INDEX('Retirement Calculator'!K:K,MATCH('Lorri 401b'!N4253,'Retirement Calculator'!A:A,0),0),0)</f>
        <v>0</v>
      </c>
      <c r="K4253" s="444">
        <f t="shared" ca="1" si="163"/>
        <v>-44390074396.620323</v>
      </c>
      <c r="L4253" s="444">
        <f t="shared" ca="1" si="164"/>
        <v>-10698007929585.498</v>
      </c>
      <c r="M4253" s="460">
        <f t="shared" si="166"/>
        <v>0.05</v>
      </c>
      <c r="N4253" s="464">
        <f t="shared" si="167"/>
        <v>180491</v>
      </c>
    </row>
    <row r="4254" spans="7:14" ht="11.25" customHeight="1" x14ac:dyDescent="0.3">
      <c r="G4254" s="459"/>
      <c r="H4254" s="459">
        <v>4247</v>
      </c>
      <c r="I4254" s="444">
        <f t="shared" ca="1" si="165"/>
        <v>-10698007929585.498</v>
      </c>
      <c r="J4254" s="444">
        <f t="array" ref="J4254">IFERROR(INDEX('Retirement Calculator'!K:K,MATCH('Lorri 401b'!N4254,'Retirement Calculator'!A:A,0),0),0)</f>
        <v>0</v>
      </c>
      <c r="K4254" s="444">
        <f t="shared" ca="1" si="163"/>
        <v>-44575033039.939575</v>
      </c>
      <c r="L4254" s="444">
        <f t="shared" ca="1" si="164"/>
        <v>-10742582962625.438</v>
      </c>
      <c r="M4254" s="460">
        <f t="shared" si="166"/>
        <v>0.05</v>
      </c>
      <c r="N4254" s="464">
        <f t="shared" si="167"/>
        <v>180522</v>
      </c>
    </row>
    <row r="4255" spans="7:14" ht="11.25" customHeight="1" x14ac:dyDescent="0.3">
      <c r="G4255" s="459"/>
      <c r="H4255" s="459">
        <v>4248</v>
      </c>
      <c r="I4255" s="444">
        <f t="shared" ca="1" si="165"/>
        <v>-10742582962625.438</v>
      </c>
      <c r="J4255" s="444">
        <f t="array" ref="J4255">IFERROR(INDEX('Retirement Calculator'!K:K,MATCH('Lorri 401b'!N4255,'Retirement Calculator'!A:A,0),0),0)</f>
        <v>0</v>
      </c>
      <c r="K4255" s="444">
        <f t="shared" ca="1" si="163"/>
        <v>-44760762344.272659</v>
      </c>
      <c r="L4255" s="444">
        <f t="shared" ca="1" si="164"/>
        <v>-10787343724969.711</v>
      </c>
      <c r="M4255" s="460">
        <f t="shared" si="166"/>
        <v>0.05</v>
      </c>
      <c r="N4255" s="464">
        <f t="shared" si="167"/>
        <v>180552</v>
      </c>
    </row>
    <row r="4256" spans="7:14" ht="11.25" customHeight="1" x14ac:dyDescent="0.3">
      <c r="G4256" s="459"/>
      <c r="H4256" s="459">
        <v>4249</v>
      </c>
      <c r="I4256" s="444">
        <f t="shared" ca="1" si="165"/>
        <v>-10787343724969.711</v>
      </c>
      <c r="J4256" s="444">
        <f t="array" ref="J4256">IFERROR(INDEX('Retirement Calculator'!K:K,MATCH('Lorri 401b'!N4256,'Retirement Calculator'!A:A,0),0),0)</f>
        <v>0</v>
      </c>
      <c r="K4256" s="444">
        <f t="shared" ca="1" si="163"/>
        <v>-44947265520.70713</v>
      </c>
      <c r="L4256" s="444">
        <f t="shared" ca="1" si="164"/>
        <v>-10832290990490.418</v>
      </c>
      <c r="M4256" s="460">
        <f t="shared" si="166"/>
        <v>0.05</v>
      </c>
      <c r="N4256" s="464">
        <f t="shared" si="167"/>
        <v>180583</v>
      </c>
    </row>
    <row r="4257" spans="7:14" ht="11.25" customHeight="1" x14ac:dyDescent="0.3">
      <c r="G4257" s="459"/>
      <c r="H4257" s="459">
        <v>4250</v>
      </c>
      <c r="I4257" s="444">
        <f t="shared" ca="1" si="165"/>
        <v>-10832290990490.418</v>
      </c>
      <c r="J4257" s="444">
        <f t="array" ref="J4257">IFERROR(INDEX('Retirement Calculator'!K:K,MATCH('Lorri 401b'!N4257,'Retirement Calculator'!A:A,0),0),0)</f>
        <v>0</v>
      </c>
      <c r="K4257" s="444">
        <f t="shared" ca="1" si="163"/>
        <v>-45134545793.710075</v>
      </c>
      <c r="L4257" s="444">
        <f t="shared" ca="1" si="164"/>
        <v>-10877425536284.129</v>
      </c>
      <c r="M4257" s="460">
        <f t="shared" si="166"/>
        <v>0.05</v>
      </c>
      <c r="N4257" s="464">
        <f t="shared" si="167"/>
        <v>180613</v>
      </c>
    </row>
    <row r="4258" spans="7:14" ht="11.25" customHeight="1" x14ac:dyDescent="0.3">
      <c r="G4258" s="459"/>
      <c r="H4258" s="459">
        <v>4251</v>
      </c>
      <c r="I4258" s="444">
        <f t="shared" ca="1" si="165"/>
        <v>-10877425536284.129</v>
      </c>
      <c r="J4258" s="444">
        <f t="array" ref="J4258">IFERROR(INDEX('Retirement Calculator'!K:K,MATCH('Lorri 401b'!N4258,'Retirement Calculator'!A:A,0),0),0)</f>
        <v>0</v>
      </c>
      <c r="K4258" s="444">
        <f t="shared" ca="1" si="163"/>
        <v>-45322606401.183868</v>
      </c>
      <c r="L4258" s="444">
        <f t="shared" ca="1" si="164"/>
        <v>-10922748142685.313</v>
      </c>
      <c r="M4258" s="460">
        <f t="shared" si="166"/>
        <v>0.05</v>
      </c>
      <c r="N4258" s="464">
        <f t="shared" si="167"/>
        <v>180644</v>
      </c>
    </row>
    <row r="4259" spans="7:14" ht="11.25" customHeight="1" x14ac:dyDescent="0.3">
      <c r="G4259" s="459"/>
      <c r="H4259" s="459">
        <v>4252</v>
      </c>
      <c r="I4259" s="444">
        <f t="shared" ca="1" si="165"/>
        <v>-10922748142685.313</v>
      </c>
      <c r="J4259" s="444">
        <f t="array" ref="J4259">IFERROR(INDEX('Retirement Calculator'!K:K,MATCH('Lorri 401b'!N4259,'Retirement Calculator'!A:A,0),0),0)</f>
        <v>0</v>
      </c>
      <c r="K4259" s="444">
        <f t="shared" ca="1" si="163"/>
        <v>-45511450594.522133</v>
      </c>
      <c r="L4259" s="444">
        <f t="shared" ca="1" si="164"/>
        <v>-10968259593279.834</v>
      </c>
      <c r="M4259" s="460">
        <f t="shared" si="166"/>
        <v>0.05</v>
      </c>
      <c r="N4259" s="464">
        <f t="shared" si="167"/>
        <v>180675</v>
      </c>
    </row>
    <row r="4260" spans="7:14" ht="11.25" customHeight="1" x14ac:dyDescent="0.3">
      <c r="G4260" s="459"/>
      <c r="H4260" s="459">
        <v>4253</v>
      </c>
      <c r="I4260" s="444">
        <f t="shared" ca="1" si="165"/>
        <v>-10968259593279.834</v>
      </c>
      <c r="J4260" s="444">
        <f t="array" ref="J4260">IFERROR(INDEX('Retirement Calculator'!K:K,MATCH('Lorri 401b'!N4260,'Retirement Calculator'!A:A,0),0),0)</f>
        <v>0</v>
      </c>
      <c r="K4260" s="444">
        <f t="shared" ca="1" si="163"/>
        <v>-45701081638.665977</v>
      </c>
      <c r="L4260" s="444">
        <f t="shared" ca="1" si="164"/>
        <v>-11013960674918.5</v>
      </c>
      <c r="M4260" s="460">
        <f t="shared" si="166"/>
        <v>0.05</v>
      </c>
      <c r="N4260" s="464">
        <f t="shared" si="167"/>
        <v>180705</v>
      </c>
    </row>
    <row r="4261" spans="7:14" ht="11.25" customHeight="1" x14ac:dyDescent="0.3">
      <c r="G4261" s="459"/>
      <c r="H4261" s="459">
        <v>4254</v>
      </c>
      <c r="I4261" s="444">
        <f t="shared" ca="1" si="165"/>
        <v>-11013960674918.5</v>
      </c>
      <c r="J4261" s="444">
        <f t="array" ref="J4261">IFERROR(INDEX('Retirement Calculator'!K:K,MATCH('Lorri 401b'!N4261,'Retirement Calculator'!A:A,0),0),0)</f>
        <v>0</v>
      </c>
      <c r="K4261" s="444">
        <f t="shared" ca="1" si="163"/>
        <v>-45891502812.160416</v>
      </c>
      <c r="L4261" s="444">
        <f t="shared" ca="1" si="164"/>
        <v>-11059852177730.66</v>
      </c>
      <c r="M4261" s="460">
        <f t="shared" si="166"/>
        <v>0.05</v>
      </c>
      <c r="N4261" s="464">
        <f t="shared" si="167"/>
        <v>180736</v>
      </c>
    </row>
    <row r="4262" spans="7:14" ht="11.25" customHeight="1" x14ac:dyDescent="0.3">
      <c r="G4262" s="459"/>
      <c r="H4262" s="459">
        <v>4255</v>
      </c>
      <c r="I4262" s="444">
        <f t="shared" ca="1" si="165"/>
        <v>-11059852177730.66</v>
      </c>
      <c r="J4262" s="444">
        <f t="array" ref="J4262">IFERROR(INDEX('Retirement Calculator'!K:K,MATCH('Lorri 401b'!N4262,'Retirement Calculator'!A:A,0),0),0)</f>
        <v>0</v>
      </c>
      <c r="K4262" s="444">
        <f t="shared" ca="1" si="163"/>
        <v>-46082717407.211082</v>
      </c>
      <c r="L4262" s="444">
        <f t="shared" ca="1" si="164"/>
        <v>-11105934895137.871</v>
      </c>
      <c r="M4262" s="460">
        <f t="shared" si="166"/>
        <v>0.05</v>
      </c>
      <c r="N4262" s="464">
        <f t="shared" si="167"/>
        <v>180766</v>
      </c>
    </row>
    <row r="4263" spans="7:14" ht="11.25" customHeight="1" x14ac:dyDescent="0.3">
      <c r="G4263" s="459"/>
      <c r="H4263" s="459">
        <v>4256</v>
      </c>
      <c r="I4263" s="444">
        <f t="shared" ca="1" si="165"/>
        <v>-11105934895137.871</v>
      </c>
      <c r="J4263" s="444">
        <f t="array" ref="J4263">IFERROR(INDEX('Retirement Calculator'!K:K,MATCH('Lorri 401b'!N4263,'Retirement Calculator'!A:A,0),0),0)</f>
        <v>0</v>
      </c>
      <c r="K4263" s="444">
        <f t="shared" ca="1" si="163"/>
        <v>-46274728729.741127</v>
      </c>
      <c r="L4263" s="444">
        <f t="shared" ca="1" si="164"/>
        <v>-11152209623867.611</v>
      </c>
      <c r="M4263" s="460">
        <f t="shared" si="166"/>
        <v>0.05</v>
      </c>
      <c r="N4263" s="464">
        <f t="shared" si="167"/>
        <v>180797</v>
      </c>
    </row>
    <row r="4264" spans="7:14" ht="11.25" customHeight="1" x14ac:dyDescent="0.3">
      <c r="G4264" s="459"/>
      <c r="H4264" s="459">
        <v>4257</v>
      </c>
      <c r="I4264" s="444">
        <f t="shared" ca="1" si="165"/>
        <v>-11152209623867.611</v>
      </c>
      <c r="J4264" s="444">
        <f t="array" ref="J4264">IFERROR(INDEX('Retirement Calculator'!K:K,MATCH('Lorri 401b'!N4264,'Retirement Calculator'!A:A,0),0),0)</f>
        <v>0</v>
      </c>
      <c r="K4264" s="444">
        <f t="shared" ca="1" si="163"/>
        <v>-46467540099.44838</v>
      </c>
      <c r="L4264" s="444">
        <f t="shared" ca="1" si="164"/>
        <v>-11198677163967.061</v>
      </c>
      <c r="M4264" s="460">
        <f t="shared" si="166"/>
        <v>0.05</v>
      </c>
      <c r="N4264" s="464">
        <f t="shared" si="167"/>
        <v>180828</v>
      </c>
    </row>
    <row r="4265" spans="7:14" ht="11.25" customHeight="1" x14ac:dyDescent="0.3">
      <c r="G4265" s="459"/>
      <c r="H4265" s="459">
        <v>4258</v>
      </c>
      <c r="I4265" s="444">
        <f t="shared" ca="1" si="165"/>
        <v>-11198677163967.061</v>
      </c>
      <c r="J4265" s="444">
        <f t="array" ref="J4265">IFERROR(INDEX('Retirement Calculator'!K:K,MATCH('Lorri 401b'!N4265,'Retirement Calculator'!A:A,0),0),0)</f>
        <v>0</v>
      </c>
      <c r="K4265" s="444">
        <f t="shared" ca="1" si="163"/>
        <v>-46661154849.862755</v>
      </c>
      <c r="L4265" s="444">
        <f t="shared" ca="1" si="164"/>
        <v>-11245338318816.924</v>
      </c>
      <c r="M4265" s="460">
        <f t="shared" si="166"/>
        <v>0.05</v>
      </c>
      <c r="N4265" s="464">
        <f t="shared" si="167"/>
        <v>180856</v>
      </c>
    </row>
    <row r="4266" spans="7:14" ht="11.25" customHeight="1" x14ac:dyDescent="0.3">
      <c r="G4266" s="459"/>
      <c r="H4266" s="459">
        <v>4259</v>
      </c>
      <c r="I4266" s="444">
        <f t="shared" ca="1" si="165"/>
        <v>-11245338318816.924</v>
      </c>
      <c r="J4266" s="444">
        <f t="array" ref="J4266">IFERROR(INDEX('Retirement Calculator'!K:K,MATCH('Lorri 401b'!N4266,'Retirement Calculator'!A:A,0),0),0)</f>
        <v>0</v>
      </c>
      <c r="K4266" s="444">
        <f t="shared" ca="1" si="163"/>
        <v>-46855576328.403847</v>
      </c>
      <c r="L4266" s="444">
        <f t="shared" ca="1" si="164"/>
        <v>-11292193895145.328</v>
      </c>
      <c r="M4266" s="460">
        <f t="shared" si="166"/>
        <v>0.05</v>
      </c>
      <c r="N4266" s="464">
        <f t="shared" si="167"/>
        <v>180887</v>
      </c>
    </row>
    <row r="4267" spans="7:14" ht="11.25" customHeight="1" x14ac:dyDescent="0.3">
      <c r="G4267" s="459"/>
      <c r="H4267" s="459">
        <v>4260</v>
      </c>
      <c r="I4267" s="444">
        <f t="shared" ca="1" si="165"/>
        <v>-11292193895145.328</v>
      </c>
      <c r="J4267" s="444">
        <f t="array" ref="J4267">IFERROR(INDEX('Retirement Calculator'!K:K,MATCH('Lorri 401b'!N4267,'Retirement Calculator'!A:A,0),0),0)</f>
        <v>0</v>
      </c>
      <c r="K4267" s="444">
        <f t="shared" ca="1" si="163"/>
        <v>-47050807896.438866</v>
      </c>
      <c r="L4267" s="444">
        <f t="shared" ca="1" si="164"/>
        <v>-11339244703041.768</v>
      </c>
      <c r="M4267" s="460">
        <f t="shared" si="166"/>
        <v>0.05</v>
      </c>
      <c r="N4267" s="464">
        <f t="shared" si="167"/>
        <v>180917</v>
      </c>
    </row>
    <row r="4268" spans="7:14" ht="11.25" customHeight="1" x14ac:dyDescent="0.3">
      <c r="G4268" s="459"/>
      <c r="H4268" s="459">
        <v>4261</v>
      </c>
      <c r="I4268" s="444">
        <f t="shared" ca="1" si="165"/>
        <v>-11339244703041.768</v>
      </c>
      <c r="J4268" s="444">
        <f t="array" ref="J4268">IFERROR(INDEX('Retirement Calculator'!K:K,MATCH('Lorri 401b'!N4268,'Retirement Calculator'!A:A,0),0),0)</f>
        <v>0</v>
      </c>
      <c r="K4268" s="444">
        <f t="shared" ca="1" si="163"/>
        <v>-47246852929.340698</v>
      </c>
      <c r="L4268" s="444">
        <f t="shared" ca="1" si="164"/>
        <v>-11386491555971.107</v>
      </c>
      <c r="M4268" s="460">
        <f t="shared" si="166"/>
        <v>0.05</v>
      </c>
      <c r="N4268" s="464">
        <f t="shared" si="167"/>
        <v>180948</v>
      </c>
    </row>
    <row r="4269" spans="7:14" ht="11.25" customHeight="1" x14ac:dyDescent="0.3">
      <c r="G4269" s="459"/>
      <c r="H4269" s="459">
        <v>4262</v>
      </c>
      <c r="I4269" s="444">
        <f t="shared" ca="1" si="165"/>
        <v>-11386491555971.107</v>
      </c>
      <c r="J4269" s="444">
        <f t="array" ref="J4269">IFERROR(INDEX('Retirement Calculator'!K:K,MATCH('Lorri 401b'!N4269,'Retirement Calculator'!A:A,0),0),0)</f>
        <v>0</v>
      </c>
      <c r="K4269" s="444">
        <f t="shared" ca="1" si="163"/>
        <v>-47443714816.54628</v>
      </c>
      <c r="L4269" s="444">
        <f t="shared" ca="1" si="164"/>
        <v>-11433935270787.654</v>
      </c>
      <c r="M4269" s="460">
        <f t="shared" si="166"/>
        <v>0.05</v>
      </c>
      <c r="N4269" s="464">
        <f t="shared" si="167"/>
        <v>180978</v>
      </c>
    </row>
    <row r="4270" spans="7:14" ht="11.25" customHeight="1" x14ac:dyDescent="0.3">
      <c r="G4270" s="459"/>
      <c r="H4270" s="459">
        <v>4263</v>
      </c>
      <c r="I4270" s="444">
        <f t="shared" ca="1" si="165"/>
        <v>-11433935270787.654</v>
      </c>
      <c r="J4270" s="444">
        <f t="array" ref="J4270">IFERROR(INDEX('Retirement Calculator'!K:K,MATCH('Lorri 401b'!N4270,'Retirement Calculator'!A:A,0),0),0)</f>
        <v>0</v>
      </c>
      <c r="K4270" s="444">
        <f t="shared" ca="1" si="163"/>
        <v>-47641396961.615227</v>
      </c>
      <c r="L4270" s="444">
        <f t="shared" ca="1" si="164"/>
        <v>-11481576667749.27</v>
      </c>
      <c r="M4270" s="460">
        <f t="shared" si="166"/>
        <v>0.05</v>
      </c>
      <c r="N4270" s="464">
        <f t="shared" si="167"/>
        <v>181009</v>
      </c>
    </row>
    <row r="4271" spans="7:14" ht="11.25" customHeight="1" x14ac:dyDescent="0.3">
      <c r="G4271" s="459"/>
      <c r="H4271" s="459">
        <v>4264</v>
      </c>
      <c r="I4271" s="444">
        <f t="shared" ca="1" si="165"/>
        <v>-11481576667749.27</v>
      </c>
      <c r="J4271" s="444">
        <f t="array" ref="J4271">IFERROR(INDEX('Retirement Calculator'!K:K,MATCH('Lorri 401b'!N4271,'Retirement Calculator'!A:A,0),0),0)</f>
        <v>0</v>
      </c>
      <c r="K4271" s="444">
        <f t="shared" ca="1" si="163"/>
        <v>-47839902782.28862</v>
      </c>
      <c r="L4271" s="444">
        <f t="shared" ca="1" si="164"/>
        <v>-11529416570531.559</v>
      </c>
      <c r="M4271" s="460">
        <f t="shared" si="166"/>
        <v>0.05</v>
      </c>
      <c r="N4271" s="464">
        <f t="shared" si="167"/>
        <v>181040</v>
      </c>
    </row>
    <row r="4272" spans="7:14" ht="11.25" customHeight="1" x14ac:dyDescent="0.3">
      <c r="G4272" s="459"/>
      <c r="H4272" s="459">
        <v>4265</v>
      </c>
      <c r="I4272" s="444">
        <f t="shared" ca="1" si="165"/>
        <v>-11529416570531.559</v>
      </c>
      <c r="J4272" s="444">
        <f t="array" ref="J4272">IFERROR(INDEX('Retirement Calculator'!K:K,MATCH('Lorri 401b'!N4272,'Retirement Calculator'!A:A,0),0),0)</f>
        <v>0</v>
      </c>
      <c r="K4272" s="444">
        <f t="shared" ca="1" si="163"/>
        <v>-48039235710.548157</v>
      </c>
      <c r="L4272" s="444">
        <f t="shared" ca="1" si="164"/>
        <v>-11577455806242.107</v>
      </c>
      <c r="M4272" s="460">
        <f t="shared" si="166"/>
        <v>0.05</v>
      </c>
      <c r="N4272" s="464">
        <f t="shared" si="167"/>
        <v>181070</v>
      </c>
    </row>
    <row r="4273" spans="7:14" ht="11.25" customHeight="1" x14ac:dyDescent="0.3">
      <c r="G4273" s="459"/>
      <c r="H4273" s="459">
        <v>4266</v>
      </c>
      <c r="I4273" s="444">
        <f t="shared" ca="1" si="165"/>
        <v>-11577455806242.107</v>
      </c>
      <c r="J4273" s="444">
        <f t="array" ref="J4273">IFERROR(INDEX('Retirement Calculator'!K:K,MATCH('Lorri 401b'!N4273,'Retirement Calculator'!A:A,0),0),0)</f>
        <v>0</v>
      </c>
      <c r="K4273" s="444">
        <f t="shared" ca="1" si="163"/>
        <v>-48239399192.675446</v>
      </c>
      <c r="L4273" s="444">
        <f t="shared" ca="1" si="164"/>
        <v>-11625695205434.783</v>
      </c>
      <c r="M4273" s="460">
        <f t="shared" si="166"/>
        <v>0.05</v>
      </c>
      <c r="N4273" s="464">
        <f t="shared" si="167"/>
        <v>181101</v>
      </c>
    </row>
    <row r="4274" spans="7:14" ht="11.25" customHeight="1" x14ac:dyDescent="0.3">
      <c r="G4274" s="459"/>
      <c r="H4274" s="459">
        <v>4267</v>
      </c>
      <c r="I4274" s="444">
        <f t="shared" ca="1" si="165"/>
        <v>-11625695205434.783</v>
      </c>
      <c r="J4274" s="444">
        <f t="array" ref="J4274">IFERROR(INDEX('Retirement Calculator'!K:K,MATCH('Lorri 401b'!N4274,'Retirement Calculator'!A:A,0),0),0)</f>
        <v>0</v>
      </c>
      <c r="K4274" s="444">
        <f t="shared" ca="1" si="163"/>
        <v>-48440396689.3116</v>
      </c>
      <c r="L4274" s="444">
        <f t="shared" ca="1" si="164"/>
        <v>-11674135602124.096</v>
      </c>
      <c r="M4274" s="460">
        <f t="shared" si="166"/>
        <v>0.05</v>
      </c>
      <c r="N4274" s="464">
        <f t="shared" si="167"/>
        <v>181131</v>
      </c>
    </row>
    <row r="4275" spans="7:14" ht="11.25" customHeight="1" x14ac:dyDescent="0.3">
      <c r="G4275" s="459"/>
      <c r="H4275" s="459">
        <v>4268</v>
      </c>
      <c r="I4275" s="444">
        <f t="shared" ca="1" si="165"/>
        <v>-11674135602124.096</v>
      </c>
      <c r="J4275" s="444">
        <f t="array" ref="J4275">IFERROR(INDEX('Retirement Calculator'!K:K,MATCH('Lorri 401b'!N4275,'Retirement Calculator'!A:A,0),0),0)</f>
        <v>0</v>
      </c>
      <c r="K4275" s="444">
        <f t="shared" ca="1" si="163"/>
        <v>-48642231675.517067</v>
      </c>
      <c r="L4275" s="444">
        <f t="shared" ca="1" si="164"/>
        <v>-11722777833799.613</v>
      </c>
      <c r="M4275" s="460">
        <f t="shared" si="166"/>
        <v>0.05</v>
      </c>
      <c r="N4275" s="464">
        <f t="shared" si="167"/>
        <v>181162</v>
      </c>
    </row>
    <row r="4276" spans="7:14" ht="11.25" customHeight="1" x14ac:dyDescent="0.3">
      <c r="G4276" s="459"/>
      <c r="H4276" s="459">
        <v>4269</v>
      </c>
      <c r="I4276" s="444">
        <f t="shared" ca="1" si="165"/>
        <v>-11722777833799.613</v>
      </c>
      <c r="J4276" s="444">
        <f t="array" ref="J4276">IFERROR(INDEX('Retirement Calculator'!K:K,MATCH('Lorri 401b'!N4276,'Retirement Calculator'!A:A,0),0),0)</f>
        <v>0</v>
      </c>
      <c r="K4276" s="444">
        <f t="shared" ca="1" si="163"/>
        <v>-48844907640.831718</v>
      </c>
      <c r="L4276" s="444">
        <f t="shared" ca="1" si="164"/>
        <v>-11771622741440.445</v>
      </c>
      <c r="M4276" s="460">
        <f t="shared" si="166"/>
        <v>0.05</v>
      </c>
      <c r="N4276" s="464">
        <f t="shared" si="167"/>
        <v>181193</v>
      </c>
    </row>
    <row r="4277" spans="7:14" ht="11.25" customHeight="1" x14ac:dyDescent="0.3">
      <c r="G4277" s="459"/>
      <c r="H4277" s="459">
        <v>4270</v>
      </c>
      <c r="I4277" s="444">
        <f t="shared" ca="1" si="165"/>
        <v>-11771622741440.445</v>
      </c>
      <c r="J4277" s="444">
        <f t="array" ref="J4277">IFERROR(INDEX('Retirement Calculator'!K:K,MATCH('Lorri 401b'!N4277,'Retirement Calculator'!A:A,0),0),0)</f>
        <v>0</v>
      </c>
      <c r="K4277" s="444">
        <f t="shared" ca="1" si="163"/>
        <v>-49048428089.33519</v>
      </c>
      <c r="L4277" s="444">
        <f t="shared" ca="1" si="164"/>
        <v>-11820671169529.781</v>
      </c>
      <c r="M4277" s="460">
        <f t="shared" si="166"/>
        <v>0.05</v>
      </c>
      <c r="N4277" s="464">
        <f t="shared" si="167"/>
        <v>181222</v>
      </c>
    </row>
    <row r="4278" spans="7:14" ht="11.25" customHeight="1" x14ac:dyDescent="0.3">
      <c r="G4278" s="459"/>
      <c r="H4278" s="459">
        <v>4271</v>
      </c>
      <c r="I4278" s="444">
        <f t="shared" ca="1" si="165"/>
        <v>-11820671169529.781</v>
      </c>
      <c r="J4278" s="444">
        <f t="array" ref="J4278">IFERROR(INDEX('Retirement Calculator'!K:K,MATCH('Lorri 401b'!N4278,'Retirement Calculator'!A:A,0),0),0)</f>
        <v>0</v>
      </c>
      <c r="K4278" s="444">
        <f t="shared" ca="1" si="163"/>
        <v>-49252796539.70742</v>
      </c>
      <c r="L4278" s="444">
        <f t="shared" ca="1" si="164"/>
        <v>-11869923966069.488</v>
      </c>
      <c r="M4278" s="460">
        <f t="shared" si="166"/>
        <v>0.05</v>
      </c>
      <c r="N4278" s="464">
        <f t="shared" si="167"/>
        <v>181253</v>
      </c>
    </row>
    <row r="4279" spans="7:14" ht="11.25" customHeight="1" x14ac:dyDescent="0.3">
      <c r="G4279" s="459"/>
      <c r="H4279" s="459">
        <v>4272</v>
      </c>
      <c r="I4279" s="444">
        <f t="shared" ca="1" si="165"/>
        <v>-11869923966069.488</v>
      </c>
      <c r="J4279" s="444">
        <f t="array" ref="J4279">IFERROR(INDEX('Retirement Calculator'!K:K,MATCH('Lorri 401b'!N4279,'Retirement Calculator'!A:A,0),0),0)</f>
        <v>0</v>
      </c>
      <c r="K4279" s="444">
        <f t="shared" ca="1" si="163"/>
        <v>-49458016525.289536</v>
      </c>
      <c r="L4279" s="444">
        <f t="shared" ca="1" si="164"/>
        <v>-11919381982594.777</v>
      </c>
      <c r="M4279" s="460">
        <f t="shared" si="166"/>
        <v>0.05</v>
      </c>
      <c r="N4279" s="464">
        <f t="shared" si="167"/>
        <v>181283</v>
      </c>
    </row>
    <row r="4280" spans="7:14" ht="11.25" customHeight="1" x14ac:dyDescent="0.3">
      <c r="G4280" s="459"/>
      <c r="H4280" s="459">
        <v>4273</v>
      </c>
      <c r="I4280" s="444">
        <f t="shared" ca="1" si="165"/>
        <v>-11919381982594.777</v>
      </c>
      <c r="J4280" s="444">
        <f t="array" ref="J4280">IFERROR(INDEX('Retirement Calculator'!K:K,MATCH('Lorri 401b'!N4280,'Retirement Calculator'!A:A,0),0),0)</f>
        <v>0</v>
      </c>
      <c r="K4280" s="444">
        <f t="shared" ca="1" si="163"/>
        <v>-49664091594.144905</v>
      </c>
      <c r="L4280" s="444">
        <f t="shared" ca="1" si="164"/>
        <v>-11969046074188.922</v>
      </c>
      <c r="M4280" s="460">
        <f t="shared" si="166"/>
        <v>0.05</v>
      </c>
      <c r="N4280" s="464">
        <f t="shared" si="167"/>
        <v>181314</v>
      </c>
    </row>
    <row r="4281" spans="7:14" ht="11.25" customHeight="1" x14ac:dyDescent="0.3">
      <c r="G4281" s="459"/>
      <c r="H4281" s="459">
        <v>4274</v>
      </c>
      <c r="I4281" s="444">
        <f t="shared" ca="1" si="165"/>
        <v>-11969046074188.922</v>
      </c>
      <c r="J4281" s="444">
        <f t="array" ref="J4281">IFERROR(INDEX('Retirement Calculator'!K:K,MATCH('Lorri 401b'!N4281,'Retirement Calculator'!A:A,0),0),0)</f>
        <v>0</v>
      </c>
      <c r="K4281" s="444">
        <f t="shared" ca="1" si="163"/>
        <v>-49871025309.120506</v>
      </c>
      <c r="L4281" s="444">
        <f t="shared" ca="1" si="164"/>
        <v>-12018917099498.043</v>
      </c>
      <c r="M4281" s="460">
        <f t="shared" si="166"/>
        <v>0.05</v>
      </c>
      <c r="N4281" s="464">
        <f t="shared" si="167"/>
        <v>181344</v>
      </c>
    </row>
    <row r="4282" spans="7:14" ht="11.25" customHeight="1" x14ac:dyDescent="0.3">
      <c r="G4282" s="459"/>
      <c r="H4282" s="459">
        <v>4275</v>
      </c>
      <c r="I4282" s="444">
        <f t="shared" ca="1" si="165"/>
        <v>-12018917099498.043</v>
      </c>
      <c r="J4282" s="444">
        <f t="array" ref="J4282">IFERROR(INDEX('Retirement Calculator'!K:K,MATCH('Lorri 401b'!N4282,'Retirement Calculator'!A:A,0),0),0)</f>
        <v>0</v>
      </c>
      <c r="K4282" s="444">
        <f t="shared" ca="1" si="163"/>
        <v>-50078821247.908508</v>
      </c>
      <c r="L4282" s="444">
        <f t="shared" ca="1" si="164"/>
        <v>-12068995920745.951</v>
      </c>
      <c r="M4282" s="460">
        <f t="shared" si="166"/>
        <v>0.05</v>
      </c>
      <c r="N4282" s="464">
        <f t="shared" si="167"/>
        <v>181375</v>
      </c>
    </row>
    <row r="4283" spans="7:14" ht="11.25" customHeight="1" x14ac:dyDescent="0.3">
      <c r="G4283" s="459"/>
      <c r="H4283" s="459">
        <v>4276</v>
      </c>
      <c r="I4283" s="444">
        <f t="shared" ca="1" si="165"/>
        <v>-12068995920745.951</v>
      </c>
      <c r="J4283" s="444">
        <f t="array" ref="J4283">IFERROR(INDEX('Retirement Calculator'!K:K,MATCH('Lorri 401b'!N4283,'Retirement Calculator'!A:A,0),0),0)</f>
        <v>0</v>
      </c>
      <c r="K4283" s="444">
        <f t="shared" ca="1" si="163"/>
        <v>-50287483003.108131</v>
      </c>
      <c r="L4283" s="444">
        <f t="shared" ca="1" si="164"/>
        <v>-12119283403749.059</v>
      </c>
      <c r="M4283" s="460">
        <f t="shared" si="166"/>
        <v>0.05</v>
      </c>
      <c r="N4283" s="464">
        <f t="shared" si="167"/>
        <v>181406</v>
      </c>
    </row>
    <row r="4284" spans="7:14" ht="11.25" customHeight="1" x14ac:dyDescent="0.3">
      <c r="G4284" s="459"/>
      <c r="H4284" s="459">
        <v>4277</v>
      </c>
      <c r="I4284" s="444">
        <f t="shared" ca="1" si="165"/>
        <v>-12119283403749.059</v>
      </c>
      <c r="J4284" s="444">
        <f t="array" ref="J4284">IFERROR(INDEX('Retirement Calculator'!K:K,MATCH('Lorri 401b'!N4284,'Retirement Calculator'!A:A,0),0),0)</f>
        <v>0</v>
      </c>
      <c r="K4284" s="444">
        <f t="shared" ca="1" si="163"/>
        <v>-50497014182.287743</v>
      </c>
      <c r="L4284" s="444">
        <f t="shared" ca="1" si="164"/>
        <v>-12169780417931.346</v>
      </c>
      <c r="M4284" s="460">
        <f t="shared" si="166"/>
        <v>0.05</v>
      </c>
      <c r="N4284" s="464">
        <f t="shared" si="167"/>
        <v>181436</v>
      </c>
    </row>
    <row r="4285" spans="7:14" ht="11.25" customHeight="1" x14ac:dyDescent="0.3">
      <c r="G4285" s="459"/>
      <c r="H4285" s="459">
        <v>4278</v>
      </c>
      <c r="I4285" s="444">
        <f t="shared" ca="1" si="165"/>
        <v>-12169780417931.346</v>
      </c>
      <c r="J4285" s="444">
        <f t="array" ref="J4285">IFERROR(INDEX('Retirement Calculator'!K:K,MATCH('Lorri 401b'!N4285,'Retirement Calculator'!A:A,0),0),0)</f>
        <v>0</v>
      </c>
      <c r="K4285" s="444">
        <f t="shared" ca="1" si="163"/>
        <v>-50707418408.047272</v>
      </c>
      <c r="L4285" s="444">
        <f t="shared" ca="1" si="164"/>
        <v>-12220487836339.393</v>
      </c>
      <c r="M4285" s="460">
        <f t="shared" si="166"/>
        <v>0.05</v>
      </c>
      <c r="N4285" s="464">
        <f t="shared" si="167"/>
        <v>181467</v>
      </c>
    </row>
    <row r="4286" spans="7:14" ht="11.25" customHeight="1" x14ac:dyDescent="0.3">
      <c r="G4286" s="459"/>
      <c r="H4286" s="459">
        <v>4279</v>
      </c>
      <c r="I4286" s="444">
        <f t="shared" ca="1" si="165"/>
        <v>-12220487836339.393</v>
      </c>
      <c r="J4286" s="444">
        <f t="array" ref="J4286">IFERROR(INDEX('Retirement Calculator'!K:K,MATCH('Lorri 401b'!N4286,'Retirement Calculator'!A:A,0),0),0)</f>
        <v>0</v>
      </c>
      <c r="K4286" s="444">
        <f t="shared" ca="1" si="163"/>
        <v>-50918699318.080803</v>
      </c>
      <c r="L4286" s="444">
        <f t="shared" ca="1" si="164"/>
        <v>-12271406535657.473</v>
      </c>
      <c r="M4286" s="460">
        <f t="shared" si="166"/>
        <v>0.05</v>
      </c>
      <c r="N4286" s="464">
        <f t="shared" si="167"/>
        <v>181497</v>
      </c>
    </row>
    <row r="4287" spans="7:14" ht="11.25" customHeight="1" x14ac:dyDescent="0.3">
      <c r="G4287" s="459"/>
      <c r="H4287" s="459">
        <v>4280</v>
      </c>
      <c r="I4287" s="444">
        <f t="shared" ca="1" si="165"/>
        <v>-12271406535657.473</v>
      </c>
      <c r="J4287" s="444">
        <f t="array" ref="J4287">IFERROR(INDEX('Retirement Calculator'!K:K,MATCH('Lorri 401b'!N4287,'Retirement Calculator'!A:A,0),0),0)</f>
        <v>0</v>
      </c>
      <c r="K4287" s="444">
        <f t="shared" ca="1" si="163"/>
        <v>-51130860565.239471</v>
      </c>
      <c r="L4287" s="444">
        <f t="shared" ca="1" si="164"/>
        <v>-12322537396222.713</v>
      </c>
      <c r="M4287" s="460">
        <f t="shared" si="166"/>
        <v>0.05</v>
      </c>
      <c r="N4287" s="464">
        <f t="shared" si="167"/>
        <v>181528</v>
      </c>
    </row>
    <row r="4288" spans="7:14" ht="11.25" customHeight="1" x14ac:dyDescent="0.3">
      <c r="G4288" s="459"/>
      <c r="H4288" s="459">
        <v>4281</v>
      </c>
      <c r="I4288" s="444">
        <f t="shared" ca="1" si="165"/>
        <v>-12322537396222.713</v>
      </c>
      <c r="J4288" s="444">
        <f t="array" ref="J4288">IFERROR(INDEX('Retirement Calculator'!K:K,MATCH('Lorri 401b'!N4288,'Retirement Calculator'!A:A,0),0),0)</f>
        <v>0</v>
      </c>
      <c r="K4288" s="444">
        <f t="shared" ca="1" si="163"/>
        <v>-51343905817.594635</v>
      </c>
      <c r="L4288" s="444">
        <f t="shared" ca="1" si="164"/>
        <v>-12373881302040.307</v>
      </c>
      <c r="M4288" s="460">
        <f t="shared" si="166"/>
        <v>0.05</v>
      </c>
      <c r="N4288" s="464">
        <f t="shared" si="167"/>
        <v>181559</v>
      </c>
    </row>
    <row r="4289" spans="7:14" ht="11.25" customHeight="1" x14ac:dyDescent="0.3">
      <c r="G4289" s="459"/>
      <c r="H4289" s="459">
        <v>4282</v>
      </c>
      <c r="I4289" s="444">
        <f t="shared" ca="1" si="165"/>
        <v>-12373881302040.307</v>
      </c>
      <c r="J4289" s="444">
        <f t="array" ref="J4289">IFERROR(INDEX('Retirement Calculator'!K:K,MATCH('Lorri 401b'!N4289,'Retirement Calculator'!A:A,0),0),0)</f>
        <v>0</v>
      </c>
      <c r="K4289" s="444">
        <f t="shared" ca="1" si="163"/>
        <v>-51557838758.501274</v>
      </c>
      <c r="L4289" s="444">
        <f t="shared" ca="1" si="164"/>
        <v>-12425439140798.809</v>
      </c>
      <c r="M4289" s="460">
        <f t="shared" si="166"/>
        <v>0.05</v>
      </c>
      <c r="N4289" s="464">
        <f t="shared" si="167"/>
        <v>181587</v>
      </c>
    </row>
    <row r="4290" spans="7:14" ht="11.25" customHeight="1" x14ac:dyDescent="0.3">
      <c r="G4290" s="459"/>
      <c r="H4290" s="459">
        <v>4283</v>
      </c>
      <c r="I4290" s="444">
        <f t="shared" ca="1" si="165"/>
        <v>-12425439140798.809</v>
      </c>
      <c r="J4290" s="444">
        <f t="array" ref="J4290">IFERROR(INDEX('Retirement Calculator'!K:K,MATCH('Lorri 401b'!N4290,'Retirement Calculator'!A:A,0),0),0)</f>
        <v>0</v>
      </c>
      <c r="K4290" s="444">
        <f t="shared" ca="1" si="163"/>
        <v>-51772663086.661705</v>
      </c>
      <c r="L4290" s="444">
        <f t="shared" ca="1" si="164"/>
        <v>-12477211803885.471</v>
      </c>
      <c r="M4290" s="460">
        <f t="shared" si="166"/>
        <v>0.05</v>
      </c>
      <c r="N4290" s="464">
        <f t="shared" si="167"/>
        <v>181618</v>
      </c>
    </row>
    <row r="4291" spans="7:14" ht="11.25" customHeight="1" x14ac:dyDescent="0.3">
      <c r="G4291" s="459"/>
      <c r="H4291" s="459">
        <v>4284</v>
      </c>
      <c r="I4291" s="444">
        <f t="shared" ca="1" si="165"/>
        <v>-12477211803885.471</v>
      </c>
      <c r="J4291" s="444">
        <f t="array" ref="J4291">IFERROR(INDEX('Retirement Calculator'!K:K,MATCH('Lorri 401b'!N4291,'Retirement Calculator'!A:A,0),0),0)</f>
        <v>0</v>
      </c>
      <c r="K4291" s="444">
        <f t="shared" ca="1" si="163"/>
        <v>-51988382516.189461</v>
      </c>
      <c r="L4291" s="444">
        <f t="shared" ca="1" si="164"/>
        <v>-12529200186401.66</v>
      </c>
      <c r="M4291" s="460">
        <f t="shared" si="166"/>
        <v>0.05</v>
      </c>
      <c r="N4291" s="464">
        <f t="shared" si="167"/>
        <v>181648</v>
      </c>
    </row>
    <row r="4292" spans="7:14" ht="11.25" customHeight="1" x14ac:dyDescent="0.3">
      <c r="G4292" s="459"/>
      <c r="H4292" s="459">
        <v>4285</v>
      </c>
      <c r="I4292" s="444">
        <f t="shared" ca="1" si="165"/>
        <v>-12529200186401.66</v>
      </c>
      <c r="J4292" s="444">
        <f t="array" ref="J4292">IFERROR(INDEX('Retirement Calculator'!K:K,MATCH('Lorri 401b'!N4292,'Retirement Calculator'!A:A,0),0),0)</f>
        <v>0</v>
      </c>
      <c r="K4292" s="444">
        <f t="shared" ca="1" si="163"/>
        <v>-52205000776.673584</v>
      </c>
      <c r="L4292" s="444">
        <f t="shared" ca="1" si="164"/>
        <v>-12581405187178.334</v>
      </c>
      <c r="M4292" s="460">
        <f t="shared" si="166"/>
        <v>0.05</v>
      </c>
      <c r="N4292" s="464">
        <f t="shared" si="167"/>
        <v>181679</v>
      </c>
    </row>
    <row r="4293" spans="7:14" ht="11.25" customHeight="1" x14ac:dyDescent="0.3">
      <c r="G4293" s="459"/>
      <c r="H4293" s="459">
        <v>4286</v>
      </c>
      <c r="I4293" s="444">
        <f t="shared" ca="1" si="165"/>
        <v>-12581405187178.334</v>
      </c>
      <c r="J4293" s="444">
        <f t="array" ref="J4293">IFERROR(INDEX('Retirement Calculator'!K:K,MATCH('Lorri 401b'!N4293,'Retirement Calculator'!A:A,0),0),0)</f>
        <v>0</v>
      </c>
      <c r="K4293" s="444">
        <f t="shared" ca="1" si="163"/>
        <v>-52422521613.243057</v>
      </c>
      <c r="L4293" s="444">
        <f t="shared" ca="1" si="164"/>
        <v>-12633827708791.576</v>
      </c>
      <c r="M4293" s="460">
        <f t="shared" si="166"/>
        <v>0.05</v>
      </c>
      <c r="N4293" s="464">
        <f t="shared" si="167"/>
        <v>181709</v>
      </c>
    </row>
    <row r="4294" spans="7:14" ht="11.25" customHeight="1" x14ac:dyDescent="0.3">
      <c r="G4294" s="459"/>
      <c r="H4294" s="459">
        <v>4287</v>
      </c>
      <c r="I4294" s="444">
        <f t="shared" ca="1" si="165"/>
        <v>-12633827708791.576</v>
      </c>
      <c r="J4294" s="444">
        <f t="array" ref="J4294">IFERROR(INDEX('Retirement Calculator'!K:K,MATCH('Lorri 401b'!N4294,'Retirement Calculator'!A:A,0),0),0)</f>
        <v>0</v>
      </c>
      <c r="K4294" s="444">
        <f t="shared" ca="1" si="163"/>
        <v>-52640948786.631569</v>
      </c>
      <c r="L4294" s="444">
        <f t="shared" ca="1" si="164"/>
        <v>-12686468657578.207</v>
      </c>
      <c r="M4294" s="460">
        <f t="shared" si="166"/>
        <v>0.05</v>
      </c>
      <c r="N4294" s="464">
        <f t="shared" si="167"/>
        <v>181740</v>
      </c>
    </row>
    <row r="4295" spans="7:14" ht="11.25" customHeight="1" x14ac:dyDescent="0.3">
      <c r="G4295" s="459"/>
      <c r="H4295" s="459">
        <v>4288</v>
      </c>
      <c r="I4295" s="444">
        <f t="shared" ca="1" si="165"/>
        <v>-12686468657578.207</v>
      </c>
      <c r="J4295" s="444">
        <f t="array" ref="J4295">IFERROR(INDEX('Retirement Calculator'!K:K,MATCH('Lorri 401b'!N4295,'Retirement Calculator'!A:A,0),0),0)</f>
        <v>0</v>
      </c>
      <c r="K4295" s="444">
        <f t="shared" ca="1" si="163"/>
        <v>-52860286073.242531</v>
      </c>
      <c r="L4295" s="444">
        <f t="shared" ca="1" si="164"/>
        <v>-12739328943651.449</v>
      </c>
      <c r="M4295" s="460">
        <f t="shared" si="166"/>
        <v>0.05</v>
      </c>
      <c r="N4295" s="464">
        <f t="shared" si="167"/>
        <v>181771</v>
      </c>
    </row>
    <row r="4296" spans="7:14" ht="11.25" customHeight="1" x14ac:dyDescent="0.3">
      <c r="G4296" s="459"/>
      <c r="H4296" s="459">
        <v>4289</v>
      </c>
      <c r="I4296" s="444">
        <f t="shared" ca="1" si="165"/>
        <v>-12739328943651.449</v>
      </c>
      <c r="J4296" s="444">
        <f t="array" ref="J4296">IFERROR(INDEX('Retirement Calculator'!K:K,MATCH('Lorri 401b'!N4296,'Retirement Calculator'!A:A,0),0),0)</f>
        <v>0</v>
      </c>
      <c r="K4296" s="444">
        <f t="shared" ca="1" si="163"/>
        <v>-53080537265.214371</v>
      </c>
      <c r="L4296" s="444">
        <f t="shared" ca="1" si="164"/>
        <v>-12792409480916.664</v>
      </c>
      <c r="M4296" s="460">
        <f t="shared" si="166"/>
        <v>0.05</v>
      </c>
      <c r="N4296" s="464">
        <f t="shared" si="167"/>
        <v>181801</v>
      </c>
    </row>
    <row r="4297" spans="7:14" ht="11.25" customHeight="1" x14ac:dyDescent="0.3">
      <c r="G4297" s="459"/>
      <c r="H4297" s="459">
        <v>4290</v>
      </c>
      <c r="I4297" s="444">
        <f t="shared" ca="1" si="165"/>
        <v>-12792409480916.664</v>
      </c>
      <c r="J4297" s="444">
        <f t="array" ref="J4297">IFERROR(INDEX('Retirement Calculator'!K:K,MATCH('Lorri 401b'!N4297,'Retirement Calculator'!A:A,0),0),0)</f>
        <v>0</v>
      </c>
      <c r="K4297" s="444">
        <f t="shared" ca="1" si="163"/>
        <v>-53301706170.486099</v>
      </c>
      <c r="L4297" s="444">
        <f t="shared" ca="1" si="164"/>
        <v>-12845711187087.15</v>
      </c>
      <c r="M4297" s="460">
        <f t="shared" si="166"/>
        <v>0.05</v>
      </c>
      <c r="N4297" s="464">
        <f t="shared" si="167"/>
        <v>181832</v>
      </c>
    </row>
    <row r="4298" spans="7:14" ht="11.25" customHeight="1" x14ac:dyDescent="0.3">
      <c r="G4298" s="459"/>
      <c r="H4298" s="459">
        <v>4291</v>
      </c>
      <c r="I4298" s="444">
        <f t="shared" ca="1" si="165"/>
        <v>-12845711187087.15</v>
      </c>
      <c r="J4298" s="444">
        <f t="array" ref="J4298">IFERROR(INDEX('Retirement Calculator'!K:K,MATCH('Lorri 401b'!N4298,'Retirement Calculator'!A:A,0),0),0)</f>
        <v>0</v>
      </c>
      <c r="K4298" s="444">
        <f t="shared" ca="1" si="163"/>
        <v>-53523796612.863129</v>
      </c>
      <c r="L4298" s="444">
        <f t="shared" ca="1" si="164"/>
        <v>-12899234983700.014</v>
      </c>
      <c r="M4298" s="460">
        <f t="shared" si="166"/>
        <v>0.05</v>
      </c>
      <c r="N4298" s="464">
        <f t="shared" si="167"/>
        <v>181862</v>
      </c>
    </row>
    <row r="4299" spans="7:14" ht="11.25" customHeight="1" x14ac:dyDescent="0.3">
      <c r="G4299" s="459"/>
      <c r="H4299" s="459">
        <v>4292</v>
      </c>
      <c r="I4299" s="444">
        <f t="shared" ca="1" si="165"/>
        <v>-12899234983700.014</v>
      </c>
      <c r="J4299" s="444">
        <f t="array" ref="J4299">IFERROR(INDEX('Retirement Calculator'!K:K,MATCH('Lorri 401b'!N4299,'Retirement Calculator'!A:A,0),0),0)</f>
        <v>0</v>
      </c>
      <c r="K4299" s="444">
        <f t="shared" ca="1" si="163"/>
        <v>-53746812432.083389</v>
      </c>
      <c r="L4299" s="444">
        <f t="shared" ca="1" si="164"/>
        <v>-12952981796132.098</v>
      </c>
      <c r="M4299" s="460">
        <f t="shared" si="166"/>
        <v>0.05</v>
      </c>
      <c r="N4299" s="464">
        <f t="shared" si="167"/>
        <v>181893</v>
      </c>
    </row>
    <row r="4300" spans="7:14" ht="11.25" customHeight="1" x14ac:dyDescent="0.3">
      <c r="G4300" s="459"/>
      <c r="H4300" s="459">
        <v>4293</v>
      </c>
      <c r="I4300" s="444">
        <f t="shared" ca="1" si="165"/>
        <v>-12952981796132.098</v>
      </c>
      <c r="J4300" s="444">
        <f t="array" ref="J4300">IFERROR(INDEX('Retirement Calculator'!K:K,MATCH('Lorri 401b'!N4300,'Retirement Calculator'!A:A,0),0),0)</f>
        <v>0</v>
      </c>
      <c r="K4300" s="444">
        <f t="shared" ca="1" si="163"/>
        <v>-53970757483.883743</v>
      </c>
      <c r="L4300" s="444">
        <f t="shared" ca="1" si="164"/>
        <v>-13006952553615.98</v>
      </c>
      <c r="M4300" s="460">
        <f t="shared" si="166"/>
        <v>0.05</v>
      </c>
      <c r="N4300" s="464">
        <f t="shared" si="167"/>
        <v>181924</v>
      </c>
    </row>
    <row r="4301" spans="7:14" ht="11.25" customHeight="1" x14ac:dyDescent="0.3">
      <c r="G4301" s="459"/>
      <c r="H4301" s="459">
        <v>4294</v>
      </c>
      <c r="I4301" s="444">
        <f t="shared" ca="1" si="165"/>
        <v>-13006952553615.98</v>
      </c>
      <c r="J4301" s="444">
        <f t="array" ref="J4301">IFERROR(INDEX('Retirement Calculator'!K:K,MATCH('Lorri 401b'!N4301,'Retirement Calculator'!A:A,0),0),0)</f>
        <v>0</v>
      </c>
      <c r="K4301" s="444">
        <f t="shared" ca="1" si="163"/>
        <v>-54195635640.066582</v>
      </c>
      <c r="L4301" s="444">
        <f t="shared" ca="1" si="164"/>
        <v>-13061148189256.047</v>
      </c>
      <c r="M4301" s="460">
        <f t="shared" si="166"/>
        <v>0.05</v>
      </c>
      <c r="N4301" s="464">
        <f t="shared" si="167"/>
        <v>181952</v>
      </c>
    </row>
    <row r="4302" spans="7:14" ht="11.25" customHeight="1" x14ac:dyDescent="0.3">
      <c r="G4302" s="459"/>
      <c r="H4302" s="459">
        <v>4295</v>
      </c>
      <c r="I4302" s="444">
        <f t="shared" ca="1" si="165"/>
        <v>-13061148189256.047</v>
      </c>
      <c r="J4302" s="444">
        <f t="array" ref="J4302">IFERROR(INDEX('Retirement Calculator'!K:K,MATCH('Lorri 401b'!N4302,'Retirement Calculator'!A:A,0),0),0)</f>
        <v>0</v>
      </c>
      <c r="K4302" s="444">
        <f t="shared" ca="1" si="163"/>
        <v>-54421450788.566864</v>
      </c>
      <c r="L4302" s="444">
        <f t="shared" ca="1" si="164"/>
        <v>-13115569640044.613</v>
      </c>
      <c r="M4302" s="460">
        <f t="shared" si="166"/>
        <v>0.05</v>
      </c>
      <c r="N4302" s="464">
        <f t="shared" si="167"/>
        <v>181983</v>
      </c>
    </row>
    <row r="4303" spans="7:14" ht="11.25" customHeight="1" x14ac:dyDescent="0.3">
      <c r="G4303" s="459"/>
      <c r="H4303" s="459">
        <v>4296</v>
      </c>
      <c r="I4303" s="444">
        <f t="shared" ca="1" si="165"/>
        <v>-13115569640044.613</v>
      </c>
      <c r="J4303" s="444">
        <f t="array" ref="J4303">IFERROR(INDEX('Retirement Calculator'!K:K,MATCH('Lorri 401b'!N4303,'Retirement Calculator'!A:A,0),0),0)</f>
        <v>0</v>
      </c>
      <c r="K4303" s="444">
        <f t="shared" ca="1" si="163"/>
        <v>-54648206833.519218</v>
      </c>
      <c r="L4303" s="444">
        <f t="shared" ca="1" si="164"/>
        <v>-13170217846878.133</v>
      </c>
      <c r="M4303" s="460">
        <f t="shared" si="166"/>
        <v>0.05</v>
      </c>
      <c r="N4303" s="464">
        <f t="shared" si="167"/>
        <v>182013</v>
      </c>
    </row>
    <row r="4304" spans="7:14" ht="11.25" customHeight="1" x14ac:dyDescent="0.3">
      <c r="G4304" s="459"/>
      <c r="H4304" s="459">
        <v>4297</v>
      </c>
      <c r="I4304" s="444">
        <f t="shared" ca="1" si="165"/>
        <v>-13170217846878.133</v>
      </c>
      <c r="J4304" s="444">
        <f t="array" ref="J4304">IFERROR(INDEX('Retirement Calculator'!K:K,MATCH('Lorri 401b'!N4304,'Retirement Calculator'!A:A,0),0),0)</f>
        <v>0</v>
      </c>
      <c r="K4304" s="444">
        <f t="shared" ca="1" si="163"/>
        <v>-54875907695.325554</v>
      </c>
      <c r="L4304" s="444">
        <f t="shared" ca="1" si="164"/>
        <v>-13225093754573.459</v>
      </c>
      <c r="M4304" s="460">
        <f t="shared" si="166"/>
        <v>0.05</v>
      </c>
      <c r="N4304" s="464">
        <f t="shared" si="167"/>
        <v>182044</v>
      </c>
    </row>
    <row r="4305" spans="7:14" ht="11.25" customHeight="1" x14ac:dyDescent="0.3">
      <c r="G4305" s="459"/>
      <c r="H4305" s="459">
        <v>4298</v>
      </c>
      <c r="I4305" s="444">
        <f t="shared" ca="1" si="165"/>
        <v>-13225093754573.459</v>
      </c>
      <c r="J4305" s="444">
        <f t="array" ref="J4305">IFERROR(INDEX('Retirement Calculator'!K:K,MATCH('Lorri 401b'!N4305,'Retirement Calculator'!A:A,0),0),0)</f>
        <v>0</v>
      </c>
      <c r="K4305" s="444">
        <f t="shared" ca="1" si="163"/>
        <v>-55104557310.722748</v>
      </c>
      <c r="L4305" s="444">
        <f t="shared" ca="1" si="164"/>
        <v>-13280198311884.182</v>
      </c>
      <c r="M4305" s="460">
        <f t="shared" si="166"/>
        <v>0.05</v>
      </c>
      <c r="N4305" s="464">
        <f t="shared" si="167"/>
        <v>182074</v>
      </c>
    </row>
    <row r="4306" spans="7:14" ht="11.25" customHeight="1" x14ac:dyDescent="0.3">
      <c r="G4306" s="459"/>
      <c r="H4306" s="459">
        <v>4299</v>
      </c>
      <c r="I4306" s="444">
        <f t="shared" ca="1" si="165"/>
        <v>-13280198311884.182</v>
      </c>
      <c r="J4306" s="444">
        <f t="array" ref="J4306">IFERROR(INDEX('Retirement Calculator'!K:K,MATCH('Lorri 401b'!N4306,'Retirement Calculator'!A:A,0),0),0)</f>
        <v>0</v>
      </c>
      <c r="K4306" s="444">
        <f t="shared" ca="1" si="163"/>
        <v>-55334159632.850754</v>
      </c>
      <c r="L4306" s="444">
        <f t="shared" ca="1" si="164"/>
        <v>-13335532471517.033</v>
      </c>
      <c r="M4306" s="460">
        <f t="shared" si="166"/>
        <v>0.05</v>
      </c>
      <c r="N4306" s="464">
        <f t="shared" si="167"/>
        <v>182105</v>
      </c>
    </row>
    <row r="4307" spans="7:14" ht="11.25" customHeight="1" x14ac:dyDescent="0.3">
      <c r="G4307" s="459"/>
      <c r="H4307" s="459">
        <v>4300</v>
      </c>
      <c r="I4307" s="444">
        <f t="shared" ca="1" si="165"/>
        <v>-13335532471517.033</v>
      </c>
      <c r="J4307" s="444">
        <f t="array" ref="J4307">IFERROR(INDEX('Retirement Calculator'!K:K,MATCH('Lorri 401b'!N4307,'Retirement Calculator'!A:A,0),0),0)</f>
        <v>0</v>
      </c>
      <c r="K4307" s="444">
        <f t="shared" ca="1" si="163"/>
        <v>-55564718631.320969</v>
      </c>
      <c r="L4307" s="444">
        <f t="shared" ca="1" si="164"/>
        <v>-13391097190148.354</v>
      </c>
      <c r="M4307" s="460">
        <f t="shared" si="166"/>
        <v>0.05</v>
      </c>
      <c r="N4307" s="464">
        <f t="shared" si="167"/>
        <v>182136</v>
      </c>
    </row>
    <row r="4308" spans="7:14" ht="11.25" customHeight="1" x14ac:dyDescent="0.3">
      <c r="G4308" s="459"/>
      <c r="H4308" s="459">
        <v>4301</v>
      </c>
      <c r="I4308" s="444">
        <f t="shared" ca="1" si="165"/>
        <v>-13391097190148.354</v>
      </c>
      <c r="J4308" s="444">
        <f t="array" ref="J4308">IFERROR(INDEX('Retirement Calculator'!K:K,MATCH('Lorri 401b'!N4308,'Retirement Calculator'!A:A,0),0),0)</f>
        <v>0</v>
      </c>
      <c r="K4308" s="444">
        <f t="shared" ca="1" si="163"/>
        <v>-55796238292.284805</v>
      </c>
      <c r="L4308" s="444">
        <f t="shared" ca="1" si="164"/>
        <v>-13446893428440.639</v>
      </c>
      <c r="M4308" s="460">
        <f t="shared" si="166"/>
        <v>0.05</v>
      </c>
      <c r="N4308" s="464">
        <f t="shared" si="167"/>
        <v>182166</v>
      </c>
    </row>
    <row r="4309" spans="7:14" ht="11.25" customHeight="1" x14ac:dyDescent="0.3">
      <c r="G4309" s="459"/>
      <c r="H4309" s="459">
        <v>4302</v>
      </c>
      <c r="I4309" s="444">
        <f t="shared" ca="1" si="165"/>
        <v>-13446893428440.639</v>
      </c>
      <c r="J4309" s="444">
        <f t="array" ref="J4309">IFERROR(INDEX('Retirement Calculator'!K:K,MATCH('Lorri 401b'!N4309,'Retirement Calculator'!A:A,0),0),0)</f>
        <v>0</v>
      </c>
      <c r="K4309" s="444">
        <f t="shared" ca="1" si="163"/>
        <v>-56028722618.502663</v>
      </c>
      <c r="L4309" s="444">
        <f t="shared" ca="1" si="164"/>
        <v>-13502922151059.141</v>
      </c>
      <c r="M4309" s="460">
        <f t="shared" si="166"/>
        <v>0.05</v>
      </c>
      <c r="N4309" s="464">
        <f t="shared" si="167"/>
        <v>182197</v>
      </c>
    </row>
    <row r="4310" spans="7:14" ht="11.25" customHeight="1" x14ac:dyDescent="0.3">
      <c r="G4310" s="459"/>
      <c r="H4310" s="459">
        <v>4303</v>
      </c>
      <c r="I4310" s="444">
        <f t="shared" ca="1" si="165"/>
        <v>-13502922151059.141</v>
      </c>
      <c r="J4310" s="444">
        <f t="array" ref="J4310">IFERROR(INDEX('Retirement Calculator'!K:K,MATCH('Lorri 401b'!N4310,'Retirement Calculator'!A:A,0),0),0)</f>
        <v>0</v>
      </c>
      <c r="K4310" s="444">
        <f t="shared" ca="1" si="163"/>
        <v>-56262175629.413086</v>
      </c>
      <c r="L4310" s="444">
        <f t="shared" ca="1" si="164"/>
        <v>-13559184326688.555</v>
      </c>
      <c r="M4310" s="460">
        <f t="shared" si="166"/>
        <v>0.05</v>
      </c>
      <c r="N4310" s="464">
        <f t="shared" si="167"/>
        <v>182227</v>
      </c>
    </row>
    <row r="4311" spans="7:14" ht="11.25" customHeight="1" x14ac:dyDescent="0.3">
      <c r="G4311" s="459"/>
      <c r="H4311" s="459">
        <v>4304</v>
      </c>
      <c r="I4311" s="444">
        <f t="shared" ca="1" si="165"/>
        <v>-13559184326688.555</v>
      </c>
      <c r="J4311" s="444">
        <f t="array" ref="J4311">IFERROR(INDEX('Retirement Calculator'!K:K,MATCH('Lorri 401b'!N4311,'Retirement Calculator'!A:A,0),0),0)</f>
        <v>0</v>
      </c>
      <c r="K4311" s="444">
        <f t="shared" ca="1" si="163"/>
        <v>-56496601361.202309</v>
      </c>
      <c r="L4311" s="444">
        <f t="shared" ca="1" si="164"/>
        <v>-13615680928049.758</v>
      </c>
      <c r="M4311" s="460">
        <f t="shared" si="166"/>
        <v>0.05</v>
      </c>
      <c r="N4311" s="464">
        <f t="shared" si="167"/>
        <v>182258</v>
      </c>
    </row>
    <row r="4312" spans="7:14" ht="11.25" customHeight="1" x14ac:dyDescent="0.3">
      <c r="G4312" s="459"/>
      <c r="H4312" s="459">
        <v>4305</v>
      </c>
      <c r="I4312" s="444">
        <f t="shared" ca="1" si="165"/>
        <v>-13615680928049.758</v>
      </c>
      <c r="J4312" s="444">
        <f t="array" ref="J4312">IFERROR(INDEX('Retirement Calculator'!K:K,MATCH('Lorri 401b'!N4312,'Retirement Calculator'!A:A,0),0),0)</f>
        <v>0</v>
      </c>
      <c r="K4312" s="444">
        <f t="shared" ca="1" si="163"/>
        <v>-56732003866.873993</v>
      </c>
      <c r="L4312" s="444">
        <f t="shared" ca="1" si="164"/>
        <v>-13672412931916.631</v>
      </c>
      <c r="M4312" s="460">
        <f t="shared" si="166"/>
        <v>0.05</v>
      </c>
      <c r="N4312" s="464">
        <f t="shared" si="167"/>
        <v>182289</v>
      </c>
    </row>
    <row r="4313" spans="7:14" ht="11.25" customHeight="1" x14ac:dyDescent="0.3">
      <c r="G4313" s="459"/>
      <c r="H4313" s="459">
        <v>4306</v>
      </c>
      <c r="I4313" s="444">
        <f t="shared" ca="1" si="165"/>
        <v>-13672412931916.631</v>
      </c>
      <c r="J4313" s="444">
        <f t="array" ref="J4313">IFERROR(INDEX('Retirement Calculator'!K:K,MATCH('Lorri 401b'!N4313,'Retirement Calculator'!A:A,0),0),0)</f>
        <v>0</v>
      </c>
      <c r="K4313" s="444">
        <f t="shared" ca="1" si="163"/>
        <v>-56968387216.319298</v>
      </c>
      <c r="L4313" s="444">
        <f t="shared" ca="1" si="164"/>
        <v>-13729381319132.949</v>
      </c>
      <c r="M4313" s="460">
        <f t="shared" si="166"/>
        <v>0.05</v>
      </c>
      <c r="N4313" s="464">
        <f t="shared" si="167"/>
        <v>182317</v>
      </c>
    </row>
    <row r="4314" spans="7:14" ht="11.25" customHeight="1" x14ac:dyDescent="0.3">
      <c r="G4314" s="459"/>
      <c r="H4314" s="459">
        <v>4307</v>
      </c>
      <c r="I4314" s="444">
        <f t="shared" ca="1" si="165"/>
        <v>-13729381319132.949</v>
      </c>
      <c r="J4314" s="444">
        <f t="array" ref="J4314">IFERROR(INDEX('Retirement Calculator'!K:K,MATCH('Lorri 401b'!N4314,'Retirement Calculator'!A:A,0),0),0)</f>
        <v>0</v>
      </c>
      <c r="K4314" s="444">
        <f t="shared" ca="1" si="163"/>
        <v>-57205755496.387291</v>
      </c>
      <c r="L4314" s="444">
        <f t="shared" ca="1" si="164"/>
        <v>-13786587074629.336</v>
      </c>
      <c r="M4314" s="460">
        <f t="shared" si="166"/>
        <v>0.05</v>
      </c>
      <c r="N4314" s="464">
        <f t="shared" si="167"/>
        <v>182348</v>
      </c>
    </row>
    <row r="4315" spans="7:14" ht="11.25" customHeight="1" x14ac:dyDescent="0.3">
      <c r="G4315" s="459"/>
      <c r="H4315" s="459">
        <v>4308</v>
      </c>
      <c r="I4315" s="444">
        <f t="shared" ca="1" si="165"/>
        <v>-13786587074629.336</v>
      </c>
      <c r="J4315" s="444">
        <f t="array" ref="J4315">IFERROR(INDEX('Retirement Calculator'!K:K,MATCH('Lorri 401b'!N4315,'Retirement Calculator'!A:A,0),0),0)</f>
        <v>0</v>
      </c>
      <c r="K4315" s="444">
        <f t="shared" ca="1" si="163"/>
        <v>-57444112810.955566</v>
      </c>
      <c r="L4315" s="444">
        <f t="shared" ca="1" si="164"/>
        <v>-13844031187440.291</v>
      </c>
      <c r="M4315" s="460">
        <f t="shared" si="166"/>
        <v>0.05</v>
      </c>
      <c r="N4315" s="464">
        <f t="shared" si="167"/>
        <v>182378</v>
      </c>
    </row>
    <row r="4316" spans="7:14" ht="11.25" customHeight="1" x14ac:dyDescent="0.3">
      <c r="G4316" s="459"/>
      <c r="H4316" s="459">
        <v>4309</v>
      </c>
      <c r="I4316" s="444">
        <f t="shared" ca="1" si="165"/>
        <v>-13844031187440.291</v>
      </c>
      <c r="J4316" s="444">
        <f t="array" ref="J4316">IFERROR(INDEX('Retirement Calculator'!K:K,MATCH('Lorri 401b'!N4316,'Retirement Calculator'!A:A,0),0),0)</f>
        <v>0</v>
      </c>
      <c r="K4316" s="444">
        <f t="shared" ca="1" si="163"/>
        <v>-57683463281.001213</v>
      </c>
      <c r="L4316" s="444">
        <f t="shared" ca="1" si="164"/>
        <v>-13901714650721.293</v>
      </c>
      <c r="M4316" s="460">
        <f t="shared" si="166"/>
        <v>0.05</v>
      </c>
      <c r="N4316" s="464">
        <f t="shared" si="167"/>
        <v>182409</v>
      </c>
    </row>
    <row r="4317" spans="7:14" ht="11.25" customHeight="1" x14ac:dyDescent="0.3">
      <c r="G4317" s="459"/>
      <c r="H4317" s="459">
        <v>4310</v>
      </c>
      <c r="I4317" s="444">
        <f t="shared" ca="1" si="165"/>
        <v>-13901714650721.293</v>
      </c>
      <c r="J4317" s="444">
        <f t="array" ref="J4317">IFERROR(INDEX('Retirement Calculator'!K:K,MATCH('Lorri 401b'!N4317,'Retirement Calculator'!A:A,0),0),0)</f>
        <v>0</v>
      </c>
      <c r="K4317" s="444">
        <f t="shared" ca="1" si="163"/>
        <v>-57923811044.67205</v>
      </c>
      <c r="L4317" s="444">
        <f t="shared" ca="1" si="164"/>
        <v>-13959638461765.965</v>
      </c>
      <c r="M4317" s="460">
        <f t="shared" si="166"/>
        <v>0.05</v>
      </c>
      <c r="N4317" s="464">
        <f t="shared" si="167"/>
        <v>182439</v>
      </c>
    </row>
    <row r="4318" spans="7:14" ht="11.25" customHeight="1" x14ac:dyDescent="0.3">
      <c r="G4318" s="459"/>
      <c r="H4318" s="459">
        <v>4311</v>
      </c>
      <c r="I4318" s="444">
        <f t="shared" ca="1" si="165"/>
        <v>-13959638461765.965</v>
      </c>
      <c r="J4318" s="444">
        <f t="array" ref="J4318">IFERROR(INDEX('Retirement Calculator'!K:K,MATCH('Lorri 401b'!N4318,'Retirement Calculator'!A:A,0),0),0)</f>
        <v>0</v>
      </c>
      <c r="K4318" s="444">
        <f t="shared" ca="1" si="163"/>
        <v>-58165160257.358185</v>
      </c>
      <c r="L4318" s="444">
        <f t="shared" ca="1" si="164"/>
        <v>-14017803622023.322</v>
      </c>
      <c r="M4318" s="460">
        <f t="shared" si="166"/>
        <v>0.05</v>
      </c>
      <c r="N4318" s="464">
        <f t="shared" si="167"/>
        <v>182470</v>
      </c>
    </row>
    <row r="4319" spans="7:14" ht="11.25" customHeight="1" x14ac:dyDescent="0.3">
      <c r="G4319" s="459"/>
      <c r="H4319" s="459">
        <v>4312</v>
      </c>
      <c r="I4319" s="444">
        <f t="shared" ca="1" si="165"/>
        <v>-14017803622023.322</v>
      </c>
      <c r="J4319" s="444">
        <f t="array" ref="J4319">IFERROR(INDEX('Retirement Calculator'!K:K,MATCH('Lorri 401b'!N4319,'Retirement Calculator'!A:A,0),0),0)</f>
        <v>0</v>
      </c>
      <c r="K4319" s="444">
        <f t="shared" ca="1" si="163"/>
        <v>-58407515091.76384</v>
      </c>
      <c r="L4319" s="444">
        <f t="shared" ca="1" si="164"/>
        <v>-14076211137115.086</v>
      </c>
      <c r="M4319" s="460">
        <f t="shared" si="166"/>
        <v>0.05</v>
      </c>
      <c r="N4319" s="464">
        <f t="shared" si="167"/>
        <v>182501</v>
      </c>
    </row>
    <row r="4320" spans="7:14" ht="11.25" customHeight="1" x14ac:dyDescent="0.3">
      <c r="G4320" s="459"/>
      <c r="H4320" s="459">
        <v>4313</v>
      </c>
      <c r="I4320" s="444">
        <f t="shared" ca="1" si="165"/>
        <v>-14076211137115.086</v>
      </c>
      <c r="J4320" s="444">
        <f t="array" ref="J4320">IFERROR(INDEX('Retirement Calculator'!K:K,MATCH('Lorri 401b'!N4320,'Retirement Calculator'!A:A,0),0),0)</f>
        <v>0</v>
      </c>
      <c r="K4320" s="444">
        <f t="shared" ca="1" si="163"/>
        <v>-58650879737.979523</v>
      </c>
      <c r="L4320" s="444">
        <f t="shared" ca="1" si="164"/>
        <v>-14134862016853.066</v>
      </c>
      <c r="M4320" s="460">
        <f t="shared" si="166"/>
        <v>0.05</v>
      </c>
      <c r="N4320" s="464">
        <f t="shared" si="167"/>
        <v>182531</v>
      </c>
    </row>
    <row r="4321" spans="7:14" ht="11.25" customHeight="1" x14ac:dyDescent="0.3">
      <c r="G4321" s="459"/>
      <c r="H4321" s="459">
        <v>4314</v>
      </c>
      <c r="I4321" s="444">
        <f t="shared" ca="1" si="165"/>
        <v>-14134862016853.066</v>
      </c>
      <c r="J4321" s="444">
        <f t="array" ref="J4321">IFERROR(INDEX('Retirement Calculator'!K:K,MATCH('Lorri 401b'!N4321,'Retirement Calculator'!A:A,0),0),0)</f>
        <v>0</v>
      </c>
      <c r="K4321" s="444">
        <f t="shared" ca="1" si="163"/>
        <v>-58895258403.554436</v>
      </c>
      <c r="L4321" s="444">
        <f t="shared" ca="1" si="164"/>
        <v>-14193757275256.621</v>
      </c>
      <c r="M4321" s="460">
        <f t="shared" si="166"/>
        <v>0.05</v>
      </c>
      <c r="N4321" s="464">
        <f t="shared" si="167"/>
        <v>182562</v>
      </c>
    </row>
    <row r="4322" spans="7:14" ht="11.25" customHeight="1" x14ac:dyDescent="0.3">
      <c r="G4322" s="459"/>
      <c r="H4322" s="459">
        <v>4315</v>
      </c>
      <c r="I4322" s="444">
        <f t="shared" ca="1" si="165"/>
        <v>-14193757275256.621</v>
      </c>
      <c r="J4322" s="444">
        <f t="array" ref="J4322">IFERROR(INDEX('Retirement Calculator'!K:K,MATCH('Lorri 401b'!N4322,'Retirement Calculator'!A:A,0),0),0)</f>
        <v>0</v>
      </c>
      <c r="K4322" s="444">
        <f t="shared" ca="1" si="163"/>
        <v>-59140655313.569244</v>
      </c>
      <c r="L4322" s="444">
        <f t="shared" ca="1" si="164"/>
        <v>-14252897930570.189</v>
      </c>
      <c r="M4322" s="460">
        <f t="shared" si="166"/>
        <v>0.05</v>
      </c>
      <c r="N4322" s="464">
        <f t="shared" si="167"/>
        <v>182592</v>
      </c>
    </row>
    <row r="4323" spans="7:14" ht="11.25" customHeight="1" x14ac:dyDescent="0.3">
      <c r="G4323" s="459"/>
      <c r="H4323" s="459">
        <v>4316</v>
      </c>
      <c r="I4323" s="444">
        <f t="shared" ca="1" si="165"/>
        <v>-14252897930570.189</v>
      </c>
      <c r="J4323" s="444">
        <f t="array" ref="J4323">IFERROR(INDEX('Retirement Calculator'!K:K,MATCH('Lorri 401b'!N4323,'Retirement Calculator'!A:A,0),0),0)</f>
        <v>0</v>
      </c>
      <c r="K4323" s="444">
        <f t="shared" ca="1" si="163"/>
        <v>-59387074710.709114</v>
      </c>
      <c r="L4323" s="444">
        <f t="shared" ca="1" si="164"/>
        <v>-14312285005280.898</v>
      </c>
      <c r="M4323" s="460">
        <f t="shared" si="166"/>
        <v>0.05</v>
      </c>
      <c r="N4323" s="464">
        <f t="shared" si="167"/>
        <v>182623</v>
      </c>
    </row>
    <row r="4324" spans="7:14" ht="11.25" customHeight="1" x14ac:dyDescent="0.3">
      <c r="G4324" s="459"/>
      <c r="H4324" s="459">
        <v>4317</v>
      </c>
      <c r="I4324" s="444">
        <f t="shared" ca="1" si="165"/>
        <v>-14312285005280.898</v>
      </c>
      <c r="J4324" s="444">
        <f t="array" ref="J4324">IFERROR(INDEX('Retirement Calculator'!K:K,MATCH('Lorri 401b'!N4324,'Retirement Calculator'!A:A,0),0),0)</f>
        <v>0</v>
      </c>
      <c r="K4324" s="444">
        <f t="shared" ca="1" si="163"/>
        <v>-59634520855.337074</v>
      </c>
      <c r="L4324" s="444">
        <f t="shared" ca="1" si="164"/>
        <v>-14371919526136.236</v>
      </c>
      <c r="M4324" s="460">
        <f t="shared" si="166"/>
        <v>0.05</v>
      </c>
      <c r="N4324" s="464">
        <f t="shared" si="167"/>
        <v>182654</v>
      </c>
    </row>
    <row r="4325" spans="7:14" ht="11.25" customHeight="1" x14ac:dyDescent="0.3">
      <c r="G4325" s="459"/>
      <c r="H4325" s="459">
        <v>4318</v>
      </c>
      <c r="I4325" s="444">
        <f t="shared" ca="1" si="165"/>
        <v>-14371919526136.236</v>
      </c>
      <c r="J4325" s="444">
        <f t="array" ref="J4325">IFERROR(INDEX('Retirement Calculator'!K:K,MATCH('Lorri 401b'!N4325,'Retirement Calculator'!A:A,0),0),0)</f>
        <v>0</v>
      </c>
      <c r="K4325" s="444">
        <f t="shared" ca="1" si="163"/>
        <v>-59882998025.56765</v>
      </c>
      <c r="L4325" s="444">
        <f t="shared" ca="1" si="164"/>
        <v>-14431802524161.805</v>
      </c>
      <c r="M4325" s="460">
        <f t="shared" si="166"/>
        <v>0.05</v>
      </c>
      <c r="N4325" s="464">
        <f t="shared" si="167"/>
        <v>182683</v>
      </c>
    </row>
    <row r="4326" spans="7:14" ht="11.25" customHeight="1" x14ac:dyDescent="0.3">
      <c r="G4326" s="459"/>
      <c r="H4326" s="459">
        <v>4319</v>
      </c>
      <c r="I4326" s="444">
        <f t="shared" ca="1" si="165"/>
        <v>-14431802524161.805</v>
      </c>
      <c r="J4326" s="444">
        <f t="array" ref="J4326">IFERROR(INDEX('Retirement Calculator'!K:K,MATCH('Lorri 401b'!N4326,'Retirement Calculator'!A:A,0),0),0)</f>
        <v>0</v>
      </c>
      <c r="K4326" s="444">
        <f t="shared" ca="1" si="163"/>
        <v>-60132510517.340851</v>
      </c>
      <c r="L4326" s="444">
        <f t="shared" ca="1" si="164"/>
        <v>-14491935034679.146</v>
      </c>
      <c r="M4326" s="460">
        <f t="shared" si="166"/>
        <v>0.05</v>
      </c>
      <c r="N4326" s="464">
        <f t="shared" si="167"/>
        <v>182714</v>
      </c>
    </row>
    <row r="4327" spans="7:14" ht="11.25" customHeight="1" x14ac:dyDescent="0.3">
      <c r="G4327" s="459"/>
      <c r="H4327" s="459">
        <v>4320</v>
      </c>
      <c r="I4327" s="444">
        <f t="shared" ca="1" si="165"/>
        <v>-14491935034679.146</v>
      </c>
      <c r="J4327" s="444">
        <f t="array" ref="J4327">IFERROR(INDEX('Retirement Calculator'!K:K,MATCH('Lorri 401b'!N4327,'Retirement Calculator'!A:A,0),0),0)</f>
        <v>0</v>
      </c>
      <c r="K4327" s="444">
        <f t="shared" ca="1" si="163"/>
        <v>-60383062644.496445</v>
      </c>
      <c r="L4327" s="444">
        <f t="shared" ca="1" si="164"/>
        <v>-14552318097323.643</v>
      </c>
      <c r="M4327" s="460">
        <f t="shared" si="166"/>
        <v>0.05</v>
      </c>
      <c r="N4327" s="464">
        <f t="shared" si="167"/>
        <v>182744</v>
      </c>
    </row>
    <row r="4328" spans="7:14" ht="11.25" customHeight="1" x14ac:dyDescent="0.3">
      <c r="G4328" s="459"/>
      <c r="H4328" s="459">
        <v>4321</v>
      </c>
      <c r="I4328" s="444">
        <f t="shared" ca="1" si="165"/>
        <v>-14552318097323.643</v>
      </c>
      <c r="J4328" s="444">
        <f t="array" ref="J4328">IFERROR(INDEX('Retirement Calculator'!K:K,MATCH('Lorri 401b'!N4328,'Retirement Calculator'!A:A,0),0),0)</f>
        <v>0</v>
      </c>
      <c r="K4328" s="444">
        <f t="shared" ca="1" si="163"/>
        <v>-60634658738.848511</v>
      </c>
      <c r="L4328" s="444">
        <f t="shared" ca="1" si="164"/>
        <v>-14612952756062.49</v>
      </c>
      <c r="M4328" s="460">
        <f t="shared" si="166"/>
        <v>0.05</v>
      </c>
      <c r="N4328" s="464">
        <f t="shared" si="167"/>
        <v>182775</v>
      </c>
    </row>
    <row r="4329" spans="7:14" ht="11.25" customHeight="1" x14ac:dyDescent="0.3">
      <c r="G4329" s="459"/>
      <c r="H4329" s="459">
        <v>4322</v>
      </c>
      <c r="I4329" s="444">
        <f t="shared" ca="1" si="165"/>
        <v>-14612952756062.49</v>
      </c>
      <c r="J4329" s="444">
        <f t="array" ref="J4329">IFERROR(INDEX('Retirement Calculator'!K:K,MATCH('Lorri 401b'!N4329,'Retirement Calculator'!A:A,0),0),0)</f>
        <v>0</v>
      </c>
      <c r="K4329" s="444">
        <f t="shared" ca="1" si="163"/>
        <v>-60887303150.260376</v>
      </c>
      <c r="L4329" s="444">
        <f t="shared" ca="1" si="164"/>
        <v>-14673840059212.75</v>
      </c>
      <c r="M4329" s="460">
        <f t="shared" si="166"/>
        <v>0.05</v>
      </c>
      <c r="N4329" s="464">
        <f t="shared" si="167"/>
        <v>182805</v>
      </c>
    </row>
    <row r="4330" spans="7:14" ht="11.25" customHeight="1" x14ac:dyDescent="0.3">
      <c r="G4330" s="459"/>
      <c r="H4330" s="459">
        <v>4323</v>
      </c>
      <c r="I4330" s="444">
        <f t="shared" ca="1" si="165"/>
        <v>-14673840059212.75</v>
      </c>
      <c r="J4330" s="444">
        <f t="array" ref="J4330">IFERROR(INDEX('Retirement Calculator'!K:K,MATCH('Lorri 401b'!N4330,'Retirement Calculator'!A:A,0),0),0)</f>
        <v>0</v>
      </c>
      <c r="K4330" s="444">
        <f t="shared" ca="1" si="163"/>
        <v>-61141000246.719788</v>
      </c>
      <c r="L4330" s="444">
        <f t="shared" ca="1" si="164"/>
        <v>-14734981059459.471</v>
      </c>
      <c r="M4330" s="460">
        <f t="shared" si="166"/>
        <v>0.05</v>
      </c>
      <c r="N4330" s="464">
        <f t="shared" si="167"/>
        <v>182836</v>
      </c>
    </row>
    <row r="4331" spans="7:14" ht="11.25" customHeight="1" x14ac:dyDescent="0.3">
      <c r="G4331" s="459"/>
      <c r="H4331" s="459">
        <v>4324</v>
      </c>
      <c r="I4331" s="444">
        <f t="shared" ca="1" si="165"/>
        <v>-14734981059459.471</v>
      </c>
      <c r="J4331" s="444">
        <f t="array" ref="J4331">IFERROR(INDEX('Retirement Calculator'!K:K,MATCH('Lorri 401b'!N4331,'Retirement Calculator'!A:A,0),0),0)</f>
        <v>0</v>
      </c>
      <c r="K4331" s="444">
        <f t="shared" ca="1" si="163"/>
        <v>-61395754414.414452</v>
      </c>
      <c r="L4331" s="444">
        <f t="shared" ca="1" si="164"/>
        <v>-14796376813873.885</v>
      </c>
      <c r="M4331" s="460">
        <f t="shared" si="166"/>
        <v>0.05</v>
      </c>
      <c r="N4331" s="464">
        <f t="shared" si="167"/>
        <v>182867</v>
      </c>
    </row>
    <row r="4332" spans="7:14" ht="11.25" customHeight="1" x14ac:dyDescent="0.3">
      <c r="G4332" s="459"/>
      <c r="H4332" s="459">
        <v>4325</v>
      </c>
      <c r="I4332" s="444">
        <f t="shared" ca="1" si="165"/>
        <v>-14796376813873.885</v>
      </c>
      <c r="J4332" s="444">
        <f t="array" ref="J4332">IFERROR(INDEX('Retirement Calculator'!K:K,MATCH('Lorri 401b'!N4332,'Retirement Calculator'!A:A,0),0),0)</f>
        <v>0</v>
      </c>
      <c r="K4332" s="444">
        <f t="shared" ca="1" si="163"/>
        <v>-61651570057.807861</v>
      </c>
      <c r="L4332" s="444">
        <f t="shared" ca="1" si="164"/>
        <v>-14858028383931.693</v>
      </c>
      <c r="M4332" s="460">
        <f t="shared" si="166"/>
        <v>0.05</v>
      </c>
      <c r="N4332" s="464">
        <f t="shared" si="167"/>
        <v>182897</v>
      </c>
    </row>
    <row r="4333" spans="7:14" ht="11.25" customHeight="1" x14ac:dyDescent="0.3">
      <c r="G4333" s="459"/>
      <c r="H4333" s="459">
        <v>4326</v>
      </c>
      <c r="I4333" s="444">
        <f t="shared" ca="1" si="165"/>
        <v>-14858028383931.693</v>
      </c>
      <c r="J4333" s="444">
        <f t="array" ref="J4333">IFERROR(INDEX('Retirement Calculator'!K:K,MATCH('Lorri 401b'!N4333,'Retirement Calculator'!A:A,0),0),0)</f>
        <v>0</v>
      </c>
      <c r="K4333" s="444">
        <f t="shared" ca="1" si="163"/>
        <v>-61908451599.715385</v>
      </c>
      <c r="L4333" s="444">
        <f t="shared" ca="1" si="164"/>
        <v>-14919936835531.408</v>
      </c>
      <c r="M4333" s="460">
        <f t="shared" si="166"/>
        <v>0.05</v>
      </c>
      <c r="N4333" s="464">
        <f t="shared" si="167"/>
        <v>182928</v>
      </c>
    </row>
    <row r="4334" spans="7:14" ht="11.25" customHeight="1" x14ac:dyDescent="0.3">
      <c r="G4334" s="459"/>
      <c r="H4334" s="459">
        <v>4327</v>
      </c>
      <c r="I4334" s="444">
        <f t="shared" ca="1" si="165"/>
        <v>-14919936835531.408</v>
      </c>
      <c r="J4334" s="444">
        <f t="array" ref="J4334">IFERROR(INDEX('Retirement Calculator'!K:K,MATCH('Lorri 401b'!N4334,'Retirement Calculator'!A:A,0),0),0)</f>
        <v>0</v>
      </c>
      <c r="K4334" s="444">
        <f t="shared" ca="1" si="163"/>
        <v>-62166403481.380867</v>
      </c>
      <c r="L4334" s="444">
        <f t="shared" ca="1" si="164"/>
        <v>-14982103239012.789</v>
      </c>
      <c r="M4334" s="460">
        <f t="shared" si="166"/>
        <v>0.05</v>
      </c>
      <c r="N4334" s="464">
        <f t="shared" si="167"/>
        <v>182958</v>
      </c>
    </row>
    <row r="4335" spans="7:14" ht="11.25" customHeight="1" x14ac:dyDescent="0.3">
      <c r="G4335" s="459"/>
      <c r="H4335" s="459">
        <v>4328</v>
      </c>
      <c r="I4335" s="444">
        <f t="shared" ca="1" si="165"/>
        <v>-14982103239012.789</v>
      </c>
      <c r="J4335" s="444">
        <f t="array" ref="J4335">IFERROR(INDEX('Retirement Calculator'!K:K,MATCH('Lorri 401b'!N4335,'Retirement Calculator'!A:A,0),0),0)</f>
        <v>0</v>
      </c>
      <c r="K4335" s="444">
        <f t="shared" ca="1" si="163"/>
        <v>-62425430162.553276</v>
      </c>
      <c r="L4335" s="444">
        <f t="shared" ca="1" si="164"/>
        <v>-15044528669175.342</v>
      </c>
      <c r="M4335" s="460">
        <f t="shared" si="166"/>
        <v>0.05</v>
      </c>
      <c r="N4335" s="464">
        <f t="shared" si="167"/>
        <v>182989</v>
      </c>
    </row>
    <row r="4336" spans="7:14" ht="11.25" customHeight="1" x14ac:dyDescent="0.3">
      <c r="G4336" s="459"/>
      <c r="H4336" s="459">
        <v>4329</v>
      </c>
      <c r="I4336" s="444">
        <f t="shared" ca="1" si="165"/>
        <v>-15044528669175.342</v>
      </c>
      <c r="J4336" s="444">
        <f t="array" ref="J4336">IFERROR(INDEX('Retirement Calculator'!K:K,MATCH('Lorri 401b'!N4336,'Retirement Calculator'!A:A,0),0),0)</f>
        <v>0</v>
      </c>
      <c r="K4336" s="444">
        <f t="shared" ca="1" si="163"/>
        <v>-62685536121.563927</v>
      </c>
      <c r="L4336" s="444">
        <f t="shared" ca="1" si="164"/>
        <v>-15107214205296.906</v>
      </c>
      <c r="M4336" s="460">
        <f t="shared" si="166"/>
        <v>0.05</v>
      </c>
      <c r="N4336" s="464">
        <f t="shared" si="167"/>
        <v>183020</v>
      </c>
    </row>
    <row r="4337" spans="7:14" ht="11.25" customHeight="1" x14ac:dyDescent="0.3">
      <c r="G4337" s="459"/>
      <c r="H4337" s="459">
        <v>4330</v>
      </c>
      <c r="I4337" s="444">
        <f t="shared" ca="1" si="165"/>
        <v>-15107214205296.906</v>
      </c>
      <c r="J4337" s="444">
        <f t="array" ref="J4337">IFERROR(INDEX('Retirement Calculator'!K:K,MATCH('Lorri 401b'!N4337,'Retirement Calculator'!A:A,0),0),0)</f>
        <v>0</v>
      </c>
      <c r="K4337" s="444">
        <f t="shared" ca="1" si="163"/>
        <v>-62946725855.403778</v>
      </c>
      <c r="L4337" s="444">
        <f t="shared" ca="1" si="164"/>
        <v>-15170160931152.311</v>
      </c>
      <c r="M4337" s="460">
        <f t="shared" si="166"/>
        <v>0.05</v>
      </c>
      <c r="N4337" s="464">
        <f t="shared" si="167"/>
        <v>183048</v>
      </c>
    </row>
    <row r="4338" spans="7:14" ht="11.25" customHeight="1" x14ac:dyDescent="0.3">
      <c r="G4338" s="459"/>
      <c r="H4338" s="459">
        <v>4331</v>
      </c>
      <c r="I4338" s="444">
        <f t="shared" ca="1" si="165"/>
        <v>-15170160931152.311</v>
      </c>
      <c r="J4338" s="444">
        <f t="array" ref="J4338">IFERROR(INDEX('Retirement Calculator'!K:K,MATCH('Lorri 401b'!N4338,'Retirement Calculator'!A:A,0),0),0)</f>
        <v>0</v>
      </c>
      <c r="K4338" s="444">
        <f t="shared" ca="1" si="163"/>
        <v>-63209003879.801292</v>
      </c>
      <c r="L4338" s="444">
        <f t="shared" ca="1" si="164"/>
        <v>-15233369935032.111</v>
      </c>
      <c r="M4338" s="460">
        <f t="shared" si="166"/>
        <v>0.05</v>
      </c>
      <c r="N4338" s="464">
        <f t="shared" si="167"/>
        <v>183079</v>
      </c>
    </row>
    <row r="4339" spans="7:14" ht="11.25" customHeight="1" x14ac:dyDescent="0.3">
      <c r="G4339" s="459"/>
      <c r="H4339" s="459">
        <v>4332</v>
      </c>
      <c r="I4339" s="444">
        <f t="shared" ca="1" si="165"/>
        <v>-15233369935032.111</v>
      </c>
      <c r="J4339" s="444">
        <f t="array" ref="J4339">IFERROR(INDEX('Retirement Calculator'!K:K,MATCH('Lorri 401b'!N4339,'Retirement Calculator'!A:A,0),0),0)</f>
        <v>0</v>
      </c>
      <c r="K4339" s="444">
        <f t="shared" ca="1" si="163"/>
        <v>-63472374729.300468</v>
      </c>
      <c r="L4339" s="444">
        <f t="shared" ca="1" si="164"/>
        <v>-15296842309761.412</v>
      </c>
      <c r="M4339" s="460">
        <f t="shared" si="166"/>
        <v>0.05</v>
      </c>
      <c r="N4339" s="464">
        <f t="shared" si="167"/>
        <v>183109</v>
      </c>
    </row>
    <row r="4340" spans="7:14" ht="11.25" customHeight="1" x14ac:dyDescent="0.3">
      <c r="G4340" s="459"/>
      <c r="H4340" s="459">
        <v>4333</v>
      </c>
      <c r="I4340" s="444">
        <f t="shared" ca="1" si="165"/>
        <v>-15296842309761.412</v>
      </c>
      <c r="J4340" s="444">
        <f t="array" ref="J4340">IFERROR(INDEX('Retirement Calculator'!K:K,MATCH('Lorri 401b'!N4340,'Retirement Calculator'!A:A,0),0),0)</f>
        <v>0</v>
      </c>
      <c r="K4340" s="444">
        <f t="shared" ca="1" si="163"/>
        <v>-63736842957.339226</v>
      </c>
      <c r="L4340" s="444">
        <f t="shared" ca="1" si="164"/>
        <v>-15360579152718.752</v>
      </c>
      <c r="M4340" s="460">
        <f t="shared" si="166"/>
        <v>0.05</v>
      </c>
      <c r="N4340" s="464">
        <f t="shared" si="167"/>
        <v>183140</v>
      </c>
    </row>
    <row r="4341" spans="7:14" ht="11.25" customHeight="1" x14ac:dyDescent="0.3">
      <c r="G4341" s="459"/>
      <c r="H4341" s="459">
        <v>4334</v>
      </c>
      <c r="I4341" s="444">
        <f t="shared" ca="1" si="165"/>
        <v>-15360579152718.752</v>
      </c>
      <c r="J4341" s="444">
        <f t="array" ref="J4341">IFERROR(INDEX('Retirement Calculator'!K:K,MATCH('Lorri 401b'!N4341,'Retirement Calculator'!A:A,0),0),0)</f>
        <v>0</v>
      </c>
      <c r="K4341" s="444">
        <f t="shared" ca="1" si="163"/>
        <v>-64002413136.328133</v>
      </c>
      <c r="L4341" s="444">
        <f t="shared" ca="1" si="164"/>
        <v>-15424581565855.08</v>
      </c>
      <c r="M4341" s="460">
        <f t="shared" si="166"/>
        <v>0.05</v>
      </c>
      <c r="N4341" s="464">
        <f t="shared" si="167"/>
        <v>183170</v>
      </c>
    </row>
    <row r="4342" spans="7:14" ht="11.25" customHeight="1" x14ac:dyDescent="0.3">
      <c r="G4342" s="459"/>
      <c r="H4342" s="459">
        <v>4335</v>
      </c>
      <c r="I4342" s="444">
        <f t="shared" ca="1" si="165"/>
        <v>-15424581565855.08</v>
      </c>
      <c r="J4342" s="444">
        <f t="array" ref="J4342">IFERROR(INDEX('Retirement Calculator'!K:K,MATCH('Lorri 401b'!N4342,'Retirement Calculator'!A:A,0),0),0)</f>
        <v>0</v>
      </c>
      <c r="K4342" s="444">
        <f t="shared" ca="1" si="163"/>
        <v>-64269089857.7295</v>
      </c>
      <c r="L4342" s="444">
        <f t="shared" ca="1" si="164"/>
        <v>-15488850655712.811</v>
      </c>
      <c r="M4342" s="460">
        <f t="shared" si="166"/>
        <v>0.05</v>
      </c>
      <c r="N4342" s="464">
        <f t="shared" si="167"/>
        <v>183201</v>
      </c>
    </row>
    <row r="4343" spans="7:14" ht="11.25" customHeight="1" x14ac:dyDescent="0.3">
      <c r="G4343" s="459"/>
      <c r="H4343" s="459">
        <v>4336</v>
      </c>
      <c r="I4343" s="444">
        <f t="shared" ca="1" si="165"/>
        <v>-15488850655712.811</v>
      </c>
      <c r="J4343" s="444">
        <f t="array" ref="J4343">IFERROR(INDEX('Retirement Calculator'!K:K,MATCH('Lorri 401b'!N4343,'Retirement Calculator'!A:A,0),0),0)</f>
        <v>0</v>
      </c>
      <c r="K4343" s="444">
        <f t="shared" ref="K4343:K4597" ca="1" si="168">IPMT(M4343/12,1,12,-I4343+J4343,,0)</f>
        <v>-64536877732.136711</v>
      </c>
      <c r="L4343" s="444">
        <f t="shared" ref="L4343:L4597" ca="1" si="169">I4343-J4343+K4343</f>
        <v>-15553387533444.947</v>
      </c>
      <c r="M4343" s="460">
        <f t="shared" si="166"/>
        <v>0.05</v>
      </c>
      <c r="N4343" s="464">
        <f t="shared" si="167"/>
        <v>183232</v>
      </c>
    </row>
    <row r="4344" spans="7:14" ht="11.25" customHeight="1" x14ac:dyDescent="0.3">
      <c r="G4344" s="459"/>
      <c r="H4344" s="459">
        <v>4337</v>
      </c>
      <c r="I4344" s="444">
        <f t="shared" ref="I4344:I4598" ca="1" si="170">L4343</f>
        <v>-15553387533444.947</v>
      </c>
      <c r="J4344" s="444">
        <f t="array" ref="J4344">IFERROR(INDEX('Retirement Calculator'!K:K,MATCH('Lorri 401b'!N4344,'Retirement Calculator'!A:A,0),0),0)</f>
        <v>0</v>
      </c>
      <c r="K4344" s="444">
        <f t="shared" ca="1" si="168"/>
        <v>-64805781389.353935</v>
      </c>
      <c r="L4344" s="444">
        <f t="shared" ca="1" si="169"/>
        <v>-15618193314834.301</v>
      </c>
      <c r="M4344" s="460">
        <f t="shared" ref="M4344:M4598" si="171">M4343</f>
        <v>0.05</v>
      </c>
      <c r="N4344" s="464">
        <f t="shared" ref="N4344:N4598" si="172">EDATE(N4343,1)</f>
        <v>183262</v>
      </c>
    </row>
    <row r="4345" spans="7:14" ht="11.25" customHeight="1" x14ac:dyDescent="0.3">
      <c r="G4345" s="459"/>
      <c r="H4345" s="459">
        <v>4338</v>
      </c>
      <c r="I4345" s="444">
        <f t="shared" ca="1" si="170"/>
        <v>-15618193314834.301</v>
      </c>
      <c r="J4345" s="444">
        <f t="array" ref="J4345">IFERROR(INDEX('Retirement Calculator'!K:K,MATCH('Lorri 401b'!N4345,'Retirement Calculator'!A:A,0),0),0)</f>
        <v>0</v>
      </c>
      <c r="K4345" s="444">
        <f t="shared" ca="1" si="168"/>
        <v>-65075805478.47625</v>
      </c>
      <c r="L4345" s="444">
        <f t="shared" ca="1" si="169"/>
        <v>-15683269120312.777</v>
      </c>
      <c r="M4345" s="460">
        <f t="shared" si="171"/>
        <v>0.05</v>
      </c>
      <c r="N4345" s="464">
        <f t="shared" si="172"/>
        <v>183293</v>
      </c>
    </row>
    <row r="4346" spans="7:14" ht="11.25" customHeight="1" x14ac:dyDescent="0.3">
      <c r="G4346" s="459"/>
      <c r="H4346" s="459">
        <v>4339</v>
      </c>
      <c r="I4346" s="444">
        <f t="shared" ca="1" si="170"/>
        <v>-15683269120312.777</v>
      </c>
      <c r="J4346" s="444">
        <f t="array" ref="J4346">IFERROR(INDEX('Retirement Calculator'!K:K,MATCH('Lorri 401b'!N4346,'Retirement Calculator'!A:A,0),0),0)</f>
        <v>0</v>
      </c>
      <c r="K4346" s="444">
        <f t="shared" ca="1" si="168"/>
        <v>-65346954667.969902</v>
      </c>
      <c r="L4346" s="444">
        <f t="shared" ca="1" si="169"/>
        <v>-15748616074980.748</v>
      </c>
      <c r="M4346" s="460">
        <f t="shared" si="171"/>
        <v>0.05</v>
      </c>
      <c r="N4346" s="464">
        <f t="shared" si="172"/>
        <v>183323</v>
      </c>
    </row>
    <row r="4347" spans="7:14" ht="11.25" customHeight="1" x14ac:dyDescent="0.3">
      <c r="G4347" s="459"/>
      <c r="H4347" s="459">
        <v>4340</v>
      </c>
      <c r="I4347" s="444">
        <f t="shared" ca="1" si="170"/>
        <v>-15748616074980.748</v>
      </c>
      <c r="J4347" s="444">
        <f t="array" ref="J4347">IFERROR(INDEX('Retirement Calculator'!K:K,MATCH('Lorri 401b'!N4347,'Retirement Calculator'!A:A,0),0),0)</f>
        <v>0</v>
      </c>
      <c r="K4347" s="444">
        <f t="shared" ca="1" si="168"/>
        <v>-65619233645.753113</v>
      </c>
      <c r="L4347" s="444">
        <f t="shared" ca="1" si="169"/>
        <v>-15814235308626.502</v>
      </c>
      <c r="M4347" s="460">
        <f t="shared" si="171"/>
        <v>0.05</v>
      </c>
      <c r="N4347" s="464">
        <f t="shared" si="172"/>
        <v>183354</v>
      </c>
    </row>
    <row r="4348" spans="7:14" ht="11.25" customHeight="1" x14ac:dyDescent="0.3">
      <c r="G4348" s="459"/>
      <c r="H4348" s="459">
        <v>4341</v>
      </c>
      <c r="I4348" s="444">
        <f t="shared" ca="1" si="170"/>
        <v>-15814235308626.502</v>
      </c>
      <c r="J4348" s="444">
        <f t="array" ref="J4348">IFERROR(INDEX('Retirement Calculator'!K:K,MATCH('Lorri 401b'!N4348,'Retirement Calculator'!A:A,0),0),0)</f>
        <v>0</v>
      </c>
      <c r="K4348" s="444">
        <f t="shared" ca="1" si="168"/>
        <v>-65892647119.277092</v>
      </c>
      <c r="L4348" s="444">
        <f t="shared" ca="1" si="169"/>
        <v>-15880127955745.779</v>
      </c>
      <c r="M4348" s="460">
        <f t="shared" si="171"/>
        <v>0.05</v>
      </c>
      <c r="N4348" s="464">
        <f t="shared" si="172"/>
        <v>183385</v>
      </c>
    </row>
    <row r="4349" spans="7:14" ht="11.25" customHeight="1" x14ac:dyDescent="0.3">
      <c r="G4349" s="459"/>
      <c r="H4349" s="459">
        <v>4342</v>
      </c>
      <c r="I4349" s="444">
        <f t="shared" ca="1" si="170"/>
        <v>-15880127955745.779</v>
      </c>
      <c r="J4349" s="444">
        <f t="array" ref="J4349">IFERROR(INDEX('Retirement Calculator'!K:K,MATCH('Lorri 401b'!N4349,'Retirement Calculator'!A:A,0),0),0)</f>
        <v>0</v>
      </c>
      <c r="K4349" s="444">
        <f t="shared" ca="1" si="168"/>
        <v>-66167199815.607422</v>
      </c>
      <c r="L4349" s="444">
        <f t="shared" ca="1" si="169"/>
        <v>-15946295155561.387</v>
      </c>
      <c r="M4349" s="460">
        <f t="shared" si="171"/>
        <v>0.05</v>
      </c>
      <c r="N4349" s="464">
        <f t="shared" si="172"/>
        <v>183413</v>
      </c>
    </row>
    <row r="4350" spans="7:14" ht="11.25" customHeight="1" x14ac:dyDescent="0.3">
      <c r="G4350" s="459"/>
      <c r="H4350" s="459">
        <v>4343</v>
      </c>
      <c r="I4350" s="444">
        <f t="shared" ca="1" si="170"/>
        <v>-15946295155561.387</v>
      </c>
      <c r="J4350" s="444">
        <f t="array" ref="J4350">IFERROR(INDEX('Retirement Calculator'!K:K,MATCH('Lorri 401b'!N4350,'Retirement Calculator'!A:A,0),0),0)</f>
        <v>0</v>
      </c>
      <c r="K4350" s="444">
        <f t="shared" ca="1" si="168"/>
        <v>-66442896481.505775</v>
      </c>
      <c r="L4350" s="444">
        <f t="shared" ca="1" si="169"/>
        <v>-16012738052042.893</v>
      </c>
      <c r="M4350" s="460">
        <f t="shared" si="171"/>
        <v>0.05</v>
      </c>
      <c r="N4350" s="464">
        <f t="shared" si="172"/>
        <v>183444</v>
      </c>
    </row>
    <row r="4351" spans="7:14" ht="11.25" customHeight="1" x14ac:dyDescent="0.3">
      <c r="G4351" s="459"/>
      <c r="H4351" s="459">
        <v>4344</v>
      </c>
      <c r="I4351" s="444">
        <f t="shared" ca="1" si="170"/>
        <v>-16012738052042.893</v>
      </c>
      <c r="J4351" s="444">
        <f t="array" ref="J4351">IFERROR(INDEX('Retirement Calculator'!K:K,MATCH('Lorri 401b'!N4351,'Retirement Calculator'!A:A,0),0),0)</f>
        <v>0</v>
      </c>
      <c r="K4351" s="444">
        <f t="shared" ca="1" si="168"/>
        <v>-66719741883.512054</v>
      </c>
      <c r="L4351" s="444">
        <f t="shared" ca="1" si="169"/>
        <v>-16079457793926.404</v>
      </c>
      <c r="M4351" s="460">
        <f t="shared" si="171"/>
        <v>0.05</v>
      </c>
      <c r="N4351" s="464">
        <f t="shared" si="172"/>
        <v>183474</v>
      </c>
    </row>
    <row r="4352" spans="7:14" ht="11.25" customHeight="1" x14ac:dyDescent="0.3">
      <c r="G4352" s="459"/>
      <c r="H4352" s="459">
        <v>4345</v>
      </c>
      <c r="I4352" s="444">
        <f t="shared" ca="1" si="170"/>
        <v>-16079457793926.404</v>
      </c>
      <c r="J4352" s="444">
        <f t="array" ref="J4352">IFERROR(INDEX('Retirement Calculator'!K:K,MATCH('Lorri 401b'!N4352,'Retirement Calculator'!A:A,0),0),0)</f>
        <v>0</v>
      </c>
      <c r="K4352" s="444">
        <f t="shared" ca="1" si="168"/>
        <v>-66997740808.02668</v>
      </c>
      <c r="L4352" s="444">
        <f t="shared" ca="1" si="169"/>
        <v>-16146455534734.432</v>
      </c>
      <c r="M4352" s="460">
        <f t="shared" si="171"/>
        <v>0.05</v>
      </c>
      <c r="N4352" s="464">
        <f t="shared" si="172"/>
        <v>183505</v>
      </c>
    </row>
    <row r="4353" spans="7:14" ht="11.25" customHeight="1" x14ac:dyDescent="0.3">
      <c r="G4353" s="459"/>
      <c r="H4353" s="459">
        <v>4346</v>
      </c>
      <c r="I4353" s="444">
        <f t="shared" ca="1" si="170"/>
        <v>-16146455534734.432</v>
      </c>
      <c r="J4353" s="444">
        <f t="array" ref="J4353">IFERROR(INDEX('Retirement Calculator'!K:K,MATCH('Lorri 401b'!N4353,'Retirement Calculator'!A:A,0),0),0)</f>
        <v>0</v>
      </c>
      <c r="K4353" s="444">
        <f t="shared" ca="1" si="168"/>
        <v>-67276898061.393463</v>
      </c>
      <c r="L4353" s="444">
        <f t="shared" ca="1" si="169"/>
        <v>-16213732432795.824</v>
      </c>
      <c r="M4353" s="460">
        <f t="shared" si="171"/>
        <v>0.05</v>
      </c>
      <c r="N4353" s="464">
        <f t="shared" si="172"/>
        <v>183535</v>
      </c>
    </row>
    <row r="4354" spans="7:14" ht="11.25" customHeight="1" x14ac:dyDescent="0.3">
      <c r="G4354" s="459"/>
      <c r="H4354" s="459">
        <v>4347</v>
      </c>
      <c r="I4354" s="444">
        <f t="shared" ca="1" si="170"/>
        <v>-16213732432795.824</v>
      </c>
      <c r="J4354" s="444">
        <f t="array" ref="J4354">IFERROR(INDEX('Retirement Calculator'!K:K,MATCH('Lorri 401b'!N4354,'Retirement Calculator'!A:A,0),0),0)</f>
        <v>0</v>
      </c>
      <c r="K4354" s="444">
        <f t="shared" ca="1" si="168"/>
        <v>-67557218469.982597</v>
      </c>
      <c r="L4354" s="444">
        <f t="shared" ca="1" si="169"/>
        <v>-16281289651265.807</v>
      </c>
      <c r="M4354" s="460">
        <f t="shared" si="171"/>
        <v>0.05</v>
      </c>
      <c r="N4354" s="464">
        <f t="shared" si="172"/>
        <v>183566</v>
      </c>
    </row>
    <row r="4355" spans="7:14" ht="11.25" customHeight="1" x14ac:dyDescent="0.3">
      <c r="G4355" s="459"/>
      <c r="H4355" s="459">
        <v>4348</v>
      </c>
      <c r="I4355" s="444">
        <f t="shared" ca="1" si="170"/>
        <v>-16281289651265.807</v>
      </c>
      <c r="J4355" s="444">
        <f t="array" ref="J4355">IFERROR(INDEX('Retirement Calculator'!K:K,MATCH('Lorri 401b'!N4355,'Retirement Calculator'!A:A,0),0),0)</f>
        <v>0</v>
      </c>
      <c r="K4355" s="444">
        <f t="shared" ca="1" si="168"/>
        <v>-67838706880.274193</v>
      </c>
      <c r="L4355" s="444">
        <f t="shared" ca="1" si="169"/>
        <v>-16349128358146.08</v>
      </c>
      <c r="M4355" s="460">
        <f t="shared" si="171"/>
        <v>0.05</v>
      </c>
      <c r="N4355" s="464">
        <f t="shared" si="172"/>
        <v>183597</v>
      </c>
    </row>
    <row r="4356" spans="7:14" ht="11.25" customHeight="1" x14ac:dyDescent="0.3">
      <c r="G4356" s="459"/>
      <c r="H4356" s="459">
        <v>4349</v>
      </c>
      <c r="I4356" s="444">
        <f t="shared" ca="1" si="170"/>
        <v>-16349128358146.08</v>
      </c>
      <c r="J4356" s="444">
        <f t="array" ref="J4356">IFERROR(INDEX('Retirement Calculator'!K:K,MATCH('Lorri 401b'!N4356,'Retirement Calculator'!A:A,0),0),0)</f>
        <v>0</v>
      </c>
      <c r="K4356" s="444">
        <f t="shared" ca="1" si="168"/>
        <v>-68121368158.942001</v>
      </c>
      <c r="L4356" s="444">
        <f t="shared" ca="1" si="169"/>
        <v>-16417249726305.021</v>
      </c>
      <c r="M4356" s="460">
        <f t="shared" si="171"/>
        <v>0.05</v>
      </c>
      <c r="N4356" s="464">
        <f t="shared" si="172"/>
        <v>183627</v>
      </c>
    </row>
    <row r="4357" spans="7:14" ht="11.25" customHeight="1" x14ac:dyDescent="0.3">
      <c r="G4357" s="459"/>
      <c r="H4357" s="459">
        <v>4350</v>
      </c>
      <c r="I4357" s="444">
        <f t="shared" ca="1" si="170"/>
        <v>-16417249726305.021</v>
      </c>
      <c r="J4357" s="444">
        <f t="array" ref="J4357">IFERROR(INDEX('Retirement Calculator'!K:K,MATCH('Lorri 401b'!N4357,'Retirement Calculator'!A:A,0),0),0)</f>
        <v>0</v>
      </c>
      <c r="K4357" s="444">
        <f t="shared" ca="1" si="168"/>
        <v>-68405207192.937599</v>
      </c>
      <c r="L4357" s="444">
        <f t="shared" ca="1" si="169"/>
        <v>-16485654933497.959</v>
      </c>
      <c r="M4357" s="460">
        <f t="shared" si="171"/>
        <v>0.05</v>
      </c>
      <c r="N4357" s="464">
        <f t="shared" si="172"/>
        <v>183658</v>
      </c>
    </row>
    <row r="4358" spans="7:14" ht="11.25" customHeight="1" x14ac:dyDescent="0.3">
      <c r="G4358" s="459"/>
      <c r="H4358" s="459">
        <v>4351</v>
      </c>
      <c r="I4358" s="444">
        <f t="shared" ca="1" si="170"/>
        <v>-16485654933497.959</v>
      </c>
      <c r="J4358" s="444">
        <f t="array" ref="J4358">IFERROR(INDEX('Retirement Calculator'!K:K,MATCH('Lorri 401b'!N4358,'Retirement Calculator'!A:A,0),0),0)</f>
        <v>0</v>
      </c>
      <c r="K4358" s="444">
        <f t="shared" ca="1" si="168"/>
        <v>-68690228889.574821</v>
      </c>
      <c r="L4358" s="444">
        <f t="shared" ca="1" si="169"/>
        <v>-16554345162387.533</v>
      </c>
      <c r="M4358" s="460">
        <f t="shared" si="171"/>
        <v>0.05</v>
      </c>
      <c r="N4358" s="464">
        <f t="shared" si="172"/>
        <v>183688</v>
      </c>
    </row>
    <row r="4359" spans="7:14" ht="11.25" customHeight="1" x14ac:dyDescent="0.3">
      <c r="G4359" s="459"/>
      <c r="H4359" s="459">
        <v>4352</v>
      </c>
      <c r="I4359" s="444">
        <f t="shared" ca="1" si="170"/>
        <v>-16554345162387.533</v>
      </c>
      <c r="J4359" s="444">
        <f t="array" ref="J4359">IFERROR(INDEX('Retirement Calculator'!K:K,MATCH('Lorri 401b'!N4359,'Retirement Calculator'!A:A,0),0),0)</f>
        <v>0</v>
      </c>
      <c r="K4359" s="444">
        <f t="shared" ca="1" si="168"/>
        <v>-68976438176.614716</v>
      </c>
      <c r="L4359" s="444">
        <f t="shared" ca="1" si="169"/>
        <v>-16623321600564.148</v>
      </c>
      <c r="M4359" s="460">
        <f t="shared" si="171"/>
        <v>0.05</v>
      </c>
      <c r="N4359" s="464">
        <f t="shared" si="172"/>
        <v>183719</v>
      </c>
    </row>
    <row r="4360" spans="7:14" ht="11.25" customHeight="1" x14ac:dyDescent="0.3">
      <c r="G4360" s="459"/>
      <c r="H4360" s="459">
        <v>4353</v>
      </c>
      <c r="I4360" s="444">
        <f t="shared" ca="1" si="170"/>
        <v>-16623321600564.148</v>
      </c>
      <c r="J4360" s="444">
        <f t="array" ref="J4360">IFERROR(INDEX('Retirement Calculator'!K:K,MATCH('Lorri 401b'!N4360,'Retirement Calculator'!A:A,0),0),0)</f>
        <v>0</v>
      </c>
      <c r="K4360" s="444">
        <f t="shared" ca="1" si="168"/>
        <v>-69263840002.350616</v>
      </c>
      <c r="L4360" s="444">
        <f t="shared" ca="1" si="169"/>
        <v>-16692585440566.5</v>
      </c>
      <c r="M4360" s="460">
        <f t="shared" si="171"/>
        <v>0.05</v>
      </c>
      <c r="N4360" s="464">
        <f t="shared" si="172"/>
        <v>183750</v>
      </c>
    </row>
    <row r="4361" spans="7:14" ht="11.25" customHeight="1" x14ac:dyDescent="0.3">
      <c r="G4361" s="459"/>
      <c r="H4361" s="459">
        <v>4354</v>
      </c>
      <c r="I4361" s="444">
        <f t="shared" ca="1" si="170"/>
        <v>-16692585440566.5</v>
      </c>
      <c r="J4361" s="444">
        <f t="array" ref="J4361">IFERROR(INDEX('Retirement Calculator'!K:K,MATCH('Lorri 401b'!N4361,'Retirement Calculator'!A:A,0),0),0)</f>
        <v>0</v>
      </c>
      <c r="K4361" s="444">
        <f t="shared" ca="1" si="168"/>
        <v>-69552439335.693756</v>
      </c>
      <c r="L4361" s="444">
        <f t="shared" ca="1" si="169"/>
        <v>-16762137879902.193</v>
      </c>
      <c r="M4361" s="460">
        <f t="shared" si="171"/>
        <v>0.05</v>
      </c>
      <c r="N4361" s="464">
        <f t="shared" si="172"/>
        <v>183778</v>
      </c>
    </row>
    <row r="4362" spans="7:14" ht="11.25" customHeight="1" x14ac:dyDescent="0.3">
      <c r="G4362" s="459"/>
      <c r="H4362" s="459">
        <v>4355</v>
      </c>
      <c r="I4362" s="444">
        <f t="shared" ca="1" si="170"/>
        <v>-16762137879902.193</v>
      </c>
      <c r="J4362" s="444">
        <f t="array" ref="J4362">IFERROR(INDEX('Retirement Calculator'!K:K,MATCH('Lorri 401b'!N4362,'Retirement Calculator'!A:A,0),0),0)</f>
        <v>0</v>
      </c>
      <c r="K4362" s="444">
        <f t="shared" ca="1" si="168"/>
        <v>-69842241166.25914</v>
      </c>
      <c r="L4362" s="444">
        <f t="shared" ca="1" si="169"/>
        <v>-16831980121068.453</v>
      </c>
      <c r="M4362" s="460">
        <f t="shared" si="171"/>
        <v>0.05</v>
      </c>
      <c r="N4362" s="464">
        <f t="shared" si="172"/>
        <v>183809</v>
      </c>
    </row>
    <row r="4363" spans="7:14" ht="11.25" customHeight="1" x14ac:dyDescent="0.3">
      <c r="G4363" s="459"/>
      <c r="H4363" s="459">
        <v>4356</v>
      </c>
      <c r="I4363" s="444">
        <f t="shared" ca="1" si="170"/>
        <v>-16831980121068.453</v>
      </c>
      <c r="J4363" s="444">
        <f t="array" ref="J4363">IFERROR(INDEX('Retirement Calculator'!K:K,MATCH('Lorri 401b'!N4363,'Retirement Calculator'!A:A,0),0),0)</f>
        <v>0</v>
      </c>
      <c r="K4363" s="444">
        <f t="shared" ca="1" si="168"/>
        <v>-70133250504.451889</v>
      </c>
      <c r="L4363" s="444">
        <f t="shared" ca="1" si="169"/>
        <v>-16902113371572.904</v>
      </c>
      <c r="M4363" s="460">
        <f t="shared" si="171"/>
        <v>0.05</v>
      </c>
      <c r="N4363" s="464">
        <f t="shared" si="172"/>
        <v>183839</v>
      </c>
    </row>
    <row r="4364" spans="7:14" ht="11.25" customHeight="1" x14ac:dyDescent="0.3">
      <c r="G4364" s="459"/>
      <c r="H4364" s="459">
        <v>4357</v>
      </c>
      <c r="I4364" s="444">
        <f t="shared" ca="1" si="170"/>
        <v>-16902113371572.904</v>
      </c>
      <c r="J4364" s="444">
        <f t="array" ref="J4364">IFERROR(INDEX('Retirement Calculator'!K:K,MATCH('Lorri 401b'!N4364,'Retirement Calculator'!A:A,0),0),0)</f>
        <v>0</v>
      </c>
      <c r="K4364" s="444">
        <f t="shared" ca="1" si="168"/>
        <v>-70425472381.553772</v>
      </c>
      <c r="L4364" s="444">
        <f t="shared" ca="1" si="169"/>
        <v>-16972538843954.459</v>
      </c>
      <c r="M4364" s="460">
        <f t="shared" si="171"/>
        <v>0.05</v>
      </c>
      <c r="N4364" s="464">
        <f t="shared" si="172"/>
        <v>183870</v>
      </c>
    </row>
    <row r="4365" spans="7:14" ht="11.25" customHeight="1" x14ac:dyDescent="0.3">
      <c r="G4365" s="459"/>
      <c r="H4365" s="459">
        <v>4358</v>
      </c>
      <c r="I4365" s="444">
        <f t="shared" ca="1" si="170"/>
        <v>-16972538843954.459</v>
      </c>
      <c r="J4365" s="444">
        <f t="array" ref="J4365">IFERROR(INDEX('Retirement Calculator'!K:K,MATCH('Lorri 401b'!N4365,'Retirement Calculator'!A:A,0),0),0)</f>
        <v>0</v>
      </c>
      <c r="K4365" s="444">
        <f t="shared" ca="1" si="168"/>
        <v>-70718911849.810242</v>
      </c>
      <c r="L4365" s="444">
        <f t="shared" ca="1" si="169"/>
        <v>-17043257755804.27</v>
      </c>
      <c r="M4365" s="460">
        <f t="shared" si="171"/>
        <v>0.05</v>
      </c>
      <c r="N4365" s="464">
        <f t="shared" si="172"/>
        <v>183900</v>
      </c>
    </row>
    <row r="4366" spans="7:14" ht="11.25" customHeight="1" x14ac:dyDescent="0.3">
      <c r="G4366" s="459"/>
      <c r="H4366" s="459">
        <v>4359</v>
      </c>
      <c r="I4366" s="444">
        <f t="shared" ca="1" si="170"/>
        <v>-17043257755804.27</v>
      </c>
      <c r="J4366" s="444">
        <f t="array" ref="J4366">IFERROR(INDEX('Retirement Calculator'!K:K,MATCH('Lorri 401b'!N4366,'Retirement Calculator'!A:A,0),0),0)</f>
        <v>0</v>
      </c>
      <c r="K4366" s="444">
        <f t="shared" ca="1" si="168"/>
        <v>-71013573982.517792</v>
      </c>
      <c r="L4366" s="444">
        <f t="shared" ca="1" si="169"/>
        <v>-17114271329786.787</v>
      </c>
      <c r="M4366" s="460">
        <f t="shared" si="171"/>
        <v>0.05</v>
      </c>
      <c r="N4366" s="464">
        <f t="shared" si="172"/>
        <v>183931</v>
      </c>
    </row>
    <row r="4367" spans="7:14" ht="11.25" customHeight="1" x14ac:dyDescent="0.3">
      <c r="G4367" s="459"/>
      <c r="H4367" s="459">
        <v>4360</v>
      </c>
      <c r="I4367" s="444">
        <f t="shared" ca="1" si="170"/>
        <v>-17114271329786.787</v>
      </c>
      <c r="J4367" s="444">
        <f t="array" ref="J4367">IFERROR(INDEX('Retirement Calculator'!K:K,MATCH('Lorri 401b'!N4367,'Retirement Calculator'!A:A,0),0),0)</f>
        <v>0</v>
      </c>
      <c r="K4367" s="444">
        <f t="shared" ca="1" si="168"/>
        <v>-71309463874.111618</v>
      </c>
      <c r="L4367" s="444">
        <f t="shared" ca="1" si="169"/>
        <v>-17185580793660.898</v>
      </c>
      <c r="M4367" s="460">
        <f t="shared" si="171"/>
        <v>0.05</v>
      </c>
      <c r="N4367" s="464">
        <f t="shared" si="172"/>
        <v>183962</v>
      </c>
    </row>
    <row r="4368" spans="7:14" ht="11.25" customHeight="1" x14ac:dyDescent="0.3">
      <c r="G4368" s="459"/>
      <c r="H4368" s="459">
        <v>4361</v>
      </c>
      <c r="I4368" s="444">
        <f t="shared" ca="1" si="170"/>
        <v>-17185580793660.898</v>
      </c>
      <c r="J4368" s="444">
        <f t="array" ref="J4368">IFERROR(INDEX('Retirement Calculator'!K:K,MATCH('Lorri 401b'!N4368,'Retirement Calculator'!A:A,0),0),0)</f>
        <v>0</v>
      </c>
      <c r="K4368" s="444">
        <f t="shared" ca="1" si="168"/>
        <v>-71606586640.253738</v>
      </c>
      <c r="L4368" s="444">
        <f t="shared" ca="1" si="169"/>
        <v>-17257187380301.152</v>
      </c>
      <c r="M4368" s="460">
        <f t="shared" si="171"/>
        <v>0.05</v>
      </c>
      <c r="N4368" s="464">
        <f t="shared" si="172"/>
        <v>183992</v>
      </c>
    </row>
    <row r="4369" spans="7:14" ht="11.25" customHeight="1" x14ac:dyDescent="0.3">
      <c r="G4369" s="459"/>
      <c r="H4369" s="459">
        <v>4362</v>
      </c>
      <c r="I4369" s="444">
        <f t="shared" ca="1" si="170"/>
        <v>-17257187380301.152</v>
      </c>
      <c r="J4369" s="444">
        <f t="array" ref="J4369">IFERROR(INDEX('Retirement Calculator'!K:K,MATCH('Lorri 401b'!N4369,'Retirement Calculator'!A:A,0),0),0)</f>
        <v>0</v>
      </c>
      <c r="K4369" s="444">
        <f t="shared" ca="1" si="168"/>
        <v>-71904947417.921463</v>
      </c>
      <c r="L4369" s="444">
        <f t="shared" ca="1" si="169"/>
        <v>-17329092327719.074</v>
      </c>
      <c r="M4369" s="460">
        <f t="shared" si="171"/>
        <v>0.05</v>
      </c>
      <c r="N4369" s="464">
        <f t="shared" si="172"/>
        <v>184023</v>
      </c>
    </row>
    <row r="4370" spans="7:14" ht="11.25" customHeight="1" x14ac:dyDescent="0.3">
      <c r="G4370" s="459"/>
      <c r="H4370" s="459">
        <v>4363</v>
      </c>
      <c r="I4370" s="444">
        <f t="shared" ca="1" si="170"/>
        <v>-17329092327719.074</v>
      </c>
      <c r="J4370" s="444">
        <f t="array" ref="J4370">IFERROR(INDEX('Retirement Calculator'!K:K,MATCH('Lorri 401b'!N4370,'Retirement Calculator'!A:A,0),0),0)</f>
        <v>0</v>
      </c>
      <c r="K4370" s="444">
        <f t="shared" ca="1" si="168"/>
        <v>-72204551365.49614</v>
      </c>
      <c r="L4370" s="444">
        <f t="shared" ca="1" si="169"/>
        <v>-17401296879084.57</v>
      </c>
      <c r="M4370" s="460">
        <f t="shared" si="171"/>
        <v>0.05</v>
      </c>
      <c r="N4370" s="464">
        <f t="shared" si="172"/>
        <v>184053</v>
      </c>
    </row>
    <row r="4371" spans="7:14" ht="11.25" customHeight="1" x14ac:dyDescent="0.3">
      <c r="G4371" s="459"/>
      <c r="H4371" s="459">
        <v>4364</v>
      </c>
      <c r="I4371" s="444">
        <f t="shared" ca="1" si="170"/>
        <v>-17401296879084.57</v>
      </c>
      <c r="J4371" s="444">
        <f t="array" ref="J4371">IFERROR(INDEX('Retirement Calculator'!K:K,MATCH('Lorri 401b'!N4371,'Retirement Calculator'!A:A,0),0),0)</f>
        <v>0</v>
      </c>
      <c r="K4371" s="444">
        <f t="shared" ca="1" si="168"/>
        <v>-72505403662.852371</v>
      </c>
      <c r="L4371" s="444">
        <f t="shared" ca="1" si="169"/>
        <v>-17473802282747.422</v>
      </c>
      <c r="M4371" s="460">
        <f t="shared" si="171"/>
        <v>0.05</v>
      </c>
      <c r="N4371" s="464">
        <f t="shared" si="172"/>
        <v>184084</v>
      </c>
    </row>
    <row r="4372" spans="7:14" ht="11.25" customHeight="1" x14ac:dyDescent="0.3">
      <c r="G4372" s="459"/>
      <c r="H4372" s="459">
        <v>4365</v>
      </c>
      <c r="I4372" s="444">
        <f t="shared" ca="1" si="170"/>
        <v>-17473802282747.422</v>
      </c>
      <c r="J4372" s="444">
        <f t="array" ref="J4372">IFERROR(INDEX('Retirement Calculator'!K:K,MATCH('Lorri 401b'!N4372,'Retirement Calculator'!A:A,0),0),0)</f>
        <v>0</v>
      </c>
      <c r="K4372" s="444">
        <f t="shared" ca="1" si="168"/>
        <v>-72807509511.447586</v>
      </c>
      <c r="L4372" s="444">
        <f t="shared" ca="1" si="169"/>
        <v>-17546609792258.869</v>
      </c>
      <c r="M4372" s="460">
        <f t="shared" si="171"/>
        <v>0.05</v>
      </c>
      <c r="N4372" s="464">
        <f t="shared" si="172"/>
        <v>184115</v>
      </c>
    </row>
    <row r="4373" spans="7:14" ht="11.25" customHeight="1" x14ac:dyDescent="0.3">
      <c r="G4373" s="459"/>
      <c r="H4373" s="459">
        <v>4366</v>
      </c>
      <c r="I4373" s="444">
        <f t="shared" ca="1" si="170"/>
        <v>-17546609792258.869</v>
      </c>
      <c r="J4373" s="444">
        <f t="array" ref="J4373">IFERROR(INDEX('Retirement Calculator'!K:K,MATCH('Lorri 401b'!N4373,'Retirement Calculator'!A:A,0),0),0)</f>
        <v>0</v>
      </c>
      <c r="K4373" s="444">
        <f t="shared" ca="1" si="168"/>
        <v>-73110874134.411957</v>
      </c>
      <c r="L4373" s="444">
        <f t="shared" ca="1" si="169"/>
        <v>-17619720666393.281</v>
      </c>
      <c r="M4373" s="460">
        <f t="shared" si="171"/>
        <v>0.05</v>
      </c>
      <c r="N4373" s="464">
        <f t="shared" si="172"/>
        <v>184144</v>
      </c>
    </row>
    <row r="4374" spans="7:14" ht="11.25" customHeight="1" x14ac:dyDescent="0.3">
      <c r="G4374" s="459"/>
      <c r="H4374" s="459">
        <v>4367</v>
      </c>
      <c r="I4374" s="444">
        <f t="shared" ca="1" si="170"/>
        <v>-17619720666393.281</v>
      </c>
      <c r="J4374" s="444">
        <f t="array" ref="J4374">IFERROR(INDEX('Retirement Calculator'!K:K,MATCH('Lorri 401b'!N4374,'Retirement Calculator'!A:A,0),0),0)</f>
        <v>0</v>
      </c>
      <c r="K4374" s="444">
        <f t="shared" ca="1" si="168"/>
        <v>-73415502776.638672</v>
      </c>
      <c r="L4374" s="444">
        <f t="shared" ca="1" si="169"/>
        <v>-17693136169169.922</v>
      </c>
      <c r="M4374" s="460">
        <f t="shared" si="171"/>
        <v>0.05</v>
      </c>
      <c r="N4374" s="464">
        <f t="shared" si="172"/>
        <v>184175</v>
      </c>
    </row>
    <row r="4375" spans="7:14" ht="11.25" customHeight="1" x14ac:dyDescent="0.3">
      <c r="G4375" s="459"/>
      <c r="H4375" s="459">
        <v>4368</v>
      </c>
      <c r="I4375" s="444">
        <f t="shared" ca="1" si="170"/>
        <v>-17693136169169.922</v>
      </c>
      <c r="J4375" s="444">
        <f t="array" ref="J4375">IFERROR(INDEX('Retirement Calculator'!K:K,MATCH('Lorri 401b'!N4375,'Retirement Calculator'!A:A,0),0),0)</f>
        <v>0</v>
      </c>
      <c r="K4375" s="444">
        <f t="shared" ca="1" si="168"/>
        <v>-73721400704.87468</v>
      </c>
      <c r="L4375" s="444">
        <f t="shared" ca="1" si="169"/>
        <v>-17766857569874.797</v>
      </c>
      <c r="M4375" s="460">
        <f t="shared" si="171"/>
        <v>0.05</v>
      </c>
      <c r="N4375" s="464">
        <f t="shared" si="172"/>
        <v>184205</v>
      </c>
    </row>
    <row r="4376" spans="7:14" ht="11.25" customHeight="1" x14ac:dyDescent="0.3">
      <c r="G4376" s="459"/>
      <c r="H4376" s="459">
        <v>4369</v>
      </c>
      <c r="I4376" s="444">
        <f t="shared" ca="1" si="170"/>
        <v>-17766857569874.797</v>
      </c>
      <c r="J4376" s="444">
        <f t="array" ref="J4376">IFERROR(INDEX('Retirement Calculator'!K:K,MATCH('Lorri 401b'!N4376,'Retirement Calculator'!A:A,0),0),0)</f>
        <v>0</v>
      </c>
      <c r="K4376" s="444">
        <f t="shared" ca="1" si="168"/>
        <v>-74028573207.811646</v>
      </c>
      <c r="L4376" s="444">
        <f t="shared" ca="1" si="169"/>
        <v>-17840886143082.609</v>
      </c>
      <c r="M4376" s="460">
        <f t="shared" si="171"/>
        <v>0.05</v>
      </c>
      <c r="N4376" s="464">
        <f t="shared" si="172"/>
        <v>184236</v>
      </c>
    </row>
    <row r="4377" spans="7:14" ht="11.25" customHeight="1" x14ac:dyDescent="0.3">
      <c r="G4377" s="459"/>
      <c r="H4377" s="459">
        <v>4370</v>
      </c>
      <c r="I4377" s="444">
        <f t="shared" ca="1" si="170"/>
        <v>-17840886143082.609</v>
      </c>
      <c r="J4377" s="444">
        <f t="array" ref="J4377">IFERROR(INDEX('Retirement Calculator'!K:K,MATCH('Lorri 401b'!N4377,'Retirement Calculator'!A:A,0),0),0)</f>
        <v>0</v>
      </c>
      <c r="K4377" s="444">
        <f t="shared" ca="1" si="168"/>
        <v>-74337025596.177536</v>
      </c>
      <c r="L4377" s="444">
        <f t="shared" ca="1" si="169"/>
        <v>-17915223168678.785</v>
      </c>
      <c r="M4377" s="460">
        <f t="shared" si="171"/>
        <v>0.05</v>
      </c>
      <c r="N4377" s="464">
        <f t="shared" si="172"/>
        <v>184266</v>
      </c>
    </row>
    <row r="4378" spans="7:14" ht="11.25" customHeight="1" x14ac:dyDescent="0.3">
      <c r="G4378" s="459"/>
      <c r="H4378" s="459">
        <v>4371</v>
      </c>
      <c r="I4378" s="444">
        <f t="shared" ca="1" si="170"/>
        <v>-17915223168678.785</v>
      </c>
      <c r="J4378" s="444">
        <f t="array" ref="J4378">IFERROR(INDEX('Retirement Calculator'!K:K,MATCH('Lorri 401b'!N4378,'Retirement Calculator'!A:A,0),0),0)</f>
        <v>0</v>
      </c>
      <c r="K4378" s="444">
        <f t="shared" ca="1" si="168"/>
        <v>-74646763202.828278</v>
      </c>
      <c r="L4378" s="444">
        <f t="shared" ca="1" si="169"/>
        <v>-17989869931881.613</v>
      </c>
      <c r="M4378" s="460">
        <f t="shared" si="171"/>
        <v>0.05</v>
      </c>
      <c r="N4378" s="464">
        <f t="shared" si="172"/>
        <v>184297</v>
      </c>
    </row>
    <row r="4379" spans="7:14" ht="11.25" customHeight="1" x14ac:dyDescent="0.3">
      <c r="G4379" s="459"/>
      <c r="H4379" s="459">
        <v>4372</v>
      </c>
      <c r="I4379" s="444">
        <f t="shared" ca="1" si="170"/>
        <v>-17989869931881.613</v>
      </c>
      <c r="J4379" s="444">
        <f t="array" ref="J4379">IFERROR(INDEX('Retirement Calculator'!K:K,MATCH('Lorri 401b'!N4379,'Retirement Calculator'!A:A,0),0),0)</f>
        <v>0</v>
      </c>
      <c r="K4379" s="444">
        <f t="shared" ca="1" si="168"/>
        <v>-74957791382.840057</v>
      </c>
      <c r="L4379" s="444">
        <f t="shared" ca="1" si="169"/>
        <v>-18064827723264.453</v>
      </c>
      <c r="M4379" s="460">
        <f t="shared" si="171"/>
        <v>0.05</v>
      </c>
      <c r="N4379" s="464">
        <f t="shared" si="172"/>
        <v>184328</v>
      </c>
    </row>
    <row r="4380" spans="7:14" ht="11.25" customHeight="1" x14ac:dyDescent="0.3">
      <c r="G4380" s="459"/>
      <c r="H4380" s="459">
        <v>4373</v>
      </c>
      <c r="I4380" s="444">
        <f t="shared" ca="1" si="170"/>
        <v>-18064827723264.453</v>
      </c>
      <c r="J4380" s="444">
        <f t="array" ref="J4380">IFERROR(INDEX('Retirement Calculator'!K:K,MATCH('Lorri 401b'!N4380,'Retirement Calculator'!A:A,0),0),0)</f>
        <v>0</v>
      </c>
      <c r="K4380" s="444">
        <f t="shared" ca="1" si="168"/>
        <v>-75270115513.601883</v>
      </c>
      <c r="L4380" s="444">
        <f t="shared" ca="1" si="169"/>
        <v>-18140097838778.055</v>
      </c>
      <c r="M4380" s="460">
        <f t="shared" si="171"/>
        <v>0.05</v>
      </c>
      <c r="N4380" s="464">
        <f t="shared" si="172"/>
        <v>184358</v>
      </c>
    </row>
    <row r="4381" spans="7:14" ht="11.25" customHeight="1" x14ac:dyDescent="0.3">
      <c r="G4381" s="459"/>
      <c r="H4381" s="459">
        <v>4374</v>
      </c>
      <c r="I4381" s="444">
        <f t="shared" ca="1" si="170"/>
        <v>-18140097838778.055</v>
      </c>
      <c r="J4381" s="444">
        <f t="array" ref="J4381">IFERROR(INDEX('Retirement Calculator'!K:K,MATCH('Lorri 401b'!N4381,'Retirement Calculator'!A:A,0),0),0)</f>
        <v>0</v>
      </c>
      <c r="K4381" s="444">
        <f t="shared" ca="1" si="168"/>
        <v>-75583740994.908554</v>
      </c>
      <c r="L4381" s="444">
        <f t="shared" ca="1" si="169"/>
        <v>-18215681579772.965</v>
      </c>
      <c r="M4381" s="460">
        <f t="shared" si="171"/>
        <v>0.05</v>
      </c>
      <c r="N4381" s="464">
        <f t="shared" si="172"/>
        <v>184389</v>
      </c>
    </row>
    <row r="4382" spans="7:14" ht="11.25" customHeight="1" x14ac:dyDescent="0.3">
      <c r="G4382" s="459"/>
      <c r="H4382" s="459">
        <v>4375</v>
      </c>
      <c r="I4382" s="444">
        <f t="shared" ca="1" si="170"/>
        <v>-18215681579772.965</v>
      </c>
      <c r="J4382" s="444">
        <f t="array" ref="J4382">IFERROR(INDEX('Retirement Calculator'!K:K,MATCH('Lorri 401b'!N4382,'Retirement Calculator'!A:A,0),0),0)</f>
        <v>0</v>
      </c>
      <c r="K4382" s="444">
        <f t="shared" ca="1" si="168"/>
        <v>-75898673249.054016</v>
      </c>
      <c r="L4382" s="444">
        <f t="shared" ca="1" si="169"/>
        <v>-18291580253022.02</v>
      </c>
      <c r="M4382" s="460">
        <f t="shared" si="171"/>
        <v>0.05</v>
      </c>
      <c r="N4382" s="464">
        <f t="shared" si="172"/>
        <v>184419</v>
      </c>
    </row>
    <row r="4383" spans="7:14" ht="11.25" customHeight="1" x14ac:dyDescent="0.3">
      <c r="G4383" s="459"/>
      <c r="H4383" s="459">
        <v>4376</v>
      </c>
      <c r="I4383" s="444">
        <f t="shared" ca="1" si="170"/>
        <v>-18291580253022.02</v>
      </c>
      <c r="J4383" s="444">
        <f t="array" ref="J4383">IFERROR(INDEX('Retirement Calculator'!K:K,MATCH('Lorri 401b'!N4383,'Retirement Calculator'!A:A,0),0),0)</f>
        <v>0</v>
      </c>
      <c r="K4383" s="444">
        <f t="shared" ca="1" si="168"/>
        <v>-76214917720.925079</v>
      </c>
      <c r="L4383" s="444">
        <f t="shared" ca="1" si="169"/>
        <v>-18367795170742.945</v>
      </c>
      <c r="M4383" s="460">
        <f t="shared" si="171"/>
        <v>0.05</v>
      </c>
      <c r="N4383" s="464">
        <f t="shared" si="172"/>
        <v>184450</v>
      </c>
    </row>
    <row r="4384" spans="7:14" ht="11.25" customHeight="1" x14ac:dyDescent="0.3">
      <c r="G4384" s="459"/>
      <c r="H4384" s="459">
        <v>4377</v>
      </c>
      <c r="I4384" s="444">
        <f t="shared" ca="1" si="170"/>
        <v>-18367795170742.945</v>
      </c>
      <c r="J4384" s="444">
        <f t="array" ref="J4384">IFERROR(INDEX('Retirement Calculator'!K:K,MATCH('Lorri 401b'!N4384,'Retirement Calculator'!A:A,0),0),0)</f>
        <v>0</v>
      </c>
      <c r="K4384" s="444">
        <f t="shared" ca="1" si="168"/>
        <v>-76532479878.095612</v>
      </c>
      <c r="L4384" s="444">
        <f t="shared" ca="1" si="169"/>
        <v>-18444327650621.039</v>
      </c>
      <c r="M4384" s="460">
        <f t="shared" si="171"/>
        <v>0.05</v>
      </c>
      <c r="N4384" s="464">
        <f t="shared" si="172"/>
        <v>184481</v>
      </c>
    </row>
    <row r="4385" spans="7:14" ht="11.25" customHeight="1" x14ac:dyDescent="0.3">
      <c r="G4385" s="459"/>
      <c r="H4385" s="459">
        <v>4378</v>
      </c>
      <c r="I4385" s="444">
        <f t="shared" ca="1" si="170"/>
        <v>-18444327650621.039</v>
      </c>
      <c r="J4385" s="444">
        <f t="array" ref="J4385">IFERROR(INDEX('Retirement Calculator'!K:K,MATCH('Lorri 401b'!N4385,'Retirement Calculator'!A:A,0),0),0)</f>
        <v>0</v>
      </c>
      <c r="K4385" s="444">
        <f t="shared" ca="1" si="168"/>
        <v>-76851365210.92099</v>
      </c>
      <c r="L4385" s="444">
        <f t="shared" ca="1" si="169"/>
        <v>-18521179015831.961</v>
      </c>
      <c r="M4385" s="460">
        <f t="shared" si="171"/>
        <v>0.05</v>
      </c>
      <c r="N4385" s="464">
        <f t="shared" si="172"/>
        <v>184509</v>
      </c>
    </row>
    <row r="4386" spans="7:14" ht="11.25" customHeight="1" x14ac:dyDescent="0.3">
      <c r="G4386" s="459"/>
      <c r="H4386" s="459">
        <v>4379</v>
      </c>
      <c r="I4386" s="444">
        <f t="shared" ca="1" si="170"/>
        <v>-18521179015831.961</v>
      </c>
      <c r="J4386" s="444">
        <f t="array" ref="J4386">IFERROR(INDEX('Retirement Calculator'!K:K,MATCH('Lorri 401b'!N4386,'Retirement Calculator'!A:A,0),0),0)</f>
        <v>0</v>
      </c>
      <c r="K4386" s="444">
        <f t="shared" ca="1" si="168"/>
        <v>-77171579232.633163</v>
      </c>
      <c r="L4386" s="444">
        <f t="shared" ca="1" si="169"/>
        <v>-18598350595064.594</v>
      </c>
      <c r="M4386" s="460">
        <f t="shared" si="171"/>
        <v>0.05</v>
      </c>
      <c r="N4386" s="464">
        <f t="shared" si="172"/>
        <v>184540</v>
      </c>
    </row>
    <row r="4387" spans="7:14" ht="11.25" customHeight="1" x14ac:dyDescent="0.3">
      <c r="G4387" s="459"/>
      <c r="H4387" s="459">
        <v>4380</v>
      </c>
      <c r="I4387" s="444">
        <f t="shared" ca="1" si="170"/>
        <v>-18598350595064.594</v>
      </c>
      <c r="J4387" s="444">
        <f t="array" ref="J4387">IFERROR(INDEX('Retirement Calculator'!K:K,MATCH('Lorri 401b'!N4387,'Retirement Calculator'!A:A,0),0),0)</f>
        <v>0</v>
      </c>
      <c r="K4387" s="444">
        <f t="shared" ca="1" si="168"/>
        <v>-77493127479.435806</v>
      </c>
      <c r="L4387" s="444">
        <f t="shared" ca="1" si="169"/>
        <v>-18675843722544.031</v>
      </c>
      <c r="M4387" s="460">
        <f t="shared" si="171"/>
        <v>0.05</v>
      </c>
      <c r="N4387" s="464">
        <f t="shared" si="172"/>
        <v>184570</v>
      </c>
    </row>
    <row r="4388" spans="7:14" ht="11.25" customHeight="1" x14ac:dyDescent="0.3">
      <c r="G4388" s="459"/>
      <c r="H4388" s="459">
        <v>4381</v>
      </c>
      <c r="I4388" s="444">
        <f t="shared" ca="1" si="170"/>
        <v>-18675843722544.031</v>
      </c>
      <c r="J4388" s="444">
        <f t="array" ref="J4388">IFERROR(INDEX('Retirement Calculator'!K:K,MATCH('Lorri 401b'!N4388,'Retirement Calculator'!A:A,0),0),0)</f>
        <v>0</v>
      </c>
      <c r="K4388" s="444">
        <f t="shared" ca="1" si="168"/>
        <v>-77816015510.600128</v>
      </c>
      <c r="L4388" s="444">
        <f t="shared" ca="1" si="169"/>
        <v>-18753659738054.633</v>
      </c>
      <c r="M4388" s="460">
        <f t="shared" si="171"/>
        <v>0.05</v>
      </c>
      <c r="N4388" s="464">
        <f t="shared" si="172"/>
        <v>184601</v>
      </c>
    </row>
    <row r="4389" spans="7:14" ht="11.25" customHeight="1" x14ac:dyDescent="0.3">
      <c r="G4389" s="459"/>
      <c r="H4389" s="459">
        <v>4382</v>
      </c>
      <c r="I4389" s="444">
        <f t="shared" ca="1" si="170"/>
        <v>-18753659738054.633</v>
      </c>
      <c r="J4389" s="444">
        <f t="array" ref="J4389">IFERROR(INDEX('Retirement Calculator'!K:K,MATCH('Lorri 401b'!N4389,'Retirement Calculator'!A:A,0),0),0)</f>
        <v>0</v>
      </c>
      <c r="K4389" s="444">
        <f t="shared" ca="1" si="168"/>
        <v>-78140248908.560974</v>
      </c>
      <c r="L4389" s="444">
        <f t="shared" ca="1" si="169"/>
        <v>-18831799986963.195</v>
      </c>
      <c r="M4389" s="460">
        <f t="shared" si="171"/>
        <v>0.05</v>
      </c>
      <c r="N4389" s="464">
        <f t="shared" si="172"/>
        <v>184631</v>
      </c>
    </row>
    <row r="4390" spans="7:14" ht="11.25" customHeight="1" x14ac:dyDescent="0.3">
      <c r="G4390" s="459"/>
      <c r="H4390" s="459">
        <v>4383</v>
      </c>
      <c r="I4390" s="444">
        <f t="shared" ca="1" si="170"/>
        <v>-18831799986963.195</v>
      </c>
      <c r="J4390" s="444">
        <f t="array" ref="J4390">IFERROR(INDEX('Retirement Calculator'!K:K,MATCH('Lorri 401b'!N4390,'Retirement Calculator'!A:A,0),0),0)</f>
        <v>0</v>
      </c>
      <c r="K4390" s="444">
        <f t="shared" ca="1" si="168"/>
        <v>-78465833279.013306</v>
      </c>
      <c r="L4390" s="444">
        <f t="shared" ca="1" si="169"/>
        <v>-18910265820242.207</v>
      </c>
      <c r="M4390" s="460">
        <f t="shared" si="171"/>
        <v>0.05</v>
      </c>
      <c r="N4390" s="464">
        <f t="shared" si="172"/>
        <v>184662</v>
      </c>
    </row>
    <row r="4391" spans="7:14" ht="11.25" customHeight="1" x14ac:dyDescent="0.3">
      <c r="G4391" s="459"/>
      <c r="H4391" s="459">
        <v>4384</v>
      </c>
      <c r="I4391" s="444">
        <f t="shared" ca="1" si="170"/>
        <v>-18910265820242.207</v>
      </c>
      <c r="J4391" s="444">
        <f t="array" ref="J4391">IFERROR(INDEX('Retirement Calculator'!K:K,MATCH('Lorri 401b'!N4391,'Retirement Calculator'!A:A,0),0),0)</f>
        <v>0</v>
      </c>
      <c r="K4391" s="444">
        <f t="shared" ca="1" si="168"/>
        <v>-78792774251.009201</v>
      </c>
      <c r="L4391" s="444">
        <f t="shared" ca="1" si="169"/>
        <v>-18989058594493.215</v>
      </c>
      <c r="M4391" s="460">
        <f t="shared" si="171"/>
        <v>0.05</v>
      </c>
      <c r="N4391" s="464">
        <f t="shared" si="172"/>
        <v>184693</v>
      </c>
    </row>
    <row r="4392" spans="7:14" ht="11.25" customHeight="1" x14ac:dyDescent="0.3">
      <c r="G4392" s="459"/>
      <c r="H4392" s="459">
        <v>4385</v>
      </c>
      <c r="I4392" s="444">
        <f t="shared" ca="1" si="170"/>
        <v>-18989058594493.215</v>
      </c>
      <c r="J4392" s="444">
        <f t="array" ref="J4392">IFERROR(INDEX('Retirement Calculator'!K:K,MATCH('Lorri 401b'!N4392,'Retirement Calculator'!A:A,0),0),0)</f>
        <v>0</v>
      </c>
      <c r="K4392" s="444">
        <f t="shared" ca="1" si="168"/>
        <v>-79121077477.055054</v>
      </c>
      <c r="L4392" s="444">
        <f t="shared" ca="1" si="169"/>
        <v>-19068179671970.27</v>
      </c>
      <c r="M4392" s="460">
        <f t="shared" si="171"/>
        <v>0.05</v>
      </c>
      <c r="N4392" s="464">
        <f t="shared" si="172"/>
        <v>184723</v>
      </c>
    </row>
    <row r="4393" spans="7:14" ht="11.25" customHeight="1" x14ac:dyDescent="0.3">
      <c r="G4393" s="459"/>
      <c r="H4393" s="459">
        <v>4386</v>
      </c>
      <c r="I4393" s="444">
        <f t="shared" ca="1" si="170"/>
        <v>-19068179671970.27</v>
      </c>
      <c r="J4393" s="444">
        <f t="array" ref="J4393">IFERROR(INDEX('Retirement Calculator'!K:K,MATCH('Lorri 401b'!N4393,'Retirement Calculator'!A:A,0),0),0)</f>
        <v>0</v>
      </c>
      <c r="K4393" s="444">
        <f t="shared" ca="1" si="168"/>
        <v>-79450748633.209457</v>
      </c>
      <c r="L4393" s="444">
        <f t="shared" ca="1" si="169"/>
        <v>-19147630420603.48</v>
      </c>
      <c r="M4393" s="460">
        <f t="shared" si="171"/>
        <v>0.05</v>
      </c>
      <c r="N4393" s="464">
        <f t="shared" si="172"/>
        <v>184754</v>
      </c>
    </row>
    <row r="4394" spans="7:14" ht="11.25" customHeight="1" x14ac:dyDescent="0.3">
      <c r="G4394" s="459"/>
      <c r="H4394" s="459">
        <v>4387</v>
      </c>
      <c r="I4394" s="444">
        <f t="shared" ca="1" si="170"/>
        <v>-19147630420603.48</v>
      </c>
      <c r="J4394" s="444">
        <f t="array" ref="J4394">IFERROR(INDEX('Retirement Calculator'!K:K,MATCH('Lorri 401b'!N4394,'Retirement Calculator'!A:A,0),0),0)</f>
        <v>0</v>
      </c>
      <c r="K4394" s="444">
        <f t="shared" ca="1" si="168"/>
        <v>-79781793419.181168</v>
      </c>
      <c r="L4394" s="444">
        <f t="shared" ca="1" si="169"/>
        <v>-19227412214022.66</v>
      </c>
      <c r="M4394" s="460">
        <f t="shared" si="171"/>
        <v>0.05</v>
      </c>
      <c r="N4394" s="464">
        <f t="shared" si="172"/>
        <v>184784</v>
      </c>
    </row>
    <row r="4395" spans="7:14" ht="11.25" customHeight="1" x14ac:dyDescent="0.3">
      <c r="G4395" s="459"/>
      <c r="H4395" s="459">
        <v>4388</v>
      </c>
      <c r="I4395" s="444">
        <f t="shared" ca="1" si="170"/>
        <v>-19227412214022.66</v>
      </c>
      <c r="J4395" s="444">
        <f t="array" ref="J4395">IFERROR(INDEX('Retirement Calculator'!K:K,MATCH('Lorri 401b'!N4395,'Retirement Calculator'!A:A,0),0),0)</f>
        <v>0</v>
      </c>
      <c r="K4395" s="444">
        <f t="shared" ca="1" si="168"/>
        <v>-80114217558.42775</v>
      </c>
      <c r="L4395" s="444">
        <f t="shared" ca="1" si="169"/>
        <v>-19307526431581.09</v>
      </c>
      <c r="M4395" s="460">
        <f t="shared" si="171"/>
        <v>0.05</v>
      </c>
      <c r="N4395" s="464">
        <f t="shared" si="172"/>
        <v>184815</v>
      </c>
    </row>
    <row r="4396" spans="7:14" ht="11.25" customHeight="1" x14ac:dyDescent="0.3">
      <c r="G4396" s="459"/>
      <c r="H4396" s="459">
        <v>4389</v>
      </c>
      <c r="I4396" s="444">
        <f t="shared" ca="1" si="170"/>
        <v>-19307526431581.09</v>
      </c>
      <c r="J4396" s="444">
        <f t="array" ref="J4396">IFERROR(INDEX('Retirement Calculator'!K:K,MATCH('Lorri 401b'!N4396,'Retirement Calculator'!A:A,0),0),0)</f>
        <v>0</v>
      </c>
      <c r="K4396" s="444">
        <f t="shared" ca="1" si="168"/>
        <v>-80448026798.254547</v>
      </c>
      <c r="L4396" s="444">
        <f t="shared" ca="1" si="169"/>
        <v>-19387974458379.344</v>
      </c>
      <c r="M4396" s="460">
        <f t="shared" si="171"/>
        <v>0.05</v>
      </c>
      <c r="N4396" s="464">
        <f t="shared" si="172"/>
        <v>184846</v>
      </c>
    </row>
    <row r="4397" spans="7:14" ht="11.25" customHeight="1" x14ac:dyDescent="0.3">
      <c r="G4397" s="459"/>
      <c r="H4397" s="459">
        <v>4390</v>
      </c>
      <c r="I4397" s="444">
        <f t="shared" ca="1" si="170"/>
        <v>-19387974458379.344</v>
      </c>
      <c r="J4397" s="444">
        <f t="array" ref="J4397">IFERROR(INDEX('Retirement Calculator'!K:K,MATCH('Lorri 401b'!N4397,'Retirement Calculator'!A:A,0),0),0)</f>
        <v>0</v>
      </c>
      <c r="K4397" s="444">
        <f t="shared" ca="1" si="168"/>
        <v>-80783226909.913925</v>
      </c>
      <c r="L4397" s="444">
        <f t="shared" ca="1" si="169"/>
        <v>-19468757685289.258</v>
      </c>
      <c r="M4397" s="460">
        <f t="shared" si="171"/>
        <v>0.05</v>
      </c>
      <c r="N4397" s="464">
        <f t="shared" si="172"/>
        <v>184874</v>
      </c>
    </row>
    <row r="4398" spans="7:14" ht="11.25" customHeight="1" x14ac:dyDescent="0.3">
      <c r="G4398" s="459"/>
      <c r="H4398" s="459">
        <v>4391</v>
      </c>
      <c r="I4398" s="444">
        <f t="shared" ca="1" si="170"/>
        <v>-19468757685289.258</v>
      </c>
      <c r="J4398" s="444">
        <f t="array" ref="J4398">IFERROR(INDEX('Retirement Calculator'!K:K,MATCH('Lorri 401b'!N4398,'Retirement Calculator'!A:A,0),0),0)</f>
        <v>0</v>
      </c>
      <c r="K4398" s="444">
        <f t="shared" ca="1" si="168"/>
        <v>-81119823688.705246</v>
      </c>
      <c r="L4398" s="444">
        <f t="shared" ca="1" si="169"/>
        <v>-19549877508977.965</v>
      </c>
      <c r="M4398" s="460">
        <f t="shared" si="171"/>
        <v>0.05</v>
      </c>
      <c r="N4398" s="464">
        <f t="shared" si="172"/>
        <v>184905</v>
      </c>
    </row>
    <row r="4399" spans="7:14" ht="11.25" customHeight="1" x14ac:dyDescent="0.3">
      <c r="G4399" s="459"/>
      <c r="H4399" s="459">
        <v>4392</v>
      </c>
      <c r="I4399" s="444">
        <f t="shared" ca="1" si="170"/>
        <v>-19549877508977.965</v>
      </c>
      <c r="J4399" s="444">
        <f t="array" ref="J4399">IFERROR(INDEX('Retirement Calculator'!K:K,MATCH('Lorri 401b'!N4399,'Retirement Calculator'!A:A,0),0),0)</f>
        <v>0</v>
      </c>
      <c r="K4399" s="444">
        <f t="shared" ca="1" si="168"/>
        <v>-81457822954.07486</v>
      </c>
      <c r="L4399" s="444">
        <f t="shared" ca="1" si="169"/>
        <v>-19631335331932.039</v>
      </c>
      <c r="M4399" s="460">
        <f t="shared" si="171"/>
        <v>0.05</v>
      </c>
      <c r="N4399" s="464">
        <f t="shared" si="172"/>
        <v>184935</v>
      </c>
    </row>
    <row r="4400" spans="7:14" ht="11.25" customHeight="1" x14ac:dyDescent="0.3">
      <c r="G4400" s="459"/>
      <c r="H4400" s="459">
        <v>4393</v>
      </c>
      <c r="I4400" s="444">
        <f t="shared" ca="1" si="170"/>
        <v>-19631335331932.039</v>
      </c>
      <c r="J4400" s="444">
        <f t="array" ref="J4400">IFERROR(INDEX('Retirement Calculator'!K:K,MATCH('Lorri 401b'!N4400,'Retirement Calculator'!A:A,0),0),0)</f>
        <v>0</v>
      </c>
      <c r="K4400" s="444">
        <f t="shared" ca="1" si="168"/>
        <v>-81797230549.716827</v>
      </c>
      <c r="L4400" s="444">
        <f t="shared" ca="1" si="169"/>
        <v>-19713132562481.758</v>
      </c>
      <c r="M4400" s="460">
        <f t="shared" si="171"/>
        <v>0.05</v>
      </c>
      <c r="N4400" s="464">
        <f t="shared" si="172"/>
        <v>184966</v>
      </c>
    </row>
    <row r="4401" spans="7:14" ht="11.25" customHeight="1" x14ac:dyDescent="0.3">
      <c r="G4401" s="459"/>
      <c r="H4401" s="459">
        <v>4394</v>
      </c>
      <c r="I4401" s="444">
        <f t="shared" ca="1" si="170"/>
        <v>-19713132562481.758</v>
      </c>
      <c r="J4401" s="444">
        <f t="array" ref="J4401">IFERROR(INDEX('Retirement Calculator'!K:K,MATCH('Lorri 401b'!N4401,'Retirement Calculator'!A:A,0),0),0)</f>
        <v>0</v>
      </c>
      <c r="K4401" s="444">
        <f t="shared" ca="1" si="168"/>
        <v>-82138052343.673996</v>
      </c>
      <c r="L4401" s="444">
        <f t="shared" ca="1" si="169"/>
        <v>-19795270614825.434</v>
      </c>
      <c r="M4401" s="460">
        <f t="shared" si="171"/>
        <v>0.05</v>
      </c>
      <c r="N4401" s="464">
        <f t="shared" si="172"/>
        <v>184996</v>
      </c>
    </row>
    <row r="4402" spans="7:14" ht="11.25" customHeight="1" x14ac:dyDescent="0.3">
      <c r="G4402" s="459"/>
      <c r="H4402" s="459">
        <v>4395</v>
      </c>
      <c r="I4402" s="444">
        <f t="shared" ca="1" si="170"/>
        <v>-19795270614825.434</v>
      </c>
      <c r="J4402" s="444">
        <f t="array" ref="J4402">IFERROR(INDEX('Retirement Calculator'!K:K,MATCH('Lorri 401b'!N4402,'Retirement Calculator'!A:A,0),0),0)</f>
        <v>0</v>
      </c>
      <c r="K4402" s="444">
        <f t="shared" ca="1" si="168"/>
        <v>-82480294228.439301</v>
      </c>
      <c r="L4402" s="444">
        <f t="shared" ca="1" si="169"/>
        <v>-19877750909053.871</v>
      </c>
      <c r="M4402" s="460">
        <f t="shared" si="171"/>
        <v>0.05</v>
      </c>
      <c r="N4402" s="464">
        <f t="shared" si="172"/>
        <v>185027</v>
      </c>
    </row>
    <row r="4403" spans="7:14" ht="11.25" customHeight="1" x14ac:dyDescent="0.3">
      <c r="G4403" s="459"/>
      <c r="H4403" s="459">
        <v>4396</v>
      </c>
      <c r="I4403" s="444">
        <f t="shared" ca="1" si="170"/>
        <v>-19877750909053.871</v>
      </c>
      <c r="J4403" s="444">
        <f t="array" ref="J4403">IFERROR(INDEX('Retirement Calculator'!K:K,MATCH('Lorri 401b'!N4403,'Retirement Calculator'!A:A,0),0),0)</f>
        <v>0</v>
      </c>
      <c r="K4403" s="444">
        <f t="shared" ca="1" si="168"/>
        <v>-82823962121.0578</v>
      </c>
      <c r="L4403" s="444">
        <f t="shared" ca="1" si="169"/>
        <v>-19960574871174.93</v>
      </c>
      <c r="M4403" s="460">
        <f t="shared" si="171"/>
        <v>0.05</v>
      </c>
      <c r="N4403" s="464">
        <f t="shared" si="172"/>
        <v>185058</v>
      </c>
    </row>
    <row r="4404" spans="7:14" ht="11.25" customHeight="1" x14ac:dyDescent="0.3">
      <c r="G4404" s="459"/>
      <c r="H4404" s="459">
        <v>4397</v>
      </c>
      <c r="I4404" s="444">
        <f t="shared" ca="1" si="170"/>
        <v>-19960574871174.93</v>
      </c>
      <c r="J4404" s="444">
        <f t="array" ref="J4404">IFERROR(INDEX('Retirement Calculator'!K:K,MATCH('Lorri 401b'!N4404,'Retirement Calculator'!A:A,0),0),0)</f>
        <v>0</v>
      </c>
      <c r="K4404" s="444">
        <f t="shared" ca="1" si="168"/>
        <v>-83169061963.228867</v>
      </c>
      <c r="L4404" s="444">
        <f t="shared" ca="1" si="169"/>
        <v>-20043743933138.16</v>
      </c>
      <c r="M4404" s="460">
        <f t="shared" si="171"/>
        <v>0.05</v>
      </c>
      <c r="N4404" s="464">
        <f t="shared" si="172"/>
        <v>185088</v>
      </c>
    </row>
    <row r="4405" spans="7:14" ht="11.25" customHeight="1" x14ac:dyDescent="0.3">
      <c r="G4405" s="459"/>
      <c r="H4405" s="459">
        <v>4398</v>
      </c>
      <c r="I4405" s="444">
        <f t="shared" ca="1" si="170"/>
        <v>-20043743933138.16</v>
      </c>
      <c r="J4405" s="444">
        <f t="array" ref="J4405">IFERROR(INDEX('Retirement Calculator'!K:K,MATCH('Lorri 401b'!N4405,'Retirement Calculator'!A:A,0),0),0)</f>
        <v>0</v>
      </c>
      <c r="K4405" s="444">
        <f t="shared" ca="1" si="168"/>
        <v>-83515599721.408997</v>
      </c>
      <c r="L4405" s="444">
        <f t="shared" ca="1" si="169"/>
        <v>-20127259532859.57</v>
      </c>
      <c r="M4405" s="460">
        <f t="shared" si="171"/>
        <v>0.05</v>
      </c>
      <c r="N4405" s="464">
        <f t="shared" si="172"/>
        <v>185119</v>
      </c>
    </row>
    <row r="4406" spans="7:14" ht="11.25" customHeight="1" x14ac:dyDescent="0.3">
      <c r="G4406" s="459"/>
      <c r="H4406" s="459">
        <v>4399</v>
      </c>
      <c r="I4406" s="444">
        <f t="shared" ca="1" si="170"/>
        <v>-20127259532859.57</v>
      </c>
      <c r="J4406" s="444">
        <f t="array" ref="J4406">IFERROR(INDEX('Retirement Calculator'!K:K,MATCH('Lorri 401b'!N4406,'Retirement Calculator'!A:A,0),0),0)</f>
        <v>0</v>
      </c>
      <c r="K4406" s="444">
        <f t="shared" ca="1" si="168"/>
        <v>-83863581386.914871</v>
      </c>
      <c r="L4406" s="444">
        <f t="shared" ca="1" si="169"/>
        <v>-20211123114246.484</v>
      </c>
      <c r="M4406" s="460">
        <f t="shared" si="171"/>
        <v>0.05</v>
      </c>
      <c r="N4406" s="464">
        <f t="shared" si="172"/>
        <v>185149</v>
      </c>
    </row>
    <row r="4407" spans="7:14" ht="11.25" customHeight="1" x14ac:dyDescent="0.3">
      <c r="G4407" s="459"/>
      <c r="H4407" s="459">
        <v>4400</v>
      </c>
      <c r="I4407" s="444">
        <f t="shared" ca="1" si="170"/>
        <v>-20211123114246.484</v>
      </c>
      <c r="J4407" s="444">
        <f t="array" ref="J4407">IFERROR(INDEX('Retirement Calculator'!K:K,MATCH('Lorri 401b'!N4407,'Retirement Calculator'!A:A,0),0),0)</f>
        <v>0</v>
      </c>
      <c r="K4407" s="444">
        <f t="shared" ca="1" si="168"/>
        <v>-84213012976.027023</v>
      </c>
      <c r="L4407" s="444">
        <f t="shared" ca="1" si="169"/>
        <v>-20295336127222.512</v>
      </c>
      <c r="M4407" s="460">
        <f t="shared" si="171"/>
        <v>0.05</v>
      </c>
      <c r="N4407" s="464">
        <f t="shared" si="172"/>
        <v>185180</v>
      </c>
    </row>
    <row r="4408" spans="7:14" ht="11.25" customHeight="1" x14ac:dyDescent="0.3">
      <c r="G4408" s="459"/>
      <c r="H4408" s="459">
        <v>4401</v>
      </c>
      <c r="I4408" s="444">
        <f t="shared" ca="1" si="170"/>
        <v>-20295336127222.512</v>
      </c>
      <c r="J4408" s="444">
        <f t="array" ref="J4408">IFERROR(INDEX('Retirement Calculator'!K:K,MATCH('Lorri 401b'!N4408,'Retirement Calculator'!A:A,0),0),0)</f>
        <v>0</v>
      </c>
      <c r="K4408" s="444">
        <f t="shared" ca="1" si="168"/>
        <v>-84563900530.093796</v>
      </c>
      <c r="L4408" s="444">
        <f t="shared" ca="1" si="169"/>
        <v>-20379900027752.605</v>
      </c>
      <c r="M4408" s="460">
        <f t="shared" si="171"/>
        <v>0.05</v>
      </c>
      <c r="N4408" s="464">
        <f t="shared" si="172"/>
        <v>185211</v>
      </c>
    </row>
    <row r="4409" spans="7:14" ht="11.25" customHeight="1" x14ac:dyDescent="0.3">
      <c r="G4409" s="459"/>
      <c r="H4409" s="459">
        <v>4402</v>
      </c>
      <c r="I4409" s="444">
        <f t="shared" ca="1" si="170"/>
        <v>-20379900027752.605</v>
      </c>
      <c r="J4409" s="444">
        <f t="array" ref="J4409">IFERROR(INDEX('Retirement Calculator'!K:K,MATCH('Lorri 401b'!N4409,'Retirement Calculator'!A:A,0),0),0)</f>
        <v>0</v>
      </c>
      <c r="K4409" s="444">
        <f t="shared" ca="1" si="168"/>
        <v>-84916250115.635849</v>
      </c>
      <c r="L4409" s="444">
        <f t="shared" ca="1" si="169"/>
        <v>-20464816277868.242</v>
      </c>
      <c r="M4409" s="460">
        <f t="shared" si="171"/>
        <v>0.05</v>
      </c>
      <c r="N4409" s="464">
        <f t="shared" si="172"/>
        <v>185239</v>
      </c>
    </row>
    <row r="4410" spans="7:14" ht="11.25" customHeight="1" x14ac:dyDescent="0.3">
      <c r="G4410" s="459"/>
      <c r="H4410" s="459">
        <v>4403</v>
      </c>
      <c r="I4410" s="444">
        <f t="shared" ca="1" si="170"/>
        <v>-20464816277868.242</v>
      </c>
      <c r="J4410" s="444">
        <f t="array" ref="J4410">IFERROR(INDEX('Retirement Calculator'!K:K,MATCH('Lorri 401b'!N4410,'Retirement Calculator'!A:A,0),0),0)</f>
        <v>0</v>
      </c>
      <c r="K4410" s="444">
        <f t="shared" ca="1" si="168"/>
        <v>-85270067824.451004</v>
      </c>
      <c r="L4410" s="444">
        <f t="shared" ca="1" si="169"/>
        <v>-20550086345692.691</v>
      </c>
      <c r="M4410" s="460">
        <f t="shared" si="171"/>
        <v>0.05</v>
      </c>
      <c r="N4410" s="464">
        <f t="shared" si="172"/>
        <v>185270</v>
      </c>
    </row>
    <row r="4411" spans="7:14" ht="11.25" customHeight="1" x14ac:dyDescent="0.3">
      <c r="G4411" s="459"/>
      <c r="H4411" s="459">
        <v>4404</v>
      </c>
      <c r="I4411" s="444">
        <f t="shared" ca="1" si="170"/>
        <v>-20550086345692.691</v>
      </c>
      <c r="J4411" s="444">
        <f t="array" ref="J4411">IFERROR(INDEX('Retirement Calculator'!K:K,MATCH('Lorri 401b'!N4411,'Retirement Calculator'!A:A,0),0),0)</f>
        <v>0</v>
      </c>
      <c r="K4411" s="444">
        <f t="shared" ca="1" si="168"/>
        <v>-85625359773.719543</v>
      </c>
      <c r="L4411" s="444">
        <f t="shared" ca="1" si="169"/>
        <v>-20635711705466.41</v>
      </c>
      <c r="M4411" s="460">
        <f t="shared" si="171"/>
        <v>0.05</v>
      </c>
      <c r="N4411" s="464">
        <f t="shared" si="172"/>
        <v>185300</v>
      </c>
    </row>
    <row r="4412" spans="7:14" ht="11.25" customHeight="1" x14ac:dyDescent="0.3">
      <c r="G4412" s="459"/>
      <c r="H4412" s="459">
        <v>4405</v>
      </c>
      <c r="I4412" s="444">
        <f t="shared" ca="1" si="170"/>
        <v>-20635711705466.41</v>
      </c>
      <c r="J4412" s="444">
        <f t="array" ref="J4412">IFERROR(INDEX('Retirement Calculator'!K:K,MATCH('Lorri 401b'!N4412,'Retirement Calculator'!A:A,0),0),0)</f>
        <v>0</v>
      </c>
      <c r="K4412" s="444">
        <f t="shared" ca="1" si="168"/>
        <v>-85982132106.110046</v>
      </c>
      <c r="L4412" s="444">
        <f t="shared" ca="1" si="169"/>
        <v>-20721693837572.52</v>
      </c>
      <c r="M4412" s="460">
        <f t="shared" si="171"/>
        <v>0.05</v>
      </c>
      <c r="N4412" s="464">
        <f t="shared" si="172"/>
        <v>185331</v>
      </c>
    </row>
    <row r="4413" spans="7:14" ht="11.25" customHeight="1" x14ac:dyDescent="0.3">
      <c r="G4413" s="459"/>
      <c r="H4413" s="459">
        <v>4406</v>
      </c>
      <c r="I4413" s="444">
        <f t="shared" ca="1" si="170"/>
        <v>-20721693837572.52</v>
      </c>
      <c r="J4413" s="444">
        <f t="array" ref="J4413">IFERROR(INDEX('Retirement Calculator'!K:K,MATCH('Lorri 401b'!N4413,'Retirement Calculator'!A:A,0),0),0)</f>
        <v>0</v>
      </c>
      <c r="K4413" s="444">
        <f t="shared" ca="1" si="168"/>
        <v>-86340390989.885498</v>
      </c>
      <c r="L4413" s="444">
        <f t="shared" ca="1" si="169"/>
        <v>-20808034228562.406</v>
      </c>
      <c r="M4413" s="460">
        <f t="shared" si="171"/>
        <v>0.05</v>
      </c>
      <c r="N4413" s="464">
        <f t="shared" si="172"/>
        <v>185361</v>
      </c>
    </row>
    <row r="4414" spans="7:14" ht="11.25" customHeight="1" x14ac:dyDescent="0.3">
      <c r="G4414" s="459"/>
      <c r="H4414" s="459">
        <v>4407</v>
      </c>
      <c r="I4414" s="444">
        <f t="shared" ca="1" si="170"/>
        <v>-20808034228562.406</v>
      </c>
      <c r="J4414" s="444">
        <f t="array" ref="J4414">IFERROR(INDEX('Retirement Calculator'!K:K,MATCH('Lorri 401b'!N4414,'Retirement Calculator'!A:A,0),0),0)</f>
        <v>0</v>
      </c>
      <c r="K4414" s="444">
        <f t="shared" ca="1" si="168"/>
        <v>-86700142619.010025</v>
      </c>
      <c r="L4414" s="444">
        <f t="shared" ca="1" si="169"/>
        <v>-20894734371181.418</v>
      </c>
      <c r="M4414" s="460">
        <f t="shared" si="171"/>
        <v>0.05</v>
      </c>
      <c r="N4414" s="464">
        <f t="shared" si="172"/>
        <v>185392</v>
      </c>
    </row>
    <row r="4415" spans="7:14" ht="11.25" customHeight="1" x14ac:dyDescent="0.3">
      <c r="G4415" s="459"/>
      <c r="H4415" s="459">
        <v>4408</v>
      </c>
      <c r="I4415" s="444">
        <f t="shared" ca="1" si="170"/>
        <v>-20894734371181.418</v>
      </c>
      <c r="J4415" s="444">
        <f t="array" ref="J4415">IFERROR(INDEX('Retirement Calculator'!K:K,MATCH('Lorri 401b'!N4415,'Retirement Calculator'!A:A,0),0),0)</f>
        <v>0</v>
      </c>
      <c r="K4415" s="444">
        <f t="shared" ca="1" si="168"/>
        <v>-87061393213.255905</v>
      </c>
      <c r="L4415" s="444">
        <f t="shared" ca="1" si="169"/>
        <v>-20981795764394.676</v>
      </c>
      <c r="M4415" s="460">
        <f t="shared" si="171"/>
        <v>0.05</v>
      </c>
      <c r="N4415" s="464">
        <f t="shared" si="172"/>
        <v>185423</v>
      </c>
    </row>
    <row r="4416" spans="7:14" ht="11.25" customHeight="1" x14ac:dyDescent="0.3">
      <c r="G4416" s="459"/>
      <c r="H4416" s="459">
        <v>4409</v>
      </c>
      <c r="I4416" s="444">
        <f t="shared" ca="1" si="170"/>
        <v>-20981795764394.676</v>
      </c>
      <c r="J4416" s="444">
        <f t="array" ref="J4416">IFERROR(INDEX('Retirement Calculator'!K:K,MATCH('Lorri 401b'!N4416,'Retirement Calculator'!A:A,0),0),0)</f>
        <v>0</v>
      </c>
      <c r="K4416" s="444">
        <f t="shared" ca="1" si="168"/>
        <v>-87424149018.311142</v>
      </c>
      <c r="L4416" s="444">
        <f t="shared" ca="1" si="169"/>
        <v>-21069219913412.988</v>
      </c>
      <c r="M4416" s="460">
        <f t="shared" si="171"/>
        <v>0.05</v>
      </c>
      <c r="N4416" s="464">
        <f t="shared" si="172"/>
        <v>185453</v>
      </c>
    </row>
    <row r="4417" spans="7:14" ht="11.25" customHeight="1" x14ac:dyDescent="0.3">
      <c r="G4417" s="459"/>
      <c r="H4417" s="459">
        <v>4410</v>
      </c>
      <c r="I4417" s="444">
        <f t="shared" ca="1" si="170"/>
        <v>-21069219913412.988</v>
      </c>
      <c r="J4417" s="444">
        <f t="array" ref="J4417">IFERROR(INDEX('Retirement Calculator'!K:K,MATCH('Lorri 401b'!N4417,'Retirement Calculator'!A:A,0),0),0)</f>
        <v>0</v>
      </c>
      <c r="K4417" s="444">
        <f t="shared" ca="1" si="168"/>
        <v>-87788416305.887451</v>
      </c>
      <c r="L4417" s="444">
        <f t="shared" ca="1" si="169"/>
        <v>-21157008329718.875</v>
      </c>
      <c r="M4417" s="460">
        <f t="shared" si="171"/>
        <v>0.05</v>
      </c>
      <c r="N4417" s="464">
        <f t="shared" si="172"/>
        <v>185484</v>
      </c>
    </row>
    <row r="4418" spans="7:14" ht="11.25" customHeight="1" x14ac:dyDescent="0.3">
      <c r="G4418" s="459"/>
      <c r="H4418" s="459">
        <v>4411</v>
      </c>
      <c r="I4418" s="444">
        <f t="shared" ca="1" si="170"/>
        <v>-21157008329718.875</v>
      </c>
      <c r="J4418" s="444">
        <f t="array" ref="J4418">IFERROR(INDEX('Retirement Calculator'!K:K,MATCH('Lorri 401b'!N4418,'Retirement Calculator'!A:A,0),0),0)</f>
        <v>0</v>
      </c>
      <c r="K4418" s="444">
        <f t="shared" ca="1" si="168"/>
        <v>-88154201373.828644</v>
      </c>
      <c r="L4418" s="444">
        <f t="shared" ca="1" si="169"/>
        <v>-21245162531092.703</v>
      </c>
      <c r="M4418" s="460">
        <f t="shared" si="171"/>
        <v>0.05</v>
      </c>
      <c r="N4418" s="464">
        <f t="shared" si="172"/>
        <v>185514</v>
      </c>
    </row>
    <row r="4419" spans="7:14" ht="11.25" customHeight="1" x14ac:dyDescent="0.3">
      <c r="G4419" s="459"/>
      <c r="H4419" s="459">
        <v>4412</v>
      </c>
      <c r="I4419" s="444">
        <f t="shared" ca="1" si="170"/>
        <v>-21245162531092.703</v>
      </c>
      <c r="J4419" s="444">
        <f t="array" ref="J4419">IFERROR(INDEX('Retirement Calculator'!K:K,MATCH('Lorri 401b'!N4419,'Retirement Calculator'!A:A,0),0),0)</f>
        <v>0</v>
      </c>
      <c r="K4419" s="444">
        <f t="shared" ca="1" si="168"/>
        <v>-88521510546.219589</v>
      </c>
      <c r="L4419" s="444">
        <f t="shared" ca="1" si="169"/>
        <v>-21333684041638.922</v>
      </c>
      <c r="M4419" s="460">
        <f t="shared" si="171"/>
        <v>0.05</v>
      </c>
      <c r="N4419" s="464">
        <f t="shared" si="172"/>
        <v>185545</v>
      </c>
    </row>
    <row r="4420" spans="7:14" ht="11.25" customHeight="1" x14ac:dyDescent="0.3">
      <c r="G4420" s="459"/>
      <c r="H4420" s="459">
        <v>4413</v>
      </c>
      <c r="I4420" s="444">
        <f t="shared" ca="1" si="170"/>
        <v>-21333684041638.922</v>
      </c>
      <c r="J4420" s="444">
        <f t="array" ref="J4420">IFERROR(INDEX('Retirement Calculator'!K:K,MATCH('Lorri 401b'!N4420,'Retirement Calculator'!A:A,0),0),0)</f>
        <v>0</v>
      </c>
      <c r="K4420" s="444">
        <f t="shared" ca="1" si="168"/>
        <v>-88890350173.495514</v>
      </c>
      <c r="L4420" s="444">
        <f t="shared" ca="1" si="169"/>
        <v>-21422574391812.418</v>
      </c>
      <c r="M4420" s="460">
        <f t="shared" si="171"/>
        <v>0.05</v>
      </c>
      <c r="N4420" s="464">
        <f t="shared" si="172"/>
        <v>185576</v>
      </c>
    </row>
    <row r="4421" spans="7:14" ht="11.25" customHeight="1" x14ac:dyDescent="0.3">
      <c r="G4421" s="459"/>
      <c r="H4421" s="459">
        <v>4414</v>
      </c>
      <c r="I4421" s="444">
        <f t="shared" ca="1" si="170"/>
        <v>-21422574391812.418</v>
      </c>
      <c r="J4421" s="444">
        <f t="array" ref="J4421">IFERROR(INDEX('Retirement Calculator'!K:K,MATCH('Lorri 401b'!N4421,'Retirement Calculator'!A:A,0),0),0)</f>
        <v>0</v>
      </c>
      <c r="K4421" s="444">
        <f t="shared" ca="1" si="168"/>
        <v>-89260726632.551743</v>
      </c>
      <c r="L4421" s="444">
        <f t="shared" ca="1" si="169"/>
        <v>-21511835118444.969</v>
      </c>
      <c r="M4421" s="460">
        <f t="shared" si="171"/>
        <v>0.05</v>
      </c>
      <c r="N4421" s="464">
        <f t="shared" si="172"/>
        <v>185605</v>
      </c>
    </row>
    <row r="4422" spans="7:14" ht="11.25" customHeight="1" x14ac:dyDescent="0.3">
      <c r="G4422" s="459"/>
      <c r="H4422" s="459">
        <v>4415</v>
      </c>
      <c r="I4422" s="444">
        <f t="shared" ca="1" si="170"/>
        <v>-21511835118444.969</v>
      </c>
      <c r="J4422" s="444">
        <f t="array" ref="J4422">IFERROR(INDEX('Retirement Calculator'!K:K,MATCH('Lorri 401b'!N4422,'Retirement Calculator'!A:A,0),0),0)</f>
        <v>0</v>
      </c>
      <c r="K4422" s="444">
        <f t="shared" ca="1" si="168"/>
        <v>-89632646326.854034</v>
      </c>
      <c r="L4422" s="444">
        <f t="shared" ca="1" si="169"/>
        <v>-21601467764771.824</v>
      </c>
      <c r="M4422" s="460">
        <f t="shared" si="171"/>
        <v>0.05</v>
      </c>
      <c r="N4422" s="464">
        <f t="shared" si="172"/>
        <v>185636</v>
      </c>
    </row>
    <row r="4423" spans="7:14" ht="11.25" customHeight="1" x14ac:dyDescent="0.3">
      <c r="G4423" s="459"/>
      <c r="H4423" s="459">
        <v>4416</v>
      </c>
      <c r="I4423" s="444">
        <f t="shared" ca="1" si="170"/>
        <v>-21601467764771.824</v>
      </c>
      <c r="J4423" s="444">
        <f t="array" ref="J4423">IFERROR(INDEX('Retirement Calculator'!K:K,MATCH('Lorri 401b'!N4423,'Retirement Calculator'!A:A,0),0),0)</f>
        <v>0</v>
      </c>
      <c r="K4423" s="444">
        <f t="shared" ca="1" si="168"/>
        <v>-90006115686.549271</v>
      </c>
      <c r="L4423" s="444">
        <f t="shared" ca="1" si="169"/>
        <v>-21691473880458.375</v>
      </c>
      <c r="M4423" s="460">
        <f t="shared" si="171"/>
        <v>0.05</v>
      </c>
      <c r="N4423" s="464">
        <f t="shared" si="172"/>
        <v>185666</v>
      </c>
    </row>
    <row r="4424" spans="7:14" ht="11.25" customHeight="1" x14ac:dyDescent="0.3">
      <c r="G4424" s="459"/>
      <c r="H4424" s="459">
        <v>4417</v>
      </c>
      <c r="I4424" s="444">
        <f t="shared" ca="1" si="170"/>
        <v>-21691473880458.375</v>
      </c>
      <c r="J4424" s="444">
        <f t="array" ref="J4424">IFERROR(INDEX('Retirement Calculator'!K:K,MATCH('Lorri 401b'!N4424,'Retirement Calculator'!A:A,0),0),0)</f>
        <v>0</v>
      </c>
      <c r="K4424" s="444">
        <f t="shared" ca="1" si="168"/>
        <v>-90381141168.576569</v>
      </c>
      <c r="L4424" s="444">
        <f t="shared" ca="1" si="169"/>
        <v>-21781855021626.953</v>
      </c>
      <c r="M4424" s="460">
        <f t="shared" si="171"/>
        <v>0.05</v>
      </c>
      <c r="N4424" s="464">
        <f t="shared" si="172"/>
        <v>185697</v>
      </c>
    </row>
    <row r="4425" spans="7:14" ht="11.25" customHeight="1" x14ac:dyDescent="0.3">
      <c r="G4425" s="459"/>
      <c r="H4425" s="459">
        <v>4418</v>
      </c>
      <c r="I4425" s="444">
        <f t="shared" ca="1" si="170"/>
        <v>-21781855021626.953</v>
      </c>
      <c r="J4425" s="444">
        <f t="array" ref="J4425">IFERROR(INDEX('Retirement Calculator'!K:K,MATCH('Lorri 401b'!N4425,'Retirement Calculator'!A:A,0),0),0)</f>
        <v>0</v>
      </c>
      <c r="K4425" s="444">
        <f t="shared" ca="1" si="168"/>
        <v>-90757729256.778976</v>
      </c>
      <c r="L4425" s="444">
        <f t="shared" ca="1" si="169"/>
        <v>-21872612750883.73</v>
      </c>
      <c r="M4425" s="460">
        <f t="shared" si="171"/>
        <v>0.05</v>
      </c>
      <c r="N4425" s="464">
        <f t="shared" si="172"/>
        <v>185727</v>
      </c>
    </row>
    <row r="4426" spans="7:14" ht="11.25" customHeight="1" x14ac:dyDescent="0.3">
      <c r="G4426" s="459"/>
      <c r="H4426" s="459">
        <v>4419</v>
      </c>
      <c r="I4426" s="444">
        <f t="shared" ca="1" si="170"/>
        <v>-21872612750883.73</v>
      </c>
      <c r="J4426" s="444">
        <f t="array" ref="J4426">IFERROR(INDEX('Retirement Calculator'!K:K,MATCH('Lorri 401b'!N4426,'Retirement Calculator'!A:A,0),0),0)</f>
        <v>0</v>
      </c>
      <c r="K4426" s="444">
        <f t="shared" ca="1" si="168"/>
        <v>-91135886462.015549</v>
      </c>
      <c r="L4426" s="444">
        <f t="shared" ca="1" si="169"/>
        <v>-21963748637345.746</v>
      </c>
      <c r="M4426" s="460">
        <f t="shared" si="171"/>
        <v>0.05</v>
      </c>
      <c r="N4426" s="464">
        <f t="shared" si="172"/>
        <v>185758</v>
      </c>
    </row>
    <row r="4427" spans="7:14" ht="11.25" customHeight="1" x14ac:dyDescent="0.3">
      <c r="G4427" s="459"/>
      <c r="H4427" s="459">
        <v>4420</v>
      </c>
      <c r="I4427" s="444">
        <f t="shared" ca="1" si="170"/>
        <v>-21963748637345.746</v>
      </c>
      <c r="J4427" s="444">
        <f t="array" ref="J4427">IFERROR(INDEX('Retirement Calculator'!K:K,MATCH('Lorri 401b'!N4427,'Retirement Calculator'!A:A,0),0),0)</f>
        <v>0</v>
      </c>
      <c r="K4427" s="444">
        <f t="shared" ca="1" si="168"/>
        <v>-91515619322.273941</v>
      </c>
      <c r="L4427" s="444">
        <f t="shared" ca="1" si="169"/>
        <v>-22055264256668.02</v>
      </c>
      <c r="M4427" s="460">
        <f t="shared" si="171"/>
        <v>0.05</v>
      </c>
      <c r="N4427" s="464">
        <f t="shared" si="172"/>
        <v>185789</v>
      </c>
    </row>
    <row r="4428" spans="7:14" ht="11.25" customHeight="1" x14ac:dyDescent="0.3">
      <c r="G4428" s="459"/>
      <c r="H4428" s="459">
        <v>4421</v>
      </c>
      <c r="I4428" s="444">
        <f t="shared" ca="1" si="170"/>
        <v>-22055264256668.02</v>
      </c>
      <c r="J4428" s="444">
        <f t="array" ref="J4428">IFERROR(INDEX('Retirement Calculator'!K:K,MATCH('Lorri 401b'!N4428,'Retirement Calculator'!A:A,0),0),0)</f>
        <v>0</v>
      </c>
      <c r="K4428" s="444">
        <f t="shared" ca="1" si="168"/>
        <v>-91896934402.783417</v>
      </c>
      <c r="L4428" s="444">
        <f t="shared" ca="1" si="169"/>
        <v>-22147161191070.805</v>
      </c>
      <c r="M4428" s="460">
        <f t="shared" si="171"/>
        <v>0.05</v>
      </c>
      <c r="N4428" s="464">
        <f t="shared" si="172"/>
        <v>185819</v>
      </c>
    </row>
    <row r="4429" spans="7:14" ht="11.25" customHeight="1" x14ac:dyDescent="0.3">
      <c r="G4429" s="459"/>
      <c r="H4429" s="459">
        <v>4422</v>
      </c>
      <c r="I4429" s="444">
        <f t="shared" ca="1" si="170"/>
        <v>-22147161191070.805</v>
      </c>
      <c r="J4429" s="444">
        <f t="array" ref="J4429">IFERROR(INDEX('Retirement Calculator'!K:K,MATCH('Lorri 401b'!N4429,'Retirement Calculator'!A:A,0),0),0)</f>
        <v>0</v>
      </c>
      <c r="K4429" s="444">
        <f t="shared" ca="1" si="168"/>
        <v>-92279838296.128357</v>
      </c>
      <c r="L4429" s="444">
        <f t="shared" ca="1" si="169"/>
        <v>-22239441029366.934</v>
      </c>
      <c r="M4429" s="460">
        <f t="shared" si="171"/>
        <v>0.05</v>
      </c>
      <c r="N4429" s="464">
        <f t="shared" si="172"/>
        <v>185850</v>
      </c>
    </row>
    <row r="4430" spans="7:14" ht="11.25" customHeight="1" x14ac:dyDescent="0.3">
      <c r="G4430" s="459"/>
      <c r="H4430" s="459">
        <v>4423</v>
      </c>
      <c r="I4430" s="444">
        <f t="shared" ca="1" si="170"/>
        <v>-22239441029366.934</v>
      </c>
      <c r="J4430" s="444">
        <f t="array" ref="J4430">IFERROR(INDEX('Retirement Calculator'!K:K,MATCH('Lorri 401b'!N4430,'Retirement Calculator'!A:A,0),0),0)</f>
        <v>0</v>
      </c>
      <c r="K4430" s="444">
        <f t="shared" ca="1" si="168"/>
        <v>-92664337622.362228</v>
      </c>
      <c r="L4430" s="444">
        <f t="shared" ca="1" si="169"/>
        <v>-22332105366989.297</v>
      </c>
      <c r="M4430" s="460">
        <f t="shared" si="171"/>
        <v>0.05</v>
      </c>
      <c r="N4430" s="464">
        <f t="shared" si="172"/>
        <v>185880</v>
      </c>
    </row>
    <row r="4431" spans="7:14" ht="11.25" customHeight="1" x14ac:dyDescent="0.3">
      <c r="G4431" s="459"/>
      <c r="H4431" s="459">
        <v>4424</v>
      </c>
      <c r="I4431" s="444">
        <f t="shared" ca="1" si="170"/>
        <v>-22332105366989.297</v>
      </c>
      <c r="J4431" s="444">
        <f t="array" ref="J4431">IFERROR(INDEX('Retirement Calculator'!K:K,MATCH('Lorri 401b'!N4431,'Retirement Calculator'!A:A,0),0),0)</f>
        <v>0</v>
      </c>
      <c r="K4431" s="444">
        <f t="shared" ca="1" si="168"/>
        <v>-93050439029.12207</v>
      </c>
      <c r="L4431" s="444">
        <f t="shared" ca="1" si="169"/>
        <v>-22425155806018.418</v>
      </c>
      <c r="M4431" s="460">
        <f t="shared" si="171"/>
        <v>0.05</v>
      </c>
      <c r="N4431" s="464">
        <f t="shared" si="172"/>
        <v>185911</v>
      </c>
    </row>
    <row r="4432" spans="7:14" ht="11.25" customHeight="1" x14ac:dyDescent="0.3">
      <c r="G4432" s="459"/>
      <c r="H4432" s="459">
        <v>4425</v>
      </c>
      <c r="I4432" s="444">
        <f t="shared" ca="1" si="170"/>
        <v>-22425155806018.418</v>
      </c>
      <c r="J4432" s="444">
        <f t="array" ref="J4432">IFERROR(INDEX('Retirement Calculator'!K:K,MATCH('Lorri 401b'!N4432,'Retirement Calculator'!A:A,0),0),0)</f>
        <v>0</v>
      </c>
      <c r="K4432" s="444">
        <f t="shared" ca="1" si="168"/>
        <v>-93438149191.743408</v>
      </c>
      <c r="L4432" s="444">
        <f t="shared" ca="1" si="169"/>
        <v>-22518593955210.16</v>
      </c>
      <c r="M4432" s="460">
        <f t="shared" si="171"/>
        <v>0.05</v>
      </c>
      <c r="N4432" s="464">
        <f t="shared" si="172"/>
        <v>185942</v>
      </c>
    </row>
    <row r="4433" spans="7:14" ht="11.25" customHeight="1" x14ac:dyDescent="0.3">
      <c r="G4433" s="459"/>
      <c r="H4433" s="459">
        <v>4426</v>
      </c>
      <c r="I4433" s="444">
        <f t="shared" ca="1" si="170"/>
        <v>-22518593955210.16</v>
      </c>
      <c r="J4433" s="444">
        <f t="array" ref="J4433">IFERROR(INDEX('Retirement Calculator'!K:K,MATCH('Lorri 401b'!N4433,'Retirement Calculator'!A:A,0),0),0)</f>
        <v>0</v>
      </c>
      <c r="K4433" s="444">
        <f t="shared" ca="1" si="168"/>
        <v>-93827474813.375671</v>
      </c>
      <c r="L4433" s="444">
        <f t="shared" ca="1" si="169"/>
        <v>-22612421430023.535</v>
      </c>
      <c r="M4433" s="460">
        <f t="shared" si="171"/>
        <v>0.05</v>
      </c>
      <c r="N4433" s="464">
        <f t="shared" si="172"/>
        <v>185970</v>
      </c>
    </row>
    <row r="4434" spans="7:14" ht="11.25" customHeight="1" x14ac:dyDescent="0.3">
      <c r="G4434" s="459"/>
      <c r="H4434" s="459">
        <v>4427</v>
      </c>
      <c r="I4434" s="444">
        <f t="shared" ca="1" si="170"/>
        <v>-22612421430023.535</v>
      </c>
      <c r="J4434" s="444">
        <f t="array" ref="J4434">IFERROR(INDEX('Retirement Calculator'!K:K,MATCH('Lorri 401b'!N4434,'Retirement Calculator'!A:A,0),0),0)</f>
        <v>0</v>
      </c>
      <c r="K4434" s="444">
        <f t="shared" ca="1" si="168"/>
        <v>-94218422625.098068</v>
      </c>
      <c r="L4434" s="444">
        <f t="shared" ca="1" si="169"/>
        <v>-22706639852648.633</v>
      </c>
      <c r="M4434" s="460">
        <f t="shared" si="171"/>
        <v>0.05</v>
      </c>
      <c r="N4434" s="464">
        <f t="shared" si="172"/>
        <v>186001</v>
      </c>
    </row>
    <row r="4435" spans="7:14" ht="11.25" customHeight="1" x14ac:dyDescent="0.3">
      <c r="G4435" s="459"/>
      <c r="H4435" s="459">
        <v>4428</v>
      </c>
      <c r="I4435" s="444">
        <f t="shared" ca="1" si="170"/>
        <v>-22706639852648.633</v>
      </c>
      <c r="J4435" s="444">
        <f t="array" ref="J4435">IFERROR(INDEX('Retirement Calculator'!K:K,MATCH('Lorri 401b'!N4435,'Retirement Calculator'!A:A,0),0),0)</f>
        <v>0</v>
      </c>
      <c r="K4435" s="444">
        <f t="shared" ca="1" si="168"/>
        <v>-94610999386.035965</v>
      </c>
      <c r="L4435" s="444">
        <f t="shared" ca="1" si="169"/>
        <v>-22801250852034.668</v>
      </c>
      <c r="M4435" s="460">
        <f t="shared" si="171"/>
        <v>0.05</v>
      </c>
      <c r="N4435" s="464">
        <f t="shared" si="172"/>
        <v>186031</v>
      </c>
    </row>
    <row r="4436" spans="7:14" ht="11.25" customHeight="1" x14ac:dyDescent="0.3">
      <c r="G4436" s="459"/>
      <c r="H4436" s="459">
        <v>4429</v>
      </c>
      <c r="I4436" s="444">
        <f t="shared" ca="1" si="170"/>
        <v>-22801250852034.668</v>
      </c>
      <c r="J4436" s="444">
        <f t="array" ref="J4436">IFERROR(INDEX('Retirement Calculator'!K:K,MATCH('Lorri 401b'!N4436,'Retirement Calculator'!A:A,0),0),0)</f>
        <v>0</v>
      </c>
      <c r="K4436" s="444">
        <f t="shared" ca="1" si="168"/>
        <v>-95005211883.477783</v>
      </c>
      <c r="L4436" s="444">
        <f t="shared" ca="1" si="169"/>
        <v>-22896256063918.145</v>
      </c>
      <c r="M4436" s="460">
        <f t="shared" si="171"/>
        <v>0.05</v>
      </c>
      <c r="N4436" s="464">
        <f t="shared" si="172"/>
        <v>186062</v>
      </c>
    </row>
    <row r="4437" spans="7:14" ht="11.25" customHeight="1" x14ac:dyDescent="0.3">
      <c r="G4437" s="459"/>
      <c r="H4437" s="459">
        <v>4430</v>
      </c>
      <c r="I4437" s="444">
        <f t="shared" ca="1" si="170"/>
        <v>-22896256063918.145</v>
      </c>
      <c r="J4437" s="444">
        <f t="array" ref="J4437">IFERROR(INDEX('Retirement Calculator'!K:K,MATCH('Lorri 401b'!N4437,'Retirement Calculator'!A:A,0),0),0)</f>
        <v>0</v>
      </c>
      <c r="K4437" s="444">
        <f t="shared" ca="1" si="168"/>
        <v>-95401066932.992264</v>
      </c>
      <c r="L4437" s="444">
        <f t="shared" ca="1" si="169"/>
        <v>-22991657130851.137</v>
      </c>
      <c r="M4437" s="460">
        <f t="shared" si="171"/>
        <v>0.05</v>
      </c>
      <c r="N4437" s="464">
        <f t="shared" si="172"/>
        <v>186092</v>
      </c>
    </row>
    <row r="4438" spans="7:14" ht="11.25" customHeight="1" x14ac:dyDescent="0.3">
      <c r="G4438" s="459"/>
      <c r="H4438" s="459">
        <v>4431</v>
      </c>
      <c r="I4438" s="444">
        <f t="shared" ca="1" si="170"/>
        <v>-22991657130851.137</v>
      </c>
      <c r="J4438" s="444">
        <f t="array" ref="J4438">IFERROR(INDEX('Retirement Calculator'!K:K,MATCH('Lorri 401b'!N4438,'Retirement Calculator'!A:A,0),0),0)</f>
        <v>0</v>
      </c>
      <c r="K4438" s="444">
        <f t="shared" ca="1" si="168"/>
        <v>-95798571378.546402</v>
      </c>
      <c r="L4438" s="444">
        <f t="shared" ca="1" si="169"/>
        <v>-23087455702229.684</v>
      </c>
      <c r="M4438" s="460">
        <f t="shared" si="171"/>
        <v>0.05</v>
      </c>
      <c r="N4438" s="464">
        <f t="shared" si="172"/>
        <v>186123</v>
      </c>
    </row>
    <row r="4439" spans="7:14" ht="11.25" customHeight="1" x14ac:dyDescent="0.3">
      <c r="G4439" s="459"/>
      <c r="H4439" s="459">
        <v>4432</v>
      </c>
      <c r="I4439" s="444">
        <f t="shared" ca="1" si="170"/>
        <v>-23087455702229.684</v>
      </c>
      <c r="J4439" s="444">
        <f t="array" ref="J4439">IFERROR(INDEX('Retirement Calculator'!K:K,MATCH('Lorri 401b'!N4439,'Retirement Calculator'!A:A,0),0),0)</f>
        <v>0</v>
      </c>
      <c r="K4439" s="444">
        <f t="shared" ca="1" si="168"/>
        <v>-96197732092.623688</v>
      </c>
      <c r="L4439" s="444">
        <f t="shared" ca="1" si="169"/>
        <v>-23183653434322.309</v>
      </c>
      <c r="M4439" s="460">
        <f t="shared" si="171"/>
        <v>0.05</v>
      </c>
      <c r="N4439" s="464">
        <f t="shared" si="172"/>
        <v>186154</v>
      </c>
    </row>
    <row r="4440" spans="7:14" ht="11.25" customHeight="1" x14ac:dyDescent="0.3">
      <c r="G4440" s="459"/>
      <c r="H4440" s="459">
        <v>4433</v>
      </c>
      <c r="I4440" s="444">
        <f t="shared" ca="1" si="170"/>
        <v>-23183653434322.309</v>
      </c>
      <c r="J4440" s="444">
        <f t="array" ref="J4440">IFERROR(INDEX('Retirement Calculator'!K:K,MATCH('Lorri 401b'!N4440,'Retirement Calculator'!A:A,0),0),0)</f>
        <v>0</v>
      </c>
      <c r="K4440" s="444">
        <f t="shared" ca="1" si="168"/>
        <v>-96598555976.342957</v>
      </c>
      <c r="L4440" s="444">
        <f t="shared" ca="1" si="169"/>
        <v>-23280251990298.652</v>
      </c>
      <c r="M4440" s="460">
        <f t="shared" si="171"/>
        <v>0.05</v>
      </c>
      <c r="N4440" s="464">
        <f t="shared" si="172"/>
        <v>186184</v>
      </c>
    </row>
    <row r="4441" spans="7:14" ht="11.25" customHeight="1" x14ac:dyDescent="0.3">
      <c r="G4441" s="459"/>
      <c r="H4441" s="459">
        <v>4434</v>
      </c>
      <c r="I4441" s="444">
        <f t="shared" ca="1" si="170"/>
        <v>-23280251990298.652</v>
      </c>
      <c r="J4441" s="444">
        <f t="array" ref="J4441">IFERROR(INDEX('Retirement Calculator'!K:K,MATCH('Lorri 401b'!N4441,'Retirement Calculator'!A:A,0),0),0)</f>
        <v>0</v>
      </c>
      <c r="K4441" s="444">
        <f t="shared" ca="1" si="168"/>
        <v>-97001049959.577713</v>
      </c>
      <c r="L4441" s="444">
        <f t="shared" ca="1" si="169"/>
        <v>-23377253040258.23</v>
      </c>
      <c r="M4441" s="460">
        <f t="shared" si="171"/>
        <v>0.05</v>
      </c>
      <c r="N4441" s="464">
        <f t="shared" si="172"/>
        <v>186215</v>
      </c>
    </row>
    <row r="4442" spans="7:14" ht="11.25" customHeight="1" x14ac:dyDescent="0.3">
      <c r="G4442" s="459"/>
      <c r="H4442" s="459">
        <v>4435</v>
      </c>
      <c r="I4442" s="444">
        <f t="shared" ca="1" si="170"/>
        <v>-23377253040258.23</v>
      </c>
      <c r="J4442" s="444">
        <f t="array" ref="J4442">IFERROR(INDEX('Retirement Calculator'!K:K,MATCH('Lorri 401b'!N4442,'Retirement Calculator'!A:A,0),0),0)</f>
        <v>0</v>
      </c>
      <c r="K4442" s="444">
        <f t="shared" ca="1" si="168"/>
        <v>-97405221001.075958</v>
      </c>
      <c r="L4442" s="444">
        <f t="shared" ca="1" si="169"/>
        <v>-23474658261259.305</v>
      </c>
      <c r="M4442" s="460">
        <f t="shared" si="171"/>
        <v>0.05</v>
      </c>
      <c r="N4442" s="464">
        <f t="shared" si="172"/>
        <v>186245</v>
      </c>
    </row>
    <row r="4443" spans="7:14" ht="11.25" customHeight="1" x14ac:dyDescent="0.3">
      <c r="G4443" s="459"/>
      <c r="H4443" s="459">
        <v>4436</v>
      </c>
      <c r="I4443" s="444">
        <f t="shared" ca="1" si="170"/>
        <v>-23474658261259.305</v>
      </c>
      <c r="J4443" s="444">
        <f t="array" ref="J4443">IFERROR(INDEX('Retirement Calculator'!K:K,MATCH('Lorri 401b'!N4443,'Retirement Calculator'!A:A,0),0),0)</f>
        <v>0</v>
      </c>
      <c r="K4443" s="444">
        <f t="shared" ca="1" si="168"/>
        <v>-97811076088.580429</v>
      </c>
      <c r="L4443" s="444">
        <f t="shared" ca="1" si="169"/>
        <v>-23572469337347.887</v>
      </c>
      <c r="M4443" s="460">
        <f t="shared" si="171"/>
        <v>0.05</v>
      </c>
      <c r="N4443" s="464">
        <f t="shared" si="172"/>
        <v>186276</v>
      </c>
    </row>
    <row r="4444" spans="7:14" ht="11.25" customHeight="1" x14ac:dyDescent="0.3">
      <c r="G4444" s="459"/>
      <c r="H4444" s="459">
        <v>4437</v>
      </c>
      <c r="I4444" s="444">
        <f t="shared" ca="1" si="170"/>
        <v>-23572469337347.887</v>
      </c>
      <c r="J4444" s="444">
        <f t="array" ref="J4444">IFERROR(INDEX('Retirement Calculator'!K:K,MATCH('Lorri 401b'!N4444,'Retirement Calculator'!A:A,0),0),0)</f>
        <v>0</v>
      </c>
      <c r="K4444" s="444">
        <f t="shared" ca="1" si="168"/>
        <v>-98218622238.949524</v>
      </c>
      <c r="L4444" s="444">
        <f t="shared" ca="1" si="169"/>
        <v>-23670687959586.836</v>
      </c>
      <c r="M4444" s="460">
        <f t="shared" si="171"/>
        <v>0.05</v>
      </c>
      <c r="N4444" s="464">
        <f t="shared" si="172"/>
        <v>186307</v>
      </c>
    </row>
    <row r="4445" spans="7:14" ht="11.25" customHeight="1" x14ac:dyDescent="0.3">
      <c r="G4445" s="459"/>
      <c r="H4445" s="459">
        <v>4438</v>
      </c>
      <c r="I4445" s="444">
        <f t="shared" ca="1" si="170"/>
        <v>-23670687959586.836</v>
      </c>
      <c r="J4445" s="444">
        <f t="array" ref="J4445">IFERROR(INDEX('Retirement Calculator'!K:K,MATCH('Lorri 401b'!N4445,'Retirement Calculator'!A:A,0),0),0)</f>
        <v>0</v>
      </c>
      <c r="K4445" s="444">
        <f t="shared" ca="1" si="168"/>
        <v>-98627866498.278488</v>
      </c>
      <c r="L4445" s="444">
        <f t="shared" ca="1" si="169"/>
        <v>-23769315826085.113</v>
      </c>
      <c r="M4445" s="460">
        <f t="shared" si="171"/>
        <v>0.05</v>
      </c>
      <c r="N4445" s="464">
        <f t="shared" si="172"/>
        <v>186335</v>
      </c>
    </row>
    <row r="4446" spans="7:14" ht="11.25" customHeight="1" x14ac:dyDescent="0.3">
      <c r="G4446" s="459"/>
      <c r="H4446" s="459">
        <v>4439</v>
      </c>
      <c r="I4446" s="444">
        <f t="shared" ca="1" si="170"/>
        <v>-23769315826085.113</v>
      </c>
      <c r="J4446" s="444">
        <f t="array" ref="J4446">IFERROR(INDEX('Retirement Calculator'!K:K,MATCH('Lorri 401b'!N4446,'Retirement Calculator'!A:A,0),0),0)</f>
        <v>0</v>
      </c>
      <c r="K4446" s="444">
        <f t="shared" ca="1" si="168"/>
        <v>-99038815942.021301</v>
      </c>
      <c r="L4446" s="444">
        <f t="shared" ca="1" si="169"/>
        <v>-23868354642027.133</v>
      </c>
      <c r="M4446" s="460">
        <f t="shared" si="171"/>
        <v>0.05</v>
      </c>
      <c r="N4446" s="464">
        <f t="shared" si="172"/>
        <v>186366</v>
      </c>
    </row>
    <row r="4447" spans="7:14" ht="11.25" customHeight="1" x14ac:dyDescent="0.3">
      <c r="G4447" s="459"/>
      <c r="H4447" s="459">
        <v>4440</v>
      </c>
      <c r="I4447" s="444">
        <f t="shared" ca="1" si="170"/>
        <v>-23868354642027.133</v>
      </c>
      <c r="J4447" s="444">
        <f t="array" ref="J4447">IFERROR(INDEX('Retirement Calculator'!K:K,MATCH('Lorri 401b'!N4447,'Retirement Calculator'!A:A,0),0),0)</f>
        <v>0</v>
      </c>
      <c r="K4447" s="444">
        <f t="shared" ca="1" si="168"/>
        <v>-99451477675.113052</v>
      </c>
      <c r="L4447" s="444">
        <f t="shared" ca="1" si="169"/>
        <v>-23967806119702.246</v>
      </c>
      <c r="M4447" s="460">
        <f t="shared" si="171"/>
        <v>0.05</v>
      </c>
      <c r="N4447" s="464">
        <f t="shared" si="172"/>
        <v>186396</v>
      </c>
    </row>
    <row r="4448" spans="7:14" ht="11.25" customHeight="1" x14ac:dyDescent="0.3">
      <c r="G4448" s="459"/>
      <c r="H4448" s="459">
        <v>4441</v>
      </c>
      <c r="I4448" s="444">
        <f t="shared" ca="1" si="170"/>
        <v>-23967806119702.246</v>
      </c>
      <c r="J4448" s="444">
        <f t="array" ref="J4448">IFERROR(INDEX('Retirement Calculator'!K:K,MATCH('Lorri 401b'!N4448,'Retirement Calculator'!A:A,0),0),0)</f>
        <v>0</v>
      </c>
      <c r="K4448" s="444">
        <f t="shared" ca="1" si="168"/>
        <v>-99865858832.092697</v>
      </c>
      <c r="L4448" s="444">
        <f t="shared" ca="1" si="169"/>
        <v>-24067671978534.34</v>
      </c>
      <c r="M4448" s="460">
        <f t="shared" si="171"/>
        <v>0.05</v>
      </c>
      <c r="N4448" s="464">
        <f t="shared" si="172"/>
        <v>186427</v>
      </c>
    </row>
    <row r="4449" spans="7:14" ht="11.25" customHeight="1" x14ac:dyDescent="0.3">
      <c r="G4449" s="459"/>
      <c r="H4449" s="459">
        <v>4442</v>
      </c>
      <c r="I4449" s="444">
        <f t="shared" ca="1" si="170"/>
        <v>-24067671978534.34</v>
      </c>
      <c r="J4449" s="444">
        <f t="array" ref="J4449">IFERROR(INDEX('Retirement Calculator'!K:K,MATCH('Lorri 401b'!N4449,'Retirement Calculator'!A:A,0),0),0)</f>
        <v>0</v>
      </c>
      <c r="K4449" s="444">
        <f t="shared" ca="1" si="168"/>
        <v>-100281966577.22641</v>
      </c>
      <c r="L4449" s="444">
        <f t="shared" ca="1" si="169"/>
        <v>-24167953945111.566</v>
      </c>
      <c r="M4449" s="460">
        <f t="shared" si="171"/>
        <v>0.05</v>
      </c>
      <c r="N4449" s="464">
        <f t="shared" si="172"/>
        <v>186457</v>
      </c>
    </row>
    <row r="4450" spans="7:14" ht="11.25" customHeight="1" x14ac:dyDescent="0.3">
      <c r="G4450" s="459"/>
      <c r="H4450" s="459">
        <v>4443</v>
      </c>
      <c r="I4450" s="444">
        <f t="shared" ca="1" si="170"/>
        <v>-24167953945111.566</v>
      </c>
      <c r="J4450" s="444">
        <f t="array" ref="J4450">IFERROR(INDEX('Retirement Calculator'!K:K,MATCH('Lorri 401b'!N4450,'Retirement Calculator'!A:A,0),0),0)</f>
        <v>0</v>
      </c>
      <c r="K4450" s="444">
        <f t="shared" ca="1" si="168"/>
        <v>-100699808104.63153</v>
      </c>
      <c r="L4450" s="444">
        <f t="shared" ca="1" si="169"/>
        <v>-24268653753216.199</v>
      </c>
      <c r="M4450" s="460">
        <f t="shared" si="171"/>
        <v>0.05</v>
      </c>
      <c r="N4450" s="464">
        <f t="shared" si="172"/>
        <v>186488</v>
      </c>
    </row>
    <row r="4451" spans="7:14" ht="11.25" customHeight="1" x14ac:dyDescent="0.3">
      <c r="G4451" s="459"/>
      <c r="H4451" s="459">
        <v>4444</v>
      </c>
      <c r="I4451" s="444">
        <f t="shared" ca="1" si="170"/>
        <v>-24268653753216.199</v>
      </c>
      <c r="J4451" s="444">
        <f t="array" ref="J4451">IFERROR(INDEX('Retirement Calculator'!K:K,MATCH('Lorri 401b'!N4451,'Retirement Calculator'!A:A,0),0),0)</f>
        <v>0</v>
      </c>
      <c r="K4451" s="444">
        <f t="shared" ca="1" si="168"/>
        <v>-101119390638.40083</v>
      </c>
      <c r="L4451" s="444">
        <f t="shared" ca="1" si="169"/>
        <v>-24369773143854.602</v>
      </c>
      <c r="M4451" s="460">
        <f t="shared" si="171"/>
        <v>0.05</v>
      </c>
      <c r="N4451" s="464">
        <f t="shared" si="172"/>
        <v>186519</v>
      </c>
    </row>
    <row r="4452" spans="7:14" ht="11.25" customHeight="1" x14ac:dyDescent="0.3">
      <c r="G4452" s="459"/>
      <c r="H4452" s="459">
        <v>4445</v>
      </c>
      <c r="I4452" s="444">
        <f t="shared" ca="1" si="170"/>
        <v>-24369773143854.602</v>
      </c>
      <c r="J4452" s="444">
        <f t="array" ref="J4452">IFERROR(INDEX('Retirement Calculator'!K:K,MATCH('Lorri 401b'!N4452,'Retirement Calculator'!A:A,0),0),0)</f>
        <v>0</v>
      </c>
      <c r="K4452" s="444">
        <f t="shared" ca="1" si="168"/>
        <v>-101540721432.72751</v>
      </c>
      <c r="L4452" s="444">
        <f t="shared" ca="1" si="169"/>
        <v>-24471313865287.328</v>
      </c>
      <c r="M4452" s="460">
        <f t="shared" si="171"/>
        <v>0.05</v>
      </c>
      <c r="N4452" s="464">
        <f t="shared" si="172"/>
        <v>186549</v>
      </c>
    </row>
    <row r="4453" spans="7:14" ht="11.25" customHeight="1" x14ac:dyDescent="0.3">
      <c r="G4453" s="459"/>
      <c r="H4453" s="459">
        <v>4446</v>
      </c>
      <c r="I4453" s="444">
        <f t="shared" ca="1" si="170"/>
        <v>-24471313865287.328</v>
      </c>
      <c r="J4453" s="444">
        <f t="array" ref="J4453">IFERROR(INDEX('Retirement Calculator'!K:K,MATCH('Lorri 401b'!N4453,'Retirement Calculator'!A:A,0),0),0)</f>
        <v>0</v>
      </c>
      <c r="K4453" s="444">
        <f t="shared" ca="1" si="168"/>
        <v>-101963807772.03053</v>
      </c>
      <c r="L4453" s="444">
        <f t="shared" ca="1" si="169"/>
        <v>-24573277673059.359</v>
      </c>
      <c r="M4453" s="460">
        <f t="shared" si="171"/>
        <v>0.05</v>
      </c>
      <c r="N4453" s="464">
        <f t="shared" si="172"/>
        <v>186580</v>
      </c>
    </row>
    <row r="4454" spans="7:14" ht="11.25" customHeight="1" x14ac:dyDescent="0.3">
      <c r="G4454" s="459"/>
      <c r="H4454" s="459">
        <v>4447</v>
      </c>
      <c r="I4454" s="444">
        <f t="shared" ca="1" si="170"/>
        <v>-24573277673059.359</v>
      </c>
      <c r="J4454" s="444">
        <f t="array" ref="J4454">IFERROR(INDEX('Retirement Calculator'!K:K,MATCH('Lorri 401b'!N4454,'Retirement Calculator'!A:A,0),0),0)</f>
        <v>0</v>
      </c>
      <c r="K4454" s="444">
        <f t="shared" ca="1" si="168"/>
        <v>-102388656971.08066</v>
      </c>
      <c r="L4454" s="444">
        <f t="shared" ca="1" si="169"/>
        <v>-24675666330030.441</v>
      </c>
      <c r="M4454" s="460">
        <f t="shared" si="171"/>
        <v>0.05</v>
      </c>
      <c r="N4454" s="464">
        <f t="shared" si="172"/>
        <v>186610</v>
      </c>
    </row>
    <row r="4455" spans="7:14" ht="11.25" customHeight="1" x14ac:dyDescent="0.3">
      <c r="G4455" s="459"/>
      <c r="H4455" s="459">
        <v>4448</v>
      </c>
      <c r="I4455" s="444">
        <f t="shared" ca="1" si="170"/>
        <v>-24675666330030.441</v>
      </c>
      <c r="J4455" s="444">
        <f t="array" ref="J4455">IFERROR(INDEX('Retirement Calculator'!K:K,MATCH('Lorri 401b'!N4455,'Retirement Calculator'!A:A,0),0),0)</f>
        <v>0</v>
      </c>
      <c r="K4455" s="444">
        <f t="shared" ca="1" si="168"/>
        <v>-102815276375.12683</v>
      </c>
      <c r="L4455" s="444">
        <f t="shared" ca="1" si="169"/>
        <v>-24778481606405.566</v>
      </c>
      <c r="M4455" s="460">
        <f t="shared" si="171"/>
        <v>0.05</v>
      </c>
      <c r="N4455" s="464">
        <f t="shared" si="172"/>
        <v>186641</v>
      </c>
    </row>
    <row r="4456" spans="7:14" ht="11.25" customHeight="1" x14ac:dyDescent="0.3">
      <c r="G4456" s="459"/>
      <c r="H4456" s="459">
        <v>4449</v>
      </c>
      <c r="I4456" s="444">
        <f t="shared" ca="1" si="170"/>
        <v>-24778481606405.566</v>
      </c>
      <c r="J4456" s="444">
        <f t="array" ref="J4456">IFERROR(INDEX('Retirement Calculator'!K:K,MATCH('Lorri 401b'!N4456,'Retirement Calculator'!A:A,0),0),0)</f>
        <v>0</v>
      </c>
      <c r="K4456" s="444">
        <f t="shared" ca="1" si="168"/>
        <v>-103243673360.02319</v>
      </c>
      <c r="L4456" s="444">
        <f t="shared" ca="1" si="169"/>
        <v>-24881725279765.59</v>
      </c>
      <c r="M4456" s="460">
        <f t="shared" si="171"/>
        <v>0.05</v>
      </c>
      <c r="N4456" s="464">
        <f t="shared" si="172"/>
        <v>186672</v>
      </c>
    </row>
    <row r="4457" spans="7:14" ht="11.25" customHeight="1" x14ac:dyDescent="0.3">
      <c r="G4457" s="459"/>
      <c r="H4457" s="459">
        <v>4450</v>
      </c>
      <c r="I4457" s="444">
        <f t="shared" ca="1" si="170"/>
        <v>-24881725279765.59</v>
      </c>
      <c r="J4457" s="444">
        <f t="array" ref="J4457">IFERROR(INDEX('Retirement Calculator'!K:K,MATCH('Lorri 401b'!N4457,'Retirement Calculator'!A:A,0),0),0)</f>
        <v>0</v>
      </c>
      <c r="K4457" s="444">
        <f t="shared" ca="1" si="168"/>
        <v>-103673855332.35663</v>
      </c>
      <c r="L4457" s="444">
        <f t="shared" ca="1" si="169"/>
        <v>-24985399135097.945</v>
      </c>
      <c r="M4457" s="460">
        <f t="shared" si="171"/>
        <v>0.05</v>
      </c>
      <c r="N4457" s="464">
        <f t="shared" si="172"/>
        <v>186700</v>
      </c>
    </row>
    <row r="4458" spans="7:14" ht="11.25" customHeight="1" x14ac:dyDescent="0.3">
      <c r="G4458" s="459"/>
      <c r="H4458" s="459">
        <v>4451</v>
      </c>
      <c r="I4458" s="444">
        <f t="shared" ca="1" si="170"/>
        <v>-24985399135097.945</v>
      </c>
      <c r="J4458" s="444">
        <f t="array" ref="J4458">IFERROR(INDEX('Retirement Calculator'!K:K,MATCH('Lorri 401b'!N4458,'Retirement Calculator'!A:A,0),0),0)</f>
        <v>0</v>
      </c>
      <c r="K4458" s="444">
        <f t="shared" ca="1" si="168"/>
        <v>-104105829729.57477</v>
      </c>
      <c r="L4458" s="444">
        <f t="shared" ca="1" si="169"/>
        <v>-25089504964827.52</v>
      </c>
      <c r="M4458" s="460">
        <f t="shared" si="171"/>
        <v>0.05</v>
      </c>
      <c r="N4458" s="464">
        <f t="shared" si="172"/>
        <v>186731</v>
      </c>
    </row>
    <row r="4459" spans="7:14" ht="11.25" customHeight="1" x14ac:dyDescent="0.3">
      <c r="G4459" s="459"/>
      <c r="H4459" s="459">
        <v>4452</v>
      </c>
      <c r="I4459" s="444">
        <f t="shared" ca="1" si="170"/>
        <v>-25089504964827.52</v>
      </c>
      <c r="J4459" s="444">
        <f t="array" ref="J4459">IFERROR(INDEX('Retirement Calculator'!K:K,MATCH('Lorri 401b'!N4459,'Retirement Calculator'!A:A,0),0),0)</f>
        <v>0</v>
      </c>
      <c r="K4459" s="444">
        <f t="shared" ca="1" si="168"/>
        <v>-104539604020.11467</v>
      </c>
      <c r="L4459" s="444">
        <f t="shared" ca="1" si="169"/>
        <v>-25194044568847.633</v>
      </c>
      <c r="M4459" s="460">
        <f t="shared" si="171"/>
        <v>0.05</v>
      </c>
      <c r="N4459" s="464">
        <f t="shared" si="172"/>
        <v>186761</v>
      </c>
    </row>
    <row r="4460" spans="7:14" ht="11.25" customHeight="1" x14ac:dyDescent="0.3">
      <c r="G4460" s="459"/>
      <c r="H4460" s="459">
        <v>4453</v>
      </c>
      <c r="I4460" s="444">
        <f t="shared" ca="1" si="170"/>
        <v>-25194044568847.633</v>
      </c>
      <c r="J4460" s="444">
        <f t="array" ref="J4460">IFERROR(INDEX('Retirement Calculator'!K:K,MATCH('Lorri 401b'!N4460,'Retirement Calculator'!A:A,0),0),0)</f>
        <v>0</v>
      </c>
      <c r="K4460" s="444">
        <f t="shared" ca="1" si="168"/>
        <v>-104975185703.5318</v>
      </c>
      <c r="L4460" s="444">
        <f t="shared" ca="1" si="169"/>
        <v>-25299019754551.164</v>
      </c>
      <c r="M4460" s="460">
        <f t="shared" si="171"/>
        <v>0.05</v>
      </c>
      <c r="N4460" s="464">
        <f t="shared" si="172"/>
        <v>186792</v>
      </c>
    </row>
    <row r="4461" spans="7:14" ht="11.25" customHeight="1" x14ac:dyDescent="0.3">
      <c r="G4461" s="459"/>
      <c r="H4461" s="459">
        <v>4454</v>
      </c>
      <c r="I4461" s="444">
        <f t="shared" ca="1" si="170"/>
        <v>-25299019754551.164</v>
      </c>
      <c r="J4461" s="444">
        <f t="array" ref="J4461">IFERROR(INDEX('Retirement Calculator'!K:K,MATCH('Lorri 401b'!N4461,'Retirement Calculator'!A:A,0),0),0)</f>
        <v>0</v>
      </c>
      <c r="K4461" s="444">
        <f t="shared" ca="1" si="168"/>
        <v>-105412582310.62985</v>
      </c>
      <c r="L4461" s="444">
        <f t="shared" ca="1" si="169"/>
        <v>-25404432336861.793</v>
      </c>
      <c r="M4461" s="460">
        <f t="shared" si="171"/>
        <v>0.05</v>
      </c>
      <c r="N4461" s="464">
        <f t="shared" si="172"/>
        <v>186822</v>
      </c>
    </row>
    <row r="4462" spans="7:14" ht="11.25" customHeight="1" x14ac:dyDescent="0.3">
      <c r="G4462" s="459"/>
      <c r="H4462" s="459">
        <v>4455</v>
      </c>
      <c r="I4462" s="444">
        <f t="shared" ca="1" si="170"/>
        <v>-25404432336861.793</v>
      </c>
      <c r="J4462" s="444">
        <f t="array" ref="J4462">IFERROR(INDEX('Retirement Calculator'!K:K,MATCH('Lorri 401b'!N4462,'Retirement Calculator'!A:A,0),0),0)</f>
        <v>0</v>
      </c>
      <c r="K4462" s="444">
        <f t="shared" ca="1" si="168"/>
        <v>-105851801403.59081</v>
      </c>
      <c r="L4462" s="444">
        <f t="shared" ca="1" si="169"/>
        <v>-25510284138265.383</v>
      </c>
      <c r="M4462" s="460">
        <f t="shared" si="171"/>
        <v>0.05</v>
      </c>
      <c r="N4462" s="464">
        <f t="shared" si="172"/>
        <v>186853</v>
      </c>
    </row>
    <row r="4463" spans="7:14" ht="11.25" customHeight="1" x14ac:dyDescent="0.3">
      <c r="G4463" s="459"/>
      <c r="H4463" s="459">
        <v>4456</v>
      </c>
      <c r="I4463" s="444">
        <f t="shared" ca="1" si="170"/>
        <v>-25510284138265.383</v>
      </c>
      <c r="J4463" s="444">
        <f t="array" ref="J4463">IFERROR(INDEX('Retirement Calculator'!K:K,MATCH('Lorri 401b'!N4463,'Retirement Calculator'!A:A,0),0),0)</f>
        <v>0</v>
      </c>
      <c r="K4463" s="444">
        <f t="shared" ca="1" si="168"/>
        <v>-106292850576.10576</v>
      </c>
      <c r="L4463" s="444">
        <f t="shared" ca="1" si="169"/>
        <v>-25616576988841.488</v>
      </c>
      <c r="M4463" s="460">
        <f t="shared" si="171"/>
        <v>0.05</v>
      </c>
      <c r="N4463" s="464">
        <f t="shared" si="172"/>
        <v>186884</v>
      </c>
    </row>
    <row r="4464" spans="7:14" ht="11.25" customHeight="1" x14ac:dyDescent="0.3">
      <c r="G4464" s="459"/>
      <c r="H4464" s="459">
        <v>4457</v>
      </c>
      <c r="I4464" s="444">
        <f t="shared" ca="1" si="170"/>
        <v>-25616576988841.488</v>
      </c>
      <c r="J4464" s="444">
        <f t="array" ref="J4464">IFERROR(INDEX('Retirement Calculator'!K:K,MATCH('Lorri 401b'!N4464,'Retirement Calculator'!A:A,0),0),0)</f>
        <v>0</v>
      </c>
      <c r="K4464" s="444">
        <f t="shared" ca="1" si="168"/>
        <v>-106735737453.5062</v>
      </c>
      <c r="L4464" s="444">
        <f t="shared" ca="1" si="169"/>
        <v>-25723312726294.996</v>
      </c>
      <c r="M4464" s="460">
        <f t="shared" si="171"/>
        <v>0.05</v>
      </c>
      <c r="N4464" s="464">
        <f t="shared" si="172"/>
        <v>186914</v>
      </c>
    </row>
    <row r="4465" spans="7:14" ht="11.25" customHeight="1" x14ac:dyDescent="0.3">
      <c r="G4465" s="459"/>
      <c r="H4465" s="459">
        <v>4458</v>
      </c>
      <c r="I4465" s="444">
        <f t="shared" ca="1" si="170"/>
        <v>-25723312726294.996</v>
      </c>
      <c r="J4465" s="444">
        <f t="array" ref="J4465">IFERROR(INDEX('Retirement Calculator'!K:K,MATCH('Lorri 401b'!N4465,'Retirement Calculator'!A:A,0),0),0)</f>
        <v>0</v>
      </c>
      <c r="K4465" s="444">
        <f t="shared" ca="1" si="168"/>
        <v>-107180469692.89581</v>
      </c>
      <c r="L4465" s="444">
        <f t="shared" ca="1" si="169"/>
        <v>-25830493195987.891</v>
      </c>
      <c r="M4465" s="460">
        <f t="shared" si="171"/>
        <v>0.05</v>
      </c>
      <c r="N4465" s="464">
        <f t="shared" si="172"/>
        <v>186945</v>
      </c>
    </row>
    <row r="4466" spans="7:14" ht="11.25" customHeight="1" x14ac:dyDescent="0.3">
      <c r="G4466" s="459"/>
      <c r="H4466" s="459">
        <v>4459</v>
      </c>
      <c r="I4466" s="444">
        <f t="shared" ca="1" si="170"/>
        <v>-25830493195987.891</v>
      </c>
      <c r="J4466" s="444">
        <f t="array" ref="J4466">IFERROR(INDEX('Retirement Calculator'!K:K,MATCH('Lorri 401b'!N4466,'Retirement Calculator'!A:A,0),0),0)</f>
        <v>0</v>
      </c>
      <c r="K4466" s="444">
        <f t="shared" ca="1" si="168"/>
        <v>-107627054983.28288</v>
      </c>
      <c r="L4466" s="444">
        <f t="shared" ca="1" si="169"/>
        <v>-25938120250971.172</v>
      </c>
      <c r="M4466" s="460">
        <f t="shared" si="171"/>
        <v>0.05</v>
      </c>
      <c r="N4466" s="464">
        <f t="shared" si="172"/>
        <v>186975</v>
      </c>
    </row>
    <row r="4467" spans="7:14" ht="11.25" customHeight="1" x14ac:dyDescent="0.3">
      <c r="G4467" s="459"/>
      <c r="H4467" s="459">
        <v>4460</v>
      </c>
      <c r="I4467" s="444">
        <f t="shared" ca="1" si="170"/>
        <v>-25938120250971.172</v>
      </c>
      <c r="J4467" s="444">
        <f t="array" ref="J4467">IFERROR(INDEX('Retirement Calculator'!K:K,MATCH('Lorri 401b'!N4467,'Retirement Calculator'!A:A,0),0),0)</f>
        <v>0</v>
      </c>
      <c r="K4467" s="444">
        <f t="shared" ca="1" si="168"/>
        <v>-108075501045.71321</v>
      </c>
      <c r="L4467" s="444">
        <f t="shared" ca="1" si="169"/>
        <v>-26046195752016.887</v>
      </c>
      <c r="M4467" s="460">
        <f t="shared" si="171"/>
        <v>0.05</v>
      </c>
      <c r="N4467" s="464">
        <f t="shared" si="172"/>
        <v>187006</v>
      </c>
    </row>
    <row r="4468" spans="7:14" ht="11.25" customHeight="1" x14ac:dyDescent="0.3">
      <c r="G4468" s="459"/>
      <c r="H4468" s="459">
        <v>4461</v>
      </c>
      <c r="I4468" s="444">
        <f t="shared" ca="1" si="170"/>
        <v>-26046195752016.887</v>
      </c>
      <c r="J4468" s="444">
        <f t="array" ref="J4468">IFERROR(INDEX('Retirement Calculator'!K:K,MATCH('Lorri 401b'!N4468,'Retirement Calculator'!A:A,0),0),0)</f>
        <v>0</v>
      </c>
      <c r="K4468" s="444">
        <f t="shared" ca="1" si="168"/>
        <v>-108525815633.40369</v>
      </c>
      <c r="L4468" s="444">
        <f t="shared" ca="1" si="169"/>
        <v>-26154721567650.289</v>
      </c>
      <c r="M4468" s="460">
        <f t="shared" si="171"/>
        <v>0.05</v>
      </c>
      <c r="N4468" s="464">
        <f t="shared" si="172"/>
        <v>187037</v>
      </c>
    </row>
    <row r="4469" spans="7:14" ht="11.25" customHeight="1" x14ac:dyDescent="0.3">
      <c r="G4469" s="459"/>
      <c r="H4469" s="459">
        <v>4462</v>
      </c>
      <c r="I4469" s="444">
        <f t="shared" ca="1" si="170"/>
        <v>-26154721567650.289</v>
      </c>
      <c r="J4469" s="444">
        <f t="array" ref="J4469">IFERROR(INDEX('Retirement Calculator'!K:K,MATCH('Lorri 401b'!N4469,'Retirement Calculator'!A:A,0),0),0)</f>
        <v>0</v>
      </c>
      <c r="K4469" s="444">
        <f t="shared" ca="1" si="168"/>
        <v>-108978006531.87621</v>
      </c>
      <c r="L4469" s="444">
        <f t="shared" ca="1" si="169"/>
        <v>-26263699574182.164</v>
      </c>
      <c r="M4469" s="460">
        <f t="shared" si="171"/>
        <v>0.05</v>
      </c>
      <c r="N4469" s="464">
        <f t="shared" si="172"/>
        <v>187066</v>
      </c>
    </row>
    <row r="4470" spans="7:14" ht="11.25" customHeight="1" x14ac:dyDescent="0.3">
      <c r="G4470" s="459"/>
      <c r="H4470" s="459">
        <v>4463</v>
      </c>
      <c r="I4470" s="444">
        <f t="shared" ca="1" si="170"/>
        <v>-26263699574182.164</v>
      </c>
      <c r="J4470" s="444">
        <f t="array" ref="J4470">IFERROR(INDEX('Retirement Calculator'!K:K,MATCH('Lorri 401b'!N4470,'Retirement Calculator'!A:A,0),0),0)</f>
        <v>0</v>
      </c>
      <c r="K4470" s="444">
        <f t="shared" ca="1" si="168"/>
        <v>-109432081559.09235</v>
      </c>
      <c r="L4470" s="444">
        <f t="shared" ca="1" si="169"/>
        <v>-26373131655741.258</v>
      </c>
      <c r="M4470" s="460">
        <f t="shared" si="171"/>
        <v>0.05</v>
      </c>
      <c r="N4470" s="464">
        <f t="shared" si="172"/>
        <v>187097</v>
      </c>
    </row>
    <row r="4471" spans="7:14" ht="11.25" customHeight="1" x14ac:dyDescent="0.3">
      <c r="G4471" s="459"/>
      <c r="H4471" s="459">
        <v>4464</v>
      </c>
      <c r="I4471" s="444">
        <f t="shared" ca="1" si="170"/>
        <v>-26373131655741.258</v>
      </c>
      <c r="J4471" s="444">
        <f t="array" ref="J4471">IFERROR(INDEX('Retirement Calculator'!K:K,MATCH('Lorri 401b'!N4471,'Retirement Calculator'!A:A,0),0),0)</f>
        <v>0</v>
      </c>
      <c r="K4471" s="444">
        <f t="shared" ca="1" si="168"/>
        <v>-109888048565.58858</v>
      </c>
      <c r="L4471" s="444">
        <f t="shared" ca="1" si="169"/>
        <v>-26483019704306.848</v>
      </c>
      <c r="M4471" s="460">
        <f t="shared" si="171"/>
        <v>0.05</v>
      </c>
      <c r="N4471" s="464">
        <f t="shared" si="172"/>
        <v>187127</v>
      </c>
    </row>
    <row r="4472" spans="7:14" ht="11.25" customHeight="1" x14ac:dyDescent="0.3">
      <c r="G4472" s="459"/>
      <c r="H4472" s="459">
        <v>4465</v>
      </c>
      <c r="I4472" s="444">
        <f t="shared" ca="1" si="170"/>
        <v>-26483019704306.848</v>
      </c>
      <c r="J4472" s="444">
        <f t="array" ref="J4472">IFERROR(INDEX('Retirement Calculator'!K:K,MATCH('Lorri 401b'!N4472,'Retirement Calculator'!A:A,0),0),0)</f>
        <v>0</v>
      </c>
      <c r="K4472" s="444">
        <f t="shared" ca="1" si="168"/>
        <v>-110345915434.61186</v>
      </c>
      <c r="L4472" s="444">
        <f t="shared" ca="1" si="169"/>
        <v>-26593365619741.461</v>
      </c>
      <c r="M4472" s="460">
        <f t="shared" si="171"/>
        <v>0.05</v>
      </c>
      <c r="N4472" s="464">
        <f t="shared" si="172"/>
        <v>187158</v>
      </c>
    </row>
    <row r="4473" spans="7:14" ht="11.25" customHeight="1" x14ac:dyDescent="0.3">
      <c r="G4473" s="459"/>
      <c r="H4473" s="459">
        <v>4466</v>
      </c>
      <c r="I4473" s="444">
        <f t="shared" ca="1" si="170"/>
        <v>-26593365619741.461</v>
      </c>
      <c r="J4473" s="444">
        <f t="array" ref="J4473">IFERROR(INDEX('Retirement Calculator'!K:K,MATCH('Lorri 401b'!N4473,'Retirement Calculator'!A:A,0),0),0)</f>
        <v>0</v>
      </c>
      <c r="K4473" s="444">
        <f t="shared" ca="1" si="168"/>
        <v>-110805690082.25609</v>
      </c>
      <c r="L4473" s="444">
        <f t="shared" ca="1" si="169"/>
        <v>-26704171309823.719</v>
      </c>
      <c r="M4473" s="460">
        <f t="shared" si="171"/>
        <v>0.05</v>
      </c>
      <c r="N4473" s="464">
        <f t="shared" si="172"/>
        <v>187188</v>
      </c>
    </row>
    <row r="4474" spans="7:14" ht="11.25" customHeight="1" x14ac:dyDescent="0.3">
      <c r="G4474" s="459"/>
      <c r="H4474" s="459">
        <v>4467</v>
      </c>
      <c r="I4474" s="444">
        <f t="shared" ca="1" si="170"/>
        <v>-26704171309823.719</v>
      </c>
      <c r="J4474" s="444">
        <f t="array" ref="J4474">IFERROR(INDEX('Retirement Calculator'!K:K,MATCH('Lorri 401b'!N4474,'Retirement Calculator'!A:A,0),0),0)</f>
        <v>0</v>
      </c>
      <c r="K4474" s="444">
        <f t="shared" ca="1" si="168"/>
        <v>-111267380457.59883</v>
      </c>
      <c r="L4474" s="444">
        <f t="shared" ca="1" si="169"/>
        <v>-26815438690281.316</v>
      </c>
      <c r="M4474" s="460">
        <f t="shared" si="171"/>
        <v>0.05</v>
      </c>
      <c r="N4474" s="464">
        <f t="shared" si="172"/>
        <v>187219</v>
      </c>
    </row>
    <row r="4475" spans="7:14" ht="11.25" customHeight="1" x14ac:dyDescent="0.3">
      <c r="G4475" s="459"/>
      <c r="H4475" s="459">
        <v>4468</v>
      </c>
      <c r="I4475" s="444">
        <f t="shared" ca="1" si="170"/>
        <v>-26815438690281.316</v>
      </c>
      <c r="J4475" s="444">
        <f t="array" ref="J4475">IFERROR(INDEX('Retirement Calculator'!K:K,MATCH('Lorri 401b'!N4475,'Retirement Calculator'!A:A,0),0),0)</f>
        <v>0</v>
      </c>
      <c r="K4475" s="444">
        <f t="shared" ca="1" si="168"/>
        <v>-111730994542.83882</v>
      </c>
      <c r="L4475" s="444">
        <f t="shared" ca="1" si="169"/>
        <v>-26927169684824.156</v>
      </c>
      <c r="M4475" s="460">
        <f t="shared" si="171"/>
        <v>0.05</v>
      </c>
      <c r="N4475" s="464">
        <f t="shared" si="172"/>
        <v>187250</v>
      </c>
    </row>
    <row r="4476" spans="7:14" ht="11.25" customHeight="1" x14ac:dyDescent="0.3">
      <c r="G4476" s="459"/>
      <c r="H4476" s="459">
        <v>4469</v>
      </c>
      <c r="I4476" s="444">
        <f t="shared" ca="1" si="170"/>
        <v>-26927169684824.156</v>
      </c>
      <c r="J4476" s="444">
        <f t="array" ref="J4476">IFERROR(INDEX('Retirement Calculator'!K:K,MATCH('Lorri 401b'!N4476,'Retirement Calculator'!A:A,0),0),0)</f>
        <v>0</v>
      </c>
      <c r="K4476" s="444">
        <f t="shared" ca="1" si="168"/>
        <v>-112196540353.43398</v>
      </c>
      <c r="L4476" s="444">
        <f t="shared" ca="1" si="169"/>
        <v>-27039366225177.59</v>
      </c>
      <c r="M4476" s="460">
        <f t="shared" si="171"/>
        <v>0.05</v>
      </c>
      <c r="N4476" s="464">
        <f t="shared" si="172"/>
        <v>187280</v>
      </c>
    </row>
    <row r="4477" spans="7:14" ht="11.25" customHeight="1" x14ac:dyDescent="0.3">
      <c r="G4477" s="459"/>
      <c r="H4477" s="459">
        <v>4470</v>
      </c>
      <c r="I4477" s="444">
        <f t="shared" ca="1" si="170"/>
        <v>-27039366225177.59</v>
      </c>
      <c r="J4477" s="444">
        <f t="array" ref="J4477">IFERROR(INDEX('Retirement Calculator'!K:K,MATCH('Lorri 401b'!N4477,'Retirement Calculator'!A:A,0),0),0)</f>
        <v>0</v>
      </c>
      <c r="K4477" s="444">
        <f t="shared" ca="1" si="168"/>
        <v>-112664025938.23996</v>
      </c>
      <c r="L4477" s="444">
        <f t="shared" ca="1" si="169"/>
        <v>-27152030251115.828</v>
      </c>
      <c r="M4477" s="460">
        <f t="shared" si="171"/>
        <v>0.05</v>
      </c>
      <c r="N4477" s="464">
        <f t="shared" si="172"/>
        <v>187311</v>
      </c>
    </row>
    <row r="4478" spans="7:14" ht="11.25" customHeight="1" x14ac:dyDescent="0.3">
      <c r="G4478" s="459"/>
      <c r="H4478" s="459">
        <v>4471</v>
      </c>
      <c r="I4478" s="444">
        <f t="shared" ca="1" si="170"/>
        <v>-27152030251115.828</v>
      </c>
      <c r="J4478" s="444">
        <f t="array" ref="J4478">IFERROR(INDEX('Retirement Calculator'!K:K,MATCH('Lorri 401b'!N4478,'Retirement Calculator'!A:A,0),0),0)</f>
        <v>0</v>
      </c>
      <c r="K4478" s="444">
        <f t="shared" ca="1" si="168"/>
        <v>-113133459379.64928</v>
      </c>
      <c r="L4478" s="444">
        <f t="shared" ca="1" si="169"/>
        <v>-27265163710495.477</v>
      </c>
      <c r="M4478" s="460">
        <f t="shared" si="171"/>
        <v>0.05</v>
      </c>
      <c r="N4478" s="464">
        <f t="shared" si="172"/>
        <v>187341</v>
      </c>
    </row>
    <row r="4479" spans="7:14" ht="11.25" customHeight="1" x14ac:dyDescent="0.3">
      <c r="G4479" s="459"/>
      <c r="H4479" s="459">
        <v>4472</v>
      </c>
      <c r="I4479" s="444">
        <f t="shared" ca="1" si="170"/>
        <v>-27265163710495.477</v>
      </c>
      <c r="J4479" s="444">
        <f t="array" ref="J4479">IFERROR(INDEX('Retirement Calculator'!K:K,MATCH('Lorri 401b'!N4479,'Retirement Calculator'!A:A,0),0),0)</f>
        <v>0</v>
      </c>
      <c r="K4479" s="444">
        <f t="shared" ca="1" si="168"/>
        <v>-113604848793.73116</v>
      </c>
      <c r="L4479" s="444">
        <f t="shared" ca="1" si="169"/>
        <v>-27378768559289.207</v>
      </c>
      <c r="M4479" s="460">
        <f t="shared" si="171"/>
        <v>0.05</v>
      </c>
      <c r="N4479" s="464">
        <f t="shared" si="172"/>
        <v>187372</v>
      </c>
    </row>
    <row r="4480" spans="7:14" ht="11.25" customHeight="1" x14ac:dyDescent="0.3">
      <c r="G4480" s="459"/>
      <c r="H4480" s="459">
        <v>4473</v>
      </c>
      <c r="I4480" s="444">
        <f t="shared" ca="1" si="170"/>
        <v>-27378768559289.207</v>
      </c>
      <c r="J4480" s="444">
        <f t="array" ref="J4480">IFERROR(INDEX('Retirement Calculator'!K:K,MATCH('Lorri 401b'!N4480,'Retirement Calculator'!A:A,0),0),0)</f>
        <v>0</v>
      </c>
      <c r="K4480" s="444">
        <f t="shared" ca="1" si="168"/>
        <v>-114078202330.37169</v>
      </c>
      <c r="L4480" s="444">
        <f t="shared" ca="1" si="169"/>
        <v>-27492846761619.578</v>
      </c>
      <c r="M4480" s="460">
        <f t="shared" si="171"/>
        <v>0.05</v>
      </c>
      <c r="N4480" s="464">
        <f t="shared" si="172"/>
        <v>187403</v>
      </c>
    </row>
    <row r="4481" spans="7:14" ht="11.25" customHeight="1" x14ac:dyDescent="0.3">
      <c r="G4481" s="459"/>
      <c r="H4481" s="459">
        <v>4474</v>
      </c>
      <c r="I4481" s="444">
        <f t="shared" ca="1" si="170"/>
        <v>-27492846761619.578</v>
      </c>
      <c r="J4481" s="444">
        <f t="array" ref="J4481">IFERROR(INDEX('Retirement Calculator'!K:K,MATCH('Lorri 401b'!N4481,'Retirement Calculator'!A:A,0),0),0)</f>
        <v>0</v>
      </c>
      <c r="K4481" s="444">
        <f t="shared" ca="1" si="168"/>
        <v>-114553528173.4149</v>
      </c>
      <c r="L4481" s="444">
        <f t="shared" ca="1" si="169"/>
        <v>-27607400289792.992</v>
      </c>
      <c r="M4481" s="460">
        <f t="shared" si="171"/>
        <v>0.05</v>
      </c>
      <c r="N4481" s="464">
        <f t="shared" si="172"/>
        <v>187431</v>
      </c>
    </row>
    <row r="4482" spans="7:14" ht="11.25" customHeight="1" x14ac:dyDescent="0.3">
      <c r="G4482" s="459"/>
      <c r="H4482" s="459">
        <v>4475</v>
      </c>
      <c r="I4482" s="444">
        <f t="shared" ca="1" si="170"/>
        <v>-27607400289792.992</v>
      </c>
      <c r="J4482" s="444">
        <f t="array" ref="J4482">IFERROR(INDEX('Retirement Calculator'!K:K,MATCH('Lorri 401b'!N4482,'Retirement Calculator'!A:A,0),0),0)</f>
        <v>0</v>
      </c>
      <c r="K4482" s="444">
        <f t="shared" ca="1" si="168"/>
        <v>-115030834540.80412</v>
      </c>
      <c r="L4482" s="444">
        <f t="shared" ca="1" si="169"/>
        <v>-27722431124333.797</v>
      </c>
      <c r="M4482" s="460">
        <f t="shared" si="171"/>
        <v>0.05</v>
      </c>
      <c r="N4482" s="464">
        <f t="shared" si="172"/>
        <v>187462</v>
      </c>
    </row>
    <row r="4483" spans="7:14" ht="11.25" customHeight="1" x14ac:dyDescent="0.3">
      <c r="G4483" s="459"/>
      <c r="H4483" s="459">
        <v>4476</v>
      </c>
      <c r="I4483" s="444">
        <f t="shared" ca="1" si="170"/>
        <v>-27722431124333.797</v>
      </c>
      <c r="J4483" s="444">
        <f t="array" ref="J4483">IFERROR(INDEX('Retirement Calculator'!K:K,MATCH('Lorri 401b'!N4483,'Retirement Calculator'!A:A,0),0),0)</f>
        <v>0</v>
      </c>
      <c r="K4483" s="444">
        <f t="shared" ca="1" si="168"/>
        <v>-115510129684.72414</v>
      </c>
      <c r="L4483" s="444">
        <f t="shared" ca="1" si="169"/>
        <v>-27837941254018.52</v>
      </c>
      <c r="M4483" s="460">
        <f t="shared" si="171"/>
        <v>0.05</v>
      </c>
      <c r="N4483" s="464">
        <f t="shared" si="172"/>
        <v>187492</v>
      </c>
    </row>
    <row r="4484" spans="7:14" ht="11.25" customHeight="1" x14ac:dyDescent="0.3">
      <c r="G4484" s="459"/>
      <c r="H4484" s="459">
        <v>4477</v>
      </c>
      <c r="I4484" s="444">
        <f t="shared" ca="1" si="170"/>
        <v>-27837941254018.52</v>
      </c>
      <c r="J4484" s="444">
        <f t="array" ref="J4484">IFERROR(INDEX('Retirement Calculator'!K:K,MATCH('Lorri 401b'!N4484,'Retirement Calculator'!A:A,0),0),0)</f>
        <v>0</v>
      </c>
      <c r="K4484" s="444">
        <f t="shared" ca="1" si="168"/>
        <v>-115991421891.74384</v>
      </c>
      <c r="L4484" s="444">
        <f t="shared" ca="1" si="169"/>
        <v>-27953932675910.262</v>
      </c>
      <c r="M4484" s="460">
        <f t="shared" si="171"/>
        <v>0.05</v>
      </c>
      <c r="N4484" s="464">
        <f t="shared" si="172"/>
        <v>187523</v>
      </c>
    </row>
    <row r="4485" spans="7:14" ht="11.25" customHeight="1" x14ac:dyDescent="0.3">
      <c r="G4485" s="459"/>
      <c r="H4485" s="459">
        <v>4478</v>
      </c>
      <c r="I4485" s="444">
        <f t="shared" ca="1" si="170"/>
        <v>-27953932675910.262</v>
      </c>
      <c r="J4485" s="444">
        <f t="array" ref="J4485">IFERROR(INDEX('Retirement Calculator'!K:K,MATCH('Lorri 401b'!N4485,'Retirement Calculator'!A:A,0),0),0)</f>
        <v>0</v>
      </c>
      <c r="K4485" s="444">
        <f t="shared" ca="1" si="168"/>
        <v>-116474719482.95943</v>
      </c>
      <c r="L4485" s="444">
        <f t="shared" ca="1" si="169"/>
        <v>-28070407395393.223</v>
      </c>
      <c r="M4485" s="460">
        <f t="shared" si="171"/>
        <v>0.05</v>
      </c>
      <c r="N4485" s="464">
        <f t="shared" si="172"/>
        <v>187553</v>
      </c>
    </row>
    <row r="4486" spans="7:14" ht="11.25" customHeight="1" x14ac:dyDescent="0.3">
      <c r="G4486" s="459"/>
      <c r="H4486" s="459">
        <v>4479</v>
      </c>
      <c r="I4486" s="444">
        <f t="shared" ca="1" si="170"/>
        <v>-28070407395393.223</v>
      </c>
      <c r="J4486" s="444">
        <f t="array" ref="J4486">IFERROR(INDEX('Retirement Calculator'!K:K,MATCH('Lorri 401b'!N4486,'Retirement Calculator'!A:A,0),0),0)</f>
        <v>0</v>
      </c>
      <c r="K4486" s="444">
        <f t="shared" ca="1" si="168"/>
        <v>-116960030814.13841</v>
      </c>
      <c r="L4486" s="444">
        <f t="shared" ca="1" si="169"/>
        <v>-28187367426207.359</v>
      </c>
      <c r="M4486" s="460">
        <f t="shared" si="171"/>
        <v>0.05</v>
      </c>
      <c r="N4486" s="464">
        <f t="shared" si="172"/>
        <v>187584</v>
      </c>
    </row>
    <row r="4487" spans="7:14" ht="11.25" customHeight="1" x14ac:dyDescent="0.3">
      <c r="G4487" s="459"/>
      <c r="H4487" s="459">
        <v>4480</v>
      </c>
      <c r="I4487" s="444">
        <f t="shared" ca="1" si="170"/>
        <v>-28187367426207.359</v>
      </c>
      <c r="J4487" s="444">
        <f t="array" ref="J4487">IFERROR(INDEX('Retirement Calculator'!K:K,MATCH('Lorri 401b'!N4487,'Retirement Calculator'!A:A,0),0),0)</f>
        <v>0</v>
      </c>
      <c r="K4487" s="444">
        <f t="shared" ca="1" si="168"/>
        <v>-117447364275.864</v>
      </c>
      <c r="L4487" s="444">
        <f t="shared" ca="1" si="169"/>
        <v>-28304814790483.223</v>
      </c>
      <c r="M4487" s="460">
        <f t="shared" si="171"/>
        <v>0.05</v>
      </c>
      <c r="N4487" s="464">
        <f t="shared" si="172"/>
        <v>187615</v>
      </c>
    </row>
    <row r="4488" spans="7:14" ht="11.25" customHeight="1" x14ac:dyDescent="0.3">
      <c r="G4488" s="459"/>
      <c r="H4488" s="459">
        <v>4481</v>
      </c>
      <c r="I4488" s="444">
        <f t="shared" ca="1" si="170"/>
        <v>-28304814790483.223</v>
      </c>
      <c r="J4488" s="444">
        <f t="array" ref="J4488">IFERROR(INDEX('Retirement Calculator'!K:K,MATCH('Lorri 401b'!N4488,'Retirement Calculator'!A:A,0),0),0)</f>
        <v>0</v>
      </c>
      <c r="K4488" s="444">
        <f t="shared" ca="1" si="168"/>
        <v>-117936728293.6801</v>
      </c>
      <c r="L4488" s="444">
        <f t="shared" ca="1" si="169"/>
        <v>-28422751518776.902</v>
      </c>
      <c r="M4488" s="460">
        <f t="shared" si="171"/>
        <v>0.05</v>
      </c>
      <c r="N4488" s="464">
        <f t="shared" si="172"/>
        <v>187645</v>
      </c>
    </row>
    <row r="4489" spans="7:14" ht="11.25" customHeight="1" x14ac:dyDescent="0.3">
      <c r="G4489" s="459"/>
      <c r="H4489" s="459">
        <v>4482</v>
      </c>
      <c r="I4489" s="444">
        <f t="shared" ca="1" si="170"/>
        <v>-28422751518776.902</v>
      </c>
      <c r="J4489" s="444">
        <f t="array" ref="J4489">IFERROR(INDEX('Retirement Calculator'!K:K,MATCH('Lorri 401b'!N4489,'Retirement Calculator'!A:A,0),0),0)</f>
        <v>0</v>
      </c>
      <c r="K4489" s="444">
        <f t="shared" ca="1" si="168"/>
        <v>-118428131328.23711</v>
      </c>
      <c r="L4489" s="444">
        <f t="shared" ca="1" si="169"/>
        <v>-28541179650105.141</v>
      </c>
      <c r="M4489" s="460">
        <f t="shared" si="171"/>
        <v>0.05</v>
      </c>
      <c r="N4489" s="464">
        <f t="shared" si="172"/>
        <v>187676</v>
      </c>
    </row>
    <row r="4490" spans="7:14" ht="11.25" customHeight="1" x14ac:dyDescent="0.3">
      <c r="G4490" s="459"/>
      <c r="H4490" s="459">
        <v>4483</v>
      </c>
      <c r="I4490" s="444">
        <f t="shared" ca="1" si="170"/>
        <v>-28541179650105.141</v>
      </c>
      <c r="J4490" s="444">
        <f t="array" ref="J4490">IFERROR(INDEX('Retirement Calculator'!K:K,MATCH('Lorri 401b'!N4490,'Retirement Calculator'!A:A,0),0),0)</f>
        <v>0</v>
      </c>
      <c r="K4490" s="444">
        <f t="shared" ca="1" si="168"/>
        <v>-118921581875.43806</v>
      </c>
      <c r="L4490" s="444">
        <f t="shared" ca="1" si="169"/>
        <v>-28660101231980.578</v>
      </c>
      <c r="M4490" s="460">
        <f t="shared" si="171"/>
        <v>0.05</v>
      </c>
      <c r="N4490" s="464">
        <f t="shared" si="172"/>
        <v>187706</v>
      </c>
    </row>
    <row r="4491" spans="7:14" ht="11.25" customHeight="1" x14ac:dyDescent="0.3">
      <c r="G4491" s="459"/>
      <c r="H4491" s="459">
        <v>4484</v>
      </c>
      <c r="I4491" s="444">
        <f t="shared" ca="1" si="170"/>
        <v>-28660101231980.578</v>
      </c>
      <c r="J4491" s="444">
        <f t="array" ref="J4491">IFERROR(INDEX('Retirement Calculator'!K:K,MATCH('Lorri 401b'!N4491,'Retirement Calculator'!A:A,0),0),0)</f>
        <v>0</v>
      </c>
      <c r="K4491" s="444">
        <f t="shared" ca="1" si="168"/>
        <v>-119417088466.58574</v>
      </c>
      <c r="L4491" s="444">
        <f t="shared" ca="1" si="169"/>
        <v>-28779518320447.164</v>
      </c>
      <c r="M4491" s="460">
        <f t="shared" si="171"/>
        <v>0.05</v>
      </c>
      <c r="N4491" s="464">
        <f t="shared" si="172"/>
        <v>187737</v>
      </c>
    </row>
    <row r="4492" spans="7:14" ht="11.25" customHeight="1" x14ac:dyDescent="0.3">
      <c r="G4492" s="459"/>
      <c r="H4492" s="459">
        <v>4485</v>
      </c>
      <c r="I4492" s="444">
        <f t="shared" ca="1" si="170"/>
        <v>-28779518320447.164</v>
      </c>
      <c r="J4492" s="444">
        <f t="array" ref="J4492">IFERROR(INDEX('Retirement Calculator'!K:K,MATCH('Lorri 401b'!N4492,'Retirement Calculator'!A:A,0),0),0)</f>
        <v>0</v>
      </c>
      <c r="K4492" s="444">
        <f t="shared" ca="1" si="168"/>
        <v>-119914659668.52983</v>
      </c>
      <c r="L4492" s="444">
        <f t="shared" ca="1" si="169"/>
        <v>-28899432980115.695</v>
      </c>
      <c r="M4492" s="460">
        <f t="shared" si="171"/>
        <v>0.05</v>
      </c>
      <c r="N4492" s="464">
        <f t="shared" si="172"/>
        <v>187768</v>
      </c>
    </row>
    <row r="4493" spans="7:14" ht="11.25" customHeight="1" x14ac:dyDescent="0.3">
      <c r="G4493" s="459"/>
      <c r="H4493" s="459">
        <v>4486</v>
      </c>
      <c r="I4493" s="444">
        <f t="shared" ca="1" si="170"/>
        <v>-28899432980115.695</v>
      </c>
      <c r="J4493" s="444">
        <f t="array" ref="J4493">IFERROR(INDEX('Retirement Calculator'!K:K,MATCH('Lorri 401b'!N4493,'Retirement Calculator'!A:A,0),0),0)</f>
        <v>0</v>
      </c>
      <c r="K4493" s="444">
        <f t="shared" ca="1" si="168"/>
        <v>-120414304083.8154</v>
      </c>
      <c r="L4493" s="444">
        <f t="shared" ca="1" si="169"/>
        <v>-29019847284199.512</v>
      </c>
      <c r="M4493" s="460">
        <f t="shared" si="171"/>
        <v>0.05</v>
      </c>
      <c r="N4493" s="464">
        <f t="shared" si="172"/>
        <v>187796</v>
      </c>
    </row>
    <row r="4494" spans="7:14" ht="11.25" customHeight="1" x14ac:dyDescent="0.3">
      <c r="G4494" s="459"/>
      <c r="H4494" s="459">
        <v>4487</v>
      </c>
      <c r="I4494" s="444">
        <f t="shared" ca="1" si="170"/>
        <v>-29019847284199.512</v>
      </c>
      <c r="J4494" s="444">
        <f t="array" ref="J4494">IFERROR(INDEX('Retirement Calculator'!K:K,MATCH('Lorri 401b'!N4494,'Retirement Calculator'!A:A,0),0),0)</f>
        <v>0</v>
      </c>
      <c r="K4494" s="444">
        <f t="shared" ca="1" si="168"/>
        <v>-120916030350.83128</v>
      </c>
      <c r="L4494" s="444">
        <f t="shared" ca="1" si="169"/>
        <v>-29140763314550.344</v>
      </c>
      <c r="M4494" s="460">
        <f t="shared" si="171"/>
        <v>0.05</v>
      </c>
      <c r="N4494" s="464">
        <f t="shared" si="172"/>
        <v>187827</v>
      </c>
    </row>
    <row r="4495" spans="7:14" ht="11.25" customHeight="1" x14ac:dyDescent="0.3">
      <c r="G4495" s="459"/>
      <c r="H4495" s="459">
        <v>4488</v>
      </c>
      <c r="I4495" s="444">
        <f t="shared" ca="1" si="170"/>
        <v>-29140763314550.344</v>
      </c>
      <c r="J4495" s="444">
        <f t="array" ref="J4495">IFERROR(INDEX('Retirement Calculator'!K:K,MATCH('Lorri 401b'!N4495,'Retirement Calculator'!A:A,0),0),0)</f>
        <v>0</v>
      </c>
      <c r="K4495" s="444">
        <f t="shared" ca="1" si="168"/>
        <v>-121419847143.95976</v>
      </c>
      <c r="L4495" s="444">
        <f t="shared" ca="1" si="169"/>
        <v>-29262183161694.305</v>
      </c>
      <c r="M4495" s="460">
        <f t="shared" si="171"/>
        <v>0.05</v>
      </c>
      <c r="N4495" s="464">
        <f t="shared" si="172"/>
        <v>187857</v>
      </c>
    </row>
    <row r="4496" spans="7:14" ht="11.25" customHeight="1" x14ac:dyDescent="0.3">
      <c r="G4496" s="459"/>
      <c r="H4496" s="459">
        <v>4489</v>
      </c>
      <c r="I4496" s="444">
        <f t="shared" ca="1" si="170"/>
        <v>-29262183161694.305</v>
      </c>
      <c r="J4496" s="444">
        <f t="array" ref="J4496">IFERROR(INDEX('Retirement Calculator'!K:K,MATCH('Lorri 401b'!N4496,'Retirement Calculator'!A:A,0),0),0)</f>
        <v>0</v>
      </c>
      <c r="K4496" s="444">
        <f t="shared" ca="1" si="168"/>
        <v>-121925763173.72629</v>
      </c>
      <c r="L4496" s="444">
        <f t="shared" ca="1" si="169"/>
        <v>-29384108924868.031</v>
      </c>
      <c r="M4496" s="460">
        <f t="shared" si="171"/>
        <v>0.05</v>
      </c>
      <c r="N4496" s="464">
        <f t="shared" si="172"/>
        <v>187888</v>
      </c>
    </row>
    <row r="4497" spans="7:14" ht="11.25" customHeight="1" x14ac:dyDescent="0.3">
      <c r="G4497" s="459"/>
      <c r="H4497" s="459">
        <v>4490</v>
      </c>
      <c r="I4497" s="444">
        <f t="shared" ca="1" si="170"/>
        <v>-29384108924868.031</v>
      </c>
      <c r="J4497" s="444">
        <f t="array" ref="J4497">IFERROR(INDEX('Retirement Calculator'!K:K,MATCH('Lorri 401b'!N4497,'Retirement Calculator'!A:A,0),0),0)</f>
        <v>0</v>
      </c>
      <c r="K4497" s="444">
        <f t="shared" ca="1" si="168"/>
        <v>-122433787186.95013</v>
      </c>
      <c r="L4497" s="444">
        <f t="shared" ca="1" si="169"/>
        <v>-29506542712054.98</v>
      </c>
      <c r="M4497" s="460">
        <f t="shared" si="171"/>
        <v>0.05</v>
      </c>
      <c r="N4497" s="464">
        <f t="shared" si="172"/>
        <v>187918</v>
      </c>
    </row>
    <row r="4498" spans="7:14" ht="11.25" customHeight="1" x14ac:dyDescent="0.3">
      <c r="G4498" s="459"/>
      <c r="H4498" s="459">
        <v>4491</v>
      </c>
      <c r="I4498" s="444">
        <f t="shared" ca="1" si="170"/>
        <v>-29506542712054.98</v>
      </c>
      <c r="J4498" s="444">
        <f t="array" ref="J4498">IFERROR(INDEX('Retirement Calculator'!K:K,MATCH('Lorri 401b'!N4498,'Retirement Calculator'!A:A,0),0),0)</f>
        <v>0</v>
      </c>
      <c r="K4498" s="444">
        <f t="shared" ca="1" si="168"/>
        <v>-122943927966.89577</v>
      </c>
      <c r="L4498" s="444">
        <f t="shared" ca="1" si="169"/>
        <v>-29629486640021.875</v>
      </c>
      <c r="M4498" s="460">
        <f t="shared" si="171"/>
        <v>0.05</v>
      </c>
      <c r="N4498" s="464">
        <f t="shared" si="172"/>
        <v>187949</v>
      </c>
    </row>
    <row r="4499" spans="7:14" ht="11.25" customHeight="1" x14ac:dyDescent="0.3">
      <c r="G4499" s="459"/>
      <c r="H4499" s="459">
        <v>4492</v>
      </c>
      <c r="I4499" s="444">
        <f t="shared" ca="1" si="170"/>
        <v>-29629486640021.875</v>
      </c>
      <c r="J4499" s="444">
        <f t="array" ref="J4499">IFERROR(INDEX('Retirement Calculator'!K:K,MATCH('Lorri 401b'!N4499,'Retirement Calculator'!A:A,0),0),0)</f>
        <v>0</v>
      </c>
      <c r="K4499" s="444">
        <f t="shared" ca="1" si="168"/>
        <v>-123456194333.42445</v>
      </c>
      <c r="L4499" s="444">
        <f t="shared" ca="1" si="169"/>
        <v>-29752942834355.301</v>
      </c>
      <c r="M4499" s="460">
        <f t="shared" si="171"/>
        <v>0.05</v>
      </c>
      <c r="N4499" s="464">
        <f t="shared" si="172"/>
        <v>187980</v>
      </c>
    </row>
    <row r="4500" spans="7:14" ht="11.25" customHeight="1" x14ac:dyDescent="0.3">
      <c r="G4500" s="459"/>
      <c r="H4500" s="459">
        <v>4493</v>
      </c>
      <c r="I4500" s="444">
        <f t="shared" ca="1" si="170"/>
        <v>-29752942834355.301</v>
      </c>
      <c r="J4500" s="444">
        <f t="array" ref="J4500">IFERROR(INDEX('Retirement Calculator'!K:K,MATCH('Lorri 401b'!N4500,'Retirement Calculator'!A:A,0),0),0)</f>
        <v>0</v>
      </c>
      <c r="K4500" s="444">
        <f t="shared" ca="1" si="168"/>
        <v>-123970595143.14708</v>
      </c>
      <c r="L4500" s="444">
        <f t="shared" ca="1" si="169"/>
        <v>-29876913429498.449</v>
      </c>
      <c r="M4500" s="460">
        <f t="shared" si="171"/>
        <v>0.05</v>
      </c>
      <c r="N4500" s="464">
        <f t="shared" si="172"/>
        <v>188010</v>
      </c>
    </row>
    <row r="4501" spans="7:14" ht="11.25" customHeight="1" x14ac:dyDescent="0.3">
      <c r="G4501" s="459"/>
      <c r="H4501" s="459">
        <v>4494</v>
      </c>
      <c r="I4501" s="444">
        <f t="shared" ca="1" si="170"/>
        <v>-29876913429498.449</v>
      </c>
      <c r="J4501" s="444">
        <f t="array" ref="J4501">IFERROR(INDEX('Retirement Calculator'!K:K,MATCH('Lorri 401b'!N4501,'Retirement Calculator'!A:A,0),0),0)</f>
        <v>0</v>
      </c>
      <c r="K4501" s="444">
        <f t="shared" ca="1" si="168"/>
        <v>-124487139289.57687</v>
      </c>
      <c r="L4501" s="444">
        <f t="shared" ca="1" si="169"/>
        <v>-30001400568788.027</v>
      </c>
      <c r="M4501" s="460">
        <f t="shared" si="171"/>
        <v>0.05</v>
      </c>
      <c r="N4501" s="464">
        <f t="shared" si="172"/>
        <v>188041</v>
      </c>
    </row>
    <row r="4502" spans="7:14" ht="11.25" customHeight="1" x14ac:dyDescent="0.3">
      <c r="G4502" s="459"/>
      <c r="H4502" s="459">
        <v>4495</v>
      </c>
      <c r="I4502" s="444">
        <f t="shared" ca="1" si="170"/>
        <v>-30001400568788.027</v>
      </c>
      <c r="J4502" s="444">
        <f t="array" ref="J4502">IFERROR(INDEX('Retirement Calculator'!K:K,MATCH('Lorri 401b'!N4502,'Retirement Calculator'!A:A,0),0),0)</f>
        <v>0</v>
      </c>
      <c r="K4502" s="444">
        <f t="shared" ca="1" si="168"/>
        <v>-125005835703.28346</v>
      </c>
      <c r="L4502" s="444">
        <f t="shared" ca="1" si="169"/>
        <v>-30126406404491.313</v>
      </c>
      <c r="M4502" s="460">
        <f t="shared" si="171"/>
        <v>0.05</v>
      </c>
      <c r="N4502" s="464">
        <f t="shared" si="172"/>
        <v>188071</v>
      </c>
    </row>
    <row r="4503" spans="7:14" ht="11.25" customHeight="1" x14ac:dyDescent="0.3">
      <c r="G4503" s="459"/>
      <c r="H4503" s="459">
        <v>4496</v>
      </c>
      <c r="I4503" s="444">
        <f t="shared" ca="1" si="170"/>
        <v>-30126406404491.313</v>
      </c>
      <c r="J4503" s="444">
        <f t="array" ref="J4503">IFERROR(INDEX('Retirement Calculator'!K:K,MATCH('Lorri 401b'!N4503,'Retirement Calculator'!A:A,0),0),0)</f>
        <v>0</v>
      </c>
      <c r="K4503" s="444">
        <f t="shared" ca="1" si="168"/>
        <v>-125526693352.04713</v>
      </c>
      <c r="L4503" s="444">
        <f t="shared" ca="1" si="169"/>
        <v>-30251933097843.359</v>
      </c>
      <c r="M4503" s="460">
        <f t="shared" si="171"/>
        <v>0.05</v>
      </c>
      <c r="N4503" s="464">
        <f t="shared" si="172"/>
        <v>188102</v>
      </c>
    </row>
    <row r="4504" spans="7:14" ht="11.25" customHeight="1" x14ac:dyDescent="0.3">
      <c r="G4504" s="459"/>
      <c r="H4504" s="459">
        <v>4497</v>
      </c>
      <c r="I4504" s="444">
        <f t="shared" ca="1" si="170"/>
        <v>-30251933097843.359</v>
      </c>
      <c r="J4504" s="444">
        <f t="array" ref="J4504">IFERROR(INDEX('Retirement Calculator'!K:K,MATCH('Lorri 401b'!N4504,'Retirement Calculator'!A:A,0),0),0)</f>
        <v>0</v>
      </c>
      <c r="K4504" s="444">
        <f t="shared" ca="1" si="168"/>
        <v>-126049721241.01401</v>
      </c>
      <c r="L4504" s="444">
        <f t="shared" ca="1" si="169"/>
        <v>-30377982819084.375</v>
      </c>
      <c r="M4504" s="460">
        <f t="shared" si="171"/>
        <v>0.05</v>
      </c>
      <c r="N4504" s="464">
        <f t="shared" si="172"/>
        <v>188133</v>
      </c>
    </row>
    <row r="4505" spans="7:14" ht="11.25" customHeight="1" x14ac:dyDescent="0.3">
      <c r="G4505" s="459"/>
      <c r="H4505" s="459">
        <v>4498</v>
      </c>
      <c r="I4505" s="444">
        <f t="shared" ca="1" si="170"/>
        <v>-30377982819084.375</v>
      </c>
      <c r="J4505" s="444">
        <f t="array" ref="J4505">IFERROR(INDEX('Retirement Calculator'!K:K,MATCH('Lorri 401b'!N4505,'Retirement Calculator'!A:A,0),0),0)</f>
        <v>0</v>
      </c>
      <c r="K4505" s="444">
        <f t="shared" ca="1" si="168"/>
        <v>-126574928412.85155</v>
      </c>
      <c r="L4505" s="444">
        <f t="shared" ca="1" si="169"/>
        <v>-30504557747497.227</v>
      </c>
      <c r="M4505" s="460">
        <f t="shared" si="171"/>
        <v>0.05</v>
      </c>
      <c r="N4505" s="464">
        <f t="shared" si="172"/>
        <v>188161</v>
      </c>
    </row>
    <row r="4506" spans="7:14" ht="11.25" customHeight="1" x14ac:dyDescent="0.3">
      <c r="G4506" s="459"/>
      <c r="H4506" s="459">
        <v>4499</v>
      </c>
      <c r="I4506" s="444">
        <f t="shared" ca="1" si="170"/>
        <v>-30504557747497.227</v>
      </c>
      <c r="J4506" s="444">
        <f t="array" ref="J4506">IFERROR(INDEX('Retirement Calculator'!K:K,MATCH('Lorri 401b'!N4506,'Retirement Calculator'!A:A,0),0),0)</f>
        <v>0</v>
      </c>
      <c r="K4506" s="444">
        <f t="shared" ca="1" si="168"/>
        <v>-127102323947.90509</v>
      </c>
      <c r="L4506" s="444">
        <f t="shared" ca="1" si="169"/>
        <v>-30631660071445.133</v>
      </c>
      <c r="M4506" s="460">
        <f t="shared" si="171"/>
        <v>0.05</v>
      </c>
      <c r="N4506" s="464">
        <f t="shared" si="172"/>
        <v>188192</v>
      </c>
    </row>
    <row r="4507" spans="7:14" ht="11.25" customHeight="1" x14ac:dyDescent="0.3">
      <c r="G4507" s="459"/>
      <c r="H4507" s="459">
        <v>4500</v>
      </c>
      <c r="I4507" s="444">
        <f t="shared" ca="1" si="170"/>
        <v>-30631660071445.133</v>
      </c>
      <c r="J4507" s="444">
        <f t="array" ref="J4507">IFERROR(INDEX('Retirement Calculator'!K:K,MATCH('Lorri 401b'!N4507,'Retirement Calculator'!A:A,0),0),0)</f>
        <v>0</v>
      </c>
      <c r="K4507" s="444">
        <f t="shared" ca="1" si="168"/>
        <v>-127631916964.35471</v>
      </c>
      <c r="L4507" s="444">
        <f t="shared" ca="1" si="169"/>
        <v>-30759291988409.488</v>
      </c>
      <c r="M4507" s="460">
        <f t="shared" si="171"/>
        <v>0.05</v>
      </c>
      <c r="N4507" s="464">
        <f t="shared" si="172"/>
        <v>188222</v>
      </c>
    </row>
    <row r="4508" spans="7:14" ht="11.25" customHeight="1" x14ac:dyDescent="0.3">
      <c r="G4508" s="459"/>
      <c r="H4508" s="459">
        <v>4501</v>
      </c>
      <c r="I4508" s="444">
        <f t="shared" ca="1" si="170"/>
        <v>-30759291988409.488</v>
      </c>
      <c r="J4508" s="444">
        <f t="array" ref="J4508">IFERROR(INDEX('Retirement Calculator'!K:K,MATCH('Lorri 401b'!N4508,'Retirement Calculator'!A:A,0),0),0)</f>
        <v>0</v>
      </c>
      <c r="K4508" s="444">
        <f t="shared" ca="1" si="168"/>
        <v>-128163716618.37288</v>
      </c>
      <c r="L4508" s="444">
        <f t="shared" ca="1" si="169"/>
        <v>-30887455705027.859</v>
      </c>
      <c r="M4508" s="460">
        <f t="shared" si="171"/>
        <v>0.05</v>
      </c>
      <c r="N4508" s="464">
        <f t="shared" si="172"/>
        <v>188253</v>
      </c>
    </row>
    <row r="4509" spans="7:14" ht="11.25" customHeight="1" x14ac:dyDescent="0.3">
      <c r="G4509" s="459"/>
      <c r="H4509" s="459">
        <v>4502</v>
      </c>
      <c r="I4509" s="444">
        <f t="shared" ca="1" si="170"/>
        <v>-30887455705027.859</v>
      </c>
      <c r="J4509" s="444">
        <f t="array" ref="J4509">IFERROR(INDEX('Retirement Calculator'!K:K,MATCH('Lorri 401b'!N4509,'Retirement Calculator'!A:A,0),0),0)</f>
        <v>0</v>
      </c>
      <c r="K4509" s="444">
        <f t="shared" ca="1" si="168"/>
        <v>-128697732104.28276</v>
      </c>
      <c r="L4509" s="444">
        <f t="shared" ca="1" si="169"/>
        <v>-31016153437132.141</v>
      </c>
      <c r="M4509" s="460">
        <f t="shared" si="171"/>
        <v>0.05</v>
      </c>
      <c r="N4509" s="464">
        <f t="shared" si="172"/>
        <v>188283</v>
      </c>
    </row>
    <row r="4510" spans="7:14" ht="11.25" customHeight="1" x14ac:dyDescent="0.3">
      <c r="G4510" s="459"/>
      <c r="H4510" s="459">
        <v>4503</v>
      </c>
      <c r="I4510" s="444">
        <f t="shared" ca="1" si="170"/>
        <v>-31016153437132.141</v>
      </c>
      <c r="J4510" s="444">
        <f t="array" ref="J4510">IFERROR(INDEX('Retirement Calculator'!K:K,MATCH('Lorri 401b'!N4510,'Retirement Calculator'!A:A,0),0),0)</f>
        <v>0</v>
      </c>
      <c r="K4510" s="444">
        <f t="shared" ca="1" si="168"/>
        <v>-129233972654.71724</v>
      </c>
      <c r="L4510" s="444">
        <f t="shared" ca="1" si="169"/>
        <v>-31145387409786.859</v>
      </c>
      <c r="M4510" s="460">
        <f t="shared" si="171"/>
        <v>0.05</v>
      </c>
      <c r="N4510" s="464">
        <f t="shared" si="172"/>
        <v>188314</v>
      </c>
    </row>
    <row r="4511" spans="7:14" ht="11.25" customHeight="1" x14ac:dyDescent="0.3">
      <c r="G4511" s="459"/>
      <c r="H4511" s="459">
        <v>4504</v>
      </c>
      <c r="I4511" s="444">
        <f t="shared" ca="1" si="170"/>
        <v>-31145387409786.859</v>
      </c>
      <c r="J4511" s="444">
        <f t="array" ref="J4511">IFERROR(INDEX('Retirement Calculator'!K:K,MATCH('Lorri 401b'!N4511,'Retirement Calculator'!A:A,0),0),0)</f>
        <v>0</v>
      </c>
      <c r="K4511" s="444">
        <f t="shared" ca="1" si="168"/>
        <v>-129772447540.77856</v>
      </c>
      <c r="L4511" s="444">
        <f t="shared" ca="1" si="169"/>
        <v>-31275159857327.637</v>
      </c>
      <c r="M4511" s="460">
        <f t="shared" si="171"/>
        <v>0.05</v>
      </c>
      <c r="N4511" s="464">
        <f t="shared" si="172"/>
        <v>188345</v>
      </c>
    </row>
    <row r="4512" spans="7:14" ht="11.25" customHeight="1" x14ac:dyDescent="0.3">
      <c r="G4512" s="459"/>
      <c r="H4512" s="459">
        <v>4505</v>
      </c>
      <c r="I4512" s="444">
        <f t="shared" ca="1" si="170"/>
        <v>-31275159857327.637</v>
      </c>
      <c r="J4512" s="444">
        <f t="array" ref="J4512">IFERROR(INDEX('Retirement Calculator'!K:K,MATCH('Lorri 401b'!N4512,'Retirement Calculator'!A:A,0),0),0)</f>
        <v>0</v>
      </c>
      <c r="K4512" s="444">
        <f t="shared" ca="1" si="168"/>
        <v>-130313166072.19849</v>
      </c>
      <c r="L4512" s="444">
        <f t="shared" ca="1" si="169"/>
        <v>-31405473023399.836</v>
      </c>
      <c r="M4512" s="460">
        <f t="shared" si="171"/>
        <v>0.05</v>
      </c>
      <c r="N4512" s="464">
        <f t="shared" si="172"/>
        <v>188375</v>
      </c>
    </row>
    <row r="4513" spans="7:14" ht="11.25" customHeight="1" x14ac:dyDescent="0.3">
      <c r="G4513" s="459"/>
      <c r="H4513" s="459">
        <v>4506</v>
      </c>
      <c r="I4513" s="444">
        <f t="shared" ca="1" si="170"/>
        <v>-31405473023399.836</v>
      </c>
      <c r="J4513" s="444">
        <f t="array" ref="J4513">IFERROR(INDEX('Retirement Calculator'!K:K,MATCH('Lorri 401b'!N4513,'Retirement Calculator'!A:A,0),0),0)</f>
        <v>0</v>
      </c>
      <c r="K4513" s="444">
        <f t="shared" ca="1" si="168"/>
        <v>-130856137597.49933</v>
      </c>
      <c r="L4513" s="444">
        <f t="shared" ca="1" si="169"/>
        <v>-31536329160997.336</v>
      </c>
      <c r="M4513" s="460">
        <f t="shared" si="171"/>
        <v>0.05</v>
      </c>
      <c r="N4513" s="464">
        <f t="shared" si="172"/>
        <v>188406</v>
      </c>
    </row>
    <row r="4514" spans="7:14" ht="11.25" customHeight="1" x14ac:dyDescent="0.3">
      <c r="G4514" s="459"/>
      <c r="H4514" s="459">
        <v>4507</v>
      </c>
      <c r="I4514" s="444">
        <f t="shared" ca="1" si="170"/>
        <v>-31536329160997.336</v>
      </c>
      <c r="J4514" s="444">
        <f t="array" ref="J4514">IFERROR(INDEX('Retirement Calculator'!K:K,MATCH('Lorri 401b'!N4514,'Retirement Calculator'!A:A,0),0),0)</f>
        <v>0</v>
      </c>
      <c r="K4514" s="444">
        <f t="shared" ca="1" si="168"/>
        <v>-131401371504.15556</v>
      </c>
      <c r="L4514" s="444">
        <f t="shared" ca="1" si="169"/>
        <v>-31667730532501.492</v>
      </c>
      <c r="M4514" s="460">
        <f t="shared" si="171"/>
        <v>0.05</v>
      </c>
      <c r="N4514" s="464">
        <f t="shared" si="172"/>
        <v>188436</v>
      </c>
    </row>
    <row r="4515" spans="7:14" ht="11.25" customHeight="1" x14ac:dyDescent="0.3">
      <c r="G4515" s="459"/>
      <c r="H4515" s="459">
        <v>4508</v>
      </c>
      <c r="I4515" s="444">
        <f t="shared" ca="1" si="170"/>
        <v>-31667730532501.492</v>
      </c>
      <c r="J4515" s="444">
        <f t="array" ref="J4515">IFERROR(INDEX('Retirement Calculator'!K:K,MATCH('Lorri 401b'!N4515,'Retirement Calculator'!A:A,0),0),0)</f>
        <v>0</v>
      </c>
      <c r="K4515" s="444">
        <f t="shared" ca="1" si="168"/>
        <v>-131948877218.7562</v>
      </c>
      <c r="L4515" s="444">
        <f t="shared" ca="1" si="169"/>
        <v>-31799679409720.25</v>
      </c>
      <c r="M4515" s="460">
        <f t="shared" si="171"/>
        <v>0.05</v>
      </c>
      <c r="N4515" s="464">
        <f t="shared" si="172"/>
        <v>188467</v>
      </c>
    </row>
    <row r="4516" spans="7:14" ht="11.25" customHeight="1" x14ac:dyDescent="0.3">
      <c r="G4516" s="459"/>
      <c r="H4516" s="459">
        <v>4509</v>
      </c>
      <c r="I4516" s="444">
        <f t="shared" ca="1" si="170"/>
        <v>-31799679409720.25</v>
      </c>
      <c r="J4516" s="444">
        <f t="array" ref="J4516">IFERROR(INDEX('Retirement Calculator'!K:K,MATCH('Lorri 401b'!N4516,'Retirement Calculator'!A:A,0),0),0)</f>
        <v>0</v>
      </c>
      <c r="K4516" s="444">
        <f t="shared" ca="1" si="168"/>
        <v>-132498664207.16769</v>
      </c>
      <c r="L4516" s="444">
        <f t="shared" ca="1" si="169"/>
        <v>-31932178073927.418</v>
      </c>
      <c r="M4516" s="460">
        <f t="shared" si="171"/>
        <v>0.05</v>
      </c>
      <c r="N4516" s="464">
        <f t="shared" si="172"/>
        <v>188498</v>
      </c>
    </row>
    <row r="4517" spans="7:14" ht="11.25" customHeight="1" x14ac:dyDescent="0.3">
      <c r="G4517" s="459"/>
      <c r="H4517" s="459">
        <v>4510</v>
      </c>
      <c r="I4517" s="444">
        <f t="shared" ca="1" si="170"/>
        <v>-31932178073927.418</v>
      </c>
      <c r="J4517" s="444">
        <f t="array" ref="J4517">IFERROR(INDEX('Retirement Calculator'!K:K,MATCH('Lorri 401b'!N4517,'Retirement Calculator'!A:A,0),0),0)</f>
        <v>0</v>
      </c>
      <c r="K4517" s="444">
        <f t="shared" ca="1" si="168"/>
        <v>-133050741974.69757</v>
      </c>
      <c r="L4517" s="444">
        <f t="shared" ca="1" si="169"/>
        <v>-32065228815902.117</v>
      </c>
      <c r="M4517" s="460">
        <f t="shared" si="171"/>
        <v>0.05</v>
      </c>
      <c r="N4517" s="464">
        <f t="shared" si="172"/>
        <v>188527</v>
      </c>
    </row>
    <row r="4518" spans="7:14" ht="11.25" customHeight="1" x14ac:dyDescent="0.3">
      <c r="G4518" s="459"/>
      <c r="H4518" s="459">
        <v>4511</v>
      </c>
      <c r="I4518" s="444">
        <f t="shared" ca="1" si="170"/>
        <v>-32065228815902.117</v>
      </c>
      <c r="J4518" s="444">
        <f t="array" ref="J4518">IFERROR(INDEX('Retirement Calculator'!K:K,MATCH('Lorri 401b'!N4518,'Retirement Calculator'!A:A,0),0),0)</f>
        <v>0</v>
      </c>
      <c r="K4518" s="444">
        <f t="shared" ca="1" si="168"/>
        <v>-133605120066.25882</v>
      </c>
      <c r="L4518" s="444">
        <f t="shared" ca="1" si="169"/>
        <v>-32198833935968.375</v>
      </c>
      <c r="M4518" s="460">
        <f t="shared" si="171"/>
        <v>0.05</v>
      </c>
      <c r="N4518" s="464">
        <f t="shared" si="172"/>
        <v>188558</v>
      </c>
    </row>
    <row r="4519" spans="7:14" ht="11.25" customHeight="1" x14ac:dyDescent="0.3">
      <c r="G4519" s="459"/>
      <c r="H4519" s="459">
        <v>4512</v>
      </c>
      <c r="I4519" s="444">
        <f t="shared" ca="1" si="170"/>
        <v>-32198833935968.375</v>
      </c>
      <c r="J4519" s="444">
        <f t="array" ref="J4519">IFERROR(INDEX('Retirement Calculator'!K:K,MATCH('Lorri 401b'!N4519,'Retirement Calculator'!A:A,0),0),0)</f>
        <v>0</v>
      </c>
      <c r="K4519" s="444">
        <f t="shared" ca="1" si="168"/>
        <v>-134161808066.5349</v>
      </c>
      <c r="L4519" s="444">
        <f t="shared" ca="1" si="169"/>
        <v>-32332995744034.91</v>
      </c>
      <c r="M4519" s="460">
        <f t="shared" si="171"/>
        <v>0.05</v>
      </c>
      <c r="N4519" s="464">
        <f t="shared" si="172"/>
        <v>188588</v>
      </c>
    </row>
    <row r="4520" spans="7:14" ht="11.25" customHeight="1" x14ac:dyDescent="0.3">
      <c r="G4520" s="459"/>
      <c r="H4520" s="459">
        <v>4513</v>
      </c>
      <c r="I4520" s="444">
        <f t="shared" ca="1" si="170"/>
        <v>-32332995744034.91</v>
      </c>
      <c r="J4520" s="444">
        <f t="array" ref="J4520">IFERROR(INDEX('Retirement Calculator'!K:K,MATCH('Lorri 401b'!N4520,'Retirement Calculator'!A:A,0),0),0)</f>
        <v>0</v>
      </c>
      <c r="K4520" s="444">
        <f t="shared" ca="1" si="168"/>
        <v>-134720815600.14546</v>
      </c>
      <c r="L4520" s="444">
        <f t="shared" ca="1" si="169"/>
        <v>-32467716559635.055</v>
      </c>
      <c r="M4520" s="460">
        <f t="shared" si="171"/>
        <v>0.05</v>
      </c>
      <c r="N4520" s="464">
        <f t="shared" si="172"/>
        <v>188619</v>
      </c>
    </row>
    <row r="4521" spans="7:14" ht="11.25" customHeight="1" x14ac:dyDescent="0.3">
      <c r="G4521" s="459"/>
      <c r="H4521" s="459">
        <v>4514</v>
      </c>
      <c r="I4521" s="444">
        <f t="shared" ca="1" si="170"/>
        <v>-32467716559635.055</v>
      </c>
      <c r="J4521" s="444">
        <f t="array" ref="J4521">IFERROR(INDEX('Retirement Calculator'!K:K,MATCH('Lorri 401b'!N4521,'Retirement Calculator'!A:A,0),0),0)</f>
        <v>0</v>
      </c>
      <c r="K4521" s="444">
        <f t="shared" ca="1" si="168"/>
        <v>-135282152331.81274</v>
      </c>
      <c r="L4521" s="444">
        <f t="shared" ca="1" si="169"/>
        <v>-32602998711966.867</v>
      </c>
      <c r="M4521" s="460">
        <f t="shared" si="171"/>
        <v>0.05</v>
      </c>
      <c r="N4521" s="464">
        <f t="shared" si="172"/>
        <v>188649</v>
      </c>
    </row>
    <row r="4522" spans="7:14" ht="11.25" customHeight="1" x14ac:dyDescent="0.3">
      <c r="G4522" s="459"/>
      <c r="H4522" s="459">
        <v>4515</v>
      </c>
      <c r="I4522" s="444">
        <f t="shared" ca="1" si="170"/>
        <v>-32602998711966.867</v>
      </c>
      <c r="J4522" s="444">
        <f t="array" ref="J4522">IFERROR(INDEX('Retirement Calculator'!K:K,MATCH('Lorri 401b'!N4522,'Retirement Calculator'!A:A,0),0),0)</f>
        <v>0</v>
      </c>
      <c r="K4522" s="444">
        <f t="shared" ca="1" si="168"/>
        <v>-135845827966.52861</v>
      </c>
      <c r="L4522" s="444">
        <f t="shared" ca="1" si="169"/>
        <v>-32738844539933.395</v>
      </c>
      <c r="M4522" s="460">
        <f t="shared" si="171"/>
        <v>0.05</v>
      </c>
      <c r="N4522" s="464">
        <f t="shared" si="172"/>
        <v>188680</v>
      </c>
    </row>
    <row r="4523" spans="7:14" ht="11.25" customHeight="1" x14ac:dyDescent="0.3">
      <c r="G4523" s="459"/>
      <c r="H4523" s="459">
        <v>4516</v>
      </c>
      <c r="I4523" s="444">
        <f t="shared" ca="1" si="170"/>
        <v>-32738844539933.395</v>
      </c>
      <c r="J4523" s="444">
        <f t="array" ref="J4523">IFERROR(INDEX('Retirement Calculator'!K:K,MATCH('Lorri 401b'!N4523,'Retirement Calculator'!A:A,0),0),0)</f>
        <v>0</v>
      </c>
      <c r="K4523" s="444">
        <f t="shared" ca="1" si="168"/>
        <v>-136411852249.72247</v>
      </c>
      <c r="L4523" s="444">
        <f t="shared" ca="1" si="169"/>
        <v>-32875256392183.117</v>
      </c>
      <c r="M4523" s="460">
        <f t="shared" si="171"/>
        <v>0.05</v>
      </c>
      <c r="N4523" s="464">
        <f t="shared" si="172"/>
        <v>188711</v>
      </c>
    </row>
    <row r="4524" spans="7:14" ht="11.25" customHeight="1" x14ac:dyDescent="0.3">
      <c r="G4524" s="459"/>
      <c r="H4524" s="459">
        <v>4517</v>
      </c>
      <c r="I4524" s="444">
        <f t="shared" ca="1" si="170"/>
        <v>-32875256392183.117</v>
      </c>
      <c r="J4524" s="444">
        <f t="array" ref="J4524">IFERROR(INDEX('Retirement Calculator'!K:K,MATCH('Lorri 401b'!N4524,'Retirement Calculator'!A:A,0),0),0)</f>
        <v>0</v>
      </c>
      <c r="K4524" s="444">
        <f t="shared" ca="1" si="168"/>
        <v>-136980234967.42966</v>
      </c>
      <c r="L4524" s="444">
        <f t="shared" ca="1" si="169"/>
        <v>-33012236627150.547</v>
      </c>
      <c r="M4524" s="460">
        <f t="shared" si="171"/>
        <v>0.05</v>
      </c>
      <c r="N4524" s="464">
        <f t="shared" si="172"/>
        <v>188741</v>
      </c>
    </row>
    <row r="4525" spans="7:14" ht="11.25" customHeight="1" x14ac:dyDescent="0.3">
      <c r="G4525" s="459"/>
      <c r="H4525" s="459">
        <v>4518</v>
      </c>
      <c r="I4525" s="444">
        <f t="shared" ca="1" si="170"/>
        <v>-33012236627150.547</v>
      </c>
      <c r="J4525" s="444">
        <f t="array" ref="J4525">IFERROR(INDEX('Retirement Calculator'!K:K,MATCH('Lorri 401b'!N4525,'Retirement Calculator'!A:A,0),0),0)</f>
        <v>0</v>
      </c>
      <c r="K4525" s="444">
        <f t="shared" ca="1" si="168"/>
        <v>-137550985946.4606</v>
      </c>
      <c r="L4525" s="444">
        <f t="shared" ca="1" si="169"/>
        <v>-33149787613097.008</v>
      </c>
      <c r="M4525" s="460">
        <f t="shared" si="171"/>
        <v>0.05</v>
      </c>
      <c r="N4525" s="464">
        <f t="shared" si="172"/>
        <v>188772</v>
      </c>
    </row>
    <row r="4526" spans="7:14" ht="11.25" customHeight="1" x14ac:dyDescent="0.3">
      <c r="G4526" s="459"/>
      <c r="H4526" s="459">
        <v>4519</v>
      </c>
      <c r="I4526" s="444">
        <f t="shared" ca="1" si="170"/>
        <v>-33149787613097.008</v>
      </c>
      <c r="J4526" s="444">
        <f t="array" ref="J4526">IFERROR(INDEX('Retirement Calculator'!K:K,MATCH('Lorri 401b'!N4526,'Retirement Calculator'!A:A,0),0),0)</f>
        <v>0</v>
      </c>
      <c r="K4526" s="444">
        <f t="shared" ca="1" si="168"/>
        <v>-138124115054.57086</v>
      </c>
      <c r="L4526" s="444">
        <f t="shared" ca="1" si="169"/>
        <v>-33287911728151.578</v>
      </c>
      <c r="M4526" s="460">
        <f t="shared" si="171"/>
        <v>0.05</v>
      </c>
      <c r="N4526" s="464">
        <f t="shared" si="172"/>
        <v>188802</v>
      </c>
    </row>
    <row r="4527" spans="7:14" ht="11.25" customHeight="1" x14ac:dyDescent="0.3">
      <c r="G4527" s="459"/>
      <c r="H4527" s="459">
        <v>4520</v>
      </c>
      <c r="I4527" s="444">
        <f t="shared" ca="1" si="170"/>
        <v>-33287911728151.578</v>
      </c>
      <c r="J4527" s="444">
        <f t="array" ref="J4527">IFERROR(INDEX('Retirement Calculator'!K:K,MATCH('Lorri 401b'!N4527,'Retirement Calculator'!A:A,0),0),0)</f>
        <v>0</v>
      </c>
      <c r="K4527" s="444">
        <f t="shared" ca="1" si="168"/>
        <v>-138699632200.63156</v>
      </c>
      <c r="L4527" s="444">
        <f t="shared" ca="1" si="169"/>
        <v>-33426611360352.211</v>
      </c>
      <c r="M4527" s="460">
        <f t="shared" si="171"/>
        <v>0.05</v>
      </c>
      <c r="N4527" s="464">
        <f t="shared" si="172"/>
        <v>188833</v>
      </c>
    </row>
    <row r="4528" spans="7:14" ht="11.25" customHeight="1" x14ac:dyDescent="0.3">
      <c r="G4528" s="459"/>
      <c r="H4528" s="459">
        <v>4521</v>
      </c>
      <c r="I4528" s="444">
        <f t="shared" ca="1" si="170"/>
        <v>-33426611360352.211</v>
      </c>
      <c r="J4528" s="444">
        <f t="array" ref="J4528">IFERROR(INDEX('Retirement Calculator'!K:K,MATCH('Lorri 401b'!N4528,'Retirement Calculator'!A:A,0),0),0)</f>
        <v>0</v>
      </c>
      <c r="K4528" s="444">
        <f t="shared" ca="1" si="168"/>
        <v>-139277547334.80087</v>
      </c>
      <c r="L4528" s="444">
        <f t="shared" ca="1" si="169"/>
        <v>-33565888907687.012</v>
      </c>
      <c r="M4528" s="460">
        <f t="shared" si="171"/>
        <v>0.05</v>
      </c>
      <c r="N4528" s="464">
        <f t="shared" si="172"/>
        <v>188864</v>
      </c>
    </row>
    <row r="4529" spans="7:14" ht="11.25" customHeight="1" x14ac:dyDescent="0.3">
      <c r="G4529" s="459"/>
      <c r="H4529" s="459">
        <v>4522</v>
      </c>
      <c r="I4529" s="444">
        <f t="shared" ca="1" si="170"/>
        <v>-33565888907687.012</v>
      </c>
      <c r="J4529" s="444">
        <f t="array" ref="J4529">IFERROR(INDEX('Retirement Calculator'!K:K,MATCH('Lorri 401b'!N4529,'Retirement Calculator'!A:A,0),0),0)</f>
        <v>0</v>
      </c>
      <c r="K4529" s="444">
        <f t="shared" ca="1" si="168"/>
        <v>-139857870448.69589</v>
      </c>
      <c r="L4529" s="444">
        <f t="shared" ca="1" si="169"/>
        <v>-33705746778135.707</v>
      </c>
      <c r="M4529" s="460">
        <f t="shared" si="171"/>
        <v>0.05</v>
      </c>
      <c r="N4529" s="464">
        <f t="shared" si="172"/>
        <v>188892</v>
      </c>
    </row>
    <row r="4530" spans="7:14" ht="11.25" customHeight="1" x14ac:dyDescent="0.3">
      <c r="G4530" s="459"/>
      <c r="H4530" s="459">
        <v>4523</v>
      </c>
      <c r="I4530" s="444">
        <f t="shared" ca="1" si="170"/>
        <v>-33705746778135.707</v>
      </c>
      <c r="J4530" s="444">
        <f t="array" ref="J4530">IFERROR(INDEX('Retirement Calculator'!K:K,MATCH('Lorri 401b'!N4530,'Retirement Calculator'!A:A,0),0),0)</f>
        <v>0</v>
      </c>
      <c r="K4530" s="444">
        <f t="shared" ca="1" si="168"/>
        <v>-140440611575.56543</v>
      </c>
      <c r="L4530" s="444">
        <f t="shared" ca="1" si="169"/>
        <v>-33846187389711.273</v>
      </c>
      <c r="M4530" s="460">
        <f t="shared" si="171"/>
        <v>0.05</v>
      </c>
      <c r="N4530" s="464">
        <f t="shared" si="172"/>
        <v>188923</v>
      </c>
    </row>
    <row r="4531" spans="7:14" ht="11.25" customHeight="1" x14ac:dyDescent="0.3">
      <c r="G4531" s="459"/>
      <c r="H4531" s="459">
        <v>4524</v>
      </c>
      <c r="I4531" s="444">
        <f t="shared" ca="1" si="170"/>
        <v>-33846187389711.273</v>
      </c>
      <c r="J4531" s="444">
        <f t="array" ref="J4531">IFERROR(INDEX('Retirement Calculator'!K:K,MATCH('Lorri 401b'!N4531,'Retirement Calculator'!A:A,0),0),0)</f>
        <v>0</v>
      </c>
      <c r="K4531" s="444">
        <f t="shared" ca="1" si="168"/>
        <v>-141025780790.46362</v>
      </c>
      <c r="L4531" s="444">
        <f t="shared" ca="1" si="169"/>
        <v>-33987213170501.738</v>
      </c>
      <c r="M4531" s="460">
        <f t="shared" si="171"/>
        <v>0.05</v>
      </c>
      <c r="N4531" s="464">
        <f t="shared" si="172"/>
        <v>188953</v>
      </c>
    </row>
    <row r="4532" spans="7:14" ht="11.25" customHeight="1" x14ac:dyDescent="0.3">
      <c r="G4532" s="459"/>
      <c r="H4532" s="459">
        <v>4525</v>
      </c>
      <c r="I4532" s="444">
        <f t="shared" ca="1" si="170"/>
        <v>-33987213170501.738</v>
      </c>
      <c r="J4532" s="444">
        <f t="array" ref="J4532">IFERROR(INDEX('Retirement Calculator'!K:K,MATCH('Lorri 401b'!N4532,'Retirement Calculator'!A:A,0),0),0)</f>
        <v>0</v>
      </c>
      <c r="K4532" s="444">
        <f t="shared" ca="1" si="168"/>
        <v>-141613388210.42392</v>
      </c>
      <c r="L4532" s="444">
        <f t="shared" ca="1" si="169"/>
        <v>-34128826558712.164</v>
      </c>
      <c r="M4532" s="460">
        <f t="shared" si="171"/>
        <v>0.05</v>
      </c>
      <c r="N4532" s="464">
        <f t="shared" si="172"/>
        <v>188984</v>
      </c>
    </row>
    <row r="4533" spans="7:14" ht="11.25" customHeight="1" x14ac:dyDescent="0.3">
      <c r="G4533" s="459"/>
      <c r="H4533" s="459">
        <v>4526</v>
      </c>
      <c r="I4533" s="444">
        <f t="shared" ca="1" si="170"/>
        <v>-34128826558712.164</v>
      </c>
      <c r="J4533" s="444">
        <f t="array" ref="J4533">IFERROR(INDEX('Retirement Calculator'!K:K,MATCH('Lorri 401b'!N4533,'Retirement Calculator'!A:A,0),0),0)</f>
        <v>0</v>
      </c>
      <c r="K4533" s="444">
        <f t="shared" ca="1" si="168"/>
        <v>-142203443994.634</v>
      </c>
      <c r="L4533" s="444">
        <f t="shared" ca="1" si="169"/>
        <v>-34271030002706.797</v>
      </c>
      <c r="M4533" s="460">
        <f t="shared" si="171"/>
        <v>0.05</v>
      </c>
      <c r="N4533" s="464">
        <f t="shared" si="172"/>
        <v>189014</v>
      </c>
    </row>
    <row r="4534" spans="7:14" ht="11.25" customHeight="1" x14ac:dyDescent="0.3">
      <c r="G4534" s="459"/>
      <c r="H4534" s="459">
        <v>4527</v>
      </c>
      <c r="I4534" s="444">
        <f t="shared" ca="1" si="170"/>
        <v>-34271030002706.797</v>
      </c>
      <c r="J4534" s="444">
        <f t="array" ref="J4534">IFERROR(INDEX('Retirement Calculator'!K:K,MATCH('Lorri 401b'!N4534,'Retirement Calculator'!A:A,0),0),0)</f>
        <v>0</v>
      </c>
      <c r="K4534" s="444">
        <f t="shared" ca="1" si="168"/>
        <v>-142795958344.61166</v>
      </c>
      <c r="L4534" s="444">
        <f t="shared" ca="1" si="169"/>
        <v>-34413825961051.41</v>
      </c>
      <c r="M4534" s="460">
        <f t="shared" si="171"/>
        <v>0.05</v>
      </c>
      <c r="N4534" s="464">
        <f t="shared" si="172"/>
        <v>189045</v>
      </c>
    </row>
    <row r="4535" spans="7:14" ht="11.25" customHeight="1" x14ac:dyDescent="0.3">
      <c r="G4535" s="459"/>
      <c r="H4535" s="459">
        <v>4528</v>
      </c>
      <c r="I4535" s="444">
        <f t="shared" ca="1" si="170"/>
        <v>-34413825961051.41</v>
      </c>
      <c r="J4535" s="444">
        <f t="array" ref="J4535">IFERROR(INDEX('Retirement Calculator'!K:K,MATCH('Lorri 401b'!N4535,'Retirement Calculator'!A:A,0),0),0)</f>
        <v>0</v>
      </c>
      <c r="K4535" s="444">
        <f t="shared" ca="1" si="168"/>
        <v>-143390941504.38086</v>
      </c>
      <c r="L4535" s="444">
        <f t="shared" ca="1" si="169"/>
        <v>-34557216902555.789</v>
      </c>
      <c r="M4535" s="460">
        <f t="shared" si="171"/>
        <v>0.05</v>
      </c>
      <c r="N4535" s="464">
        <f t="shared" si="172"/>
        <v>189076</v>
      </c>
    </row>
    <row r="4536" spans="7:14" ht="11.25" customHeight="1" x14ac:dyDescent="0.3">
      <c r="G4536" s="459"/>
      <c r="H4536" s="459">
        <v>4529</v>
      </c>
      <c r="I4536" s="444">
        <f t="shared" ca="1" si="170"/>
        <v>-34557216902555.789</v>
      </c>
      <c r="J4536" s="444">
        <f t="array" ref="J4536">IFERROR(INDEX('Retirement Calculator'!K:K,MATCH('Lorri 401b'!N4536,'Retirement Calculator'!A:A,0),0),0)</f>
        <v>0</v>
      </c>
      <c r="K4536" s="444">
        <f t="shared" ca="1" si="168"/>
        <v>-143988403760.64911</v>
      </c>
      <c r="L4536" s="444">
        <f t="shared" ca="1" si="169"/>
        <v>-34701205306316.438</v>
      </c>
      <c r="M4536" s="460">
        <f t="shared" si="171"/>
        <v>0.05</v>
      </c>
      <c r="N4536" s="464">
        <f t="shared" si="172"/>
        <v>189106</v>
      </c>
    </row>
    <row r="4537" spans="7:14" ht="11.25" customHeight="1" x14ac:dyDescent="0.3">
      <c r="G4537" s="459"/>
      <c r="H4537" s="459">
        <v>4530</v>
      </c>
      <c r="I4537" s="444">
        <f t="shared" ca="1" si="170"/>
        <v>-34701205306316.438</v>
      </c>
      <c r="J4537" s="444">
        <f t="array" ref="J4537">IFERROR(INDEX('Retirement Calculator'!K:K,MATCH('Lorri 401b'!N4537,'Retirement Calculator'!A:A,0),0),0)</f>
        <v>0</v>
      </c>
      <c r="K4537" s="444">
        <f t="shared" ca="1" si="168"/>
        <v>-144588355442.98517</v>
      </c>
      <c r="L4537" s="444">
        <f t="shared" ca="1" si="169"/>
        <v>-34845793661759.422</v>
      </c>
      <c r="M4537" s="460">
        <f t="shared" si="171"/>
        <v>0.05</v>
      </c>
      <c r="N4537" s="464">
        <f t="shared" si="172"/>
        <v>189137</v>
      </c>
    </row>
    <row r="4538" spans="7:14" ht="11.25" customHeight="1" x14ac:dyDescent="0.3">
      <c r="G4538" s="459"/>
      <c r="H4538" s="459">
        <v>4531</v>
      </c>
      <c r="I4538" s="444">
        <f t="shared" ca="1" si="170"/>
        <v>-34845793661759.422</v>
      </c>
      <c r="J4538" s="444">
        <f t="array" ref="J4538">IFERROR(INDEX('Retirement Calculator'!K:K,MATCH('Lorri 401b'!N4538,'Retirement Calculator'!A:A,0),0),0)</f>
        <v>0</v>
      </c>
      <c r="K4538" s="444">
        <f t="shared" ca="1" si="168"/>
        <v>-145190806923.99759</v>
      </c>
      <c r="L4538" s="444">
        <f t="shared" ca="1" si="169"/>
        <v>-34990984468683.418</v>
      </c>
      <c r="M4538" s="460">
        <f t="shared" si="171"/>
        <v>0.05</v>
      </c>
      <c r="N4538" s="464">
        <f t="shared" si="172"/>
        <v>189167</v>
      </c>
    </row>
    <row r="4539" spans="7:14" ht="11.25" customHeight="1" x14ac:dyDescent="0.3">
      <c r="G4539" s="459"/>
      <c r="H4539" s="459">
        <v>4532</v>
      </c>
      <c r="I4539" s="444">
        <f t="shared" ca="1" si="170"/>
        <v>-34990984468683.418</v>
      </c>
      <c r="J4539" s="444">
        <f t="array" ref="J4539">IFERROR(INDEX('Retirement Calculator'!K:K,MATCH('Lorri 401b'!N4539,'Retirement Calculator'!A:A,0),0),0)</f>
        <v>0</v>
      </c>
      <c r="K4539" s="444">
        <f t="shared" ca="1" si="168"/>
        <v>-145795768619.51425</v>
      </c>
      <c r="L4539" s="444">
        <f t="shared" ca="1" si="169"/>
        <v>-35136780237302.934</v>
      </c>
      <c r="M4539" s="460">
        <f t="shared" si="171"/>
        <v>0.05</v>
      </c>
      <c r="N4539" s="464">
        <f t="shared" si="172"/>
        <v>189198</v>
      </c>
    </row>
    <row r="4540" spans="7:14" ht="11.25" customHeight="1" x14ac:dyDescent="0.3">
      <c r="G4540" s="459"/>
      <c r="H4540" s="459">
        <v>4533</v>
      </c>
      <c r="I4540" s="444">
        <f t="shared" ca="1" si="170"/>
        <v>-35136780237302.934</v>
      </c>
      <c r="J4540" s="444">
        <f t="array" ref="J4540">IFERROR(INDEX('Retirement Calculator'!K:K,MATCH('Lorri 401b'!N4540,'Retirement Calculator'!A:A,0),0),0)</f>
        <v>0</v>
      </c>
      <c r="K4540" s="444">
        <f t="shared" ca="1" si="168"/>
        <v>-146403250988.76224</v>
      </c>
      <c r="L4540" s="444">
        <f t="shared" ca="1" si="169"/>
        <v>-35283183488291.695</v>
      </c>
      <c r="M4540" s="460">
        <f t="shared" si="171"/>
        <v>0.05</v>
      </c>
      <c r="N4540" s="464">
        <f t="shared" si="172"/>
        <v>189229</v>
      </c>
    </row>
    <row r="4541" spans="7:14" ht="11.25" customHeight="1" x14ac:dyDescent="0.3">
      <c r="G4541" s="459"/>
      <c r="H4541" s="459">
        <v>4534</v>
      </c>
      <c r="I4541" s="444">
        <f t="shared" ca="1" si="170"/>
        <v>-35283183488291.695</v>
      </c>
      <c r="J4541" s="444">
        <f t="array" ref="J4541">IFERROR(INDEX('Retirement Calculator'!K:K,MATCH('Lorri 401b'!N4541,'Retirement Calculator'!A:A,0),0),0)</f>
        <v>0</v>
      </c>
      <c r="K4541" s="444">
        <f t="shared" ca="1" si="168"/>
        <v>-147013264534.54874</v>
      </c>
      <c r="L4541" s="444">
        <f t="shared" ca="1" si="169"/>
        <v>-35430196752826.242</v>
      </c>
      <c r="M4541" s="460">
        <f t="shared" si="171"/>
        <v>0.05</v>
      </c>
      <c r="N4541" s="464">
        <f t="shared" si="172"/>
        <v>189257</v>
      </c>
    </row>
    <row r="4542" spans="7:14" ht="11.25" customHeight="1" x14ac:dyDescent="0.3">
      <c r="G4542" s="459"/>
      <c r="H4542" s="459">
        <v>4535</v>
      </c>
      <c r="I4542" s="444">
        <f t="shared" ca="1" si="170"/>
        <v>-35430196752826.242</v>
      </c>
      <c r="J4542" s="444">
        <f t="array" ref="J4542">IFERROR(INDEX('Retirement Calculator'!K:K,MATCH('Lorri 401b'!N4542,'Retirement Calculator'!A:A,0),0),0)</f>
        <v>0</v>
      </c>
      <c r="K4542" s="444">
        <f t="shared" ca="1" si="168"/>
        <v>-147625819803.44269</v>
      </c>
      <c r="L4542" s="444">
        <f t="shared" ca="1" si="169"/>
        <v>-35577822572629.688</v>
      </c>
      <c r="M4542" s="460">
        <f t="shared" si="171"/>
        <v>0.05</v>
      </c>
      <c r="N4542" s="464">
        <f t="shared" si="172"/>
        <v>189288</v>
      </c>
    </row>
    <row r="4543" spans="7:14" ht="11.25" customHeight="1" x14ac:dyDescent="0.3">
      <c r="G4543" s="459"/>
      <c r="H4543" s="459">
        <v>4536</v>
      </c>
      <c r="I4543" s="444">
        <f t="shared" ca="1" si="170"/>
        <v>-35577822572629.688</v>
      </c>
      <c r="J4543" s="444">
        <f t="array" ref="J4543">IFERROR(INDEX('Retirement Calculator'!K:K,MATCH('Lorri 401b'!N4543,'Retirement Calculator'!A:A,0),0),0)</f>
        <v>0</v>
      </c>
      <c r="K4543" s="444">
        <f t="shared" ca="1" si="168"/>
        <v>-148240927385.95703</v>
      </c>
      <c r="L4543" s="444">
        <f t="shared" ca="1" si="169"/>
        <v>-35726063500015.641</v>
      </c>
      <c r="M4543" s="460">
        <f t="shared" si="171"/>
        <v>0.05</v>
      </c>
      <c r="N4543" s="464">
        <f t="shared" si="172"/>
        <v>189318</v>
      </c>
    </row>
    <row r="4544" spans="7:14" ht="11.25" customHeight="1" x14ac:dyDescent="0.3">
      <c r="G4544" s="459"/>
      <c r="H4544" s="459">
        <v>4537</v>
      </c>
      <c r="I4544" s="444">
        <f t="shared" ca="1" si="170"/>
        <v>-35726063500015.641</v>
      </c>
      <c r="J4544" s="444">
        <f t="array" ref="J4544">IFERROR(INDEX('Retirement Calculator'!K:K,MATCH('Lorri 401b'!N4544,'Retirement Calculator'!A:A,0),0),0)</f>
        <v>0</v>
      </c>
      <c r="K4544" s="444">
        <f t="shared" ca="1" si="168"/>
        <v>-148858597916.73184</v>
      </c>
      <c r="L4544" s="444">
        <f t="shared" ca="1" si="169"/>
        <v>-35874922097932.375</v>
      </c>
      <c r="M4544" s="460">
        <f t="shared" si="171"/>
        <v>0.05</v>
      </c>
      <c r="N4544" s="464">
        <f t="shared" si="172"/>
        <v>189349</v>
      </c>
    </row>
    <row r="4545" spans="7:14" ht="11.25" customHeight="1" x14ac:dyDescent="0.3">
      <c r="G4545" s="459"/>
      <c r="H4545" s="459">
        <v>4538</v>
      </c>
      <c r="I4545" s="444">
        <f t="shared" ca="1" si="170"/>
        <v>-35874922097932.375</v>
      </c>
      <c r="J4545" s="444">
        <f t="array" ref="J4545">IFERROR(INDEX('Retirement Calculator'!K:K,MATCH('Lorri 401b'!N4545,'Retirement Calculator'!A:A,0),0),0)</f>
        <v>0</v>
      </c>
      <c r="K4545" s="444">
        <f t="shared" ca="1" si="168"/>
        <v>-149478842074.71823</v>
      </c>
      <c r="L4545" s="444">
        <f t="shared" ca="1" si="169"/>
        <v>-36024400940007.094</v>
      </c>
      <c r="M4545" s="460">
        <f t="shared" si="171"/>
        <v>0.05</v>
      </c>
      <c r="N4545" s="464">
        <f t="shared" si="172"/>
        <v>189379</v>
      </c>
    </row>
    <row r="4546" spans="7:14" ht="11.25" customHeight="1" x14ac:dyDescent="0.3">
      <c r="G4546" s="459"/>
      <c r="H4546" s="459">
        <v>4539</v>
      </c>
      <c r="I4546" s="444">
        <f t="shared" ca="1" si="170"/>
        <v>-36024400940007.094</v>
      </c>
      <c r="J4546" s="444">
        <f t="array" ref="J4546">IFERROR(INDEX('Retirement Calculator'!K:K,MATCH('Lorri 401b'!N4546,'Retirement Calculator'!A:A,0),0),0)</f>
        <v>0</v>
      </c>
      <c r="K4546" s="444">
        <f t="shared" ca="1" si="168"/>
        <v>-150101670583.36288</v>
      </c>
      <c r="L4546" s="444">
        <f t="shared" ca="1" si="169"/>
        <v>-36174502610590.453</v>
      </c>
      <c r="M4546" s="460">
        <f t="shared" si="171"/>
        <v>0.05</v>
      </c>
      <c r="N4546" s="464">
        <f t="shared" si="172"/>
        <v>189410</v>
      </c>
    </row>
    <row r="4547" spans="7:14" ht="11.25" customHeight="1" x14ac:dyDescent="0.3">
      <c r="G4547" s="459"/>
      <c r="H4547" s="459">
        <v>4540</v>
      </c>
      <c r="I4547" s="444">
        <f t="shared" ca="1" si="170"/>
        <v>-36174502610590.453</v>
      </c>
      <c r="J4547" s="444">
        <f t="array" ref="J4547">IFERROR(INDEX('Retirement Calculator'!K:K,MATCH('Lorri 401b'!N4547,'Retirement Calculator'!A:A,0),0),0)</f>
        <v>0</v>
      </c>
      <c r="K4547" s="444">
        <f t="shared" ca="1" si="168"/>
        <v>-150727094210.79355</v>
      </c>
      <c r="L4547" s="444">
        <f t="shared" ca="1" si="169"/>
        <v>-36325229704801.25</v>
      </c>
      <c r="M4547" s="460">
        <f t="shared" si="171"/>
        <v>0.05</v>
      </c>
      <c r="N4547" s="464">
        <f t="shared" si="172"/>
        <v>189441</v>
      </c>
    </row>
    <row r="4548" spans="7:14" ht="11.25" customHeight="1" x14ac:dyDescent="0.3">
      <c r="G4548" s="459"/>
      <c r="H4548" s="459">
        <v>4541</v>
      </c>
      <c r="I4548" s="444">
        <f t="shared" ca="1" si="170"/>
        <v>-36325229704801.25</v>
      </c>
      <c r="J4548" s="444">
        <f t="array" ref="J4548">IFERROR(INDEX('Retirement Calculator'!K:K,MATCH('Lorri 401b'!N4548,'Retirement Calculator'!A:A,0),0),0)</f>
        <v>0</v>
      </c>
      <c r="K4548" s="444">
        <f t="shared" ca="1" si="168"/>
        <v>-151355123770.00522</v>
      </c>
      <c r="L4548" s="444">
        <f t="shared" ca="1" si="169"/>
        <v>-36476584828571.258</v>
      </c>
      <c r="M4548" s="460">
        <f t="shared" si="171"/>
        <v>0.05</v>
      </c>
      <c r="N4548" s="464">
        <f t="shared" si="172"/>
        <v>189471</v>
      </c>
    </row>
    <row r="4549" spans="7:14" ht="11.25" customHeight="1" x14ac:dyDescent="0.3">
      <c r="G4549" s="459"/>
      <c r="H4549" s="459">
        <v>4542</v>
      </c>
      <c r="I4549" s="444">
        <f t="shared" ca="1" si="170"/>
        <v>-36476584828571.258</v>
      </c>
      <c r="J4549" s="444">
        <f t="array" ref="J4549">IFERROR(INDEX('Retirement Calculator'!K:K,MATCH('Lorri 401b'!N4549,'Retirement Calculator'!A:A,0),0),0)</f>
        <v>0</v>
      </c>
      <c r="K4549" s="444">
        <f t="shared" ca="1" si="168"/>
        <v>-151985770119.04691</v>
      </c>
      <c r="L4549" s="444">
        <f t="shared" ca="1" si="169"/>
        <v>-36628570598690.305</v>
      </c>
      <c r="M4549" s="460">
        <f t="shared" si="171"/>
        <v>0.05</v>
      </c>
      <c r="N4549" s="464">
        <f t="shared" si="172"/>
        <v>189502</v>
      </c>
    </row>
    <row r="4550" spans="7:14" ht="11.25" customHeight="1" x14ac:dyDescent="0.3">
      <c r="G4550" s="459"/>
      <c r="H4550" s="459">
        <v>4543</v>
      </c>
      <c r="I4550" s="444">
        <f t="shared" ca="1" si="170"/>
        <v>-36628570598690.305</v>
      </c>
      <c r="J4550" s="444">
        <f t="array" ref="J4550">IFERROR(INDEX('Retirement Calculator'!K:K,MATCH('Lorri 401b'!N4550,'Retirement Calculator'!A:A,0),0),0)</f>
        <v>0</v>
      </c>
      <c r="K4550" s="444">
        <f t="shared" ca="1" si="168"/>
        <v>-152619044161.20959</v>
      </c>
      <c r="L4550" s="444">
        <f t="shared" ca="1" si="169"/>
        <v>-36781189642851.516</v>
      </c>
      <c r="M4550" s="460">
        <f t="shared" si="171"/>
        <v>0.05</v>
      </c>
      <c r="N4550" s="464">
        <f t="shared" si="172"/>
        <v>189532</v>
      </c>
    </row>
    <row r="4551" spans="7:14" ht="11.25" customHeight="1" x14ac:dyDescent="0.3">
      <c r="G4551" s="459"/>
      <c r="H4551" s="459">
        <v>4544</v>
      </c>
      <c r="I4551" s="444">
        <f t="shared" ca="1" si="170"/>
        <v>-36781189642851.516</v>
      </c>
      <c r="J4551" s="444">
        <f t="array" ref="J4551">IFERROR(INDEX('Retirement Calculator'!K:K,MATCH('Lorri 401b'!N4551,'Retirement Calculator'!A:A,0),0),0)</f>
        <v>0</v>
      </c>
      <c r="K4551" s="444">
        <f t="shared" ca="1" si="168"/>
        <v>-153254956845.21466</v>
      </c>
      <c r="L4551" s="444">
        <f t="shared" ca="1" si="169"/>
        <v>-36934444599696.727</v>
      </c>
      <c r="M4551" s="460">
        <f t="shared" si="171"/>
        <v>0.05</v>
      </c>
      <c r="N4551" s="464">
        <f t="shared" si="172"/>
        <v>189563</v>
      </c>
    </row>
    <row r="4552" spans="7:14" ht="11.25" customHeight="1" x14ac:dyDescent="0.3">
      <c r="G4552" s="459"/>
      <c r="H4552" s="459">
        <v>4545</v>
      </c>
      <c r="I4552" s="444">
        <f t="shared" ca="1" si="170"/>
        <v>-36934444599696.727</v>
      </c>
      <c r="J4552" s="444">
        <f t="array" ref="J4552">IFERROR(INDEX('Retirement Calculator'!K:K,MATCH('Lorri 401b'!N4552,'Retirement Calculator'!A:A,0),0),0)</f>
        <v>0</v>
      </c>
      <c r="K4552" s="444">
        <f t="shared" ca="1" si="168"/>
        <v>-153893519165.40302</v>
      </c>
      <c r="L4552" s="444">
        <f t="shared" ca="1" si="169"/>
        <v>-37088338118862.133</v>
      </c>
      <c r="M4552" s="460">
        <f t="shared" si="171"/>
        <v>0.05</v>
      </c>
      <c r="N4552" s="464">
        <f t="shared" si="172"/>
        <v>189594</v>
      </c>
    </row>
    <row r="4553" spans="7:14" ht="11.25" customHeight="1" x14ac:dyDescent="0.3">
      <c r="G4553" s="459"/>
      <c r="H4553" s="459">
        <v>4546</v>
      </c>
      <c r="I4553" s="444">
        <f t="shared" ca="1" si="170"/>
        <v>-37088338118862.133</v>
      </c>
      <c r="J4553" s="444">
        <f t="array" ref="J4553">IFERROR(INDEX('Retirement Calculator'!K:K,MATCH('Lorri 401b'!N4553,'Retirement Calculator'!A:A,0),0),0)</f>
        <v>0</v>
      </c>
      <c r="K4553" s="444">
        <f t="shared" ca="1" si="168"/>
        <v>-154534742161.92554</v>
      </c>
      <c r="L4553" s="444">
        <f t="shared" ca="1" si="169"/>
        <v>-37242872861024.055</v>
      </c>
      <c r="M4553" s="460">
        <f t="shared" si="171"/>
        <v>0.05</v>
      </c>
      <c r="N4553" s="464">
        <f t="shared" si="172"/>
        <v>189622</v>
      </c>
    </row>
    <row r="4554" spans="7:14" ht="11.25" customHeight="1" x14ac:dyDescent="0.3">
      <c r="G4554" s="459"/>
      <c r="H4554" s="459">
        <v>4547</v>
      </c>
      <c r="I4554" s="444">
        <f t="shared" ca="1" si="170"/>
        <v>-37242872861024.055</v>
      </c>
      <c r="J4554" s="444">
        <f t="array" ref="J4554">IFERROR(INDEX('Retirement Calculator'!K:K,MATCH('Lorri 401b'!N4554,'Retirement Calculator'!A:A,0),0),0)</f>
        <v>0</v>
      </c>
      <c r="K4554" s="444">
        <f t="shared" ca="1" si="168"/>
        <v>-155178636920.93356</v>
      </c>
      <c r="L4554" s="444">
        <f t="shared" ca="1" si="169"/>
        <v>-37398051497944.984</v>
      </c>
      <c r="M4554" s="460">
        <f t="shared" si="171"/>
        <v>0.05</v>
      </c>
      <c r="N4554" s="464">
        <f t="shared" si="172"/>
        <v>189653</v>
      </c>
    </row>
    <row r="4555" spans="7:14" ht="11.25" customHeight="1" x14ac:dyDescent="0.3">
      <c r="G4555" s="459"/>
      <c r="H4555" s="459">
        <v>4548</v>
      </c>
      <c r="I4555" s="444">
        <f t="shared" ca="1" si="170"/>
        <v>-37398051497944.984</v>
      </c>
      <c r="J4555" s="444">
        <f t="array" ref="J4555">IFERROR(INDEX('Retirement Calculator'!K:K,MATCH('Lorri 401b'!N4555,'Retirement Calculator'!A:A,0),0),0)</f>
        <v>0</v>
      </c>
      <c r="K4555" s="444">
        <f t="shared" ca="1" si="168"/>
        <v>-155825214574.77075</v>
      </c>
      <c r="L4555" s="444">
        <f t="shared" ca="1" si="169"/>
        <v>-37553876712519.758</v>
      </c>
      <c r="M4555" s="460">
        <f t="shared" si="171"/>
        <v>0.05</v>
      </c>
      <c r="N4555" s="464">
        <f t="shared" si="172"/>
        <v>189683</v>
      </c>
    </row>
    <row r="4556" spans="7:14" ht="11.25" customHeight="1" x14ac:dyDescent="0.3">
      <c r="G4556" s="459"/>
      <c r="H4556" s="459">
        <v>4549</v>
      </c>
      <c r="I4556" s="444">
        <f t="shared" ca="1" si="170"/>
        <v>-37553876712519.758</v>
      </c>
      <c r="J4556" s="444">
        <f t="array" ref="J4556">IFERROR(INDEX('Retirement Calculator'!K:K,MATCH('Lorri 401b'!N4556,'Retirement Calculator'!A:A,0),0),0)</f>
        <v>0</v>
      </c>
      <c r="K4556" s="444">
        <f t="shared" ca="1" si="168"/>
        <v>-156474486302.16565</v>
      </c>
      <c r="L4556" s="444">
        <f t="shared" ca="1" si="169"/>
        <v>-37710351198821.922</v>
      </c>
      <c r="M4556" s="460">
        <f t="shared" si="171"/>
        <v>0.05</v>
      </c>
      <c r="N4556" s="464">
        <f t="shared" si="172"/>
        <v>189714</v>
      </c>
    </row>
    <row r="4557" spans="7:14" ht="11.25" customHeight="1" x14ac:dyDescent="0.3">
      <c r="G4557" s="459"/>
      <c r="H4557" s="459">
        <v>4550</v>
      </c>
      <c r="I4557" s="444">
        <f t="shared" ca="1" si="170"/>
        <v>-37710351198821.922</v>
      </c>
      <c r="J4557" s="444">
        <f t="array" ref="J4557">IFERROR(INDEX('Retirement Calculator'!K:K,MATCH('Lorri 401b'!N4557,'Retirement Calculator'!A:A,0),0),0)</f>
        <v>0</v>
      </c>
      <c r="K4557" s="444">
        <f t="shared" ca="1" si="168"/>
        <v>-157126463328.42468</v>
      </c>
      <c r="L4557" s="444">
        <f t="shared" ca="1" si="169"/>
        <v>-37867477662150.344</v>
      </c>
      <c r="M4557" s="460">
        <f t="shared" si="171"/>
        <v>0.05</v>
      </c>
      <c r="N4557" s="464">
        <f t="shared" si="172"/>
        <v>189744</v>
      </c>
    </row>
    <row r="4558" spans="7:14" ht="11.25" customHeight="1" x14ac:dyDescent="0.3">
      <c r="G4558" s="459"/>
      <c r="H4558" s="459">
        <v>4551</v>
      </c>
      <c r="I4558" s="444">
        <f t="shared" ca="1" si="170"/>
        <v>-37867477662150.344</v>
      </c>
      <c r="J4558" s="444">
        <f t="array" ref="J4558">IFERROR(INDEX('Retirement Calculator'!K:K,MATCH('Lorri 401b'!N4558,'Retirement Calculator'!A:A,0),0),0)</f>
        <v>0</v>
      </c>
      <c r="K4558" s="444">
        <f t="shared" ca="1" si="168"/>
        <v>-157781156925.62643</v>
      </c>
      <c r="L4558" s="444">
        <f t="shared" ca="1" si="169"/>
        <v>-38025258819075.969</v>
      </c>
      <c r="M4558" s="460">
        <f t="shared" si="171"/>
        <v>0.05</v>
      </c>
      <c r="N4558" s="464">
        <f t="shared" si="172"/>
        <v>189775</v>
      </c>
    </row>
    <row r="4559" spans="7:14" ht="11.25" customHeight="1" x14ac:dyDescent="0.3">
      <c r="G4559" s="459"/>
      <c r="H4559" s="459">
        <v>4552</v>
      </c>
      <c r="I4559" s="444">
        <f t="shared" ca="1" si="170"/>
        <v>-38025258819075.969</v>
      </c>
      <c r="J4559" s="444">
        <f t="array" ref="J4559">IFERROR(INDEX('Retirement Calculator'!K:K,MATCH('Lorri 401b'!N4559,'Retirement Calculator'!A:A,0),0),0)</f>
        <v>0</v>
      </c>
      <c r="K4559" s="444">
        <f t="shared" ca="1" si="168"/>
        <v>-158438578412.81653</v>
      </c>
      <c r="L4559" s="444">
        <f t="shared" ca="1" si="169"/>
        <v>-38183697397488.789</v>
      </c>
      <c r="M4559" s="460">
        <f t="shared" si="171"/>
        <v>0.05</v>
      </c>
      <c r="N4559" s="464">
        <f t="shared" si="172"/>
        <v>189806</v>
      </c>
    </row>
    <row r="4560" spans="7:14" ht="11.25" customHeight="1" x14ac:dyDescent="0.3">
      <c r="G4560" s="459"/>
      <c r="H4560" s="459">
        <v>4553</v>
      </c>
      <c r="I4560" s="444">
        <f t="shared" ca="1" si="170"/>
        <v>-38183697397488.789</v>
      </c>
      <c r="J4560" s="444">
        <f t="array" ref="J4560">IFERROR(INDEX('Retirement Calculator'!K:K,MATCH('Lorri 401b'!N4560,'Retirement Calculator'!A:A,0),0),0)</f>
        <v>0</v>
      </c>
      <c r="K4560" s="444">
        <f t="shared" ca="1" si="168"/>
        <v>-159098739156.20328</v>
      </c>
      <c r="L4560" s="444">
        <f t="shared" ca="1" si="169"/>
        <v>-38342796136644.992</v>
      </c>
      <c r="M4560" s="460">
        <f t="shared" si="171"/>
        <v>0.05</v>
      </c>
      <c r="N4560" s="464">
        <f t="shared" si="172"/>
        <v>189836</v>
      </c>
    </row>
    <row r="4561" spans="7:14" ht="11.25" customHeight="1" x14ac:dyDescent="0.3">
      <c r="G4561" s="459"/>
      <c r="H4561" s="459">
        <v>4554</v>
      </c>
      <c r="I4561" s="444">
        <f t="shared" ca="1" si="170"/>
        <v>-38342796136644.992</v>
      </c>
      <c r="J4561" s="444">
        <f t="array" ref="J4561">IFERROR(INDEX('Retirement Calculator'!K:K,MATCH('Lorri 401b'!N4561,'Retirement Calculator'!A:A,0),0),0)</f>
        <v>0</v>
      </c>
      <c r="K4561" s="444">
        <f t="shared" ca="1" si="168"/>
        <v>-159761650569.35413</v>
      </c>
      <c r="L4561" s="444">
        <f t="shared" ca="1" si="169"/>
        <v>-38502557787214.344</v>
      </c>
      <c r="M4561" s="460">
        <f t="shared" si="171"/>
        <v>0.05</v>
      </c>
      <c r="N4561" s="464">
        <f t="shared" si="172"/>
        <v>189867</v>
      </c>
    </row>
    <row r="4562" spans="7:14" ht="11.25" customHeight="1" x14ac:dyDescent="0.3">
      <c r="G4562" s="459"/>
      <c r="H4562" s="459">
        <v>4555</v>
      </c>
      <c r="I4562" s="444">
        <f t="shared" ca="1" si="170"/>
        <v>-38502557787214.344</v>
      </c>
      <c r="J4562" s="444">
        <f t="array" ref="J4562">IFERROR(INDEX('Retirement Calculator'!K:K,MATCH('Lorri 401b'!N4562,'Retirement Calculator'!A:A,0),0),0)</f>
        <v>0</v>
      </c>
      <c r="K4562" s="444">
        <f t="shared" ca="1" si="168"/>
        <v>-160427324113.3931</v>
      </c>
      <c r="L4562" s="444">
        <f t="shared" ca="1" si="169"/>
        <v>-38662985111327.734</v>
      </c>
      <c r="M4562" s="460">
        <f t="shared" si="171"/>
        <v>0.05</v>
      </c>
      <c r="N4562" s="464">
        <f t="shared" si="172"/>
        <v>189897</v>
      </c>
    </row>
    <row r="4563" spans="7:14" ht="11.25" customHeight="1" x14ac:dyDescent="0.3">
      <c r="G4563" s="459"/>
      <c r="H4563" s="459">
        <v>4556</v>
      </c>
      <c r="I4563" s="444">
        <f t="shared" ca="1" si="170"/>
        <v>-38662985111327.734</v>
      </c>
      <c r="J4563" s="444">
        <f t="array" ref="J4563">IFERROR(INDEX('Retirement Calculator'!K:K,MATCH('Lorri 401b'!N4563,'Retirement Calculator'!A:A,0),0),0)</f>
        <v>0</v>
      </c>
      <c r="K4563" s="444">
        <f t="shared" ca="1" si="168"/>
        <v>-161095771297.19888</v>
      </c>
      <c r="L4563" s="444">
        <f t="shared" ca="1" si="169"/>
        <v>-38824080882624.93</v>
      </c>
      <c r="M4563" s="460">
        <f t="shared" si="171"/>
        <v>0.05</v>
      </c>
      <c r="N4563" s="464">
        <f t="shared" si="172"/>
        <v>189928</v>
      </c>
    </row>
    <row r="4564" spans="7:14" ht="11.25" customHeight="1" x14ac:dyDescent="0.3">
      <c r="G4564" s="459"/>
      <c r="H4564" s="459">
        <v>4557</v>
      </c>
      <c r="I4564" s="444">
        <f t="shared" ca="1" si="170"/>
        <v>-38824080882624.93</v>
      </c>
      <c r="J4564" s="444">
        <f t="array" ref="J4564">IFERROR(INDEX('Retirement Calculator'!K:K,MATCH('Lorri 401b'!N4564,'Retirement Calculator'!A:A,0),0),0)</f>
        <v>0</v>
      </c>
      <c r="K4564" s="444">
        <f t="shared" ca="1" si="168"/>
        <v>-161767003677.60388</v>
      </c>
      <c r="L4564" s="444">
        <f t="shared" ca="1" si="169"/>
        <v>-38985847886302.531</v>
      </c>
      <c r="M4564" s="460">
        <f t="shared" si="171"/>
        <v>0.05</v>
      </c>
      <c r="N4564" s="464">
        <f t="shared" si="172"/>
        <v>189959</v>
      </c>
    </row>
    <row r="4565" spans="7:14" ht="11.25" customHeight="1" x14ac:dyDescent="0.3">
      <c r="G4565" s="459"/>
      <c r="H4565" s="459">
        <v>4558</v>
      </c>
      <c r="I4565" s="444">
        <f t="shared" ca="1" si="170"/>
        <v>-38985847886302.531</v>
      </c>
      <c r="J4565" s="444">
        <f t="array" ref="J4565">IFERROR(INDEX('Retirement Calculator'!K:K,MATCH('Lorri 401b'!N4565,'Retirement Calculator'!A:A,0),0),0)</f>
        <v>0</v>
      </c>
      <c r="K4565" s="444">
        <f t="shared" ca="1" si="168"/>
        <v>-162441032859.59387</v>
      </c>
      <c r="L4565" s="444">
        <f t="shared" ca="1" si="169"/>
        <v>-39148288919162.125</v>
      </c>
      <c r="M4565" s="460">
        <f t="shared" si="171"/>
        <v>0.05</v>
      </c>
      <c r="N4565" s="464">
        <f t="shared" si="172"/>
        <v>189988</v>
      </c>
    </row>
    <row r="4566" spans="7:14" ht="11.25" customHeight="1" x14ac:dyDescent="0.3">
      <c r="G4566" s="459"/>
      <c r="H4566" s="459">
        <v>4559</v>
      </c>
      <c r="I4566" s="444">
        <f t="shared" ca="1" si="170"/>
        <v>-39148288919162.125</v>
      </c>
      <c r="J4566" s="444">
        <f t="array" ref="J4566">IFERROR(INDEX('Retirement Calculator'!K:K,MATCH('Lorri 401b'!N4566,'Retirement Calculator'!A:A,0),0),0)</f>
        <v>0</v>
      </c>
      <c r="K4566" s="444">
        <f t="shared" ca="1" si="168"/>
        <v>-163117870496.50885</v>
      </c>
      <c r="L4566" s="444">
        <f t="shared" ca="1" si="169"/>
        <v>-39311406789658.633</v>
      </c>
      <c r="M4566" s="460">
        <f t="shared" si="171"/>
        <v>0.05</v>
      </c>
      <c r="N4566" s="464">
        <f t="shared" si="172"/>
        <v>190019</v>
      </c>
    </row>
    <row r="4567" spans="7:14" ht="11.25" customHeight="1" x14ac:dyDescent="0.3">
      <c r="G4567" s="459"/>
      <c r="H4567" s="459">
        <v>4560</v>
      </c>
      <c r="I4567" s="444">
        <f t="shared" ca="1" si="170"/>
        <v>-39311406789658.633</v>
      </c>
      <c r="J4567" s="444">
        <f t="array" ref="J4567">IFERROR(INDEX('Retirement Calculator'!K:K,MATCH('Lorri 401b'!N4567,'Retirement Calculator'!A:A,0),0),0)</f>
        <v>0</v>
      </c>
      <c r="K4567" s="444">
        <f t="shared" ca="1" si="168"/>
        <v>-163797528290.24429</v>
      </c>
      <c r="L4567" s="444">
        <f t="shared" ca="1" si="169"/>
        <v>-39475204317948.875</v>
      </c>
      <c r="M4567" s="460">
        <f t="shared" si="171"/>
        <v>0.05</v>
      </c>
      <c r="N4567" s="464">
        <f t="shared" si="172"/>
        <v>190049</v>
      </c>
    </row>
    <row r="4568" spans="7:14" ht="11.25" customHeight="1" x14ac:dyDescent="0.3">
      <c r="G4568" s="459"/>
      <c r="H4568" s="459">
        <v>4561</v>
      </c>
      <c r="I4568" s="444">
        <f t="shared" ca="1" si="170"/>
        <v>-39475204317948.875</v>
      </c>
      <c r="J4568" s="444">
        <f t="array" ref="J4568">IFERROR(INDEX('Retirement Calculator'!K:K,MATCH('Lorri 401b'!N4568,'Retirement Calculator'!A:A,0),0),0)</f>
        <v>0</v>
      </c>
      <c r="K4568" s="444">
        <f t="shared" ca="1" si="168"/>
        <v>-164480017991.45364</v>
      </c>
      <c r="L4568" s="444">
        <f t="shared" ca="1" si="169"/>
        <v>-39639684335940.328</v>
      </c>
      <c r="M4568" s="460">
        <f t="shared" si="171"/>
        <v>0.05</v>
      </c>
      <c r="N4568" s="464">
        <f t="shared" si="172"/>
        <v>190080</v>
      </c>
    </row>
    <row r="4569" spans="7:14" ht="11.25" customHeight="1" x14ac:dyDescent="0.3">
      <c r="G4569" s="459"/>
      <c r="H4569" s="459">
        <v>4562</v>
      </c>
      <c r="I4569" s="444">
        <f t="shared" ca="1" si="170"/>
        <v>-39639684335940.328</v>
      </c>
      <c r="J4569" s="444">
        <f t="array" ref="J4569">IFERROR(INDEX('Retirement Calculator'!K:K,MATCH('Lorri 401b'!N4569,'Retirement Calculator'!A:A,0),0),0)</f>
        <v>0</v>
      </c>
      <c r="K4569" s="444">
        <f t="shared" ca="1" si="168"/>
        <v>-165165351399.75137</v>
      </c>
      <c r="L4569" s="444">
        <f t="shared" ca="1" si="169"/>
        <v>-39804849687340.078</v>
      </c>
      <c r="M4569" s="460">
        <f t="shared" si="171"/>
        <v>0.05</v>
      </c>
      <c r="N4569" s="464">
        <f t="shared" si="172"/>
        <v>190110</v>
      </c>
    </row>
    <row r="4570" spans="7:14" ht="11.25" customHeight="1" x14ac:dyDescent="0.3">
      <c r="G4570" s="459"/>
      <c r="H4570" s="459">
        <v>4563</v>
      </c>
      <c r="I4570" s="444">
        <f t="shared" ca="1" si="170"/>
        <v>-39804849687340.078</v>
      </c>
      <c r="J4570" s="444">
        <f t="array" ref="J4570">IFERROR(INDEX('Retirement Calculator'!K:K,MATCH('Lorri 401b'!N4570,'Retirement Calculator'!A:A,0),0),0)</f>
        <v>0</v>
      </c>
      <c r="K4570" s="444">
        <f t="shared" ca="1" si="168"/>
        <v>-165853540363.91699</v>
      </c>
      <c r="L4570" s="444">
        <f t="shared" ca="1" si="169"/>
        <v>-39970703227703.992</v>
      </c>
      <c r="M4570" s="460">
        <f t="shared" si="171"/>
        <v>0.05</v>
      </c>
      <c r="N4570" s="464">
        <f t="shared" si="172"/>
        <v>190141</v>
      </c>
    </row>
    <row r="4571" spans="7:14" ht="11.25" customHeight="1" x14ac:dyDescent="0.3">
      <c r="G4571" s="459"/>
      <c r="H4571" s="459">
        <v>4564</v>
      </c>
      <c r="I4571" s="444">
        <f t="shared" ca="1" si="170"/>
        <v>-39970703227703.992</v>
      </c>
      <c r="J4571" s="444">
        <f t="array" ref="J4571">IFERROR(INDEX('Retirement Calculator'!K:K,MATCH('Lorri 401b'!N4571,'Retirement Calculator'!A:A,0),0),0)</f>
        <v>0</v>
      </c>
      <c r="K4571" s="444">
        <f t="shared" ca="1" si="168"/>
        <v>-166544596782.09998</v>
      </c>
      <c r="L4571" s="444">
        <f t="shared" ca="1" si="169"/>
        <v>-40137247824486.094</v>
      </c>
      <c r="M4571" s="460">
        <f t="shared" si="171"/>
        <v>0.05</v>
      </c>
      <c r="N4571" s="464">
        <f t="shared" si="172"/>
        <v>190172</v>
      </c>
    </row>
    <row r="4572" spans="7:14" ht="11.25" customHeight="1" x14ac:dyDescent="0.3">
      <c r="G4572" s="459"/>
      <c r="H4572" s="459">
        <v>4565</v>
      </c>
      <c r="I4572" s="444">
        <f t="shared" ca="1" si="170"/>
        <v>-40137247824486.094</v>
      </c>
      <c r="J4572" s="444">
        <f t="array" ref="J4572">IFERROR(INDEX('Retirement Calculator'!K:K,MATCH('Lorri 401b'!N4572,'Retirement Calculator'!A:A,0),0),0)</f>
        <v>0</v>
      </c>
      <c r="K4572" s="444">
        <f t="shared" ca="1" si="168"/>
        <v>-167238532602.02539</v>
      </c>
      <c r="L4572" s="444">
        <f t="shared" ca="1" si="169"/>
        <v>-40304486357088.117</v>
      </c>
      <c r="M4572" s="460">
        <f t="shared" si="171"/>
        <v>0.05</v>
      </c>
      <c r="N4572" s="464">
        <f t="shared" si="172"/>
        <v>190202</v>
      </c>
    </row>
    <row r="4573" spans="7:14" ht="11.25" customHeight="1" x14ac:dyDescent="0.3">
      <c r="G4573" s="459"/>
      <c r="H4573" s="459">
        <v>4566</v>
      </c>
      <c r="I4573" s="444">
        <f t="shared" ca="1" si="170"/>
        <v>-40304486357088.117</v>
      </c>
      <c r="J4573" s="444">
        <f t="array" ref="J4573">IFERROR(INDEX('Retirement Calculator'!K:K,MATCH('Lorri 401b'!N4573,'Retirement Calculator'!A:A,0),0),0)</f>
        <v>0</v>
      </c>
      <c r="K4573" s="444">
        <f t="shared" ca="1" si="168"/>
        <v>-167935359821.2005</v>
      </c>
      <c r="L4573" s="444">
        <f t="shared" ca="1" si="169"/>
        <v>-40472421716909.32</v>
      </c>
      <c r="M4573" s="460">
        <f t="shared" si="171"/>
        <v>0.05</v>
      </c>
      <c r="N4573" s="464">
        <f t="shared" si="172"/>
        <v>190233</v>
      </c>
    </row>
    <row r="4574" spans="7:14" ht="11.25" customHeight="1" x14ac:dyDescent="0.3">
      <c r="G4574" s="459"/>
      <c r="H4574" s="459">
        <v>4567</v>
      </c>
      <c r="I4574" s="444">
        <f t="shared" ca="1" si="170"/>
        <v>-40472421716909.32</v>
      </c>
      <c r="J4574" s="444">
        <f t="array" ref="J4574">IFERROR(INDEX('Retirement Calculator'!K:K,MATCH('Lorri 401b'!N4574,'Retirement Calculator'!A:A,0),0),0)</f>
        <v>0</v>
      </c>
      <c r="K4574" s="444">
        <f t="shared" ca="1" si="168"/>
        <v>-168635090487.12216</v>
      </c>
      <c r="L4574" s="444">
        <f t="shared" ca="1" si="169"/>
        <v>-40641056807396.445</v>
      </c>
      <c r="M4574" s="460">
        <f t="shared" si="171"/>
        <v>0.05</v>
      </c>
      <c r="N4574" s="464">
        <f t="shared" si="172"/>
        <v>190263</v>
      </c>
    </row>
    <row r="4575" spans="7:14" ht="11.25" customHeight="1" x14ac:dyDescent="0.3">
      <c r="G4575" s="459"/>
      <c r="H4575" s="459">
        <v>4568</v>
      </c>
      <c r="I4575" s="444">
        <f t="shared" ca="1" si="170"/>
        <v>-40641056807396.445</v>
      </c>
      <c r="J4575" s="444">
        <f t="array" ref="J4575">IFERROR(INDEX('Retirement Calculator'!K:K,MATCH('Lorri 401b'!N4575,'Retirement Calculator'!A:A,0),0),0)</f>
        <v>0</v>
      </c>
      <c r="K4575" s="444">
        <f t="shared" ca="1" si="168"/>
        <v>-169337736697.4852</v>
      </c>
      <c r="L4575" s="444">
        <f t="shared" ca="1" si="169"/>
        <v>-40810394544093.93</v>
      </c>
      <c r="M4575" s="460">
        <f t="shared" si="171"/>
        <v>0.05</v>
      </c>
      <c r="N4575" s="464">
        <f t="shared" si="172"/>
        <v>190294</v>
      </c>
    </row>
    <row r="4576" spans="7:14" ht="11.25" customHeight="1" x14ac:dyDescent="0.3">
      <c r="G4576" s="459"/>
      <c r="H4576" s="459">
        <v>4569</v>
      </c>
      <c r="I4576" s="444">
        <f t="shared" ca="1" si="170"/>
        <v>-40810394544093.93</v>
      </c>
      <c r="J4576" s="444">
        <f t="array" ref="J4576">IFERROR(INDEX('Retirement Calculator'!K:K,MATCH('Lorri 401b'!N4576,'Retirement Calculator'!A:A,0),0),0)</f>
        <v>0</v>
      </c>
      <c r="K4576" s="444">
        <f t="shared" ca="1" si="168"/>
        <v>-170043310600.39136</v>
      </c>
      <c r="L4576" s="444">
        <f t="shared" ca="1" si="169"/>
        <v>-40980437854694.32</v>
      </c>
      <c r="M4576" s="460">
        <f t="shared" si="171"/>
        <v>0.05</v>
      </c>
      <c r="N4576" s="464">
        <f t="shared" si="172"/>
        <v>190325</v>
      </c>
    </row>
    <row r="4577" spans="7:14" ht="11.25" customHeight="1" x14ac:dyDescent="0.3">
      <c r="G4577" s="459"/>
      <c r="H4577" s="459">
        <v>4570</v>
      </c>
      <c r="I4577" s="444">
        <f t="shared" ca="1" si="170"/>
        <v>-40980437854694.32</v>
      </c>
      <c r="J4577" s="444">
        <f t="array" ref="J4577">IFERROR(INDEX('Retirement Calculator'!K:K,MATCH('Lorri 401b'!N4577,'Retirement Calculator'!A:A,0),0),0)</f>
        <v>0</v>
      </c>
      <c r="K4577" s="444">
        <f t="shared" ca="1" si="168"/>
        <v>-170751824394.55966</v>
      </c>
      <c r="L4577" s="444">
        <f t="shared" ca="1" si="169"/>
        <v>-41151189679088.883</v>
      </c>
      <c r="M4577" s="460">
        <f t="shared" si="171"/>
        <v>0.05</v>
      </c>
      <c r="N4577" s="464">
        <f t="shared" si="172"/>
        <v>190353</v>
      </c>
    </row>
    <row r="4578" spans="7:14" ht="11.25" customHeight="1" x14ac:dyDescent="0.3">
      <c r="G4578" s="459"/>
      <c r="H4578" s="459">
        <v>4571</v>
      </c>
      <c r="I4578" s="444">
        <f t="shared" ca="1" si="170"/>
        <v>-41151189679088.883</v>
      </c>
      <c r="J4578" s="444">
        <f t="array" ref="J4578">IFERROR(INDEX('Retirement Calculator'!K:K,MATCH('Lorri 401b'!N4578,'Retirement Calculator'!A:A,0),0),0)</f>
        <v>0</v>
      </c>
      <c r="K4578" s="444">
        <f t="shared" ca="1" si="168"/>
        <v>-171463290329.53702</v>
      </c>
      <c r="L4578" s="444">
        <f t="shared" ca="1" si="169"/>
        <v>-41322652969418.422</v>
      </c>
      <c r="M4578" s="460">
        <f t="shared" si="171"/>
        <v>0.05</v>
      </c>
      <c r="N4578" s="464">
        <f t="shared" si="172"/>
        <v>190384</v>
      </c>
    </row>
    <row r="4579" spans="7:14" ht="11.25" customHeight="1" x14ac:dyDescent="0.3">
      <c r="G4579" s="459"/>
      <c r="H4579" s="459">
        <v>4572</v>
      </c>
      <c r="I4579" s="444">
        <f t="shared" ca="1" si="170"/>
        <v>-41322652969418.422</v>
      </c>
      <c r="J4579" s="444">
        <f t="array" ref="J4579">IFERROR(INDEX('Retirement Calculator'!K:K,MATCH('Lorri 401b'!N4579,'Retirement Calculator'!A:A,0),0),0)</f>
        <v>0</v>
      </c>
      <c r="K4579" s="444">
        <f t="shared" ca="1" si="168"/>
        <v>-172177720705.9101</v>
      </c>
      <c r="L4579" s="444">
        <f t="shared" ca="1" si="169"/>
        <v>-41494830690124.328</v>
      </c>
      <c r="M4579" s="460">
        <f t="shared" si="171"/>
        <v>0.05</v>
      </c>
      <c r="N4579" s="464">
        <f t="shared" si="172"/>
        <v>190414</v>
      </c>
    </row>
    <row r="4580" spans="7:14" ht="11.25" customHeight="1" x14ac:dyDescent="0.3">
      <c r="G4580" s="459"/>
      <c r="H4580" s="459">
        <v>4573</v>
      </c>
      <c r="I4580" s="444">
        <f t="shared" ca="1" si="170"/>
        <v>-41494830690124.328</v>
      </c>
      <c r="J4580" s="444">
        <f t="array" ref="J4580">IFERROR(INDEX('Retirement Calculator'!K:K,MATCH('Lorri 401b'!N4580,'Retirement Calculator'!A:A,0),0),0)</f>
        <v>0</v>
      </c>
      <c r="K4580" s="444">
        <f t="shared" ca="1" si="168"/>
        <v>-172895127875.51804</v>
      </c>
      <c r="L4580" s="444">
        <f t="shared" ca="1" si="169"/>
        <v>-41667725817999.844</v>
      </c>
      <c r="M4580" s="460">
        <f t="shared" si="171"/>
        <v>0.05</v>
      </c>
      <c r="N4580" s="464">
        <f t="shared" si="172"/>
        <v>190445</v>
      </c>
    </row>
    <row r="4581" spans="7:14" ht="11.25" customHeight="1" x14ac:dyDescent="0.3">
      <c r="G4581" s="459"/>
      <c r="H4581" s="459">
        <v>4574</v>
      </c>
      <c r="I4581" s="444">
        <f t="shared" ca="1" si="170"/>
        <v>-41667725817999.844</v>
      </c>
      <c r="J4581" s="444">
        <f t="array" ref="J4581">IFERROR(INDEX('Retirement Calculator'!K:K,MATCH('Lorri 401b'!N4581,'Retirement Calculator'!A:A,0),0),0)</f>
        <v>0</v>
      </c>
      <c r="K4581" s="444">
        <f t="shared" ca="1" si="168"/>
        <v>-173615524241.66602</v>
      </c>
      <c r="L4581" s="444">
        <f t="shared" ca="1" si="169"/>
        <v>-41841341342241.508</v>
      </c>
      <c r="M4581" s="460">
        <f t="shared" si="171"/>
        <v>0.05</v>
      </c>
      <c r="N4581" s="464">
        <f t="shared" si="172"/>
        <v>190475</v>
      </c>
    </row>
    <row r="4582" spans="7:14" ht="11.25" customHeight="1" x14ac:dyDescent="0.3">
      <c r="G4582" s="459"/>
      <c r="H4582" s="459">
        <v>4575</v>
      </c>
      <c r="I4582" s="444">
        <f t="shared" ca="1" si="170"/>
        <v>-41841341342241.508</v>
      </c>
      <c r="J4582" s="444">
        <f t="array" ref="J4582">IFERROR(INDEX('Retirement Calculator'!K:K,MATCH('Lorri 401b'!N4582,'Retirement Calculator'!A:A,0),0),0)</f>
        <v>0</v>
      </c>
      <c r="K4582" s="444">
        <f t="shared" ca="1" si="168"/>
        <v>-174338922259.3396</v>
      </c>
      <c r="L4582" s="444">
        <f t="shared" ca="1" si="169"/>
        <v>-42015680264500.844</v>
      </c>
      <c r="M4582" s="460">
        <f t="shared" si="171"/>
        <v>0.05</v>
      </c>
      <c r="N4582" s="464">
        <f t="shared" si="172"/>
        <v>190506</v>
      </c>
    </row>
    <row r="4583" spans="7:14" ht="11.25" customHeight="1" x14ac:dyDescent="0.3">
      <c r="G4583" s="459"/>
      <c r="H4583" s="459">
        <v>4576</v>
      </c>
      <c r="I4583" s="444">
        <f t="shared" ca="1" si="170"/>
        <v>-42015680264500.844</v>
      </c>
      <c r="J4583" s="444">
        <f t="array" ref="J4583">IFERROR(INDEX('Retirement Calculator'!K:K,MATCH('Lorri 401b'!N4583,'Retirement Calculator'!A:A,0),0),0)</f>
        <v>0</v>
      </c>
      <c r="K4583" s="444">
        <f t="shared" ca="1" si="168"/>
        <v>-175065334435.42017</v>
      </c>
      <c r="L4583" s="444">
        <f t="shared" ca="1" si="169"/>
        <v>-42190745598936.266</v>
      </c>
      <c r="M4583" s="460">
        <f t="shared" si="171"/>
        <v>0.05</v>
      </c>
      <c r="N4583" s="464">
        <f t="shared" si="172"/>
        <v>190537</v>
      </c>
    </row>
    <row r="4584" spans="7:14" ht="11.25" customHeight="1" x14ac:dyDescent="0.3">
      <c r="G4584" s="459"/>
      <c r="H4584" s="459">
        <v>4577</v>
      </c>
      <c r="I4584" s="444">
        <f t="shared" ca="1" si="170"/>
        <v>-42190745598936.266</v>
      </c>
      <c r="J4584" s="444">
        <f t="array" ref="J4584">IFERROR(INDEX('Retirement Calculator'!K:K,MATCH('Lorri 401b'!N4584,'Retirement Calculator'!A:A,0),0),0)</f>
        <v>0</v>
      </c>
      <c r="K4584" s="444">
        <f t="shared" ca="1" si="168"/>
        <v>-175794773328.90109</v>
      </c>
      <c r="L4584" s="444">
        <f t="shared" ca="1" si="169"/>
        <v>-42366540372265.164</v>
      </c>
      <c r="M4584" s="460">
        <f t="shared" si="171"/>
        <v>0.05</v>
      </c>
      <c r="N4584" s="464">
        <f t="shared" si="172"/>
        <v>190567</v>
      </c>
    </row>
    <row r="4585" spans="7:14" ht="11.25" customHeight="1" x14ac:dyDescent="0.3">
      <c r="G4585" s="459"/>
      <c r="H4585" s="459">
        <v>4578</v>
      </c>
      <c r="I4585" s="444">
        <f t="shared" ca="1" si="170"/>
        <v>-42366540372265.164</v>
      </c>
      <c r="J4585" s="444">
        <f t="array" ref="J4585">IFERROR(INDEX('Retirement Calculator'!K:K,MATCH('Lorri 401b'!N4585,'Retirement Calculator'!A:A,0),0),0)</f>
        <v>0</v>
      </c>
      <c r="K4585" s="444">
        <f t="shared" ca="1" si="168"/>
        <v>-176527251551.10486</v>
      </c>
      <c r="L4585" s="444">
        <f t="shared" ca="1" si="169"/>
        <v>-42543067623816.266</v>
      </c>
      <c r="M4585" s="460">
        <f t="shared" si="171"/>
        <v>0.05</v>
      </c>
      <c r="N4585" s="464">
        <f t="shared" si="172"/>
        <v>190598</v>
      </c>
    </row>
    <row r="4586" spans="7:14" ht="11.25" customHeight="1" x14ac:dyDescent="0.3">
      <c r="G4586" s="459"/>
      <c r="H4586" s="459">
        <v>4579</v>
      </c>
      <c r="I4586" s="444">
        <f t="shared" ca="1" si="170"/>
        <v>-42543067623816.266</v>
      </c>
      <c r="J4586" s="444">
        <f t="array" ref="J4586">IFERROR(INDEX('Retirement Calculator'!K:K,MATCH('Lorri 401b'!N4586,'Retirement Calculator'!A:A,0),0),0)</f>
        <v>0</v>
      </c>
      <c r="K4586" s="444">
        <f t="shared" ca="1" si="168"/>
        <v>-177262781765.90109</v>
      </c>
      <c r="L4586" s="444">
        <f t="shared" ca="1" si="169"/>
        <v>-42720330405582.164</v>
      </c>
      <c r="M4586" s="460">
        <f t="shared" si="171"/>
        <v>0.05</v>
      </c>
      <c r="N4586" s="464">
        <f t="shared" si="172"/>
        <v>190628</v>
      </c>
    </row>
    <row r="4587" spans="7:14" ht="11.25" customHeight="1" x14ac:dyDescent="0.3">
      <c r="G4587" s="459"/>
      <c r="H4587" s="459">
        <v>4580</v>
      </c>
      <c r="I4587" s="444">
        <f t="shared" ca="1" si="170"/>
        <v>-42720330405582.164</v>
      </c>
      <c r="J4587" s="444">
        <f t="array" ref="J4587">IFERROR(INDEX('Retirement Calculator'!K:K,MATCH('Lorri 401b'!N4587,'Retirement Calculator'!A:A,0),0),0)</f>
        <v>0</v>
      </c>
      <c r="K4587" s="444">
        <f t="shared" ca="1" si="168"/>
        <v>-178001376689.92569</v>
      </c>
      <c r="L4587" s="444">
        <f t="shared" ca="1" si="169"/>
        <v>-42898331782272.086</v>
      </c>
      <c r="M4587" s="460">
        <f t="shared" si="171"/>
        <v>0.05</v>
      </c>
      <c r="N4587" s="464">
        <f t="shared" si="172"/>
        <v>190659</v>
      </c>
    </row>
    <row r="4588" spans="7:14" ht="11.25" customHeight="1" x14ac:dyDescent="0.3">
      <c r="G4588" s="459"/>
      <c r="H4588" s="459">
        <v>4581</v>
      </c>
      <c r="I4588" s="444">
        <f t="shared" ca="1" si="170"/>
        <v>-42898331782272.086</v>
      </c>
      <c r="J4588" s="444">
        <f t="array" ref="J4588">IFERROR(INDEX('Retirement Calculator'!K:K,MATCH('Lorri 401b'!N4588,'Retirement Calculator'!A:A,0),0),0)</f>
        <v>0</v>
      </c>
      <c r="K4588" s="444">
        <f t="shared" ca="1" si="168"/>
        <v>-178743049092.80035</v>
      </c>
      <c r="L4588" s="444">
        <f t="shared" ca="1" si="169"/>
        <v>-43077074831364.883</v>
      </c>
      <c r="M4588" s="460">
        <f t="shared" si="171"/>
        <v>0.05</v>
      </c>
      <c r="N4588" s="464">
        <f t="shared" si="172"/>
        <v>190690</v>
      </c>
    </row>
    <row r="4589" spans="7:14" ht="11.25" customHeight="1" x14ac:dyDescent="0.3">
      <c r="G4589" s="459"/>
      <c r="H4589" s="459">
        <v>4582</v>
      </c>
      <c r="I4589" s="444">
        <f t="shared" ca="1" si="170"/>
        <v>-43077074831364.883</v>
      </c>
      <c r="J4589" s="444">
        <f t="array" ref="J4589">IFERROR(INDEX('Retirement Calculator'!K:K,MATCH('Lorri 401b'!N4589,'Retirement Calculator'!A:A,0),0),0)</f>
        <v>0</v>
      </c>
      <c r="K4589" s="444">
        <f t="shared" ca="1" si="168"/>
        <v>-179487811797.35367</v>
      </c>
      <c r="L4589" s="444">
        <f t="shared" ca="1" si="169"/>
        <v>-43256562643162.234</v>
      </c>
      <c r="M4589" s="460">
        <f t="shared" si="171"/>
        <v>0.05</v>
      </c>
      <c r="N4589" s="464">
        <f t="shared" si="172"/>
        <v>190718</v>
      </c>
    </row>
    <row r="4590" spans="7:14" ht="11.25" customHeight="1" x14ac:dyDescent="0.3">
      <c r="G4590" s="459"/>
      <c r="H4590" s="459">
        <v>4583</v>
      </c>
      <c r="I4590" s="444">
        <f t="shared" ca="1" si="170"/>
        <v>-43256562643162.234</v>
      </c>
      <c r="J4590" s="444">
        <f t="array" ref="J4590">IFERROR(INDEX('Retirement Calculator'!K:K,MATCH('Lorri 401b'!N4590,'Retirement Calculator'!A:A,0),0),0)</f>
        <v>0</v>
      </c>
      <c r="K4590" s="444">
        <f t="shared" ca="1" si="168"/>
        <v>-180235677679.84265</v>
      </c>
      <c r="L4590" s="444">
        <f t="shared" ca="1" si="169"/>
        <v>-43436798320842.078</v>
      </c>
      <c r="M4590" s="460">
        <f t="shared" si="171"/>
        <v>0.05</v>
      </c>
      <c r="N4590" s="464">
        <f t="shared" si="172"/>
        <v>190749</v>
      </c>
    </row>
    <row r="4591" spans="7:14" ht="11.25" customHeight="1" x14ac:dyDescent="0.3">
      <c r="G4591" s="459"/>
      <c r="H4591" s="459">
        <v>4584</v>
      </c>
      <c r="I4591" s="444">
        <f t="shared" ca="1" si="170"/>
        <v>-43436798320842.078</v>
      </c>
      <c r="J4591" s="444">
        <f t="array" ref="J4591">IFERROR(INDEX('Retirement Calculator'!K:K,MATCH('Lorri 401b'!N4591,'Retirement Calculator'!A:A,0),0),0)</f>
        <v>0</v>
      </c>
      <c r="K4591" s="444">
        <f t="shared" ca="1" si="168"/>
        <v>-180986659670.17532</v>
      </c>
      <c r="L4591" s="444">
        <f t="shared" ca="1" si="169"/>
        <v>-43617784980512.25</v>
      </c>
      <c r="M4591" s="460">
        <f t="shared" si="171"/>
        <v>0.05</v>
      </c>
      <c r="N4591" s="464">
        <f t="shared" si="172"/>
        <v>190779</v>
      </c>
    </row>
    <row r="4592" spans="7:14" ht="11.25" customHeight="1" x14ac:dyDescent="0.3">
      <c r="G4592" s="459"/>
      <c r="H4592" s="459">
        <v>4585</v>
      </c>
      <c r="I4592" s="444">
        <f t="shared" ca="1" si="170"/>
        <v>-43617784980512.25</v>
      </c>
      <c r="J4592" s="444">
        <f t="array" ref="J4592">IFERROR(INDEX('Retirement Calculator'!K:K,MATCH('Lorri 401b'!N4592,'Retirement Calculator'!A:A,0),0),0)</f>
        <v>0</v>
      </c>
      <c r="K4592" s="444">
        <f t="shared" ca="1" si="168"/>
        <v>-181740770752.13437</v>
      </c>
      <c r="L4592" s="444">
        <f t="shared" ca="1" si="169"/>
        <v>-43799525751264.383</v>
      </c>
      <c r="M4592" s="460">
        <f t="shared" si="171"/>
        <v>0.05</v>
      </c>
      <c r="N4592" s="464">
        <f t="shared" si="172"/>
        <v>190810</v>
      </c>
    </row>
    <row r="4593" spans="7:14" ht="11.25" customHeight="1" x14ac:dyDescent="0.3">
      <c r="G4593" s="459"/>
      <c r="H4593" s="459">
        <v>4586</v>
      </c>
      <c r="I4593" s="444">
        <f t="shared" ca="1" si="170"/>
        <v>-43799525751264.383</v>
      </c>
      <c r="J4593" s="444">
        <f t="array" ref="J4593">IFERROR(INDEX('Retirement Calculator'!K:K,MATCH('Lorri 401b'!N4593,'Retirement Calculator'!A:A,0),0),0)</f>
        <v>0</v>
      </c>
      <c r="K4593" s="444">
        <f t="shared" ca="1" si="168"/>
        <v>-182498023963.60159</v>
      </c>
      <c r="L4593" s="444">
        <f t="shared" ca="1" si="169"/>
        <v>-43982023775227.984</v>
      </c>
      <c r="M4593" s="460">
        <f t="shared" si="171"/>
        <v>0.05</v>
      </c>
      <c r="N4593" s="464">
        <f t="shared" si="172"/>
        <v>190840</v>
      </c>
    </row>
    <row r="4594" spans="7:14" ht="11.25" customHeight="1" x14ac:dyDescent="0.3">
      <c r="G4594" s="459"/>
      <c r="H4594" s="459">
        <v>4587</v>
      </c>
      <c r="I4594" s="444">
        <f t="shared" ca="1" si="170"/>
        <v>-43982023775227.984</v>
      </c>
      <c r="J4594" s="444">
        <f t="array" ref="J4594">IFERROR(INDEX('Retirement Calculator'!K:K,MATCH('Lorri 401b'!N4594,'Retirement Calculator'!A:A,0),0),0)</f>
        <v>0</v>
      </c>
      <c r="K4594" s="444">
        <f t="shared" ca="1" si="168"/>
        <v>-183258432396.78326</v>
      </c>
      <c r="L4594" s="444">
        <f t="shared" ca="1" si="169"/>
        <v>-44165282207624.766</v>
      </c>
      <c r="M4594" s="460">
        <f t="shared" si="171"/>
        <v>0.05</v>
      </c>
      <c r="N4594" s="464">
        <f t="shared" si="172"/>
        <v>190871</v>
      </c>
    </row>
    <row r="4595" spans="7:14" ht="11.25" customHeight="1" x14ac:dyDescent="0.3">
      <c r="G4595" s="459"/>
      <c r="H4595" s="459">
        <v>4588</v>
      </c>
      <c r="I4595" s="444">
        <f t="shared" ca="1" si="170"/>
        <v>-44165282207624.766</v>
      </c>
      <c r="J4595" s="444">
        <f t="array" ref="J4595">IFERROR(INDEX('Retirement Calculator'!K:K,MATCH('Lorri 401b'!N4595,'Retirement Calculator'!A:A,0),0),0)</f>
        <v>0</v>
      </c>
      <c r="K4595" s="444">
        <f t="shared" ca="1" si="168"/>
        <v>-184022009198.43652</v>
      </c>
      <c r="L4595" s="444">
        <f t="shared" ca="1" si="169"/>
        <v>-44349304216823.203</v>
      </c>
      <c r="M4595" s="460">
        <f t="shared" si="171"/>
        <v>0.05</v>
      </c>
      <c r="N4595" s="464">
        <f t="shared" si="172"/>
        <v>190902</v>
      </c>
    </row>
    <row r="4596" spans="7:14" ht="11.25" customHeight="1" x14ac:dyDescent="0.3">
      <c r="G4596" s="459"/>
      <c r="H4596" s="459">
        <v>4589</v>
      </c>
      <c r="I4596" s="444">
        <f t="shared" ca="1" si="170"/>
        <v>-44349304216823.203</v>
      </c>
      <c r="J4596" s="444">
        <f t="array" ref="J4596">IFERROR(INDEX('Retirement Calculator'!K:K,MATCH('Lorri 401b'!N4596,'Retirement Calculator'!A:A,0),0),0)</f>
        <v>0</v>
      </c>
      <c r="K4596" s="444">
        <f t="shared" ca="1" si="168"/>
        <v>-184788767570.09668</v>
      </c>
      <c r="L4596" s="444">
        <f t="shared" ca="1" si="169"/>
        <v>-44534092984393.297</v>
      </c>
      <c r="M4596" s="460">
        <f t="shared" si="171"/>
        <v>0.05</v>
      </c>
      <c r="N4596" s="464">
        <f t="shared" si="172"/>
        <v>190932</v>
      </c>
    </row>
    <row r="4597" spans="7:14" ht="11.25" customHeight="1" x14ac:dyDescent="0.3">
      <c r="G4597" s="459"/>
      <c r="H4597" s="459">
        <v>4590</v>
      </c>
      <c r="I4597" s="444">
        <f t="shared" ca="1" si="170"/>
        <v>-44534092984393.297</v>
      </c>
      <c r="J4597" s="444">
        <f t="array" ref="J4597">IFERROR(INDEX('Retirement Calculator'!K:K,MATCH('Lorri 401b'!N4597,'Retirement Calculator'!A:A,0),0),0)</f>
        <v>0</v>
      </c>
      <c r="K4597" s="444">
        <f t="shared" ca="1" si="168"/>
        <v>-185558720768.30539</v>
      </c>
      <c r="L4597" s="444">
        <f t="shared" ca="1" si="169"/>
        <v>-44719651705161.602</v>
      </c>
      <c r="M4597" s="460">
        <f t="shared" si="171"/>
        <v>0.05</v>
      </c>
      <c r="N4597" s="464">
        <f t="shared" si="172"/>
        <v>190963</v>
      </c>
    </row>
    <row r="4598" spans="7:14" ht="11.25" customHeight="1" x14ac:dyDescent="0.3">
      <c r="G4598" s="459"/>
      <c r="H4598" s="459">
        <v>4591</v>
      </c>
      <c r="I4598" s="444">
        <f t="shared" ca="1" si="170"/>
        <v>-44719651705161.602</v>
      </c>
      <c r="J4598" s="444">
        <f t="array" ref="J4598">IFERROR(INDEX('Retirement Calculator'!K:K,MATCH('Lorri 401b'!N4598,'Retirement Calculator'!A:A,0),0),0)</f>
        <v>0</v>
      </c>
      <c r="K4598" s="444">
        <f t="shared" ref="K4598:K4852" ca="1" si="173">IPMT(M4598/12,1,12,-I4598+J4598,,0)</f>
        <v>-186331882104.84</v>
      </c>
      <c r="L4598" s="444">
        <f t="shared" ref="L4598:L4852" ca="1" si="174">I4598-J4598+K4598</f>
        <v>-44905983587266.445</v>
      </c>
      <c r="M4598" s="460">
        <f t="shared" si="171"/>
        <v>0.05</v>
      </c>
      <c r="N4598" s="464">
        <f t="shared" si="172"/>
        <v>190993</v>
      </c>
    </row>
    <row r="4599" spans="7:14" ht="11.25" customHeight="1" x14ac:dyDescent="0.3">
      <c r="G4599" s="459"/>
      <c r="H4599" s="459">
        <v>4592</v>
      </c>
      <c r="I4599" s="444">
        <f t="shared" ref="I4599:I4853" ca="1" si="175">L4598</f>
        <v>-44905983587266.445</v>
      </c>
      <c r="J4599" s="444">
        <f t="array" ref="J4599">IFERROR(INDEX('Retirement Calculator'!K:K,MATCH('Lorri 401b'!N4599,'Retirement Calculator'!A:A,0),0),0)</f>
        <v>0</v>
      </c>
      <c r="K4599" s="444">
        <f t="shared" ca="1" si="173"/>
        <v>-187108264946.94351</v>
      </c>
      <c r="L4599" s="444">
        <f t="shared" ca="1" si="174"/>
        <v>-45093091852213.391</v>
      </c>
      <c r="M4599" s="460">
        <f t="shared" ref="M4599:M4853" si="176">M4598</f>
        <v>0.05</v>
      </c>
      <c r="N4599" s="464">
        <f t="shared" ref="N4599:N4853" si="177">EDATE(N4598,1)</f>
        <v>191024</v>
      </c>
    </row>
    <row r="4600" spans="7:14" ht="11.25" customHeight="1" x14ac:dyDescent="0.3">
      <c r="G4600" s="459"/>
      <c r="H4600" s="459">
        <v>4593</v>
      </c>
      <c r="I4600" s="444">
        <f t="shared" ca="1" si="175"/>
        <v>-45093091852213.391</v>
      </c>
      <c r="J4600" s="444">
        <f t="array" ref="J4600">IFERROR(INDEX('Retirement Calculator'!K:K,MATCH('Lorri 401b'!N4600,'Retirement Calculator'!A:A,0),0),0)</f>
        <v>0</v>
      </c>
      <c r="K4600" s="444">
        <f t="shared" ca="1" si="173"/>
        <v>-187887882717.55579</v>
      </c>
      <c r="L4600" s="444">
        <f t="shared" ca="1" si="174"/>
        <v>-45280979734930.945</v>
      </c>
      <c r="M4600" s="460">
        <f t="shared" si="176"/>
        <v>0.05</v>
      </c>
      <c r="N4600" s="464">
        <f t="shared" si="177"/>
        <v>191055</v>
      </c>
    </row>
    <row r="4601" spans="7:14" ht="11.25" customHeight="1" x14ac:dyDescent="0.3">
      <c r="G4601" s="459"/>
      <c r="H4601" s="459">
        <v>4594</v>
      </c>
      <c r="I4601" s="444">
        <f t="shared" ca="1" si="175"/>
        <v>-45280979734930.945</v>
      </c>
      <c r="J4601" s="444">
        <f t="array" ref="J4601">IFERROR(INDEX('Retirement Calculator'!K:K,MATCH('Lorri 401b'!N4601,'Retirement Calculator'!A:A,0),0),0)</f>
        <v>0</v>
      </c>
      <c r="K4601" s="444">
        <f t="shared" ca="1" si="173"/>
        <v>-188670748895.54559</v>
      </c>
      <c r="L4601" s="444">
        <f t="shared" ca="1" si="174"/>
        <v>-45469650483826.492</v>
      </c>
      <c r="M4601" s="460">
        <f t="shared" si="176"/>
        <v>0.05</v>
      </c>
      <c r="N4601" s="464">
        <f t="shared" si="177"/>
        <v>191083</v>
      </c>
    </row>
    <row r="4602" spans="7:14" ht="11.25" customHeight="1" x14ac:dyDescent="0.3">
      <c r="G4602" s="459"/>
      <c r="H4602" s="459">
        <v>4595</v>
      </c>
      <c r="I4602" s="444">
        <f t="shared" ca="1" si="175"/>
        <v>-45469650483826.492</v>
      </c>
      <c r="J4602" s="444">
        <f t="array" ref="J4602">IFERROR(INDEX('Retirement Calculator'!K:K,MATCH('Lorri 401b'!N4602,'Retirement Calculator'!A:A,0),0),0)</f>
        <v>0</v>
      </c>
      <c r="K4602" s="444">
        <f t="shared" ca="1" si="173"/>
        <v>-189456877015.94373</v>
      </c>
      <c r="L4602" s="444">
        <f t="shared" ca="1" si="174"/>
        <v>-45659107360842.438</v>
      </c>
      <c r="M4602" s="460">
        <f t="shared" si="176"/>
        <v>0.05</v>
      </c>
      <c r="N4602" s="464">
        <f t="shared" si="177"/>
        <v>191114</v>
      </c>
    </row>
    <row r="4603" spans="7:14" ht="11.25" customHeight="1" x14ac:dyDescent="0.3">
      <c r="G4603" s="459"/>
      <c r="H4603" s="459">
        <v>4596</v>
      </c>
      <c r="I4603" s="444">
        <f t="shared" ca="1" si="175"/>
        <v>-45659107360842.438</v>
      </c>
      <c r="J4603" s="444">
        <f t="array" ref="J4603">IFERROR(INDEX('Retirement Calculator'!K:K,MATCH('Lorri 401b'!N4603,'Retirement Calculator'!A:A,0),0),0)</f>
        <v>0</v>
      </c>
      <c r="K4603" s="444">
        <f t="shared" ca="1" si="173"/>
        <v>-190246280670.17682</v>
      </c>
      <c r="L4603" s="444">
        <f t="shared" ca="1" si="174"/>
        <v>-45849353641512.617</v>
      </c>
      <c r="M4603" s="460">
        <f t="shared" si="176"/>
        <v>0.05</v>
      </c>
      <c r="N4603" s="464">
        <f t="shared" si="177"/>
        <v>191144</v>
      </c>
    </row>
    <row r="4604" spans="7:14" ht="11.25" customHeight="1" x14ac:dyDescent="0.3">
      <c r="G4604" s="459"/>
      <c r="H4604" s="459">
        <v>4597</v>
      </c>
      <c r="I4604" s="444">
        <f t="shared" ca="1" si="175"/>
        <v>-45849353641512.617</v>
      </c>
      <c r="J4604" s="444">
        <f t="array" ref="J4604">IFERROR(INDEX('Retirement Calculator'!K:K,MATCH('Lorri 401b'!N4604,'Retirement Calculator'!A:A,0),0),0)</f>
        <v>0</v>
      </c>
      <c r="K4604" s="444">
        <f t="shared" ca="1" si="173"/>
        <v>-191038973506.30258</v>
      </c>
      <c r="L4604" s="444">
        <f t="shared" ca="1" si="174"/>
        <v>-46040392615018.922</v>
      </c>
      <c r="M4604" s="460">
        <f t="shared" si="176"/>
        <v>0.05</v>
      </c>
      <c r="N4604" s="464">
        <f t="shared" si="177"/>
        <v>191175</v>
      </c>
    </row>
    <row r="4605" spans="7:14" ht="11.25" customHeight="1" x14ac:dyDescent="0.3">
      <c r="G4605" s="459"/>
      <c r="H4605" s="459">
        <v>4598</v>
      </c>
      <c r="I4605" s="444">
        <f t="shared" ca="1" si="175"/>
        <v>-46040392615018.922</v>
      </c>
      <c r="J4605" s="444">
        <f t="array" ref="J4605">IFERROR(INDEX('Retirement Calculator'!K:K,MATCH('Lorri 401b'!N4605,'Retirement Calculator'!A:A,0),0),0)</f>
        <v>0</v>
      </c>
      <c r="K4605" s="444">
        <f t="shared" ca="1" si="173"/>
        <v>-191834969229.24551</v>
      </c>
      <c r="L4605" s="444">
        <f t="shared" ca="1" si="174"/>
        <v>-46232227584248.164</v>
      </c>
      <c r="M4605" s="460">
        <f t="shared" si="176"/>
        <v>0.05</v>
      </c>
      <c r="N4605" s="464">
        <f t="shared" si="177"/>
        <v>191205</v>
      </c>
    </row>
    <row r="4606" spans="7:14" ht="11.25" customHeight="1" x14ac:dyDescent="0.3">
      <c r="G4606" s="459"/>
      <c r="H4606" s="459">
        <v>4599</v>
      </c>
      <c r="I4606" s="444">
        <f t="shared" ca="1" si="175"/>
        <v>-46232227584248.164</v>
      </c>
      <c r="J4606" s="444">
        <f t="array" ref="J4606">IFERROR(INDEX('Retirement Calculator'!K:K,MATCH('Lorri 401b'!N4606,'Retirement Calculator'!A:A,0),0),0)</f>
        <v>0</v>
      </c>
      <c r="K4606" s="444">
        <f t="shared" ca="1" si="173"/>
        <v>-192634281601.03403</v>
      </c>
      <c r="L4606" s="444">
        <f t="shared" ca="1" si="174"/>
        <v>-46424861865849.195</v>
      </c>
      <c r="M4606" s="460">
        <f t="shared" si="176"/>
        <v>0.05</v>
      </c>
      <c r="N4606" s="464">
        <f t="shared" si="177"/>
        <v>191236</v>
      </c>
    </row>
    <row r="4607" spans="7:14" ht="11.25" customHeight="1" x14ac:dyDescent="0.3">
      <c r="G4607" s="459"/>
      <c r="H4607" s="459">
        <v>4600</v>
      </c>
      <c r="I4607" s="444">
        <f t="shared" ca="1" si="175"/>
        <v>-46424861865849.195</v>
      </c>
      <c r="J4607" s="444">
        <f t="array" ref="J4607">IFERROR(INDEX('Retirement Calculator'!K:K,MATCH('Lorri 401b'!N4607,'Retirement Calculator'!A:A,0),0),0)</f>
        <v>0</v>
      </c>
      <c r="K4607" s="444">
        <f t="shared" ca="1" si="173"/>
        <v>-193436924441.0383</v>
      </c>
      <c r="L4607" s="444">
        <f t="shared" ca="1" si="174"/>
        <v>-46618298790290.234</v>
      </c>
      <c r="M4607" s="460">
        <f t="shared" si="176"/>
        <v>0.05</v>
      </c>
      <c r="N4607" s="464">
        <f t="shared" si="177"/>
        <v>191267</v>
      </c>
    </row>
    <row r="4608" spans="7:14" ht="11.25" customHeight="1" x14ac:dyDescent="0.3">
      <c r="G4608" s="459"/>
      <c r="H4608" s="459">
        <v>4601</v>
      </c>
      <c r="I4608" s="444">
        <f t="shared" ca="1" si="175"/>
        <v>-46618298790290.234</v>
      </c>
      <c r="J4608" s="444">
        <f t="array" ref="J4608">IFERROR(INDEX('Retirement Calculator'!K:K,MATCH('Lorri 401b'!N4608,'Retirement Calculator'!A:A,0),0),0)</f>
        <v>0</v>
      </c>
      <c r="K4608" s="444">
        <f t="shared" ca="1" si="173"/>
        <v>-194242911626.20932</v>
      </c>
      <c r="L4608" s="444">
        <f t="shared" ca="1" si="174"/>
        <v>-46812541701916.445</v>
      </c>
      <c r="M4608" s="460">
        <f t="shared" si="176"/>
        <v>0.05</v>
      </c>
      <c r="N4608" s="464">
        <f t="shared" si="177"/>
        <v>191297</v>
      </c>
    </row>
    <row r="4609" spans="7:14" ht="11.25" customHeight="1" x14ac:dyDescent="0.3">
      <c r="G4609" s="459"/>
      <c r="H4609" s="459">
        <v>4602</v>
      </c>
      <c r="I4609" s="444">
        <f t="shared" ca="1" si="175"/>
        <v>-46812541701916.445</v>
      </c>
      <c r="J4609" s="444">
        <f t="array" ref="J4609">IFERROR(INDEX('Retirement Calculator'!K:K,MATCH('Lorri 401b'!N4609,'Retirement Calculator'!A:A,0),0),0)</f>
        <v>0</v>
      </c>
      <c r="K4609" s="444">
        <f t="shared" ca="1" si="173"/>
        <v>-195052257091.31851</v>
      </c>
      <c r="L4609" s="444">
        <f t="shared" ca="1" si="174"/>
        <v>-47007593959007.766</v>
      </c>
      <c r="M4609" s="460">
        <f t="shared" si="176"/>
        <v>0.05</v>
      </c>
      <c r="N4609" s="464">
        <f t="shared" si="177"/>
        <v>191328</v>
      </c>
    </row>
    <row r="4610" spans="7:14" ht="11.25" customHeight="1" x14ac:dyDescent="0.3">
      <c r="G4610" s="459"/>
      <c r="H4610" s="459">
        <v>4603</v>
      </c>
      <c r="I4610" s="444">
        <f t="shared" ca="1" si="175"/>
        <v>-47007593959007.766</v>
      </c>
      <c r="J4610" s="444">
        <f t="array" ref="J4610">IFERROR(INDEX('Retirement Calculator'!K:K,MATCH('Lorri 401b'!N4610,'Retirement Calculator'!A:A,0),0),0)</f>
        <v>0</v>
      </c>
      <c r="K4610" s="444">
        <f t="shared" ca="1" si="173"/>
        <v>-195864974829.19904</v>
      </c>
      <c r="L4610" s="444">
        <f t="shared" ca="1" si="174"/>
        <v>-47203458933836.961</v>
      </c>
      <c r="M4610" s="460">
        <f t="shared" si="176"/>
        <v>0.05</v>
      </c>
      <c r="N4610" s="464">
        <f t="shared" si="177"/>
        <v>191358</v>
      </c>
    </row>
    <row r="4611" spans="7:14" ht="11.25" customHeight="1" x14ac:dyDescent="0.3">
      <c r="G4611" s="459"/>
      <c r="H4611" s="459">
        <v>4604</v>
      </c>
      <c r="I4611" s="444">
        <f t="shared" ca="1" si="175"/>
        <v>-47203458933836.961</v>
      </c>
      <c r="J4611" s="444">
        <f t="array" ref="J4611">IFERROR(INDEX('Retirement Calculator'!K:K,MATCH('Lorri 401b'!N4611,'Retirement Calculator'!A:A,0),0),0)</f>
        <v>0</v>
      </c>
      <c r="K4611" s="444">
        <f t="shared" ca="1" si="173"/>
        <v>-196681078890.98734</v>
      </c>
      <c r="L4611" s="444">
        <f t="shared" ca="1" si="174"/>
        <v>-47400140012727.945</v>
      </c>
      <c r="M4611" s="460">
        <f t="shared" si="176"/>
        <v>0.05</v>
      </c>
      <c r="N4611" s="464">
        <f t="shared" si="177"/>
        <v>191389</v>
      </c>
    </row>
    <row r="4612" spans="7:14" ht="11.25" customHeight="1" x14ac:dyDescent="0.3">
      <c r="G4612" s="459"/>
      <c r="H4612" s="459">
        <v>4605</v>
      </c>
      <c r="I4612" s="444">
        <f t="shared" ca="1" si="175"/>
        <v>-47400140012727.945</v>
      </c>
      <c r="J4612" s="444">
        <f t="array" ref="J4612">IFERROR(INDEX('Retirement Calculator'!K:K,MATCH('Lorri 401b'!N4612,'Retirement Calculator'!A:A,0),0),0)</f>
        <v>0</v>
      </c>
      <c r="K4612" s="444">
        <f t="shared" ca="1" si="173"/>
        <v>-197500583386.36642</v>
      </c>
      <c r="L4612" s="444">
        <f t="shared" ca="1" si="174"/>
        <v>-47597640596114.313</v>
      </c>
      <c r="M4612" s="460">
        <f t="shared" si="176"/>
        <v>0.05</v>
      </c>
      <c r="N4612" s="464">
        <f t="shared" si="177"/>
        <v>191420</v>
      </c>
    </row>
    <row r="4613" spans="7:14" ht="11.25" customHeight="1" x14ac:dyDescent="0.3">
      <c r="G4613" s="459"/>
      <c r="H4613" s="459">
        <v>4606</v>
      </c>
      <c r="I4613" s="444">
        <f t="shared" ca="1" si="175"/>
        <v>-47597640596114.313</v>
      </c>
      <c r="J4613" s="444">
        <f t="array" ref="J4613">IFERROR(INDEX('Retirement Calculator'!K:K,MATCH('Lorri 401b'!N4613,'Retirement Calculator'!A:A,0),0),0)</f>
        <v>0</v>
      </c>
      <c r="K4613" s="444">
        <f t="shared" ca="1" si="173"/>
        <v>-198323502483.80963</v>
      </c>
      <c r="L4613" s="444">
        <f t="shared" ca="1" si="174"/>
        <v>-47795964098598.125</v>
      </c>
      <c r="M4613" s="460">
        <f t="shared" si="176"/>
        <v>0.05</v>
      </c>
      <c r="N4613" s="464">
        <f t="shared" si="177"/>
        <v>191449</v>
      </c>
    </row>
    <row r="4614" spans="7:14" ht="11.25" customHeight="1" x14ac:dyDescent="0.3">
      <c r="G4614" s="459"/>
      <c r="H4614" s="459">
        <v>4607</v>
      </c>
      <c r="I4614" s="444">
        <f t="shared" ca="1" si="175"/>
        <v>-47795964098598.125</v>
      </c>
      <c r="J4614" s="444">
        <f t="array" ref="J4614">IFERROR(INDEX('Retirement Calculator'!K:K,MATCH('Lorri 401b'!N4614,'Retirement Calculator'!A:A,0),0),0)</f>
        <v>0</v>
      </c>
      <c r="K4614" s="444">
        <f t="shared" ca="1" si="173"/>
        <v>-199149850410.82553</v>
      </c>
      <c r="L4614" s="444">
        <f t="shared" ca="1" si="174"/>
        <v>-47995113949008.953</v>
      </c>
      <c r="M4614" s="460">
        <f t="shared" si="176"/>
        <v>0.05</v>
      </c>
      <c r="N4614" s="464">
        <f t="shared" si="177"/>
        <v>191480</v>
      </c>
    </row>
    <row r="4615" spans="7:14" ht="11.25" customHeight="1" x14ac:dyDescent="0.3">
      <c r="G4615" s="459"/>
      <c r="H4615" s="459">
        <v>4608</v>
      </c>
      <c r="I4615" s="444">
        <f t="shared" ca="1" si="175"/>
        <v>-47995113949008.953</v>
      </c>
      <c r="J4615" s="444">
        <f t="array" ref="J4615">IFERROR(INDEX('Retirement Calculator'!K:K,MATCH('Lorri 401b'!N4615,'Retirement Calculator'!A:A,0),0),0)</f>
        <v>0</v>
      </c>
      <c r="K4615" s="444">
        <f t="shared" ca="1" si="173"/>
        <v>-199979641454.20398</v>
      </c>
      <c r="L4615" s="444">
        <f t="shared" ca="1" si="174"/>
        <v>-48195093590463.156</v>
      </c>
      <c r="M4615" s="460">
        <f t="shared" si="176"/>
        <v>0.05</v>
      </c>
      <c r="N4615" s="464">
        <f t="shared" si="177"/>
        <v>191510</v>
      </c>
    </row>
    <row r="4616" spans="7:14" ht="11.25" customHeight="1" x14ac:dyDescent="0.3">
      <c r="G4616" s="459"/>
      <c r="H4616" s="459">
        <v>4609</v>
      </c>
      <c r="I4616" s="444">
        <f t="shared" ca="1" si="175"/>
        <v>-48195093590463.156</v>
      </c>
      <c r="J4616" s="444">
        <f t="array" ref="J4616">IFERROR(INDEX('Retirement Calculator'!K:K,MATCH('Lorri 401b'!N4616,'Retirement Calculator'!A:A,0),0),0)</f>
        <v>0</v>
      </c>
      <c r="K4616" s="444">
        <f t="shared" ca="1" si="173"/>
        <v>-200812889960.26315</v>
      </c>
      <c r="L4616" s="444">
        <f t="shared" ca="1" si="174"/>
        <v>-48395906480423.422</v>
      </c>
      <c r="M4616" s="460">
        <f t="shared" si="176"/>
        <v>0.05</v>
      </c>
      <c r="N4616" s="464">
        <f t="shared" si="177"/>
        <v>191541</v>
      </c>
    </row>
    <row r="4617" spans="7:14" ht="11.25" customHeight="1" x14ac:dyDescent="0.3">
      <c r="G4617" s="459"/>
      <c r="H4617" s="459">
        <v>4610</v>
      </c>
      <c r="I4617" s="444">
        <f t="shared" ca="1" si="175"/>
        <v>-48395906480423.422</v>
      </c>
      <c r="J4617" s="444">
        <f t="array" ref="J4617">IFERROR(INDEX('Retirement Calculator'!K:K,MATCH('Lorri 401b'!N4617,'Retirement Calculator'!A:A,0),0),0)</f>
        <v>0</v>
      </c>
      <c r="K4617" s="444">
        <f t="shared" ca="1" si="173"/>
        <v>-201649610335.0976</v>
      </c>
      <c r="L4617" s="444">
        <f t="shared" ca="1" si="174"/>
        <v>-48597556090758.516</v>
      </c>
      <c r="M4617" s="460">
        <f t="shared" si="176"/>
        <v>0.05</v>
      </c>
      <c r="N4617" s="464">
        <f t="shared" si="177"/>
        <v>191571</v>
      </c>
    </row>
    <row r="4618" spans="7:14" ht="11.25" customHeight="1" x14ac:dyDescent="0.3">
      <c r="G4618" s="459"/>
      <c r="H4618" s="459">
        <v>4611</v>
      </c>
      <c r="I4618" s="444">
        <f t="shared" ca="1" si="175"/>
        <v>-48597556090758.516</v>
      </c>
      <c r="J4618" s="444">
        <f t="array" ref="J4618">IFERROR(INDEX('Retirement Calculator'!K:K,MATCH('Lorri 401b'!N4618,'Retirement Calculator'!A:A,0),0),0)</f>
        <v>0</v>
      </c>
      <c r="K4618" s="444">
        <f t="shared" ca="1" si="173"/>
        <v>-202489817044.82715</v>
      </c>
      <c r="L4618" s="444">
        <f t="shared" ca="1" si="174"/>
        <v>-48800045907803.344</v>
      </c>
      <c r="M4618" s="460">
        <f t="shared" si="176"/>
        <v>0.05</v>
      </c>
      <c r="N4618" s="464">
        <f t="shared" si="177"/>
        <v>191602</v>
      </c>
    </row>
    <row r="4619" spans="7:14" ht="11.25" customHeight="1" x14ac:dyDescent="0.3">
      <c r="G4619" s="459"/>
      <c r="H4619" s="459">
        <v>4612</v>
      </c>
      <c r="I4619" s="444">
        <f t="shared" ca="1" si="175"/>
        <v>-48800045907803.344</v>
      </c>
      <c r="J4619" s="444">
        <f t="array" ref="J4619">IFERROR(INDEX('Retirement Calculator'!K:K,MATCH('Lorri 401b'!N4619,'Retirement Calculator'!A:A,0),0),0)</f>
        <v>0</v>
      </c>
      <c r="K4619" s="444">
        <f t="shared" ca="1" si="173"/>
        <v>-203333524615.84726</v>
      </c>
      <c r="L4619" s="444">
        <f t="shared" ca="1" si="174"/>
        <v>-49003379432419.188</v>
      </c>
      <c r="M4619" s="460">
        <f t="shared" si="176"/>
        <v>0.05</v>
      </c>
      <c r="N4619" s="464">
        <f t="shared" si="177"/>
        <v>191633</v>
      </c>
    </row>
    <row r="4620" spans="7:14" ht="11.25" customHeight="1" x14ac:dyDescent="0.3">
      <c r="G4620" s="459"/>
      <c r="H4620" s="459">
        <v>4613</v>
      </c>
      <c r="I4620" s="444">
        <f t="shared" ca="1" si="175"/>
        <v>-49003379432419.188</v>
      </c>
      <c r="J4620" s="444">
        <f t="array" ref="J4620">IFERROR(INDEX('Retirement Calculator'!K:K,MATCH('Lorri 401b'!N4620,'Retirement Calculator'!A:A,0),0),0)</f>
        <v>0</v>
      </c>
      <c r="K4620" s="444">
        <f t="shared" ca="1" si="173"/>
        <v>-204180747635.07996</v>
      </c>
      <c r="L4620" s="444">
        <f t="shared" ca="1" si="174"/>
        <v>-49207560180054.266</v>
      </c>
      <c r="M4620" s="460">
        <f t="shared" si="176"/>
        <v>0.05</v>
      </c>
      <c r="N4620" s="464">
        <f t="shared" si="177"/>
        <v>191663</v>
      </c>
    </row>
    <row r="4621" spans="7:14" ht="11.25" customHeight="1" x14ac:dyDescent="0.3">
      <c r="G4621" s="459"/>
      <c r="H4621" s="459">
        <v>4614</v>
      </c>
      <c r="I4621" s="444">
        <f t="shared" ca="1" si="175"/>
        <v>-49207560180054.266</v>
      </c>
      <c r="J4621" s="444">
        <f t="array" ref="J4621">IFERROR(INDEX('Retirement Calculator'!K:K,MATCH('Lorri 401b'!N4621,'Retirement Calculator'!A:A,0),0),0)</f>
        <v>0</v>
      </c>
      <c r="K4621" s="444">
        <f t="shared" ca="1" si="173"/>
        <v>-205031500750.2261</v>
      </c>
      <c r="L4621" s="444">
        <f t="shared" ca="1" si="174"/>
        <v>-49412591680804.492</v>
      </c>
      <c r="M4621" s="460">
        <f t="shared" si="176"/>
        <v>0.05</v>
      </c>
      <c r="N4621" s="464">
        <f t="shared" si="177"/>
        <v>191694</v>
      </c>
    </row>
    <row r="4622" spans="7:14" ht="11.25" customHeight="1" x14ac:dyDescent="0.3">
      <c r="G4622" s="459"/>
      <c r="H4622" s="459">
        <v>4615</v>
      </c>
      <c r="I4622" s="444">
        <f t="shared" ca="1" si="175"/>
        <v>-49412591680804.492</v>
      </c>
      <c r="J4622" s="444">
        <f t="array" ref="J4622">IFERROR(INDEX('Retirement Calculator'!K:K,MATCH('Lorri 401b'!N4622,'Retirement Calculator'!A:A,0),0),0)</f>
        <v>0</v>
      </c>
      <c r="K4622" s="444">
        <f t="shared" ca="1" si="173"/>
        <v>-205885798670.01871</v>
      </c>
      <c r="L4622" s="444">
        <f t="shared" ca="1" si="174"/>
        <v>-49618477479474.508</v>
      </c>
      <c r="M4622" s="460">
        <f t="shared" si="176"/>
        <v>0.05</v>
      </c>
      <c r="N4622" s="464">
        <f t="shared" si="177"/>
        <v>191724</v>
      </c>
    </row>
    <row r="4623" spans="7:14" ht="11.25" customHeight="1" x14ac:dyDescent="0.3">
      <c r="G4623" s="459"/>
      <c r="H4623" s="459">
        <v>4616</v>
      </c>
      <c r="I4623" s="444">
        <f t="shared" ca="1" si="175"/>
        <v>-49618477479474.508</v>
      </c>
      <c r="J4623" s="444">
        <f t="array" ref="J4623">IFERROR(INDEX('Retirement Calculator'!K:K,MATCH('Lorri 401b'!N4623,'Retirement Calculator'!A:A,0),0),0)</f>
        <v>0</v>
      </c>
      <c r="K4623" s="444">
        <f t="shared" ca="1" si="173"/>
        <v>-206743656164.47711</v>
      </c>
      <c r="L4623" s="444">
        <f t="shared" ca="1" si="174"/>
        <v>-49825221135638.984</v>
      </c>
      <c r="M4623" s="460">
        <f t="shared" si="176"/>
        <v>0.05</v>
      </c>
      <c r="N4623" s="464">
        <f t="shared" si="177"/>
        <v>191755</v>
      </c>
    </row>
    <row r="4624" spans="7:14" ht="11.25" customHeight="1" x14ac:dyDescent="0.3">
      <c r="G4624" s="459"/>
      <c r="H4624" s="459">
        <v>4617</v>
      </c>
      <c r="I4624" s="444">
        <f t="shared" ca="1" si="175"/>
        <v>-49825221135638.984</v>
      </c>
      <c r="J4624" s="444">
        <f t="array" ref="J4624">IFERROR(INDEX('Retirement Calculator'!K:K,MATCH('Lorri 401b'!N4624,'Retirement Calculator'!A:A,0),0),0)</f>
        <v>0</v>
      </c>
      <c r="K4624" s="444">
        <f t="shared" ca="1" si="173"/>
        <v>-207605088065.16245</v>
      </c>
      <c r="L4624" s="444">
        <f t="shared" ca="1" si="174"/>
        <v>-50032826223704.148</v>
      </c>
      <c r="M4624" s="460">
        <f t="shared" si="176"/>
        <v>0.05</v>
      </c>
      <c r="N4624" s="464">
        <f t="shared" si="177"/>
        <v>191786</v>
      </c>
    </row>
    <row r="4625" spans="7:14" ht="11.25" customHeight="1" x14ac:dyDescent="0.3">
      <c r="G4625" s="459"/>
      <c r="H4625" s="459">
        <v>4618</v>
      </c>
      <c r="I4625" s="444">
        <f t="shared" ca="1" si="175"/>
        <v>-50032826223704.148</v>
      </c>
      <c r="J4625" s="444">
        <f t="array" ref="J4625">IFERROR(INDEX('Retirement Calculator'!K:K,MATCH('Lorri 401b'!N4625,'Retirement Calculator'!A:A,0),0),0)</f>
        <v>0</v>
      </c>
      <c r="K4625" s="444">
        <f t="shared" ca="1" si="173"/>
        <v>-208470109265.43396</v>
      </c>
      <c r="L4625" s="444">
        <f t="shared" ca="1" si="174"/>
        <v>-50241296332969.586</v>
      </c>
      <c r="M4625" s="460">
        <f t="shared" si="176"/>
        <v>0.05</v>
      </c>
      <c r="N4625" s="464">
        <f t="shared" si="177"/>
        <v>191814</v>
      </c>
    </row>
    <row r="4626" spans="7:14" ht="11.25" customHeight="1" x14ac:dyDescent="0.3">
      <c r="G4626" s="459"/>
      <c r="H4626" s="459">
        <v>4619</v>
      </c>
      <c r="I4626" s="444">
        <f t="shared" ca="1" si="175"/>
        <v>-50241296332969.586</v>
      </c>
      <c r="J4626" s="444">
        <f t="array" ref="J4626">IFERROR(INDEX('Retirement Calculator'!K:K,MATCH('Lorri 401b'!N4626,'Retirement Calculator'!A:A,0),0),0)</f>
        <v>0</v>
      </c>
      <c r="K4626" s="444">
        <f t="shared" ca="1" si="173"/>
        <v>-209338734720.7066</v>
      </c>
      <c r="L4626" s="444">
        <f t="shared" ca="1" si="174"/>
        <v>-50450635067690.289</v>
      </c>
      <c r="M4626" s="460">
        <f t="shared" si="176"/>
        <v>0.05</v>
      </c>
      <c r="N4626" s="464">
        <f t="shared" si="177"/>
        <v>191845</v>
      </c>
    </row>
    <row r="4627" spans="7:14" ht="11.25" customHeight="1" x14ac:dyDescent="0.3">
      <c r="G4627" s="459"/>
      <c r="H4627" s="459">
        <v>4620</v>
      </c>
      <c r="I4627" s="444">
        <f t="shared" ca="1" si="175"/>
        <v>-50450635067690.289</v>
      </c>
      <c r="J4627" s="444">
        <f t="array" ref="J4627">IFERROR(INDEX('Retirement Calculator'!K:K,MATCH('Lorri 401b'!N4627,'Retirement Calculator'!A:A,0),0),0)</f>
        <v>0</v>
      </c>
      <c r="K4627" s="444">
        <f t="shared" ca="1" si="173"/>
        <v>-210210979448.70953</v>
      </c>
      <c r="L4627" s="444">
        <f t="shared" ca="1" si="174"/>
        <v>-50660846047139</v>
      </c>
      <c r="M4627" s="460">
        <f t="shared" si="176"/>
        <v>0.05</v>
      </c>
      <c r="N4627" s="464">
        <f t="shared" si="177"/>
        <v>191875</v>
      </c>
    </row>
    <row r="4628" spans="7:14" ht="11.25" customHeight="1" x14ac:dyDescent="0.3">
      <c r="G4628" s="459"/>
      <c r="H4628" s="459">
        <v>4621</v>
      </c>
      <c r="I4628" s="444">
        <f t="shared" ca="1" si="175"/>
        <v>-50660846047139</v>
      </c>
      <c r="J4628" s="444">
        <f t="array" ref="J4628">IFERROR(INDEX('Retirement Calculator'!K:K,MATCH('Lorri 401b'!N4628,'Retirement Calculator'!A:A,0),0),0)</f>
        <v>0</v>
      </c>
      <c r="K4628" s="444">
        <f t="shared" ca="1" si="173"/>
        <v>-211086858529.74582</v>
      </c>
      <c r="L4628" s="444">
        <f t="shared" ca="1" si="174"/>
        <v>-50871932905668.742</v>
      </c>
      <c r="M4628" s="460">
        <f t="shared" si="176"/>
        <v>0.05</v>
      </c>
      <c r="N4628" s="464">
        <f t="shared" si="177"/>
        <v>191906</v>
      </c>
    </row>
    <row r="4629" spans="7:14" ht="11.25" customHeight="1" x14ac:dyDescent="0.3">
      <c r="G4629" s="459"/>
      <c r="H4629" s="459">
        <v>4622</v>
      </c>
      <c r="I4629" s="444">
        <f t="shared" ca="1" si="175"/>
        <v>-50871932905668.742</v>
      </c>
      <c r="J4629" s="444">
        <f t="array" ref="J4629">IFERROR(INDEX('Retirement Calculator'!K:K,MATCH('Lorri 401b'!N4629,'Retirement Calculator'!A:A,0),0),0)</f>
        <v>0</v>
      </c>
      <c r="K4629" s="444">
        <f t="shared" ca="1" si="173"/>
        <v>-211966387106.95309</v>
      </c>
      <c r="L4629" s="444">
        <f t="shared" ca="1" si="174"/>
        <v>-51083899292775.695</v>
      </c>
      <c r="M4629" s="460">
        <f t="shared" si="176"/>
        <v>0.05</v>
      </c>
      <c r="N4629" s="464">
        <f t="shared" si="177"/>
        <v>191936</v>
      </c>
    </row>
    <row r="4630" spans="7:14" ht="11.25" customHeight="1" x14ac:dyDescent="0.3">
      <c r="G4630" s="459"/>
      <c r="H4630" s="459">
        <v>4623</v>
      </c>
      <c r="I4630" s="444">
        <f t="shared" ca="1" si="175"/>
        <v>-51083899292775.695</v>
      </c>
      <c r="J4630" s="444">
        <f t="array" ref="J4630">IFERROR(INDEX('Retirement Calculator'!K:K,MATCH('Lorri 401b'!N4630,'Retirement Calculator'!A:A,0),0),0)</f>
        <v>0</v>
      </c>
      <c r="K4630" s="444">
        <f t="shared" ca="1" si="173"/>
        <v>-212849580386.5654</v>
      </c>
      <c r="L4630" s="444">
        <f t="shared" ca="1" si="174"/>
        <v>-51296748873162.258</v>
      </c>
      <c r="M4630" s="460">
        <f t="shared" si="176"/>
        <v>0.05</v>
      </c>
      <c r="N4630" s="464">
        <f t="shared" si="177"/>
        <v>191967</v>
      </c>
    </row>
    <row r="4631" spans="7:14" ht="11.25" customHeight="1" x14ac:dyDescent="0.3">
      <c r="G4631" s="459"/>
      <c r="H4631" s="459">
        <v>4624</v>
      </c>
      <c r="I4631" s="444">
        <f t="shared" ca="1" si="175"/>
        <v>-51296748873162.258</v>
      </c>
      <c r="J4631" s="444">
        <f t="array" ref="J4631">IFERROR(INDEX('Retirement Calculator'!K:K,MATCH('Lorri 401b'!N4631,'Retirement Calculator'!A:A,0),0),0)</f>
        <v>0</v>
      </c>
      <c r="K4631" s="444">
        <f t="shared" ca="1" si="173"/>
        <v>-213736453638.17609</v>
      </c>
      <c r="L4631" s="444">
        <f t="shared" ca="1" si="174"/>
        <v>-51510485326800.438</v>
      </c>
      <c r="M4631" s="460">
        <f t="shared" si="176"/>
        <v>0.05</v>
      </c>
      <c r="N4631" s="464">
        <f t="shared" si="177"/>
        <v>191998</v>
      </c>
    </row>
    <row r="4632" spans="7:14" ht="11.25" customHeight="1" x14ac:dyDescent="0.3">
      <c r="G4632" s="459"/>
      <c r="H4632" s="459">
        <v>4625</v>
      </c>
      <c r="I4632" s="444">
        <f t="shared" ca="1" si="175"/>
        <v>-51510485326800.438</v>
      </c>
      <c r="J4632" s="444">
        <f t="array" ref="J4632">IFERROR(INDEX('Retirement Calculator'!K:K,MATCH('Lorri 401b'!N4632,'Retirement Calculator'!A:A,0),0),0)</f>
        <v>0</v>
      </c>
      <c r="K4632" s="444">
        <f t="shared" ca="1" si="173"/>
        <v>-214627022195.00183</v>
      </c>
      <c r="L4632" s="444">
        <f t="shared" ca="1" si="174"/>
        <v>-51725112348995.438</v>
      </c>
      <c r="M4632" s="460">
        <f t="shared" si="176"/>
        <v>0.05</v>
      </c>
      <c r="N4632" s="464">
        <f t="shared" si="177"/>
        <v>192028</v>
      </c>
    </row>
    <row r="4633" spans="7:14" ht="11.25" customHeight="1" x14ac:dyDescent="0.3">
      <c r="G4633" s="459"/>
      <c r="H4633" s="459">
        <v>4626</v>
      </c>
      <c r="I4633" s="444">
        <f t="shared" ca="1" si="175"/>
        <v>-51725112348995.438</v>
      </c>
      <c r="J4633" s="444">
        <f t="array" ref="J4633">IFERROR(INDEX('Retirement Calculator'!K:K,MATCH('Lorri 401b'!N4633,'Retirement Calculator'!A:A,0),0),0)</f>
        <v>0</v>
      </c>
      <c r="K4633" s="444">
        <f t="shared" ca="1" si="173"/>
        <v>-215521301454.14764</v>
      </c>
      <c r="L4633" s="444">
        <f t="shared" ca="1" si="174"/>
        <v>-51940633650449.586</v>
      </c>
      <c r="M4633" s="460">
        <f t="shared" si="176"/>
        <v>0.05</v>
      </c>
      <c r="N4633" s="464">
        <f t="shared" si="177"/>
        <v>192059</v>
      </c>
    </row>
    <row r="4634" spans="7:14" ht="11.25" customHeight="1" x14ac:dyDescent="0.3">
      <c r="G4634" s="459"/>
      <c r="H4634" s="459">
        <v>4627</v>
      </c>
      <c r="I4634" s="444">
        <f t="shared" ca="1" si="175"/>
        <v>-51940633650449.586</v>
      </c>
      <c r="J4634" s="444">
        <f t="array" ref="J4634">IFERROR(INDEX('Retirement Calculator'!K:K,MATCH('Lorri 401b'!N4634,'Retirement Calculator'!A:A,0),0),0)</f>
        <v>0</v>
      </c>
      <c r="K4634" s="444">
        <f t="shared" ca="1" si="173"/>
        <v>-216419306876.87326</v>
      </c>
      <c r="L4634" s="444">
        <f t="shared" ca="1" si="174"/>
        <v>-52157052957326.461</v>
      </c>
      <c r="M4634" s="460">
        <f t="shared" si="176"/>
        <v>0.05</v>
      </c>
      <c r="N4634" s="464">
        <f t="shared" si="177"/>
        <v>192089</v>
      </c>
    </row>
    <row r="4635" spans="7:14" ht="11.25" customHeight="1" x14ac:dyDescent="0.3">
      <c r="G4635" s="459"/>
      <c r="H4635" s="459">
        <v>4628</v>
      </c>
      <c r="I4635" s="444">
        <f t="shared" ca="1" si="175"/>
        <v>-52157052957326.461</v>
      </c>
      <c r="J4635" s="444">
        <f t="array" ref="J4635">IFERROR(INDEX('Retirement Calculator'!K:K,MATCH('Lorri 401b'!N4635,'Retirement Calculator'!A:A,0),0),0)</f>
        <v>0</v>
      </c>
      <c r="K4635" s="444">
        <f t="shared" ca="1" si="173"/>
        <v>-217321053988.86026</v>
      </c>
      <c r="L4635" s="444">
        <f t="shared" ca="1" si="174"/>
        <v>-52374374011315.32</v>
      </c>
      <c r="M4635" s="460">
        <f t="shared" si="176"/>
        <v>0.05</v>
      </c>
      <c r="N4635" s="464">
        <f t="shared" si="177"/>
        <v>192120</v>
      </c>
    </row>
    <row r="4636" spans="7:14" ht="11.25" customHeight="1" x14ac:dyDescent="0.3">
      <c r="G4636" s="459"/>
      <c r="H4636" s="459">
        <v>4629</v>
      </c>
      <c r="I4636" s="444">
        <f t="shared" ca="1" si="175"/>
        <v>-52374374011315.32</v>
      </c>
      <c r="J4636" s="444">
        <f t="array" ref="J4636">IFERROR(INDEX('Retirement Calculator'!K:K,MATCH('Lorri 401b'!N4636,'Retirement Calculator'!A:A,0),0),0)</f>
        <v>0</v>
      </c>
      <c r="K4636" s="444">
        <f t="shared" ca="1" si="173"/>
        <v>-218226558380.4805</v>
      </c>
      <c r="L4636" s="444">
        <f t="shared" ca="1" si="174"/>
        <v>-52592600569695.805</v>
      </c>
      <c r="M4636" s="460">
        <f t="shared" si="176"/>
        <v>0.05</v>
      </c>
      <c r="N4636" s="464">
        <f t="shared" si="177"/>
        <v>192151</v>
      </c>
    </row>
    <row r="4637" spans="7:14" ht="11.25" customHeight="1" x14ac:dyDescent="0.3">
      <c r="G4637" s="459"/>
      <c r="H4637" s="459">
        <v>4630</v>
      </c>
      <c r="I4637" s="444">
        <f t="shared" ca="1" si="175"/>
        <v>-52592600569695.805</v>
      </c>
      <c r="J4637" s="444">
        <f t="array" ref="J4637">IFERROR(INDEX('Retirement Calculator'!K:K,MATCH('Lorri 401b'!N4637,'Retirement Calculator'!A:A,0),0),0)</f>
        <v>0</v>
      </c>
      <c r="K4637" s="444">
        <f t="shared" ca="1" si="173"/>
        <v>-219135835707.06586</v>
      </c>
      <c r="L4637" s="444">
        <f t="shared" ca="1" si="174"/>
        <v>-52811736405402.867</v>
      </c>
      <c r="M4637" s="460">
        <f t="shared" si="176"/>
        <v>0.05</v>
      </c>
      <c r="N4637" s="464">
        <f t="shared" si="177"/>
        <v>192179</v>
      </c>
    </row>
    <row r="4638" spans="7:14" ht="11.25" customHeight="1" x14ac:dyDescent="0.3">
      <c r="G4638" s="459"/>
      <c r="H4638" s="459">
        <v>4631</v>
      </c>
      <c r="I4638" s="444">
        <f t="shared" ca="1" si="175"/>
        <v>-52811736405402.867</v>
      </c>
      <c r="J4638" s="444">
        <f t="array" ref="J4638">IFERROR(INDEX('Retirement Calculator'!K:K,MATCH('Lorri 401b'!N4638,'Retirement Calculator'!A:A,0),0),0)</f>
        <v>0</v>
      </c>
      <c r="K4638" s="444">
        <f t="shared" ca="1" si="173"/>
        <v>-220048901689.17862</v>
      </c>
      <c r="L4638" s="444">
        <f t="shared" ca="1" si="174"/>
        <v>-53031785307092.047</v>
      </c>
      <c r="M4638" s="460">
        <f t="shared" si="176"/>
        <v>0.05</v>
      </c>
      <c r="N4638" s="464">
        <f t="shared" si="177"/>
        <v>192210</v>
      </c>
    </row>
    <row r="4639" spans="7:14" ht="11.25" customHeight="1" x14ac:dyDescent="0.3">
      <c r="G4639" s="459"/>
      <c r="H4639" s="459">
        <v>4632</v>
      </c>
      <c r="I4639" s="444">
        <f t="shared" ca="1" si="175"/>
        <v>-53031785307092.047</v>
      </c>
      <c r="J4639" s="444">
        <f t="array" ref="J4639">IFERROR(INDEX('Retirement Calculator'!K:K,MATCH('Lorri 401b'!N4639,'Retirement Calculator'!A:A,0),0),0)</f>
        <v>0</v>
      </c>
      <c r="K4639" s="444">
        <f t="shared" ca="1" si="173"/>
        <v>-220965772112.88351</v>
      </c>
      <c r="L4639" s="444">
        <f t="shared" ca="1" si="174"/>
        <v>-53252751079204.93</v>
      </c>
      <c r="M4639" s="460">
        <f t="shared" si="176"/>
        <v>0.05</v>
      </c>
      <c r="N4639" s="464">
        <f t="shared" si="177"/>
        <v>192240</v>
      </c>
    </row>
    <row r="4640" spans="7:14" ht="11.25" customHeight="1" x14ac:dyDescent="0.3">
      <c r="G4640" s="459"/>
      <c r="H4640" s="459">
        <v>4633</v>
      </c>
      <c r="I4640" s="444">
        <f t="shared" ca="1" si="175"/>
        <v>-53252751079204.93</v>
      </c>
      <c r="J4640" s="444">
        <f t="array" ref="J4640">IFERROR(INDEX('Retirement Calculator'!K:K,MATCH('Lorri 401b'!N4640,'Retirement Calculator'!A:A,0),0),0)</f>
        <v>0</v>
      </c>
      <c r="K4640" s="444">
        <f t="shared" ca="1" si="173"/>
        <v>-221886462830.02054</v>
      </c>
      <c r="L4640" s="444">
        <f t="shared" ca="1" si="174"/>
        <v>-53474637542034.953</v>
      </c>
      <c r="M4640" s="460">
        <f t="shared" si="176"/>
        <v>0.05</v>
      </c>
      <c r="N4640" s="464">
        <f t="shared" si="177"/>
        <v>192271</v>
      </c>
    </row>
    <row r="4641" spans="7:14" ht="11.25" customHeight="1" x14ac:dyDescent="0.3">
      <c r="G4641" s="459"/>
      <c r="H4641" s="459">
        <v>4634</v>
      </c>
      <c r="I4641" s="444">
        <f t="shared" ca="1" si="175"/>
        <v>-53474637542034.953</v>
      </c>
      <c r="J4641" s="444">
        <f t="array" ref="J4641">IFERROR(INDEX('Retirement Calculator'!K:K,MATCH('Lorri 401b'!N4641,'Retirement Calculator'!A:A,0),0),0)</f>
        <v>0</v>
      </c>
      <c r="K4641" s="444">
        <f t="shared" ca="1" si="173"/>
        <v>-222810989758.47897</v>
      </c>
      <c r="L4641" s="444">
        <f t="shared" ca="1" si="174"/>
        <v>-53697448531793.43</v>
      </c>
      <c r="M4641" s="460">
        <f t="shared" si="176"/>
        <v>0.05</v>
      </c>
      <c r="N4641" s="464">
        <f t="shared" si="177"/>
        <v>192301</v>
      </c>
    </row>
    <row r="4642" spans="7:14" ht="11.25" customHeight="1" x14ac:dyDescent="0.3">
      <c r="G4642" s="459"/>
      <c r="H4642" s="459">
        <v>4635</v>
      </c>
      <c r="I4642" s="444">
        <f t="shared" ca="1" si="175"/>
        <v>-53697448531793.43</v>
      </c>
      <c r="J4642" s="444">
        <f t="array" ref="J4642">IFERROR(INDEX('Retirement Calculator'!K:K,MATCH('Lorri 401b'!N4642,'Retirement Calculator'!A:A,0),0),0)</f>
        <v>0</v>
      </c>
      <c r="K4642" s="444">
        <f t="shared" ca="1" si="173"/>
        <v>-223739368882.47263</v>
      </c>
      <c r="L4642" s="444">
        <f t="shared" ca="1" si="174"/>
        <v>-53921187900675.898</v>
      </c>
      <c r="M4642" s="460">
        <f t="shared" si="176"/>
        <v>0.05</v>
      </c>
      <c r="N4642" s="464">
        <f t="shared" si="177"/>
        <v>192332</v>
      </c>
    </row>
    <row r="4643" spans="7:14" ht="11.25" customHeight="1" x14ac:dyDescent="0.3">
      <c r="G4643" s="459"/>
      <c r="H4643" s="459">
        <v>4636</v>
      </c>
      <c r="I4643" s="444">
        <f t="shared" ca="1" si="175"/>
        <v>-53921187900675.898</v>
      </c>
      <c r="J4643" s="444">
        <f t="array" ref="J4643">IFERROR(INDEX('Retirement Calculator'!K:K,MATCH('Lorri 401b'!N4643,'Retirement Calculator'!A:A,0),0),0)</f>
        <v>0</v>
      </c>
      <c r="K4643" s="444">
        <f t="shared" ca="1" si="173"/>
        <v>-224671616252.81625</v>
      </c>
      <c r="L4643" s="444">
        <f t="shared" ca="1" si="174"/>
        <v>-54145859516928.711</v>
      </c>
      <c r="M4643" s="460">
        <f t="shared" si="176"/>
        <v>0.05</v>
      </c>
      <c r="N4643" s="464">
        <f t="shared" si="177"/>
        <v>192363</v>
      </c>
    </row>
    <row r="4644" spans="7:14" ht="11.25" customHeight="1" x14ac:dyDescent="0.3">
      <c r="G4644" s="459"/>
      <c r="H4644" s="459">
        <v>4637</v>
      </c>
      <c r="I4644" s="444">
        <f t="shared" ca="1" si="175"/>
        <v>-54145859516928.711</v>
      </c>
      <c r="J4644" s="444">
        <f t="array" ref="J4644">IFERROR(INDEX('Retirement Calculator'!K:K,MATCH('Lorri 401b'!N4644,'Retirement Calculator'!A:A,0),0),0)</f>
        <v>0</v>
      </c>
      <c r="K4644" s="444">
        <f t="shared" ca="1" si="173"/>
        <v>-225607747987.20297</v>
      </c>
      <c r="L4644" s="444">
        <f t="shared" ca="1" si="174"/>
        <v>-54371467264915.914</v>
      </c>
      <c r="M4644" s="460">
        <f t="shared" si="176"/>
        <v>0.05</v>
      </c>
      <c r="N4644" s="464">
        <f t="shared" si="177"/>
        <v>192393</v>
      </c>
    </row>
    <row r="4645" spans="7:14" ht="11.25" customHeight="1" x14ac:dyDescent="0.3">
      <c r="G4645" s="459"/>
      <c r="H4645" s="459">
        <v>4638</v>
      </c>
      <c r="I4645" s="444">
        <f t="shared" ca="1" si="175"/>
        <v>-54371467264915.914</v>
      </c>
      <c r="J4645" s="444">
        <f t="array" ref="J4645">IFERROR(INDEX('Retirement Calculator'!K:K,MATCH('Lorri 401b'!N4645,'Retirement Calculator'!A:A,0),0),0)</f>
        <v>0</v>
      </c>
      <c r="K4645" s="444">
        <f t="shared" ca="1" si="173"/>
        <v>-226547780270.48297</v>
      </c>
      <c r="L4645" s="444">
        <f t="shared" ca="1" si="174"/>
        <v>-54598015045186.398</v>
      </c>
      <c r="M4645" s="460">
        <f t="shared" si="176"/>
        <v>0.05</v>
      </c>
      <c r="N4645" s="464">
        <f t="shared" si="177"/>
        <v>192424</v>
      </c>
    </row>
    <row r="4646" spans="7:14" ht="11.25" customHeight="1" x14ac:dyDescent="0.3">
      <c r="G4646" s="459"/>
      <c r="H4646" s="459">
        <v>4639</v>
      </c>
      <c r="I4646" s="444">
        <f t="shared" ca="1" si="175"/>
        <v>-54598015045186.398</v>
      </c>
      <c r="J4646" s="444">
        <f t="array" ref="J4646">IFERROR(INDEX('Retirement Calculator'!K:K,MATCH('Lorri 401b'!N4646,'Retirement Calculator'!A:A,0),0),0)</f>
        <v>0</v>
      </c>
      <c r="K4646" s="444">
        <f t="shared" ca="1" si="173"/>
        <v>-227491729354.94333</v>
      </c>
      <c r="L4646" s="444">
        <f t="shared" ca="1" si="174"/>
        <v>-54825506774541.344</v>
      </c>
      <c r="M4646" s="460">
        <f t="shared" si="176"/>
        <v>0.05</v>
      </c>
      <c r="N4646" s="464">
        <f t="shared" si="177"/>
        <v>192454</v>
      </c>
    </row>
    <row r="4647" spans="7:14" ht="11.25" customHeight="1" x14ac:dyDescent="0.3">
      <c r="G4647" s="459"/>
      <c r="H4647" s="459">
        <v>4640</v>
      </c>
      <c r="I4647" s="444">
        <f t="shared" ca="1" si="175"/>
        <v>-54825506774541.344</v>
      </c>
      <c r="J4647" s="444">
        <f t="array" ref="J4647">IFERROR(INDEX('Retirement Calculator'!K:K,MATCH('Lorri 401b'!N4647,'Retirement Calculator'!A:A,0),0),0)</f>
        <v>0</v>
      </c>
      <c r="K4647" s="444">
        <f t="shared" ca="1" si="173"/>
        <v>-228439611560.58893</v>
      </c>
      <c r="L4647" s="444">
        <f t="shared" ca="1" si="174"/>
        <v>-55053946386101.93</v>
      </c>
      <c r="M4647" s="460">
        <f t="shared" si="176"/>
        <v>0.05</v>
      </c>
      <c r="N4647" s="464">
        <f t="shared" si="177"/>
        <v>192485</v>
      </c>
    </row>
    <row r="4648" spans="7:14" ht="11.25" customHeight="1" x14ac:dyDescent="0.3">
      <c r="G4648" s="459"/>
      <c r="H4648" s="459">
        <v>4641</v>
      </c>
      <c r="I4648" s="444">
        <f t="shared" ca="1" si="175"/>
        <v>-55053946386101.93</v>
      </c>
      <c r="J4648" s="444">
        <f t="array" ref="J4648">IFERROR(INDEX('Retirement Calculator'!K:K,MATCH('Lorri 401b'!N4648,'Retirement Calculator'!A:A,0),0),0)</f>
        <v>0</v>
      </c>
      <c r="K4648" s="444">
        <f t="shared" ca="1" si="173"/>
        <v>-229391443275.42471</v>
      </c>
      <c r="L4648" s="444">
        <f t="shared" ca="1" si="174"/>
        <v>-55283337829377.352</v>
      </c>
      <c r="M4648" s="460">
        <f t="shared" si="176"/>
        <v>0.05</v>
      </c>
      <c r="N4648" s="464">
        <f t="shared" si="177"/>
        <v>192516</v>
      </c>
    </row>
    <row r="4649" spans="7:14" ht="11.25" customHeight="1" x14ac:dyDescent="0.3">
      <c r="G4649" s="459"/>
      <c r="H4649" s="459">
        <v>4642</v>
      </c>
      <c r="I4649" s="444">
        <f t="shared" ca="1" si="175"/>
        <v>-55283337829377.352</v>
      </c>
      <c r="J4649" s="444">
        <f t="array" ref="J4649">IFERROR(INDEX('Retirement Calculator'!K:K,MATCH('Lorri 401b'!N4649,'Retirement Calculator'!A:A,0),0),0)</f>
        <v>0</v>
      </c>
      <c r="K4649" s="444">
        <f t="shared" ca="1" si="173"/>
        <v>-230347240955.73898</v>
      </c>
      <c r="L4649" s="444">
        <f t="shared" ca="1" si="174"/>
        <v>-55513685070333.094</v>
      </c>
      <c r="M4649" s="460">
        <f t="shared" si="176"/>
        <v>0.05</v>
      </c>
      <c r="N4649" s="464">
        <f t="shared" si="177"/>
        <v>192544</v>
      </c>
    </row>
    <row r="4650" spans="7:14" ht="11.25" customHeight="1" x14ac:dyDescent="0.3">
      <c r="G4650" s="459"/>
      <c r="H4650" s="459">
        <v>4643</v>
      </c>
      <c r="I4650" s="444">
        <f t="shared" ca="1" si="175"/>
        <v>-55513685070333.094</v>
      </c>
      <c r="J4650" s="444">
        <f t="array" ref="J4650">IFERROR(INDEX('Retirement Calculator'!K:K,MATCH('Lorri 401b'!N4650,'Retirement Calculator'!A:A,0),0),0)</f>
        <v>0</v>
      </c>
      <c r="K4650" s="444">
        <f t="shared" ca="1" si="173"/>
        <v>-231307021126.38788</v>
      </c>
      <c r="L4650" s="444">
        <f t="shared" ca="1" si="174"/>
        <v>-55744992091459.484</v>
      </c>
      <c r="M4650" s="460">
        <f t="shared" si="176"/>
        <v>0.05</v>
      </c>
      <c r="N4650" s="464">
        <f t="shared" si="177"/>
        <v>192575</v>
      </c>
    </row>
    <row r="4651" spans="7:14" ht="11.25" customHeight="1" x14ac:dyDescent="0.3">
      <c r="G4651" s="459"/>
      <c r="H4651" s="459">
        <v>4644</v>
      </c>
      <c r="I4651" s="444">
        <f t="shared" ca="1" si="175"/>
        <v>-55744992091459.484</v>
      </c>
      <c r="J4651" s="444">
        <f t="array" ref="J4651">IFERROR(INDEX('Retirement Calculator'!K:K,MATCH('Lorri 401b'!N4651,'Retirement Calculator'!A:A,0),0),0)</f>
        <v>0</v>
      </c>
      <c r="K4651" s="444">
        <f t="shared" ca="1" si="173"/>
        <v>-232270800381.08115</v>
      </c>
      <c r="L4651" s="444">
        <f t="shared" ca="1" si="174"/>
        <v>-55977262891840.563</v>
      </c>
      <c r="M4651" s="460">
        <f t="shared" si="176"/>
        <v>0.05</v>
      </c>
      <c r="N4651" s="464">
        <f t="shared" si="177"/>
        <v>192605</v>
      </c>
    </row>
    <row r="4652" spans="7:14" ht="11.25" customHeight="1" x14ac:dyDescent="0.3">
      <c r="G4652" s="459"/>
      <c r="H4652" s="459">
        <v>4645</v>
      </c>
      <c r="I4652" s="444">
        <f t="shared" ca="1" si="175"/>
        <v>-55977262891840.563</v>
      </c>
      <c r="J4652" s="444">
        <f t="array" ref="J4652">IFERROR(INDEX('Retirement Calculator'!K:K,MATCH('Lorri 401b'!N4652,'Retirement Calculator'!A:A,0),0),0)</f>
        <v>0</v>
      </c>
      <c r="K4652" s="444">
        <f t="shared" ca="1" si="173"/>
        <v>-233238595382.66901</v>
      </c>
      <c r="L4652" s="444">
        <f t="shared" ca="1" si="174"/>
        <v>-56210501487223.234</v>
      </c>
      <c r="M4652" s="460">
        <f t="shared" si="176"/>
        <v>0.05</v>
      </c>
      <c r="N4652" s="464">
        <f t="shared" si="177"/>
        <v>192636</v>
      </c>
    </row>
    <row r="4653" spans="7:14" ht="11.25" customHeight="1" x14ac:dyDescent="0.3">
      <c r="G4653" s="459"/>
      <c r="H4653" s="459">
        <v>4646</v>
      </c>
      <c r="I4653" s="444">
        <f t="shared" ca="1" si="175"/>
        <v>-56210501487223.234</v>
      </c>
      <c r="J4653" s="444">
        <f t="array" ref="J4653">IFERROR(INDEX('Retirement Calculator'!K:K,MATCH('Lorri 401b'!N4653,'Retirement Calculator'!A:A,0),0),0)</f>
        <v>0</v>
      </c>
      <c r="K4653" s="444">
        <f t="shared" ca="1" si="173"/>
        <v>-234210422863.43015</v>
      </c>
      <c r="L4653" s="444">
        <f t="shared" ca="1" si="174"/>
        <v>-56444711910086.664</v>
      </c>
      <c r="M4653" s="460">
        <f t="shared" si="176"/>
        <v>0.05</v>
      </c>
      <c r="N4653" s="464">
        <f t="shared" si="177"/>
        <v>192666</v>
      </c>
    </row>
    <row r="4654" spans="7:14" ht="11.25" customHeight="1" x14ac:dyDescent="0.3">
      <c r="G4654" s="459"/>
      <c r="H4654" s="459">
        <v>4647</v>
      </c>
      <c r="I4654" s="444">
        <f t="shared" ca="1" si="175"/>
        <v>-56444711910086.664</v>
      </c>
      <c r="J4654" s="444">
        <f t="array" ref="J4654">IFERROR(INDEX('Retirement Calculator'!K:K,MATCH('Lorri 401b'!N4654,'Retirement Calculator'!A:A,0),0),0)</f>
        <v>0</v>
      </c>
      <c r="K4654" s="444">
        <f t="shared" ca="1" si="173"/>
        <v>-235186299625.36108</v>
      </c>
      <c r="L4654" s="444">
        <f t="shared" ca="1" si="174"/>
        <v>-56679898209712.023</v>
      </c>
      <c r="M4654" s="460">
        <f t="shared" si="176"/>
        <v>0.05</v>
      </c>
      <c r="N4654" s="464">
        <f t="shared" si="177"/>
        <v>192697</v>
      </c>
    </row>
    <row r="4655" spans="7:14" ht="11.25" customHeight="1" x14ac:dyDescent="0.3">
      <c r="G4655" s="459"/>
      <c r="H4655" s="459">
        <v>4648</v>
      </c>
      <c r="I4655" s="444">
        <f t="shared" ca="1" si="175"/>
        <v>-56679898209712.023</v>
      </c>
      <c r="J4655" s="444">
        <f t="array" ref="J4655">IFERROR(INDEX('Retirement Calculator'!K:K,MATCH('Lorri 401b'!N4655,'Retirement Calculator'!A:A,0),0),0)</f>
        <v>0</v>
      </c>
      <c r="K4655" s="444">
        <f t="shared" ca="1" si="173"/>
        <v>-236166242540.46677</v>
      </c>
      <c r="L4655" s="444">
        <f t="shared" ca="1" si="174"/>
        <v>-56916064452252.492</v>
      </c>
      <c r="M4655" s="460">
        <f t="shared" si="176"/>
        <v>0.05</v>
      </c>
      <c r="N4655" s="464">
        <f t="shared" si="177"/>
        <v>192728</v>
      </c>
    </row>
    <row r="4656" spans="7:14" ht="11.25" customHeight="1" x14ac:dyDescent="0.3">
      <c r="G4656" s="459"/>
      <c r="H4656" s="459">
        <v>4649</v>
      </c>
      <c r="I4656" s="444">
        <f t="shared" ca="1" si="175"/>
        <v>-56916064452252.492</v>
      </c>
      <c r="J4656" s="444">
        <f t="array" ref="J4656">IFERROR(INDEX('Retirement Calculator'!K:K,MATCH('Lorri 401b'!N4656,'Retirement Calculator'!A:A,0),0),0)</f>
        <v>0</v>
      </c>
      <c r="K4656" s="444">
        <f t="shared" ca="1" si="173"/>
        <v>-237150268551.05209</v>
      </c>
      <c r="L4656" s="444">
        <f t="shared" ca="1" si="174"/>
        <v>-57153214720803.547</v>
      </c>
      <c r="M4656" s="460">
        <f t="shared" si="176"/>
        <v>0.05</v>
      </c>
      <c r="N4656" s="464">
        <f t="shared" si="177"/>
        <v>192758</v>
      </c>
    </row>
    <row r="4657" spans="7:14" ht="11.25" customHeight="1" x14ac:dyDescent="0.3">
      <c r="G4657" s="459"/>
      <c r="H4657" s="459">
        <v>4650</v>
      </c>
      <c r="I4657" s="444">
        <f t="shared" ca="1" si="175"/>
        <v>-57153214720803.547</v>
      </c>
      <c r="J4657" s="444">
        <f t="array" ref="J4657">IFERROR(INDEX('Retirement Calculator'!K:K,MATCH('Lorri 401b'!N4657,'Retirement Calculator'!A:A,0),0),0)</f>
        <v>0</v>
      </c>
      <c r="K4657" s="444">
        <f t="shared" ca="1" si="173"/>
        <v>-238138394670.01474</v>
      </c>
      <c r="L4657" s="444">
        <f t="shared" ca="1" si="174"/>
        <v>-57391353115473.563</v>
      </c>
      <c r="M4657" s="460">
        <f t="shared" si="176"/>
        <v>0.05</v>
      </c>
      <c r="N4657" s="464">
        <f t="shared" si="177"/>
        <v>192789</v>
      </c>
    </row>
    <row r="4658" spans="7:14" ht="11.25" customHeight="1" x14ac:dyDescent="0.3">
      <c r="G4658" s="459"/>
      <c r="H4658" s="459">
        <v>4651</v>
      </c>
      <c r="I4658" s="444">
        <f t="shared" ca="1" si="175"/>
        <v>-57391353115473.563</v>
      </c>
      <c r="J4658" s="444">
        <f t="array" ref="J4658">IFERROR(INDEX('Retirement Calculator'!K:K,MATCH('Lorri 401b'!N4658,'Retirement Calculator'!A:A,0),0),0)</f>
        <v>0</v>
      </c>
      <c r="K4658" s="444">
        <f t="shared" ca="1" si="173"/>
        <v>-239130637981.13983</v>
      </c>
      <c r="L4658" s="444">
        <f t="shared" ca="1" si="174"/>
        <v>-57630483753454.703</v>
      </c>
      <c r="M4658" s="460">
        <f t="shared" si="176"/>
        <v>0.05</v>
      </c>
      <c r="N4658" s="464">
        <f t="shared" si="177"/>
        <v>192819</v>
      </c>
    </row>
    <row r="4659" spans="7:14" ht="11.25" customHeight="1" x14ac:dyDescent="0.3">
      <c r="G4659" s="459"/>
      <c r="H4659" s="459">
        <v>4652</v>
      </c>
      <c r="I4659" s="444">
        <f t="shared" ca="1" si="175"/>
        <v>-57630483753454.703</v>
      </c>
      <c r="J4659" s="444">
        <f t="array" ref="J4659">IFERROR(INDEX('Retirement Calculator'!K:K,MATCH('Lorri 401b'!N4659,'Retirement Calculator'!A:A,0),0),0)</f>
        <v>0</v>
      </c>
      <c r="K4659" s="444">
        <f t="shared" ca="1" si="173"/>
        <v>-240127015639.39459</v>
      </c>
      <c r="L4659" s="444">
        <f t="shared" ca="1" si="174"/>
        <v>-57870610769094.102</v>
      </c>
      <c r="M4659" s="460">
        <f t="shared" si="176"/>
        <v>0.05</v>
      </c>
      <c r="N4659" s="464">
        <f t="shared" si="177"/>
        <v>192850</v>
      </c>
    </row>
    <row r="4660" spans="7:14" ht="11.25" customHeight="1" x14ac:dyDescent="0.3">
      <c r="G4660" s="459"/>
      <c r="H4660" s="459">
        <v>4653</v>
      </c>
      <c r="I4660" s="444">
        <f t="shared" ca="1" si="175"/>
        <v>-57870610769094.102</v>
      </c>
      <c r="J4660" s="444">
        <f t="array" ref="J4660">IFERROR(INDEX('Retirement Calculator'!K:K,MATCH('Lorri 401b'!N4660,'Retirement Calculator'!A:A,0),0),0)</f>
        <v>0</v>
      </c>
      <c r="K4660" s="444">
        <f t="shared" ca="1" si="173"/>
        <v>-241127544871.22543</v>
      </c>
      <c r="L4660" s="444">
        <f t="shared" ca="1" si="174"/>
        <v>-58111738313965.328</v>
      </c>
      <c r="M4660" s="460">
        <f t="shared" si="176"/>
        <v>0.05</v>
      </c>
      <c r="N4660" s="464">
        <f t="shared" si="177"/>
        <v>192881</v>
      </c>
    </row>
    <row r="4661" spans="7:14" ht="11.25" customHeight="1" x14ac:dyDescent="0.3">
      <c r="G4661" s="459"/>
      <c r="H4661" s="459">
        <v>4654</v>
      </c>
      <c r="I4661" s="444">
        <f t="shared" ca="1" si="175"/>
        <v>-58111738313965.328</v>
      </c>
      <c r="J4661" s="444">
        <f t="array" ref="J4661">IFERROR(INDEX('Retirement Calculator'!K:K,MATCH('Lorri 401b'!N4661,'Retirement Calculator'!A:A,0),0),0)</f>
        <v>0</v>
      </c>
      <c r="K4661" s="444">
        <f t="shared" ca="1" si="173"/>
        <v>-242132242974.85553</v>
      </c>
      <c r="L4661" s="444">
        <f t="shared" ca="1" si="174"/>
        <v>-58353870556940.188</v>
      </c>
      <c r="M4661" s="460">
        <f t="shared" si="176"/>
        <v>0.05</v>
      </c>
      <c r="N4661" s="464">
        <f t="shared" si="177"/>
        <v>192910</v>
      </c>
    </row>
    <row r="4662" spans="7:14" ht="11.25" customHeight="1" x14ac:dyDescent="0.3">
      <c r="G4662" s="459"/>
      <c r="H4662" s="459">
        <v>4655</v>
      </c>
      <c r="I4662" s="444">
        <f t="shared" ca="1" si="175"/>
        <v>-58353870556940.188</v>
      </c>
      <c r="J4662" s="444">
        <f t="array" ref="J4662">IFERROR(INDEX('Retirement Calculator'!K:K,MATCH('Lorri 401b'!N4662,'Retirement Calculator'!A:A,0),0),0)</f>
        <v>0</v>
      </c>
      <c r="K4662" s="444">
        <f t="shared" ca="1" si="173"/>
        <v>-243141127320.58411</v>
      </c>
      <c r="L4662" s="444">
        <f t="shared" ca="1" si="174"/>
        <v>-58597011684260.773</v>
      </c>
      <c r="M4662" s="460">
        <f t="shared" si="176"/>
        <v>0.05</v>
      </c>
      <c r="N4662" s="464">
        <f t="shared" si="177"/>
        <v>192941</v>
      </c>
    </row>
    <row r="4663" spans="7:14" ht="11.25" customHeight="1" x14ac:dyDescent="0.3">
      <c r="G4663" s="459"/>
      <c r="H4663" s="459">
        <v>4656</v>
      </c>
      <c r="I4663" s="444">
        <f t="shared" ca="1" si="175"/>
        <v>-58597011684260.773</v>
      </c>
      <c r="J4663" s="444">
        <f t="array" ref="J4663">IFERROR(INDEX('Retirement Calculator'!K:K,MATCH('Lorri 401b'!N4663,'Retirement Calculator'!A:A,0),0),0)</f>
        <v>0</v>
      </c>
      <c r="K4663" s="444">
        <f t="shared" ca="1" si="173"/>
        <v>-244154215351.08655</v>
      </c>
      <c r="L4663" s="444">
        <f t="shared" ca="1" si="174"/>
        <v>-58841165899611.859</v>
      </c>
      <c r="M4663" s="460">
        <f t="shared" si="176"/>
        <v>0.05</v>
      </c>
      <c r="N4663" s="464">
        <f t="shared" si="177"/>
        <v>192971</v>
      </c>
    </row>
    <row r="4664" spans="7:14" ht="11.25" customHeight="1" x14ac:dyDescent="0.3">
      <c r="G4664" s="459"/>
      <c r="H4664" s="459">
        <v>4657</v>
      </c>
      <c r="I4664" s="444">
        <f t="shared" ca="1" si="175"/>
        <v>-58841165899611.859</v>
      </c>
      <c r="J4664" s="444">
        <f t="array" ref="J4664">IFERROR(INDEX('Retirement Calculator'!K:K,MATCH('Lorri 401b'!N4664,'Retirement Calculator'!A:A,0),0),0)</f>
        <v>0</v>
      </c>
      <c r="K4664" s="444">
        <f t="shared" ca="1" si="173"/>
        <v>-245171524581.71609</v>
      </c>
      <c r="L4664" s="444">
        <f t="shared" ca="1" si="174"/>
        <v>-59086337424193.578</v>
      </c>
      <c r="M4664" s="460">
        <f t="shared" si="176"/>
        <v>0.05</v>
      </c>
      <c r="N4664" s="464">
        <f t="shared" si="177"/>
        <v>193002</v>
      </c>
    </row>
    <row r="4665" spans="7:14" ht="11.25" customHeight="1" x14ac:dyDescent="0.3">
      <c r="G4665" s="459"/>
      <c r="H4665" s="459">
        <v>4658</v>
      </c>
      <c r="I4665" s="444">
        <f t="shared" ca="1" si="175"/>
        <v>-59086337424193.578</v>
      </c>
      <c r="J4665" s="444">
        <f t="array" ref="J4665">IFERROR(INDEX('Retirement Calculator'!K:K,MATCH('Lorri 401b'!N4665,'Retirement Calculator'!A:A,0),0),0)</f>
        <v>0</v>
      </c>
      <c r="K4665" s="444">
        <f t="shared" ca="1" si="173"/>
        <v>-246193072600.80661</v>
      </c>
      <c r="L4665" s="444">
        <f t="shared" ca="1" si="174"/>
        <v>-59332530496794.383</v>
      </c>
      <c r="M4665" s="460">
        <f t="shared" si="176"/>
        <v>0.05</v>
      </c>
      <c r="N4665" s="464">
        <f t="shared" si="177"/>
        <v>193032</v>
      </c>
    </row>
    <row r="4666" spans="7:14" ht="11.25" customHeight="1" x14ac:dyDescent="0.3">
      <c r="G4666" s="459"/>
      <c r="H4666" s="459">
        <v>4659</v>
      </c>
      <c r="I4666" s="444">
        <f t="shared" ca="1" si="175"/>
        <v>-59332530496794.383</v>
      </c>
      <c r="J4666" s="444">
        <f t="array" ref="J4666">IFERROR(INDEX('Retirement Calculator'!K:K,MATCH('Lorri 401b'!N4666,'Retirement Calculator'!A:A,0),0),0)</f>
        <v>0</v>
      </c>
      <c r="K4666" s="444">
        <f t="shared" ca="1" si="173"/>
        <v>-247218877069.97659</v>
      </c>
      <c r="L4666" s="444">
        <f t="shared" ca="1" si="174"/>
        <v>-59579749373864.359</v>
      </c>
      <c r="M4666" s="460">
        <f t="shared" si="176"/>
        <v>0.05</v>
      </c>
      <c r="N4666" s="464">
        <f t="shared" si="177"/>
        <v>193063</v>
      </c>
    </row>
    <row r="4667" spans="7:14" ht="11.25" customHeight="1" x14ac:dyDescent="0.3">
      <c r="G4667" s="459"/>
      <c r="H4667" s="459">
        <v>4660</v>
      </c>
      <c r="I4667" s="444">
        <f t="shared" ca="1" si="175"/>
        <v>-59579749373864.359</v>
      </c>
      <c r="J4667" s="444">
        <f t="array" ref="J4667">IFERROR(INDEX('Retirement Calculator'!K:K,MATCH('Lorri 401b'!N4667,'Retirement Calculator'!A:A,0),0),0)</f>
        <v>0</v>
      </c>
      <c r="K4667" s="444">
        <f t="shared" ca="1" si="173"/>
        <v>-248248955724.43481</v>
      </c>
      <c r="L4667" s="444">
        <f t="shared" ca="1" si="174"/>
        <v>-59827998329588.797</v>
      </c>
      <c r="M4667" s="460">
        <f t="shared" si="176"/>
        <v>0.05</v>
      </c>
      <c r="N4667" s="464">
        <f t="shared" si="177"/>
        <v>193094</v>
      </c>
    </row>
    <row r="4668" spans="7:14" ht="11.25" customHeight="1" x14ac:dyDescent="0.3">
      <c r="G4668" s="459"/>
      <c r="H4668" s="459">
        <v>4661</v>
      </c>
      <c r="I4668" s="444">
        <f t="shared" ca="1" si="175"/>
        <v>-59827998329588.797</v>
      </c>
      <c r="J4668" s="444">
        <f t="array" ref="J4668">IFERROR(INDEX('Retirement Calculator'!K:K,MATCH('Lorri 401b'!N4668,'Retirement Calculator'!A:A,0),0),0)</f>
        <v>0</v>
      </c>
      <c r="K4668" s="444">
        <f t="shared" ca="1" si="173"/>
        <v>-249283326373.28665</v>
      </c>
      <c r="L4668" s="444">
        <f t="shared" ca="1" si="174"/>
        <v>-60077281655962.086</v>
      </c>
      <c r="M4668" s="460">
        <f t="shared" si="176"/>
        <v>0.05</v>
      </c>
      <c r="N4668" s="464">
        <f t="shared" si="177"/>
        <v>193124</v>
      </c>
    </row>
    <row r="4669" spans="7:14" ht="11.25" customHeight="1" x14ac:dyDescent="0.3">
      <c r="G4669" s="459"/>
      <c r="H4669" s="459">
        <v>4662</v>
      </c>
      <c r="I4669" s="444">
        <f t="shared" ca="1" si="175"/>
        <v>-60077281655962.086</v>
      </c>
      <c r="J4669" s="444">
        <f t="array" ref="J4669">IFERROR(INDEX('Retirement Calculator'!K:K,MATCH('Lorri 401b'!N4669,'Retirement Calculator'!A:A,0),0),0)</f>
        <v>0</v>
      </c>
      <c r="K4669" s="444">
        <f t="shared" ca="1" si="173"/>
        <v>-250322006899.84201</v>
      </c>
      <c r="L4669" s="444">
        <f t="shared" ca="1" si="174"/>
        <v>-60327603662861.93</v>
      </c>
      <c r="M4669" s="460">
        <f t="shared" si="176"/>
        <v>0.05</v>
      </c>
      <c r="N4669" s="464">
        <f t="shared" si="177"/>
        <v>193155</v>
      </c>
    </row>
    <row r="4670" spans="7:14" ht="11.25" customHeight="1" x14ac:dyDescent="0.3">
      <c r="G4670" s="459"/>
      <c r="H4670" s="459">
        <v>4663</v>
      </c>
      <c r="I4670" s="444">
        <f t="shared" ca="1" si="175"/>
        <v>-60327603662861.93</v>
      </c>
      <c r="J4670" s="444">
        <f t="array" ref="J4670">IFERROR(INDEX('Retirement Calculator'!K:K,MATCH('Lorri 401b'!N4670,'Retirement Calculator'!A:A,0),0),0)</f>
        <v>0</v>
      </c>
      <c r="K4670" s="444">
        <f t="shared" ca="1" si="173"/>
        <v>-251365015261.92471</v>
      </c>
      <c r="L4670" s="444">
        <f t="shared" ca="1" si="174"/>
        <v>-60578968678123.852</v>
      </c>
      <c r="M4670" s="460">
        <f t="shared" si="176"/>
        <v>0.05</v>
      </c>
      <c r="N4670" s="464">
        <f t="shared" si="177"/>
        <v>193185</v>
      </c>
    </row>
    <row r="4671" spans="7:14" ht="11.25" customHeight="1" x14ac:dyDescent="0.3">
      <c r="G4671" s="459"/>
      <c r="H4671" s="459">
        <v>4664</v>
      </c>
      <c r="I4671" s="444">
        <f t="shared" ca="1" si="175"/>
        <v>-60578968678123.852</v>
      </c>
      <c r="J4671" s="444">
        <f t="array" ref="J4671">IFERROR(INDEX('Retirement Calculator'!K:K,MATCH('Lorri 401b'!N4671,'Retirement Calculator'!A:A,0),0),0)</f>
        <v>0</v>
      </c>
      <c r="K4671" s="444">
        <f t="shared" ca="1" si="173"/>
        <v>-252412369492.18271</v>
      </c>
      <c r="L4671" s="444">
        <f t="shared" ca="1" si="174"/>
        <v>-60831381047616.031</v>
      </c>
      <c r="M4671" s="460">
        <f t="shared" si="176"/>
        <v>0.05</v>
      </c>
      <c r="N4671" s="464">
        <f t="shared" si="177"/>
        <v>193216</v>
      </c>
    </row>
    <row r="4672" spans="7:14" ht="11.25" customHeight="1" x14ac:dyDescent="0.3">
      <c r="G4672" s="459"/>
      <c r="H4672" s="459">
        <v>4665</v>
      </c>
      <c r="I4672" s="444">
        <f t="shared" ca="1" si="175"/>
        <v>-60831381047616.031</v>
      </c>
      <c r="J4672" s="444">
        <f t="array" ref="J4672">IFERROR(INDEX('Retirement Calculator'!K:K,MATCH('Lorri 401b'!N4672,'Retirement Calculator'!A:A,0),0),0)</f>
        <v>0</v>
      </c>
      <c r="K4672" s="444">
        <f t="shared" ca="1" si="173"/>
        <v>-253464087698.40012</v>
      </c>
      <c r="L4672" s="444">
        <f t="shared" ca="1" si="174"/>
        <v>-61084845135314.43</v>
      </c>
      <c r="M4672" s="460">
        <f t="shared" si="176"/>
        <v>0.05</v>
      </c>
      <c r="N4672" s="464">
        <f t="shared" si="177"/>
        <v>193247</v>
      </c>
    </row>
    <row r="4673" spans="7:14" ht="11.25" customHeight="1" x14ac:dyDescent="0.3">
      <c r="G4673" s="459"/>
      <c r="H4673" s="459">
        <v>4666</v>
      </c>
      <c r="I4673" s="444">
        <f t="shared" ca="1" si="175"/>
        <v>-61084845135314.43</v>
      </c>
      <c r="J4673" s="444">
        <f t="array" ref="J4673">IFERROR(INDEX('Retirement Calculator'!K:K,MATCH('Lorri 401b'!N4673,'Retirement Calculator'!A:A,0),0),0)</f>
        <v>0</v>
      </c>
      <c r="K4673" s="444">
        <f t="shared" ca="1" si="173"/>
        <v>-254520188063.81009</v>
      </c>
      <c r="L4673" s="444">
        <f t="shared" ca="1" si="174"/>
        <v>-61339365323378.242</v>
      </c>
      <c r="M4673" s="460">
        <f t="shared" si="176"/>
        <v>0.05</v>
      </c>
      <c r="N4673" s="464">
        <f t="shared" si="177"/>
        <v>193275</v>
      </c>
    </row>
    <row r="4674" spans="7:14" ht="11.25" customHeight="1" x14ac:dyDescent="0.3">
      <c r="G4674" s="459"/>
      <c r="H4674" s="459">
        <v>4667</v>
      </c>
      <c r="I4674" s="444">
        <f t="shared" ca="1" si="175"/>
        <v>-61339365323378.242</v>
      </c>
      <c r="J4674" s="444">
        <f t="array" ref="J4674">IFERROR(INDEX('Retirement Calculator'!K:K,MATCH('Lorri 401b'!N4674,'Retirement Calculator'!A:A,0),0),0)</f>
        <v>0</v>
      </c>
      <c r="K4674" s="444">
        <f t="shared" ca="1" si="173"/>
        <v>-255580688847.40936</v>
      </c>
      <c r="L4674" s="444">
        <f t="shared" ca="1" si="174"/>
        <v>-61594946012225.648</v>
      </c>
      <c r="M4674" s="460">
        <f t="shared" si="176"/>
        <v>0.05</v>
      </c>
      <c r="N4674" s="464">
        <f t="shared" si="177"/>
        <v>193306</v>
      </c>
    </row>
    <row r="4675" spans="7:14" ht="11.25" customHeight="1" x14ac:dyDescent="0.3">
      <c r="G4675" s="459"/>
      <c r="H4675" s="459">
        <v>4668</v>
      </c>
      <c r="I4675" s="444">
        <f t="shared" ca="1" si="175"/>
        <v>-61594946012225.648</v>
      </c>
      <c r="J4675" s="444">
        <f t="array" ref="J4675">IFERROR(INDEX('Retirement Calculator'!K:K,MATCH('Lorri 401b'!N4675,'Retirement Calculator'!A:A,0),0),0)</f>
        <v>0</v>
      </c>
      <c r="K4675" s="444">
        <f t="shared" ca="1" si="173"/>
        <v>-256645608384.27353</v>
      </c>
      <c r="L4675" s="444">
        <f t="shared" ca="1" si="174"/>
        <v>-61851591620609.922</v>
      </c>
      <c r="M4675" s="460">
        <f t="shared" si="176"/>
        <v>0.05</v>
      </c>
      <c r="N4675" s="464">
        <f t="shared" si="177"/>
        <v>193336</v>
      </c>
    </row>
    <row r="4676" spans="7:14" ht="11.25" customHeight="1" x14ac:dyDescent="0.3">
      <c r="G4676" s="459"/>
      <c r="H4676" s="459">
        <v>4669</v>
      </c>
      <c r="I4676" s="444">
        <f t="shared" ca="1" si="175"/>
        <v>-61851591620609.922</v>
      </c>
      <c r="J4676" s="444">
        <f t="array" ref="J4676">IFERROR(INDEX('Retirement Calculator'!K:K,MATCH('Lorri 401b'!N4676,'Retirement Calculator'!A:A,0),0),0)</f>
        <v>0</v>
      </c>
      <c r="K4676" s="444">
        <f t="shared" ca="1" si="173"/>
        <v>-257714965085.87466</v>
      </c>
      <c r="L4676" s="444">
        <f t="shared" ca="1" si="174"/>
        <v>-62109306585695.797</v>
      </c>
      <c r="M4676" s="460">
        <f t="shared" si="176"/>
        <v>0.05</v>
      </c>
      <c r="N4676" s="464">
        <f t="shared" si="177"/>
        <v>193367</v>
      </c>
    </row>
    <row r="4677" spans="7:14" ht="11.25" customHeight="1" x14ac:dyDescent="0.3">
      <c r="G4677" s="459"/>
      <c r="H4677" s="459">
        <v>4670</v>
      </c>
      <c r="I4677" s="444">
        <f t="shared" ca="1" si="175"/>
        <v>-62109306585695.797</v>
      </c>
      <c r="J4677" s="444">
        <f t="array" ref="J4677">IFERROR(INDEX('Retirement Calculator'!K:K,MATCH('Lorri 401b'!N4677,'Retirement Calculator'!A:A,0),0),0)</f>
        <v>0</v>
      </c>
      <c r="K4677" s="444">
        <f t="shared" ca="1" si="173"/>
        <v>-258788777440.39911</v>
      </c>
      <c r="L4677" s="444">
        <f t="shared" ca="1" si="174"/>
        <v>-62368095363136.195</v>
      </c>
      <c r="M4677" s="460">
        <f t="shared" si="176"/>
        <v>0.05</v>
      </c>
      <c r="N4677" s="464">
        <f t="shared" si="177"/>
        <v>193397</v>
      </c>
    </row>
    <row r="4678" spans="7:14" ht="11.25" customHeight="1" x14ac:dyDescent="0.3">
      <c r="G4678" s="459"/>
      <c r="H4678" s="459">
        <v>4671</v>
      </c>
      <c r="I4678" s="444">
        <f t="shared" ca="1" si="175"/>
        <v>-62368095363136.195</v>
      </c>
      <c r="J4678" s="444">
        <f t="array" ref="J4678">IFERROR(INDEX('Retirement Calculator'!K:K,MATCH('Lorri 401b'!N4678,'Retirement Calculator'!A:A,0),0),0)</f>
        <v>0</v>
      </c>
      <c r="K4678" s="444">
        <f t="shared" ca="1" si="173"/>
        <v>-259867064013.0675</v>
      </c>
      <c r="L4678" s="444">
        <f t="shared" ca="1" si="174"/>
        <v>-62627962427149.266</v>
      </c>
      <c r="M4678" s="460">
        <f t="shared" si="176"/>
        <v>0.05</v>
      </c>
      <c r="N4678" s="464">
        <f t="shared" si="177"/>
        <v>193428</v>
      </c>
    </row>
    <row r="4679" spans="7:14" ht="11.25" customHeight="1" x14ac:dyDescent="0.3">
      <c r="G4679" s="459"/>
      <c r="H4679" s="459">
        <v>4672</v>
      </c>
      <c r="I4679" s="444">
        <f t="shared" ca="1" si="175"/>
        <v>-62627962427149.266</v>
      </c>
      <c r="J4679" s="444">
        <f t="array" ref="J4679">IFERROR(INDEX('Retirement Calculator'!K:K,MATCH('Lorri 401b'!N4679,'Retirement Calculator'!A:A,0),0),0)</f>
        <v>0</v>
      </c>
      <c r="K4679" s="444">
        <f t="shared" ca="1" si="173"/>
        <v>-260949843446.45526</v>
      </c>
      <c r="L4679" s="444">
        <f t="shared" ca="1" si="174"/>
        <v>-62888912270595.719</v>
      </c>
      <c r="M4679" s="460">
        <f t="shared" si="176"/>
        <v>0.05</v>
      </c>
      <c r="N4679" s="464">
        <f t="shared" si="177"/>
        <v>193459</v>
      </c>
    </row>
    <row r="4680" spans="7:14" ht="11.25" customHeight="1" x14ac:dyDescent="0.3">
      <c r="G4680" s="459"/>
      <c r="H4680" s="459">
        <v>4673</v>
      </c>
      <c r="I4680" s="444">
        <f t="shared" ca="1" si="175"/>
        <v>-62888912270595.719</v>
      </c>
      <c r="J4680" s="444">
        <f t="array" ref="J4680">IFERROR(INDEX('Retirement Calculator'!K:K,MATCH('Lorri 401b'!N4680,'Retirement Calculator'!A:A,0),0),0)</f>
        <v>0</v>
      </c>
      <c r="K4680" s="444">
        <f t="shared" ca="1" si="173"/>
        <v>-262037134460.81549</v>
      </c>
      <c r="L4680" s="444">
        <f t="shared" ca="1" si="174"/>
        <v>-63150949405056.531</v>
      </c>
      <c r="M4680" s="460">
        <f t="shared" si="176"/>
        <v>0.05</v>
      </c>
      <c r="N4680" s="464">
        <f t="shared" si="177"/>
        <v>193489</v>
      </c>
    </row>
    <row r="4681" spans="7:14" ht="11.25" customHeight="1" x14ac:dyDescent="0.3">
      <c r="G4681" s="459"/>
      <c r="H4681" s="459">
        <v>4674</v>
      </c>
      <c r="I4681" s="444">
        <f t="shared" ca="1" si="175"/>
        <v>-63150949405056.531</v>
      </c>
      <c r="J4681" s="444">
        <f t="array" ref="J4681">IFERROR(INDEX('Retirement Calculator'!K:K,MATCH('Lorri 401b'!N4681,'Retirement Calculator'!A:A,0),0),0)</f>
        <v>0</v>
      </c>
      <c r="K4681" s="444">
        <f t="shared" ca="1" si="173"/>
        <v>-263128955854.40225</v>
      </c>
      <c r="L4681" s="444">
        <f t="shared" ca="1" si="174"/>
        <v>-63414078360910.93</v>
      </c>
      <c r="M4681" s="460">
        <f t="shared" si="176"/>
        <v>0.05</v>
      </c>
      <c r="N4681" s="464">
        <f t="shared" si="177"/>
        <v>193520</v>
      </c>
    </row>
    <row r="4682" spans="7:14" ht="11.25" customHeight="1" x14ac:dyDescent="0.3">
      <c r="G4682" s="459"/>
      <c r="H4682" s="459">
        <v>4675</v>
      </c>
      <c r="I4682" s="444">
        <f t="shared" ca="1" si="175"/>
        <v>-63414078360910.93</v>
      </c>
      <c r="J4682" s="444">
        <f t="array" ref="J4682">IFERROR(INDEX('Retirement Calculator'!K:K,MATCH('Lorri 401b'!N4682,'Retirement Calculator'!A:A,0),0),0)</f>
        <v>0</v>
      </c>
      <c r="K4682" s="444">
        <f t="shared" ca="1" si="173"/>
        <v>-264225326503.7955</v>
      </c>
      <c r="L4682" s="444">
        <f t="shared" ca="1" si="174"/>
        <v>-63678303687414.727</v>
      </c>
      <c r="M4682" s="460">
        <f t="shared" si="176"/>
        <v>0.05</v>
      </c>
      <c r="N4682" s="464">
        <f t="shared" si="177"/>
        <v>193550</v>
      </c>
    </row>
    <row r="4683" spans="7:14" ht="11.25" customHeight="1" x14ac:dyDescent="0.3">
      <c r="G4683" s="459"/>
      <c r="H4683" s="459">
        <v>4676</v>
      </c>
      <c r="I4683" s="444">
        <f t="shared" ca="1" si="175"/>
        <v>-63678303687414.727</v>
      </c>
      <c r="J4683" s="444">
        <f t="array" ref="J4683">IFERROR(INDEX('Retirement Calculator'!K:K,MATCH('Lorri 401b'!N4683,'Retirement Calculator'!A:A,0),0),0)</f>
        <v>0</v>
      </c>
      <c r="K4683" s="444">
        <f t="shared" ca="1" si="173"/>
        <v>-265326265364.22803</v>
      </c>
      <c r="L4683" s="444">
        <f t="shared" ca="1" si="174"/>
        <v>-63943629952778.953</v>
      </c>
      <c r="M4683" s="460">
        <f t="shared" si="176"/>
        <v>0.05</v>
      </c>
      <c r="N4683" s="464">
        <f t="shared" si="177"/>
        <v>193581</v>
      </c>
    </row>
    <row r="4684" spans="7:14" ht="11.25" customHeight="1" x14ac:dyDescent="0.3">
      <c r="G4684" s="459"/>
      <c r="H4684" s="459">
        <v>4677</v>
      </c>
      <c r="I4684" s="444">
        <f t="shared" ca="1" si="175"/>
        <v>-63943629952778.953</v>
      </c>
      <c r="J4684" s="444">
        <f t="array" ref="J4684">IFERROR(INDEX('Retirement Calculator'!K:K,MATCH('Lorri 401b'!N4684,'Retirement Calculator'!A:A,0),0),0)</f>
        <v>0</v>
      </c>
      <c r="K4684" s="444">
        <f t="shared" ca="1" si="173"/>
        <v>-266431791469.91229</v>
      </c>
      <c r="L4684" s="444">
        <f t="shared" ca="1" si="174"/>
        <v>-64210061744248.867</v>
      </c>
      <c r="M4684" s="460">
        <f t="shared" si="176"/>
        <v>0.05</v>
      </c>
      <c r="N4684" s="464">
        <f t="shared" si="177"/>
        <v>193612</v>
      </c>
    </row>
    <row r="4685" spans="7:14" ht="11.25" customHeight="1" x14ac:dyDescent="0.3">
      <c r="G4685" s="459"/>
      <c r="H4685" s="459">
        <v>4678</v>
      </c>
      <c r="I4685" s="444">
        <f t="shared" ca="1" si="175"/>
        <v>-64210061744248.867</v>
      </c>
      <c r="J4685" s="444">
        <f t="array" ref="J4685">IFERROR(INDEX('Retirement Calculator'!K:K,MATCH('Lorri 401b'!N4685,'Retirement Calculator'!A:A,0),0),0)</f>
        <v>0</v>
      </c>
      <c r="K4685" s="444">
        <f t="shared" ca="1" si="173"/>
        <v>-267541923934.37024</v>
      </c>
      <c r="L4685" s="444">
        <f t="shared" ca="1" si="174"/>
        <v>-64477603668183.234</v>
      </c>
      <c r="M4685" s="460">
        <f t="shared" si="176"/>
        <v>0.05</v>
      </c>
      <c r="N4685" s="464">
        <f t="shared" si="177"/>
        <v>193640</v>
      </c>
    </row>
    <row r="4686" spans="7:14" ht="11.25" customHeight="1" x14ac:dyDescent="0.3">
      <c r="G4686" s="459"/>
      <c r="H4686" s="459">
        <v>4679</v>
      </c>
      <c r="I4686" s="444">
        <f t="shared" ca="1" si="175"/>
        <v>-64477603668183.234</v>
      </c>
      <c r="J4686" s="444">
        <f t="array" ref="J4686">IFERROR(INDEX('Retirement Calculator'!K:K,MATCH('Lorri 401b'!N4686,'Retirement Calculator'!A:A,0),0),0)</f>
        <v>0</v>
      </c>
      <c r="K4686" s="444">
        <f t="shared" ca="1" si="173"/>
        <v>-268656681950.76346</v>
      </c>
      <c r="L4686" s="444">
        <f t="shared" ca="1" si="174"/>
        <v>-64746260350134</v>
      </c>
      <c r="M4686" s="460">
        <f t="shared" si="176"/>
        <v>0.05</v>
      </c>
      <c r="N4686" s="464">
        <f t="shared" si="177"/>
        <v>193671</v>
      </c>
    </row>
    <row r="4687" spans="7:14" ht="11.25" customHeight="1" x14ac:dyDescent="0.3">
      <c r="G4687" s="459"/>
      <c r="H4687" s="459">
        <v>4680</v>
      </c>
      <c r="I4687" s="444">
        <f t="shared" ca="1" si="175"/>
        <v>-64746260350134</v>
      </c>
      <c r="J4687" s="444">
        <f t="array" ref="J4687">IFERROR(INDEX('Retirement Calculator'!K:K,MATCH('Lorri 401b'!N4687,'Retirement Calculator'!A:A,0),0),0)</f>
        <v>0</v>
      </c>
      <c r="K4687" s="444">
        <f t="shared" ca="1" si="173"/>
        <v>-269776084792.22501</v>
      </c>
      <c r="L4687" s="444">
        <f t="shared" ca="1" si="174"/>
        <v>-65016036434926.227</v>
      </c>
      <c r="M4687" s="460">
        <f t="shared" si="176"/>
        <v>0.05</v>
      </c>
      <c r="N4687" s="464">
        <f t="shared" si="177"/>
        <v>193701</v>
      </c>
    </row>
    <row r="4688" spans="7:14" ht="11.25" customHeight="1" x14ac:dyDescent="0.3">
      <c r="G4688" s="459"/>
      <c r="H4688" s="459">
        <v>4681</v>
      </c>
      <c r="I4688" s="444">
        <f t="shared" ca="1" si="175"/>
        <v>-65016036434926.227</v>
      </c>
      <c r="J4688" s="444">
        <f t="array" ref="J4688">IFERROR(INDEX('Retirement Calculator'!K:K,MATCH('Lorri 401b'!N4688,'Retirement Calculator'!A:A,0),0),0)</f>
        <v>0</v>
      </c>
      <c r="K4688" s="444">
        <f t="shared" ca="1" si="173"/>
        <v>-270900151812.1926</v>
      </c>
      <c r="L4688" s="444">
        <f t="shared" ca="1" si="174"/>
        <v>-65286936586738.422</v>
      </c>
      <c r="M4688" s="460">
        <f t="shared" si="176"/>
        <v>0.05</v>
      </c>
      <c r="N4688" s="464">
        <f t="shared" si="177"/>
        <v>193732</v>
      </c>
    </row>
    <row r="4689" spans="7:14" ht="11.25" customHeight="1" x14ac:dyDescent="0.3">
      <c r="G4689" s="459"/>
      <c r="H4689" s="459">
        <v>4682</v>
      </c>
      <c r="I4689" s="444">
        <f t="shared" ca="1" si="175"/>
        <v>-65286936586738.422</v>
      </c>
      <c r="J4689" s="444">
        <f t="array" ref="J4689">IFERROR(INDEX('Retirement Calculator'!K:K,MATCH('Lorri 401b'!N4689,'Retirement Calculator'!A:A,0),0),0)</f>
        <v>0</v>
      </c>
      <c r="K4689" s="444">
        <f t="shared" ca="1" si="173"/>
        <v>-272028902444.74341</v>
      </c>
      <c r="L4689" s="444">
        <f t="shared" ca="1" si="174"/>
        <v>-65558965489183.164</v>
      </c>
      <c r="M4689" s="460">
        <f t="shared" si="176"/>
        <v>0.05</v>
      </c>
      <c r="N4689" s="464">
        <f t="shared" si="177"/>
        <v>193762</v>
      </c>
    </row>
    <row r="4690" spans="7:14" ht="11.25" customHeight="1" x14ac:dyDescent="0.3">
      <c r="G4690" s="459"/>
      <c r="H4690" s="459">
        <v>4683</v>
      </c>
      <c r="I4690" s="444">
        <f t="shared" ca="1" si="175"/>
        <v>-65558965489183.164</v>
      </c>
      <c r="J4690" s="444">
        <f t="array" ref="J4690">IFERROR(INDEX('Retirement Calculator'!K:K,MATCH('Lorri 401b'!N4690,'Retirement Calculator'!A:A,0),0),0)</f>
        <v>0</v>
      </c>
      <c r="K4690" s="444">
        <f t="shared" ca="1" si="173"/>
        <v>-273162356204.92984</v>
      </c>
      <c r="L4690" s="444">
        <f t="shared" ca="1" si="174"/>
        <v>-65832127845388.094</v>
      </c>
      <c r="M4690" s="460">
        <f t="shared" si="176"/>
        <v>0.05</v>
      </c>
      <c r="N4690" s="464">
        <f t="shared" si="177"/>
        <v>193793</v>
      </c>
    </row>
    <row r="4691" spans="7:14" ht="11.25" customHeight="1" x14ac:dyDescent="0.3">
      <c r="G4691" s="459"/>
      <c r="H4691" s="459">
        <v>4684</v>
      </c>
      <c r="I4691" s="444">
        <f t="shared" ca="1" si="175"/>
        <v>-65832127845388.094</v>
      </c>
      <c r="J4691" s="444">
        <f t="array" ref="J4691">IFERROR(INDEX('Retirement Calculator'!K:K,MATCH('Lorri 401b'!N4691,'Retirement Calculator'!A:A,0),0),0)</f>
        <v>0</v>
      </c>
      <c r="K4691" s="444">
        <f t="shared" ca="1" si="173"/>
        <v>-274300532689.11707</v>
      </c>
      <c r="L4691" s="444">
        <f t="shared" ca="1" si="174"/>
        <v>-66106428378077.211</v>
      </c>
      <c r="M4691" s="460">
        <f t="shared" si="176"/>
        <v>0.05</v>
      </c>
      <c r="N4691" s="464">
        <f t="shared" si="177"/>
        <v>193824</v>
      </c>
    </row>
    <row r="4692" spans="7:14" ht="11.25" customHeight="1" x14ac:dyDescent="0.3">
      <c r="G4692" s="459"/>
      <c r="H4692" s="459">
        <v>4685</v>
      </c>
      <c r="I4692" s="444">
        <f t="shared" ca="1" si="175"/>
        <v>-66106428378077.211</v>
      </c>
      <c r="J4692" s="444">
        <f t="array" ref="J4692">IFERROR(INDEX('Retirement Calculator'!K:K,MATCH('Lorri 401b'!N4692,'Retirement Calculator'!A:A,0),0),0)</f>
        <v>0</v>
      </c>
      <c r="K4692" s="444">
        <f t="shared" ca="1" si="173"/>
        <v>-275443451575.32166</v>
      </c>
      <c r="L4692" s="444">
        <f t="shared" ca="1" si="174"/>
        <v>-66381871829652.531</v>
      </c>
      <c r="M4692" s="460">
        <f t="shared" si="176"/>
        <v>0.05</v>
      </c>
      <c r="N4692" s="464">
        <f t="shared" si="177"/>
        <v>193854</v>
      </c>
    </row>
    <row r="4693" spans="7:14" ht="11.25" customHeight="1" x14ac:dyDescent="0.3">
      <c r="G4693" s="459"/>
      <c r="H4693" s="459">
        <v>4686</v>
      </c>
      <c r="I4693" s="444">
        <f t="shared" ca="1" si="175"/>
        <v>-66381871829652.531</v>
      </c>
      <c r="J4693" s="444">
        <f t="array" ref="J4693">IFERROR(INDEX('Retirement Calculator'!K:K,MATCH('Lorri 401b'!N4693,'Retirement Calculator'!A:A,0),0),0)</f>
        <v>0</v>
      </c>
      <c r="K4693" s="444">
        <f t="shared" ca="1" si="173"/>
        <v>-276591132623.55219</v>
      </c>
      <c r="L4693" s="444">
        <f t="shared" ca="1" si="174"/>
        <v>-66658462962276.086</v>
      </c>
      <c r="M4693" s="460">
        <f t="shared" si="176"/>
        <v>0.05</v>
      </c>
      <c r="N4693" s="464">
        <f t="shared" si="177"/>
        <v>193885</v>
      </c>
    </row>
    <row r="4694" spans="7:14" ht="11.25" customHeight="1" x14ac:dyDescent="0.3">
      <c r="G4694" s="459"/>
      <c r="H4694" s="459">
        <v>4687</v>
      </c>
      <c r="I4694" s="444">
        <f t="shared" ca="1" si="175"/>
        <v>-66658462962276.086</v>
      </c>
      <c r="J4694" s="444">
        <f t="array" ref="J4694">IFERROR(INDEX('Retirement Calculator'!K:K,MATCH('Lorri 401b'!N4694,'Retirement Calculator'!A:A,0),0),0)</f>
        <v>0</v>
      </c>
      <c r="K4694" s="444">
        <f t="shared" ca="1" si="173"/>
        <v>-277743595676.15033</v>
      </c>
      <c r="L4694" s="444">
        <f t="shared" ca="1" si="174"/>
        <v>-66936206557952.234</v>
      </c>
      <c r="M4694" s="460">
        <f t="shared" si="176"/>
        <v>0.05</v>
      </c>
      <c r="N4694" s="464">
        <f t="shared" si="177"/>
        <v>193915</v>
      </c>
    </row>
    <row r="4695" spans="7:14" ht="11.25" customHeight="1" x14ac:dyDescent="0.3">
      <c r="G4695" s="459"/>
      <c r="H4695" s="459">
        <v>4688</v>
      </c>
      <c r="I4695" s="444">
        <f t="shared" ca="1" si="175"/>
        <v>-66936206557952.234</v>
      </c>
      <c r="J4695" s="444">
        <f t="array" ref="J4695">IFERROR(INDEX('Retirement Calculator'!K:K,MATCH('Lorri 401b'!N4695,'Retirement Calculator'!A:A,0),0),0)</f>
        <v>0</v>
      </c>
      <c r="K4695" s="444">
        <f t="shared" ca="1" si="173"/>
        <v>-278900860658.13428</v>
      </c>
      <c r="L4695" s="444">
        <f t="shared" ca="1" si="174"/>
        <v>-67215107418610.367</v>
      </c>
      <c r="M4695" s="460">
        <f t="shared" si="176"/>
        <v>0.05</v>
      </c>
      <c r="N4695" s="464">
        <f t="shared" si="177"/>
        <v>193946</v>
      </c>
    </row>
    <row r="4696" spans="7:14" ht="11.25" customHeight="1" x14ac:dyDescent="0.3">
      <c r="G4696" s="459"/>
      <c r="H4696" s="459">
        <v>4689</v>
      </c>
      <c r="I4696" s="444">
        <f t="shared" ca="1" si="175"/>
        <v>-67215107418610.367</v>
      </c>
      <c r="J4696" s="444">
        <f t="array" ref="J4696">IFERROR(INDEX('Retirement Calculator'!K:K,MATCH('Lorri 401b'!N4696,'Retirement Calculator'!A:A,0),0),0)</f>
        <v>0</v>
      </c>
      <c r="K4696" s="444">
        <f t="shared" ca="1" si="173"/>
        <v>-280062947577.54321</v>
      </c>
      <c r="L4696" s="444">
        <f t="shared" ca="1" si="174"/>
        <v>-67495170366187.914</v>
      </c>
      <c r="M4696" s="460">
        <f t="shared" si="176"/>
        <v>0.05</v>
      </c>
      <c r="N4696" s="464">
        <f t="shared" si="177"/>
        <v>193977</v>
      </c>
    </row>
    <row r="4697" spans="7:14" ht="11.25" customHeight="1" x14ac:dyDescent="0.3">
      <c r="G4697" s="459"/>
      <c r="H4697" s="459">
        <v>4690</v>
      </c>
      <c r="I4697" s="444">
        <f t="shared" ca="1" si="175"/>
        <v>-67495170366187.914</v>
      </c>
      <c r="J4697" s="444">
        <f t="array" ref="J4697">IFERROR(INDEX('Retirement Calculator'!K:K,MATCH('Lorri 401b'!N4697,'Retirement Calculator'!A:A,0),0),0)</f>
        <v>0</v>
      </c>
      <c r="K4697" s="444">
        <f t="shared" ca="1" si="173"/>
        <v>-281229876525.78296</v>
      </c>
      <c r="L4697" s="444">
        <f t="shared" ca="1" si="174"/>
        <v>-67776400242713.695</v>
      </c>
      <c r="M4697" s="460">
        <f t="shared" si="176"/>
        <v>0.05</v>
      </c>
      <c r="N4697" s="464">
        <f t="shared" si="177"/>
        <v>194005</v>
      </c>
    </row>
    <row r="4698" spans="7:14" ht="11.25" customHeight="1" x14ac:dyDescent="0.3">
      <c r="G4698" s="459"/>
      <c r="H4698" s="459">
        <v>4691</v>
      </c>
      <c r="I4698" s="444">
        <f t="shared" ca="1" si="175"/>
        <v>-67776400242713.695</v>
      </c>
      <c r="J4698" s="444">
        <f t="array" ref="J4698">IFERROR(INDEX('Retirement Calculator'!K:K,MATCH('Lorri 401b'!N4698,'Retirement Calculator'!A:A,0),0),0)</f>
        <v>0</v>
      </c>
      <c r="K4698" s="444">
        <f t="shared" ca="1" si="173"/>
        <v>-282401667677.97375</v>
      </c>
      <c r="L4698" s="444">
        <f t="shared" ca="1" si="174"/>
        <v>-68058801910391.672</v>
      </c>
      <c r="M4698" s="460">
        <f t="shared" si="176"/>
        <v>0.05</v>
      </c>
      <c r="N4698" s="464">
        <f t="shared" si="177"/>
        <v>194036</v>
      </c>
    </row>
    <row r="4699" spans="7:14" ht="11.25" customHeight="1" x14ac:dyDescent="0.3">
      <c r="G4699" s="459"/>
      <c r="H4699" s="459">
        <v>4692</v>
      </c>
      <c r="I4699" s="444">
        <f t="shared" ca="1" si="175"/>
        <v>-68058801910391.672</v>
      </c>
      <c r="J4699" s="444">
        <f t="array" ref="J4699">IFERROR(INDEX('Retirement Calculator'!K:K,MATCH('Lorri 401b'!N4699,'Retirement Calculator'!A:A,0),0),0)</f>
        <v>0</v>
      </c>
      <c r="K4699" s="444">
        <f t="shared" ca="1" si="173"/>
        <v>-283578341293.29865</v>
      </c>
      <c r="L4699" s="444">
        <f t="shared" ca="1" si="174"/>
        <v>-68342380251684.969</v>
      </c>
      <c r="M4699" s="460">
        <f t="shared" si="176"/>
        <v>0.05</v>
      </c>
      <c r="N4699" s="464">
        <f t="shared" si="177"/>
        <v>194066</v>
      </c>
    </row>
    <row r="4700" spans="7:14" ht="11.25" customHeight="1" x14ac:dyDescent="0.3">
      <c r="G4700" s="459"/>
      <c r="H4700" s="459">
        <v>4693</v>
      </c>
      <c r="I4700" s="444">
        <f t="shared" ca="1" si="175"/>
        <v>-68342380251684.969</v>
      </c>
      <c r="J4700" s="444">
        <f t="array" ref="J4700">IFERROR(INDEX('Retirement Calculator'!K:K,MATCH('Lorri 401b'!N4700,'Retirement Calculator'!A:A,0),0),0)</f>
        <v>0</v>
      </c>
      <c r="K4700" s="444">
        <f t="shared" ca="1" si="173"/>
        <v>-284759917715.354</v>
      </c>
      <c r="L4700" s="444">
        <f t="shared" ca="1" si="174"/>
        <v>-68627140169400.32</v>
      </c>
      <c r="M4700" s="460">
        <f t="shared" si="176"/>
        <v>0.05</v>
      </c>
      <c r="N4700" s="464">
        <f t="shared" si="177"/>
        <v>194097</v>
      </c>
    </row>
    <row r="4701" spans="7:14" ht="11.25" customHeight="1" x14ac:dyDescent="0.3">
      <c r="G4701" s="459"/>
      <c r="H4701" s="459">
        <v>4694</v>
      </c>
      <c r="I4701" s="444">
        <f t="shared" ca="1" si="175"/>
        <v>-68627140169400.32</v>
      </c>
      <c r="J4701" s="444">
        <f t="array" ref="J4701">IFERROR(INDEX('Retirement Calculator'!K:K,MATCH('Lorri 401b'!N4701,'Retirement Calculator'!A:A,0),0),0)</f>
        <v>0</v>
      </c>
      <c r="K4701" s="444">
        <f t="shared" ca="1" si="173"/>
        <v>-285946417372.50134</v>
      </c>
      <c r="L4701" s="444">
        <f t="shared" ca="1" si="174"/>
        <v>-68913086586772.82</v>
      </c>
      <c r="M4701" s="460">
        <f t="shared" si="176"/>
        <v>0.05</v>
      </c>
      <c r="N4701" s="464">
        <f t="shared" si="177"/>
        <v>194127</v>
      </c>
    </row>
    <row r="4702" spans="7:14" ht="11.25" customHeight="1" x14ac:dyDescent="0.3">
      <c r="G4702" s="459"/>
      <c r="H4702" s="459">
        <v>4695</v>
      </c>
      <c r="I4702" s="444">
        <f t="shared" ca="1" si="175"/>
        <v>-68913086586772.82</v>
      </c>
      <c r="J4702" s="444">
        <f t="array" ref="J4702">IFERROR(INDEX('Retirement Calculator'!K:K,MATCH('Lorri 401b'!N4702,'Retirement Calculator'!A:A,0),0),0)</f>
        <v>0</v>
      </c>
      <c r="K4702" s="444">
        <f t="shared" ca="1" si="173"/>
        <v>-287137860778.22009</v>
      </c>
      <c r="L4702" s="444">
        <f t="shared" ca="1" si="174"/>
        <v>-69200224447551.039</v>
      </c>
      <c r="M4702" s="460">
        <f t="shared" si="176"/>
        <v>0.05</v>
      </c>
      <c r="N4702" s="464">
        <f t="shared" si="177"/>
        <v>194158</v>
      </c>
    </row>
    <row r="4703" spans="7:14" ht="11.25" customHeight="1" x14ac:dyDescent="0.3">
      <c r="G4703" s="459"/>
      <c r="H4703" s="459">
        <v>4696</v>
      </c>
      <c r="I4703" s="444">
        <f t="shared" ca="1" si="175"/>
        <v>-69200224447551.039</v>
      </c>
      <c r="J4703" s="444">
        <f t="array" ref="J4703">IFERROR(INDEX('Retirement Calculator'!K:K,MATCH('Lorri 401b'!N4703,'Retirement Calculator'!A:A,0),0),0)</f>
        <v>0</v>
      </c>
      <c r="K4703" s="444">
        <f t="shared" ca="1" si="173"/>
        <v>-288334268531.46265</v>
      </c>
      <c r="L4703" s="444">
        <f t="shared" ca="1" si="174"/>
        <v>-69488558716082.5</v>
      </c>
      <c r="M4703" s="460">
        <f t="shared" si="176"/>
        <v>0.05</v>
      </c>
      <c r="N4703" s="464">
        <f t="shared" si="177"/>
        <v>194189</v>
      </c>
    </row>
    <row r="4704" spans="7:14" ht="11.25" customHeight="1" x14ac:dyDescent="0.3">
      <c r="G4704" s="459"/>
      <c r="H4704" s="459">
        <v>4697</v>
      </c>
      <c r="I4704" s="444">
        <f t="shared" ca="1" si="175"/>
        <v>-69488558716082.5</v>
      </c>
      <c r="J4704" s="444">
        <f t="array" ref="J4704">IFERROR(INDEX('Retirement Calculator'!K:K,MATCH('Lorri 401b'!N4704,'Retirement Calculator'!A:A,0),0),0)</f>
        <v>0</v>
      </c>
      <c r="K4704" s="444">
        <f t="shared" ca="1" si="173"/>
        <v>-289535661317.01044</v>
      </c>
      <c r="L4704" s="444">
        <f t="shared" ca="1" si="174"/>
        <v>-69778094377399.508</v>
      </c>
      <c r="M4704" s="460">
        <f t="shared" si="176"/>
        <v>0.05</v>
      </c>
      <c r="N4704" s="464">
        <f t="shared" si="177"/>
        <v>194219</v>
      </c>
    </row>
    <row r="4705" spans="7:14" ht="11.25" customHeight="1" x14ac:dyDescent="0.3">
      <c r="G4705" s="459"/>
      <c r="H4705" s="459">
        <v>4698</v>
      </c>
      <c r="I4705" s="444">
        <f t="shared" ca="1" si="175"/>
        <v>-69778094377399.508</v>
      </c>
      <c r="J4705" s="444">
        <f t="array" ref="J4705">IFERROR(INDEX('Retirement Calculator'!K:K,MATCH('Lorri 401b'!N4705,'Retirement Calculator'!A:A,0),0),0)</f>
        <v>0</v>
      </c>
      <c r="K4705" s="444">
        <f t="shared" ca="1" si="173"/>
        <v>-290742059905.8313</v>
      </c>
      <c r="L4705" s="444">
        <f t="shared" ca="1" si="174"/>
        <v>-70068836437305.336</v>
      </c>
      <c r="M4705" s="460">
        <f t="shared" si="176"/>
        <v>0.05</v>
      </c>
      <c r="N4705" s="464">
        <f t="shared" si="177"/>
        <v>194250</v>
      </c>
    </row>
    <row r="4706" spans="7:14" ht="11.25" customHeight="1" x14ac:dyDescent="0.3">
      <c r="G4706" s="459"/>
      <c r="H4706" s="459">
        <v>4699</v>
      </c>
      <c r="I4706" s="444">
        <f t="shared" ca="1" si="175"/>
        <v>-70068836437305.336</v>
      </c>
      <c r="J4706" s="444">
        <f t="array" ref="J4706">IFERROR(INDEX('Retirement Calculator'!K:K,MATCH('Lorri 401b'!N4706,'Retirement Calculator'!A:A,0),0),0)</f>
        <v>0</v>
      </c>
      <c r="K4706" s="444">
        <f t="shared" ca="1" si="173"/>
        <v>-291953485155.4389</v>
      </c>
      <c r="L4706" s="444">
        <f t="shared" ca="1" si="174"/>
        <v>-70360789922460.773</v>
      </c>
      <c r="M4706" s="460">
        <f t="shared" si="176"/>
        <v>0.05</v>
      </c>
      <c r="N4706" s="464">
        <f t="shared" si="177"/>
        <v>194280</v>
      </c>
    </row>
    <row r="4707" spans="7:14" ht="11.25" customHeight="1" x14ac:dyDescent="0.3">
      <c r="G4707" s="459"/>
      <c r="H4707" s="459">
        <v>4700</v>
      </c>
      <c r="I4707" s="444">
        <f t="shared" ca="1" si="175"/>
        <v>-70360789922460.773</v>
      </c>
      <c r="J4707" s="444">
        <f t="array" ref="J4707">IFERROR(INDEX('Retirement Calculator'!K:K,MATCH('Lorri 401b'!N4707,'Retirement Calculator'!A:A,0),0),0)</f>
        <v>0</v>
      </c>
      <c r="K4707" s="444">
        <f t="shared" ca="1" si="173"/>
        <v>-293169958010.25323</v>
      </c>
      <c r="L4707" s="444">
        <f t="shared" ca="1" si="174"/>
        <v>-70653959880471.031</v>
      </c>
      <c r="M4707" s="460">
        <f t="shared" si="176"/>
        <v>0.05</v>
      </c>
      <c r="N4707" s="464">
        <f t="shared" si="177"/>
        <v>194311</v>
      </c>
    </row>
    <row r="4708" spans="7:14" ht="11.25" customHeight="1" x14ac:dyDescent="0.3">
      <c r="G4708" s="459"/>
      <c r="H4708" s="459">
        <v>4701</v>
      </c>
      <c r="I4708" s="444">
        <f t="shared" ca="1" si="175"/>
        <v>-70653959880471.031</v>
      </c>
      <c r="J4708" s="444">
        <f t="array" ref="J4708">IFERROR(INDEX('Retirement Calculator'!K:K,MATCH('Lorri 401b'!N4708,'Retirement Calculator'!A:A,0),0),0)</f>
        <v>0</v>
      </c>
      <c r="K4708" s="444">
        <f t="shared" ca="1" si="173"/>
        <v>-294391499501.96265</v>
      </c>
      <c r="L4708" s="444">
        <f t="shared" ca="1" si="174"/>
        <v>-70948351379973</v>
      </c>
      <c r="M4708" s="460">
        <f t="shared" si="176"/>
        <v>0.05</v>
      </c>
      <c r="N4708" s="464">
        <f t="shared" si="177"/>
        <v>194342</v>
      </c>
    </row>
    <row r="4709" spans="7:14" ht="11.25" customHeight="1" x14ac:dyDescent="0.3">
      <c r="G4709" s="459"/>
      <c r="H4709" s="459">
        <v>4702</v>
      </c>
      <c r="I4709" s="444">
        <f t="shared" ca="1" si="175"/>
        <v>-70948351379973</v>
      </c>
      <c r="J4709" s="444">
        <f t="array" ref="J4709">IFERROR(INDEX('Retirement Calculator'!K:K,MATCH('Lorri 401b'!N4709,'Retirement Calculator'!A:A,0),0),0)</f>
        <v>0</v>
      </c>
      <c r="K4709" s="444">
        <f t="shared" ca="1" si="173"/>
        <v>-295618130749.88751</v>
      </c>
      <c r="L4709" s="444">
        <f t="shared" ca="1" si="174"/>
        <v>-71243969510722.891</v>
      </c>
      <c r="M4709" s="460">
        <f t="shared" si="176"/>
        <v>0.05</v>
      </c>
      <c r="N4709" s="464">
        <f t="shared" si="177"/>
        <v>194371</v>
      </c>
    </row>
    <row r="4710" spans="7:14" ht="11.25" customHeight="1" x14ac:dyDescent="0.3">
      <c r="G4710" s="459"/>
      <c r="H4710" s="459">
        <v>4703</v>
      </c>
      <c r="I4710" s="444">
        <f t="shared" ca="1" si="175"/>
        <v>-71243969510722.891</v>
      </c>
      <c r="J4710" s="444">
        <f t="array" ref="J4710">IFERROR(INDEX('Retirement Calculator'!K:K,MATCH('Lorri 401b'!N4710,'Retirement Calculator'!A:A,0),0),0)</f>
        <v>0</v>
      </c>
      <c r="K4710" s="444">
        <f t="shared" ca="1" si="173"/>
        <v>-296849872961.3454</v>
      </c>
      <c r="L4710" s="444">
        <f t="shared" ca="1" si="174"/>
        <v>-71540819383684.234</v>
      </c>
      <c r="M4710" s="460">
        <f t="shared" si="176"/>
        <v>0.05</v>
      </c>
      <c r="N4710" s="464">
        <f t="shared" si="177"/>
        <v>194402</v>
      </c>
    </row>
    <row r="4711" spans="7:14" ht="11.25" customHeight="1" x14ac:dyDescent="0.3">
      <c r="G4711" s="459"/>
      <c r="H4711" s="459">
        <v>4704</v>
      </c>
      <c r="I4711" s="444">
        <f t="shared" ca="1" si="175"/>
        <v>-71540819383684.234</v>
      </c>
      <c r="J4711" s="444">
        <f t="array" ref="J4711">IFERROR(INDEX('Retirement Calculator'!K:K,MATCH('Lorri 401b'!N4711,'Retirement Calculator'!A:A,0),0),0)</f>
        <v>0</v>
      </c>
      <c r="K4711" s="444">
        <f t="shared" ca="1" si="173"/>
        <v>-298086747432.01764</v>
      </c>
      <c r="L4711" s="444">
        <f t="shared" ca="1" si="174"/>
        <v>-71838906131116.25</v>
      </c>
      <c r="M4711" s="460">
        <f t="shared" si="176"/>
        <v>0.05</v>
      </c>
      <c r="N4711" s="464">
        <f t="shared" si="177"/>
        <v>194432</v>
      </c>
    </row>
    <row r="4712" spans="7:14" ht="11.25" customHeight="1" x14ac:dyDescent="0.3">
      <c r="G4712" s="459"/>
      <c r="H4712" s="459">
        <v>4705</v>
      </c>
      <c r="I4712" s="444">
        <f t="shared" ca="1" si="175"/>
        <v>-71838906131116.25</v>
      </c>
      <c r="J4712" s="444">
        <f t="array" ref="J4712">IFERROR(INDEX('Retirement Calculator'!K:K,MATCH('Lorri 401b'!N4712,'Retirement Calculator'!A:A,0),0),0)</f>
        <v>0</v>
      </c>
      <c r="K4712" s="444">
        <f t="shared" ca="1" si="173"/>
        <v>-299328775546.31769</v>
      </c>
      <c r="L4712" s="444">
        <f t="shared" ca="1" si="174"/>
        <v>-72138234906662.563</v>
      </c>
      <c r="M4712" s="460">
        <f t="shared" si="176"/>
        <v>0.05</v>
      </c>
      <c r="N4712" s="464">
        <f t="shared" si="177"/>
        <v>194463</v>
      </c>
    </row>
    <row r="4713" spans="7:14" ht="11.25" customHeight="1" x14ac:dyDescent="0.3">
      <c r="G4713" s="459"/>
      <c r="H4713" s="459">
        <v>4706</v>
      </c>
      <c r="I4713" s="444">
        <f t="shared" ca="1" si="175"/>
        <v>-72138234906662.563</v>
      </c>
      <c r="J4713" s="444">
        <f t="array" ref="J4713">IFERROR(INDEX('Retirement Calculator'!K:K,MATCH('Lorri 401b'!N4713,'Retirement Calculator'!A:A,0),0),0)</f>
        <v>0</v>
      </c>
      <c r="K4713" s="444">
        <f t="shared" ca="1" si="173"/>
        <v>-300575978777.76068</v>
      </c>
      <c r="L4713" s="444">
        <f t="shared" ca="1" si="174"/>
        <v>-72438810885440.328</v>
      </c>
      <c r="M4713" s="460">
        <f t="shared" si="176"/>
        <v>0.05</v>
      </c>
      <c r="N4713" s="464">
        <f t="shared" si="177"/>
        <v>194493</v>
      </c>
    </row>
    <row r="4714" spans="7:14" ht="11.25" customHeight="1" x14ac:dyDescent="0.3">
      <c r="G4714" s="459"/>
      <c r="H4714" s="459">
        <v>4707</v>
      </c>
      <c r="I4714" s="444">
        <f t="shared" ca="1" si="175"/>
        <v>-72438810885440.328</v>
      </c>
      <c r="J4714" s="444">
        <f t="array" ref="J4714">IFERROR(INDEX('Retirement Calculator'!K:K,MATCH('Lorri 401b'!N4714,'Retirement Calculator'!A:A,0),0),0)</f>
        <v>0</v>
      </c>
      <c r="K4714" s="444">
        <f t="shared" ca="1" si="173"/>
        <v>-301828378689.33472</v>
      </c>
      <c r="L4714" s="444">
        <f t="shared" ca="1" si="174"/>
        <v>-72740639264129.656</v>
      </c>
      <c r="M4714" s="460">
        <f t="shared" si="176"/>
        <v>0.05</v>
      </c>
      <c r="N4714" s="464">
        <f t="shared" si="177"/>
        <v>194524</v>
      </c>
    </row>
    <row r="4715" spans="7:14" ht="11.25" customHeight="1" x14ac:dyDescent="0.3">
      <c r="G4715" s="459"/>
      <c r="H4715" s="459">
        <v>4708</v>
      </c>
      <c r="I4715" s="444">
        <f t="shared" ca="1" si="175"/>
        <v>-72740639264129.656</v>
      </c>
      <c r="J4715" s="444">
        <f t="array" ref="J4715">IFERROR(INDEX('Retirement Calculator'!K:K,MATCH('Lorri 401b'!N4715,'Retirement Calculator'!A:A,0),0),0)</f>
        <v>0</v>
      </c>
      <c r="K4715" s="444">
        <f t="shared" ca="1" si="173"/>
        <v>-303085996933.87354</v>
      </c>
      <c r="L4715" s="444">
        <f t="shared" ca="1" si="174"/>
        <v>-73043725261063.531</v>
      </c>
      <c r="M4715" s="460">
        <f t="shared" si="176"/>
        <v>0.05</v>
      </c>
      <c r="N4715" s="464">
        <f t="shared" si="177"/>
        <v>194555</v>
      </c>
    </row>
    <row r="4716" spans="7:14" ht="11.25" customHeight="1" x14ac:dyDescent="0.3">
      <c r="G4716" s="459"/>
      <c r="H4716" s="459">
        <v>4709</v>
      </c>
      <c r="I4716" s="444">
        <f t="shared" ca="1" si="175"/>
        <v>-73043725261063.531</v>
      </c>
      <c r="J4716" s="444">
        <f t="array" ref="J4716">IFERROR(INDEX('Retirement Calculator'!K:K,MATCH('Lorri 401b'!N4716,'Retirement Calculator'!A:A,0),0),0)</f>
        <v>0</v>
      </c>
      <c r="K4716" s="444">
        <f t="shared" ca="1" si="173"/>
        <v>-304348855254.4314</v>
      </c>
      <c r="L4716" s="444">
        <f t="shared" ca="1" si="174"/>
        <v>-73348074116317.969</v>
      </c>
      <c r="M4716" s="460">
        <f t="shared" si="176"/>
        <v>0.05</v>
      </c>
      <c r="N4716" s="464">
        <f t="shared" si="177"/>
        <v>194585</v>
      </c>
    </row>
    <row r="4717" spans="7:14" ht="11.25" customHeight="1" x14ac:dyDescent="0.3">
      <c r="G4717" s="459"/>
      <c r="H4717" s="459">
        <v>4710</v>
      </c>
      <c r="I4717" s="444">
        <f t="shared" ca="1" si="175"/>
        <v>-73348074116317.969</v>
      </c>
      <c r="J4717" s="444">
        <f t="array" ref="J4717">IFERROR(INDEX('Retirement Calculator'!K:K,MATCH('Lorri 401b'!N4717,'Retirement Calculator'!A:A,0),0),0)</f>
        <v>0</v>
      </c>
      <c r="K4717" s="444">
        <f t="shared" ca="1" si="173"/>
        <v>-305616975484.6582</v>
      </c>
      <c r="L4717" s="444">
        <f t="shared" ca="1" si="174"/>
        <v>-73653691091802.625</v>
      </c>
      <c r="M4717" s="460">
        <f t="shared" si="176"/>
        <v>0.05</v>
      </c>
      <c r="N4717" s="464">
        <f t="shared" si="177"/>
        <v>194616</v>
      </c>
    </row>
    <row r="4718" spans="7:14" ht="11.25" customHeight="1" x14ac:dyDescent="0.3">
      <c r="G4718" s="459"/>
      <c r="H4718" s="459">
        <v>4711</v>
      </c>
      <c r="I4718" s="444">
        <f t="shared" ca="1" si="175"/>
        <v>-73653691091802.625</v>
      </c>
      <c r="J4718" s="444">
        <f t="array" ref="J4718">IFERROR(INDEX('Retirement Calculator'!K:K,MATCH('Lorri 401b'!N4718,'Retirement Calculator'!A:A,0),0),0)</f>
        <v>0</v>
      </c>
      <c r="K4718" s="444">
        <f t="shared" ca="1" si="173"/>
        <v>-306890379549.17761</v>
      </c>
      <c r="L4718" s="444">
        <f t="shared" ca="1" si="174"/>
        <v>-73960581471351.797</v>
      </c>
      <c r="M4718" s="460">
        <f t="shared" si="176"/>
        <v>0.05</v>
      </c>
      <c r="N4718" s="464">
        <f t="shared" si="177"/>
        <v>194646</v>
      </c>
    </row>
    <row r="4719" spans="7:14" ht="11.25" customHeight="1" x14ac:dyDescent="0.3">
      <c r="G4719" s="459"/>
      <c r="H4719" s="459">
        <v>4712</v>
      </c>
      <c r="I4719" s="444">
        <f t="shared" ca="1" si="175"/>
        <v>-73960581471351.797</v>
      </c>
      <c r="J4719" s="444">
        <f t="array" ref="J4719">IFERROR(INDEX('Retirement Calculator'!K:K,MATCH('Lorri 401b'!N4719,'Retirement Calculator'!A:A,0),0),0)</f>
        <v>0</v>
      </c>
      <c r="K4719" s="444">
        <f t="shared" ca="1" si="173"/>
        <v>-308169089463.96582</v>
      </c>
      <c r="L4719" s="444">
        <f t="shared" ca="1" si="174"/>
        <v>-74268750560815.766</v>
      </c>
      <c r="M4719" s="460">
        <f t="shared" si="176"/>
        <v>0.05</v>
      </c>
      <c r="N4719" s="464">
        <f t="shared" si="177"/>
        <v>194677</v>
      </c>
    </row>
    <row r="4720" spans="7:14" ht="11.25" customHeight="1" x14ac:dyDescent="0.3">
      <c r="G4720" s="459"/>
      <c r="H4720" s="459">
        <v>4713</v>
      </c>
      <c r="I4720" s="444">
        <f t="shared" ca="1" si="175"/>
        <v>-74268750560815.766</v>
      </c>
      <c r="J4720" s="444">
        <f t="array" ref="J4720">IFERROR(INDEX('Retirement Calculator'!K:K,MATCH('Lorri 401b'!N4720,'Retirement Calculator'!A:A,0),0),0)</f>
        <v>0</v>
      </c>
      <c r="K4720" s="444">
        <f t="shared" ca="1" si="173"/>
        <v>-309453127336.73236</v>
      </c>
      <c r="L4720" s="444">
        <f t="shared" ca="1" si="174"/>
        <v>-74578203688152.5</v>
      </c>
      <c r="M4720" s="460">
        <f t="shared" si="176"/>
        <v>0.05</v>
      </c>
      <c r="N4720" s="464">
        <f t="shared" si="177"/>
        <v>194708</v>
      </c>
    </row>
    <row r="4721" spans="7:14" ht="11.25" customHeight="1" x14ac:dyDescent="0.3">
      <c r="G4721" s="459"/>
      <c r="H4721" s="459">
        <v>4714</v>
      </c>
      <c r="I4721" s="444">
        <f t="shared" ca="1" si="175"/>
        <v>-74578203688152.5</v>
      </c>
      <c r="J4721" s="444">
        <f t="array" ref="J4721">IFERROR(INDEX('Retirement Calculator'!K:K,MATCH('Lorri 401b'!N4721,'Retirement Calculator'!A:A,0),0),0)</f>
        <v>0</v>
      </c>
      <c r="K4721" s="444">
        <f t="shared" ca="1" si="173"/>
        <v>-310742515367.30206</v>
      </c>
      <c r="L4721" s="444">
        <f t="shared" ca="1" si="174"/>
        <v>-74888946203519.797</v>
      </c>
      <c r="M4721" s="460">
        <f t="shared" si="176"/>
        <v>0.05</v>
      </c>
      <c r="N4721" s="464">
        <f t="shared" si="177"/>
        <v>194736</v>
      </c>
    </row>
    <row r="4722" spans="7:14" ht="11.25" customHeight="1" x14ac:dyDescent="0.3">
      <c r="G4722" s="459"/>
      <c r="H4722" s="459">
        <v>4715</v>
      </c>
      <c r="I4722" s="444">
        <f t="shared" ca="1" si="175"/>
        <v>-74888946203519.797</v>
      </c>
      <c r="J4722" s="444">
        <f t="array" ref="J4722">IFERROR(INDEX('Retirement Calculator'!K:K,MATCH('Lorri 401b'!N4722,'Retirement Calculator'!A:A,0),0),0)</f>
        <v>0</v>
      </c>
      <c r="K4722" s="444">
        <f t="shared" ca="1" si="173"/>
        <v>-312037275847.99915</v>
      </c>
      <c r="L4722" s="444">
        <f t="shared" ca="1" si="174"/>
        <v>-75200983479367.797</v>
      </c>
      <c r="M4722" s="460">
        <f t="shared" si="176"/>
        <v>0.05</v>
      </c>
      <c r="N4722" s="464">
        <f t="shared" si="177"/>
        <v>194767</v>
      </c>
    </row>
    <row r="4723" spans="7:14" ht="11.25" customHeight="1" x14ac:dyDescent="0.3">
      <c r="G4723" s="459"/>
      <c r="H4723" s="459">
        <v>4716</v>
      </c>
      <c r="I4723" s="444">
        <f t="shared" ca="1" si="175"/>
        <v>-75200983479367.797</v>
      </c>
      <c r="J4723" s="444">
        <f t="array" ref="J4723">IFERROR(INDEX('Retirement Calculator'!K:K,MATCH('Lorri 401b'!N4723,'Retirement Calculator'!A:A,0),0),0)</f>
        <v>0</v>
      </c>
      <c r="K4723" s="444">
        <f t="shared" ca="1" si="173"/>
        <v>-313337431164.03247</v>
      </c>
      <c r="L4723" s="444">
        <f t="shared" ca="1" si="174"/>
        <v>-75514320910531.828</v>
      </c>
      <c r="M4723" s="460">
        <f t="shared" si="176"/>
        <v>0.05</v>
      </c>
      <c r="N4723" s="464">
        <f t="shared" si="177"/>
        <v>194797</v>
      </c>
    </row>
    <row r="4724" spans="7:14" ht="11.25" customHeight="1" x14ac:dyDescent="0.3">
      <c r="G4724" s="459"/>
      <c r="H4724" s="459">
        <v>4717</v>
      </c>
      <c r="I4724" s="444">
        <f t="shared" ca="1" si="175"/>
        <v>-75514320910531.828</v>
      </c>
      <c r="J4724" s="444">
        <f t="array" ref="J4724">IFERROR(INDEX('Retirement Calculator'!K:K,MATCH('Lorri 401b'!N4724,'Retirement Calculator'!A:A,0),0),0)</f>
        <v>0</v>
      </c>
      <c r="K4724" s="444">
        <f t="shared" ca="1" si="173"/>
        <v>-314643003793.88263</v>
      </c>
      <c r="L4724" s="444">
        <f t="shared" ca="1" si="174"/>
        <v>-75828963914325.703</v>
      </c>
      <c r="M4724" s="460">
        <f t="shared" si="176"/>
        <v>0.05</v>
      </c>
      <c r="N4724" s="464">
        <f t="shared" si="177"/>
        <v>194828</v>
      </c>
    </row>
    <row r="4725" spans="7:14" ht="11.25" customHeight="1" x14ac:dyDescent="0.3">
      <c r="G4725" s="459"/>
      <c r="H4725" s="459">
        <v>4718</v>
      </c>
      <c r="I4725" s="444">
        <f t="shared" ca="1" si="175"/>
        <v>-75828963914325.703</v>
      </c>
      <c r="J4725" s="444">
        <f t="array" ref="J4725">IFERROR(INDEX('Retirement Calculator'!K:K,MATCH('Lorri 401b'!N4725,'Retirement Calculator'!A:A,0),0),0)</f>
        <v>0</v>
      </c>
      <c r="K4725" s="444">
        <f t="shared" ca="1" si="173"/>
        <v>-315954016309.69043</v>
      </c>
      <c r="L4725" s="444">
        <f t="shared" ca="1" si="174"/>
        <v>-76144917930635.391</v>
      </c>
      <c r="M4725" s="460">
        <f t="shared" si="176"/>
        <v>0.05</v>
      </c>
      <c r="N4725" s="464">
        <f t="shared" si="177"/>
        <v>194858</v>
      </c>
    </row>
    <row r="4726" spans="7:14" ht="11.25" customHeight="1" x14ac:dyDescent="0.3">
      <c r="G4726" s="459"/>
      <c r="H4726" s="459">
        <v>4719</v>
      </c>
      <c r="I4726" s="444">
        <f t="shared" ca="1" si="175"/>
        <v>-76144917930635.391</v>
      </c>
      <c r="J4726" s="444">
        <f t="array" ref="J4726">IFERROR(INDEX('Retirement Calculator'!K:K,MATCH('Lorri 401b'!N4726,'Retirement Calculator'!A:A,0),0),0)</f>
        <v>0</v>
      </c>
      <c r="K4726" s="444">
        <f t="shared" ca="1" si="173"/>
        <v>-317270491377.64746</v>
      </c>
      <c r="L4726" s="444">
        <f t="shared" ca="1" si="174"/>
        <v>-76462188422013.031</v>
      </c>
      <c r="M4726" s="460">
        <f t="shared" si="176"/>
        <v>0.05</v>
      </c>
      <c r="N4726" s="464">
        <f t="shared" si="177"/>
        <v>194889</v>
      </c>
    </row>
    <row r="4727" spans="7:14" ht="11.25" customHeight="1" x14ac:dyDescent="0.3">
      <c r="G4727" s="459"/>
      <c r="H4727" s="459">
        <v>4720</v>
      </c>
      <c r="I4727" s="444">
        <f t="shared" ca="1" si="175"/>
        <v>-76462188422013.031</v>
      </c>
      <c r="J4727" s="444">
        <f t="array" ref="J4727">IFERROR(INDEX('Retirement Calculator'!K:K,MATCH('Lorri 401b'!N4727,'Retirement Calculator'!A:A,0),0),0)</f>
        <v>0</v>
      </c>
      <c r="K4727" s="444">
        <f t="shared" ca="1" si="173"/>
        <v>-318592451758.38763</v>
      </c>
      <c r="L4727" s="444">
        <f t="shared" ca="1" si="174"/>
        <v>-76780780873771.422</v>
      </c>
      <c r="M4727" s="460">
        <f t="shared" si="176"/>
        <v>0.05</v>
      </c>
      <c r="N4727" s="464">
        <f t="shared" si="177"/>
        <v>194920</v>
      </c>
    </row>
    <row r="4728" spans="7:14" ht="11.25" customHeight="1" x14ac:dyDescent="0.3">
      <c r="G4728" s="459"/>
      <c r="H4728" s="459">
        <v>4721</v>
      </c>
      <c r="I4728" s="444">
        <f t="shared" ca="1" si="175"/>
        <v>-76780780873771.422</v>
      </c>
      <c r="J4728" s="444">
        <f t="array" ref="J4728">IFERROR(INDEX('Retirement Calculator'!K:K,MATCH('Lorri 401b'!N4728,'Retirement Calculator'!A:A,0),0),0)</f>
        <v>0</v>
      </c>
      <c r="K4728" s="444">
        <f t="shared" ca="1" si="173"/>
        <v>-319919920307.38092</v>
      </c>
      <c r="L4728" s="444">
        <f t="shared" ca="1" si="174"/>
        <v>-77100700794078.797</v>
      </c>
      <c r="M4728" s="460">
        <f t="shared" si="176"/>
        <v>0.05</v>
      </c>
      <c r="N4728" s="464">
        <f t="shared" si="177"/>
        <v>194950</v>
      </c>
    </row>
    <row r="4729" spans="7:14" ht="11.25" customHeight="1" x14ac:dyDescent="0.3">
      <c r="G4729" s="459"/>
      <c r="H4729" s="459">
        <v>4722</v>
      </c>
      <c r="I4729" s="444">
        <f t="shared" ca="1" si="175"/>
        <v>-77100700794078.797</v>
      </c>
      <c r="J4729" s="444">
        <f t="array" ref="J4729">IFERROR(INDEX('Retirement Calculator'!K:K,MATCH('Lorri 401b'!N4729,'Retirement Calculator'!A:A,0),0),0)</f>
        <v>0</v>
      </c>
      <c r="K4729" s="444">
        <f t="shared" ca="1" si="173"/>
        <v>-321252919975.32831</v>
      </c>
      <c r="L4729" s="444">
        <f t="shared" ca="1" si="174"/>
        <v>-77421953714054.125</v>
      </c>
      <c r="M4729" s="460">
        <f t="shared" si="176"/>
        <v>0.05</v>
      </c>
      <c r="N4729" s="464">
        <f t="shared" si="177"/>
        <v>194981</v>
      </c>
    </row>
    <row r="4730" spans="7:14" ht="11.25" customHeight="1" x14ac:dyDescent="0.3">
      <c r="G4730" s="459"/>
      <c r="H4730" s="459">
        <v>4723</v>
      </c>
      <c r="I4730" s="444">
        <f t="shared" ca="1" si="175"/>
        <v>-77421953714054.125</v>
      </c>
      <c r="J4730" s="444">
        <f t="array" ref="J4730">IFERROR(INDEX('Retirement Calculator'!K:K,MATCH('Lorri 401b'!N4730,'Retirement Calculator'!A:A,0),0),0)</f>
        <v>0</v>
      </c>
      <c r="K4730" s="444">
        <f t="shared" ca="1" si="173"/>
        <v>-322591473808.55884</v>
      </c>
      <c r="L4730" s="444">
        <f t="shared" ca="1" si="174"/>
        <v>-77744545187862.688</v>
      </c>
      <c r="M4730" s="460">
        <f t="shared" si="176"/>
        <v>0.05</v>
      </c>
      <c r="N4730" s="464">
        <f t="shared" si="177"/>
        <v>195011</v>
      </c>
    </row>
    <row r="4731" spans="7:14" ht="11.25" customHeight="1" x14ac:dyDescent="0.3">
      <c r="G4731" s="459"/>
      <c r="H4731" s="459">
        <v>4724</v>
      </c>
      <c r="I4731" s="444">
        <f t="shared" ca="1" si="175"/>
        <v>-77744545187862.688</v>
      </c>
      <c r="J4731" s="444">
        <f t="array" ref="J4731">IFERROR(INDEX('Retirement Calculator'!K:K,MATCH('Lorri 401b'!N4731,'Retirement Calculator'!A:A,0),0),0)</f>
        <v>0</v>
      </c>
      <c r="K4731" s="444">
        <f t="shared" ca="1" si="173"/>
        <v>-323935604949.42786</v>
      </c>
      <c r="L4731" s="444">
        <f t="shared" ca="1" si="174"/>
        <v>-78068480792812.109</v>
      </c>
      <c r="M4731" s="460">
        <f t="shared" si="176"/>
        <v>0.05</v>
      </c>
      <c r="N4731" s="464">
        <f t="shared" si="177"/>
        <v>195042</v>
      </c>
    </row>
    <row r="4732" spans="7:14" ht="11.25" customHeight="1" x14ac:dyDescent="0.3">
      <c r="G4732" s="459"/>
      <c r="H4732" s="459">
        <v>4725</v>
      </c>
      <c r="I4732" s="444">
        <f t="shared" ca="1" si="175"/>
        <v>-78068480792812.109</v>
      </c>
      <c r="J4732" s="444">
        <f t="array" ref="J4732">IFERROR(INDEX('Retirement Calculator'!K:K,MATCH('Lorri 401b'!N4732,'Retirement Calculator'!A:A,0),0),0)</f>
        <v>0</v>
      </c>
      <c r="K4732" s="444">
        <f t="shared" ca="1" si="173"/>
        <v>-325285336636.7171</v>
      </c>
      <c r="L4732" s="444">
        <f t="shared" ca="1" si="174"/>
        <v>-78393766129448.828</v>
      </c>
      <c r="M4732" s="460">
        <f t="shared" si="176"/>
        <v>0.05</v>
      </c>
      <c r="N4732" s="464">
        <f t="shared" si="177"/>
        <v>195073</v>
      </c>
    </row>
    <row r="4733" spans="7:14" ht="11.25" customHeight="1" x14ac:dyDescent="0.3">
      <c r="G4733" s="459"/>
      <c r="H4733" s="459">
        <v>4726</v>
      </c>
      <c r="I4733" s="444">
        <f t="shared" ca="1" si="175"/>
        <v>-78393766129448.828</v>
      </c>
      <c r="J4733" s="444">
        <f t="array" ref="J4733">IFERROR(INDEX('Retirement Calculator'!K:K,MATCH('Lorri 401b'!N4733,'Retirement Calculator'!A:A,0),0),0)</f>
        <v>0</v>
      </c>
      <c r="K4733" s="444">
        <f t="shared" ca="1" si="173"/>
        <v>-326640692206.0368</v>
      </c>
      <c r="L4733" s="444">
        <f t="shared" ca="1" si="174"/>
        <v>-78720406821654.859</v>
      </c>
      <c r="M4733" s="460">
        <f t="shared" si="176"/>
        <v>0.05</v>
      </c>
      <c r="N4733" s="464">
        <f t="shared" si="177"/>
        <v>195101</v>
      </c>
    </row>
    <row r="4734" spans="7:14" ht="11.25" customHeight="1" x14ac:dyDescent="0.3">
      <c r="G4734" s="459"/>
      <c r="H4734" s="459">
        <v>4727</v>
      </c>
      <c r="I4734" s="444">
        <f t="shared" ca="1" si="175"/>
        <v>-78720406821654.859</v>
      </c>
      <c r="J4734" s="444">
        <f t="array" ref="J4734">IFERROR(INDEX('Retirement Calculator'!K:K,MATCH('Lorri 401b'!N4734,'Retirement Calculator'!A:A,0),0),0)</f>
        <v>0</v>
      </c>
      <c r="K4734" s="444">
        <f t="shared" ca="1" si="173"/>
        <v>-328001695090.22858</v>
      </c>
      <c r="L4734" s="444">
        <f t="shared" ca="1" si="174"/>
        <v>-79048408516745.094</v>
      </c>
      <c r="M4734" s="460">
        <f t="shared" si="176"/>
        <v>0.05</v>
      </c>
      <c r="N4734" s="464">
        <f t="shared" si="177"/>
        <v>195132</v>
      </c>
    </row>
    <row r="4735" spans="7:14" ht="11.25" customHeight="1" x14ac:dyDescent="0.3">
      <c r="G4735" s="459"/>
      <c r="H4735" s="459">
        <v>4728</v>
      </c>
      <c r="I4735" s="444">
        <f t="shared" ca="1" si="175"/>
        <v>-79048408516745.094</v>
      </c>
      <c r="J4735" s="444">
        <f t="array" ref="J4735">IFERROR(INDEX('Retirement Calculator'!K:K,MATCH('Lorri 401b'!N4735,'Retirement Calculator'!A:A,0),0),0)</f>
        <v>0</v>
      </c>
      <c r="K4735" s="444">
        <f t="shared" ca="1" si="173"/>
        <v>-329368368819.77124</v>
      </c>
      <c r="L4735" s="444">
        <f t="shared" ca="1" si="174"/>
        <v>-79377776885564.859</v>
      </c>
      <c r="M4735" s="460">
        <f t="shared" si="176"/>
        <v>0.05</v>
      </c>
      <c r="N4735" s="464">
        <f t="shared" si="177"/>
        <v>195162</v>
      </c>
    </row>
    <row r="4736" spans="7:14" ht="11.25" customHeight="1" x14ac:dyDescent="0.3">
      <c r="G4736" s="459"/>
      <c r="H4736" s="459">
        <v>4729</v>
      </c>
      <c r="I4736" s="444">
        <f t="shared" ca="1" si="175"/>
        <v>-79377776885564.859</v>
      </c>
      <c r="J4736" s="444">
        <f t="array" ref="J4736">IFERROR(INDEX('Retirement Calculator'!K:K,MATCH('Lorri 401b'!N4736,'Retirement Calculator'!A:A,0),0),0)</f>
        <v>0</v>
      </c>
      <c r="K4736" s="444">
        <f t="shared" ca="1" si="173"/>
        <v>-330740737023.18689</v>
      </c>
      <c r="L4736" s="444">
        <f t="shared" ca="1" si="174"/>
        <v>-79708517622588.047</v>
      </c>
      <c r="M4736" s="460">
        <f t="shared" si="176"/>
        <v>0.05</v>
      </c>
      <c r="N4736" s="464">
        <f t="shared" si="177"/>
        <v>195193</v>
      </c>
    </row>
    <row r="4737" spans="7:14" ht="11.25" customHeight="1" x14ac:dyDescent="0.3">
      <c r="G4737" s="459"/>
      <c r="H4737" s="459">
        <v>4730</v>
      </c>
      <c r="I4737" s="444">
        <f t="shared" ca="1" si="175"/>
        <v>-79708517622588.047</v>
      </c>
      <c r="J4737" s="444">
        <f t="array" ref="J4737">IFERROR(INDEX('Retirement Calculator'!K:K,MATCH('Lorri 401b'!N4737,'Retirement Calculator'!A:A,0),0),0)</f>
        <v>0</v>
      </c>
      <c r="K4737" s="444">
        <f t="shared" ca="1" si="173"/>
        <v>-332118823427.4502</v>
      </c>
      <c r="L4737" s="444">
        <f t="shared" ca="1" si="174"/>
        <v>-80040636446015.5</v>
      </c>
      <c r="M4737" s="460">
        <f t="shared" si="176"/>
        <v>0.05</v>
      </c>
      <c r="N4737" s="464">
        <f t="shared" si="177"/>
        <v>195223</v>
      </c>
    </row>
    <row r="4738" spans="7:14" ht="11.25" customHeight="1" x14ac:dyDescent="0.3">
      <c r="G4738" s="459"/>
      <c r="H4738" s="459">
        <v>4731</v>
      </c>
      <c r="I4738" s="444">
        <f t="shared" ca="1" si="175"/>
        <v>-80040636446015.5</v>
      </c>
      <c r="J4738" s="444">
        <f t="array" ref="J4738">IFERROR(INDEX('Retirement Calculator'!K:K,MATCH('Lorri 401b'!N4738,'Retirement Calculator'!A:A,0),0),0)</f>
        <v>0</v>
      </c>
      <c r="K4738" s="444">
        <f t="shared" ca="1" si="173"/>
        <v>-333502651858.39789</v>
      </c>
      <c r="L4738" s="444">
        <f t="shared" ca="1" si="174"/>
        <v>-80374139097873.891</v>
      </c>
      <c r="M4738" s="460">
        <f t="shared" si="176"/>
        <v>0.05</v>
      </c>
      <c r="N4738" s="464">
        <f t="shared" si="177"/>
        <v>195254</v>
      </c>
    </row>
    <row r="4739" spans="7:14" ht="11.25" customHeight="1" x14ac:dyDescent="0.3">
      <c r="G4739" s="459"/>
      <c r="H4739" s="459">
        <v>4732</v>
      </c>
      <c r="I4739" s="444">
        <f t="shared" ca="1" si="175"/>
        <v>-80374139097873.891</v>
      </c>
      <c r="J4739" s="444">
        <f t="array" ref="J4739">IFERROR(INDEX('Retirement Calculator'!K:K,MATCH('Lorri 401b'!N4739,'Retirement Calculator'!A:A,0),0),0)</f>
        <v>0</v>
      </c>
      <c r="K4739" s="444">
        <f t="shared" ca="1" si="173"/>
        <v>-334892246241.14124</v>
      </c>
      <c r="L4739" s="444">
        <f t="shared" ca="1" si="174"/>
        <v>-80709031344115.031</v>
      </c>
      <c r="M4739" s="460">
        <f t="shared" si="176"/>
        <v>0.05</v>
      </c>
      <c r="N4739" s="464">
        <f t="shared" si="177"/>
        <v>195285</v>
      </c>
    </row>
    <row r="4740" spans="7:14" ht="11.25" customHeight="1" x14ac:dyDescent="0.3">
      <c r="G4740" s="459"/>
      <c r="H4740" s="459">
        <v>4733</v>
      </c>
      <c r="I4740" s="444">
        <f t="shared" ca="1" si="175"/>
        <v>-80709031344115.031</v>
      </c>
      <c r="J4740" s="444">
        <f t="array" ref="J4740">IFERROR(INDEX('Retirement Calculator'!K:K,MATCH('Lorri 401b'!N4740,'Retirement Calculator'!A:A,0),0),0)</f>
        <v>0</v>
      </c>
      <c r="K4740" s="444">
        <f t="shared" ca="1" si="173"/>
        <v>-336287630600.47931</v>
      </c>
      <c r="L4740" s="444">
        <f t="shared" ca="1" si="174"/>
        <v>-81045318974715.516</v>
      </c>
      <c r="M4740" s="460">
        <f t="shared" si="176"/>
        <v>0.05</v>
      </c>
      <c r="N4740" s="464">
        <f t="shared" si="177"/>
        <v>195315</v>
      </c>
    </row>
    <row r="4741" spans="7:14" ht="11.25" customHeight="1" x14ac:dyDescent="0.3">
      <c r="G4741" s="459"/>
      <c r="H4741" s="459">
        <v>4734</v>
      </c>
      <c r="I4741" s="444">
        <f t="shared" ca="1" si="175"/>
        <v>-81045318974715.516</v>
      </c>
      <c r="J4741" s="444">
        <f t="array" ref="J4741">IFERROR(INDEX('Retirement Calculator'!K:K,MATCH('Lorri 401b'!N4741,'Retirement Calculator'!A:A,0),0),0)</f>
        <v>0</v>
      </c>
      <c r="K4741" s="444">
        <f t="shared" ca="1" si="173"/>
        <v>-337688829061.31464</v>
      </c>
      <c r="L4741" s="444">
        <f t="shared" ca="1" si="174"/>
        <v>-81383007803776.828</v>
      </c>
      <c r="M4741" s="460">
        <f t="shared" si="176"/>
        <v>0.05</v>
      </c>
      <c r="N4741" s="464">
        <f t="shared" si="177"/>
        <v>195346</v>
      </c>
    </row>
    <row r="4742" spans="7:14" ht="11.25" customHeight="1" x14ac:dyDescent="0.3">
      <c r="G4742" s="459"/>
      <c r="H4742" s="459">
        <v>4735</v>
      </c>
      <c r="I4742" s="444">
        <f t="shared" ca="1" si="175"/>
        <v>-81383007803776.828</v>
      </c>
      <c r="J4742" s="444">
        <f t="array" ref="J4742">IFERROR(INDEX('Retirement Calculator'!K:K,MATCH('Lorri 401b'!N4742,'Retirement Calculator'!A:A,0),0),0)</f>
        <v>0</v>
      </c>
      <c r="K4742" s="444">
        <f t="shared" ca="1" si="173"/>
        <v>-339095865849.07013</v>
      </c>
      <c r="L4742" s="444">
        <f t="shared" ca="1" si="174"/>
        <v>-81722103669625.891</v>
      </c>
      <c r="M4742" s="460">
        <f t="shared" si="176"/>
        <v>0.05</v>
      </c>
      <c r="N4742" s="464">
        <f t="shared" si="177"/>
        <v>195376</v>
      </c>
    </row>
    <row r="4743" spans="7:14" ht="11.25" customHeight="1" x14ac:dyDescent="0.3">
      <c r="G4743" s="459"/>
      <c r="H4743" s="459">
        <v>4736</v>
      </c>
      <c r="I4743" s="444">
        <f t="shared" ca="1" si="175"/>
        <v>-81722103669625.891</v>
      </c>
      <c r="J4743" s="444">
        <f t="array" ref="J4743">IFERROR(INDEX('Retirement Calculator'!K:K,MATCH('Lorri 401b'!N4743,'Retirement Calculator'!A:A,0),0),0)</f>
        <v>0</v>
      </c>
      <c r="K4743" s="444">
        <f t="shared" ca="1" si="173"/>
        <v>-340508765290.10785</v>
      </c>
      <c r="L4743" s="444">
        <f t="shared" ca="1" si="174"/>
        <v>-82062612434916</v>
      </c>
      <c r="M4743" s="460">
        <f t="shared" si="176"/>
        <v>0.05</v>
      </c>
      <c r="N4743" s="464">
        <f t="shared" si="177"/>
        <v>195407</v>
      </c>
    </row>
    <row r="4744" spans="7:14" ht="11.25" customHeight="1" x14ac:dyDescent="0.3">
      <c r="G4744" s="459"/>
      <c r="H4744" s="459">
        <v>4737</v>
      </c>
      <c r="I4744" s="444">
        <f t="shared" ca="1" si="175"/>
        <v>-82062612434916</v>
      </c>
      <c r="J4744" s="444">
        <f t="array" ref="J4744">IFERROR(INDEX('Retirement Calculator'!K:K,MATCH('Lorri 401b'!N4744,'Retirement Calculator'!A:A,0),0),0)</f>
        <v>0</v>
      </c>
      <c r="K4744" s="444">
        <f t="shared" ca="1" si="173"/>
        <v>-341927551812.15002</v>
      </c>
      <c r="L4744" s="444">
        <f t="shared" ca="1" si="174"/>
        <v>-82404539986728.156</v>
      </c>
      <c r="M4744" s="460">
        <f t="shared" si="176"/>
        <v>0.05</v>
      </c>
      <c r="N4744" s="464">
        <f t="shared" si="177"/>
        <v>195438</v>
      </c>
    </row>
    <row r="4745" spans="7:14" ht="11.25" customHeight="1" x14ac:dyDescent="0.3">
      <c r="G4745" s="459"/>
      <c r="H4745" s="459">
        <v>4738</v>
      </c>
      <c r="I4745" s="444">
        <f t="shared" ca="1" si="175"/>
        <v>-82404539986728.156</v>
      </c>
      <c r="J4745" s="444">
        <f t="array" ref="J4745">IFERROR(INDEX('Retirement Calculator'!K:K,MATCH('Lorri 401b'!N4745,'Retirement Calculator'!A:A,0),0),0)</f>
        <v>0</v>
      </c>
      <c r="K4745" s="444">
        <f t="shared" ca="1" si="173"/>
        <v>-343352249944.70062</v>
      </c>
      <c r="L4745" s="444">
        <f t="shared" ca="1" si="174"/>
        <v>-82747892236672.859</v>
      </c>
      <c r="M4745" s="460">
        <f t="shared" si="176"/>
        <v>0.05</v>
      </c>
      <c r="N4745" s="464">
        <f t="shared" si="177"/>
        <v>195466</v>
      </c>
    </row>
    <row r="4746" spans="7:14" ht="11.25" customHeight="1" x14ac:dyDescent="0.3">
      <c r="G4746" s="459"/>
      <c r="H4746" s="459">
        <v>4739</v>
      </c>
      <c r="I4746" s="444">
        <f t="shared" ca="1" si="175"/>
        <v>-82747892236672.859</v>
      </c>
      <c r="J4746" s="444">
        <f t="array" ref="J4746">IFERROR(INDEX('Retirement Calculator'!K:K,MATCH('Lorri 401b'!N4746,'Retirement Calculator'!A:A,0),0),0)</f>
        <v>0</v>
      </c>
      <c r="K4746" s="444">
        <f t="shared" ca="1" si="173"/>
        <v>-344782884319.47021</v>
      </c>
      <c r="L4746" s="444">
        <f t="shared" ca="1" si="174"/>
        <v>-83092675120992.328</v>
      </c>
      <c r="M4746" s="460">
        <f t="shared" si="176"/>
        <v>0.05</v>
      </c>
      <c r="N4746" s="464">
        <f t="shared" si="177"/>
        <v>195497</v>
      </c>
    </row>
    <row r="4747" spans="7:14" ht="11.25" customHeight="1" x14ac:dyDescent="0.3">
      <c r="G4747" s="459"/>
      <c r="H4747" s="459">
        <v>4740</v>
      </c>
      <c r="I4747" s="444">
        <f t="shared" ca="1" si="175"/>
        <v>-83092675120992.328</v>
      </c>
      <c r="J4747" s="444">
        <f t="array" ref="J4747">IFERROR(INDEX('Retirement Calculator'!K:K,MATCH('Lorri 401b'!N4747,'Retirement Calculator'!A:A,0),0),0)</f>
        <v>0</v>
      </c>
      <c r="K4747" s="444">
        <f t="shared" ca="1" si="173"/>
        <v>-346219479670.80139</v>
      </c>
      <c r="L4747" s="444">
        <f t="shared" ca="1" si="174"/>
        <v>-83438894600663.125</v>
      </c>
      <c r="M4747" s="460">
        <f t="shared" si="176"/>
        <v>0.05</v>
      </c>
      <c r="N4747" s="464">
        <f t="shared" si="177"/>
        <v>195527</v>
      </c>
    </row>
    <row r="4748" spans="7:14" ht="11.25" customHeight="1" x14ac:dyDescent="0.3">
      <c r="G4748" s="459"/>
      <c r="H4748" s="459">
        <v>4741</v>
      </c>
      <c r="I4748" s="444">
        <f t="shared" ca="1" si="175"/>
        <v>-83438894600663.125</v>
      </c>
      <c r="J4748" s="444">
        <f t="array" ref="J4748">IFERROR(INDEX('Retirement Calculator'!K:K,MATCH('Lorri 401b'!N4748,'Retirement Calculator'!A:A,0),0),0)</f>
        <v>0</v>
      </c>
      <c r="K4748" s="444">
        <f t="shared" ca="1" si="173"/>
        <v>-347662060836.09637</v>
      </c>
      <c r="L4748" s="444">
        <f t="shared" ca="1" si="174"/>
        <v>-83786556661499.219</v>
      </c>
      <c r="M4748" s="460">
        <f t="shared" si="176"/>
        <v>0.05</v>
      </c>
      <c r="N4748" s="464">
        <f t="shared" si="177"/>
        <v>195558</v>
      </c>
    </row>
    <row r="4749" spans="7:14" ht="11.25" customHeight="1" x14ac:dyDescent="0.3">
      <c r="G4749" s="459"/>
      <c r="H4749" s="459">
        <v>4742</v>
      </c>
      <c r="I4749" s="444">
        <f t="shared" ca="1" si="175"/>
        <v>-83786556661499.219</v>
      </c>
      <c r="J4749" s="444">
        <f t="array" ref="J4749">IFERROR(INDEX('Retirement Calculator'!K:K,MATCH('Lorri 401b'!N4749,'Retirement Calculator'!A:A,0),0),0)</f>
        <v>0</v>
      </c>
      <c r="K4749" s="444">
        <f t="shared" ca="1" si="173"/>
        <v>-349110652756.24677</v>
      </c>
      <c r="L4749" s="444">
        <f t="shared" ca="1" si="174"/>
        <v>-84135667314255.469</v>
      </c>
      <c r="M4749" s="460">
        <f t="shared" si="176"/>
        <v>0.05</v>
      </c>
      <c r="N4749" s="464">
        <f t="shared" si="177"/>
        <v>195588</v>
      </c>
    </row>
    <row r="4750" spans="7:14" ht="11.25" customHeight="1" x14ac:dyDescent="0.3">
      <c r="G4750" s="459"/>
      <c r="H4750" s="459">
        <v>4743</v>
      </c>
      <c r="I4750" s="444">
        <f t="shared" ca="1" si="175"/>
        <v>-84135667314255.469</v>
      </c>
      <c r="J4750" s="444">
        <f t="array" ref="J4750">IFERROR(INDEX('Retirement Calculator'!K:K,MATCH('Lorri 401b'!N4750,'Retirement Calculator'!A:A,0),0),0)</f>
        <v>0</v>
      </c>
      <c r="K4750" s="444">
        <f t="shared" ca="1" si="173"/>
        <v>-350565280476.06445</v>
      </c>
      <c r="L4750" s="444">
        <f t="shared" ca="1" si="174"/>
        <v>-84486232594731.531</v>
      </c>
      <c r="M4750" s="460">
        <f t="shared" si="176"/>
        <v>0.05</v>
      </c>
      <c r="N4750" s="464">
        <f t="shared" si="177"/>
        <v>195619</v>
      </c>
    </row>
    <row r="4751" spans="7:14" ht="11.25" customHeight="1" x14ac:dyDescent="0.3">
      <c r="G4751" s="459"/>
      <c r="H4751" s="459">
        <v>4744</v>
      </c>
      <c r="I4751" s="444">
        <f t="shared" ca="1" si="175"/>
        <v>-84486232594731.531</v>
      </c>
      <c r="J4751" s="444">
        <f t="array" ref="J4751">IFERROR(INDEX('Retirement Calculator'!K:K,MATCH('Lorri 401b'!N4751,'Retirement Calculator'!A:A,0),0),0)</f>
        <v>0</v>
      </c>
      <c r="K4751" s="444">
        <f t="shared" ca="1" si="173"/>
        <v>-352025969144.71472</v>
      </c>
      <c r="L4751" s="444">
        <f t="shared" ca="1" si="174"/>
        <v>-84838258563876.25</v>
      </c>
      <c r="M4751" s="460">
        <f t="shared" si="176"/>
        <v>0.05</v>
      </c>
      <c r="N4751" s="464">
        <f t="shared" si="177"/>
        <v>195650</v>
      </c>
    </row>
    <row r="4752" spans="7:14" ht="11.25" customHeight="1" x14ac:dyDescent="0.3">
      <c r="G4752" s="459"/>
      <c r="H4752" s="459">
        <v>4745</v>
      </c>
      <c r="I4752" s="444">
        <f t="shared" ca="1" si="175"/>
        <v>-84838258563876.25</v>
      </c>
      <c r="J4752" s="444">
        <f t="array" ref="J4752">IFERROR(INDEX('Retirement Calculator'!K:K,MATCH('Lorri 401b'!N4752,'Retirement Calculator'!A:A,0),0),0)</f>
        <v>0</v>
      </c>
      <c r="K4752" s="444">
        <f t="shared" ca="1" si="173"/>
        <v>-353492744016.15106</v>
      </c>
      <c r="L4752" s="444">
        <f t="shared" ca="1" si="174"/>
        <v>-85191751307892.406</v>
      </c>
      <c r="M4752" s="460">
        <f t="shared" si="176"/>
        <v>0.05</v>
      </c>
      <c r="N4752" s="464">
        <f t="shared" si="177"/>
        <v>195680</v>
      </c>
    </row>
    <row r="4753" spans="7:14" ht="11.25" customHeight="1" x14ac:dyDescent="0.3">
      <c r="G4753" s="459"/>
      <c r="H4753" s="459">
        <v>4746</v>
      </c>
      <c r="I4753" s="444">
        <f t="shared" ca="1" si="175"/>
        <v>-85191751307892.406</v>
      </c>
      <c r="J4753" s="444">
        <f t="array" ref="J4753">IFERROR(INDEX('Retirement Calculator'!K:K,MATCH('Lorri 401b'!N4753,'Retirement Calculator'!A:A,0),0),0)</f>
        <v>0</v>
      </c>
      <c r="K4753" s="444">
        <f t="shared" ca="1" si="173"/>
        <v>-354965630449.5517</v>
      </c>
      <c r="L4753" s="444">
        <f t="shared" ca="1" si="174"/>
        <v>-85546716938341.953</v>
      </c>
      <c r="M4753" s="460">
        <f t="shared" si="176"/>
        <v>0.05</v>
      </c>
      <c r="N4753" s="464">
        <f t="shared" si="177"/>
        <v>195711</v>
      </c>
    </row>
    <row r="4754" spans="7:14" ht="11.25" customHeight="1" x14ac:dyDescent="0.3">
      <c r="G4754" s="459"/>
      <c r="H4754" s="459">
        <v>4747</v>
      </c>
      <c r="I4754" s="444">
        <f t="shared" ca="1" si="175"/>
        <v>-85546716938341.953</v>
      </c>
      <c r="J4754" s="444">
        <f t="array" ref="J4754">IFERROR(INDEX('Retirement Calculator'!K:K,MATCH('Lorri 401b'!N4754,'Retirement Calculator'!A:A,0),0),0)</f>
        <v>0</v>
      </c>
      <c r="K4754" s="444">
        <f t="shared" ca="1" si="173"/>
        <v>-356444653909.75812</v>
      </c>
      <c r="L4754" s="444">
        <f t="shared" ca="1" si="174"/>
        <v>-85903161592251.719</v>
      </c>
      <c r="M4754" s="460">
        <f t="shared" si="176"/>
        <v>0.05</v>
      </c>
      <c r="N4754" s="464">
        <f t="shared" si="177"/>
        <v>195741</v>
      </c>
    </row>
    <row r="4755" spans="7:14" ht="11.25" customHeight="1" x14ac:dyDescent="0.3">
      <c r="G4755" s="459"/>
      <c r="H4755" s="459">
        <v>4748</v>
      </c>
      <c r="I4755" s="444">
        <f t="shared" ca="1" si="175"/>
        <v>-85903161592251.719</v>
      </c>
      <c r="J4755" s="444">
        <f t="array" ref="J4755">IFERROR(INDEX('Retirement Calculator'!K:K,MATCH('Lorri 401b'!N4755,'Retirement Calculator'!A:A,0),0),0)</f>
        <v>0</v>
      </c>
      <c r="K4755" s="444">
        <f t="shared" ca="1" si="173"/>
        <v>-357929839967.71552</v>
      </c>
      <c r="L4755" s="444">
        <f t="shared" ca="1" si="174"/>
        <v>-86261091432219.438</v>
      </c>
      <c r="M4755" s="460">
        <f t="shared" si="176"/>
        <v>0.05</v>
      </c>
      <c r="N4755" s="464">
        <f t="shared" si="177"/>
        <v>195772</v>
      </c>
    </row>
    <row r="4756" spans="7:14" ht="11.25" customHeight="1" x14ac:dyDescent="0.3">
      <c r="G4756" s="459"/>
      <c r="H4756" s="459">
        <v>4749</v>
      </c>
      <c r="I4756" s="444">
        <f t="shared" ca="1" si="175"/>
        <v>-86261091432219.438</v>
      </c>
      <c r="J4756" s="444">
        <f t="array" ref="J4756">IFERROR(INDEX('Retirement Calculator'!K:K,MATCH('Lorri 401b'!N4756,'Retirement Calculator'!A:A,0),0),0)</f>
        <v>0</v>
      </c>
      <c r="K4756" s="444">
        <f t="shared" ca="1" si="173"/>
        <v>-359421214300.91431</v>
      </c>
      <c r="L4756" s="444">
        <f t="shared" ca="1" si="174"/>
        <v>-86620512646520.359</v>
      </c>
      <c r="M4756" s="460">
        <f t="shared" si="176"/>
        <v>0.05</v>
      </c>
      <c r="N4756" s="464">
        <f t="shared" si="177"/>
        <v>195803</v>
      </c>
    </row>
    <row r="4757" spans="7:14" ht="11.25" customHeight="1" x14ac:dyDescent="0.3">
      <c r="G4757" s="459"/>
      <c r="H4757" s="459">
        <v>4750</v>
      </c>
      <c r="I4757" s="444">
        <f t="shared" ca="1" si="175"/>
        <v>-86620512646520.359</v>
      </c>
      <c r="J4757" s="444">
        <f t="array" ref="J4757">IFERROR(INDEX('Retirement Calculator'!K:K,MATCH('Lorri 401b'!N4757,'Retirement Calculator'!A:A,0),0),0)</f>
        <v>0</v>
      </c>
      <c r="K4757" s="444">
        <f t="shared" ca="1" si="173"/>
        <v>-360918802693.83484</v>
      </c>
      <c r="L4757" s="444">
        <f t="shared" ca="1" si="174"/>
        <v>-86981431449214.188</v>
      </c>
      <c r="M4757" s="460">
        <f t="shared" si="176"/>
        <v>0.05</v>
      </c>
      <c r="N4757" s="464">
        <f t="shared" si="177"/>
        <v>195832</v>
      </c>
    </row>
    <row r="4758" spans="7:14" ht="11.25" customHeight="1" x14ac:dyDescent="0.3">
      <c r="G4758" s="459"/>
      <c r="H4758" s="459">
        <v>4751</v>
      </c>
      <c r="I4758" s="444">
        <f t="shared" ca="1" si="175"/>
        <v>-86981431449214.188</v>
      </c>
      <c r="J4758" s="444">
        <f t="array" ref="J4758">IFERROR(INDEX('Retirement Calculator'!K:K,MATCH('Lorri 401b'!N4758,'Retirement Calculator'!A:A,0),0),0)</f>
        <v>0</v>
      </c>
      <c r="K4758" s="444">
        <f t="shared" ca="1" si="173"/>
        <v>-362422631038.39246</v>
      </c>
      <c r="L4758" s="444">
        <f t="shared" ca="1" si="174"/>
        <v>-87343854080252.578</v>
      </c>
      <c r="M4758" s="460">
        <f t="shared" si="176"/>
        <v>0.05</v>
      </c>
      <c r="N4758" s="464">
        <f t="shared" si="177"/>
        <v>195863</v>
      </c>
    </row>
    <row r="4759" spans="7:14" ht="11.25" customHeight="1" x14ac:dyDescent="0.3">
      <c r="G4759" s="459"/>
      <c r="H4759" s="459">
        <v>4752</v>
      </c>
      <c r="I4759" s="444">
        <f t="shared" ca="1" si="175"/>
        <v>-87343854080252.578</v>
      </c>
      <c r="J4759" s="444">
        <f t="array" ref="J4759">IFERROR(INDEX('Retirement Calculator'!K:K,MATCH('Lorri 401b'!N4759,'Retirement Calculator'!A:A,0),0),0)</f>
        <v>0</v>
      </c>
      <c r="K4759" s="444">
        <f t="shared" ca="1" si="173"/>
        <v>-363932725334.38574</v>
      </c>
      <c r="L4759" s="444">
        <f t="shared" ca="1" si="174"/>
        <v>-87707786805586.969</v>
      </c>
      <c r="M4759" s="460">
        <f t="shared" si="176"/>
        <v>0.05</v>
      </c>
      <c r="N4759" s="464">
        <f t="shared" si="177"/>
        <v>195893</v>
      </c>
    </row>
    <row r="4760" spans="7:14" ht="11.25" customHeight="1" x14ac:dyDescent="0.3">
      <c r="G4760" s="459"/>
      <c r="H4760" s="459">
        <v>4753</v>
      </c>
      <c r="I4760" s="444">
        <f t="shared" ca="1" si="175"/>
        <v>-87707786805586.969</v>
      </c>
      <c r="J4760" s="444">
        <f t="array" ref="J4760">IFERROR(INDEX('Retirement Calculator'!K:K,MATCH('Lorri 401b'!N4760,'Retirement Calculator'!A:A,0),0),0)</f>
        <v>0</v>
      </c>
      <c r="K4760" s="444">
        <f t="shared" ca="1" si="173"/>
        <v>-365449111689.94568</v>
      </c>
      <c r="L4760" s="444">
        <f t="shared" ca="1" si="174"/>
        <v>-88073235917276.922</v>
      </c>
      <c r="M4760" s="460">
        <f t="shared" si="176"/>
        <v>0.05</v>
      </c>
      <c r="N4760" s="464">
        <f t="shared" si="177"/>
        <v>195924</v>
      </c>
    </row>
    <row r="4761" spans="7:14" ht="11.25" customHeight="1" x14ac:dyDescent="0.3">
      <c r="G4761" s="459"/>
      <c r="H4761" s="459">
        <v>4754</v>
      </c>
      <c r="I4761" s="444">
        <f t="shared" ca="1" si="175"/>
        <v>-88073235917276.922</v>
      </c>
      <c r="J4761" s="444">
        <f t="array" ref="J4761">IFERROR(INDEX('Retirement Calculator'!K:K,MATCH('Lorri 401b'!N4761,'Retirement Calculator'!A:A,0),0),0)</f>
        <v>0</v>
      </c>
      <c r="K4761" s="444">
        <f t="shared" ca="1" si="173"/>
        <v>-366971816321.98718</v>
      </c>
      <c r="L4761" s="444">
        <f t="shared" ca="1" si="174"/>
        <v>-88440207733598.906</v>
      </c>
      <c r="M4761" s="460">
        <f t="shared" si="176"/>
        <v>0.05</v>
      </c>
      <c r="N4761" s="464">
        <f t="shared" si="177"/>
        <v>195954</v>
      </c>
    </row>
    <row r="4762" spans="7:14" ht="11.25" customHeight="1" x14ac:dyDescent="0.3">
      <c r="G4762" s="459"/>
      <c r="H4762" s="459">
        <v>4755</v>
      </c>
      <c r="I4762" s="444">
        <f t="shared" ca="1" si="175"/>
        <v>-88440207733598.906</v>
      </c>
      <c r="J4762" s="444">
        <f t="array" ref="J4762">IFERROR(INDEX('Retirement Calculator'!K:K,MATCH('Lorri 401b'!N4762,'Retirement Calculator'!A:A,0),0),0)</f>
        <v>0</v>
      </c>
      <c r="K4762" s="444">
        <f t="shared" ca="1" si="173"/>
        <v>-368500865556.66211</v>
      </c>
      <c r="L4762" s="444">
        <f t="shared" ca="1" si="174"/>
        <v>-88808708599155.563</v>
      </c>
      <c r="M4762" s="460">
        <f t="shared" si="176"/>
        <v>0.05</v>
      </c>
      <c r="N4762" s="464">
        <f t="shared" si="177"/>
        <v>195985</v>
      </c>
    </row>
    <row r="4763" spans="7:14" ht="11.25" customHeight="1" x14ac:dyDescent="0.3">
      <c r="G4763" s="459"/>
      <c r="H4763" s="459">
        <v>4756</v>
      </c>
      <c r="I4763" s="444">
        <f t="shared" ca="1" si="175"/>
        <v>-88808708599155.563</v>
      </c>
      <c r="J4763" s="444">
        <f t="array" ref="J4763">IFERROR(INDEX('Retirement Calculator'!K:K,MATCH('Lorri 401b'!N4763,'Retirement Calculator'!A:A,0),0),0)</f>
        <v>0</v>
      </c>
      <c r="K4763" s="444">
        <f t="shared" ca="1" si="173"/>
        <v>-370036285829.81482</v>
      </c>
      <c r="L4763" s="444">
        <f t="shared" ca="1" si="174"/>
        <v>-89178744884985.375</v>
      </c>
      <c r="M4763" s="460">
        <f t="shared" si="176"/>
        <v>0.05</v>
      </c>
      <c r="N4763" s="464">
        <f t="shared" si="177"/>
        <v>196016</v>
      </c>
    </row>
    <row r="4764" spans="7:14" ht="11.25" customHeight="1" x14ac:dyDescent="0.3">
      <c r="G4764" s="459"/>
      <c r="H4764" s="459">
        <v>4757</v>
      </c>
      <c r="I4764" s="444">
        <f t="shared" ca="1" si="175"/>
        <v>-89178744884985.375</v>
      </c>
      <c r="J4764" s="444">
        <f t="array" ref="J4764">IFERROR(INDEX('Retirement Calculator'!K:K,MATCH('Lorri 401b'!N4764,'Retirement Calculator'!A:A,0),0),0)</f>
        <v>0</v>
      </c>
      <c r="K4764" s="444">
        <f t="shared" ca="1" si="173"/>
        <v>-371578103687.43909</v>
      </c>
      <c r="L4764" s="444">
        <f t="shared" ca="1" si="174"/>
        <v>-89550322988672.813</v>
      </c>
      <c r="M4764" s="460">
        <f t="shared" si="176"/>
        <v>0.05</v>
      </c>
      <c r="N4764" s="464">
        <f t="shared" si="177"/>
        <v>196046</v>
      </c>
    </row>
    <row r="4765" spans="7:14" ht="11.25" customHeight="1" x14ac:dyDescent="0.3">
      <c r="G4765" s="459"/>
      <c r="H4765" s="459">
        <v>4758</v>
      </c>
      <c r="I4765" s="444">
        <f t="shared" ca="1" si="175"/>
        <v>-89550322988672.813</v>
      </c>
      <c r="J4765" s="444">
        <f t="array" ref="J4765">IFERROR(INDEX('Retirement Calculator'!K:K,MATCH('Lorri 401b'!N4765,'Retirement Calculator'!A:A,0),0),0)</f>
        <v>0</v>
      </c>
      <c r="K4765" s="444">
        <f t="shared" ca="1" si="173"/>
        <v>-373126345786.13672</v>
      </c>
      <c r="L4765" s="444">
        <f t="shared" ca="1" si="174"/>
        <v>-89923449334458.953</v>
      </c>
      <c r="M4765" s="460">
        <f t="shared" si="176"/>
        <v>0.05</v>
      </c>
      <c r="N4765" s="464">
        <f t="shared" si="177"/>
        <v>196077</v>
      </c>
    </row>
    <row r="4766" spans="7:14" ht="11.25" customHeight="1" x14ac:dyDescent="0.3">
      <c r="G4766" s="459"/>
      <c r="H4766" s="459">
        <v>4759</v>
      </c>
      <c r="I4766" s="444">
        <f t="shared" ca="1" si="175"/>
        <v>-89923449334458.953</v>
      </c>
      <c r="J4766" s="444">
        <f t="array" ref="J4766">IFERROR(INDEX('Retirement Calculator'!K:K,MATCH('Lorri 401b'!N4766,'Retirement Calculator'!A:A,0),0),0)</f>
        <v>0</v>
      </c>
      <c r="K4766" s="444">
        <f t="shared" ca="1" si="173"/>
        <v>-374681038893.57898</v>
      </c>
      <c r="L4766" s="444">
        <f t="shared" ca="1" si="174"/>
        <v>-90298130373352.531</v>
      </c>
      <c r="M4766" s="460">
        <f t="shared" si="176"/>
        <v>0.05</v>
      </c>
      <c r="N4766" s="464">
        <f t="shared" si="177"/>
        <v>196107</v>
      </c>
    </row>
    <row r="4767" spans="7:14" ht="11.25" customHeight="1" x14ac:dyDescent="0.3">
      <c r="G4767" s="459"/>
      <c r="H4767" s="459">
        <v>4760</v>
      </c>
      <c r="I4767" s="444">
        <f t="shared" ca="1" si="175"/>
        <v>-90298130373352.531</v>
      </c>
      <c r="J4767" s="444">
        <f t="array" ref="J4767">IFERROR(INDEX('Retirement Calculator'!K:K,MATCH('Lorri 401b'!N4767,'Retirement Calculator'!A:A,0),0),0)</f>
        <v>0</v>
      </c>
      <c r="K4767" s="444">
        <f t="shared" ca="1" si="173"/>
        <v>-376242209888.96887</v>
      </c>
      <c r="L4767" s="444">
        <f t="shared" ca="1" si="174"/>
        <v>-90674372583241.5</v>
      </c>
      <c r="M4767" s="460">
        <f t="shared" si="176"/>
        <v>0.05</v>
      </c>
      <c r="N4767" s="464">
        <f t="shared" si="177"/>
        <v>196138</v>
      </c>
    </row>
    <row r="4768" spans="7:14" ht="11.25" customHeight="1" x14ac:dyDescent="0.3">
      <c r="G4768" s="459"/>
      <c r="H4768" s="459">
        <v>4761</v>
      </c>
      <c r="I4768" s="444">
        <f t="shared" ca="1" si="175"/>
        <v>-90674372583241.5</v>
      </c>
      <c r="J4768" s="444">
        <f t="array" ref="J4768">IFERROR(INDEX('Retirement Calculator'!K:K,MATCH('Lorri 401b'!N4768,'Retirement Calculator'!A:A,0),0),0)</f>
        <v>0</v>
      </c>
      <c r="K4768" s="444">
        <f t="shared" ca="1" si="173"/>
        <v>-377809885763.50623</v>
      </c>
      <c r="L4768" s="444">
        <f t="shared" ca="1" si="174"/>
        <v>-91052182469005</v>
      </c>
      <c r="M4768" s="460">
        <f t="shared" si="176"/>
        <v>0.05</v>
      </c>
      <c r="N4768" s="464">
        <f t="shared" si="177"/>
        <v>196169</v>
      </c>
    </row>
    <row r="4769" spans="7:14" ht="11.25" customHeight="1" x14ac:dyDescent="0.3">
      <c r="G4769" s="459"/>
      <c r="H4769" s="459">
        <v>4762</v>
      </c>
      <c r="I4769" s="444">
        <f t="shared" ca="1" si="175"/>
        <v>-91052182469005</v>
      </c>
      <c r="J4769" s="444">
        <f t="array" ref="J4769">IFERROR(INDEX('Retirement Calculator'!K:K,MATCH('Lorri 401b'!N4769,'Retirement Calculator'!A:A,0),0),0)</f>
        <v>0</v>
      </c>
      <c r="K4769" s="444">
        <f t="shared" ca="1" si="173"/>
        <v>-379384093620.85419</v>
      </c>
      <c r="L4769" s="444">
        <f t="shared" ca="1" si="174"/>
        <v>-91431566562625.859</v>
      </c>
      <c r="M4769" s="460">
        <f t="shared" si="176"/>
        <v>0.05</v>
      </c>
      <c r="N4769" s="464">
        <f t="shared" si="177"/>
        <v>196197</v>
      </c>
    </row>
    <row r="4770" spans="7:14" ht="11.25" customHeight="1" x14ac:dyDescent="0.3">
      <c r="G4770" s="459"/>
      <c r="H4770" s="459">
        <v>4763</v>
      </c>
      <c r="I4770" s="444">
        <f t="shared" ca="1" si="175"/>
        <v>-91431566562625.859</v>
      </c>
      <c r="J4770" s="444">
        <f t="array" ref="J4770">IFERROR(INDEX('Retirement Calculator'!K:K,MATCH('Lorri 401b'!N4770,'Retirement Calculator'!A:A,0),0),0)</f>
        <v>0</v>
      </c>
      <c r="K4770" s="444">
        <f t="shared" ca="1" si="173"/>
        <v>-380964860677.60773</v>
      </c>
      <c r="L4770" s="444">
        <f t="shared" ca="1" si="174"/>
        <v>-91812531423303.469</v>
      </c>
      <c r="M4770" s="460">
        <f t="shared" si="176"/>
        <v>0.05</v>
      </c>
      <c r="N4770" s="464">
        <f t="shared" si="177"/>
        <v>196228</v>
      </c>
    </row>
    <row r="4771" spans="7:14" ht="11.25" customHeight="1" x14ac:dyDescent="0.3">
      <c r="G4771" s="459"/>
      <c r="H4771" s="459">
        <v>4764</v>
      </c>
      <c r="I4771" s="444">
        <f t="shared" ca="1" si="175"/>
        <v>-91812531423303.469</v>
      </c>
      <c r="J4771" s="444">
        <f t="array" ref="J4771">IFERROR(INDEX('Retirement Calculator'!K:K,MATCH('Lorri 401b'!N4771,'Retirement Calculator'!A:A,0),0),0)</f>
        <v>0</v>
      </c>
      <c r="K4771" s="444">
        <f t="shared" ca="1" si="173"/>
        <v>-382552214263.76447</v>
      </c>
      <c r="L4771" s="444">
        <f t="shared" ca="1" si="174"/>
        <v>-92195083637567.234</v>
      </c>
      <c r="M4771" s="460">
        <f t="shared" si="176"/>
        <v>0.05</v>
      </c>
      <c r="N4771" s="464">
        <f t="shared" si="177"/>
        <v>196258</v>
      </c>
    </row>
    <row r="4772" spans="7:14" ht="11.25" customHeight="1" x14ac:dyDescent="0.3">
      <c r="G4772" s="459"/>
      <c r="H4772" s="459">
        <v>4765</v>
      </c>
      <c r="I4772" s="444">
        <f t="shared" ca="1" si="175"/>
        <v>-92195083637567.234</v>
      </c>
      <c r="J4772" s="444">
        <f t="array" ref="J4772">IFERROR(INDEX('Retirement Calculator'!K:K,MATCH('Lorri 401b'!N4772,'Retirement Calculator'!A:A,0),0),0)</f>
        <v>0</v>
      </c>
      <c r="K4772" s="444">
        <f t="shared" ca="1" si="173"/>
        <v>-384146181823.19678</v>
      </c>
      <c r="L4772" s="444">
        <f t="shared" ca="1" si="174"/>
        <v>-92579229819390.438</v>
      </c>
      <c r="M4772" s="460">
        <f t="shared" si="176"/>
        <v>0.05</v>
      </c>
      <c r="N4772" s="464">
        <f t="shared" si="177"/>
        <v>196289</v>
      </c>
    </row>
    <row r="4773" spans="7:14" ht="11.25" customHeight="1" x14ac:dyDescent="0.3">
      <c r="G4773" s="459"/>
      <c r="H4773" s="459">
        <v>4766</v>
      </c>
      <c r="I4773" s="444">
        <f t="shared" ca="1" si="175"/>
        <v>-92579229819390.438</v>
      </c>
      <c r="J4773" s="444">
        <f t="array" ref="J4773">IFERROR(INDEX('Retirement Calculator'!K:K,MATCH('Lorri 401b'!N4773,'Retirement Calculator'!A:A,0),0),0)</f>
        <v>0</v>
      </c>
      <c r="K4773" s="444">
        <f t="shared" ca="1" si="173"/>
        <v>-385746790914.12683</v>
      </c>
      <c r="L4773" s="444">
        <f t="shared" ca="1" si="174"/>
        <v>-92964976610304.563</v>
      </c>
      <c r="M4773" s="460">
        <f t="shared" si="176"/>
        <v>0.05</v>
      </c>
      <c r="N4773" s="464">
        <f t="shared" si="177"/>
        <v>196319</v>
      </c>
    </row>
    <row r="4774" spans="7:14" ht="11.25" customHeight="1" x14ac:dyDescent="0.3">
      <c r="G4774" s="459"/>
      <c r="H4774" s="459">
        <v>4767</v>
      </c>
      <c r="I4774" s="444">
        <f t="shared" ca="1" si="175"/>
        <v>-92964976610304.563</v>
      </c>
      <c r="J4774" s="444">
        <f t="array" ref="J4774">IFERROR(INDEX('Retirement Calculator'!K:K,MATCH('Lorri 401b'!N4774,'Retirement Calculator'!A:A,0),0),0)</f>
        <v>0</v>
      </c>
      <c r="K4774" s="444">
        <f t="shared" ca="1" si="173"/>
        <v>-387354069209.60236</v>
      </c>
      <c r="L4774" s="444">
        <f t="shared" ca="1" si="174"/>
        <v>-93352330679514.172</v>
      </c>
      <c r="M4774" s="460">
        <f t="shared" si="176"/>
        <v>0.05</v>
      </c>
      <c r="N4774" s="464">
        <f t="shared" si="177"/>
        <v>196350</v>
      </c>
    </row>
    <row r="4775" spans="7:14" ht="11.25" customHeight="1" x14ac:dyDescent="0.3">
      <c r="G4775" s="459"/>
      <c r="H4775" s="459">
        <v>4768</v>
      </c>
      <c r="I4775" s="444">
        <f t="shared" ca="1" si="175"/>
        <v>-93352330679514.172</v>
      </c>
      <c r="J4775" s="444">
        <f t="array" ref="J4775">IFERROR(INDEX('Retirement Calculator'!K:K,MATCH('Lorri 401b'!N4775,'Retirement Calculator'!A:A,0),0),0)</f>
        <v>0</v>
      </c>
      <c r="K4775" s="444">
        <f t="shared" ca="1" si="173"/>
        <v>-388968044497.97571</v>
      </c>
      <c r="L4775" s="444">
        <f t="shared" ca="1" si="174"/>
        <v>-93741298724012.141</v>
      </c>
      <c r="M4775" s="460">
        <f t="shared" si="176"/>
        <v>0.05</v>
      </c>
      <c r="N4775" s="464">
        <f t="shared" si="177"/>
        <v>196381</v>
      </c>
    </row>
    <row r="4776" spans="7:14" ht="11.25" customHeight="1" x14ac:dyDescent="0.3">
      <c r="G4776" s="459"/>
      <c r="H4776" s="459">
        <v>4769</v>
      </c>
      <c r="I4776" s="444">
        <f t="shared" ca="1" si="175"/>
        <v>-93741298724012.141</v>
      </c>
      <c r="J4776" s="444">
        <f t="array" ref="J4776">IFERROR(INDEX('Retirement Calculator'!K:K,MATCH('Lorri 401b'!N4776,'Retirement Calculator'!A:A,0),0),0)</f>
        <v>0</v>
      </c>
      <c r="K4776" s="444">
        <f t="shared" ca="1" si="173"/>
        <v>-390588744683.38391</v>
      </c>
      <c r="L4776" s="444">
        <f t="shared" ca="1" si="174"/>
        <v>-94131887468695.531</v>
      </c>
      <c r="M4776" s="460">
        <f t="shared" si="176"/>
        <v>0.05</v>
      </c>
      <c r="N4776" s="464">
        <f t="shared" si="177"/>
        <v>196411</v>
      </c>
    </row>
    <row r="4777" spans="7:14" ht="11.25" customHeight="1" x14ac:dyDescent="0.3">
      <c r="G4777" s="459"/>
      <c r="H4777" s="459">
        <v>4770</v>
      </c>
      <c r="I4777" s="444">
        <f t="shared" ca="1" si="175"/>
        <v>-94131887468695.531</v>
      </c>
      <c r="J4777" s="444">
        <f t="array" ref="J4777">IFERROR(INDEX('Retirement Calculator'!K:K,MATCH('Lorri 401b'!N4777,'Retirement Calculator'!A:A,0),0),0)</f>
        <v>0</v>
      </c>
      <c r="K4777" s="444">
        <f t="shared" ca="1" si="173"/>
        <v>-392216197786.23138</v>
      </c>
      <c r="L4777" s="444">
        <f t="shared" ca="1" si="174"/>
        <v>-94524103666481.766</v>
      </c>
      <c r="M4777" s="460">
        <f t="shared" si="176"/>
        <v>0.05</v>
      </c>
      <c r="N4777" s="464">
        <f t="shared" si="177"/>
        <v>196442</v>
      </c>
    </row>
    <row r="4778" spans="7:14" ht="11.25" customHeight="1" x14ac:dyDescent="0.3">
      <c r="G4778" s="459"/>
      <c r="H4778" s="459">
        <v>4771</v>
      </c>
      <c r="I4778" s="444">
        <f t="shared" ca="1" si="175"/>
        <v>-94524103666481.766</v>
      </c>
      <c r="J4778" s="444">
        <f t="array" ref="J4778">IFERROR(INDEX('Retirement Calculator'!K:K,MATCH('Lorri 401b'!N4778,'Retirement Calculator'!A:A,0),0),0)</f>
        <v>0</v>
      </c>
      <c r="K4778" s="444">
        <f t="shared" ca="1" si="173"/>
        <v>-393850431943.67401</v>
      </c>
      <c r="L4778" s="444">
        <f t="shared" ca="1" si="174"/>
        <v>-94917954098425.438</v>
      </c>
      <c r="M4778" s="460">
        <f t="shared" si="176"/>
        <v>0.05</v>
      </c>
      <c r="N4778" s="464">
        <f t="shared" si="177"/>
        <v>196472</v>
      </c>
    </row>
    <row r="4779" spans="7:14" ht="11.25" customHeight="1" x14ac:dyDescent="0.3">
      <c r="G4779" s="459"/>
      <c r="H4779" s="459">
        <v>4772</v>
      </c>
      <c r="I4779" s="444">
        <f t="shared" ca="1" si="175"/>
        <v>-94917954098425.438</v>
      </c>
      <c r="J4779" s="444">
        <f t="array" ref="J4779">IFERROR(INDEX('Retirement Calculator'!K:K,MATCH('Lorri 401b'!N4779,'Retirement Calculator'!A:A,0),0),0)</f>
        <v>0</v>
      </c>
      <c r="K4779" s="444">
        <f t="shared" ca="1" si="173"/>
        <v>-395491475410.10596</v>
      </c>
      <c r="L4779" s="444">
        <f t="shared" ca="1" si="174"/>
        <v>-95313445573835.547</v>
      </c>
      <c r="M4779" s="460">
        <f t="shared" si="176"/>
        <v>0.05</v>
      </c>
      <c r="N4779" s="464">
        <f t="shared" si="177"/>
        <v>196503</v>
      </c>
    </row>
    <row r="4780" spans="7:14" ht="11.25" customHeight="1" x14ac:dyDescent="0.3">
      <c r="G4780" s="459"/>
      <c r="H4780" s="459">
        <v>4773</v>
      </c>
      <c r="I4780" s="444">
        <f t="shared" ca="1" si="175"/>
        <v>-95313445573835.547</v>
      </c>
      <c r="J4780" s="444">
        <f t="array" ref="J4780">IFERROR(INDEX('Retirement Calculator'!K:K,MATCH('Lorri 401b'!N4780,'Retirement Calculator'!A:A,0),0),0)</f>
        <v>0</v>
      </c>
      <c r="K4780" s="444">
        <f t="shared" ca="1" si="173"/>
        <v>-397139356557.64813</v>
      </c>
      <c r="L4780" s="444">
        <f t="shared" ca="1" si="174"/>
        <v>-95710584930393.188</v>
      </c>
      <c r="M4780" s="460">
        <f t="shared" si="176"/>
        <v>0.05</v>
      </c>
      <c r="N4780" s="464">
        <f t="shared" si="177"/>
        <v>196534</v>
      </c>
    </row>
    <row r="4781" spans="7:14" ht="11.25" customHeight="1" x14ac:dyDescent="0.3">
      <c r="G4781" s="459"/>
      <c r="H4781" s="459">
        <v>4774</v>
      </c>
      <c r="I4781" s="444">
        <f t="shared" ca="1" si="175"/>
        <v>-95710584930393.188</v>
      </c>
      <c r="J4781" s="444">
        <f t="array" ref="J4781">IFERROR(INDEX('Retirement Calculator'!K:K,MATCH('Lorri 401b'!N4781,'Retirement Calculator'!A:A,0),0),0)</f>
        <v>0</v>
      </c>
      <c r="K4781" s="444">
        <f t="shared" ca="1" si="173"/>
        <v>-398794103876.63831</v>
      </c>
      <c r="L4781" s="444">
        <f t="shared" ca="1" si="174"/>
        <v>-96109379034269.828</v>
      </c>
      <c r="M4781" s="460">
        <f t="shared" si="176"/>
        <v>0.05</v>
      </c>
      <c r="N4781" s="464">
        <f t="shared" si="177"/>
        <v>196562</v>
      </c>
    </row>
    <row r="4782" spans="7:14" ht="11.25" customHeight="1" x14ac:dyDescent="0.3">
      <c r="G4782" s="459"/>
      <c r="H4782" s="459">
        <v>4775</v>
      </c>
      <c r="I4782" s="444">
        <f t="shared" ca="1" si="175"/>
        <v>-96109379034269.828</v>
      </c>
      <c r="J4782" s="444">
        <f t="array" ref="J4782">IFERROR(INDEX('Retirement Calculator'!K:K,MATCH('Lorri 401b'!N4782,'Retirement Calculator'!A:A,0),0),0)</f>
        <v>0</v>
      </c>
      <c r="K4782" s="444">
        <f t="shared" ca="1" si="173"/>
        <v>-400455745976.12427</v>
      </c>
      <c r="L4782" s="444">
        <f t="shared" ca="1" si="174"/>
        <v>-96509834780245.953</v>
      </c>
      <c r="M4782" s="460">
        <f t="shared" si="176"/>
        <v>0.05</v>
      </c>
      <c r="N4782" s="464">
        <f t="shared" si="177"/>
        <v>196593</v>
      </c>
    </row>
    <row r="4783" spans="7:14" ht="11.25" customHeight="1" x14ac:dyDescent="0.3">
      <c r="G4783" s="459"/>
      <c r="H4783" s="459">
        <v>4776</v>
      </c>
      <c r="I4783" s="444">
        <f t="shared" ca="1" si="175"/>
        <v>-96509834780245.953</v>
      </c>
      <c r="J4783" s="444">
        <f t="array" ref="J4783">IFERROR(INDEX('Retirement Calculator'!K:K,MATCH('Lorri 401b'!N4783,'Retirement Calculator'!A:A,0),0),0)</f>
        <v>0</v>
      </c>
      <c r="K4783" s="444">
        <f t="shared" ca="1" si="173"/>
        <v>-402124311584.35815</v>
      </c>
      <c r="L4783" s="444">
        <f t="shared" ca="1" si="174"/>
        <v>-96911959091830.313</v>
      </c>
      <c r="M4783" s="460">
        <f t="shared" si="176"/>
        <v>0.05</v>
      </c>
      <c r="N4783" s="464">
        <f t="shared" si="177"/>
        <v>196623</v>
      </c>
    </row>
    <row r="4784" spans="7:14" ht="11.25" customHeight="1" x14ac:dyDescent="0.3">
      <c r="G4784" s="459"/>
      <c r="H4784" s="459">
        <v>4777</v>
      </c>
      <c r="I4784" s="444">
        <f t="shared" ca="1" si="175"/>
        <v>-96911959091830.313</v>
      </c>
      <c r="J4784" s="444">
        <f t="array" ref="J4784">IFERROR(INDEX('Retirement Calculator'!K:K,MATCH('Lorri 401b'!N4784,'Retirement Calculator'!A:A,0),0),0)</f>
        <v>0</v>
      </c>
      <c r="K4784" s="444">
        <f t="shared" ca="1" si="173"/>
        <v>-403799829549.29297</v>
      </c>
      <c r="L4784" s="444">
        <f t="shared" ca="1" si="174"/>
        <v>-97315758921379.609</v>
      </c>
      <c r="M4784" s="460">
        <f t="shared" si="176"/>
        <v>0.05</v>
      </c>
      <c r="N4784" s="464">
        <f t="shared" si="177"/>
        <v>196654</v>
      </c>
    </row>
    <row r="4785" spans="7:14" ht="11.25" customHeight="1" x14ac:dyDescent="0.3">
      <c r="G4785" s="459"/>
      <c r="H4785" s="459">
        <v>4778</v>
      </c>
      <c r="I4785" s="444">
        <f t="shared" ca="1" si="175"/>
        <v>-97315758921379.609</v>
      </c>
      <c r="J4785" s="444">
        <f t="array" ref="J4785">IFERROR(INDEX('Retirement Calculator'!K:K,MATCH('Lorri 401b'!N4785,'Retirement Calculator'!A:A,0),0),0)</f>
        <v>0</v>
      </c>
      <c r="K4785" s="444">
        <f t="shared" ca="1" si="173"/>
        <v>-405482328839.08173</v>
      </c>
      <c r="L4785" s="444">
        <f t="shared" ca="1" si="174"/>
        <v>-97721241250218.688</v>
      </c>
      <c r="M4785" s="460">
        <f t="shared" si="176"/>
        <v>0.05</v>
      </c>
      <c r="N4785" s="464">
        <f t="shared" si="177"/>
        <v>196684</v>
      </c>
    </row>
    <row r="4786" spans="7:14" ht="11.25" customHeight="1" x14ac:dyDescent="0.3">
      <c r="G4786" s="459"/>
      <c r="H4786" s="459">
        <v>4779</v>
      </c>
      <c r="I4786" s="444">
        <f t="shared" ca="1" si="175"/>
        <v>-97721241250218.688</v>
      </c>
      <c r="J4786" s="444">
        <f t="array" ref="J4786">IFERROR(INDEX('Retirement Calculator'!K:K,MATCH('Lorri 401b'!N4786,'Retirement Calculator'!A:A,0),0),0)</f>
        <v>0</v>
      </c>
      <c r="K4786" s="444">
        <f t="shared" ca="1" si="173"/>
        <v>-407171838542.57788</v>
      </c>
      <c r="L4786" s="444">
        <f t="shared" ca="1" si="174"/>
        <v>-98128413088761.266</v>
      </c>
      <c r="M4786" s="460">
        <f t="shared" si="176"/>
        <v>0.05</v>
      </c>
      <c r="N4786" s="464">
        <f t="shared" si="177"/>
        <v>196715</v>
      </c>
    </row>
    <row r="4787" spans="7:14" ht="11.25" customHeight="1" x14ac:dyDescent="0.3">
      <c r="G4787" s="459"/>
      <c r="H4787" s="459">
        <v>4780</v>
      </c>
      <c r="I4787" s="444">
        <f t="shared" ca="1" si="175"/>
        <v>-98128413088761.266</v>
      </c>
      <c r="J4787" s="444">
        <f t="array" ref="J4787">IFERROR(INDEX('Retirement Calculator'!K:K,MATCH('Lorri 401b'!N4787,'Retirement Calculator'!A:A,0),0),0)</f>
        <v>0</v>
      </c>
      <c r="K4787" s="444">
        <f t="shared" ca="1" si="173"/>
        <v>-408868387869.83862</v>
      </c>
      <c r="L4787" s="444">
        <f t="shared" ca="1" si="174"/>
        <v>-98537281476631.109</v>
      </c>
      <c r="M4787" s="460">
        <f t="shared" si="176"/>
        <v>0.05</v>
      </c>
      <c r="N4787" s="464">
        <f t="shared" si="177"/>
        <v>196746</v>
      </c>
    </row>
    <row r="4788" spans="7:14" ht="11.25" customHeight="1" x14ac:dyDescent="0.3">
      <c r="G4788" s="459"/>
      <c r="H4788" s="459">
        <v>4781</v>
      </c>
      <c r="I4788" s="444">
        <f t="shared" ca="1" si="175"/>
        <v>-98537281476631.109</v>
      </c>
      <c r="J4788" s="444">
        <f t="array" ref="J4788">IFERROR(INDEX('Retirement Calculator'!K:K,MATCH('Lorri 401b'!N4788,'Retirement Calculator'!A:A,0),0),0)</f>
        <v>0</v>
      </c>
      <c r="K4788" s="444">
        <f t="shared" ca="1" si="173"/>
        <v>-410572006152.62964</v>
      </c>
      <c r="L4788" s="444">
        <f t="shared" ca="1" si="174"/>
        <v>-98947853482783.734</v>
      </c>
      <c r="M4788" s="460">
        <f t="shared" si="176"/>
        <v>0.05</v>
      </c>
      <c r="N4788" s="464">
        <f t="shared" si="177"/>
        <v>196776</v>
      </c>
    </row>
    <row r="4789" spans="7:14" ht="11.25" customHeight="1" x14ac:dyDescent="0.3">
      <c r="G4789" s="459"/>
      <c r="H4789" s="459">
        <v>4782</v>
      </c>
      <c r="I4789" s="444">
        <f t="shared" ca="1" si="175"/>
        <v>-98947853482783.734</v>
      </c>
      <c r="J4789" s="444">
        <f t="array" ref="J4789">IFERROR(INDEX('Retirement Calculator'!K:K,MATCH('Lorri 401b'!N4789,'Retirement Calculator'!A:A,0),0),0)</f>
        <v>0</v>
      </c>
      <c r="K4789" s="444">
        <f t="shared" ca="1" si="173"/>
        <v>-412282722844.93225</v>
      </c>
      <c r="L4789" s="444">
        <f t="shared" ca="1" si="174"/>
        <v>-99360136205628.672</v>
      </c>
      <c r="M4789" s="460">
        <f t="shared" si="176"/>
        <v>0.05</v>
      </c>
      <c r="N4789" s="464">
        <f t="shared" si="177"/>
        <v>196807</v>
      </c>
    </row>
    <row r="4790" spans="7:14" ht="11.25" customHeight="1" x14ac:dyDescent="0.3">
      <c r="G4790" s="459"/>
      <c r="H4790" s="459">
        <v>4783</v>
      </c>
      <c r="I4790" s="444">
        <f t="shared" ca="1" si="175"/>
        <v>-99360136205628.672</v>
      </c>
      <c r="J4790" s="444">
        <f t="array" ref="J4790">IFERROR(INDEX('Retirement Calculator'!K:K,MATCH('Lorri 401b'!N4790,'Retirement Calculator'!A:A,0),0),0)</f>
        <v>0</v>
      </c>
      <c r="K4790" s="444">
        <f t="shared" ca="1" si="173"/>
        <v>-414000567523.45282</v>
      </c>
      <c r="L4790" s="444">
        <f t="shared" ca="1" si="174"/>
        <v>-99774136773152.125</v>
      </c>
      <c r="M4790" s="460">
        <f t="shared" si="176"/>
        <v>0.05</v>
      </c>
      <c r="N4790" s="464">
        <f t="shared" si="177"/>
        <v>196837</v>
      </c>
    </row>
    <row r="4791" spans="7:14" ht="11.25" customHeight="1" x14ac:dyDescent="0.3">
      <c r="G4791" s="459"/>
      <c r="H4791" s="459">
        <v>4784</v>
      </c>
      <c r="I4791" s="444">
        <f t="shared" ca="1" si="175"/>
        <v>-99774136773152.125</v>
      </c>
      <c r="J4791" s="444">
        <f t="array" ref="J4791">IFERROR(INDEX('Retirement Calculator'!K:K,MATCH('Lorri 401b'!N4791,'Retirement Calculator'!A:A,0),0),0)</f>
        <v>0</v>
      </c>
      <c r="K4791" s="444">
        <f t="shared" ca="1" si="173"/>
        <v>-415725569888.13385</v>
      </c>
      <c r="L4791" s="444">
        <f t="shared" ca="1" si="174"/>
        <v>-100189862343040.27</v>
      </c>
      <c r="M4791" s="460">
        <f t="shared" si="176"/>
        <v>0.05</v>
      </c>
      <c r="N4791" s="464">
        <f t="shared" si="177"/>
        <v>196868</v>
      </c>
    </row>
    <row r="4792" spans="7:14" ht="11.25" customHeight="1" x14ac:dyDescent="0.3">
      <c r="G4792" s="459"/>
      <c r="H4792" s="459">
        <v>4785</v>
      </c>
      <c r="I4792" s="444">
        <f t="shared" ca="1" si="175"/>
        <v>-100189862343040.27</v>
      </c>
      <c r="J4792" s="444">
        <f t="array" ref="J4792">IFERROR(INDEX('Retirement Calculator'!K:K,MATCH('Lorri 401b'!N4792,'Retirement Calculator'!A:A,0),0),0)</f>
        <v>0</v>
      </c>
      <c r="K4792" s="444">
        <f t="shared" ca="1" si="173"/>
        <v>-417457759762.66779</v>
      </c>
      <c r="L4792" s="444">
        <f t="shared" ca="1" si="174"/>
        <v>-100607320102802.94</v>
      </c>
      <c r="M4792" s="460">
        <f t="shared" si="176"/>
        <v>0.05</v>
      </c>
      <c r="N4792" s="464">
        <f t="shared" si="177"/>
        <v>196899</v>
      </c>
    </row>
    <row r="4793" spans="7:14" ht="11.25" customHeight="1" x14ac:dyDescent="0.3">
      <c r="G4793" s="459"/>
      <c r="H4793" s="459">
        <v>4786</v>
      </c>
      <c r="I4793" s="444">
        <f t="shared" ca="1" si="175"/>
        <v>-100607320102802.94</v>
      </c>
      <c r="J4793" s="444">
        <f t="array" ref="J4793">IFERROR(INDEX('Retirement Calculator'!K:K,MATCH('Lorri 401b'!N4793,'Retirement Calculator'!A:A,0),0),0)</f>
        <v>0</v>
      </c>
      <c r="K4793" s="444">
        <f t="shared" ca="1" si="173"/>
        <v>-419197167095.01221</v>
      </c>
      <c r="L4793" s="444">
        <f t="shared" ca="1" si="174"/>
        <v>-101026517269897.95</v>
      </c>
      <c r="M4793" s="460">
        <f t="shared" si="176"/>
        <v>0.05</v>
      </c>
      <c r="N4793" s="464">
        <f t="shared" si="177"/>
        <v>196927</v>
      </c>
    </row>
    <row r="4794" spans="7:14" ht="11.25" customHeight="1" x14ac:dyDescent="0.3">
      <c r="G4794" s="459"/>
      <c r="H4794" s="459">
        <v>4787</v>
      </c>
      <c r="I4794" s="444">
        <f t="shared" ca="1" si="175"/>
        <v>-101026517269897.95</v>
      </c>
      <c r="J4794" s="444">
        <f t="array" ref="J4794">IFERROR(INDEX('Retirement Calculator'!K:K,MATCH('Lorri 401b'!N4794,'Retirement Calculator'!A:A,0),0),0)</f>
        <v>0</v>
      </c>
      <c r="K4794" s="444">
        <f t="shared" ca="1" si="173"/>
        <v>-420943821957.90814</v>
      </c>
      <c r="L4794" s="444">
        <f t="shared" ca="1" si="174"/>
        <v>-101447461091855.86</v>
      </c>
      <c r="M4794" s="460">
        <f t="shared" si="176"/>
        <v>0.05</v>
      </c>
      <c r="N4794" s="464">
        <f t="shared" si="177"/>
        <v>196958</v>
      </c>
    </row>
    <row r="4795" spans="7:14" ht="11.25" customHeight="1" x14ac:dyDescent="0.3">
      <c r="G4795" s="459"/>
      <c r="H4795" s="459">
        <v>4788</v>
      </c>
      <c r="I4795" s="444">
        <f t="shared" ca="1" si="175"/>
        <v>-101447461091855.86</v>
      </c>
      <c r="J4795" s="444">
        <f t="array" ref="J4795">IFERROR(INDEX('Retirement Calculator'!K:K,MATCH('Lorri 401b'!N4795,'Retirement Calculator'!A:A,0),0),0)</f>
        <v>0</v>
      </c>
      <c r="K4795" s="444">
        <f t="shared" ca="1" si="173"/>
        <v>-422697754549.39941</v>
      </c>
      <c r="L4795" s="444">
        <f t="shared" ca="1" si="174"/>
        <v>-101870158846405.27</v>
      </c>
      <c r="M4795" s="460">
        <f t="shared" si="176"/>
        <v>0.05</v>
      </c>
      <c r="N4795" s="464">
        <f t="shared" si="177"/>
        <v>196988</v>
      </c>
    </row>
    <row r="4796" spans="7:14" ht="11.25" customHeight="1" x14ac:dyDescent="0.3">
      <c r="G4796" s="459"/>
      <c r="H4796" s="459">
        <v>4789</v>
      </c>
      <c r="I4796" s="444">
        <f t="shared" ca="1" si="175"/>
        <v>-101870158846405.27</v>
      </c>
      <c r="J4796" s="444">
        <f t="array" ref="J4796">IFERROR(INDEX('Retirement Calculator'!K:K,MATCH('Lorri 401b'!N4796,'Retirement Calculator'!A:A,0),0),0)</f>
        <v>0</v>
      </c>
      <c r="K4796" s="444">
        <f t="shared" ca="1" si="173"/>
        <v>-424458995193.35529</v>
      </c>
      <c r="L4796" s="444">
        <f t="shared" ca="1" si="174"/>
        <v>-102294617841598.63</v>
      </c>
      <c r="M4796" s="460">
        <f t="shared" si="176"/>
        <v>0.05</v>
      </c>
      <c r="N4796" s="464">
        <f t="shared" si="177"/>
        <v>197019</v>
      </c>
    </row>
    <row r="4797" spans="7:14" ht="11.25" customHeight="1" x14ac:dyDescent="0.3">
      <c r="G4797" s="459"/>
      <c r="H4797" s="459">
        <v>4790</v>
      </c>
      <c r="I4797" s="444">
        <f t="shared" ca="1" si="175"/>
        <v>-102294617841598.63</v>
      </c>
      <c r="J4797" s="444">
        <f t="array" ref="J4797">IFERROR(INDEX('Retirement Calculator'!K:K,MATCH('Lorri 401b'!N4797,'Retirement Calculator'!A:A,0),0),0)</f>
        <v>0</v>
      </c>
      <c r="K4797" s="444">
        <f t="shared" ca="1" si="173"/>
        <v>-426227574339.99426</v>
      </c>
      <c r="L4797" s="444">
        <f t="shared" ca="1" si="174"/>
        <v>-102720845415938.63</v>
      </c>
      <c r="M4797" s="460">
        <f t="shared" si="176"/>
        <v>0.05</v>
      </c>
      <c r="N4797" s="464">
        <f t="shared" si="177"/>
        <v>197049</v>
      </c>
    </row>
    <row r="4798" spans="7:14" ht="11.25" customHeight="1" x14ac:dyDescent="0.3">
      <c r="G4798" s="459"/>
      <c r="H4798" s="459">
        <v>4791</v>
      </c>
      <c r="I4798" s="444">
        <f t="shared" ca="1" si="175"/>
        <v>-102720845415938.63</v>
      </c>
      <c r="J4798" s="444">
        <f t="array" ref="J4798">IFERROR(INDEX('Retirement Calculator'!K:K,MATCH('Lorri 401b'!N4798,'Retirement Calculator'!A:A,0),0),0)</f>
        <v>0</v>
      </c>
      <c r="K4798" s="444">
        <f t="shared" ca="1" si="173"/>
        <v>-428003522566.41095</v>
      </c>
      <c r="L4798" s="444">
        <f t="shared" ca="1" si="174"/>
        <v>-103148848938505.03</v>
      </c>
      <c r="M4798" s="460">
        <f t="shared" si="176"/>
        <v>0.05</v>
      </c>
      <c r="N4798" s="464">
        <f t="shared" si="177"/>
        <v>197080</v>
      </c>
    </row>
    <row r="4799" spans="7:14" ht="11.25" customHeight="1" x14ac:dyDescent="0.3">
      <c r="G4799" s="459"/>
      <c r="H4799" s="459">
        <v>4792</v>
      </c>
      <c r="I4799" s="444">
        <f t="shared" ca="1" si="175"/>
        <v>-103148848938505.03</v>
      </c>
      <c r="J4799" s="444">
        <f t="array" ref="J4799">IFERROR(INDEX('Retirement Calculator'!K:K,MATCH('Lorri 401b'!N4799,'Retirement Calculator'!A:A,0),0),0)</f>
        <v>0</v>
      </c>
      <c r="K4799" s="444">
        <f t="shared" ca="1" si="173"/>
        <v>-429786870577.10431</v>
      </c>
      <c r="L4799" s="444">
        <f t="shared" ca="1" si="174"/>
        <v>-103578635809082.14</v>
      </c>
      <c r="M4799" s="460">
        <f t="shared" si="176"/>
        <v>0.05</v>
      </c>
      <c r="N4799" s="464">
        <f t="shared" si="177"/>
        <v>197111</v>
      </c>
    </row>
    <row r="4800" spans="7:14" ht="11.25" customHeight="1" x14ac:dyDescent="0.3">
      <c r="G4800" s="459"/>
      <c r="H4800" s="459">
        <v>4793</v>
      </c>
      <c r="I4800" s="444">
        <f t="shared" ca="1" si="175"/>
        <v>-103578635809082.14</v>
      </c>
      <c r="J4800" s="444">
        <f t="array" ref="J4800">IFERROR(INDEX('Retirement Calculator'!K:K,MATCH('Lorri 401b'!N4800,'Retirement Calculator'!A:A,0),0),0)</f>
        <v>0</v>
      </c>
      <c r="K4800" s="444">
        <f t="shared" ca="1" si="173"/>
        <v>-431577649204.50891</v>
      </c>
      <c r="L4800" s="444">
        <f t="shared" ca="1" si="174"/>
        <v>-104010213458286.66</v>
      </c>
      <c r="M4800" s="460">
        <f t="shared" si="176"/>
        <v>0.05</v>
      </c>
      <c r="N4800" s="464">
        <f t="shared" si="177"/>
        <v>197141</v>
      </c>
    </row>
    <row r="4801" spans="7:14" ht="11.25" customHeight="1" x14ac:dyDescent="0.3">
      <c r="G4801" s="459"/>
      <c r="H4801" s="459">
        <v>4794</v>
      </c>
      <c r="I4801" s="444">
        <f t="shared" ca="1" si="175"/>
        <v>-104010213458286.66</v>
      </c>
      <c r="J4801" s="444">
        <f t="array" ref="J4801">IFERROR(INDEX('Retirement Calculator'!K:K,MATCH('Lorri 401b'!N4801,'Retirement Calculator'!A:A,0),0),0)</f>
        <v>0</v>
      </c>
      <c r="K4801" s="444">
        <f t="shared" ca="1" si="173"/>
        <v>-433375889409.52771</v>
      </c>
      <c r="L4801" s="444">
        <f t="shared" ca="1" si="174"/>
        <v>-104443589347696.19</v>
      </c>
      <c r="M4801" s="460">
        <f t="shared" si="176"/>
        <v>0.05</v>
      </c>
      <c r="N4801" s="464">
        <f t="shared" si="177"/>
        <v>197172</v>
      </c>
    </row>
    <row r="4802" spans="7:14" ht="11.25" customHeight="1" x14ac:dyDescent="0.3">
      <c r="G4802" s="459"/>
      <c r="H4802" s="459">
        <v>4795</v>
      </c>
      <c r="I4802" s="444">
        <f t="shared" ca="1" si="175"/>
        <v>-104443589347696.19</v>
      </c>
      <c r="J4802" s="444">
        <f t="array" ref="J4802">IFERROR(INDEX('Retirement Calculator'!K:K,MATCH('Lorri 401b'!N4802,'Retirement Calculator'!A:A,0),0),0)</f>
        <v>0</v>
      </c>
      <c r="K4802" s="444">
        <f t="shared" ca="1" si="173"/>
        <v>-435181622282.06744</v>
      </c>
      <c r="L4802" s="444">
        <f t="shared" ca="1" si="174"/>
        <v>-104878770969978.25</v>
      </c>
      <c r="M4802" s="460">
        <f t="shared" si="176"/>
        <v>0.05</v>
      </c>
      <c r="N4802" s="464">
        <f t="shared" si="177"/>
        <v>197202</v>
      </c>
    </row>
    <row r="4803" spans="7:14" ht="11.25" customHeight="1" x14ac:dyDescent="0.3">
      <c r="G4803" s="459"/>
      <c r="H4803" s="459">
        <v>4796</v>
      </c>
      <c r="I4803" s="444">
        <f t="shared" ca="1" si="175"/>
        <v>-104878770969978.25</v>
      </c>
      <c r="J4803" s="444">
        <f t="array" ref="J4803">IFERROR(INDEX('Retirement Calculator'!K:K,MATCH('Lorri 401b'!N4803,'Retirement Calculator'!A:A,0),0),0)</f>
        <v>0</v>
      </c>
      <c r="K4803" s="444">
        <f t="shared" ca="1" si="173"/>
        <v>-436994879041.57605</v>
      </c>
      <c r="L4803" s="444">
        <f t="shared" ca="1" si="174"/>
        <v>-105315765849019.83</v>
      </c>
      <c r="M4803" s="460">
        <f t="shared" si="176"/>
        <v>0.05</v>
      </c>
      <c r="N4803" s="464">
        <f t="shared" si="177"/>
        <v>197233</v>
      </c>
    </row>
    <row r="4804" spans="7:14" ht="11.25" customHeight="1" x14ac:dyDescent="0.3">
      <c r="G4804" s="459"/>
      <c r="H4804" s="459">
        <v>4797</v>
      </c>
      <c r="I4804" s="444">
        <f t="shared" ca="1" si="175"/>
        <v>-105315765849019.83</v>
      </c>
      <c r="J4804" s="444">
        <f t="array" ref="J4804">IFERROR(INDEX('Retirement Calculator'!K:K,MATCH('Lorri 401b'!N4804,'Retirement Calculator'!A:A,0),0),0)</f>
        <v>0</v>
      </c>
      <c r="K4804" s="444">
        <f t="shared" ca="1" si="173"/>
        <v>-438815691037.58264</v>
      </c>
      <c r="L4804" s="444">
        <f t="shared" ca="1" si="174"/>
        <v>-105754581540057.41</v>
      </c>
      <c r="M4804" s="460">
        <f t="shared" si="176"/>
        <v>0.05</v>
      </c>
      <c r="N4804" s="464">
        <f t="shared" si="177"/>
        <v>197264</v>
      </c>
    </row>
    <row r="4805" spans="7:14" ht="11.25" customHeight="1" x14ac:dyDescent="0.3">
      <c r="G4805" s="459"/>
      <c r="H4805" s="459">
        <v>4798</v>
      </c>
      <c r="I4805" s="444">
        <f t="shared" ca="1" si="175"/>
        <v>-105754581540057.41</v>
      </c>
      <c r="J4805" s="444">
        <f t="array" ref="J4805">IFERROR(INDEX('Retirement Calculator'!K:K,MATCH('Lorri 401b'!N4805,'Retirement Calculator'!A:A,0),0),0)</f>
        <v>0</v>
      </c>
      <c r="K4805" s="444">
        <f t="shared" ca="1" si="173"/>
        <v>-440644089750.2392</v>
      </c>
      <c r="L4805" s="444">
        <f t="shared" ca="1" si="174"/>
        <v>-106195225629807.64</v>
      </c>
      <c r="M4805" s="460">
        <f t="shared" si="176"/>
        <v>0.05</v>
      </c>
      <c r="N4805" s="464">
        <f t="shared" si="177"/>
        <v>197293</v>
      </c>
    </row>
    <row r="4806" spans="7:14" ht="11.25" customHeight="1" x14ac:dyDescent="0.3">
      <c r="G4806" s="459"/>
      <c r="H4806" s="459">
        <v>4799</v>
      </c>
      <c r="I4806" s="444">
        <f t="shared" ca="1" si="175"/>
        <v>-106195225629807.64</v>
      </c>
      <c r="J4806" s="444">
        <f t="array" ref="J4806">IFERROR(INDEX('Retirement Calculator'!K:K,MATCH('Lorri 401b'!N4806,'Retirement Calculator'!A:A,0),0),0)</f>
        <v>0</v>
      </c>
      <c r="K4806" s="444">
        <f t="shared" ca="1" si="173"/>
        <v>-442480106790.86517</v>
      </c>
      <c r="L4806" s="444">
        <f t="shared" ca="1" si="174"/>
        <v>-106637705736598.5</v>
      </c>
      <c r="M4806" s="460">
        <f t="shared" si="176"/>
        <v>0.05</v>
      </c>
      <c r="N4806" s="464">
        <f t="shared" si="177"/>
        <v>197324</v>
      </c>
    </row>
    <row r="4807" spans="7:14" ht="11.25" customHeight="1" x14ac:dyDescent="0.3">
      <c r="G4807" s="459"/>
      <c r="H4807" s="459">
        <v>4800</v>
      </c>
      <c r="I4807" s="444">
        <f t="shared" ca="1" si="175"/>
        <v>-106637705736598.5</v>
      </c>
      <c r="J4807" s="444">
        <f t="array" ref="J4807">IFERROR(INDEX('Retirement Calculator'!K:K,MATCH('Lorri 401b'!N4807,'Retirement Calculator'!A:A,0),0),0)</f>
        <v>0</v>
      </c>
      <c r="K4807" s="444">
        <f t="shared" ca="1" si="173"/>
        <v>-444323773902.49371</v>
      </c>
      <c r="L4807" s="444">
        <f t="shared" ca="1" si="174"/>
        <v>-107082029510501</v>
      </c>
      <c r="M4807" s="460">
        <f t="shared" si="176"/>
        <v>0.05</v>
      </c>
      <c r="N4807" s="464">
        <f t="shared" si="177"/>
        <v>197354</v>
      </c>
    </row>
    <row r="4808" spans="7:14" ht="11.25" customHeight="1" x14ac:dyDescent="0.3">
      <c r="G4808" s="459"/>
      <c r="H4808" s="459">
        <v>4801</v>
      </c>
      <c r="I4808" s="444">
        <f t="shared" ca="1" si="175"/>
        <v>-107082029510501</v>
      </c>
      <c r="J4808" s="444">
        <f t="array" ref="J4808">IFERROR(INDEX('Retirement Calculator'!K:K,MATCH('Lorri 401b'!N4808,'Retirement Calculator'!A:A,0),0),0)</f>
        <v>0</v>
      </c>
      <c r="K4808" s="444">
        <f t="shared" ca="1" si="173"/>
        <v>-446175122960.42084</v>
      </c>
      <c r="L4808" s="444">
        <f t="shared" ca="1" si="174"/>
        <v>-107528204633461.42</v>
      </c>
      <c r="M4808" s="460">
        <f t="shared" si="176"/>
        <v>0.05</v>
      </c>
      <c r="N4808" s="464">
        <f t="shared" si="177"/>
        <v>197385</v>
      </c>
    </row>
    <row r="4809" spans="7:14" ht="11.25" customHeight="1" x14ac:dyDescent="0.3">
      <c r="G4809" s="459"/>
      <c r="H4809" s="459">
        <v>4802</v>
      </c>
      <c r="I4809" s="444">
        <f t="shared" ca="1" si="175"/>
        <v>-107528204633461.42</v>
      </c>
      <c r="J4809" s="444">
        <f t="array" ref="J4809">IFERROR(INDEX('Retirement Calculator'!K:K,MATCH('Lorri 401b'!N4809,'Retirement Calculator'!A:A,0),0),0)</f>
        <v>0</v>
      </c>
      <c r="K4809" s="444">
        <f t="shared" ca="1" si="173"/>
        <v>-448034185972.75592</v>
      </c>
      <c r="L4809" s="444">
        <f t="shared" ca="1" si="174"/>
        <v>-107976238819434.17</v>
      </c>
      <c r="M4809" s="460">
        <f t="shared" si="176"/>
        <v>0.05</v>
      </c>
      <c r="N4809" s="464">
        <f t="shared" si="177"/>
        <v>197415</v>
      </c>
    </row>
    <row r="4810" spans="7:14" ht="11.25" customHeight="1" x14ac:dyDescent="0.3">
      <c r="G4810" s="459"/>
      <c r="H4810" s="459">
        <v>4803</v>
      </c>
      <c r="I4810" s="444">
        <f t="shared" ca="1" si="175"/>
        <v>-107976238819434.17</v>
      </c>
      <c r="J4810" s="444">
        <f t="array" ref="J4810">IFERROR(INDEX('Retirement Calculator'!K:K,MATCH('Lorri 401b'!N4810,'Retirement Calculator'!A:A,0),0),0)</f>
        <v>0</v>
      </c>
      <c r="K4810" s="444">
        <f t="shared" ca="1" si="173"/>
        <v>-449900995080.97571</v>
      </c>
      <c r="L4810" s="444">
        <f t="shared" ca="1" si="174"/>
        <v>-108426139814515.14</v>
      </c>
      <c r="M4810" s="460">
        <f t="shared" si="176"/>
        <v>0.05</v>
      </c>
      <c r="N4810" s="464">
        <f t="shared" si="177"/>
        <v>197446</v>
      </c>
    </row>
    <row r="4811" spans="7:14" ht="11.25" customHeight="1" x14ac:dyDescent="0.3">
      <c r="G4811" s="459"/>
      <c r="H4811" s="459">
        <v>4804</v>
      </c>
      <c r="I4811" s="444">
        <f t="shared" ca="1" si="175"/>
        <v>-108426139814515.14</v>
      </c>
      <c r="J4811" s="444">
        <f t="array" ref="J4811">IFERROR(INDEX('Retirement Calculator'!K:K,MATCH('Lorri 401b'!N4811,'Retirement Calculator'!A:A,0),0),0)</f>
        <v>0</v>
      </c>
      <c r="K4811" s="444">
        <f t="shared" ca="1" si="173"/>
        <v>-451775582560.47974</v>
      </c>
      <c r="L4811" s="444">
        <f t="shared" ca="1" si="174"/>
        <v>-108877915397075.63</v>
      </c>
      <c r="M4811" s="460">
        <f t="shared" si="176"/>
        <v>0.05</v>
      </c>
      <c r="N4811" s="464">
        <f t="shared" si="177"/>
        <v>197477</v>
      </c>
    </row>
    <row r="4812" spans="7:14" ht="11.25" customHeight="1" x14ac:dyDescent="0.3">
      <c r="G4812" s="459"/>
      <c r="H4812" s="459">
        <v>4805</v>
      </c>
      <c r="I4812" s="444">
        <f t="shared" ca="1" si="175"/>
        <v>-108877915397075.63</v>
      </c>
      <c r="J4812" s="444">
        <f t="array" ref="J4812">IFERROR(INDEX('Retirement Calculator'!K:K,MATCH('Lorri 401b'!N4812,'Retirement Calculator'!A:A,0),0),0)</f>
        <v>0</v>
      </c>
      <c r="K4812" s="444">
        <f t="shared" ca="1" si="173"/>
        <v>-453657980821.14844</v>
      </c>
      <c r="L4812" s="444">
        <f t="shared" ca="1" si="174"/>
        <v>-109331573377896.78</v>
      </c>
      <c r="M4812" s="460">
        <f t="shared" si="176"/>
        <v>0.05</v>
      </c>
      <c r="N4812" s="464">
        <f t="shared" si="177"/>
        <v>197507</v>
      </c>
    </row>
    <row r="4813" spans="7:14" ht="11.25" customHeight="1" x14ac:dyDescent="0.3">
      <c r="G4813" s="459"/>
      <c r="H4813" s="459">
        <v>4806</v>
      </c>
      <c r="I4813" s="444">
        <f t="shared" ca="1" si="175"/>
        <v>-109331573377896.78</v>
      </c>
      <c r="J4813" s="444">
        <f t="array" ref="J4813">IFERROR(INDEX('Retirement Calculator'!K:K,MATCH('Lorri 401b'!N4813,'Retirement Calculator'!A:A,0),0),0)</f>
        <v>0</v>
      </c>
      <c r="K4813" s="444">
        <f t="shared" ca="1" si="173"/>
        <v>-455548222407.90326</v>
      </c>
      <c r="L4813" s="444">
        <f t="shared" ca="1" si="174"/>
        <v>-109787121600304.69</v>
      </c>
      <c r="M4813" s="460">
        <f t="shared" si="176"/>
        <v>0.05</v>
      </c>
      <c r="N4813" s="464">
        <f t="shared" si="177"/>
        <v>197538</v>
      </c>
    </row>
    <row r="4814" spans="7:14" ht="11.25" customHeight="1" x14ac:dyDescent="0.3">
      <c r="G4814" s="459"/>
      <c r="H4814" s="459">
        <v>4807</v>
      </c>
      <c r="I4814" s="444">
        <f t="shared" ca="1" si="175"/>
        <v>-109787121600304.69</v>
      </c>
      <c r="J4814" s="444">
        <f t="array" ref="J4814">IFERROR(INDEX('Retirement Calculator'!K:K,MATCH('Lorri 401b'!N4814,'Retirement Calculator'!A:A,0),0),0)</f>
        <v>0</v>
      </c>
      <c r="K4814" s="444">
        <f t="shared" ca="1" si="173"/>
        <v>-457446340001.26959</v>
      </c>
      <c r="L4814" s="444">
        <f t="shared" ca="1" si="174"/>
        <v>-110244567940305.95</v>
      </c>
      <c r="M4814" s="460">
        <f t="shared" si="176"/>
        <v>0.05</v>
      </c>
      <c r="N4814" s="464">
        <f t="shared" si="177"/>
        <v>197568</v>
      </c>
    </row>
    <row r="4815" spans="7:14" ht="11.25" customHeight="1" x14ac:dyDescent="0.3">
      <c r="G4815" s="459"/>
      <c r="H4815" s="459">
        <v>4808</v>
      </c>
      <c r="I4815" s="444">
        <f t="shared" ca="1" si="175"/>
        <v>-110244567940305.95</v>
      </c>
      <c r="J4815" s="444">
        <f t="array" ref="J4815">IFERROR(INDEX('Retirement Calculator'!K:K,MATCH('Lorri 401b'!N4815,'Retirement Calculator'!A:A,0),0),0)</f>
        <v>0</v>
      </c>
      <c r="K4815" s="444">
        <f t="shared" ca="1" si="173"/>
        <v>-459352366417.94147</v>
      </c>
      <c r="L4815" s="444">
        <f t="shared" ca="1" si="174"/>
        <v>-110703920306723.89</v>
      </c>
      <c r="M4815" s="460">
        <f t="shared" si="176"/>
        <v>0.05</v>
      </c>
      <c r="N4815" s="464">
        <f t="shared" si="177"/>
        <v>197599</v>
      </c>
    </row>
    <row r="4816" spans="7:14" ht="11.25" customHeight="1" x14ac:dyDescent="0.3">
      <c r="G4816" s="459"/>
      <c r="H4816" s="459">
        <v>4809</v>
      </c>
      <c r="I4816" s="444">
        <f t="shared" ca="1" si="175"/>
        <v>-110703920306723.89</v>
      </c>
      <c r="J4816" s="444">
        <f t="array" ref="J4816">IFERROR(INDEX('Retirement Calculator'!K:K,MATCH('Lorri 401b'!N4816,'Retirement Calculator'!A:A,0),0),0)</f>
        <v>0</v>
      </c>
      <c r="K4816" s="444">
        <f t="shared" ca="1" si="173"/>
        <v>-461266334611.34955</v>
      </c>
      <c r="L4816" s="444">
        <f t="shared" ca="1" si="174"/>
        <v>-111165186641335.23</v>
      </c>
      <c r="M4816" s="460">
        <f t="shared" si="176"/>
        <v>0.05</v>
      </c>
      <c r="N4816" s="464">
        <f t="shared" si="177"/>
        <v>197630</v>
      </c>
    </row>
    <row r="4817" spans="7:14" ht="11.25" customHeight="1" x14ac:dyDescent="0.3">
      <c r="G4817" s="459"/>
      <c r="H4817" s="459">
        <v>4810</v>
      </c>
      <c r="I4817" s="444">
        <f t="shared" ca="1" si="175"/>
        <v>-111165186641335.23</v>
      </c>
      <c r="J4817" s="444">
        <f t="array" ref="J4817">IFERROR(INDEX('Retirement Calculator'!K:K,MATCH('Lorri 401b'!N4817,'Retirement Calculator'!A:A,0),0),0)</f>
        <v>0</v>
      </c>
      <c r="K4817" s="444">
        <f t="shared" ca="1" si="173"/>
        <v>-463188277672.23022</v>
      </c>
      <c r="L4817" s="444">
        <f t="shared" ca="1" si="174"/>
        <v>-111628374919007.47</v>
      </c>
      <c r="M4817" s="460">
        <f t="shared" si="176"/>
        <v>0.05</v>
      </c>
      <c r="N4817" s="464">
        <f t="shared" si="177"/>
        <v>197658</v>
      </c>
    </row>
    <row r="4818" spans="7:14" ht="11.25" customHeight="1" x14ac:dyDescent="0.3">
      <c r="G4818" s="459"/>
      <c r="H4818" s="459">
        <v>4811</v>
      </c>
      <c r="I4818" s="444">
        <f t="shared" ca="1" si="175"/>
        <v>-111628374919007.47</v>
      </c>
      <c r="J4818" s="444">
        <f t="array" ref="J4818">IFERROR(INDEX('Retirement Calculator'!K:K,MATCH('Lorri 401b'!N4818,'Retirement Calculator'!A:A,0),0),0)</f>
        <v>0</v>
      </c>
      <c r="K4818" s="444">
        <f t="shared" ca="1" si="173"/>
        <v>-465118228829.19775</v>
      </c>
      <c r="L4818" s="444">
        <f t="shared" ca="1" si="174"/>
        <v>-112093493147836.67</v>
      </c>
      <c r="M4818" s="460">
        <f t="shared" si="176"/>
        <v>0.05</v>
      </c>
      <c r="N4818" s="464">
        <f t="shared" si="177"/>
        <v>197689</v>
      </c>
    </row>
    <row r="4819" spans="7:14" ht="11.25" customHeight="1" x14ac:dyDescent="0.3">
      <c r="G4819" s="459"/>
      <c r="H4819" s="459">
        <v>4812</v>
      </c>
      <c r="I4819" s="444">
        <f t="shared" ca="1" si="175"/>
        <v>-112093493147836.67</v>
      </c>
      <c r="J4819" s="444">
        <f t="array" ref="J4819">IFERROR(INDEX('Retirement Calculator'!K:K,MATCH('Lorri 401b'!N4819,'Retirement Calculator'!A:A,0),0),0)</f>
        <v>0</v>
      </c>
      <c r="K4819" s="444">
        <f t="shared" ca="1" si="173"/>
        <v>-467056221449.31952</v>
      </c>
      <c r="L4819" s="444">
        <f t="shared" ca="1" si="174"/>
        <v>-112560549369285.98</v>
      </c>
      <c r="M4819" s="460">
        <f t="shared" si="176"/>
        <v>0.05</v>
      </c>
      <c r="N4819" s="464">
        <f t="shared" si="177"/>
        <v>197719</v>
      </c>
    </row>
    <row r="4820" spans="7:14" ht="11.25" customHeight="1" x14ac:dyDescent="0.3">
      <c r="G4820" s="459"/>
      <c r="H4820" s="459">
        <v>4813</v>
      </c>
      <c r="I4820" s="444">
        <f t="shared" ca="1" si="175"/>
        <v>-112560549369285.98</v>
      </c>
      <c r="J4820" s="444">
        <f t="array" ref="J4820">IFERROR(INDEX('Retirement Calculator'!K:K,MATCH('Lorri 401b'!N4820,'Retirement Calculator'!A:A,0),0),0)</f>
        <v>0</v>
      </c>
      <c r="K4820" s="444">
        <f t="shared" ca="1" si="173"/>
        <v>-469002289038.69153</v>
      </c>
      <c r="L4820" s="444">
        <f t="shared" ca="1" si="174"/>
        <v>-113029551658324.67</v>
      </c>
      <c r="M4820" s="460">
        <f t="shared" si="176"/>
        <v>0.05</v>
      </c>
      <c r="N4820" s="464">
        <f t="shared" si="177"/>
        <v>197750</v>
      </c>
    </row>
    <row r="4821" spans="7:14" ht="11.25" customHeight="1" x14ac:dyDescent="0.3">
      <c r="G4821" s="459"/>
      <c r="H4821" s="459">
        <v>4814</v>
      </c>
      <c r="I4821" s="444">
        <f t="shared" ca="1" si="175"/>
        <v>-113029551658324.67</v>
      </c>
      <c r="J4821" s="444">
        <f t="array" ref="J4821">IFERROR(INDEX('Retirement Calculator'!K:K,MATCH('Lorri 401b'!N4821,'Retirement Calculator'!A:A,0),0),0)</f>
        <v>0</v>
      </c>
      <c r="K4821" s="444">
        <f t="shared" ca="1" si="173"/>
        <v>-470956465243.01947</v>
      </c>
      <c r="L4821" s="444">
        <f t="shared" ca="1" si="174"/>
        <v>-113500508123567.69</v>
      </c>
      <c r="M4821" s="460">
        <f t="shared" si="176"/>
        <v>0.05</v>
      </c>
      <c r="N4821" s="464">
        <f t="shared" si="177"/>
        <v>197780</v>
      </c>
    </row>
    <row r="4822" spans="7:14" ht="11.25" customHeight="1" x14ac:dyDescent="0.3">
      <c r="G4822" s="459"/>
      <c r="H4822" s="459">
        <v>4815</v>
      </c>
      <c r="I4822" s="444">
        <f t="shared" ca="1" si="175"/>
        <v>-113500508123567.69</v>
      </c>
      <c r="J4822" s="444">
        <f t="array" ref="J4822">IFERROR(INDEX('Retirement Calculator'!K:K,MATCH('Lorri 401b'!N4822,'Retirement Calculator'!A:A,0),0),0)</f>
        <v>0</v>
      </c>
      <c r="K4822" s="444">
        <f t="shared" ca="1" si="173"/>
        <v>-472918783848.19861</v>
      </c>
      <c r="L4822" s="444">
        <f t="shared" ca="1" si="174"/>
        <v>-113973426907415.89</v>
      </c>
      <c r="M4822" s="460">
        <f t="shared" si="176"/>
        <v>0.05</v>
      </c>
      <c r="N4822" s="464">
        <f t="shared" si="177"/>
        <v>197811</v>
      </c>
    </row>
    <row r="4823" spans="7:14" ht="11.25" customHeight="1" x14ac:dyDescent="0.3">
      <c r="G4823" s="459"/>
      <c r="H4823" s="459">
        <v>4816</v>
      </c>
      <c r="I4823" s="444">
        <f t="shared" ca="1" si="175"/>
        <v>-113973426907415.89</v>
      </c>
      <c r="J4823" s="444">
        <f t="array" ref="J4823">IFERROR(INDEX('Retirement Calculator'!K:K,MATCH('Lorri 401b'!N4823,'Retirement Calculator'!A:A,0),0),0)</f>
        <v>0</v>
      </c>
      <c r="K4823" s="444">
        <f t="shared" ca="1" si="173"/>
        <v>-474889278780.89954</v>
      </c>
      <c r="L4823" s="444">
        <f t="shared" ca="1" si="174"/>
        <v>-114448316186196.8</v>
      </c>
      <c r="M4823" s="460">
        <f t="shared" si="176"/>
        <v>0.05</v>
      </c>
      <c r="N4823" s="464">
        <f t="shared" si="177"/>
        <v>197842</v>
      </c>
    </row>
    <row r="4824" spans="7:14" ht="11.25" customHeight="1" x14ac:dyDescent="0.3">
      <c r="G4824" s="459"/>
      <c r="H4824" s="459">
        <v>4817</v>
      </c>
      <c r="I4824" s="444">
        <f t="shared" ca="1" si="175"/>
        <v>-114448316186196.8</v>
      </c>
      <c r="J4824" s="444">
        <f t="array" ref="J4824">IFERROR(INDEX('Retirement Calculator'!K:K,MATCH('Lorri 401b'!N4824,'Retirement Calculator'!A:A,0),0),0)</f>
        <v>0</v>
      </c>
      <c r="K4824" s="444">
        <f t="shared" ca="1" si="173"/>
        <v>-476867984109.15338</v>
      </c>
      <c r="L4824" s="444">
        <f t="shared" ca="1" si="174"/>
        <v>-114925184170305.95</v>
      </c>
      <c r="M4824" s="460">
        <f t="shared" si="176"/>
        <v>0.05</v>
      </c>
      <c r="N4824" s="464">
        <f t="shared" si="177"/>
        <v>197872</v>
      </c>
    </row>
    <row r="4825" spans="7:14" ht="11.25" customHeight="1" x14ac:dyDescent="0.3">
      <c r="G4825" s="459"/>
      <c r="H4825" s="459">
        <v>4818</v>
      </c>
      <c r="I4825" s="444">
        <f t="shared" ca="1" si="175"/>
        <v>-114925184170305.95</v>
      </c>
      <c r="J4825" s="444">
        <f t="array" ref="J4825">IFERROR(INDEX('Retirement Calculator'!K:K,MATCH('Lorri 401b'!N4825,'Retirement Calculator'!A:A,0),0),0)</f>
        <v>0</v>
      </c>
      <c r="K4825" s="444">
        <f t="shared" ca="1" si="173"/>
        <v>-478854934042.94147</v>
      </c>
      <c r="L4825" s="444">
        <f t="shared" ca="1" si="174"/>
        <v>-115404039104348.89</v>
      </c>
      <c r="M4825" s="460">
        <f t="shared" si="176"/>
        <v>0.05</v>
      </c>
      <c r="N4825" s="464">
        <f t="shared" si="177"/>
        <v>197903</v>
      </c>
    </row>
    <row r="4826" spans="7:14" ht="11.25" customHeight="1" x14ac:dyDescent="0.3">
      <c r="G4826" s="459"/>
      <c r="H4826" s="459">
        <v>4819</v>
      </c>
      <c r="I4826" s="444">
        <f t="shared" ca="1" si="175"/>
        <v>-115404039104348.89</v>
      </c>
      <c r="J4826" s="444">
        <f t="array" ref="J4826">IFERROR(INDEX('Retirement Calculator'!K:K,MATCH('Lorri 401b'!N4826,'Retirement Calculator'!A:A,0),0),0)</f>
        <v>0</v>
      </c>
      <c r="K4826" s="444">
        <f t="shared" ca="1" si="173"/>
        <v>-480850162934.78705</v>
      </c>
      <c r="L4826" s="444">
        <f t="shared" ca="1" si="174"/>
        <v>-115884889267283.67</v>
      </c>
      <c r="M4826" s="460">
        <f t="shared" si="176"/>
        <v>0.05</v>
      </c>
      <c r="N4826" s="464">
        <f t="shared" si="177"/>
        <v>197933</v>
      </c>
    </row>
    <row r="4827" spans="7:14" ht="11.25" customHeight="1" x14ac:dyDescent="0.3">
      <c r="G4827" s="459"/>
      <c r="H4827" s="459">
        <v>4820</v>
      </c>
      <c r="I4827" s="444">
        <f t="shared" ca="1" si="175"/>
        <v>-115884889267283.67</v>
      </c>
      <c r="J4827" s="444">
        <f t="array" ref="J4827">IFERROR(INDEX('Retirement Calculator'!K:K,MATCH('Lorri 401b'!N4827,'Retirement Calculator'!A:A,0),0),0)</f>
        <v>0</v>
      </c>
      <c r="K4827" s="444">
        <f t="shared" ca="1" si="173"/>
        <v>-482853705280.34863</v>
      </c>
      <c r="L4827" s="444">
        <f t="shared" ca="1" si="174"/>
        <v>-116367742972564.02</v>
      </c>
      <c r="M4827" s="460">
        <f t="shared" si="176"/>
        <v>0.05</v>
      </c>
      <c r="N4827" s="464">
        <f t="shared" si="177"/>
        <v>197964</v>
      </c>
    </row>
    <row r="4828" spans="7:14" ht="11.25" customHeight="1" x14ac:dyDescent="0.3">
      <c r="G4828" s="459"/>
      <c r="H4828" s="459">
        <v>4821</v>
      </c>
      <c r="I4828" s="444">
        <f t="shared" ca="1" si="175"/>
        <v>-116367742972564.02</v>
      </c>
      <c r="J4828" s="444">
        <f t="array" ref="J4828">IFERROR(INDEX('Retirement Calculator'!K:K,MATCH('Lorri 401b'!N4828,'Retirement Calculator'!A:A,0),0),0)</f>
        <v>0</v>
      </c>
      <c r="K4828" s="444">
        <f t="shared" ca="1" si="173"/>
        <v>-484865595719.01672</v>
      </c>
      <c r="L4828" s="444">
        <f t="shared" ca="1" si="174"/>
        <v>-116852608568283.03</v>
      </c>
      <c r="M4828" s="460">
        <f t="shared" si="176"/>
        <v>0.05</v>
      </c>
      <c r="N4828" s="464">
        <f t="shared" si="177"/>
        <v>197995</v>
      </c>
    </row>
    <row r="4829" spans="7:14" ht="11.25" customHeight="1" x14ac:dyDescent="0.3">
      <c r="G4829" s="459"/>
      <c r="H4829" s="459">
        <v>4822</v>
      </c>
      <c r="I4829" s="444">
        <f t="shared" ca="1" si="175"/>
        <v>-116852608568283.03</v>
      </c>
      <c r="J4829" s="444">
        <f t="array" ref="J4829">IFERROR(INDEX('Retirement Calculator'!K:K,MATCH('Lorri 401b'!N4829,'Retirement Calculator'!A:A,0),0),0)</f>
        <v>0</v>
      </c>
      <c r="K4829" s="444">
        <f t="shared" ca="1" si="173"/>
        <v>-486885869034.51257</v>
      </c>
      <c r="L4829" s="444">
        <f t="shared" ca="1" si="174"/>
        <v>-117339494437317.55</v>
      </c>
      <c r="M4829" s="460">
        <f t="shared" si="176"/>
        <v>0.05</v>
      </c>
      <c r="N4829" s="464">
        <f t="shared" si="177"/>
        <v>198023</v>
      </c>
    </row>
    <row r="4830" spans="7:14" ht="11.25" customHeight="1" x14ac:dyDescent="0.3">
      <c r="G4830" s="459"/>
      <c r="H4830" s="459">
        <v>4823</v>
      </c>
      <c r="I4830" s="444">
        <f t="shared" ca="1" si="175"/>
        <v>-117339494437317.55</v>
      </c>
      <c r="J4830" s="444">
        <f t="array" ref="J4830">IFERROR(INDEX('Retirement Calculator'!K:K,MATCH('Lorri 401b'!N4830,'Retirement Calculator'!A:A,0),0),0)</f>
        <v>0</v>
      </c>
      <c r="K4830" s="444">
        <f t="shared" ca="1" si="173"/>
        <v>-488914560155.48975</v>
      </c>
      <c r="L4830" s="444">
        <f t="shared" ca="1" si="174"/>
        <v>-117828408997473.03</v>
      </c>
      <c r="M4830" s="460">
        <f t="shared" si="176"/>
        <v>0.05</v>
      </c>
      <c r="N4830" s="464">
        <f t="shared" si="177"/>
        <v>198054</v>
      </c>
    </row>
    <row r="4831" spans="7:14" ht="11.25" customHeight="1" x14ac:dyDescent="0.3">
      <c r="G4831" s="459"/>
      <c r="H4831" s="459">
        <v>4824</v>
      </c>
      <c r="I4831" s="444">
        <f t="shared" ca="1" si="175"/>
        <v>-117828408997473.03</v>
      </c>
      <c r="J4831" s="444">
        <f t="array" ref="J4831">IFERROR(INDEX('Retirement Calculator'!K:K,MATCH('Lorri 401b'!N4831,'Retirement Calculator'!A:A,0),0),0)</f>
        <v>0</v>
      </c>
      <c r="K4831" s="444">
        <f t="shared" ca="1" si="173"/>
        <v>-490951704156.13763</v>
      </c>
      <c r="L4831" s="444">
        <f t="shared" ca="1" si="174"/>
        <v>-118319360701629.17</v>
      </c>
      <c r="M4831" s="460">
        <f t="shared" si="176"/>
        <v>0.05</v>
      </c>
      <c r="N4831" s="464">
        <f t="shared" si="177"/>
        <v>198084</v>
      </c>
    </row>
    <row r="4832" spans="7:14" ht="11.25" customHeight="1" x14ac:dyDescent="0.3">
      <c r="G4832" s="459"/>
      <c r="H4832" s="459">
        <v>4825</v>
      </c>
      <c r="I4832" s="444">
        <f t="shared" ca="1" si="175"/>
        <v>-118319360701629.17</v>
      </c>
      <c r="J4832" s="444">
        <f t="array" ref="J4832">IFERROR(INDEX('Retirement Calculator'!K:K,MATCH('Lorri 401b'!N4832,'Retirement Calculator'!A:A,0),0),0)</f>
        <v>0</v>
      </c>
      <c r="K4832" s="444">
        <f t="shared" ca="1" si="173"/>
        <v>-492997336256.78815</v>
      </c>
      <c r="L4832" s="444">
        <f t="shared" ca="1" si="174"/>
        <v>-118812358037885.95</v>
      </c>
      <c r="M4832" s="460">
        <f t="shared" si="176"/>
        <v>0.05</v>
      </c>
      <c r="N4832" s="464">
        <f t="shared" si="177"/>
        <v>198115</v>
      </c>
    </row>
    <row r="4833" spans="7:14" ht="11.25" customHeight="1" x14ac:dyDescent="0.3">
      <c r="G4833" s="459"/>
      <c r="H4833" s="459">
        <v>4826</v>
      </c>
      <c r="I4833" s="444">
        <f t="shared" ca="1" si="175"/>
        <v>-118812358037885.95</v>
      </c>
      <c r="J4833" s="444">
        <f t="array" ref="J4833">IFERROR(INDEX('Retirement Calculator'!K:K,MATCH('Lorri 401b'!N4833,'Retirement Calculator'!A:A,0),0),0)</f>
        <v>0</v>
      </c>
      <c r="K4833" s="444">
        <f t="shared" ca="1" si="173"/>
        <v>-495051491824.52478</v>
      </c>
      <c r="L4833" s="444">
        <f t="shared" ca="1" si="174"/>
        <v>-119307409529710.48</v>
      </c>
      <c r="M4833" s="460">
        <f t="shared" si="176"/>
        <v>0.05</v>
      </c>
      <c r="N4833" s="464">
        <f t="shared" si="177"/>
        <v>198145</v>
      </c>
    </row>
    <row r="4834" spans="7:14" ht="11.25" customHeight="1" x14ac:dyDescent="0.3">
      <c r="G4834" s="459"/>
      <c r="H4834" s="459">
        <v>4827</v>
      </c>
      <c r="I4834" s="444">
        <f t="shared" ca="1" si="175"/>
        <v>-119307409529710.48</v>
      </c>
      <c r="J4834" s="444">
        <f t="array" ref="J4834">IFERROR(INDEX('Retirement Calculator'!K:K,MATCH('Lorri 401b'!N4834,'Retirement Calculator'!A:A,0),0),0)</f>
        <v>0</v>
      </c>
      <c r="K4834" s="444">
        <f t="shared" ca="1" si="173"/>
        <v>-497114206373.79364</v>
      </c>
      <c r="L4834" s="444">
        <f t="shared" ca="1" si="174"/>
        <v>-119804523736084.28</v>
      </c>
      <c r="M4834" s="460">
        <f t="shared" si="176"/>
        <v>0.05</v>
      </c>
      <c r="N4834" s="464">
        <f t="shared" si="177"/>
        <v>198176</v>
      </c>
    </row>
    <row r="4835" spans="7:14" ht="11.25" customHeight="1" x14ac:dyDescent="0.3">
      <c r="G4835" s="459"/>
      <c r="H4835" s="459">
        <v>4828</v>
      </c>
      <c r="I4835" s="444">
        <f t="shared" ca="1" si="175"/>
        <v>-119804523736084.28</v>
      </c>
      <c r="J4835" s="444">
        <f t="array" ref="J4835">IFERROR(INDEX('Retirement Calculator'!K:K,MATCH('Lorri 401b'!N4835,'Retirement Calculator'!A:A,0),0),0)</f>
        <v>0</v>
      </c>
      <c r="K4835" s="444">
        <f t="shared" ca="1" si="173"/>
        <v>-499185515567.01782</v>
      </c>
      <c r="L4835" s="444">
        <f t="shared" ca="1" si="174"/>
        <v>-120303709251651.3</v>
      </c>
      <c r="M4835" s="460">
        <f t="shared" si="176"/>
        <v>0.05</v>
      </c>
      <c r="N4835" s="464">
        <f t="shared" si="177"/>
        <v>198207</v>
      </c>
    </row>
    <row r="4836" spans="7:14" ht="11.25" customHeight="1" x14ac:dyDescent="0.3">
      <c r="G4836" s="459"/>
      <c r="H4836" s="459">
        <v>4829</v>
      </c>
      <c r="I4836" s="444">
        <f t="shared" ca="1" si="175"/>
        <v>-120303709251651.3</v>
      </c>
      <c r="J4836" s="444">
        <f t="array" ref="J4836">IFERROR(INDEX('Retirement Calculator'!K:K,MATCH('Lorri 401b'!N4836,'Retirement Calculator'!A:A,0),0),0)</f>
        <v>0</v>
      </c>
      <c r="K4836" s="444">
        <f t="shared" ca="1" si="173"/>
        <v>-501265455215.21375</v>
      </c>
      <c r="L4836" s="444">
        <f t="shared" ca="1" si="174"/>
        <v>-120804974706866.52</v>
      </c>
      <c r="M4836" s="460">
        <f t="shared" si="176"/>
        <v>0.05</v>
      </c>
      <c r="N4836" s="464">
        <f t="shared" si="177"/>
        <v>198237</v>
      </c>
    </row>
    <row r="4837" spans="7:14" ht="11.25" customHeight="1" x14ac:dyDescent="0.3">
      <c r="G4837" s="459"/>
      <c r="H4837" s="459">
        <v>4830</v>
      </c>
      <c r="I4837" s="444">
        <f t="shared" ca="1" si="175"/>
        <v>-120804974706866.52</v>
      </c>
      <c r="J4837" s="444">
        <f t="array" ref="J4837">IFERROR(INDEX('Retirement Calculator'!K:K,MATCH('Lorri 401b'!N4837,'Retirement Calculator'!A:A,0),0),0)</f>
        <v>0</v>
      </c>
      <c r="K4837" s="444">
        <f t="shared" ca="1" si="173"/>
        <v>-503354061278.61053</v>
      </c>
      <c r="L4837" s="444">
        <f t="shared" ca="1" si="174"/>
        <v>-121308328768145.13</v>
      </c>
      <c r="M4837" s="460">
        <f t="shared" si="176"/>
        <v>0.05</v>
      </c>
      <c r="N4837" s="464">
        <f t="shared" si="177"/>
        <v>198268</v>
      </c>
    </row>
    <row r="4838" spans="7:14" ht="11.25" customHeight="1" x14ac:dyDescent="0.3">
      <c r="G4838" s="459"/>
      <c r="H4838" s="459">
        <v>4831</v>
      </c>
      <c r="I4838" s="444">
        <f t="shared" ca="1" si="175"/>
        <v>-121308328768145.13</v>
      </c>
      <c r="J4838" s="444">
        <f t="array" ref="J4838">IFERROR(INDEX('Retirement Calculator'!K:K,MATCH('Lorri 401b'!N4838,'Retirement Calculator'!A:A,0),0),0)</f>
        <v>0</v>
      </c>
      <c r="K4838" s="444">
        <f t="shared" ca="1" si="173"/>
        <v>-505451369867.27136</v>
      </c>
      <c r="L4838" s="444">
        <f t="shared" ca="1" si="174"/>
        <v>-121813780138012.39</v>
      </c>
      <c r="M4838" s="460">
        <f t="shared" si="176"/>
        <v>0.05</v>
      </c>
      <c r="N4838" s="464">
        <f t="shared" si="177"/>
        <v>198298</v>
      </c>
    </row>
    <row r="4839" spans="7:14" ht="11.25" customHeight="1" x14ac:dyDescent="0.3">
      <c r="G4839" s="459"/>
      <c r="H4839" s="459">
        <v>4832</v>
      </c>
      <c r="I4839" s="444">
        <f t="shared" ca="1" si="175"/>
        <v>-121813780138012.39</v>
      </c>
      <c r="J4839" s="444">
        <f t="array" ref="J4839">IFERROR(INDEX('Retirement Calculator'!K:K,MATCH('Lorri 401b'!N4839,'Retirement Calculator'!A:A,0),0),0)</f>
        <v>0</v>
      </c>
      <c r="K4839" s="444">
        <f t="shared" ca="1" si="173"/>
        <v>-507557417241.71832</v>
      </c>
      <c r="L4839" s="444">
        <f t="shared" ca="1" si="174"/>
        <v>-122321337555254.11</v>
      </c>
      <c r="M4839" s="460">
        <f t="shared" si="176"/>
        <v>0.05</v>
      </c>
      <c r="N4839" s="464">
        <f t="shared" si="177"/>
        <v>198329</v>
      </c>
    </row>
    <row r="4840" spans="7:14" ht="11.25" customHeight="1" x14ac:dyDescent="0.3">
      <c r="G4840" s="459"/>
      <c r="H4840" s="459">
        <v>4833</v>
      </c>
      <c r="I4840" s="444">
        <f t="shared" ca="1" si="175"/>
        <v>-122321337555254.11</v>
      </c>
      <c r="J4840" s="444">
        <f t="array" ref="J4840">IFERROR(INDEX('Retirement Calculator'!K:K,MATCH('Lorri 401b'!N4840,'Retirement Calculator'!A:A,0),0),0)</f>
        <v>0</v>
      </c>
      <c r="K4840" s="444">
        <f t="shared" ca="1" si="173"/>
        <v>-509672239813.55878</v>
      </c>
      <c r="L4840" s="444">
        <f t="shared" ca="1" si="174"/>
        <v>-122831009795067.67</v>
      </c>
      <c r="M4840" s="460">
        <f t="shared" si="176"/>
        <v>0.05</v>
      </c>
      <c r="N4840" s="464">
        <f t="shared" si="177"/>
        <v>198360</v>
      </c>
    </row>
    <row r="4841" spans="7:14" ht="11.25" customHeight="1" x14ac:dyDescent="0.3">
      <c r="G4841" s="459"/>
      <c r="H4841" s="459">
        <v>4834</v>
      </c>
      <c r="I4841" s="444">
        <f t="shared" ca="1" si="175"/>
        <v>-122831009795067.67</v>
      </c>
      <c r="J4841" s="444">
        <f t="array" ref="J4841">IFERROR(INDEX('Retirement Calculator'!K:K,MATCH('Lorri 401b'!N4841,'Retirement Calculator'!A:A,0),0),0)</f>
        <v>0</v>
      </c>
      <c r="K4841" s="444">
        <f t="shared" ca="1" si="173"/>
        <v>-511795874146.1153</v>
      </c>
      <c r="L4841" s="444">
        <f t="shared" ca="1" si="174"/>
        <v>-123342805669213.78</v>
      </c>
      <c r="M4841" s="460">
        <f t="shared" si="176"/>
        <v>0.05</v>
      </c>
      <c r="N4841" s="464">
        <f t="shared" si="177"/>
        <v>198388</v>
      </c>
    </row>
    <row r="4842" spans="7:14" ht="11.25" customHeight="1" x14ac:dyDescent="0.3">
      <c r="G4842" s="459"/>
      <c r="H4842" s="459">
        <v>4835</v>
      </c>
      <c r="I4842" s="444">
        <f t="shared" ca="1" si="175"/>
        <v>-123342805669213.78</v>
      </c>
      <c r="J4842" s="444">
        <f t="array" ref="J4842">IFERROR(INDEX('Retirement Calculator'!K:K,MATCH('Lorri 401b'!N4842,'Retirement Calculator'!A:A,0),0),0)</f>
        <v>0</v>
      </c>
      <c r="K4842" s="444">
        <f t="shared" ca="1" si="173"/>
        <v>-513928356955.05743</v>
      </c>
      <c r="L4842" s="444">
        <f t="shared" ca="1" si="174"/>
        <v>-123856734026168.84</v>
      </c>
      <c r="M4842" s="460">
        <f t="shared" si="176"/>
        <v>0.05</v>
      </c>
      <c r="N4842" s="464">
        <f t="shared" si="177"/>
        <v>198419</v>
      </c>
    </row>
    <row r="4843" spans="7:14" ht="11.25" customHeight="1" x14ac:dyDescent="0.3">
      <c r="G4843" s="459"/>
      <c r="H4843" s="459">
        <v>4836</v>
      </c>
      <c r="I4843" s="444">
        <f t="shared" ca="1" si="175"/>
        <v>-123856734026168.84</v>
      </c>
      <c r="J4843" s="444">
        <f t="array" ref="J4843">IFERROR(INDEX('Retirement Calculator'!K:K,MATCH('Lorri 401b'!N4843,'Retirement Calculator'!A:A,0),0),0)</f>
        <v>0</v>
      </c>
      <c r="K4843" s="444">
        <f t="shared" ca="1" si="173"/>
        <v>-516069725109.03687</v>
      </c>
      <c r="L4843" s="444">
        <f t="shared" ca="1" si="174"/>
        <v>-124372803751277.88</v>
      </c>
      <c r="M4843" s="460">
        <f t="shared" si="176"/>
        <v>0.05</v>
      </c>
      <c r="N4843" s="464">
        <f t="shared" si="177"/>
        <v>198449</v>
      </c>
    </row>
    <row r="4844" spans="7:14" ht="11.25" customHeight="1" x14ac:dyDescent="0.3">
      <c r="G4844" s="459"/>
      <c r="H4844" s="459">
        <v>4837</v>
      </c>
      <c r="I4844" s="444">
        <f t="shared" ca="1" si="175"/>
        <v>-124372803751277.88</v>
      </c>
      <c r="J4844" s="444">
        <f t="array" ref="J4844">IFERROR(INDEX('Retirement Calculator'!K:K,MATCH('Lorri 401b'!N4844,'Retirement Calculator'!A:A,0),0),0)</f>
        <v>0</v>
      </c>
      <c r="K4844" s="444">
        <f t="shared" ca="1" si="173"/>
        <v>-518220015630.32446</v>
      </c>
      <c r="L4844" s="444">
        <f t="shared" ca="1" si="174"/>
        <v>-124891023766908.2</v>
      </c>
      <c r="M4844" s="460">
        <f t="shared" si="176"/>
        <v>0.05</v>
      </c>
      <c r="N4844" s="464">
        <f t="shared" si="177"/>
        <v>198480</v>
      </c>
    </row>
    <row r="4845" spans="7:14" ht="11.25" customHeight="1" x14ac:dyDescent="0.3">
      <c r="G4845" s="459"/>
      <c r="H4845" s="459">
        <v>4838</v>
      </c>
      <c r="I4845" s="444">
        <f t="shared" ca="1" si="175"/>
        <v>-124891023766908.2</v>
      </c>
      <c r="J4845" s="444">
        <f t="array" ref="J4845">IFERROR(INDEX('Retirement Calculator'!K:K,MATCH('Lorri 401b'!N4845,'Retirement Calculator'!A:A,0),0),0)</f>
        <v>0</v>
      </c>
      <c r="K4845" s="444">
        <f t="shared" ca="1" si="173"/>
        <v>-520379265695.45093</v>
      </c>
      <c r="L4845" s="444">
        <f t="shared" ca="1" si="174"/>
        <v>-125411403032603.66</v>
      </c>
      <c r="M4845" s="460">
        <f t="shared" si="176"/>
        <v>0.05</v>
      </c>
      <c r="N4845" s="464">
        <f t="shared" si="177"/>
        <v>198510</v>
      </c>
    </row>
    <row r="4846" spans="7:14" ht="11.25" customHeight="1" x14ac:dyDescent="0.3">
      <c r="G4846" s="459"/>
      <c r="H4846" s="459">
        <v>4839</v>
      </c>
      <c r="I4846" s="444">
        <f t="shared" ca="1" si="175"/>
        <v>-125411403032603.66</v>
      </c>
      <c r="J4846" s="444">
        <f t="array" ref="J4846">IFERROR(INDEX('Retirement Calculator'!K:K,MATCH('Lorri 401b'!N4846,'Retirement Calculator'!A:A,0),0),0)</f>
        <v>0</v>
      </c>
      <c r="K4846" s="444">
        <f t="shared" ca="1" si="173"/>
        <v>-522547512635.84857</v>
      </c>
      <c r="L4846" s="444">
        <f t="shared" ca="1" si="174"/>
        <v>-125933950545239.5</v>
      </c>
      <c r="M4846" s="460">
        <f t="shared" si="176"/>
        <v>0.05</v>
      </c>
      <c r="N4846" s="464">
        <f t="shared" si="177"/>
        <v>198541</v>
      </c>
    </row>
    <row r="4847" spans="7:14" ht="11.25" customHeight="1" x14ac:dyDescent="0.3">
      <c r="G4847" s="459"/>
      <c r="H4847" s="459">
        <v>4840</v>
      </c>
      <c r="I4847" s="444">
        <f t="shared" ca="1" si="175"/>
        <v>-125933950545239.5</v>
      </c>
      <c r="J4847" s="444">
        <f t="array" ref="J4847">IFERROR(INDEX('Retirement Calculator'!K:K,MATCH('Lorri 401b'!N4847,'Retirement Calculator'!A:A,0),0),0)</f>
        <v>0</v>
      </c>
      <c r="K4847" s="444">
        <f t="shared" ca="1" si="173"/>
        <v>-524724793938.49792</v>
      </c>
      <c r="L4847" s="444">
        <f t="shared" ca="1" si="174"/>
        <v>-126458675339178</v>
      </c>
      <c r="M4847" s="460">
        <f t="shared" si="176"/>
        <v>0.05</v>
      </c>
      <c r="N4847" s="464">
        <f t="shared" si="177"/>
        <v>198572</v>
      </c>
    </row>
    <row r="4848" spans="7:14" ht="11.25" customHeight="1" x14ac:dyDescent="0.3">
      <c r="G4848" s="459"/>
      <c r="H4848" s="459">
        <v>4841</v>
      </c>
      <c r="I4848" s="444">
        <f t="shared" ca="1" si="175"/>
        <v>-126458675339178</v>
      </c>
      <c r="J4848" s="444">
        <f t="array" ref="J4848">IFERROR(INDEX('Retirement Calculator'!K:K,MATCH('Lorri 401b'!N4848,'Retirement Calculator'!A:A,0),0),0)</f>
        <v>0</v>
      </c>
      <c r="K4848" s="444">
        <f t="shared" ca="1" si="173"/>
        <v>-526911147246.57501</v>
      </c>
      <c r="L4848" s="444">
        <f t="shared" ca="1" si="174"/>
        <v>-126985586486424.58</v>
      </c>
      <c r="M4848" s="460">
        <f t="shared" si="176"/>
        <v>0.05</v>
      </c>
      <c r="N4848" s="464">
        <f t="shared" si="177"/>
        <v>198602</v>
      </c>
    </row>
    <row r="4849" spans="7:14" ht="11.25" customHeight="1" x14ac:dyDescent="0.3">
      <c r="G4849" s="459"/>
      <c r="H4849" s="459">
        <v>4842</v>
      </c>
      <c r="I4849" s="444">
        <f t="shared" ca="1" si="175"/>
        <v>-126985586486424.58</v>
      </c>
      <c r="J4849" s="444">
        <f t="array" ref="J4849">IFERROR(INDEX('Retirement Calculator'!K:K,MATCH('Lorri 401b'!N4849,'Retirement Calculator'!A:A,0),0),0)</f>
        <v>0</v>
      </c>
      <c r="K4849" s="444">
        <f t="shared" ca="1" si="173"/>
        <v>-529106610360.10248</v>
      </c>
      <c r="L4849" s="444">
        <f t="shared" ca="1" si="174"/>
        <v>-127514693096784.69</v>
      </c>
      <c r="M4849" s="460">
        <f t="shared" si="176"/>
        <v>0.05</v>
      </c>
      <c r="N4849" s="464">
        <f t="shared" si="177"/>
        <v>198633</v>
      </c>
    </row>
    <row r="4850" spans="7:14" ht="11.25" customHeight="1" x14ac:dyDescent="0.3">
      <c r="G4850" s="459"/>
      <c r="H4850" s="459">
        <v>4843</v>
      </c>
      <c r="I4850" s="444">
        <f t="shared" ca="1" si="175"/>
        <v>-127514693096784.69</v>
      </c>
      <c r="J4850" s="444">
        <f t="array" ref="J4850">IFERROR(INDEX('Retirement Calculator'!K:K,MATCH('Lorri 401b'!N4850,'Retirement Calculator'!A:A,0),0),0)</f>
        <v>0</v>
      </c>
      <c r="K4850" s="444">
        <f t="shared" ca="1" si="173"/>
        <v>-531311221236.60284</v>
      </c>
      <c r="L4850" s="444">
        <f t="shared" ca="1" si="174"/>
        <v>-128046004318021.3</v>
      </c>
      <c r="M4850" s="460">
        <f t="shared" si="176"/>
        <v>0.05</v>
      </c>
      <c r="N4850" s="464">
        <f t="shared" si="177"/>
        <v>198663</v>
      </c>
    </row>
    <row r="4851" spans="7:14" ht="11.25" customHeight="1" x14ac:dyDescent="0.3">
      <c r="G4851" s="459"/>
      <c r="H4851" s="459">
        <v>4844</v>
      </c>
      <c r="I4851" s="444">
        <f t="shared" ca="1" si="175"/>
        <v>-128046004318021.3</v>
      </c>
      <c r="J4851" s="444">
        <f t="array" ref="J4851">IFERROR(INDEX('Retirement Calculator'!K:K,MATCH('Lorri 401b'!N4851,'Retirement Calculator'!A:A,0),0),0)</f>
        <v>0</v>
      </c>
      <c r="K4851" s="444">
        <f t="shared" ca="1" si="173"/>
        <v>-533525017991.75537</v>
      </c>
      <c r="L4851" s="444">
        <f t="shared" ca="1" si="174"/>
        <v>-128579529336013.05</v>
      </c>
      <c r="M4851" s="460">
        <f t="shared" si="176"/>
        <v>0.05</v>
      </c>
      <c r="N4851" s="464">
        <f t="shared" si="177"/>
        <v>198694</v>
      </c>
    </row>
    <row r="4852" spans="7:14" ht="11.25" customHeight="1" x14ac:dyDescent="0.3">
      <c r="G4852" s="459"/>
      <c r="H4852" s="459">
        <v>4845</v>
      </c>
      <c r="I4852" s="444">
        <f t="shared" ca="1" si="175"/>
        <v>-128579529336013.05</v>
      </c>
      <c r="J4852" s="444">
        <f t="array" ref="J4852">IFERROR(INDEX('Retirement Calculator'!K:K,MATCH('Lorri 401b'!N4852,'Retirement Calculator'!A:A,0),0),0)</f>
        <v>0</v>
      </c>
      <c r="K4852" s="444">
        <f t="shared" ca="1" si="173"/>
        <v>-535748038900.05438</v>
      </c>
      <c r="L4852" s="444">
        <f t="shared" ca="1" si="174"/>
        <v>-129115277374913.09</v>
      </c>
      <c r="M4852" s="460">
        <f t="shared" si="176"/>
        <v>0.05</v>
      </c>
      <c r="N4852" s="464">
        <f t="shared" si="177"/>
        <v>198725</v>
      </c>
    </row>
    <row r="4853" spans="7:14" ht="11.25" customHeight="1" x14ac:dyDescent="0.3">
      <c r="G4853" s="459"/>
      <c r="H4853" s="459">
        <v>4846</v>
      </c>
      <c r="I4853" s="444">
        <f t="shared" ca="1" si="175"/>
        <v>-129115277374913.09</v>
      </c>
      <c r="J4853" s="444">
        <f t="array" ref="J4853">IFERROR(INDEX('Retirement Calculator'!K:K,MATCH('Lorri 401b'!N4853,'Retirement Calculator'!A:A,0),0),0)</f>
        <v>0</v>
      </c>
      <c r="K4853" s="444">
        <f t="shared" ref="K4853:K5107" ca="1" si="178">IPMT(M4853/12,1,12,-I4853+J4853,,0)</f>
        <v>-537980322395.47119</v>
      </c>
      <c r="L4853" s="444">
        <f t="shared" ref="L4853:L5107" ca="1" si="179">I4853-J4853+K4853</f>
        <v>-129653257697308.56</v>
      </c>
      <c r="M4853" s="460">
        <f t="shared" si="176"/>
        <v>0.05</v>
      </c>
      <c r="N4853" s="464">
        <f t="shared" si="177"/>
        <v>198754</v>
      </c>
    </row>
    <row r="4854" spans="7:14" ht="11.25" customHeight="1" x14ac:dyDescent="0.3">
      <c r="G4854" s="459"/>
      <c r="H4854" s="459">
        <v>4847</v>
      </c>
      <c r="I4854" s="444">
        <f t="shared" ref="I4854:I5108" ca="1" si="180">L4853</f>
        <v>-129653257697308.56</v>
      </c>
      <c r="J4854" s="444">
        <f t="array" ref="J4854">IFERROR(INDEX('Retirement Calculator'!K:K,MATCH('Lorri 401b'!N4854,'Retirement Calculator'!A:A,0),0),0)</f>
        <v>0</v>
      </c>
      <c r="K4854" s="444">
        <f t="shared" ca="1" si="178"/>
        <v>-540221907072.11908</v>
      </c>
      <c r="L4854" s="444">
        <f t="shared" ca="1" si="179"/>
        <v>-130193479604380.69</v>
      </c>
      <c r="M4854" s="460">
        <f t="shared" ref="M4854:M5108" si="181">M4853</f>
        <v>0.05</v>
      </c>
      <c r="N4854" s="464">
        <f t="shared" ref="N4854:N5108" si="182">EDATE(N4853,1)</f>
        <v>198785</v>
      </c>
    </row>
    <row r="4855" spans="7:14" ht="11.25" customHeight="1" x14ac:dyDescent="0.3">
      <c r="G4855" s="459"/>
      <c r="H4855" s="459">
        <v>4848</v>
      </c>
      <c r="I4855" s="444">
        <f t="shared" ca="1" si="180"/>
        <v>-130193479604380.69</v>
      </c>
      <c r="J4855" s="444">
        <f t="array" ref="J4855">IFERROR(INDEX('Retirement Calculator'!K:K,MATCH('Lorri 401b'!N4855,'Retirement Calculator'!A:A,0),0),0)</f>
        <v>0</v>
      </c>
      <c r="K4855" s="444">
        <f t="shared" ca="1" si="178"/>
        <v>-542472831684.91943</v>
      </c>
      <c r="L4855" s="444">
        <f t="shared" ca="1" si="179"/>
        <v>-130735952436065.61</v>
      </c>
      <c r="M4855" s="460">
        <f t="shared" si="181"/>
        <v>0.05</v>
      </c>
      <c r="N4855" s="464">
        <f t="shared" si="182"/>
        <v>198815</v>
      </c>
    </row>
    <row r="4856" spans="7:14" ht="11.25" customHeight="1" x14ac:dyDescent="0.3">
      <c r="G4856" s="459"/>
      <c r="H4856" s="459">
        <v>4849</v>
      </c>
      <c r="I4856" s="444">
        <f t="shared" ca="1" si="180"/>
        <v>-130735952436065.61</v>
      </c>
      <c r="J4856" s="444">
        <f t="array" ref="J4856">IFERROR(INDEX('Retirement Calculator'!K:K,MATCH('Lorri 401b'!N4856,'Retirement Calculator'!A:A,0),0),0)</f>
        <v>0</v>
      </c>
      <c r="K4856" s="444">
        <f t="shared" ca="1" si="178"/>
        <v>-544733135150.27338</v>
      </c>
      <c r="L4856" s="444">
        <f t="shared" ca="1" si="179"/>
        <v>-131280685571215.88</v>
      </c>
      <c r="M4856" s="460">
        <f t="shared" si="181"/>
        <v>0.05</v>
      </c>
      <c r="N4856" s="464">
        <f t="shared" si="182"/>
        <v>198846</v>
      </c>
    </row>
    <row r="4857" spans="7:14" ht="11.25" customHeight="1" x14ac:dyDescent="0.3">
      <c r="G4857" s="459"/>
      <c r="H4857" s="459">
        <v>4850</v>
      </c>
      <c r="I4857" s="444">
        <f t="shared" ca="1" si="180"/>
        <v>-131280685571215.88</v>
      </c>
      <c r="J4857" s="444">
        <f t="array" ref="J4857">IFERROR(INDEX('Retirement Calculator'!K:K,MATCH('Lorri 401b'!N4857,'Retirement Calculator'!A:A,0),0),0)</f>
        <v>0</v>
      </c>
      <c r="K4857" s="444">
        <f t="shared" ca="1" si="178"/>
        <v>-547002856546.73273</v>
      </c>
      <c r="L4857" s="444">
        <f t="shared" ca="1" si="179"/>
        <v>-131827688427762.61</v>
      </c>
      <c r="M4857" s="460">
        <f t="shared" si="181"/>
        <v>0.05</v>
      </c>
      <c r="N4857" s="464">
        <f t="shared" si="182"/>
        <v>198876</v>
      </c>
    </row>
    <row r="4858" spans="7:14" ht="11.25" customHeight="1" x14ac:dyDescent="0.3">
      <c r="G4858" s="459"/>
      <c r="H4858" s="459">
        <v>4851</v>
      </c>
      <c r="I4858" s="444">
        <f t="shared" ca="1" si="180"/>
        <v>-131827688427762.61</v>
      </c>
      <c r="J4858" s="444">
        <f t="array" ref="J4858">IFERROR(INDEX('Retirement Calculator'!K:K,MATCH('Lorri 401b'!N4858,'Retirement Calculator'!A:A,0),0),0)</f>
        <v>0</v>
      </c>
      <c r="K4858" s="444">
        <f t="shared" ca="1" si="178"/>
        <v>-549282035115.67755</v>
      </c>
      <c r="L4858" s="444">
        <f t="shared" ca="1" si="179"/>
        <v>-132376970462878.28</v>
      </c>
      <c r="M4858" s="460">
        <f t="shared" si="181"/>
        <v>0.05</v>
      </c>
      <c r="N4858" s="464">
        <f t="shared" si="182"/>
        <v>198907</v>
      </c>
    </row>
    <row r="4859" spans="7:14" ht="11.25" customHeight="1" x14ac:dyDescent="0.3">
      <c r="G4859" s="459"/>
      <c r="H4859" s="459">
        <v>4852</v>
      </c>
      <c r="I4859" s="444">
        <f t="shared" ca="1" si="180"/>
        <v>-132376970462878.28</v>
      </c>
      <c r="J4859" s="444">
        <f t="array" ref="J4859">IFERROR(INDEX('Retirement Calculator'!K:K,MATCH('Lorri 401b'!N4859,'Retirement Calculator'!A:A,0),0),0)</f>
        <v>0</v>
      </c>
      <c r="K4859" s="444">
        <f t="shared" ca="1" si="178"/>
        <v>-551570710261.9928</v>
      </c>
      <c r="L4859" s="444">
        <f t="shared" ca="1" si="179"/>
        <v>-132928541173140.28</v>
      </c>
      <c r="M4859" s="460">
        <f t="shared" si="181"/>
        <v>0.05</v>
      </c>
      <c r="N4859" s="464">
        <f t="shared" si="182"/>
        <v>198938</v>
      </c>
    </row>
    <row r="4860" spans="7:14" ht="11.25" customHeight="1" x14ac:dyDescent="0.3">
      <c r="G4860" s="459"/>
      <c r="H4860" s="459">
        <v>4853</v>
      </c>
      <c r="I4860" s="444">
        <f t="shared" ca="1" si="180"/>
        <v>-132928541173140.28</v>
      </c>
      <c r="J4860" s="444">
        <f t="array" ref="J4860">IFERROR(INDEX('Retirement Calculator'!K:K,MATCH('Lorri 401b'!N4860,'Retirement Calculator'!A:A,0),0),0)</f>
        <v>0</v>
      </c>
      <c r="K4860" s="444">
        <f t="shared" ca="1" si="178"/>
        <v>-553868921554.75122</v>
      </c>
      <c r="L4860" s="444">
        <f t="shared" ca="1" si="179"/>
        <v>-133482410094695.03</v>
      </c>
      <c r="M4860" s="460">
        <f t="shared" si="181"/>
        <v>0.05</v>
      </c>
      <c r="N4860" s="464">
        <f t="shared" si="182"/>
        <v>198968</v>
      </c>
    </row>
    <row r="4861" spans="7:14" ht="11.25" customHeight="1" x14ac:dyDescent="0.3">
      <c r="G4861" s="459"/>
      <c r="H4861" s="459">
        <v>4854</v>
      </c>
      <c r="I4861" s="444">
        <f t="shared" ca="1" si="180"/>
        <v>-133482410094695.03</v>
      </c>
      <c r="J4861" s="444">
        <f t="array" ref="J4861">IFERROR(INDEX('Retirement Calculator'!K:K,MATCH('Lorri 401b'!N4861,'Retirement Calculator'!A:A,0),0),0)</f>
        <v>0</v>
      </c>
      <c r="K4861" s="444">
        <f t="shared" ca="1" si="178"/>
        <v>-556176708727.896</v>
      </c>
      <c r="L4861" s="444">
        <f t="shared" ca="1" si="179"/>
        <v>-134038586803422.92</v>
      </c>
      <c r="M4861" s="460">
        <f t="shared" si="181"/>
        <v>0.05</v>
      </c>
      <c r="N4861" s="464">
        <f t="shared" si="182"/>
        <v>198999</v>
      </c>
    </row>
    <row r="4862" spans="7:14" ht="11.25" customHeight="1" x14ac:dyDescent="0.3">
      <c r="G4862" s="459"/>
      <c r="H4862" s="459">
        <v>4855</v>
      </c>
      <c r="I4862" s="444">
        <f t="shared" ca="1" si="180"/>
        <v>-134038586803422.92</v>
      </c>
      <c r="J4862" s="444">
        <f t="array" ref="J4862">IFERROR(INDEX('Retirement Calculator'!K:K,MATCH('Lorri 401b'!N4862,'Retirement Calculator'!A:A,0),0),0)</f>
        <v>0</v>
      </c>
      <c r="K4862" s="444">
        <f t="shared" ca="1" si="178"/>
        <v>-558494111680.92883</v>
      </c>
      <c r="L4862" s="444">
        <f t="shared" ca="1" si="179"/>
        <v>-134597080915103.84</v>
      </c>
      <c r="M4862" s="460">
        <f t="shared" si="181"/>
        <v>0.05</v>
      </c>
      <c r="N4862" s="464">
        <f t="shared" si="182"/>
        <v>199029</v>
      </c>
    </row>
    <row r="4863" spans="7:14" ht="11.25" customHeight="1" x14ac:dyDescent="0.3">
      <c r="G4863" s="459"/>
      <c r="H4863" s="459">
        <v>4856</v>
      </c>
      <c r="I4863" s="444">
        <f t="shared" ca="1" si="180"/>
        <v>-134597080915103.84</v>
      </c>
      <c r="J4863" s="444">
        <f t="array" ref="J4863">IFERROR(INDEX('Retirement Calculator'!K:K,MATCH('Lorri 401b'!N4863,'Retirement Calculator'!A:A,0),0),0)</f>
        <v>0</v>
      </c>
      <c r="K4863" s="444">
        <f t="shared" ca="1" si="178"/>
        <v>-560821170479.59937</v>
      </c>
      <c r="L4863" s="444">
        <f t="shared" ca="1" si="179"/>
        <v>-135157902085583.44</v>
      </c>
      <c r="M4863" s="460">
        <f t="shared" si="181"/>
        <v>0.05</v>
      </c>
      <c r="N4863" s="464">
        <f t="shared" si="182"/>
        <v>199060</v>
      </c>
    </row>
    <row r="4864" spans="7:14" ht="11.25" customHeight="1" x14ac:dyDescent="0.3">
      <c r="G4864" s="459"/>
      <c r="H4864" s="459">
        <v>4857</v>
      </c>
      <c r="I4864" s="444">
        <f t="shared" ca="1" si="180"/>
        <v>-135157902085583.44</v>
      </c>
      <c r="J4864" s="444">
        <f t="array" ref="J4864">IFERROR(INDEX('Retirement Calculator'!K:K,MATCH('Lorri 401b'!N4864,'Retirement Calculator'!A:A,0),0),0)</f>
        <v>0</v>
      </c>
      <c r="K4864" s="444">
        <f t="shared" ca="1" si="178"/>
        <v>-563157925356.59766</v>
      </c>
      <c r="L4864" s="444">
        <f t="shared" ca="1" si="179"/>
        <v>-135721060010940.03</v>
      </c>
      <c r="M4864" s="460">
        <f t="shared" si="181"/>
        <v>0.05</v>
      </c>
      <c r="N4864" s="464">
        <f t="shared" si="182"/>
        <v>199091</v>
      </c>
    </row>
    <row r="4865" spans="7:14" ht="11.25" customHeight="1" x14ac:dyDescent="0.3">
      <c r="G4865" s="459"/>
      <c r="H4865" s="459">
        <v>4858</v>
      </c>
      <c r="I4865" s="444">
        <f t="shared" ca="1" si="180"/>
        <v>-135721060010940.03</v>
      </c>
      <c r="J4865" s="444">
        <f t="array" ref="J4865">IFERROR(INDEX('Retirement Calculator'!K:K,MATCH('Lorri 401b'!N4865,'Retirement Calculator'!A:A,0),0),0)</f>
        <v>0</v>
      </c>
      <c r="K4865" s="444">
        <f t="shared" ca="1" si="178"/>
        <v>-565504416712.25</v>
      </c>
      <c r="L4865" s="444">
        <f t="shared" ca="1" si="179"/>
        <v>-136286564427652.28</v>
      </c>
      <c r="M4865" s="460">
        <f t="shared" si="181"/>
        <v>0.05</v>
      </c>
      <c r="N4865" s="464">
        <f t="shared" si="182"/>
        <v>199119</v>
      </c>
    </row>
    <row r="4866" spans="7:14" ht="11.25" customHeight="1" x14ac:dyDescent="0.3">
      <c r="G4866" s="459"/>
      <c r="H4866" s="459">
        <v>4859</v>
      </c>
      <c r="I4866" s="444">
        <f t="shared" ca="1" si="180"/>
        <v>-136286564427652.28</v>
      </c>
      <c r="J4866" s="444">
        <f t="array" ref="J4866">IFERROR(INDEX('Retirement Calculator'!K:K,MATCH('Lorri 401b'!N4866,'Retirement Calculator'!A:A,0),0),0)</f>
        <v>0</v>
      </c>
      <c r="K4866" s="444">
        <f t="shared" ca="1" si="178"/>
        <v>-567860685115.21777</v>
      </c>
      <c r="L4866" s="444">
        <f t="shared" ca="1" si="179"/>
        <v>-136854425112767.5</v>
      </c>
      <c r="M4866" s="460">
        <f t="shared" si="181"/>
        <v>0.05</v>
      </c>
      <c r="N4866" s="464">
        <f t="shared" si="182"/>
        <v>199150</v>
      </c>
    </row>
    <row r="4867" spans="7:14" ht="11.25" customHeight="1" x14ac:dyDescent="0.3">
      <c r="G4867" s="459"/>
      <c r="H4867" s="459">
        <v>4860</v>
      </c>
      <c r="I4867" s="444">
        <f t="shared" ca="1" si="180"/>
        <v>-136854425112767.5</v>
      </c>
      <c r="J4867" s="444">
        <f t="array" ref="J4867">IFERROR(INDEX('Retirement Calculator'!K:K,MATCH('Lorri 401b'!N4867,'Retirement Calculator'!A:A,0),0),0)</f>
        <v>0</v>
      </c>
      <c r="K4867" s="444">
        <f t="shared" ca="1" si="178"/>
        <v>-570226771303.198</v>
      </c>
      <c r="L4867" s="444">
        <f t="shared" ca="1" si="179"/>
        <v>-137424651884070.7</v>
      </c>
      <c r="M4867" s="460">
        <f t="shared" si="181"/>
        <v>0.05</v>
      </c>
      <c r="N4867" s="464">
        <f t="shared" si="182"/>
        <v>199180</v>
      </c>
    </row>
    <row r="4868" spans="7:14" ht="11.25" customHeight="1" x14ac:dyDescent="0.3">
      <c r="G4868" s="459"/>
      <c r="H4868" s="459">
        <v>4861</v>
      </c>
      <c r="I4868" s="444">
        <f t="shared" ca="1" si="180"/>
        <v>-137424651884070.7</v>
      </c>
      <c r="J4868" s="444">
        <f t="array" ref="J4868">IFERROR(INDEX('Retirement Calculator'!K:K,MATCH('Lorri 401b'!N4868,'Retirement Calculator'!A:A,0),0),0)</f>
        <v>0</v>
      </c>
      <c r="K4868" s="444">
        <f t="shared" ca="1" si="178"/>
        <v>-572602716183.62781</v>
      </c>
      <c r="L4868" s="444">
        <f t="shared" ca="1" si="179"/>
        <v>-137997254600254.33</v>
      </c>
      <c r="M4868" s="460">
        <f t="shared" si="181"/>
        <v>0.05</v>
      </c>
      <c r="N4868" s="464">
        <f t="shared" si="182"/>
        <v>199211</v>
      </c>
    </row>
    <row r="4869" spans="7:14" ht="11.25" customHeight="1" x14ac:dyDescent="0.3">
      <c r="G4869" s="459"/>
      <c r="H4869" s="459">
        <v>4862</v>
      </c>
      <c r="I4869" s="444">
        <f t="shared" ca="1" si="180"/>
        <v>-137997254600254.33</v>
      </c>
      <c r="J4869" s="444">
        <f t="array" ref="J4869">IFERROR(INDEX('Retirement Calculator'!K:K,MATCH('Lorri 401b'!N4869,'Retirement Calculator'!A:A,0),0),0)</f>
        <v>0</v>
      </c>
      <c r="K4869" s="444">
        <f t="shared" ca="1" si="178"/>
        <v>-574988560834.39294</v>
      </c>
      <c r="L4869" s="444">
        <f t="shared" ca="1" si="179"/>
        <v>-138572243161088.72</v>
      </c>
      <c r="M4869" s="460">
        <f t="shared" si="181"/>
        <v>0.05</v>
      </c>
      <c r="N4869" s="464">
        <f t="shared" si="182"/>
        <v>199241</v>
      </c>
    </row>
    <row r="4870" spans="7:14" ht="11.25" customHeight="1" x14ac:dyDescent="0.3">
      <c r="G4870" s="459"/>
      <c r="H4870" s="459">
        <v>4863</v>
      </c>
      <c r="I4870" s="444">
        <f t="shared" ca="1" si="180"/>
        <v>-138572243161088.72</v>
      </c>
      <c r="J4870" s="444">
        <f t="array" ref="J4870">IFERROR(INDEX('Retirement Calculator'!K:K,MATCH('Lorri 401b'!N4870,'Retirement Calculator'!A:A,0),0),0)</f>
        <v>0</v>
      </c>
      <c r="K4870" s="444">
        <f t="shared" ca="1" si="178"/>
        <v>-577384346504.53638</v>
      </c>
      <c r="L4870" s="444">
        <f t="shared" ca="1" si="179"/>
        <v>-139149627507593.25</v>
      </c>
      <c r="M4870" s="460">
        <f t="shared" si="181"/>
        <v>0.05</v>
      </c>
      <c r="N4870" s="464">
        <f t="shared" si="182"/>
        <v>199272</v>
      </c>
    </row>
    <row r="4871" spans="7:14" ht="11.25" customHeight="1" x14ac:dyDescent="0.3">
      <c r="G4871" s="459"/>
      <c r="H4871" s="459">
        <v>4864</v>
      </c>
      <c r="I4871" s="444">
        <f t="shared" ca="1" si="180"/>
        <v>-139149627507593.25</v>
      </c>
      <c r="J4871" s="444">
        <f t="array" ref="J4871">IFERROR(INDEX('Retirement Calculator'!K:K,MATCH('Lorri 401b'!N4871,'Retirement Calculator'!A:A,0),0),0)</f>
        <v>0</v>
      </c>
      <c r="K4871" s="444">
        <f t="shared" ca="1" si="178"/>
        <v>-579790114614.9718</v>
      </c>
      <c r="L4871" s="444">
        <f t="shared" ca="1" si="179"/>
        <v>-139729417622208.22</v>
      </c>
      <c r="M4871" s="460">
        <f t="shared" si="181"/>
        <v>0.05</v>
      </c>
      <c r="N4871" s="464">
        <f t="shared" si="182"/>
        <v>199303</v>
      </c>
    </row>
    <row r="4872" spans="7:14" ht="11.25" customHeight="1" x14ac:dyDescent="0.3">
      <c r="G4872" s="459"/>
      <c r="H4872" s="459">
        <v>4865</v>
      </c>
      <c r="I4872" s="444">
        <f t="shared" ca="1" si="180"/>
        <v>-139729417622208.22</v>
      </c>
      <c r="J4872" s="444">
        <f t="array" ref="J4872">IFERROR(INDEX('Retirement Calculator'!K:K,MATCH('Lorri 401b'!N4872,'Retirement Calculator'!A:A,0),0),0)</f>
        <v>0</v>
      </c>
      <c r="K4872" s="444">
        <f t="shared" ca="1" si="178"/>
        <v>-582205906759.20093</v>
      </c>
      <c r="L4872" s="444">
        <f t="shared" ca="1" si="179"/>
        <v>-140311623528967.42</v>
      </c>
      <c r="M4872" s="460">
        <f t="shared" si="181"/>
        <v>0.05</v>
      </c>
      <c r="N4872" s="464">
        <f t="shared" si="182"/>
        <v>199333</v>
      </c>
    </row>
    <row r="4873" spans="7:14" ht="11.25" customHeight="1" x14ac:dyDescent="0.3">
      <c r="G4873" s="459"/>
      <c r="H4873" s="459">
        <v>4866</v>
      </c>
      <c r="I4873" s="444">
        <f t="shared" ca="1" si="180"/>
        <v>-140311623528967.42</v>
      </c>
      <c r="J4873" s="444">
        <f t="array" ref="J4873">IFERROR(INDEX('Retirement Calculator'!K:K,MATCH('Lorri 401b'!N4873,'Retirement Calculator'!A:A,0),0),0)</f>
        <v>0</v>
      </c>
      <c r="K4873" s="444">
        <f t="shared" ca="1" si="178"/>
        <v>-584631764704.03101</v>
      </c>
      <c r="L4873" s="444">
        <f t="shared" ca="1" si="179"/>
        <v>-140896255293671.44</v>
      </c>
      <c r="M4873" s="460">
        <f t="shared" si="181"/>
        <v>0.05</v>
      </c>
      <c r="N4873" s="464">
        <f t="shared" si="182"/>
        <v>199364</v>
      </c>
    </row>
    <row r="4874" spans="7:14" ht="11.25" customHeight="1" x14ac:dyDescent="0.3">
      <c r="G4874" s="459"/>
      <c r="H4874" s="459">
        <v>4867</v>
      </c>
      <c r="I4874" s="444">
        <f t="shared" ca="1" si="180"/>
        <v>-140896255293671.44</v>
      </c>
      <c r="J4874" s="444">
        <f t="array" ref="J4874">IFERROR(INDEX('Retirement Calculator'!K:K,MATCH('Lorri 401b'!N4874,'Retirement Calculator'!A:A,0),0),0)</f>
        <v>0</v>
      </c>
      <c r="K4874" s="444">
        <f t="shared" ca="1" si="178"/>
        <v>-587067730390.29761</v>
      </c>
      <c r="L4874" s="444">
        <f t="shared" ca="1" si="179"/>
        <v>-141483323024061.75</v>
      </c>
      <c r="M4874" s="460">
        <f t="shared" si="181"/>
        <v>0.05</v>
      </c>
      <c r="N4874" s="464">
        <f t="shared" si="182"/>
        <v>199394</v>
      </c>
    </row>
    <row r="4875" spans="7:14" ht="11.25" customHeight="1" x14ac:dyDescent="0.3">
      <c r="G4875" s="459"/>
      <c r="H4875" s="459">
        <v>4868</v>
      </c>
      <c r="I4875" s="444">
        <f t="shared" ca="1" si="180"/>
        <v>-141483323024061.75</v>
      </c>
      <c r="J4875" s="444">
        <f t="array" ref="J4875">IFERROR(INDEX('Retirement Calculator'!K:K,MATCH('Lorri 401b'!N4875,'Retirement Calculator'!A:A,0),0),0)</f>
        <v>0</v>
      </c>
      <c r="K4875" s="444">
        <f t="shared" ca="1" si="178"/>
        <v>-589513845933.59058</v>
      </c>
      <c r="L4875" s="444">
        <f t="shared" ca="1" si="179"/>
        <v>-142072836869995.34</v>
      </c>
      <c r="M4875" s="460">
        <f t="shared" si="181"/>
        <v>0.05</v>
      </c>
      <c r="N4875" s="464">
        <f t="shared" si="182"/>
        <v>199425</v>
      </c>
    </row>
    <row r="4876" spans="7:14" ht="11.25" customHeight="1" x14ac:dyDescent="0.3">
      <c r="G4876" s="459"/>
      <c r="H4876" s="459">
        <v>4869</v>
      </c>
      <c r="I4876" s="444">
        <f t="shared" ca="1" si="180"/>
        <v>-142072836869995.34</v>
      </c>
      <c r="J4876" s="444">
        <f t="array" ref="J4876">IFERROR(INDEX('Retirement Calculator'!K:K,MATCH('Lorri 401b'!N4876,'Retirement Calculator'!A:A,0),0),0)</f>
        <v>0</v>
      </c>
      <c r="K4876" s="444">
        <f t="shared" ca="1" si="178"/>
        <v>-591970153624.98059</v>
      </c>
      <c r="L4876" s="444">
        <f t="shared" ca="1" si="179"/>
        <v>-142664807023620.31</v>
      </c>
      <c r="M4876" s="460">
        <f t="shared" si="181"/>
        <v>0.05</v>
      </c>
      <c r="N4876" s="464">
        <f t="shared" si="182"/>
        <v>199456</v>
      </c>
    </row>
    <row r="4877" spans="7:14" ht="11.25" customHeight="1" x14ac:dyDescent="0.3">
      <c r="G4877" s="459"/>
      <c r="H4877" s="459">
        <v>4870</v>
      </c>
      <c r="I4877" s="444">
        <f t="shared" ca="1" si="180"/>
        <v>-142664807023620.31</v>
      </c>
      <c r="J4877" s="444">
        <f t="array" ref="J4877">IFERROR(INDEX('Retirement Calculator'!K:K,MATCH('Lorri 401b'!N4877,'Retirement Calculator'!A:A,0),0),0)</f>
        <v>0</v>
      </c>
      <c r="K4877" s="444">
        <f t="shared" ca="1" si="178"/>
        <v>-594436695931.75134</v>
      </c>
      <c r="L4877" s="444">
        <f t="shared" ca="1" si="179"/>
        <v>-143259243719552.06</v>
      </c>
      <c r="M4877" s="460">
        <f t="shared" si="181"/>
        <v>0.05</v>
      </c>
      <c r="N4877" s="464">
        <f t="shared" si="182"/>
        <v>199484</v>
      </c>
    </row>
    <row r="4878" spans="7:14" ht="11.25" customHeight="1" x14ac:dyDescent="0.3">
      <c r="G4878" s="459"/>
      <c r="H4878" s="459">
        <v>4871</v>
      </c>
      <c r="I4878" s="444">
        <f t="shared" ca="1" si="180"/>
        <v>-143259243719552.06</v>
      </c>
      <c r="J4878" s="444">
        <f t="array" ref="J4878">IFERROR(INDEX('Retirement Calculator'!K:K,MATCH('Lorri 401b'!N4878,'Retirement Calculator'!A:A,0),0),0)</f>
        <v>0</v>
      </c>
      <c r="K4878" s="444">
        <f t="shared" ca="1" si="178"/>
        <v>-596913515498.13354</v>
      </c>
      <c r="L4878" s="444">
        <f t="shared" ca="1" si="179"/>
        <v>-143856157235050.19</v>
      </c>
      <c r="M4878" s="460">
        <f t="shared" si="181"/>
        <v>0.05</v>
      </c>
      <c r="N4878" s="464">
        <f t="shared" si="182"/>
        <v>199515</v>
      </c>
    </row>
    <row r="4879" spans="7:14" ht="11.25" customHeight="1" x14ac:dyDescent="0.3">
      <c r="G4879" s="459"/>
      <c r="H4879" s="459">
        <v>4872</v>
      </c>
      <c r="I4879" s="444">
        <f t="shared" ca="1" si="180"/>
        <v>-143856157235050.19</v>
      </c>
      <c r="J4879" s="444">
        <f t="array" ref="J4879">IFERROR(INDEX('Retirement Calculator'!K:K,MATCH('Lorri 401b'!N4879,'Retirement Calculator'!A:A,0),0),0)</f>
        <v>0</v>
      </c>
      <c r="K4879" s="444">
        <f t="shared" ca="1" si="178"/>
        <v>-599400655146.04248</v>
      </c>
      <c r="L4879" s="444">
        <f t="shared" ca="1" si="179"/>
        <v>-144455557890196.22</v>
      </c>
      <c r="M4879" s="460">
        <f t="shared" si="181"/>
        <v>0.05</v>
      </c>
      <c r="N4879" s="464">
        <f t="shared" si="182"/>
        <v>199545</v>
      </c>
    </row>
    <row r="4880" spans="7:14" ht="11.25" customHeight="1" x14ac:dyDescent="0.3">
      <c r="G4880" s="459"/>
      <c r="H4880" s="459">
        <v>4873</v>
      </c>
      <c r="I4880" s="444">
        <f t="shared" ca="1" si="180"/>
        <v>-144455557890196.22</v>
      </c>
      <c r="J4880" s="444">
        <f t="array" ref="J4880">IFERROR(INDEX('Retirement Calculator'!K:K,MATCH('Lorri 401b'!N4880,'Retirement Calculator'!A:A,0),0),0)</f>
        <v>0</v>
      </c>
      <c r="K4880" s="444">
        <f t="shared" ca="1" si="178"/>
        <v>-601898157875.81763</v>
      </c>
      <c r="L4880" s="444">
        <f t="shared" ca="1" si="179"/>
        <v>-145057456048072.03</v>
      </c>
      <c r="M4880" s="460">
        <f t="shared" si="181"/>
        <v>0.05</v>
      </c>
      <c r="N4880" s="464">
        <f t="shared" si="182"/>
        <v>199576</v>
      </c>
    </row>
    <row r="4881" spans="7:14" ht="11.25" customHeight="1" x14ac:dyDescent="0.3">
      <c r="G4881" s="459"/>
      <c r="H4881" s="459">
        <v>4874</v>
      </c>
      <c r="I4881" s="444">
        <f t="shared" ca="1" si="180"/>
        <v>-145057456048072.03</v>
      </c>
      <c r="J4881" s="444">
        <f t="array" ref="J4881">IFERROR(INDEX('Retirement Calculator'!K:K,MATCH('Lorri 401b'!N4881,'Retirement Calculator'!A:A,0),0),0)</f>
        <v>0</v>
      </c>
      <c r="K4881" s="444">
        <f t="shared" ca="1" si="178"/>
        <v>-604406066866.9668</v>
      </c>
      <c r="L4881" s="444">
        <f t="shared" ca="1" si="179"/>
        <v>-145661862114939</v>
      </c>
      <c r="M4881" s="460">
        <f t="shared" si="181"/>
        <v>0.05</v>
      </c>
      <c r="N4881" s="464">
        <f t="shared" si="182"/>
        <v>199606</v>
      </c>
    </row>
    <row r="4882" spans="7:14" ht="11.25" customHeight="1" x14ac:dyDescent="0.3">
      <c r="G4882" s="459"/>
      <c r="H4882" s="459">
        <v>4875</v>
      </c>
      <c r="I4882" s="444">
        <f t="shared" ca="1" si="180"/>
        <v>-145661862114939</v>
      </c>
      <c r="J4882" s="444">
        <f t="array" ref="J4882">IFERROR(INDEX('Retirement Calculator'!K:K,MATCH('Lorri 401b'!N4882,'Retirement Calculator'!A:A,0),0),0)</f>
        <v>0</v>
      </c>
      <c r="K4882" s="444">
        <f t="shared" ca="1" si="178"/>
        <v>-606924425478.91248</v>
      </c>
      <c r="L4882" s="444">
        <f t="shared" ca="1" si="179"/>
        <v>-146268786540417.91</v>
      </c>
      <c r="M4882" s="460">
        <f t="shared" si="181"/>
        <v>0.05</v>
      </c>
      <c r="N4882" s="464">
        <f t="shared" si="182"/>
        <v>199637</v>
      </c>
    </row>
    <row r="4883" spans="7:14" ht="11.25" customHeight="1" x14ac:dyDescent="0.3">
      <c r="G4883" s="459"/>
      <c r="H4883" s="459">
        <v>4876</v>
      </c>
      <c r="I4883" s="444">
        <f t="shared" ca="1" si="180"/>
        <v>-146268786540417.91</v>
      </c>
      <c r="J4883" s="444">
        <f t="array" ref="J4883">IFERROR(INDEX('Retirement Calculator'!K:K,MATCH('Lorri 401b'!N4883,'Retirement Calculator'!A:A,0),0),0)</f>
        <v>0</v>
      </c>
      <c r="K4883" s="444">
        <f t="shared" ca="1" si="178"/>
        <v>-609453277251.74121</v>
      </c>
      <c r="L4883" s="444">
        <f t="shared" ca="1" si="179"/>
        <v>-146878239817669.66</v>
      </c>
      <c r="M4883" s="460">
        <f t="shared" si="181"/>
        <v>0.05</v>
      </c>
      <c r="N4883" s="464">
        <f t="shared" si="182"/>
        <v>199668</v>
      </c>
    </row>
    <row r="4884" spans="7:14" ht="11.25" customHeight="1" x14ac:dyDescent="0.3">
      <c r="G4884" s="459"/>
      <c r="H4884" s="459">
        <v>4877</v>
      </c>
      <c r="I4884" s="444">
        <f t="shared" ca="1" si="180"/>
        <v>-146878239817669.66</v>
      </c>
      <c r="J4884" s="444">
        <f t="array" ref="J4884">IFERROR(INDEX('Retirement Calculator'!K:K,MATCH('Lorri 401b'!N4884,'Retirement Calculator'!A:A,0),0),0)</f>
        <v>0</v>
      </c>
      <c r="K4884" s="444">
        <f t="shared" ca="1" si="178"/>
        <v>-611992665906.95691</v>
      </c>
      <c r="L4884" s="444">
        <f t="shared" ca="1" si="179"/>
        <v>-147490232483576.63</v>
      </c>
      <c r="M4884" s="460">
        <f t="shared" si="181"/>
        <v>0.05</v>
      </c>
      <c r="N4884" s="464">
        <f t="shared" si="182"/>
        <v>199698</v>
      </c>
    </row>
    <row r="4885" spans="7:14" ht="11.25" customHeight="1" x14ac:dyDescent="0.3">
      <c r="G4885" s="459"/>
      <c r="H4885" s="459">
        <v>4878</v>
      </c>
      <c r="I4885" s="444">
        <f t="shared" ca="1" si="180"/>
        <v>-147490232483576.63</v>
      </c>
      <c r="J4885" s="444">
        <f t="array" ref="J4885">IFERROR(INDEX('Retirement Calculator'!K:K,MATCH('Lorri 401b'!N4885,'Retirement Calculator'!A:A,0),0),0)</f>
        <v>0</v>
      </c>
      <c r="K4885" s="444">
        <f t="shared" ca="1" si="178"/>
        <v>-614542635348.23596</v>
      </c>
      <c r="L4885" s="444">
        <f t="shared" ca="1" si="179"/>
        <v>-148104775118924.88</v>
      </c>
      <c r="M4885" s="460">
        <f t="shared" si="181"/>
        <v>0.05</v>
      </c>
      <c r="N4885" s="464">
        <f t="shared" si="182"/>
        <v>199729</v>
      </c>
    </row>
    <row r="4886" spans="7:14" ht="11.25" customHeight="1" x14ac:dyDescent="0.3">
      <c r="G4886" s="459"/>
      <c r="H4886" s="459">
        <v>4879</v>
      </c>
      <c r="I4886" s="444">
        <f t="shared" ca="1" si="180"/>
        <v>-148104775118924.88</v>
      </c>
      <c r="J4886" s="444">
        <f t="array" ref="J4886">IFERROR(INDEX('Retirement Calculator'!K:K,MATCH('Lorri 401b'!N4886,'Retirement Calculator'!A:A,0),0),0)</f>
        <v>0</v>
      </c>
      <c r="K4886" s="444">
        <f t="shared" ca="1" si="178"/>
        <v>-617103229662.18701</v>
      </c>
      <c r="L4886" s="444">
        <f t="shared" ca="1" si="179"/>
        <v>-148721878348587.06</v>
      </c>
      <c r="M4886" s="460">
        <f t="shared" si="181"/>
        <v>0.05</v>
      </c>
      <c r="N4886" s="464">
        <f t="shared" si="182"/>
        <v>199759</v>
      </c>
    </row>
    <row r="4887" spans="7:14" ht="11.25" customHeight="1" x14ac:dyDescent="0.3">
      <c r="G4887" s="459"/>
      <c r="H4887" s="459">
        <v>4880</v>
      </c>
      <c r="I4887" s="444">
        <f t="shared" ca="1" si="180"/>
        <v>-148721878348587.06</v>
      </c>
      <c r="J4887" s="444">
        <f t="array" ref="J4887">IFERROR(INDEX('Retirement Calculator'!K:K,MATCH('Lorri 401b'!N4887,'Retirement Calculator'!A:A,0),0),0)</f>
        <v>0</v>
      </c>
      <c r="K4887" s="444">
        <f t="shared" ca="1" si="178"/>
        <v>-619674493119.11279</v>
      </c>
      <c r="L4887" s="444">
        <f t="shared" ca="1" si="179"/>
        <v>-149341552841706.19</v>
      </c>
      <c r="M4887" s="460">
        <f t="shared" si="181"/>
        <v>0.05</v>
      </c>
      <c r="N4887" s="464">
        <f t="shared" si="182"/>
        <v>199790</v>
      </c>
    </row>
    <row r="4888" spans="7:14" ht="11.25" customHeight="1" x14ac:dyDescent="0.3">
      <c r="G4888" s="459"/>
      <c r="H4888" s="459">
        <v>4881</v>
      </c>
      <c r="I4888" s="444">
        <f t="shared" ca="1" si="180"/>
        <v>-149341552841706.19</v>
      </c>
      <c r="J4888" s="444">
        <f t="array" ref="J4888">IFERROR(INDEX('Retirement Calculator'!K:K,MATCH('Lorri 401b'!N4888,'Retirement Calculator'!A:A,0),0),0)</f>
        <v>0</v>
      </c>
      <c r="K4888" s="444">
        <f t="shared" ca="1" si="178"/>
        <v>-622256470173.77576</v>
      </c>
      <c r="L4888" s="444">
        <f t="shared" ca="1" si="179"/>
        <v>-149963809311879.97</v>
      </c>
      <c r="M4888" s="460">
        <f t="shared" si="181"/>
        <v>0.05</v>
      </c>
      <c r="N4888" s="464">
        <f t="shared" si="182"/>
        <v>199821</v>
      </c>
    </row>
    <row r="4889" spans="7:14" ht="11.25" customHeight="1" x14ac:dyDescent="0.3">
      <c r="G4889" s="459"/>
      <c r="H4889" s="459">
        <v>4882</v>
      </c>
      <c r="I4889" s="444">
        <f t="shared" ca="1" si="180"/>
        <v>-149963809311879.97</v>
      </c>
      <c r="J4889" s="444">
        <f t="array" ref="J4889">IFERROR(INDEX('Retirement Calculator'!K:K,MATCH('Lorri 401b'!N4889,'Retirement Calculator'!A:A,0),0),0)</f>
        <v>0</v>
      </c>
      <c r="K4889" s="444">
        <f t="shared" ca="1" si="178"/>
        <v>-624849205466.1665</v>
      </c>
      <c r="L4889" s="444">
        <f t="shared" ca="1" si="179"/>
        <v>-150588658517346.13</v>
      </c>
      <c r="M4889" s="460">
        <f t="shared" si="181"/>
        <v>0.05</v>
      </c>
      <c r="N4889" s="464">
        <f t="shared" si="182"/>
        <v>199849</v>
      </c>
    </row>
    <row r="4890" spans="7:14" ht="11.25" customHeight="1" x14ac:dyDescent="0.3">
      <c r="G4890" s="459"/>
      <c r="H4890" s="459">
        <v>4883</v>
      </c>
      <c r="I4890" s="444">
        <f t="shared" ca="1" si="180"/>
        <v>-150588658517346.13</v>
      </c>
      <c r="J4890" s="444">
        <f t="array" ref="J4890">IFERROR(INDEX('Retirement Calculator'!K:K,MATCH('Lorri 401b'!N4890,'Retirement Calculator'!A:A,0),0),0)</f>
        <v>0</v>
      </c>
      <c r="K4890" s="444">
        <f t="shared" ca="1" si="178"/>
        <v>-627452743822.27551</v>
      </c>
      <c r="L4890" s="444">
        <f t="shared" ca="1" si="179"/>
        <v>-151216111261168.41</v>
      </c>
      <c r="M4890" s="460">
        <f t="shared" si="181"/>
        <v>0.05</v>
      </c>
      <c r="N4890" s="464">
        <f t="shared" si="182"/>
        <v>199880</v>
      </c>
    </row>
    <row r="4891" spans="7:14" ht="11.25" customHeight="1" x14ac:dyDescent="0.3">
      <c r="G4891" s="459"/>
      <c r="H4891" s="459">
        <v>4884</v>
      </c>
      <c r="I4891" s="444">
        <f t="shared" ca="1" si="180"/>
        <v>-151216111261168.41</v>
      </c>
      <c r="J4891" s="444">
        <f t="array" ref="J4891">IFERROR(INDEX('Retirement Calculator'!K:K,MATCH('Lorri 401b'!N4891,'Retirement Calculator'!A:A,0),0),0)</f>
        <v>0</v>
      </c>
      <c r="K4891" s="444">
        <f t="shared" ca="1" si="178"/>
        <v>-630067130254.86841</v>
      </c>
      <c r="L4891" s="444">
        <f t="shared" ca="1" si="179"/>
        <v>-151846178391423.28</v>
      </c>
      <c r="M4891" s="460">
        <f t="shared" si="181"/>
        <v>0.05</v>
      </c>
      <c r="N4891" s="464">
        <f t="shared" si="182"/>
        <v>199910</v>
      </c>
    </row>
    <row r="4892" spans="7:14" ht="11.25" customHeight="1" x14ac:dyDescent="0.3">
      <c r="G4892" s="459"/>
      <c r="H4892" s="459">
        <v>4885</v>
      </c>
      <c r="I4892" s="444">
        <f t="shared" ca="1" si="180"/>
        <v>-151846178391423.28</v>
      </c>
      <c r="J4892" s="444">
        <f t="array" ref="J4892">IFERROR(INDEX('Retirement Calculator'!K:K,MATCH('Lorri 401b'!N4892,'Retirement Calculator'!A:A,0),0),0)</f>
        <v>0</v>
      </c>
      <c r="K4892" s="444">
        <f t="shared" ca="1" si="178"/>
        <v>-632692409964.26367</v>
      </c>
      <c r="L4892" s="444">
        <f t="shared" ca="1" si="179"/>
        <v>-152478870801387.53</v>
      </c>
      <c r="M4892" s="460">
        <f t="shared" si="181"/>
        <v>0.05</v>
      </c>
      <c r="N4892" s="464">
        <f t="shared" si="182"/>
        <v>199941</v>
      </c>
    </row>
    <row r="4893" spans="7:14" ht="11.25" customHeight="1" x14ac:dyDescent="0.3">
      <c r="G4893" s="459"/>
      <c r="H4893" s="459">
        <v>4886</v>
      </c>
      <c r="I4893" s="444">
        <f t="shared" ca="1" si="180"/>
        <v>-152478870801387.53</v>
      </c>
      <c r="J4893" s="444">
        <f t="array" ref="J4893">IFERROR(INDEX('Retirement Calculator'!K:K,MATCH('Lorri 401b'!N4893,'Retirement Calculator'!A:A,0),0),0)</f>
        <v>0</v>
      </c>
      <c r="K4893" s="444">
        <f t="shared" ca="1" si="178"/>
        <v>-635328628339.11475</v>
      </c>
      <c r="L4893" s="444">
        <f t="shared" ca="1" si="179"/>
        <v>-153114199429726.66</v>
      </c>
      <c r="M4893" s="460">
        <f t="shared" si="181"/>
        <v>0.05</v>
      </c>
      <c r="N4893" s="464">
        <f t="shared" si="182"/>
        <v>199971</v>
      </c>
    </row>
    <row r="4894" spans="7:14" ht="11.25" customHeight="1" x14ac:dyDescent="0.3">
      <c r="G4894" s="459"/>
      <c r="H4894" s="459">
        <v>4887</v>
      </c>
      <c r="I4894" s="444">
        <f t="shared" ca="1" si="180"/>
        <v>-153114199429726.66</v>
      </c>
      <c r="J4894" s="444">
        <f t="array" ref="J4894">IFERROR(INDEX('Retirement Calculator'!K:K,MATCH('Lorri 401b'!N4894,'Retirement Calculator'!A:A,0),0),0)</f>
        <v>0</v>
      </c>
      <c r="K4894" s="444">
        <f t="shared" ca="1" si="178"/>
        <v>-637975830957.19434</v>
      </c>
      <c r="L4894" s="444">
        <f t="shared" ca="1" si="179"/>
        <v>-153752175260683.84</v>
      </c>
      <c r="M4894" s="460">
        <f t="shared" si="181"/>
        <v>0.05</v>
      </c>
      <c r="N4894" s="464">
        <f t="shared" si="182"/>
        <v>200002</v>
      </c>
    </row>
    <row r="4895" spans="7:14" ht="11.25" customHeight="1" x14ac:dyDescent="0.3">
      <c r="G4895" s="459"/>
      <c r="H4895" s="459">
        <v>4888</v>
      </c>
      <c r="I4895" s="444">
        <f t="shared" ca="1" si="180"/>
        <v>-153752175260683.84</v>
      </c>
      <c r="J4895" s="444">
        <f t="array" ref="J4895">IFERROR(INDEX('Retirement Calculator'!K:K,MATCH('Lorri 401b'!N4895,'Retirement Calculator'!A:A,0),0),0)</f>
        <v>0</v>
      </c>
      <c r="K4895" s="444">
        <f t="shared" ca="1" si="178"/>
        <v>-640634063586.18262</v>
      </c>
      <c r="L4895" s="444">
        <f t="shared" ca="1" si="179"/>
        <v>-154392809324270.03</v>
      </c>
      <c r="M4895" s="460">
        <f t="shared" si="181"/>
        <v>0.05</v>
      </c>
      <c r="N4895" s="464">
        <f t="shared" si="182"/>
        <v>200033</v>
      </c>
    </row>
    <row r="4896" spans="7:14" ht="11.25" customHeight="1" x14ac:dyDescent="0.3">
      <c r="G4896" s="459"/>
      <c r="H4896" s="459">
        <v>4889</v>
      </c>
      <c r="I4896" s="444">
        <f t="shared" ca="1" si="180"/>
        <v>-154392809324270.03</v>
      </c>
      <c r="J4896" s="444">
        <f t="array" ref="J4896">IFERROR(INDEX('Retirement Calculator'!K:K,MATCH('Lorri 401b'!N4896,'Retirement Calculator'!A:A,0),0),0)</f>
        <v>0</v>
      </c>
      <c r="K4896" s="444">
        <f t="shared" ca="1" si="178"/>
        <v>-643303372184.4585</v>
      </c>
      <c r="L4896" s="444">
        <f t="shared" ca="1" si="179"/>
        <v>-155036112696454.5</v>
      </c>
      <c r="M4896" s="460">
        <f t="shared" si="181"/>
        <v>0.05</v>
      </c>
      <c r="N4896" s="464">
        <f t="shared" si="182"/>
        <v>200063</v>
      </c>
    </row>
    <row r="4897" spans="7:14" ht="11.25" customHeight="1" x14ac:dyDescent="0.3">
      <c r="G4897" s="459"/>
      <c r="H4897" s="459">
        <v>4890</v>
      </c>
      <c r="I4897" s="444">
        <f t="shared" ca="1" si="180"/>
        <v>-155036112696454.5</v>
      </c>
      <c r="J4897" s="444">
        <f t="array" ref="J4897">IFERROR(INDEX('Retirement Calculator'!K:K,MATCH('Lorri 401b'!N4897,'Retirement Calculator'!A:A,0),0),0)</f>
        <v>0</v>
      </c>
      <c r="K4897" s="444">
        <f t="shared" ca="1" si="178"/>
        <v>-645983802901.8938</v>
      </c>
      <c r="L4897" s="444">
        <f t="shared" ca="1" si="179"/>
        <v>-155682096499356.41</v>
      </c>
      <c r="M4897" s="460">
        <f t="shared" si="181"/>
        <v>0.05</v>
      </c>
      <c r="N4897" s="464">
        <f t="shared" si="182"/>
        <v>200094</v>
      </c>
    </row>
    <row r="4898" spans="7:14" ht="11.25" customHeight="1" x14ac:dyDescent="0.3">
      <c r="G4898" s="459"/>
      <c r="H4898" s="459">
        <v>4891</v>
      </c>
      <c r="I4898" s="444">
        <f t="shared" ca="1" si="180"/>
        <v>-155682096499356.41</v>
      </c>
      <c r="J4898" s="444">
        <f t="array" ref="J4898">IFERROR(INDEX('Retirement Calculator'!K:K,MATCH('Lorri 401b'!N4898,'Retirement Calculator'!A:A,0),0),0)</f>
        <v>0</v>
      </c>
      <c r="K4898" s="444">
        <f t="shared" ca="1" si="178"/>
        <v>-648675402080.65173</v>
      </c>
      <c r="L4898" s="444">
        <f t="shared" ca="1" si="179"/>
        <v>-156330771901437.06</v>
      </c>
      <c r="M4898" s="460">
        <f t="shared" si="181"/>
        <v>0.05</v>
      </c>
      <c r="N4898" s="464">
        <f t="shared" si="182"/>
        <v>200124</v>
      </c>
    </row>
    <row r="4899" spans="7:14" ht="11.25" customHeight="1" x14ac:dyDescent="0.3">
      <c r="G4899" s="459"/>
      <c r="H4899" s="459">
        <v>4892</v>
      </c>
      <c r="I4899" s="444">
        <f t="shared" ca="1" si="180"/>
        <v>-156330771901437.06</v>
      </c>
      <c r="J4899" s="444">
        <f t="array" ref="J4899">IFERROR(INDEX('Retirement Calculator'!K:K,MATCH('Lorri 401b'!N4899,'Retirement Calculator'!A:A,0),0),0)</f>
        <v>0</v>
      </c>
      <c r="K4899" s="444">
        <f t="shared" ca="1" si="178"/>
        <v>-651378216255.98779</v>
      </c>
      <c r="L4899" s="444">
        <f t="shared" ca="1" si="179"/>
        <v>-156982150117693.06</v>
      </c>
      <c r="M4899" s="460">
        <f t="shared" si="181"/>
        <v>0.05</v>
      </c>
      <c r="N4899" s="464">
        <f t="shared" si="182"/>
        <v>200155</v>
      </c>
    </row>
    <row r="4900" spans="7:14" ht="11.25" customHeight="1" x14ac:dyDescent="0.3">
      <c r="G4900" s="459"/>
      <c r="H4900" s="459">
        <v>4893</v>
      </c>
      <c r="I4900" s="444">
        <f t="shared" ca="1" si="180"/>
        <v>-156982150117693.06</v>
      </c>
      <c r="J4900" s="444">
        <f t="array" ref="J4900">IFERROR(INDEX('Retirement Calculator'!K:K,MATCH('Lorri 401b'!N4900,'Retirement Calculator'!A:A,0),0),0)</f>
        <v>0</v>
      </c>
      <c r="K4900" s="444">
        <f t="shared" ca="1" si="178"/>
        <v>-654092292157.05444</v>
      </c>
      <c r="L4900" s="444">
        <f t="shared" ca="1" si="179"/>
        <v>-157636242409850.13</v>
      </c>
      <c r="M4900" s="460">
        <f t="shared" si="181"/>
        <v>0.05</v>
      </c>
      <c r="N4900" s="464">
        <f t="shared" si="182"/>
        <v>200186</v>
      </c>
    </row>
    <row r="4901" spans="7:14" ht="11.25" customHeight="1" x14ac:dyDescent="0.3">
      <c r="G4901" s="459"/>
      <c r="H4901" s="459">
        <v>4894</v>
      </c>
      <c r="I4901" s="444">
        <f t="shared" ca="1" si="180"/>
        <v>-157636242409850.13</v>
      </c>
      <c r="J4901" s="444">
        <f t="array" ref="J4901">IFERROR(INDEX('Retirement Calculator'!K:K,MATCH('Lorri 401b'!N4901,'Retirement Calculator'!A:A,0),0),0)</f>
        <v>0</v>
      </c>
      <c r="K4901" s="444">
        <f t="shared" ca="1" si="178"/>
        <v>-656817676707.70886</v>
      </c>
      <c r="L4901" s="444">
        <f t="shared" ca="1" si="179"/>
        <v>-158293060086557.84</v>
      </c>
      <c r="M4901" s="460">
        <f t="shared" si="181"/>
        <v>0.05</v>
      </c>
      <c r="N4901" s="464">
        <f t="shared" si="182"/>
        <v>200215</v>
      </c>
    </row>
    <row r="4902" spans="7:14" ht="11.25" customHeight="1" x14ac:dyDescent="0.3">
      <c r="G4902" s="459"/>
      <c r="H4902" s="459">
        <v>4895</v>
      </c>
      <c r="I4902" s="444">
        <f t="shared" ca="1" si="180"/>
        <v>-158293060086557.84</v>
      </c>
      <c r="J4902" s="444">
        <f t="array" ref="J4902">IFERROR(INDEX('Retirement Calculator'!K:K,MATCH('Lorri 401b'!N4902,'Retirement Calculator'!A:A,0),0),0)</f>
        <v>0</v>
      </c>
      <c r="K4902" s="444">
        <f t="shared" ca="1" si="178"/>
        <v>-659554417027.32434</v>
      </c>
      <c r="L4902" s="444">
        <f t="shared" ca="1" si="179"/>
        <v>-158952614503585.16</v>
      </c>
      <c r="M4902" s="460">
        <f t="shared" si="181"/>
        <v>0.05</v>
      </c>
      <c r="N4902" s="464">
        <f t="shared" si="182"/>
        <v>200246</v>
      </c>
    </row>
    <row r="4903" spans="7:14" ht="11.25" customHeight="1" x14ac:dyDescent="0.3">
      <c r="G4903" s="459"/>
      <c r="H4903" s="459">
        <v>4896</v>
      </c>
      <c r="I4903" s="444">
        <f t="shared" ca="1" si="180"/>
        <v>-158952614503585.16</v>
      </c>
      <c r="J4903" s="444">
        <f t="array" ref="J4903">IFERROR(INDEX('Retirement Calculator'!K:K,MATCH('Lorri 401b'!N4903,'Retirement Calculator'!A:A,0),0),0)</f>
        <v>0</v>
      </c>
      <c r="K4903" s="444">
        <f t="shared" ca="1" si="178"/>
        <v>-662302560431.60486</v>
      </c>
      <c r="L4903" s="444">
        <f t="shared" ca="1" si="179"/>
        <v>-159614917064016.75</v>
      </c>
      <c r="M4903" s="460">
        <f t="shared" si="181"/>
        <v>0.05</v>
      </c>
      <c r="N4903" s="464">
        <f t="shared" si="182"/>
        <v>200276</v>
      </c>
    </row>
    <row r="4904" spans="7:14" ht="11.25" customHeight="1" x14ac:dyDescent="0.3">
      <c r="G4904" s="459"/>
      <c r="H4904" s="459">
        <v>4897</v>
      </c>
      <c r="I4904" s="444">
        <f t="shared" ca="1" si="180"/>
        <v>-159614917064016.75</v>
      </c>
      <c r="J4904" s="444">
        <f t="array" ref="J4904">IFERROR(INDEX('Retirement Calculator'!K:K,MATCH('Lorri 401b'!N4904,'Retirement Calculator'!A:A,0),0),0)</f>
        <v>0</v>
      </c>
      <c r="K4904" s="444">
        <f t="shared" ca="1" si="178"/>
        <v>-665062154433.40308</v>
      </c>
      <c r="L4904" s="444">
        <f t="shared" ca="1" si="179"/>
        <v>-160279979218450.16</v>
      </c>
      <c r="M4904" s="460">
        <f t="shared" si="181"/>
        <v>0.05</v>
      </c>
      <c r="N4904" s="464">
        <f t="shared" si="182"/>
        <v>200307</v>
      </c>
    </row>
    <row r="4905" spans="7:14" ht="11.25" customHeight="1" x14ac:dyDescent="0.3">
      <c r="G4905" s="459"/>
      <c r="H4905" s="459">
        <v>4898</v>
      </c>
      <c r="I4905" s="444">
        <f t="shared" ca="1" si="180"/>
        <v>-160279979218450.16</v>
      </c>
      <c r="J4905" s="444">
        <f t="array" ref="J4905">IFERROR(INDEX('Retirement Calculator'!K:K,MATCH('Lorri 401b'!N4905,'Retirement Calculator'!A:A,0),0),0)</f>
        <v>0</v>
      </c>
      <c r="K4905" s="444">
        <f t="shared" ca="1" si="178"/>
        <v>-667833246743.54236</v>
      </c>
      <c r="L4905" s="444">
        <f t="shared" ca="1" si="179"/>
        <v>-160947812465193.69</v>
      </c>
      <c r="M4905" s="460">
        <f t="shared" si="181"/>
        <v>0.05</v>
      </c>
      <c r="N4905" s="464">
        <f t="shared" si="182"/>
        <v>200337</v>
      </c>
    </row>
    <row r="4906" spans="7:14" ht="11.25" customHeight="1" x14ac:dyDescent="0.3">
      <c r="G4906" s="459"/>
      <c r="H4906" s="459">
        <v>4899</v>
      </c>
      <c r="I4906" s="444">
        <f t="shared" ca="1" si="180"/>
        <v>-160947812465193.69</v>
      </c>
      <c r="J4906" s="444">
        <f t="array" ref="J4906">IFERROR(INDEX('Retirement Calculator'!K:K,MATCH('Lorri 401b'!N4906,'Retirement Calculator'!A:A,0),0),0)</f>
        <v>0</v>
      </c>
      <c r="K4906" s="444">
        <f t="shared" ca="1" si="178"/>
        <v>-670615885271.64038</v>
      </c>
      <c r="L4906" s="444">
        <f t="shared" ca="1" si="179"/>
        <v>-161618428350465.31</v>
      </c>
      <c r="M4906" s="460">
        <f t="shared" si="181"/>
        <v>0.05</v>
      </c>
      <c r="N4906" s="464">
        <f t="shared" si="182"/>
        <v>200368</v>
      </c>
    </row>
    <row r="4907" spans="7:14" ht="11.25" customHeight="1" x14ac:dyDescent="0.3">
      <c r="G4907" s="459"/>
      <c r="H4907" s="459">
        <v>4900</v>
      </c>
      <c r="I4907" s="444">
        <f t="shared" ca="1" si="180"/>
        <v>-161618428350465.31</v>
      </c>
      <c r="J4907" s="444">
        <f t="array" ref="J4907">IFERROR(INDEX('Retirement Calculator'!K:K,MATCH('Lorri 401b'!N4907,'Retirement Calculator'!A:A,0),0),0)</f>
        <v>0</v>
      </c>
      <c r="K4907" s="444">
        <f t="shared" ca="1" si="178"/>
        <v>-673410118126.93884</v>
      </c>
      <c r="L4907" s="444">
        <f t="shared" ca="1" si="179"/>
        <v>-162291838468592.25</v>
      </c>
      <c r="M4907" s="460">
        <f t="shared" si="181"/>
        <v>0.05</v>
      </c>
      <c r="N4907" s="464">
        <f t="shared" si="182"/>
        <v>200399</v>
      </c>
    </row>
    <row r="4908" spans="7:14" ht="11.25" customHeight="1" x14ac:dyDescent="0.3">
      <c r="G4908" s="459"/>
      <c r="H4908" s="459">
        <v>4901</v>
      </c>
      <c r="I4908" s="444">
        <f t="shared" ca="1" si="180"/>
        <v>-162291838468592.25</v>
      </c>
      <c r="J4908" s="444">
        <f t="array" ref="J4908">IFERROR(INDEX('Retirement Calculator'!K:K,MATCH('Lorri 401b'!N4908,'Retirement Calculator'!A:A,0),0),0)</f>
        <v>0</v>
      </c>
      <c r="K4908" s="444">
        <f t="shared" ca="1" si="178"/>
        <v>-676215993619.1344</v>
      </c>
      <c r="L4908" s="444">
        <f t="shared" ca="1" si="179"/>
        <v>-162968054462211.38</v>
      </c>
      <c r="M4908" s="460">
        <f t="shared" si="181"/>
        <v>0.05</v>
      </c>
      <c r="N4908" s="464">
        <f t="shared" si="182"/>
        <v>200429</v>
      </c>
    </row>
    <row r="4909" spans="7:14" ht="11.25" customHeight="1" x14ac:dyDescent="0.3">
      <c r="G4909" s="459"/>
      <c r="H4909" s="459">
        <v>4902</v>
      </c>
      <c r="I4909" s="444">
        <f t="shared" ca="1" si="180"/>
        <v>-162968054462211.38</v>
      </c>
      <c r="J4909" s="444">
        <f t="array" ref="J4909">IFERROR(INDEX('Retirement Calculator'!K:K,MATCH('Lorri 401b'!N4909,'Retirement Calculator'!A:A,0),0),0)</f>
        <v>0</v>
      </c>
      <c r="K4909" s="444">
        <f t="shared" ca="1" si="178"/>
        <v>-679033560259.21411</v>
      </c>
      <c r="L4909" s="444">
        <f t="shared" ca="1" si="179"/>
        <v>-163647088022470.59</v>
      </c>
      <c r="M4909" s="460">
        <f t="shared" si="181"/>
        <v>0.05</v>
      </c>
      <c r="N4909" s="464">
        <f t="shared" si="182"/>
        <v>200460</v>
      </c>
    </row>
    <row r="4910" spans="7:14" ht="11.25" customHeight="1" x14ac:dyDescent="0.3">
      <c r="G4910" s="459"/>
      <c r="H4910" s="459">
        <v>4903</v>
      </c>
      <c r="I4910" s="444">
        <f t="shared" ca="1" si="180"/>
        <v>-163647088022470.59</v>
      </c>
      <c r="J4910" s="444">
        <f t="array" ref="J4910">IFERROR(INDEX('Retirement Calculator'!K:K,MATCH('Lorri 401b'!N4910,'Retirement Calculator'!A:A,0),0),0)</f>
        <v>0</v>
      </c>
      <c r="K4910" s="444">
        <f t="shared" ca="1" si="178"/>
        <v>-681862866760.29419</v>
      </c>
      <c r="L4910" s="444">
        <f t="shared" ca="1" si="179"/>
        <v>-164328950889230.88</v>
      </c>
      <c r="M4910" s="460">
        <f t="shared" si="181"/>
        <v>0.05</v>
      </c>
      <c r="N4910" s="464">
        <f t="shared" si="182"/>
        <v>200490</v>
      </c>
    </row>
    <row r="4911" spans="7:14" ht="11.25" customHeight="1" x14ac:dyDescent="0.3">
      <c r="G4911" s="459"/>
      <c r="H4911" s="459">
        <v>4904</v>
      </c>
      <c r="I4911" s="444">
        <f t="shared" ca="1" si="180"/>
        <v>-164328950889230.88</v>
      </c>
      <c r="J4911" s="444">
        <f t="array" ref="J4911">IFERROR(INDEX('Retirement Calculator'!K:K,MATCH('Lorri 401b'!N4911,'Retirement Calculator'!A:A,0),0),0)</f>
        <v>0</v>
      </c>
      <c r="K4911" s="444">
        <f t="shared" ca="1" si="178"/>
        <v>-684703962038.46191</v>
      </c>
      <c r="L4911" s="444">
        <f t="shared" ca="1" si="179"/>
        <v>-165013654851269.34</v>
      </c>
      <c r="M4911" s="460">
        <f t="shared" si="181"/>
        <v>0.05</v>
      </c>
      <c r="N4911" s="464">
        <f t="shared" si="182"/>
        <v>200521</v>
      </c>
    </row>
    <row r="4912" spans="7:14" ht="11.25" customHeight="1" x14ac:dyDescent="0.3">
      <c r="G4912" s="459"/>
      <c r="H4912" s="459">
        <v>4905</v>
      </c>
      <c r="I4912" s="444">
        <f t="shared" ca="1" si="180"/>
        <v>-165013654851269.34</v>
      </c>
      <c r="J4912" s="444">
        <f t="array" ref="J4912">IFERROR(INDEX('Retirement Calculator'!K:K,MATCH('Lorri 401b'!N4912,'Retirement Calculator'!A:A,0),0),0)</f>
        <v>0</v>
      </c>
      <c r="K4912" s="444">
        <f t="shared" ca="1" si="178"/>
        <v>-687556895213.62231</v>
      </c>
      <c r="L4912" s="444">
        <f t="shared" ca="1" si="179"/>
        <v>-165701211746482.97</v>
      </c>
      <c r="M4912" s="460">
        <f t="shared" si="181"/>
        <v>0.05</v>
      </c>
      <c r="N4912" s="464">
        <f t="shared" si="182"/>
        <v>200552</v>
      </c>
    </row>
    <row r="4913" spans="7:14" ht="11.25" customHeight="1" x14ac:dyDescent="0.3">
      <c r="G4913" s="459"/>
      <c r="H4913" s="459">
        <v>4906</v>
      </c>
      <c r="I4913" s="444">
        <f t="shared" ca="1" si="180"/>
        <v>-165701211746482.97</v>
      </c>
      <c r="J4913" s="444">
        <f t="array" ref="J4913">IFERROR(INDEX('Retirement Calculator'!K:K,MATCH('Lorri 401b'!N4913,'Retirement Calculator'!A:A,0),0),0)</f>
        <v>0</v>
      </c>
      <c r="K4913" s="444">
        <f t="shared" ca="1" si="178"/>
        <v>-690421715610.3457</v>
      </c>
      <c r="L4913" s="444">
        <f t="shared" ca="1" si="179"/>
        <v>-166391633462093.31</v>
      </c>
      <c r="M4913" s="460">
        <f t="shared" si="181"/>
        <v>0.05</v>
      </c>
      <c r="N4913" s="464">
        <f t="shared" si="182"/>
        <v>200580</v>
      </c>
    </row>
    <row r="4914" spans="7:14" ht="11.25" customHeight="1" x14ac:dyDescent="0.3">
      <c r="G4914" s="459"/>
      <c r="H4914" s="459">
        <v>4907</v>
      </c>
      <c r="I4914" s="444">
        <f t="shared" ca="1" si="180"/>
        <v>-166391633462093.31</v>
      </c>
      <c r="J4914" s="444">
        <f t="array" ref="J4914">IFERROR(INDEX('Retirement Calculator'!K:K,MATCH('Lorri 401b'!N4914,'Retirement Calculator'!A:A,0),0),0)</f>
        <v>0</v>
      </c>
      <c r="K4914" s="444">
        <f t="shared" ca="1" si="178"/>
        <v>-693298472758.72217</v>
      </c>
      <c r="L4914" s="444">
        <f t="shared" ca="1" si="179"/>
        <v>-167084931934852.03</v>
      </c>
      <c r="M4914" s="460">
        <f t="shared" si="181"/>
        <v>0.05</v>
      </c>
      <c r="N4914" s="464">
        <f t="shared" si="182"/>
        <v>200611</v>
      </c>
    </row>
    <row r="4915" spans="7:14" ht="11.25" customHeight="1" x14ac:dyDescent="0.3">
      <c r="G4915" s="459"/>
      <c r="H4915" s="459">
        <v>4908</v>
      </c>
      <c r="I4915" s="444">
        <f t="shared" ca="1" si="180"/>
        <v>-167084931934852.03</v>
      </c>
      <c r="J4915" s="444">
        <f t="array" ref="J4915">IFERROR(INDEX('Retirement Calculator'!K:K,MATCH('Lorri 401b'!N4915,'Retirement Calculator'!A:A,0),0),0)</f>
        <v>0</v>
      </c>
      <c r="K4915" s="444">
        <f t="shared" ca="1" si="178"/>
        <v>-696187216395.2168</v>
      </c>
      <c r="L4915" s="444">
        <f t="shared" ca="1" si="179"/>
        <v>-167781119151247.25</v>
      </c>
      <c r="M4915" s="460">
        <f t="shared" si="181"/>
        <v>0.05</v>
      </c>
      <c r="N4915" s="464">
        <f t="shared" si="182"/>
        <v>200641</v>
      </c>
    </row>
    <row r="4916" spans="7:14" ht="11.25" customHeight="1" x14ac:dyDescent="0.3">
      <c r="G4916" s="459"/>
      <c r="H4916" s="459">
        <v>4909</v>
      </c>
      <c r="I4916" s="444">
        <f t="shared" ca="1" si="180"/>
        <v>-167781119151247.25</v>
      </c>
      <c r="J4916" s="444">
        <f t="array" ref="J4916">IFERROR(INDEX('Retirement Calculator'!K:K,MATCH('Lorri 401b'!N4916,'Retirement Calculator'!A:A,0),0),0)</f>
        <v>0</v>
      </c>
      <c r="K4916" s="444">
        <f t="shared" ca="1" si="178"/>
        <v>-699087996463.53015</v>
      </c>
      <c r="L4916" s="444">
        <f t="shared" ca="1" si="179"/>
        <v>-168480207147710.78</v>
      </c>
      <c r="M4916" s="460">
        <f t="shared" si="181"/>
        <v>0.05</v>
      </c>
      <c r="N4916" s="464">
        <f t="shared" si="182"/>
        <v>200672</v>
      </c>
    </row>
    <row r="4917" spans="7:14" ht="11.25" customHeight="1" x14ac:dyDescent="0.3">
      <c r="G4917" s="459"/>
      <c r="H4917" s="459">
        <v>4910</v>
      </c>
      <c r="I4917" s="444">
        <f t="shared" ca="1" si="180"/>
        <v>-168480207147710.78</v>
      </c>
      <c r="J4917" s="444">
        <f t="array" ref="J4917">IFERROR(INDEX('Retirement Calculator'!K:K,MATCH('Lorri 401b'!N4917,'Retirement Calculator'!A:A,0),0),0)</f>
        <v>0</v>
      </c>
      <c r="K4917" s="444">
        <f t="shared" ca="1" si="178"/>
        <v>-702000863115.46155</v>
      </c>
      <c r="L4917" s="444">
        <f t="shared" ca="1" si="179"/>
        <v>-169182208010826.25</v>
      </c>
      <c r="M4917" s="460">
        <f t="shared" si="181"/>
        <v>0.05</v>
      </c>
      <c r="N4917" s="464">
        <f t="shared" si="182"/>
        <v>200702</v>
      </c>
    </row>
    <row r="4918" spans="7:14" ht="11.25" customHeight="1" x14ac:dyDescent="0.3">
      <c r="G4918" s="459"/>
      <c r="H4918" s="459">
        <v>4911</v>
      </c>
      <c r="I4918" s="444">
        <f t="shared" ca="1" si="180"/>
        <v>-169182208010826.25</v>
      </c>
      <c r="J4918" s="444">
        <f t="array" ref="J4918">IFERROR(INDEX('Retirement Calculator'!K:K,MATCH('Lorri 401b'!N4918,'Retirement Calculator'!A:A,0),0),0)</f>
        <v>0</v>
      </c>
      <c r="K4918" s="444">
        <f t="shared" ca="1" si="178"/>
        <v>-704925866711.776</v>
      </c>
      <c r="L4918" s="444">
        <f t="shared" ca="1" si="179"/>
        <v>-169887133877538.03</v>
      </c>
      <c r="M4918" s="460">
        <f t="shared" si="181"/>
        <v>0.05</v>
      </c>
      <c r="N4918" s="464">
        <f t="shared" si="182"/>
        <v>200733</v>
      </c>
    </row>
    <row r="4919" spans="7:14" ht="11.25" customHeight="1" x14ac:dyDescent="0.3">
      <c r="G4919" s="459"/>
      <c r="H4919" s="459">
        <v>4912</v>
      </c>
      <c r="I4919" s="444">
        <f t="shared" ca="1" si="180"/>
        <v>-169887133877538.03</v>
      </c>
      <c r="J4919" s="444">
        <f t="array" ref="J4919">IFERROR(INDEX('Retirement Calculator'!K:K,MATCH('Lorri 401b'!N4919,'Retirement Calculator'!A:A,0),0),0)</f>
        <v>0</v>
      </c>
      <c r="K4919" s="444">
        <f t="shared" ca="1" si="178"/>
        <v>-707863057823.07507</v>
      </c>
      <c r="L4919" s="444">
        <f t="shared" ca="1" si="179"/>
        <v>-170594996935361.09</v>
      </c>
      <c r="M4919" s="460">
        <f t="shared" si="181"/>
        <v>0.05</v>
      </c>
      <c r="N4919" s="464">
        <f t="shared" si="182"/>
        <v>200764</v>
      </c>
    </row>
    <row r="4920" spans="7:14" ht="11.25" customHeight="1" x14ac:dyDescent="0.3">
      <c r="G4920" s="459"/>
      <c r="H4920" s="459">
        <v>4913</v>
      </c>
      <c r="I4920" s="444">
        <f t="shared" ca="1" si="180"/>
        <v>-170594996935361.09</v>
      </c>
      <c r="J4920" s="444">
        <f t="array" ref="J4920">IFERROR(INDEX('Retirement Calculator'!K:K,MATCH('Lorri 401b'!N4920,'Retirement Calculator'!A:A,0),0),0)</f>
        <v>0</v>
      </c>
      <c r="K4920" s="444">
        <f t="shared" ca="1" si="178"/>
        <v>-710812487230.67126</v>
      </c>
      <c r="L4920" s="444">
        <f t="shared" ca="1" si="179"/>
        <v>-171305809422591.75</v>
      </c>
      <c r="M4920" s="460">
        <f t="shared" si="181"/>
        <v>0.05</v>
      </c>
      <c r="N4920" s="464">
        <f t="shared" si="182"/>
        <v>200794</v>
      </c>
    </row>
    <row r="4921" spans="7:14" ht="11.25" customHeight="1" x14ac:dyDescent="0.3">
      <c r="G4921" s="459"/>
      <c r="H4921" s="459">
        <v>4914</v>
      </c>
      <c r="I4921" s="444">
        <f t="shared" ca="1" si="180"/>
        <v>-171305809422591.75</v>
      </c>
      <c r="J4921" s="444">
        <f t="array" ref="J4921">IFERROR(INDEX('Retirement Calculator'!K:K,MATCH('Lorri 401b'!N4921,'Retirement Calculator'!A:A,0),0),0)</f>
        <v>0</v>
      </c>
      <c r="K4921" s="444">
        <f t="shared" ca="1" si="178"/>
        <v>-713774205927.46558</v>
      </c>
      <c r="L4921" s="444">
        <f t="shared" ca="1" si="179"/>
        <v>-172019583628519.22</v>
      </c>
      <c r="M4921" s="460">
        <f t="shared" si="181"/>
        <v>0.05</v>
      </c>
      <c r="N4921" s="464">
        <f t="shared" si="182"/>
        <v>200825</v>
      </c>
    </row>
    <row r="4922" spans="7:14" ht="11.25" customHeight="1" x14ac:dyDescent="0.3">
      <c r="G4922" s="459"/>
      <c r="H4922" s="459">
        <v>4915</v>
      </c>
      <c r="I4922" s="444">
        <f t="shared" ca="1" si="180"/>
        <v>-172019583628519.22</v>
      </c>
      <c r="J4922" s="444">
        <f t="array" ref="J4922">IFERROR(INDEX('Retirement Calculator'!K:K,MATCH('Lorri 401b'!N4922,'Retirement Calculator'!A:A,0),0),0)</f>
        <v>0</v>
      </c>
      <c r="K4922" s="444">
        <f t="shared" ca="1" si="178"/>
        <v>-716748265118.83008</v>
      </c>
      <c r="L4922" s="444">
        <f t="shared" ca="1" si="179"/>
        <v>-172736331893638.06</v>
      </c>
      <c r="M4922" s="460">
        <f t="shared" si="181"/>
        <v>0.05</v>
      </c>
      <c r="N4922" s="464">
        <f t="shared" si="182"/>
        <v>200855</v>
      </c>
    </row>
    <row r="4923" spans="7:14" ht="11.25" customHeight="1" x14ac:dyDescent="0.3">
      <c r="G4923" s="459"/>
      <c r="H4923" s="459">
        <v>4916</v>
      </c>
      <c r="I4923" s="444">
        <f t="shared" ca="1" si="180"/>
        <v>-172736331893638.06</v>
      </c>
      <c r="J4923" s="444">
        <f t="array" ref="J4923">IFERROR(INDEX('Retirement Calculator'!K:K,MATCH('Lorri 401b'!N4923,'Retirement Calculator'!A:A,0),0),0)</f>
        <v>0</v>
      </c>
      <c r="K4923" s="444">
        <f t="shared" ca="1" si="178"/>
        <v>-719734716223.49194</v>
      </c>
      <c r="L4923" s="444">
        <f t="shared" ca="1" si="179"/>
        <v>-173456066609861.56</v>
      </c>
      <c r="M4923" s="460">
        <f t="shared" si="181"/>
        <v>0.05</v>
      </c>
      <c r="N4923" s="464">
        <f t="shared" si="182"/>
        <v>200886</v>
      </c>
    </row>
    <row r="4924" spans="7:14" ht="11.25" customHeight="1" x14ac:dyDescent="0.3">
      <c r="G4924" s="459"/>
      <c r="H4924" s="459">
        <v>4917</v>
      </c>
      <c r="I4924" s="444">
        <f t="shared" ca="1" si="180"/>
        <v>-173456066609861.56</v>
      </c>
      <c r="J4924" s="444">
        <f t="array" ref="J4924">IFERROR(INDEX('Retirement Calculator'!K:K,MATCH('Lorri 401b'!N4924,'Retirement Calculator'!A:A,0),0),0)</f>
        <v>0</v>
      </c>
      <c r="K4924" s="444">
        <f t="shared" ca="1" si="178"/>
        <v>-722733610874.42322</v>
      </c>
      <c r="L4924" s="444">
        <f t="shared" ca="1" si="179"/>
        <v>-174178800220736</v>
      </c>
      <c r="M4924" s="460">
        <f t="shared" si="181"/>
        <v>0.05</v>
      </c>
      <c r="N4924" s="464">
        <f t="shared" si="182"/>
        <v>200917</v>
      </c>
    </row>
    <row r="4925" spans="7:14" ht="11.25" customHeight="1" x14ac:dyDescent="0.3">
      <c r="G4925" s="459"/>
      <c r="H4925" s="459">
        <v>4918</v>
      </c>
      <c r="I4925" s="444">
        <f t="shared" ca="1" si="180"/>
        <v>-174178800220736</v>
      </c>
      <c r="J4925" s="444">
        <f t="array" ref="J4925">IFERROR(INDEX('Retirement Calculator'!K:K,MATCH('Lorri 401b'!N4925,'Retirement Calculator'!A:A,0),0),0)</f>
        <v>0</v>
      </c>
      <c r="K4925" s="444">
        <f t="shared" ca="1" si="178"/>
        <v>-725745000919.73328</v>
      </c>
      <c r="L4925" s="444">
        <f t="shared" ca="1" si="179"/>
        <v>-174904545221655.72</v>
      </c>
      <c r="M4925" s="460">
        <f t="shared" si="181"/>
        <v>0.05</v>
      </c>
      <c r="N4925" s="464">
        <f t="shared" si="182"/>
        <v>200945</v>
      </c>
    </row>
    <row r="4926" spans="7:14" ht="11.25" customHeight="1" x14ac:dyDescent="0.3">
      <c r="G4926" s="459"/>
      <c r="H4926" s="459">
        <v>4919</v>
      </c>
      <c r="I4926" s="444">
        <f t="shared" ca="1" si="180"/>
        <v>-174904545221655.72</v>
      </c>
      <c r="J4926" s="444">
        <f t="array" ref="J4926">IFERROR(INDEX('Retirement Calculator'!K:K,MATCH('Lorri 401b'!N4926,'Retirement Calculator'!A:A,0),0),0)</f>
        <v>0</v>
      </c>
      <c r="K4926" s="444">
        <f t="shared" ca="1" si="178"/>
        <v>-728768938423.56543</v>
      </c>
      <c r="L4926" s="444">
        <f t="shared" ca="1" si="179"/>
        <v>-175633314160079.28</v>
      </c>
      <c r="M4926" s="460">
        <f t="shared" si="181"/>
        <v>0.05</v>
      </c>
      <c r="N4926" s="464">
        <f t="shared" si="182"/>
        <v>200976</v>
      </c>
    </row>
    <row r="4927" spans="7:14" ht="11.25" customHeight="1" x14ac:dyDescent="0.3">
      <c r="G4927" s="459"/>
      <c r="H4927" s="459">
        <v>4920</v>
      </c>
      <c r="I4927" s="444">
        <f t="shared" ca="1" si="180"/>
        <v>-175633314160079.28</v>
      </c>
      <c r="J4927" s="444">
        <f t="array" ref="J4927">IFERROR(INDEX('Retirement Calculator'!K:K,MATCH('Lorri 401b'!N4927,'Retirement Calculator'!A:A,0),0),0)</f>
        <v>0</v>
      </c>
      <c r="K4927" s="444">
        <f t="shared" ca="1" si="178"/>
        <v>-731805475666.99695</v>
      </c>
      <c r="L4927" s="444">
        <f t="shared" ca="1" si="179"/>
        <v>-176365119635746.28</v>
      </c>
      <c r="M4927" s="460">
        <f t="shared" si="181"/>
        <v>0.05</v>
      </c>
      <c r="N4927" s="464">
        <f t="shared" si="182"/>
        <v>201006</v>
      </c>
    </row>
    <row r="4928" spans="7:14" ht="11.25" customHeight="1" x14ac:dyDescent="0.3">
      <c r="G4928" s="459"/>
      <c r="H4928" s="459">
        <v>4921</v>
      </c>
      <c r="I4928" s="444">
        <f t="shared" ca="1" si="180"/>
        <v>-176365119635746.28</v>
      </c>
      <c r="J4928" s="444">
        <f t="array" ref="J4928">IFERROR(INDEX('Retirement Calculator'!K:K,MATCH('Lorri 401b'!N4928,'Retirement Calculator'!A:A,0),0),0)</f>
        <v>0</v>
      </c>
      <c r="K4928" s="444">
        <f t="shared" ca="1" si="178"/>
        <v>-734854665148.94287</v>
      </c>
      <c r="L4928" s="444">
        <f t="shared" ca="1" si="179"/>
        <v>-177099974300895.22</v>
      </c>
      <c r="M4928" s="460">
        <f t="shared" si="181"/>
        <v>0.05</v>
      </c>
      <c r="N4928" s="464">
        <f t="shared" si="182"/>
        <v>201037</v>
      </c>
    </row>
    <row r="4929" spans="7:14" ht="11.25" customHeight="1" x14ac:dyDescent="0.3">
      <c r="G4929" s="459"/>
      <c r="H4929" s="459">
        <v>4922</v>
      </c>
      <c r="I4929" s="444">
        <f t="shared" ca="1" si="180"/>
        <v>-177099974300895.22</v>
      </c>
      <c r="J4929" s="444">
        <f t="array" ref="J4929">IFERROR(INDEX('Retirement Calculator'!K:K,MATCH('Lorri 401b'!N4929,'Retirement Calculator'!A:A,0),0),0)</f>
        <v>0</v>
      </c>
      <c r="K4929" s="444">
        <f t="shared" ca="1" si="178"/>
        <v>-737916559587.06335</v>
      </c>
      <c r="L4929" s="444">
        <f t="shared" ca="1" si="179"/>
        <v>-177837890860482.28</v>
      </c>
      <c r="M4929" s="460">
        <f t="shared" si="181"/>
        <v>0.05</v>
      </c>
      <c r="N4929" s="464">
        <f t="shared" si="182"/>
        <v>201067</v>
      </c>
    </row>
    <row r="4930" spans="7:14" ht="11.25" customHeight="1" x14ac:dyDescent="0.3">
      <c r="G4930" s="459"/>
      <c r="H4930" s="459">
        <v>4923</v>
      </c>
      <c r="I4930" s="444">
        <f t="shared" ca="1" si="180"/>
        <v>-177837890860482.28</v>
      </c>
      <c r="J4930" s="444">
        <f t="array" ref="J4930">IFERROR(INDEX('Retirement Calculator'!K:K,MATCH('Lorri 401b'!N4930,'Retirement Calculator'!A:A,0),0),0)</f>
        <v>0</v>
      </c>
      <c r="K4930" s="444">
        <f t="shared" ca="1" si="178"/>
        <v>-740991211918.67615</v>
      </c>
      <c r="L4930" s="444">
        <f t="shared" ca="1" si="179"/>
        <v>-178578882072400.97</v>
      </c>
      <c r="M4930" s="460">
        <f t="shared" si="181"/>
        <v>0.05</v>
      </c>
      <c r="N4930" s="464">
        <f t="shared" si="182"/>
        <v>201098</v>
      </c>
    </row>
    <row r="4931" spans="7:14" ht="11.25" customHeight="1" x14ac:dyDescent="0.3">
      <c r="G4931" s="459"/>
      <c r="H4931" s="459">
        <v>4924</v>
      </c>
      <c r="I4931" s="444">
        <f t="shared" ca="1" si="180"/>
        <v>-178578882072400.97</v>
      </c>
      <c r="J4931" s="444">
        <f t="array" ref="J4931">IFERROR(INDEX('Retirement Calculator'!K:K,MATCH('Lorri 401b'!N4931,'Retirement Calculator'!A:A,0),0),0)</f>
        <v>0</v>
      </c>
      <c r="K4931" s="444">
        <f t="shared" ca="1" si="178"/>
        <v>-744078675301.67065</v>
      </c>
      <c r="L4931" s="444">
        <f t="shared" ca="1" si="179"/>
        <v>-179322960747702.63</v>
      </c>
      <c r="M4931" s="460">
        <f t="shared" si="181"/>
        <v>0.05</v>
      </c>
      <c r="N4931" s="464">
        <f t="shared" si="182"/>
        <v>201129</v>
      </c>
    </row>
    <row r="4932" spans="7:14" ht="11.25" customHeight="1" x14ac:dyDescent="0.3">
      <c r="G4932" s="459"/>
      <c r="H4932" s="459">
        <v>4925</v>
      </c>
      <c r="I4932" s="444">
        <f t="shared" ca="1" si="180"/>
        <v>-179322960747702.63</v>
      </c>
      <c r="J4932" s="444">
        <f t="array" ref="J4932">IFERROR(INDEX('Retirement Calculator'!K:K,MATCH('Lorri 401b'!N4932,'Retirement Calculator'!A:A,0),0),0)</f>
        <v>0</v>
      </c>
      <c r="K4932" s="444">
        <f t="shared" ca="1" si="178"/>
        <v>-747179003115.42761</v>
      </c>
      <c r="L4932" s="444">
        <f t="shared" ca="1" si="179"/>
        <v>-180070139750818.06</v>
      </c>
      <c r="M4932" s="460">
        <f t="shared" si="181"/>
        <v>0.05</v>
      </c>
      <c r="N4932" s="464">
        <f t="shared" si="182"/>
        <v>201159</v>
      </c>
    </row>
    <row r="4933" spans="7:14" ht="11.25" customHeight="1" x14ac:dyDescent="0.3">
      <c r="G4933" s="459"/>
      <c r="H4933" s="459">
        <v>4926</v>
      </c>
      <c r="I4933" s="444">
        <f t="shared" ca="1" si="180"/>
        <v>-180070139750818.06</v>
      </c>
      <c r="J4933" s="444">
        <f t="array" ref="J4933">IFERROR(INDEX('Retirement Calculator'!K:K,MATCH('Lorri 401b'!N4933,'Retirement Calculator'!A:A,0),0),0)</f>
        <v>0</v>
      </c>
      <c r="K4933" s="444">
        <f t="shared" ca="1" si="178"/>
        <v>-750292248961.74194</v>
      </c>
      <c r="L4933" s="444">
        <f t="shared" ca="1" si="179"/>
        <v>-180820431999779.81</v>
      </c>
      <c r="M4933" s="460">
        <f t="shared" si="181"/>
        <v>0.05</v>
      </c>
      <c r="N4933" s="464">
        <f t="shared" si="182"/>
        <v>201190</v>
      </c>
    </row>
    <row r="4934" spans="7:14" ht="11.25" customHeight="1" x14ac:dyDescent="0.3">
      <c r="G4934" s="459"/>
      <c r="H4934" s="459">
        <v>4927</v>
      </c>
      <c r="I4934" s="444">
        <f t="shared" ca="1" si="180"/>
        <v>-180820431999779.81</v>
      </c>
      <c r="J4934" s="444">
        <f t="array" ref="J4934">IFERROR(INDEX('Retirement Calculator'!K:K,MATCH('Lorri 401b'!N4934,'Retirement Calculator'!A:A,0),0),0)</f>
        <v>0</v>
      </c>
      <c r="K4934" s="444">
        <f t="shared" ca="1" si="178"/>
        <v>-753418466665.74927</v>
      </c>
      <c r="L4934" s="444">
        <f t="shared" ca="1" si="179"/>
        <v>-181573850466445.56</v>
      </c>
      <c r="M4934" s="460">
        <f t="shared" si="181"/>
        <v>0.05</v>
      </c>
      <c r="N4934" s="464">
        <f t="shared" si="182"/>
        <v>201220</v>
      </c>
    </row>
    <row r="4935" spans="7:14" ht="11.25" customHeight="1" x14ac:dyDescent="0.3">
      <c r="G4935" s="459"/>
      <c r="H4935" s="459">
        <v>4928</v>
      </c>
      <c r="I4935" s="444">
        <f t="shared" ca="1" si="180"/>
        <v>-181573850466445.56</v>
      </c>
      <c r="J4935" s="444">
        <f t="array" ref="J4935">IFERROR(INDEX('Retirement Calculator'!K:K,MATCH('Lorri 401b'!N4935,'Retirement Calculator'!A:A,0),0),0)</f>
        <v>0</v>
      </c>
      <c r="K4935" s="444">
        <f t="shared" ca="1" si="178"/>
        <v>-756557710276.85645</v>
      </c>
      <c r="L4935" s="444">
        <f t="shared" ca="1" si="179"/>
        <v>-182330408176722.41</v>
      </c>
      <c r="M4935" s="460">
        <f t="shared" si="181"/>
        <v>0.05</v>
      </c>
      <c r="N4935" s="464">
        <f t="shared" si="182"/>
        <v>201251</v>
      </c>
    </row>
    <row r="4936" spans="7:14" ht="11.25" customHeight="1" x14ac:dyDescent="0.3">
      <c r="G4936" s="459"/>
      <c r="H4936" s="459">
        <v>4929</v>
      </c>
      <c r="I4936" s="444">
        <f t="shared" ca="1" si="180"/>
        <v>-182330408176722.41</v>
      </c>
      <c r="J4936" s="444">
        <f t="array" ref="J4936">IFERROR(INDEX('Retirement Calculator'!K:K,MATCH('Lorri 401b'!N4936,'Retirement Calculator'!A:A,0),0),0)</f>
        <v>0</v>
      </c>
      <c r="K4936" s="444">
        <f t="shared" ca="1" si="178"/>
        <v>-759710034069.67664</v>
      </c>
      <c r="L4936" s="444">
        <f t="shared" ca="1" si="179"/>
        <v>-183090118210792.09</v>
      </c>
      <c r="M4936" s="460">
        <f t="shared" si="181"/>
        <v>0.05</v>
      </c>
      <c r="N4936" s="464">
        <f t="shared" si="182"/>
        <v>201282</v>
      </c>
    </row>
    <row r="4937" spans="7:14" ht="11.25" customHeight="1" x14ac:dyDescent="0.3">
      <c r="G4937" s="459"/>
      <c r="H4937" s="459">
        <v>4930</v>
      </c>
      <c r="I4937" s="444">
        <f t="shared" ca="1" si="180"/>
        <v>-183090118210792.09</v>
      </c>
      <c r="J4937" s="444">
        <f t="array" ref="J4937">IFERROR(INDEX('Retirement Calculator'!K:K,MATCH('Lorri 401b'!N4937,'Retirement Calculator'!A:A,0),0),0)</f>
        <v>0</v>
      </c>
      <c r="K4937" s="444">
        <f t="shared" ca="1" si="178"/>
        <v>-762875492544.96704</v>
      </c>
      <c r="L4937" s="444">
        <f t="shared" ca="1" si="179"/>
        <v>-183852993703337.06</v>
      </c>
      <c r="M4937" s="460">
        <f t="shared" si="181"/>
        <v>0.05</v>
      </c>
      <c r="N4937" s="464">
        <f t="shared" si="182"/>
        <v>201310</v>
      </c>
    </row>
    <row r="4938" spans="7:14" ht="11.25" customHeight="1" x14ac:dyDescent="0.3">
      <c r="G4938" s="459"/>
      <c r="H4938" s="459">
        <v>4931</v>
      </c>
      <c r="I4938" s="444">
        <f t="shared" ca="1" si="180"/>
        <v>-183852993703337.06</v>
      </c>
      <c r="J4938" s="444">
        <f t="array" ref="J4938">IFERROR(INDEX('Retirement Calculator'!K:K,MATCH('Lorri 401b'!N4938,'Retirement Calculator'!A:A,0),0),0)</f>
        <v>0</v>
      </c>
      <c r="K4938" s="444">
        <f t="shared" ca="1" si="178"/>
        <v>-766054140430.57104</v>
      </c>
      <c r="L4938" s="444">
        <f t="shared" ca="1" si="179"/>
        <v>-184619047843767.63</v>
      </c>
      <c r="M4938" s="460">
        <f t="shared" si="181"/>
        <v>0.05</v>
      </c>
      <c r="N4938" s="464">
        <f t="shared" si="182"/>
        <v>201341</v>
      </c>
    </row>
    <row r="4939" spans="7:14" ht="11.25" customHeight="1" x14ac:dyDescent="0.3">
      <c r="G4939" s="459"/>
      <c r="H4939" s="459">
        <v>4932</v>
      </c>
      <c r="I4939" s="444">
        <f t="shared" ca="1" si="180"/>
        <v>-184619047843767.63</v>
      </c>
      <c r="J4939" s="444">
        <f t="array" ref="J4939">IFERROR(INDEX('Retirement Calculator'!K:K,MATCH('Lorri 401b'!N4939,'Retirement Calculator'!A:A,0),0),0)</f>
        <v>0</v>
      </c>
      <c r="K4939" s="444">
        <f t="shared" ca="1" si="178"/>
        <v>-769246032682.36511</v>
      </c>
      <c r="L4939" s="444">
        <f t="shared" ca="1" si="179"/>
        <v>-185388293876450</v>
      </c>
      <c r="M4939" s="460">
        <f t="shared" si="181"/>
        <v>0.05</v>
      </c>
      <c r="N4939" s="464">
        <f t="shared" si="182"/>
        <v>201371</v>
      </c>
    </row>
    <row r="4940" spans="7:14" ht="11.25" customHeight="1" x14ac:dyDescent="0.3">
      <c r="G4940" s="459"/>
      <c r="H4940" s="459">
        <v>4933</v>
      </c>
      <c r="I4940" s="444">
        <f t="shared" ca="1" si="180"/>
        <v>-185388293876450</v>
      </c>
      <c r="J4940" s="444">
        <f t="array" ref="J4940">IFERROR(INDEX('Retirement Calculator'!K:K,MATCH('Lorri 401b'!N4940,'Retirement Calculator'!A:A,0),0),0)</f>
        <v>0</v>
      </c>
      <c r="K4940" s="444">
        <f t="shared" ca="1" si="178"/>
        <v>-772451224485.20837</v>
      </c>
      <c r="L4940" s="444">
        <f t="shared" ca="1" si="179"/>
        <v>-186160745100935.22</v>
      </c>
      <c r="M4940" s="460">
        <f t="shared" si="181"/>
        <v>0.05</v>
      </c>
      <c r="N4940" s="464">
        <f t="shared" si="182"/>
        <v>201402</v>
      </c>
    </row>
    <row r="4941" spans="7:14" ht="11.25" customHeight="1" x14ac:dyDescent="0.3">
      <c r="G4941" s="459"/>
      <c r="H4941" s="459">
        <v>4934</v>
      </c>
      <c r="I4941" s="444">
        <f t="shared" ca="1" si="180"/>
        <v>-186160745100935.22</v>
      </c>
      <c r="J4941" s="444">
        <f t="array" ref="J4941">IFERROR(INDEX('Retirement Calculator'!K:K,MATCH('Lorri 401b'!N4941,'Retirement Calculator'!A:A,0),0),0)</f>
        <v>0</v>
      </c>
      <c r="K4941" s="444">
        <f t="shared" ca="1" si="178"/>
        <v>-775669771253.89673</v>
      </c>
      <c r="L4941" s="444">
        <f t="shared" ca="1" si="179"/>
        <v>-186936414872189.13</v>
      </c>
      <c r="M4941" s="460">
        <f t="shared" si="181"/>
        <v>0.05</v>
      </c>
      <c r="N4941" s="464">
        <f t="shared" si="182"/>
        <v>201432</v>
      </c>
    </row>
    <row r="4942" spans="7:14" ht="11.25" customHeight="1" x14ac:dyDescent="0.3">
      <c r="G4942" s="459"/>
      <c r="H4942" s="459">
        <v>4935</v>
      </c>
      <c r="I4942" s="444">
        <f t="shared" ca="1" si="180"/>
        <v>-186936414872189.13</v>
      </c>
      <c r="J4942" s="444">
        <f t="array" ref="J4942">IFERROR(INDEX('Retirement Calculator'!K:K,MATCH('Lorri 401b'!N4942,'Retirement Calculator'!A:A,0),0),0)</f>
        <v>0</v>
      </c>
      <c r="K4942" s="444">
        <f t="shared" ca="1" si="178"/>
        <v>-778901728634.12134</v>
      </c>
      <c r="L4942" s="444">
        <f t="shared" ca="1" si="179"/>
        <v>-187715316600823.25</v>
      </c>
      <c r="M4942" s="460">
        <f t="shared" si="181"/>
        <v>0.05</v>
      </c>
      <c r="N4942" s="464">
        <f t="shared" si="182"/>
        <v>201463</v>
      </c>
    </row>
    <row r="4943" spans="7:14" ht="11.25" customHeight="1" x14ac:dyDescent="0.3">
      <c r="G4943" s="459"/>
      <c r="H4943" s="459">
        <v>4936</v>
      </c>
      <c r="I4943" s="444">
        <f t="shared" ca="1" si="180"/>
        <v>-187715316600823.25</v>
      </c>
      <c r="J4943" s="444">
        <f t="array" ref="J4943">IFERROR(INDEX('Retirement Calculator'!K:K,MATCH('Lorri 401b'!N4943,'Retirement Calculator'!A:A,0),0),0)</f>
        <v>0</v>
      </c>
      <c r="K4943" s="444">
        <f t="shared" ca="1" si="178"/>
        <v>-782147152503.43018</v>
      </c>
      <c r="L4943" s="444">
        <f t="shared" ca="1" si="179"/>
        <v>-188497463753326.69</v>
      </c>
      <c r="M4943" s="460">
        <f t="shared" si="181"/>
        <v>0.05</v>
      </c>
      <c r="N4943" s="464">
        <f t="shared" si="182"/>
        <v>201494</v>
      </c>
    </row>
    <row r="4944" spans="7:14" ht="11.25" customHeight="1" x14ac:dyDescent="0.3">
      <c r="G4944" s="459"/>
      <c r="H4944" s="459">
        <v>4937</v>
      </c>
      <c r="I4944" s="444">
        <f t="shared" ca="1" si="180"/>
        <v>-188497463753326.69</v>
      </c>
      <c r="J4944" s="444">
        <f t="array" ref="J4944">IFERROR(INDEX('Retirement Calculator'!K:K,MATCH('Lorri 401b'!N4944,'Retirement Calculator'!A:A,0),0),0)</f>
        <v>0</v>
      </c>
      <c r="K4944" s="444">
        <f t="shared" ca="1" si="178"/>
        <v>-785406098972.19458</v>
      </c>
      <c r="L4944" s="444">
        <f t="shared" ca="1" si="179"/>
        <v>-189282869852298.88</v>
      </c>
      <c r="M4944" s="460">
        <f t="shared" si="181"/>
        <v>0.05</v>
      </c>
      <c r="N4944" s="464">
        <f t="shared" si="182"/>
        <v>201524</v>
      </c>
    </row>
    <row r="4945" spans="7:14" ht="11.25" customHeight="1" x14ac:dyDescent="0.3">
      <c r="G4945" s="459"/>
      <c r="H4945" s="459">
        <v>4938</v>
      </c>
      <c r="I4945" s="444">
        <f t="shared" ca="1" si="180"/>
        <v>-189282869852298.88</v>
      </c>
      <c r="J4945" s="444">
        <f t="array" ref="J4945">IFERROR(INDEX('Retirement Calculator'!K:K,MATCH('Lorri 401b'!N4945,'Retirement Calculator'!A:A,0),0),0)</f>
        <v>0</v>
      </c>
      <c r="K4945" s="444">
        <f t="shared" ca="1" si="178"/>
        <v>-788678624384.57861</v>
      </c>
      <c r="L4945" s="444">
        <f t="shared" ca="1" si="179"/>
        <v>-190071548476683.47</v>
      </c>
      <c r="M4945" s="460">
        <f t="shared" si="181"/>
        <v>0.05</v>
      </c>
      <c r="N4945" s="464">
        <f t="shared" si="182"/>
        <v>201555</v>
      </c>
    </row>
    <row r="4946" spans="7:14" ht="11.25" customHeight="1" x14ac:dyDescent="0.3">
      <c r="G4946" s="459"/>
      <c r="H4946" s="459">
        <v>4939</v>
      </c>
      <c r="I4946" s="444">
        <f t="shared" ca="1" si="180"/>
        <v>-190071548476683.47</v>
      </c>
      <c r="J4946" s="444">
        <f t="array" ref="J4946">IFERROR(INDEX('Retirement Calculator'!K:K,MATCH('Lorri 401b'!N4946,'Retirement Calculator'!A:A,0),0),0)</f>
        <v>0</v>
      </c>
      <c r="K4946" s="444">
        <f t="shared" ca="1" si="178"/>
        <v>-791964785319.5144</v>
      </c>
      <c r="L4946" s="444">
        <f t="shared" ca="1" si="179"/>
        <v>-190863513262002.97</v>
      </c>
      <c r="M4946" s="460">
        <f t="shared" si="181"/>
        <v>0.05</v>
      </c>
      <c r="N4946" s="464">
        <f t="shared" si="182"/>
        <v>201585</v>
      </c>
    </row>
    <row r="4947" spans="7:14" ht="11.25" customHeight="1" x14ac:dyDescent="0.3">
      <c r="G4947" s="459"/>
      <c r="H4947" s="459">
        <v>4940</v>
      </c>
      <c r="I4947" s="444">
        <f t="shared" ca="1" si="180"/>
        <v>-190863513262002.97</v>
      </c>
      <c r="J4947" s="444">
        <f t="array" ref="J4947">IFERROR(INDEX('Retirement Calculator'!K:K,MATCH('Lorri 401b'!N4947,'Retirement Calculator'!A:A,0),0),0)</f>
        <v>0</v>
      </c>
      <c r="K4947" s="444">
        <f t="shared" ca="1" si="178"/>
        <v>-795264638591.67908</v>
      </c>
      <c r="L4947" s="444">
        <f t="shared" ca="1" si="179"/>
        <v>-191658777900594.66</v>
      </c>
      <c r="M4947" s="460">
        <f t="shared" si="181"/>
        <v>0.05</v>
      </c>
      <c r="N4947" s="464">
        <f t="shared" si="182"/>
        <v>201616</v>
      </c>
    </row>
    <row r="4948" spans="7:14" ht="11.25" customHeight="1" x14ac:dyDescent="0.3">
      <c r="G4948" s="459"/>
      <c r="H4948" s="459">
        <v>4941</v>
      </c>
      <c r="I4948" s="444">
        <f t="shared" ca="1" si="180"/>
        <v>-191658777900594.66</v>
      </c>
      <c r="J4948" s="444">
        <f t="array" ref="J4948">IFERROR(INDEX('Retirement Calculator'!K:K,MATCH('Lorri 401b'!N4948,'Retirement Calculator'!A:A,0),0),0)</f>
        <v>0</v>
      </c>
      <c r="K4948" s="444">
        <f t="shared" ca="1" si="178"/>
        <v>-798578241252.47778</v>
      </c>
      <c r="L4948" s="444">
        <f t="shared" ca="1" si="179"/>
        <v>-192457356141847.13</v>
      </c>
      <c r="M4948" s="460">
        <f t="shared" si="181"/>
        <v>0.05</v>
      </c>
      <c r="N4948" s="464">
        <f t="shared" si="182"/>
        <v>201647</v>
      </c>
    </row>
    <row r="4949" spans="7:14" ht="11.25" customHeight="1" x14ac:dyDescent="0.3">
      <c r="G4949" s="459"/>
      <c r="H4949" s="459">
        <v>4942</v>
      </c>
      <c r="I4949" s="444">
        <f t="shared" ca="1" si="180"/>
        <v>-192457356141847.13</v>
      </c>
      <c r="J4949" s="444">
        <f t="array" ref="J4949">IFERROR(INDEX('Retirement Calculator'!K:K,MATCH('Lorri 401b'!N4949,'Retirement Calculator'!A:A,0),0),0)</f>
        <v>0</v>
      </c>
      <c r="K4949" s="444">
        <f t="shared" ca="1" si="178"/>
        <v>-801905650591.02966</v>
      </c>
      <c r="L4949" s="444">
        <f t="shared" ca="1" si="179"/>
        <v>-193259261792438.16</v>
      </c>
      <c r="M4949" s="460">
        <f t="shared" si="181"/>
        <v>0.05</v>
      </c>
      <c r="N4949" s="464">
        <f t="shared" si="182"/>
        <v>201676</v>
      </c>
    </row>
    <row r="4950" spans="7:14" ht="11.25" customHeight="1" x14ac:dyDescent="0.3">
      <c r="G4950" s="459"/>
      <c r="H4950" s="459">
        <v>4943</v>
      </c>
      <c r="I4950" s="444">
        <f t="shared" ca="1" si="180"/>
        <v>-193259261792438.16</v>
      </c>
      <c r="J4950" s="444">
        <f t="array" ref="J4950">IFERROR(INDEX('Retirement Calculator'!K:K,MATCH('Lorri 401b'!N4950,'Retirement Calculator'!A:A,0),0),0)</f>
        <v>0</v>
      </c>
      <c r="K4950" s="444">
        <f t="shared" ca="1" si="178"/>
        <v>-805246924135.15894</v>
      </c>
      <c r="L4950" s="444">
        <f t="shared" ca="1" si="179"/>
        <v>-194064508716573.31</v>
      </c>
      <c r="M4950" s="460">
        <f t="shared" si="181"/>
        <v>0.05</v>
      </c>
      <c r="N4950" s="464">
        <f t="shared" si="182"/>
        <v>201707</v>
      </c>
    </row>
    <row r="4951" spans="7:14" ht="11.25" customHeight="1" x14ac:dyDescent="0.3">
      <c r="G4951" s="459"/>
      <c r="H4951" s="459">
        <v>4944</v>
      </c>
      <c r="I4951" s="444">
        <f t="shared" ca="1" si="180"/>
        <v>-194064508716573.31</v>
      </c>
      <c r="J4951" s="444">
        <f t="array" ref="J4951">IFERROR(INDEX('Retirement Calculator'!K:K,MATCH('Lorri 401b'!N4951,'Retirement Calculator'!A:A,0),0),0)</f>
        <v>0</v>
      </c>
      <c r="K4951" s="444">
        <f t="shared" ca="1" si="178"/>
        <v>-808602119652.38879</v>
      </c>
      <c r="L4951" s="444">
        <f t="shared" ca="1" si="179"/>
        <v>-194873110836225.69</v>
      </c>
      <c r="M4951" s="460">
        <f t="shared" si="181"/>
        <v>0.05</v>
      </c>
      <c r="N4951" s="464">
        <f t="shared" si="182"/>
        <v>201737</v>
      </c>
    </row>
    <row r="4952" spans="7:14" ht="11.25" customHeight="1" x14ac:dyDescent="0.3">
      <c r="G4952" s="459"/>
      <c r="H4952" s="459">
        <v>4945</v>
      </c>
      <c r="I4952" s="444">
        <f t="shared" ca="1" si="180"/>
        <v>-194873110836225.69</v>
      </c>
      <c r="J4952" s="444">
        <f t="array" ref="J4952">IFERROR(INDEX('Retirement Calculator'!K:K,MATCH('Lorri 401b'!N4952,'Retirement Calculator'!A:A,0),0),0)</f>
        <v>0</v>
      </c>
      <c r="K4952" s="444">
        <f t="shared" ca="1" si="178"/>
        <v>-811971295150.94031</v>
      </c>
      <c r="L4952" s="444">
        <f t="shared" ca="1" si="179"/>
        <v>-195685082131376.63</v>
      </c>
      <c r="M4952" s="460">
        <f t="shared" si="181"/>
        <v>0.05</v>
      </c>
      <c r="N4952" s="464">
        <f t="shared" si="182"/>
        <v>201768</v>
      </c>
    </row>
    <row r="4953" spans="7:14" ht="11.25" customHeight="1" x14ac:dyDescent="0.3">
      <c r="G4953" s="459"/>
      <c r="H4953" s="459">
        <v>4946</v>
      </c>
      <c r="I4953" s="444">
        <f t="shared" ca="1" si="180"/>
        <v>-195685082131376.63</v>
      </c>
      <c r="J4953" s="444">
        <f t="array" ref="J4953">IFERROR(INDEX('Retirement Calculator'!K:K,MATCH('Lorri 401b'!N4953,'Retirement Calculator'!A:A,0),0),0)</f>
        <v>0</v>
      </c>
      <c r="K4953" s="444">
        <f t="shared" ca="1" si="178"/>
        <v>-815354508880.73596</v>
      </c>
      <c r="L4953" s="444">
        <f t="shared" ca="1" si="179"/>
        <v>-196500436640257.38</v>
      </c>
      <c r="M4953" s="460">
        <f t="shared" si="181"/>
        <v>0.05</v>
      </c>
      <c r="N4953" s="464">
        <f t="shared" si="182"/>
        <v>201798</v>
      </c>
    </row>
    <row r="4954" spans="7:14" ht="11.25" customHeight="1" x14ac:dyDescent="0.3">
      <c r="G4954" s="459"/>
      <c r="H4954" s="459">
        <v>4947</v>
      </c>
      <c r="I4954" s="444">
        <f t="shared" ca="1" si="180"/>
        <v>-196500436640257.38</v>
      </c>
      <c r="J4954" s="444">
        <f t="array" ref="J4954">IFERROR(INDEX('Retirement Calculator'!K:K,MATCH('Lorri 401b'!N4954,'Retirement Calculator'!A:A,0),0),0)</f>
        <v>0</v>
      </c>
      <c r="K4954" s="444">
        <f t="shared" ca="1" si="178"/>
        <v>-818751819334.40576</v>
      </c>
      <c r="L4954" s="444">
        <f t="shared" ca="1" si="179"/>
        <v>-197319188459591.78</v>
      </c>
      <c r="M4954" s="460">
        <f t="shared" si="181"/>
        <v>0.05</v>
      </c>
      <c r="N4954" s="464">
        <f t="shared" si="182"/>
        <v>201829</v>
      </c>
    </row>
    <row r="4955" spans="7:14" ht="11.25" customHeight="1" x14ac:dyDescent="0.3">
      <c r="G4955" s="459"/>
      <c r="H4955" s="459">
        <v>4948</v>
      </c>
      <c r="I4955" s="444">
        <f t="shared" ca="1" si="180"/>
        <v>-197319188459591.78</v>
      </c>
      <c r="J4955" s="444">
        <f t="array" ref="J4955">IFERROR(INDEX('Retirement Calculator'!K:K,MATCH('Lorri 401b'!N4955,'Retirement Calculator'!A:A,0),0),0)</f>
        <v>0</v>
      </c>
      <c r="K4955" s="444">
        <f t="shared" ca="1" si="178"/>
        <v>-822163285248.29907</v>
      </c>
      <c r="L4955" s="444">
        <f t="shared" ca="1" si="179"/>
        <v>-198141351744840.09</v>
      </c>
      <c r="M4955" s="460">
        <f t="shared" si="181"/>
        <v>0.05</v>
      </c>
      <c r="N4955" s="464">
        <f t="shared" si="182"/>
        <v>201860</v>
      </c>
    </row>
    <row r="4956" spans="7:14" ht="11.25" customHeight="1" x14ac:dyDescent="0.3">
      <c r="G4956" s="459"/>
      <c r="H4956" s="459">
        <v>4949</v>
      </c>
      <c r="I4956" s="444">
        <f t="shared" ca="1" si="180"/>
        <v>-198141351744840.09</v>
      </c>
      <c r="J4956" s="444">
        <f t="array" ref="J4956">IFERROR(INDEX('Retirement Calculator'!K:K,MATCH('Lorri 401b'!N4956,'Retirement Calculator'!A:A,0),0),0)</f>
        <v>0</v>
      </c>
      <c r="K4956" s="444">
        <f t="shared" ca="1" si="178"/>
        <v>-825588965603.50037</v>
      </c>
      <c r="L4956" s="444">
        <f t="shared" ca="1" si="179"/>
        <v>-198966940710443.59</v>
      </c>
      <c r="M4956" s="460">
        <f t="shared" si="181"/>
        <v>0.05</v>
      </c>
      <c r="N4956" s="464">
        <f t="shared" si="182"/>
        <v>201890</v>
      </c>
    </row>
    <row r="4957" spans="7:14" ht="11.25" customHeight="1" x14ac:dyDescent="0.3">
      <c r="G4957" s="459"/>
      <c r="H4957" s="459">
        <v>4950</v>
      </c>
      <c r="I4957" s="444">
        <f t="shared" ca="1" si="180"/>
        <v>-198966940710443.59</v>
      </c>
      <c r="J4957" s="444">
        <f t="array" ref="J4957">IFERROR(INDEX('Retirement Calculator'!K:K,MATCH('Lorri 401b'!N4957,'Retirement Calculator'!A:A,0),0),0)</f>
        <v>0</v>
      </c>
      <c r="K4957" s="444">
        <f t="shared" ca="1" si="178"/>
        <v>-829028919626.84827</v>
      </c>
      <c r="L4957" s="444">
        <f t="shared" ca="1" si="179"/>
        <v>-199795969630070.44</v>
      </c>
      <c r="M4957" s="460">
        <f t="shared" si="181"/>
        <v>0.05</v>
      </c>
      <c r="N4957" s="464">
        <f t="shared" si="182"/>
        <v>201921</v>
      </c>
    </row>
    <row r="4958" spans="7:14" ht="11.25" customHeight="1" x14ac:dyDescent="0.3">
      <c r="G4958" s="459"/>
      <c r="H4958" s="459">
        <v>4951</v>
      </c>
      <c r="I4958" s="444">
        <f t="shared" ca="1" si="180"/>
        <v>-199795969630070.44</v>
      </c>
      <c r="J4958" s="444">
        <f t="array" ref="J4958">IFERROR(INDEX('Retirement Calculator'!K:K,MATCH('Lorri 401b'!N4958,'Retirement Calculator'!A:A,0),0),0)</f>
        <v>0</v>
      </c>
      <c r="K4958" s="444">
        <f t="shared" ca="1" si="178"/>
        <v>-832483206791.96021</v>
      </c>
      <c r="L4958" s="444">
        <f t="shared" ca="1" si="179"/>
        <v>-200628452836862.41</v>
      </c>
      <c r="M4958" s="460">
        <f t="shared" si="181"/>
        <v>0.05</v>
      </c>
      <c r="N4958" s="464">
        <f t="shared" si="182"/>
        <v>201951</v>
      </c>
    </row>
    <row r="4959" spans="7:14" ht="11.25" customHeight="1" x14ac:dyDescent="0.3">
      <c r="G4959" s="459"/>
      <c r="H4959" s="459">
        <v>4952</v>
      </c>
      <c r="I4959" s="444">
        <f t="shared" ca="1" si="180"/>
        <v>-200628452836862.41</v>
      </c>
      <c r="J4959" s="444">
        <f t="array" ref="J4959">IFERROR(INDEX('Retirement Calculator'!K:K,MATCH('Lorri 401b'!N4959,'Retirement Calculator'!A:A,0),0),0)</f>
        <v>0</v>
      </c>
      <c r="K4959" s="444">
        <f t="shared" ca="1" si="178"/>
        <v>-835951886820.26001</v>
      </c>
      <c r="L4959" s="444">
        <f t="shared" ca="1" si="179"/>
        <v>-201464404723682.66</v>
      </c>
      <c r="M4959" s="460">
        <f t="shared" si="181"/>
        <v>0.05</v>
      </c>
      <c r="N4959" s="464">
        <f t="shared" si="182"/>
        <v>201982</v>
      </c>
    </row>
    <row r="4960" spans="7:14" ht="11.25" customHeight="1" x14ac:dyDescent="0.3">
      <c r="G4960" s="459"/>
      <c r="H4960" s="459">
        <v>4953</v>
      </c>
      <c r="I4960" s="444">
        <f t="shared" ca="1" si="180"/>
        <v>-201464404723682.66</v>
      </c>
      <c r="J4960" s="444">
        <f t="array" ref="J4960">IFERROR(INDEX('Retirement Calculator'!K:K,MATCH('Lorri 401b'!N4960,'Retirement Calculator'!A:A,0),0),0)</f>
        <v>0</v>
      </c>
      <c r="K4960" s="444">
        <f t="shared" ca="1" si="178"/>
        <v>-839435019682.01111</v>
      </c>
      <c r="L4960" s="444">
        <f t="shared" ca="1" si="179"/>
        <v>-202303839743364.66</v>
      </c>
      <c r="M4960" s="460">
        <f t="shared" si="181"/>
        <v>0.05</v>
      </c>
      <c r="N4960" s="464">
        <f t="shared" si="182"/>
        <v>202013</v>
      </c>
    </row>
    <row r="4961" spans="7:14" ht="11.25" customHeight="1" x14ac:dyDescent="0.3">
      <c r="G4961" s="459"/>
      <c r="H4961" s="459">
        <v>4954</v>
      </c>
      <c r="I4961" s="444">
        <f t="shared" ca="1" si="180"/>
        <v>-202303839743364.66</v>
      </c>
      <c r="J4961" s="444">
        <f t="array" ref="J4961">IFERROR(INDEX('Retirement Calculator'!K:K,MATCH('Lorri 401b'!N4961,'Retirement Calculator'!A:A,0),0),0)</f>
        <v>0</v>
      </c>
      <c r="K4961" s="444">
        <f t="shared" ca="1" si="178"/>
        <v>-842932665597.35278</v>
      </c>
      <c r="L4961" s="444">
        <f t="shared" ca="1" si="179"/>
        <v>-203146772408962</v>
      </c>
      <c r="M4961" s="460">
        <f t="shared" si="181"/>
        <v>0.05</v>
      </c>
      <c r="N4961" s="464">
        <f t="shared" si="182"/>
        <v>202041</v>
      </c>
    </row>
    <row r="4962" spans="7:14" ht="11.25" customHeight="1" x14ac:dyDescent="0.3">
      <c r="G4962" s="459"/>
      <c r="H4962" s="459">
        <v>4955</v>
      </c>
      <c r="I4962" s="444">
        <f t="shared" ca="1" si="180"/>
        <v>-203146772408962</v>
      </c>
      <c r="J4962" s="444">
        <f t="array" ref="J4962">IFERROR(INDEX('Retirement Calculator'!K:K,MATCH('Lorri 401b'!N4962,'Retirement Calculator'!A:A,0),0),0)</f>
        <v>0</v>
      </c>
      <c r="K4962" s="444">
        <f t="shared" ca="1" si="178"/>
        <v>-846444885037.34167</v>
      </c>
      <c r="L4962" s="444">
        <f t="shared" ca="1" si="179"/>
        <v>-203993217293999.34</v>
      </c>
      <c r="M4962" s="460">
        <f t="shared" si="181"/>
        <v>0.05</v>
      </c>
      <c r="N4962" s="464">
        <f t="shared" si="182"/>
        <v>202072</v>
      </c>
    </row>
    <row r="4963" spans="7:14" ht="11.25" customHeight="1" x14ac:dyDescent="0.3">
      <c r="G4963" s="459"/>
      <c r="H4963" s="459">
        <v>4956</v>
      </c>
      <c r="I4963" s="444">
        <f t="shared" ca="1" si="180"/>
        <v>-203993217293999.34</v>
      </c>
      <c r="J4963" s="444">
        <f t="array" ref="J4963">IFERROR(INDEX('Retirement Calculator'!K:K,MATCH('Lorri 401b'!N4963,'Retirement Calculator'!A:A,0),0),0)</f>
        <v>0</v>
      </c>
      <c r="K4963" s="444">
        <f t="shared" ca="1" si="178"/>
        <v>-849971738724.99731</v>
      </c>
      <c r="L4963" s="444">
        <f t="shared" ca="1" si="179"/>
        <v>-204843189032724.34</v>
      </c>
      <c r="M4963" s="460">
        <f t="shared" si="181"/>
        <v>0.05</v>
      </c>
      <c r="N4963" s="464">
        <f t="shared" si="182"/>
        <v>202102</v>
      </c>
    </row>
    <row r="4964" spans="7:14" ht="11.25" customHeight="1" x14ac:dyDescent="0.3">
      <c r="G4964" s="459"/>
      <c r="H4964" s="459">
        <v>4957</v>
      </c>
      <c r="I4964" s="444">
        <f t="shared" ca="1" si="180"/>
        <v>-204843189032724.34</v>
      </c>
      <c r="J4964" s="444">
        <f t="array" ref="J4964">IFERROR(INDEX('Retirement Calculator'!K:K,MATCH('Lorri 401b'!N4964,'Retirement Calculator'!A:A,0),0),0)</f>
        <v>0</v>
      </c>
      <c r="K4964" s="444">
        <f t="shared" ca="1" si="178"/>
        <v>-853513287636.35144</v>
      </c>
      <c r="L4964" s="444">
        <f t="shared" ca="1" si="179"/>
        <v>-205696702320360.69</v>
      </c>
      <c r="M4964" s="460">
        <f t="shared" si="181"/>
        <v>0.05</v>
      </c>
      <c r="N4964" s="464">
        <f t="shared" si="182"/>
        <v>202133</v>
      </c>
    </row>
    <row r="4965" spans="7:14" ht="11.25" customHeight="1" x14ac:dyDescent="0.3">
      <c r="G4965" s="459"/>
      <c r="H4965" s="459">
        <v>4958</v>
      </c>
      <c r="I4965" s="444">
        <f t="shared" ca="1" si="180"/>
        <v>-205696702320360.69</v>
      </c>
      <c r="J4965" s="444">
        <f t="array" ref="J4965">IFERROR(INDEX('Retirement Calculator'!K:K,MATCH('Lorri 401b'!N4965,'Retirement Calculator'!A:A,0),0),0)</f>
        <v>0</v>
      </c>
      <c r="K4965" s="444">
        <f t="shared" ca="1" si="178"/>
        <v>-857069593001.50281</v>
      </c>
      <c r="L4965" s="444">
        <f t="shared" ca="1" si="179"/>
        <v>-206553771913362.19</v>
      </c>
      <c r="M4965" s="460">
        <f t="shared" si="181"/>
        <v>0.05</v>
      </c>
      <c r="N4965" s="464">
        <f t="shared" si="182"/>
        <v>202163</v>
      </c>
    </row>
    <row r="4966" spans="7:14" ht="11.25" customHeight="1" x14ac:dyDescent="0.3">
      <c r="G4966" s="459"/>
      <c r="H4966" s="459">
        <v>4959</v>
      </c>
      <c r="I4966" s="444">
        <f t="shared" ca="1" si="180"/>
        <v>-206553771913362.19</v>
      </c>
      <c r="J4966" s="444">
        <f t="array" ref="J4966">IFERROR(INDEX('Retirement Calculator'!K:K,MATCH('Lorri 401b'!N4966,'Retirement Calculator'!A:A,0),0),0)</f>
        <v>0</v>
      </c>
      <c r="K4966" s="444">
        <f t="shared" ca="1" si="178"/>
        <v>-860640716305.67578</v>
      </c>
      <c r="L4966" s="444">
        <f t="shared" ca="1" si="179"/>
        <v>-207414412629667.88</v>
      </c>
      <c r="M4966" s="460">
        <f t="shared" si="181"/>
        <v>0.05</v>
      </c>
      <c r="N4966" s="464">
        <f t="shared" si="182"/>
        <v>202194</v>
      </c>
    </row>
    <row r="4967" spans="7:14" ht="11.25" customHeight="1" x14ac:dyDescent="0.3">
      <c r="G4967" s="459"/>
      <c r="H4967" s="459">
        <v>4960</v>
      </c>
      <c r="I4967" s="444">
        <f t="shared" ca="1" si="180"/>
        <v>-207414412629667.88</v>
      </c>
      <c r="J4967" s="444">
        <f t="array" ref="J4967">IFERROR(INDEX('Retirement Calculator'!K:K,MATCH('Lorri 401b'!N4967,'Retirement Calculator'!A:A,0),0),0)</f>
        <v>0</v>
      </c>
      <c r="K4967" s="444">
        <f t="shared" ca="1" si="178"/>
        <v>-864226719290.28284</v>
      </c>
      <c r="L4967" s="444">
        <f t="shared" ca="1" si="179"/>
        <v>-208278639348958.16</v>
      </c>
      <c r="M4967" s="460">
        <f t="shared" si="181"/>
        <v>0.05</v>
      </c>
      <c r="N4967" s="464">
        <f t="shared" si="182"/>
        <v>202225</v>
      </c>
    </row>
    <row r="4968" spans="7:14" ht="11.25" customHeight="1" x14ac:dyDescent="0.3">
      <c r="G4968" s="459"/>
      <c r="H4968" s="459">
        <v>4961</v>
      </c>
      <c r="I4968" s="444">
        <f t="shared" ca="1" si="180"/>
        <v>-208278639348958.16</v>
      </c>
      <c r="J4968" s="444">
        <f t="array" ref="J4968">IFERROR(INDEX('Retirement Calculator'!K:K,MATCH('Lorri 401b'!N4968,'Retirement Calculator'!A:A,0),0),0)</f>
        <v>0</v>
      </c>
      <c r="K4968" s="444">
        <f t="shared" ca="1" si="178"/>
        <v>-867827663953.99231</v>
      </c>
      <c r="L4968" s="444">
        <f t="shared" ca="1" si="179"/>
        <v>-209146467012912.16</v>
      </c>
      <c r="M4968" s="460">
        <f t="shared" si="181"/>
        <v>0.05</v>
      </c>
      <c r="N4968" s="464">
        <f t="shared" si="182"/>
        <v>202255</v>
      </c>
    </row>
    <row r="4969" spans="7:14" ht="11.25" customHeight="1" x14ac:dyDescent="0.3">
      <c r="G4969" s="459"/>
      <c r="H4969" s="459">
        <v>4962</v>
      </c>
      <c r="I4969" s="444">
        <f t="shared" ca="1" si="180"/>
        <v>-209146467012912.16</v>
      </c>
      <c r="J4969" s="444">
        <f t="array" ref="J4969">IFERROR(INDEX('Retirement Calculator'!K:K,MATCH('Lorri 401b'!N4969,'Retirement Calculator'!A:A,0),0),0)</f>
        <v>0</v>
      </c>
      <c r="K4969" s="444">
        <f t="shared" ca="1" si="178"/>
        <v>-871443612553.80066</v>
      </c>
      <c r="L4969" s="444">
        <f t="shared" ca="1" si="179"/>
        <v>-210017910625465.97</v>
      </c>
      <c r="M4969" s="460">
        <f t="shared" si="181"/>
        <v>0.05</v>
      </c>
      <c r="N4969" s="464">
        <f t="shared" si="182"/>
        <v>202286</v>
      </c>
    </row>
    <row r="4970" spans="7:14" ht="11.25" customHeight="1" x14ac:dyDescent="0.3">
      <c r="G4970" s="459"/>
      <c r="H4970" s="459">
        <v>4963</v>
      </c>
      <c r="I4970" s="444">
        <f t="shared" ca="1" si="180"/>
        <v>-210017910625465.97</v>
      </c>
      <c r="J4970" s="444">
        <f t="array" ref="J4970">IFERROR(INDEX('Retirement Calculator'!K:K,MATCH('Lorri 401b'!N4970,'Retirement Calculator'!A:A,0),0),0)</f>
        <v>0</v>
      </c>
      <c r="K4970" s="444">
        <f t="shared" ca="1" si="178"/>
        <v>-875074627606.10815</v>
      </c>
      <c r="L4970" s="444">
        <f t="shared" ca="1" si="179"/>
        <v>-210892985253072.06</v>
      </c>
      <c r="M4970" s="460">
        <f t="shared" si="181"/>
        <v>0.05</v>
      </c>
      <c r="N4970" s="464">
        <f t="shared" si="182"/>
        <v>202316</v>
      </c>
    </row>
    <row r="4971" spans="7:14" ht="11.25" customHeight="1" x14ac:dyDescent="0.3">
      <c r="G4971" s="459"/>
      <c r="H4971" s="459">
        <v>4964</v>
      </c>
      <c r="I4971" s="444">
        <f t="shared" ca="1" si="180"/>
        <v>-210892985253072.06</v>
      </c>
      <c r="J4971" s="444">
        <f t="array" ref="J4971">IFERROR(INDEX('Retirement Calculator'!K:K,MATCH('Lorri 401b'!N4971,'Retirement Calculator'!A:A,0),0),0)</f>
        <v>0</v>
      </c>
      <c r="K4971" s="444">
        <f t="shared" ca="1" si="178"/>
        <v>-878720771887.80029</v>
      </c>
      <c r="L4971" s="444">
        <f t="shared" ca="1" si="179"/>
        <v>-211771706024959.88</v>
      </c>
      <c r="M4971" s="460">
        <f t="shared" si="181"/>
        <v>0.05</v>
      </c>
      <c r="N4971" s="464">
        <f t="shared" si="182"/>
        <v>202347</v>
      </c>
    </row>
    <row r="4972" spans="7:14" ht="11.25" customHeight="1" x14ac:dyDescent="0.3">
      <c r="G4972" s="459"/>
      <c r="H4972" s="459">
        <v>4965</v>
      </c>
      <c r="I4972" s="444">
        <f t="shared" ca="1" si="180"/>
        <v>-211771706024959.88</v>
      </c>
      <c r="J4972" s="444">
        <f t="array" ref="J4972">IFERROR(INDEX('Retirement Calculator'!K:K,MATCH('Lorri 401b'!N4972,'Retirement Calculator'!A:A,0),0),0)</f>
        <v>0</v>
      </c>
      <c r="K4972" s="444">
        <f t="shared" ca="1" si="178"/>
        <v>-882382108437.33276</v>
      </c>
      <c r="L4972" s="444">
        <f t="shared" ca="1" si="179"/>
        <v>-212654088133397.22</v>
      </c>
      <c r="M4972" s="460">
        <f t="shared" si="181"/>
        <v>0.05</v>
      </c>
      <c r="N4972" s="464">
        <f t="shared" si="182"/>
        <v>202378</v>
      </c>
    </row>
    <row r="4973" spans="7:14" ht="11.25" customHeight="1" x14ac:dyDescent="0.3">
      <c r="G4973" s="459"/>
      <c r="H4973" s="459">
        <v>4966</v>
      </c>
      <c r="I4973" s="444">
        <f t="shared" ca="1" si="180"/>
        <v>-212654088133397.22</v>
      </c>
      <c r="J4973" s="444">
        <f t="array" ref="J4973">IFERROR(INDEX('Retirement Calculator'!K:K,MATCH('Lorri 401b'!N4973,'Retirement Calculator'!A:A,0),0),0)</f>
        <v>0</v>
      </c>
      <c r="K4973" s="444">
        <f t="shared" ca="1" si="178"/>
        <v>-886058700555.82178</v>
      </c>
      <c r="L4973" s="444">
        <f t="shared" ca="1" si="179"/>
        <v>-213540146833953.03</v>
      </c>
      <c r="M4973" s="460">
        <f t="shared" si="181"/>
        <v>0.05</v>
      </c>
      <c r="N4973" s="464">
        <f t="shared" si="182"/>
        <v>202406</v>
      </c>
    </row>
    <row r="4974" spans="7:14" ht="11.25" customHeight="1" x14ac:dyDescent="0.3">
      <c r="G4974" s="459"/>
      <c r="H4974" s="459">
        <v>4967</v>
      </c>
      <c r="I4974" s="444">
        <f t="shared" ca="1" si="180"/>
        <v>-213540146833953.03</v>
      </c>
      <c r="J4974" s="444">
        <f t="array" ref="J4974">IFERROR(INDEX('Retirement Calculator'!K:K,MATCH('Lorri 401b'!N4974,'Retirement Calculator'!A:A,0),0),0)</f>
        <v>0</v>
      </c>
      <c r="K4974" s="444">
        <f t="shared" ca="1" si="178"/>
        <v>-889750611808.13757</v>
      </c>
      <c r="L4974" s="444">
        <f t="shared" ca="1" si="179"/>
        <v>-214429897445761.16</v>
      </c>
      <c r="M4974" s="460">
        <f t="shared" si="181"/>
        <v>0.05</v>
      </c>
      <c r="N4974" s="464">
        <f t="shared" si="182"/>
        <v>202437</v>
      </c>
    </row>
    <row r="4975" spans="7:14" ht="11.25" customHeight="1" x14ac:dyDescent="0.3">
      <c r="G4975" s="459"/>
      <c r="H4975" s="459">
        <v>4968</v>
      </c>
      <c r="I4975" s="444">
        <f t="shared" ca="1" si="180"/>
        <v>-214429897445761.16</v>
      </c>
      <c r="J4975" s="444">
        <f t="array" ref="J4975">IFERROR(INDEX('Retirement Calculator'!K:K,MATCH('Lorri 401b'!N4975,'Retirement Calculator'!A:A,0),0),0)</f>
        <v>0</v>
      </c>
      <c r="K4975" s="444">
        <f t="shared" ca="1" si="178"/>
        <v>-893457906024.00476</v>
      </c>
      <c r="L4975" s="444">
        <f t="shared" ca="1" si="179"/>
        <v>-215323355351785.16</v>
      </c>
      <c r="M4975" s="460">
        <f t="shared" si="181"/>
        <v>0.05</v>
      </c>
      <c r="N4975" s="464">
        <f t="shared" si="182"/>
        <v>202467</v>
      </c>
    </row>
    <row r="4976" spans="7:14" ht="11.25" customHeight="1" x14ac:dyDescent="0.3">
      <c r="G4976" s="459"/>
      <c r="H4976" s="459">
        <v>4969</v>
      </c>
      <c r="I4976" s="444">
        <f t="shared" ca="1" si="180"/>
        <v>-215323355351785.16</v>
      </c>
      <c r="J4976" s="444">
        <f t="array" ref="J4976">IFERROR(INDEX('Retirement Calculator'!K:K,MATCH('Lorri 401b'!N4976,'Retirement Calculator'!A:A,0),0),0)</f>
        <v>0</v>
      </c>
      <c r="K4976" s="444">
        <f t="shared" ca="1" si="178"/>
        <v>-897180647299.10486</v>
      </c>
      <c r="L4976" s="444">
        <f t="shared" ca="1" si="179"/>
        <v>-216220535999084.25</v>
      </c>
      <c r="M4976" s="460">
        <f t="shared" si="181"/>
        <v>0.05</v>
      </c>
      <c r="N4976" s="464">
        <f t="shared" si="182"/>
        <v>202498</v>
      </c>
    </row>
    <row r="4977" spans="7:14" ht="11.25" customHeight="1" x14ac:dyDescent="0.3">
      <c r="G4977" s="459"/>
      <c r="H4977" s="459">
        <v>4970</v>
      </c>
      <c r="I4977" s="444">
        <f t="shared" ca="1" si="180"/>
        <v>-216220535999084.25</v>
      </c>
      <c r="J4977" s="444">
        <f t="array" ref="J4977">IFERROR(INDEX('Retirement Calculator'!K:K,MATCH('Lorri 401b'!N4977,'Retirement Calculator'!A:A,0),0),0)</f>
        <v>0</v>
      </c>
      <c r="K4977" s="444">
        <f t="shared" ca="1" si="178"/>
        <v>-900918899996.18433</v>
      </c>
      <c r="L4977" s="444">
        <f t="shared" ca="1" si="179"/>
        <v>-217121454899080.44</v>
      </c>
      <c r="M4977" s="460">
        <f t="shared" si="181"/>
        <v>0.05</v>
      </c>
      <c r="N4977" s="464">
        <f t="shared" si="182"/>
        <v>202528</v>
      </c>
    </row>
    <row r="4978" spans="7:14" ht="11.25" customHeight="1" x14ac:dyDescent="0.3">
      <c r="G4978" s="459"/>
      <c r="H4978" s="459">
        <v>4971</v>
      </c>
      <c r="I4978" s="444">
        <f t="shared" ca="1" si="180"/>
        <v>-217121454899080.44</v>
      </c>
      <c r="J4978" s="444">
        <f t="array" ref="J4978">IFERROR(INDEX('Retirement Calculator'!K:K,MATCH('Lorri 401b'!N4978,'Retirement Calculator'!A:A,0),0),0)</f>
        <v>0</v>
      </c>
      <c r="K4978" s="444">
        <f t="shared" ca="1" si="178"/>
        <v>-904672728746.16846</v>
      </c>
      <c r="L4978" s="444">
        <f t="shared" ca="1" si="179"/>
        <v>-218026127627826.59</v>
      </c>
      <c r="M4978" s="460">
        <f t="shared" si="181"/>
        <v>0.05</v>
      </c>
      <c r="N4978" s="464">
        <f t="shared" si="182"/>
        <v>202559</v>
      </c>
    </row>
    <row r="4979" spans="7:14" ht="11.25" customHeight="1" x14ac:dyDescent="0.3">
      <c r="G4979" s="459"/>
      <c r="H4979" s="459">
        <v>4972</v>
      </c>
      <c r="I4979" s="444">
        <f t="shared" ca="1" si="180"/>
        <v>-218026127627826.59</v>
      </c>
      <c r="J4979" s="444">
        <f t="array" ref="J4979">IFERROR(INDEX('Retirement Calculator'!K:K,MATCH('Lorri 401b'!N4979,'Retirement Calculator'!A:A,0),0),0)</f>
        <v>0</v>
      </c>
      <c r="K4979" s="444">
        <f t="shared" ca="1" si="178"/>
        <v>-908442198449.27747</v>
      </c>
      <c r="L4979" s="444">
        <f t="shared" ca="1" si="179"/>
        <v>-218934569826275.88</v>
      </c>
      <c r="M4979" s="460">
        <f t="shared" si="181"/>
        <v>0.05</v>
      </c>
      <c r="N4979" s="464">
        <f t="shared" si="182"/>
        <v>202590</v>
      </c>
    </row>
    <row r="4980" spans="7:14" ht="11.25" customHeight="1" x14ac:dyDescent="0.3">
      <c r="G4980" s="459"/>
      <c r="H4980" s="459">
        <v>4973</v>
      </c>
      <c r="I4980" s="444">
        <f t="shared" ca="1" si="180"/>
        <v>-218934569826275.88</v>
      </c>
      <c r="J4980" s="444">
        <f t="array" ref="J4980">IFERROR(INDEX('Retirement Calculator'!K:K,MATCH('Lorri 401b'!N4980,'Retirement Calculator'!A:A,0),0),0)</f>
        <v>0</v>
      </c>
      <c r="K4980" s="444">
        <f t="shared" ca="1" si="178"/>
        <v>-912227374276.14941</v>
      </c>
      <c r="L4980" s="444">
        <f t="shared" ca="1" si="179"/>
        <v>-219846797200552.03</v>
      </c>
      <c r="M4980" s="460">
        <f t="shared" si="181"/>
        <v>0.05</v>
      </c>
      <c r="N4980" s="464">
        <f t="shared" si="182"/>
        <v>202620</v>
      </c>
    </row>
    <row r="4981" spans="7:14" ht="11.25" customHeight="1" x14ac:dyDescent="0.3">
      <c r="G4981" s="459"/>
      <c r="H4981" s="459">
        <v>4974</v>
      </c>
      <c r="I4981" s="444">
        <f t="shared" ca="1" si="180"/>
        <v>-219846797200552.03</v>
      </c>
      <c r="J4981" s="444">
        <f t="array" ref="J4981">IFERROR(INDEX('Retirement Calculator'!K:K,MATCH('Lorri 401b'!N4981,'Retirement Calculator'!A:A,0),0),0)</f>
        <v>0</v>
      </c>
      <c r="K4981" s="444">
        <f t="shared" ca="1" si="178"/>
        <v>-916028321668.9668</v>
      </c>
      <c r="L4981" s="444">
        <f t="shared" ca="1" si="179"/>
        <v>-220762825522221</v>
      </c>
      <c r="M4981" s="460">
        <f t="shared" si="181"/>
        <v>0.05</v>
      </c>
      <c r="N4981" s="464">
        <f t="shared" si="182"/>
        <v>202651</v>
      </c>
    </row>
    <row r="4982" spans="7:14" ht="11.25" customHeight="1" x14ac:dyDescent="0.3">
      <c r="G4982" s="459"/>
      <c r="H4982" s="459">
        <v>4975</v>
      </c>
      <c r="I4982" s="444">
        <f t="shared" ca="1" si="180"/>
        <v>-220762825522221</v>
      </c>
      <c r="J4982" s="444">
        <f t="array" ref="J4982">IFERROR(INDEX('Retirement Calculator'!K:K,MATCH('Lorri 401b'!N4982,'Retirement Calculator'!A:A,0),0),0)</f>
        <v>0</v>
      </c>
      <c r="K4982" s="444">
        <f t="shared" ca="1" si="178"/>
        <v>-919845106342.5874</v>
      </c>
      <c r="L4982" s="444">
        <f t="shared" ca="1" si="179"/>
        <v>-221682670628563.59</v>
      </c>
      <c r="M4982" s="460">
        <f t="shared" si="181"/>
        <v>0.05</v>
      </c>
      <c r="N4982" s="464">
        <f t="shared" si="182"/>
        <v>202681</v>
      </c>
    </row>
    <row r="4983" spans="7:14" ht="11.25" customHeight="1" x14ac:dyDescent="0.3">
      <c r="G4983" s="459"/>
      <c r="H4983" s="459">
        <v>4976</v>
      </c>
      <c r="I4983" s="444">
        <f t="shared" ca="1" si="180"/>
        <v>-221682670628563.59</v>
      </c>
      <c r="J4983" s="444">
        <f t="array" ref="J4983">IFERROR(INDEX('Retirement Calculator'!K:K,MATCH('Lorri 401b'!N4983,'Retirement Calculator'!A:A,0),0),0)</f>
        <v>0</v>
      </c>
      <c r="K4983" s="444">
        <f t="shared" ca="1" si="178"/>
        <v>-923677794285.68176</v>
      </c>
      <c r="L4983" s="444">
        <f t="shared" ca="1" si="179"/>
        <v>-222606348422849.28</v>
      </c>
      <c r="M4983" s="460">
        <f t="shared" si="181"/>
        <v>0.05</v>
      </c>
      <c r="N4983" s="464">
        <f t="shared" si="182"/>
        <v>202712</v>
      </c>
    </row>
    <row r="4984" spans="7:14" ht="11.25" customHeight="1" x14ac:dyDescent="0.3">
      <c r="G4984" s="459"/>
      <c r="H4984" s="459">
        <v>4977</v>
      </c>
      <c r="I4984" s="444">
        <f t="shared" ca="1" si="180"/>
        <v>-222606348422849.28</v>
      </c>
      <c r="J4984" s="444">
        <f t="array" ref="J4984">IFERROR(INDEX('Retirement Calculator'!K:K,MATCH('Lorri 401b'!N4984,'Retirement Calculator'!A:A,0),0),0)</f>
        <v>0</v>
      </c>
      <c r="K4984" s="444">
        <f t="shared" ca="1" si="178"/>
        <v>-927526451761.87195</v>
      </c>
      <c r="L4984" s="444">
        <f t="shared" ca="1" si="179"/>
        <v>-223533874874611.16</v>
      </c>
      <c r="M4984" s="460">
        <f t="shared" si="181"/>
        <v>0.05</v>
      </c>
      <c r="N4984" s="464">
        <f t="shared" si="182"/>
        <v>202743</v>
      </c>
    </row>
    <row r="4985" spans="7:14" ht="11.25" customHeight="1" x14ac:dyDescent="0.3">
      <c r="G4985" s="459"/>
      <c r="H4985" s="459">
        <v>4978</v>
      </c>
      <c r="I4985" s="444">
        <f t="shared" ca="1" si="180"/>
        <v>-223533874874611.16</v>
      </c>
      <c r="J4985" s="444">
        <f t="array" ref="J4985">IFERROR(INDEX('Retirement Calculator'!K:K,MATCH('Lorri 401b'!N4985,'Retirement Calculator'!A:A,0),0),0)</f>
        <v>0</v>
      </c>
      <c r="K4985" s="444">
        <f t="shared" ca="1" si="178"/>
        <v>-931391145310.87988</v>
      </c>
      <c r="L4985" s="444">
        <f t="shared" ca="1" si="179"/>
        <v>-224465266019922.03</v>
      </c>
      <c r="M4985" s="460">
        <f t="shared" si="181"/>
        <v>0.05</v>
      </c>
      <c r="N4985" s="464">
        <f t="shared" si="182"/>
        <v>202771</v>
      </c>
    </row>
    <row r="4986" spans="7:14" ht="11.25" customHeight="1" x14ac:dyDescent="0.3">
      <c r="G4986" s="459"/>
      <c r="H4986" s="459">
        <v>4979</v>
      </c>
      <c r="I4986" s="444">
        <f t="shared" ca="1" si="180"/>
        <v>-224465266019922.03</v>
      </c>
      <c r="J4986" s="444">
        <f t="array" ref="J4986">IFERROR(INDEX('Retirement Calculator'!K:K,MATCH('Lorri 401b'!N4986,'Retirement Calculator'!A:A,0),0),0)</f>
        <v>0</v>
      </c>
      <c r="K4986" s="444">
        <f t="shared" ca="1" si="178"/>
        <v>-935271941749.67517</v>
      </c>
      <c r="L4986" s="444">
        <f t="shared" ca="1" si="179"/>
        <v>-225400537961671.72</v>
      </c>
      <c r="M4986" s="460">
        <f t="shared" si="181"/>
        <v>0.05</v>
      </c>
      <c r="N4986" s="464">
        <f t="shared" si="182"/>
        <v>202802</v>
      </c>
    </row>
    <row r="4987" spans="7:14" ht="11.25" customHeight="1" x14ac:dyDescent="0.3">
      <c r="G4987" s="459"/>
      <c r="H4987" s="459">
        <v>4980</v>
      </c>
      <c r="I4987" s="444">
        <f t="shared" ca="1" si="180"/>
        <v>-225400537961671.72</v>
      </c>
      <c r="J4987" s="444">
        <f t="array" ref="J4987">IFERROR(INDEX('Retirement Calculator'!K:K,MATCH('Lorri 401b'!N4987,'Retirement Calculator'!A:A,0),0),0)</f>
        <v>0</v>
      </c>
      <c r="K4987" s="444">
        <f t="shared" ca="1" si="178"/>
        <v>-939168908173.63196</v>
      </c>
      <c r="L4987" s="444">
        <f t="shared" ca="1" si="179"/>
        <v>-226339706869845.34</v>
      </c>
      <c r="M4987" s="460">
        <f t="shared" si="181"/>
        <v>0.05</v>
      </c>
      <c r="N4987" s="464">
        <f t="shared" si="182"/>
        <v>202832</v>
      </c>
    </row>
    <row r="4988" spans="7:14" ht="11.25" customHeight="1" x14ac:dyDescent="0.3">
      <c r="G4988" s="459"/>
      <c r="H4988" s="459">
        <v>4981</v>
      </c>
      <c r="I4988" s="444">
        <f t="shared" ca="1" si="180"/>
        <v>-226339706869845.34</v>
      </c>
      <c r="J4988" s="444">
        <f t="array" ref="J4988">IFERROR(INDEX('Retirement Calculator'!K:K,MATCH('Lorri 401b'!N4988,'Retirement Calculator'!A:A,0),0),0)</f>
        <v>0</v>
      </c>
      <c r="K4988" s="444">
        <f t="shared" ca="1" si="178"/>
        <v>-943082111957.68896</v>
      </c>
      <c r="L4988" s="444">
        <f t="shared" ca="1" si="179"/>
        <v>-227282788981803.03</v>
      </c>
      <c r="M4988" s="460">
        <f t="shared" si="181"/>
        <v>0.05</v>
      </c>
      <c r="N4988" s="464">
        <f t="shared" si="182"/>
        <v>202863</v>
      </c>
    </row>
    <row r="4989" spans="7:14" ht="11.25" customHeight="1" x14ac:dyDescent="0.3">
      <c r="G4989" s="459"/>
      <c r="H4989" s="459">
        <v>4982</v>
      </c>
      <c r="I4989" s="444">
        <f t="shared" ca="1" si="180"/>
        <v>-227282788981803.03</v>
      </c>
      <c r="J4989" s="444">
        <f t="array" ref="J4989">IFERROR(INDEX('Retirement Calculator'!K:K,MATCH('Lorri 401b'!N4989,'Retirement Calculator'!A:A,0),0),0)</f>
        <v>0</v>
      </c>
      <c r="K4989" s="444">
        <f t="shared" ca="1" si="178"/>
        <v>-947011620757.51257</v>
      </c>
      <c r="L4989" s="444">
        <f t="shared" ca="1" si="179"/>
        <v>-228229800602560.53</v>
      </c>
      <c r="M4989" s="460">
        <f t="shared" si="181"/>
        <v>0.05</v>
      </c>
      <c r="N4989" s="464">
        <f t="shared" si="182"/>
        <v>202893</v>
      </c>
    </row>
    <row r="4990" spans="7:14" ht="11.25" customHeight="1" x14ac:dyDescent="0.3">
      <c r="G4990" s="459"/>
      <c r="H4990" s="459">
        <v>4983</v>
      </c>
      <c r="I4990" s="444">
        <f t="shared" ca="1" si="180"/>
        <v>-228229800602560.53</v>
      </c>
      <c r="J4990" s="444">
        <f t="array" ref="J4990">IFERROR(INDEX('Retirement Calculator'!K:K,MATCH('Lorri 401b'!N4990,'Retirement Calculator'!A:A,0),0),0)</f>
        <v>0</v>
      </c>
      <c r="K4990" s="444">
        <f t="shared" ca="1" si="178"/>
        <v>-950957502510.6687</v>
      </c>
      <c r="L4990" s="444">
        <f t="shared" ca="1" si="179"/>
        <v>-229180758105071.19</v>
      </c>
      <c r="M4990" s="460">
        <f t="shared" si="181"/>
        <v>0.05</v>
      </c>
      <c r="N4990" s="464">
        <f t="shared" si="182"/>
        <v>202924</v>
      </c>
    </row>
    <row r="4991" spans="7:14" ht="11.25" customHeight="1" x14ac:dyDescent="0.3">
      <c r="G4991" s="459"/>
      <c r="H4991" s="459">
        <v>4984</v>
      </c>
      <c r="I4991" s="444">
        <f t="shared" ca="1" si="180"/>
        <v>-229180758105071.19</v>
      </c>
      <c r="J4991" s="444">
        <f t="array" ref="J4991">IFERROR(INDEX('Retirement Calculator'!K:K,MATCH('Lorri 401b'!N4991,'Retirement Calculator'!A:A,0),0),0)</f>
        <v>0</v>
      </c>
      <c r="K4991" s="444">
        <f t="shared" ca="1" si="178"/>
        <v>-954919825437.79663</v>
      </c>
      <c r="L4991" s="444">
        <f t="shared" ca="1" si="179"/>
        <v>-230135677930508.97</v>
      </c>
      <c r="M4991" s="460">
        <f t="shared" si="181"/>
        <v>0.05</v>
      </c>
      <c r="N4991" s="464">
        <f t="shared" si="182"/>
        <v>202955</v>
      </c>
    </row>
    <row r="4992" spans="7:14" ht="11.25" customHeight="1" x14ac:dyDescent="0.3">
      <c r="G4992" s="459"/>
      <c r="H4992" s="459">
        <v>4985</v>
      </c>
      <c r="I4992" s="444">
        <f t="shared" ca="1" si="180"/>
        <v>-230135677930508.97</v>
      </c>
      <c r="J4992" s="444">
        <f t="array" ref="J4992">IFERROR(INDEX('Retirement Calculator'!K:K,MATCH('Lorri 401b'!N4992,'Retirement Calculator'!A:A,0),0),0)</f>
        <v>0</v>
      </c>
      <c r="K4992" s="444">
        <f t="shared" ca="1" si="178"/>
        <v>-958898658043.78735</v>
      </c>
      <c r="L4992" s="444">
        <f t="shared" ca="1" si="179"/>
        <v>-231094576588552.75</v>
      </c>
      <c r="M4992" s="460">
        <f t="shared" si="181"/>
        <v>0.05</v>
      </c>
      <c r="N4992" s="464">
        <f t="shared" si="182"/>
        <v>202985</v>
      </c>
    </row>
    <row r="4993" spans="7:14" ht="11.25" customHeight="1" x14ac:dyDescent="0.3">
      <c r="G4993" s="459"/>
      <c r="H4993" s="459">
        <v>4986</v>
      </c>
      <c r="I4993" s="444">
        <f t="shared" ca="1" si="180"/>
        <v>-231094576588552.75</v>
      </c>
      <c r="J4993" s="444">
        <f t="array" ref="J4993">IFERROR(INDEX('Retirement Calculator'!K:K,MATCH('Lorri 401b'!N4993,'Retirement Calculator'!A:A,0),0),0)</f>
        <v>0</v>
      </c>
      <c r="K4993" s="444">
        <f t="shared" ca="1" si="178"/>
        <v>-962894069118.9696</v>
      </c>
      <c r="L4993" s="444">
        <f t="shared" ca="1" si="179"/>
        <v>-232057470657671.72</v>
      </c>
      <c r="M4993" s="460">
        <f t="shared" si="181"/>
        <v>0.05</v>
      </c>
      <c r="N4993" s="464">
        <f t="shared" si="182"/>
        <v>203016</v>
      </c>
    </row>
    <row r="4994" spans="7:14" ht="11.25" customHeight="1" x14ac:dyDescent="0.3">
      <c r="G4994" s="459"/>
      <c r="H4994" s="459">
        <v>4987</v>
      </c>
      <c r="I4994" s="444">
        <f t="shared" ca="1" si="180"/>
        <v>-232057470657671.72</v>
      </c>
      <c r="J4994" s="444">
        <f t="array" ref="J4994">IFERROR(INDEX('Retirement Calculator'!K:K,MATCH('Lorri 401b'!N4994,'Retirement Calculator'!A:A,0),0),0)</f>
        <v>0</v>
      </c>
      <c r="K4994" s="444">
        <f t="shared" ca="1" si="178"/>
        <v>-966906127740.29871</v>
      </c>
      <c r="L4994" s="444">
        <f t="shared" ca="1" si="179"/>
        <v>-233024376785412.03</v>
      </c>
      <c r="M4994" s="460">
        <f t="shared" si="181"/>
        <v>0.05</v>
      </c>
      <c r="N4994" s="464">
        <f t="shared" si="182"/>
        <v>203046</v>
      </c>
    </row>
    <row r="4995" spans="7:14" ht="11.25" customHeight="1" x14ac:dyDescent="0.3">
      <c r="G4995" s="459"/>
      <c r="H4995" s="459">
        <v>4988</v>
      </c>
      <c r="I4995" s="444">
        <f t="shared" ca="1" si="180"/>
        <v>-233024376785412.03</v>
      </c>
      <c r="J4995" s="444">
        <f t="array" ref="J4995">IFERROR(INDEX('Retirement Calculator'!K:K,MATCH('Lorri 401b'!N4995,'Retirement Calculator'!A:A,0),0),0)</f>
        <v>0</v>
      </c>
      <c r="K4995" s="444">
        <f t="shared" ca="1" si="178"/>
        <v>-970934903272.55017</v>
      </c>
      <c r="L4995" s="444">
        <f t="shared" ca="1" si="179"/>
        <v>-233995311688684.59</v>
      </c>
      <c r="M4995" s="460">
        <f t="shared" si="181"/>
        <v>0.05</v>
      </c>
      <c r="N4995" s="464">
        <f t="shared" si="182"/>
        <v>203077</v>
      </c>
    </row>
    <row r="4996" spans="7:14" ht="11.25" customHeight="1" x14ac:dyDescent="0.3">
      <c r="G4996" s="459"/>
      <c r="H4996" s="459">
        <v>4989</v>
      </c>
      <c r="I4996" s="444">
        <f t="shared" ca="1" si="180"/>
        <v>-233995311688684.59</v>
      </c>
      <c r="J4996" s="444">
        <f t="array" ref="J4996">IFERROR(INDEX('Retirement Calculator'!K:K,MATCH('Lorri 401b'!N4996,'Retirement Calculator'!A:A,0),0),0)</f>
        <v>0</v>
      </c>
      <c r="K4996" s="444">
        <f t="shared" ca="1" si="178"/>
        <v>-974980465369.51904</v>
      </c>
      <c r="L4996" s="444">
        <f t="shared" ca="1" si="179"/>
        <v>-234970292154054.13</v>
      </c>
      <c r="M4996" s="460">
        <f t="shared" si="181"/>
        <v>0.05</v>
      </c>
      <c r="N4996" s="464">
        <f t="shared" si="182"/>
        <v>203108</v>
      </c>
    </row>
    <row r="4997" spans="7:14" ht="11.25" customHeight="1" x14ac:dyDescent="0.3">
      <c r="G4997" s="459"/>
      <c r="H4997" s="459">
        <v>4990</v>
      </c>
      <c r="I4997" s="444">
        <f t="shared" ca="1" si="180"/>
        <v>-234970292154054.13</v>
      </c>
      <c r="J4997" s="444">
        <f t="array" ref="J4997">IFERROR(INDEX('Retirement Calculator'!K:K,MATCH('Lorri 401b'!N4997,'Retirement Calculator'!A:A,0),0),0)</f>
        <v>0</v>
      </c>
      <c r="K4997" s="444">
        <f t="shared" ca="1" si="178"/>
        <v>-979042883975.22534</v>
      </c>
      <c r="L4997" s="444">
        <f t="shared" ca="1" si="179"/>
        <v>-235949335038029.34</v>
      </c>
      <c r="M4997" s="460">
        <f t="shared" si="181"/>
        <v>0.05</v>
      </c>
      <c r="N4997" s="464">
        <f t="shared" si="182"/>
        <v>203137</v>
      </c>
    </row>
    <row r="4998" spans="7:14" ht="11.25" customHeight="1" x14ac:dyDescent="0.3">
      <c r="G4998" s="459"/>
      <c r="H4998" s="459">
        <v>4991</v>
      </c>
      <c r="I4998" s="444">
        <f t="shared" ca="1" si="180"/>
        <v>-235949335038029.34</v>
      </c>
      <c r="J4998" s="444">
        <f t="array" ref="J4998">IFERROR(INDEX('Retirement Calculator'!K:K,MATCH('Lorri 401b'!N4998,'Retirement Calculator'!A:A,0),0),0)</f>
        <v>0</v>
      </c>
      <c r="K4998" s="444">
        <f t="shared" ca="1" si="178"/>
        <v>-983122229325.12219</v>
      </c>
      <c r="L4998" s="444">
        <f t="shared" ca="1" si="179"/>
        <v>-236932457267354.47</v>
      </c>
      <c r="M4998" s="460">
        <f t="shared" si="181"/>
        <v>0.05</v>
      </c>
      <c r="N4998" s="464">
        <f t="shared" si="182"/>
        <v>203168</v>
      </c>
    </row>
    <row r="4999" spans="7:14" ht="11.25" customHeight="1" x14ac:dyDescent="0.3">
      <c r="G4999" s="459"/>
      <c r="H4999" s="459">
        <v>4992</v>
      </c>
      <c r="I4999" s="444">
        <f t="shared" ca="1" si="180"/>
        <v>-236932457267354.47</v>
      </c>
      <c r="J4999" s="444">
        <f t="array" ref="J4999">IFERROR(INDEX('Retirement Calculator'!K:K,MATCH('Lorri 401b'!N4999,'Retirement Calculator'!A:A,0),0),0)</f>
        <v>0</v>
      </c>
      <c r="K4999" s="444">
        <f t="shared" ca="1" si="178"/>
        <v>-987218571947.31018</v>
      </c>
      <c r="L4999" s="444">
        <f t="shared" ca="1" si="179"/>
        <v>-237919675839301.78</v>
      </c>
      <c r="M4999" s="460">
        <f t="shared" si="181"/>
        <v>0.05</v>
      </c>
      <c r="N4999" s="464">
        <f t="shared" si="182"/>
        <v>203198</v>
      </c>
    </row>
    <row r="5000" spans="7:14" ht="11.25" customHeight="1" x14ac:dyDescent="0.3">
      <c r="G5000" s="459"/>
      <c r="H5000" s="459">
        <v>4993</v>
      </c>
      <c r="I5000" s="444">
        <f t="shared" ca="1" si="180"/>
        <v>-237919675839301.78</v>
      </c>
      <c r="J5000" s="444">
        <f t="array" ref="J5000">IFERROR(INDEX('Retirement Calculator'!K:K,MATCH('Lorri 401b'!N5000,'Retirement Calculator'!A:A,0),0),0)</f>
        <v>0</v>
      </c>
      <c r="K5000" s="444">
        <f t="shared" ca="1" si="178"/>
        <v>-991331982663.75745</v>
      </c>
      <c r="L5000" s="444">
        <f t="shared" ca="1" si="179"/>
        <v>-238911007821965.53</v>
      </c>
      <c r="M5000" s="460">
        <f t="shared" si="181"/>
        <v>0.05</v>
      </c>
      <c r="N5000" s="464">
        <f t="shared" si="182"/>
        <v>203229</v>
      </c>
    </row>
    <row r="5001" spans="7:14" ht="11.25" customHeight="1" x14ac:dyDescent="0.3">
      <c r="G5001" s="459"/>
      <c r="H5001" s="459">
        <v>4994</v>
      </c>
      <c r="I5001" s="444">
        <f t="shared" ca="1" si="180"/>
        <v>-238911007821965.53</v>
      </c>
      <c r="J5001" s="444">
        <f t="array" ref="J5001">IFERROR(INDEX('Retirement Calculator'!K:K,MATCH('Lorri 401b'!N5001,'Retirement Calculator'!A:A,0),0),0)</f>
        <v>0</v>
      </c>
      <c r="K5001" s="444">
        <f t="shared" ca="1" si="178"/>
        <v>-995462532591.52307</v>
      </c>
      <c r="L5001" s="444">
        <f t="shared" ca="1" si="179"/>
        <v>-239906470354557.06</v>
      </c>
      <c r="M5001" s="460">
        <f t="shared" si="181"/>
        <v>0.05</v>
      </c>
      <c r="N5001" s="464">
        <f t="shared" si="182"/>
        <v>203259</v>
      </c>
    </row>
    <row r="5002" spans="7:14" ht="11.25" customHeight="1" x14ac:dyDescent="0.3">
      <c r="G5002" s="459"/>
      <c r="H5002" s="459">
        <v>4995</v>
      </c>
      <c r="I5002" s="444">
        <f t="shared" ca="1" si="180"/>
        <v>-239906470354557.06</v>
      </c>
      <c r="J5002" s="444">
        <f t="array" ref="J5002">IFERROR(INDEX('Retirement Calculator'!K:K,MATCH('Lorri 401b'!N5002,'Retirement Calculator'!A:A,0),0),0)</f>
        <v>0</v>
      </c>
      <c r="K5002" s="444">
        <f t="shared" ca="1" si="178"/>
        <v>-999610293143.98792</v>
      </c>
      <c r="L5002" s="444">
        <f t="shared" ca="1" si="179"/>
        <v>-240906080647701.06</v>
      </c>
      <c r="M5002" s="460">
        <f t="shared" si="181"/>
        <v>0.05</v>
      </c>
      <c r="N5002" s="464">
        <f t="shared" si="182"/>
        <v>203290</v>
      </c>
    </row>
    <row r="5003" spans="7:14" ht="11.25" customHeight="1" x14ac:dyDescent="0.3">
      <c r="G5003" s="459"/>
      <c r="H5003" s="459">
        <v>4996</v>
      </c>
      <c r="I5003" s="444">
        <f t="shared" ca="1" si="180"/>
        <v>-240906080647701.06</v>
      </c>
      <c r="J5003" s="444">
        <f t="array" ref="J5003">IFERROR(INDEX('Retirement Calculator'!K:K,MATCH('Lorri 401b'!N5003,'Retirement Calculator'!A:A,0),0),0)</f>
        <v>0</v>
      </c>
      <c r="K5003" s="444">
        <f t="shared" ca="1" si="178"/>
        <v>-1003775336032.0878</v>
      </c>
      <c r="L5003" s="444">
        <f t="shared" ca="1" si="179"/>
        <v>-241909855983733.16</v>
      </c>
      <c r="M5003" s="460">
        <f t="shared" si="181"/>
        <v>0.05</v>
      </c>
      <c r="N5003" s="464">
        <f t="shared" si="182"/>
        <v>203321</v>
      </c>
    </row>
    <row r="5004" spans="7:14" ht="11.25" customHeight="1" x14ac:dyDescent="0.3">
      <c r="G5004" s="459"/>
      <c r="H5004" s="459">
        <v>4997</v>
      </c>
      <c r="I5004" s="444">
        <f t="shared" ca="1" si="180"/>
        <v>-241909855983733.16</v>
      </c>
      <c r="J5004" s="444">
        <f t="array" ref="J5004">IFERROR(INDEX('Retirement Calculator'!K:K,MATCH('Lorri 401b'!N5004,'Retirement Calculator'!A:A,0),0),0)</f>
        <v>0</v>
      </c>
      <c r="K5004" s="444">
        <f t="shared" ca="1" si="178"/>
        <v>-1007957733265.5548</v>
      </c>
      <c r="L5004" s="444">
        <f t="shared" ca="1" si="179"/>
        <v>-242917813716998.72</v>
      </c>
      <c r="M5004" s="460">
        <f t="shared" si="181"/>
        <v>0.05</v>
      </c>
      <c r="N5004" s="464">
        <f t="shared" si="182"/>
        <v>203351</v>
      </c>
    </row>
    <row r="5005" spans="7:14" ht="11.25" customHeight="1" x14ac:dyDescent="0.3">
      <c r="G5005" s="459"/>
      <c r="H5005" s="459">
        <v>4998</v>
      </c>
      <c r="I5005" s="444">
        <f t="shared" ca="1" si="180"/>
        <v>-242917813716998.72</v>
      </c>
      <c r="J5005" s="444">
        <f t="array" ref="J5005">IFERROR(INDEX('Retirement Calculator'!K:K,MATCH('Lorri 401b'!N5005,'Retirement Calculator'!A:A,0),0),0)</f>
        <v>0</v>
      </c>
      <c r="K5005" s="444">
        <f t="shared" ca="1" si="178"/>
        <v>-1012157557154.1611</v>
      </c>
      <c r="L5005" s="444">
        <f t="shared" ca="1" si="179"/>
        <v>-243929971274152.88</v>
      </c>
      <c r="M5005" s="460">
        <f t="shared" si="181"/>
        <v>0.05</v>
      </c>
      <c r="N5005" s="464">
        <f t="shared" si="182"/>
        <v>203382</v>
      </c>
    </row>
    <row r="5006" spans="7:14" ht="11.25" customHeight="1" x14ac:dyDescent="0.3">
      <c r="G5006" s="459"/>
      <c r="H5006" s="459">
        <v>4999</v>
      </c>
      <c r="I5006" s="444">
        <f t="shared" ca="1" si="180"/>
        <v>-243929971274152.88</v>
      </c>
      <c r="J5006" s="444">
        <f t="array" ref="J5006">IFERROR(INDEX('Retirement Calculator'!K:K,MATCH('Lorri 401b'!N5006,'Retirement Calculator'!A:A,0),0),0)</f>
        <v>0</v>
      </c>
      <c r="K5006" s="444">
        <f t="shared" ca="1" si="178"/>
        <v>-1016374880308.9705</v>
      </c>
      <c r="L5006" s="444">
        <f t="shared" ca="1" si="179"/>
        <v>-244946346154461.84</v>
      </c>
      <c r="M5006" s="460">
        <f t="shared" si="181"/>
        <v>0.05</v>
      </c>
      <c r="N5006" s="464">
        <f t="shared" si="182"/>
        <v>203412</v>
      </c>
    </row>
    <row r="5007" spans="7:14" ht="11.25" customHeight="1" x14ac:dyDescent="0.3">
      <c r="G5007" s="459"/>
      <c r="H5007" s="459">
        <v>5000</v>
      </c>
      <c r="I5007" s="444">
        <f t="shared" ca="1" si="180"/>
        <v>-244946346154461.84</v>
      </c>
      <c r="J5007" s="444">
        <f t="array" ref="J5007">IFERROR(INDEX('Retirement Calculator'!K:K,MATCH('Lorri 401b'!N5007,'Retirement Calculator'!A:A,0),0),0)</f>
        <v>0</v>
      </c>
      <c r="K5007" s="444">
        <f t="shared" ca="1" si="178"/>
        <v>-1020609775643.5909</v>
      </c>
      <c r="L5007" s="444">
        <f t="shared" ca="1" si="179"/>
        <v>-245966955930105.44</v>
      </c>
      <c r="M5007" s="460">
        <f t="shared" si="181"/>
        <v>0.05</v>
      </c>
      <c r="N5007" s="464">
        <f t="shared" si="182"/>
        <v>203443</v>
      </c>
    </row>
    <row r="5008" spans="7:14" ht="11.25" customHeight="1" x14ac:dyDescent="0.3">
      <c r="G5008" s="459"/>
      <c r="H5008" s="459">
        <v>5001</v>
      </c>
      <c r="I5008" s="444">
        <f t="shared" ca="1" si="180"/>
        <v>-245966955930105.44</v>
      </c>
      <c r="J5008" s="444">
        <f t="array" ref="J5008">IFERROR(INDEX('Retirement Calculator'!K:K,MATCH('Lorri 401b'!N5008,'Retirement Calculator'!A:A,0),0),0)</f>
        <v>0</v>
      </c>
      <c r="K5008" s="444">
        <f t="shared" ca="1" si="178"/>
        <v>-1024862316375.4395</v>
      </c>
      <c r="L5008" s="444">
        <f t="shared" ca="1" si="179"/>
        <v>-246991818246480.88</v>
      </c>
      <c r="M5008" s="460">
        <f t="shared" si="181"/>
        <v>0.05</v>
      </c>
      <c r="N5008" s="464">
        <f t="shared" si="182"/>
        <v>203474</v>
      </c>
    </row>
    <row r="5009" spans="7:14" ht="11.25" customHeight="1" x14ac:dyDescent="0.3">
      <c r="G5009" s="459"/>
      <c r="H5009" s="459">
        <v>5002</v>
      </c>
      <c r="I5009" s="444">
        <f t="shared" ca="1" si="180"/>
        <v>-246991818246480.88</v>
      </c>
      <c r="J5009" s="444">
        <f t="array" ref="J5009">IFERROR(INDEX('Retirement Calculator'!K:K,MATCH('Lorri 401b'!N5009,'Retirement Calculator'!A:A,0),0),0)</f>
        <v>0</v>
      </c>
      <c r="K5009" s="444">
        <f t="shared" ca="1" si="178"/>
        <v>-1029132576027.0037</v>
      </c>
      <c r="L5009" s="444">
        <f t="shared" ca="1" si="179"/>
        <v>-248020950822507.88</v>
      </c>
      <c r="M5009" s="460">
        <f t="shared" si="181"/>
        <v>0.05</v>
      </c>
      <c r="N5009" s="464">
        <f t="shared" si="182"/>
        <v>203502</v>
      </c>
    </row>
    <row r="5010" spans="7:14" ht="11.25" customHeight="1" x14ac:dyDescent="0.3">
      <c r="G5010" s="459"/>
      <c r="H5010" s="459">
        <v>5003</v>
      </c>
      <c r="I5010" s="444">
        <f t="shared" ca="1" si="180"/>
        <v>-248020950822507.88</v>
      </c>
      <c r="J5010" s="444">
        <f t="array" ref="J5010">IFERROR(INDEX('Retirement Calculator'!K:K,MATCH('Lorri 401b'!N5010,'Retirement Calculator'!A:A,0),0),0)</f>
        <v>0</v>
      </c>
      <c r="K5010" s="444">
        <f t="shared" ca="1" si="178"/>
        <v>-1033420628427.1162</v>
      </c>
      <c r="L5010" s="444">
        <f t="shared" ca="1" si="179"/>
        <v>-249054371450935</v>
      </c>
      <c r="M5010" s="460">
        <f t="shared" si="181"/>
        <v>0.05</v>
      </c>
      <c r="N5010" s="464">
        <f t="shared" si="182"/>
        <v>203533</v>
      </c>
    </row>
    <row r="5011" spans="7:14" ht="11.25" customHeight="1" x14ac:dyDescent="0.3">
      <c r="G5011" s="459"/>
      <c r="H5011" s="459">
        <v>5004</v>
      </c>
      <c r="I5011" s="444">
        <f t="shared" ca="1" si="180"/>
        <v>-249054371450935</v>
      </c>
      <c r="J5011" s="444">
        <f t="array" ref="J5011">IFERROR(INDEX('Retirement Calculator'!K:K,MATCH('Lorri 401b'!N5011,'Retirement Calculator'!A:A,0),0),0)</f>
        <v>0</v>
      </c>
      <c r="K5011" s="444">
        <f t="shared" ca="1" si="178"/>
        <v>-1037726547712.2291</v>
      </c>
      <c r="L5011" s="444">
        <f t="shared" ca="1" si="179"/>
        <v>-250092097998647.22</v>
      </c>
      <c r="M5011" s="460">
        <f t="shared" si="181"/>
        <v>0.05</v>
      </c>
      <c r="N5011" s="464">
        <f t="shared" si="182"/>
        <v>203563</v>
      </c>
    </row>
    <row r="5012" spans="7:14" ht="11.25" customHeight="1" x14ac:dyDescent="0.3">
      <c r="G5012" s="459"/>
      <c r="H5012" s="459">
        <v>5005</v>
      </c>
      <c r="I5012" s="444">
        <f t="shared" ca="1" si="180"/>
        <v>-250092097998647.22</v>
      </c>
      <c r="J5012" s="444">
        <f t="array" ref="J5012">IFERROR(INDEX('Retirement Calculator'!K:K,MATCH('Lorri 401b'!N5012,'Retirement Calculator'!A:A,0),0),0)</f>
        <v>0</v>
      </c>
      <c r="K5012" s="444">
        <f t="shared" ca="1" si="178"/>
        <v>-1042050408327.6968</v>
      </c>
      <c r="L5012" s="444">
        <f t="shared" ca="1" si="179"/>
        <v>-251134148406974.91</v>
      </c>
      <c r="M5012" s="460">
        <f t="shared" si="181"/>
        <v>0.05</v>
      </c>
      <c r="N5012" s="464">
        <f t="shared" si="182"/>
        <v>203594</v>
      </c>
    </row>
    <row r="5013" spans="7:14" ht="11.25" customHeight="1" x14ac:dyDescent="0.3">
      <c r="G5013" s="459"/>
      <c r="H5013" s="459">
        <v>5006</v>
      </c>
      <c r="I5013" s="444">
        <f t="shared" ca="1" si="180"/>
        <v>-251134148406974.91</v>
      </c>
      <c r="J5013" s="444">
        <f t="array" ref="J5013">IFERROR(INDEX('Retirement Calculator'!K:K,MATCH('Lorri 401b'!N5013,'Retirement Calculator'!A:A,0),0),0)</f>
        <v>0</v>
      </c>
      <c r="K5013" s="444">
        <f t="shared" ca="1" si="178"/>
        <v>-1046392285029.062</v>
      </c>
      <c r="L5013" s="444">
        <f t="shared" ca="1" si="179"/>
        <v>-252180540692003.97</v>
      </c>
      <c r="M5013" s="460">
        <f t="shared" si="181"/>
        <v>0.05</v>
      </c>
      <c r="N5013" s="464">
        <f t="shared" si="182"/>
        <v>203624</v>
      </c>
    </row>
    <row r="5014" spans="7:14" ht="11.25" customHeight="1" x14ac:dyDescent="0.3">
      <c r="G5014" s="459"/>
      <c r="H5014" s="459">
        <v>5007</v>
      </c>
      <c r="I5014" s="444">
        <f t="shared" ca="1" si="180"/>
        <v>-252180540692003.97</v>
      </c>
      <c r="J5014" s="444">
        <f t="array" ref="J5014">IFERROR(INDEX('Retirement Calculator'!K:K,MATCH('Lorri 401b'!N5014,'Retirement Calculator'!A:A,0),0),0)</f>
        <v>0</v>
      </c>
      <c r="K5014" s="444">
        <f t="shared" ca="1" si="178"/>
        <v>-1050752252883.35</v>
      </c>
      <c r="L5014" s="444">
        <f t="shared" ca="1" si="179"/>
        <v>-253231292944887.31</v>
      </c>
      <c r="M5014" s="460">
        <f t="shared" si="181"/>
        <v>0.05</v>
      </c>
      <c r="N5014" s="464">
        <f t="shared" si="182"/>
        <v>203655</v>
      </c>
    </row>
    <row r="5015" spans="7:14" ht="11.25" customHeight="1" x14ac:dyDescent="0.3">
      <c r="G5015" s="459"/>
      <c r="H5015" s="459">
        <v>5008</v>
      </c>
      <c r="I5015" s="444">
        <f t="shared" ca="1" si="180"/>
        <v>-253231292944887.31</v>
      </c>
      <c r="J5015" s="444">
        <f t="array" ref="J5015">IFERROR(INDEX('Retirement Calculator'!K:K,MATCH('Lorri 401b'!N5015,'Retirement Calculator'!A:A,0),0),0)</f>
        <v>0</v>
      </c>
      <c r="K5015" s="444">
        <f t="shared" ca="1" si="178"/>
        <v>-1055130387270.3638</v>
      </c>
      <c r="L5015" s="444">
        <f t="shared" ca="1" si="179"/>
        <v>-254286423332157.69</v>
      </c>
      <c r="M5015" s="460">
        <f t="shared" si="181"/>
        <v>0.05</v>
      </c>
      <c r="N5015" s="464">
        <f t="shared" si="182"/>
        <v>203686</v>
      </c>
    </row>
    <row r="5016" spans="7:14" ht="11.25" customHeight="1" x14ac:dyDescent="0.3">
      <c r="G5016" s="459"/>
      <c r="H5016" s="459">
        <v>5009</v>
      </c>
      <c r="I5016" s="444">
        <f t="shared" ca="1" si="180"/>
        <v>-254286423332157.69</v>
      </c>
      <c r="J5016" s="444">
        <f t="array" ref="J5016">IFERROR(INDEX('Retirement Calculator'!K:K,MATCH('Lorri 401b'!N5016,'Retirement Calculator'!A:A,0),0),0)</f>
        <v>0</v>
      </c>
      <c r="K5016" s="444">
        <f t="shared" ca="1" si="178"/>
        <v>-1059526763883.9904</v>
      </c>
      <c r="L5016" s="444">
        <f t="shared" ca="1" si="179"/>
        <v>-255345950096041.69</v>
      </c>
      <c r="M5016" s="460">
        <f t="shared" si="181"/>
        <v>0.05</v>
      </c>
      <c r="N5016" s="464">
        <f t="shared" si="182"/>
        <v>203716</v>
      </c>
    </row>
    <row r="5017" spans="7:14" ht="11.25" customHeight="1" x14ac:dyDescent="0.3">
      <c r="G5017" s="459"/>
      <c r="H5017" s="459">
        <v>5010</v>
      </c>
      <c r="I5017" s="444">
        <f t="shared" ca="1" si="180"/>
        <v>-255345950096041.69</v>
      </c>
      <c r="J5017" s="444">
        <f t="array" ref="J5017">IFERROR(INDEX('Retirement Calculator'!K:K,MATCH('Lorri 401b'!N5017,'Retirement Calculator'!A:A,0),0),0)</f>
        <v>0</v>
      </c>
      <c r="K5017" s="444">
        <f t="shared" ca="1" si="178"/>
        <v>-1063941458733.507</v>
      </c>
      <c r="L5017" s="444">
        <f t="shared" ca="1" si="179"/>
        <v>-256409891554775.19</v>
      </c>
      <c r="M5017" s="460">
        <f t="shared" si="181"/>
        <v>0.05</v>
      </c>
      <c r="N5017" s="464">
        <f t="shared" si="182"/>
        <v>203747</v>
      </c>
    </row>
    <row r="5018" spans="7:14" ht="11.25" customHeight="1" x14ac:dyDescent="0.3">
      <c r="G5018" s="459"/>
      <c r="H5018" s="459">
        <v>5011</v>
      </c>
      <c r="I5018" s="444">
        <f t="shared" ca="1" si="180"/>
        <v>-256409891554775.19</v>
      </c>
      <c r="J5018" s="444">
        <f t="array" ref="J5018">IFERROR(INDEX('Retirement Calculator'!K:K,MATCH('Lorri 401b'!N5018,'Retirement Calculator'!A:A,0),0),0)</f>
        <v>0</v>
      </c>
      <c r="K5018" s="444">
        <f t="shared" ca="1" si="178"/>
        <v>-1068374548144.8967</v>
      </c>
      <c r="L5018" s="444">
        <f t="shared" ca="1" si="179"/>
        <v>-257478266102920.09</v>
      </c>
      <c r="M5018" s="460">
        <f t="shared" si="181"/>
        <v>0.05</v>
      </c>
      <c r="N5018" s="464">
        <f t="shared" si="182"/>
        <v>203777</v>
      </c>
    </row>
    <row r="5019" spans="7:14" ht="11.25" customHeight="1" x14ac:dyDescent="0.3">
      <c r="G5019" s="459"/>
      <c r="H5019" s="459">
        <v>5012</v>
      </c>
      <c r="I5019" s="444">
        <f t="shared" ca="1" si="180"/>
        <v>-257478266102920.09</v>
      </c>
      <c r="J5019" s="444">
        <f t="array" ref="J5019">IFERROR(INDEX('Retirement Calculator'!K:K,MATCH('Lorri 401b'!N5019,'Retirement Calculator'!A:A,0),0),0)</f>
        <v>0</v>
      </c>
      <c r="K5019" s="444">
        <f t="shared" ca="1" si="178"/>
        <v>-1072826108762.167</v>
      </c>
      <c r="L5019" s="444">
        <f t="shared" ca="1" si="179"/>
        <v>-258551092211682.25</v>
      </c>
      <c r="M5019" s="460">
        <f t="shared" si="181"/>
        <v>0.05</v>
      </c>
      <c r="N5019" s="464">
        <f t="shared" si="182"/>
        <v>203808</v>
      </c>
    </row>
    <row r="5020" spans="7:14" ht="11.25" customHeight="1" x14ac:dyDescent="0.3">
      <c r="G5020" s="459"/>
      <c r="H5020" s="459">
        <v>5013</v>
      </c>
      <c r="I5020" s="444">
        <f t="shared" ca="1" si="180"/>
        <v>-258551092211682.25</v>
      </c>
      <c r="J5020" s="444">
        <f t="array" ref="J5020">IFERROR(INDEX('Retirement Calculator'!K:K,MATCH('Lorri 401b'!N5020,'Retirement Calculator'!A:A,0),0),0)</f>
        <v>0</v>
      </c>
      <c r="K5020" s="444">
        <f t="shared" ca="1" si="178"/>
        <v>-1077296217548.676</v>
      </c>
      <c r="L5020" s="444">
        <f t="shared" ca="1" si="179"/>
        <v>-259628388429230.94</v>
      </c>
      <c r="M5020" s="460">
        <f t="shared" si="181"/>
        <v>0.05</v>
      </c>
      <c r="N5020" s="464">
        <f t="shared" si="182"/>
        <v>203839</v>
      </c>
    </row>
    <row r="5021" spans="7:14" ht="11.25" customHeight="1" x14ac:dyDescent="0.3">
      <c r="G5021" s="459"/>
      <c r="H5021" s="459">
        <v>5014</v>
      </c>
      <c r="I5021" s="444">
        <f t="shared" ca="1" si="180"/>
        <v>-259628388429230.94</v>
      </c>
      <c r="J5021" s="444">
        <f t="array" ref="J5021">IFERROR(INDEX('Retirement Calculator'!K:K,MATCH('Lorri 401b'!N5021,'Retirement Calculator'!A:A,0),0),0)</f>
        <v>0</v>
      </c>
      <c r="K5021" s="444">
        <f t="shared" ca="1" si="178"/>
        <v>-1081784951788.4623</v>
      </c>
      <c r="L5021" s="444">
        <f t="shared" ca="1" si="179"/>
        <v>-260710173381019.41</v>
      </c>
      <c r="M5021" s="460">
        <f t="shared" si="181"/>
        <v>0.05</v>
      </c>
      <c r="N5021" s="464">
        <f t="shared" si="182"/>
        <v>203867</v>
      </c>
    </row>
    <row r="5022" spans="7:14" ht="11.25" customHeight="1" x14ac:dyDescent="0.3">
      <c r="G5022" s="459"/>
      <c r="H5022" s="459">
        <v>5015</v>
      </c>
      <c r="I5022" s="444">
        <f t="shared" ca="1" si="180"/>
        <v>-260710173381019.41</v>
      </c>
      <c r="J5022" s="444">
        <f t="array" ref="J5022">IFERROR(INDEX('Retirement Calculator'!K:K,MATCH('Lorri 401b'!N5022,'Retirement Calculator'!A:A,0),0),0)</f>
        <v>0</v>
      </c>
      <c r="K5022" s="444">
        <f t="shared" ca="1" si="178"/>
        <v>-1086292389087.5807</v>
      </c>
      <c r="L5022" s="444">
        <f t="shared" ca="1" si="179"/>
        <v>-261796465770107</v>
      </c>
      <c r="M5022" s="460">
        <f t="shared" si="181"/>
        <v>0.05</v>
      </c>
      <c r="N5022" s="464">
        <f t="shared" si="182"/>
        <v>203898</v>
      </c>
    </row>
    <row r="5023" spans="7:14" ht="11.25" customHeight="1" x14ac:dyDescent="0.3">
      <c r="G5023" s="459"/>
      <c r="H5023" s="459">
        <v>5016</v>
      </c>
      <c r="I5023" s="444">
        <f t="shared" ca="1" si="180"/>
        <v>-261796465770107</v>
      </c>
      <c r="J5023" s="444">
        <f t="array" ref="J5023">IFERROR(INDEX('Retirement Calculator'!K:K,MATCH('Lorri 401b'!N5023,'Retirement Calculator'!A:A,0),0),0)</f>
        <v>0</v>
      </c>
      <c r="K5023" s="444">
        <f t="shared" ca="1" si="178"/>
        <v>-1090818607375.4457</v>
      </c>
      <c r="L5023" s="444">
        <f t="shared" ca="1" si="179"/>
        <v>-262887284377482.44</v>
      </c>
      <c r="M5023" s="460">
        <f t="shared" si="181"/>
        <v>0.05</v>
      </c>
      <c r="N5023" s="464">
        <f t="shared" si="182"/>
        <v>203928</v>
      </c>
    </row>
    <row r="5024" spans="7:14" ht="11.25" customHeight="1" x14ac:dyDescent="0.3">
      <c r="G5024" s="459"/>
      <c r="H5024" s="459">
        <v>5017</v>
      </c>
      <c r="I5024" s="444">
        <f t="shared" ca="1" si="180"/>
        <v>-262887284377482.44</v>
      </c>
      <c r="J5024" s="444">
        <f t="array" ref="J5024">IFERROR(INDEX('Retirement Calculator'!K:K,MATCH('Lorri 401b'!N5024,'Retirement Calculator'!A:A,0),0),0)</f>
        <v>0</v>
      </c>
      <c r="K5024" s="444">
        <f t="shared" ca="1" si="178"/>
        <v>-1095363684906.1768</v>
      </c>
      <c r="L5024" s="444">
        <f t="shared" ca="1" si="179"/>
        <v>-263982648062388.63</v>
      </c>
      <c r="M5024" s="460">
        <f t="shared" si="181"/>
        <v>0.05</v>
      </c>
      <c r="N5024" s="464">
        <f t="shared" si="182"/>
        <v>203959</v>
      </c>
    </row>
    <row r="5025" spans="7:14" ht="11.25" customHeight="1" x14ac:dyDescent="0.3">
      <c r="G5025" s="459"/>
      <c r="H5025" s="459">
        <v>5018</v>
      </c>
      <c r="I5025" s="444">
        <f t="shared" ca="1" si="180"/>
        <v>-263982648062388.63</v>
      </c>
      <c r="J5025" s="444">
        <f t="array" ref="J5025">IFERROR(INDEX('Retirement Calculator'!K:K,MATCH('Lorri 401b'!N5025,'Retirement Calculator'!A:A,0),0),0)</f>
        <v>0</v>
      </c>
      <c r="K5025" s="444">
        <f t="shared" ca="1" si="178"/>
        <v>-1099927700259.9526</v>
      </c>
      <c r="L5025" s="444">
        <f t="shared" ca="1" si="179"/>
        <v>-265082575762648.56</v>
      </c>
      <c r="M5025" s="460">
        <f t="shared" si="181"/>
        <v>0.05</v>
      </c>
      <c r="N5025" s="464">
        <f t="shared" si="182"/>
        <v>203989</v>
      </c>
    </row>
    <row r="5026" spans="7:14" ht="11.25" customHeight="1" x14ac:dyDescent="0.3">
      <c r="G5026" s="459"/>
      <c r="H5026" s="459">
        <v>5019</v>
      </c>
      <c r="I5026" s="444">
        <f t="shared" ca="1" si="180"/>
        <v>-265082575762648.56</v>
      </c>
      <c r="J5026" s="444">
        <f t="array" ref="J5026">IFERROR(INDEX('Retirement Calculator'!K:K,MATCH('Lorri 401b'!N5026,'Retirement Calculator'!A:A,0),0),0)</f>
        <v>0</v>
      </c>
      <c r="K5026" s="444">
        <f t="shared" ca="1" si="178"/>
        <v>-1104510732344.3689</v>
      </c>
      <c r="L5026" s="444">
        <f t="shared" ca="1" si="179"/>
        <v>-266187086494992.94</v>
      </c>
      <c r="M5026" s="460">
        <f t="shared" si="181"/>
        <v>0.05</v>
      </c>
      <c r="N5026" s="464">
        <f t="shared" si="182"/>
        <v>204020</v>
      </c>
    </row>
    <row r="5027" spans="7:14" ht="11.25" customHeight="1" x14ac:dyDescent="0.3">
      <c r="G5027" s="459"/>
      <c r="H5027" s="459">
        <v>5020</v>
      </c>
      <c r="I5027" s="444">
        <f t="shared" ca="1" si="180"/>
        <v>-266187086494992.94</v>
      </c>
      <c r="J5027" s="444">
        <f t="array" ref="J5027">IFERROR(INDEX('Retirement Calculator'!K:K,MATCH('Lorri 401b'!N5027,'Retirement Calculator'!A:A,0),0),0)</f>
        <v>0</v>
      </c>
      <c r="K5027" s="444">
        <f t="shared" ca="1" si="178"/>
        <v>-1109112860395.804</v>
      </c>
      <c r="L5027" s="444">
        <f t="shared" ca="1" si="179"/>
        <v>-267296199355388.75</v>
      </c>
      <c r="M5027" s="460">
        <f t="shared" si="181"/>
        <v>0.05</v>
      </c>
      <c r="N5027" s="464">
        <f t="shared" si="182"/>
        <v>204051</v>
      </c>
    </row>
    <row r="5028" spans="7:14" ht="11.25" customHeight="1" x14ac:dyDescent="0.3">
      <c r="G5028" s="459"/>
      <c r="H5028" s="459">
        <v>5021</v>
      </c>
      <c r="I5028" s="444">
        <f t="shared" ca="1" si="180"/>
        <v>-267296199355388.75</v>
      </c>
      <c r="J5028" s="444">
        <f t="array" ref="J5028">IFERROR(INDEX('Retirement Calculator'!K:K,MATCH('Lorri 401b'!N5028,'Retirement Calculator'!A:A,0),0),0)</f>
        <v>0</v>
      </c>
      <c r="K5028" s="444">
        <f t="shared" ca="1" si="178"/>
        <v>-1113734163980.7864</v>
      </c>
      <c r="L5028" s="444">
        <f t="shared" ca="1" si="179"/>
        <v>-268409933519369.53</v>
      </c>
      <c r="M5028" s="460">
        <f t="shared" si="181"/>
        <v>0.05</v>
      </c>
      <c r="N5028" s="464">
        <f t="shared" si="182"/>
        <v>204081</v>
      </c>
    </row>
    <row r="5029" spans="7:14" ht="11.25" customHeight="1" x14ac:dyDescent="0.3">
      <c r="G5029" s="459"/>
      <c r="H5029" s="459">
        <v>5022</v>
      </c>
      <c r="I5029" s="444">
        <f t="shared" ca="1" si="180"/>
        <v>-268409933519369.53</v>
      </c>
      <c r="J5029" s="444">
        <f t="array" ref="J5029">IFERROR(INDEX('Retirement Calculator'!K:K,MATCH('Lorri 401b'!N5029,'Retirement Calculator'!A:A,0),0),0)</f>
        <v>0</v>
      </c>
      <c r="K5029" s="444">
        <f t="shared" ca="1" si="178"/>
        <v>-1118374722997.373</v>
      </c>
      <c r="L5029" s="444">
        <f t="shared" ca="1" si="179"/>
        <v>-269528308242366.91</v>
      </c>
      <c r="M5029" s="460">
        <f t="shared" si="181"/>
        <v>0.05</v>
      </c>
      <c r="N5029" s="464">
        <f t="shared" si="182"/>
        <v>204112</v>
      </c>
    </row>
    <row r="5030" spans="7:14" ht="11.25" customHeight="1" x14ac:dyDescent="0.3">
      <c r="G5030" s="459"/>
      <c r="H5030" s="459">
        <v>5023</v>
      </c>
      <c r="I5030" s="444">
        <f t="shared" ca="1" si="180"/>
        <v>-269528308242366.91</v>
      </c>
      <c r="J5030" s="444">
        <f t="array" ref="J5030">IFERROR(INDEX('Retirement Calculator'!K:K,MATCH('Lorri 401b'!N5030,'Retirement Calculator'!A:A,0),0),0)</f>
        <v>0</v>
      </c>
      <c r="K5030" s="444">
        <f t="shared" ca="1" si="178"/>
        <v>-1123034617676.5288</v>
      </c>
      <c r="L5030" s="444">
        <f t="shared" ca="1" si="179"/>
        <v>-270651342860043.44</v>
      </c>
      <c r="M5030" s="460">
        <f t="shared" si="181"/>
        <v>0.05</v>
      </c>
      <c r="N5030" s="464">
        <f t="shared" si="182"/>
        <v>204142</v>
      </c>
    </row>
    <row r="5031" spans="7:14" ht="11.25" customHeight="1" x14ac:dyDescent="0.3">
      <c r="G5031" s="459"/>
      <c r="H5031" s="459">
        <v>5024</v>
      </c>
      <c r="I5031" s="444">
        <f t="shared" ca="1" si="180"/>
        <v>-270651342860043.44</v>
      </c>
      <c r="J5031" s="444">
        <f t="array" ref="J5031">IFERROR(INDEX('Retirement Calculator'!K:K,MATCH('Lorri 401b'!N5031,'Retirement Calculator'!A:A,0),0),0)</f>
        <v>0</v>
      </c>
      <c r="K5031" s="444">
        <f t="shared" ca="1" si="178"/>
        <v>-1127713928583.5144</v>
      </c>
      <c r="L5031" s="444">
        <f t="shared" ca="1" si="179"/>
        <v>-271779056788626.94</v>
      </c>
      <c r="M5031" s="460">
        <f t="shared" si="181"/>
        <v>0.05</v>
      </c>
      <c r="N5031" s="464">
        <f t="shared" si="182"/>
        <v>204173</v>
      </c>
    </row>
    <row r="5032" spans="7:14" ht="11.25" customHeight="1" x14ac:dyDescent="0.3">
      <c r="G5032" s="459"/>
      <c r="H5032" s="459">
        <v>5025</v>
      </c>
      <c r="I5032" s="444">
        <f t="shared" ca="1" si="180"/>
        <v>-271779056788626.94</v>
      </c>
      <c r="J5032" s="444">
        <f t="array" ref="J5032">IFERROR(INDEX('Retirement Calculator'!K:K,MATCH('Lorri 401b'!N5032,'Retirement Calculator'!A:A,0),0),0)</f>
        <v>0</v>
      </c>
      <c r="K5032" s="444">
        <f t="shared" ca="1" si="178"/>
        <v>-1132412736619.2788</v>
      </c>
      <c r="L5032" s="444">
        <f t="shared" ca="1" si="179"/>
        <v>-272911469525246.22</v>
      </c>
      <c r="M5032" s="460">
        <f t="shared" si="181"/>
        <v>0.05</v>
      </c>
      <c r="N5032" s="464">
        <f t="shared" si="182"/>
        <v>204204</v>
      </c>
    </row>
    <row r="5033" spans="7:14" ht="11.25" customHeight="1" x14ac:dyDescent="0.3">
      <c r="G5033" s="459"/>
      <c r="H5033" s="459">
        <v>5026</v>
      </c>
      <c r="I5033" s="444">
        <f t="shared" ca="1" si="180"/>
        <v>-272911469525246.22</v>
      </c>
      <c r="J5033" s="444">
        <f t="array" ref="J5033">IFERROR(INDEX('Retirement Calculator'!K:K,MATCH('Lorri 401b'!N5033,'Retirement Calculator'!A:A,0),0),0)</f>
        <v>0</v>
      </c>
      <c r="K5033" s="444">
        <f t="shared" ca="1" si="178"/>
        <v>-1137131123021.8591</v>
      </c>
      <c r="L5033" s="444">
        <f t="shared" ca="1" si="179"/>
        <v>-274048600648268.06</v>
      </c>
      <c r="M5033" s="460">
        <f t="shared" si="181"/>
        <v>0.05</v>
      </c>
      <c r="N5033" s="464">
        <f t="shared" si="182"/>
        <v>204232</v>
      </c>
    </row>
    <row r="5034" spans="7:14" ht="11.25" customHeight="1" x14ac:dyDescent="0.3">
      <c r="G5034" s="459"/>
      <c r="H5034" s="459">
        <v>5027</v>
      </c>
      <c r="I5034" s="444">
        <f t="shared" ca="1" si="180"/>
        <v>-274048600648268.06</v>
      </c>
      <c r="J5034" s="444">
        <f t="array" ref="J5034">IFERROR(INDEX('Retirement Calculator'!K:K,MATCH('Lorri 401b'!N5034,'Retirement Calculator'!A:A,0),0),0)</f>
        <v>0</v>
      </c>
      <c r="K5034" s="444">
        <f t="shared" ca="1" si="178"/>
        <v>-1141869169367.7837</v>
      </c>
      <c r="L5034" s="444">
        <f t="shared" ca="1" si="179"/>
        <v>-275190469817635.84</v>
      </c>
      <c r="M5034" s="460">
        <f t="shared" si="181"/>
        <v>0.05</v>
      </c>
      <c r="N5034" s="464">
        <f t="shared" si="182"/>
        <v>204263</v>
      </c>
    </row>
    <row r="5035" spans="7:14" ht="11.25" customHeight="1" x14ac:dyDescent="0.3">
      <c r="G5035" s="459"/>
      <c r="H5035" s="459">
        <v>5028</v>
      </c>
      <c r="I5035" s="444">
        <f t="shared" ca="1" si="180"/>
        <v>-275190469817635.84</v>
      </c>
      <c r="J5035" s="444">
        <f t="array" ref="J5035">IFERROR(INDEX('Retirement Calculator'!K:K,MATCH('Lorri 401b'!N5035,'Retirement Calculator'!A:A,0),0),0)</f>
        <v>0</v>
      </c>
      <c r="K5035" s="444">
        <f t="shared" ca="1" si="178"/>
        <v>-1146626957573.4827</v>
      </c>
      <c r="L5035" s="444">
        <f t="shared" ca="1" si="179"/>
        <v>-276337096775209.31</v>
      </c>
      <c r="M5035" s="460">
        <f t="shared" si="181"/>
        <v>0.05</v>
      </c>
      <c r="N5035" s="464">
        <f t="shared" si="182"/>
        <v>204293</v>
      </c>
    </row>
    <row r="5036" spans="7:14" ht="11.25" customHeight="1" x14ac:dyDescent="0.3">
      <c r="G5036" s="459"/>
      <c r="H5036" s="459">
        <v>5029</v>
      </c>
      <c r="I5036" s="444">
        <f t="shared" ca="1" si="180"/>
        <v>-276337096775209.31</v>
      </c>
      <c r="J5036" s="444">
        <f t="array" ref="J5036">IFERROR(INDEX('Retirement Calculator'!K:K,MATCH('Lorri 401b'!N5036,'Retirement Calculator'!A:A,0),0),0)</f>
        <v>0</v>
      </c>
      <c r="K5036" s="444">
        <f t="shared" ca="1" si="178"/>
        <v>-1151404569896.7053</v>
      </c>
      <c r="L5036" s="444">
        <f t="shared" ca="1" si="179"/>
        <v>-277488501345106.03</v>
      </c>
      <c r="M5036" s="460">
        <f t="shared" si="181"/>
        <v>0.05</v>
      </c>
      <c r="N5036" s="464">
        <f t="shared" si="182"/>
        <v>204324</v>
      </c>
    </row>
    <row r="5037" spans="7:14" ht="11.25" customHeight="1" x14ac:dyDescent="0.3">
      <c r="G5037" s="459"/>
      <c r="H5037" s="459">
        <v>5030</v>
      </c>
      <c r="I5037" s="444">
        <f t="shared" ca="1" si="180"/>
        <v>-277488501345106.03</v>
      </c>
      <c r="J5037" s="444">
        <f t="array" ref="J5037">IFERROR(INDEX('Retirement Calculator'!K:K,MATCH('Lorri 401b'!N5037,'Retirement Calculator'!A:A,0),0),0)</f>
        <v>0</v>
      </c>
      <c r="K5037" s="444">
        <f t="shared" ca="1" si="178"/>
        <v>-1156202088937.9419</v>
      </c>
      <c r="L5037" s="444">
        <f t="shared" ca="1" si="179"/>
        <v>-278644703434043.97</v>
      </c>
      <c r="M5037" s="460">
        <f t="shared" si="181"/>
        <v>0.05</v>
      </c>
      <c r="N5037" s="464">
        <f t="shared" si="182"/>
        <v>204354</v>
      </c>
    </row>
    <row r="5038" spans="7:14" ht="11.25" customHeight="1" x14ac:dyDescent="0.3">
      <c r="G5038" s="459"/>
      <c r="H5038" s="459">
        <v>5031</v>
      </c>
      <c r="I5038" s="444">
        <f t="shared" ca="1" si="180"/>
        <v>-278644703434043.97</v>
      </c>
      <c r="J5038" s="444">
        <f t="array" ref="J5038">IFERROR(INDEX('Retirement Calculator'!K:K,MATCH('Lorri 401b'!N5038,'Retirement Calculator'!A:A,0),0),0)</f>
        <v>0</v>
      </c>
      <c r="K5038" s="444">
        <f t="shared" ca="1" si="178"/>
        <v>-1161019597641.8496</v>
      </c>
      <c r="L5038" s="444">
        <f t="shared" ca="1" si="179"/>
        <v>-279805723031685.81</v>
      </c>
      <c r="M5038" s="460">
        <f t="shared" si="181"/>
        <v>0.05</v>
      </c>
      <c r="N5038" s="464">
        <f t="shared" si="182"/>
        <v>204385</v>
      </c>
    </row>
    <row r="5039" spans="7:14" ht="11.25" customHeight="1" x14ac:dyDescent="0.3">
      <c r="G5039" s="459"/>
      <c r="H5039" s="459">
        <v>5032</v>
      </c>
      <c r="I5039" s="444">
        <f t="shared" ca="1" si="180"/>
        <v>-279805723031685.81</v>
      </c>
      <c r="J5039" s="444">
        <f t="array" ref="J5039">IFERROR(INDEX('Retirement Calculator'!K:K,MATCH('Lorri 401b'!N5039,'Retirement Calculator'!A:A,0),0),0)</f>
        <v>0</v>
      </c>
      <c r="K5039" s="444">
        <f t="shared" ca="1" si="178"/>
        <v>-1165857179298.6909</v>
      </c>
      <c r="L5039" s="444">
        <f t="shared" ca="1" si="179"/>
        <v>-280971580210984.5</v>
      </c>
      <c r="M5039" s="460">
        <f t="shared" si="181"/>
        <v>0.05</v>
      </c>
      <c r="N5039" s="464">
        <f t="shared" si="182"/>
        <v>204416</v>
      </c>
    </row>
    <row r="5040" spans="7:14" ht="11.25" customHeight="1" x14ac:dyDescent="0.3">
      <c r="G5040" s="459"/>
      <c r="H5040" s="459">
        <v>5033</v>
      </c>
      <c r="I5040" s="444">
        <f t="shared" ca="1" si="180"/>
        <v>-280971580210984.5</v>
      </c>
      <c r="J5040" s="444">
        <f t="array" ref="J5040">IFERROR(INDEX('Retirement Calculator'!K:K,MATCH('Lorri 401b'!N5040,'Retirement Calculator'!A:A,0),0),0)</f>
        <v>0</v>
      </c>
      <c r="K5040" s="444">
        <f t="shared" ca="1" si="178"/>
        <v>-1170714917545.7688</v>
      </c>
      <c r="L5040" s="444">
        <f t="shared" ca="1" si="179"/>
        <v>-282142295128530.25</v>
      </c>
      <c r="M5040" s="460">
        <f t="shared" si="181"/>
        <v>0.05</v>
      </c>
      <c r="N5040" s="464">
        <f t="shared" si="182"/>
        <v>204446</v>
      </c>
    </row>
    <row r="5041" spans="7:14" ht="11.25" customHeight="1" x14ac:dyDescent="0.3">
      <c r="G5041" s="459"/>
      <c r="H5041" s="459">
        <v>5034</v>
      </c>
      <c r="I5041" s="444">
        <f t="shared" ca="1" si="180"/>
        <v>-282142295128530.25</v>
      </c>
      <c r="J5041" s="444">
        <f t="array" ref="J5041">IFERROR(INDEX('Retirement Calculator'!K:K,MATCH('Lorri 401b'!N5041,'Retirement Calculator'!A:A,0),0),0)</f>
        <v>0</v>
      </c>
      <c r="K5041" s="444">
        <f t="shared" ca="1" si="178"/>
        <v>-1175592896368.876</v>
      </c>
      <c r="L5041" s="444">
        <f t="shared" ca="1" si="179"/>
        <v>-283317888024899.13</v>
      </c>
      <c r="M5041" s="460">
        <f t="shared" si="181"/>
        <v>0.05</v>
      </c>
      <c r="N5041" s="464">
        <f t="shared" si="182"/>
        <v>204477</v>
      </c>
    </row>
    <row r="5042" spans="7:14" ht="11.25" customHeight="1" x14ac:dyDescent="0.3">
      <c r="G5042" s="459"/>
      <c r="H5042" s="459">
        <v>5035</v>
      </c>
      <c r="I5042" s="444">
        <f t="shared" ca="1" si="180"/>
        <v>-283317888024899.13</v>
      </c>
      <c r="J5042" s="444">
        <f t="array" ref="J5042">IFERROR(INDEX('Retirement Calculator'!K:K,MATCH('Lorri 401b'!N5042,'Retirement Calculator'!A:A,0),0),0)</f>
        <v>0</v>
      </c>
      <c r="K5042" s="444">
        <f t="shared" ca="1" si="178"/>
        <v>-1180491200103.7463</v>
      </c>
      <c r="L5042" s="444">
        <f t="shared" ca="1" si="179"/>
        <v>-284498379225002.88</v>
      </c>
      <c r="M5042" s="460">
        <f t="shared" si="181"/>
        <v>0.05</v>
      </c>
      <c r="N5042" s="464">
        <f t="shared" si="182"/>
        <v>204507</v>
      </c>
    </row>
    <row r="5043" spans="7:14" ht="11.25" customHeight="1" x14ac:dyDescent="0.3">
      <c r="G5043" s="459"/>
      <c r="H5043" s="459">
        <v>5036</v>
      </c>
      <c r="I5043" s="444">
        <f t="shared" ca="1" si="180"/>
        <v>-284498379225002.88</v>
      </c>
      <c r="J5043" s="444">
        <f t="array" ref="J5043">IFERROR(INDEX('Retirement Calculator'!K:K,MATCH('Lorri 401b'!N5043,'Retirement Calculator'!A:A,0),0),0)</f>
        <v>0</v>
      </c>
      <c r="K5043" s="444">
        <f t="shared" ca="1" si="178"/>
        <v>-1185409913437.512</v>
      </c>
      <c r="L5043" s="444">
        <f t="shared" ca="1" si="179"/>
        <v>-285683789138440.38</v>
      </c>
      <c r="M5043" s="460">
        <f t="shared" si="181"/>
        <v>0.05</v>
      </c>
      <c r="N5043" s="464">
        <f t="shared" si="182"/>
        <v>204538</v>
      </c>
    </row>
    <row r="5044" spans="7:14" ht="11.25" customHeight="1" x14ac:dyDescent="0.3">
      <c r="G5044" s="459"/>
      <c r="H5044" s="459">
        <v>5037</v>
      </c>
      <c r="I5044" s="444">
        <f t="shared" ca="1" si="180"/>
        <v>-285683789138440.38</v>
      </c>
      <c r="J5044" s="444">
        <f t="array" ref="J5044">IFERROR(INDEX('Retirement Calculator'!K:K,MATCH('Lorri 401b'!N5044,'Retirement Calculator'!A:A,0),0),0)</f>
        <v>0</v>
      </c>
      <c r="K5044" s="444">
        <f t="shared" ca="1" si="178"/>
        <v>-1190349121410.1682</v>
      </c>
      <c r="L5044" s="444">
        <f t="shared" ca="1" si="179"/>
        <v>-286874138259850.56</v>
      </c>
      <c r="M5044" s="460">
        <f t="shared" si="181"/>
        <v>0.05</v>
      </c>
      <c r="N5044" s="464">
        <f t="shared" si="182"/>
        <v>204569</v>
      </c>
    </row>
    <row r="5045" spans="7:14" ht="11.25" customHeight="1" x14ac:dyDescent="0.3">
      <c r="G5045" s="459"/>
      <c r="H5045" s="459">
        <v>5038</v>
      </c>
      <c r="I5045" s="444">
        <f t="shared" ca="1" si="180"/>
        <v>-286874138259850.56</v>
      </c>
      <c r="J5045" s="444">
        <f t="array" ref="J5045">IFERROR(INDEX('Retirement Calculator'!K:K,MATCH('Lorri 401b'!N5045,'Retirement Calculator'!A:A,0),0),0)</f>
        <v>0</v>
      </c>
      <c r="K5045" s="444">
        <f t="shared" ca="1" si="178"/>
        <v>-1195308909416.0439</v>
      </c>
      <c r="L5045" s="444">
        <f t="shared" ca="1" si="179"/>
        <v>-288069447169266.63</v>
      </c>
      <c r="M5045" s="460">
        <f t="shared" si="181"/>
        <v>0.05</v>
      </c>
      <c r="N5045" s="464">
        <f t="shared" si="182"/>
        <v>204598</v>
      </c>
    </row>
    <row r="5046" spans="7:14" ht="11.25" customHeight="1" x14ac:dyDescent="0.3">
      <c r="G5046" s="459"/>
      <c r="H5046" s="459">
        <v>5039</v>
      </c>
      <c r="I5046" s="444">
        <f t="shared" ca="1" si="180"/>
        <v>-288069447169266.63</v>
      </c>
      <c r="J5046" s="444">
        <f t="array" ref="J5046">IFERROR(INDEX('Retirement Calculator'!K:K,MATCH('Lorri 401b'!N5046,'Retirement Calculator'!A:A,0),0),0)</f>
        <v>0</v>
      </c>
      <c r="K5046" s="444">
        <f t="shared" ca="1" si="178"/>
        <v>-1200289363205.2776</v>
      </c>
      <c r="L5046" s="444">
        <f t="shared" ca="1" si="179"/>
        <v>-289269736532471.88</v>
      </c>
      <c r="M5046" s="460">
        <f t="shared" si="181"/>
        <v>0.05</v>
      </c>
      <c r="N5046" s="464">
        <f t="shared" si="182"/>
        <v>204629</v>
      </c>
    </row>
    <row r="5047" spans="7:14" ht="11.25" customHeight="1" x14ac:dyDescent="0.3">
      <c r="G5047" s="459"/>
      <c r="H5047" s="459">
        <v>5040</v>
      </c>
      <c r="I5047" s="444">
        <f t="shared" ca="1" si="180"/>
        <v>-289269736532471.88</v>
      </c>
      <c r="J5047" s="444">
        <f t="array" ref="J5047">IFERROR(INDEX('Retirement Calculator'!K:K,MATCH('Lorri 401b'!N5047,'Retirement Calculator'!A:A,0),0),0)</f>
        <v>0</v>
      </c>
      <c r="K5047" s="444">
        <f t="shared" ca="1" si="178"/>
        <v>-1205290568885.2996</v>
      </c>
      <c r="L5047" s="444">
        <f t="shared" ca="1" si="179"/>
        <v>-290475027101357.19</v>
      </c>
      <c r="M5047" s="460">
        <f t="shared" si="181"/>
        <v>0.05</v>
      </c>
      <c r="N5047" s="464">
        <f t="shared" si="182"/>
        <v>204659</v>
      </c>
    </row>
    <row r="5048" spans="7:14" ht="11.25" customHeight="1" x14ac:dyDescent="0.3">
      <c r="G5048" s="459"/>
      <c r="H5048" s="459">
        <v>5041</v>
      </c>
      <c r="I5048" s="444">
        <f t="shared" ca="1" si="180"/>
        <v>-290475027101357.19</v>
      </c>
      <c r="J5048" s="444">
        <f t="array" ref="J5048">IFERROR(INDEX('Retirement Calculator'!K:K,MATCH('Lorri 401b'!N5048,'Retirement Calculator'!A:A,0),0),0)</f>
        <v>0</v>
      </c>
      <c r="K5048" s="444">
        <f t="shared" ca="1" si="178"/>
        <v>-1210312612922.3215</v>
      </c>
      <c r="L5048" s="444">
        <f t="shared" ca="1" si="179"/>
        <v>-291685339714279.5</v>
      </c>
      <c r="M5048" s="460">
        <f t="shared" si="181"/>
        <v>0.05</v>
      </c>
      <c r="N5048" s="464">
        <f t="shared" si="182"/>
        <v>204690</v>
      </c>
    </row>
    <row r="5049" spans="7:14" ht="11.25" customHeight="1" x14ac:dyDescent="0.3">
      <c r="G5049" s="459"/>
      <c r="H5049" s="459">
        <v>5042</v>
      </c>
      <c r="I5049" s="444">
        <f t="shared" ca="1" si="180"/>
        <v>-291685339714279.5</v>
      </c>
      <c r="J5049" s="444">
        <f t="array" ref="J5049">IFERROR(INDEX('Retirement Calculator'!K:K,MATCH('Lorri 401b'!N5049,'Retirement Calculator'!A:A,0),0),0)</f>
        <v>0</v>
      </c>
      <c r="K5049" s="444">
        <f t="shared" ca="1" si="178"/>
        <v>-1215355582142.8313</v>
      </c>
      <c r="L5049" s="444">
        <f t="shared" ca="1" si="179"/>
        <v>-292900695296422.31</v>
      </c>
      <c r="M5049" s="460">
        <f t="shared" si="181"/>
        <v>0.05</v>
      </c>
      <c r="N5049" s="464">
        <f t="shared" si="182"/>
        <v>204720</v>
      </c>
    </row>
    <row r="5050" spans="7:14" ht="11.25" customHeight="1" x14ac:dyDescent="0.3">
      <c r="G5050" s="459"/>
      <c r="H5050" s="459">
        <v>5043</v>
      </c>
      <c r="I5050" s="444">
        <f t="shared" ca="1" si="180"/>
        <v>-292900695296422.31</v>
      </c>
      <c r="J5050" s="444">
        <f t="array" ref="J5050">IFERROR(INDEX('Retirement Calculator'!K:K,MATCH('Lorri 401b'!N5050,'Retirement Calculator'!A:A,0),0),0)</f>
        <v>0</v>
      </c>
      <c r="K5050" s="444">
        <f t="shared" ca="1" si="178"/>
        <v>-1220419563735.093</v>
      </c>
      <c r="L5050" s="444">
        <f t="shared" ca="1" si="179"/>
        <v>-294121114860157.38</v>
      </c>
      <c r="M5050" s="460">
        <f t="shared" si="181"/>
        <v>0.05</v>
      </c>
      <c r="N5050" s="464">
        <f t="shared" si="182"/>
        <v>204751</v>
      </c>
    </row>
    <row r="5051" spans="7:14" ht="11.25" customHeight="1" x14ac:dyDescent="0.3">
      <c r="G5051" s="459"/>
      <c r="H5051" s="459">
        <v>5044</v>
      </c>
      <c r="I5051" s="444">
        <f t="shared" ca="1" si="180"/>
        <v>-294121114860157.38</v>
      </c>
      <c r="J5051" s="444">
        <f t="array" ref="J5051">IFERROR(INDEX('Retirement Calculator'!K:K,MATCH('Lorri 401b'!N5051,'Retirement Calculator'!A:A,0),0),0)</f>
        <v>0</v>
      </c>
      <c r="K5051" s="444">
        <f t="shared" ca="1" si="178"/>
        <v>-1225504645250.6558</v>
      </c>
      <c r="L5051" s="444">
        <f t="shared" ca="1" si="179"/>
        <v>-295346619505408</v>
      </c>
      <c r="M5051" s="460">
        <f t="shared" si="181"/>
        <v>0.05</v>
      </c>
      <c r="N5051" s="464">
        <f t="shared" si="182"/>
        <v>204782</v>
      </c>
    </row>
    <row r="5052" spans="7:14" ht="11.25" customHeight="1" x14ac:dyDescent="0.3">
      <c r="G5052" s="459"/>
      <c r="H5052" s="459">
        <v>5045</v>
      </c>
      <c r="I5052" s="444">
        <f t="shared" ca="1" si="180"/>
        <v>-295346619505408</v>
      </c>
      <c r="J5052" s="444">
        <f t="array" ref="J5052">IFERROR(INDEX('Retirement Calculator'!K:K,MATCH('Lorri 401b'!N5052,'Retirement Calculator'!A:A,0),0),0)</f>
        <v>0</v>
      </c>
      <c r="K5052" s="444">
        <f t="shared" ca="1" si="178"/>
        <v>-1230610914605.8667</v>
      </c>
      <c r="L5052" s="444">
        <f t="shared" ca="1" si="179"/>
        <v>-296577230420013.88</v>
      </c>
      <c r="M5052" s="460">
        <f t="shared" si="181"/>
        <v>0.05</v>
      </c>
      <c r="N5052" s="464">
        <f t="shared" si="182"/>
        <v>204812</v>
      </c>
    </row>
    <row r="5053" spans="7:14" ht="11.25" customHeight="1" x14ac:dyDescent="0.3">
      <c r="G5053" s="459"/>
      <c r="H5053" s="459">
        <v>5046</v>
      </c>
      <c r="I5053" s="444">
        <f t="shared" ca="1" si="180"/>
        <v>-296577230420013.88</v>
      </c>
      <c r="J5053" s="444">
        <f t="array" ref="J5053">IFERROR(INDEX('Retirement Calculator'!K:K,MATCH('Lorri 401b'!N5053,'Retirement Calculator'!A:A,0),0),0)</f>
        <v>0</v>
      </c>
      <c r="K5053" s="444">
        <f t="shared" ca="1" si="178"/>
        <v>-1235738460083.3911</v>
      </c>
      <c r="L5053" s="444">
        <f t="shared" ca="1" si="179"/>
        <v>-297812968880097.25</v>
      </c>
      <c r="M5053" s="460">
        <f t="shared" si="181"/>
        <v>0.05</v>
      </c>
      <c r="N5053" s="464">
        <f t="shared" si="182"/>
        <v>204843</v>
      </c>
    </row>
    <row r="5054" spans="7:14" ht="11.25" customHeight="1" x14ac:dyDescent="0.3">
      <c r="G5054" s="459"/>
      <c r="H5054" s="459">
        <v>5047</v>
      </c>
      <c r="I5054" s="444">
        <f t="shared" ca="1" si="180"/>
        <v>-297812968880097.25</v>
      </c>
      <c r="J5054" s="444">
        <f t="array" ref="J5054">IFERROR(INDEX('Retirement Calculator'!K:K,MATCH('Lorri 401b'!N5054,'Retirement Calculator'!A:A,0),0),0)</f>
        <v>0</v>
      </c>
      <c r="K5054" s="444">
        <f t="shared" ca="1" si="178"/>
        <v>-1240887370333.7385</v>
      </c>
      <c r="L5054" s="444">
        <f t="shared" ca="1" si="179"/>
        <v>-299053856250431</v>
      </c>
      <c r="M5054" s="460">
        <f t="shared" si="181"/>
        <v>0.05</v>
      </c>
      <c r="N5054" s="464">
        <f t="shared" si="182"/>
        <v>204873</v>
      </c>
    </row>
    <row r="5055" spans="7:14" ht="11.25" customHeight="1" x14ac:dyDescent="0.3">
      <c r="G5055" s="459"/>
      <c r="H5055" s="459">
        <v>5048</v>
      </c>
      <c r="I5055" s="444">
        <f t="shared" ca="1" si="180"/>
        <v>-299053856250431</v>
      </c>
      <c r="J5055" s="444">
        <f t="array" ref="J5055">IFERROR(INDEX('Retirement Calculator'!K:K,MATCH('Lorri 401b'!N5055,'Retirement Calculator'!A:A,0),0),0)</f>
        <v>0</v>
      </c>
      <c r="K5055" s="444">
        <f t="shared" ca="1" si="178"/>
        <v>-1246057734376.7959</v>
      </c>
      <c r="L5055" s="444">
        <f t="shared" ca="1" si="179"/>
        <v>-300299913984807.81</v>
      </c>
      <c r="M5055" s="460">
        <f t="shared" si="181"/>
        <v>0.05</v>
      </c>
      <c r="N5055" s="464">
        <f t="shared" si="182"/>
        <v>204904</v>
      </c>
    </row>
    <row r="5056" spans="7:14" ht="11.25" customHeight="1" x14ac:dyDescent="0.3">
      <c r="G5056" s="459"/>
      <c r="H5056" s="459">
        <v>5049</v>
      </c>
      <c r="I5056" s="444">
        <f t="shared" ca="1" si="180"/>
        <v>-300299913984807.81</v>
      </c>
      <c r="J5056" s="444">
        <f t="array" ref="J5056">IFERROR(INDEX('Retirement Calculator'!K:K,MATCH('Lorri 401b'!N5056,'Retirement Calculator'!A:A,0),0),0)</f>
        <v>0</v>
      </c>
      <c r="K5056" s="444">
        <f t="shared" ca="1" si="178"/>
        <v>-1251249641603.366</v>
      </c>
      <c r="L5056" s="444">
        <f t="shared" ca="1" si="179"/>
        <v>-301551163626411.19</v>
      </c>
      <c r="M5056" s="460">
        <f t="shared" si="181"/>
        <v>0.05</v>
      </c>
      <c r="N5056" s="464">
        <f t="shared" si="182"/>
        <v>204935</v>
      </c>
    </row>
    <row r="5057" spans="7:14" ht="11.25" customHeight="1" x14ac:dyDescent="0.3">
      <c r="G5057" s="459"/>
      <c r="H5057" s="459">
        <v>5050</v>
      </c>
      <c r="I5057" s="444">
        <f t="shared" ca="1" si="180"/>
        <v>-301551163626411.19</v>
      </c>
      <c r="J5057" s="444">
        <f t="array" ref="J5057">IFERROR(INDEX('Retirement Calculator'!K:K,MATCH('Lorri 401b'!N5057,'Retirement Calculator'!A:A,0),0),0)</f>
        <v>0</v>
      </c>
      <c r="K5057" s="444">
        <f t="shared" ca="1" si="178"/>
        <v>-1256463181776.7134</v>
      </c>
      <c r="L5057" s="444">
        <f t="shared" ca="1" si="179"/>
        <v>-302807626808187.88</v>
      </c>
      <c r="M5057" s="460">
        <f t="shared" si="181"/>
        <v>0.05</v>
      </c>
      <c r="N5057" s="464">
        <f t="shared" si="182"/>
        <v>204963</v>
      </c>
    </row>
    <row r="5058" spans="7:14" ht="11.25" customHeight="1" x14ac:dyDescent="0.3">
      <c r="G5058" s="459"/>
      <c r="H5058" s="459">
        <v>5051</v>
      </c>
      <c r="I5058" s="444">
        <f t="shared" ca="1" si="180"/>
        <v>-302807626808187.88</v>
      </c>
      <c r="J5058" s="444">
        <f t="array" ref="J5058">IFERROR(INDEX('Retirement Calculator'!K:K,MATCH('Lorri 401b'!N5058,'Retirement Calculator'!A:A,0),0),0)</f>
        <v>0</v>
      </c>
      <c r="K5058" s="444">
        <f t="shared" ca="1" si="178"/>
        <v>-1261698445034.1162</v>
      </c>
      <c r="L5058" s="444">
        <f t="shared" ca="1" si="179"/>
        <v>-304069325253222</v>
      </c>
      <c r="M5058" s="460">
        <f t="shared" si="181"/>
        <v>0.05</v>
      </c>
      <c r="N5058" s="464">
        <f t="shared" si="182"/>
        <v>204994</v>
      </c>
    </row>
    <row r="5059" spans="7:14" ht="11.25" customHeight="1" x14ac:dyDescent="0.3">
      <c r="G5059" s="459"/>
      <c r="H5059" s="459">
        <v>5052</v>
      </c>
      <c r="I5059" s="444">
        <f t="shared" ca="1" si="180"/>
        <v>-304069325253222</v>
      </c>
      <c r="J5059" s="444">
        <f t="array" ref="J5059">IFERROR(INDEX('Retirement Calculator'!K:K,MATCH('Lorri 401b'!N5059,'Retirement Calculator'!A:A,0),0),0)</f>
        <v>0</v>
      </c>
      <c r="K5059" s="444">
        <f t="shared" ca="1" si="178"/>
        <v>-1266955521888.425</v>
      </c>
      <c r="L5059" s="444">
        <f t="shared" ca="1" si="179"/>
        <v>-305336280775110.44</v>
      </c>
      <c r="M5059" s="460">
        <f t="shared" si="181"/>
        <v>0.05</v>
      </c>
      <c r="N5059" s="464">
        <f t="shared" si="182"/>
        <v>205024</v>
      </c>
    </row>
    <row r="5060" spans="7:14" ht="11.25" customHeight="1" x14ac:dyDescent="0.3">
      <c r="G5060" s="459"/>
      <c r="H5060" s="459">
        <v>5053</v>
      </c>
      <c r="I5060" s="444">
        <f t="shared" ca="1" si="180"/>
        <v>-305336280775110.44</v>
      </c>
      <c r="J5060" s="444">
        <f t="array" ref="J5060">IFERROR(INDEX('Retirement Calculator'!K:K,MATCH('Lorri 401b'!N5060,'Retirement Calculator'!A:A,0),0),0)</f>
        <v>0</v>
      </c>
      <c r="K5060" s="444">
        <f t="shared" ca="1" si="178"/>
        <v>-1272234503229.6267</v>
      </c>
      <c r="L5060" s="444">
        <f t="shared" ca="1" si="179"/>
        <v>-306608515278340.06</v>
      </c>
      <c r="M5060" s="460">
        <f t="shared" si="181"/>
        <v>0.05</v>
      </c>
      <c r="N5060" s="464">
        <f t="shared" si="182"/>
        <v>205055</v>
      </c>
    </row>
    <row r="5061" spans="7:14" ht="11.25" customHeight="1" x14ac:dyDescent="0.3">
      <c r="G5061" s="459"/>
      <c r="H5061" s="459">
        <v>5054</v>
      </c>
      <c r="I5061" s="444">
        <f t="shared" ca="1" si="180"/>
        <v>-306608515278340.06</v>
      </c>
      <c r="J5061" s="444">
        <f t="array" ref="J5061">IFERROR(INDEX('Retirement Calculator'!K:K,MATCH('Lorri 401b'!N5061,'Retirement Calculator'!A:A,0),0),0)</f>
        <v>0</v>
      </c>
      <c r="K5061" s="444">
        <f t="shared" ca="1" si="178"/>
        <v>-1277535480326.417</v>
      </c>
      <c r="L5061" s="444">
        <f t="shared" ca="1" si="179"/>
        <v>-307886050758666.5</v>
      </c>
      <c r="M5061" s="460">
        <f t="shared" si="181"/>
        <v>0.05</v>
      </c>
      <c r="N5061" s="464">
        <f t="shared" si="182"/>
        <v>205085</v>
      </c>
    </row>
    <row r="5062" spans="7:14" ht="11.25" customHeight="1" x14ac:dyDescent="0.3">
      <c r="G5062" s="459"/>
      <c r="H5062" s="459">
        <v>5055</v>
      </c>
      <c r="I5062" s="444">
        <f t="shared" ca="1" si="180"/>
        <v>-307886050758666.5</v>
      </c>
      <c r="J5062" s="444">
        <f t="array" ref="J5062">IFERROR(INDEX('Retirement Calculator'!K:K,MATCH('Lorri 401b'!N5062,'Retirement Calculator'!A:A,0),0),0)</f>
        <v>0</v>
      </c>
      <c r="K5062" s="444">
        <f t="shared" ca="1" si="178"/>
        <v>-1282858544827.7771</v>
      </c>
      <c r="L5062" s="444">
        <f t="shared" ca="1" si="179"/>
        <v>-309168909303494.25</v>
      </c>
      <c r="M5062" s="460">
        <f t="shared" si="181"/>
        <v>0.05</v>
      </c>
      <c r="N5062" s="464">
        <f t="shared" si="182"/>
        <v>205116</v>
      </c>
    </row>
    <row r="5063" spans="7:14" ht="11.25" customHeight="1" x14ac:dyDescent="0.3">
      <c r="G5063" s="459"/>
      <c r="H5063" s="459">
        <v>5056</v>
      </c>
      <c r="I5063" s="444">
        <f t="shared" ca="1" si="180"/>
        <v>-309168909303494.25</v>
      </c>
      <c r="J5063" s="444">
        <f t="array" ref="J5063">IFERROR(INDEX('Retirement Calculator'!K:K,MATCH('Lorri 401b'!N5063,'Retirement Calculator'!A:A,0),0),0)</f>
        <v>0</v>
      </c>
      <c r="K5063" s="444">
        <f t="shared" ca="1" si="178"/>
        <v>-1288203788764.5593</v>
      </c>
      <c r="L5063" s="444">
        <f t="shared" ca="1" si="179"/>
        <v>-310457113092258.81</v>
      </c>
      <c r="M5063" s="460">
        <f t="shared" si="181"/>
        <v>0.05</v>
      </c>
      <c r="N5063" s="464">
        <f t="shared" si="182"/>
        <v>205147</v>
      </c>
    </row>
    <row r="5064" spans="7:14" ht="11.25" customHeight="1" x14ac:dyDescent="0.3">
      <c r="G5064" s="459"/>
      <c r="H5064" s="459">
        <v>5057</v>
      </c>
      <c r="I5064" s="444">
        <f t="shared" ca="1" si="180"/>
        <v>-310457113092258.81</v>
      </c>
      <c r="J5064" s="444">
        <f t="array" ref="J5064">IFERROR(INDEX('Retirement Calculator'!K:K,MATCH('Lorri 401b'!N5064,'Retirement Calculator'!A:A,0),0),0)</f>
        <v>0</v>
      </c>
      <c r="K5064" s="444">
        <f t="shared" ca="1" si="178"/>
        <v>-1293571304551.0784</v>
      </c>
      <c r="L5064" s="444">
        <f t="shared" ca="1" si="179"/>
        <v>-311750684396809.88</v>
      </c>
      <c r="M5064" s="460">
        <f t="shared" si="181"/>
        <v>0.05</v>
      </c>
      <c r="N5064" s="464">
        <f t="shared" si="182"/>
        <v>205177</v>
      </c>
    </row>
    <row r="5065" spans="7:14" ht="11.25" customHeight="1" x14ac:dyDescent="0.3">
      <c r="G5065" s="459"/>
      <c r="H5065" s="459">
        <v>5058</v>
      </c>
      <c r="I5065" s="444">
        <f t="shared" ca="1" si="180"/>
        <v>-311750684396809.88</v>
      </c>
      <c r="J5065" s="444">
        <f t="array" ref="J5065">IFERROR(INDEX('Retirement Calculator'!K:K,MATCH('Lorri 401b'!N5065,'Retirement Calculator'!A:A,0),0),0)</f>
        <v>0</v>
      </c>
      <c r="K5065" s="444">
        <f t="shared" ca="1" si="178"/>
        <v>-1298961184986.7078</v>
      </c>
      <c r="L5065" s="444">
        <f t="shared" ca="1" si="179"/>
        <v>-313049645581796.56</v>
      </c>
      <c r="M5065" s="460">
        <f t="shared" si="181"/>
        <v>0.05</v>
      </c>
      <c r="N5065" s="464">
        <f t="shared" si="182"/>
        <v>205208</v>
      </c>
    </row>
    <row r="5066" spans="7:14" ht="11.25" customHeight="1" x14ac:dyDescent="0.3">
      <c r="G5066" s="459"/>
      <c r="H5066" s="459">
        <v>5059</v>
      </c>
      <c r="I5066" s="444">
        <f t="shared" ca="1" si="180"/>
        <v>-313049645581796.56</v>
      </c>
      <c r="J5066" s="444">
        <f t="array" ref="J5066">IFERROR(INDEX('Retirement Calculator'!K:K,MATCH('Lorri 401b'!N5066,'Retirement Calculator'!A:A,0),0),0)</f>
        <v>0</v>
      </c>
      <c r="K5066" s="444">
        <f t="shared" ca="1" si="178"/>
        <v>-1304373523257.4856</v>
      </c>
      <c r="L5066" s="444">
        <f t="shared" ca="1" si="179"/>
        <v>-314354019105054.06</v>
      </c>
      <c r="M5066" s="460">
        <f t="shared" si="181"/>
        <v>0.05</v>
      </c>
      <c r="N5066" s="464">
        <f t="shared" si="182"/>
        <v>205238</v>
      </c>
    </row>
    <row r="5067" spans="7:14" ht="11.25" customHeight="1" x14ac:dyDescent="0.3">
      <c r="G5067" s="459"/>
      <c r="H5067" s="459">
        <v>5060</v>
      </c>
      <c r="I5067" s="444">
        <f t="shared" ca="1" si="180"/>
        <v>-314354019105054.06</v>
      </c>
      <c r="J5067" s="444">
        <f t="array" ref="J5067">IFERROR(INDEX('Retirement Calculator'!K:K,MATCH('Lorri 401b'!N5067,'Retirement Calculator'!A:A,0),0),0)</f>
        <v>0</v>
      </c>
      <c r="K5067" s="444">
        <f t="shared" ca="1" si="178"/>
        <v>-1309808412937.7253</v>
      </c>
      <c r="L5067" s="444">
        <f t="shared" ca="1" si="179"/>
        <v>-315663827517991.81</v>
      </c>
      <c r="M5067" s="460">
        <f t="shared" si="181"/>
        <v>0.05</v>
      </c>
      <c r="N5067" s="464">
        <f t="shared" si="182"/>
        <v>205269</v>
      </c>
    </row>
    <row r="5068" spans="7:14" ht="11.25" customHeight="1" x14ac:dyDescent="0.3">
      <c r="G5068" s="459"/>
      <c r="H5068" s="459">
        <v>5061</v>
      </c>
      <c r="I5068" s="444">
        <f t="shared" ca="1" si="180"/>
        <v>-315663827517991.81</v>
      </c>
      <c r="J5068" s="444">
        <f t="array" ref="J5068">IFERROR(INDEX('Retirement Calculator'!K:K,MATCH('Lorri 401b'!N5068,'Retirement Calculator'!A:A,0),0),0)</f>
        <v>0</v>
      </c>
      <c r="K5068" s="444">
        <f t="shared" ca="1" si="178"/>
        <v>-1315265947991.6326</v>
      </c>
      <c r="L5068" s="444">
        <f t="shared" ca="1" si="179"/>
        <v>-316979093465983.44</v>
      </c>
      <c r="M5068" s="460">
        <f t="shared" si="181"/>
        <v>0.05</v>
      </c>
      <c r="N5068" s="464">
        <f t="shared" si="182"/>
        <v>205300</v>
      </c>
    </row>
    <row r="5069" spans="7:14" ht="11.25" customHeight="1" x14ac:dyDescent="0.3">
      <c r="G5069" s="459"/>
      <c r="H5069" s="459">
        <v>5062</v>
      </c>
      <c r="I5069" s="444">
        <f t="shared" ca="1" si="180"/>
        <v>-316979093465983.44</v>
      </c>
      <c r="J5069" s="444">
        <f t="array" ref="J5069">IFERROR(INDEX('Retirement Calculator'!K:K,MATCH('Lorri 401b'!N5069,'Retirement Calculator'!A:A,0),0),0)</f>
        <v>0</v>
      </c>
      <c r="K5069" s="444">
        <f t="shared" ca="1" si="178"/>
        <v>-1320746222774.9309</v>
      </c>
      <c r="L5069" s="444">
        <f t="shared" ca="1" si="179"/>
        <v>-318299839688758.38</v>
      </c>
      <c r="M5069" s="460">
        <f t="shared" si="181"/>
        <v>0.05</v>
      </c>
      <c r="N5069" s="464">
        <f t="shared" si="182"/>
        <v>205328</v>
      </c>
    </row>
    <row r="5070" spans="7:14" ht="11.25" customHeight="1" x14ac:dyDescent="0.3">
      <c r="G5070" s="459"/>
      <c r="H5070" s="459">
        <v>5063</v>
      </c>
      <c r="I5070" s="444">
        <f t="shared" ca="1" si="180"/>
        <v>-318299839688758.38</v>
      </c>
      <c r="J5070" s="444">
        <f t="array" ref="J5070">IFERROR(INDEX('Retirement Calculator'!K:K,MATCH('Lorri 401b'!N5070,'Retirement Calculator'!A:A,0),0),0)</f>
        <v>0</v>
      </c>
      <c r="K5070" s="444">
        <f t="shared" ca="1" si="178"/>
        <v>-1326249332036.4932</v>
      </c>
      <c r="L5070" s="444">
        <f t="shared" ca="1" si="179"/>
        <v>-319626089020794.88</v>
      </c>
      <c r="M5070" s="460">
        <f t="shared" si="181"/>
        <v>0.05</v>
      </c>
      <c r="N5070" s="464">
        <f t="shared" si="182"/>
        <v>205359</v>
      </c>
    </row>
    <row r="5071" spans="7:14" ht="11.25" customHeight="1" x14ac:dyDescent="0.3">
      <c r="G5071" s="459"/>
      <c r="H5071" s="459">
        <v>5064</v>
      </c>
      <c r="I5071" s="444">
        <f t="shared" ca="1" si="180"/>
        <v>-319626089020794.88</v>
      </c>
      <c r="J5071" s="444">
        <f t="array" ref="J5071">IFERROR(INDEX('Retirement Calculator'!K:K,MATCH('Lorri 401b'!N5071,'Retirement Calculator'!A:A,0),0),0)</f>
        <v>0</v>
      </c>
      <c r="K5071" s="444">
        <f t="shared" ca="1" si="178"/>
        <v>-1331775370919.9785</v>
      </c>
      <c r="L5071" s="444">
        <f t="shared" ca="1" si="179"/>
        <v>-320957864391714.88</v>
      </c>
      <c r="M5071" s="460">
        <f t="shared" si="181"/>
        <v>0.05</v>
      </c>
      <c r="N5071" s="464">
        <f t="shared" si="182"/>
        <v>205389</v>
      </c>
    </row>
    <row r="5072" spans="7:14" ht="11.25" customHeight="1" x14ac:dyDescent="0.3">
      <c r="G5072" s="459"/>
      <c r="H5072" s="459">
        <v>5065</v>
      </c>
      <c r="I5072" s="444">
        <f t="shared" ca="1" si="180"/>
        <v>-320957864391714.88</v>
      </c>
      <c r="J5072" s="444">
        <f t="array" ref="J5072">IFERROR(INDEX('Retirement Calculator'!K:K,MATCH('Lorri 401b'!N5072,'Retirement Calculator'!A:A,0),0),0)</f>
        <v>0</v>
      </c>
      <c r="K5072" s="444">
        <f t="shared" ca="1" si="178"/>
        <v>-1337324434965.4785</v>
      </c>
      <c r="L5072" s="444">
        <f t="shared" ca="1" si="179"/>
        <v>-322295188826680.38</v>
      </c>
      <c r="M5072" s="460">
        <f t="shared" si="181"/>
        <v>0.05</v>
      </c>
      <c r="N5072" s="464">
        <f t="shared" si="182"/>
        <v>205420</v>
      </c>
    </row>
    <row r="5073" spans="7:14" ht="11.25" customHeight="1" x14ac:dyDescent="0.3">
      <c r="G5073" s="459"/>
      <c r="H5073" s="459">
        <v>5066</v>
      </c>
      <c r="I5073" s="444">
        <f t="shared" ca="1" si="180"/>
        <v>-322295188826680.38</v>
      </c>
      <c r="J5073" s="444">
        <f t="array" ref="J5073">IFERROR(INDEX('Retirement Calculator'!K:K,MATCH('Lorri 401b'!N5073,'Retirement Calculator'!A:A,0),0),0)</f>
        <v>0</v>
      </c>
      <c r="K5073" s="444">
        <f t="shared" ca="1" si="178"/>
        <v>-1342896620111.1682</v>
      </c>
      <c r="L5073" s="444">
        <f t="shared" ca="1" si="179"/>
        <v>-323638085446791.56</v>
      </c>
      <c r="M5073" s="460">
        <f t="shared" si="181"/>
        <v>0.05</v>
      </c>
      <c r="N5073" s="464">
        <f t="shared" si="182"/>
        <v>205450</v>
      </c>
    </row>
    <row r="5074" spans="7:14" ht="11.25" customHeight="1" x14ac:dyDescent="0.3">
      <c r="G5074" s="459"/>
      <c r="H5074" s="459">
        <v>5067</v>
      </c>
      <c r="I5074" s="444">
        <f t="shared" ca="1" si="180"/>
        <v>-323638085446791.56</v>
      </c>
      <c r="J5074" s="444">
        <f t="array" ref="J5074">IFERROR(INDEX('Retirement Calculator'!K:K,MATCH('Lorri 401b'!N5074,'Retirement Calculator'!A:A,0),0),0)</f>
        <v>0</v>
      </c>
      <c r="K5074" s="444">
        <f t="shared" ca="1" si="178"/>
        <v>-1348492022694.9648</v>
      </c>
      <c r="L5074" s="444">
        <f t="shared" ca="1" si="179"/>
        <v>-324986577469486.5</v>
      </c>
      <c r="M5074" s="460">
        <f t="shared" si="181"/>
        <v>0.05</v>
      </c>
      <c r="N5074" s="464">
        <f t="shared" si="182"/>
        <v>205481</v>
      </c>
    </row>
    <row r="5075" spans="7:14" ht="11.25" customHeight="1" x14ac:dyDescent="0.3">
      <c r="G5075" s="459"/>
      <c r="H5075" s="459">
        <v>5068</v>
      </c>
      <c r="I5075" s="444">
        <f t="shared" ca="1" si="180"/>
        <v>-324986577469486.5</v>
      </c>
      <c r="J5075" s="444">
        <f t="array" ref="J5075">IFERROR(INDEX('Retirement Calculator'!K:K,MATCH('Lorri 401b'!N5075,'Retirement Calculator'!A:A,0),0),0)</f>
        <v>0</v>
      </c>
      <c r="K5075" s="444">
        <f t="shared" ca="1" si="178"/>
        <v>-1354110739456.1938</v>
      </c>
      <c r="L5075" s="444">
        <f t="shared" ca="1" si="179"/>
        <v>-326340688208942.69</v>
      </c>
      <c r="M5075" s="460">
        <f t="shared" si="181"/>
        <v>0.05</v>
      </c>
      <c r="N5075" s="464">
        <f t="shared" si="182"/>
        <v>205512</v>
      </c>
    </row>
    <row r="5076" spans="7:14" ht="11.25" customHeight="1" x14ac:dyDescent="0.3">
      <c r="G5076" s="459"/>
      <c r="H5076" s="459">
        <v>5069</v>
      </c>
      <c r="I5076" s="444">
        <f t="shared" ca="1" si="180"/>
        <v>-326340688208942.69</v>
      </c>
      <c r="J5076" s="444">
        <f t="array" ref="J5076">IFERROR(INDEX('Retirement Calculator'!K:K,MATCH('Lorri 401b'!N5076,'Retirement Calculator'!A:A,0),0),0)</f>
        <v>0</v>
      </c>
      <c r="K5076" s="444">
        <f t="shared" ca="1" si="178"/>
        <v>-1359752867537.2612</v>
      </c>
      <c r="L5076" s="444">
        <f t="shared" ca="1" si="179"/>
        <v>-327700441076479.94</v>
      </c>
      <c r="M5076" s="460">
        <f t="shared" si="181"/>
        <v>0.05</v>
      </c>
      <c r="N5076" s="464">
        <f t="shared" si="182"/>
        <v>205542</v>
      </c>
    </row>
    <row r="5077" spans="7:14" ht="11.25" customHeight="1" x14ac:dyDescent="0.3">
      <c r="G5077" s="459"/>
      <c r="H5077" s="459">
        <v>5070</v>
      </c>
      <c r="I5077" s="444">
        <f t="shared" ca="1" si="180"/>
        <v>-327700441076479.94</v>
      </c>
      <c r="J5077" s="444">
        <f t="array" ref="J5077">IFERROR(INDEX('Retirement Calculator'!K:K,MATCH('Lorri 401b'!N5077,'Retirement Calculator'!A:A,0),0),0)</f>
        <v>0</v>
      </c>
      <c r="K5077" s="444">
        <f t="shared" ca="1" si="178"/>
        <v>-1365418504485.333</v>
      </c>
      <c r="L5077" s="444">
        <f t="shared" ca="1" si="179"/>
        <v>-329065859580965.25</v>
      </c>
      <c r="M5077" s="460">
        <f t="shared" si="181"/>
        <v>0.05</v>
      </c>
      <c r="N5077" s="464">
        <f t="shared" si="182"/>
        <v>205573</v>
      </c>
    </row>
    <row r="5078" spans="7:14" ht="11.25" customHeight="1" x14ac:dyDescent="0.3">
      <c r="G5078" s="459"/>
      <c r="H5078" s="459">
        <v>5071</v>
      </c>
      <c r="I5078" s="444">
        <f t="shared" ca="1" si="180"/>
        <v>-329065859580965.25</v>
      </c>
      <c r="J5078" s="444">
        <f t="array" ref="J5078">IFERROR(INDEX('Retirement Calculator'!K:K,MATCH('Lorri 401b'!N5078,'Retirement Calculator'!A:A,0),0),0)</f>
        <v>0</v>
      </c>
      <c r="K5078" s="444">
        <f t="shared" ca="1" si="178"/>
        <v>-1371107748254.022</v>
      </c>
      <c r="L5078" s="444">
        <f t="shared" ca="1" si="179"/>
        <v>-330436967329219.25</v>
      </c>
      <c r="M5078" s="460">
        <f t="shared" si="181"/>
        <v>0.05</v>
      </c>
      <c r="N5078" s="464">
        <f t="shared" si="182"/>
        <v>205603</v>
      </c>
    </row>
    <row r="5079" spans="7:14" ht="11.25" customHeight="1" x14ac:dyDescent="0.3">
      <c r="G5079" s="459"/>
      <c r="H5079" s="459">
        <v>5072</v>
      </c>
      <c r="I5079" s="444">
        <f t="shared" ca="1" si="180"/>
        <v>-330436967329219.25</v>
      </c>
      <c r="J5079" s="444">
        <f t="array" ref="J5079">IFERROR(INDEX('Retirement Calculator'!K:K,MATCH('Lorri 401b'!N5079,'Retirement Calculator'!A:A,0),0),0)</f>
        <v>0</v>
      </c>
      <c r="K5079" s="444">
        <f t="shared" ca="1" si="178"/>
        <v>-1376820697205.0801</v>
      </c>
      <c r="L5079" s="444">
        <f t="shared" ca="1" si="179"/>
        <v>-331813788026424.31</v>
      </c>
      <c r="M5079" s="460">
        <f t="shared" si="181"/>
        <v>0.05</v>
      </c>
      <c r="N5079" s="464">
        <f t="shared" si="182"/>
        <v>205634</v>
      </c>
    </row>
    <row r="5080" spans="7:14" ht="11.25" customHeight="1" x14ac:dyDescent="0.3">
      <c r="G5080" s="459"/>
      <c r="H5080" s="459">
        <v>5073</v>
      </c>
      <c r="I5080" s="444">
        <f t="shared" ca="1" si="180"/>
        <v>-331813788026424.31</v>
      </c>
      <c r="J5080" s="444">
        <f t="array" ref="J5080">IFERROR(INDEX('Retirement Calculator'!K:K,MATCH('Lorri 401b'!N5080,'Retirement Calculator'!A:A,0),0),0)</f>
        <v>0</v>
      </c>
      <c r="K5080" s="444">
        <f t="shared" ca="1" si="178"/>
        <v>-1382557450110.1013</v>
      </c>
      <c r="L5080" s="444">
        <f t="shared" ca="1" si="179"/>
        <v>-333196345476534.44</v>
      </c>
      <c r="M5080" s="460">
        <f t="shared" si="181"/>
        <v>0.05</v>
      </c>
      <c r="N5080" s="464">
        <f t="shared" si="182"/>
        <v>205665</v>
      </c>
    </row>
    <row r="5081" spans="7:14" ht="11.25" customHeight="1" x14ac:dyDescent="0.3">
      <c r="G5081" s="459"/>
      <c r="H5081" s="459">
        <v>5074</v>
      </c>
      <c r="I5081" s="444">
        <f t="shared" ca="1" si="180"/>
        <v>-333196345476534.44</v>
      </c>
      <c r="J5081" s="444">
        <f t="array" ref="J5081">IFERROR(INDEX('Retirement Calculator'!K:K,MATCH('Lorri 401b'!N5081,'Retirement Calculator'!A:A,0),0),0)</f>
        <v>0</v>
      </c>
      <c r="K5081" s="444">
        <f t="shared" ca="1" si="178"/>
        <v>-1388318106152.2268</v>
      </c>
      <c r="L5081" s="444">
        <f t="shared" ca="1" si="179"/>
        <v>-334584663582686.69</v>
      </c>
      <c r="M5081" s="460">
        <f t="shared" si="181"/>
        <v>0.05</v>
      </c>
      <c r="N5081" s="464">
        <f t="shared" si="182"/>
        <v>205693</v>
      </c>
    </row>
    <row r="5082" spans="7:14" ht="11.25" customHeight="1" x14ac:dyDescent="0.3">
      <c r="G5082" s="459"/>
      <c r="H5082" s="459">
        <v>5075</v>
      </c>
      <c r="I5082" s="444">
        <f t="shared" ca="1" si="180"/>
        <v>-334584663582686.69</v>
      </c>
      <c r="J5082" s="444">
        <f t="array" ref="J5082">IFERROR(INDEX('Retirement Calculator'!K:K,MATCH('Lorri 401b'!N5082,'Retirement Calculator'!A:A,0),0),0)</f>
        <v>0</v>
      </c>
      <c r="K5082" s="444">
        <f t="shared" ca="1" si="178"/>
        <v>-1394102764927.8611</v>
      </c>
      <c r="L5082" s="444">
        <f t="shared" ca="1" si="179"/>
        <v>-335978766347614.56</v>
      </c>
      <c r="M5082" s="460">
        <f t="shared" si="181"/>
        <v>0.05</v>
      </c>
      <c r="N5082" s="464">
        <f t="shared" si="182"/>
        <v>205724</v>
      </c>
    </row>
    <row r="5083" spans="7:14" ht="11.25" customHeight="1" x14ac:dyDescent="0.3">
      <c r="G5083" s="459"/>
      <c r="H5083" s="459">
        <v>5076</v>
      </c>
      <c r="I5083" s="444">
        <f t="shared" ca="1" si="180"/>
        <v>-335978766347614.56</v>
      </c>
      <c r="J5083" s="444">
        <f t="array" ref="J5083">IFERROR(INDEX('Retirement Calculator'!K:K,MATCH('Lorri 401b'!N5083,'Retirement Calculator'!A:A,0),0),0)</f>
        <v>0</v>
      </c>
      <c r="K5083" s="444">
        <f t="shared" ca="1" si="178"/>
        <v>-1399911526448.394</v>
      </c>
      <c r="L5083" s="444">
        <f t="shared" ca="1" si="179"/>
        <v>-337378677874062.94</v>
      </c>
      <c r="M5083" s="460">
        <f t="shared" si="181"/>
        <v>0.05</v>
      </c>
      <c r="N5083" s="464">
        <f t="shared" si="182"/>
        <v>205754</v>
      </c>
    </row>
    <row r="5084" spans="7:14" ht="11.25" customHeight="1" x14ac:dyDescent="0.3">
      <c r="G5084" s="459"/>
      <c r="H5084" s="459">
        <v>5077</v>
      </c>
      <c r="I5084" s="444">
        <f t="shared" ca="1" si="180"/>
        <v>-337378677874062.94</v>
      </c>
      <c r="J5084" s="444">
        <f t="array" ref="J5084">IFERROR(INDEX('Retirement Calculator'!K:K,MATCH('Lorri 401b'!N5084,'Retirement Calculator'!A:A,0),0),0)</f>
        <v>0</v>
      </c>
      <c r="K5084" s="444">
        <f t="shared" ca="1" si="178"/>
        <v>-1405744491141.929</v>
      </c>
      <c r="L5084" s="444">
        <f t="shared" ca="1" si="179"/>
        <v>-338784422365204.88</v>
      </c>
      <c r="M5084" s="460">
        <f t="shared" si="181"/>
        <v>0.05</v>
      </c>
      <c r="N5084" s="464">
        <f t="shared" si="182"/>
        <v>205785</v>
      </c>
    </row>
    <row r="5085" spans="7:14" ht="11.25" customHeight="1" x14ac:dyDescent="0.3">
      <c r="G5085" s="459"/>
      <c r="H5085" s="459">
        <v>5078</v>
      </c>
      <c r="I5085" s="444">
        <f t="shared" ca="1" si="180"/>
        <v>-338784422365204.88</v>
      </c>
      <c r="J5085" s="444">
        <f t="array" ref="J5085">IFERROR(INDEX('Retirement Calculator'!K:K,MATCH('Lorri 401b'!N5085,'Retirement Calculator'!A:A,0),0),0)</f>
        <v>0</v>
      </c>
      <c r="K5085" s="444">
        <f t="shared" ca="1" si="178"/>
        <v>-1411601759855.0203</v>
      </c>
      <c r="L5085" s="444">
        <f t="shared" ca="1" si="179"/>
        <v>-340196024125059.88</v>
      </c>
      <c r="M5085" s="460">
        <f t="shared" si="181"/>
        <v>0.05</v>
      </c>
      <c r="N5085" s="464">
        <f t="shared" si="182"/>
        <v>205815</v>
      </c>
    </row>
    <row r="5086" spans="7:14" ht="11.25" customHeight="1" x14ac:dyDescent="0.3">
      <c r="G5086" s="459"/>
      <c r="H5086" s="459">
        <v>5079</v>
      </c>
      <c r="I5086" s="444">
        <f t="shared" ca="1" si="180"/>
        <v>-340196024125059.88</v>
      </c>
      <c r="J5086" s="444">
        <f t="array" ref="J5086">IFERROR(INDEX('Retirement Calculator'!K:K,MATCH('Lorri 401b'!N5086,'Retirement Calculator'!A:A,0),0),0)</f>
        <v>0</v>
      </c>
      <c r="K5086" s="444">
        <f t="shared" ca="1" si="178"/>
        <v>-1417483433854.416</v>
      </c>
      <c r="L5086" s="444">
        <f t="shared" ca="1" si="179"/>
        <v>-341613507558914.31</v>
      </c>
      <c r="M5086" s="460">
        <f t="shared" si="181"/>
        <v>0.05</v>
      </c>
      <c r="N5086" s="464">
        <f t="shared" si="182"/>
        <v>205846</v>
      </c>
    </row>
    <row r="5087" spans="7:14" ht="11.25" customHeight="1" x14ac:dyDescent="0.3">
      <c r="G5087" s="459"/>
      <c r="H5087" s="459">
        <v>5080</v>
      </c>
      <c r="I5087" s="444">
        <f t="shared" ca="1" si="180"/>
        <v>-341613507558914.31</v>
      </c>
      <c r="J5087" s="444">
        <f t="array" ref="J5087">IFERROR(INDEX('Retirement Calculator'!K:K,MATCH('Lorri 401b'!N5087,'Retirement Calculator'!A:A,0),0),0)</f>
        <v>0</v>
      </c>
      <c r="K5087" s="444">
        <f t="shared" ca="1" si="178"/>
        <v>-1423389614828.8096</v>
      </c>
      <c r="L5087" s="444">
        <f t="shared" ca="1" si="179"/>
        <v>-343036897173743.13</v>
      </c>
      <c r="M5087" s="460">
        <f t="shared" si="181"/>
        <v>0.05</v>
      </c>
      <c r="N5087" s="464">
        <f t="shared" si="182"/>
        <v>205877</v>
      </c>
    </row>
    <row r="5088" spans="7:14" ht="11.25" customHeight="1" x14ac:dyDescent="0.3">
      <c r="G5088" s="459"/>
      <c r="H5088" s="459">
        <v>5081</v>
      </c>
      <c r="I5088" s="444">
        <f t="shared" ca="1" si="180"/>
        <v>-343036897173743.13</v>
      </c>
      <c r="J5088" s="444">
        <f t="array" ref="J5088">IFERROR(INDEX('Retirement Calculator'!K:K,MATCH('Lorri 401b'!N5088,'Retirement Calculator'!A:A,0),0),0)</f>
        <v>0</v>
      </c>
      <c r="K5088" s="444">
        <f t="shared" ca="1" si="178"/>
        <v>-1429320404890.5964</v>
      </c>
      <c r="L5088" s="444">
        <f t="shared" ca="1" si="179"/>
        <v>-344466217578633.75</v>
      </c>
      <c r="M5088" s="460">
        <f t="shared" si="181"/>
        <v>0.05</v>
      </c>
      <c r="N5088" s="464">
        <f t="shared" si="182"/>
        <v>205907</v>
      </c>
    </row>
    <row r="5089" spans="7:14" ht="11.25" customHeight="1" x14ac:dyDescent="0.3">
      <c r="G5089" s="459"/>
      <c r="H5089" s="459">
        <v>5082</v>
      </c>
      <c r="I5089" s="444">
        <f t="shared" ca="1" si="180"/>
        <v>-344466217578633.75</v>
      </c>
      <c r="J5089" s="444">
        <f t="array" ref="J5089">IFERROR(INDEX('Retirement Calculator'!K:K,MATCH('Lorri 401b'!N5089,'Retirement Calculator'!A:A,0),0),0)</f>
        <v>0</v>
      </c>
      <c r="K5089" s="444">
        <f t="shared" ca="1" si="178"/>
        <v>-1435275906577.6406</v>
      </c>
      <c r="L5089" s="444">
        <f t="shared" ca="1" si="179"/>
        <v>-345901493485211.38</v>
      </c>
      <c r="M5089" s="460">
        <f t="shared" si="181"/>
        <v>0.05</v>
      </c>
      <c r="N5089" s="464">
        <f t="shared" si="182"/>
        <v>205938</v>
      </c>
    </row>
    <row r="5090" spans="7:14" ht="11.25" customHeight="1" x14ac:dyDescent="0.3">
      <c r="G5090" s="459"/>
      <c r="H5090" s="459">
        <v>5083</v>
      </c>
      <c r="I5090" s="444">
        <f t="shared" ca="1" si="180"/>
        <v>-345901493485211.38</v>
      </c>
      <c r="J5090" s="444">
        <f t="array" ref="J5090">IFERROR(INDEX('Retirement Calculator'!K:K,MATCH('Lorri 401b'!N5090,'Retirement Calculator'!A:A,0),0),0)</f>
        <v>0</v>
      </c>
      <c r="K5090" s="444">
        <f t="shared" ca="1" si="178"/>
        <v>-1441256222855.0474</v>
      </c>
      <c r="L5090" s="444">
        <f t="shared" ca="1" si="179"/>
        <v>-347342749708066.44</v>
      </c>
      <c r="M5090" s="460">
        <f t="shared" si="181"/>
        <v>0.05</v>
      </c>
      <c r="N5090" s="464">
        <f t="shared" si="182"/>
        <v>205968</v>
      </c>
    </row>
    <row r="5091" spans="7:14" ht="11.25" customHeight="1" x14ac:dyDescent="0.3">
      <c r="G5091" s="459"/>
      <c r="H5091" s="459">
        <v>5084</v>
      </c>
      <c r="I5091" s="444">
        <f t="shared" ca="1" si="180"/>
        <v>-347342749708066.44</v>
      </c>
      <c r="J5091" s="444">
        <f t="array" ref="J5091">IFERROR(INDEX('Retirement Calculator'!K:K,MATCH('Lorri 401b'!N5091,'Retirement Calculator'!A:A,0),0),0)</f>
        <v>0</v>
      </c>
      <c r="K5091" s="444">
        <f t="shared" ca="1" si="178"/>
        <v>-1447261457116.9434</v>
      </c>
      <c r="L5091" s="444">
        <f t="shared" ca="1" si="179"/>
        <v>-348790011165183.38</v>
      </c>
      <c r="M5091" s="460">
        <f t="shared" si="181"/>
        <v>0.05</v>
      </c>
      <c r="N5091" s="464">
        <f t="shared" si="182"/>
        <v>205999</v>
      </c>
    </row>
    <row r="5092" spans="7:14" ht="11.25" customHeight="1" x14ac:dyDescent="0.3">
      <c r="G5092" s="459"/>
      <c r="H5092" s="459">
        <v>5085</v>
      </c>
      <c r="I5092" s="444">
        <f t="shared" ca="1" si="180"/>
        <v>-348790011165183.38</v>
      </c>
      <c r="J5092" s="444">
        <f t="array" ref="J5092">IFERROR(INDEX('Retirement Calculator'!K:K,MATCH('Lorri 401b'!N5092,'Retirement Calculator'!A:A,0),0),0)</f>
        <v>0</v>
      </c>
      <c r="K5092" s="444">
        <f t="shared" ca="1" si="178"/>
        <v>-1453291713188.2642</v>
      </c>
      <c r="L5092" s="444">
        <f t="shared" ca="1" si="179"/>
        <v>-350243302878371.63</v>
      </c>
      <c r="M5092" s="460">
        <f t="shared" si="181"/>
        <v>0.05</v>
      </c>
      <c r="N5092" s="464">
        <f t="shared" si="182"/>
        <v>206030</v>
      </c>
    </row>
    <row r="5093" spans="7:14" ht="11.25" customHeight="1" x14ac:dyDescent="0.3">
      <c r="G5093" s="459"/>
      <c r="H5093" s="459">
        <v>5086</v>
      </c>
      <c r="I5093" s="444">
        <f t="shared" ca="1" si="180"/>
        <v>-350243302878371.63</v>
      </c>
      <c r="J5093" s="444">
        <f t="array" ref="J5093">IFERROR(INDEX('Retirement Calculator'!K:K,MATCH('Lorri 401b'!N5093,'Retirement Calculator'!A:A,0),0),0)</f>
        <v>0</v>
      </c>
      <c r="K5093" s="444">
        <f t="shared" ca="1" si="178"/>
        <v>-1459347095326.5483</v>
      </c>
      <c r="L5093" s="444">
        <f t="shared" ca="1" si="179"/>
        <v>-351702649973698.19</v>
      </c>
      <c r="M5093" s="460">
        <f t="shared" si="181"/>
        <v>0.05</v>
      </c>
      <c r="N5093" s="464">
        <f t="shared" si="182"/>
        <v>206059</v>
      </c>
    </row>
    <row r="5094" spans="7:14" ht="11.25" customHeight="1" x14ac:dyDescent="0.3">
      <c r="G5094" s="459"/>
      <c r="H5094" s="459">
        <v>5087</v>
      </c>
      <c r="I5094" s="444">
        <f t="shared" ca="1" si="180"/>
        <v>-351702649973698.19</v>
      </c>
      <c r="J5094" s="444">
        <f t="array" ref="J5094">IFERROR(INDEX('Retirement Calculator'!K:K,MATCH('Lorri 401b'!N5094,'Retirement Calculator'!A:A,0),0),0)</f>
        <v>0</v>
      </c>
      <c r="K5094" s="444">
        <f t="shared" ca="1" si="178"/>
        <v>-1465427708223.7424</v>
      </c>
      <c r="L5094" s="444">
        <f t="shared" ca="1" si="179"/>
        <v>-353168077681921.94</v>
      </c>
      <c r="M5094" s="460">
        <f t="shared" si="181"/>
        <v>0.05</v>
      </c>
      <c r="N5094" s="464">
        <f t="shared" si="182"/>
        <v>206090</v>
      </c>
    </row>
    <row r="5095" spans="7:14" ht="11.25" customHeight="1" x14ac:dyDescent="0.3">
      <c r="G5095" s="459"/>
      <c r="H5095" s="459">
        <v>5088</v>
      </c>
      <c r="I5095" s="444">
        <f t="shared" ca="1" si="180"/>
        <v>-353168077681921.94</v>
      </c>
      <c r="J5095" s="444">
        <f t="array" ref="J5095">IFERROR(INDEX('Retirement Calculator'!K:K,MATCH('Lorri 401b'!N5095,'Retirement Calculator'!A:A,0),0),0)</f>
        <v>0</v>
      </c>
      <c r="K5095" s="444">
        <f t="shared" ca="1" si="178"/>
        <v>-1471533657008.0081</v>
      </c>
      <c r="L5095" s="444">
        <f t="shared" ca="1" si="179"/>
        <v>-354639611338929.94</v>
      </c>
      <c r="M5095" s="460">
        <f t="shared" si="181"/>
        <v>0.05</v>
      </c>
      <c r="N5095" s="464">
        <f t="shared" si="182"/>
        <v>206120</v>
      </c>
    </row>
    <row r="5096" spans="7:14" ht="11.25" customHeight="1" x14ac:dyDescent="0.3">
      <c r="G5096" s="459"/>
      <c r="H5096" s="459">
        <v>5089</v>
      </c>
      <c r="I5096" s="444">
        <f t="shared" ca="1" si="180"/>
        <v>-354639611338929.94</v>
      </c>
      <c r="J5096" s="444">
        <f t="array" ref="J5096">IFERROR(INDEX('Retirement Calculator'!K:K,MATCH('Lorri 401b'!N5096,'Retirement Calculator'!A:A,0),0),0)</f>
        <v>0</v>
      </c>
      <c r="K5096" s="444">
        <f t="shared" ca="1" si="178"/>
        <v>-1477665047245.5415</v>
      </c>
      <c r="L5096" s="444">
        <f t="shared" ca="1" si="179"/>
        <v>-356117276386175.5</v>
      </c>
      <c r="M5096" s="460">
        <f t="shared" si="181"/>
        <v>0.05</v>
      </c>
      <c r="N5096" s="464">
        <f t="shared" si="182"/>
        <v>206151</v>
      </c>
    </row>
    <row r="5097" spans="7:14" ht="11.25" customHeight="1" x14ac:dyDescent="0.3">
      <c r="G5097" s="459"/>
      <c r="H5097" s="459">
        <v>5090</v>
      </c>
      <c r="I5097" s="444">
        <f t="shared" ca="1" si="180"/>
        <v>-356117276386175.5</v>
      </c>
      <c r="J5097" s="444">
        <f t="array" ref="J5097">IFERROR(INDEX('Retirement Calculator'!K:K,MATCH('Lorri 401b'!N5097,'Retirement Calculator'!A:A,0),0),0)</f>
        <v>0</v>
      </c>
      <c r="K5097" s="444">
        <f t="shared" ca="1" si="178"/>
        <v>-1483821984942.3979</v>
      </c>
      <c r="L5097" s="444">
        <f t="shared" ca="1" si="179"/>
        <v>-357601098371117.88</v>
      </c>
      <c r="M5097" s="460">
        <f t="shared" si="181"/>
        <v>0.05</v>
      </c>
      <c r="N5097" s="464">
        <f t="shared" si="182"/>
        <v>206181</v>
      </c>
    </row>
    <row r="5098" spans="7:14" ht="11.25" customHeight="1" x14ac:dyDescent="0.3">
      <c r="G5098" s="459"/>
      <c r="H5098" s="459">
        <v>5091</v>
      </c>
      <c r="I5098" s="444">
        <f t="shared" ca="1" si="180"/>
        <v>-357601098371117.88</v>
      </c>
      <c r="J5098" s="444">
        <f t="array" ref="J5098">IFERROR(INDEX('Retirement Calculator'!K:K,MATCH('Lorri 401b'!N5098,'Retirement Calculator'!A:A,0),0),0)</f>
        <v>0</v>
      </c>
      <c r="K5098" s="444">
        <f t="shared" ca="1" si="178"/>
        <v>-1490004576546.3245</v>
      </c>
      <c r="L5098" s="444">
        <f t="shared" ca="1" si="179"/>
        <v>-359091102947664.19</v>
      </c>
      <c r="M5098" s="460">
        <f t="shared" si="181"/>
        <v>0.05</v>
      </c>
      <c r="N5098" s="464">
        <f t="shared" si="182"/>
        <v>206212</v>
      </c>
    </row>
    <row r="5099" spans="7:14" ht="11.25" customHeight="1" x14ac:dyDescent="0.3">
      <c r="G5099" s="459"/>
      <c r="H5099" s="459">
        <v>5092</v>
      </c>
      <c r="I5099" s="444">
        <f t="shared" ca="1" si="180"/>
        <v>-359091102947664.19</v>
      </c>
      <c r="J5099" s="444">
        <f t="array" ref="J5099">IFERROR(INDEX('Retirement Calculator'!K:K,MATCH('Lorri 401b'!N5099,'Retirement Calculator'!A:A,0),0),0)</f>
        <v>0</v>
      </c>
      <c r="K5099" s="444">
        <f t="shared" ca="1" si="178"/>
        <v>-1496212928948.6008</v>
      </c>
      <c r="L5099" s="444">
        <f t="shared" ca="1" si="179"/>
        <v>-360587315876612.81</v>
      </c>
      <c r="M5099" s="460">
        <f t="shared" si="181"/>
        <v>0.05</v>
      </c>
      <c r="N5099" s="464">
        <f t="shared" si="182"/>
        <v>206243</v>
      </c>
    </row>
    <row r="5100" spans="7:14" ht="11.25" customHeight="1" x14ac:dyDescent="0.3">
      <c r="G5100" s="459"/>
      <c r="H5100" s="459">
        <v>5093</v>
      </c>
      <c r="I5100" s="444">
        <f t="shared" ca="1" si="180"/>
        <v>-360587315876612.81</v>
      </c>
      <c r="J5100" s="444">
        <f t="array" ref="J5100">IFERROR(INDEX('Retirement Calculator'!K:K,MATCH('Lorri 401b'!N5100,'Retirement Calculator'!A:A,0),0),0)</f>
        <v>0</v>
      </c>
      <c r="K5100" s="444">
        <f t="shared" ca="1" si="178"/>
        <v>-1502447149485.8867</v>
      </c>
      <c r="L5100" s="444">
        <f t="shared" ca="1" si="179"/>
        <v>-362089763026098.69</v>
      </c>
      <c r="M5100" s="460">
        <f t="shared" si="181"/>
        <v>0.05</v>
      </c>
      <c r="N5100" s="464">
        <f t="shared" si="182"/>
        <v>206273</v>
      </c>
    </row>
    <row r="5101" spans="7:14" ht="11.25" customHeight="1" x14ac:dyDescent="0.3">
      <c r="G5101" s="459"/>
      <c r="H5101" s="459">
        <v>5094</v>
      </c>
      <c r="I5101" s="444">
        <f t="shared" ca="1" si="180"/>
        <v>-362089763026098.69</v>
      </c>
      <c r="J5101" s="444">
        <f t="array" ref="J5101">IFERROR(INDEX('Retirement Calculator'!K:K,MATCH('Lorri 401b'!N5101,'Retirement Calculator'!A:A,0),0),0)</f>
        <v>0</v>
      </c>
      <c r="K5101" s="444">
        <f t="shared" ca="1" si="178"/>
        <v>-1508707345942.0779</v>
      </c>
      <c r="L5101" s="444">
        <f t="shared" ca="1" si="179"/>
        <v>-363598470372040.75</v>
      </c>
      <c r="M5101" s="460">
        <f t="shared" si="181"/>
        <v>0.05</v>
      </c>
      <c r="N5101" s="464">
        <f t="shared" si="182"/>
        <v>206304</v>
      </c>
    </row>
    <row r="5102" spans="7:14" ht="11.25" customHeight="1" x14ac:dyDescent="0.3">
      <c r="G5102" s="459"/>
      <c r="H5102" s="459">
        <v>5095</v>
      </c>
      <c r="I5102" s="444">
        <f t="shared" ca="1" si="180"/>
        <v>-363598470372040.75</v>
      </c>
      <c r="J5102" s="444">
        <f t="array" ref="J5102">IFERROR(INDEX('Retirement Calculator'!K:K,MATCH('Lorri 401b'!N5102,'Retirement Calculator'!A:A,0),0),0)</f>
        <v>0</v>
      </c>
      <c r="K5102" s="444">
        <f t="shared" ca="1" si="178"/>
        <v>-1514993626550.1697</v>
      </c>
      <c r="L5102" s="444">
        <f t="shared" ca="1" si="179"/>
        <v>-365113463998590.94</v>
      </c>
      <c r="M5102" s="460">
        <f t="shared" si="181"/>
        <v>0.05</v>
      </c>
      <c r="N5102" s="464">
        <f t="shared" si="182"/>
        <v>206334</v>
      </c>
    </row>
    <row r="5103" spans="7:14" ht="11.25" customHeight="1" x14ac:dyDescent="0.3">
      <c r="G5103" s="459"/>
      <c r="H5103" s="459">
        <v>5096</v>
      </c>
      <c r="I5103" s="444">
        <f t="shared" ca="1" si="180"/>
        <v>-365113463998590.94</v>
      </c>
      <c r="J5103" s="444">
        <f t="array" ref="J5103">IFERROR(INDEX('Retirement Calculator'!K:K,MATCH('Lorri 401b'!N5103,'Retirement Calculator'!A:A,0),0),0)</f>
        <v>0</v>
      </c>
      <c r="K5103" s="444">
        <f t="shared" ca="1" si="178"/>
        <v>-1521306099994.1289</v>
      </c>
      <c r="L5103" s="444">
        <f t="shared" ca="1" si="179"/>
        <v>-366634770098585.06</v>
      </c>
      <c r="M5103" s="460">
        <f t="shared" si="181"/>
        <v>0.05</v>
      </c>
      <c r="N5103" s="464">
        <f t="shared" si="182"/>
        <v>206365</v>
      </c>
    </row>
    <row r="5104" spans="7:14" ht="11.25" customHeight="1" x14ac:dyDescent="0.3">
      <c r="G5104" s="459"/>
      <c r="H5104" s="459">
        <v>5097</v>
      </c>
      <c r="I5104" s="444">
        <f t="shared" ca="1" si="180"/>
        <v>-366634770098585.06</v>
      </c>
      <c r="J5104" s="444">
        <f t="array" ref="J5104">IFERROR(INDEX('Retirement Calculator'!K:K,MATCH('Lorri 401b'!N5104,'Retirement Calculator'!A:A,0),0),0)</f>
        <v>0</v>
      </c>
      <c r="K5104" s="444">
        <f t="shared" ca="1" si="178"/>
        <v>-1527644875410.771</v>
      </c>
      <c r="L5104" s="444">
        <f t="shared" ca="1" si="179"/>
        <v>-368162414973995.81</v>
      </c>
      <c r="M5104" s="460">
        <f t="shared" si="181"/>
        <v>0.05</v>
      </c>
      <c r="N5104" s="464">
        <f t="shared" si="182"/>
        <v>206396</v>
      </c>
    </row>
    <row r="5105" spans="7:14" ht="11.25" customHeight="1" x14ac:dyDescent="0.3">
      <c r="G5105" s="459"/>
      <c r="H5105" s="459">
        <v>5098</v>
      </c>
      <c r="I5105" s="444">
        <f t="shared" ca="1" si="180"/>
        <v>-368162414973995.81</v>
      </c>
      <c r="J5105" s="444">
        <f t="array" ref="J5105">IFERROR(INDEX('Retirement Calculator'!K:K,MATCH('Lorri 401b'!N5105,'Retirement Calculator'!A:A,0),0),0)</f>
        <v>0</v>
      </c>
      <c r="K5105" s="444">
        <f t="shared" ca="1" si="178"/>
        <v>-1534010062391.6492</v>
      </c>
      <c r="L5105" s="444">
        <f t="shared" ca="1" si="179"/>
        <v>-369696425036387.44</v>
      </c>
      <c r="M5105" s="460">
        <f t="shared" si="181"/>
        <v>0.05</v>
      </c>
      <c r="N5105" s="464">
        <f t="shared" si="182"/>
        <v>206424</v>
      </c>
    </row>
    <row r="5106" spans="7:14" ht="11.25" customHeight="1" x14ac:dyDescent="0.3">
      <c r="G5106" s="459"/>
      <c r="H5106" s="459">
        <v>5099</v>
      </c>
      <c r="I5106" s="444">
        <f t="shared" ca="1" si="180"/>
        <v>-369696425036387.44</v>
      </c>
      <c r="J5106" s="444">
        <f t="array" ref="J5106">IFERROR(INDEX('Retirement Calculator'!K:K,MATCH('Lorri 401b'!N5106,'Retirement Calculator'!A:A,0),0),0)</f>
        <v>0</v>
      </c>
      <c r="K5106" s="444">
        <f t="shared" ca="1" si="178"/>
        <v>-1540401770984.9478</v>
      </c>
      <c r="L5106" s="444">
        <f t="shared" ca="1" si="179"/>
        <v>-371236826807372.38</v>
      </c>
      <c r="M5106" s="460">
        <f t="shared" si="181"/>
        <v>0.05</v>
      </c>
      <c r="N5106" s="464">
        <f t="shared" si="182"/>
        <v>206455</v>
      </c>
    </row>
    <row r="5107" spans="7:14" ht="11.25" customHeight="1" x14ac:dyDescent="0.3">
      <c r="G5107" s="459"/>
      <c r="H5107" s="459">
        <v>5100</v>
      </c>
      <c r="I5107" s="444">
        <f t="shared" ca="1" si="180"/>
        <v>-371236826807372.38</v>
      </c>
      <c r="J5107" s="444">
        <f t="array" ref="J5107">IFERROR(INDEX('Retirement Calculator'!K:K,MATCH('Lorri 401b'!N5107,'Retirement Calculator'!A:A,0),0),0)</f>
        <v>0</v>
      </c>
      <c r="K5107" s="444">
        <f t="shared" ca="1" si="178"/>
        <v>-1546820111697.3848</v>
      </c>
      <c r="L5107" s="444">
        <f t="shared" ca="1" si="179"/>
        <v>-372783646919069.75</v>
      </c>
      <c r="M5107" s="460">
        <f t="shared" si="181"/>
        <v>0.05</v>
      </c>
      <c r="N5107" s="464">
        <f t="shared" si="182"/>
        <v>206485</v>
      </c>
    </row>
    <row r="5108" spans="7:14" ht="11.25" customHeight="1" x14ac:dyDescent="0.3">
      <c r="G5108" s="459"/>
      <c r="H5108" s="459">
        <v>5101</v>
      </c>
      <c r="I5108" s="444">
        <f t="shared" ca="1" si="180"/>
        <v>-372783646919069.75</v>
      </c>
      <c r="J5108" s="444">
        <f t="array" ref="J5108">IFERROR(INDEX('Retirement Calculator'!K:K,MATCH('Lorri 401b'!N5108,'Retirement Calculator'!A:A,0),0),0)</f>
        <v>0</v>
      </c>
      <c r="K5108" s="444">
        <f t="shared" ref="K5108:K5362" ca="1" si="183">IPMT(M5108/12,1,12,-I5108+J5108,,0)</f>
        <v>-1553265195496.124</v>
      </c>
      <c r="L5108" s="444">
        <f t="shared" ref="L5108:L5362" ca="1" si="184">I5108-J5108+K5108</f>
        <v>-374336912114565.88</v>
      </c>
      <c r="M5108" s="460">
        <f t="shared" si="181"/>
        <v>0.05</v>
      </c>
      <c r="N5108" s="464">
        <f t="shared" si="182"/>
        <v>206516</v>
      </c>
    </row>
    <row r="5109" spans="7:14" ht="11.25" customHeight="1" x14ac:dyDescent="0.3">
      <c r="G5109" s="459"/>
      <c r="H5109" s="459">
        <v>5102</v>
      </c>
      <c r="I5109" s="444">
        <f t="shared" ref="I5109:I5363" ca="1" si="185">L5108</f>
        <v>-374336912114565.88</v>
      </c>
      <c r="J5109" s="444">
        <f t="array" ref="J5109">IFERROR(INDEX('Retirement Calculator'!K:K,MATCH('Lorri 401b'!N5109,'Retirement Calculator'!A:A,0),0),0)</f>
        <v>0</v>
      </c>
      <c r="K5109" s="444">
        <f t="shared" ca="1" si="183"/>
        <v>-1559737133810.6912</v>
      </c>
      <c r="L5109" s="444">
        <f t="shared" ca="1" si="184"/>
        <v>-375896649248376.56</v>
      </c>
      <c r="M5109" s="460">
        <f t="shared" ref="M5109:M5363" si="186">M5108</f>
        <v>0.05</v>
      </c>
      <c r="N5109" s="464">
        <f t="shared" ref="N5109:N5363" si="187">EDATE(N5108,1)</f>
        <v>206546</v>
      </c>
    </row>
    <row r="5110" spans="7:14" ht="11.25" customHeight="1" x14ac:dyDescent="0.3">
      <c r="G5110" s="459"/>
      <c r="H5110" s="459">
        <v>5103</v>
      </c>
      <c r="I5110" s="444">
        <f t="shared" ca="1" si="185"/>
        <v>-375896649248376.56</v>
      </c>
      <c r="J5110" s="444">
        <f t="array" ref="J5110">IFERROR(INDEX('Retirement Calculator'!K:K,MATCH('Lorri 401b'!N5110,'Retirement Calculator'!A:A,0),0),0)</f>
        <v>0</v>
      </c>
      <c r="K5110" s="444">
        <f t="shared" ca="1" si="183"/>
        <v>-1566236038534.9023</v>
      </c>
      <c r="L5110" s="444">
        <f t="shared" ca="1" si="184"/>
        <v>-377462885286911.44</v>
      </c>
      <c r="M5110" s="460">
        <f t="shared" si="186"/>
        <v>0.05</v>
      </c>
      <c r="N5110" s="464">
        <f t="shared" si="187"/>
        <v>206577</v>
      </c>
    </row>
    <row r="5111" spans="7:14" ht="11.25" customHeight="1" x14ac:dyDescent="0.3">
      <c r="G5111" s="459"/>
      <c r="H5111" s="459">
        <v>5104</v>
      </c>
      <c r="I5111" s="444">
        <f t="shared" ca="1" si="185"/>
        <v>-377462885286911.44</v>
      </c>
      <c r="J5111" s="444">
        <f t="array" ref="J5111">IFERROR(INDEX('Retirement Calculator'!K:K,MATCH('Lorri 401b'!N5111,'Retirement Calculator'!A:A,0),0),0)</f>
        <v>0</v>
      </c>
      <c r="K5111" s="444">
        <f t="shared" ca="1" si="183"/>
        <v>-1572762022028.7976</v>
      </c>
      <c r="L5111" s="444">
        <f t="shared" ca="1" si="184"/>
        <v>-379035647308940.25</v>
      </c>
      <c r="M5111" s="460">
        <f t="shared" si="186"/>
        <v>0.05</v>
      </c>
      <c r="N5111" s="464">
        <f t="shared" si="187"/>
        <v>206608</v>
      </c>
    </row>
    <row r="5112" spans="7:14" ht="11.25" customHeight="1" x14ac:dyDescent="0.3">
      <c r="G5112" s="459"/>
      <c r="H5112" s="459">
        <v>5105</v>
      </c>
      <c r="I5112" s="444">
        <f t="shared" ca="1" si="185"/>
        <v>-379035647308940.25</v>
      </c>
      <c r="J5112" s="444">
        <f t="array" ref="J5112">IFERROR(INDEX('Retirement Calculator'!K:K,MATCH('Lorri 401b'!N5112,'Retirement Calculator'!A:A,0),0),0)</f>
        <v>0</v>
      </c>
      <c r="K5112" s="444">
        <f t="shared" ca="1" si="183"/>
        <v>-1579315197120.5845</v>
      </c>
      <c r="L5112" s="444">
        <f t="shared" ca="1" si="184"/>
        <v>-380614962506060.81</v>
      </c>
      <c r="M5112" s="460">
        <f t="shared" si="186"/>
        <v>0.05</v>
      </c>
      <c r="N5112" s="464">
        <f t="shared" si="187"/>
        <v>206638</v>
      </c>
    </row>
    <row r="5113" spans="7:14" ht="11.25" customHeight="1" x14ac:dyDescent="0.3">
      <c r="G5113" s="459"/>
      <c r="H5113" s="459">
        <v>5106</v>
      </c>
      <c r="I5113" s="444">
        <f t="shared" ca="1" si="185"/>
        <v>-380614962506060.81</v>
      </c>
      <c r="J5113" s="444">
        <f t="array" ref="J5113">IFERROR(INDEX('Retirement Calculator'!K:K,MATCH('Lorri 401b'!N5113,'Retirement Calculator'!A:A,0),0),0)</f>
        <v>0</v>
      </c>
      <c r="K5113" s="444">
        <f t="shared" ca="1" si="183"/>
        <v>-1585895677108.5867</v>
      </c>
      <c r="L5113" s="444">
        <f t="shared" ca="1" si="184"/>
        <v>-382200858183169.38</v>
      </c>
      <c r="M5113" s="460">
        <f t="shared" si="186"/>
        <v>0.05</v>
      </c>
      <c r="N5113" s="464">
        <f t="shared" si="187"/>
        <v>206669</v>
      </c>
    </row>
    <row r="5114" spans="7:14" ht="11.25" customHeight="1" x14ac:dyDescent="0.3">
      <c r="G5114" s="459"/>
      <c r="H5114" s="459">
        <v>5107</v>
      </c>
      <c r="I5114" s="444">
        <f t="shared" ca="1" si="185"/>
        <v>-382200858183169.38</v>
      </c>
      <c r="J5114" s="444">
        <f t="array" ref="J5114">IFERROR(INDEX('Retirement Calculator'!K:K,MATCH('Lorri 401b'!N5114,'Retirement Calculator'!A:A,0),0),0)</f>
        <v>0</v>
      </c>
      <c r="K5114" s="444">
        <f t="shared" ca="1" si="183"/>
        <v>-1592503575763.2058</v>
      </c>
      <c r="L5114" s="444">
        <f t="shared" ca="1" si="184"/>
        <v>-383793361758932.56</v>
      </c>
      <c r="M5114" s="460">
        <f t="shared" si="186"/>
        <v>0.05</v>
      </c>
      <c r="N5114" s="464">
        <f t="shared" si="187"/>
        <v>206699</v>
      </c>
    </row>
    <row r="5115" spans="7:14" ht="11.25" customHeight="1" x14ac:dyDescent="0.3">
      <c r="G5115" s="459"/>
      <c r="H5115" s="459">
        <v>5108</v>
      </c>
      <c r="I5115" s="444">
        <f t="shared" ca="1" si="185"/>
        <v>-383793361758932.56</v>
      </c>
      <c r="J5115" s="444">
        <f t="array" ref="J5115">IFERROR(INDEX('Retirement Calculator'!K:K,MATCH('Lorri 401b'!N5115,'Retirement Calculator'!A:A,0),0),0)</f>
        <v>0</v>
      </c>
      <c r="K5115" s="444">
        <f t="shared" ca="1" si="183"/>
        <v>-1599139007328.8857</v>
      </c>
      <c r="L5115" s="444">
        <f t="shared" ca="1" si="184"/>
        <v>-385392500766261.44</v>
      </c>
      <c r="M5115" s="460">
        <f t="shared" si="186"/>
        <v>0.05</v>
      </c>
      <c r="N5115" s="464">
        <f t="shared" si="187"/>
        <v>206730</v>
      </c>
    </row>
    <row r="5116" spans="7:14" ht="11.25" customHeight="1" x14ac:dyDescent="0.3">
      <c r="G5116" s="459"/>
      <c r="H5116" s="459">
        <v>5109</v>
      </c>
      <c r="I5116" s="444">
        <f t="shared" ca="1" si="185"/>
        <v>-385392500766261.44</v>
      </c>
      <c r="J5116" s="444">
        <f t="array" ref="J5116">IFERROR(INDEX('Retirement Calculator'!K:K,MATCH('Lorri 401b'!N5116,'Retirement Calculator'!A:A,0),0),0)</f>
        <v>0</v>
      </c>
      <c r="K5116" s="444">
        <f t="shared" ca="1" si="183"/>
        <v>-1605802086526.0894</v>
      </c>
      <c r="L5116" s="444">
        <f t="shared" ca="1" si="184"/>
        <v>-386998302852787.5</v>
      </c>
      <c r="M5116" s="460">
        <f t="shared" si="186"/>
        <v>0.05</v>
      </c>
      <c r="N5116" s="464">
        <f t="shared" si="187"/>
        <v>206761</v>
      </c>
    </row>
    <row r="5117" spans="7:14" ht="11.25" customHeight="1" x14ac:dyDescent="0.3">
      <c r="G5117" s="459"/>
      <c r="H5117" s="459">
        <v>5110</v>
      </c>
      <c r="I5117" s="444">
        <f t="shared" ca="1" si="185"/>
        <v>-386998302852787.5</v>
      </c>
      <c r="J5117" s="444">
        <f t="array" ref="J5117">IFERROR(INDEX('Retirement Calculator'!K:K,MATCH('Lorri 401b'!N5117,'Retirement Calculator'!A:A,0),0),0)</f>
        <v>0</v>
      </c>
      <c r="K5117" s="444">
        <f t="shared" ca="1" si="183"/>
        <v>-1612492928553.2813</v>
      </c>
      <c r="L5117" s="444">
        <f t="shared" ca="1" si="184"/>
        <v>-388610795781340.75</v>
      </c>
      <c r="M5117" s="460">
        <f t="shared" si="186"/>
        <v>0.05</v>
      </c>
      <c r="N5117" s="464">
        <f t="shared" si="187"/>
        <v>206789</v>
      </c>
    </row>
    <row r="5118" spans="7:14" ht="11.25" customHeight="1" x14ac:dyDescent="0.3">
      <c r="G5118" s="459"/>
      <c r="H5118" s="459">
        <v>5111</v>
      </c>
      <c r="I5118" s="444">
        <f t="shared" ca="1" si="185"/>
        <v>-388610795781340.75</v>
      </c>
      <c r="J5118" s="444">
        <f t="array" ref="J5118">IFERROR(INDEX('Retirement Calculator'!K:K,MATCH('Lorri 401b'!N5118,'Retirement Calculator'!A:A,0),0),0)</f>
        <v>0</v>
      </c>
      <c r="K5118" s="444">
        <f t="shared" ca="1" si="183"/>
        <v>-1619211649088.9197</v>
      </c>
      <c r="L5118" s="444">
        <f t="shared" ca="1" si="184"/>
        <v>-390230007430429.69</v>
      </c>
      <c r="M5118" s="460">
        <f t="shared" si="186"/>
        <v>0.05</v>
      </c>
      <c r="N5118" s="464">
        <f t="shared" si="187"/>
        <v>206820</v>
      </c>
    </row>
    <row r="5119" spans="7:14" ht="11.25" customHeight="1" x14ac:dyDescent="0.3">
      <c r="G5119" s="459"/>
      <c r="H5119" s="459">
        <v>5112</v>
      </c>
      <c r="I5119" s="444">
        <f t="shared" ca="1" si="185"/>
        <v>-390230007430429.69</v>
      </c>
      <c r="J5119" s="444">
        <f t="array" ref="J5119">IFERROR(INDEX('Retirement Calculator'!K:K,MATCH('Lorri 401b'!N5119,'Retirement Calculator'!A:A,0),0),0)</f>
        <v>0</v>
      </c>
      <c r="K5119" s="444">
        <f t="shared" ca="1" si="183"/>
        <v>-1625958364293.457</v>
      </c>
      <c r="L5119" s="444">
        <f t="shared" ca="1" si="184"/>
        <v>-391855965794723.13</v>
      </c>
      <c r="M5119" s="460">
        <f t="shared" si="186"/>
        <v>0.05</v>
      </c>
      <c r="N5119" s="464">
        <f t="shared" si="187"/>
        <v>206850</v>
      </c>
    </row>
    <row r="5120" spans="7:14" ht="11.25" customHeight="1" x14ac:dyDescent="0.3">
      <c r="G5120" s="459"/>
      <c r="H5120" s="459">
        <v>5113</v>
      </c>
      <c r="I5120" s="444">
        <f t="shared" ca="1" si="185"/>
        <v>-391855965794723.13</v>
      </c>
      <c r="J5120" s="444">
        <f t="array" ref="J5120">IFERROR(INDEX('Retirement Calculator'!K:K,MATCH('Lorri 401b'!N5120,'Retirement Calculator'!A:A,0),0),0)</f>
        <v>0</v>
      </c>
      <c r="K5120" s="444">
        <f t="shared" ca="1" si="183"/>
        <v>-1632733190811.3464</v>
      </c>
      <c r="L5120" s="444">
        <f t="shared" ca="1" si="184"/>
        <v>-393488698985534.5</v>
      </c>
      <c r="M5120" s="460">
        <f t="shared" si="186"/>
        <v>0.05</v>
      </c>
      <c r="N5120" s="464">
        <f t="shared" si="187"/>
        <v>206881</v>
      </c>
    </row>
    <row r="5121" spans="7:14" ht="11.25" customHeight="1" x14ac:dyDescent="0.3">
      <c r="G5121" s="459"/>
      <c r="H5121" s="459">
        <v>5114</v>
      </c>
      <c r="I5121" s="444">
        <f t="shared" ca="1" si="185"/>
        <v>-393488698985534.5</v>
      </c>
      <c r="J5121" s="444">
        <f t="array" ref="J5121">IFERROR(INDEX('Retirement Calculator'!K:K,MATCH('Lorri 401b'!N5121,'Retirement Calculator'!A:A,0),0),0)</f>
        <v>0</v>
      </c>
      <c r="K5121" s="444">
        <f t="shared" ca="1" si="183"/>
        <v>-1639536245773.0603</v>
      </c>
      <c r="L5121" s="444">
        <f t="shared" ca="1" si="184"/>
        <v>-395128235231307.56</v>
      </c>
      <c r="M5121" s="460">
        <f t="shared" si="186"/>
        <v>0.05</v>
      </c>
      <c r="N5121" s="464">
        <f t="shared" si="187"/>
        <v>206911</v>
      </c>
    </row>
    <row r="5122" spans="7:14" ht="11.25" customHeight="1" x14ac:dyDescent="0.3">
      <c r="G5122" s="459"/>
      <c r="H5122" s="459">
        <v>5115</v>
      </c>
      <c r="I5122" s="444">
        <f t="shared" ca="1" si="185"/>
        <v>-395128235231307.56</v>
      </c>
      <c r="J5122" s="444">
        <f t="array" ref="J5122">IFERROR(INDEX('Retirement Calculator'!K:K,MATCH('Lorri 401b'!N5122,'Retirement Calculator'!A:A,0),0),0)</f>
        <v>0</v>
      </c>
      <c r="K5122" s="444">
        <f t="shared" ca="1" si="183"/>
        <v>-1646367646797.1147</v>
      </c>
      <c r="L5122" s="444">
        <f t="shared" ca="1" si="184"/>
        <v>-396774602878104.69</v>
      </c>
      <c r="M5122" s="460">
        <f t="shared" si="186"/>
        <v>0.05</v>
      </c>
      <c r="N5122" s="464">
        <f t="shared" si="187"/>
        <v>206942</v>
      </c>
    </row>
    <row r="5123" spans="7:14" ht="11.25" customHeight="1" x14ac:dyDescent="0.3">
      <c r="G5123" s="459"/>
      <c r="H5123" s="459">
        <v>5116</v>
      </c>
      <c r="I5123" s="444">
        <f t="shared" ca="1" si="185"/>
        <v>-396774602878104.69</v>
      </c>
      <c r="J5123" s="444">
        <f t="array" ref="J5123">IFERROR(INDEX('Retirement Calculator'!K:K,MATCH('Lorri 401b'!N5123,'Retirement Calculator'!A:A,0),0),0)</f>
        <v>0</v>
      </c>
      <c r="K5123" s="444">
        <f t="shared" ca="1" si="183"/>
        <v>-1653227511992.1028</v>
      </c>
      <c r="L5123" s="444">
        <f t="shared" ca="1" si="184"/>
        <v>-398427830390096.81</v>
      </c>
      <c r="M5123" s="460">
        <f t="shared" si="186"/>
        <v>0.05</v>
      </c>
      <c r="N5123" s="464">
        <f t="shared" si="187"/>
        <v>206973</v>
      </c>
    </row>
    <row r="5124" spans="7:14" ht="11.25" customHeight="1" x14ac:dyDescent="0.3">
      <c r="G5124" s="459"/>
      <c r="H5124" s="459">
        <v>5117</v>
      </c>
      <c r="I5124" s="444">
        <f t="shared" ca="1" si="185"/>
        <v>-398427830390096.81</v>
      </c>
      <c r="J5124" s="444">
        <f t="array" ref="J5124">IFERROR(INDEX('Retirement Calculator'!K:K,MATCH('Lorri 401b'!N5124,'Retirement Calculator'!A:A,0),0),0)</f>
        <v>0</v>
      </c>
      <c r="K5124" s="444">
        <f t="shared" ca="1" si="183"/>
        <v>-1660115959958.7368</v>
      </c>
      <c r="L5124" s="444">
        <f t="shared" ca="1" si="184"/>
        <v>-400087946350055.56</v>
      </c>
      <c r="M5124" s="460">
        <f t="shared" si="186"/>
        <v>0.05</v>
      </c>
      <c r="N5124" s="464">
        <f t="shared" si="187"/>
        <v>207003</v>
      </c>
    </row>
    <row r="5125" spans="7:14" ht="11.25" customHeight="1" x14ac:dyDescent="0.3">
      <c r="G5125" s="459"/>
      <c r="H5125" s="459">
        <v>5118</v>
      </c>
      <c r="I5125" s="444">
        <f t="shared" ca="1" si="185"/>
        <v>-400087946350055.56</v>
      </c>
      <c r="J5125" s="444">
        <f t="array" ref="J5125">IFERROR(INDEX('Retirement Calculator'!K:K,MATCH('Lorri 401b'!N5125,'Retirement Calculator'!A:A,0),0),0)</f>
        <v>0</v>
      </c>
      <c r="K5125" s="444">
        <f t="shared" ca="1" si="183"/>
        <v>-1667033109791.8982</v>
      </c>
      <c r="L5125" s="444">
        <f t="shared" ca="1" si="184"/>
        <v>-401754979459847.44</v>
      </c>
      <c r="M5125" s="460">
        <f t="shared" si="186"/>
        <v>0.05</v>
      </c>
      <c r="N5125" s="464">
        <f t="shared" si="187"/>
        <v>207034</v>
      </c>
    </row>
    <row r="5126" spans="7:14" ht="11.25" customHeight="1" x14ac:dyDescent="0.3">
      <c r="G5126" s="459"/>
      <c r="H5126" s="459">
        <v>5119</v>
      </c>
      <c r="I5126" s="444">
        <f t="shared" ca="1" si="185"/>
        <v>-401754979459847.44</v>
      </c>
      <c r="J5126" s="444">
        <f t="array" ref="J5126">IFERROR(INDEX('Retirement Calculator'!K:K,MATCH('Lorri 401b'!N5126,'Retirement Calculator'!A:A,0),0),0)</f>
        <v>0</v>
      </c>
      <c r="K5126" s="444">
        <f t="shared" ca="1" si="183"/>
        <v>-1673979081082.6978</v>
      </c>
      <c r="L5126" s="444">
        <f t="shared" ca="1" si="184"/>
        <v>-403428958540930.13</v>
      </c>
      <c r="M5126" s="460">
        <f t="shared" si="186"/>
        <v>0.05</v>
      </c>
      <c r="N5126" s="464">
        <f t="shared" si="187"/>
        <v>207064</v>
      </c>
    </row>
    <row r="5127" spans="7:14" ht="11.25" customHeight="1" x14ac:dyDescent="0.3">
      <c r="G5127" s="459"/>
      <c r="H5127" s="459">
        <v>5120</v>
      </c>
      <c r="I5127" s="444">
        <f t="shared" ca="1" si="185"/>
        <v>-403428958540930.13</v>
      </c>
      <c r="J5127" s="444">
        <f t="array" ref="J5127">IFERROR(INDEX('Retirement Calculator'!K:K,MATCH('Lorri 401b'!N5127,'Retirement Calculator'!A:A,0),0),0)</f>
        <v>0</v>
      </c>
      <c r="K5127" s="444">
        <f t="shared" ca="1" si="183"/>
        <v>-1680953993920.5422</v>
      </c>
      <c r="L5127" s="444">
        <f t="shared" ca="1" si="184"/>
        <v>-405109912534850.69</v>
      </c>
      <c r="M5127" s="460">
        <f t="shared" si="186"/>
        <v>0.05</v>
      </c>
      <c r="N5127" s="464">
        <f t="shared" si="187"/>
        <v>207095</v>
      </c>
    </row>
    <row r="5128" spans="7:14" ht="11.25" customHeight="1" x14ac:dyDescent="0.3">
      <c r="G5128" s="459"/>
      <c r="H5128" s="459">
        <v>5121</v>
      </c>
      <c r="I5128" s="444">
        <f t="shared" ca="1" si="185"/>
        <v>-405109912534850.69</v>
      </c>
      <c r="J5128" s="444">
        <f t="array" ref="J5128">IFERROR(INDEX('Retirement Calculator'!K:K,MATCH('Lorri 401b'!N5128,'Retirement Calculator'!A:A,0),0),0)</f>
        <v>0</v>
      </c>
      <c r="K5128" s="444">
        <f t="shared" ca="1" si="183"/>
        <v>-1687957968895.2112</v>
      </c>
      <c r="L5128" s="444">
        <f t="shared" ca="1" si="184"/>
        <v>-406797870503745.88</v>
      </c>
      <c r="M5128" s="460">
        <f t="shared" si="186"/>
        <v>0.05</v>
      </c>
      <c r="N5128" s="464">
        <f t="shared" si="187"/>
        <v>207126</v>
      </c>
    </row>
    <row r="5129" spans="7:14" ht="11.25" customHeight="1" x14ac:dyDescent="0.3">
      <c r="G5129" s="459"/>
      <c r="H5129" s="459">
        <v>5122</v>
      </c>
      <c r="I5129" s="444">
        <f t="shared" ca="1" si="185"/>
        <v>-406797870503745.88</v>
      </c>
      <c r="J5129" s="444">
        <f t="array" ref="J5129">IFERROR(INDEX('Retirement Calculator'!K:K,MATCH('Lorri 401b'!N5129,'Retirement Calculator'!A:A,0),0),0)</f>
        <v>0</v>
      </c>
      <c r="K5129" s="444">
        <f t="shared" ca="1" si="183"/>
        <v>-1694991127098.9412</v>
      </c>
      <c r="L5129" s="444">
        <f t="shared" ca="1" si="184"/>
        <v>-408492861630844.81</v>
      </c>
      <c r="M5129" s="460">
        <f t="shared" si="186"/>
        <v>0.05</v>
      </c>
      <c r="N5129" s="464">
        <f t="shared" si="187"/>
        <v>207154</v>
      </c>
    </row>
    <row r="5130" spans="7:14" ht="11.25" customHeight="1" x14ac:dyDescent="0.3">
      <c r="G5130" s="459"/>
      <c r="H5130" s="459">
        <v>5123</v>
      </c>
      <c r="I5130" s="444">
        <f t="shared" ca="1" si="185"/>
        <v>-408492861630844.81</v>
      </c>
      <c r="J5130" s="444">
        <f t="array" ref="J5130">IFERROR(INDEX('Retirement Calculator'!K:K,MATCH('Lorri 401b'!N5130,'Retirement Calculator'!A:A,0),0),0)</f>
        <v>0</v>
      </c>
      <c r="K5130" s="444">
        <f t="shared" ca="1" si="183"/>
        <v>-1702053590128.52</v>
      </c>
      <c r="L5130" s="444">
        <f t="shared" ca="1" si="184"/>
        <v>-410194915220973.31</v>
      </c>
      <c r="M5130" s="460">
        <f t="shared" si="186"/>
        <v>0.05</v>
      </c>
      <c r="N5130" s="464">
        <f t="shared" si="187"/>
        <v>207185</v>
      </c>
    </row>
    <row r="5131" spans="7:14" ht="11.25" customHeight="1" x14ac:dyDescent="0.3">
      <c r="G5131" s="459"/>
      <c r="H5131" s="459">
        <v>5124</v>
      </c>
      <c r="I5131" s="444">
        <f t="shared" ca="1" si="185"/>
        <v>-410194915220973.31</v>
      </c>
      <c r="J5131" s="444">
        <f t="array" ref="J5131">IFERROR(INDEX('Retirement Calculator'!K:K,MATCH('Lorri 401b'!N5131,'Retirement Calculator'!A:A,0),0),0)</f>
        <v>0</v>
      </c>
      <c r="K5131" s="444">
        <f t="shared" ca="1" si="183"/>
        <v>-1709145480087.3887</v>
      </c>
      <c r="L5131" s="444">
        <f t="shared" ca="1" si="184"/>
        <v>-411904060701060.69</v>
      </c>
      <c r="M5131" s="460">
        <f t="shared" si="186"/>
        <v>0.05</v>
      </c>
      <c r="N5131" s="464">
        <f t="shared" si="187"/>
        <v>207215</v>
      </c>
    </row>
    <row r="5132" spans="7:14" ht="11.25" customHeight="1" x14ac:dyDescent="0.3">
      <c r="G5132" s="459"/>
      <c r="H5132" s="459">
        <v>5125</v>
      </c>
      <c r="I5132" s="444">
        <f t="shared" ca="1" si="185"/>
        <v>-411904060701060.69</v>
      </c>
      <c r="J5132" s="444">
        <f t="array" ref="J5132">IFERROR(INDEX('Retirement Calculator'!K:K,MATCH('Lorri 401b'!N5132,'Retirement Calculator'!A:A,0),0),0)</f>
        <v>0</v>
      </c>
      <c r="K5132" s="444">
        <f t="shared" ca="1" si="183"/>
        <v>-1716266919587.7529</v>
      </c>
      <c r="L5132" s="444">
        <f t="shared" ca="1" si="184"/>
        <v>-413620327620648.44</v>
      </c>
      <c r="M5132" s="460">
        <f t="shared" si="186"/>
        <v>0.05</v>
      </c>
      <c r="N5132" s="464">
        <f t="shared" si="187"/>
        <v>207246</v>
      </c>
    </row>
    <row r="5133" spans="7:14" ht="11.25" customHeight="1" x14ac:dyDescent="0.3">
      <c r="G5133" s="459"/>
      <c r="H5133" s="459">
        <v>5126</v>
      </c>
      <c r="I5133" s="444">
        <f t="shared" ca="1" si="185"/>
        <v>-413620327620648.44</v>
      </c>
      <c r="J5133" s="444">
        <f t="array" ref="J5133">IFERROR(INDEX('Retirement Calculator'!K:K,MATCH('Lorri 401b'!N5133,'Retirement Calculator'!A:A,0),0),0)</f>
        <v>0</v>
      </c>
      <c r="K5133" s="444">
        <f t="shared" ca="1" si="183"/>
        <v>-1723418031752.7019</v>
      </c>
      <c r="L5133" s="444">
        <f t="shared" ca="1" si="184"/>
        <v>-415343745652401.13</v>
      </c>
      <c r="M5133" s="460">
        <f t="shared" si="186"/>
        <v>0.05</v>
      </c>
      <c r="N5133" s="464">
        <f t="shared" si="187"/>
        <v>207276</v>
      </c>
    </row>
    <row r="5134" spans="7:14" ht="11.25" customHeight="1" x14ac:dyDescent="0.3">
      <c r="G5134" s="459"/>
      <c r="H5134" s="459">
        <v>5127</v>
      </c>
      <c r="I5134" s="444">
        <f t="shared" ca="1" si="185"/>
        <v>-415343745652401.13</v>
      </c>
      <c r="J5134" s="444">
        <f t="array" ref="J5134">IFERROR(INDEX('Retirement Calculator'!K:K,MATCH('Lorri 401b'!N5134,'Retirement Calculator'!A:A,0),0),0)</f>
        <v>0</v>
      </c>
      <c r="K5134" s="444">
        <f t="shared" ca="1" si="183"/>
        <v>-1730598940218.3379</v>
      </c>
      <c r="L5134" s="444">
        <f t="shared" ca="1" si="184"/>
        <v>-417074344592619.44</v>
      </c>
      <c r="M5134" s="460">
        <f t="shared" si="186"/>
        <v>0.05</v>
      </c>
      <c r="N5134" s="464">
        <f t="shared" si="187"/>
        <v>207307</v>
      </c>
    </row>
    <row r="5135" spans="7:14" ht="11.25" customHeight="1" x14ac:dyDescent="0.3">
      <c r="G5135" s="459"/>
      <c r="H5135" s="459">
        <v>5128</v>
      </c>
      <c r="I5135" s="444">
        <f t="shared" ca="1" si="185"/>
        <v>-417074344592619.44</v>
      </c>
      <c r="J5135" s="444">
        <f t="array" ref="J5135">IFERROR(INDEX('Retirement Calculator'!K:K,MATCH('Lorri 401b'!N5135,'Retirement Calculator'!A:A,0),0),0)</f>
        <v>0</v>
      </c>
      <c r="K5135" s="444">
        <f t="shared" ca="1" si="183"/>
        <v>-1737809769135.9143</v>
      </c>
      <c r="L5135" s="444">
        <f t="shared" ca="1" si="184"/>
        <v>-418812154361755.38</v>
      </c>
      <c r="M5135" s="460">
        <f t="shared" si="186"/>
        <v>0.05</v>
      </c>
      <c r="N5135" s="464">
        <f t="shared" si="187"/>
        <v>207338</v>
      </c>
    </row>
    <row r="5136" spans="7:14" ht="11.25" customHeight="1" x14ac:dyDescent="0.3">
      <c r="G5136" s="459"/>
      <c r="H5136" s="459">
        <v>5129</v>
      </c>
      <c r="I5136" s="444">
        <f t="shared" ca="1" si="185"/>
        <v>-418812154361755.38</v>
      </c>
      <c r="J5136" s="444">
        <f t="array" ref="J5136">IFERROR(INDEX('Retirement Calculator'!K:K,MATCH('Lorri 401b'!N5136,'Retirement Calculator'!A:A,0),0),0)</f>
        <v>0</v>
      </c>
      <c r="K5136" s="444">
        <f t="shared" ca="1" si="183"/>
        <v>-1745050643173.9807</v>
      </c>
      <c r="L5136" s="444">
        <f t="shared" ca="1" si="184"/>
        <v>-420557205004929.38</v>
      </c>
      <c r="M5136" s="460">
        <f t="shared" si="186"/>
        <v>0.05</v>
      </c>
      <c r="N5136" s="464">
        <f t="shared" si="187"/>
        <v>207368</v>
      </c>
    </row>
    <row r="5137" spans="7:14" ht="11.25" customHeight="1" x14ac:dyDescent="0.3">
      <c r="G5137" s="459"/>
      <c r="H5137" s="459">
        <v>5130</v>
      </c>
      <c r="I5137" s="444">
        <f t="shared" ca="1" si="185"/>
        <v>-420557205004929.38</v>
      </c>
      <c r="J5137" s="444">
        <f t="array" ref="J5137">IFERROR(INDEX('Retirement Calculator'!K:K,MATCH('Lorri 401b'!N5137,'Retirement Calculator'!A:A,0),0),0)</f>
        <v>0</v>
      </c>
      <c r="K5137" s="444">
        <f t="shared" ca="1" si="183"/>
        <v>-1752321687520.5391</v>
      </c>
      <c r="L5137" s="444">
        <f t="shared" ca="1" si="184"/>
        <v>-422309526692449.94</v>
      </c>
      <c r="M5137" s="460">
        <f t="shared" si="186"/>
        <v>0.05</v>
      </c>
      <c r="N5137" s="464">
        <f t="shared" si="187"/>
        <v>207399</v>
      </c>
    </row>
    <row r="5138" spans="7:14" ht="11.25" customHeight="1" x14ac:dyDescent="0.3">
      <c r="G5138" s="459"/>
      <c r="H5138" s="459">
        <v>5131</v>
      </c>
      <c r="I5138" s="444">
        <f t="shared" ca="1" si="185"/>
        <v>-422309526692449.94</v>
      </c>
      <c r="J5138" s="444">
        <f t="array" ref="J5138">IFERROR(INDEX('Retirement Calculator'!K:K,MATCH('Lorri 401b'!N5138,'Retirement Calculator'!A:A,0),0),0)</f>
        <v>0</v>
      </c>
      <c r="K5138" s="444">
        <f t="shared" ca="1" si="183"/>
        <v>-1759623027885.208</v>
      </c>
      <c r="L5138" s="444">
        <f t="shared" ca="1" si="184"/>
        <v>-424069149720335.13</v>
      </c>
      <c r="M5138" s="460">
        <f t="shared" si="186"/>
        <v>0.05</v>
      </c>
      <c r="N5138" s="464">
        <f t="shared" si="187"/>
        <v>207429</v>
      </c>
    </row>
    <row r="5139" spans="7:14" ht="11.25" customHeight="1" x14ac:dyDescent="0.3">
      <c r="G5139" s="459"/>
      <c r="H5139" s="459">
        <v>5132</v>
      </c>
      <c r="I5139" s="444">
        <f t="shared" ca="1" si="185"/>
        <v>-424069149720335.13</v>
      </c>
      <c r="J5139" s="444">
        <f t="array" ref="J5139">IFERROR(INDEX('Retirement Calculator'!K:K,MATCH('Lorri 401b'!N5139,'Retirement Calculator'!A:A,0),0),0)</f>
        <v>0</v>
      </c>
      <c r="K5139" s="444">
        <f t="shared" ca="1" si="183"/>
        <v>-1766954790501.3962</v>
      </c>
      <c r="L5139" s="444">
        <f t="shared" ca="1" si="184"/>
        <v>-425836104510836.5</v>
      </c>
      <c r="M5139" s="460">
        <f t="shared" si="186"/>
        <v>0.05</v>
      </c>
      <c r="N5139" s="464">
        <f t="shared" si="187"/>
        <v>207460</v>
      </c>
    </row>
    <row r="5140" spans="7:14" ht="11.25" customHeight="1" x14ac:dyDescent="0.3">
      <c r="G5140" s="459"/>
      <c r="H5140" s="459">
        <v>5133</v>
      </c>
      <c r="I5140" s="444">
        <f t="shared" ca="1" si="185"/>
        <v>-425836104510836.5</v>
      </c>
      <c r="J5140" s="444">
        <f t="array" ref="J5140">IFERROR(INDEX('Retirement Calculator'!K:K,MATCH('Lorri 401b'!N5140,'Retirement Calculator'!A:A,0),0),0)</f>
        <v>0</v>
      </c>
      <c r="K5140" s="444">
        <f t="shared" ca="1" si="183"/>
        <v>-1774317102128.4854</v>
      </c>
      <c r="L5140" s="444">
        <f t="shared" ca="1" si="184"/>
        <v>-427610421612965</v>
      </c>
      <c r="M5140" s="460">
        <f t="shared" si="186"/>
        <v>0.05</v>
      </c>
      <c r="N5140" s="464">
        <f t="shared" si="187"/>
        <v>207491</v>
      </c>
    </row>
    <row r="5141" spans="7:14" ht="11.25" customHeight="1" x14ac:dyDescent="0.3">
      <c r="G5141" s="459"/>
      <c r="H5141" s="459">
        <v>5134</v>
      </c>
      <c r="I5141" s="444">
        <f t="shared" ca="1" si="185"/>
        <v>-427610421612965</v>
      </c>
      <c r="J5141" s="444">
        <f t="array" ref="J5141">IFERROR(INDEX('Retirement Calculator'!K:K,MATCH('Lorri 401b'!N5141,'Retirement Calculator'!A:A,0),0),0)</f>
        <v>0</v>
      </c>
      <c r="K5141" s="444">
        <f t="shared" ca="1" si="183"/>
        <v>-1781710090054.0208</v>
      </c>
      <c r="L5141" s="444">
        <f t="shared" ca="1" si="184"/>
        <v>-429392131703019</v>
      </c>
      <c r="M5141" s="460">
        <f t="shared" si="186"/>
        <v>0.05</v>
      </c>
      <c r="N5141" s="464">
        <f t="shared" si="187"/>
        <v>207520</v>
      </c>
    </row>
    <row r="5142" spans="7:14" ht="11.25" customHeight="1" x14ac:dyDescent="0.3">
      <c r="G5142" s="459"/>
      <c r="H5142" s="459">
        <v>5135</v>
      </c>
      <c r="I5142" s="444">
        <f t="shared" ca="1" si="185"/>
        <v>-429392131703019</v>
      </c>
      <c r="J5142" s="444">
        <f t="array" ref="J5142">IFERROR(INDEX('Retirement Calculator'!K:K,MATCH('Lorri 401b'!N5142,'Retirement Calculator'!A:A,0),0),0)</f>
        <v>0</v>
      </c>
      <c r="K5142" s="444">
        <f t="shared" ca="1" si="183"/>
        <v>-1789133882095.9124</v>
      </c>
      <c r="L5142" s="444">
        <f t="shared" ca="1" si="184"/>
        <v>-431181265585114.94</v>
      </c>
      <c r="M5142" s="460">
        <f t="shared" si="186"/>
        <v>0.05</v>
      </c>
      <c r="N5142" s="464">
        <f t="shared" si="187"/>
        <v>207551</v>
      </c>
    </row>
    <row r="5143" spans="7:14" ht="11.25" customHeight="1" x14ac:dyDescent="0.3">
      <c r="G5143" s="459"/>
      <c r="H5143" s="459">
        <v>5136</v>
      </c>
      <c r="I5143" s="444">
        <f t="shared" ca="1" si="185"/>
        <v>-431181265585114.94</v>
      </c>
      <c r="J5143" s="444">
        <f t="array" ref="J5143">IFERROR(INDEX('Retirement Calculator'!K:K,MATCH('Lorri 401b'!N5143,'Retirement Calculator'!A:A,0),0),0)</f>
        <v>0</v>
      </c>
      <c r="K5143" s="444">
        <f t="shared" ca="1" si="183"/>
        <v>-1796588606604.6455</v>
      </c>
      <c r="L5143" s="444">
        <f t="shared" ca="1" si="184"/>
        <v>-432977854191719.56</v>
      </c>
      <c r="M5143" s="460">
        <f t="shared" si="186"/>
        <v>0.05</v>
      </c>
      <c r="N5143" s="464">
        <f t="shared" si="187"/>
        <v>207581</v>
      </c>
    </row>
    <row r="5144" spans="7:14" ht="11.25" customHeight="1" x14ac:dyDescent="0.3">
      <c r="G5144" s="459"/>
      <c r="H5144" s="459">
        <v>5137</v>
      </c>
      <c r="I5144" s="444">
        <f t="shared" ca="1" si="185"/>
        <v>-432977854191719.56</v>
      </c>
      <c r="J5144" s="444">
        <f t="array" ref="J5144">IFERROR(INDEX('Retirement Calculator'!K:K,MATCH('Lorri 401b'!N5144,'Retirement Calculator'!A:A,0),0),0)</f>
        <v>0</v>
      </c>
      <c r="K5144" s="444">
        <f t="shared" ca="1" si="183"/>
        <v>-1804074392465.498</v>
      </c>
      <c r="L5144" s="444">
        <f t="shared" ca="1" si="184"/>
        <v>-434781928584185.06</v>
      </c>
      <c r="M5144" s="460">
        <f t="shared" si="186"/>
        <v>0.05</v>
      </c>
      <c r="N5144" s="464">
        <f t="shared" si="187"/>
        <v>207612</v>
      </c>
    </row>
    <row r="5145" spans="7:14" ht="11.25" customHeight="1" x14ac:dyDescent="0.3">
      <c r="G5145" s="459"/>
      <c r="H5145" s="459">
        <v>5138</v>
      </c>
      <c r="I5145" s="444">
        <f t="shared" ca="1" si="185"/>
        <v>-434781928584185.06</v>
      </c>
      <c r="J5145" s="444">
        <f t="array" ref="J5145">IFERROR(INDEX('Retirement Calculator'!K:K,MATCH('Lorri 401b'!N5145,'Retirement Calculator'!A:A,0),0),0)</f>
        <v>0</v>
      </c>
      <c r="K5145" s="444">
        <f t="shared" ca="1" si="183"/>
        <v>-1811591369100.771</v>
      </c>
      <c r="L5145" s="444">
        <f t="shared" ca="1" si="184"/>
        <v>-436593519953285.81</v>
      </c>
      <c r="M5145" s="460">
        <f t="shared" si="186"/>
        <v>0.05</v>
      </c>
      <c r="N5145" s="464">
        <f t="shared" si="187"/>
        <v>207642</v>
      </c>
    </row>
    <row r="5146" spans="7:14" ht="11.25" customHeight="1" x14ac:dyDescent="0.3">
      <c r="G5146" s="459"/>
      <c r="H5146" s="459">
        <v>5139</v>
      </c>
      <c r="I5146" s="444">
        <f t="shared" ca="1" si="185"/>
        <v>-436593519953285.81</v>
      </c>
      <c r="J5146" s="444">
        <f t="array" ref="J5146">IFERROR(INDEX('Retirement Calculator'!K:K,MATCH('Lorri 401b'!N5146,'Retirement Calculator'!A:A,0),0),0)</f>
        <v>0</v>
      </c>
      <c r="K5146" s="444">
        <f t="shared" ca="1" si="183"/>
        <v>-1819139666472.0242</v>
      </c>
      <c r="L5146" s="444">
        <f t="shared" ca="1" si="184"/>
        <v>-438412659619757.81</v>
      </c>
      <c r="M5146" s="460">
        <f t="shared" si="186"/>
        <v>0.05</v>
      </c>
      <c r="N5146" s="464">
        <f t="shared" si="187"/>
        <v>207673</v>
      </c>
    </row>
    <row r="5147" spans="7:14" ht="11.25" customHeight="1" x14ac:dyDescent="0.3">
      <c r="G5147" s="459"/>
      <c r="H5147" s="459">
        <v>5140</v>
      </c>
      <c r="I5147" s="444">
        <f t="shared" ca="1" si="185"/>
        <v>-438412659619757.81</v>
      </c>
      <c r="J5147" s="444">
        <f t="array" ref="J5147">IFERROR(INDEX('Retirement Calculator'!K:K,MATCH('Lorri 401b'!N5147,'Retirement Calculator'!A:A,0),0),0)</f>
        <v>0</v>
      </c>
      <c r="K5147" s="444">
        <f t="shared" ca="1" si="183"/>
        <v>-1826719415082.3245</v>
      </c>
      <c r="L5147" s="444">
        <f t="shared" ca="1" si="184"/>
        <v>-440239379034840.13</v>
      </c>
      <c r="M5147" s="460">
        <f t="shared" si="186"/>
        <v>0.05</v>
      </c>
      <c r="N5147" s="464">
        <f t="shared" si="187"/>
        <v>207704</v>
      </c>
    </row>
    <row r="5148" spans="7:14" ht="11.25" customHeight="1" x14ac:dyDescent="0.3">
      <c r="G5148" s="459"/>
      <c r="H5148" s="459">
        <v>5141</v>
      </c>
      <c r="I5148" s="444">
        <f t="shared" ca="1" si="185"/>
        <v>-440239379034840.13</v>
      </c>
      <c r="J5148" s="444">
        <f t="array" ref="J5148">IFERROR(INDEX('Retirement Calculator'!K:K,MATCH('Lorri 401b'!N5148,'Retirement Calculator'!A:A,0),0),0)</f>
        <v>0</v>
      </c>
      <c r="K5148" s="444">
        <f t="shared" ca="1" si="183"/>
        <v>-1834330745978.5002</v>
      </c>
      <c r="L5148" s="444">
        <f t="shared" ca="1" si="184"/>
        <v>-442073709780818.63</v>
      </c>
      <c r="M5148" s="460">
        <f t="shared" si="186"/>
        <v>0.05</v>
      </c>
      <c r="N5148" s="464">
        <f t="shared" si="187"/>
        <v>207734</v>
      </c>
    </row>
    <row r="5149" spans="7:14" ht="11.25" customHeight="1" x14ac:dyDescent="0.3">
      <c r="G5149" s="459"/>
      <c r="H5149" s="459">
        <v>5142</v>
      </c>
      <c r="I5149" s="444">
        <f t="shared" ca="1" si="185"/>
        <v>-442073709780818.63</v>
      </c>
      <c r="J5149" s="444">
        <f t="array" ref="J5149">IFERROR(INDEX('Retirement Calculator'!K:K,MATCH('Lorri 401b'!N5149,'Retirement Calculator'!A:A,0),0),0)</f>
        <v>0</v>
      </c>
      <c r="K5149" s="444">
        <f t="shared" ca="1" si="183"/>
        <v>-1841973790753.4109</v>
      </c>
      <c r="L5149" s="444">
        <f t="shared" ca="1" si="184"/>
        <v>-443915683571572.06</v>
      </c>
      <c r="M5149" s="460">
        <f t="shared" si="186"/>
        <v>0.05</v>
      </c>
      <c r="N5149" s="464">
        <f t="shared" si="187"/>
        <v>207765</v>
      </c>
    </row>
    <row r="5150" spans="7:14" ht="11.25" customHeight="1" x14ac:dyDescent="0.3">
      <c r="G5150" s="459"/>
      <c r="H5150" s="459">
        <v>5143</v>
      </c>
      <c r="I5150" s="444">
        <f t="shared" ca="1" si="185"/>
        <v>-443915683571572.06</v>
      </c>
      <c r="J5150" s="444">
        <f t="array" ref="J5150">IFERROR(INDEX('Retirement Calculator'!K:K,MATCH('Lorri 401b'!N5150,'Retirement Calculator'!A:A,0),0),0)</f>
        <v>0</v>
      </c>
      <c r="K5150" s="444">
        <f t="shared" ca="1" si="183"/>
        <v>-1849648681548.2168</v>
      </c>
      <c r="L5150" s="444">
        <f t="shared" ca="1" si="184"/>
        <v>-445765332253120.25</v>
      </c>
      <c r="M5150" s="460">
        <f t="shared" si="186"/>
        <v>0.05</v>
      </c>
      <c r="N5150" s="464">
        <f t="shared" si="187"/>
        <v>207795</v>
      </c>
    </row>
    <row r="5151" spans="7:14" ht="11.25" customHeight="1" x14ac:dyDescent="0.3">
      <c r="G5151" s="459"/>
      <c r="H5151" s="459">
        <v>5144</v>
      </c>
      <c r="I5151" s="444">
        <f t="shared" ca="1" si="185"/>
        <v>-445765332253120.25</v>
      </c>
      <c r="J5151" s="444">
        <f t="array" ref="J5151">IFERROR(INDEX('Retirement Calculator'!K:K,MATCH('Lorri 401b'!N5151,'Retirement Calculator'!A:A,0),0),0)</f>
        <v>0</v>
      </c>
      <c r="K5151" s="444">
        <f t="shared" ca="1" si="183"/>
        <v>-1857355551054.6677</v>
      </c>
      <c r="L5151" s="444">
        <f t="shared" ca="1" si="184"/>
        <v>-447622687804174.94</v>
      </c>
      <c r="M5151" s="460">
        <f t="shared" si="186"/>
        <v>0.05</v>
      </c>
      <c r="N5151" s="464">
        <f t="shared" si="187"/>
        <v>207826</v>
      </c>
    </row>
    <row r="5152" spans="7:14" ht="11.25" customHeight="1" x14ac:dyDescent="0.3">
      <c r="G5152" s="459"/>
      <c r="H5152" s="459">
        <v>5145</v>
      </c>
      <c r="I5152" s="444">
        <f t="shared" ca="1" si="185"/>
        <v>-447622687804174.94</v>
      </c>
      <c r="J5152" s="444">
        <f t="array" ref="J5152">IFERROR(INDEX('Retirement Calculator'!K:K,MATCH('Lorri 401b'!N5152,'Retirement Calculator'!A:A,0),0),0)</f>
        <v>0</v>
      </c>
      <c r="K5152" s="444">
        <f t="shared" ca="1" si="183"/>
        <v>-1865094532517.3958</v>
      </c>
      <c r="L5152" s="444">
        <f t="shared" ca="1" si="184"/>
        <v>-449487782336692.31</v>
      </c>
      <c r="M5152" s="460">
        <f t="shared" si="186"/>
        <v>0.05</v>
      </c>
      <c r="N5152" s="464">
        <f t="shared" si="187"/>
        <v>207857</v>
      </c>
    </row>
    <row r="5153" spans="7:14" ht="11.25" customHeight="1" x14ac:dyDescent="0.3">
      <c r="G5153" s="459"/>
      <c r="H5153" s="459">
        <v>5146</v>
      </c>
      <c r="I5153" s="444">
        <f t="shared" ca="1" si="185"/>
        <v>-449487782336692.31</v>
      </c>
      <c r="J5153" s="444">
        <f t="array" ref="J5153">IFERROR(INDEX('Retirement Calculator'!K:K,MATCH('Lorri 401b'!N5153,'Retirement Calculator'!A:A,0),0),0)</f>
        <v>0</v>
      </c>
      <c r="K5153" s="444">
        <f t="shared" ca="1" si="183"/>
        <v>-1872865759736.218</v>
      </c>
      <c r="L5153" s="444">
        <f t="shared" ca="1" si="184"/>
        <v>-451360648096428.5</v>
      </c>
      <c r="M5153" s="460">
        <f t="shared" si="186"/>
        <v>0.05</v>
      </c>
      <c r="N5153" s="464">
        <f t="shared" si="187"/>
        <v>207885</v>
      </c>
    </row>
    <row r="5154" spans="7:14" ht="11.25" customHeight="1" x14ac:dyDescent="0.3">
      <c r="G5154" s="459"/>
      <c r="H5154" s="459">
        <v>5147</v>
      </c>
      <c r="I5154" s="444">
        <f t="shared" ca="1" si="185"/>
        <v>-451360648096428.5</v>
      </c>
      <c r="J5154" s="444">
        <f t="array" ref="J5154">IFERROR(INDEX('Retirement Calculator'!K:K,MATCH('Lorri 401b'!N5154,'Retirement Calculator'!A:A,0),0),0)</f>
        <v>0</v>
      </c>
      <c r="K5154" s="444">
        <f t="shared" ca="1" si="183"/>
        <v>-1880669367068.4521</v>
      </c>
      <c r="L5154" s="444">
        <f t="shared" ca="1" si="184"/>
        <v>-453241317463496.94</v>
      </c>
      <c r="M5154" s="460">
        <f t="shared" si="186"/>
        <v>0.05</v>
      </c>
      <c r="N5154" s="464">
        <f t="shared" si="187"/>
        <v>207916</v>
      </c>
    </row>
    <row r="5155" spans="7:14" ht="11.25" customHeight="1" x14ac:dyDescent="0.3">
      <c r="G5155" s="459"/>
      <c r="H5155" s="459">
        <v>5148</v>
      </c>
      <c r="I5155" s="444">
        <f t="shared" ca="1" si="185"/>
        <v>-453241317463496.94</v>
      </c>
      <c r="J5155" s="444">
        <f t="array" ref="J5155">IFERROR(INDEX('Retirement Calculator'!K:K,MATCH('Lorri 401b'!N5155,'Retirement Calculator'!A:A,0),0),0)</f>
        <v>0</v>
      </c>
      <c r="K5155" s="444">
        <f t="shared" ca="1" si="183"/>
        <v>-1888505489431.2375</v>
      </c>
      <c r="L5155" s="444">
        <f t="shared" ca="1" si="184"/>
        <v>-455129822952928.19</v>
      </c>
      <c r="M5155" s="460">
        <f t="shared" si="186"/>
        <v>0.05</v>
      </c>
      <c r="N5155" s="464">
        <f t="shared" si="187"/>
        <v>207946</v>
      </c>
    </row>
    <row r="5156" spans="7:14" ht="11.25" customHeight="1" x14ac:dyDescent="0.3">
      <c r="G5156" s="459"/>
      <c r="H5156" s="459">
        <v>5149</v>
      </c>
      <c r="I5156" s="444">
        <f t="shared" ca="1" si="185"/>
        <v>-455129822952928.19</v>
      </c>
      <c r="J5156" s="444">
        <f t="array" ref="J5156">IFERROR(INDEX('Retirement Calculator'!K:K,MATCH('Lorri 401b'!N5156,'Retirement Calculator'!A:A,0),0),0)</f>
        <v>0</v>
      </c>
      <c r="K5156" s="444">
        <f t="shared" ca="1" si="183"/>
        <v>-1896374262303.8674</v>
      </c>
      <c r="L5156" s="444">
        <f t="shared" ca="1" si="184"/>
        <v>-457026197215232.06</v>
      </c>
      <c r="M5156" s="460">
        <f t="shared" si="186"/>
        <v>0.05</v>
      </c>
      <c r="N5156" s="464">
        <f t="shared" si="187"/>
        <v>207977</v>
      </c>
    </row>
    <row r="5157" spans="7:14" ht="11.25" customHeight="1" x14ac:dyDescent="0.3">
      <c r="G5157" s="459"/>
      <c r="H5157" s="459">
        <v>5150</v>
      </c>
      <c r="I5157" s="444">
        <f t="shared" ca="1" si="185"/>
        <v>-457026197215232.06</v>
      </c>
      <c r="J5157" s="444">
        <f t="array" ref="J5157">IFERROR(INDEX('Retirement Calculator'!K:K,MATCH('Lorri 401b'!N5157,'Retirement Calculator'!A:A,0),0),0)</f>
        <v>0</v>
      </c>
      <c r="K5157" s="444">
        <f t="shared" ca="1" si="183"/>
        <v>-1904275821730.1335</v>
      </c>
      <c r="L5157" s="444">
        <f t="shared" ca="1" si="184"/>
        <v>-458930473036962.19</v>
      </c>
      <c r="M5157" s="460">
        <f t="shared" si="186"/>
        <v>0.05</v>
      </c>
      <c r="N5157" s="464">
        <f t="shared" si="187"/>
        <v>208007</v>
      </c>
    </row>
    <row r="5158" spans="7:14" ht="11.25" customHeight="1" x14ac:dyDescent="0.3">
      <c r="G5158" s="459"/>
      <c r="H5158" s="459">
        <v>5151</v>
      </c>
      <c r="I5158" s="444">
        <f t="shared" ca="1" si="185"/>
        <v>-458930473036962.19</v>
      </c>
      <c r="J5158" s="444">
        <f t="array" ref="J5158">IFERROR(INDEX('Retirement Calculator'!K:K,MATCH('Lorri 401b'!N5158,'Retirement Calculator'!A:A,0),0),0)</f>
        <v>0</v>
      </c>
      <c r="K5158" s="444">
        <f t="shared" ca="1" si="183"/>
        <v>-1912210304320.6755</v>
      </c>
      <c r="L5158" s="444">
        <f t="shared" ca="1" si="184"/>
        <v>-460842683341282.88</v>
      </c>
      <c r="M5158" s="460">
        <f t="shared" si="186"/>
        <v>0.05</v>
      </c>
      <c r="N5158" s="464">
        <f t="shared" si="187"/>
        <v>208038</v>
      </c>
    </row>
    <row r="5159" spans="7:14" ht="11.25" customHeight="1" x14ac:dyDescent="0.3">
      <c r="G5159" s="459"/>
      <c r="H5159" s="459">
        <v>5152</v>
      </c>
      <c r="I5159" s="444">
        <f t="shared" ca="1" si="185"/>
        <v>-460842683341282.88</v>
      </c>
      <c r="J5159" s="444">
        <f t="array" ref="J5159">IFERROR(INDEX('Retirement Calculator'!K:K,MATCH('Lorri 401b'!N5159,'Retirement Calculator'!A:A,0),0),0)</f>
        <v>0</v>
      </c>
      <c r="K5159" s="444">
        <f t="shared" ca="1" si="183"/>
        <v>-1920177847255.3452</v>
      </c>
      <c r="L5159" s="444">
        <f t="shared" ca="1" si="184"/>
        <v>-462762861188538.25</v>
      </c>
      <c r="M5159" s="460">
        <f t="shared" si="186"/>
        <v>0.05</v>
      </c>
      <c r="N5159" s="464">
        <f t="shared" si="187"/>
        <v>208069</v>
      </c>
    </row>
    <row r="5160" spans="7:14" ht="11.25" customHeight="1" x14ac:dyDescent="0.3">
      <c r="G5160" s="459"/>
      <c r="H5160" s="459">
        <v>5153</v>
      </c>
      <c r="I5160" s="444">
        <f t="shared" ca="1" si="185"/>
        <v>-462762861188538.25</v>
      </c>
      <c r="J5160" s="444">
        <f t="array" ref="J5160">IFERROR(INDEX('Retirement Calculator'!K:K,MATCH('Lorri 401b'!N5160,'Retirement Calculator'!A:A,0),0),0)</f>
        <v>0</v>
      </c>
      <c r="K5160" s="444">
        <f t="shared" ca="1" si="183"/>
        <v>-1928178588285.5762</v>
      </c>
      <c r="L5160" s="444">
        <f t="shared" ca="1" si="184"/>
        <v>-464691039776823.81</v>
      </c>
      <c r="M5160" s="460">
        <f t="shared" si="186"/>
        <v>0.05</v>
      </c>
      <c r="N5160" s="464">
        <f t="shared" si="187"/>
        <v>208099</v>
      </c>
    </row>
    <row r="5161" spans="7:14" ht="11.25" customHeight="1" x14ac:dyDescent="0.3">
      <c r="G5161" s="459"/>
      <c r="H5161" s="459">
        <v>5154</v>
      </c>
      <c r="I5161" s="444">
        <f t="shared" ca="1" si="185"/>
        <v>-464691039776823.81</v>
      </c>
      <c r="J5161" s="444">
        <f t="array" ref="J5161">IFERROR(INDEX('Retirement Calculator'!K:K,MATCH('Lorri 401b'!N5161,'Retirement Calculator'!A:A,0),0),0)</f>
        <v>0</v>
      </c>
      <c r="K5161" s="444">
        <f t="shared" ca="1" si="183"/>
        <v>-1936212665736.7659</v>
      </c>
      <c r="L5161" s="444">
        <f t="shared" ca="1" si="184"/>
        <v>-466627252442560.56</v>
      </c>
      <c r="M5161" s="460">
        <f t="shared" si="186"/>
        <v>0.05</v>
      </c>
      <c r="N5161" s="464">
        <f t="shared" si="187"/>
        <v>208130</v>
      </c>
    </row>
    <row r="5162" spans="7:14" ht="11.25" customHeight="1" x14ac:dyDescent="0.3">
      <c r="G5162" s="459"/>
      <c r="H5162" s="459">
        <v>5155</v>
      </c>
      <c r="I5162" s="444">
        <f t="shared" ca="1" si="185"/>
        <v>-466627252442560.56</v>
      </c>
      <c r="J5162" s="444">
        <f t="array" ref="J5162">IFERROR(INDEX('Retirement Calculator'!K:K,MATCH('Lorri 401b'!N5162,'Retirement Calculator'!A:A,0),0),0)</f>
        <v>0</v>
      </c>
      <c r="K5162" s="444">
        <f t="shared" ca="1" si="183"/>
        <v>-1944280218510.6689</v>
      </c>
      <c r="L5162" s="444">
        <f t="shared" ca="1" si="184"/>
        <v>-468571532661071.25</v>
      </c>
      <c r="M5162" s="460">
        <f t="shared" si="186"/>
        <v>0.05</v>
      </c>
      <c r="N5162" s="464">
        <f t="shared" si="187"/>
        <v>208160</v>
      </c>
    </row>
    <row r="5163" spans="7:14" ht="11.25" customHeight="1" x14ac:dyDescent="0.3">
      <c r="G5163" s="459"/>
      <c r="H5163" s="459">
        <v>5156</v>
      </c>
      <c r="I5163" s="444">
        <f t="shared" ca="1" si="185"/>
        <v>-468571532661071.25</v>
      </c>
      <c r="J5163" s="444">
        <f t="array" ref="J5163">IFERROR(INDEX('Retirement Calculator'!K:K,MATCH('Lorri 401b'!N5163,'Retirement Calculator'!A:A,0),0),0)</f>
        <v>0</v>
      </c>
      <c r="K5163" s="444">
        <f t="shared" ca="1" si="183"/>
        <v>-1952381386087.7971</v>
      </c>
      <c r="L5163" s="444">
        <f t="shared" ca="1" si="184"/>
        <v>-470523914047159.06</v>
      </c>
      <c r="M5163" s="460">
        <f t="shared" si="186"/>
        <v>0.05</v>
      </c>
      <c r="N5163" s="464">
        <f t="shared" si="187"/>
        <v>208191</v>
      </c>
    </row>
    <row r="5164" spans="7:14" ht="11.25" customHeight="1" x14ac:dyDescent="0.3">
      <c r="G5164" s="459"/>
      <c r="H5164" s="459">
        <v>5157</v>
      </c>
      <c r="I5164" s="444">
        <f t="shared" ca="1" si="185"/>
        <v>-470523914047159.06</v>
      </c>
      <c r="J5164" s="444">
        <f t="array" ref="J5164">IFERROR(INDEX('Retirement Calculator'!K:K,MATCH('Lorri 401b'!N5164,'Retirement Calculator'!A:A,0),0),0)</f>
        <v>0</v>
      </c>
      <c r="K5164" s="444">
        <f t="shared" ca="1" si="183"/>
        <v>-1960516308529.8293</v>
      </c>
      <c r="L5164" s="444">
        <f t="shared" ca="1" si="184"/>
        <v>-472484430355688.88</v>
      </c>
      <c r="M5164" s="460">
        <f t="shared" si="186"/>
        <v>0.05</v>
      </c>
      <c r="N5164" s="464">
        <f t="shared" si="187"/>
        <v>208222</v>
      </c>
    </row>
    <row r="5165" spans="7:14" ht="11.25" customHeight="1" x14ac:dyDescent="0.3">
      <c r="G5165" s="459"/>
      <c r="H5165" s="459">
        <v>5158</v>
      </c>
      <c r="I5165" s="444">
        <f t="shared" ca="1" si="185"/>
        <v>-472484430355688.88</v>
      </c>
      <c r="J5165" s="444">
        <f t="array" ref="J5165">IFERROR(INDEX('Retirement Calculator'!K:K,MATCH('Lorri 401b'!N5165,'Retirement Calculator'!A:A,0),0),0)</f>
        <v>0</v>
      </c>
      <c r="K5165" s="444">
        <f t="shared" ca="1" si="183"/>
        <v>-1968685126482.0369</v>
      </c>
      <c r="L5165" s="444">
        <f t="shared" ca="1" si="184"/>
        <v>-474453115482170.94</v>
      </c>
      <c r="M5165" s="460">
        <f t="shared" si="186"/>
        <v>0.05</v>
      </c>
      <c r="N5165" s="464">
        <f t="shared" si="187"/>
        <v>208250</v>
      </c>
    </row>
    <row r="5166" spans="7:14" ht="11.25" customHeight="1" x14ac:dyDescent="0.3">
      <c r="G5166" s="459"/>
      <c r="H5166" s="459">
        <v>5159</v>
      </c>
      <c r="I5166" s="444">
        <f t="shared" ca="1" si="185"/>
        <v>-474453115482170.94</v>
      </c>
      <c r="J5166" s="444">
        <f t="array" ref="J5166">IFERROR(INDEX('Retirement Calculator'!K:K,MATCH('Lorri 401b'!N5166,'Retirement Calculator'!A:A,0),0),0)</f>
        <v>0</v>
      </c>
      <c r="K5166" s="444">
        <f t="shared" ca="1" si="183"/>
        <v>-1976887981175.7122</v>
      </c>
      <c r="L5166" s="444">
        <f t="shared" ca="1" si="184"/>
        <v>-476430003463346.63</v>
      </c>
      <c r="M5166" s="460">
        <f t="shared" si="186"/>
        <v>0.05</v>
      </c>
      <c r="N5166" s="464">
        <f t="shared" si="187"/>
        <v>208281</v>
      </c>
    </row>
    <row r="5167" spans="7:14" ht="11.25" customHeight="1" x14ac:dyDescent="0.3">
      <c r="G5167" s="459"/>
      <c r="H5167" s="459">
        <v>5160</v>
      </c>
      <c r="I5167" s="444">
        <f t="shared" ca="1" si="185"/>
        <v>-476430003463346.63</v>
      </c>
      <c r="J5167" s="444">
        <f t="array" ref="J5167">IFERROR(INDEX('Retirement Calculator'!K:K,MATCH('Lorri 401b'!N5167,'Retirement Calculator'!A:A,0),0),0)</f>
        <v>0</v>
      </c>
      <c r="K5167" s="444">
        <f t="shared" ca="1" si="183"/>
        <v>-1985125014430.6108</v>
      </c>
      <c r="L5167" s="444">
        <f t="shared" ca="1" si="184"/>
        <v>-478415128477777.25</v>
      </c>
      <c r="M5167" s="460">
        <f t="shared" si="186"/>
        <v>0.05</v>
      </c>
      <c r="N5167" s="464">
        <f t="shared" si="187"/>
        <v>208311</v>
      </c>
    </row>
    <row r="5168" spans="7:14" ht="11.25" customHeight="1" x14ac:dyDescent="0.3">
      <c r="G5168" s="459"/>
      <c r="H5168" s="459">
        <v>5161</v>
      </c>
      <c r="I5168" s="444">
        <f t="shared" ca="1" si="185"/>
        <v>-478415128477777.25</v>
      </c>
      <c r="J5168" s="444">
        <f t="array" ref="J5168">IFERROR(INDEX('Retirement Calculator'!K:K,MATCH('Lorri 401b'!N5168,'Retirement Calculator'!A:A,0),0),0)</f>
        <v>0</v>
      </c>
      <c r="K5168" s="444">
        <f t="shared" ca="1" si="183"/>
        <v>-1993396368657.405</v>
      </c>
      <c r="L5168" s="444">
        <f t="shared" ca="1" si="184"/>
        <v>-480408524846434.63</v>
      </c>
      <c r="M5168" s="460">
        <f t="shared" si="186"/>
        <v>0.05</v>
      </c>
      <c r="N5168" s="464">
        <f t="shared" si="187"/>
        <v>208342</v>
      </c>
    </row>
    <row r="5169" spans="7:14" ht="11.25" customHeight="1" x14ac:dyDescent="0.3">
      <c r="G5169" s="459"/>
      <c r="H5169" s="459">
        <v>5162</v>
      </c>
      <c r="I5169" s="444">
        <f t="shared" ca="1" si="185"/>
        <v>-480408524846434.63</v>
      </c>
      <c r="J5169" s="444">
        <f t="array" ref="J5169">IFERROR(INDEX('Retirement Calculator'!K:K,MATCH('Lorri 401b'!N5169,'Retirement Calculator'!A:A,0),0),0)</f>
        <v>0</v>
      </c>
      <c r="K5169" s="444">
        <f t="shared" ca="1" si="183"/>
        <v>-2001702186860.1443</v>
      </c>
      <c r="L5169" s="444">
        <f t="shared" ca="1" si="184"/>
        <v>-482410227033294.75</v>
      </c>
      <c r="M5169" s="460">
        <f t="shared" si="186"/>
        <v>0.05</v>
      </c>
      <c r="N5169" s="464">
        <f t="shared" si="187"/>
        <v>208372</v>
      </c>
    </row>
    <row r="5170" spans="7:14" ht="11.25" customHeight="1" x14ac:dyDescent="0.3">
      <c r="G5170" s="459"/>
      <c r="H5170" s="459">
        <v>5163</v>
      </c>
      <c r="I5170" s="444">
        <f t="shared" ca="1" si="185"/>
        <v>-482410227033294.75</v>
      </c>
      <c r="J5170" s="444">
        <f t="array" ref="J5170">IFERROR(INDEX('Retirement Calculator'!K:K,MATCH('Lorri 401b'!N5170,'Retirement Calculator'!A:A,0),0),0)</f>
        <v>0</v>
      </c>
      <c r="K5170" s="444">
        <f t="shared" ca="1" si="183"/>
        <v>-2010042612638.728</v>
      </c>
      <c r="L5170" s="444">
        <f t="shared" ca="1" si="184"/>
        <v>-484420269645933.5</v>
      </c>
      <c r="M5170" s="460">
        <f t="shared" si="186"/>
        <v>0.05</v>
      </c>
      <c r="N5170" s="464">
        <f t="shared" si="187"/>
        <v>208403</v>
      </c>
    </row>
    <row r="5171" spans="7:14" ht="11.25" customHeight="1" x14ac:dyDescent="0.3">
      <c r="G5171" s="459"/>
      <c r="H5171" s="459">
        <v>5164</v>
      </c>
      <c r="I5171" s="444">
        <f t="shared" ca="1" si="185"/>
        <v>-484420269645933.5</v>
      </c>
      <c r="J5171" s="444">
        <f t="array" ref="J5171">IFERROR(INDEX('Retirement Calculator'!K:K,MATCH('Lorri 401b'!N5171,'Retirement Calculator'!A:A,0),0),0)</f>
        <v>0</v>
      </c>
      <c r="K5171" s="444">
        <f t="shared" ca="1" si="183"/>
        <v>-2018417790191.3899</v>
      </c>
      <c r="L5171" s="444">
        <f t="shared" ca="1" si="184"/>
        <v>-486438687436124.88</v>
      </c>
      <c r="M5171" s="460">
        <f t="shared" si="186"/>
        <v>0.05</v>
      </c>
      <c r="N5171" s="464">
        <f t="shared" si="187"/>
        <v>208434</v>
      </c>
    </row>
    <row r="5172" spans="7:14" ht="11.25" customHeight="1" x14ac:dyDescent="0.3">
      <c r="G5172" s="459"/>
      <c r="H5172" s="459">
        <v>5165</v>
      </c>
      <c r="I5172" s="444">
        <f t="shared" ca="1" si="185"/>
        <v>-486438687436124.88</v>
      </c>
      <c r="J5172" s="444">
        <f t="array" ref="J5172">IFERROR(INDEX('Retirement Calculator'!K:K,MATCH('Lorri 401b'!N5172,'Retirement Calculator'!A:A,0),0),0)</f>
        <v>0</v>
      </c>
      <c r="K5172" s="444">
        <f t="shared" ca="1" si="183"/>
        <v>-2026827864317.187</v>
      </c>
      <c r="L5172" s="444">
        <f t="shared" ca="1" si="184"/>
        <v>-488465515300442.06</v>
      </c>
      <c r="M5172" s="460">
        <f t="shared" si="186"/>
        <v>0.05</v>
      </c>
      <c r="N5172" s="464">
        <f t="shared" si="187"/>
        <v>208464</v>
      </c>
    </row>
    <row r="5173" spans="7:14" ht="11.25" customHeight="1" x14ac:dyDescent="0.3">
      <c r="G5173" s="459"/>
      <c r="H5173" s="459">
        <v>5166</v>
      </c>
      <c r="I5173" s="444">
        <f t="shared" ca="1" si="185"/>
        <v>-488465515300442.06</v>
      </c>
      <c r="J5173" s="444">
        <f t="array" ref="J5173">IFERROR(INDEX('Retirement Calculator'!K:K,MATCH('Lorri 401b'!N5173,'Retirement Calculator'!A:A,0),0),0)</f>
        <v>0</v>
      </c>
      <c r="K5173" s="444">
        <f t="shared" ca="1" si="183"/>
        <v>-2035272980418.5085</v>
      </c>
      <c r="L5173" s="444">
        <f t="shared" ca="1" si="184"/>
        <v>-490500788280860.56</v>
      </c>
      <c r="M5173" s="460">
        <f t="shared" si="186"/>
        <v>0.05</v>
      </c>
      <c r="N5173" s="464">
        <f t="shared" si="187"/>
        <v>208495</v>
      </c>
    </row>
    <row r="5174" spans="7:14" ht="11.25" customHeight="1" x14ac:dyDescent="0.3">
      <c r="G5174" s="459"/>
      <c r="H5174" s="459">
        <v>5167</v>
      </c>
      <c r="I5174" s="444">
        <f t="shared" ca="1" si="185"/>
        <v>-490500788280860.56</v>
      </c>
      <c r="J5174" s="444">
        <f t="array" ref="J5174">IFERROR(INDEX('Retirement Calculator'!K:K,MATCH('Lorri 401b'!N5174,'Retirement Calculator'!A:A,0),0),0)</f>
        <v>0</v>
      </c>
      <c r="K5174" s="444">
        <f t="shared" ca="1" si="183"/>
        <v>-2043753284503.5857</v>
      </c>
      <c r="L5174" s="444">
        <f t="shared" ca="1" si="184"/>
        <v>-492544541565364.13</v>
      </c>
      <c r="M5174" s="460">
        <f t="shared" si="186"/>
        <v>0.05</v>
      </c>
      <c r="N5174" s="464">
        <f t="shared" si="187"/>
        <v>208525</v>
      </c>
    </row>
    <row r="5175" spans="7:14" ht="11.25" customHeight="1" x14ac:dyDescent="0.3">
      <c r="G5175" s="459"/>
      <c r="H5175" s="459">
        <v>5168</v>
      </c>
      <c r="I5175" s="444">
        <f t="shared" ca="1" si="185"/>
        <v>-492544541565364.13</v>
      </c>
      <c r="J5175" s="444">
        <f t="array" ref="J5175">IFERROR(INDEX('Retirement Calculator'!K:K,MATCH('Lorri 401b'!N5175,'Retirement Calculator'!A:A,0),0),0)</f>
        <v>0</v>
      </c>
      <c r="K5175" s="444">
        <f t="shared" ca="1" si="183"/>
        <v>-2052268923189.0171</v>
      </c>
      <c r="L5175" s="444">
        <f t="shared" ca="1" si="184"/>
        <v>-494596810488553.13</v>
      </c>
      <c r="M5175" s="460">
        <f t="shared" si="186"/>
        <v>0.05</v>
      </c>
      <c r="N5175" s="464">
        <f t="shared" si="187"/>
        <v>208556</v>
      </c>
    </row>
    <row r="5176" spans="7:14" ht="11.25" customHeight="1" x14ac:dyDescent="0.3">
      <c r="G5176" s="459"/>
      <c r="H5176" s="459">
        <v>5169</v>
      </c>
      <c r="I5176" s="444">
        <f t="shared" ca="1" si="185"/>
        <v>-494596810488553.13</v>
      </c>
      <c r="J5176" s="444">
        <f t="array" ref="J5176">IFERROR(INDEX('Retirement Calculator'!K:K,MATCH('Lorri 401b'!N5176,'Retirement Calculator'!A:A,0),0),0)</f>
        <v>0</v>
      </c>
      <c r="K5176" s="444">
        <f t="shared" ca="1" si="183"/>
        <v>-2060820043702.3047</v>
      </c>
      <c r="L5176" s="444">
        <f t="shared" ca="1" si="184"/>
        <v>-496657630532255.44</v>
      </c>
      <c r="M5176" s="460">
        <f t="shared" si="186"/>
        <v>0.05</v>
      </c>
      <c r="N5176" s="464">
        <f t="shared" si="187"/>
        <v>208587</v>
      </c>
    </row>
    <row r="5177" spans="7:14" ht="11.25" customHeight="1" x14ac:dyDescent="0.3">
      <c r="G5177" s="459"/>
      <c r="H5177" s="459">
        <v>5170</v>
      </c>
      <c r="I5177" s="444">
        <f t="shared" ca="1" si="185"/>
        <v>-496657630532255.44</v>
      </c>
      <c r="J5177" s="444">
        <f t="array" ref="J5177">IFERROR(INDEX('Retirement Calculator'!K:K,MATCH('Lorri 401b'!N5177,'Retirement Calculator'!A:A,0),0),0)</f>
        <v>0</v>
      </c>
      <c r="K5177" s="444">
        <f t="shared" ca="1" si="183"/>
        <v>-2069406793884.3977</v>
      </c>
      <c r="L5177" s="444">
        <f t="shared" ca="1" si="184"/>
        <v>-498727037326139.81</v>
      </c>
      <c r="M5177" s="460">
        <f t="shared" si="186"/>
        <v>0.05</v>
      </c>
      <c r="N5177" s="464">
        <f t="shared" si="187"/>
        <v>208615</v>
      </c>
    </row>
    <row r="5178" spans="7:14" ht="11.25" customHeight="1" x14ac:dyDescent="0.3">
      <c r="G5178" s="459"/>
      <c r="H5178" s="459">
        <v>5171</v>
      </c>
      <c r="I5178" s="444">
        <f t="shared" ca="1" si="185"/>
        <v>-498727037326139.81</v>
      </c>
      <c r="J5178" s="444">
        <f t="array" ref="J5178">IFERROR(INDEX('Retirement Calculator'!K:K,MATCH('Lorri 401b'!N5178,'Retirement Calculator'!A:A,0),0),0)</f>
        <v>0</v>
      </c>
      <c r="K5178" s="444">
        <f t="shared" ca="1" si="183"/>
        <v>-2078029322192.2495</v>
      </c>
      <c r="L5178" s="444">
        <f t="shared" ca="1" si="184"/>
        <v>-500805066648332.06</v>
      </c>
      <c r="M5178" s="460">
        <f t="shared" si="186"/>
        <v>0.05</v>
      </c>
      <c r="N5178" s="464">
        <f t="shared" si="187"/>
        <v>208646</v>
      </c>
    </row>
    <row r="5179" spans="7:14" ht="11.25" customHeight="1" x14ac:dyDescent="0.3">
      <c r="G5179" s="459"/>
      <c r="H5179" s="459">
        <v>5172</v>
      </c>
      <c r="I5179" s="444">
        <f t="shared" ca="1" si="185"/>
        <v>-500805066648332.06</v>
      </c>
      <c r="J5179" s="444">
        <f t="array" ref="J5179">IFERROR(INDEX('Retirement Calculator'!K:K,MATCH('Lorri 401b'!N5179,'Retirement Calculator'!A:A,0),0),0)</f>
        <v>0</v>
      </c>
      <c r="K5179" s="444">
        <f t="shared" ca="1" si="183"/>
        <v>-2086687777701.3833</v>
      </c>
      <c r="L5179" s="444">
        <f t="shared" ca="1" si="184"/>
        <v>-502891754426033.44</v>
      </c>
      <c r="M5179" s="460">
        <f t="shared" si="186"/>
        <v>0.05</v>
      </c>
      <c r="N5179" s="464">
        <f t="shared" si="187"/>
        <v>208676</v>
      </c>
    </row>
    <row r="5180" spans="7:14" ht="11.25" customHeight="1" x14ac:dyDescent="0.3">
      <c r="G5180" s="459"/>
      <c r="H5180" s="459">
        <v>5173</v>
      </c>
      <c r="I5180" s="444">
        <f t="shared" ca="1" si="185"/>
        <v>-502891754426033.44</v>
      </c>
      <c r="J5180" s="444">
        <f t="array" ref="J5180">IFERROR(INDEX('Retirement Calculator'!K:K,MATCH('Lorri 401b'!N5180,'Retirement Calculator'!A:A,0),0),0)</f>
        <v>0</v>
      </c>
      <c r="K5180" s="444">
        <f t="shared" ca="1" si="183"/>
        <v>-2095382310108.4727</v>
      </c>
      <c r="L5180" s="444">
        <f t="shared" ca="1" si="184"/>
        <v>-504987136736141.94</v>
      </c>
      <c r="M5180" s="460">
        <f t="shared" si="186"/>
        <v>0.05</v>
      </c>
      <c r="N5180" s="464">
        <f t="shared" si="187"/>
        <v>208707</v>
      </c>
    </row>
    <row r="5181" spans="7:14" ht="11.25" customHeight="1" x14ac:dyDescent="0.3">
      <c r="G5181" s="459"/>
      <c r="H5181" s="459">
        <v>5174</v>
      </c>
      <c r="I5181" s="444">
        <f t="shared" ca="1" si="185"/>
        <v>-504987136736141.94</v>
      </c>
      <c r="J5181" s="444">
        <f t="array" ref="J5181">IFERROR(INDEX('Retirement Calculator'!K:K,MATCH('Lorri 401b'!N5181,'Retirement Calculator'!A:A,0),0),0)</f>
        <v>0</v>
      </c>
      <c r="K5181" s="444">
        <f t="shared" ca="1" si="183"/>
        <v>-2104113069733.9248</v>
      </c>
      <c r="L5181" s="444">
        <f t="shared" ca="1" si="184"/>
        <v>-507091249805875.88</v>
      </c>
      <c r="M5181" s="460">
        <f t="shared" si="186"/>
        <v>0.05</v>
      </c>
      <c r="N5181" s="464">
        <f t="shared" si="187"/>
        <v>208737</v>
      </c>
    </row>
    <row r="5182" spans="7:14" ht="11.25" customHeight="1" x14ac:dyDescent="0.3">
      <c r="G5182" s="459"/>
      <c r="H5182" s="459">
        <v>5175</v>
      </c>
      <c r="I5182" s="444">
        <f t="shared" ca="1" si="185"/>
        <v>-507091249805875.88</v>
      </c>
      <c r="J5182" s="444">
        <f t="array" ref="J5182">IFERROR(INDEX('Retirement Calculator'!K:K,MATCH('Lorri 401b'!N5182,'Retirement Calculator'!A:A,0),0),0)</f>
        <v>0</v>
      </c>
      <c r="K5182" s="444">
        <f t="shared" ca="1" si="183"/>
        <v>-2112880207524.4832</v>
      </c>
      <c r="L5182" s="444">
        <f t="shared" ca="1" si="184"/>
        <v>-509204130013400.38</v>
      </c>
      <c r="M5182" s="460">
        <f t="shared" si="186"/>
        <v>0.05</v>
      </c>
      <c r="N5182" s="464">
        <f t="shared" si="187"/>
        <v>208768</v>
      </c>
    </row>
    <row r="5183" spans="7:14" ht="11.25" customHeight="1" x14ac:dyDescent="0.3">
      <c r="G5183" s="459"/>
      <c r="H5183" s="459">
        <v>5176</v>
      </c>
      <c r="I5183" s="444">
        <f t="shared" ca="1" si="185"/>
        <v>-509204130013400.38</v>
      </c>
      <c r="J5183" s="444">
        <f t="array" ref="J5183">IFERROR(INDEX('Retirement Calculator'!K:K,MATCH('Lorri 401b'!N5183,'Retirement Calculator'!A:A,0),0),0)</f>
        <v>0</v>
      </c>
      <c r="K5183" s="444">
        <f t="shared" ca="1" si="183"/>
        <v>-2121683875055.8352</v>
      </c>
      <c r="L5183" s="444">
        <f t="shared" ca="1" si="184"/>
        <v>-511325813888456.19</v>
      </c>
      <c r="M5183" s="460">
        <f t="shared" si="186"/>
        <v>0.05</v>
      </c>
      <c r="N5183" s="464">
        <f t="shared" si="187"/>
        <v>208799</v>
      </c>
    </row>
    <row r="5184" spans="7:14" ht="11.25" customHeight="1" x14ac:dyDescent="0.3">
      <c r="G5184" s="459"/>
      <c r="H5184" s="459">
        <v>5177</v>
      </c>
      <c r="I5184" s="444">
        <f t="shared" ca="1" si="185"/>
        <v>-511325813888456.19</v>
      </c>
      <c r="J5184" s="444">
        <f t="array" ref="J5184">IFERROR(INDEX('Retirement Calculator'!K:K,MATCH('Lorri 401b'!N5184,'Retirement Calculator'!A:A,0),0),0)</f>
        <v>0</v>
      </c>
      <c r="K5184" s="444">
        <f t="shared" ca="1" si="183"/>
        <v>-2130524224535.2344</v>
      </c>
      <c r="L5184" s="444">
        <f t="shared" ca="1" si="184"/>
        <v>-513456338112991.44</v>
      </c>
      <c r="M5184" s="460">
        <f t="shared" si="186"/>
        <v>0.05</v>
      </c>
      <c r="N5184" s="464">
        <f t="shared" si="187"/>
        <v>208829</v>
      </c>
    </row>
    <row r="5185" spans="7:14" ht="11.25" customHeight="1" x14ac:dyDescent="0.3">
      <c r="G5185" s="459"/>
      <c r="H5185" s="459">
        <v>5178</v>
      </c>
      <c r="I5185" s="444">
        <f t="shared" ca="1" si="185"/>
        <v>-513456338112991.44</v>
      </c>
      <c r="J5185" s="444">
        <f t="array" ref="J5185">IFERROR(INDEX('Retirement Calculator'!K:K,MATCH('Lorri 401b'!N5185,'Retirement Calculator'!A:A,0),0),0)</f>
        <v>0</v>
      </c>
      <c r="K5185" s="444">
        <f t="shared" ca="1" si="183"/>
        <v>-2139401408804.1309</v>
      </c>
      <c r="L5185" s="444">
        <f t="shared" ca="1" si="184"/>
        <v>-515595739521795.56</v>
      </c>
      <c r="M5185" s="460">
        <f t="shared" si="186"/>
        <v>0.05</v>
      </c>
      <c r="N5185" s="464">
        <f t="shared" si="187"/>
        <v>208860</v>
      </c>
    </row>
    <row r="5186" spans="7:14" ht="11.25" customHeight="1" x14ac:dyDescent="0.3">
      <c r="G5186" s="459"/>
      <c r="H5186" s="459">
        <v>5179</v>
      </c>
      <c r="I5186" s="444">
        <f t="shared" ca="1" si="185"/>
        <v>-515595739521795.56</v>
      </c>
      <c r="J5186" s="444">
        <f t="array" ref="J5186">IFERROR(INDEX('Retirement Calculator'!K:K,MATCH('Lorri 401b'!N5186,'Retirement Calculator'!A:A,0),0),0)</f>
        <v>0</v>
      </c>
      <c r="K5186" s="444">
        <f t="shared" ca="1" si="183"/>
        <v>-2148315581340.8152</v>
      </c>
      <c r="L5186" s="444">
        <f t="shared" ca="1" si="184"/>
        <v>-517744055103136.38</v>
      </c>
      <c r="M5186" s="460">
        <f t="shared" si="186"/>
        <v>0.05</v>
      </c>
      <c r="N5186" s="464">
        <f t="shared" si="187"/>
        <v>208890</v>
      </c>
    </row>
    <row r="5187" spans="7:14" ht="11.25" customHeight="1" x14ac:dyDescent="0.3">
      <c r="G5187" s="459"/>
      <c r="H5187" s="459">
        <v>5180</v>
      </c>
      <c r="I5187" s="444">
        <f t="shared" ca="1" si="185"/>
        <v>-517744055103136.38</v>
      </c>
      <c r="J5187" s="444">
        <f t="array" ref="J5187">IFERROR(INDEX('Retirement Calculator'!K:K,MATCH('Lorri 401b'!N5187,'Retirement Calculator'!A:A,0),0),0)</f>
        <v>0</v>
      </c>
      <c r="K5187" s="444">
        <f t="shared" ca="1" si="183"/>
        <v>-2157266896263.0681</v>
      </c>
      <c r="L5187" s="444">
        <f t="shared" ca="1" si="184"/>
        <v>-519901321999399.44</v>
      </c>
      <c r="M5187" s="460">
        <f t="shared" si="186"/>
        <v>0.05</v>
      </c>
      <c r="N5187" s="464">
        <f t="shared" si="187"/>
        <v>208921</v>
      </c>
    </row>
    <row r="5188" spans="7:14" ht="11.25" customHeight="1" x14ac:dyDescent="0.3">
      <c r="G5188" s="459"/>
      <c r="H5188" s="459">
        <v>5181</v>
      </c>
      <c r="I5188" s="444">
        <f t="shared" ca="1" si="185"/>
        <v>-519901321999399.44</v>
      </c>
      <c r="J5188" s="444">
        <f t="array" ref="J5188">IFERROR(INDEX('Retirement Calculator'!K:K,MATCH('Lorri 401b'!N5188,'Retirement Calculator'!A:A,0),0),0)</f>
        <v>0</v>
      </c>
      <c r="K5188" s="444">
        <f t="shared" ca="1" si="183"/>
        <v>-2166255508330.8313</v>
      </c>
      <c r="L5188" s="444">
        <f t="shared" ca="1" si="184"/>
        <v>-522067577507730.25</v>
      </c>
      <c r="M5188" s="460">
        <f t="shared" si="186"/>
        <v>0.05</v>
      </c>
      <c r="N5188" s="464">
        <f t="shared" si="187"/>
        <v>208952</v>
      </c>
    </row>
    <row r="5189" spans="7:14" ht="11.25" customHeight="1" x14ac:dyDescent="0.3">
      <c r="G5189" s="459"/>
      <c r="H5189" s="459">
        <v>5182</v>
      </c>
      <c r="I5189" s="444">
        <f t="shared" ca="1" si="185"/>
        <v>-522067577507730.25</v>
      </c>
      <c r="J5189" s="444">
        <f t="array" ref="J5189">IFERROR(INDEX('Retirement Calculator'!K:K,MATCH('Lorri 401b'!N5189,'Retirement Calculator'!A:A,0),0),0)</f>
        <v>0</v>
      </c>
      <c r="K5189" s="444">
        <f t="shared" ca="1" si="183"/>
        <v>-2175281572948.876</v>
      </c>
      <c r="L5189" s="444">
        <f t="shared" ca="1" si="184"/>
        <v>-524242859080679.13</v>
      </c>
      <c r="M5189" s="460">
        <f t="shared" si="186"/>
        <v>0.05</v>
      </c>
      <c r="N5189" s="464">
        <f t="shared" si="187"/>
        <v>208981</v>
      </c>
    </row>
    <row r="5190" spans="7:14" ht="11.25" customHeight="1" x14ac:dyDescent="0.3">
      <c r="G5190" s="459"/>
      <c r="H5190" s="459">
        <v>5183</v>
      </c>
      <c r="I5190" s="444">
        <f t="shared" ca="1" si="185"/>
        <v>-524242859080679.13</v>
      </c>
      <c r="J5190" s="444">
        <f t="array" ref="J5190">IFERROR(INDEX('Retirement Calculator'!K:K,MATCH('Lorri 401b'!N5190,'Retirement Calculator'!A:A,0),0),0)</f>
        <v>0</v>
      </c>
      <c r="K5190" s="444">
        <f t="shared" ca="1" si="183"/>
        <v>-2184345246169.4961</v>
      </c>
      <c r="L5190" s="444">
        <f t="shared" ca="1" si="184"/>
        <v>-526427204326848.63</v>
      </c>
      <c r="M5190" s="460">
        <f t="shared" si="186"/>
        <v>0.05</v>
      </c>
      <c r="N5190" s="464">
        <f t="shared" si="187"/>
        <v>209012</v>
      </c>
    </row>
    <row r="5191" spans="7:14" ht="11.25" customHeight="1" x14ac:dyDescent="0.3">
      <c r="G5191" s="459"/>
      <c r="H5191" s="459">
        <v>5184</v>
      </c>
      <c r="I5191" s="444">
        <f t="shared" ca="1" si="185"/>
        <v>-526427204326848.63</v>
      </c>
      <c r="J5191" s="444">
        <f t="array" ref="J5191">IFERROR(INDEX('Retirement Calculator'!K:K,MATCH('Lorri 401b'!N5191,'Retirement Calculator'!A:A,0),0),0)</f>
        <v>0</v>
      </c>
      <c r="K5191" s="444">
        <f t="shared" ca="1" si="183"/>
        <v>-2193446684695.2026</v>
      </c>
      <c r="L5191" s="444">
        <f t="shared" ca="1" si="184"/>
        <v>-528620651011543.81</v>
      </c>
      <c r="M5191" s="460">
        <f t="shared" si="186"/>
        <v>0.05</v>
      </c>
      <c r="N5191" s="464">
        <f t="shared" si="187"/>
        <v>209042</v>
      </c>
    </row>
    <row r="5192" spans="7:14" ht="11.25" customHeight="1" x14ac:dyDescent="0.3">
      <c r="G5192" s="459"/>
      <c r="H5192" s="459">
        <v>5185</v>
      </c>
      <c r="I5192" s="444">
        <f t="shared" ca="1" si="185"/>
        <v>-528620651011543.81</v>
      </c>
      <c r="J5192" s="444">
        <f t="array" ref="J5192">IFERROR(INDEX('Retirement Calculator'!K:K,MATCH('Lorri 401b'!N5192,'Retirement Calculator'!A:A,0),0),0)</f>
        <v>0</v>
      </c>
      <c r="K5192" s="444">
        <f t="shared" ca="1" si="183"/>
        <v>-2202586045881.4326</v>
      </c>
      <c r="L5192" s="444">
        <f t="shared" ca="1" si="184"/>
        <v>-530823237057425.25</v>
      </c>
      <c r="M5192" s="460">
        <f t="shared" si="186"/>
        <v>0.05</v>
      </c>
      <c r="N5192" s="464">
        <f t="shared" si="187"/>
        <v>209073</v>
      </c>
    </row>
    <row r="5193" spans="7:14" ht="11.25" customHeight="1" x14ac:dyDescent="0.3">
      <c r="G5193" s="459"/>
      <c r="H5193" s="459">
        <v>5186</v>
      </c>
      <c r="I5193" s="444">
        <f t="shared" ca="1" si="185"/>
        <v>-530823237057425.25</v>
      </c>
      <c r="J5193" s="444">
        <f t="array" ref="J5193">IFERROR(INDEX('Retirement Calculator'!K:K,MATCH('Lorri 401b'!N5193,'Retirement Calculator'!A:A,0),0),0)</f>
        <v>0</v>
      </c>
      <c r="K5193" s="444">
        <f t="shared" ca="1" si="183"/>
        <v>-2211763487739.272</v>
      </c>
      <c r="L5193" s="444">
        <f t="shared" ca="1" si="184"/>
        <v>-533035000545164.5</v>
      </c>
      <c r="M5193" s="460">
        <f t="shared" si="186"/>
        <v>0.05</v>
      </c>
      <c r="N5193" s="464">
        <f t="shared" si="187"/>
        <v>209103</v>
      </c>
    </row>
    <row r="5194" spans="7:14" ht="11.25" customHeight="1" x14ac:dyDescent="0.3">
      <c r="G5194" s="459"/>
      <c r="H5194" s="459">
        <v>5187</v>
      </c>
      <c r="I5194" s="444">
        <f t="shared" ca="1" si="185"/>
        <v>-533035000545164.5</v>
      </c>
      <c r="J5194" s="444">
        <f t="array" ref="J5194">IFERROR(INDEX('Retirement Calculator'!K:K,MATCH('Lorri 401b'!N5194,'Retirement Calculator'!A:A,0),0),0)</f>
        <v>0</v>
      </c>
      <c r="K5194" s="444">
        <f t="shared" ca="1" si="183"/>
        <v>-2220979168938.1851</v>
      </c>
      <c r="L5194" s="444">
        <f t="shared" ca="1" si="184"/>
        <v>-535255979714102.69</v>
      </c>
      <c r="M5194" s="460">
        <f t="shared" si="186"/>
        <v>0.05</v>
      </c>
      <c r="N5194" s="464">
        <f t="shared" si="187"/>
        <v>209134</v>
      </c>
    </row>
    <row r="5195" spans="7:14" ht="11.25" customHeight="1" x14ac:dyDescent="0.3">
      <c r="G5195" s="459"/>
      <c r="H5195" s="459">
        <v>5188</v>
      </c>
      <c r="I5195" s="444">
        <f t="shared" ca="1" si="185"/>
        <v>-535255979714102.69</v>
      </c>
      <c r="J5195" s="444">
        <f t="array" ref="J5195">IFERROR(INDEX('Retirement Calculator'!K:K,MATCH('Lorri 401b'!N5195,'Retirement Calculator'!A:A,0),0),0)</f>
        <v>0</v>
      </c>
      <c r="K5195" s="444">
        <f t="shared" ca="1" si="183"/>
        <v>-2230233248808.7612</v>
      </c>
      <c r="L5195" s="444">
        <f t="shared" ca="1" si="184"/>
        <v>-537486212962911.44</v>
      </c>
      <c r="M5195" s="460">
        <f t="shared" si="186"/>
        <v>0.05</v>
      </c>
      <c r="N5195" s="464">
        <f t="shared" si="187"/>
        <v>209165</v>
      </c>
    </row>
    <row r="5196" spans="7:14" ht="11.25" customHeight="1" x14ac:dyDescent="0.3">
      <c r="G5196" s="459"/>
      <c r="H5196" s="459">
        <v>5189</v>
      </c>
      <c r="I5196" s="444">
        <f t="shared" ca="1" si="185"/>
        <v>-537486212962911.44</v>
      </c>
      <c r="J5196" s="444">
        <f t="array" ref="J5196">IFERROR(INDEX('Retirement Calculator'!K:K,MATCH('Lorri 401b'!N5196,'Retirement Calculator'!A:A,0),0),0)</f>
        <v>0</v>
      </c>
      <c r="K5196" s="444">
        <f t="shared" ca="1" si="183"/>
        <v>-2239525887345.4644</v>
      </c>
      <c r="L5196" s="444">
        <f t="shared" ca="1" si="184"/>
        <v>-539725738850256.88</v>
      </c>
      <c r="M5196" s="460">
        <f t="shared" si="186"/>
        <v>0.05</v>
      </c>
      <c r="N5196" s="464">
        <f t="shared" si="187"/>
        <v>209195</v>
      </c>
    </row>
    <row r="5197" spans="7:14" ht="11.25" customHeight="1" x14ac:dyDescent="0.3">
      <c r="G5197" s="459"/>
      <c r="H5197" s="459">
        <v>5190</v>
      </c>
      <c r="I5197" s="444">
        <f t="shared" ca="1" si="185"/>
        <v>-539725738850256.88</v>
      </c>
      <c r="J5197" s="444">
        <f t="array" ref="J5197">IFERROR(INDEX('Retirement Calculator'!K:K,MATCH('Lorri 401b'!N5197,'Retirement Calculator'!A:A,0),0),0)</f>
        <v>0</v>
      </c>
      <c r="K5197" s="444">
        <f t="shared" ca="1" si="183"/>
        <v>-2248857245209.4038</v>
      </c>
      <c r="L5197" s="444">
        <f t="shared" ca="1" si="184"/>
        <v>-541974596095466.25</v>
      </c>
      <c r="M5197" s="460">
        <f t="shared" si="186"/>
        <v>0.05</v>
      </c>
      <c r="N5197" s="464">
        <f t="shared" si="187"/>
        <v>209226</v>
      </c>
    </row>
    <row r="5198" spans="7:14" ht="11.25" customHeight="1" x14ac:dyDescent="0.3">
      <c r="G5198" s="459"/>
      <c r="H5198" s="459">
        <v>5191</v>
      </c>
      <c r="I5198" s="444">
        <f t="shared" ca="1" si="185"/>
        <v>-541974596095466.25</v>
      </c>
      <c r="J5198" s="444">
        <f t="array" ref="J5198">IFERROR(INDEX('Retirement Calculator'!K:K,MATCH('Lorri 401b'!N5198,'Retirement Calculator'!A:A,0),0),0)</f>
        <v>0</v>
      </c>
      <c r="K5198" s="444">
        <f t="shared" ca="1" si="183"/>
        <v>-2258227483731.1094</v>
      </c>
      <c r="L5198" s="444">
        <f t="shared" ca="1" si="184"/>
        <v>-544232823579197.38</v>
      </c>
      <c r="M5198" s="460">
        <f t="shared" si="186"/>
        <v>0.05</v>
      </c>
      <c r="N5198" s="464">
        <f t="shared" si="187"/>
        <v>209256</v>
      </c>
    </row>
    <row r="5199" spans="7:14" ht="11.25" customHeight="1" x14ac:dyDescent="0.3">
      <c r="G5199" s="459"/>
      <c r="H5199" s="459">
        <v>5192</v>
      </c>
      <c r="I5199" s="444">
        <f t="shared" ca="1" si="185"/>
        <v>-544232823579197.38</v>
      </c>
      <c r="J5199" s="444">
        <f t="array" ref="J5199">IFERROR(INDEX('Retirement Calculator'!K:K,MATCH('Lorri 401b'!N5199,'Retirement Calculator'!A:A,0),0),0)</f>
        <v>0</v>
      </c>
      <c r="K5199" s="444">
        <f t="shared" ca="1" si="183"/>
        <v>-2267636764913.3223</v>
      </c>
      <c r="L5199" s="444">
        <f t="shared" ca="1" si="184"/>
        <v>-546500460344110.69</v>
      </c>
      <c r="M5199" s="460">
        <f t="shared" si="186"/>
        <v>0.05</v>
      </c>
      <c r="N5199" s="464">
        <f t="shared" si="187"/>
        <v>209287</v>
      </c>
    </row>
    <row r="5200" spans="7:14" ht="11.25" customHeight="1" x14ac:dyDescent="0.3">
      <c r="G5200" s="459"/>
      <c r="H5200" s="459">
        <v>5193</v>
      </c>
      <c r="I5200" s="444">
        <f t="shared" ca="1" si="185"/>
        <v>-546500460344110.69</v>
      </c>
      <c r="J5200" s="444">
        <f t="array" ref="J5200">IFERROR(INDEX('Retirement Calculator'!K:K,MATCH('Lorri 401b'!N5200,'Retirement Calculator'!A:A,0),0),0)</f>
        <v>0</v>
      </c>
      <c r="K5200" s="444">
        <f t="shared" ca="1" si="183"/>
        <v>-2277085251433.7944</v>
      </c>
      <c r="L5200" s="444">
        <f t="shared" ca="1" si="184"/>
        <v>-548777545595544.5</v>
      </c>
      <c r="M5200" s="460">
        <f t="shared" si="186"/>
        <v>0.05</v>
      </c>
      <c r="N5200" s="464">
        <f t="shared" si="187"/>
        <v>209318</v>
      </c>
    </row>
    <row r="5201" spans="7:14" ht="11.25" customHeight="1" x14ac:dyDescent="0.3">
      <c r="G5201" s="459"/>
      <c r="H5201" s="459">
        <v>5194</v>
      </c>
      <c r="I5201" s="444">
        <f t="shared" ca="1" si="185"/>
        <v>-548777545595544.5</v>
      </c>
      <c r="J5201" s="444">
        <f t="array" ref="J5201">IFERROR(INDEX('Retirement Calculator'!K:K,MATCH('Lorri 401b'!N5201,'Retirement Calculator'!A:A,0),0),0)</f>
        <v>0</v>
      </c>
      <c r="K5201" s="444">
        <f t="shared" ca="1" si="183"/>
        <v>-2286573106648.1021</v>
      </c>
      <c r="L5201" s="444">
        <f t="shared" ca="1" si="184"/>
        <v>-551064118702192.63</v>
      </c>
      <c r="M5201" s="460">
        <f t="shared" si="186"/>
        <v>0.05</v>
      </c>
      <c r="N5201" s="464">
        <f t="shared" si="187"/>
        <v>209346</v>
      </c>
    </row>
    <row r="5202" spans="7:14" ht="11.25" customHeight="1" x14ac:dyDescent="0.3">
      <c r="G5202" s="459"/>
      <c r="H5202" s="459">
        <v>5195</v>
      </c>
      <c r="I5202" s="444">
        <f t="shared" ca="1" si="185"/>
        <v>-551064118702192.63</v>
      </c>
      <c r="J5202" s="444">
        <f t="array" ref="J5202">IFERROR(INDEX('Retirement Calculator'!K:K,MATCH('Lorri 401b'!N5202,'Retirement Calculator'!A:A,0),0),0)</f>
        <v>0</v>
      </c>
      <c r="K5202" s="444">
        <f t="shared" ca="1" si="183"/>
        <v>-2296100494592.4692</v>
      </c>
      <c r="L5202" s="444">
        <f t="shared" ca="1" si="184"/>
        <v>-553360219196785.13</v>
      </c>
      <c r="M5202" s="460">
        <f t="shared" si="186"/>
        <v>0.05</v>
      </c>
      <c r="N5202" s="464">
        <f t="shared" si="187"/>
        <v>209377</v>
      </c>
    </row>
    <row r="5203" spans="7:14" ht="11.25" customHeight="1" x14ac:dyDescent="0.3">
      <c r="G5203" s="459"/>
      <c r="H5203" s="459">
        <v>5196</v>
      </c>
      <c r="I5203" s="444">
        <f t="shared" ca="1" si="185"/>
        <v>-553360219196785.13</v>
      </c>
      <c r="J5203" s="444">
        <f t="array" ref="J5203">IFERROR(INDEX('Retirement Calculator'!K:K,MATCH('Lorri 401b'!N5203,'Retirement Calculator'!A:A,0),0),0)</f>
        <v>0</v>
      </c>
      <c r="K5203" s="444">
        <f t="shared" ca="1" si="183"/>
        <v>-2305667579986.6045</v>
      </c>
      <c r="L5203" s="444">
        <f t="shared" ca="1" si="184"/>
        <v>-555665886776771.75</v>
      </c>
      <c r="M5203" s="460">
        <f t="shared" si="186"/>
        <v>0.05</v>
      </c>
      <c r="N5203" s="464">
        <f t="shared" si="187"/>
        <v>209407</v>
      </c>
    </row>
    <row r="5204" spans="7:14" ht="11.25" customHeight="1" x14ac:dyDescent="0.3">
      <c r="G5204" s="459"/>
      <c r="H5204" s="459">
        <v>5197</v>
      </c>
      <c r="I5204" s="444">
        <f t="shared" ca="1" si="185"/>
        <v>-555665886776771.75</v>
      </c>
      <c r="J5204" s="444">
        <f t="array" ref="J5204">IFERROR(INDEX('Retirement Calculator'!K:K,MATCH('Lorri 401b'!N5204,'Retirement Calculator'!A:A,0),0),0)</f>
        <v>0</v>
      </c>
      <c r="K5204" s="444">
        <f t="shared" ca="1" si="183"/>
        <v>-2315274528236.5488</v>
      </c>
      <c r="L5204" s="444">
        <f t="shared" ca="1" si="184"/>
        <v>-557981161305008.31</v>
      </c>
      <c r="M5204" s="460">
        <f t="shared" si="186"/>
        <v>0.05</v>
      </c>
      <c r="N5204" s="464">
        <f t="shared" si="187"/>
        <v>209438</v>
      </c>
    </row>
    <row r="5205" spans="7:14" ht="11.25" customHeight="1" x14ac:dyDescent="0.3">
      <c r="G5205" s="459"/>
      <c r="H5205" s="459">
        <v>5198</v>
      </c>
      <c r="I5205" s="444">
        <f t="shared" ca="1" si="185"/>
        <v>-557981161305008.31</v>
      </c>
      <c r="J5205" s="444">
        <f t="array" ref="J5205">IFERROR(INDEX('Retirement Calculator'!K:K,MATCH('Lorri 401b'!N5205,'Retirement Calculator'!A:A,0),0),0)</f>
        <v>0</v>
      </c>
      <c r="K5205" s="444">
        <f t="shared" ca="1" si="183"/>
        <v>-2324921505437.5347</v>
      </c>
      <c r="L5205" s="444">
        <f t="shared" ca="1" si="184"/>
        <v>-560306082810445.88</v>
      </c>
      <c r="M5205" s="460">
        <f t="shared" si="186"/>
        <v>0.05</v>
      </c>
      <c r="N5205" s="464">
        <f t="shared" si="187"/>
        <v>209468</v>
      </c>
    </row>
    <row r="5206" spans="7:14" ht="11.25" customHeight="1" x14ac:dyDescent="0.3">
      <c r="G5206" s="459"/>
      <c r="H5206" s="459">
        <v>5199</v>
      </c>
      <c r="I5206" s="444">
        <f t="shared" ca="1" si="185"/>
        <v>-560306082810445.88</v>
      </c>
      <c r="J5206" s="444">
        <f t="array" ref="J5206">IFERROR(INDEX('Retirement Calculator'!K:K,MATCH('Lorri 401b'!N5206,'Retirement Calculator'!A:A,0),0),0)</f>
        <v>0</v>
      </c>
      <c r="K5206" s="444">
        <f t="shared" ca="1" si="183"/>
        <v>-2334608678376.8579</v>
      </c>
      <c r="L5206" s="444">
        <f t="shared" ca="1" si="184"/>
        <v>-562640691488822.75</v>
      </c>
      <c r="M5206" s="460">
        <f t="shared" si="186"/>
        <v>0.05</v>
      </c>
      <c r="N5206" s="464">
        <f t="shared" si="187"/>
        <v>209499</v>
      </c>
    </row>
    <row r="5207" spans="7:14" ht="11.25" customHeight="1" x14ac:dyDescent="0.3">
      <c r="G5207" s="459"/>
      <c r="H5207" s="459">
        <v>5200</v>
      </c>
      <c r="I5207" s="444">
        <f t="shared" ca="1" si="185"/>
        <v>-562640691488822.75</v>
      </c>
      <c r="J5207" s="444">
        <f t="array" ref="J5207">IFERROR(INDEX('Retirement Calculator'!K:K,MATCH('Lorri 401b'!N5207,'Retirement Calculator'!A:A,0),0),0)</f>
        <v>0</v>
      </c>
      <c r="K5207" s="444">
        <f t="shared" ca="1" si="183"/>
        <v>-2344336214536.7617</v>
      </c>
      <c r="L5207" s="444">
        <f t="shared" ca="1" si="184"/>
        <v>-564985027703359.5</v>
      </c>
      <c r="M5207" s="460">
        <f t="shared" si="186"/>
        <v>0.05</v>
      </c>
      <c r="N5207" s="464">
        <f t="shared" si="187"/>
        <v>209530</v>
      </c>
    </row>
    <row r="5208" spans="7:14" ht="11.25" customHeight="1" x14ac:dyDescent="0.3">
      <c r="G5208" s="459"/>
      <c r="H5208" s="459">
        <v>5201</v>
      </c>
      <c r="I5208" s="444">
        <f t="shared" ca="1" si="185"/>
        <v>-564985027703359.5</v>
      </c>
      <c r="J5208" s="444">
        <f t="array" ref="J5208">IFERROR(INDEX('Retirement Calculator'!K:K,MATCH('Lorri 401b'!N5208,'Retirement Calculator'!A:A,0),0),0)</f>
        <v>0</v>
      </c>
      <c r="K5208" s="444">
        <f t="shared" ca="1" si="183"/>
        <v>-2354104282097.3311</v>
      </c>
      <c r="L5208" s="444">
        <f t="shared" ca="1" si="184"/>
        <v>-567339131985456.88</v>
      </c>
      <c r="M5208" s="460">
        <f t="shared" si="186"/>
        <v>0.05</v>
      </c>
      <c r="N5208" s="464">
        <f t="shared" si="187"/>
        <v>209560</v>
      </c>
    </row>
    <row r="5209" spans="7:14" ht="11.25" customHeight="1" x14ac:dyDescent="0.3">
      <c r="G5209" s="459"/>
      <c r="H5209" s="459">
        <v>5202</v>
      </c>
      <c r="I5209" s="444">
        <f t="shared" ca="1" si="185"/>
        <v>-567339131985456.88</v>
      </c>
      <c r="J5209" s="444">
        <f t="array" ref="J5209">IFERROR(INDEX('Retirement Calculator'!K:K,MATCH('Lorri 401b'!N5209,'Retirement Calculator'!A:A,0),0),0)</f>
        <v>0</v>
      </c>
      <c r="K5209" s="444">
        <f t="shared" ca="1" si="183"/>
        <v>-2363913049939.4038</v>
      </c>
      <c r="L5209" s="444">
        <f t="shared" ca="1" si="184"/>
        <v>-569703045035396.25</v>
      </c>
      <c r="M5209" s="460">
        <f t="shared" si="186"/>
        <v>0.05</v>
      </c>
      <c r="N5209" s="464">
        <f t="shared" si="187"/>
        <v>209591</v>
      </c>
    </row>
    <row r="5210" spans="7:14" ht="11.25" customHeight="1" x14ac:dyDescent="0.3">
      <c r="G5210" s="459"/>
      <c r="H5210" s="459">
        <v>5203</v>
      </c>
      <c r="I5210" s="444">
        <f t="shared" ca="1" si="185"/>
        <v>-569703045035396.25</v>
      </c>
      <c r="J5210" s="444">
        <f t="array" ref="J5210">IFERROR(INDEX('Retirement Calculator'!K:K,MATCH('Lorri 401b'!N5210,'Retirement Calculator'!A:A,0),0),0)</f>
        <v>0</v>
      </c>
      <c r="K5210" s="444">
        <f t="shared" ca="1" si="183"/>
        <v>-2373762687647.4844</v>
      </c>
      <c r="L5210" s="444">
        <f t="shared" ca="1" si="184"/>
        <v>-572076807723043.75</v>
      </c>
      <c r="M5210" s="460">
        <f t="shared" si="186"/>
        <v>0.05</v>
      </c>
      <c r="N5210" s="464">
        <f t="shared" si="187"/>
        <v>209621</v>
      </c>
    </row>
    <row r="5211" spans="7:14" ht="11.25" customHeight="1" x14ac:dyDescent="0.3">
      <c r="G5211" s="459"/>
      <c r="H5211" s="459">
        <v>5204</v>
      </c>
      <c r="I5211" s="444">
        <f t="shared" ca="1" si="185"/>
        <v>-572076807723043.75</v>
      </c>
      <c r="J5211" s="444">
        <f t="array" ref="J5211">IFERROR(INDEX('Retirement Calculator'!K:K,MATCH('Lorri 401b'!N5211,'Retirement Calculator'!A:A,0),0),0)</f>
        <v>0</v>
      </c>
      <c r="K5211" s="444">
        <f t="shared" ca="1" si="183"/>
        <v>-2383653365512.6821</v>
      </c>
      <c r="L5211" s="444">
        <f t="shared" ca="1" si="184"/>
        <v>-574460461088556.38</v>
      </c>
      <c r="M5211" s="460">
        <f t="shared" si="186"/>
        <v>0.05</v>
      </c>
      <c r="N5211" s="464">
        <f t="shared" si="187"/>
        <v>209652</v>
      </c>
    </row>
    <row r="5212" spans="7:14" ht="11.25" customHeight="1" x14ac:dyDescent="0.3">
      <c r="G5212" s="459"/>
      <c r="H5212" s="459">
        <v>5205</v>
      </c>
      <c r="I5212" s="444">
        <f t="shared" ca="1" si="185"/>
        <v>-574460461088556.38</v>
      </c>
      <c r="J5212" s="444">
        <f t="array" ref="J5212">IFERROR(INDEX('Retirement Calculator'!K:K,MATCH('Lorri 401b'!N5212,'Retirement Calculator'!A:A,0),0),0)</f>
        <v>0</v>
      </c>
      <c r="K5212" s="444">
        <f t="shared" ca="1" si="183"/>
        <v>-2393585254535.6514</v>
      </c>
      <c r="L5212" s="444">
        <f t="shared" ca="1" si="184"/>
        <v>-576854046343092</v>
      </c>
      <c r="M5212" s="460">
        <f t="shared" si="186"/>
        <v>0.05</v>
      </c>
      <c r="N5212" s="464">
        <f t="shared" si="187"/>
        <v>209683</v>
      </c>
    </row>
    <row r="5213" spans="7:14" ht="11.25" customHeight="1" x14ac:dyDescent="0.3">
      <c r="G5213" s="459"/>
      <c r="H5213" s="459">
        <v>5206</v>
      </c>
      <c r="I5213" s="444">
        <f t="shared" ca="1" si="185"/>
        <v>-576854046343092</v>
      </c>
      <c r="J5213" s="444">
        <f t="array" ref="J5213">IFERROR(INDEX('Retirement Calculator'!K:K,MATCH('Lorri 401b'!N5213,'Retirement Calculator'!A:A,0),0),0)</f>
        <v>0</v>
      </c>
      <c r="K5213" s="444">
        <f t="shared" ca="1" si="183"/>
        <v>-2403558526429.5498</v>
      </c>
      <c r="L5213" s="444">
        <f t="shared" ca="1" si="184"/>
        <v>-579257604869521.5</v>
      </c>
      <c r="M5213" s="460">
        <f t="shared" si="186"/>
        <v>0.05</v>
      </c>
      <c r="N5213" s="464">
        <f t="shared" si="187"/>
        <v>209711</v>
      </c>
    </row>
    <row r="5214" spans="7:14" ht="11.25" customHeight="1" x14ac:dyDescent="0.3">
      <c r="G5214" s="459"/>
      <c r="H5214" s="459">
        <v>5207</v>
      </c>
      <c r="I5214" s="444">
        <f t="shared" ca="1" si="185"/>
        <v>-579257604869521.5</v>
      </c>
      <c r="J5214" s="444">
        <f t="array" ref="J5214">IFERROR(INDEX('Retirement Calculator'!K:K,MATCH('Lorri 401b'!N5214,'Retirement Calculator'!A:A,0),0),0)</f>
        <v>0</v>
      </c>
      <c r="K5214" s="444">
        <f t="shared" ca="1" si="183"/>
        <v>-2413573353623.0063</v>
      </c>
      <c r="L5214" s="444">
        <f t="shared" ca="1" si="184"/>
        <v>-581671178223144.5</v>
      </c>
      <c r="M5214" s="460">
        <f t="shared" si="186"/>
        <v>0.05</v>
      </c>
      <c r="N5214" s="464">
        <f t="shared" si="187"/>
        <v>209742</v>
      </c>
    </row>
    <row r="5215" spans="7:14" ht="11.25" customHeight="1" x14ac:dyDescent="0.3">
      <c r="G5215" s="459"/>
      <c r="H5215" s="459">
        <v>5208</v>
      </c>
      <c r="I5215" s="444">
        <f t="shared" ca="1" si="185"/>
        <v>-581671178223144.5</v>
      </c>
      <c r="J5215" s="444">
        <f t="array" ref="J5215">IFERROR(INDEX('Retirement Calculator'!K:K,MATCH('Lorri 401b'!N5215,'Retirement Calculator'!A:A,0),0),0)</f>
        <v>0</v>
      </c>
      <c r="K5215" s="444">
        <f t="shared" ca="1" si="183"/>
        <v>-2423629909263.1021</v>
      </c>
      <c r="L5215" s="444">
        <f t="shared" ca="1" si="184"/>
        <v>-584094808132407.63</v>
      </c>
      <c r="M5215" s="460">
        <f t="shared" si="186"/>
        <v>0.05</v>
      </c>
      <c r="N5215" s="464">
        <f t="shared" si="187"/>
        <v>209772</v>
      </c>
    </row>
    <row r="5216" spans="7:14" ht="11.25" customHeight="1" x14ac:dyDescent="0.3">
      <c r="G5216" s="459"/>
      <c r="H5216" s="459">
        <v>5209</v>
      </c>
      <c r="I5216" s="444">
        <f t="shared" ca="1" si="185"/>
        <v>-584094808132407.63</v>
      </c>
      <c r="J5216" s="444">
        <f t="array" ref="J5216">IFERROR(INDEX('Retirement Calculator'!K:K,MATCH('Lorri 401b'!N5216,'Retirement Calculator'!A:A,0),0),0)</f>
        <v>0</v>
      </c>
      <c r="K5216" s="444">
        <f t="shared" ca="1" si="183"/>
        <v>-2433728367218.3652</v>
      </c>
      <c r="L5216" s="444">
        <f t="shared" ca="1" si="184"/>
        <v>-586528536499626</v>
      </c>
      <c r="M5216" s="460">
        <f t="shared" si="186"/>
        <v>0.05</v>
      </c>
      <c r="N5216" s="464">
        <f t="shared" si="187"/>
        <v>209803</v>
      </c>
    </row>
    <row r="5217" spans="7:14" ht="11.25" customHeight="1" x14ac:dyDescent="0.3">
      <c r="G5217" s="459"/>
      <c r="H5217" s="459">
        <v>5210</v>
      </c>
      <c r="I5217" s="444">
        <f t="shared" ca="1" si="185"/>
        <v>-586528536499626</v>
      </c>
      <c r="J5217" s="444">
        <f t="array" ref="J5217">IFERROR(INDEX('Retirement Calculator'!K:K,MATCH('Lorri 401b'!N5217,'Retirement Calculator'!A:A,0),0),0)</f>
        <v>0</v>
      </c>
      <c r="K5217" s="444">
        <f t="shared" ca="1" si="183"/>
        <v>-2443868902081.7749</v>
      </c>
      <c r="L5217" s="444">
        <f t="shared" ca="1" si="184"/>
        <v>-588972405401707.75</v>
      </c>
      <c r="M5217" s="460">
        <f t="shared" si="186"/>
        <v>0.05</v>
      </c>
      <c r="N5217" s="464">
        <f t="shared" si="187"/>
        <v>209833</v>
      </c>
    </row>
    <row r="5218" spans="7:14" ht="11.25" customHeight="1" x14ac:dyDescent="0.3">
      <c r="G5218" s="459"/>
      <c r="H5218" s="459">
        <v>5211</v>
      </c>
      <c r="I5218" s="444">
        <f t="shared" ca="1" si="185"/>
        <v>-588972405401707.75</v>
      </c>
      <c r="J5218" s="444">
        <f t="array" ref="J5218">IFERROR(INDEX('Retirement Calculator'!K:K,MATCH('Lorri 401b'!N5218,'Retirement Calculator'!A:A,0),0),0)</f>
        <v>0</v>
      </c>
      <c r="K5218" s="444">
        <f t="shared" ca="1" si="183"/>
        <v>-2454051689173.7822</v>
      </c>
      <c r="L5218" s="444">
        <f t="shared" ca="1" si="184"/>
        <v>-591426457090881.5</v>
      </c>
      <c r="M5218" s="460">
        <f t="shared" si="186"/>
        <v>0.05</v>
      </c>
      <c r="N5218" s="464">
        <f t="shared" si="187"/>
        <v>209864</v>
      </c>
    </row>
    <row r="5219" spans="7:14" ht="11.25" customHeight="1" x14ac:dyDescent="0.3">
      <c r="G5219" s="459"/>
      <c r="H5219" s="459">
        <v>5212</v>
      </c>
      <c r="I5219" s="444">
        <f t="shared" ca="1" si="185"/>
        <v>-591426457090881.5</v>
      </c>
      <c r="J5219" s="444">
        <f t="array" ref="J5219">IFERROR(INDEX('Retirement Calculator'!K:K,MATCH('Lorri 401b'!N5219,'Retirement Calculator'!A:A,0),0),0)</f>
        <v>0</v>
      </c>
      <c r="K5219" s="444">
        <f t="shared" ca="1" si="183"/>
        <v>-2464276904545.3394</v>
      </c>
      <c r="L5219" s="444">
        <f t="shared" ca="1" si="184"/>
        <v>-593890733995426.88</v>
      </c>
      <c r="M5219" s="460">
        <f t="shared" si="186"/>
        <v>0.05</v>
      </c>
      <c r="N5219" s="464">
        <f t="shared" si="187"/>
        <v>209895</v>
      </c>
    </row>
    <row r="5220" spans="7:14" ht="11.25" customHeight="1" x14ac:dyDescent="0.3">
      <c r="G5220" s="459"/>
      <c r="H5220" s="459">
        <v>5213</v>
      </c>
      <c r="I5220" s="444">
        <f t="shared" ca="1" si="185"/>
        <v>-593890733995426.88</v>
      </c>
      <c r="J5220" s="444">
        <f t="array" ref="J5220">IFERROR(INDEX('Retirement Calculator'!K:K,MATCH('Lorri 401b'!N5220,'Retirement Calculator'!A:A,0),0),0)</f>
        <v>0</v>
      </c>
      <c r="K5220" s="444">
        <f t="shared" ca="1" si="183"/>
        <v>-2474544724980.9453</v>
      </c>
      <c r="L5220" s="444">
        <f t="shared" ca="1" si="184"/>
        <v>-596365278720407.88</v>
      </c>
      <c r="M5220" s="460">
        <f t="shared" si="186"/>
        <v>0.05</v>
      </c>
      <c r="N5220" s="464">
        <f t="shared" si="187"/>
        <v>209925</v>
      </c>
    </row>
    <row r="5221" spans="7:14" ht="11.25" customHeight="1" x14ac:dyDescent="0.3">
      <c r="G5221" s="459"/>
      <c r="H5221" s="459">
        <v>5214</v>
      </c>
      <c r="I5221" s="444">
        <f t="shared" ca="1" si="185"/>
        <v>-596365278720407.88</v>
      </c>
      <c r="J5221" s="444">
        <f t="array" ref="J5221">IFERROR(INDEX('Retirement Calculator'!K:K,MATCH('Lorri 401b'!N5221,'Retirement Calculator'!A:A,0),0),0)</f>
        <v>0</v>
      </c>
      <c r="K5221" s="444">
        <f t="shared" ca="1" si="183"/>
        <v>-2484855328001.6992</v>
      </c>
      <c r="L5221" s="444">
        <f t="shared" ca="1" si="184"/>
        <v>-598850134048409.63</v>
      </c>
      <c r="M5221" s="460">
        <f t="shared" si="186"/>
        <v>0.05</v>
      </c>
      <c r="N5221" s="464">
        <f t="shared" si="187"/>
        <v>209956</v>
      </c>
    </row>
    <row r="5222" spans="7:14" ht="11.25" customHeight="1" x14ac:dyDescent="0.3">
      <c r="G5222" s="459"/>
      <c r="H5222" s="459">
        <v>5215</v>
      </c>
      <c r="I5222" s="444">
        <f t="shared" ca="1" si="185"/>
        <v>-598850134048409.63</v>
      </c>
      <c r="J5222" s="444">
        <f t="array" ref="J5222">IFERROR(INDEX('Retirement Calculator'!K:K,MATCH('Lorri 401b'!N5222,'Retirement Calculator'!A:A,0),0),0)</f>
        <v>0</v>
      </c>
      <c r="K5222" s="444">
        <f t="shared" ca="1" si="183"/>
        <v>-2495208891868.3735</v>
      </c>
      <c r="L5222" s="444">
        <f t="shared" ca="1" si="184"/>
        <v>-601345342940278</v>
      </c>
      <c r="M5222" s="460">
        <f t="shared" si="186"/>
        <v>0.05</v>
      </c>
      <c r="N5222" s="464">
        <f t="shared" si="187"/>
        <v>209986</v>
      </c>
    </row>
    <row r="5223" spans="7:14" ht="11.25" customHeight="1" x14ac:dyDescent="0.3">
      <c r="G5223" s="459"/>
      <c r="H5223" s="459">
        <v>5216</v>
      </c>
      <c r="I5223" s="444">
        <f t="shared" ca="1" si="185"/>
        <v>-601345342940278</v>
      </c>
      <c r="J5223" s="444">
        <f t="array" ref="J5223">IFERROR(INDEX('Retirement Calculator'!K:K,MATCH('Lorri 401b'!N5223,'Retirement Calculator'!A:A,0),0),0)</f>
        <v>0</v>
      </c>
      <c r="K5223" s="444">
        <f t="shared" ca="1" si="183"/>
        <v>-2505605595584.4917</v>
      </c>
      <c r="L5223" s="444">
        <f t="shared" ca="1" si="184"/>
        <v>-603850948535862.5</v>
      </c>
      <c r="M5223" s="460">
        <f t="shared" si="186"/>
        <v>0.05</v>
      </c>
      <c r="N5223" s="464">
        <f t="shared" si="187"/>
        <v>210017</v>
      </c>
    </row>
    <row r="5224" spans="7:14" ht="11.25" customHeight="1" x14ac:dyDescent="0.3">
      <c r="G5224" s="459"/>
      <c r="H5224" s="459">
        <v>5217</v>
      </c>
      <c r="I5224" s="444">
        <f t="shared" ca="1" si="185"/>
        <v>-603850948535862.5</v>
      </c>
      <c r="J5224" s="444">
        <f t="array" ref="J5224">IFERROR(INDEX('Retirement Calculator'!K:K,MATCH('Lorri 401b'!N5224,'Retirement Calculator'!A:A,0),0),0)</f>
        <v>0</v>
      </c>
      <c r="K5224" s="444">
        <f t="shared" ca="1" si="183"/>
        <v>-2516045618899.4272</v>
      </c>
      <c r="L5224" s="444">
        <f t="shared" ca="1" si="184"/>
        <v>-606366994154761.88</v>
      </c>
      <c r="M5224" s="460">
        <f t="shared" si="186"/>
        <v>0.05</v>
      </c>
      <c r="N5224" s="464">
        <f t="shared" si="187"/>
        <v>210048</v>
      </c>
    </row>
    <row r="5225" spans="7:14" ht="11.25" customHeight="1" x14ac:dyDescent="0.3">
      <c r="G5225" s="459"/>
      <c r="H5225" s="459">
        <v>5218</v>
      </c>
      <c r="I5225" s="444">
        <f t="shared" ca="1" si="185"/>
        <v>-606366994154761.88</v>
      </c>
      <c r="J5225" s="444">
        <f t="array" ref="J5225">IFERROR(INDEX('Retirement Calculator'!K:K,MATCH('Lorri 401b'!N5225,'Retirement Calculator'!A:A,0),0),0)</f>
        <v>0</v>
      </c>
      <c r="K5225" s="444">
        <f t="shared" ca="1" si="183"/>
        <v>-2526529142311.5078</v>
      </c>
      <c r="L5225" s="444">
        <f t="shared" ca="1" si="184"/>
        <v>-608893523297073.38</v>
      </c>
      <c r="M5225" s="460">
        <f t="shared" si="186"/>
        <v>0.05</v>
      </c>
      <c r="N5225" s="464">
        <f t="shared" si="187"/>
        <v>210076</v>
      </c>
    </row>
    <row r="5226" spans="7:14" ht="11.25" customHeight="1" x14ac:dyDescent="0.3">
      <c r="G5226" s="459"/>
      <c r="H5226" s="459">
        <v>5219</v>
      </c>
      <c r="I5226" s="444">
        <f t="shared" ca="1" si="185"/>
        <v>-608893523297073.38</v>
      </c>
      <c r="J5226" s="444">
        <f t="array" ref="J5226">IFERROR(INDEX('Retirement Calculator'!K:K,MATCH('Lorri 401b'!N5226,'Retirement Calculator'!A:A,0),0),0)</f>
        <v>0</v>
      </c>
      <c r="K5226" s="444">
        <f t="shared" ca="1" si="183"/>
        <v>-2537056347071.1392</v>
      </c>
      <c r="L5226" s="444">
        <f t="shared" ca="1" si="184"/>
        <v>-611430579644144.5</v>
      </c>
      <c r="M5226" s="460">
        <f t="shared" si="186"/>
        <v>0.05</v>
      </c>
      <c r="N5226" s="464">
        <f t="shared" si="187"/>
        <v>210107</v>
      </c>
    </row>
    <row r="5227" spans="7:14" ht="11.25" customHeight="1" x14ac:dyDescent="0.3">
      <c r="G5227" s="459"/>
      <c r="H5227" s="459">
        <v>5220</v>
      </c>
      <c r="I5227" s="444">
        <f t="shared" ca="1" si="185"/>
        <v>-611430579644144.5</v>
      </c>
      <c r="J5227" s="444">
        <f t="array" ref="J5227">IFERROR(INDEX('Retirement Calculator'!K:K,MATCH('Lorri 401b'!N5227,'Retirement Calculator'!A:A,0),0),0)</f>
        <v>0</v>
      </c>
      <c r="K5227" s="444">
        <f t="shared" ca="1" si="183"/>
        <v>-2547627415183.9355</v>
      </c>
      <c r="L5227" s="444">
        <f t="shared" ca="1" si="184"/>
        <v>-613978207059328.38</v>
      </c>
      <c r="M5227" s="460">
        <f t="shared" si="186"/>
        <v>0.05</v>
      </c>
      <c r="N5227" s="464">
        <f t="shared" si="187"/>
        <v>210137</v>
      </c>
    </row>
    <row r="5228" spans="7:14" ht="11.25" customHeight="1" x14ac:dyDescent="0.3">
      <c r="G5228" s="459"/>
      <c r="H5228" s="459">
        <v>5221</v>
      </c>
      <c r="I5228" s="444">
        <f t="shared" ca="1" si="185"/>
        <v>-613978207059328.38</v>
      </c>
      <c r="J5228" s="444">
        <f t="array" ref="J5228">IFERROR(INDEX('Retirement Calculator'!K:K,MATCH('Lorri 401b'!N5228,'Retirement Calculator'!A:A,0),0),0)</f>
        <v>0</v>
      </c>
      <c r="K5228" s="444">
        <f t="shared" ca="1" si="183"/>
        <v>-2558242529413.8682</v>
      </c>
      <c r="L5228" s="444">
        <f t="shared" ca="1" si="184"/>
        <v>-616536449588742.25</v>
      </c>
      <c r="M5228" s="460">
        <f t="shared" si="186"/>
        <v>0.05</v>
      </c>
      <c r="N5228" s="464">
        <f t="shared" si="187"/>
        <v>210168</v>
      </c>
    </row>
    <row r="5229" spans="7:14" ht="11.25" customHeight="1" x14ac:dyDescent="0.3">
      <c r="G5229" s="459"/>
      <c r="H5229" s="459">
        <v>5222</v>
      </c>
      <c r="I5229" s="444">
        <f t="shared" ca="1" si="185"/>
        <v>-616536449588742.25</v>
      </c>
      <c r="J5229" s="444">
        <f t="array" ref="J5229">IFERROR(INDEX('Retirement Calculator'!K:K,MATCH('Lorri 401b'!N5229,'Retirement Calculator'!A:A,0),0),0)</f>
        <v>0</v>
      </c>
      <c r="K5229" s="444">
        <f t="shared" ca="1" si="183"/>
        <v>-2568901873286.4258</v>
      </c>
      <c r="L5229" s="444">
        <f t="shared" ca="1" si="184"/>
        <v>-619105351462028.63</v>
      </c>
      <c r="M5229" s="460">
        <f t="shared" si="186"/>
        <v>0.05</v>
      </c>
      <c r="N5229" s="464">
        <f t="shared" si="187"/>
        <v>210198</v>
      </c>
    </row>
    <row r="5230" spans="7:14" ht="11.25" customHeight="1" x14ac:dyDescent="0.3">
      <c r="G5230" s="459"/>
      <c r="H5230" s="459">
        <v>5223</v>
      </c>
      <c r="I5230" s="444">
        <f t="shared" ca="1" si="185"/>
        <v>-619105351462028.63</v>
      </c>
      <c r="J5230" s="444">
        <f t="array" ref="J5230">IFERROR(INDEX('Retirement Calculator'!K:K,MATCH('Lorri 401b'!N5230,'Retirement Calculator'!A:A,0),0),0)</f>
        <v>0</v>
      </c>
      <c r="K5230" s="444">
        <f t="shared" ca="1" si="183"/>
        <v>-2579605631091.7861</v>
      </c>
      <c r="L5230" s="444">
        <f t="shared" ca="1" si="184"/>
        <v>-621684957093120.38</v>
      </c>
      <c r="M5230" s="460">
        <f t="shared" si="186"/>
        <v>0.05</v>
      </c>
      <c r="N5230" s="464">
        <f t="shared" si="187"/>
        <v>210229</v>
      </c>
    </row>
    <row r="5231" spans="7:14" ht="11.25" customHeight="1" x14ac:dyDescent="0.3">
      <c r="G5231" s="459"/>
      <c r="H5231" s="459">
        <v>5224</v>
      </c>
      <c r="I5231" s="444">
        <f t="shared" ca="1" si="185"/>
        <v>-621684957093120.38</v>
      </c>
      <c r="J5231" s="444">
        <f t="array" ref="J5231">IFERROR(INDEX('Retirement Calculator'!K:K,MATCH('Lorri 401b'!N5231,'Retirement Calculator'!A:A,0),0),0)</f>
        <v>0</v>
      </c>
      <c r="K5231" s="444">
        <f t="shared" ca="1" si="183"/>
        <v>-2590353987888.0015</v>
      </c>
      <c r="L5231" s="444">
        <f t="shared" ca="1" si="184"/>
        <v>-624275311081008.38</v>
      </c>
      <c r="M5231" s="460">
        <f t="shared" si="186"/>
        <v>0.05</v>
      </c>
      <c r="N5231" s="464">
        <f t="shared" si="187"/>
        <v>210260</v>
      </c>
    </row>
    <row r="5232" spans="7:14" ht="11.25" customHeight="1" x14ac:dyDescent="0.3">
      <c r="G5232" s="459"/>
      <c r="H5232" s="459">
        <v>5225</v>
      </c>
      <c r="I5232" s="444">
        <f t="shared" ca="1" si="185"/>
        <v>-624275311081008.38</v>
      </c>
      <c r="J5232" s="444">
        <f t="array" ref="J5232">IFERROR(INDEX('Retirement Calculator'!K:K,MATCH('Lorri 401b'!N5232,'Retirement Calculator'!A:A,0),0),0)</f>
        <v>0</v>
      </c>
      <c r="K5232" s="444">
        <f t="shared" ca="1" si="183"/>
        <v>-2601147129504.2017</v>
      </c>
      <c r="L5232" s="444">
        <f t="shared" ca="1" si="184"/>
        <v>-626876458210512.63</v>
      </c>
      <c r="M5232" s="460">
        <f t="shared" si="186"/>
        <v>0.05</v>
      </c>
      <c r="N5232" s="464">
        <f t="shared" si="187"/>
        <v>210290</v>
      </c>
    </row>
    <row r="5233" spans="7:14" ht="11.25" customHeight="1" x14ac:dyDescent="0.3">
      <c r="G5233" s="459"/>
      <c r="H5233" s="459">
        <v>5226</v>
      </c>
      <c r="I5233" s="444">
        <f t="shared" ca="1" si="185"/>
        <v>-626876458210512.63</v>
      </c>
      <c r="J5233" s="444">
        <f t="array" ref="J5233">IFERROR(INDEX('Retirement Calculator'!K:K,MATCH('Lorri 401b'!N5233,'Retirement Calculator'!A:A,0),0),0)</f>
        <v>0</v>
      </c>
      <c r="K5233" s="444">
        <f t="shared" ca="1" si="183"/>
        <v>-2611985242543.8027</v>
      </c>
      <c r="L5233" s="444">
        <f t="shared" ca="1" si="184"/>
        <v>-629488443453056.38</v>
      </c>
      <c r="M5233" s="460">
        <f t="shared" si="186"/>
        <v>0.05</v>
      </c>
      <c r="N5233" s="464">
        <f t="shared" si="187"/>
        <v>210321</v>
      </c>
    </row>
    <row r="5234" spans="7:14" ht="11.25" customHeight="1" x14ac:dyDescent="0.3">
      <c r="G5234" s="459"/>
      <c r="H5234" s="459">
        <v>5227</v>
      </c>
      <c r="I5234" s="444">
        <f t="shared" ca="1" si="185"/>
        <v>-629488443453056.38</v>
      </c>
      <c r="J5234" s="444">
        <f t="array" ref="J5234">IFERROR(INDEX('Retirement Calculator'!K:K,MATCH('Lorri 401b'!N5234,'Retirement Calculator'!A:A,0),0),0)</f>
        <v>0</v>
      </c>
      <c r="K5234" s="444">
        <f t="shared" ca="1" si="183"/>
        <v>-2622868514387.7349</v>
      </c>
      <c r="L5234" s="444">
        <f t="shared" ca="1" si="184"/>
        <v>-632111311967444.13</v>
      </c>
      <c r="M5234" s="460">
        <f t="shared" si="186"/>
        <v>0.05</v>
      </c>
      <c r="N5234" s="464">
        <f t="shared" si="187"/>
        <v>210351</v>
      </c>
    </row>
    <row r="5235" spans="7:14" ht="11.25" customHeight="1" x14ac:dyDescent="0.3">
      <c r="G5235" s="459"/>
      <c r="H5235" s="459">
        <v>5228</v>
      </c>
      <c r="I5235" s="444">
        <f t="shared" ca="1" si="185"/>
        <v>-632111311967444.13</v>
      </c>
      <c r="J5235" s="444">
        <f t="array" ref="J5235">IFERROR(INDEX('Retirement Calculator'!K:K,MATCH('Lorri 401b'!N5235,'Retirement Calculator'!A:A,0),0),0)</f>
        <v>0</v>
      </c>
      <c r="K5235" s="444">
        <f t="shared" ca="1" si="183"/>
        <v>-2633797133197.6836</v>
      </c>
      <c r="L5235" s="444">
        <f t="shared" ca="1" si="184"/>
        <v>-634745109100641.75</v>
      </c>
      <c r="M5235" s="460">
        <f t="shared" si="186"/>
        <v>0.05</v>
      </c>
      <c r="N5235" s="464">
        <f t="shared" si="187"/>
        <v>210382</v>
      </c>
    </row>
    <row r="5236" spans="7:14" ht="11.25" customHeight="1" x14ac:dyDescent="0.3">
      <c r="G5236" s="459"/>
      <c r="H5236" s="459">
        <v>5229</v>
      </c>
      <c r="I5236" s="444">
        <f t="shared" ca="1" si="185"/>
        <v>-634745109100641.75</v>
      </c>
      <c r="J5236" s="444">
        <f t="array" ref="J5236">IFERROR(INDEX('Retirement Calculator'!K:K,MATCH('Lorri 401b'!N5236,'Retirement Calculator'!A:A,0),0),0)</f>
        <v>0</v>
      </c>
      <c r="K5236" s="444">
        <f t="shared" ca="1" si="183"/>
        <v>-2644771287919.3408</v>
      </c>
      <c r="L5236" s="444">
        <f t="shared" ca="1" si="184"/>
        <v>-637389880388561.13</v>
      </c>
      <c r="M5236" s="460">
        <f t="shared" si="186"/>
        <v>0.05</v>
      </c>
      <c r="N5236" s="464">
        <f t="shared" si="187"/>
        <v>210413</v>
      </c>
    </row>
    <row r="5237" spans="7:14" ht="11.25" customHeight="1" x14ac:dyDescent="0.3">
      <c r="G5237" s="459"/>
      <c r="H5237" s="459">
        <v>5230</v>
      </c>
      <c r="I5237" s="444">
        <f t="shared" ca="1" si="185"/>
        <v>-637389880388561.13</v>
      </c>
      <c r="J5237" s="444">
        <f t="array" ref="J5237">IFERROR(INDEX('Retirement Calculator'!K:K,MATCH('Lorri 401b'!N5237,'Retirement Calculator'!A:A,0),0),0)</f>
        <v>0</v>
      </c>
      <c r="K5237" s="444">
        <f t="shared" ca="1" si="183"/>
        <v>-2655791168285.6714</v>
      </c>
      <c r="L5237" s="444">
        <f t="shared" ca="1" si="184"/>
        <v>-640045671556846.75</v>
      </c>
      <c r="M5237" s="460">
        <f t="shared" si="186"/>
        <v>0.05</v>
      </c>
      <c r="N5237" s="464">
        <f t="shared" si="187"/>
        <v>210442</v>
      </c>
    </row>
    <row r="5238" spans="7:14" ht="11.25" customHeight="1" x14ac:dyDescent="0.3">
      <c r="G5238" s="459"/>
      <c r="H5238" s="459">
        <v>5231</v>
      </c>
      <c r="I5238" s="444">
        <f t="shared" ca="1" si="185"/>
        <v>-640045671556846.75</v>
      </c>
      <c r="J5238" s="444">
        <f t="array" ref="J5238">IFERROR(INDEX('Retirement Calculator'!K:K,MATCH('Lorri 401b'!N5238,'Retirement Calculator'!A:A,0),0),0)</f>
        <v>0</v>
      </c>
      <c r="K5238" s="444">
        <f t="shared" ca="1" si="183"/>
        <v>-2666856964820.1948</v>
      </c>
      <c r="L5238" s="444">
        <f t="shared" ca="1" si="184"/>
        <v>-642712528521667</v>
      </c>
      <c r="M5238" s="460">
        <f t="shared" si="186"/>
        <v>0.05</v>
      </c>
      <c r="N5238" s="464">
        <f t="shared" si="187"/>
        <v>210473</v>
      </c>
    </row>
    <row r="5239" spans="7:14" ht="11.25" customHeight="1" x14ac:dyDescent="0.3">
      <c r="G5239" s="459"/>
      <c r="H5239" s="459">
        <v>5232</v>
      </c>
      <c r="I5239" s="444">
        <f t="shared" ca="1" si="185"/>
        <v>-642712528521667</v>
      </c>
      <c r="J5239" s="444">
        <f t="array" ref="J5239">IFERROR(INDEX('Retirement Calculator'!K:K,MATCH('Lorri 401b'!N5239,'Retirement Calculator'!A:A,0),0),0)</f>
        <v>0</v>
      </c>
      <c r="K5239" s="444">
        <f t="shared" ca="1" si="183"/>
        <v>-2677968868840.2793</v>
      </c>
      <c r="L5239" s="444">
        <f t="shared" ca="1" si="184"/>
        <v>-645390497390507.25</v>
      </c>
      <c r="M5239" s="460">
        <f t="shared" si="186"/>
        <v>0.05</v>
      </c>
      <c r="N5239" s="464">
        <f t="shared" si="187"/>
        <v>210503</v>
      </c>
    </row>
    <row r="5240" spans="7:14" ht="11.25" customHeight="1" x14ac:dyDescent="0.3">
      <c r="G5240" s="459"/>
      <c r="H5240" s="459">
        <v>5233</v>
      </c>
      <c r="I5240" s="444">
        <f t="shared" ca="1" si="185"/>
        <v>-645390497390507.25</v>
      </c>
      <c r="J5240" s="444">
        <f t="array" ref="J5240">IFERROR(INDEX('Retirement Calculator'!K:K,MATCH('Lorri 401b'!N5240,'Retirement Calculator'!A:A,0),0),0)</f>
        <v>0</v>
      </c>
      <c r="K5240" s="444">
        <f t="shared" ca="1" si="183"/>
        <v>-2689127072460.4468</v>
      </c>
      <c r="L5240" s="444">
        <f t="shared" ca="1" si="184"/>
        <v>-648079624462967.75</v>
      </c>
      <c r="M5240" s="460">
        <f t="shared" si="186"/>
        <v>0.05</v>
      </c>
      <c r="N5240" s="464">
        <f t="shared" si="187"/>
        <v>210534</v>
      </c>
    </row>
    <row r="5241" spans="7:14" ht="11.25" customHeight="1" x14ac:dyDescent="0.3">
      <c r="G5241" s="459"/>
      <c r="H5241" s="459">
        <v>5234</v>
      </c>
      <c r="I5241" s="444">
        <f t="shared" ca="1" si="185"/>
        <v>-648079624462967.75</v>
      </c>
      <c r="J5241" s="444">
        <f t="array" ref="J5241">IFERROR(INDEX('Retirement Calculator'!K:K,MATCH('Lorri 401b'!N5241,'Retirement Calculator'!A:A,0),0),0)</f>
        <v>0</v>
      </c>
      <c r="K5241" s="444">
        <f t="shared" ca="1" si="183"/>
        <v>-2700331768595.6987</v>
      </c>
      <c r="L5241" s="444">
        <f t="shared" ca="1" si="184"/>
        <v>-650779956231563.5</v>
      </c>
      <c r="M5241" s="460">
        <f t="shared" si="186"/>
        <v>0.05</v>
      </c>
      <c r="N5241" s="464">
        <f t="shared" si="187"/>
        <v>210564</v>
      </c>
    </row>
    <row r="5242" spans="7:14" ht="11.25" customHeight="1" x14ac:dyDescent="0.3">
      <c r="G5242" s="459"/>
      <c r="H5242" s="459">
        <v>5235</v>
      </c>
      <c r="I5242" s="444">
        <f t="shared" ca="1" si="185"/>
        <v>-650779956231563.5</v>
      </c>
      <c r="J5242" s="444">
        <f t="array" ref="J5242">IFERROR(INDEX('Retirement Calculator'!K:K,MATCH('Lorri 401b'!N5242,'Retirement Calculator'!A:A,0),0),0)</f>
        <v>0</v>
      </c>
      <c r="K5242" s="444">
        <f t="shared" ca="1" si="183"/>
        <v>-2711583150964.8477</v>
      </c>
      <c r="L5242" s="444">
        <f t="shared" ca="1" si="184"/>
        <v>-653491539382528.38</v>
      </c>
      <c r="M5242" s="460">
        <f t="shared" si="186"/>
        <v>0.05</v>
      </c>
      <c r="N5242" s="464">
        <f t="shared" si="187"/>
        <v>210595</v>
      </c>
    </row>
    <row r="5243" spans="7:14" ht="11.25" customHeight="1" x14ac:dyDescent="0.3">
      <c r="G5243" s="459"/>
      <c r="H5243" s="459">
        <v>5236</v>
      </c>
      <c r="I5243" s="444">
        <f t="shared" ca="1" si="185"/>
        <v>-653491539382528.38</v>
      </c>
      <c r="J5243" s="444">
        <f t="array" ref="J5243">IFERROR(INDEX('Retirement Calculator'!K:K,MATCH('Lorri 401b'!N5243,'Retirement Calculator'!A:A,0),0),0)</f>
        <v>0</v>
      </c>
      <c r="K5243" s="444">
        <f t="shared" ca="1" si="183"/>
        <v>-2722881414093.8682</v>
      </c>
      <c r="L5243" s="444">
        <f t="shared" ca="1" si="184"/>
        <v>-656214420796622.25</v>
      </c>
      <c r="M5243" s="460">
        <f t="shared" si="186"/>
        <v>0.05</v>
      </c>
      <c r="N5243" s="464">
        <f t="shared" si="187"/>
        <v>210626</v>
      </c>
    </row>
    <row r="5244" spans="7:14" ht="11.25" customHeight="1" x14ac:dyDescent="0.3">
      <c r="G5244" s="459"/>
      <c r="H5244" s="459">
        <v>5237</v>
      </c>
      <c r="I5244" s="444">
        <f t="shared" ca="1" si="185"/>
        <v>-656214420796622.25</v>
      </c>
      <c r="J5244" s="444">
        <f t="array" ref="J5244">IFERROR(INDEX('Retirement Calculator'!K:K,MATCH('Lorri 401b'!N5244,'Retirement Calculator'!A:A,0),0),0)</f>
        <v>0</v>
      </c>
      <c r="K5244" s="444">
        <f t="shared" ca="1" si="183"/>
        <v>-2734226753319.2593</v>
      </c>
      <c r="L5244" s="444">
        <f t="shared" ca="1" si="184"/>
        <v>-658948647549941.5</v>
      </c>
      <c r="M5244" s="460">
        <f t="shared" si="186"/>
        <v>0.05</v>
      </c>
      <c r="N5244" s="464">
        <f t="shared" si="187"/>
        <v>210656</v>
      </c>
    </row>
    <row r="5245" spans="7:14" ht="11.25" customHeight="1" x14ac:dyDescent="0.3">
      <c r="G5245" s="459"/>
      <c r="H5245" s="459">
        <v>5238</v>
      </c>
      <c r="I5245" s="444">
        <f t="shared" ca="1" si="185"/>
        <v>-658948647549941.5</v>
      </c>
      <c r="J5245" s="444">
        <f t="array" ref="J5245">IFERROR(INDEX('Retirement Calculator'!K:K,MATCH('Lorri 401b'!N5245,'Retirement Calculator'!A:A,0),0),0)</f>
        <v>0</v>
      </c>
      <c r="K5245" s="444">
        <f t="shared" ca="1" si="183"/>
        <v>-2745619364791.4229</v>
      </c>
      <c r="L5245" s="444">
        <f t="shared" ca="1" si="184"/>
        <v>-661694266914732.88</v>
      </c>
      <c r="M5245" s="460">
        <f t="shared" si="186"/>
        <v>0.05</v>
      </c>
      <c r="N5245" s="464">
        <f t="shared" si="187"/>
        <v>210687</v>
      </c>
    </row>
    <row r="5246" spans="7:14" ht="11.25" customHeight="1" x14ac:dyDescent="0.3">
      <c r="G5246" s="459"/>
      <c r="H5246" s="459">
        <v>5239</v>
      </c>
      <c r="I5246" s="444">
        <f t="shared" ca="1" si="185"/>
        <v>-661694266914732.88</v>
      </c>
      <c r="J5246" s="444">
        <f t="array" ref="J5246">IFERROR(INDEX('Retirement Calculator'!K:K,MATCH('Lorri 401b'!N5246,'Retirement Calculator'!A:A,0),0),0)</f>
        <v>0</v>
      </c>
      <c r="K5246" s="444">
        <f t="shared" ca="1" si="183"/>
        <v>-2757059445478.0537</v>
      </c>
      <c r="L5246" s="444">
        <f t="shared" ca="1" si="184"/>
        <v>-664451326360210.88</v>
      </c>
      <c r="M5246" s="460">
        <f t="shared" si="186"/>
        <v>0.05</v>
      </c>
      <c r="N5246" s="464">
        <f t="shared" si="187"/>
        <v>210717</v>
      </c>
    </row>
    <row r="5247" spans="7:14" ht="11.25" customHeight="1" x14ac:dyDescent="0.3">
      <c r="G5247" s="459"/>
      <c r="H5247" s="459">
        <v>5240</v>
      </c>
      <c r="I5247" s="444">
        <f t="shared" ca="1" si="185"/>
        <v>-664451326360210.88</v>
      </c>
      <c r="J5247" s="444">
        <f t="array" ref="J5247">IFERROR(INDEX('Retirement Calculator'!K:K,MATCH('Lorri 401b'!N5247,'Retirement Calculator'!A:A,0),0),0)</f>
        <v>0</v>
      </c>
      <c r="K5247" s="444">
        <f t="shared" ca="1" si="183"/>
        <v>-2768547193167.5454</v>
      </c>
      <c r="L5247" s="444">
        <f t="shared" ca="1" si="184"/>
        <v>-667219873553378.38</v>
      </c>
      <c r="M5247" s="460">
        <f t="shared" si="186"/>
        <v>0.05</v>
      </c>
      <c r="N5247" s="464">
        <f t="shared" si="187"/>
        <v>210748</v>
      </c>
    </row>
    <row r="5248" spans="7:14" ht="11.25" customHeight="1" x14ac:dyDescent="0.3">
      <c r="G5248" s="459"/>
      <c r="H5248" s="459">
        <v>5241</v>
      </c>
      <c r="I5248" s="444">
        <f t="shared" ca="1" si="185"/>
        <v>-667219873553378.38</v>
      </c>
      <c r="J5248" s="444">
        <f t="array" ref="J5248">IFERROR(INDEX('Retirement Calculator'!K:K,MATCH('Lorri 401b'!N5248,'Retirement Calculator'!A:A,0),0),0)</f>
        <v>0</v>
      </c>
      <c r="K5248" s="444">
        <f t="shared" ca="1" si="183"/>
        <v>-2780082806472.4097</v>
      </c>
      <c r="L5248" s="444">
        <f t="shared" ca="1" si="184"/>
        <v>-669999956359850.75</v>
      </c>
      <c r="M5248" s="460">
        <f t="shared" si="186"/>
        <v>0.05</v>
      </c>
      <c r="N5248" s="464">
        <f t="shared" si="187"/>
        <v>210779</v>
      </c>
    </row>
    <row r="5249" spans="7:14" ht="11.25" customHeight="1" x14ac:dyDescent="0.3">
      <c r="G5249" s="459"/>
      <c r="H5249" s="459">
        <v>5242</v>
      </c>
      <c r="I5249" s="444">
        <f t="shared" ca="1" si="185"/>
        <v>-669999956359850.75</v>
      </c>
      <c r="J5249" s="444">
        <f t="array" ref="J5249">IFERROR(INDEX('Retirement Calculator'!K:K,MATCH('Lorri 401b'!N5249,'Retirement Calculator'!A:A,0),0),0)</f>
        <v>0</v>
      </c>
      <c r="K5249" s="444">
        <f t="shared" ca="1" si="183"/>
        <v>-2791666484832.7114</v>
      </c>
      <c r="L5249" s="444">
        <f t="shared" ca="1" si="184"/>
        <v>-672791622844683.5</v>
      </c>
      <c r="M5249" s="460">
        <f t="shared" si="186"/>
        <v>0.05</v>
      </c>
      <c r="N5249" s="464">
        <f t="shared" si="187"/>
        <v>210807</v>
      </c>
    </row>
    <row r="5250" spans="7:14" ht="11.25" customHeight="1" x14ac:dyDescent="0.3">
      <c r="G5250" s="459"/>
      <c r="H5250" s="459">
        <v>5243</v>
      </c>
      <c r="I5250" s="444">
        <f t="shared" ca="1" si="185"/>
        <v>-672791622844683.5</v>
      </c>
      <c r="J5250" s="444">
        <f t="array" ref="J5250">IFERROR(INDEX('Retirement Calculator'!K:K,MATCH('Lorri 401b'!N5250,'Retirement Calculator'!A:A,0),0),0)</f>
        <v>0</v>
      </c>
      <c r="K5250" s="444">
        <f t="shared" ca="1" si="183"/>
        <v>-2803298428519.5146</v>
      </c>
      <c r="L5250" s="444">
        <f t="shared" ca="1" si="184"/>
        <v>-675594921273203</v>
      </c>
      <c r="M5250" s="460">
        <f t="shared" si="186"/>
        <v>0.05</v>
      </c>
      <c r="N5250" s="464">
        <f t="shared" si="187"/>
        <v>210838</v>
      </c>
    </row>
    <row r="5251" spans="7:14" ht="11.25" customHeight="1" x14ac:dyDescent="0.3">
      <c r="G5251" s="459"/>
      <c r="H5251" s="459">
        <v>5244</v>
      </c>
      <c r="I5251" s="444">
        <f t="shared" ca="1" si="185"/>
        <v>-675594921273203</v>
      </c>
      <c r="J5251" s="444">
        <f t="array" ref="J5251">IFERROR(INDEX('Retirement Calculator'!K:K,MATCH('Lorri 401b'!N5251,'Retirement Calculator'!A:A,0),0),0)</f>
        <v>0</v>
      </c>
      <c r="K5251" s="444">
        <f t="shared" ca="1" si="183"/>
        <v>-2814978838638.3457</v>
      </c>
      <c r="L5251" s="444">
        <f t="shared" ca="1" si="184"/>
        <v>-678409900111841.38</v>
      </c>
      <c r="M5251" s="460">
        <f t="shared" si="186"/>
        <v>0.05</v>
      </c>
      <c r="N5251" s="464">
        <f t="shared" si="187"/>
        <v>210868</v>
      </c>
    </row>
    <row r="5252" spans="7:14" ht="11.25" customHeight="1" x14ac:dyDescent="0.3">
      <c r="G5252" s="459"/>
      <c r="H5252" s="459">
        <v>5245</v>
      </c>
      <c r="I5252" s="444">
        <f t="shared" ca="1" si="185"/>
        <v>-678409900111841.38</v>
      </c>
      <c r="J5252" s="444">
        <f t="array" ref="J5252">IFERROR(INDEX('Retirement Calculator'!K:K,MATCH('Lorri 401b'!N5252,'Retirement Calculator'!A:A,0),0),0)</f>
        <v>0</v>
      </c>
      <c r="K5252" s="444">
        <f t="shared" ca="1" si="183"/>
        <v>-2826707917132.6724</v>
      </c>
      <c r="L5252" s="444">
        <f t="shared" ca="1" si="184"/>
        <v>-681236608028974</v>
      </c>
      <c r="M5252" s="460">
        <f t="shared" si="186"/>
        <v>0.05</v>
      </c>
      <c r="N5252" s="464">
        <f t="shared" si="187"/>
        <v>210899</v>
      </c>
    </row>
    <row r="5253" spans="7:14" ht="11.25" customHeight="1" x14ac:dyDescent="0.3">
      <c r="G5253" s="459"/>
      <c r="H5253" s="459">
        <v>5246</v>
      </c>
      <c r="I5253" s="444">
        <f t="shared" ca="1" si="185"/>
        <v>-681236608028974</v>
      </c>
      <c r="J5253" s="444">
        <f t="array" ref="J5253">IFERROR(INDEX('Retirement Calculator'!K:K,MATCH('Lorri 401b'!N5253,'Retirement Calculator'!A:A,0),0),0)</f>
        <v>0</v>
      </c>
      <c r="K5253" s="444">
        <f t="shared" ca="1" si="183"/>
        <v>-2838485866787.3916</v>
      </c>
      <c r="L5253" s="444">
        <f t="shared" ca="1" si="184"/>
        <v>-684075093895761.38</v>
      </c>
      <c r="M5253" s="460">
        <f t="shared" si="186"/>
        <v>0.05</v>
      </c>
      <c r="N5253" s="464">
        <f t="shared" si="187"/>
        <v>210929</v>
      </c>
    </row>
    <row r="5254" spans="7:14" ht="11.25" customHeight="1" x14ac:dyDescent="0.3">
      <c r="G5254" s="459"/>
      <c r="H5254" s="459">
        <v>5247</v>
      </c>
      <c r="I5254" s="444">
        <f t="shared" ca="1" si="185"/>
        <v>-684075093895761.38</v>
      </c>
      <c r="J5254" s="444">
        <f t="array" ref="J5254">IFERROR(INDEX('Retirement Calculator'!K:K,MATCH('Lorri 401b'!N5254,'Retirement Calculator'!A:A,0),0),0)</f>
        <v>0</v>
      </c>
      <c r="K5254" s="444">
        <f t="shared" ca="1" si="183"/>
        <v>-2850312891232.3389</v>
      </c>
      <c r="L5254" s="444">
        <f t="shared" ca="1" si="184"/>
        <v>-686925406786993.75</v>
      </c>
      <c r="M5254" s="460">
        <f t="shared" si="186"/>
        <v>0.05</v>
      </c>
      <c r="N5254" s="464">
        <f t="shared" si="187"/>
        <v>210960</v>
      </c>
    </row>
    <row r="5255" spans="7:14" ht="11.25" customHeight="1" x14ac:dyDescent="0.3">
      <c r="G5255" s="459"/>
      <c r="H5255" s="459">
        <v>5248</v>
      </c>
      <c r="I5255" s="444">
        <f t="shared" ca="1" si="185"/>
        <v>-686925406786993.75</v>
      </c>
      <c r="J5255" s="444">
        <f t="array" ref="J5255">IFERROR(INDEX('Retirement Calculator'!K:K,MATCH('Lorri 401b'!N5255,'Retirement Calculator'!A:A,0),0),0)</f>
        <v>0</v>
      </c>
      <c r="K5255" s="444">
        <f t="shared" ca="1" si="183"/>
        <v>-2862189194945.8071</v>
      </c>
      <c r="L5255" s="444">
        <f t="shared" ca="1" si="184"/>
        <v>-689787595981939.5</v>
      </c>
      <c r="M5255" s="460">
        <f t="shared" si="186"/>
        <v>0.05</v>
      </c>
      <c r="N5255" s="464">
        <f t="shared" si="187"/>
        <v>210991</v>
      </c>
    </row>
    <row r="5256" spans="7:14" ht="11.25" customHeight="1" x14ac:dyDescent="0.3">
      <c r="G5256" s="459"/>
      <c r="H5256" s="459">
        <v>5249</v>
      </c>
      <c r="I5256" s="444">
        <f t="shared" ca="1" si="185"/>
        <v>-689787595981939.5</v>
      </c>
      <c r="J5256" s="444">
        <f t="array" ref="J5256">IFERROR(INDEX('Retirement Calculator'!K:K,MATCH('Lorri 401b'!N5256,'Retirement Calculator'!A:A,0),0),0)</f>
        <v>0</v>
      </c>
      <c r="K5256" s="444">
        <f t="shared" ca="1" si="183"/>
        <v>-2874114983258.0811</v>
      </c>
      <c r="L5256" s="444">
        <f t="shared" ca="1" si="184"/>
        <v>-692661710965197.63</v>
      </c>
      <c r="M5256" s="460">
        <f t="shared" si="186"/>
        <v>0.05</v>
      </c>
      <c r="N5256" s="464">
        <f t="shared" si="187"/>
        <v>211021</v>
      </c>
    </row>
    <row r="5257" spans="7:14" ht="11.25" customHeight="1" x14ac:dyDescent="0.3">
      <c r="G5257" s="459"/>
      <c r="H5257" s="459">
        <v>5250</v>
      </c>
      <c r="I5257" s="444">
        <f t="shared" ca="1" si="185"/>
        <v>-692661710965197.63</v>
      </c>
      <c r="J5257" s="444">
        <f t="array" ref="J5257">IFERROR(INDEX('Retirement Calculator'!K:K,MATCH('Lorri 401b'!N5257,'Retirement Calculator'!A:A,0),0),0)</f>
        <v>0</v>
      </c>
      <c r="K5257" s="444">
        <f t="shared" ca="1" si="183"/>
        <v>-2886090462354.9902</v>
      </c>
      <c r="L5257" s="444">
        <f t="shared" ca="1" si="184"/>
        <v>-695547801427552.63</v>
      </c>
      <c r="M5257" s="460">
        <f t="shared" si="186"/>
        <v>0.05</v>
      </c>
      <c r="N5257" s="464">
        <f t="shared" si="187"/>
        <v>211052</v>
      </c>
    </row>
    <row r="5258" spans="7:14" ht="11.25" customHeight="1" x14ac:dyDescent="0.3">
      <c r="G5258" s="459"/>
      <c r="H5258" s="459">
        <v>5251</v>
      </c>
      <c r="I5258" s="444">
        <f t="shared" ca="1" si="185"/>
        <v>-695547801427552.63</v>
      </c>
      <c r="J5258" s="444">
        <f t="array" ref="J5258">IFERROR(INDEX('Retirement Calculator'!K:K,MATCH('Lorri 401b'!N5258,'Retirement Calculator'!A:A,0),0),0)</f>
        <v>0</v>
      </c>
      <c r="K5258" s="444">
        <f t="shared" ca="1" si="183"/>
        <v>-2898115839281.4692</v>
      </c>
      <c r="L5258" s="444">
        <f t="shared" ca="1" si="184"/>
        <v>-698445917266834.13</v>
      </c>
      <c r="M5258" s="460">
        <f t="shared" si="186"/>
        <v>0.05</v>
      </c>
      <c r="N5258" s="464">
        <f t="shared" si="187"/>
        <v>211082</v>
      </c>
    </row>
    <row r="5259" spans="7:14" ht="11.25" customHeight="1" x14ac:dyDescent="0.3">
      <c r="G5259" s="459"/>
      <c r="H5259" s="459">
        <v>5252</v>
      </c>
      <c r="I5259" s="444">
        <f t="shared" ca="1" si="185"/>
        <v>-698445917266834.13</v>
      </c>
      <c r="J5259" s="444">
        <f t="array" ref="J5259">IFERROR(INDEX('Retirement Calculator'!K:K,MATCH('Lorri 401b'!N5259,'Retirement Calculator'!A:A,0),0),0)</f>
        <v>0</v>
      </c>
      <c r="K5259" s="444">
        <f t="shared" ca="1" si="183"/>
        <v>-2910191321945.1421</v>
      </c>
      <c r="L5259" s="444">
        <f t="shared" ca="1" si="184"/>
        <v>-701356108588779.25</v>
      </c>
      <c r="M5259" s="460">
        <f t="shared" si="186"/>
        <v>0.05</v>
      </c>
      <c r="N5259" s="464">
        <f t="shared" si="187"/>
        <v>211113</v>
      </c>
    </row>
    <row r="5260" spans="7:14" ht="11.25" customHeight="1" x14ac:dyDescent="0.3">
      <c r="G5260" s="459"/>
      <c r="H5260" s="459">
        <v>5253</v>
      </c>
      <c r="I5260" s="444">
        <f t="shared" ca="1" si="185"/>
        <v>-701356108588779.25</v>
      </c>
      <c r="J5260" s="444">
        <f t="array" ref="J5260">IFERROR(INDEX('Retirement Calculator'!K:K,MATCH('Lorri 401b'!N5260,'Retirement Calculator'!A:A,0),0),0)</f>
        <v>0</v>
      </c>
      <c r="K5260" s="444">
        <f t="shared" ca="1" si="183"/>
        <v>-2922317119119.9136</v>
      </c>
      <c r="L5260" s="444">
        <f t="shared" ca="1" si="184"/>
        <v>-704278425707899.13</v>
      </c>
      <c r="M5260" s="460">
        <f t="shared" si="186"/>
        <v>0.05</v>
      </c>
      <c r="N5260" s="464">
        <f t="shared" si="187"/>
        <v>211144</v>
      </c>
    </row>
    <row r="5261" spans="7:14" ht="11.25" customHeight="1" x14ac:dyDescent="0.3">
      <c r="G5261" s="459"/>
      <c r="H5261" s="459">
        <v>5254</v>
      </c>
      <c r="I5261" s="444">
        <f t="shared" ca="1" si="185"/>
        <v>-704278425707899.13</v>
      </c>
      <c r="J5261" s="444">
        <f t="array" ref="J5261">IFERROR(INDEX('Retirement Calculator'!K:K,MATCH('Lorri 401b'!N5261,'Retirement Calculator'!A:A,0),0),0)</f>
        <v>0</v>
      </c>
      <c r="K5261" s="444">
        <f t="shared" ca="1" si="183"/>
        <v>-2934493440449.5796</v>
      </c>
      <c r="L5261" s="444">
        <f t="shared" ca="1" si="184"/>
        <v>-707212919148348.75</v>
      </c>
      <c r="M5261" s="460">
        <f t="shared" si="186"/>
        <v>0.05</v>
      </c>
      <c r="N5261" s="464">
        <f t="shared" si="187"/>
        <v>211172</v>
      </c>
    </row>
    <row r="5262" spans="7:14" ht="11.25" customHeight="1" x14ac:dyDescent="0.3">
      <c r="G5262" s="459"/>
      <c r="H5262" s="459">
        <v>5255</v>
      </c>
      <c r="I5262" s="444">
        <f t="shared" ca="1" si="185"/>
        <v>-707212919148348.75</v>
      </c>
      <c r="J5262" s="444">
        <f t="array" ref="J5262">IFERROR(INDEX('Retirement Calculator'!K:K,MATCH('Lorri 401b'!N5262,'Retirement Calculator'!A:A,0),0),0)</f>
        <v>0</v>
      </c>
      <c r="K5262" s="444">
        <f t="shared" ca="1" si="183"/>
        <v>-2946720496451.4531</v>
      </c>
      <c r="L5262" s="444">
        <f t="shared" ca="1" si="184"/>
        <v>-710159639644800.25</v>
      </c>
      <c r="M5262" s="460">
        <f t="shared" si="186"/>
        <v>0.05</v>
      </c>
      <c r="N5262" s="464">
        <f t="shared" si="187"/>
        <v>211203</v>
      </c>
    </row>
    <row r="5263" spans="7:14" ht="11.25" customHeight="1" x14ac:dyDescent="0.3">
      <c r="G5263" s="459"/>
      <c r="H5263" s="459">
        <v>5256</v>
      </c>
      <c r="I5263" s="444">
        <f t="shared" ca="1" si="185"/>
        <v>-710159639644800.25</v>
      </c>
      <c r="J5263" s="444">
        <f t="array" ref="J5263">IFERROR(INDEX('Retirement Calculator'!K:K,MATCH('Lorri 401b'!N5263,'Retirement Calculator'!A:A,0),0),0)</f>
        <v>0</v>
      </c>
      <c r="K5263" s="444">
        <f t="shared" ca="1" si="183"/>
        <v>-2958998498520.001</v>
      </c>
      <c r="L5263" s="444">
        <f t="shared" ca="1" si="184"/>
        <v>-713118638143320.25</v>
      </c>
      <c r="M5263" s="460">
        <f t="shared" si="186"/>
        <v>0.05</v>
      </c>
      <c r="N5263" s="464">
        <f t="shared" si="187"/>
        <v>211233</v>
      </c>
    </row>
    <row r="5264" spans="7:14" ht="11.25" customHeight="1" x14ac:dyDescent="0.3">
      <c r="G5264" s="459"/>
      <c r="H5264" s="459">
        <v>5257</v>
      </c>
      <c r="I5264" s="444">
        <f t="shared" ca="1" si="185"/>
        <v>-713118638143320.25</v>
      </c>
      <c r="J5264" s="444">
        <f t="array" ref="J5264">IFERROR(INDEX('Retirement Calculator'!K:K,MATCH('Lorri 401b'!N5264,'Retirement Calculator'!A:A,0),0),0)</f>
        <v>0</v>
      </c>
      <c r="K5264" s="444">
        <f t="shared" ca="1" si="183"/>
        <v>-2971327658930.501</v>
      </c>
      <c r="L5264" s="444">
        <f t="shared" ca="1" si="184"/>
        <v>-716089965802250.75</v>
      </c>
      <c r="M5264" s="460">
        <f t="shared" si="186"/>
        <v>0.05</v>
      </c>
      <c r="N5264" s="464">
        <f t="shared" si="187"/>
        <v>211264</v>
      </c>
    </row>
    <row r="5265" spans="7:14" ht="11.25" customHeight="1" x14ac:dyDescent="0.3">
      <c r="G5265" s="459"/>
      <c r="H5265" s="459">
        <v>5258</v>
      </c>
      <c r="I5265" s="444">
        <f t="shared" ca="1" si="185"/>
        <v>-716089965802250.75</v>
      </c>
      <c r="J5265" s="444">
        <f t="array" ref="J5265">IFERROR(INDEX('Retirement Calculator'!K:K,MATCH('Lorri 401b'!N5265,'Retirement Calculator'!A:A,0),0),0)</f>
        <v>0</v>
      </c>
      <c r="K5265" s="444">
        <f t="shared" ca="1" si="183"/>
        <v>-2983708190842.7114</v>
      </c>
      <c r="L5265" s="444">
        <f t="shared" ca="1" si="184"/>
        <v>-719073673993093.5</v>
      </c>
      <c r="M5265" s="460">
        <f t="shared" si="186"/>
        <v>0.05</v>
      </c>
      <c r="N5265" s="464">
        <f t="shared" si="187"/>
        <v>211294</v>
      </c>
    </row>
    <row r="5266" spans="7:14" ht="11.25" customHeight="1" x14ac:dyDescent="0.3">
      <c r="G5266" s="459"/>
      <c r="H5266" s="459">
        <v>5259</v>
      </c>
      <c r="I5266" s="444">
        <f t="shared" ca="1" si="185"/>
        <v>-719073673993093.5</v>
      </c>
      <c r="J5266" s="444">
        <f t="array" ref="J5266">IFERROR(INDEX('Retirement Calculator'!K:K,MATCH('Lorri 401b'!N5266,'Retirement Calculator'!A:A,0),0),0)</f>
        <v>0</v>
      </c>
      <c r="K5266" s="444">
        <f t="shared" ca="1" si="183"/>
        <v>-2996140308304.5562</v>
      </c>
      <c r="L5266" s="444">
        <f t="shared" ca="1" si="184"/>
        <v>-722069814301398</v>
      </c>
      <c r="M5266" s="460">
        <f t="shared" si="186"/>
        <v>0.05</v>
      </c>
      <c r="N5266" s="464">
        <f t="shared" si="187"/>
        <v>211325</v>
      </c>
    </row>
    <row r="5267" spans="7:14" ht="11.25" customHeight="1" x14ac:dyDescent="0.3">
      <c r="G5267" s="459"/>
      <c r="H5267" s="459">
        <v>5260</v>
      </c>
      <c r="I5267" s="444">
        <f t="shared" ca="1" si="185"/>
        <v>-722069814301398</v>
      </c>
      <c r="J5267" s="444">
        <f t="array" ref="J5267">IFERROR(INDEX('Retirement Calculator'!K:K,MATCH('Lorri 401b'!N5267,'Retirement Calculator'!A:A,0),0),0)</f>
        <v>0</v>
      </c>
      <c r="K5267" s="444">
        <f t="shared" ca="1" si="183"/>
        <v>-3008624226255.8252</v>
      </c>
      <c r="L5267" s="444">
        <f t="shared" ca="1" si="184"/>
        <v>-725078438527653.88</v>
      </c>
      <c r="M5267" s="460">
        <f t="shared" si="186"/>
        <v>0.05</v>
      </c>
      <c r="N5267" s="464">
        <f t="shared" si="187"/>
        <v>211356</v>
      </c>
    </row>
    <row r="5268" spans="7:14" ht="11.25" customHeight="1" x14ac:dyDescent="0.3">
      <c r="G5268" s="459"/>
      <c r="H5268" s="459">
        <v>5261</v>
      </c>
      <c r="I5268" s="444">
        <f t="shared" ca="1" si="185"/>
        <v>-725078438527653.88</v>
      </c>
      <c r="J5268" s="444">
        <f t="array" ref="J5268">IFERROR(INDEX('Retirement Calculator'!K:K,MATCH('Lorri 401b'!N5268,'Retirement Calculator'!A:A,0),0),0)</f>
        <v>0</v>
      </c>
      <c r="K5268" s="444">
        <f t="shared" ca="1" si="183"/>
        <v>-3021160160531.8911</v>
      </c>
      <c r="L5268" s="444">
        <f t="shared" ca="1" si="184"/>
        <v>-728099598688185.75</v>
      </c>
      <c r="M5268" s="460">
        <f t="shared" si="186"/>
        <v>0.05</v>
      </c>
      <c r="N5268" s="464">
        <f t="shared" si="187"/>
        <v>211386</v>
      </c>
    </row>
    <row r="5269" spans="7:14" ht="11.25" customHeight="1" x14ac:dyDescent="0.3">
      <c r="G5269" s="459"/>
      <c r="H5269" s="459">
        <v>5262</v>
      </c>
      <c r="I5269" s="444">
        <f t="shared" ca="1" si="185"/>
        <v>-728099598688185.75</v>
      </c>
      <c r="J5269" s="444">
        <f t="array" ref="J5269">IFERROR(INDEX('Retirement Calculator'!K:K,MATCH('Lorri 401b'!N5269,'Retirement Calculator'!A:A,0),0),0)</f>
        <v>0</v>
      </c>
      <c r="K5269" s="444">
        <f t="shared" ca="1" si="183"/>
        <v>-3033748327867.4404</v>
      </c>
      <c r="L5269" s="444">
        <f t="shared" ca="1" si="184"/>
        <v>-731133347016053.25</v>
      </c>
      <c r="M5269" s="460">
        <f t="shared" si="186"/>
        <v>0.05</v>
      </c>
      <c r="N5269" s="464">
        <f t="shared" si="187"/>
        <v>211417</v>
      </c>
    </row>
    <row r="5270" spans="7:14" ht="11.25" customHeight="1" x14ac:dyDescent="0.3">
      <c r="G5270" s="459"/>
      <c r="H5270" s="459">
        <v>5263</v>
      </c>
      <c r="I5270" s="444">
        <f t="shared" ca="1" si="185"/>
        <v>-731133347016053.25</v>
      </c>
      <c r="J5270" s="444">
        <f t="array" ref="J5270">IFERROR(INDEX('Retirement Calculator'!K:K,MATCH('Lorri 401b'!N5270,'Retirement Calculator'!A:A,0),0),0)</f>
        <v>0</v>
      </c>
      <c r="K5270" s="444">
        <f t="shared" ca="1" si="183"/>
        <v>-3046388945900.2217</v>
      </c>
      <c r="L5270" s="444">
        <f t="shared" ca="1" si="184"/>
        <v>-734179735961953.5</v>
      </c>
      <c r="M5270" s="460">
        <f t="shared" si="186"/>
        <v>0.05</v>
      </c>
      <c r="N5270" s="464">
        <f t="shared" si="187"/>
        <v>211447</v>
      </c>
    </row>
    <row r="5271" spans="7:14" ht="11.25" customHeight="1" x14ac:dyDescent="0.3">
      <c r="G5271" s="459"/>
      <c r="H5271" s="459">
        <v>5264</v>
      </c>
      <c r="I5271" s="444">
        <f t="shared" ca="1" si="185"/>
        <v>-734179735961953.5</v>
      </c>
      <c r="J5271" s="444">
        <f t="array" ref="J5271">IFERROR(INDEX('Retirement Calculator'!K:K,MATCH('Lorri 401b'!N5271,'Retirement Calculator'!A:A,0),0),0)</f>
        <v>0</v>
      </c>
      <c r="K5271" s="444">
        <f t="shared" ca="1" si="183"/>
        <v>-3059082233174.8062</v>
      </c>
      <c r="L5271" s="444">
        <f t="shared" ca="1" si="184"/>
        <v>-737238818195128.25</v>
      </c>
      <c r="M5271" s="460">
        <f t="shared" si="186"/>
        <v>0.05</v>
      </c>
      <c r="N5271" s="464">
        <f t="shared" si="187"/>
        <v>211478</v>
      </c>
    </row>
    <row r="5272" spans="7:14" ht="11.25" customHeight="1" x14ac:dyDescent="0.3">
      <c r="G5272" s="459"/>
      <c r="H5272" s="459">
        <v>5265</v>
      </c>
      <c r="I5272" s="444">
        <f t="shared" ca="1" si="185"/>
        <v>-737238818195128.25</v>
      </c>
      <c r="J5272" s="444">
        <f t="array" ref="J5272">IFERROR(INDEX('Retirement Calculator'!K:K,MATCH('Lorri 401b'!N5272,'Retirement Calculator'!A:A,0),0),0)</f>
        <v>0</v>
      </c>
      <c r="K5272" s="444">
        <f t="shared" ca="1" si="183"/>
        <v>-3071828409146.3677</v>
      </c>
      <c r="L5272" s="444">
        <f t="shared" ca="1" si="184"/>
        <v>-740310646604274.63</v>
      </c>
      <c r="M5272" s="460">
        <f t="shared" si="186"/>
        <v>0.05</v>
      </c>
      <c r="N5272" s="464">
        <f t="shared" si="187"/>
        <v>211509</v>
      </c>
    </row>
    <row r="5273" spans="7:14" ht="11.25" customHeight="1" x14ac:dyDescent="0.3">
      <c r="G5273" s="459"/>
      <c r="H5273" s="459">
        <v>5266</v>
      </c>
      <c r="I5273" s="444">
        <f t="shared" ca="1" si="185"/>
        <v>-740310646604274.63</v>
      </c>
      <c r="J5273" s="444">
        <f t="array" ref="J5273">IFERROR(INDEX('Retirement Calculator'!K:K,MATCH('Lorri 401b'!N5273,'Retirement Calculator'!A:A,0),0),0)</f>
        <v>0</v>
      </c>
      <c r="K5273" s="444">
        <f t="shared" ca="1" si="183"/>
        <v>-3084627694184.4775</v>
      </c>
      <c r="L5273" s="444">
        <f t="shared" ca="1" si="184"/>
        <v>-743395274298459.13</v>
      </c>
      <c r="M5273" s="460">
        <f t="shared" si="186"/>
        <v>0.05</v>
      </c>
      <c r="N5273" s="464">
        <f t="shared" si="187"/>
        <v>211537</v>
      </c>
    </row>
    <row r="5274" spans="7:14" ht="11.25" customHeight="1" x14ac:dyDescent="0.3">
      <c r="G5274" s="459"/>
      <c r="H5274" s="459">
        <v>5267</v>
      </c>
      <c r="I5274" s="444">
        <f t="shared" ca="1" si="185"/>
        <v>-743395274298459.13</v>
      </c>
      <c r="J5274" s="444">
        <f t="array" ref="J5274">IFERROR(INDEX('Retirement Calculator'!K:K,MATCH('Lorri 401b'!N5274,'Retirement Calculator'!A:A,0),0),0)</f>
        <v>0</v>
      </c>
      <c r="K5274" s="444">
        <f t="shared" ca="1" si="183"/>
        <v>-3097480309576.9131</v>
      </c>
      <c r="L5274" s="444">
        <f t="shared" ca="1" si="184"/>
        <v>-746492754608036</v>
      </c>
      <c r="M5274" s="460">
        <f t="shared" si="186"/>
        <v>0.05</v>
      </c>
      <c r="N5274" s="464">
        <f t="shared" si="187"/>
        <v>211568</v>
      </c>
    </row>
    <row r="5275" spans="7:14" ht="11.25" customHeight="1" x14ac:dyDescent="0.3">
      <c r="G5275" s="459"/>
      <c r="H5275" s="459">
        <v>5268</v>
      </c>
      <c r="I5275" s="444">
        <f t="shared" ca="1" si="185"/>
        <v>-746492754608036</v>
      </c>
      <c r="J5275" s="444">
        <f t="array" ref="J5275">IFERROR(INDEX('Retirement Calculator'!K:K,MATCH('Lorri 401b'!N5275,'Retirement Calculator'!A:A,0),0),0)</f>
        <v>0</v>
      </c>
      <c r="K5275" s="444">
        <f t="shared" ca="1" si="183"/>
        <v>-3110386477533.4834</v>
      </c>
      <c r="L5275" s="444">
        <f t="shared" ca="1" si="184"/>
        <v>-749603141085569.5</v>
      </c>
      <c r="M5275" s="460">
        <f t="shared" si="186"/>
        <v>0.05</v>
      </c>
      <c r="N5275" s="464">
        <f t="shared" si="187"/>
        <v>211598</v>
      </c>
    </row>
    <row r="5276" spans="7:14" ht="11.25" customHeight="1" x14ac:dyDescent="0.3">
      <c r="G5276" s="459"/>
      <c r="H5276" s="459">
        <v>5269</v>
      </c>
      <c r="I5276" s="444">
        <f t="shared" ca="1" si="185"/>
        <v>-749603141085569.5</v>
      </c>
      <c r="J5276" s="444">
        <f t="array" ref="J5276">IFERROR(INDEX('Retirement Calculator'!K:K,MATCH('Lorri 401b'!N5276,'Retirement Calculator'!A:A,0),0),0)</f>
        <v>0</v>
      </c>
      <c r="K5276" s="444">
        <f t="shared" ca="1" si="183"/>
        <v>-3123346421189.873</v>
      </c>
      <c r="L5276" s="444">
        <f t="shared" ca="1" si="184"/>
        <v>-752726487506759.38</v>
      </c>
      <c r="M5276" s="460">
        <f t="shared" si="186"/>
        <v>0.05</v>
      </c>
      <c r="N5276" s="464">
        <f t="shared" si="187"/>
        <v>211629</v>
      </c>
    </row>
    <row r="5277" spans="7:14" ht="11.25" customHeight="1" x14ac:dyDescent="0.3">
      <c r="G5277" s="459"/>
      <c r="H5277" s="459">
        <v>5270</v>
      </c>
      <c r="I5277" s="444">
        <f t="shared" ca="1" si="185"/>
        <v>-752726487506759.38</v>
      </c>
      <c r="J5277" s="444">
        <f t="array" ref="J5277">IFERROR(INDEX('Retirement Calculator'!K:K,MATCH('Lorri 401b'!N5277,'Retirement Calculator'!A:A,0),0),0)</f>
        <v>0</v>
      </c>
      <c r="K5277" s="444">
        <f t="shared" ca="1" si="183"/>
        <v>-3136360364611.4976</v>
      </c>
      <c r="L5277" s="444">
        <f t="shared" ca="1" si="184"/>
        <v>-755862847871370.88</v>
      </c>
      <c r="M5277" s="460">
        <f t="shared" si="186"/>
        <v>0.05</v>
      </c>
      <c r="N5277" s="464">
        <f t="shared" si="187"/>
        <v>211659</v>
      </c>
    </row>
    <row r="5278" spans="7:14" ht="11.25" customHeight="1" x14ac:dyDescent="0.3">
      <c r="G5278" s="459"/>
      <c r="H5278" s="459">
        <v>5271</v>
      </c>
      <c r="I5278" s="444">
        <f t="shared" ca="1" si="185"/>
        <v>-755862847871370.88</v>
      </c>
      <c r="J5278" s="444">
        <f t="array" ref="J5278">IFERROR(INDEX('Retirement Calculator'!K:K,MATCH('Lorri 401b'!N5278,'Retirement Calculator'!A:A,0),0),0)</f>
        <v>0</v>
      </c>
      <c r="K5278" s="444">
        <f t="shared" ca="1" si="183"/>
        <v>-3149428532797.3784</v>
      </c>
      <c r="L5278" s="444">
        <f t="shared" ca="1" si="184"/>
        <v>-759012276404168.25</v>
      </c>
      <c r="M5278" s="460">
        <f t="shared" si="186"/>
        <v>0.05</v>
      </c>
      <c r="N5278" s="464">
        <f t="shared" si="187"/>
        <v>211690</v>
      </c>
    </row>
    <row r="5279" spans="7:14" ht="11.25" customHeight="1" x14ac:dyDescent="0.3">
      <c r="G5279" s="459"/>
      <c r="H5279" s="459">
        <v>5272</v>
      </c>
      <c r="I5279" s="444">
        <f t="shared" ca="1" si="185"/>
        <v>-759012276404168.25</v>
      </c>
      <c r="J5279" s="444">
        <f t="array" ref="J5279">IFERROR(INDEX('Retirement Calculator'!K:K,MATCH('Lorri 401b'!N5279,'Retirement Calculator'!A:A,0),0),0)</f>
        <v>0</v>
      </c>
      <c r="K5279" s="444">
        <f t="shared" ca="1" si="183"/>
        <v>-3162551151684.0342</v>
      </c>
      <c r="L5279" s="444">
        <f t="shared" ca="1" si="184"/>
        <v>-762174827555852.25</v>
      </c>
      <c r="M5279" s="460">
        <f t="shared" si="186"/>
        <v>0.05</v>
      </c>
      <c r="N5279" s="464">
        <f t="shared" si="187"/>
        <v>211721</v>
      </c>
    </row>
    <row r="5280" spans="7:14" ht="11.25" customHeight="1" x14ac:dyDescent="0.3">
      <c r="G5280" s="459"/>
      <c r="H5280" s="459">
        <v>5273</v>
      </c>
      <c r="I5280" s="444">
        <f t="shared" ca="1" si="185"/>
        <v>-762174827555852.25</v>
      </c>
      <c r="J5280" s="444">
        <f t="array" ref="J5280">IFERROR(INDEX('Retirement Calculator'!K:K,MATCH('Lorri 401b'!N5280,'Retirement Calculator'!A:A,0),0),0)</f>
        <v>0</v>
      </c>
      <c r="K5280" s="444">
        <f t="shared" ca="1" si="183"/>
        <v>-3175728448149.3843</v>
      </c>
      <c r="L5280" s="444">
        <f t="shared" ca="1" si="184"/>
        <v>-765350556004001.63</v>
      </c>
      <c r="M5280" s="460">
        <f t="shared" si="186"/>
        <v>0.05</v>
      </c>
      <c r="N5280" s="464">
        <f t="shared" si="187"/>
        <v>211751</v>
      </c>
    </row>
    <row r="5281" spans="7:14" ht="11.25" customHeight="1" x14ac:dyDescent="0.3">
      <c r="G5281" s="459"/>
      <c r="H5281" s="459">
        <v>5274</v>
      </c>
      <c r="I5281" s="444">
        <f t="shared" ca="1" si="185"/>
        <v>-765350556004001.63</v>
      </c>
      <c r="J5281" s="444">
        <f t="array" ref="J5281">IFERROR(INDEX('Retirement Calculator'!K:K,MATCH('Lorri 401b'!N5281,'Retirement Calculator'!A:A,0),0),0)</f>
        <v>0</v>
      </c>
      <c r="K5281" s="444">
        <f t="shared" ca="1" si="183"/>
        <v>-3188960650016.6733</v>
      </c>
      <c r="L5281" s="444">
        <f t="shared" ca="1" si="184"/>
        <v>-768539516654018.25</v>
      </c>
      <c r="M5281" s="460">
        <f t="shared" si="186"/>
        <v>0.05</v>
      </c>
      <c r="N5281" s="464">
        <f t="shared" si="187"/>
        <v>211782</v>
      </c>
    </row>
    <row r="5282" spans="7:14" ht="11.25" customHeight="1" x14ac:dyDescent="0.3">
      <c r="G5282" s="459"/>
      <c r="H5282" s="459">
        <v>5275</v>
      </c>
      <c r="I5282" s="444">
        <f t="shared" ca="1" si="185"/>
        <v>-768539516654018.25</v>
      </c>
      <c r="J5282" s="444">
        <f t="array" ref="J5282">IFERROR(INDEX('Retirement Calculator'!K:K,MATCH('Lorri 401b'!N5282,'Retirement Calculator'!A:A,0),0),0)</f>
        <v>0</v>
      </c>
      <c r="K5282" s="444">
        <f t="shared" ca="1" si="183"/>
        <v>-3202247986058.4092</v>
      </c>
      <c r="L5282" s="444">
        <f t="shared" ca="1" si="184"/>
        <v>-771741764640076.63</v>
      </c>
      <c r="M5282" s="460">
        <f t="shared" si="186"/>
        <v>0.05</v>
      </c>
      <c r="N5282" s="464">
        <f t="shared" si="187"/>
        <v>211812</v>
      </c>
    </row>
    <row r="5283" spans="7:14" ht="11.25" customHeight="1" x14ac:dyDescent="0.3">
      <c r="G5283" s="459"/>
      <c r="H5283" s="459">
        <v>5276</v>
      </c>
      <c r="I5283" s="444">
        <f t="shared" ca="1" si="185"/>
        <v>-771741764640076.63</v>
      </c>
      <c r="J5283" s="444">
        <f t="array" ref="J5283">IFERROR(INDEX('Retirement Calculator'!K:K,MATCH('Lorri 401b'!N5283,'Retirement Calculator'!A:A,0),0),0)</f>
        <v>0</v>
      </c>
      <c r="K5283" s="444">
        <f t="shared" ca="1" si="183"/>
        <v>-3215590686000.3193</v>
      </c>
      <c r="L5283" s="444">
        <f t="shared" ca="1" si="184"/>
        <v>-774957355326077</v>
      </c>
      <c r="M5283" s="460">
        <f t="shared" si="186"/>
        <v>0.05</v>
      </c>
      <c r="N5283" s="464">
        <f t="shared" si="187"/>
        <v>211843</v>
      </c>
    </row>
    <row r="5284" spans="7:14" ht="11.25" customHeight="1" x14ac:dyDescent="0.3">
      <c r="G5284" s="459"/>
      <c r="H5284" s="459">
        <v>5277</v>
      </c>
      <c r="I5284" s="444">
        <f t="shared" ca="1" si="185"/>
        <v>-774957355326077</v>
      </c>
      <c r="J5284" s="444">
        <f t="array" ref="J5284">IFERROR(INDEX('Retirement Calculator'!K:K,MATCH('Lorri 401b'!N5284,'Retirement Calculator'!A:A,0),0),0)</f>
        <v>0</v>
      </c>
      <c r="K5284" s="444">
        <f t="shared" ca="1" si="183"/>
        <v>-3228988980525.3208</v>
      </c>
      <c r="L5284" s="444">
        <f t="shared" ca="1" si="184"/>
        <v>-778186344306602.38</v>
      </c>
      <c r="M5284" s="460">
        <f t="shared" si="186"/>
        <v>0.05</v>
      </c>
      <c r="N5284" s="464">
        <f t="shared" si="187"/>
        <v>211874</v>
      </c>
    </row>
    <row r="5285" spans="7:14" ht="11.25" customHeight="1" x14ac:dyDescent="0.3">
      <c r="G5285" s="459"/>
      <c r="H5285" s="459">
        <v>5278</v>
      </c>
      <c r="I5285" s="444">
        <f t="shared" ca="1" si="185"/>
        <v>-778186344306602.38</v>
      </c>
      <c r="J5285" s="444">
        <f t="array" ref="J5285">IFERROR(INDEX('Retirement Calculator'!K:K,MATCH('Lorri 401b'!N5285,'Retirement Calculator'!A:A,0),0),0)</f>
        <v>0</v>
      </c>
      <c r="K5285" s="444">
        <f t="shared" ca="1" si="183"/>
        <v>-3242443101277.5098</v>
      </c>
      <c r="L5285" s="444">
        <f t="shared" ca="1" si="184"/>
        <v>-781428787407879.88</v>
      </c>
      <c r="M5285" s="460">
        <f t="shared" si="186"/>
        <v>0.05</v>
      </c>
      <c r="N5285" s="464">
        <f t="shared" si="187"/>
        <v>211903</v>
      </c>
    </row>
    <row r="5286" spans="7:14" ht="11.25" customHeight="1" x14ac:dyDescent="0.3">
      <c r="G5286" s="459"/>
      <c r="H5286" s="459">
        <v>5279</v>
      </c>
      <c r="I5286" s="444">
        <f t="shared" ca="1" si="185"/>
        <v>-781428787407879.88</v>
      </c>
      <c r="J5286" s="444">
        <f t="array" ref="J5286">IFERROR(INDEX('Retirement Calculator'!K:K,MATCH('Lorri 401b'!N5286,'Retirement Calculator'!A:A,0),0),0)</f>
        <v>0</v>
      </c>
      <c r="K5286" s="444">
        <f t="shared" ca="1" si="183"/>
        <v>-3255953280866.166</v>
      </c>
      <c r="L5286" s="444">
        <f t="shared" ca="1" si="184"/>
        <v>-784684740688746</v>
      </c>
      <c r="M5286" s="460">
        <f t="shared" si="186"/>
        <v>0.05</v>
      </c>
      <c r="N5286" s="464">
        <f t="shared" si="187"/>
        <v>211934</v>
      </c>
    </row>
    <row r="5287" spans="7:14" ht="11.25" customHeight="1" x14ac:dyDescent="0.3">
      <c r="G5287" s="459"/>
      <c r="H5287" s="459">
        <v>5280</v>
      </c>
      <c r="I5287" s="444">
        <f t="shared" ca="1" si="185"/>
        <v>-784684740688746</v>
      </c>
      <c r="J5287" s="444">
        <f t="array" ref="J5287">IFERROR(INDEX('Retirement Calculator'!K:K,MATCH('Lorri 401b'!N5287,'Retirement Calculator'!A:A,0),0),0)</f>
        <v>0</v>
      </c>
      <c r="K5287" s="444">
        <f t="shared" ca="1" si="183"/>
        <v>-3269519752869.7749</v>
      </c>
      <c r="L5287" s="444">
        <f t="shared" ca="1" si="184"/>
        <v>-787954260441615.75</v>
      </c>
      <c r="M5287" s="460">
        <f t="shared" si="186"/>
        <v>0.05</v>
      </c>
      <c r="N5287" s="464">
        <f t="shared" si="187"/>
        <v>211964</v>
      </c>
    </row>
    <row r="5288" spans="7:14" ht="11.25" customHeight="1" x14ac:dyDescent="0.3">
      <c r="G5288" s="459"/>
      <c r="H5288" s="459">
        <v>5281</v>
      </c>
      <c r="I5288" s="444">
        <f t="shared" ca="1" si="185"/>
        <v>-787954260441615.75</v>
      </c>
      <c r="J5288" s="444">
        <f t="array" ref="J5288">IFERROR(INDEX('Retirement Calculator'!K:K,MATCH('Lorri 401b'!N5288,'Retirement Calculator'!A:A,0),0),0)</f>
        <v>0</v>
      </c>
      <c r="K5288" s="444">
        <f t="shared" ca="1" si="183"/>
        <v>-3283142751840.0654</v>
      </c>
      <c r="L5288" s="444">
        <f t="shared" ca="1" si="184"/>
        <v>-791237403193455.88</v>
      </c>
      <c r="M5288" s="460">
        <f t="shared" si="186"/>
        <v>0.05</v>
      </c>
      <c r="N5288" s="464">
        <f t="shared" si="187"/>
        <v>211995</v>
      </c>
    </row>
    <row r="5289" spans="7:14" ht="11.25" customHeight="1" x14ac:dyDescent="0.3">
      <c r="G5289" s="459"/>
      <c r="H5289" s="459">
        <v>5282</v>
      </c>
      <c r="I5289" s="444">
        <f t="shared" ca="1" si="185"/>
        <v>-791237403193455.88</v>
      </c>
      <c r="J5289" s="444">
        <f t="array" ref="J5289">IFERROR(INDEX('Retirement Calculator'!K:K,MATCH('Lorri 401b'!N5289,'Retirement Calculator'!A:A,0),0),0)</f>
        <v>0</v>
      </c>
      <c r="K5289" s="444">
        <f t="shared" ca="1" si="183"/>
        <v>-3296822513306.0659</v>
      </c>
      <c r="L5289" s="444">
        <f t="shared" ca="1" si="184"/>
        <v>-794534225706762</v>
      </c>
      <c r="M5289" s="460">
        <f t="shared" si="186"/>
        <v>0.05</v>
      </c>
      <c r="N5289" s="464">
        <f t="shared" si="187"/>
        <v>212025</v>
      </c>
    </row>
    <row r="5290" spans="7:14" ht="11.25" customHeight="1" x14ac:dyDescent="0.3">
      <c r="G5290" s="459"/>
      <c r="H5290" s="459">
        <v>5283</v>
      </c>
      <c r="I5290" s="444">
        <f t="shared" ca="1" si="185"/>
        <v>-794534225706762</v>
      </c>
      <c r="J5290" s="444">
        <f t="array" ref="J5290">IFERROR(INDEX('Retirement Calculator'!K:K,MATCH('Lorri 401b'!N5290,'Retirement Calculator'!A:A,0),0),0)</f>
        <v>0</v>
      </c>
      <c r="K5290" s="444">
        <f t="shared" ca="1" si="183"/>
        <v>-3310559273778.1748</v>
      </c>
      <c r="L5290" s="444">
        <f t="shared" ca="1" si="184"/>
        <v>-797844784980540.13</v>
      </c>
      <c r="M5290" s="460">
        <f t="shared" si="186"/>
        <v>0.05</v>
      </c>
      <c r="N5290" s="464">
        <f t="shared" si="187"/>
        <v>212056</v>
      </c>
    </row>
    <row r="5291" spans="7:14" ht="11.25" customHeight="1" x14ac:dyDescent="0.3">
      <c r="G5291" s="459"/>
      <c r="H5291" s="459">
        <v>5284</v>
      </c>
      <c r="I5291" s="444">
        <f t="shared" ca="1" si="185"/>
        <v>-797844784980540.13</v>
      </c>
      <c r="J5291" s="444">
        <f t="array" ref="J5291">IFERROR(INDEX('Retirement Calculator'!K:K,MATCH('Lorri 401b'!N5291,'Retirement Calculator'!A:A,0),0),0)</f>
        <v>0</v>
      </c>
      <c r="K5291" s="444">
        <f t="shared" ca="1" si="183"/>
        <v>-3324353270752.2505</v>
      </c>
      <c r="L5291" s="444">
        <f t="shared" ca="1" si="184"/>
        <v>-801169138251292.38</v>
      </c>
      <c r="M5291" s="460">
        <f t="shared" si="186"/>
        <v>0.05</v>
      </c>
      <c r="N5291" s="464">
        <f t="shared" si="187"/>
        <v>212087</v>
      </c>
    </row>
    <row r="5292" spans="7:14" ht="11.25" customHeight="1" x14ac:dyDescent="0.3">
      <c r="G5292" s="459"/>
      <c r="H5292" s="459">
        <v>5285</v>
      </c>
      <c r="I5292" s="444">
        <f t="shared" ca="1" si="185"/>
        <v>-801169138251292.38</v>
      </c>
      <c r="J5292" s="444">
        <f t="array" ref="J5292">IFERROR(INDEX('Retirement Calculator'!K:K,MATCH('Lorri 401b'!N5292,'Retirement Calculator'!A:A,0),0),0)</f>
        <v>0</v>
      </c>
      <c r="K5292" s="444">
        <f t="shared" ca="1" si="183"/>
        <v>-3338204742713.7183</v>
      </c>
      <c r="L5292" s="444">
        <f t="shared" ca="1" si="184"/>
        <v>-804507342994006.13</v>
      </c>
      <c r="M5292" s="460">
        <f t="shared" si="186"/>
        <v>0.05</v>
      </c>
      <c r="N5292" s="464">
        <f t="shared" si="187"/>
        <v>212117</v>
      </c>
    </row>
    <row r="5293" spans="7:14" ht="11.25" customHeight="1" x14ac:dyDescent="0.3">
      <c r="G5293" s="459"/>
      <c r="H5293" s="459">
        <v>5286</v>
      </c>
      <c r="I5293" s="444">
        <f t="shared" ca="1" si="185"/>
        <v>-804507342994006.13</v>
      </c>
      <c r="J5293" s="444">
        <f t="array" ref="J5293">IFERROR(INDEX('Retirement Calculator'!K:K,MATCH('Lorri 401b'!N5293,'Retirement Calculator'!A:A,0),0),0)</f>
        <v>0</v>
      </c>
      <c r="K5293" s="444">
        <f t="shared" ca="1" si="183"/>
        <v>-3352113929141.6924</v>
      </c>
      <c r="L5293" s="444">
        <f t="shared" ca="1" si="184"/>
        <v>-807859456923147.88</v>
      </c>
      <c r="M5293" s="460">
        <f t="shared" si="186"/>
        <v>0.05</v>
      </c>
      <c r="N5293" s="464">
        <f t="shared" si="187"/>
        <v>212148</v>
      </c>
    </row>
    <row r="5294" spans="7:14" ht="11.25" customHeight="1" x14ac:dyDescent="0.3">
      <c r="G5294" s="459"/>
      <c r="H5294" s="459">
        <v>5287</v>
      </c>
      <c r="I5294" s="444">
        <f t="shared" ca="1" si="185"/>
        <v>-807859456923147.88</v>
      </c>
      <c r="J5294" s="444">
        <f t="array" ref="J5294">IFERROR(INDEX('Retirement Calculator'!K:K,MATCH('Lorri 401b'!N5294,'Retirement Calculator'!A:A,0),0),0)</f>
        <v>0</v>
      </c>
      <c r="K5294" s="444">
        <f t="shared" ca="1" si="183"/>
        <v>-3366081070513.1162</v>
      </c>
      <c r="L5294" s="444">
        <f t="shared" ca="1" si="184"/>
        <v>-811225537993661</v>
      </c>
      <c r="M5294" s="460">
        <f t="shared" si="186"/>
        <v>0.05</v>
      </c>
      <c r="N5294" s="464">
        <f t="shared" si="187"/>
        <v>212178</v>
      </c>
    </row>
    <row r="5295" spans="7:14" ht="11.25" customHeight="1" x14ac:dyDescent="0.3">
      <c r="G5295" s="459"/>
      <c r="H5295" s="459">
        <v>5288</v>
      </c>
      <c r="I5295" s="444">
        <f t="shared" ca="1" si="185"/>
        <v>-811225537993661</v>
      </c>
      <c r="J5295" s="444">
        <f t="array" ref="J5295">IFERROR(INDEX('Retirement Calculator'!K:K,MATCH('Lorri 401b'!N5295,'Retirement Calculator'!A:A,0),0),0)</f>
        <v>0</v>
      </c>
      <c r="K5295" s="444">
        <f t="shared" ca="1" si="183"/>
        <v>-3380106408306.9209</v>
      </c>
      <c r="L5295" s="444">
        <f t="shared" ca="1" si="184"/>
        <v>-814605644401967.88</v>
      </c>
      <c r="M5295" s="460">
        <f t="shared" si="186"/>
        <v>0.05</v>
      </c>
      <c r="N5295" s="464">
        <f t="shared" si="187"/>
        <v>212209</v>
      </c>
    </row>
    <row r="5296" spans="7:14" ht="11.25" customHeight="1" x14ac:dyDescent="0.3">
      <c r="G5296" s="459"/>
      <c r="H5296" s="459">
        <v>5289</v>
      </c>
      <c r="I5296" s="444">
        <f t="shared" ca="1" si="185"/>
        <v>-814605644401967.88</v>
      </c>
      <c r="J5296" s="444">
        <f t="array" ref="J5296">IFERROR(INDEX('Retirement Calculator'!K:K,MATCH('Lorri 401b'!N5296,'Retirement Calculator'!A:A,0),0),0)</f>
        <v>0</v>
      </c>
      <c r="K5296" s="444">
        <f t="shared" ca="1" si="183"/>
        <v>-3394190185008.1992</v>
      </c>
      <c r="L5296" s="444">
        <f t="shared" ca="1" si="184"/>
        <v>-817999834586976.13</v>
      </c>
      <c r="M5296" s="460">
        <f t="shared" si="186"/>
        <v>0.05</v>
      </c>
      <c r="N5296" s="464">
        <f t="shared" si="187"/>
        <v>212240</v>
      </c>
    </row>
    <row r="5297" spans="7:14" ht="11.25" customHeight="1" x14ac:dyDescent="0.3">
      <c r="G5297" s="459"/>
      <c r="H5297" s="459">
        <v>5290</v>
      </c>
      <c r="I5297" s="444">
        <f t="shared" ca="1" si="185"/>
        <v>-817999834586976.13</v>
      </c>
      <c r="J5297" s="444">
        <f t="array" ref="J5297">IFERROR(INDEX('Retirement Calculator'!K:K,MATCH('Lorri 401b'!N5297,'Retirement Calculator'!A:A,0),0),0)</f>
        <v>0</v>
      </c>
      <c r="K5297" s="444">
        <f t="shared" ca="1" si="183"/>
        <v>-3408332644112.4004</v>
      </c>
      <c r="L5297" s="444">
        <f t="shared" ca="1" si="184"/>
        <v>-821408167231088.5</v>
      </c>
      <c r="M5297" s="460">
        <f t="shared" si="186"/>
        <v>0.05</v>
      </c>
      <c r="N5297" s="464">
        <f t="shared" si="187"/>
        <v>212268</v>
      </c>
    </row>
    <row r="5298" spans="7:14" ht="11.25" customHeight="1" x14ac:dyDescent="0.3">
      <c r="G5298" s="459"/>
      <c r="H5298" s="459">
        <v>5291</v>
      </c>
      <c r="I5298" s="444">
        <f t="shared" ca="1" si="185"/>
        <v>-821408167231088.5</v>
      </c>
      <c r="J5298" s="444">
        <f t="array" ref="J5298">IFERROR(INDEX('Retirement Calculator'!K:K,MATCH('Lorri 401b'!N5298,'Retirement Calculator'!A:A,0),0),0)</f>
        <v>0</v>
      </c>
      <c r="K5298" s="444">
        <f t="shared" ca="1" si="183"/>
        <v>-3422534030129.5352</v>
      </c>
      <c r="L5298" s="444">
        <f t="shared" ca="1" si="184"/>
        <v>-824830701261218</v>
      </c>
      <c r="M5298" s="460">
        <f t="shared" si="186"/>
        <v>0.05</v>
      </c>
      <c r="N5298" s="464">
        <f t="shared" si="187"/>
        <v>212299</v>
      </c>
    </row>
    <row r="5299" spans="7:14" ht="11.25" customHeight="1" x14ac:dyDescent="0.3">
      <c r="G5299" s="459"/>
      <c r="H5299" s="459">
        <v>5292</v>
      </c>
      <c r="I5299" s="444">
        <f t="shared" ca="1" si="185"/>
        <v>-824830701261218</v>
      </c>
      <c r="J5299" s="444">
        <f t="array" ref="J5299">IFERROR(INDEX('Retirement Calculator'!K:K,MATCH('Lorri 401b'!N5299,'Retirement Calculator'!A:A,0),0),0)</f>
        <v>0</v>
      </c>
      <c r="K5299" s="444">
        <f t="shared" ca="1" si="183"/>
        <v>-3436794588588.4082</v>
      </c>
      <c r="L5299" s="444">
        <f t="shared" ca="1" si="184"/>
        <v>-828267495849806.38</v>
      </c>
      <c r="M5299" s="460">
        <f t="shared" si="186"/>
        <v>0.05</v>
      </c>
      <c r="N5299" s="464">
        <f t="shared" si="187"/>
        <v>212329</v>
      </c>
    </row>
    <row r="5300" spans="7:14" ht="11.25" customHeight="1" x14ac:dyDescent="0.3">
      <c r="G5300" s="459"/>
      <c r="H5300" s="459">
        <v>5293</v>
      </c>
      <c r="I5300" s="444">
        <f t="shared" ca="1" si="185"/>
        <v>-828267495849806.38</v>
      </c>
      <c r="J5300" s="444">
        <f t="array" ref="J5300">IFERROR(INDEX('Retirement Calculator'!K:K,MATCH('Lorri 401b'!N5300,'Retirement Calculator'!A:A,0),0),0)</f>
        <v>0</v>
      </c>
      <c r="K5300" s="444">
        <f t="shared" ca="1" si="183"/>
        <v>-3451114566040.8599</v>
      </c>
      <c r="L5300" s="444">
        <f t="shared" ca="1" si="184"/>
        <v>-831718610415847.25</v>
      </c>
      <c r="M5300" s="460">
        <f t="shared" si="186"/>
        <v>0.05</v>
      </c>
      <c r="N5300" s="464">
        <f t="shared" si="187"/>
        <v>212360</v>
      </c>
    </row>
    <row r="5301" spans="7:14" ht="11.25" customHeight="1" x14ac:dyDescent="0.3">
      <c r="G5301" s="459"/>
      <c r="H5301" s="459">
        <v>5294</v>
      </c>
      <c r="I5301" s="444">
        <f t="shared" ca="1" si="185"/>
        <v>-831718610415847.25</v>
      </c>
      <c r="J5301" s="444">
        <f t="array" ref="J5301">IFERROR(INDEX('Retirement Calculator'!K:K,MATCH('Lorri 401b'!N5301,'Retirement Calculator'!A:A,0),0),0)</f>
        <v>0</v>
      </c>
      <c r="K5301" s="444">
        <f t="shared" ca="1" si="183"/>
        <v>-3465494210066.0303</v>
      </c>
      <c r="L5301" s="444">
        <f t="shared" ca="1" si="184"/>
        <v>-835184104625913.25</v>
      </c>
      <c r="M5301" s="460">
        <f t="shared" si="186"/>
        <v>0.05</v>
      </c>
      <c r="N5301" s="464">
        <f t="shared" si="187"/>
        <v>212390</v>
      </c>
    </row>
    <row r="5302" spans="7:14" ht="11.25" customHeight="1" x14ac:dyDescent="0.3">
      <c r="G5302" s="459"/>
      <c r="H5302" s="459">
        <v>5295</v>
      </c>
      <c r="I5302" s="444">
        <f t="shared" ca="1" si="185"/>
        <v>-835184104625913.25</v>
      </c>
      <c r="J5302" s="444">
        <f t="array" ref="J5302">IFERROR(INDEX('Retirement Calculator'!K:K,MATCH('Lorri 401b'!N5302,'Retirement Calculator'!A:A,0),0),0)</f>
        <v>0</v>
      </c>
      <c r="K5302" s="444">
        <f t="shared" ca="1" si="183"/>
        <v>-3479933769274.6387</v>
      </c>
      <c r="L5302" s="444">
        <f t="shared" ca="1" si="184"/>
        <v>-838664038395187.88</v>
      </c>
      <c r="M5302" s="460">
        <f t="shared" si="186"/>
        <v>0.05</v>
      </c>
      <c r="N5302" s="464">
        <f t="shared" si="187"/>
        <v>212421</v>
      </c>
    </row>
    <row r="5303" spans="7:14" ht="11.25" customHeight="1" x14ac:dyDescent="0.3">
      <c r="G5303" s="459"/>
      <c r="H5303" s="459">
        <v>5296</v>
      </c>
      <c r="I5303" s="444">
        <f t="shared" ca="1" si="185"/>
        <v>-838664038395187.88</v>
      </c>
      <c r="J5303" s="444">
        <f t="array" ref="J5303">IFERROR(INDEX('Retirement Calculator'!K:K,MATCH('Lorri 401b'!N5303,'Retirement Calculator'!A:A,0),0),0)</f>
        <v>0</v>
      </c>
      <c r="K5303" s="444">
        <f t="shared" ca="1" si="183"/>
        <v>-3494433493313.2827</v>
      </c>
      <c r="L5303" s="444">
        <f t="shared" ca="1" si="184"/>
        <v>-842158471888501.13</v>
      </c>
      <c r="M5303" s="460">
        <f t="shared" si="186"/>
        <v>0.05</v>
      </c>
      <c r="N5303" s="464">
        <f t="shared" si="187"/>
        <v>212452</v>
      </c>
    </row>
    <row r="5304" spans="7:14" ht="11.25" customHeight="1" x14ac:dyDescent="0.3">
      <c r="G5304" s="459"/>
      <c r="H5304" s="459">
        <v>5297</v>
      </c>
      <c r="I5304" s="444">
        <f t="shared" ca="1" si="185"/>
        <v>-842158471888501.13</v>
      </c>
      <c r="J5304" s="444">
        <f t="array" ref="J5304">IFERROR(INDEX('Retirement Calculator'!K:K,MATCH('Lorri 401b'!N5304,'Retirement Calculator'!A:A,0),0),0)</f>
        <v>0</v>
      </c>
      <c r="K5304" s="444">
        <f t="shared" ca="1" si="183"/>
        <v>-3508993632868.7549</v>
      </c>
      <c r="L5304" s="444">
        <f t="shared" ca="1" si="184"/>
        <v>-845667465521369.88</v>
      </c>
      <c r="M5304" s="460">
        <f t="shared" si="186"/>
        <v>0.05</v>
      </c>
      <c r="N5304" s="464">
        <f t="shared" si="187"/>
        <v>212482</v>
      </c>
    </row>
    <row r="5305" spans="7:14" ht="11.25" customHeight="1" x14ac:dyDescent="0.3">
      <c r="G5305" s="459"/>
      <c r="H5305" s="459">
        <v>5298</v>
      </c>
      <c r="I5305" s="444">
        <f t="shared" ca="1" si="185"/>
        <v>-845667465521369.88</v>
      </c>
      <c r="J5305" s="444">
        <f t="array" ref="J5305">IFERROR(INDEX('Retirement Calculator'!K:K,MATCH('Lorri 401b'!N5305,'Retirement Calculator'!A:A,0),0),0)</f>
        <v>0</v>
      </c>
      <c r="K5305" s="444">
        <f t="shared" ca="1" si="183"/>
        <v>-3523614439672.3745</v>
      </c>
      <c r="L5305" s="444">
        <f t="shared" ca="1" si="184"/>
        <v>-849191079961042.25</v>
      </c>
      <c r="M5305" s="460">
        <f t="shared" si="186"/>
        <v>0.05</v>
      </c>
      <c r="N5305" s="464">
        <f t="shared" si="187"/>
        <v>212513</v>
      </c>
    </row>
    <row r="5306" spans="7:14" ht="11.25" customHeight="1" x14ac:dyDescent="0.3">
      <c r="G5306" s="459"/>
      <c r="H5306" s="459">
        <v>5299</v>
      </c>
      <c r="I5306" s="444">
        <f t="shared" ca="1" si="185"/>
        <v>-849191079961042.25</v>
      </c>
      <c r="J5306" s="444">
        <f t="array" ref="J5306">IFERROR(INDEX('Retirement Calculator'!K:K,MATCH('Lorri 401b'!N5306,'Retirement Calculator'!A:A,0),0),0)</f>
        <v>0</v>
      </c>
      <c r="K5306" s="444">
        <f t="shared" ca="1" si="183"/>
        <v>-3538296166504.3428</v>
      </c>
      <c r="L5306" s="444">
        <f t="shared" ca="1" si="184"/>
        <v>-852729376127546.63</v>
      </c>
      <c r="M5306" s="460">
        <f t="shared" si="186"/>
        <v>0.05</v>
      </c>
      <c r="N5306" s="464">
        <f t="shared" si="187"/>
        <v>212543</v>
      </c>
    </row>
    <row r="5307" spans="7:14" ht="11.25" customHeight="1" x14ac:dyDescent="0.3">
      <c r="G5307" s="459"/>
      <c r="H5307" s="459">
        <v>5300</v>
      </c>
      <c r="I5307" s="444">
        <f t="shared" ca="1" si="185"/>
        <v>-852729376127546.63</v>
      </c>
      <c r="J5307" s="444">
        <f t="array" ref="J5307">IFERROR(INDEX('Retirement Calculator'!K:K,MATCH('Lorri 401b'!N5307,'Retirement Calculator'!A:A,0),0),0)</f>
        <v>0</v>
      </c>
      <c r="K5307" s="444">
        <f t="shared" ca="1" si="183"/>
        <v>-3553039067198.1108</v>
      </c>
      <c r="L5307" s="444">
        <f t="shared" ca="1" si="184"/>
        <v>-856282415194744.75</v>
      </c>
      <c r="M5307" s="460">
        <f t="shared" si="186"/>
        <v>0.05</v>
      </c>
      <c r="N5307" s="464">
        <f t="shared" si="187"/>
        <v>212574</v>
      </c>
    </row>
    <row r="5308" spans="7:14" ht="11.25" customHeight="1" x14ac:dyDescent="0.3">
      <c r="G5308" s="459"/>
      <c r="H5308" s="459">
        <v>5301</v>
      </c>
      <c r="I5308" s="444">
        <f t="shared" ca="1" si="185"/>
        <v>-856282415194744.75</v>
      </c>
      <c r="J5308" s="444">
        <f t="array" ref="J5308">IFERROR(INDEX('Retirement Calculator'!K:K,MATCH('Lorri 401b'!N5308,'Retirement Calculator'!A:A,0),0),0)</f>
        <v>0</v>
      </c>
      <c r="K5308" s="444">
        <f t="shared" ca="1" si="183"/>
        <v>-3567843396644.7695</v>
      </c>
      <c r="L5308" s="444">
        <f t="shared" ca="1" si="184"/>
        <v>-859850258591389.5</v>
      </c>
      <c r="M5308" s="460">
        <f t="shared" si="186"/>
        <v>0.05</v>
      </c>
      <c r="N5308" s="464">
        <f t="shared" si="187"/>
        <v>212605</v>
      </c>
    </row>
    <row r="5309" spans="7:14" ht="11.25" customHeight="1" x14ac:dyDescent="0.3">
      <c r="G5309" s="459"/>
      <c r="H5309" s="459">
        <v>5302</v>
      </c>
      <c r="I5309" s="444">
        <f t="shared" ca="1" si="185"/>
        <v>-859850258591389.5</v>
      </c>
      <c r="J5309" s="444">
        <f t="array" ref="J5309">IFERROR(INDEX('Retirement Calculator'!K:K,MATCH('Lorri 401b'!N5309,'Retirement Calculator'!A:A,0),0),0)</f>
        <v>0</v>
      </c>
      <c r="K5309" s="444">
        <f t="shared" ca="1" si="183"/>
        <v>-3582709410797.4561</v>
      </c>
      <c r="L5309" s="444">
        <f t="shared" ca="1" si="184"/>
        <v>-863432968002187</v>
      </c>
      <c r="M5309" s="460">
        <f t="shared" si="186"/>
        <v>0.05</v>
      </c>
      <c r="N5309" s="464">
        <f t="shared" si="187"/>
        <v>212633</v>
      </c>
    </row>
    <row r="5310" spans="7:14" ht="11.25" customHeight="1" x14ac:dyDescent="0.3">
      <c r="G5310" s="459"/>
      <c r="H5310" s="459">
        <v>5303</v>
      </c>
      <c r="I5310" s="444">
        <f t="shared" ca="1" si="185"/>
        <v>-863432968002187</v>
      </c>
      <c r="J5310" s="444">
        <f t="array" ref="J5310">IFERROR(INDEX('Retirement Calculator'!K:K,MATCH('Lorri 401b'!N5310,'Retirement Calculator'!A:A,0),0),0)</f>
        <v>0</v>
      </c>
      <c r="K5310" s="444">
        <f t="shared" ca="1" si="183"/>
        <v>-3597637366675.7793</v>
      </c>
      <c r="L5310" s="444">
        <f t="shared" ca="1" si="184"/>
        <v>-867030605368862.75</v>
      </c>
      <c r="M5310" s="460">
        <f t="shared" si="186"/>
        <v>0.05</v>
      </c>
      <c r="N5310" s="464">
        <f t="shared" si="187"/>
        <v>212664</v>
      </c>
    </row>
    <row r="5311" spans="7:14" ht="11.25" customHeight="1" x14ac:dyDescent="0.3">
      <c r="G5311" s="459"/>
      <c r="H5311" s="459">
        <v>5304</v>
      </c>
      <c r="I5311" s="444">
        <f t="shared" ca="1" si="185"/>
        <v>-867030605368862.75</v>
      </c>
      <c r="J5311" s="444">
        <f t="array" ref="J5311">IFERROR(INDEX('Retirement Calculator'!K:K,MATCH('Lorri 401b'!N5311,'Retirement Calculator'!A:A,0),0),0)</f>
        <v>0</v>
      </c>
      <c r="K5311" s="444">
        <f t="shared" ca="1" si="183"/>
        <v>-3612627522370.2612</v>
      </c>
      <c r="L5311" s="444">
        <f t="shared" ca="1" si="184"/>
        <v>-870643232891233</v>
      </c>
      <c r="M5311" s="460">
        <f t="shared" si="186"/>
        <v>0.05</v>
      </c>
      <c r="N5311" s="464">
        <f t="shared" si="187"/>
        <v>212694</v>
      </c>
    </row>
    <row r="5312" spans="7:14" ht="11.25" customHeight="1" x14ac:dyDescent="0.3">
      <c r="G5312" s="459"/>
      <c r="H5312" s="459">
        <v>5305</v>
      </c>
      <c r="I5312" s="444">
        <f t="shared" ca="1" si="185"/>
        <v>-870643232891233</v>
      </c>
      <c r="J5312" s="444">
        <f t="array" ref="J5312">IFERROR(INDEX('Retirement Calculator'!K:K,MATCH('Lorri 401b'!N5312,'Retirement Calculator'!A:A,0),0),0)</f>
        <v>0</v>
      </c>
      <c r="K5312" s="444">
        <f t="shared" ca="1" si="183"/>
        <v>-3627680137046.8042</v>
      </c>
      <c r="L5312" s="444">
        <f t="shared" ca="1" si="184"/>
        <v>-874270913028279.75</v>
      </c>
      <c r="M5312" s="460">
        <f t="shared" si="186"/>
        <v>0.05</v>
      </c>
      <c r="N5312" s="464">
        <f t="shared" si="187"/>
        <v>212725</v>
      </c>
    </row>
    <row r="5313" spans="7:14" ht="11.25" customHeight="1" x14ac:dyDescent="0.3">
      <c r="G5313" s="459"/>
      <c r="H5313" s="459">
        <v>5306</v>
      </c>
      <c r="I5313" s="444">
        <f t="shared" ca="1" si="185"/>
        <v>-874270913028279.75</v>
      </c>
      <c r="J5313" s="444">
        <f t="array" ref="J5313">IFERROR(INDEX('Retirement Calculator'!K:K,MATCH('Lorri 401b'!N5313,'Retirement Calculator'!A:A,0),0),0)</f>
        <v>0</v>
      </c>
      <c r="K5313" s="444">
        <f t="shared" ca="1" si="183"/>
        <v>-3642795470951.1655</v>
      </c>
      <c r="L5313" s="444">
        <f t="shared" ca="1" si="184"/>
        <v>-877913708499230.88</v>
      </c>
      <c r="M5313" s="460">
        <f t="shared" si="186"/>
        <v>0.05</v>
      </c>
      <c r="N5313" s="464">
        <f t="shared" si="187"/>
        <v>212755</v>
      </c>
    </row>
    <row r="5314" spans="7:14" ht="11.25" customHeight="1" x14ac:dyDescent="0.3">
      <c r="G5314" s="459"/>
      <c r="H5314" s="459">
        <v>5307</v>
      </c>
      <c r="I5314" s="444">
        <f t="shared" ca="1" si="185"/>
        <v>-877913708499230.88</v>
      </c>
      <c r="J5314" s="444">
        <f t="array" ref="J5314">IFERROR(INDEX('Retirement Calculator'!K:K,MATCH('Lorri 401b'!N5314,'Retirement Calculator'!A:A,0),0),0)</f>
        <v>0</v>
      </c>
      <c r="K5314" s="444">
        <f t="shared" ca="1" si="183"/>
        <v>-3657973785413.4619</v>
      </c>
      <c r="L5314" s="444">
        <f t="shared" ca="1" si="184"/>
        <v>-881571682284644.38</v>
      </c>
      <c r="M5314" s="460">
        <f t="shared" si="186"/>
        <v>0.05</v>
      </c>
      <c r="N5314" s="464">
        <f t="shared" si="187"/>
        <v>212786</v>
      </c>
    </row>
    <row r="5315" spans="7:14" ht="11.25" customHeight="1" x14ac:dyDescent="0.3">
      <c r="G5315" s="459"/>
      <c r="H5315" s="459">
        <v>5308</v>
      </c>
      <c r="I5315" s="444">
        <f t="shared" ca="1" si="185"/>
        <v>-881571682284644.38</v>
      </c>
      <c r="J5315" s="444">
        <f t="array" ref="J5315">IFERROR(INDEX('Retirement Calculator'!K:K,MATCH('Lorri 401b'!N5315,'Retirement Calculator'!A:A,0),0),0)</f>
        <v>0</v>
      </c>
      <c r="K5315" s="444">
        <f t="shared" ca="1" si="183"/>
        <v>-3673215342852.6841</v>
      </c>
      <c r="L5315" s="444">
        <f t="shared" ca="1" si="184"/>
        <v>-885244897627497</v>
      </c>
      <c r="M5315" s="460">
        <f t="shared" si="186"/>
        <v>0.05</v>
      </c>
      <c r="N5315" s="464">
        <f t="shared" si="187"/>
        <v>212817</v>
      </c>
    </row>
    <row r="5316" spans="7:14" ht="11.25" customHeight="1" x14ac:dyDescent="0.3">
      <c r="G5316" s="459"/>
      <c r="H5316" s="459">
        <v>5309</v>
      </c>
      <c r="I5316" s="444">
        <f t="shared" ca="1" si="185"/>
        <v>-885244897627497</v>
      </c>
      <c r="J5316" s="444">
        <f t="array" ref="J5316">IFERROR(INDEX('Retirement Calculator'!K:K,MATCH('Lorri 401b'!N5316,'Retirement Calculator'!A:A,0),0),0)</f>
        <v>0</v>
      </c>
      <c r="K5316" s="444">
        <f t="shared" ca="1" si="183"/>
        <v>-3688520406781.2373</v>
      </c>
      <c r="L5316" s="444">
        <f t="shared" ca="1" si="184"/>
        <v>-888933418034278.25</v>
      </c>
      <c r="M5316" s="460">
        <f t="shared" si="186"/>
        <v>0.05</v>
      </c>
      <c r="N5316" s="464">
        <f t="shared" si="187"/>
        <v>212847</v>
      </c>
    </row>
    <row r="5317" spans="7:14" ht="11.25" customHeight="1" x14ac:dyDescent="0.3">
      <c r="G5317" s="459"/>
      <c r="H5317" s="459">
        <v>5310</v>
      </c>
      <c r="I5317" s="444">
        <f t="shared" ca="1" si="185"/>
        <v>-888933418034278.25</v>
      </c>
      <c r="J5317" s="444">
        <f t="array" ref="J5317">IFERROR(INDEX('Retirement Calculator'!K:K,MATCH('Lorri 401b'!N5317,'Retirement Calculator'!A:A,0),0),0)</f>
        <v>0</v>
      </c>
      <c r="K5317" s="444">
        <f t="shared" ca="1" si="183"/>
        <v>-3703889241809.4927</v>
      </c>
      <c r="L5317" s="444">
        <f t="shared" ca="1" si="184"/>
        <v>-892637307276087.75</v>
      </c>
      <c r="M5317" s="460">
        <f t="shared" si="186"/>
        <v>0.05</v>
      </c>
      <c r="N5317" s="464">
        <f t="shared" si="187"/>
        <v>212878</v>
      </c>
    </row>
    <row r="5318" spans="7:14" ht="11.25" customHeight="1" x14ac:dyDescent="0.3">
      <c r="G5318" s="459"/>
      <c r="H5318" s="459">
        <v>5311</v>
      </c>
      <c r="I5318" s="444">
        <f t="shared" ca="1" si="185"/>
        <v>-892637307276087.75</v>
      </c>
      <c r="J5318" s="444">
        <f t="array" ref="J5318">IFERROR(INDEX('Retirement Calculator'!K:K,MATCH('Lorri 401b'!N5318,'Retirement Calculator'!A:A,0),0),0)</f>
        <v>0</v>
      </c>
      <c r="K5318" s="444">
        <f t="shared" ca="1" si="183"/>
        <v>-3719322113650.3657</v>
      </c>
      <c r="L5318" s="444">
        <f t="shared" ca="1" si="184"/>
        <v>-896356629389738.13</v>
      </c>
      <c r="M5318" s="460">
        <f t="shared" si="186"/>
        <v>0.05</v>
      </c>
      <c r="N5318" s="464">
        <f t="shared" si="187"/>
        <v>212908</v>
      </c>
    </row>
    <row r="5319" spans="7:14" ht="11.25" customHeight="1" x14ac:dyDescent="0.3">
      <c r="G5319" s="459"/>
      <c r="H5319" s="459">
        <v>5312</v>
      </c>
      <c r="I5319" s="444">
        <f t="shared" ca="1" si="185"/>
        <v>-896356629389738.13</v>
      </c>
      <c r="J5319" s="444">
        <f t="array" ref="J5319">IFERROR(INDEX('Retirement Calculator'!K:K,MATCH('Lorri 401b'!N5319,'Retirement Calculator'!A:A,0),0),0)</f>
        <v>0</v>
      </c>
      <c r="K5319" s="444">
        <f t="shared" ca="1" si="183"/>
        <v>-3734819289123.9087</v>
      </c>
      <c r="L5319" s="444">
        <f t="shared" ca="1" si="184"/>
        <v>-900091448678862</v>
      </c>
      <c r="M5319" s="460">
        <f t="shared" si="186"/>
        <v>0.05</v>
      </c>
      <c r="N5319" s="464">
        <f t="shared" si="187"/>
        <v>212939</v>
      </c>
    </row>
    <row r="5320" spans="7:14" ht="11.25" customHeight="1" x14ac:dyDescent="0.3">
      <c r="G5320" s="459"/>
      <c r="H5320" s="459">
        <v>5313</v>
      </c>
      <c r="I5320" s="444">
        <f t="shared" ca="1" si="185"/>
        <v>-900091448678862</v>
      </c>
      <c r="J5320" s="444">
        <f t="array" ref="J5320">IFERROR(INDEX('Retirement Calculator'!K:K,MATCH('Lorri 401b'!N5320,'Retirement Calculator'!A:A,0),0),0)</f>
        <v>0</v>
      </c>
      <c r="K5320" s="444">
        <f t="shared" ca="1" si="183"/>
        <v>-3750381036161.9243</v>
      </c>
      <c r="L5320" s="444">
        <f t="shared" ca="1" si="184"/>
        <v>-903841829715023.88</v>
      </c>
      <c r="M5320" s="460">
        <f t="shared" si="186"/>
        <v>0.05</v>
      </c>
      <c r="N5320" s="464">
        <f t="shared" si="187"/>
        <v>212970</v>
      </c>
    </row>
    <row r="5321" spans="7:14" ht="11.25" customHeight="1" x14ac:dyDescent="0.3">
      <c r="G5321" s="459"/>
      <c r="H5321" s="459">
        <v>5314</v>
      </c>
      <c r="I5321" s="444">
        <f t="shared" ca="1" si="185"/>
        <v>-903841829715023.88</v>
      </c>
      <c r="J5321" s="444">
        <f t="array" ref="J5321">IFERROR(INDEX('Retirement Calculator'!K:K,MATCH('Lorri 401b'!N5321,'Retirement Calculator'!A:A,0),0),0)</f>
        <v>0</v>
      </c>
      <c r="K5321" s="444">
        <f t="shared" ca="1" si="183"/>
        <v>-3766007623812.5996</v>
      </c>
      <c r="L5321" s="444">
        <f t="shared" ca="1" si="184"/>
        <v>-907607837338836.5</v>
      </c>
      <c r="M5321" s="460">
        <f t="shared" si="186"/>
        <v>0.05</v>
      </c>
      <c r="N5321" s="464">
        <f t="shared" si="187"/>
        <v>212998</v>
      </c>
    </row>
    <row r="5322" spans="7:14" ht="11.25" customHeight="1" x14ac:dyDescent="0.3">
      <c r="G5322" s="459"/>
      <c r="H5322" s="459">
        <v>5315</v>
      </c>
      <c r="I5322" s="444">
        <f t="shared" ca="1" si="185"/>
        <v>-907607837338836.5</v>
      </c>
      <c r="J5322" s="444">
        <f t="array" ref="J5322">IFERROR(INDEX('Retirement Calculator'!K:K,MATCH('Lorri 401b'!N5322,'Retirement Calculator'!A:A,0),0),0)</f>
        <v>0</v>
      </c>
      <c r="K5322" s="444">
        <f t="shared" ca="1" si="183"/>
        <v>-3781699322245.1519</v>
      </c>
      <c r="L5322" s="444">
        <f t="shared" ca="1" si="184"/>
        <v>-911389536661081.63</v>
      </c>
      <c r="M5322" s="460">
        <f t="shared" si="186"/>
        <v>0.05</v>
      </c>
      <c r="N5322" s="464">
        <f t="shared" si="187"/>
        <v>213029</v>
      </c>
    </row>
    <row r="5323" spans="7:14" ht="11.25" customHeight="1" x14ac:dyDescent="0.3">
      <c r="G5323" s="459"/>
      <c r="H5323" s="459">
        <v>5316</v>
      </c>
      <c r="I5323" s="444">
        <f t="shared" ca="1" si="185"/>
        <v>-911389536661081.63</v>
      </c>
      <c r="J5323" s="444">
        <f t="array" ref="J5323">IFERROR(INDEX('Retirement Calculator'!K:K,MATCH('Lorri 401b'!N5323,'Retirement Calculator'!A:A,0),0),0)</f>
        <v>0</v>
      </c>
      <c r="K5323" s="444">
        <f t="shared" ca="1" si="183"/>
        <v>-3797456402754.5063</v>
      </c>
      <c r="L5323" s="444">
        <f t="shared" ca="1" si="184"/>
        <v>-915186993063836.13</v>
      </c>
      <c r="M5323" s="460">
        <f t="shared" si="186"/>
        <v>0.05</v>
      </c>
      <c r="N5323" s="464">
        <f t="shared" si="187"/>
        <v>213059</v>
      </c>
    </row>
    <row r="5324" spans="7:14" ht="11.25" customHeight="1" x14ac:dyDescent="0.3">
      <c r="G5324" s="459"/>
      <c r="H5324" s="459">
        <v>5317</v>
      </c>
      <c r="I5324" s="444">
        <f t="shared" ca="1" si="185"/>
        <v>-915186993063836.13</v>
      </c>
      <c r="J5324" s="444">
        <f t="array" ref="J5324">IFERROR(INDEX('Retirement Calculator'!K:K,MATCH('Lorri 401b'!N5324,'Retirement Calculator'!A:A,0),0),0)</f>
        <v>0</v>
      </c>
      <c r="K5324" s="444">
        <f t="shared" ca="1" si="183"/>
        <v>-3813279137765.9844</v>
      </c>
      <c r="L5324" s="444">
        <f t="shared" ca="1" si="184"/>
        <v>-919000272201602.13</v>
      </c>
      <c r="M5324" s="460">
        <f t="shared" si="186"/>
        <v>0.05</v>
      </c>
      <c r="N5324" s="464">
        <f t="shared" si="187"/>
        <v>213090</v>
      </c>
    </row>
    <row r="5325" spans="7:14" ht="11.25" customHeight="1" x14ac:dyDescent="0.3">
      <c r="G5325" s="459"/>
      <c r="H5325" s="459">
        <v>5318</v>
      </c>
      <c r="I5325" s="444">
        <f t="shared" ca="1" si="185"/>
        <v>-919000272201602.13</v>
      </c>
      <c r="J5325" s="444">
        <f t="array" ref="J5325">IFERROR(INDEX('Retirement Calculator'!K:K,MATCH('Lorri 401b'!N5325,'Retirement Calculator'!A:A,0),0),0)</f>
        <v>0</v>
      </c>
      <c r="K5325" s="444">
        <f t="shared" ca="1" si="183"/>
        <v>-3829167800840.0088</v>
      </c>
      <c r="L5325" s="444">
        <f t="shared" ca="1" si="184"/>
        <v>-922829440002442.13</v>
      </c>
      <c r="M5325" s="460">
        <f t="shared" si="186"/>
        <v>0.05</v>
      </c>
      <c r="N5325" s="464">
        <f t="shared" si="187"/>
        <v>213120</v>
      </c>
    </row>
    <row r="5326" spans="7:14" ht="11.25" customHeight="1" x14ac:dyDescent="0.3">
      <c r="G5326" s="459"/>
      <c r="H5326" s="459">
        <v>5319</v>
      </c>
      <c r="I5326" s="444">
        <f t="shared" ca="1" si="185"/>
        <v>-922829440002442.13</v>
      </c>
      <c r="J5326" s="444">
        <f t="array" ref="J5326">IFERROR(INDEX('Retirement Calculator'!K:K,MATCH('Lorri 401b'!N5326,'Retirement Calculator'!A:A,0),0),0)</f>
        <v>0</v>
      </c>
      <c r="K5326" s="444">
        <f t="shared" ca="1" si="183"/>
        <v>-3845122666676.8423</v>
      </c>
      <c r="L5326" s="444">
        <f t="shared" ca="1" si="184"/>
        <v>-926674562669119</v>
      </c>
      <c r="M5326" s="460">
        <f t="shared" si="186"/>
        <v>0.05</v>
      </c>
      <c r="N5326" s="464">
        <f t="shared" si="187"/>
        <v>213151</v>
      </c>
    </row>
    <row r="5327" spans="7:14" ht="11.25" customHeight="1" x14ac:dyDescent="0.3">
      <c r="G5327" s="459"/>
      <c r="H5327" s="459">
        <v>5320</v>
      </c>
      <c r="I5327" s="444">
        <f t="shared" ca="1" si="185"/>
        <v>-926674562669119</v>
      </c>
      <c r="J5327" s="444">
        <f t="array" ref="J5327">IFERROR(INDEX('Retirement Calculator'!K:K,MATCH('Lorri 401b'!N5327,'Retirement Calculator'!A:A,0),0),0)</f>
        <v>0</v>
      </c>
      <c r="K5327" s="444">
        <f t="shared" ca="1" si="183"/>
        <v>-3861144011121.3291</v>
      </c>
      <c r="L5327" s="444">
        <f t="shared" ca="1" si="184"/>
        <v>-930535706680240.38</v>
      </c>
      <c r="M5327" s="460">
        <f t="shared" si="186"/>
        <v>0.05</v>
      </c>
      <c r="N5327" s="464">
        <f t="shared" si="187"/>
        <v>213182</v>
      </c>
    </row>
    <row r="5328" spans="7:14" ht="11.25" customHeight="1" x14ac:dyDescent="0.3">
      <c r="G5328" s="459"/>
      <c r="H5328" s="459">
        <v>5321</v>
      </c>
      <c r="I5328" s="444">
        <f t="shared" ca="1" si="185"/>
        <v>-930535706680240.38</v>
      </c>
      <c r="J5328" s="444">
        <f t="array" ref="J5328">IFERROR(INDEX('Retirement Calculator'!K:K,MATCH('Lorri 401b'!N5328,'Retirement Calculator'!A:A,0),0),0)</f>
        <v>0</v>
      </c>
      <c r="K5328" s="444">
        <f t="shared" ca="1" si="183"/>
        <v>-3877232111167.668</v>
      </c>
      <c r="L5328" s="444">
        <f t="shared" ca="1" si="184"/>
        <v>-934412938791408</v>
      </c>
      <c r="M5328" s="460">
        <f t="shared" si="186"/>
        <v>0.05</v>
      </c>
      <c r="N5328" s="464">
        <f t="shared" si="187"/>
        <v>213212</v>
      </c>
    </row>
    <row r="5329" spans="7:14" ht="11.25" customHeight="1" x14ac:dyDescent="0.3">
      <c r="G5329" s="459"/>
      <c r="H5329" s="459">
        <v>5322</v>
      </c>
      <c r="I5329" s="444">
        <f t="shared" ca="1" si="185"/>
        <v>-934412938791408</v>
      </c>
      <c r="J5329" s="444">
        <f t="array" ref="J5329">IFERROR(INDEX('Retirement Calculator'!K:K,MATCH('Lorri 401b'!N5329,'Retirement Calculator'!A:A,0),0),0)</f>
        <v>0</v>
      </c>
      <c r="K5329" s="444">
        <f t="shared" ca="1" si="183"/>
        <v>-3893387244964.2007</v>
      </c>
      <c r="L5329" s="444">
        <f t="shared" ca="1" si="184"/>
        <v>-938306326036372.25</v>
      </c>
      <c r="M5329" s="460">
        <f t="shared" si="186"/>
        <v>0.05</v>
      </c>
      <c r="N5329" s="464">
        <f t="shared" si="187"/>
        <v>213243</v>
      </c>
    </row>
    <row r="5330" spans="7:14" ht="11.25" customHeight="1" x14ac:dyDescent="0.3">
      <c r="G5330" s="459"/>
      <c r="H5330" s="459">
        <v>5323</v>
      </c>
      <c r="I5330" s="444">
        <f t="shared" ca="1" si="185"/>
        <v>-938306326036372.25</v>
      </c>
      <c r="J5330" s="444">
        <f t="array" ref="J5330">IFERROR(INDEX('Retirement Calculator'!K:K,MATCH('Lorri 401b'!N5330,'Retirement Calculator'!A:A,0),0),0)</f>
        <v>0</v>
      </c>
      <c r="K5330" s="444">
        <f t="shared" ca="1" si="183"/>
        <v>-3909609691818.2178</v>
      </c>
      <c r="L5330" s="444">
        <f t="shared" ca="1" si="184"/>
        <v>-942215935728190.5</v>
      </c>
      <c r="M5330" s="460">
        <f t="shared" si="186"/>
        <v>0.05</v>
      </c>
      <c r="N5330" s="464">
        <f t="shared" si="187"/>
        <v>213273</v>
      </c>
    </row>
    <row r="5331" spans="7:14" ht="11.25" customHeight="1" x14ac:dyDescent="0.3">
      <c r="G5331" s="459"/>
      <c r="H5331" s="459">
        <v>5324</v>
      </c>
      <c r="I5331" s="444">
        <f t="shared" ca="1" si="185"/>
        <v>-942215935728190.5</v>
      </c>
      <c r="J5331" s="444">
        <f t="array" ref="J5331">IFERROR(INDEX('Retirement Calculator'!K:K,MATCH('Lorri 401b'!N5331,'Retirement Calculator'!A:A,0),0),0)</f>
        <v>0</v>
      </c>
      <c r="K5331" s="444">
        <f t="shared" ca="1" si="183"/>
        <v>-3925899732200.7935</v>
      </c>
      <c r="L5331" s="444">
        <f t="shared" ca="1" si="184"/>
        <v>-946141835460391.25</v>
      </c>
      <c r="M5331" s="460">
        <f t="shared" si="186"/>
        <v>0.05</v>
      </c>
      <c r="N5331" s="464">
        <f t="shared" si="187"/>
        <v>213304</v>
      </c>
    </row>
    <row r="5332" spans="7:14" ht="11.25" customHeight="1" x14ac:dyDescent="0.3">
      <c r="G5332" s="459"/>
      <c r="H5332" s="459">
        <v>5325</v>
      </c>
      <c r="I5332" s="444">
        <f t="shared" ca="1" si="185"/>
        <v>-946141835460391.25</v>
      </c>
      <c r="J5332" s="444">
        <f t="array" ref="J5332">IFERROR(INDEX('Retirement Calculator'!K:K,MATCH('Lorri 401b'!N5332,'Retirement Calculator'!A:A,0),0),0)</f>
        <v>0</v>
      </c>
      <c r="K5332" s="444">
        <f t="shared" ca="1" si="183"/>
        <v>-3942257647751.6294</v>
      </c>
      <c r="L5332" s="444">
        <f t="shared" ca="1" si="184"/>
        <v>-950084093108142.88</v>
      </c>
      <c r="M5332" s="460">
        <f t="shared" si="186"/>
        <v>0.05</v>
      </c>
      <c r="N5332" s="464">
        <f t="shared" si="187"/>
        <v>213335</v>
      </c>
    </row>
    <row r="5333" spans="7:14" ht="11.25" customHeight="1" x14ac:dyDescent="0.3">
      <c r="G5333" s="459"/>
      <c r="H5333" s="459">
        <v>5326</v>
      </c>
      <c r="I5333" s="444">
        <f t="shared" ca="1" si="185"/>
        <v>-950084093108142.88</v>
      </c>
      <c r="J5333" s="444">
        <f t="array" ref="J5333">IFERROR(INDEX('Retirement Calculator'!K:K,MATCH('Lorri 401b'!N5333,'Retirement Calculator'!A:A,0),0),0)</f>
        <v>0</v>
      </c>
      <c r="K5333" s="444">
        <f t="shared" ca="1" si="183"/>
        <v>-3958683721283.9287</v>
      </c>
      <c r="L5333" s="444">
        <f t="shared" ca="1" si="184"/>
        <v>-954042776829426.75</v>
      </c>
      <c r="M5333" s="460">
        <f t="shared" si="186"/>
        <v>0.05</v>
      </c>
      <c r="N5333" s="464">
        <f t="shared" si="187"/>
        <v>213364</v>
      </c>
    </row>
    <row r="5334" spans="7:14" ht="11.25" customHeight="1" x14ac:dyDescent="0.3">
      <c r="G5334" s="459"/>
      <c r="H5334" s="459">
        <v>5327</v>
      </c>
      <c r="I5334" s="444">
        <f t="shared" ca="1" si="185"/>
        <v>-954042776829426.75</v>
      </c>
      <c r="J5334" s="444">
        <f t="array" ref="J5334">IFERROR(INDEX('Retirement Calculator'!K:K,MATCH('Lorri 401b'!N5334,'Retirement Calculator'!A:A,0),0),0)</f>
        <v>0</v>
      </c>
      <c r="K5334" s="444">
        <f t="shared" ca="1" si="183"/>
        <v>-3975178236789.2788</v>
      </c>
      <c r="L5334" s="444">
        <f t="shared" ca="1" si="184"/>
        <v>-958017955066216</v>
      </c>
      <c r="M5334" s="460">
        <f t="shared" si="186"/>
        <v>0.05</v>
      </c>
      <c r="N5334" s="464">
        <f t="shared" si="187"/>
        <v>213395</v>
      </c>
    </row>
    <row r="5335" spans="7:14" ht="11.25" customHeight="1" x14ac:dyDescent="0.3">
      <c r="G5335" s="459"/>
      <c r="H5335" s="459">
        <v>5328</v>
      </c>
      <c r="I5335" s="444">
        <f t="shared" ca="1" si="185"/>
        <v>-958017955066216</v>
      </c>
      <c r="J5335" s="444">
        <f t="array" ref="J5335">IFERROR(INDEX('Retirement Calculator'!K:K,MATCH('Lorri 401b'!N5335,'Retirement Calculator'!A:A,0),0),0)</f>
        <v>0</v>
      </c>
      <c r="K5335" s="444">
        <f t="shared" ca="1" si="183"/>
        <v>-3991741479442.5659</v>
      </c>
      <c r="L5335" s="444">
        <f t="shared" ca="1" si="184"/>
        <v>-962009696545658.63</v>
      </c>
      <c r="M5335" s="460">
        <f t="shared" si="186"/>
        <v>0.05</v>
      </c>
      <c r="N5335" s="464">
        <f t="shared" si="187"/>
        <v>213425</v>
      </c>
    </row>
    <row r="5336" spans="7:14" ht="11.25" customHeight="1" x14ac:dyDescent="0.3">
      <c r="G5336" s="459"/>
      <c r="H5336" s="459">
        <v>5329</v>
      </c>
      <c r="I5336" s="444">
        <f t="shared" ca="1" si="185"/>
        <v>-962009696545658.63</v>
      </c>
      <c r="J5336" s="444">
        <f t="array" ref="J5336">IFERROR(INDEX('Retirement Calculator'!K:K,MATCH('Lorri 401b'!N5336,'Retirement Calculator'!A:A,0),0),0)</f>
        <v>0</v>
      </c>
      <c r="K5336" s="444">
        <f t="shared" ca="1" si="183"/>
        <v>-4008373735606.9116</v>
      </c>
      <c r="L5336" s="444">
        <f t="shared" ca="1" si="184"/>
        <v>-966018070281265.5</v>
      </c>
      <c r="M5336" s="460">
        <f t="shared" si="186"/>
        <v>0.05</v>
      </c>
      <c r="N5336" s="464">
        <f t="shared" si="187"/>
        <v>213456</v>
      </c>
    </row>
    <row r="5337" spans="7:14" ht="11.25" customHeight="1" x14ac:dyDescent="0.3">
      <c r="G5337" s="459"/>
      <c r="H5337" s="459">
        <v>5330</v>
      </c>
      <c r="I5337" s="444">
        <f t="shared" ca="1" si="185"/>
        <v>-966018070281265.5</v>
      </c>
      <c r="J5337" s="444">
        <f t="array" ref="J5337">IFERROR(INDEX('Retirement Calculator'!K:K,MATCH('Lorri 401b'!N5337,'Retirement Calculator'!A:A,0),0),0)</f>
        <v>0</v>
      </c>
      <c r="K5337" s="444">
        <f t="shared" ca="1" si="183"/>
        <v>-4025075292838.606</v>
      </c>
      <c r="L5337" s="444">
        <f t="shared" ca="1" si="184"/>
        <v>-970043145574104.13</v>
      </c>
      <c r="M5337" s="460">
        <f t="shared" si="186"/>
        <v>0.05</v>
      </c>
      <c r="N5337" s="464">
        <f t="shared" si="187"/>
        <v>213486</v>
      </c>
    </row>
    <row r="5338" spans="7:14" ht="11.25" customHeight="1" x14ac:dyDescent="0.3">
      <c r="G5338" s="459"/>
      <c r="H5338" s="459">
        <v>5331</v>
      </c>
      <c r="I5338" s="444">
        <f t="shared" ca="1" si="185"/>
        <v>-970043145574104.13</v>
      </c>
      <c r="J5338" s="444">
        <f t="array" ref="J5338">IFERROR(INDEX('Retirement Calculator'!K:K,MATCH('Lorri 401b'!N5338,'Retirement Calculator'!A:A,0),0),0)</f>
        <v>0</v>
      </c>
      <c r="K5338" s="444">
        <f t="shared" ca="1" si="183"/>
        <v>-4041846439892.1006</v>
      </c>
      <c r="L5338" s="444">
        <f t="shared" ca="1" si="184"/>
        <v>-974084992013996.25</v>
      </c>
      <c r="M5338" s="460">
        <f t="shared" si="186"/>
        <v>0.05</v>
      </c>
      <c r="N5338" s="464">
        <f t="shared" si="187"/>
        <v>213517</v>
      </c>
    </row>
    <row r="5339" spans="7:14" ht="11.25" customHeight="1" x14ac:dyDescent="0.3">
      <c r="G5339" s="459"/>
      <c r="H5339" s="459">
        <v>5332</v>
      </c>
      <c r="I5339" s="444">
        <f t="shared" ca="1" si="185"/>
        <v>-974084992013996.25</v>
      </c>
      <c r="J5339" s="444">
        <f t="array" ref="J5339">IFERROR(INDEX('Retirement Calculator'!K:K,MATCH('Lorri 401b'!N5339,'Retirement Calculator'!A:A,0),0),0)</f>
        <v>0</v>
      </c>
      <c r="K5339" s="444">
        <f t="shared" ca="1" si="183"/>
        <v>-4058687466724.9844</v>
      </c>
      <c r="L5339" s="444">
        <f t="shared" ca="1" si="184"/>
        <v>-978143679480721.25</v>
      </c>
      <c r="M5339" s="460">
        <f t="shared" si="186"/>
        <v>0.05</v>
      </c>
      <c r="N5339" s="464">
        <f t="shared" si="187"/>
        <v>213548</v>
      </c>
    </row>
    <row r="5340" spans="7:14" ht="11.25" customHeight="1" x14ac:dyDescent="0.3">
      <c r="G5340" s="459"/>
      <c r="H5340" s="459">
        <v>5333</v>
      </c>
      <c r="I5340" s="444">
        <f t="shared" ca="1" si="185"/>
        <v>-978143679480721.25</v>
      </c>
      <c r="J5340" s="444">
        <f t="array" ref="J5340">IFERROR(INDEX('Retirement Calculator'!K:K,MATCH('Lorri 401b'!N5340,'Retirement Calculator'!A:A,0),0),0)</f>
        <v>0</v>
      </c>
      <c r="K5340" s="444">
        <f t="shared" ca="1" si="183"/>
        <v>-4075598664503.0044</v>
      </c>
      <c r="L5340" s="444">
        <f t="shared" ca="1" si="184"/>
        <v>-982219278145224.25</v>
      </c>
      <c r="M5340" s="460">
        <f t="shared" si="186"/>
        <v>0.05</v>
      </c>
      <c r="N5340" s="464">
        <f t="shared" si="187"/>
        <v>213578</v>
      </c>
    </row>
    <row r="5341" spans="7:14" ht="11.25" customHeight="1" x14ac:dyDescent="0.3">
      <c r="G5341" s="459"/>
      <c r="H5341" s="459">
        <v>5334</v>
      </c>
      <c r="I5341" s="444">
        <f t="shared" ca="1" si="185"/>
        <v>-982219278145224.25</v>
      </c>
      <c r="J5341" s="444">
        <f t="array" ref="J5341">IFERROR(INDEX('Retirement Calculator'!K:K,MATCH('Lorri 401b'!N5341,'Retirement Calculator'!A:A,0),0),0)</f>
        <v>0</v>
      </c>
      <c r="K5341" s="444">
        <f t="shared" ca="1" si="183"/>
        <v>-4092580325605.1011</v>
      </c>
      <c r="L5341" s="444">
        <f t="shared" ca="1" si="184"/>
        <v>-986311858470829.38</v>
      </c>
      <c r="M5341" s="460">
        <f t="shared" si="186"/>
        <v>0.05</v>
      </c>
      <c r="N5341" s="464">
        <f t="shared" si="187"/>
        <v>213609</v>
      </c>
    </row>
    <row r="5342" spans="7:14" ht="11.25" customHeight="1" x14ac:dyDescent="0.3">
      <c r="G5342" s="459"/>
      <c r="H5342" s="459">
        <v>5335</v>
      </c>
      <c r="I5342" s="444">
        <f t="shared" ca="1" si="185"/>
        <v>-986311858470829.38</v>
      </c>
      <c r="J5342" s="444">
        <f t="array" ref="J5342">IFERROR(INDEX('Retirement Calculator'!K:K,MATCH('Lorri 401b'!N5342,'Retirement Calculator'!A:A,0),0),0)</f>
        <v>0</v>
      </c>
      <c r="K5342" s="444">
        <f t="shared" ca="1" si="183"/>
        <v>-4109632743628.4561</v>
      </c>
      <c r="L5342" s="444">
        <f t="shared" ca="1" si="184"/>
        <v>-990421491214457.88</v>
      </c>
      <c r="M5342" s="460">
        <f t="shared" si="186"/>
        <v>0.05</v>
      </c>
      <c r="N5342" s="464">
        <f t="shared" si="187"/>
        <v>213639</v>
      </c>
    </row>
    <row r="5343" spans="7:14" ht="11.25" customHeight="1" x14ac:dyDescent="0.3">
      <c r="G5343" s="459"/>
      <c r="H5343" s="459">
        <v>5336</v>
      </c>
      <c r="I5343" s="444">
        <f t="shared" ca="1" si="185"/>
        <v>-990421491214457.88</v>
      </c>
      <c r="J5343" s="444">
        <f t="array" ref="J5343">IFERROR(INDEX('Retirement Calculator'!K:K,MATCH('Lorri 401b'!N5343,'Retirement Calculator'!A:A,0),0),0)</f>
        <v>0</v>
      </c>
      <c r="K5343" s="444">
        <f t="shared" ca="1" si="183"/>
        <v>-4126756213393.5747</v>
      </c>
      <c r="L5343" s="444">
        <f t="shared" ca="1" si="184"/>
        <v>-994548247427851.5</v>
      </c>
      <c r="M5343" s="460">
        <f t="shared" si="186"/>
        <v>0.05</v>
      </c>
      <c r="N5343" s="464">
        <f t="shared" si="187"/>
        <v>213670</v>
      </c>
    </row>
    <row r="5344" spans="7:14" ht="11.25" customHeight="1" x14ac:dyDescent="0.3">
      <c r="G5344" s="459"/>
      <c r="H5344" s="459">
        <v>5337</v>
      </c>
      <c r="I5344" s="444">
        <f t="shared" ca="1" si="185"/>
        <v>-994548247427851.5</v>
      </c>
      <c r="J5344" s="444">
        <f t="array" ref="J5344">IFERROR(INDEX('Retirement Calculator'!K:K,MATCH('Lorri 401b'!N5344,'Retirement Calculator'!A:A,0),0),0)</f>
        <v>0</v>
      </c>
      <c r="K5344" s="444">
        <f t="shared" ca="1" si="183"/>
        <v>-4143951030949.3813</v>
      </c>
      <c r="L5344" s="444">
        <f t="shared" ca="1" si="184"/>
        <v>-998692198458800.88</v>
      </c>
      <c r="M5344" s="460">
        <f t="shared" si="186"/>
        <v>0.05</v>
      </c>
      <c r="N5344" s="464">
        <f t="shared" si="187"/>
        <v>213701</v>
      </c>
    </row>
    <row r="5345" spans="7:14" ht="11.25" customHeight="1" x14ac:dyDescent="0.3">
      <c r="G5345" s="459"/>
      <c r="H5345" s="459">
        <v>5338</v>
      </c>
      <c r="I5345" s="444">
        <f t="shared" ca="1" si="185"/>
        <v>-998692198458800.88</v>
      </c>
      <c r="J5345" s="444">
        <f t="array" ref="J5345">IFERROR(INDEX('Retirement Calculator'!K:K,MATCH('Lorri 401b'!N5345,'Retirement Calculator'!A:A,0),0),0)</f>
        <v>0</v>
      </c>
      <c r="K5345" s="444">
        <f t="shared" ca="1" si="183"/>
        <v>-4161217493578.3369</v>
      </c>
      <c r="L5345" s="444">
        <f t="shared" ca="1" si="184"/>
        <v>-1002853415952379.3</v>
      </c>
      <c r="M5345" s="460">
        <f t="shared" si="186"/>
        <v>0.05</v>
      </c>
      <c r="N5345" s="464">
        <f t="shared" si="187"/>
        <v>213729</v>
      </c>
    </row>
    <row r="5346" spans="7:14" ht="11.25" customHeight="1" x14ac:dyDescent="0.3">
      <c r="G5346" s="459"/>
      <c r="H5346" s="459">
        <v>5339</v>
      </c>
      <c r="I5346" s="444">
        <f t="shared" ca="1" si="185"/>
        <v>-1002853415952379.3</v>
      </c>
      <c r="J5346" s="444">
        <f t="array" ref="J5346">IFERROR(INDEX('Retirement Calculator'!K:K,MATCH('Lorri 401b'!N5346,'Retirement Calculator'!A:A,0),0),0)</f>
        <v>0</v>
      </c>
      <c r="K5346" s="444">
        <f t="shared" ca="1" si="183"/>
        <v>-4178555899801.5796</v>
      </c>
      <c r="L5346" s="444">
        <f t="shared" ca="1" si="184"/>
        <v>-1007031971852180.9</v>
      </c>
      <c r="M5346" s="460">
        <f t="shared" si="186"/>
        <v>0.05</v>
      </c>
      <c r="N5346" s="464">
        <f t="shared" si="187"/>
        <v>213760</v>
      </c>
    </row>
    <row r="5347" spans="7:14" ht="11.25" customHeight="1" x14ac:dyDescent="0.3">
      <c r="G5347" s="459"/>
      <c r="H5347" s="459">
        <v>5340</v>
      </c>
      <c r="I5347" s="444">
        <f t="shared" ca="1" si="185"/>
        <v>-1007031971852180.9</v>
      </c>
      <c r="J5347" s="444">
        <f t="array" ref="J5347">IFERROR(INDEX('Retirement Calculator'!K:K,MATCH('Lorri 401b'!N5347,'Retirement Calculator'!A:A,0),0),0)</f>
        <v>0</v>
      </c>
      <c r="K5347" s="444">
        <f t="shared" ca="1" si="183"/>
        <v>-4195966549384.0869</v>
      </c>
      <c r="L5347" s="444">
        <f t="shared" ca="1" si="184"/>
        <v>-1011227938401565</v>
      </c>
      <c r="M5347" s="460">
        <f t="shared" si="186"/>
        <v>0.05</v>
      </c>
      <c r="N5347" s="464">
        <f t="shared" si="187"/>
        <v>213790</v>
      </c>
    </row>
    <row r="5348" spans="7:14" ht="11.25" customHeight="1" x14ac:dyDescent="0.3">
      <c r="G5348" s="459"/>
      <c r="H5348" s="459">
        <v>5341</v>
      </c>
      <c r="I5348" s="444">
        <f t="shared" ca="1" si="185"/>
        <v>-1011227938401565</v>
      </c>
      <c r="J5348" s="444">
        <f t="array" ref="J5348">IFERROR(INDEX('Retirement Calculator'!K:K,MATCH('Lorri 401b'!N5348,'Retirement Calculator'!A:A,0),0),0)</f>
        <v>0</v>
      </c>
      <c r="K5348" s="444">
        <f t="shared" ca="1" si="183"/>
        <v>-4213449743339.854</v>
      </c>
      <c r="L5348" s="444">
        <f t="shared" ca="1" si="184"/>
        <v>-1015441388144904.9</v>
      </c>
      <c r="M5348" s="460">
        <f t="shared" si="186"/>
        <v>0.05</v>
      </c>
      <c r="N5348" s="464">
        <f t="shared" si="187"/>
        <v>213821</v>
      </c>
    </row>
    <row r="5349" spans="7:14" ht="11.25" customHeight="1" x14ac:dyDescent="0.3">
      <c r="G5349" s="459"/>
      <c r="H5349" s="459">
        <v>5342</v>
      </c>
      <c r="I5349" s="444">
        <f t="shared" ca="1" si="185"/>
        <v>-1015441388144904.9</v>
      </c>
      <c r="J5349" s="444">
        <f t="array" ref="J5349">IFERROR(INDEX('Retirement Calculator'!K:K,MATCH('Lorri 401b'!N5349,'Retirement Calculator'!A:A,0),0),0)</f>
        <v>0</v>
      </c>
      <c r="K5349" s="444">
        <f t="shared" ca="1" si="183"/>
        <v>-4231005783937.104</v>
      </c>
      <c r="L5349" s="444">
        <f t="shared" ca="1" si="184"/>
        <v>-1019672393928842</v>
      </c>
      <c r="M5349" s="460">
        <f t="shared" si="186"/>
        <v>0.05</v>
      </c>
      <c r="N5349" s="464">
        <f t="shared" si="187"/>
        <v>213851</v>
      </c>
    </row>
    <row r="5350" spans="7:14" ht="11.25" customHeight="1" x14ac:dyDescent="0.3">
      <c r="G5350" s="459"/>
      <c r="H5350" s="459">
        <v>5343</v>
      </c>
      <c r="I5350" s="444">
        <f t="shared" ca="1" si="185"/>
        <v>-1019672393928842</v>
      </c>
      <c r="J5350" s="444">
        <f t="array" ref="J5350">IFERROR(INDEX('Retirement Calculator'!K:K,MATCH('Lorri 401b'!N5350,'Retirement Calculator'!A:A,0),0),0)</f>
        <v>0</v>
      </c>
      <c r="K5350" s="444">
        <f t="shared" ca="1" si="183"/>
        <v>-4248634974703.5078</v>
      </c>
      <c r="L5350" s="444">
        <f t="shared" ca="1" si="184"/>
        <v>-1023921028903545.5</v>
      </c>
      <c r="M5350" s="460">
        <f t="shared" si="186"/>
        <v>0.05</v>
      </c>
      <c r="N5350" s="464">
        <f t="shared" si="187"/>
        <v>213882</v>
      </c>
    </row>
    <row r="5351" spans="7:14" ht="11.25" customHeight="1" x14ac:dyDescent="0.3">
      <c r="G5351" s="459"/>
      <c r="H5351" s="459">
        <v>5344</v>
      </c>
      <c r="I5351" s="444">
        <f t="shared" ca="1" si="185"/>
        <v>-1023921028903545.5</v>
      </c>
      <c r="J5351" s="444">
        <f t="array" ref="J5351">IFERROR(INDEX('Retirement Calculator'!K:K,MATCH('Lorri 401b'!N5351,'Retirement Calculator'!A:A,0),0),0)</f>
        <v>0</v>
      </c>
      <c r="K5351" s="444">
        <f t="shared" ca="1" si="183"/>
        <v>-4266337620431.4395</v>
      </c>
      <c r="L5351" s="444">
        <f t="shared" ca="1" si="184"/>
        <v>-1028187366523977</v>
      </c>
      <c r="M5351" s="460">
        <f t="shared" si="186"/>
        <v>0.05</v>
      </c>
      <c r="N5351" s="464">
        <f t="shared" si="187"/>
        <v>213913</v>
      </c>
    </row>
    <row r="5352" spans="7:14" ht="11.25" customHeight="1" x14ac:dyDescent="0.3">
      <c r="G5352" s="459"/>
      <c r="H5352" s="459">
        <v>5345</v>
      </c>
      <c r="I5352" s="444">
        <f t="shared" ca="1" si="185"/>
        <v>-1028187366523977</v>
      </c>
      <c r="J5352" s="444">
        <f t="array" ref="J5352">IFERROR(INDEX('Retirement Calculator'!K:K,MATCH('Lorri 401b'!N5352,'Retirement Calculator'!A:A,0),0),0)</f>
        <v>0</v>
      </c>
      <c r="K5352" s="444">
        <f t="shared" ca="1" si="183"/>
        <v>-4284114027183.2373</v>
      </c>
      <c r="L5352" s="444">
        <f t="shared" ca="1" si="184"/>
        <v>-1032471480551160.3</v>
      </c>
      <c r="M5352" s="460">
        <f t="shared" si="186"/>
        <v>0.05</v>
      </c>
      <c r="N5352" s="464">
        <f t="shared" si="187"/>
        <v>213943</v>
      </c>
    </row>
    <row r="5353" spans="7:14" ht="11.25" customHeight="1" x14ac:dyDescent="0.3">
      <c r="G5353" s="459"/>
      <c r="H5353" s="459">
        <v>5346</v>
      </c>
      <c r="I5353" s="444">
        <f t="shared" ca="1" si="185"/>
        <v>-1032471480551160.3</v>
      </c>
      <c r="J5353" s="444">
        <f t="array" ref="J5353">IFERROR(INDEX('Retirement Calculator'!K:K,MATCH('Lorri 401b'!N5353,'Retirement Calculator'!A:A,0),0),0)</f>
        <v>0</v>
      </c>
      <c r="K5353" s="444">
        <f t="shared" ca="1" si="183"/>
        <v>-4301964502296.501</v>
      </c>
      <c r="L5353" s="444">
        <f t="shared" ca="1" si="184"/>
        <v>-1036773445053456.8</v>
      </c>
      <c r="M5353" s="460">
        <f t="shared" si="186"/>
        <v>0.05</v>
      </c>
      <c r="N5353" s="464">
        <f t="shared" si="187"/>
        <v>213974</v>
      </c>
    </row>
    <row r="5354" spans="7:14" ht="11.25" customHeight="1" x14ac:dyDescent="0.3">
      <c r="G5354" s="459"/>
      <c r="H5354" s="459">
        <v>5347</v>
      </c>
      <c r="I5354" s="444">
        <f t="shared" ca="1" si="185"/>
        <v>-1036773445053456.8</v>
      </c>
      <c r="J5354" s="444">
        <f t="array" ref="J5354">IFERROR(INDEX('Retirement Calculator'!K:K,MATCH('Lorri 401b'!N5354,'Retirement Calculator'!A:A,0),0),0)</f>
        <v>0</v>
      </c>
      <c r="K5354" s="444">
        <f t="shared" ca="1" si="183"/>
        <v>-4319889354389.4023</v>
      </c>
      <c r="L5354" s="444">
        <f t="shared" ca="1" si="184"/>
        <v>-1041093334407846.1</v>
      </c>
      <c r="M5354" s="460">
        <f t="shared" si="186"/>
        <v>0.05</v>
      </c>
      <c r="N5354" s="464">
        <f t="shared" si="187"/>
        <v>214004</v>
      </c>
    </row>
    <row r="5355" spans="7:14" ht="11.25" customHeight="1" x14ac:dyDescent="0.3">
      <c r="G5355" s="459"/>
      <c r="H5355" s="459">
        <v>5348</v>
      </c>
      <c r="I5355" s="444">
        <f t="shared" ca="1" si="185"/>
        <v>-1041093334407846.1</v>
      </c>
      <c r="J5355" s="444">
        <f t="array" ref="J5355">IFERROR(INDEX('Retirement Calculator'!K:K,MATCH('Lorri 401b'!N5355,'Retirement Calculator'!A:A,0),0),0)</f>
        <v>0</v>
      </c>
      <c r="K5355" s="444">
        <f t="shared" ca="1" si="183"/>
        <v>-4337888893366.0249</v>
      </c>
      <c r="L5355" s="444">
        <f t="shared" ca="1" si="184"/>
        <v>-1045431223301212.1</v>
      </c>
      <c r="M5355" s="460">
        <f t="shared" si="186"/>
        <v>0.05</v>
      </c>
      <c r="N5355" s="464">
        <f t="shared" si="187"/>
        <v>214035</v>
      </c>
    </row>
    <row r="5356" spans="7:14" ht="11.25" customHeight="1" x14ac:dyDescent="0.3">
      <c r="G5356" s="459"/>
      <c r="H5356" s="459">
        <v>5349</v>
      </c>
      <c r="I5356" s="444">
        <f t="shared" ca="1" si="185"/>
        <v>-1045431223301212.1</v>
      </c>
      <c r="J5356" s="444">
        <f t="array" ref="J5356">IFERROR(INDEX('Retirement Calculator'!K:K,MATCH('Lorri 401b'!N5356,'Retirement Calculator'!A:A,0),0),0)</f>
        <v>0</v>
      </c>
      <c r="K5356" s="444">
        <f t="shared" ca="1" si="183"/>
        <v>-4355963430421.7173</v>
      </c>
      <c r="L5356" s="444">
        <f t="shared" ca="1" si="184"/>
        <v>-1049787186731633.9</v>
      </c>
      <c r="M5356" s="460">
        <f t="shared" si="186"/>
        <v>0.05</v>
      </c>
      <c r="N5356" s="464">
        <f t="shared" si="187"/>
        <v>214066</v>
      </c>
    </row>
    <row r="5357" spans="7:14" ht="11.25" customHeight="1" x14ac:dyDescent="0.3">
      <c r="G5357" s="459"/>
      <c r="H5357" s="459">
        <v>5350</v>
      </c>
      <c r="I5357" s="444">
        <f t="shared" ca="1" si="185"/>
        <v>-1049787186731633.9</v>
      </c>
      <c r="J5357" s="444">
        <f t="array" ref="J5357">IFERROR(INDEX('Retirement Calculator'!K:K,MATCH('Lorri 401b'!N5357,'Retirement Calculator'!A:A,0),0),0)</f>
        <v>0</v>
      </c>
      <c r="K5357" s="444">
        <f t="shared" ca="1" si="183"/>
        <v>-4374113278048.4741</v>
      </c>
      <c r="L5357" s="444">
        <f t="shared" ca="1" si="184"/>
        <v>-1054161300009682.4</v>
      </c>
      <c r="M5357" s="460">
        <f t="shared" si="186"/>
        <v>0.05</v>
      </c>
      <c r="N5357" s="464">
        <f t="shared" si="187"/>
        <v>214094</v>
      </c>
    </row>
    <row r="5358" spans="7:14" ht="11.25" customHeight="1" x14ac:dyDescent="0.3">
      <c r="G5358" s="459"/>
      <c r="H5358" s="459">
        <v>5351</v>
      </c>
      <c r="I5358" s="444">
        <f t="shared" ca="1" si="185"/>
        <v>-1054161300009682.4</v>
      </c>
      <c r="J5358" s="444">
        <f t="array" ref="J5358">IFERROR(INDEX('Retirement Calculator'!K:K,MATCH('Lorri 401b'!N5358,'Retirement Calculator'!A:A,0),0),0)</f>
        <v>0</v>
      </c>
      <c r="K5358" s="444">
        <f t="shared" ca="1" si="183"/>
        <v>-4392338750040.3433</v>
      </c>
      <c r="L5358" s="444">
        <f t="shared" ca="1" si="184"/>
        <v>-1058553638759722.8</v>
      </c>
      <c r="M5358" s="460">
        <f t="shared" si="186"/>
        <v>0.05</v>
      </c>
      <c r="N5358" s="464">
        <f t="shared" si="187"/>
        <v>214125</v>
      </c>
    </row>
    <row r="5359" spans="7:14" ht="11.25" customHeight="1" x14ac:dyDescent="0.3">
      <c r="G5359" s="459"/>
      <c r="H5359" s="459">
        <v>5352</v>
      </c>
      <c r="I5359" s="444">
        <f t="shared" ca="1" si="185"/>
        <v>-1058553638759722.8</v>
      </c>
      <c r="J5359" s="444">
        <f t="array" ref="J5359">IFERROR(INDEX('Retirement Calculator'!K:K,MATCH('Lorri 401b'!N5359,'Retirement Calculator'!A:A,0),0),0)</f>
        <v>0</v>
      </c>
      <c r="K5359" s="444">
        <f t="shared" ca="1" si="183"/>
        <v>-4410640161498.8457</v>
      </c>
      <c r="L5359" s="444">
        <f t="shared" ca="1" si="184"/>
        <v>-1062964278921221.6</v>
      </c>
      <c r="M5359" s="460">
        <f t="shared" si="186"/>
        <v>0.05</v>
      </c>
      <c r="N5359" s="464">
        <f t="shared" si="187"/>
        <v>214155</v>
      </c>
    </row>
    <row r="5360" spans="7:14" ht="11.25" customHeight="1" x14ac:dyDescent="0.3">
      <c r="G5360" s="459"/>
      <c r="H5360" s="459">
        <v>5353</v>
      </c>
      <c r="I5360" s="444">
        <f t="shared" ca="1" si="185"/>
        <v>-1062964278921221.6</v>
      </c>
      <c r="J5360" s="444">
        <f t="array" ref="J5360">IFERROR(INDEX('Retirement Calculator'!K:K,MATCH('Lorri 401b'!N5360,'Retirement Calculator'!A:A,0),0),0)</f>
        <v>0</v>
      </c>
      <c r="K5360" s="444">
        <f t="shared" ca="1" si="183"/>
        <v>-4429017828838.4229</v>
      </c>
      <c r="L5360" s="444">
        <f t="shared" ca="1" si="184"/>
        <v>-1067393296750060</v>
      </c>
      <c r="M5360" s="460">
        <f t="shared" si="186"/>
        <v>0.05</v>
      </c>
      <c r="N5360" s="464">
        <f t="shared" si="187"/>
        <v>214186</v>
      </c>
    </row>
    <row r="5361" spans="7:14" ht="11.25" customHeight="1" x14ac:dyDescent="0.3">
      <c r="G5361" s="459"/>
      <c r="H5361" s="459">
        <v>5354</v>
      </c>
      <c r="I5361" s="444">
        <f t="shared" ca="1" si="185"/>
        <v>-1067393296750060</v>
      </c>
      <c r="J5361" s="444">
        <f t="array" ref="J5361">IFERROR(INDEX('Retirement Calculator'!K:K,MATCH('Lorri 401b'!N5361,'Retirement Calculator'!A:A,0),0),0)</f>
        <v>0</v>
      </c>
      <c r="K5361" s="444">
        <f t="shared" ca="1" si="183"/>
        <v>-4447472069791.917</v>
      </c>
      <c r="L5361" s="444">
        <f t="shared" ca="1" si="184"/>
        <v>-1071840768819851.9</v>
      </c>
      <c r="M5361" s="460">
        <f t="shared" si="186"/>
        <v>0.05</v>
      </c>
      <c r="N5361" s="464">
        <f t="shared" si="187"/>
        <v>214216</v>
      </c>
    </row>
    <row r="5362" spans="7:14" ht="11.25" customHeight="1" x14ac:dyDescent="0.3">
      <c r="G5362" s="459"/>
      <c r="H5362" s="459">
        <v>5355</v>
      </c>
      <c r="I5362" s="444">
        <f t="shared" ca="1" si="185"/>
        <v>-1071840768819851.9</v>
      </c>
      <c r="J5362" s="444">
        <f t="array" ref="J5362">IFERROR(INDEX('Retirement Calculator'!K:K,MATCH('Lorri 401b'!N5362,'Retirement Calculator'!A:A,0),0),0)</f>
        <v>0</v>
      </c>
      <c r="K5362" s="444">
        <f t="shared" ca="1" si="183"/>
        <v>-4466003203416.0498</v>
      </c>
      <c r="L5362" s="444">
        <f t="shared" ca="1" si="184"/>
        <v>-1076306772023267.9</v>
      </c>
      <c r="M5362" s="460">
        <f t="shared" si="186"/>
        <v>0.05</v>
      </c>
      <c r="N5362" s="464">
        <f t="shared" si="187"/>
        <v>214247</v>
      </c>
    </row>
    <row r="5363" spans="7:14" ht="11.25" customHeight="1" x14ac:dyDescent="0.3">
      <c r="G5363" s="459"/>
      <c r="H5363" s="459">
        <v>5356</v>
      </c>
      <c r="I5363" s="444">
        <f t="shared" ca="1" si="185"/>
        <v>-1076306772023267.9</v>
      </c>
      <c r="J5363" s="444">
        <f t="array" ref="J5363">IFERROR(INDEX('Retirement Calculator'!K:K,MATCH('Lorri 401b'!N5363,'Retirement Calculator'!A:A,0),0),0)</f>
        <v>0</v>
      </c>
      <c r="K5363" s="444">
        <f t="shared" ref="K5363:K5617" ca="1" si="188">IPMT(M5363/12,1,12,-I5363+J5363,,0)</f>
        <v>-4484611550096.9492</v>
      </c>
      <c r="L5363" s="444">
        <f t="shared" ref="L5363:L5617" ca="1" si="189">I5363-J5363+K5363</f>
        <v>-1080791383573364.9</v>
      </c>
      <c r="M5363" s="460">
        <f t="shared" si="186"/>
        <v>0.05</v>
      </c>
      <c r="N5363" s="464">
        <f t="shared" si="187"/>
        <v>214278</v>
      </c>
    </row>
    <row r="5364" spans="7:14" ht="11.25" customHeight="1" x14ac:dyDescent="0.3">
      <c r="G5364" s="459"/>
      <c r="H5364" s="459">
        <v>5357</v>
      </c>
      <c r="I5364" s="444">
        <f t="shared" ref="I5364:I5618" ca="1" si="190">L5363</f>
        <v>-1080791383573364.9</v>
      </c>
      <c r="J5364" s="444">
        <f t="array" ref="J5364">IFERROR(INDEX('Retirement Calculator'!K:K,MATCH('Lorri 401b'!N5364,'Retirement Calculator'!A:A,0),0),0)</f>
        <v>0</v>
      </c>
      <c r="K5364" s="444">
        <f t="shared" ca="1" si="188"/>
        <v>-4503297431555.6875</v>
      </c>
      <c r="L5364" s="444">
        <f t="shared" ca="1" si="189"/>
        <v>-1085294681004920.5</v>
      </c>
      <c r="M5364" s="460">
        <f t="shared" ref="M5364:M5618" si="191">M5363</f>
        <v>0.05</v>
      </c>
      <c r="N5364" s="464">
        <f t="shared" ref="N5364:N5618" si="192">EDATE(N5363,1)</f>
        <v>214308</v>
      </c>
    </row>
    <row r="5365" spans="7:14" ht="11.25" customHeight="1" x14ac:dyDescent="0.3">
      <c r="G5365" s="459"/>
      <c r="H5365" s="459">
        <v>5358</v>
      </c>
      <c r="I5365" s="444">
        <f t="shared" ca="1" si="190"/>
        <v>-1085294681004920.5</v>
      </c>
      <c r="J5365" s="444">
        <f t="array" ref="J5365">IFERROR(INDEX('Retirement Calculator'!K:K,MATCH('Lorri 401b'!N5365,'Retirement Calculator'!A:A,0),0),0)</f>
        <v>0</v>
      </c>
      <c r="K5365" s="444">
        <f t="shared" ca="1" si="188"/>
        <v>-4522061170853.835</v>
      </c>
      <c r="L5365" s="444">
        <f t="shared" ca="1" si="189"/>
        <v>-1089816742175774.4</v>
      </c>
      <c r="M5365" s="460">
        <f t="shared" si="191"/>
        <v>0.05</v>
      </c>
      <c r="N5365" s="464">
        <f t="shared" si="192"/>
        <v>214339</v>
      </c>
    </row>
    <row r="5366" spans="7:14" ht="11.25" customHeight="1" x14ac:dyDescent="0.3">
      <c r="G5366" s="459"/>
      <c r="H5366" s="459">
        <v>5359</v>
      </c>
      <c r="I5366" s="444">
        <f t="shared" ca="1" si="190"/>
        <v>-1089816742175774.4</v>
      </c>
      <c r="J5366" s="444">
        <f t="array" ref="J5366">IFERROR(INDEX('Retirement Calculator'!K:K,MATCH('Lorri 401b'!N5366,'Retirement Calculator'!A:A,0),0),0)</f>
        <v>0</v>
      </c>
      <c r="K5366" s="444">
        <f t="shared" ca="1" si="188"/>
        <v>-4540903092399.0596</v>
      </c>
      <c r="L5366" s="444">
        <f t="shared" ca="1" si="189"/>
        <v>-1094357645268173.4</v>
      </c>
      <c r="M5366" s="460">
        <f t="shared" si="191"/>
        <v>0.05</v>
      </c>
      <c r="N5366" s="464">
        <f t="shared" si="192"/>
        <v>214369</v>
      </c>
    </row>
    <row r="5367" spans="7:14" ht="11.25" customHeight="1" x14ac:dyDescent="0.3">
      <c r="G5367" s="459"/>
      <c r="H5367" s="459">
        <v>5360</v>
      </c>
      <c r="I5367" s="444">
        <f t="shared" ca="1" si="190"/>
        <v>-1094357645268173.4</v>
      </c>
      <c r="J5367" s="444">
        <f t="array" ref="J5367">IFERROR(INDEX('Retirement Calculator'!K:K,MATCH('Lorri 401b'!N5367,'Retirement Calculator'!A:A,0),0),0)</f>
        <v>0</v>
      </c>
      <c r="K5367" s="444">
        <f t="shared" ca="1" si="188"/>
        <v>-4559823521950.7217</v>
      </c>
      <c r="L5367" s="444">
        <f t="shared" ca="1" si="189"/>
        <v>-1098917468790124.1</v>
      </c>
      <c r="M5367" s="460">
        <f t="shared" si="191"/>
        <v>0.05</v>
      </c>
      <c r="N5367" s="464">
        <f t="shared" si="192"/>
        <v>214400</v>
      </c>
    </row>
    <row r="5368" spans="7:14" ht="11.25" customHeight="1" x14ac:dyDescent="0.3">
      <c r="G5368" s="459"/>
      <c r="H5368" s="459">
        <v>5361</v>
      </c>
      <c r="I5368" s="444">
        <f t="shared" ca="1" si="190"/>
        <v>-1098917468790124.1</v>
      </c>
      <c r="J5368" s="444">
        <f t="array" ref="J5368">IFERROR(INDEX('Retirement Calculator'!K:K,MATCH('Lorri 401b'!N5368,'Retirement Calculator'!A:A,0),0),0)</f>
        <v>0</v>
      </c>
      <c r="K5368" s="444">
        <f t="shared" ca="1" si="188"/>
        <v>-4578822786625.5176</v>
      </c>
      <c r="L5368" s="444">
        <f t="shared" ca="1" si="189"/>
        <v>-1103496291576749.6</v>
      </c>
      <c r="M5368" s="460">
        <f t="shared" si="191"/>
        <v>0.05</v>
      </c>
      <c r="N5368" s="464">
        <f t="shared" si="192"/>
        <v>214431</v>
      </c>
    </row>
    <row r="5369" spans="7:14" ht="11.25" customHeight="1" x14ac:dyDescent="0.3">
      <c r="G5369" s="459"/>
      <c r="H5369" s="459">
        <v>5362</v>
      </c>
      <c r="I5369" s="444">
        <f t="shared" ca="1" si="190"/>
        <v>-1103496291576749.6</v>
      </c>
      <c r="J5369" s="444">
        <f t="array" ref="J5369">IFERROR(INDEX('Retirement Calculator'!K:K,MATCH('Lorri 401b'!N5369,'Retirement Calculator'!A:A,0),0),0)</f>
        <v>0</v>
      </c>
      <c r="K5369" s="444">
        <f t="shared" ca="1" si="188"/>
        <v>-4597901214903.123</v>
      </c>
      <c r="L5369" s="444">
        <f t="shared" ca="1" si="189"/>
        <v>-1108094192791652.8</v>
      </c>
      <c r="M5369" s="460">
        <f t="shared" si="191"/>
        <v>0.05</v>
      </c>
      <c r="N5369" s="464">
        <f t="shared" si="192"/>
        <v>214459</v>
      </c>
    </row>
    <row r="5370" spans="7:14" ht="11.25" customHeight="1" x14ac:dyDescent="0.3">
      <c r="G5370" s="459"/>
      <c r="H5370" s="459">
        <v>5363</v>
      </c>
      <c r="I5370" s="444">
        <f t="shared" ca="1" si="190"/>
        <v>-1108094192791652.8</v>
      </c>
      <c r="J5370" s="444">
        <f t="array" ref="J5370">IFERROR(INDEX('Retirement Calculator'!K:K,MATCH('Lorri 401b'!N5370,'Retirement Calculator'!A:A,0),0),0)</f>
        <v>0</v>
      </c>
      <c r="K5370" s="444">
        <f t="shared" ca="1" si="188"/>
        <v>-4617059136631.8867</v>
      </c>
      <c r="L5370" s="444">
        <f t="shared" ca="1" si="189"/>
        <v>-1112711251928284.6</v>
      </c>
      <c r="M5370" s="460">
        <f t="shared" si="191"/>
        <v>0.05</v>
      </c>
      <c r="N5370" s="464">
        <f t="shared" si="192"/>
        <v>214490</v>
      </c>
    </row>
    <row r="5371" spans="7:14" ht="11.25" customHeight="1" x14ac:dyDescent="0.3">
      <c r="G5371" s="459"/>
      <c r="H5371" s="459">
        <v>5364</v>
      </c>
      <c r="I5371" s="444">
        <f t="shared" ca="1" si="190"/>
        <v>-1112711251928284.6</v>
      </c>
      <c r="J5371" s="444">
        <f t="array" ref="J5371">IFERROR(INDEX('Retirement Calculator'!K:K,MATCH('Lorri 401b'!N5371,'Retirement Calculator'!A:A,0),0),0)</f>
        <v>0</v>
      </c>
      <c r="K5371" s="444">
        <f t="shared" ca="1" si="188"/>
        <v>-4636296883034.5195</v>
      </c>
      <c r="L5371" s="444">
        <f t="shared" ca="1" si="189"/>
        <v>-1117347548811319.1</v>
      </c>
      <c r="M5371" s="460">
        <f t="shared" si="191"/>
        <v>0.05</v>
      </c>
      <c r="N5371" s="464">
        <f t="shared" si="192"/>
        <v>214520</v>
      </c>
    </row>
    <row r="5372" spans="7:14" ht="11.25" customHeight="1" x14ac:dyDescent="0.3">
      <c r="G5372" s="459"/>
      <c r="H5372" s="459">
        <v>5365</v>
      </c>
      <c r="I5372" s="444">
        <f t="shared" ca="1" si="190"/>
        <v>-1117347548811319.1</v>
      </c>
      <c r="J5372" s="444">
        <f t="array" ref="J5372">IFERROR(INDEX('Retirement Calculator'!K:K,MATCH('Lorri 401b'!N5372,'Retirement Calculator'!A:A,0),0),0)</f>
        <v>0</v>
      </c>
      <c r="K5372" s="444">
        <f t="shared" ca="1" si="188"/>
        <v>-4655614786713.8291</v>
      </c>
      <c r="L5372" s="444">
        <f t="shared" ca="1" si="189"/>
        <v>-1122003163598033</v>
      </c>
      <c r="M5372" s="460">
        <f t="shared" si="191"/>
        <v>0.05</v>
      </c>
      <c r="N5372" s="464">
        <f t="shared" si="192"/>
        <v>214551</v>
      </c>
    </row>
    <row r="5373" spans="7:14" ht="11.25" customHeight="1" x14ac:dyDescent="0.3">
      <c r="G5373" s="459"/>
      <c r="H5373" s="459">
        <v>5366</v>
      </c>
      <c r="I5373" s="444">
        <f t="shared" ca="1" si="190"/>
        <v>-1122003163598033</v>
      </c>
      <c r="J5373" s="444">
        <f t="array" ref="J5373">IFERROR(INDEX('Retirement Calculator'!K:K,MATCH('Lorri 401b'!N5373,'Retirement Calculator'!A:A,0),0),0)</f>
        <v>0</v>
      </c>
      <c r="K5373" s="444">
        <f t="shared" ca="1" si="188"/>
        <v>-4675013181658.4707</v>
      </c>
      <c r="L5373" s="444">
        <f t="shared" ca="1" si="189"/>
        <v>-1126678176779691.5</v>
      </c>
      <c r="M5373" s="460">
        <f t="shared" si="191"/>
        <v>0.05</v>
      </c>
      <c r="N5373" s="464">
        <f t="shared" si="192"/>
        <v>214581</v>
      </c>
    </row>
    <row r="5374" spans="7:14" ht="11.25" customHeight="1" x14ac:dyDescent="0.3">
      <c r="G5374" s="459"/>
      <c r="H5374" s="459">
        <v>5367</v>
      </c>
      <c r="I5374" s="444">
        <f t="shared" ca="1" si="190"/>
        <v>-1126678176779691.5</v>
      </c>
      <c r="J5374" s="444">
        <f t="array" ref="J5374">IFERROR(INDEX('Retirement Calculator'!K:K,MATCH('Lorri 401b'!N5374,'Retirement Calculator'!A:A,0),0),0)</f>
        <v>0</v>
      </c>
      <c r="K5374" s="444">
        <f t="shared" ca="1" si="188"/>
        <v>-4694492403248.7148</v>
      </c>
      <c r="L5374" s="444">
        <f t="shared" ca="1" si="189"/>
        <v>-1131372669182940.3</v>
      </c>
      <c r="M5374" s="460">
        <f t="shared" si="191"/>
        <v>0.05</v>
      </c>
      <c r="N5374" s="464">
        <f t="shared" si="192"/>
        <v>214612</v>
      </c>
    </row>
    <row r="5375" spans="7:14" ht="11.25" customHeight="1" x14ac:dyDescent="0.3">
      <c r="G5375" s="459"/>
      <c r="H5375" s="459">
        <v>5368</v>
      </c>
      <c r="I5375" s="444">
        <f t="shared" ca="1" si="190"/>
        <v>-1131372669182940.3</v>
      </c>
      <c r="J5375" s="444">
        <f t="array" ref="J5375">IFERROR(INDEX('Retirement Calculator'!K:K,MATCH('Lorri 401b'!N5375,'Retirement Calculator'!A:A,0),0),0)</f>
        <v>0</v>
      </c>
      <c r="K5375" s="444">
        <f t="shared" ca="1" si="188"/>
        <v>-4714052788262.251</v>
      </c>
      <c r="L5375" s="444">
        <f t="shared" ca="1" si="189"/>
        <v>-1136086721971202.5</v>
      </c>
      <c r="M5375" s="460">
        <f t="shared" si="191"/>
        <v>0.05</v>
      </c>
      <c r="N5375" s="464">
        <f t="shared" si="192"/>
        <v>214643</v>
      </c>
    </row>
    <row r="5376" spans="7:14" ht="11.25" customHeight="1" x14ac:dyDescent="0.3">
      <c r="G5376" s="459"/>
      <c r="H5376" s="459">
        <v>5369</v>
      </c>
      <c r="I5376" s="444">
        <f t="shared" ca="1" si="190"/>
        <v>-1136086721971202.5</v>
      </c>
      <c r="J5376" s="444">
        <f t="array" ref="J5376">IFERROR(INDEX('Retirement Calculator'!K:K,MATCH('Lorri 401b'!N5376,'Retirement Calculator'!A:A,0),0),0)</f>
        <v>0</v>
      </c>
      <c r="K5376" s="444">
        <f t="shared" ca="1" si="188"/>
        <v>-4733694674880.0107</v>
      </c>
      <c r="L5376" s="444">
        <f t="shared" ca="1" si="189"/>
        <v>-1140820416646082.5</v>
      </c>
      <c r="M5376" s="460">
        <f t="shared" si="191"/>
        <v>0.05</v>
      </c>
      <c r="N5376" s="464">
        <f t="shared" si="192"/>
        <v>214673</v>
      </c>
    </row>
    <row r="5377" spans="7:14" ht="11.25" customHeight="1" x14ac:dyDescent="0.3">
      <c r="G5377" s="459"/>
      <c r="H5377" s="459">
        <v>5370</v>
      </c>
      <c r="I5377" s="444">
        <f t="shared" ca="1" si="190"/>
        <v>-1140820416646082.5</v>
      </c>
      <c r="J5377" s="444">
        <f t="array" ref="J5377">IFERROR(INDEX('Retirement Calculator'!K:K,MATCH('Lorri 401b'!N5377,'Retirement Calculator'!A:A,0),0),0)</f>
        <v>0</v>
      </c>
      <c r="K5377" s="444">
        <f t="shared" ca="1" si="188"/>
        <v>-4753418402692.0107</v>
      </c>
      <c r="L5377" s="444">
        <f t="shared" ca="1" si="189"/>
        <v>-1145573835048774.5</v>
      </c>
      <c r="M5377" s="460">
        <f t="shared" si="191"/>
        <v>0.05</v>
      </c>
      <c r="N5377" s="464">
        <f t="shared" si="192"/>
        <v>214704</v>
      </c>
    </row>
    <row r="5378" spans="7:14" ht="11.25" customHeight="1" x14ac:dyDescent="0.3">
      <c r="G5378" s="459"/>
      <c r="H5378" s="459">
        <v>5371</v>
      </c>
      <c r="I5378" s="444">
        <f t="shared" ca="1" si="190"/>
        <v>-1145573835048774.5</v>
      </c>
      <c r="J5378" s="444">
        <f t="array" ref="J5378">IFERROR(INDEX('Retirement Calculator'!K:K,MATCH('Lorri 401b'!N5378,'Retirement Calculator'!A:A,0),0),0)</f>
        <v>0</v>
      </c>
      <c r="K5378" s="444">
        <f t="shared" ca="1" si="188"/>
        <v>-4773224312703.2266</v>
      </c>
      <c r="L5378" s="444">
        <f t="shared" ca="1" si="189"/>
        <v>-1150347059361477.8</v>
      </c>
      <c r="M5378" s="460">
        <f t="shared" si="191"/>
        <v>0.05</v>
      </c>
      <c r="N5378" s="464">
        <f t="shared" si="192"/>
        <v>214734</v>
      </c>
    </row>
    <row r="5379" spans="7:14" ht="11.25" customHeight="1" x14ac:dyDescent="0.3">
      <c r="G5379" s="459"/>
      <c r="H5379" s="459">
        <v>5372</v>
      </c>
      <c r="I5379" s="444">
        <f t="shared" ca="1" si="190"/>
        <v>-1150347059361477.8</v>
      </c>
      <c r="J5379" s="444">
        <f t="array" ref="J5379">IFERROR(INDEX('Retirement Calculator'!K:K,MATCH('Lorri 401b'!N5379,'Retirement Calculator'!A:A,0),0),0)</f>
        <v>0</v>
      </c>
      <c r="K5379" s="444">
        <f t="shared" ca="1" si="188"/>
        <v>-4793112747339.4902</v>
      </c>
      <c r="L5379" s="444">
        <f t="shared" ca="1" si="189"/>
        <v>-1155140172108817.3</v>
      </c>
      <c r="M5379" s="460">
        <f t="shared" si="191"/>
        <v>0.05</v>
      </c>
      <c r="N5379" s="464">
        <f t="shared" si="192"/>
        <v>214765</v>
      </c>
    </row>
    <row r="5380" spans="7:14" ht="11.25" customHeight="1" x14ac:dyDescent="0.3">
      <c r="G5380" s="459"/>
      <c r="H5380" s="459">
        <v>5373</v>
      </c>
      <c r="I5380" s="444">
        <f t="shared" ca="1" si="190"/>
        <v>-1155140172108817.3</v>
      </c>
      <c r="J5380" s="444">
        <f t="array" ref="J5380">IFERROR(INDEX('Retirement Calculator'!K:K,MATCH('Lorri 401b'!N5380,'Retirement Calculator'!A:A,0),0),0)</f>
        <v>0</v>
      </c>
      <c r="K5380" s="444">
        <f t="shared" ca="1" si="188"/>
        <v>-4813084050453.4053</v>
      </c>
      <c r="L5380" s="444">
        <f t="shared" ca="1" si="189"/>
        <v>-1159953256159270.8</v>
      </c>
      <c r="M5380" s="460">
        <f t="shared" si="191"/>
        <v>0.05</v>
      </c>
      <c r="N5380" s="464">
        <f t="shared" si="192"/>
        <v>214796</v>
      </c>
    </row>
    <row r="5381" spans="7:14" ht="11.25" customHeight="1" x14ac:dyDescent="0.3">
      <c r="G5381" s="459"/>
      <c r="H5381" s="459">
        <v>5374</v>
      </c>
      <c r="I5381" s="444">
        <f t="shared" ca="1" si="190"/>
        <v>-1159953256159270.8</v>
      </c>
      <c r="J5381" s="444">
        <f t="array" ref="J5381">IFERROR(INDEX('Retirement Calculator'!K:K,MATCH('Lorri 401b'!N5381,'Retirement Calculator'!A:A,0),0),0)</f>
        <v>0</v>
      </c>
      <c r="K5381" s="444">
        <f t="shared" ca="1" si="188"/>
        <v>-4833138567330.2949</v>
      </c>
      <c r="L5381" s="444">
        <f t="shared" ca="1" si="189"/>
        <v>-1164786394726601</v>
      </c>
      <c r="M5381" s="460">
        <f t="shared" si="191"/>
        <v>0.05</v>
      </c>
      <c r="N5381" s="464">
        <f t="shared" si="192"/>
        <v>214825</v>
      </c>
    </row>
    <row r="5382" spans="7:14" ht="11.25" customHeight="1" x14ac:dyDescent="0.3">
      <c r="G5382" s="459"/>
      <c r="H5382" s="459">
        <v>5375</v>
      </c>
      <c r="I5382" s="444">
        <f t="shared" ca="1" si="190"/>
        <v>-1164786394726601</v>
      </c>
      <c r="J5382" s="444">
        <f t="array" ref="J5382">IFERROR(INDEX('Retirement Calculator'!K:K,MATCH('Lorri 401b'!N5382,'Retirement Calculator'!A:A,0),0),0)</f>
        <v>0</v>
      </c>
      <c r="K5382" s="444">
        <f t="shared" ca="1" si="188"/>
        <v>-4853276644694.1709</v>
      </c>
      <c r="L5382" s="444">
        <f t="shared" ca="1" si="189"/>
        <v>-1169639671371295.3</v>
      </c>
      <c r="M5382" s="460">
        <f t="shared" si="191"/>
        <v>0.05</v>
      </c>
      <c r="N5382" s="464">
        <f t="shared" si="192"/>
        <v>214856</v>
      </c>
    </row>
    <row r="5383" spans="7:14" ht="11.25" customHeight="1" x14ac:dyDescent="0.3">
      <c r="G5383" s="459"/>
      <c r="H5383" s="459">
        <v>5376</v>
      </c>
      <c r="I5383" s="444">
        <f t="shared" ca="1" si="190"/>
        <v>-1169639671371295.3</v>
      </c>
      <c r="J5383" s="444">
        <f t="array" ref="J5383">IFERROR(INDEX('Retirement Calculator'!K:K,MATCH('Lorri 401b'!N5383,'Retirement Calculator'!A:A,0),0),0)</f>
        <v>0</v>
      </c>
      <c r="K5383" s="444">
        <f t="shared" ca="1" si="188"/>
        <v>-4873498630713.7305</v>
      </c>
      <c r="L5383" s="444">
        <f t="shared" ca="1" si="189"/>
        <v>-1174513170002009</v>
      </c>
      <c r="M5383" s="460">
        <f t="shared" si="191"/>
        <v>0.05</v>
      </c>
      <c r="N5383" s="464">
        <f t="shared" si="192"/>
        <v>214886</v>
      </c>
    </row>
    <row r="5384" spans="7:14" ht="11.25" customHeight="1" x14ac:dyDescent="0.3">
      <c r="G5384" s="459"/>
      <c r="H5384" s="459">
        <v>5377</v>
      </c>
      <c r="I5384" s="444">
        <f t="shared" ca="1" si="190"/>
        <v>-1174513170002009</v>
      </c>
      <c r="J5384" s="444">
        <f t="array" ref="J5384">IFERROR(INDEX('Retirement Calculator'!K:K,MATCH('Lorri 401b'!N5384,'Retirement Calculator'!A:A,0),0),0)</f>
        <v>0</v>
      </c>
      <c r="K5384" s="444">
        <f t="shared" ca="1" si="188"/>
        <v>-4893804875008.3711</v>
      </c>
      <c r="L5384" s="444">
        <f t="shared" ca="1" si="189"/>
        <v>-1179406974877017.3</v>
      </c>
      <c r="M5384" s="460">
        <f t="shared" si="191"/>
        <v>0.05</v>
      </c>
      <c r="N5384" s="464">
        <f t="shared" si="192"/>
        <v>214917</v>
      </c>
    </row>
    <row r="5385" spans="7:14" ht="11.25" customHeight="1" x14ac:dyDescent="0.3">
      <c r="G5385" s="459"/>
      <c r="H5385" s="459">
        <v>5378</v>
      </c>
      <c r="I5385" s="444">
        <f t="shared" ca="1" si="190"/>
        <v>-1179406974877017.3</v>
      </c>
      <c r="J5385" s="444">
        <f t="array" ref="J5385">IFERROR(INDEX('Retirement Calculator'!K:K,MATCH('Lorri 401b'!N5385,'Retirement Calculator'!A:A,0),0),0)</f>
        <v>0</v>
      </c>
      <c r="K5385" s="444">
        <f t="shared" ca="1" si="188"/>
        <v>-4914195728654.2383</v>
      </c>
      <c r="L5385" s="444">
        <f t="shared" ca="1" si="189"/>
        <v>-1184321170605671.5</v>
      </c>
      <c r="M5385" s="460">
        <f t="shared" si="191"/>
        <v>0.05</v>
      </c>
      <c r="N5385" s="464">
        <f t="shared" si="192"/>
        <v>214947</v>
      </c>
    </row>
    <row r="5386" spans="7:14" ht="11.25" customHeight="1" x14ac:dyDescent="0.3">
      <c r="G5386" s="459"/>
      <c r="H5386" s="459">
        <v>5379</v>
      </c>
      <c r="I5386" s="444">
        <f t="shared" ca="1" si="190"/>
        <v>-1184321170605671.5</v>
      </c>
      <c r="J5386" s="444">
        <f t="array" ref="J5386">IFERROR(INDEX('Retirement Calculator'!K:K,MATCH('Lorri 401b'!N5386,'Retirement Calculator'!A:A,0),0),0)</f>
        <v>0</v>
      </c>
      <c r="K5386" s="444">
        <f t="shared" ca="1" si="188"/>
        <v>-4934671544190.2979</v>
      </c>
      <c r="L5386" s="444">
        <f t="shared" ca="1" si="189"/>
        <v>-1189255842149861.8</v>
      </c>
      <c r="M5386" s="460">
        <f t="shared" si="191"/>
        <v>0.05</v>
      </c>
      <c r="N5386" s="464">
        <f t="shared" si="192"/>
        <v>214978</v>
      </c>
    </row>
    <row r="5387" spans="7:14" ht="11.25" customHeight="1" x14ac:dyDescent="0.3">
      <c r="G5387" s="459"/>
      <c r="H5387" s="459">
        <v>5380</v>
      </c>
      <c r="I5387" s="444">
        <f t="shared" ca="1" si="190"/>
        <v>-1189255842149861.8</v>
      </c>
      <c r="J5387" s="444">
        <f t="array" ref="J5387">IFERROR(INDEX('Retirement Calculator'!K:K,MATCH('Lorri 401b'!N5387,'Retirement Calculator'!A:A,0),0),0)</f>
        <v>0</v>
      </c>
      <c r="K5387" s="444">
        <f t="shared" ca="1" si="188"/>
        <v>-4955232675624.4238</v>
      </c>
      <c r="L5387" s="444">
        <f t="shared" ca="1" si="189"/>
        <v>-1194211074825486.3</v>
      </c>
      <c r="M5387" s="460">
        <f t="shared" si="191"/>
        <v>0.05</v>
      </c>
      <c r="N5387" s="464">
        <f t="shared" si="192"/>
        <v>215009</v>
      </c>
    </row>
    <row r="5388" spans="7:14" ht="11.25" customHeight="1" x14ac:dyDescent="0.3">
      <c r="G5388" s="459"/>
      <c r="H5388" s="459">
        <v>5381</v>
      </c>
      <c r="I5388" s="444">
        <f t="shared" ca="1" si="190"/>
        <v>-1194211074825486.3</v>
      </c>
      <c r="J5388" s="444">
        <f t="array" ref="J5388">IFERROR(INDEX('Retirement Calculator'!K:K,MATCH('Lorri 401b'!N5388,'Retirement Calculator'!A:A,0),0),0)</f>
        <v>0</v>
      </c>
      <c r="K5388" s="444">
        <f t="shared" ca="1" si="188"/>
        <v>-4975879478439.5264</v>
      </c>
      <c r="L5388" s="444">
        <f t="shared" ca="1" si="189"/>
        <v>-1199186954303925.8</v>
      </c>
      <c r="M5388" s="460">
        <f t="shared" si="191"/>
        <v>0.05</v>
      </c>
      <c r="N5388" s="464">
        <f t="shared" si="192"/>
        <v>215039</v>
      </c>
    </row>
    <row r="5389" spans="7:14" ht="11.25" customHeight="1" x14ac:dyDescent="0.3">
      <c r="G5389" s="459"/>
      <c r="H5389" s="459">
        <v>5382</v>
      </c>
      <c r="I5389" s="444">
        <f t="shared" ca="1" si="190"/>
        <v>-1199186954303925.8</v>
      </c>
      <c r="J5389" s="444">
        <f t="array" ref="J5389">IFERROR(INDEX('Retirement Calculator'!K:K,MATCH('Lorri 401b'!N5389,'Retirement Calculator'!A:A,0),0),0)</f>
        <v>0</v>
      </c>
      <c r="K5389" s="444">
        <f t="shared" ca="1" si="188"/>
        <v>-4996612309599.6904</v>
      </c>
      <c r="L5389" s="444">
        <f t="shared" ca="1" si="189"/>
        <v>-1204183566613525.5</v>
      </c>
      <c r="M5389" s="460">
        <f t="shared" si="191"/>
        <v>0.05</v>
      </c>
      <c r="N5389" s="464">
        <f t="shared" si="192"/>
        <v>215070</v>
      </c>
    </row>
    <row r="5390" spans="7:14" ht="11.25" customHeight="1" x14ac:dyDescent="0.3">
      <c r="G5390" s="459"/>
      <c r="H5390" s="459">
        <v>5383</v>
      </c>
      <c r="I5390" s="444">
        <f t="shared" ca="1" si="190"/>
        <v>-1204183566613525.5</v>
      </c>
      <c r="J5390" s="444">
        <f t="array" ref="J5390">IFERROR(INDEX('Retirement Calculator'!K:K,MATCH('Lorri 401b'!N5390,'Retirement Calculator'!A:A,0),0),0)</f>
        <v>0</v>
      </c>
      <c r="K5390" s="444">
        <f t="shared" ca="1" si="188"/>
        <v>-5017431527556.3564</v>
      </c>
      <c r="L5390" s="444">
        <f t="shared" ca="1" si="189"/>
        <v>-1209200998141081.8</v>
      </c>
      <c r="M5390" s="460">
        <f t="shared" si="191"/>
        <v>0.05</v>
      </c>
      <c r="N5390" s="464">
        <f t="shared" si="192"/>
        <v>215100</v>
      </c>
    </row>
    <row r="5391" spans="7:14" ht="11.25" customHeight="1" x14ac:dyDescent="0.3">
      <c r="G5391" s="459"/>
      <c r="H5391" s="459">
        <v>5384</v>
      </c>
      <c r="I5391" s="444">
        <f t="shared" ca="1" si="190"/>
        <v>-1209200998141081.8</v>
      </c>
      <c r="J5391" s="444">
        <f t="array" ref="J5391">IFERROR(INDEX('Retirement Calculator'!K:K,MATCH('Lorri 401b'!N5391,'Retirement Calculator'!A:A,0),0),0)</f>
        <v>0</v>
      </c>
      <c r="K5391" s="444">
        <f t="shared" ca="1" si="188"/>
        <v>-5038337492254.5068</v>
      </c>
      <c r="L5391" s="444">
        <f t="shared" ca="1" si="189"/>
        <v>-1214239335633336.3</v>
      </c>
      <c r="M5391" s="460">
        <f t="shared" si="191"/>
        <v>0.05</v>
      </c>
      <c r="N5391" s="464">
        <f t="shared" si="192"/>
        <v>215131</v>
      </c>
    </row>
    <row r="5392" spans="7:14" ht="11.25" customHeight="1" x14ac:dyDescent="0.3">
      <c r="G5392" s="459"/>
      <c r="H5392" s="459">
        <v>5385</v>
      </c>
      <c r="I5392" s="444">
        <f t="shared" ca="1" si="190"/>
        <v>-1214239335633336.3</v>
      </c>
      <c r="J5392" s="444">
        <f t="array" ref="J5392">IFERROR(INDEX('Retirement Calculator'!K:K,MATCH('Lorri 401b'!N5392,'Retirement Calculator'!A:A,0),0),0)</f>
        <v>0</v>
      </c>
      <c r="K5392" s="444">
        <f t="shared" ca="1" si="188"/>
        <v>-5059330565138.9014</v>
      </c>
      <c r="L5392" s="444">
        <f t="shared" ca="1" si="189"/>
        <v>-1219298666198475.3</v>
      </c>
      <c r="M5392" s="460">
        <f t="shared" si="191"/>
        <v>0.05</v>
      </c>
      <c r="N5392" s="464">
        <f t="shared" si="192"/>
        <v>215162</v>
      </c>
    </row>
    <row r="5393" spans="7:14" ht="11.25" customHeight="1" x14ac:dyDescent="0.3">
      <c r="G5393" s="459"/>
      <c r="H5393" s="459">
        <v>5386</v>
      </c>
      <c r="I5393" s="444">
        <f t="shared" ca="1" si="190"/>
        <v>-1219298666198475.3</v>
      </c>
      <c r="J5393" s="444">
        <f t="array" ref="J5393">IFERROR(INDEX('Retirement Calculator'!K:K,MATCH('Lorri 401b'!N5393,'Retirement Calculator'!A:A,0),0),0)</f>
        <v>0</v>
      </c>
      <c r="K5393" s="444">
        <f t="shared" ca="1" si="188"/>
        <v>-5080411109160.3135</v>
      </c>
      <c r="L5393" s="444">
        <f t="shared" ca="1" si="189"/>
        <v>-1224379077307635.5</v>
      </c>
      <c r="M5393" s="460">
        <f t="shared" si="191"/>
        <v>0.05</v>
      </c>
      <c r="N5393" s="464">
        <f t="shared" si="192"/>
        <v>215190</v>
      </c>
    </row>
    <row r="5394" spans="7:14" ht="11.25" customHeight="1" x14ac:dyDescent="0.3">
      <c r="G5394" s="459"/>
      <c r="H5394" s="459">
        <v>5387</v>
      </c>
      <c r="I5394" s="444">
        <f t="shared" ca="1" si="190"/>
        <v>-1224379077307635.5</v>
      </c>
      <c r="J5394" s="444">
        <f t="array" ref="J5394">IFERROR(INDEX('Retirement Calculator'!K:K,MATCH('Lorri 401b'!N5394,'Retirement Calculator'!A:A,0),0),0)</f>
        <v>0</v>
      </c>
      <c r="K5394" s="444">
        <f t="shared" ca="1" si="188"/>
        <v>-5101579488781.8145</v>
      </c>
      <c r="L5394" s="444">
        <f t="shared" ca="1" si="189"/>
        <v>-1229480656796417.3</v>
      </c>
      <c r="M5394" s="460">
        <f t="shared" si="191"/>
        <v>0.05</v>
      </c>
      <c r="N5394" s="464">
        <f t="shared" si="192"/>
        <v>215221</v>
      </c>
    </row>
    <row r="5395" spans="7:14" ht="11.25" customHeight="1" x14ac:dyDescent="0.3">
      <c r="G5395" s="459"/>
      <c r="H5395" s="459">
        <v>5388</v>
      </c>
      <c r="I5395" s="444">
        <f t="shared" ca="1" si="190"/>
        <v>-1229480656796417.3</v>
      </c>
      <c r="J5395" s="444">
        <f t="array" ref="J5395">IFERROR(INDEX('Retirement Calculator'!K:K,MATCH('Lorri 401b'!N5395,'Retirement Calculator'!A:A,0),0),0)</f>
        <v>0</v>
      </c>
      <c r="K5395" s="444">
        <f t="shared" ca="1" si="188"/>
        <v>-5122836069985.0723</v>
      </c>
      <c r="L5395" s="444">
        <f t="shared" ca="1" si="189"/>
        <v>-1234603492866402.3</v>
      </c>
      <c r="M5395" s="460">
        <f t="shared" si="191"/>
        <v>0.05</v>
      </c>
      <c r="N5395" s="464">
        <f t="shared" si="192"/>
        <v>215251</v>
      </c>
    </row>
    <row r="5396" spans="7:14" ht="11.25" customHeight="1" x14ac:dyDescent="0.3">
      <c r="G5396" s="459"/>
      <c r="H5396" s="459">
        <v>5389</v>
      </c>
      <c r="I5396" s="444">
        <f t="shared" ca="1" si="190"/>
        <v>-1234603492866402.3</v>
      </c>
      <c r="J5396" s="444">
        <f t="array" ref="J5396">IFERROR(INDEX('Retirement Calculator'!K:K,MATCH('Lorri 401b'!N5396,'Retirement Calculator'!A:A,0),0),0)</f>
        <v>0</v>
      </c>
      <c r="K5396" s="444">
        <f t="shared" ca="1" si="188"/>
        <v>-5144181220276.6758</v>
      </c>
      <c r="L5396" s="444">
        <f t="shared" ca="1" si="189"/>
        <v>-1239747674086679</v>
      </c>
      <c r="M5396" s="460">
        <f t="shared" si="191"/>
        <v>0.05</v>
      </c>
      <c r="N5396" s="464">
        <f t="shared" si="192"/>
        <v>215282</v>
      </c>
    </row>
    <row r="5397" spans="7:14" ht="11.25" customHeight="1" x14ac:dyDescent="0.3">
      <c r="G5397" s="459"/>
      <c r="H5397" s="459">
        <v>5390</v>
      </c>
      <c r="I5397" s="444">
        <f t="shared" ca="1" si="190"/>
        <v>-1239747674086679</v>
      </c>
      <c r="J5397" s="444">
        <f t="array" ref="J5397">IFERROR(INDEX('Retirement Calculator'!K:K,MATCH('Lorri 401b'!N5397,'Retirement Calculator'!A:A,0),0),0)</f>
        <v>0</v>
      </c>
      <c r="K5397" s="444">
        <f t="shared" ca="1" si="188"/>
        <v>-5165615308694.4961</v>
      </c>
      <c r="L5397" s="444">
        <f t="shared" ca="1" si="189"/>
        <v>-1244913289395373.5</v>
      </c>
      <c r="M5397" s="460">
        <f t="shared" si="191"/>
        <v>0.05</v>
      </c>
      <c r="N5397" s="464">
        <f t="shared" si="192"/>
        <v>215312</v>
      </c>
    </row>
    <row r="5398" spans="7:14" ht="11.25" customHeight="1" x14ac:dyDescent="0.3">
      <c r="G5398" s="459"/>
      <c r="H5398" s="459">
        <v>5391</v>
      </c>
      <c r="I5398" s="444">
        <f t="shared" ca="1" si="190"/>
        <v>-1244913289395373.5</v>
      </c>
      <c r="J5398" s="444">
        <f t="array" ref="J5398">IFERROR(INDEX('Retirement Calculator'!K:K,MATCH('Lorri 401b'!N5398,'Retirement Calculator'!A:A,0),0),0)</f>
        <v>0</v>
      </c>
      <c r="K5398" s="444">
        <f t="shared" ca="1" si="188"/>
        <v>-5187138705814.0566</v>
      </c>
      <c r="L5398" s="444">
        <f t="shared" ca="1" si="189"/>
        <v>-1250100428101187.5</v>
      </c>
      <c r="M5398" s="460">
        <f t="shared" si="191"/>
        <v>0.05</v>
      </c>
      <c r="N5398" s="464">
        <f t="shared" si="192"/>
        <v>215343</v>
      </c>
    </row>
    <row r="5399" spans="7:14" ht="11.25" customHeight="1" x14ac:dyDescent="0.3">
      <c r="G5399" s="459"/>
      <c r="H5399" s="459">
        <v>5392</v>
      </c>
      <c r="I5399" s="444">
        <f t="shared" ca="1" si="190"/>
        <v>-1250100428101187.5</v>
      </c>
      <c r="J5399" s="444">
        <f t="array" ref="J5399">IFERROR(INDEX('Retirement Calculator'!K:K,MATCH('Lorri 401b'!N5399,'Retirement Calculator'!A:A,0),0),0)</f>
        <v>0</v>
      </c>
      <c r="K5399" s="444">
        <f t="shared" ca="1" si="188"/>
        <v>-5208751783754.9482</v>
      </c>
      <c r="L5399" s="444">
        <f t="shared" ca="1" si="189"/>
        <v>-1255309179884942.5</v>
      </c>
      <c r="M5399" s="460">
        <f t="shared" si="191"/>
        <v>0.05</v>
      </c>
      <c r="N5399" s="464">
        <f t="shared" si="192"/>
        <v>215374</v>
      </c>
    </row>
    <row r="5400" spans="7:14" ht="11.25" customHeight="1" x14ac:dyDescent="0.3">
      <c r="G5400" s="459"/>
      <c r="H5400" s="459">
        <v>5393</v>
      </c>
      <c r="I5400" s="444">
        <f t="shared" ca="1" si="190"/>
        <v>-1255309179884942.5</v>
      </c>
      <c r="J5400" s="444">
        <f t="array" ref="J5400">IFERROR(INDEX('Retirement Calculator'!K:K,MATCH('Lorri 401b'!N5400,'Retirement Calculator'!A:A,0),0),0)</f>
        <v>0</v>
      </c>
      <c r="K5400" s="444">
        <f t="shared" ca="1" si="188"/>
        <v>-5230454916187.2607</v>
      </c>
      <c r="L5400" s="444">
        <f t="shared" ca="1" si="189"/>
        <v>-1260539634801129.8</v>
      </c>
      <c r="M5400" s="460">
        <f t="shared" si="191"/>
        <v>0.05</v>
      </c>
      <c r="N5400" s="464">
        <f t="shared" si="192"/>
        <v>215404</v>
      </c>
    </row>
    <row r="5401" spans="7:14" ht="11.25" customHeight="1" x14ac:dyDescent="0.3">
      <c r="G5401" s="459"/>
      <c r="H5401" s="459">
        <v>5394</v>
      </c>
      <c r="I5401" s="444">
        <f t="shared" ca="1" si="190"/>
        <v>-1260539634801129.8</v>
      </c>
      <c r="J5401" s="444">
        <f t="array" ref="J5401">IFERROR(INDEX('Retirement Calculator'!K:K,MATCH('Lorri 401b'!N5401,'Retirement Calculator'!A:A,0),0),0)</f>
        <v>0</v>
      </c>
      <c r="K5401" s="444">
        <f t="shared" ca="1" si="188"/>
        <v>-5252248478338.041</v>
      </c>
      <c r="L5401" s="444">
        <f t="shared" ca="1" si="189"/>
        <v>-1265791883279467.8</v>
      </c>
      <c r="M5401" s="460">
        <f t="shared" si="191"/>
        <v>0.05</v>
      </c>
      <c r="N5401" s="464">
        <f t="shared" si="192"/>
        <v>215435</v>
      </c>
    </row>
    <row r="5402" spans="7:14" ht="11.25" customHeight="1" x14ac:dyDescent="0.3">
      <c r="G5402" s="459"/>
      <c r="H5402" s="459">
        <v>5395</v>
      </c>
      <c r="I5402" s="444">
        <f t="shared" ca="1" si="190"/>
        <v>-1265791883279467.8</v>
      </c>
      <c r="J5402" s="444">
        <f t="array" ref="J5402">IFERROR(INDEX('Retirement Calculator'!K:K,MATCH('Lorri 401b'!N5402,'Retirement Calculator'!A:A,0),0),0)</f>
        <v>0</v>
      </c>
      <c r="K5402" s="444">
        <f t="shared" ca="1" si="188"/>
        <v>-5274132846997.7822</v>
      </c>
      <c r="L5402" s="444">
        <f t="shared" ca="1" si="189"/>
        <v>-1271066016126465.5</v>
      </c>
      <c r="M5402" s="460">
        <f t="shared" si="191"/>
        <v>0.05</v>
      </c>
      <c r="N5402" s="464">
        <f t="shared" si="192"/>
        <v>215465</v>
      </c>
    </row>
    <row r="5403" spans="7:14" ht="11.25" customHeight="1" x14ac:dyDescent="0.3">
      <c r="G5403" s="459"/>
      <c r="H5403" s="459">
        <v>5396</v>
      </c>
      <c r="I5403" s="444">
        <f t="shared" ca="1" si="190"/>
        <v>-1271066016126465.5</v>
      </c>
      <c r="J5403" s="444">
        <f t="array" ref="J5403">IFERROR(INDEX('Retirement Calculator'!K:K,MATCH('Lorri 401b'!N5403,'Retirement Calculator'!A:A,0),0),0)</f>
        <v>0</v>
      </c>
      <c r="K5403" s="444">
        <f t="shared" ca="1" si="188"/>
        <v>-5296108400526.9395</v>
      </c>
      <c r="L5403" s="444">
        <f t="shared" ca="1" si="189"/>
        <v>-1276362124526992.5</v>
      </c>
      <c r="M5403" s="460">
        <f t="shared" si="191"/>
        <v>0.05</v>
      </c>
      <c r="N5403" s="464">
        <f t="shared" si="192"/>
        <v>215496</v>
      </c>
    </row>
    <row r="5404" spans="7:14" ht="11.25" customHeight="1" x14ac:dyDescent="0.3">
      <c r="G5404" s="459"/>
      <c r="H5404" s="459">
        <v>5397</v>
      </c>
      <c r="I5404" s="444">
        <f t="shared" ca="1" si="190"/>
        <v>-1276362124526992.5</v>
      </c>
      <c r="J5404" s="444">
        <f t="array" ref="J5404">IFERROR(INDEX('Retirement Calculator'!K:K,MATCH('Lorri 401b'!N5404,'Retirement Calculator'!A:A,0),0),0)</f>
        <v>0</v>
      </c>
      <c r="K5404" s="444">
        <f t="shared" ca="1" si="188"/>
        <v>-5318175518862.4688</v>
      </c>
      <c r="L5404" s="444">
        <f t="shared" ca="1" si="189"/>
        <v>-1281680300045855</v>
      </c>
      <c r="M5404" s="460">
        <f t="shared" si="191"/>
        <v>0.05</v>
      </c>
      <c r="N5404" s="464">
        <f t="shared" si="192"/>
        <v>215527</v>
      </c>
    </row>
    <row r="5405" spans="7:14" ht="11.25" customHeight="1" x14ac:dyDescent="0.3">
      <c r="G5405" s="459"/>
      <c r="H5405" s="459">
        <v>5398</v>
      </c>
      <c r="I5405" s="444">
        <f t="shared" ca="1" si="190"/>
        <v>-1281680300045855</v>
      </c>
      <c r="J5405" s="444">
        <f t="array" ref="J5405">IFERROR(INDEX('Retirement Calculator'!K:K,MATCH('Lorri 401b'!N5405,'Retirement Calculator'!A:A,0),0),0)</f>
        <v>0</v>
      </c>
      <c r="K5405" s="444">
        <f t="shared" ca="1" si="188"/>
        <v>-5340334583524.3955</v>
      </c>
      <c r="L5405" s="444">
        <f t="shared" ca="1" si="189"/>
        <v>-1287020634629379.5</v>
      </c>
      <c r="M5405" s="460">
        <f t="shared" si="191"/>
        <v>0.05</v>
      </c>
      <c r="N5405" s="464">
        <f t="shared" si="192"/>
        <v>215555</v>
      </c>
    </row>
    <row r="5406" spans="7:14" ht="11.25" customHeight="1" x14ac:dyDescent="0.3">
      <c r="G5406" s="459"/>
      <c r="H5406" s="459">
        <v>5399</v>
      </c>
      <c r="I5406" s="444">
        <f t="shared" ca="1" si="190"/>
        <v>-1287020634629379.5</v>
      </c>
      <c r="J5406" s="444">
        <f t="array" ref="J5406">IFERROR(INDEX('Retirement Calculator'!K:K,MATCH('Lorri 401b'!N5406,'Retirement Calculator'!A:A,0),0),0)</f>
        <v>0</v>
      </c>
      <c r="K5406" s="444">
        <f t="shared" ca="1" si="188"/>
        <v>-5362585977622.4141</v>
      </c>
      <c r="L5406" s="444">
        <f t="shared" ca="1" si="189"/>
        <v>-1292383220607002</v>
      </c>
      <c r="M5406" s="460">
        <f t="shared" si="191"/>
        <v>0.05</v>
      </c>
      <c r="N5406" s="464">
        <f t="shared" si="192"/>
        <v>215586</v>
      </c>
    </row>
    <row r="5407" spans="7:14" ht="11.25" customHeight="1" x14ac:dyDescent="0.3">
      <c r="G5407" s="459"/>
      <c r="H5407" s="459">
        <v>5400</v>
      </c>
      <c r="I5407" s="444">
        <f t="shared" ca="1" si="190"/>
        <v>-1292383220607002</v>
      </c>
      <c r="J5407" s="444">
        <f t="array" ref="J5407">IFERROR(INDEX('Retirement Calculator'!K:K,MATCH('Lorri 401b'!N5407,'Retirement Calculator'!A:A,0),0),0)</f>
        <v>0</v>
      </c>
      <c r="K5407" s="444">
        <f t="shared" ca="1" si="188"/>
        <v>-5384930085862.5078</v>
      </c>
      <c r="L5407" s="444">
        <f t="shared" ca="1" si="189"/>
        <v>-1297768150692864.5</v>
      </c>
      <c r="M5407" s="460">
        <f t="shared" si="191"/>
        <v>0.05</v>
      </c>
      <c r="N5407" s="464">
        <f t="shared" si="192"/>
        <v>215616</v>
      </c>
    </row>
    <row r="5408" spans="7:14" ht="11.25" customHeight="1" x14ac:dyDescent="0.3">
      <c r="G5408" s="459"/>
      <c r="H5408" s="459">
        <v>5401</v>
      </c>
      <c r="I5408" s="444">
        <f t="shared" ca="1" si="190"/>
        <v>-1297768150692864.5</v>
      </c>
      <c r="J5408" s="444">
        <f t="array" ref="J5408">IFERROR(INDEX('Retirement Calculator'!K:K,MATCH('Lorri 401b'!N5408,'Retirement Calculator'!A:A,0),0),0)</f>
        <v>0</v>
      </c>
      <c r="K5408" s="444">
        <f t="shared" ca="1" si="188"/>
        <v>-5407367294553.6016</v>
      </c>
      <c r="L5408" s="444">
        <f t="shared" ca="1" si="189"/>
        <v>-1303175517987418</v>
      </c>
      <c r="M5408" s="460">
        <f t="shared" si="191"/>
        <v>0.05</v>
      </c>
      <c r="N5408" s="464">
        <f t="shared" si="192"/>
        <v>215647</v>
      </c>
    </row>
    <row r="5409" spans="7:14" ht="11.25" customHeight="1" x14ac:dyDescent="0.3">
      <c r="G5409" s="459"/>
      <c r="H5409" s="459">
        <v>5402</v>
      </c>
      <c r="I5409" s="444">
        <f t="shared" ca="1" si="190"/>
        <v>-1303175517987418</v>
      </c>
      <c r="J5409" s="444">
        <f t="array" ref="J5409">IFERROR(INDEX('Retirement Calculator'!K:K,MATCH('Lorri 401b'!N5409,'Retirement Calculator'!A:A,0),0),0)</f>
        <v>0</v>
      </c>
      <c r="K5409" s="444">
        <f t="shared" ca="1" si="188"/>
        <v>-5429897991614.2412</v>
      </c>
      <c r="L5409" s="444">
        <f t="shared" ca="1" si="189"/>
        <v>-1308605415979032.3</v>
      </c>
      <c r="M5409" s="460">
        <f t="shared" si="191"/>
        <v>0.05</v>
      </c>
      <c r="N5409" s="464">
        <f t="shared" si="192"/>
        <v>215677</v>
      </c>
    </row>
    <row r="5410" spans="7:14" ht="11.25" customHeight="1" x14ac:dyDescent="0.3">
      <c r="G5410" s="459"/>
      <c r="H5410" s="459">
        <v>5403</v>
      </c>
      <c r="I5410" s="444">
        <f t="shared" ca="1" si="190"/>
        <v>-1308605415979032.3</v>
      </c>
      <c r="J5410" s="444">
        <f t="array" ref="J5410">IFERROR(INDEX('Retirement Calculator'!K:K,MATCH('Lorri 401b'!N5410,'Retirement Calculator'!A:A,0),0),0)</f>
        <v>0</v>
      </c>
      <c r="K5410" s="444">
        <f t="shared" ca="1" si="188"/>
        <v>-5452522566579.3008</v>
      </c>
      <c r="L5410" s="444">
        <f t="shared" ca="1" si="189"/>
        <v>-1314057938545611.5</v>
      </c>
      <c r="M5410" s="460">
        <f t="shared" si="191"/>
        <v>0.05</v>
      </c>
      <c r="N5410" s="464">
        <f t="shared" si="192"/>
        <v>215708</v>
      </c>
    </row>
    <row r="5411" spans="7:14" ht="11.25" customHeight="1" x14ac:dyDescent="0.3">
      <c r="G5411" s="459"/>
      <c r="H5411" s="459">
        <v>5404</v>
      </c>
      <c r="I5411" s="444">
        <f t="shared" ca="1" si="190"/>
        <v>-1314057938545611.5</v>
      </c>
      <c r="J5411" s="444">
        <f t="array" ref="J5411">IFERROR(INDEX('Retirement Calculator'!K:K,MATCH('Lorri 401b'!N5411,'Retirement Calculator'!A:A,0),0),0)</f>
        <v>0</v>
      </c>
      <c r="K5411" s="444">
        <f t="shared" ca="1" si="188"/>
        <v>-5475241410606.7148</v>
      </c>
      <c r="L5411" s="444">
        <f t="shared" ca="1" si="189"/>
        <v>-1319533179956218.3</v>
      </c>
      <c r="M5411" s="460">
        <f t="shared" si="191"/>
        <v>0.05</v>
      </c>
      <c r="N5411" s="464">
        <f t="shared" si="192"/>
        <v>215739</v>
      </c>
    </row>
    <row r="5412" spans="7:14" ht="11.25" customHeight="1" x14ac:dyDescent="0.3">
      <c r="G5412" s="459"/>
      <c r="H5412" s="459">
        <v>5405</v>
      </c>
      <c r="I5412" s="444">
        <f t="shared" ca="1" si="190"/>
        <v>-1319533179956218.3</v>
      </c>
      <c r="J5412" s="444">
        <f t="array" ref="J5412">IFERROR(INDEX('Retirement Calculator'!K:K,MATCH('Lorri 401b'!N5412,'Retirement Calculator'!A:A,0),0),0)</f>
        <v>0</v>
      </c>
      <c r="K5412" s="444">
        <f t="shared" ca="1" si="188"/>
        <v>-5498054916484.2422</v>
      </c>
      <c r="L5412" s="444">
        <f t="shared" ca="1" si="189"/>
        <v>-1325031234872702.5</v>
      </c>
      <c r="M5412" s="460">
        <f t="shared" si="191"/>
        <v>0.05</v>
      </c>
      <c r="N5412" s="464">
        <f t="shared" si="192"/>
        <v>215769</v>
      </c>
    </row>
    <row r="5413" spans="7:14" ht="11.25" customHeight="1" x14ac:dyDescent="0.3">
      <c r="G5413" s="459"/>
      <c r="H5413" s="459">
        <v>5406</v>
      </c>
      <c r="I5413" s="444">
        <f t="shared" ca="1" si="190"/>
        <v>-1325031234872702.5</v>
      </c>
      <c r="J5413" s="444">
        <f t="array" ref="J5413">IFERROR(INDEX('Retirement Calculator'!K:K,MATCH('Lorri 401b'!N5413,'Retirement Calculator'!A:A,0),0),0)</f>
        <v>0</v>
      </c>
      <c r="K5413" s="444">
        <f t="shared" ca="1" si="188"/>
        <v>-5520963478636.2607</v>
      </c>
      <c r="L5413" s="444">
        <f t="shared" ca="1" si="189"/>
        <v>-1330552198351338.8</v>
      </c>
      <c r="M5413" s="460">
        <f t="shared" si="191"/>
        <v>0.05</v>
      </c>
      <c r="N5413" s="464">
        <f t="shared" si="192"/>
        <v>215800</v>
      </c>
    </row>
    <row r="5414" spans="7:14" ht="11.25" customHeight="1" x14ac:dyDescent="0.3">
      <c r="G5414" s="459"/>
      <c r="H5414" s="459">
        <v>5407</v>
      </c>
      <c r="I5414" s="444">
        <f t="shared" ca="1" si="190"/>
        <v>-1330552198351338.8</v>
      </c>
      <c r="J5414" s="444">
        <f t="array" ref="J5414">IFERROR(INDEX('Retirement Calculator'!K:K,MATCH('Lorri 401b'!N5414,'Retirement Calculator'!A:A,0),0),0)</f>
        <v>0</v>
      </c>
      <c r="K5414" s="444">
        <f t="shared" ca="1" si="188"/>
        <v>-5543967493130.5781</v>
      </c>
      <c r="L5414" s="444">
        <f t="shared" ca="1" si="189"/>
        <v>-1336096165844469.3</v>
      </c>
      <c r="M5414" s="460">
        <f t="shared" si="191"/>
        <v>0.05</v>
      </c>
      <c r="N5414" s="464">
        <f t="shared" si="192"/>
        <v>215830</v>
      </c>
    </row>
    <row r="5415" spans="7:14" ht="11.25" customHeight="1" x14ac:dyDescent="0.3">
      <c r="G5415" s="459"/>
      <c r="H5415" s="459">
        <v>5408</v>
      </c>
      <c r="I5415" s="444">
        <f t="shared" ca="1" si="190"/>
        <v>-1336096165844469.3</v>
      </c>
      <c r="J5415" s="444">
        <f t="array" ref="J5415">IFERROR(INDEX('Retirement Calculator'!K:K,MATCH('Lorri 401b'!N5415,'Retirement Calculator'!A:A,0),0),0)</f>
        <v>0</v>
      </c>
      <c r="K5415" s="444">
        <f t="shared" ca="1" si="188"/>
        <v>-5567067357685.2881</v>
      </c>
      <c r="L5415" s="444">
        <f t="shared" ca="1" si="189"/>
        <v>-1341663233202154.5</v>
      </c>
      <c r="M5415" s="460">
        <f t="shared" si="191"/>
        <v>0.05</v>
      </c>
      <c r="N5415" s="464">
        <f t="shared" si="192"/>
        <v>215861</v>
      </c>
    </row>
    <row r="5416" spans="7:14" ht="11.25" customHeight="1" x14ac:dyDescent="0.3">
      <c r="G5416" s="459"/>
      <c r="H5416" s="459">
        <v>5409</v>
      </c>
      <c r="I5416" s="444">
        <f t="shared" ca="1" si="190"/>
        <v>-1341663233202154.5</v>
      </c>
      <c r="J5416" s="444">
        <f t="array" ref="J5416">IFERROR(INDEX('Retirement Calculator'!K:K,MATCH('Lorri 401b'!N5416,'Retirement Calculator'!A:A,0),0),0)</f>
        <v>0</v>
      </c>
      <c r="K5416" s="444">
        <f t="shared" ca="1" si="188"/>
        <v>-5590263471675.6436</v>
      </c>
      <c r="L5416" s="444">
        <f t="shared" ca="1" si="189"/>
        <v>-1347253496673830.3</v>
      </c>
      <c r="M5416" s="460">
        <f t="shared" si="191"/>
        <v>0.05</v>
      </c>
      <c r="N5416" s="464">
        <f t="shared" si="192"/>
        <v>215892</v>
      </c>
    </row>
    <row r="5417" spans="7:14" ht="11.25" customHeight="1" x14ac:dyDescent="0.3">
      <c r="G5417" s="459"/>
      <c r="H5417" s="459">
        <v>5410</v>
      </c>
      <c r="I5417" s="444">
        <f t="shared" ca="1" si="190"/>
        <v>-1347253496673830.3</v>
      </c>
      <c r="J5417" s="444">
        <f t="array" ref="J5417">IFERROR(INDEX('Retirement Calculator'!K:K,MATCH('Lorri 401b'!N5417,'Retirement Calculator'!A:A,0),0),0)</f>
        <v>0</v>
      </c>
      <c r="K5417" s="444">
        <f t="shared" ca="1" si="188"/>
        <v>-5613556236140.959</v>
      </c>
      <c r="L5417" s="444">
        <f t="shared" ca="1" si="189"/>
        <v>-1352867052909971.3</v>
      </c>
      <c r="M5417" s="460">
        <f t="shared" si="191"/>
        <v>0.05</v>
      </c>
      <c r="N5417" s="464">
        <f t="shared" si="192"/>
        <v>215920</v>
      </c>
    </row>
    <row r="5418" spans="7:14" ht="11.25" customHeight="1" x14ac:dyDescent="0.3">
      <c r="G5418" s="459"/>
      <c r="H5418" s="459">
        <v>5411</v>
      </c>
      <c r="I5418" s="444">
        <f t="shared" ca="1" si="190"/>
        <v>-1352867052909971.3</v>
      </c>
      <c r="J5418" s="444">
        <f t="array" ref="J5418">IFERROR(INDEX('Retirement Calculator'!K:K,MATCH('Lorri 401b'!N5418,'Retirement Calculator'!A:A,0),0),0)</f>
        <v>0</v>
      </c>
      <c r="K5418" s="444">
        <f t="shared" ca="1" si="188"/>
        <v>-5636946053791.5469</v>
      </c>
      <c r="L5418" s="444">
        <f t="shared" ca="1" si="189"/>
        <v>-1358503998963762.8</v>
      </c>
      <c r="M5418" s="460">
        <f t="shared" si="191"/>
        <v>0.05</v>
      </c>
      <c r="N5418" s="464">
        <f t="shared" si="192"/>
        <v>215951</v>
      </c>
    </row>
    <row r="5419" spans="7:14" ht="11.25" customHeight="1" x14ac:dyDescent="0.3">
      <c r="G5419" s="459"/>
      <c r="H5419" s="459">
        <v>5412</v>
      </c>
      <c r="I5419" s="444">
        <f t="shared" ca="1" si="190"/>
        <v>-1358503998963762.8</v>
      </c>
      <c r="J5419" s="444">
        <f t="array" ref="J5419">IFERROR(INDEX('Retirement Calculator'!K:K,MATCH('Lorri 401b'!N5419,'Retirement Calculator'!A:A,0),0),0)</f>
        <v>0</v>
      </c>
      <c r="K5419" s="444">
        <f t="shared" ca="1" si="188"/>
        <v>-5660433329015.6777</v>
      </c>
      <c r="L5419" s="444">
        <f t="shared" ca="1" si="189"/>
        <v>-1364164432292778.5</v>
      </c>
      <c r="M5419" s="460">
        <f t="shared" si="191"/>
        <v>0.05</v>
      </c>
      <c r="N5419" s="464">
        <f t="shared" si="192"/>
        <v>215981</v>
      </c>
    </row>
    <row r="5420" spans="7:14" ht="11.25" customHeight="1" x14ac:dyDescent="0.3">
      <c r="G5420" s="459"/>
      <c r="H5420" s="459">
        <v>5413</v>
      </c>
      <c r="I5420" s="444">
        <f t="shared" ca="1" si="190"/>
        <v>-1364164432292778.5</v>
      </c>
      <c r="J5420" s="444">
        <f t="array" ref="J5420">IFERROR(INDEX('Retirement Calculator'!K:K,MATCH('Lorri 401b'!N5420,'Retirement Calculator'!A:A,0),0),0)</f>
        <v>0</v>
      </c>
      <c r="K5420" s="444">
        <f t="shared" ca="1" si="188"/>
        <v>-5684018467886.5771</v>
      </c>
      <c r="L5420" s="444">
        <f t="shared" ca="1" si="189"/>
        <v>-1369848450760665</v>
      </c>
      <c r="M5420" s="460">
        <f t="shared" si="191"/>
        <v>0.05</v>
      </c>
      <c r="N5420" s="464">
        <f t="shared" si="192"/>
        <v>216012</v>
      </c>
    </row>
    <row r="5421" spans="7:14" ht="11.25" customHeight="1" x14ac:dyDescent="0.3">
      <c r="G5421" s="459"/>
      <c r="H5421" s="459">
        <v>5414</v>
      </c>
      <c r="I5421" s="444">
        <f t="shared" ca="1" si="190"/>
        <v>-1369848450760665</v>
      </c>
      <c r="J5421" s="444">
        <f t="array" ref="J5421">IFERROR(INDEX('Retirement Calculator'!K:K,MATCH('Lorri 401b'!N5421,'Retirement Calculator'!A:A,0),0),0)</f>
        <v>0</v>
      </c>
      <c r="K5421" s="444">
        <f t="shared" ca="1" si="188"/>
        <v>-5707701878169.4375</v>
      </c>
      <c r="L5421" s="444">
        <f t="shared" ca="1" si="189"/>
        <v>-1375556152638834.5</v>
      </c>
      <c r="M5421" s="460">
        <f t="shared" si="191"/>
        <v>0.05</v>
      </c>
      <c r="N5421" s="464">
        <f t="shared" si="192"/>
        <v>216042</v>
      </c>
    </row>
    <row r="5422" spans="7:14" ht="11.25" customHeight="1" x14ac:dyDescent="0.3">
      <c r="G5422" s="459"/>
      <c r="H5422" s="459">
        <v>5415</v>
      </c>
      <c r="I5422" s="444">
        <f t="shared" ca="1" si="190"/>
        <v>-1375556152638834.5</v>
      </c>
      <c r="J5422" s="444">
        <f t="array" ref="J5422">IFERROR(INDEX('Retirement Calculator'!K:K,MATCH('Lorri 401b'!N5422,'Retirement Calculator'!A:A,0),0),0)</f>
        <v>0</v>
      </c>
      <c r="K5422" s="444">
        <f t="shared" ca="1" si="188"/>
        <v>-5731483969328.4766</v>
      </c>
      <c r="L5422" s="444">
        <f t="shared" ca="1" si="189"/>
        <v>-1381287636608163</v>
      </c>
      <c r="M5422" s="460">
        <f t="shared" si="191"/>
        <v>0.05</v>
      </c>
      <c r="N5422" s="464">
        <f t="shared" si="192"/>
        <v>216073</v>
      </c>
    </row>
    <row r="5423" spans="7:14" ht="11.25" customHeight="1" x14ac:dyDescent="0.3">
      <c r="G5423" s="459"/>
      <c r="H5423" s="459">
        <v>5416</v>
      </c>
      <c r="I5423" s="444">
        <f t="shared" ca="1" si="190"/>
        <v>-1381287636608163</v>
      </c>
      <c r="J5423" s="444">
        <f t="array" ref="J5423">IFERROR(INDEX('Retirement Calculator'!K:K,MATCH('Lorri 401b'!N5423,'Retirement Calculator'!A:A,0),0),0)</f>
        <v>0</v>
      </c>
      <c r="K5423" s="444">
        <f t="shared" ca="1" si="188"/>
        <v>-5755365152534.0127</v>
      </c>
      <c r="L5423" s="444">
        <f t="shared" ca="1" si="189"/>
        <v>-1387043001760697</v>
      </c>
      <c r="M5423" s="460">
        <f t="shared" si="191"/>
        <v>0.05</v>
      </c>
      <c r="N5423" s="464">
        <f t="shared" si="192"/>
        <v>216104</v>
      </c>
    </row>
    <row r="5424" spans="7:14" ht="11.25" customHeight="1" x14ac:dyDescent="0.3">
      <c r="G5424" s="459"/>
      <c r="H5424" s="459">
        <v>5417</v>
      </c>
      <c r="I5424" s="444">
        <f t="shared" ca="1" si="190"/>
        <v>-1387043001760697</v>
      </c>
      <c r="J5424" s="444">
        <f t="array" ref="J5424">IFERROR(INDEX('Retirement Calculator'!K:K,MATCH('Lorri 401b'!N5424,'Retirement Calculator'!A:A,0),0),0)</f>
        <v>0</v>
      </c>
      <c r="K5424" s="444">
        <f t="shared" ca="1" si="188"/>
        <v>-5779345840669.5703</v>
      </c>
      <c r="L5424" s="444">
        <f t="shared" ca="1" si="189"/>
        <v>-1392822347601366.5</v>
      </c>
      <c r="M5424" s="460">
        <f t="shared" si="191"/>
        <v>0.05</v>
      </c>
      <c r="N5424" s="464">
        <f t="shared" si="192"/>
        <v>216134</v>
      </c>
    </row>
    <row r="5425" spans="7:14" ht="11.25" customHeight="1" x14ac:dyDescent="0.3">
      <c r="G5425" s="459"/>
      <c r="H5425" s="459">
        <v>5418</v>
      </c>
      <c r="I5425" s="444">
        <f t="shared" ca="1" si="190"/>
        <v>-1392822347601366.5</v>
      </c>
      <c r="J5425" s="444">
        <f t="array" ref="J5425">IFERROR(INDEX('Retirement Calculator'!K:K,MATCH('Lorri 401b'!N5425,'Retirement Calculator'!A:A,0),0),0)</f>
        <v>0</v>
      </c>
      <c r="K5425" s="444">
        <f t="shared" ca="1" si="188"/>
        <v>-5803426448339.0273</v>
      </c>
      <c r="L5425" s="444">
        <f t="shared" ca="1" si="189"/>
        <v>-1398625774049705.5</v>
      </c>
      <c r="M5425" s="460">
        <f t="shared" si="191"/>
        <v>0.05</v>
      </c>
      <c r="N5425" s="464">
        <f t="shared" si="192"/>
        <v>216165</v>
      </c>
    </row>
    <row r="5426" spans="7:14" ht="11.25" customHeight="1" x14ac:dyDescent="0.3">
      <c r="G5426" s="459"/>
      <c r="H5426" s="459">
        <v>5419</v>
      </c>
      <c r="I5426" s="444">
        <f t="shared" ca="1" si="190"/>
        <v>-1398625774049705.5</v>
      </c>
      <c r="J5426" s="444">
        <f t="array" ref="J5426">IFERROR(INDEX('Retirement Calculator'!K:K,MATCH('Lorri 401b'!N5426,'Retirement Calculator'!A:A,0),0),0)</f>
        <v>0</v>
      </c>
      <c r="K5426" s="444">
        <f t="shared" ca="1" si="188"/>
        <v>-5827607391873.7725</v>
      </c>
      <c r="L5426" s="444">
        <f t="shared" ca="1" si="189"/>
        <v>-1404453381441579.3</v>
      </c>
      <c r="M5426" s="460">
        <f t="shared" si="191"/>
        <v>0.05</v>
      </c>
      <c r="N5426" s="464">
        <f t="shared" si="192"/>
        <v>216195</v>
      </c>
    </row>
    <row r="5427" spans="7:14" ht="11.25" customHeight="1" x14ac:dyDescent="0.3">
      <c r="G5427" s="459"/>
      <c r="H5427" s="459">
        <v>5420</v>
      </c>
      <c r="I5427" s="444">
        <f t="shared" ca="1" si="190"/>
        <v>-1404453381441579.3</v>
      </c>
      <c r="J5427" s="444">
        <f t="array" ref="J5427">IFERROR(INDEX('Retirement Calculator'!K:K,MATCH('Lorri 401b'!N5427,'Retirement Calculator'!A:A,0),0),0)</f>
        <v>0</v>
      </c>
      <c r="K5427" s="444">
        <f t="shared" ca="1" si="188"/>
        <v>-5851889089339.9131</v>
      </c>
      <c r="L5427" s="444">
        <f t="shared" ca="1" si="189"/>
        <v>-1410305270530919.3</v>
      </c>
      <c r="M5427" s="460">
        <f t="shared" si="191"/>
        <v>0.05</v>
      </c>
      <c r="N5427" s="464">
        <f t="shared" si="192"/>
        <v>216226</v>
      </c>
    </row>
    <row r="5428" spans="7:14" ht="11.25" customHeight="1" x14ac:dyDescent="0.3">
      <c r="G5428" s="459"/>
      <c r="H5428" s="459">
        <v>5421</v>
      </c>
      <c r="I5428" s="444">
        <f t="shared" ca="1" si="190"/>
        <v>-1410305270530919.3</v>
      </c>
      <c r="J5428" s="444">
        <f t="array" ref="J5428">IFERROR(INDEX('Retirement Calculator'!K:K,MATCH('Lorri 401b'!N5428,'Retirement Calculator'!A:A,0),0),0)</f>
        <v>0</v>
      </c>
      <c r="K5428" s="444">
        <f t="shared" ca="1" si="188"/>
        <v>-5876271960545.4971</v>
      </c>
      <c r="L5428" s="444">
        <f t="shared" ca="1" si="189"/>
        <v>-1416181542491464.8</v>
      </c>
      <c r="M5428" s="460">
        <f t="shared" si="191"/>
        <v>0.05</v>
      </c>
      <c r="N5428" s="464">
        <f t="shared" si="192"/>
        <v>216257</v>
      </c>
    </row>
    <row r="5429" spans="7:14" ht="11.25" customHeight="1" x14ac:dyDescent="0.3">
      <c r="G5429" s="459"/>
      <c r="H5429" s="459">
        <v>5422</v>
      </c>
      <c r="I5429" s="444">
        <f t="shared" ca="1" si="190"/>
        <v>-1416181542491464.8</v>
      </c>
      <c r="J5429" s="444">
        <f t="array" ref="J5429">IFERROR(INDEX('Retirement Calculator'!K:K,MATCH('Lorri 401b'!N5429,'Retirement Calculator'!A:A,0),0),0)</f>
        <v>0</v>
      </c>
      <c r="K5429" s="444">
        <f t="shared" ca="1" si="188"/>
        <v>-5900756427047.7695</v>
      </c>
      <c r="L5429" s="444">
        <f t="shared" ca="1" si="189"/>
        <v>-1422082298918512.5</v>
      </c>
      <c r="M5429" s="460">
        <f t="shared" si="191"/>
        <v>0.05</v>
      </c>
      <c r="N5429" s="464">
        <f t="shared" si="192"/>
        <v>216286</v>
      </c>
    </row>
    <row r="5430" spans="7:14" ht="11.25" customHeight="1" x14ac:dyDescent="0.3">
      <c r="G5430" s="459"/>
      <c r="H5430" s="459">
        <v>5423</v>
      </c>
      <c r="I5430" s="444">
        <f t="shared" ca="1" si="190"/>
        <v>-1422082298918512.5</v>
      </c>
      <c r="J5430" s="444">
        <f t="array" ref="J5430">IFERROR(INDEX('Retirement Calculator'!K:K,MATCH('Lorri 401b'!N5430,'Retirement Calculator'!A:A,0),0),0)</f>
        <v>0</v>
      </c>
      <c r="K5430" s="444">
        <f t="shared" ca="1" si="188"/>
        <v>-5925342912160.4688</v>
      </c>
      <c r="L5430" s="444">
        <f t="shared" ca="1" si="189"/>
        <v>-1428007641830673</v>
      </c>
      <c r="M5430" s="460">
        <f t="shared" si="191"/>
        <v>0.05</v>
      </c>
      <c r="N5430" s="464">
        <f t="shared" si="192"/>
        <v>216317</v>
      </c>
    </row>
    <row r="5431" spans="7:14" ht="11.25" customHeight="1" x14ac:dyDescent="0.3">
      <c r="G5431" s="459"/>
      <c r="H5431" s="459">
        <v>5424</v>
      </c>
      <c r="I5431" s="444">
        <f t="shared" ca="1" si="190"/>
        <v>-1428007641830673</v>
      </c>
      <c r="J5431" s="444">
        <f t="array" ref="J5431">IFERROR(INDEX('Retirement Calculator'!K:K,MATCH('Lorri 401b'!N5431,'Retirement Calculator'!A:A,0),0),0)</f>
        <v>0</v>
      </c>
      <c r="K5431" s="444">
        <f t="shared" ca="1" si="188"/>
        <v>-5950031840961.1377</v>
      </c>
      <c r="L5431" s="444">
        <f t="shared" ca="1" si="189"/>
        <v>-1433957673671634.3</v>
      </c>
      <c r="M5431" s="460">
        <f t="shared" si="191"/>
        <v>0.05</v>
      </c>
      <c r="N5431" s="464">
        <f t="shared" si="192"/>
        <v>216347</v>
      </c>
    </row>
    <row r="5432" spans="7:14" ht="11.25" customHeight="1" x14ac:dyDescent="0.3">
      <c r="G5432" s="459"/>
      <c r="H5432" s="459">
        <v>5425</v>
      </c>
      <c r="I5432" s="444">
        <f t="shared" ca="1" si="190"/>
        <v>-1433957673671634.3</v>
      </c>
      <c r="J5432" s="444">
        <f t="array" ref="J5432">IFERROR(INDEX('Retirement Calculator'!K:K,MATCH('Lorri 401b'!N5432,'Retirement Calculator'!A:A,0),0),0)</f>
        <v>0</v>
      </c>
      <c r="K5432" s="444">
        <f t="shared" ca="1" si="188"/>
        <v>-5974823640298.4756</v>
      </c>
      <c r="L5432" s="444">
        <f t="shared" ca="1" si="189"/>
        <v>-1439932497311932.8</v>
      </c>
      <c r="M5432" s="460">
        <f t="shared" si="191"/>
        <v>0.05</v>
      </c>
      <c r="N5432" s="464">
        <f t="shared" si="192"/>
        <v>216378</v>
      </c>
    </row>
    <row r="5433" spans="7:14" ht="11.25" customHeight="1" x14ac:dyDescent="0.3">
      <c r="G5433" s="459"/>
      <c r="H5433" s="459">
        <v>5426</v>
      </c>
      <c r="I5433" s="444">
        <f t="shared" ca="1" si="190"/>
        <v>-1439932497311932.8</v>
      </c>
      <c r="J5433" s="444">
        <f t="array" ref="J5433">IFERROR(INDEX('Retirement Calculator'!K:K,MATCH('Lorri 401b'!N5433,'Retirement Calculator'!A:A,0),0),0)</f>
        <v>0</v>
      </c>
      <c r="K5433" s="444">
        <f t="shared" ca="1" si="188"/>
        <v>-5999718738799.7197</v>
      </c>
      <c r="L5433" s="444">
        <f t="shared" ca="1" si="189"/>
        <v>-1445932216050732.5</v>
      </c>
      <c r="M5433" s="460">
        <f t="shared" si="191"/>
        <v>0.05</v>
      </c>
      <c r="N5433" s="464">
        <f t="shared" si="192"/>
        <v>216408</v>
      </c>
    </row>
    <row r="5434" spans="7:14" ht="11.25" customHeight="1" x14ac:dyDescent="0.3">
      <c r="G5434" s="459"/>
      <c r="H5434" s="459">
        <v>5427</v>
      </c>
      <c r="I5434" s="444">
        <f t="shared" ca="1" si="190"/>
        <v>-1445932216050732.5</v>
      </c>
      <c r="J5434" s="444">
        <f t="array" ref="J5434">IFERROR(INDEX('Retirement Calculator'!K:K,MATCH('Lorri 401b'!N5434,'Retirement Calculator'!A:A,0),0),0)</f>
        <v>0</v>
      </c>
      <c r="K5434" s="444">
        <f t="shared" ca="1" si="188"/>
        <v>-6024717566878.0518</v>
      </c>
      <c r="L5434" s="444">
        <f t="shared" ca="1" si="189"/>
        <v>-1451956933617610.5</v>
      </c>
      <c r="M5434" s="460">
        <f t="shared" si="191"/>
        <v>0.05</v>
      </c>
      <c r="N5434" s="464">
        <f t="shared" si="192"/>
        <v>216439</v>
      </c>
    </row>
    <row r="5435" spans="7:14" ht="11.25" customHeight="1" x14ac:dyDescent="0.3">
      <c r="G5435" s="459"/>
      <c r="H5435" s="459">
        <v>5428</v>
      </c>
      <c r="I5435" s="444">
        <f t="shared" ca="1" si="190"/>
        <v>-1451956933617610.5</v>
      </c>
      <c r="J5435" s="444">
        <f t="array" ref="J5435">IFERROR(INDEX('Retirement Calculator'!K:K,MATCH('Lorri 401b'!N5435,'Retirement Calculator'!A:A,0),0),0)</f>
        <v>0</v>
      </c>
      <c r="K5435" s="444">
        <f t="shared" ca="1" si="188"/>
        <v>-6049820556740.0439</v>
      </c>
      <c r="L5435" s="444">
        <f t="shared" ca="1" si="189"/>
        <v>-1458006754174350.5</v>
      </c>
      <c r="M5435" s="460">
        <f t="shared" si="191"/>
        <v>0.05</v>
      </c>
      <c r="N5435" s="464">
        <f t="shared" si="192"/>
        <v>216470</v>
      </c>
    </row>
    <row r="5436" spans="7:14" ht="11.25" customHeight="1" x14ac:dyDescent="0.3">
      <c r="G5436" s="459"/>
      <c r="H5436" s="459">
        <v>5429</v>
      </c>
      <c r="I5436" s="444">
        <f t="shared" ca="1" si="190"/>
        <v>-1458006754174350.5</v>
      </c>
      <c r="J5436" s="444">
        <f t="array" ref="J5436">IFERROR(INDEX('Retirement Calculator'!K:K,MATCH('Lorri 401b'!N5436,'Retirement Calculator'!A:A,0),0),0)</f>
        <v>0</v>
      </c>
      <c r="K5436" s="444">
        <f t="shared" ca="1" si="188"/>
        <v>-6075028142393.127</v>
      </c>
      <c r="L5436" s="444">
        <f t="shared" ca="1" si="189"/>
        <v>-1464081782316743.8</v>
      </c>
      <c r="M5436" s="460">
        <f t="shared" si="191"/>
        <v>0.05</v>
      </c>
      <c r="N5436" s="464">
        <f t="shared" si="192"/>
        <v>216500</v>
      </c>
    </row>
    <row r="5437" spans="7:14" ht="11.25" customHeight="1" x14ac:dyDescent="0.3">
      <c r="G5437" s="459"/>
      <c r="H5437" s="459">
        <v>5430</v>
      </c>
      <c r="I5437" s="444">
        <f t="shared" ca="1" si="190"/>
        <v>-1464081782316743.8</v>
      </c>
      <c r="J5437" s="444">
        <f t="array" ref="J5437">IFERROR(INDEX('Retirement Calculator'!K:K,MATCH('Lorri 401b'!N5437,'Retirement Calculator'!A:A,0),0),0)</f>
        <v>0</v>
      </c>
      <c r="K5437" s="444">
        <f t="shared" ca="1" si="188"/>
        <v>-6100340759653.0986</v>
      </c>
      <c r="L5437" s="444">
        <f t="shared" ca="1" si="189"/>
        <v>-1470182123076396.8</v>
      </c>
      <c r="M5437" s="460">
        <f t="shared" si="191"/>
        <v>0.05</v>
      </c>
      <c r="N5437" s="464">
        <f t="shared" si="192"/>
        <v>216531</v>
      </c>
    </row>
    <row r="5438" spans="7:14" ht="11.25" customHeight="1" x14ac:dyDescent="0.3">
      <c r="G5438" s="459"/>
      <c r="H5438" s="459">
        <v>5431</v>
      </c>
      <c r="I5438" s="444">
        <f t="shared" ca="1" si="190"/>
        <v>-1470182123076396.8</v>
      </c>
      <c r="J5438" s="444">
        <f t="array" ref="J5438">IFERROR(INDEX('Retirement Calculator'!K:K,MATCH('Lorri 401b'!N5438,'Retirement Calculator'!A:A,0),0),0)</f>
        <v>0</v>
      </c>
      <c r="K5438" s="444">
        <f t="shared" ca="1" si="188"/>
        <v>-6125758846151.6533</v>
      </c>
      <c r="L5438" s="444">
        <f t="shared" ca="1" si="189"/>
        <v>-1476307881922548.5</v>
      </c>
      <c r="M5438" s="460">
        <f t="shared" si="191"/>
        <v>0.05</v>
      </c>
      <c r="N5438" s="464">
        <f t="shared" si="192"/>
        <v>216561</v>
      </c>
    </row>
    <row r="5439" spans="7:14" ht="11.25" customHeight="1" x14ac:dyDescent="0.3">
      <c r="G5439" s="459"/>
      <c r="H5439" s="459">
        <v>5432</v>
      </c>
      <c r="I5439" s="444">
        <f t="shared" ca="1" si="190"/>
        <v>-1476307881922548.5</v>
      </c>
      <c r="J5439" s="444">
        <f t="array" ref="J5439">IFERROR(INDEX('Retirement Calculator'!K:K,MATCH('Lorri 401b'!N5439,'Retirement Calculator'!A:A,0),0),0)</f>
        <v>0</v>
      </c>
      <c r="K5439" s="444">
        <f t="shared" ca="1" si="188"/>
        <v>-6151282841343.9521</v>
      </c>
      <c r="L5439" s="444">
        <f t="shared" ca="1" si="189"/>
        <v>-1482459164763892.5</v>
      </c>
      <c r="M5439" s="460">
        <f t="shared" si="191"/>
        <v>0.05</v>
      </c>
      <c r="N5439" s="464">
        <f t="shared" si="192"/>
        <v>216592</v>
      </c>
    </row>
    <row r="5440" spans="7:14" ht="11.25" customHeight="1" x14ac:dyDescent="0.3">
      <c r="G5440" s="459"/>
      <c r="H5440" s="459">
        <v>5433</v>
      </c>
      <c r="I5440" s="444">
        <f t="shared" ca="1" si="190"/>
        <v>-1482459164763892.5</v>
      </c>
      <c r="J5440" s="444">
        <f t="array" ref="J5440">IFERROR(INDEX('Retirement Calculator'!K:K,MATCH('Lorri 401b'!N5440,'Retirement Calculator'!A:A,0),0),0)</f>
        <v>0</v>
      </c>
      <c r="K5440" s="444">
        <f t="shared" ca="1" si="188"/>
        <v>-6176913186516.2188</v>
      </c>
      <c r="L5440" s="444">
        <f t="shared" ca="1" si="189"/>
        <v>-1488636077950408.8</v>
      </c>
      <c r="M5440" s="460">
        <f t="shared" si="191"/>
        <v>0.05</v>
      </c>
      <c r="N5440" s="464">
        <f t="shared" si="192"/>
        <v>216623</v>
      </c>
    </row>
    <row r="5441" spans="7:14" ht="11.25" customHeight="1" x14ac:dyDescent="0.3">
      <c r="G5441" s="459"/>
      <c r="H5441" s="459">
        <v>5434</v>
      </c>
      <c r="I5441" s="444">
        <f t="shared" ca="1" si="190"/>
        <v>-1488636077950408.8</v>
      </c>
      <c r="J5441" s="444">
        <f t="array" ref="J5441">IFERROR(INDEX('Retirement Calculator'!K:K,MATCH('Lorri 401b'!N5441,'Retirement Calculator'!A:A,0),0),0)</f>
        <v>0</v>
      </c>
      <c r="K5441" s="444">
        <f t="shared" ca="1" si="188"/>
        <v>-6202650324793.3701</v>
      </c>
      <c r="L5441" s="444">
        <f t="shared" ca="1" si="189"/>
        <v>-1494838728275202</v>
      </c>
      <c r="M5441" s="460">
        <f t="shared" si="191"/>
        <v>0.05</v>
      </c>
      <c r="N5441" s="464">
        <f t="shared" si="192"/>
        <v>216651</v>
      </c>
    </row>
    <row r="5442" spans="7:14" ht="11.25" customHeight="1" x14ac:dyDescent="0.3">
      <c r="G5442" s="459"/>
      <c r="H5442" s="459">
        <v>5435</v>
      </c>
      <c r="I5442" s="444">
        <f t="shared" ca="1" si="190"/>
        <v>-1494838728275202</v>
      </c>
      <c r="J5442" s="444">
        <f t="array" ref="J5442">IFERROR(INDEX('Retirement Calculator'!K:K,MATCH('Lorri 401b'!N5442,'Retirement Calculator'!A:A,0),0),0)</f>
        <v>0</v>
      </c>
      <c r="K5442" s="444">
        <f t="shared" ca="1" si="188"/>
        <v>-6228494701146.6748</v>
      </c>
      <c r="L5442" s="444">
        <f t="shared" ca="1" si="189"/>
        <v>-1501067222976348.8</v>
      </c>
      <c r="M5442" s="460">
        <f t="shared" si="191"/>
        <v>0.05</v>
      </c>
      <c r="N5442" s="464">
        <f t="shared" si="192"/>
        <v>216682</v>
      </c>
    </row>
    <row r="5443" spans="7:14" ht="11.25" customHeight="1" x14ac:dyDescent="0.3">
      <c r="G5443" s="459"/>
      <c r="H5443" s="459">
        <v>5436</v>
      </c>
      <c r="I5443" s="444">
        <f t="shared" ca="1" si="190"/>
        <v>-1501067222976348.8</v>
      </c>
      <c r="J5443" s="444">
        <f t="array" ref="J5443">IFERROR(INDEX('Retirement Calculator'!K:K,MATCH('Lorri 401b'!N5443,'Retirement Calculator'!A:A,0),0),0)</f>
        <v>0</v>
      </c>
      <c r="K5443" s="444">
        <f t="shared" ca="1" si="188"/>
        <v>-6254446762401.4531</v>
      </c>
      <c r="L5443" s="444">
        <f t="shared" ca="1" si="189"/>
        <v>-1507321669738750.3</v>
      </c>
      <c r="M5443" s="460">
        <f t="shared" si="191"/>
        <v>0.05</v>
      </c>
      <c r="N5443" s="464">
        <f t="shared" si="192"/>
        <v>216712</v>
      </c>
    </row>
    <row r="5444" spans="7:14" ht="11.25" customHeight="1" x14ac:dyDescent="0.3">
      <c r="G5444" s="459"/>
      <c r="H5444" s="459">
        <v>5437</v>
      </c>
      <c r="I5444" s="444">
        <f t="shared" ca="1" si="190"/>
        <v>-1507321669738750.3</v>
      </c>
      <c r="J5444" s="444">
        <f t="array" ref="J5444">IFERROR(INDEX('Retirement Calculator'!K:K,MATCH('Lorri 401b'!N5444,'Retirement Calculator'!A:A,0),0),0)</f>
        <v>0</v>
      </c>
      <c r="K5444" s="444">
        <f t="shared" ca="1" si="188"/>
        <v>-6280506957244.793</v>
      </c>
      <c r="L5444" s="444">
        <f t="shared" ca="1" si="189"/>
        <v>-1513602176695995</v>
      </c>
      <c r="M5444" s="460">
        <f t="shared" si="191"/>
        <v>0.05</v>
      </c>
      <c r="N5444" s="464">
        <f t="shared" si="192"/>
        <v>216743</v>
      </c>
    </row>
    <row r="5445" spans="7:14" ht="11.25" customHeight="1" x14ac:dyDescent="0.3">
      <c r="G5445" s="459"/>
      <c r="H5445" s="459">
        <v>5438</v>
      </c>
      <c r="I5445" s="444">
        <f t="shared" ca="1" si="190"/>
        <v>-1513602176695995</v>
      </c>
      <c r="J5445" s="444">
        <f t="array" ref="J5445">IFERROR(INDEX('Retirement Calculator'!K:K,MATCH('Lorri 401b'!N5445,'Retirement Calculator'!A:A,0),0),0)</f>
        <v>0</v>
      </c>
      <c r="K5445" s="444">
        <f t="shared" ca="1" si="188"/>
        <v>-6306675736233.3125</v>
      </c>
      <c r="L5445" s="444">
        <f t="shared" ca="1" si="189"/>
        <v>-1519908852432228.3</v>
      </c>
      <c r="M5445" s="460">
        <f t="shared" si="191"/>
        <v>0.05</v>
      </c>
      <c r="N5445" s="464">
        <f t="shared" si="192"/>
        <v>216773</v>
      </c>
    </row>
    <row r="5446" spans="7:14" ht="11.25" customHeight="1" x14ac:dyDescent="0.3">
      <c r="G5446" s="459"/>
      <c r="H5446" s="459">
        <v>5439</v>
      </c>
      <c r="I5446" s="444">
        <f t="shared" ca="1" si="190"/>
        <v>-1519908852432228.3</v>
      </c>
      <c r="J5446" s="444">
        <f t="array" ref="J5446">IFERROR(INDEX('Retirement Calculator'!K:K,MATCH('Lorri 401b'!N5446,'Retirement Calculator'!A:A,0),0),0)</f>
        <v>0</v>
      </c>
      <c r="K5446" s="444">
        <f t="shared" ca="1" si="188"/>
        <v>-6332953551800.9512</v>
      </c>
      <c r="L5446" s="444">
        <f t="shared" ca="1" si="189"/>
        <v>-1526241805984029.3</v>
      </c>
      <c r="M5446" s="460">
        <f t="shared" si="191"/>
        <v>0.05</v>
      </c>
      <c r="N5446" s="464">
        <f t="shared" si="192"/>
        <v>216804</v>
      </c>
    </row>
    <row r="5447" spans="7:14" ht="11.25" customHeight="1" x14ac:dyDescent="0.3">
      <c r="G5447" s="459"/>
      <c r="H5447" s="459">
        <v>5440</v>
      </c>
      <c r="I5447" s="444">
        <f t="shared" ca="1" si="190"/>
        <v>-1526241805984029.3</v>
      </c>
      <c r="J5447" s="444">
        <f t="array" ref="J5447">IFERROR(INDEX('Retirement Calculator'!K:K,MATCH('Lorri 401b'!N5447,'Retirement Calculator'!A:A,0),0),0)</f>
        <v>0</v>
      </c>
      <c r="K5447" s="444">
        <f t="shared" ca="1" si="188"/>
        <v>-6359340858266.7881</v>
      </c>
      <c r="L5447" s="444">
        <f t="shared" ca="1" si="189"/>
        <v>-1532601146842296</v>
      </c>
      <c r="M5447" s="460">
        <f t="shared" si="191"/>
        <v>0.05</v>
      </c>
      <c r="N5447" s="464">
        <f t="shared" si="192"/>
        <v>216835</v>
      </c>
    </row>
    <row r="5448" spans="7:14" ht="11.25" customHeight="1" x14ac:dyDescent="0.3">
      <c r="G5448" s="459"/>
      <c r="H5448" s="459">
        <v>5441</v>
      </c>
      <c r="I5448" s="444">
        <f t="shared" ca="1" si="190"/>
        <v>-1532601146842296</v>
      </c>
      <c r="J5448" s="444">
        <f t="array" ref="J5448">IFERROR(INDEX('Retirement Calculator'!K:K,MATCH('Lorri 401b'!N5448,'Retirement Calculator'!A:A,0),0),0)</f>
        <v>0</v>
      </c>
      <c r="K5448" s="444">
        <f t="shared" ca="1" si="188"/>
        <v>-6385838111842.9004</v>
      </c>
      <c r="L5448" s="444">
        <f t="shared" ca="1" si="189"/>
        <v>-1538986984954139</v>
      </c>
      <c r="M5448" s="460">
        <f t="shared" si="191"/>
        <v>0.05</v>
      </c>
      <c r="N5448" s="464">
        <f t="shared" si="192"/>
        <v>216865</v>
      </c>
    </row>
    <row r="5449" spans="7:14" ht="11.25" customHeight="1" x14ac:dyDescent="0.3">
      <c r="G5449" s="459"/>
      <c r="H5449" s="459">
        <v>5442</v>
      </c>
      <c r="I5449" s="444">
        <f t="shared" ca="1" si="190"/>
        <v>-1538986984954139</v>
      </c>
      <c r="J5449" s="444">
        <f t="array" ref="J5449">IFERROR(INDEX('Retirement Calculator'!K:K,MATCH('Lorri 401b'!N5449,'Retirement Calculator'!A:A,0),0),0)</f>
        <v>0</v>
      </c>
      <c r="K5449" s="444">
        <f t="shared" ca="1" si="188"/>
        <v>-6412445770642.2461</v>
      </c>
      <c r="L5449" s="444">
        <f t="shared" ca="1" si="189"/>
        <v>-1545399430724781.3</v>
      </c>
      <c r="M5449" s="460">
        <f t="shared" si="191"/>
        <v>0.05</v>
      </c>
      <c r="N5449" s="464">
        <f t="shared" si="192"/>
        <v>216896</v>
      </c>
    </row>
    <row r="5450" spans="7:14" ht="11.25" customHeight="1" x14ac:dyDescent="0.3">
      <c r="G5450" s="459"/>
      <c r="H5450" s="459">
        <v>5443</v>
      </c>
      <c r="I5450" s="444">
        <f t="shared" ca="1" si="190"/>
        <v>-1545399430724781.3</v>
      </c>
      <c r="J5450" s="444">
        <f t="array" ref="J5450">IFERROR(INDEX('Retirement Calculator'!K:K,MATCH('Lorri 401b'!N5450,'Retirement Calculator'!A:A,0),0),0)</f>
        <v>0</v>
      </c>
      <c r="K5450" s="444">
        <f t="shared" ca="1" si="188"/>
        <v>-6439164294686.5889</v>
      </c>
      <c r="L5450" s="444">
        <f t="shared" ca="1" si="189"/>
        <v>-1551838595019467.8</v>
      </c>
      <c r="M5450" s="460">
        <f t="shared" si="191"/>
        <v>0.05</v>
      </c>
      <c r="N5450" s="464">
        <f t="shared" si="192"/>
        <v>216926</v>
      </c>
    </row>
    <row r="5451" spans="7:14" ht="11.25" customHeight="1" x14ac:dyDescent="0.3">
      <c r="G5451" s="459"/>
      <c r="H5451" s="459">
        <v>5444</v>
      </c>
      <c r="I5451" s="444">
        <f t="shared" ca="1" si="190"/>
        <v>-1551838595019467.8</v>
      </c>
      <c r="J5451" s="444">
        <f t="array" ref="J5451">IFERROR(INDEX('Retirement Calculator'!K:K,MATCH('Lorri 401b'!N5451,'Retirement Calculator'!A:A,0),0),0)</f>
        <v>0</v>
      </c>
      <c r="K5451" s="444">
        <f t="shared" ca="1" si="188"/>
        <v>-6465994145914.4492</v>
      </c>
      <c r="L5451" s="444">
        <f t="shared" ca="1" si="189"/>
        <v>-1558304589165382.3</v>
      </c>
      <c r="M5451" s="460">
        <f t="shared" si="191"/>
        <v>0.05</v>
      </c>
      <c r="N5451" s="464">
        <f t="shared" si="192"/>
        <v>216957</v>
      </c>
    </row>
    <row r="5452" spans="7:14" ht="11.25" customHeight="1" x14ac:dyDescent="0.3">
      <c r="G5452" s="459"/>
      <c r="H5452" s="459">
        <v>5445</v>
      </c>
      <c r="I5452" s="444">
        <f t="shared" ca="1" si="190"/>
        <v>-1558304589165382.3</v>
      </c>
      <c r="J5452" s="444">
        <f t="array" ref="J5452">IFERROR(INDEX('Retirement Calculator'!K:K,MATCH('Lorri 401b'!N5452,'Retirement Calculator'!A:A,0),0),0)</f>
        <v>0</v>
      </c>
      <c r="K5452" s="444">
        <f t="shared" ca="1" si="188"/>
        <v>-6492935788189.0928</v>
      </c>
      <c r="L5452" s="444">
        <f t="shared" ca="1" si="189"/>
        <v>-1564797524953571.3</v>
      </c>
      <c r="M5452" s="460">
        <f t="shared" si="191"/>
        <v>0.05</v>
      </c>
      <c r="N5452" s="464">
        <f t="shared" si="192"/>
        <v>216988</v>
      </c>
    </row>
    <row r="5453" spans="7:14" ht="11.25" customHeight="1" x14ac:dyDescent="0.3">
      <c r="G5453" s="459"/>
      <c r="H5453" s="459">
        <v>5446</v>
      </c>
      <c r="I5453" s="444">
        <f t="shared" ca="1" si="190"/>
        <v>-1564797524953571.3</v>
      </c>
      <c r="J5453" s="444">
        <f t="array" ref="J5453">IFERROR(INDEX('Retirement Calculator'!K:K,MATCH('Lorri 401b'!N5453,'Retirement Calculator'!A:A,0),0),0)</f>
        <v>0</v>
      </c>
      <c r="K5453" s="444">
        <f t="shared" ca="1" si="188"/>
        <v>-6519989687306.5469</v>
      </c>
      <c r="L5453" s="444">
        <f t="shared" ca="1" si="189"/>
        <v>-1571317514640877.8</v>
      </c>
      <c r="M5453" s="460">
        <f t="shared" si="191"/>
        <v>0.05</v>
      </c>
      <c r="N5453" s="464">
        <f t="shared" si="192"/>
        <v>217016</v>
      </c>
    </row>
    <row r="5454" spans="7:14" ht="11.25" customHeight="1" x14ac:dyDescent="0.3">
      <c r="G5454" s="459"/>
      <c r="H5454" s="459">
        <v>5447</v>
      </c>
      <c r="I5454" s="444">
        <f t="shared" ca="1" si="190"/>
        <v>-1571317514640877.8</v>
      </c>
      <c r="J5454" s="444">
        <f t="array" ref="J5454">IFERROR(INDEX('Retirement Calculator'!K:K,MATCH('Lorri 401b'!N5454,'Retirement Calculator'!A:A,0),0),0)</f>
        <v>0</v>
      </c>
      <c r="K5454" s="444">
        <f t="shared" ca="1" si="188"/>
        <v>-6547156311003.6572</v>
      </c>
      <c r="L5454" s="444">
        <f t="shared" ca="1" si="189"/>
        <v>-1577864670951881.5</v>
      </c>
      <c r="M5454" s="460">
        <f t="shared" si="191"/>
        <v>0.05</v>
      </c>
      <c r="N5454" s="464">
        <f t="shared" si="192"/>
        <v>217047</v>
      </c>
    </row>
    <row r="5455" spans="7:14" ht="11.25" customHeight="1" x14ac:dyDescent="0.3">
      <c r="G5455" s="459"/>
      <c r="H5455" s="459">
        <v>5448</v>
      </c>
      <c r="I5455" s="444">
        <f t="shared" ca="1" si="190"/>
        <v>-1577864670951881.5</v>
      </c>
      <c r="J5455" s="444">
        <f t="array" ref="J5455">IFERROR(INDEX('Retirement Calculator'!K:K,MATCH('Lorri 401b'!N5455,'Retirement Calculator'!A:A,0),0),0)</f>
        <v>0</v>
      </c>
      <c r="K5455" s="444">
        <f t="shared" ca="1" si="188"/>
        <v>-6574436128966.1729</v>
      </c>
      <c r="L5455" s="444">
        <f t="shared" ca="1" si="189"/>
        <v>-1584439107080847.8</v>
      </c>
      <c r="M5455" s="460">
        <f t="shared" si="191"/>
        <v>0.05</v>
      </c>
      <c r="N5455" s="464">
        <f t="shared" si="192"/>
        <v>217077</v>
      </c>
    </row>
    <row r="5456" spans="7:14" ht="11.25" customHeight="1" x14ac:dyDescent="0.3">
      <c r="G5456" s="459"/>
      <c r="H5456" s="459">
        <v>5449</v>
      </c>
      <c r="I5456" s="444">
        <f t="shared" ca="1" si="190"/>
        <v>-1584439107080847.8</v>
      </c>
      <c r="J5456" s="444">
        <f t="array" ref="J5456">IFERROR(INDEX('Retirement Calculator'!K:K,MATCH('Lorri 401b'!N5456,'Retirement Calculator'!A:A,0),0),0)</f>
        <v>0</v>
      </c>
      <c r="K5456" s="444">
        <f t="shared" ca="1" si="188"/>
        <v>-6601829612836.8652</v>
      </c>
      <c r="L5456" s="444">
        <f t="shared" ca="1" si="189"/>
        <v>-1591040936693684.5</v>
      </c>
      <c r="M5456" s="460">
        <f t="shared" si="191"/>
        <v>0.05</v>
      </c>
      <c r="N5456" s="464">
        <f t="shared" si="192"/>
        <v>217108</v>
      </c>
    </row>
    <row r="5457" spans="7:14" ht="11.25" customHeight="1" x14ac:dyDescent="0.3">
      <c r="G5457" s="459"/>
      <c r="H5457" s="459">
        <v>5450</v>
      </c>
      <c r="I5457" s="444">
        <f t="shared" ca="1" si="190"/>
        <v>-1591040936693684.5</v>
      </c>
      <c r="J5457" s="444">
        <f t="array" ref="J5457">IFERROR(INDEX('Retirement Calculator'!K:K,MATCH('Lorri 401b'!N5457,'Retirement Calculator'!A:A,0),0),0)</f>
        <v>0</v>
      </c>
      <c r="K5457" s="444">
        <f t="shared" ca="1" si="188"/>
        <v>-6629337236223.6855</v>
      </c>
      <c r="L5457" s="444">
        <f t="shared" ca="1" si="189"/>
        <v>-1597670273929908.3</v>
      </c>
      <c r="M5457" s="460">
        <f t="shared" si="191"/>
        <v>0.05</v>
      </c>
      <c r="N5457" s="464">
        <f t="shared" si="192"/>
        <v>217138</v>
      </c>
    </row>
    <row r="5458" spans="7:14" ht="11.25" customHeight="1" x14ac:dyDescent="0.3">
      <c r="G5458" s="459"/>
      <c r="H5458" s="459">
        <v>5451</v>
      </c>
      <c r="I5458" s="444">
        <f t="shared" ca="1" si="190"/>
        <v>-1597670273929908.3</v>
      </c>
      <c r="J5458" s="444">
        <f t="array" ref="J5458">IFERROR(INDEX('Retirement Calculator'!K:K,MATCH('Lorri 401b'!N5458,'Retirement Calculator'!A:A,0),0),0)</f>
        <v>0</v>
      </c>
      <c r="K5458" s="444">
        <f t="shared" ca="1" si="188"/>
        <v>-6656959474707.9512</v>
      </c>
      <c r="L5458" s="444">
        <f t="shared" ca="1" si="189"/>
        <v>-1604327233404616.3</v>
      </c>
      <c r="M5458" s="460">
        <f t="shared" si="191"/>
        <v>0.05</v>
      </c>
      <c r="N5458" s="464">
        <f t="shared" si="192"/>
        <v>217169</v>
      </c>
    </row>
    <row r="5459" spans="7:14" ht="11.25" customHeight="1" x14ac:dyDescent="0.3">
      <c r="G5459" s="459"/>
      <c r="H5459" s="459">
        <v>5452</v>
      </c>
      <c r="I5459" s="444">
        <f t="shared" ca="1" si="190"/>
        <v>-1604327233404616.3</v>
      </c>
      <c r="J5459" s="444">
        <f t="array" ref="J5459">IFERROR(INDEX('Retirement Calculator'!K:K,MATCH('Lorri 401b'!N5459,'Retirement Calculator'!A:A,0),0),0)</f>
        <v>0</v>
      </c>
      <c r="K5459" s="444">
        <f t="shared" ca="1" si="188"/>
        <v>-6684696805852.5674</v>
      </c>
      <c r="L5459" s="444">
        <f t="shared" ca="1" si="189"/>
        <v>-1611011930210468.8</v>
      </c>
      <c r="M5459" s="460">
        <f t="shared" si="191"/>
        <v>0.05</v>
      </c>
      <c r="N5459" s="464">
        <f t="shared" si="192"/>
        <v>217200</v>
      </c>
    </row>
    <row r="5460" spans="7:14" ht="11.25" customHeight="1" x14ac:dyDescent="0.3">
      <c r="G5460" s="459"/>
      <c r="H5460" s="459">
        <v>5453</v>
      </c>
      <c r="I5460" s="444">
        <f t="shared" ca="1" si="190"/>
        <v>-1611011930210468.8</v>
      </c>
      <c r="J5460" s="444">
        <f t="array" ref="J5460">IFERROR(INDEX('Retirement Calculator'!K:K,MATCH('Lorri 401b'!N5460,'Retirement Calculator'!A:A,0),0),0)</f>
        <v>0</v>
      </c>
      <c r="K5460" s="444">
        <f t="shared" ca="1" si="188"/>
        <v>-6712549709210.2861</v>
      </c>
      <c r="L5460" s="444">
        <f t="shared" ca="1" si="189"/>
        <v>-1617724479919679</v>
      </c>
      <c r="M5460" s="460">
        <f t="shared" si="191"/>
        <v>0.05</v>
      </c>
      <c r="N5460" s="464">
        <f t="shared" si="192"/>
        <v>217230</v>
      </c>
    </row>
    <row r="5461" spans="7:14" ht="11.25" customHeight="1" x14ac:dyDescent="0.3">
      <c r="G5461" s="459"/>
      <c r="H5461" s="459">
        <v>5454</v>
      </c>
      <c r="I5461" s="444">
        <f t="shared" ca="1" si="190"/>
        <v>-1617724479919679</v>
      </c>
      <c r="J5461" s="444">
        <f t="array" ref="J5461">IFERROR(INDEX('Retirement Calculator'!K:K,MATCH('Lorri 401b'!N5461,'Retirement Calculator'!A:A,0),0),0)</f>
        <v>0</v>
      </c>
      <c r="K5461" s="444">
        <f t="shared" ca="1" si="188"/>
        <v>-6740518666331.9961</v>
      </c>
      <c r="L5461" s="444">
        <f t="shared" ca="1" si="189"/>
        <v>-1624464998586011</v>
      </c>
      <c r="M5461" s="460">
        <f t="shared" si="191"/>
        <v>0.05</v>
      </c>
      <c r="N5461" s="464">
        <f t="shared" si="192"/>
        <v>217261</v>
      </c>
    </row>
    <row r="5462" spans="7:14" ht="11.25" customHeight="1" x14ac:dyDescent="0.3">
      <c r="G5462" s="459"/>
      <c r="H5462" s="459">
        <v>5455</v>
      </c>
      <c r="I5462" s="444">
        <f t="shared" ca="1" si="190"/>
        <v>-1624464998586011</v>
      </c>
      <c r="J5462" s="444">
        <f t="array" ref="J5462">IFERROR(INDEX('Retirement Calculator'!K:K,MATCH('Lorri 401b'!N5462,'Retirement Calculator'!A:A,0),0),0)</f>
        <v>0</v>
      </c>
      <c r="K5462" s="444">
        <f t="shared" ca="1" si="188"/>
        <v>-6768604160775.0459</v>
      </c>
      <c r="L5462" s="444">
        <f t="shared" ca="1" si="189"/>
        <v>-1631233602746786</v>
      </c>
      <c r="M5462" s="460">
        <f t="shared" si="191"/>
        <v>0.05</v>
      </c>
      <c r="N5462" s="464">
        <f t="shared" si="192"/>
        <v>217291</v>
      </c>
    </row>
    <row r="5463" spans="7:14" ht="11.25" customHeight="1" x14ac:dyDescent="0.3">
      <c r="G5463" s="459"/>
      <c r="H5463" s="459">
        <v>5456</v>
      </c>
      <c r="I5463" s="444">
        <f t="shared" ca="1" si="190"/>
        <v>-1631233602746786</v>
      </c>
      <c r="J5463" s="444">
        <f t="array" ref="J5463">IFERROR(INDEX('Retirement Calculator'!K:K,MATCH('Lorri 401b'!N5463,'Retirement Calculator'!A:A,0),0),0)</f>
        <v>0</v>
      </c>
      <c r="K5463" s="444">
        <f t="shared" ca="1" si="188"/>
        <v>-6796806678111.6084</v>
      </c>
      <c r="L5463" s="444">
        <f t="shared" ca="1" si="189"/>
        <v>-1638030409424897.5</v>
      </c>
      <c r="M5463" s="460">
        <f t="shared" si="191"/>
        <v>0.05</v>
      </c>
      <c r="N5463" s="464">
        <f t="shared" si="192"/>
        <v>217322</v>
      </c>
    </row>
    <row r="5464" spans="7:14" ht="11.25" customHeight="1" x14ac:dyDescent="0.3">
      <c r="G5464" s="459"/>
      <c r="H5464" s="459">
        <v>5457</v>
      </c>
      <c r="I5464" s="444">
        <f t="shared" ca="1" si="190"/>
        <v>-1638030409424897.5</v>
      </c>
      <c r="J5464" s="444">
        <f t="array" ref="J5464">IFERROR(INDEX('Retirement Calculator'!K:K,MATCH('Lorri 401b'!N5464,'Retirement Calculator'!A:A,0),0),0)</f>
        <v>0</v>
      </c>
      <c r="K5464" s="444">
        <f t="shared" ca="1" si="188"/>
        <v>-6825126705937.0732</v>
      </c>
      <c r="L5464" s="444">
        <f t="shared" ca="1" si="189"/>
        <v>-1644855536130834.5</v>
      </c>
      <c r="M5464" s="460">
        <f t="shared" si="191"/>
        <v>0.05</v>
      </c>
      <c r="N5464" s="464">
        <f t="shared" si="192"/>
        <v>217353</v>
      </c>
    </row>
    <row r="5465" spans="7:14" ht="11.25" customHeight="1" x14ac:dyDescent="0.3">
      <c r="G5465" s="459"/>
      <c r="H5465" s="459">
        <v>5458</v>
      </c>
      <c r="I5465" s="444">
        <f t="shared" ca="1" si="190"/>
        <v>-1644855536130834.5</v>
      </c>
      <c r="J5465" s="444">
        <f t="array" ref="J5465">IFERROR(INDEX('Retirement Calculator'!K:K,MATCH('Lorri 401b'!N5465,'Retirement Calculator'!A:A,0),0),0)</f>
        <v>0</v>
      </c>
      <c r="K5465" s="444">
        <f t="shared" ca="1" si="188"/>
        <v>-6853564733878.4766</v>
      </c>
      <c r="L5465" s="444">
        <f t="shared" ca="1" si="189"/>
        <v>-1651709100864713</v>
      </c>
      <c r="M5465" s="460">
        <f t="shared" si="191"/>
        <v>0.05</v>
      </c>
      <c r="N5465" s="464">
        <f t="shared" si="192"/>
        <v>217381</v>
      </c>
    </row>
    <row r="5466" spans="7:14" ht="11.25" customHeight="1" x14ac:dyDescent="0.3">
      <c r="G5466" s="459"/>
      <c r="H5466" s="459">
        <v>5459</v>
      </c>
      <c r="I5466" s="444">
        <f t="shared" ca="1" si="190"/>
        <v>-1651709100864713</v>
      </c>
      <c r="J5466" s="444">
        <f t="array" ref="J5466">IFERROR(INDEX('Retirement Calculator'!K:K,MATCH('Lorri 401b'!N5466,'Retirement Calculator'!A:A,0),0),0)</f>
        <v>0</v>
      </c>
      <c r="K5466" s="444">
        <f t="shared" ca="1" si="188"/>
        <v>-6882121253602.9707</v>
      </c>
      <c r="L5466" s="444">
        <f t="shared" ca="1" si="189"/>
        <v>-1658591222118316</v>
      </c>
      <c r="M5466" s="460">
        <f t="shared" si="191"/>
        <v>0.05</v>
      </c>
      <c r="N5466" s="464">
        <f t="shared" si="192"/>
        <v>217412</v>
      </c>
    </row>
    <row r="5467" spans="7:14" ht="11.25" customHeight="1" x14ac:dyDescent="0.3">
      <c r="G5467" s="459"/>
      <c r="H5467" s="459">
        <v>5460</v>
      </c>
      <c r="I5467" s="444">
        <f t="shared" ca="1" si="190"/>
        <v>-1658591222118316</v>
      </c>
      <c r="J5467" s="444">
        <f t="array" ref="J5467">IFERROR(INDEX('Retirement Calculator'!K:K,MATCH('Lorri 401b'!N5467,'Retirement Calculator'!A:A,0),0),0)</f>
        <v>0</v>
      </c>
      <c r="K5467" s="444">
        <f t="shared" ca="1" si="188"/>
        <v>-6910796758826.3164</v>
      </c>
      <c r="L5467" s="444">
        <f t="shared" ca="1" si="189"/>
        <v>-1665502018877142.3</v>
      </c>
      <c r="M5467" s="460">
        <f t="shared" si="191"/>
        <v>0.05</v>
      </c>
      <c r="N5467" s="464">
        <f t="shared" si="192"/>
        <v>217442</v>
      </c>
    </row>
    <row r="5468" spans="7:14" ht="11.25" customHeight="1" x14ac:dyDescent="0.3">
      <c r="G5468" s="459"/>
      <c r="H5468" s="459">
        <v>5461</v>
      </c>
      <c r="I5468" s="444">
        <f t="shared" ca="1" si="190"/>
        <v>-1665502018877142.3</v>
      </c>
      <c r="J5468" s="444">
        <f t="array" ref="J5468">IFERROR(INDEX('Retirement Calculator'!K:K,MATCH('Lorri 401b'!N5468,'Retirement Calculator'!A:A,0),0),0)</f>
        <v>0</v>
      </c>
      <c r="K5468" s="444">
        <f t="shared" ca="1" si="188"/>
        <v>-6939591745321.4258</v>
      </c>
      <c r="L5468" s="444">
        <f t="shared" ca="1" si="189"/>
        <v>-1672441610622463.8</v>
      </c>
      <c r="M5468" s="460">
        <f t="shared" si="191"/>
        <v>0.05</v>
      </c>
      <c r="N5468" s="464">
        <f t="shared" si="192"/>
        <v>217473</v>
      </c>
    </row>
    <row r="5469" spans="7:14" ht="11.25" customHeight="1" x14ac:dyDescent="0.3">
      <c r="G5469" s="459"/>
      <c r="H5469" s="459">
        <v>5462</v>
      </c>
      <c r="I5469" s="444">
        <f t="shared" ca="1" si="190"/>
        <v>-1672441610622463.8</v>
      </c>
      <c r="J5469" s="444">
        <f t="array" ref="J5469">IFERROR(INDEX('Retirement Calculator'!K:K,MATCH('Lorri 401b'!N5469,'Retirement Calculator'!A:A,0),0),0)</f>
        <v>0</v>
      </c>
      <c r="K5469" s="444">
        <f t="shared" ca="1" si="188"/>
        <v>-6968506710926.9326</v>
      </c>
      <c r="L5469" s="444">
        <f t="shared" ca="1" si="189"/>
        <v>-1679410117333390.8</v>
      </c>
      <c r="M5469" s="460">
        <f t="shared" si="191"/>
        <v>0.05</v>
      </c>
      <c r="N5469" s="464">
        <f t="shared" si="192"/>
        <v>217503</v>
      </c>
    </row>
    <row r="5470" spans="7:14" ht="11.25" customHeight="1" x14ac:dyDescent="0.3">
      <c r="G5470" s="459"/>
      <c r="H5470" s="459">
        <v>5463</v>
      </c>
      <c r="I5470" s="444">
        <f t="shared" ca="1" si="190"/>
        <v>-1679410117333390.8</v>
      </c>
      <c r="J5470" s="444">
        <f t="array" ref="J5470">IFERROR(INDEX('Retirement Calculator'!K:K,MATCH('Lorri 401b'!N5470,'Retirement Calculator'!A:A,0),0),0)</f>
        <v>0</v>
      </c>
      <c r="K5470" s="444">
        <f t="shared" ca="1" si="188"/>
        <v>-6997542155555.7949</v>
      </c>
      <c r="L5470" s="444">
        <f t="shared" ca="1" si="189"/>
        <v>-1686407659488946.5</v>
      </c>
      <c r="M5470" s="460">
        <f t="shared" si="191"/>
        <v>0.05</v>
      </c>
      <c r="N5470" s="464">
        <f t="shared" si="192"/>
        <v>217534</v>
      </c>
    </row>
    <row r="5471" spans="7:14" ht="11.25" customHeight="1" x14ac:dyDescent="0.3">
      <c r="G5471" s="459"/>
      <c r="H5471" s="459">
        <v>5464</v>
      </c>
      <c r="I5471" s="444">
        <f t="shared" ca="1" si="190"/>
        <v>-1686407659488946.5</v>
      </c>
      <c r="J5471" s="444">
        <f t="array" ref="J5471">IFERROR(INDEX('Retirement Calculator'!K:K,MATCH('Lorri 401b'!N5471,'Retirement Calculator'!A:A,0),0),0)</f>
        <v>0</v>
      </c>
      <c r="K5471" s="444">
        <f t="shared" ca="1" si="188"/>
        <v>-7026698581203.9434</v>
      </c>
      <c r="L5471" s="444">
        <f t="shared" ca="1" si="189"/>
        <v>-1693434358070150.5</v>
      </c>
      <c r="M5471" s="460">
        <f t="shared" si="191"/>
        <v>0.05</v>
      </c>
      <c r="N5471" s="464">
        <f t="shared" si="192"/>
        <v>217565</v>
      </c>
    </row>
    <row r="5472" spans="7:14" ht="11.25" customHeight="1" x14ac:dyDescent="0.3">
      <c r="G5472" s="459"/>
      <c r="H5472" s="459">
        <v>5465</v>
      </c>
      <c r="I5472" s="444">
        <f t="shared" ca="1" si="190"/>
        <v>-1693434358070150.5</v>
      </c>
      <c r="J5472" s="444">
        <f t="array" ref="J5472">IFERROR(INDEX('Retirement Calculator'!K:K,MATCH('Lorri 401b'!N5472,'Retirement Calculator'!A:A,0),0),0)</f>
        <v>0</v>
      </c>
      <c r="K5472" s="444">
        <f t="shared" ca="1" si="188"/>
        <v>-7055976491958.96</v>
      </c>
      <c r="L5472" s="444">
        <f t="shared" ca="1" si="189"/>
        <v>-1700490334562109.5</v>
      </c>
      <c r="M5472" s="460">
        <f t="shared" si="191"/>
        <v>0.05</v>
      </c>
      <c r="N5472" s="464">
        <f t="shared" si="192"/>
        <v>217595</v>
      </c>
    </row>
    <row r="5473" spans="7:14" ht="11.25" customHeight="1" x14ac:dyDescent="0.3">
      <c r="G5473" s="459"/>
      <c r="H5473" s="459">
        <v>5466</v>
      </c>
      <c r="I5473" s="444">
        <f t="shared" ca="1" si="190"/>
        <v>-1700490334562109.5</v>
      </c>
      <c r="J5473" s="444">
        <f t="array" ref="J5473">IFERROR(INDEX('Retirement Calculator'!K:K,MATCH('Lorri 401b'!N5473,'Retirement Calculator'!A:A,0),0),0)</f>
        <v>0</v>
      </c>
      <c r="K5473" s="444">
        <f t="shared" ca="1" si="188"/>
        <v>-7085376394008.7891</v>
      </c>
      <c r="L5473" s="444">
        <f t="shared" ca="1" si="189"/>
        <v>-1707575710956118.3</v>
      </c>
      <c r="M5473" s="460">
        <f t="shared" si="191"/>
        <v>0.05</v>
      </c>
      <c r="N5473" s="464">
        <f t="shared" si="192"/>
        <v>217626</v>
      </c>
    </row>
    <row r="5474" spans="7:14" ht="11.25" customHeight="1" x14ac:dyDescent="0.3">
      <c r="G5474" s="459"/>
      <c r="H5474" s="459">
        <v>5467</v>
      </c>
      <c r="I5474" s="444">
        <f t="shared" ca="1" si="190"/>
        <v>-1707575710956118.3</v>
      </c>
      <c r="J5474" s="444">
        <f t="array" ref="J5474">IFERROR(INDEX('Retirement Calculator'!K:K,MATCH('Lorri 401b'!N5474,'Retirement Calculator'!A:A,0),0),0)</f>
        <v>0</v>
      </c>
      <c r="K5474" s="444">
        <f t="shared" ca="1" si="188"/>
        <v>-7114898795650.4922</v>
      </c>
      <c r="L5474" s="444">
        <f t="shared" ca="1" si="189"/>
        <v>-1714690609751768.8</v>
      </c>
      <c r="M5474" s="460">
        <f t="shared" si="191"/>
        <v>0.05</v>
      </c>
      <c r="N5474" s="464">
        <f t="shared" si="192"/>
        <v>217656</v>
      </c>
    </row>
    <row r="5475" spans="7:14" ht="11.25" customHeight="1" x14ac:dyDescent="0.3">
      <c r="G5475" s="459"/>
      <c r="H5475" s="459">
        <v>5468</v>
      </c>
      <c r="I5475" s="444">
        <f t="shared" ca="1" si="190"/>
        <v>-1714690609751768.8</v>
      </c>
      <c r="J5475" s="444">
        <f t="array" ref="J5475">IFERROR(INDEX('Retirement Calculator'!K:K,MATCH('Lorri 401b'!N5475,'Retirement Calculator'!A:A,0),0),0)</f>
        <v>0</v>
      </c>
      <c r="K5475" s="444">
        <f t="shared" ca="1" si="188"/>
        <v>-7144544207299.0361</v>
      </c>
      <c r="L5475" s="444">
        <f t="shared" ca="1" si="189"/>
        <v>-1721835153959067.8</v>
      </c>
      <c r="M5475" s="460">
        <f t="shared" si="191"/>
        <v>0.05</v>
      </c>
      <c r="N5475" s="464">
        <f t="shared" si="192"/>
        <v>217687</v>
      </c>
    </row>
    <row r="5476" spans="7:14" ht="11.25" customHeight="1" x14ac:dyDescent="0.3">
      <c r="G5476" s="459"/>
      <c r="H5476" s="459">
        <v>5469</v>
      </c>
      <c r="I5476" s="444">
        <f t="shared" ca="1" si="190"/>
        <v>-1721835153959067.8</v>
      </c>
      <c r="J5476" s="444">
        <f t="array" ref="J5476">IFERROR(INDEX('Retirement Calculator'!K:K,MATCH('Lorri 401b'!N5476,'Retirement Calculator'!A:A,0),0),0)</f>
        <v>0</v>
      </c>
      <c r="K5476" s="444">
        <f t="shared" ca="1" si="188"/>
        <v>-7174313141496.1152</v>
      </c>
      <c r="L5476" s="444">
        <f t="shared" ca="1" si="189"/>
        <v>-1729009467100563.8</v>
      </c>
      <c r="M5476" s="460">
        <f t="shared" si="191"/>
        <v>0.05</v>
      </c>
      <c r="N5476" s="464">
        <f t="shared" si="192"/>
        <v>217718</v>
      </c>
    </row>
    <row r="5477" spans="7:14" ht="11.25" customHeight="1" x14ac:dyDescent="0.3">
      <c r="G5477" s="459"/>
      <c r="H5477" s="459">
        <v>5470</v>
      </c>
      <c r="I5477" s="444">
        <f t="shared" ca="1" si="190"/>
        <v>-1729009467100563.8</v>
      </c>
      <c r="J5477" s="444">
        <f t="array" ref="J5477">IFERROR(INDEX('Retirement Calculator'!K:K,MATCH('Lorri 401b'!N5477,'Retirement Calculator'!A:A,0),0),0)</f>
        <v>0</v>
      </c>
      <c r="K5477" s="444">
        <f t="shared" ca="1" si="188"/>
        <v>-7204206112919.0156</v>
      </c>
      <c r="L5477" s="444">
        <f t="shared" ca="1" si="189"/>
        <v>-1736213673213482.8</v>
      </c>
      <c r="M5477" s="460">
        <f t="shared" si="191"/>
        <v>0.05</v>
      </c>
      <c r="N5477" s="464">
        <f t="shared" si="192"/>
        <v>217747</v>
      </c>
    </row>
    <row r="5478" spans="7:14" ht="11.25" customHeight="1" x14ac:dyDescent="0.3">
      <c r="G5478" s="459"/>
      <c r="H5478" s="459">
        <v>5471</v>
      </c>
      <c r="I5478" s="444">
        <f t="shared" ca="1" si="190"/>
        <v>-1736213673213482.8</v>
      </c>
      <c r="J5478" s="444">
        <f t="array" ref="J5478">IFERROR(INDEX('Retirement Calculator'!K:K,MATCH('Lorri 401b'!N5478,'Retirement Calculator'!A:A,0),0),0)</f>
        <v>0</v>
      </c>
      <c r="K5478" s="444">
        <f t="shared" ca="1" si="188"/>
        <v>-7234223638389.5117</v>
      </c>
      <c r="L5478" s="444">
        <f t="shared" ca="1" si="189"/>
        <v>-1743447896851872.3</v>
      </c>
      <c r="M5478" s="460">
        <f t="shared" si="191"/>
        <v>0.05</v>
      </c>
      <c r="N5478" s="464">
        <f t="shared" si="192"/>
        <v>217778</v>
      </c>
    </row>
    <row r="5479" spans="7:14" ht="11.25" customHeight="1" x14ac:dyDescent="0.3">
      <c r="G5479" s="459"/>
      <c r="H5479" s="459">
        <v>5472</v>
      </c>
      <c r="I5479" s="444">
        <f t="shared" ca="1" si="190"/>
        <v>-1743447896851872.3</v>
      </c>
      <c r="J5479" s="444">
        <f t="array" ref="J5479">IFERROR(INDEX('Retirement Calculator'!K:K,MATCH('Lorri 401b'!N5479,'Retirement Calculator'!A:A,0),0),0)</f>
        <v>0</v>
      </c>
      <c r="K5479" s="444">
        <f t="shared" ca="1" si="188"/>
        <v>-7264366236882.8008</v>
      </c>
      <c r="L5479" s="444">
        <f t="shared" ca="1" si="189"/>
        <v>-1750712263088755</v>
      </c>
      <c r="M5479" s="460">
        <f t="shared" si="191"/>
        <v>0.05</v>
      </c>
      <c r="N5479" s="464">
        <f t="shared" si="192"/>
        <v>217808</v>
      </c>
    </row>
    <row r="5480" spans="7:14" ht="11.25" customHeight="1" x14ac:dyDescent="0.3">
      <c r="G5480" s="459"/>
      <c r="H5480" s="459">
        <v>5473</v>
      </c>
      <c r="I5480" s="444">
        <f t="shared" ca="1" si="190"/>
        <v>-1750712263088755</v>
      </c>
      <c r="J5480" s="444">
        <f t="array" ref="J5480">IFERROR(INDEX('Retirement Calculator'!K:K,MATCH('Lorri 401b'!N5480,'Retirement Calculator'!A:A,0),0),0)</f>
        <v>0</v>
      </c>
      <c r="K5480" s="444">
        <f t="shared" ca="1" si="188"/>
        <v>-7294634429536.4795</v>
      </c>
      <c r="L5480" s="444">
        <f t="shared" ca="1" si="189"/>
        <v>-1758006897518291.5</v>
      </c>
      <c r="M5480" s="460">
        <f t="shared" si="191"/>
        <v>0.05</v>
      </c>
      <c r="N5480" s="464">
        <f t="shared" si="192"/>
        <v>217839</v>
      </c>
    </row>
    <row r="5481" spans="7:14" ht="11.25" customHeight="1" x14ac:dyDescent="0.3">
      <c r="G5481" s="459"/>
      <c r="H5481" s="459">
        <v>5474</v>
      </c>
      <c r="I5481" s="444">
        <f t="shared" ca="1" si="190"/>
        <v>-1758006897518291.5</v>
      </c>
      <c r="J5481" s="444">
        <f t="array" ref="J5481">IFERROR(INDEX('Retirement Calculator'!K:K,MATCH('Lorri 401b'!N5481,'Retirement Calculator'!A:A,0),0),0)</f>
        <v>0</v>
      </c>
      <c r="K5481" s="444">
        <f t="shared" ca="1" si="188"/>
        <v>-7325028739659.5479</v>
      </c>
      <c r="L5481" s="444">
        <f t="shared" ca="1" si="189"/>
        <v>-1765331926257951</v>
      </c>
      <c r="M5481" s="460">
        <f t="shared" si="191"/>
        <v>0.05</v>
      </c>
      <c r="N5481" s="464">
        <f t="shared" si="192"/>
        <v>217869</v>
      </c>
    </row>
    <row r="5482" spans="7:14" ht="11.25" customHeight="1" x14ac:dyDescent="0.3">
      <c r="G5482" s="459"/>
      <c r="H5482" s="459">
        <v>5475</v>
      </c>
      <c r="I5482" s="444">
        <f t="shared" ca="1" si="190"/>
        <v>-1765331926257951</v>
      </c>
      <c r="J5482" s="444">
        <f t="array" ref="J5482">IFERROR(INDEX('Retirement Calculator'!K:K,MATCH('Lorri 401b'!N5482,'Retirement Calculator'!A:A,0),0),0)</f>
        <v>0</v>
      </c>
      <c r="K5482" s="444">
        <f t="shared" ca="1" si="188"/>
        <v>-7355549692741.4619</v>
      </c>
      <c r="L5482" s="444">
        <f t="shared" ca="1" si="189"/>
        <v>-1772687475950692.5</v>
      </c>
      <c r="M5482" s="460">
        <f t="shared" si="191"/>
        <v>0.05</v>
      </c>
      <c r="N5482" s="464">
        <f t="shared" si="192"/>
        <v>217900</v>
      </c>
    </row>
    <row r="5483" spans="7:14" ht="11.25" customHeight="1" x14ac:dyDescent="0.3">
      <c r="G5483" s="459"/>
      <c r="H5483" s="459">
        <v>5476</v>
      </c>
      <c r="I5483" s="444">
        <f t="shared" ca="1" si="190"/>
        <v>-1772687475950692.5</v>
      </c>
      <c r="J5483" s="444">
        <f t="array" ref="J5483">IFERROR(INDEX('Retirement Calculator'!K:K,MATCH('Lorri 401b'!N5483,'Retirement Calculator'!A:A,0),0),0)</f>
        <v>0</v>
      </c>
      <c r="K5483" s="444">
        <f t="shared" ca="1" si="188"/>
        <v>-7386197816461.2188</v>
      </c>
      <c r="L5483" s="444">
        <f t="shared" ca="1" si="189"/>
        <v>-1780073673767153.8</v>
      </c>
      <c r="M5483" s="460">
        <f t="shared" si="191"/>
        <v>0.05</v>
      </c>
      <c r="N5483" s="464">
        <f t="shared" si="192"/>
        <v>217931</v>
      </c>
    </row>
    <row r="5484" spans="7:14" ht="11.25" customHeight="1" x14ac:dyDescent="0.3">
      <c r="G5484" s="459"/>
      <c r="H5484" s="459">
        <v>5477</v>
      </c>
      <c r="I5484" s="444">
        <f t="shared" ca="1" si="190"/>
        <v>-1780073673767153.8</v>
      </c>
      <c r="J5484" s="444">
        <f t="array" ref="J5484">IFERROR(INDEX('Retirement Calculator'!K:K,MATCH('Lorri 401b'!N5484,'Retirement Calculator'!A:A,0),0),0)</f>
        <v>0</v>
      </c>
      <c r="K5484" s="444">
        <f t="shared" ca="1" si="188"/>
        <v>-7416973640696.4736</v>
      </c>
      <c r="L5484" s="444">
        <f t="shared" ca="1" si="189"/>
        <v>-1787490647407850.3</v>
      </c>
      <c r="M5484" s="460">
        <f t="shared" si="191"/>
        <v>0.05</v>
      </c>
      <c r="N5484" s="464">
        <f t="shared" si="192"/>
        <v>217961</v>
      </c>
    </row>
    <row r="5485" spans="7:14" ht="11.25" customHeight="1" x14ac:dyDescent="0.3">
      <c r="G5485" s="459"/>
      <c r="H5485" s="459">
        <v>5478</v>
      </c>
      <c r="I5485" s="444">
        <f t="shared" ca="1" si="190"/>
        <v>-1787490647407850.3</v>
      </c>
      <c r="J5485" s="444">
        <f t="array" ref="J5485">IFERROR(INDEX('Retirement Calculator'!K:K,MATCH('Lorri 401b'!N5485,'Retirement Calculator'!A:A,0),0),0)</f>
        <v>0</v>
      </c>
      <c r="K5485" s="444">
        <f t="shared" ca="1" si="188"/>
        <v>-7447877697532.709</v>
      </c>
      <c r="L5485" s="444">
        <f t="shared" ca="1" si="189"/>
        <v>-1794938525105383</v>
      </c>
      <c r="M5485" s="460">
        <f t="shared" si="191"/>
        <v>0.05</v>
      </c>
      <c r="N5485" s="464">
        <f t="shared" si="192"/>
        <v>217992</v>
      </c>
    </row>
    <row r="5486" spans="7:14" ht="11.25" customHeight="1" x14ac:dyDescent="0.3">
      <c r="G5486" s="459"/>
      <c r="H5486" s="459">
        <v>5479</v>
      </c>
      <c r="I5486" s="444">
        <f t="shared" ca="1" si="190"/>
        <v>-1794938525105383</v>
      </c>
      <c r="J5486" s="444">
        <f t="array" ref="J5486">IFERROR(INDEX('Retirement Calculator'!K:K,MATCH('Lorri 401b'!N5486,'Retirement Calculator'!A:A,0),0),0)</f>
        <v>0</v>
      </c>
      <c r="K5486" s="444">
        <f t="shared" ca="1" si="188"/>
        <v>-7478910521272.4287</v>
      </c>
      <c r="L5486" s="444">
        <f t="shared" ca="1" si="189"/>
        <v>-1802417435626655.5</v>
      </c>
      <c r="M5486" s="460">
        <f t="shared" si="191"/>
        <v>0.05</v>
      </c>
      <c r="N5486" s="464">
        <f t="shared" si="192"/>
        <v>218022</v>
      </c>
    </row>
    <row r="5487" spans="7:14" ht="11.25" customHeight="1" x14ac:dyDescent="0.3">
      <c r="G5487" s="459"/>
      <c r="H5487" s="459">
        <v>5480</v>
      </c>
      <c r="I5487" s="444">
        <f t="shared" ca="1" si="190"/>
        <v>-1802417435626655.5</v>
      </c>
      <c r="J5487" s="444">
        <f t="array" ref="J5487">IFERROR(INDEX('Retirement Calculator'!K:K,MATCH('Lorri 401b'!N5487,'Retirement Calculator'!A:A,0),0),0)</f>
        <v>0</v>
      </c>
      <c r="K5487" s="444">
        <f t="shared" ca="1" si="188"/>
        <v>-7510072648444.3975</v>
      </c>
      <c r="L5487" s="444">
        <f t="shared" ca="1" si="189"/>
        <v>-1809927508275100</v>
      </c>
      <c r="M5487" s="460">
        <f t="shared" si="191"/>
        <v>0.05</v>
      </c>
      <c r="N5487" s="464">
        <f t="shared" si="192"/>
        <v>218053</v>
      </c>
    </row>
    <row r="5488" spans="7:14" ht="11.25" customHeight="1" x14ac:dyDescent="0.3">
      <c r="G5488" s="459"/>
      <c r="H5488" s="459">
        <v>5481</v>
      </c>
      <c r="I5488" s="444">
        <f t="shared" ca="1" si="190"/>
        <v>-1809927508275100</v>
      </c>
      <c r="J5488" s="444">
        <f t="array" ref="J5488">IFERROR(INDEX('Retirement Calculator'!K:K,MATCH('Lorri 401b'!N5488,'Retirement Calculator'!A:A,0),0),0)</f>
        <v>0</v>
      </c>
      <c r="K5488" s="444">
        <f t="shared" ca="1" si="188"/>
        <v>-7541364617812.915</v>
      </c>
      <c r="L5488" s="444">
        <f t="shared" ca="1" si="189"/>
        <v>-1817468872892913</v>
      </c>
      <c r="M5488" s="460">
        <f t="shared" si="191"/>
        <v>0.05</v>
      </c>
      <c r="N5488" s="464">
        <f t="shared" si="192"/>
        <v>218084</v>
      </c>
    </row>
    <row r="5489" spans="7:14" ht="11.25" customHeight="1" x14ac:dyDescent="0.3">
      <c r="G5489" s="459"/>
      <c r="H5489" s="459">
        <v>5482</v>
      </c>
      <c r="I5489" s="444">
        <f t="shared" ca="1" si="190"/>
        <v>-1817468872892913</v>
      </c>
      <c r="J5489" s="444">
        <f t="array" ref="J5489">IFERROR(INDEX('Retirement Calculator'!K:K,MATCH('Lorri 401b'!N5489,'Retirement Calculator'!A:A,0),0),0)</f>
        <v>0</v>
      </c>
      <c r="K5489" s="444">
        <f t="shared" ca="1" si="188"/>
        <v>-7572786970387.1377</v>
      </c>
      <c r="L5489" s="444">
        <f t="shared" ca="1" si="189"/>
        <v>-1825041659863300.3</v>
      </c>
      <c r="M5489" s="460">
        <f t="shared" si="191"/>
        <v>0.05</v>
      </c>
      <c r="N5489" s="464">
        <f t="shared" si="192"/>
        <v>218112</v>
      </c>
    </row>
    <row r="5490" spans="7:14" ht="11.25" customHeight="1" x14ac:dyDescent="0.3">
      <c r="G5490" s="459"/>
      <c r="H5490" s="459">
        <v>5483</v>
      </c>
      <c r="I5490" s="444">
        <f t="shared" ca="1" si="190"/>
        <v>-1825041659863300.3</v>
      </c>
      <c r="J5490" s="444">
        <f t="array" ref="J5490">IFERROR(INDEX('Retirement Calculator'!K:K,MATCH('Lorri 401b'!N5490,'Retirement Calculator'!A:A,0),0),0)</f>
        <v>0</v>
      </c>
      <c r="K5490" s="444">
        <f t="shared" ca="1" si="188"/>
        <v>-7604340249430.418</v>
      </c>
      <c r="L5490" s="444">
        <f t="shared" ca="1" si="189"/>
        <v>-1832646000112730.8</v>
      </c>
      <c r="M5490" s="460">
        <f t="shared" si="191"/>
        <v>0.05</v>
      </c>
      <c r="N5490" s="464">
        <f t="shared" si="192"/>
        <v>218143</v>
      </c>
    </row>
    <row r="5491" spans="7:14" ht="11.25" customHeight="1" x14ac:dyDescent="0.3">
      <c r="G5491" s="459"/>
      <c r="H5491" s="459">
        <v>5484</v>
      </c>
      <c r="I5491" s="444">
        <f t="shared" ca="1" si="190"/>
        <v>-1832646000112730.8</v>
      </c>
      <c r="J5491" s="444">
        <f t="array" ref="J5491">IFERROR(INDEX('Retirement Calculator'!K:K,MATCH('Lorri 401b'!N5491,'Retirement Calculator'!A:A,0),0),0)</f>
        <v>0</v>
      </c>
      <c r="K5491" s="444">
        <f t="shared" ca="1" si="188"/>
        <v>-7636025000469.7109</v>
      </c>
      <c r="L5491" s="444">
        <f t="shared" ca="1" si="189"/>
        <v>-1840282025113200.5</v>
      </c>
      <c r="M5491" s="460">
        <f t="shared" si="191"/>
        <v>0.05</v>
      </c>
      <c r="N5491" s="464">
        <f t="shared" si="192"/>
        <v>218173</v>
      </c>
    </row>
    <row r="5492" spans="7:14" ht="11.25" customHeight="1" x14ac:dyDescent="0.3">
      <c r="G5492" s="459"/>
      <c r="H5492" s="459">
        <v>5485</v>
      </c>
      <c r="I5492" s="444">
        <f t="shared" ca="1" si="190"/>
        <v>-1840282025113200.5</v>
      </c>
      <c r="J5492" s="444">
        <f t="array" ref="J5492">IFERROR(INDEX('Retirement Calculator'!K:K,MATCH('Lorri 401b'!N5492,'Retirement Calculator'!A:A,0),0),0)</f>
        <v>0</v>
      </c>
      <c r="K5492" s="444">
        <f t="shared" ca="1" si="188"/>
        <v>-7667841771305.0029</v>
      </c>
      <c r="L5492" s="444">
        <f t="shared" ca="1" si="189"/>
        <v>-1847949866884505.5</v>
      </c>
      <c r="M5492" s="460">
        <f t="shared" si="191"/>
        <v>0.05</v>
      </c>
      <c r="N5492" s="464">
        <f t="shared" si="192"/>
        <v>218204</v>
      </c>
    </row>
    <row r="5493" spans="7:14" ht="11.25" customHeight="1" x14ac:dyDescent="0.3">
      <c r="G5493" s="459"/>
      <c r="H5493" s="459">
        <v>5486</v>
      </c>
      <c r="I5493" s="444">
        <f t="shared" ca="1" si="190"/>
        <v>-1847949866884505.5</v>
      </c>
      <c r="J5493" s="444">
        <f t="array" ref="J5493">IFERROR(INDEX('Retirement Calculator'!K:K,MATCH('Lorri 401b'!N5493,'Retirement Calculator'!A:A,0),0),0)</f>
        <v>0</v>
      </c>
      <c r="K5493" s="444">
        <f t="shared" ca="1" si="188"/>
        <v>-7699791112018.7725</v>
      </c>
      <c r="L5493" s="444">
        <f t="shared" ca="1" si="189"/>
        <v>-1855649657996524.3</v>
      </c>
      <c r="M5493" s="460">
        <f t="shared" si="191"/>
        <v>0.05</v>
      </c>
      <c r="N5493" s="464">
        <f t="shared" si="192"/>
        <v>218234</v>
      </c>
    </row>
    <row r="5494" spans="7:14" ht="11.25" customHeight="1" x14ac:dyDescent="0.3">
      <c r="G5494" s="459"/>
      <c r="H5494" s="459">
        <v>5487</v>
      </c>
      <c r="I5494" s="444">
        <f t="shared" ca="1" si="190"/>
        <v>-1855649657996524.3</v>
      </c>
      <c r="J5494" s="444">
        <f t="array" ref="J5494">IFERROR(INDEX('Retirement Calculator'!K:K,MATCH('Lorri 401b'!N5494,'Retirement Calculator'!A:A,0),0),0)</f>
        <v>0</v>
      </c>
      <c r="K5494" s="444">
        <f t="shared" ca="1" si="188"/>
        <v>-7731873574985.5176</v>
      </c>
      <c r="L5494" s="444">
        <f t="shared" ca="1" si="189"/>
        <v>-1863381531571509.8</v>
      </c>
      <c r="M5494" s="460">
        <f t="shared" si="191"/>
        <v>0.05</v>
      </c>
      <c r="N5494" s="464">
        <f t="shared" si="192"/>
        <v>218265</v>
      </c>
    </row>
    <row r="5495" spans="7:14" ht="11.25" customHeight="1" x14ac:dyDescent="0.3">
      <c r="G5495" s="459"/>
      <c r="H5495" s="459">
        <v>5488</v>
      </c>
      <c r="I5495" s="444">
        <f t="shared" ca="1" si="190"/>
        <v>-1863381531571509.8</v>
      </c>
      <c r="J5495" s="444">
        <f t="array" ref="J5495">IFERROR(INDEX('Retirement Calculator'!K:K,MATCH('Lorri 401b'!N5495,'Retirement Calculator'!A:A,0),0),0)</f>
        <v>0</v>
      </c>
      <c r="K5495" s="444">
        <f t="shared" ca="1" si="188"/>
        <v>-7764089714881.29</v>
      </c>
      <c r="L5495" s="444">
        <f t="shared" ca="1" si="189"/>
        <v>-1871145621286391</v>
      </c>
      <c r="M5495" s="460">
        <f t="shared" si="191"/>
        <v>0.05</v>
      </c>
      <c r="N5495" s="464">
        <f t="shared" si="192"/>
        <v>218296</v>
      </c>
    </row>
    <row r="5496" spans="7:14" ht="11.25" customHeight="1" x14ac:dyDescent="0.3">
      <c r="G5496" s="459"/>
      <c r="H5496" s="459">
        <v>5489</v>
      </c>
      <c r="I5496" s="444">
        <f t="shared" ca="1" si="190"/>
        <v>-1871145621286391</v>
      </c>
      <c r="J5496" s="444">
        <f t="array" ref="J5496">IFERROR(INDEX('Retirement Calculator'!K:K,MATCH('Lorri 401b'!N5496,'Retirement Calculator'!A:A,0),0),0)</f>
        <v>0</v>
      </c>
      <c r="K5496" s="444">
        <f t="shared" ca="1" si="188"/>
        <v>-7796440088693.2959</v>
      </c>
      <c r="L5496" s="444">
        <f t="shared" ca="1" si="189"/>
        <v>-1878942061375084.3</v>
      </c>
      <c r="M5496" s="460">
        <f t="shared" si="191"/>
        <v>0.05</v>
      </c>
      <c r="N5496" s="464">
        <f t="shared" si="192"/>
        <v>218326</v>
      </c>
    </row>
    <row r="5497" spans="7:14" ht="11.25" customHeight="1" x14ac:dyDescent="0.3">
      <c r="G5497" s="459"/>
      <c r="H5497" s="459">
        <v>5490</v>
      </c>
      <c r="I5497" s="444">
        <f t="shared" ca="1" si="190"/>
        <v>-1878942061375084.3</v>
      </c>
      <c r="J5497" s="444">
        <f t="array" ref="J5497">IFERROR(INDEX('Retirement Calculator'!K:K,MATCH('Lorri 401b'!N5497,'Retirement Calculator'!A:A,0),0),0)</f>
        <v>0</v>
      </c>
      <c r="K5497" s="444">
        <f t="shared" ca="1" si="188"/>
        <v>-7828925255729.5166</v>
      </c>
      <c r="L5497" s="444">
        <f t="shared" ca="1" si="189"/>
        <v>-1886770986630813.8</v>
      </c>
      <c r="M5497" s="460">
        <f t="shared" si="191"/>
        <v>0.05</v>
      </c>
      <c r="N5497" s="464">
        <f t="shared" si="192"/>
        <v>218357</v>
      </c>
    </row>
    <row r="5498" spans="7:14" ht="11.25" customHeight="1" x14ac:dyDescent="0.3">
      <c r="G5498" s="459"/>
      <c r="H5498" s="459">
        <v>5491</v>
      </c>
      <c r="I5498" s="444">
        <f t="shared" ca="1" si="190"/>
        <v>-1886770986630813.8</v>
      </c>
      <c r="J5498" s="444">
        <f t="array" ref="J5498">IFERROR(INDEX('Retirement Calculator'!K:K,MATCH('Lorri 401b'!N5498,'Retirement Calculator'!A:A,0),0),0)</f>
        <v>0</v>
      </c>
      <c r="K5498" s="444">
        <f t="shared" ca="1" si="188"/>
        <v>-7861545777628.3896</v>
      </c>
      <c r="L5498" s="444">
        <f t="shared" ca="1" si="189"/>
        <v>-1894632532408442.3</v>
      </c>
      <c r="M5498" s="460">
        <f t="shared" si="191"/>
        <v>0.05</v>
      </c>
      <c r="N5498" s="464">
        <f t="shared" si="192"/>
        <v>218387</v>
      </c>
    </row>
    <row r="5499" spans="7:14" ht="11.25" customHeight="1" x14ac:dyDescent="0.3">
      <c r="G5499" s="459"/>
      <c r="H5499" s="459">
        <v>5492</v>
      </c>
      <c r="I5499" s="444">
        <f t="shared" ca="1" si="190"/>
        <v>-1894632532408442.3</v>
      </c>
      <c r="J5499" s="444">
        <f t="array" ref="J5499">IFERROR(INDEX('Retirement Calculator'!K:K,MATCH('Lorri 401b'!N5499,'Retirement Calculator'!A:A,0),0),0)</f>
        <v>0</v>
      </c>
      <c r="K5499" s="444">
        <f t="shared" ca="1" si="188"/>
        <v>-7894302218368.5078</v>
      </c>
      <c r="L5499" s="444">
        <f t="shared" ca="1" si="189"/>
        <v>-1902526834626810.8</v>
      </c>
      <c r="M5499" s="460">
        <f t="shared" si="191"/>
        <v>0.05</v>
      </c>
      <c r="N5499" s="464">
        <f t="shared" si="192"/>
        <v>218418</v>
      </c>
    </row>
    <row r="5500" spans="7:14" ht="11.25" customHeight="1" x14ac:dyDescent="0.3">
      <c r="G5500" s="459"/>
      <c r="H5500" s="459">
        <v>5493</v>
      </c>
      <c r="I5500" s="444">
        <f t="shared" ca="1" si="190"/>
        <v>-1902526834626810.8</v>
      </c>
      <c r="J5500" s="444">
        <f t="array" ref="J5500">IFERROR(INDEX('Retirement Calculator'!K:K,MATCH('Lorri 401b'!N5500,'Retirement Calculator'!A:A,0),0),0)</f>
        <v>0</v>
      </c>
      <c r="K5500" s="444">
        <f t="shared" ca="1" si="188"/>
        <v>-7927195144278.377</v>
      </c>
      <c r="L5500" s="444">
        <f t="shared" ca="1" si="189"/>
        <v>-1910454029771089.3</v>
      </c>
      <c r="M5500" s="460">
        <f t="shared" si="191"/>
        <v>0.05</v>
      </c>
      <c r="N5500" s="464">
        <f t="shared" si="192"/>
        <v>218449</v>
      </c>
    </row>
    <row r="5501" spans="7:14" ht="11.25" customHeight="1" x14ac:dyDescent="0.3">
      <c r="G5501" s="459"/>
      <c r="H5501" s="459">
        <v>5494</v>
      </c>
      <c r="I5501" s="444">
        <f t="shared" ca="1" si="190"/>
        <v>-1910454029771089.3</v>
      </c>
      <c r="J5501" s="444">
        <f t="array" ref="J5501">IFERROR(INDEX('Retirement Calculator'!K:K,MATCH('Lorri 401b'!N5501,'Retirement Calculator'!A:A,0),0),0)</f>
        <v>0</v>
      </c>
      <c r="K5501" s="444">
        <f t="shared" ca="1" si="188"/>
        <v>-7960225124046.2051</v>
      </c>
      <c r="L5501" s="444">
        <f t="shared" ca="1" si="189"/>
        <v>-1918414254895135.5</v>
      </c>
      <c r="M5501" s="460">
        <f t="shared" si="191"/>
        <v>0.05</v>
      </c>
      <c r="N5501" s="464">
        <f t="shared" si="192"/>
        <v>218477</v>
      </c>
    </row>
    <row r="5502" spans="7:14" ht="11.25" customHeight="1" x14ac:dyDescent="0.3">
      <c r="G5502" s="459"/>
      <c r="H5502" s="459">
        <v>5495</v>
      </c>
      <c r="I5502" s="444">
        <f t="shared" ca="1" si="190"/>
        <v>-1918414254895135.5</v>
      </c>
      <c r="J5502" s="444">
        <f t="array" ref="J5502">IFERROR(INDEX('Retirement Calculator'!K:K,MATCH('Lorri 401b'!N5502,'Retirement Calculator'!A:A,0),0),0)</f>
        <v>0</v>
      </c>
      <c r="K5502" s="444">
        <f t="shared" ca="1" si="188"/>
        <v>-7993392728729.7305</v>
      </c>
      <c r="L5502" s="444">
        <f t="shared" ca="1" si="189"/>
        <v>-1926407647623865.3</v>
      </c>
      <c r="M5502" s="460">
        <f t="shared" si="191"/>
        <v>0.05</v>
      </c>
      <c r="N5502" s="464">
        <f t="shared" si="192"/>
        <v>218508</v>
      </c>
    </row>
    <row r="5503" spans="7:14" ht="11.25" customHeight="1" x14ac:dyDescent="0.3">
      <c r="G5503" s="459"/>
      <c r="H5503" s="459">
        <v>5496</v>
      </c>
      <c r="I5503" s="444">
        <f t="shared" ca="1" si="190"/>
        <v>-1926407647623865.3</v>
      </c>
      <c r="J5503" s="444">
        <f t="array" ref="J5503">IFERROR(INDEX('Retirement Calculator'!K:K,MATCH('Lorri 401b'!N5503,'Retirement Calculator'!A:A,0),0),0)</f>
        <v>0</v>
      </c>
      <c r="K5503" s="444">
        <f t="shared" ca="1" si="188"/>
        <v>-8026698531766.1045</v>
      </c>
      <c r="L5503" s="444">
        <f t="shared" ca="1" si="189"/>
        <v>-1934434346155631.3</v>
      </c>
      <c r="M5503" s="460">
        <f t="shared" si="191"/>
        <v>0.05</v>
      </c>
      <c r="N5503" s="464">
        <f t="shared" si="192"/>
        <v>218538</v>
      </c>
    </row>
    <row r="5504" spans="7:14" ht="11.25" customHeight="1" x14ac:dyDescent="0.3">
      <c r="G5504" s="459"/>
      <c r="H5504" s="459">
        <v>5497</v>
      </c>
      <c r="I5504" s="444">
        <f t="shared" ca="1" si="190"/>
        <v>-1934434346155631.3</v>
      </c>
      <c r="J5504" s="444">
        <f t="array" ref="J5504">IFERROR(INDEX('Retirement Calculator'!K:K,MATCH('Lorri 401b'!N5504,'Retirement Calculator'!A:A,0),0),0)</f>
        <v>0</v>
      </c>
      <c r="K5504" s="444">
        <f t="shared" ca="1" si="188"/>
        <v>-8060143108981.7979</v>
      </c>
      <c r="L5504" s="444">
        <f t="shared" ca="1" si="189"/>
        <v>-1942494489264613</v>
      </c>
      <c r="M5504" s="460">
        <f t="shared" si="191"/>
        <v>0.05</v>
      </c>
      <c r="N5504" s="464">
        <f t="shared" si="192"/>
        <v>218569</v>
      </c>
    </row>
    <row r="5505" spans="7:14" ht="11.25" customHeight="1" x14ac:dyDescent="0.3">
      <c r="G5505" s="459"/>
      <c r="H5505" s="459">
        <v>5498</v>
      </c>
      <c r="I5505" s="444">
        <f t="shared" ca="1" si="190"/>
        <v>-1942494489264613</v>
      </c>
      <c r="J5505" s="444">
        <f t="array" ref="J5505">IFERROR(INDEX('Retirement Calculator'!K:K,MATCH('Lorri 401b'!N5505,'Retirement Calculator'!A:A,0),0),0)</f>
        <v>0</v>
      </c>
      <c r="K5505" s="444">
        <f t="shared" ca="1" si="188"/>
        <v>-8093727038602.5527</v>
      </c>
      <c r="L5505" s="444">
        <f t="shared" ca="1" si="189"/>
        <v>-1950588216303215.5</v>
      </c>
      <c r="M5505" s="460">
        <f t="shared" si="191"/>
        <v>0.05</v>
      </c>
      <c r="N5505" s="464">
        <f t="shared" si="192"/>
        <v>218599</v>
      </c>
    </row>
    <row r="5506" spans="7:14" ht="11.25" customHeight="1" x14ac:dyDescent="0.3">
      <c r="G5506" s="459"/>
      <c r="H5506" s="459">
        <v>5499</v>
      </c>
      <c r="I5506" s="444">
        <f t="shared" ca="1" si="190"/>
        <v>-1950588216303215.5</v>
      </c>
      <c r="J5506" s="444">
        <f t="array" ref="J5506">IFERROR(INDEX('Retirement Calculator'!K:K,MATCH('Lorri 401b'!N5506,'Retirement Calculator'!A:A,0),0),0)</f>
        <v>0</v>
      </c>
      <c r="K5506" s="444">
        <f t="shared" ca="1" si="188"/>
        <v>-8127450901263.3975</v>
      </c>
      <c r="L5506" s="444">
        <f t="shared" ca="1" si="189"/>
        <v>-1958715667204479</v>
      </c>
      <c r="M5506" s="460">
        <f t="shared" si="191"/>
        <v>0.05</v>
      </c>
      <c r="N5506" s="464">
        <f t="shared" si="192"/>
        <v>218630</v>
      </c>
    </row>
    <row r="5507" spans="7:14" ht="11.25" customHeight="1" x14ac:dyDescent="0.3">
      <c r="G5507" s="459"/>
      <c r="H5507" s="459">
        <v>5500</v>
      </c>
      <c r="I5507" s="444">
        <f t="shared" ca="1" si="190"/>
        <v>-1958715667204479</v>
      </c>
      <c r="J5507" s="444">
        <f t="array" ref="J5507">IFERROR(INDEX('Retirement Calculator'!K:K,MATCH('Lorri 401b'!N5507,'Retirement Calculator'!A:A,0),0),0)</f>
        <v>0</v>
      </c>
      <c r="K5507" s="444">
        <f t="shared" ca="1" si="188"/>
        <v>-8161315280018.6611</v>
      </c>
      <c r="L5507" s="444">
        <f t="shared" ca="1" si="189"/>
        <v>-1966876982484497.8</v>
      </c>
      <c r="M5507" s="460">
        <f t="shared" si="191"/>
        <v>0.05</v>
      </c>
      <c r="N5507" s="464">
        <f t="shared" si="192"/>
        <v>218661</v>
      </c>
    </row>
    <row r="5508" spans="7:14" ht="11.25" customHeight="1" x14ac:dyDescent="0.3">
      <c r="G5508" s="459"/>
      <c r="H5508" s="459">
        <v>5501</v>
      </c>
      <c r="I5508" s="444">
        <f t="shared" ca="1" si="190"/>
        <v>-1966876982484497.8</v>
      </c>
      <c r="J5508" s="444">
        <f t="array" ref="J5508">IFERROR(INDEX('Retirement Calculator'!K:K,MATCH('Lorri 401b'!N5508,'Retirement Calculator'!A:A,0),0),0)</f>
        <v>0</v>
      </c>
      <c r="K5508" s="444">
        <f t="shared" ca="1" si="188"/>
        <v>-8195320760352.0752</v>
      </c>
      <c r="L5508" s="444">
        <f t="shared" ca="1" si="189"/>
        <v>-1975072303244849.8</v>
      </c>
      <c r="M5508" s="460">
        <f t="shared" si="191"/>
        <v>0.05</v>
      </c>
      <c r="N5508" s="464">
        <f t="shared" si="192"/>
        <v>218691</v>
      </c>
    </row>
    <row r="5509" spans="7:14" ht="11.25" customHeight="1" x14ac:dyDescent="0.3">
      <c r="G5509" s="459"/>
      <c r="H5509" s="459">
        <v>5502</v>
      </c>
      <c r="I5509" s="444">
        <f t="shared" ca="1" si="190"/>
        <v>-1975072303244849.8</v>
      </c>
      <c r="J5509" s="444">
        <f t="array" ref="J5509">IFERROR(INDEX('Retirement Calculator'!K:K,MATCH('Lorri 401b'!N5509,'Retirement Calculator'!A:A,0),0),0)</f>
        <v>0</v>
      </c>
      <c r="K5509" s="444">
        <f t="shared" ca="1" si="188"/>
        <v>-8229467930186.874</v>
      </c>
      <c r="L5509" s="444">
        <f t="shared" ca="1" si="189"/>
        <v>-1983301771175036.5</v>
      </c>
      <c r="M5509" s="460">
        <f t="shared" si="191"/>
        <v>0.05</v>
      </c>
      <c r="N5509" s="464">
        <f t="shared" si="192"/>
        <v>218722</v>
      </c>
    </row>
    <row r="5510" spans="7:14" ht="11.25" customHeight="1" x14ac:dyDescent="0.3">
      <c r="G5510" s="459"/>
      <c r="H5510" s="459">
        <v>5503</v>
      </c>
      <c r="I5510" s="444">
        <f t="shared" ca="1" si="190"/>
        <v>-1983301771175036.5</v>
      </c>
      <c r="J5510" s="444">
        <f t="array" ref="J5510">IFERROR(INDEX('Retirement Calculator'!K:K,MATCH('Lorri 401b'!N5510,'Retirement Calculator'!A:A,0),0),0)</f>
        <v>0</v>
      </c>
      <c r="K5510" s="444">
        <f t="shared" ca="1" si="188"/>
        <v>-8263757379895.9854</v>
      </c>
      <c r="L5510" s="444">
        <f t="shared" ca="1" si="189"/>
        <v>-1991565528554932.5</v>
      </c>
      <c r="M5510" s="460">
        <f t="shared" si="191"/>
        <v>0.05</v>
      </c>
      <c r="N5510" s="464">
        <f t="shared" si="192"/>
        <v>218752</v>
      </c>
    </row>
    <row r="5511" spans="7:14" ht="11.25" customHeight="1" x14ac:dyDescent="0.3">
      <c r="G5511" s="459"/>
      <c r="H5511" s="459">
        <v>5504</v>
      </c>
      <c r="I5511" s="444">
        <f t="shared" ca="1" si="190"/>
        <v>-1991565528554932.5</v>
      </c>
      <c r="J5511" s="444">
        <f t="array" ref="J5511">IFERROR(INDEX('Retirement Calculator'!K:K,MATCH('Lorri 401b'!N5511,'Retirement Calculator'!A:A,0),0),0)</f>
        <v>0</v>
      </c>
      <c r="K5511" s="444">
        <f t="shared" ca="1" si="188"/>
        <v>-8298189702312.2188</v>
      </c>
      <c r="L5511" s="444">
        <f t="shared" ca="1" si="189"/>
        <v>-1999863718257244.8</v>
      </c>
      <c r="M5511" s="460">
        <f t="shared" si="191"/>
        <v>0.05</v>
      </c>
      <c r="N5511" s="464">
        <f t="shared" si="192"/>
        <v>218783</v>
      </c>
    </row>
    <row r="5512" spans="7:14" ht="11.25" customHeight="1" x14ac:dyDescent="0.3">
      <c r="G5512" s="459"/>
      <c r="H5512" s="459">
        <v>5505</v>
      </c>
      <c r="I5512" s="444">
        <f t="shared" ca="1" si="190"/>
        <v>-1999863718257244.8</v>
      </c>
      <c r="J5512" s="444">
        <f t="array" ref="J5512">IFERROR(INDEX('Retirement Calculator'!K:K,MATCH('Lorri 401b'!N5512,'Retirement Calculator'!A:A,0),0),0)</f>
        <v>0</v>
      </c>
      <c r="K5512" s="444">
        <f t="shared" ca="1" si="188"/>
        <v>-8332765492738.5195</v>
      </c>
      <c r="L5512" s="444">
        <f t="shared" ca="1" si="189"/>
        <v>-2008196483749983.3</v>
      </c>
      <c r="M5512" s="460">
        <f t="shared" si="191"/>
        <v>0.05</v>
      </c>
      <c r="N5512" s="464">
        <f t="shared" si="192"/>
        <v>218814</v>
      </c>
    </row>
    <row r="5513" spans="7:14" ht="11.25" customHeight="1" x14ac:dyDescent="0.3">
      <c r="G5513" s="459"/>
      <c r="H5513" s="459">
        <v>5506</v>
      </c>
      <c r="I5513" s="444">
        <f t="shared" ca="1" si="190"/>
        <v>-2008196483749983.3</v>
      </c>
      <c r="J5513" s="444">
        <f t="array" ref="J5513">IFERROR(INDEX('Retirement Calculator'!K:K,MATCH('Lorri 401b'!N5513,'Retirement Calculator'!A:A,0),0),0)</f>
        <v>0</v>
      </c>
      <c r="K5513" s="444">
        <f t="shared" ca="1" si="188"/>
        <v>-8367485348958.2646</v>
      </c>
      <c r="L5513" s="444">
        <f t="shared" ca="1" si="189"/>
        <v>-2016563969098941.5</v>
      </c>
      <c r="M5513" s="460">
        <f t="shared" si="191"/>
        <v>0.05</v>
      </c>
      <c r="N5513" s="464">
        <f t="shared" si="192"/>
        <v>218842</v>
      </c>
    </row>
    <row r="5514" spans="7:14" ht="11.25" customHeight="1" x14ac:dyDescent="0.3">
      <c r="G5514" s="459"/>
      <c r="H5514" s="459">
        <v>5507</v>
      </c>
      <c r="I5514" s="444">
        <f t="shared" ca="1" si="190"/>
        <v>-2016563969098941.5</v>
      </c>
      <c r="J5514" s="444">
        <f t="array" ref="J5514">IFERROR(INDEX('Retirement Calculator'!K:K,MATCH('Lorri 401b'!N5514,'Retirement Calculator'!A:A,0),0),0)</f>
        <v>0</v>
      </c>
      <c r="K5514" s="444">
        <f t="shared" ca="1" si="188"/>
        <v>-8402349871245.5898</v>
      </c>
      <c r="L5514" s="444">
        <f t="shared" ca="1" si="189"/>
        <v>-2024966318970187</v>
      </c>
      <c r="M5514" s="460">
        <f t="shared" si="191"/>
        <v>0.05</v>
      </c>
      <c r="N5514" s="464">
        <f t="shared" si="192"/>
        <v>218873</v>
      </c>
    </row>
    <row r="5515" spans="7:14" ht="11.25" customHeight="1" x14ac:dyDescent="0.3">
      <c r="G5515" s="459"/>
      <c r="H5515" s="459">
        <v>5508</v>
      </c>
      <c r="I5515" s="444">
        <f t="shared" ca="1" si="190"/>
        <v>-2024966318970187</v>
      </c>
      <c r="J5515" s="444">
        <f t="array" ref="J5515">IFERROR(INDEX('Retirement Calculator'!K:K,MATCH('Lorri 401b'!N5515,'Retirement Calculator'!A:A,0),0),0)</f>
        <v>0</v>
      </c>
      <c r="K5515" s="444">
        <f t="shared" ca="1" si="188"/>
        <v>-8437359662375.7793</v>
      </c>
      <c r="L5515" s="444">
        <f t="shared" ca="1" si="189"/>
        <v>-2033403678632562.8</v>
      </c>
      <c r="M5515" s="460">
        <f t="shared" si="191"/>
        <v>0.05</v>
      </c>
      <c r="N5515" s="464">
        <f t="shared" si="192"/>
        <v>218903</v>
      </c>
    </row>
    <row r="5516" spans="7:14" ht="11.25" customHeight="1" x14ac:dyDescent="0.3">
      <c r="G5516" s="459"/>
      <c r="H5516" s="459">
        <v>5509</v>
      </c>
      <c r="I5516" s="444">
        <f t="shared" ca="1" si="190"/>
        <v>-2033403678632562.8</v>
      </c>
      <c r="J5516" s="444">
        <f t="array" ref="J5516">IFERROR(INDEX('Retirement Calculator'!K:K,MATCH('Lorri 401b'!N5516,'Retirement Calculator'!A:A,0),0),0)</f>
        <v>0</v>
      </c>
      <c r="K5516" s="444">
        <f t="shared" ca="1" si="188"/>
        <v>-8472515327635.6768</v>
      </c>
      <c r="L5516" s="444">
        <f t="shared" ca="1" si="189"/>
        <v>-2041876193960198.5</v>
      </c>
      <c r="M5516" s="460">
        <f t="shared" si="191"/>
        <v>0.05</v>
      </c>
      <c r="N5516" s="464">
        <f t="shared" si="192"/>
        <v>218934</v>
      </c>
    </row>
    <row r="5517" spans="7:14" ht="11.25" customHeight="1" x14ac:dyDescent="0.3">
      <c r="G5517" s="459"/>
      <c r="H5517" s="459">
        <v>5510</v>
      </c>
      <c r="I5517" s="444">
        <f t="shared" ca="1" si="190"/>
        <v>-2041876193960198.5</v>
      </c>
      <c r="J5517" s="444">
        <f t="array" ref="J5517">IFERROR(INDEX('Retirement Calculator'!K:K,MATCH('Lorri 401b'!N5517,'Retirement Calculator'!A:A,0),0),0)</f>
        <v>0</v>
      </c>
      <c r="K5517" s="444">
        <f t="shared" ca="1" si="188"/>
        <v>-8507817474834.1602</v>
      </c>
      <c r="L5517" s="444">
        <f t="shared" ca="1" si="189"/>
        <v>-2050384011435032.8</v>
      </c>
      <c r="M5517" s="460">
        <f t="shared" si="191"/>
        <v>0.05</v>
      </c>
      <c r="N5517" s="464">
        <f t="shared" si="192"/>
        <v>218964</v>
      </c>
    </row>
    <row r="5518" spans="7:14" ht="11.25" customHeight="1" x14ac:dyDescent="0.3">
      <c r="G5518" s="459"/>
      <c r="H5518" s="459">
        <v>5511</v>
      </c>
      <c r="I5518" s="444">
        <f t="shared" ca="1" si="190"/>
        <v>-2050384011435032.8</v>
      </c>
      <c r="J5518" s="444">
        <f t="array" ref="J5518">IFERROR(INDEX('Retirement Calculator'!K:K,MATCH('Lorri 401b'!N5518,'Retirement Calculator'!A:A,0),0),0)</f>
        <v>0</v>
      </c>
      <c r="K5518" s="444">
        <f t="shared" ca="1" si="188"/>
        <v>-8543266714312.6357</v>
      </c>
      <c r="L5518" s="444">
        <f t="shared" ca="1" si="189"/>
        <v>-2058927278149345.5</v>
      </c>
      <c r="M5518" s="460">
        <f t="shared" si="191"/>
        <v>0.05</v>
      </c>
      <c r="N5518" s="464">
        <f t="shared" si="192"/>
        <v>218995</v>
      </c>
    </row>
    <row r="5519" spans="7:14" ht="11.25" customHeight="1" x14ac:dyDescent="0.3">
      <c r="G5519" s="459"/>
      <c r="H5519" s="459">
        <v>5512</v>
      </c>
      <c r="I5519" s="444">
        <f t="shared" ca="1" si="190"/>
        <v>-2058927278149345.5</v>
      </c>
      <c r="J5519" s="444">
        <f t="array" ref="J5519">IFERROR(INDEX('Retirement Calculator'!K:K,MATCH('Lorri 401b'!N5519,'Retirement Calculator'!A:A,0),0),0)</f>
        <v>0</v>
      </c>
      <c r="K5519" s="444">
        <f t="shared" ca="1" si="188"/>
        <v>-8578863658955.6064</v>
      </c>
      <c r="L5519" s="444">
        <f t="shared" ca="1" si="189"/>
        <v>-2067506141808301</v>
      </c>
      <c r="M5519" s="460">
        <f t="shared" si="191"/>
        <v>0.05</v>
      </c>
      <c r="N5519" s="464">
        <f t="shared" si="192"/>
        <v>219026</v>
      </c>
    </row>
    <row r="5520" spans="7:14" ht="11.25" customHeight="1" x14ac:dyDescent="0.3">
      <c r="G5520" s="459"/>
      <c r="H5520" s="459">
        <v>5513</v>
      </c>
      <c r="I5520" s="444">
        <f t="shared" ca="1" si="190"/>
        <v>-2067506141808301</v>
      </c>
      <c r="J5520" s="444">
        <f t="array" ref="J5520">IFERROR(INDEX('Retirement Calculator'!K:K,MATCH('Lorri 401b'!N5520,'Retirement Calculator'!A:A,0),0),0)</f>
        <v>0</v>
      </c>
      <c r="K5520" s="444">
        <f t="shared" ca="1" si="188"/>
        <v>-8614608924201.2539</v>
      </c>
      <c r="L5520" s="444">
        <f t="shared" ca="1" si="189"/>
        <v>-2076120750732502.3</v>
      </c>
      <c r="M5520" s="460">
        <f t="shared" si="191"/>
        <v>0.05</v>
      </c>
      <c r="N5520" s="464">
        <f t="shared" si="192"/>
        <v>219056</v>
      </c>
    </row>
    <row r="5521" spans="7:14" ht="11.25" customHeight="1" x14ac:dyDescent="0.3">
      <c r="G5521" s="459"/>
      <c r="H5521" s="459">
        <v>5514</v>
      </c>
      <c r="I5521" s="444">
        <f t="shared" ca="1" si="190"/>
        <v>-2076120750732502.3</v>
      </c>
      <c r="J5521" s="444">
        <f t="array" ref="J5521">IFERROR(INDEX('Retirement Calculator'!K:K,MATCH('Lorri 401b'!N5521,'Retirement Calculator'!A:A,0),0),0)</f>
        <v>0</v>
      </c>
      <c r="K5521" s="444">
        <f t="shared" ca="1" si="188"/>
        <v>-8650503128052.0928</v>
      </c>
      <c r="L5521" s="444">
        <f t="shared" ca="1" si="189"/>
        <v>-2084771253860554.3</v>
      </c>
      <c r="M5521" s="460">
        <f t="shared" si="191"/>
        <v>0.05</v>
      </c>
      <c r="N5521" s="464">
        <f t="shared" si="192"/>
        <v>219087</v>
      </c>
    </row>
    <row r="5522" spans="7:14" ht="11.25" customHeight="1" x14ac:dyDescent="0.3">
      <c r="G5522" s="459"/>
      <c r="H5522" s="459">
        <v>5515</v>
      </c>
      <c r="I5522" s="444">
        <f t="shared" ca="1" si="190"/>
        <v>-2084771253860554.3</v>
      </c>
      <c r="J5522" s="444">
        <f t="array" ref="J5522">IFERROR(INDEX('Retirement Calculator'!K:K,MATCH('Lorri 401b'!N5522,'Retirement Calculator'!A:A,0),0),0)</f>
        <v>0</v>
      </c>
      <c r="K5522" s="444">
        <f t="shared" ca="1" si="188"/>
        <v>-8686546891085.6416</v>
      </c>
      <c r="L5522" s="444">
        <f t="shared" ca="1" si="189"/>
        <v>-2093457800751640</v>
      </c>
      <c r="M5522" s="460">
        <f t="shared" si="191"/>
        <v>0.05</v>
      </c>
      <c r="N5522" s="464">
        <f t="shared" si="192"/>
        <v>219117</v>
      </c>
    </row>
    <row r="5523" spans="7:14" ht="11.25" customHeight="1" x14ac:dyDescent="0.3">
      <c r="G5523" s="459"/>
      <c r="H5523" s="459">
        <v>5516</v>
      </c>
      <c r="I5523" s="444">
        <f t="shared" ca="1" si="190"/>
        <v>-2093457800751640</v>
      </c>
      <c r="J5523" s="444">
        <f t="array" ref="J5523">IFERROR(INDEX('Retirement Calculator'!K:K,MATCH('Lorri 401b'!N5523,'Retirement Calculator'!A:A,0),0),0)</f>
        <v>0</v>
      </c>
      <c r="K5523" s="444">
        <f t="shared" ca="1" si="188"/>
        <v>-8722740836465.167</v>
      </c>
      <c r="L5523" s="444">
        <f t="shared" ca="1" si="189"/>
        <v>-2102180541588105.3</v>
      </c>
      <c r="M5523" s="460">
        <f t="shared" si="191"/>
        <v>0.05</v>
      </c>
      <c r="N5523" s="464">
        <f t="shared" si="192"/>
        <v>219148</v>
      </c>
    </row>
    <row r="5524" spans="7:14" ht="11.25" customHeight="1" x14ac:dyDescent="0.3">
      <c r="G5524" s="459"/>
      <c r="H5524" s="459">
        <v>5517</v>
      </c>
      <c r="I5524" s="444">
        <f t="shared" ca="1" si="190"/>
        <v>-2102180541588105.3</v>
      </c>
      <c r="J5524" s="444">
        <f t="array" ref="J5524">IFERROR(INDEX('Retirement Calculator'!K:K,MATCH('Lorri 401b'!N5524,'Retirement Calculator'!A:A,0),0),0)</f>
        <v>0</v>
      </c>
      <c r="K5524" s="444">
        <f t="shared" ca="1" si="188"/>
        <v>-8759085589950.4395</v>
      </c>
      <c r="L5524" s="444">
        <f t="shared" ca="1" si="189"/>
        <v>-2110939627178055.8</v>
      </c>
      <c r="M5524" s="460">
        <f t="shared" si="191"/>
        <v>0.05</v>
      </c>
      <c r="N5524" s="464">
        <f t="shared" si="192"/>
        <v>219179</v>
      </c>
    </row>
    <row r="5525" spans="7:14" ht="11.25" customHeight="1" x14ac:dyDescent="0.3">
      <c r="G5525" s="459"/>
      <c r="H5525" s="459">
        <v>5518</v>
      </c>
      <c r="I5525" s="444">
        <f t="shared" ca="1" si="190"/>
        <v>-2110939627178055.8</v>
      </c>
      <c r="J5525" s="444">
        <f t="array" ref="J5525">IFERROR(INDEX('Retirement Calculator'!K:K,MATCH('Lorri 401b'!N5525,'Retirement Calculator'!A:A,0),0),0)</f>
        <v>0</v>
      </c>
      <c r="K5525" s="444">
        <f t="shared" ca="1" si="188"/>
        <v>-8795581779908.5654</v>
      </c>
      <c r="L5525" s="444">
        <f t="shared" ca="1" si="189"/>
        <v>-2119735208957964.3</v>
      </c>
      <c r="M5525" s="460">
        <f t="shared" si="191"/>
        <v>0.05</v>
      </c>
      <c r="N5525" s="464">
        <f t="shared" si="192"/>
        <v>219207</v>
      </c>
    </row>
    <row r="5526" spans="7:14" ht="11.25" customHeight="1" x14ac:dyDescent="0.3">
      <c r="G5526" s="459"/>
      <c r="H5526" s="459">
        <v>5519</v>
      </c>
      <c r="I5526" s="444">
        <f t="shared" ca="1" si="190"/>
        <v>-2119735208957964.3</v>
      </c>
      <c r="J5526" s="444">
        <f t="array" ref="J5526">IFERROR(INDEX('Retirement Calculator'!K:K,MATCH('Lorri 401b'!N5526,'Retirement Calculator'!A:A,0),0),0)</f>
        <v>0</v>
      </c>
      <c r="K5526" s="444">
        <f t="shared" ca="1" si="188"/>
        <v>-8832230037324.8516</v>
      </c>
      <c r="L5526" s="444">
        <f t="shared" ca="1" si="189"/>
        <v>-2128567438995289</v>
      </c>
      <c r="M5526" s="460">
        <f t="shared" si="191"/>
        <v>0.05</v>
      </c>
      <c r="N5526" s="464">
        <f t="shared" si="192"/>
        <v>219238</v>
      </c>
    </row>
    <row r="5527" spans="7:14" ht="11.25" customHeight="1" x14ac:dyDescent="0.3">
      <c r="G5527" s="459"/>
      <c r="H5527" s="459">
        <v>5520</v>
      </c>
      <c r="I5527" s="444">
        <f t="shared" ca="1" si="190"/>
        <v>-2128567438995289</v>
      </c>
      <c r="J5527" s="444">
        <f t="array" ref="J5527">IFERROR(INDEX('Retirement Calculator'!K:K,MATCH('Lorri 401b'!N5527,'Retirement Calculator'!A:A,0),0),0)</f>
        <v>0</v>
      </c>
      <c r="K5527" s="444">
        <f t="shared" ca="1" si="188"/>
        <v>-8869030995813.7051</v>
      </c>
      <c r="L5527" s="444">
        <f t="shared" ca="1" si="189"/>
        <v>-2137436469991102.8</v>
      </c>
      <c r="M5527" s="460">
        <f t="shared" si="191"/>
        <v>0.05</v>
      </c>
      <c r="N5527" s="464">
        <f t="shared" si="192"/>
        <v>219268</v>
      </c>
    </row>
    <row r="5528" spans="7:14" ht="11.25" customHeight="1" x14ac:dyDescent="0.3">
      <c r="G5528" s="459"/>
      <c r="H5528" s="459">
        <v>5521</v>
      </c>
      <c r="I5528" s="444">
        <f t="shared" ca="1" si="190"/>
        <v>-2137436469991102.8</v>
      </c>
      <c r="J5528" s="444">
        <f t="array" ref="J5528">IFERROR(INDEX('Retirement Calculator'!K:K,MATCH('Lorri 401b'!N5528,'Retirement Calculator'!A:A,0),0),0)</f>
        <v>0</v>
      </c>
      <c r="K5528" s="444">
        <f t="shared" ca="1" si="188"/>
        <v>-8905985291629.5938</v>
      </c>
      <c r="L5528" s="444">
        <f t="shared" ca="1" si="189"/>
        <v>-2146342455282732.3</v>
      </c>
      <c r="M5528" s="460">
        <f t="shared" si="191"/>
        <v>0.05</v>
      </c>
      <c r="N5528" s="464">
        <f t="shared" si="192"/>
        <v>219299</v>
      </c>
    </row>
    <row r="5529" spans="7:14" ht="11.25" customHeight="1" x14ac:dyDescent="0.3">
      <c r="G5529" s="459"/>
      <c r="H5529" s="459">
        <v>5522</v>
      </c>
      <c r="I5529" s="444">
        <f t="shared" ca="1" si="190"/>
        <v>-2146342455282732.3</v>
      </c>
      <c r="J5529" s="444">
        <f t="array" ref="J5529">IFERROR(INDEX('Retirement Calculator'!K:K,MATCH('Lorri 401b'!N5529,'Retirement Calculator'!A:A,0),0),0)</f>
        <v>0</v>
      </c>
      <c r="K5529" s="444">
        <f t="shared" ca="1" si="188"/>
        <v>-8943093563678.0508</v>
      </c>
      <c r="L5529" s="444">
        <f t="shared" ca="1" si="189"/>
        <v>-2155285548846410.3</v>
      </c>
      <c r="M5529" s="460">
        <f t="shared" si="191"/>
        <v>0.05</v>
      </c>
      <c r="N5529" s="464">
        <f t="shared" si="192"/>
        <v>219329</v>
      </c>
    </row>
    <row r="5530" spans="7:14" ht="11.25" customHeight="1" x14ac:dyDescent="0.3">
      <c r="G5530" s="459"/>
      <c r="H5530" s="459">
        <v>5523</v>
      </c>
      <c r="I5530" s="444">
        <f t="shared" ca="1" si="190"/>
        <v>-2155285548846410.3</v>
      </c>
      <c r="J5530" s="444">
        <f t="array" ref="J5530">IFERROR(INDEX('Retirement Calculator'!K:K,MATCH('Lorri 401b'!N5530,'Retirement Calculator'!A:A,0),0),0)</f>
        <v>0</v>
      </c>
      <c r="K5530" s="444">
        <f t="shared" ca="1" si="188"/>
        <v>-8980356453526.709</v>
      </c>
      <c r="L5530" s="444">
        <f t="shared" ca="1" si="189"/>
        <v>-2164265905299937</v>
      </c>
      <c r="M5530" s="460">
        <f t="shared" si="191"/>
        <v>0.05</v>
      </c>
      <c r="N5530" s="464">
        <f t="shared" si="192"/>
        <v>219360</v>
      </c>
    </row>
    <row r="5531" spans="7:14" ht="11.25" customHeight="1" x14ac:dyDescent="0.3">
      <c r="G5531" s="459"/>
      <c r="H5531" s="459">
        <v>5524</v>
      </c>
      <c r="I5531" s="444">
        <f t="shared" ca="1" si="190"/>
        <v>-2164265905299937</v>
      </c>
      <c r="J5531" s="444">
        <f t="array" ref="J5531">IFERROR(INDEX('Retirement Calculator'!K:K,MATCH('Lorri 401b'!N5531,'Retirement Calculator'!A:A,0),0),0)</f>
        <v>0</v>
      </c>
      <c r="K5531" s="444">
        <f t="shared" ca="1" si="188"/>
        <v>-9017774605416.4023</v>
      </c>
      <c r="L5531" s="444">
        <f t="shared" ca="1" si="189"/>
        <v>-2173283679905353.5</v>
      </c>
      <c r="M5531" s="460">
        <f t="shared" si="191"/>
        <v>0.05</v>
      </c>
      <c r="N5531" s="464">
        <f t="shared" si="192"/>
        <v>219391</v>
      </c>
    </row>
    <row r="5532" spans="7:14" ht="11.25" customHeight="1" x14ac:dyDescent="0.3">
      <c r="G5532" s="459"/>
      <c r="H5532" s="459">
        <v>5525</v>
      </c>
      <c r="I5532" s="444">
        <f t="shared" ca="1" si="190"/>
        <v>-2173283679905353.5</v>
      </c>
      <c r="J5532" s="444">
        <f t="array" ref="J5532">IFERROR(INDEX('Retirement Calculator'!K:K,MATCH('Lorri 401b'!N5532,'Retirement Calculator'!A:A,0),0),0)</f>
        <v>0</v>
      </c>
      <c r="K5532" s="444">
        <f t="shared" ca="1" si="188"/>
        <v>-9055348666272.3066</v>
      </c>
      <c r="L5532" s="444">
        <f t="shared" ca="1" si="189"/>
        <v>-2182339028571625.8</v>
      </c>
      <c r="M5532" s="460">
        <f t="shared" si="191"/>
        <v>0.05</v>
      </c>
      <c r="N5532" s="464">
        <f t="shared" si="192"/>
        <v>219421</v>
      </c>
    </row>
    <row r="5533" spans="7:14" ht="11.25" customHeight="1" x14ac:dyDescent="0.3">
      <c r="G5533" s="459"/>
      <c r="H5533" s="459">
        <v>5526</v>
      </c>
      <c r="I5533" s="444">
        <f t="shared" ca="1" si="190"/>
        <v>-2182339028571625.8</v>
      </c>
      <c r="J5533" s="444">
        <f t="array" ref="J5533">IFERROR(INDEX('Retirement Calculator'!K:K,MATCH('Lorri 401b'!N5533,'Retirement Calculator'!A:A,0),0),0)</f>
        <v>0</v>
      </c>
      <c r="K5533" s="444">
        <f t="shared" ca="1" si="188"/>
        <v>-9093079285715.1074</v>
      </c>
      <c r="L5533" s="444">
        <f t="shared" ca="1" si="189"/>
        <v>-2191432107857340.8</v>
      </c>
      <c r="M5533" s="460">
        <f t="shared" si="191"/>
        <v>0.05</v>
      </c>
      <c r="N5533" s="464">
        <f t="shared" si="192"/>
        <v>219452</v>
      </c>
    </row>
    <row r="5534" spans="7:14" ht="11.25" customHeight="1" x14ac:dyDescent="0.3">
      <c r="G5534" s="459"/>
      <c r="H5534" s="459">
        <v>5527</v>
      </c>
      <c r="I5534" s="444">
        <f t="shared" ca="1" si="190"/>
        <v>-2191432107857340.8</v>
      </c>
      <c r="J5534" s="444">
        <f t="array" ref="J5534">IFERROR(INDEX('Retirement Calculator'!K:K,MATCH('Lorri 401b'!N5534,'Retirement Calculator'!A:A,0),0),0)</f>
        <v>0</v>
      </c>
      <c r="K5534" s="444">
        <f t="shared" ca="1" si="188"/>
        <v>-9130967116072.2539</v>
      </c>
      <c r="L5534" s="444">
        <f t="shared" ca="1" si="189"/>
        <v>-2200563074973413</v>
      </c>
      <c r="M5534" s="460">
        <f t="shared" si="191"/>
        <v>0.05</v>
      </c>
      <c r="N5534" s="464">
        <f t="shared" si="192"/>
        <v>219482</v>
      </c>
    </row>
    <row r="5535" spans="7:14" ht="11.25" customHeight="1" x14ac:dyDescent="0.3">
      <c r="G5535" s="459"/>
      <c r="H5535" s="459">
        <v>5528</v>
      </c>
      <c r="I5535" s="444">
        <f t="shared" ca="1" si="190"/>
        <v>-2200563074973413</v>
      </c>
      <c r="J5535" s="444">
        <f t="array" ref="J5535">IFERROR(INDEX('Retirement Calculator'!K:K,MATCH('Lorri 401b'!N5535,'Retirement Calculator'!A:A,0),0),0)</f>
        <v>0</v>
      </c>
      <c r="K5535" s="444">
        <f t="shared" ca="1" si="188"/>
        <v>-9169012812389.2188</v>
      </c>
      <c r="L5535" s="444">
        <f t="shared" ca="1" si="189"/>
        <v>-2209732087785802.3</v>
      </c>
      <c r="M5535" s="460">
        <f t="shared" si="191"/>
        <v>0.05</v>
      </c>
      <c r="N5535" s="464">
        <f t="shared" si="192"/>
        <v>219513</v>
      </c>
    </row>
    <row r="5536" spans="7:14" ht="11.25" customHeight="1" x14ac:dyDescent="0.3">
      <c r="G5536" s="459"/>
      <c r="H5536" s="459">
        <v>5529</v>
      </c>
      <c r="I5536" s="444">
        <f t="shared" ca="1" si="190"/>
        <v>-2209732087785802.3</v>
      </c>
      <c r="J5536" s="444">
        <f t="array" ref="J5536">IFERROR(INDEX('Retirement Calculator'!K:K,MATCH('Lorri 401b'!N5536,'Retirement Calculator'!A:A,0),0),0)</f>
        <v>0</v>
      </c>
      <c r="K5536" s="444">
        <f t="shared" ca="1" si="188"/>
        <v>-9207217032440.8418</v>
      </c>
      <c r="L5536" s="444">
        <f t="shared" ca="1" si="189"/>
        <v>-2218939304818243</v>
      </c>
      <c r="M5536" s="460">
        <f t="shared" si="191"/>
        <v>0.05</v>
      </c>
      <c r="N5536" s="464">
        <f t="shared" si="192"/>
        <v>219544</v>
      </c>
    </row>
    <row r="5537" spans="7:14" ht="11.25" customHeight="1" x14ac:dyDescent="0.3">
      <c r="G5537" s="459"/>
      <c r="H5537" s="459">
        <v>5530</v>
      </c>
      <c r="I5537" s="444">
        <f t="shared" ca="1" si="190"/>
        <v>-2218939304818243</v>
      </c>
      <c r="J5537" s="444">
        <f t="array" ref="J5537">IFERROR(INDEX('Retirement Calculator'!K:K,MATCH('Lorri 401b'!N5537,'Retirement Calculator'!A:A,0),0),0)</f>
        <v>0</v>
      </c>
      <c r="K5537" s="444">
        <f t="shared" ca="1" si="188"/>
        <v>-9245580436742.6797</v>
      </c>
      <c r="L5537" s="444">
        <f t="shared" ca="1" si="189"/>
        <v>-2228184885254985.8</v>
      </c>
      <c r="M5537" s="460">
        <f t="shared" si="191"/>
        <v>0.05</v>
      </c>
      <c r="N5537" s="464">
        <f t="shared" si="192"/>
        <v>219572</v>
      </c>
    </row>
    <row r="5538" spans="7:14" ht="11.25" customHeight="1" x14ac:dyDescent="0.3">
      <c r="G5538" s="459"/>
      <c r="H5538" s="459">
        <v>5531</v>
      </c>
      <c r="I5538" s="444">
        <f t="shared" ca="1" si="190"/>
        <v>-2228184885254985.8</v>
      </c>
      <c r="J5538" s="444">
        <f t="array" ref="J5538">IFERROR(INDEX('Retirement Calculator'!K:K,MATCH('Lorri 401b'!N5538,'Retirement Calculator'!A:A,0),0),0)</f>
        <v>0</v>
      </c>
      <c r="K5538" s="444">
        <f t="shared" ca="1" si="188"/>
        <v>-9284103688562.4395</v>
      </c>
      <c r="L5538" s="444">
        <f t="shared" ca="1" si="189"/>
        <v>-2237468988943548.3</v>
      </c>
      <c r="M5538" s="460">
        <f t="shared" si="191"/>
        <v>0.05</v>
      </c>
      <c r="N5538" s="464">
        <f t="shared" si="192"/>
        <v>219603</v>
      </c>
    </row>
    <row r="5539" spans="7:14" ht="11.25" customHeight="1" x14ac:dyDescent="0.3">
      <c r="G5539" s="459"/>
      <c r="H5539" s="459">
        <v>5532</v>
      </c>
      <c r="I5539" s="444">
        <f t="shared" ca="1" si="190"/>
        <v>-2237468988943548.3</v>
      </c>
      <c r="J5539" s="444">
        <f t="array" ref="J5539">IFERROR(INDEX('Retirement Calculator'!K:K,MATCH('Lorri 401b'!N5539,'Retirement Calculator'!A:A,0),0),0)</f>
        <v>0</v>
      </c>
      <c r="K5539" s="444">
        <f t="shared" ca="1" si="188"/>
        <v>-9322787453931.4512</v>
      </c>
      <c r="L5539" s="444">
        <f t="shared" ca="1" si="189"/>
        <v>-2246791776397479.8</v>
      </c>
      <c r="M5539" s="460">
        <f t="shared" si="191"/>
        <v>0.05</v>
      </c>
      <c r="N5539" s="464">
        <f t="shared" si="192"/>
        <v>219633</v>
      </c>
    </row>
    <row r="5540" spans="7:14" ht="11.25" customHeight="1" x14ac:dyDescent="0.3">
      <c r="G5540" s="459"/>
      <c r="H5540" s="459">
        <v>5533</v>
      </c>
      <c r="I5540" s="444">
        <f t="shared" ca="1" si="190"/>
        <v>-2246791776397479.8</v>
      </c>
      <c r="J5540" s="444">
        <f t="array" ref="J5540">IFERROR(INDEX('Retirement Calculator'!K:K,MATCH('Lorri 401b'!N5540,'Retirement Calculator'!A:A,0),0),0)</f>
        <v>0</v>
      </c>
      <c r="K5540" s="444">
        <f t="shared" ca="1" si="188"/>
        <v>-9361632401656.166</v>
      </c>
      <c r="L5540" s="444">
        <f t="shared" ca="1" si="189"/>
        <v>-2256153408799136</v>
      </c>
      <c r="M5540" s="460">
        <f t="shared" si="191"/>
        <v>0.05</v>
      </c>
      <c r="N5540" s="464">
        <f t="shared" si="192"/>
        <v>219664</v>
      </c>
    </row>
    <row r="5541" spans="7:14" ht="11.25" customHeight="1" x14ac:dyDescent="0.3">
      <c r="G5541" s="459"/>
      <c r="H5541" s="459">
        <v>5534</v>
      </c>
      <c r="I5541" s="444">
        <f t="shared" ca="1" si="190"/>
        <v>-2256153408799136</v>
      </c>
      <c r="J5541" s="444">
        <f t="array" ref="J5541">IFERROR(INDEX('Retirement Calculator'!K:K,MATCH('Lorri 401b'!N5541,'Retirement Calculator'!A:A,0),0),0)</f>
        <v>0</v>
      </c>
      <c r="K5541" s="444">
        <f t="shared" ca="1" si="188"/>
        <v>-9400639203329.7324</v>
      </c>
      <c r="L5541" s="444">
        <f t="shared" ca="1" si="189"/>
        <v>-2265554048002465.5</v>
      </c>
      <c r="M5541" s="460">
        <f t="shared" si="191"/>
        <v>0.05</v>
      </c>
      <c r="N5541" s="464">
        <f t="shared" si="192"/>
        <v>219694</v>
      </c>
    </row>
    <row r="5542" spans="7:14" ht="11.25" customHeight="1" x14ac:dyDescent="0.3">
      <c r="G5542" s="459"/>
      <c r="H5542" s="459">
        <v>5535</v>
      </c>
      <c r="I5542" s="444">
        <f t="shared" ca="1" si="190"/>
        <v>-2265554048002465.5</v>
      </c>
      <c r="J5542" s="444">
        <f t="array" ref="J5542">IFERROR(INDEX('Retirement Calculator'!K:K,MATCH('Lorri 401b'!N5542,'Retirement Calculator'!A:A,0),0),0)</f>
        <v>0</v>
      </c>
      <c r="K5542" s="444">
        <f t="shared" ca="1" si="188"/>
        <v>-9439808533343.6055</v>
      </c>
      <c r="L5542" s="444">
        <f t="shared" ca="1" si="189"/>
        <v>-2274993856535809</v>
      </c>
      <c r="M5542" s="460">
        <f t="shared" si="191"/>
        <v>0.05</v>
      </c>
      <c r="N5542" s="464">
        <f t="shared" si="192"/>
        <v>219725</v>
      </c>
    </row>
    <row r="5543" spans="7:14" ht="11.25" customHeight="1" x14ac:dyDescent="0.3">
      <c r="G5543" s="459"/>
      <c r="H5543" s="459">
        <v>5536</v>
      </c>
      <c r="I5543" s="444">
        <f t="shared" ca="1" si="190"/>
        <v>-2274993856535809</v>
      </c>
      <c r="J5543" s="444">
        <f t="array" ref="J5543">IFERROR(INDEX('Retirement Calculator'!K:K,MATCH('Lorri 401b'!N5543,'Retirement Calculator'!A:A,0),0),0)</f>
        <v>0</v>
      </c>
      <c r="K5543" s="444">
        <f t="shared" ca="1" si="188"/>
        <v>-9479141068899.2031</v>
      </c>
      <c r="L5543" s="444">
        <f t="shared" ca="1" si="189"/>
        <v>-2284472997604708</v>
      </c>
      <c r="M5543" s="460">
        <f t="shared" si="191"/>
        <v>0.05</v>
      </c>
      <c r="N5543" s="464">
        <f t="shared" si="192"/>
        <v>219756</v>
      </c>
    </row>
    <row r="5544" spans="7:14" ht="11.25" customHeight="1" x14ac:dyDescent="0.3">
      <c r="G5544" s="459"/>
      <c r="H5544" s="459">
        <v>5537</v>
      </c>
      <c r="I5544" s="444">
        <f t="shared" ca="1" si="190"/>
        <v>-2284472997604708</v>
      </c>
      <c r="J5544" s="444">
        <f t="array" ref="J5544">IFERROR(INDEX('Retirement Calculator'!K:K,MATCH('Lorri 401b'!N5544,'Retirement Calculator'!A:A,0),0),0)</f>
        <v>0</v>
      </c>
      <c r="K5544" s="444">
        <f t="shared" ca="1" si="188"/>
        <v>-9518637490019.6172</v>
      </c>
      <c r="L5544" s="444">
        <f t="shared" ca="1" si="189"/>
        <v>-2293991635094727.5</v>
      </c>
      <c r="M5544" s="460">
        <f t="shared" si="191"/>
        <v>0.05</v>
      </c>
      <c r="N5544" s="464">
        <f t="shared" si="192"/>
        <v>219786</v>
      </c>
    </row>
    <row r="5545" spans="7:14" ht="11.25" customHeight="1" x14ac:dyDescent="0.3">
      <c r="G5545" s="459"/>
      <c r="H5545" s="459">
        <v>5538</v>
      </c>
      <c r="I5545" s="444">
        <f t="shared" ca="1" si="190"/>
        <v>-2293991635094727.5</v>
      </c>
      <c r="J5545" s="444">
        <f t="array" ref="J5545">IFERROR(INDEX('Retirement Calculator'!K:K,MATCH('Lorri 401b'!N5545,'Retirement Calculator'!A:A,0),0),0)</f>
        <v>0</v>
      </c>
      <c r="K5545" s="444">
        <f t="shared" ca="1" si="188"/>
        <v>-9558298479561.3652</v>
      </c>
      <c r="L5545" s="444">
        <f t="shared" ca="1" si="189"/>
        <v>-2303549933574289</v>
      </c>
      <c r="M5545" s="460">
        <f t="shared" si="191"/>
        <v>0.05</v>
      </c>
      <c r="N5545" s="464">
        <f t="shared" si="192"/>
        <v>219817</v>
      </c>
    </row>
    <row r="5546" spans="7:14" ht="11.25" customHeight="1" x14ac:dyDescent="0.3">
      <c r="G5546" s="459"/>
      <c r="H5546" s="459">
        <v>5539</v>
      </c>
      <c r="I5546" s="444">
        <f t="shared" ca="1" si="190"/>
        <v>-2303549933574289</v>
      </c>
      <c r="J5546" s="444">
        <f t="array" ref="J5546">IFERROR(INDEX('Retirement Calculator'!K:K,MATCH('Lorri 401b'!N5546,'Retirement Calculator'!A:A,0),0),0)</f>
        <v>0</v>
      </c>
      <c r="K5546" s="444">
        <f t="shared" ca="1" si="188"/>
        <v>-9598124723226.2031</v>
      </c>
      <c r="L5546" s="444">
        <f t="shared" ca="1" si="189"/>
        <v>-2313148058297515</v>
      </c>
      <c r="M5546" s="460">
        <f t="shared" si="191"/>
        <v>0.05</v>
      </c>
      <c r="N5546" s="464">
        <f t="shared" si="192"/>
        <v>219847</v>
      </c>
    </row>
    <row r="5547" spans="7:14" ht="11.25" customHeight="1" x14ac:dyDescent="0.3">
      <c r="G5547" s="459"/>
      <c r="H5547" s="459">
        <v>5540</v>
      </c>
      <c r="I5547" s="444">
        <f t="shared" ca="1" si="190"/>
        <v>-2313148058297515</v>
      </c>
      <c r="J5547" s="444">
        <f t="array" ref="J5547">IFERROR(INDEX('Retirement Calculator'!K:K,MATCH('Lorri 401b'!N5547,'Retirement Calculator'!A:A,0),0),0)</f>
        <v>0</v>
      </c>
      <c r="K5547" s="444">
        <f t="shared" ca="1" si="188"/>
        <v>-9638116909572.9785</v>
      </c>
      <c r="L5547" s="444">
        <f t="shared" ca="1" si="189"/>
        <v>-2322786175207088</v>
      </c>
      <c r="M5547" s="460">
        <f t="shared" si="191"/>
        <v>0.05</v>
      </c>
      <c r="N5547" s="464">
        <f t="shared" si="192"/>
        <v>219878</v>
      </c>
    </row>
    <row r="5548" spans="7:14" ht="11.25" customHeight="1" x14ac:dyDescent="0.3">
      <c r="G5548" s="459"/>
      <c r="H5548" s="459">
        <v>5541</v>
      </c>
      <c r="I5548" s="444">
        <f t="shared" ca="1" si="190"/>
        <v>-2322786175207088</v>
      </c>
      <c r="J5548" s="444">
        <f t="array" ref="J5548">IFERROR(INDEX('Retirement Calculator'!K:K,MATCH('Lorri 401b'!N5548,'Retirement Calculator'!A:A,0),0),0)</f>
        <v>0</v>
      </c>
      <c r="K5548" s="444">
        <f t="shared" ca="1" si="188"/>
        <v>-9678275730029.5332</v>
      </c>
      <c r="L5548" s="444">
        <f t="shared" ca="1" si="189"/>
        <v>-2332464450937117.5</v>
      </c>
      <c r="M5548" s="460">
        <f t="shared" si="191"/>
        <v>0.05</v>
      </c>
      <c r="N5548" s="464">
        <f t="shared" si="192"/>
        <v>219909</v>
      </c>
    </row>
    <row r="5549" spans="7:14" ht="11.25" customHeight="1" x14ac:dyDescent="0.3">
      <c r="G5549" s="459"/>
      <c r="H5549" s="459">
        <v>5542</v>
      </c>
      <c r="I5549" s="444">
        <f t="shared" ca="1" si="190"/>
        <v>-2332464450937117.5</v>
      </c>
      <c r="J5549" s="444">
        <f t="array" ref="J5549">IFERROR(INDEX('Retirement Calculator'!K:K,MATCH('Lorri 401b'!N5549,'Retirement Calculator'!A:A,0),0),0)</f>
        <v>0</v>
      </c>
      <c r="K5549" s="444">
        <f t="shared" ca="1" si="188"/>
        <v>-9718601878904.6563</v>
      </c>
      <c r="L5549" s="444">
        <f t="shared" ca="1" si="189"/>
        <v>-2342183052816022</v>
      </c>
      <c r="M5549" s="460">
        <f t="shared" si="191"/>
        <v>0.05</v>
      </c>
      <c r="N5549" s="464">
        <f t="shared" si="192"/>
        <v>219937</v>
      </c>
    </row>
    <row r="5550" spans="7:14" ht="11.25" customHeight="1" x14ac:dyDescent="0.3">
      <c r="G5550" s="459"/>
      <c r="H5550" s="459">
        <v>5543</v>
      </c>
      <c r="I5550" s="444">
        <f t="shared" ca="1" si="190"/>
        <v>-2342183052816022</v>
      </c>
      <c r="J5550" s="444">
        <f t="array" ref="J5550">IFERROR(INDEX('Retirement Calculator'!K:K,MATCH('Lorri 401b'!N5550,'Retirement Calculator'!A:A,0),0),0)</f>
        <v>0</v>
      </c>
      <c r="K5550" s="444">
        <f t="shared" ca="1" si="188"/>
        <v>-9759096053400.0918</v>
      </c>
      <c r="L5550" s="444">
        <f t="shared" ca="1" si="189"/>
        <v>-2351942148869422</v>
      </c>
      <c r="M5550" s="460">
        <f t="shared" si="191"/>
        <v>0.05</v>
      </c>
      <c r="N5550" s="464">
        <f t="shared" si="192"/>
        <v>219968</v>
      </c>
    </row>
    <row r="5551" spans="7:14" ht="11.25" customHeight="1" x14ac:dyDescent="0.3">
      <c r="G5551" s="459"/>
      <c r="H5551" s="459">
        <v>5544</v>
      </c>
      <c r="I5551" s="444">
        <f t="shared" ca="1" si="190"/>
        <v>-2351942148869422</v>
      </c>
      <c r="J5551" s="444">
        <f t="array" ref="J5551">IFERROR(INDEX('Retirement Calculator'!K:K,MATCH('Lorri 401b'!N5551,'Retirement Calculator'!A:A,0),0),0)</f>
        <v>0</v>
      </c>
      <c r="K5551" s="444">
        <f t="shared" ca="1" si="188"/>
        <v>-9799758953622.5918</v>
      </c>
      <c r="L5551" s="444">
        <f t="shared" ca="1" si="189"/>
        <v>-2361741907823044.5</v>
      </c>
      <c r="M5551" s="460">
        <f t="shared" si="191"/>
        <v>0.05</v>
      </c>
      <c r="N5551" s="464">
        <f t="shared" si="192"/>
        <v>219998</v>
      </c>
    </row>
    <row r="5552" spans="7:14" ht="11.25" customHeight="1" x14ac:dyDescent="0.3">
      <c r="G5552" s="459"/>
      <c r="H5552" s="459">
        <v>5545</v>
      </c>
      <c r="I5552" s="444">
        <f t="shared" ca="1" si="190"/>
        <v>-2361741907823044.5</v>
      </c>
      <c r="J5552" s="444">
        <f t="array" ref="J5552">IFERROR(INDEX('Retirement Calculator'!K:K,MATCH('Lorri 401b'!N5552,'Retirement Calculator'!A:A,0),0),0)</f>
        <v>0</v>
      </c>
      <c r="K5552" s="444">
        <f t="shared" ca="1" si="188"/>
        <v>-9840591282596.0195</v>
      </c>
      <c r="L5552" s="444">
        <f t="shared" ca="1" si="189"/>
        <v>-2371582499105640.5</v>
      </c>
      <c r="M5552" s="460">
        <f t="shared" si="191"/>
        <v>0.05</v>
      </c>
      <c r="N5552" s="464">
        <f t="shared" si="192"/>
        <v>220029</v>
      </c>
    </row>
    <row r="5553" spans="7:14" ht="11.25" customHeight="1" x14ac:dyDescent="0.3">
      <c r="G5553" s="459"/>
      <c r="H5553" s="459">
        <v>5546</v>
      </c>
      <c r="I5553" s="444">
        <f t="shared" ca="1" si="190"/>
        <v>-2371582499105640.5</v>
      </c>
      <c r="J5553" s="444">
        <f t="array" ref="J5553">IFERROR(INDEX('Retirement Calculator'!K:K,MATCH('Lorri 401b'!N5553,'Retirement Calculator'!A:A,0),0),0)</f>
        <v>0</v>
      </c>
      <c r="K5553" s="444">
        <f t="shared" ca="1" si="188"/>
        <v>-9881593746273.502</v>
      </c>
      <c r="L5553" s="444">
        <f t="shared" ca="1" si="189"/>
        <v>-2381464092851914</v>
      </c>
      <c r="M5553" s="460">
        <f t="shared" si="191"/>
        <v>0.05</v>
      </c>
      <c r="N5553" s="464">
        <f t="shared" si="192"/>
        <v>220059</v>
      </c>
    </row>
    <row r="5554" spans="7:14" ht="11.25" customHeight="1" x14ac:dyDescent="0.3">
      <c r="G5554" s="459"/>
      <c r="H5554" s="459">
        <v>5547</v>
      </c>
      <c r="I5554" s="444">
        <f t="shared" ca="1" si="190"/>
        <v>-2381464092851914</v>
      </c>
      <c r="J5554" s="444">
        <f t="array" ref="J5554">IFERROR(INDEX('Retirement Calculator'!K:K,MATCH('Lorri 401b'!N5554,'Retirement Calculator'!A:A,0),0),0)</f>
        <v>0</v>
      </c>
      <c r="K5554" s="444">
        <f t="shared" ca="1" si="188"/>
        <v>-9922767053549.6406</v>
      </c>
      <c r="L5554" s="444">
        <f t="shared" ca="1" si="189"/>
        <v>-2391386859905463.5</v>
      </c>
      <c r="M5554" s="460">
        <f t="shared" si="191"/>
        <v>0.05</v>
      </c>
      <c r="N5554" s="464">
        <f t="shared" si="192"/>
        <v>220090</v>
      </c>
    </row>
    <row r="5555" spans="7:14" ht="11.25" customHeight="1" x14ac:dyDescent="0.3">
      <c r="G5555" s="459"/>
      <c r="H5555" s="459">
        <v>5548</v>
      </c>
      <c r="I5555" s="444">
        <f t="shared" ca="1" si="190"/>
        <v>-2391386859905463.5</v>
      </c>
      <c r="J5555" s="444">
        <f t="array" ref="J5555">IFERROR(INDEX('Retirement Calculator'!K:K,MATCH('Lorri 401b'!N5555,'Retirement Calculator'!A:A,0),0),0)</f>
        <v>0</v>
      </c>
      <c r="K5555" s="444">
        <f t="shared" ca="1" si="188"/>
        <v>-9964111916272.7637</v>
      </c>
      <c r="L5555" s="444">
        <f t="shared" ca="1" si="189"/>
        <v>-2401350971821736.5</v>
      </c>
      <c r="M5555" s="460">
        <f t="shared" si="191"/>
        <v>0.05</v>
      </c>
      <c r="N5555" s="464">
        <f t="shared" si="192"/>
        <v>220121</v>
      </c>
    </row>
    <row r="5556" spans="7:14" ht="11.25" customHeight="1" x14ac:dyDescent="0.3">
      <c r="G5556" s="459"/>
      <c r="H5556" s="459">
        <v>5549</v>
      </c>
      <c r="I5556" s="444">
        <f t="shared" ca="1" si="190"/>
        <v>-2401350971821736.5</v>
      </c>
      <c r="J5556" s="444">
        <f t="array" ref="J5556">IFERROR(INDEX('Retirement Calculator'!K:K,MATCH('Lorri 401b'!N5556,'Retirement Calculator'!A:A,0),0),0)</f>
        <v>0</v>
      </c>
      <c r="K5556" s="444">
        <f t="shared" ca="1" si="188"/>
        <v>-10005629049257.234</v>
      </c>
      <c r="L5556" s="444">
        <f t="shared" ca="1" si="189"/>
        <v>-2411356600870993.5</v>
      </c>
      <c r="M5556" s="460">
        <f t="shared" si="191"/>
        <v>0.05</v>
      </c>
      <c r="N5556" s="464">
        <f t="shared" si="192"/>
        <v>220151</v>
      </c>
    </row>
    <row r="5557" spans="7:14" ht="11.25" customHeight="1" x14ac:dyDescent="0.3">
      <c r="G5557" s="459"/>
      <c r="H5557" s="459">
        <v>5550</v>
      </c>
      <c r="I5557" s="444">
        <f t="shared" ca="1" si="190"/>
        <v>-2411356600870993.5</v>
      </c>
      <c r="J5557" s="444">
        <f t="array" ref="J5557">IFERROR(INDEX('Retirement Calculator'!K:K,MATCH('Lorri 401b'!N5557,'Retirement Calculator'!A:A,0),0),0)</f>
        <v>0</v>
      </c>
      <c r="K5557" s="444">
        <f t="shared" ca="1" si="188"/>
        <v>-10047319170295.807</v>
      </c>
      <c r="L5557" s="444">
        <f t="shared" ca="1" si="189"/>
        <v>-2421403920041289.5</v>
      </c>
      <c r="M5557" s="460">
        <f t="shared" si="191"/>
        <v>0.05</v>
      </c>
      <c r="N5557" s="464">
        <f t="shared" si="192"/>
        <v>220182</v>
      </c>
    </row>
    <row r="5558" spans="7:14" ht="11.25" customHeight="1" x14ac:dyDescent="0.3">
      <c r="G5558" s="459"/>
      <c r="H5558" s="459">
        <v>5551</v>
      </c>
      <c r="I5558" s="444">
        <f t="shared" ca="1" si="190"/>
        <v>-2421403920041289.5</v>
      </c>
      <c r="J5558" s="444">
        <f t="array" ref="J5558">IFERROR(INDEX('Retirement Calculator'!K:K,MATCH('Lorri 401b'!N5558,'Retirement Calculator'!A:A,0),0),0)</f>
        <v>0</v>
      </c>
      <c r="K5558" s="444">
        <f t="shared" ca="1" si="188"/>
        <v>-10089183000172.039</v>
      </c>
      <c r="L5558" s="444">
        <f t="shared" ca="1" si="189"/>
        <v>-2431493103041461.5</v>
      </c>
      <c r="M5558" s="460">
        <f t="shared" si="191"/>
        <v>0.05</v>
      </c>
      <c r="N5558" s="464">
        <f t="shared" si="192"/>
        <v>220212</v>
      </c>
    </row>
    <row r="5559" spans="7:14" ht="11.25" customHeight="1" x14ac:dyDescent="0.3">
      <c r="G5559" s="459"/>
      <c r="H5559" s="459">
        <v>5552</v>
      </c>
      <c r="I5559" s="444">
        <f t="shared" ca="1" si="190"/>
        <v>-2431493103041461.5</v>
      </c>
      <c r="J5559" s="444">
        <f t="array" ref="J5559">IFERROR(INDEX('Retirement Calculator'!K:K,MATCH('Lorri 401b'!N5559,'Retirement Calculator'!A:A,0),0),0)</f>
        <v>0</v>
      </c>
      <c r="K5559" s="444">
        <f t="shared" ca="1" si="188"/>
        <v>-10131221262672.756</v>
      </c>
      <c r="L5559" s="444">
        <f t="shared" ca="1" si="189"/>
        <v>-2441624324304134.5</v>
      </c>
      <c r="M5559" s="460">
        <f t="shared" si="191"/>
        <v>0.05</v>
      </c>
      <c r="N5559" s="464">
        <f t="shared" si="192"/>
        <v>220243</v>
      </c>
    </row>
    <row r="5560" spans="7:14" ht="11.25" customHeight="1" x14ac:dyDescent="0.3">
      <c r="G5560" s="459"/>
      <c r="H5560" s="459">
        <v>5553</v>
      </c>
      <c r="I5560" s="444">
        <f t="shared" ca="1" si="190"/>
        <v>-2441624324304134.5</v>
      </c>
      <c r="J5560" s="444">
        <f t="array" ref="J5560">IFERROR(INDEX('Retirement Calculator'!K:K,MATCH('Lorri 401b'!N5560,'Retirement Calculator'!A:A,0),0),0)</f>
        <v>0</v>
      </c>
      <c r="K5560" s="444">
        <f t="shared" ca="1" si="188"/>
        <v>-10173434684600.561</v>
      </c>
      <c r="L5560" s="444">
        <f t="shared" ca="1" si="189"/>
        <v>-2451797758988735</v>
      </c>
      <c r="M5560" s="460">
        <f t="shared" si="191"/>
        <v>0.05</v>
      </c>
      <c r="N5560" s="464">
        <f t="shared" si="192"/>
        <v>220274</v>
      </c>
    </row>
    <row r="5561" spans="7:14" ht="11.25" customHeight="1" x14ac:dyDescent="0.3">
      <c r="G5561" s="459"/>
      <c r="H5561" s="459">
        <v>5554</v>
      </c>
      <c r="I5561" s="444">
        <f t="shared" ca="1" si="190"/>
        <v>-2451797758988735</v>
      </c>
      <c r="J5561" s="444">
        <f t="array" ref="J5561">IFERROR(INDEX('Retirement Calculator'!K:K,MATCH('Lorri 401b'!N5561,'Retirement Calculator'!A:A,0),0),0)</f>
        <v>0</v>
      </c>
      <c r="K5561" s="444">
        <f t="shared" ca="1" si="188"/>
        <v>-10215823995786.396</v>
      </c>
      <c r="L5561" s="444">
        <f t="shared" ca="1" si="189"/>
        <v>-2462013582984521.5</v>
      </c>
      <c r="M5561" s="460">
        <f t="shared" si="191"/>
        <v>0.05</v>
      </c>
      <c r="N5561" s="464">
        <f t="shared" si="192"/>
        <v>220302</v>
      </c>
    </row>
    <row r="5562" spans="7:14" ht="11.25" customHeight="1" x14ac:dyDescent="0.3">
      <c r="G5562" s="459"/>
      <c r="H5562" s="459">
        <v>5555</v>
      </c>
      <c r="I5562" s="444">
        <f t="shared" ca="1" si="190"/>
        <v>-2462013582984521.5</v>
      </c>
      <c r="J5562" s="444">
        <f t="array" ref="J5562">IFERROR(INDEX('Retirement Calculator'!K:K,MATCH('Lorri 401b'!N5562,'Retirement Calculator'!A:A,0),0),0)</f>
        <v>0</v>
      </c>
      <c r="K5562" s="444">
        <f t="shared" ca="1" si="188"/>
        <v>-10258389929102.172</v>
      </c>
      <c r="L5562" s="444">
        <f t="shared" ca="1" si="189"/>
        <v>-2472271972913623.5</v>
      </c>
      <c r="M5562" s="460">
        <f t="shared" si="191"/>
        <v>0.05</v>
      </c>
      <c r="N5562" s="464">
        <f t="shared" si="192"/>
        <v>220333</v>
      </c>
    </row>
    <row r="5563" spans="7:14" ht="11.25" customHeight="1" x14ac:dyDescent="0.3">
      <c r="G5563" s="459"/>
      <c r="H5563" s="459">
        <v>5556</v>
      </c>
      <c r="I5563" s="444">
        <f t="shared" ca="1" si="190"/>
        <v>-2472271972913623.5</v>
      </c>
      <c r="J5563" s="444">
        <f t="array" ref="J5563">IFERROR(INDEX('Retirement Calculator'!K:K,MATCH('Lorri 401b'!N5563,'Retirement Calculator'!A:A,0),0),0)</f>
        <v>0</v>
      </c>
      <c r="K5563" s="444">
        <f t="shared" ca="1" si="188"/>
        <v>-10301133220473.432</v>
      </c>
      <c r="L5563" s="444">
        <f t="shared" ca="1" si="189"/>
        <v>-2482573106134097</v>
      </c>
      <c r="M5563" s="460">
        <f t="shared" si="191"/>
        <v>0.05</v>
      </c>
      <c r="N5563" s="464">
        <f t="shared" si="192"/>
        <v>220363</v>
      </c>
    </row>
    <row r="5564" spans="7:14" ht="11.25" customHeight="1" x14ac:dyDescent="0.3">
      <c r="G5564" s="459"/>
      <c r="H5564" s="459">
        <v>5557</v>
      </c>
      <c r="I5564" s="444">
        <f t="shared" ca="1" si="190"/>
        <v>-2482573106134097</v>
      </c>
      <c r="J5564" s="444">
        <f t="array" ref="J5564">IFERROR(INDEX('Retirement Calculator'!K:K,MATCH('Lorri 401b'!N5564,'Retirement Calculator'!A:A,0),0),0)</f>
        <v>0</v>
      </c>
      <c r="K5564" s="444">
        <f t="shared" ca="1" si="188"/>
        <v>-10344054608892.07</v>
      </c>
      <c r="L5564" s="444">
        <f t="shared" ca="1" si="189"/>
        <v>-2492917160742989</v>
      </c>
      <c r="M5564" s="460">
        <f t="shared" si="191"/>
        <v>0.05</v>
      </c>
      <c r="N5564" s="464">
        <f t="shared" si="192"/>
        <v>220394</v>
      </c>
    </row>
    <row r="5565" spans="7:14" ht="11.25" customHeight="1" x14ac:dyDescent="0.3">
      <c r="G5565" s="459"/>
      <c r="H5565" s="459">
        <v>5558</v>
      </c>
      <c r="I5565" s="444">
        <f t="shared" ca="1" si="190"/>
        <v>-2492917160742989</v>
      </c>
      <c r="J5565" s="444">
        <f t="array" ref="J5565">IFERROR(INDEX('Retirement Calculator'!K:K,MATCH('Lorri 401b'!N5565,'Retirement Calculator'!A:A,0),0),0)</f>
        <v>0</v>
      </c>
      <c r="K5565" s="444">
        <f t="shared" ca="1" si="188"/>
        <v>-10387154836429.121</v>
      </c>
      <c r="L5565" s="444">
        <f t="shared" ca="1" si="189"/>
        <v>-2503304315579418</v>
      </c>
      <c r="M5565" s="460">
        <f t="shared" si="191"/>
        <v>0.05</v>
      </c>
      <c r="N5565" s="464">
        <f t="shared" si="192"/>
        <v>220424</v>
      </c>
    </row>
    <row r="5566" spans="7:14" ht="11.25" customHeight="1" x14ac:dyDescent="0.3">
      <c r="G5566" s="459"/>
      <c r="H5566" s="459">
        <v>5559</v>
      </c>
      <c r="I5566" s="444">
        <f t="shared" ca="1" si="190"/>
        <v>-2503304315579418</v>
      </c>
      <c r="J5566" s="444">
        <f t="array" ref="J5566">IFERROR(INDEX('Retirement Calculator'!K:K,MATCH('Lorri 401b'!N5566,'Retirement Calculator'!A:A,0),0),0)</f>
        <v>0</v>
      </c>
      <c r="K5566" s="444">
        <f t="shared" ca="1" si="188"/>
        <v>-10430434648247.574</v>
      </c>
      <c r="L5566" s="444">
        <f t="shared" ca="1" si="189"/>
        <v>-2513734750227665.5</v>
      </c>
      <c r="M5566" s="460">
        <f t="shared" si="191"/>
        <v>0.05</v>
      </c>
      <c r="N5566" s="464">
        <f t="shared" si="192"/>
        <v>220455</v>
      </c>
    </row>
    <row r="5567" spans="7:14" ht="11.25" customHeight="1" x14ac:dyDescent="0.3">
      <c r="G5567" s="459"/>
      <c r="H5567" s="459">
        <v>5560</v>
      </c>
      <c r="I5567" s="444">
        <f t="shared" ca="1" si="190"/>
        <v>-2513734750227665.5</v>
      </c>
      <c r="J5567" s="444">
        <f t="array" ref="J5567">IFERROR(INDEX('Retirement Calculator'!K:K,MATCH('Lorri 401b'!N5567,'Retirement Calculator'!A:A,0),0),0)</f>
        <v>0</v>
      </c>
      <c r="K5567" s="444">
        <f t="shared" ca="1" si="188"/>
        <v>-10473894792615.273</v>
      </c>
      <c r="L5567" s="444">
        <f t="shared" ca="1" si="189"/>
        <v>-2524208645020281</v>
      </c>
      <c r="M5567" s="460">
        <f t="shared" si="191"/>
        <v>0.05</v>
      </c>
      <c r="N5567" s="464">
        <f t="shared" si="192"/>
        <v>220486</v>
      </c>
    </row>
    <row r="5568" spans="7:14" ht="11.25" customHeight="1" x14ac:dyDescent="0.3">
      <c r="G5568" s="459"/>
      <c r="H5568" s="459">
        <v>5561</v>
      </c>
      <c r="I5568" s="444">
        <f t="shared" ca="1" si="190"/>
        <v>-2524208645020281</v>
      </c>
      <c r="J5568" s="444">
        <f t="array" ref="J5568">IFERROR(INDEX('Retirement Calculator'!K:K,MATCH('Lorri 401b'!N5568,'Retirement Calculator'!A:A,0),0),0)</f>
        <v>0</v>
      </c>
      <c r="K5568" s="444">
        <f t="shared" ca="1" si="188"/>
        <v>-10517536020917.838</v>
      </c>
      <c r="L5568" s="444">
        <f t="shared" ca="1" si="189"/>
        <v>-2534726181041199</v>
      </c>
      <c r="M5568" s="460">
        <f t="shared" si="191"/>
        <v>0.05</v>
      </c>
      <c r="N5568" s="464">
        <f t="shared" si="192"/>
        <v>220516</v>
      </c>
    </row>
    <row r="5569" spans="7:14" ht="11.25" customHeight="1" x14ac:dyDescent="0.3">
      <c r="G5569" s="459"/>
      <c r="H5569" s="459">
        <v>5562</v>
      </c>
      <c r="I5569" s="444">
        <f t="shared" ca="1" si="190"/>
        <v>-2534726181041199</v>
      </c>
      <c r="J5569" s="444">
        <f t="array" ref="J5569">IFERROR(INDEX('Retirement Calculator'!K:K,MATCH('Lorri 401b'!N5569,'Retirement Calculator'!A:A,0),0),0)</f>
        <v>0</v>
      </c>
      <c r="K5569" s="444">
        <f t="shared" ca="1" si="188"/>
        <v>-10561359087671.662</v>
      </c>
      <c r="L5569" s="444">
        <f t="shared" ca="1" si="189"/>
        <v>-2545287540128870.5</v>
      </c>
      <c r="M5569" s="460">
        <f t="shared" si="191"/>
        <v>0.05</v>
      </c>
      <c r="N5569" s="464">
        <f t="shared" si="192"/>
        <v>220547</v>
      </c>
    </row>
    <row r="5570" spans="7:14" ht="11.25" customHeight="1" x14ac:dyDescent="0.3">
      <c r="G5570" s="459"/>
      <c r="H5570" s="459">
        <v>5563</v>
      </c>
      <c r="I5570" s="444">
        <f t="shared" ca="1" si="190"/>
        <v>-2545287540128870.5</v>
      </c>
      <c r="J5570" s="444">
        <f t="array" ref="J5570">IFERROR(INDEX('Retirement Calculator'!K:K,MATCH('Lorri 401b'!N5570,'Retirement Calculator'!A:A,0),0),0)</f>
        <v>0</v>
      </c>
      <c r="K5570" s="444">
        <f t="shared" ca="1" si="188"/>
        <v>-10605364750536.961</v>
      </c>
      <c r="L5570" s="444">
        <f t="shared" ca="1" si="189"/>
        <v>-2555892904879407.5</v>
      </c>
      <c r="M5570" s="460">
        <f t="shared" si="191"/>
        <v>0.05</v>
      </c>
      <c r="N5570" s="464">
        <f t="shared" si="192"/>
        <v>220577</v>
      </c>
    </row>
    <row r="5571" spans="7:14" ht="11.25" customHeight="1" x14ac:dyDescent="0.3">
      <c r="G5571" s="459"/>
      <c r="H5571" s="459">
        <v>5564</v>
      </c>
      <c r="I5571" s="444">
        <f t="shared" ca="1" si="190"/>
        <v>-2555892904879407.5</v>
      </c>
      <c r="J5571" s="444">
        <f t="array" ref="J5571">IFERROR(INDEX('Retirement Calculator'!K:K,MATCH('Lorri 401b'!N5571,'Retirement Calculator'!A:A,0),0),0)</f>
        <v>0</v>
      </c>
      <c r="K5571" s="444">
        <f t="shared" ca="1" si="188"/>
        <v>-10649553770330.865</v>
      </c>
      <c r="L5571" s="444">
        <f t="shared" ca="1" si="189"/>
        <v>-2566542458649738.5</v>
      </c>
      <c r="M5571" s="460">
        <f t="shared" si="191"/>
        <v>0.05</v>
      </c>
      <c r="N5571" s="464">
        <f t="shared" si="192"/>
        <v>220608</v>
      </c>
    </row>
    <row r="5572" spans="7:14" ht="11.25" customHeight="1" x14ac:dyDescent="0.3">
      <c r="G5572" s="459"/>
      <c r="H5572" s="459">
        <v>5565</v>
      </c>
      <c r="I5572" s="444">
        <f t="shared" ca="1" si="190"/>
        <v>-2566542458649738.5</v>
      </c>
      <c r="J5572" s="444">
        <f t="array" ref="J5572">IFERROR(INDEX('Retirement Calculator'!K:K,MATCH('Lorri 401b'!N5572,'Retirement Calculator'!A:A,0),0),0)</f>
        <v>0</v>
      </c>
      <c r="K5572" s="444">
        <f t="shared" ca="1" si="188"/>
        <v>-10693926911040.576</v>
      </c>
      <c r="L5572" s="444">
        <f t="shared" ca="1" si="189"/>
        <v>-2577236385560779</v>
      </c>
      <c r="M5572" s="460">
        <f t="shared" si="191"/>
        <v>0.05</v>
      </c>
      <c r="N5572" s="464">
        <f t="shared" si="192"/>
        <v>220639</v>
      </c>
    </row>
    <row r="5573" spans="7:14" ht="11.25" customHeight="1" x14ac:dyDescent="0.3">
      <c r="G5573" s="459"/>
      <c r="H5573" s="459">
        <v>5566</v>
      </c>
      <c r="I5573" s="444">
        <f t="shared" ca="1" si="190"/>
        <v>-2577236385560779</v>
      </c>
      <c r="J5573" s="444">
        <f t="array" ref="J5573">IFERROR(INDEX('Retirement Calculator'!K:K,MATCH('Lorri 401b'!N5573,'Retirement Calculator'!A:A,0),0),0)</f>
        <v>0</v>
      </c>
      <c r="K5573" s="444">
        <f t="shared" ca="1" si="188"/>
        <v>-10738484939836.578</v>
      </c>
      <c r="L5573" s="444">
        <f t="shared" ca="1" si="189"/>
        <v>-2587974870500615.5</v>
      </c>
      <c r="M5573" s="460">
        <f t="shared" si="191"/>
        <v>0.05</v>
      </c>
      <c r="N5573" s="464">
        <f t="shared" si="192"/>
        <v>220668</v>
      </c>
    </row>
    <row r="5574" spans="7:14" ht="11.25" customHeight="1" x14ac:dyDescent="0.3">
      <c r="G5574" s="459"/>
      <c r="H5574" s="459">
        <v>5567</v>
      </c>
      <c r="I5574" s="444">
        <f t="shared" ca="1" si="190"/>
        <v>-2587974870500615.5</v>
      </c>
      <c r="J5574" s="444">
        <f t="array" ref="J5574">IFERROR(INDEX('Retirement Calculator'!K:K,MATCH('Lorri 401b'!N5574,'Retirement Calculator'!A:A,0),0),0)</f>
        <v>0</v>
      </c>
      <c r="K5574" s="444">
        <f t="shared" ca="1" si="188"/>
        <v>-10783228627085.898</v>
      </c>
      <c r="L5574" s="444">
        <f t="shared" ca="1" si="189"/>
        <v>-2598758099127701.5</v>
      </c>
      <c r="M5574" s="460">
        <f t="shared" si="191"/>
        <v>0.05</v>
      </c>
      <c r="N5574" s="464">
        <f t="shared" si="192"/>
        <v>220699</v>
      </c>
    </row>
    <row r="5575" spans="7:14" ht="11.25" customHeight="1" x14ac:dyDescent="0.3">
      <c r="G5575" s="459"/>
      <c r="H5575" s="459">
        <v>5568</v>
      </c>
      <c r="I5575" s="444">
        <f t="shared" ca="1" si="190"/>
        <v>-2598758099127701.5</v>
      </c>
      <c r="J5575" s="444">
        <f t="array" ref="J5575">IFERROR(INDEX('Retirement Calculator'!K:K,MATCH('Lorri 401b'!N5575,'Retirement Calculator'!A:A,0),0),0)</f>
        <v>0</v>
      </c>
      <c r="K5575" s="444">
        <f t="shared" ca="1" si="188"/>
        <v>-10828158746365.422</v>
      </c>
      <c r="L5575" s="444">
        <f t="shared" ca="1" si="189"/>
        <v>-2609586257874067</v>
      </c>
      <c r="M5575" s="460">
        <f t="shared" si="191"/>
        <v>0.05</v>
      </c>
      <c r="N5575" s="464">
        <f t="shared" si="192"/>
        <v>220729</v>
      </c>
    </row>
    <row r="5576" spans="7:14" ht="11.25" customHeight="1" x14ac:dyDescent="0.3">
      <c r="G5576" s="459"/>
      <c r="H5576" s="459">
        <v>5569</v>
      </c>
      <c r="I5576" s="444">
        <f t="shared" ca="1" si="190"/>
        <v>-2609586257874067</v>
      </c>
      <c r="J5576" s="444">
        <f t="array" ref="J5576">IFERROR(INDEX('Retirement Calculator'!K:K,MATCH('Lorri 401b'!N5576,'Retirement Calculator'!A:A,0),0),0)</f>
        <v>0</v>
      </c>
      <c r="K5576" s="444">
        <f t="shared" ca="1" si="188"/>
        <v>-10873276074475.279</v>
      </c>
      <c r="L5576" s="444">
        <f t="shared" ca="1" si="189"/>
        <v>-2620459533948542.5</v>
      </c>
      <c r="M5576" s="460">
        <f t="shared" si="191"/>
        <v>0.05</v>
      </c>
      <c r="N5576" s="464">
        <f t="shared" si="192"/>
        <v>220760</v>
      </c>
    </row>
    <row r="5577" spans="7:14" ht="11.25" customHeight="1" x14ac:dyDescent="0.3">
      <c r="G5577" s="459"/>
      <c r="H5577" s="459">
        <v>5570</v>
      </c>
      <c r="I5577" s="444">
        <f t="shared" ca="1" si="190"/>
        <v>-2620459533948542.5</v>
      </c>
      <c r="J5577" s="444">
        <f t="array" ref="J5577">IFERROR(INDEX('Retirement Calculator'!K:K,MATCH('Lorri 401b'!N5577,'Retirement Calculator'!A:A,0),0),0)</f>
        <v>0</v>
      </c>
      <c r="K5577" s="444">
        <f t="shared" ca="1" si="188"/>
        <v>-10918581391452.26</v>
      </c>
      <c r="L5577" s="444">
        <f t="shared" ca="1" si="189"/>
        <v>-2631378115339995</v>
      </c>
      <c r="M5577" s="460">
        <f t="shared" si="191"/>
        <v>0.05</v>
      </c>
      <c r="N5577" s="464">
        <f t="shared" si="192"/>
        <v>220790</v>
      </c>
    </row>
    <row r="5578" spans="7:14" ht="11.25" customHeight="1" x14ac:dyDescent="0.3">
      <c r="G5578" s="459"/>
      <c r="H5578" s="459">
        <v>5571</v>
      </c>
      <c r="I5578" s="444">
        <f t="shared" ca="1" si="190"/>
        <v>-2631378115339995</v>
      </c>
      <c r="J5578" s="444">
        <f t="array" ref="J5578">IFERROR(INDEX('Retirement Calculator'!K:K,MATCH('Lorri 401b'!N5578,'Retirement Calculator'!A:A,0),0),0)</f>
        <v>0</v>
      </c>
      <c r="K5578" s="444">
        <f t="shared" ca="1" si="188"/>
        <v>-10964075480583.313</v>
      </c>
      <c r="L5578" s="444">
        <f t="shared" ca="1" si="189"/>
        <v>-2642342190820578.5</v>
      </c>
      <c r="M5578" s="460">
        <f t="shared" si="191"/>
        <v>0.05</v>
      </c>
      <c r="N5578" s="464">
        <f t="shared" si="192"/>
        <v>220821</v>
      </c>
    </row>
    <row r="5579" spans="7:14" ht="11.25" customHeight="1" x14ac:dyDescent="0.3">
      <c r="G5579" s="459"/>
      <c r="H5579" s="459">
        <v>5572</v>
      </c>
      <c r="I5579" s="444">
        <f t="shared" ca="1" si="190"/>
        <v>-2642342190820578.5</v>
      </c>
      <c r="J5579" s="444">
        <f t="array" ref="J5579">IFERROR(INDEX('Retirement Calculator'!K:K,MATCH('Lorri 401b'!N5579,'Retirement Calculator'!A:A,0),0),0)</f>
        <v>0</v>
      </c>
      <c r="K5579" s="444">
        <f t="shared" ca="1" si="188"/>
        <v>-11009759128419.076</v>
      </c>
      <c r="L5579" s="444">
        <f t="shared" ca="1" si="189"/>
        <v>-2653351949948997.5</v>
      </c>
      <c r="M5579" s="460">
        <f t="shared" si="191"/>
        <v>0.05</v>
      </c>
      <c r="N5579" s="464">
        <f t="shared" si="192"/>
        <v>220852</v>
      </c>
    </row>
    <row r="5580" spans="7:14" ht="11.25" customHeight="1" x14ac:dyDescent="0.3">
      <c r="G5580" s="459"/>
      <c r="H5580" s="459">
        <v>5573</v>
      </c>
      <c r="I5580" s="444">
        <f t="shared" ca="1" si="190"/>
        <v>-2653351949948997.5</v>
      </c>
      <c r="J5580" s="444">
        <f t="array" ref="J5580">IFERROR(INDEX('Retirement Calculator'!K:K,MATCH('Lorri 401b'!N5580,'Retirement Calculator'!A:A,0),0),0)</f>
        <v>0</v>
      </c>
      <c r="K5580" s="444">
        <f t="shared" ca="1" si="188"/>
        <v>-11055633124787.49</v>
      </c>
      <c r="L5580" s="444">
        <f t="shared" ca="1" si="189"/>
        <v>-2664407583073785</v>
      </c>
      <c r="M5580" s="460">
        <f t="shared" si="191"/>
        <v>0.05</v>
      </c>
      <c r="N5580" s="464">
        <f t="shared" si="192"/>
        <v>220882</v>
      </c>
    </row>
    <row r="5581" spans="7:14" ht="11.25" customHeight="1" x14ac:dyDescent="0.3">
      <c r="G5581" s="459"/>
      <c r="H5581" s="459">
        <v>5574</v>
      </c>
      <c r="I5581" s="444">
        <f t="shared" ca="1" si="190"/>
        <v>-2664407583073785</v>
      </c>
      <c r="J5581" s="444">
        <f t="array" ref="J5581">IFERROR(INDEX('Retirement Calculator'!K:K,MATCH('Lorri 401b'!N5581,'Retirement Calculator'!A:A,0),0),0)</f>
        <v>0</v>
      </c>
      <c r="K5581" s="444">
        <f t="shared" ca="1" si="188"/>
        <v>-11101698262807.438</v>
      </c>
      <c r="L5581" s="444">
        <f t="shared" ca="1" si="189"/>
        <v>-2675509281336592.5</v>
      </c>
      <c r="M5581" s="460">
        <f t="shared" si="191"/>
        <v>0.05</v>
      </c>
      <c r="N5581" s="464">
        <f t="shared" si="192"/>
        <v>220913</v>
      </c>
    </row>
    <row r="5582" spans="7:14" ht="11.25" customHeight="1" x14ac:dyDescent="0.3">
      <c r="G5582" s="459"/>
      <c r="H5582" s="459">
        <v>5575</v>
      </c>
      <c r="I5582" s="444">
        <f t="shared" ca="1" si="190"/>
        <v>-2675509281336592.5</v>
      </c>
      <c r="J5582" s="444">
        <f t="array" ref="J5582">IFERROR(INDEX('Retirement Calculator'!K:K,MATCH('Lorri 401b'!N5582,'Retirement Calculator'!A:A,0),0),0)</f>
        <v>0</v>
      </c>
      <c r="K5582" s="444">
        <f t="shared" ca="1" si="188"/>
        <v>-11147955338902.469</v>
      </c>
      <c r="L5582" s="444">
        <f t="shared" ca="1" si="189"/>
        <v>-2686657236675495</v>
      </c>
      <c r="M5582" s="460">
        <f t="shared" si="191"/>
        <v>0.05</v>
      </c>
      <c r="N5582" s="464">
        <f t="shared" si="192"/>
        <v>220943</v>
      </c>
    </row>
    <row r="5583" spans="7:14" ht="11.25" customHeight="1" x14ac:dyDescent="0.3">
      <c r="G5583" s="459"/>
      <c r="H5583" s="459">
        <v>5576</v>
      </c>
      <c r="I5583" s="444">
        <f t="shared" ca="1" si="190"/>
        <v>-2686657236675495</v>
      </c>
      <c r="J5583" s="444">
        <f t="array" ref="J5583">IFERROR(INDEX('Retirement Calculator'!K:K,MATCH('Lorri 401b'!N5583,'Retirement Calculator'!A:A,0),0),0)</f>
        <v>0</v>
      </c>
      <c r="K5583" s="444">
        <f t="shared" ca="1" si="188"/>
        <v>-11194405152814.563</v>
      </c>
      <c r="L5583" s="444">
        <f t="shared" ca="1" si="189"/>
        <v>-2697851641828309.5</v>
      </c>
      <c r="M5583" s="460">
        <f t="shared" si="191"/>
        <v>0.05</v>
      </c>
      <c r="N5583" s="464">
        <f t="shared" si="192"/>
        <v>220974</v>
      </c>
    </row>
    <row r="5584" spans="7:14" ht="11.25" customHeight="1" x14ac:dyDescent="0.3">
      <c r="G5584" s="459"/>
      <c r="H5584" s="459">
        <v>5577</v>
      </c>
      <c r="I5584" s="444">
        <f t="shared" ca="1" si="190"/>
        <v>-2697851641828309.5</v>
      </c>
      <c r="J5584" s="444">
        <f t="array" ref="J5584">IFERROR(INDEX('Retirement Calculator'!K:K,MATCH('Lorri 401b'!N5584,'Retirement Calculator'!A:A,0),0),0)</f>
        <v>0</v>
      </c>
      <c r="K5584" s="444">
        <f t="shared" ca="1" si="188"/>
        <v>-11241048507617.957</v>
      </c>
      <c r="L5584" s="444">
        <f t="shared" ca="1" si="189"/>
        <v>-2709092690335927.5</v>
      </c>
      <c r="M5584" s="460">
        <f t="shared" si="191"/>
        <v>0.05</v>
      </c>
      <c r="N5584" s="464">
        <f t="shared" si="192"/>
        <v>221005</v>
      </c>
    </row>
    <row r="5585" spans="7:14" ht="11.25" customHeight="1" x14ac:dyDescent="0.3">
      <c r="G5585" s="459"/>
      <c r="H5585" s="459">
        <v>5578</v>
      </c>
      <c r="I5585" s="444">
        <f t="shared" ca="1" si="190"/>
        <v>-2709092690335927.5</v>
      </c>
      <c r="J5585" s="444">
        <f t="array" ref="J5585">IFERROR(INDEX('Retirement Calculator'!K:K,MATCH('Lorri 401b'!N5585,'Retirement Calculator'!A:A,0),0),0)</f>
        <v>0</v>
      </c>
      <c r="K5585" s="444">
        <f t="shared" ca="1" si="188"/>
        <v>-11287886209733.031</v>
      </c>
      <c r="L5585" s="444">
        <f t="shared" ca="1" si="189"/>
        <v>-2720380576545660.5</v>
      </c>
      <c r="M5585" s="460">
        <f t="shared" si="191"/>
        <v>0.05</v>
      </c>
      <c r="N5585" s="464">
        <f t="shared" si="192"/>
        <v>221033</v>
      </c>
    </row>
    <row r="5586" spans="7:14" ht="11.25" customHeight="1" x14ac:dyDescent="0.3">
      <c r="G5586" s="459"/>
      <c r="H5586" s="459">
        <v>5579</v>
      </c>
      <c r="I5586" s="444">
        <f t="shared" ca="1" si="190"/>
        <v>-2720380576545660.5</v>
      </c>
      <c r="J5586" s="444">
        <f t="array" ref="J5586">IFERROR(INDEX('Retirement Calculator'!K:K,MATCH('Lorri 401b'!N5586,'Retirement Calculator'!A:A,0),0),0)</f>
        <v>0</v>
      </c>
      <c r="K5586" s="444">
        <f t="shared" ca="1" si="188"/>
        <v>-11334919068940.252</v>
      </c>
      <c r="L5586" s="444">
        <f t="shared" ca="1" si="189"/>
        <v>-2731715495614601</v>
      </c>
      <c r="M5586" s="460">
        <f t="shared" si="191"/>
        <v>0.05</v>
      </c>
      <c r="N5586" s="464">
        <f t="shared" si="192"/>
        <v>221064</v>
      </c>
    </row>
    <row r="5587" spans="7:14" ht="11.25" customHeight="1" x14ac:dyDescent="0.3">
      <c r="G5587" s="459"/>
      <c r="H5587" s="459">
        <v>5580</v>
      </c>
      <c r="I5587" s="444">
        <f t="shared" ca="1" si="190"/>
        <v>-2731715495614601</v>
      </c>
      <c r="J5587" s="444">
        <f t="array" ref="J5587">IFERROR(INDEX('Retirement Calculator'!K:K,MATCH('Lorri 401b'!N5587,'Retirement Calculator'!A:A,0),0),0)</f>
        <v>0</v>
      </c>
      <c r="K5587" s="444">
        <f t="shared" ca="1" si="188"/>
        <v>-11382147898394.17</v>
      </c>
      <c r="L5587" s="444">
        <f t="shared" ca="1" si="189"/>
        <v>-2743097643512995</v>
      </c>
      <c r="M5587" s="460">
        <f t="shared" si="191"/>
        <v>0.05</v>
      </c>
      <c r="N5587" s="464">
        <f t="shared" si="192"/>
        <v>221094</v>
      </c>
    </row>
    <row r="5588" spans="7:14" ht="11.25" customHeight="1" x14ac:dyDescent="0.3">
      <c r="G5588" s="459"/>
      <c r="H5588" s="459">
        <v>5581</v>
      </c>
      <c r="I5588" s="444">
        <f t="shared" ca="1" si="190"/>
        <v>-2743097643512995</v>
      </c>
      <c r="J5588" s="444">
        <f t="array" ref="J5588">IFERROR(INDEX('Retirement Calculator'!K:K,MATCH('Lorri 401b'!N5588,'Retirement Calculator'!A:A,0),0),0)</f>
        <v>0</v>
      </c>
      <c r="K5588" s="444">
        <f t="shared" ca="1" si="188"/>
        <v>-11429573514637.479</v>
      </c>
      <c r="L5588" s="444">
        <f t="shared" ca="1" si="189"/>
        <v>-2754527217027632.5</v>
      </c>
      <c r="M5588" s="460">
        <f t="shared" si="191"/>
        <v>0.05</v>
      </c>
      <c r="N5588" s="464">
        <f t="shared" si="192"/>
        <v>221125</v>
      </c>
    </row>
    <row r="5589" spans="7:14" ht="11.25" customHeight="1" x14ac:dyDescent="0.3">
      <c r="G5589" s="459"/>
      <c r="H5589" s="459">
        <v>5582</v>
      </c>
      <c r="I5589" s="444">
        <f t="shared" ca="1" si="190"/>
        <v>-2754527217027632.5</v>
      </c>
      <c r="J5589" s="444">
        <f t="array" ref="J5589">IFERROR(INDEX('Retirement Calculator'!K:K,MATCH('Lorri 401b'!N5589,'Retirement Calculator'!A:A,0),0),0)</f>
        <v>0</v>
      </c>
      <c r="K5589" s="444">
        <f t="shared" ca="1" si="188"/>
        <v>-11477196737615.135</v>
      </c>
      <c r="L5589" s="444">
        <f t="shared" ca="1" si="189"/>
        <v>-2766004413765247.5</v>
      </c>
      <c r="M5589" s="460">
        <f t="shared" si="191"/>
        <v>0.05</v>
      </c>
      <c r="N5589" s="464">
        <f t="shared" si="192"/>
        <v>221155</v>
      </c>
    </row>
    <row r="5590" spans="7:14" ht="11.25" customHeight="1" x14ac:dyDescent="0.3">
      <c r="G5590" s="459"/>
      <c r="H5590" s="459">
        <v>5583</v>
      </c>
      <c r="I5590" s="444">
        <f t="shared" ca="1" si="190"/>
        <v>-2766004413765247.5</v>
      </c>
      <c r="J5590" s="444">
        <f t="array" ref="J5590">IFERROR(INDEX('Retirement Calculator'!K:K,MATCH('Lorri 401b'!N5590,'Retirement Calculator'!A:A,0),0),0)</f>
        <v>0</v>
      </c>
      <c r="K5590" s="444">
        <f t="shared" ca="1" si="188"/>
        <v>-11525018390688.531</v>
      </c>
      <c r="L5590" s="444">
        <f t="shared" ca="1" si="189"/>
        <v>-2777529432155936</v>
      </c>
      <c r="M5590" s="460">
        <f t="shared" si="191"/>
        <v>0.05</v>
      </c>
      <c r="N5590" s="464">
        <f t="shared" si="192"/>
        <v>221186</v>
      </c>
    </row>
    <row r="5591" spans="7:14" ht="11.25" customHeight="1" x14ac:dyDescent="0.3">
      <c r="G5591" s="459"/>
      <c r="H5591" s="459">
        <v>5584</v>
      </c>
      <c r="I5591" s="444">
        <f t="shared" ca="1" si="190"/>
        <v>-2777529432155936</v>
      </c>
      <c r="J5591" s="444">
        <f t="array" ref="J5591">IFERROR(INDEX('Retirement Calculator'!K:K,MATCH('Lorri 401b'!N5591,'Retirement Calculator'!A:A,0),0),0)</f>
        <v>0</v>
      </c>
      <c r="K5591" s="444">
        <f t="shared" ca="1" si="188"/>
        <v>-11573039300649.732</v>
      </c>
      <c r="L5591" s="444">
        <f t="shared" ca="1" si="189"/>
        <v>-2789102471456585.5</v>
      </c>
      <c r="M5591" s="460">
        <f t="shared" si="191"/>
        <v>0.05</v>
      </c>
      <c r="N5591" s="464">
        <f t="shared" si="192"/>
        <v>221217</v>
      </c>
    </row>
    <row r="5592" spans="7:14" ht="11.25" customHeight="1" x14ac:dyDescent="0.3">
      <c r="G5592" s="459"/>
      <c r="H5592" s="459">
        <v>5585</v>
      </c>
      <c r="I5592" s="444">
        <f t="shared" ca="1" si="190"/>
        <v>-2789102471456585.5</v>
      </c>
      <c r="J5592" s="444">
        <f t="array" ref="J5592">IFERROR(INDEX('Retirement Calculator'!K:K,MATCH('Lorri 401b'!N5592,'Retirement Calculator'!A:A,0),0),0)</f>
        <v>0</v>
      </c>
      <c r="K5592" s="444">
        <f t="shared" ca="1" si="188"/>
        <v>-11621260297735.773</v>
      </c>
      <c r="L5592" s="444">
        <f t="shared" ca="1" si="189"/>
        <v>-2800723731754321.5</v>
      </c>
      <c r="M5592" s="460">
        <f t="shared" si="191"/>
        <v>0.05</v>
      </c>
      <c r="N5592" s="464">
        <f t="shared" si="192"/>
        <v>221247</v>
      </c>
    </row>
    <row r="5593" spans="7:14" ht="11.25" customHeight="1" x14ac:dyDescent="0.3">
      <c r="G5593" s="459"/>
      <c r="H5593" s="459">
        <v>5586</v>
      </c>
      <c r="I5593" s="444">
        <f t="shared" ca="1" si="190"/>
        <v>-2800723731754321.5</v>
      </c>
      <c r="J5593" s="444">
        <f t="array" ref="J5593">IFERROR(INDEX('Retirement Calculator'!K:K,MATCH('Lorri 401b'!N5593,'Retirement Calculator'!A:A,0),0),0)</f>
        <v>0</v>
      </c>
      <c r="K5593" s="444">
        <f t="shared" ca="1" si="188"/>
        <v>-11669682215643.006</v>
      </c>
      <c r="L5593" s="444">
        <f t="shared" ca="1" si="189"/>
        <v>-2812393413969964.5</v>
      </c>
      <c r="M5593" s="460">
        <f t="shared" si="191"/>
        <v>0.05</v>
      </c>
      <c r="N5593" s="464">
        <f t="shared" si="192"/>
        <v>221278</v>
      </c>
    </row>
    <row r="5594" spans="7:14" ht="11.25" customHeight="1" x14ac:dyDescent="0.3">
      <c r="G5594" s="459"/>
      <c r="H5594" s="459">
        <v>5587</v>
      </c>
      <c r="I5594" s="444">
        <f t="shared" ca="1" si="190"/>
        <v>-2812393413969964.5</v>
      </c>
      <c r="J5594" s="444">
        <f t="array" ref="J5594">IFERROR(INDEX('Retirement Calculator'!K:K,MATCH('Lorri 401b'!N5594,'Retirement Calculator'!A:A,0),0),0)</f>
        <v>0</v>
      </c>
      <c r="K5594" s="444">
        <f t="shared" ca="1" si="188"/>
        <v>-11718305891541.52</v>
      </c>
      <c r="L5594" s="444">
        <f t="shared" ca="1" si="189"/>
        <v>-2824111719861506</v>
      </c>
      <c r="M5594" s="460">
        <f t="shared" si="191"/>
        <v>0.05</v>
      </c>
      <c r="N5594" s="464">
        <f t="shared" si="192"/>
        <v>221308</v>
      </c>
    </row>
    <row r="5595" spans="7:14" ht="11.25" customHeight="1" x14ac:dyDescent="0.3">
      <c r="G5595" s="459"/>
      <c r="H5595" s="459">
        <v>5588</v>
      </c>
      <c r="I5595" s="444">
        <f t="shared" ca="1" si="190"/>
        <v>-2824111719861506</v>
      </c>
      <c r="J5595" s="444">
        <f t="array" ref="J5595">IFERROR(INDEX('Retirement Calculator'!K:K,MATCH('Lorri 401b'!N5595,'Retirement Calculator'!A:A,0),0),0)</f>
        <v>0</v>
      </c>
      <c r="K5595" s="444">
        <f t="shared" ca="1" si="188"/>
        <v>-11767132166089.607</v>
      </c>
      <c r="L5595" s="444">
        <f t="shared" ca="1" si="189"/>
        <v>-2835878852027595.5</v>
      </c>
      <c r="M5595" s="460">
        <f t="shared" si="191"/>
        <v>0.05</v>
      </c>
      <c r="N5595" s="464">
        <f t="shared" si="192"/>
        <v>221339</v>
      </c>
    </row>
    <row r="5596" spans="7:14" ht="11.25" customHeight="1" x14ac:dyDescent="0.3">
      <c r="G5596" s="459"/>
      <c r="H5596" s="459">
        <v>5589</v>
      </c>
      <c r="I5596" s="444">
        <f t="shared" ca="1" si="190"/>
        <v>-2835878852027595.5</v>
      </c>
      <c r="J5596" s="444">
        <f t="array" ref="J5596">IFERROR(INDEX('Retirement Calculator'!K:K,MATCH('Lorri 401b'!N5596,'Retirement Calculator'!A:A,0),0),0)</f>
        <v>0</v>
      </c>
      <c r="K5596" s="444">
        <f t="shared" ca="1" si="188"/>
        <v>-11816161883448.314</v>
      </c>
      <c r="L5596" s="444">
        <f t="shared" ca="1" si="189"/>
        <v>-2847695013911044</v>
      </c>
      <c r="M5596" s="460">
        <f t="shared" si="191"/>
        <v>0.05</v>
      </c>
      <c r="N5596" s="464">
        <f t="shared" si="192"/>
        <v>221370</v>
      </c>
    </row>
    <row r="5597" spans="7:14" ht="11.25" customHeight="1" x14ac:dyDescent="0.3">
      <c r="G5597" s="459"/>
      <c r="H5597" s="459">
        <v>5590</v>
      </c>
      <c r="I5597" s="444">
        <f t="shared" ca="1" si="190"/>
        <v>-2847695013911044</v>
      </c>
      <c r="J5597" s="444">
        <f t="array" ref="J5597">IFERROR(INDEX('Retirement Calculator'!K:K,MATCH('Lorri 401b'!N5597,'Retirement Calculator'!A:A,0),0),0)</f>
        <v>0</v>
      </c>
      <c r="K5597" s="444">
        <f t="shared" ca="1" si="188"/>
        <v>-11865395891296.016</v>
      </c>
      <c r="L5597" s="444">
        <f t="shared" ca="1" si="189"/>
        <v>-2859560409802340</v>
      </c>
      <c r="M5597" s="460">
        <f t="shared" si="191"/>
        <v>0.05</v>
      </c>
      <c r="N5597" s="464">
        <f t="shared" si="192"/>
        <v>221398</v>
      </c>
    </row>
    <row r="5598" spans="7:14" ht="11.25" customHeight="1" x14ac:dyDescent="0.3">
      <c r="G5598" s="459"/>
      <c r="H5598" s="459">
        <v>5591</v>
      </c>
      <c r="I5598" s="444">
        <f t="shared" ca="1" si="190"/>
        <v>-2859560409802340</v>
      </c>
      <c r="J5598" s="444">
        <f t="array" ref="J5598">IFERROR(INDEX('Retirement Calculator'!K:K,MATCH('Lorri 401b'!N5598,'Retirement Calculator'!A:A,0),0),0)</f>
        <v>0</v>
      </c>
      <c r="K5598" s="444">
        <f t="shared" ca="1" si="188"/>
        <v>-11914835040843.084</v>
      </c>
      <c r="L5598" s="444">
        <f t="shared" ca="1" si="189"/>
        <v>-2871475244843183</v>
      </c>
      <c r="M5598" s="460">
        <f t="shared" si="191"/>
        <v>0.05</v>
      </c>
      <c r="N5598" s="464">
        <f t="shared" si="192"/>
        <v>221429</v>
      </c>
    </row>
    <row r="5599" spans="7:14" ht="11.25" customHeight="1" x14ac:dyDescent="0.3">
      <c r="G5599" s="459"/>
      <c r="H5599" s="459">
        <v>5592</v>
      </c>
      <c r="I5599" s="444">
        <f t="shared" ca="1" si="190"/>
        <v>-2871475244843183</v>
      </c>
      <c r="J5599" s="444">
        <f t="array" ref="J5599">IFERROR(INDEX('Retirement Calculator'!K:K,MATCH('Lorri 401b'!N5599,'Retirement Calculator'!A:A,0),0),0)</f>
        <v>0</v>
      </c>
      <c r="K5599" s="444">
        <f t="shared" ca="1" si="188"/>
        <v>-11964480186846.596</v>
      </c>
      <c r="L5599" s="444">
        <f t="shared" ca="1" si="189"/>
        <v>-2883439725030029.5</v>
      </c>
      <c r="M5599" s="460">
        <f t="shared" si="191"/>
        <v>0.05</v>
      </c>
      <c r="N5599" s="464">
        <f t="shared" si="192"/>
        <v>221459</v>
      </c>
    </row>
    <row r="5600" spans="7:14" ht="11.25" customHeight="1" x14ac:dyDescent="0.3">
      <c r="G5600" s="459"/>
      <c r="H5600" s="459">
        <v>5593</v>
      </c>
      <c r="I5600" s="444">
        <f t="shared" ca="1" si="190"/>
        <v>-2883439725030029.5</v>
      </c>
      <c r="J5600" s="444">
        <f t="array" ref="J5600">IFERROR(INDEX('Retirement Calculator'!K:K,MATCH('Lorri 401b'!N5600,'Retirement Calculator'!A:A,0),0),0)</f>
        <v>0</v>
      </c>
      <c r="K5600" s="444">
        <f t="shared" ca="1" si="188"/>
        <v>-12014332187625.123</v>
      </c>
      <c r="L5600" s="444">
        <f t="shared" ca="1" si="189"/>
        <v>-2895454057217654.5</v>
      </c>
      <c r="M5600" s="460">
        <f t="shared" si="191"/>
        <v>0.05</v>
      </c>
      <c r="N5600" s="464">
        <f t="shared" si="192"/>
        <v>221490</v>
      </c>
    </row>
    <row r="5601" spans="7:14" ht="11.25" customHeight="1" x14ac:dyDescent="0.3">
      <c r="G5601" s="459"/>
      <c r="H5601" s="459">
        <v>5594</v>
      </c>
      <c r="I5601" s="444">
        <f t="shared" ca="1" si="190"/>
        <v>-2895454057217654.5</v>
      </c>
      <c r="J5601" s="444">
        <f t="array" ref="J5601">IFERROR(INDEX('Retirement Calculator'!K:K,MATCH('Lorri 401b'!N5601,'Retirement Calculator'!A:A,0),0),0)</f>
        <v>0</v>
      </c>
      <c r="K5601" s="444">
        <f t="shared" ca="1" si="188"/>
        <v>-12064391905073.561</v>
      </c>
      <c r="L5601" s="444">
        <f t="shared" ca="1" si="189"/>
        <v>-2907518449122728</v>
      </c>
      <c r="M5601" s="460">
        <f t="shared" si="191"/>
        <v>0.05</v>
      </c>
      <c r="N5601" s="464">
        <f t="shared" si="192"/>
        <v>221520</v>
      </c>
    </row>
    <row r="5602" spans="7:14" ht="11.25" customHeight="1" x14ac:dyDescent="0.3">
      <c r="G5602" s="459"/>
      <c r="H5602" s="459">
        <v>5595</v>
      </c>
      <c r="I5602" s="444">
        <f t="shared" ca="1" si="190"/>
        <v>-2907518449122728</v>
      </c>
      <c r="J5602" s="444">
        <f t="array" ref="J5602">IFERROR(INDEX('Retirement Calculator'!K:K,MATCH('Lorri 401b'!N5602,'Retirement Calculator'!A:A,0),0),0)</f>
        <v>0</v>
      </c>
      <c r="K5602" s="444">
        <f t="shared" ca="1" si="188"/>
        <v>-12114660204678.033</v>
      </c>
      <c r="L5602" s="444">
        <f t="shared" ca="1" si="189"/>
        <v>-2919633109327406</v>
      </c>
      <c r="M5602" s="460">
        <f t="shared" si="191"/>
        <v>0.05</v>
      </c>
      <c r="N5602" s="464">
        <f t="shared" si="192"/>
        <v>221551</v>
      </c>
    </row>
    <row r="5603" spans="7:14" ht="11.25" customHeight="1" x14ac:dyDescent="0.3">
      <c r="G5603" s="459"/>
      <c r="H5603" s="459">
        <v>5596</v>
      </c>
      <c r="I5603" s="444">
        <f t="shared" ca="1" si="190"/>
        <v>-2919633109327406</v>
      </c>
      <c r="J5603" s="444">
        <f t="array" ref="J5603">IFERROR(INDEX('Retirement Calculator'!K:K,MATCH('Lorri 401b'!N5603,'Retirement Calculator'!A:A,0),0),0)</f>
        <v>0</v>
      </c>
      <c r="K5603" s="444">
        <f t="shared" ca="1" si="188"/>
        <v>-12165137955530.857</v>
      </c>
      <c r="L5603" s="444">
        <f t="shared" ca="1" si="189"/>
        <v>-2931798247282937</v>
      </c>
      <c r="M5603" s="460">
        <f t="shared" si="191"/>
        <v>0.05</v>
      </c>
      <c r="N5603" s="464">
        <f t="shared" si="192"/>
        <v>221582</v>
      </c>
    </row>
    <row r="5604" spans="7:14" ht="11.25" customHeight="1" x14ac:dyDescent="0.3">
      <c r="G5604" s="459"/>
      <c r="H5604" s="459">
        <v>5597</v>
      </c>
      <c r="I5604" s="444">
        <f t="shared" ca="1" si="190"/>
        <v>-2931798247282937</v>
      </c>
      <c r="J5604" s="444">
        <f t="array" ref="J5604">IFERROR(INDEX('Retirement Calculator'!K:K,MATCH('Lorri 401b'!N5604,'Retirement Calculator'!A:A,0),0),0)</f>
        <v>0</v>
      </c>
      <c r="K5604" s="444">
        <f t="shared" ca="1" si="188"/>
        <v>-12215826030345.57</v>
      </c>
      <c r="L5604" s="444">
        <f t="shared" ca="1" si="189"/>
        <v>-2944014073313282.5</v>
      </c>
      <c r="M5604" s="460">
        <f t="shared" si="191"/>
        <v>0.05</v>
      </c>
      <c r="N5604" s="464">
        <f t="shared" si="192"/>
        <v>221612</v>
      </c>
    </row>
    <row r="5605" spans="7:14" ht="11.25" customHeight="1" x14ac:dyDescent="0.3">
      <c r="G5605" s="459"/>
      <c r="H5605" s="459">
        <v>5598</v>
      </c>
      <c r="I5605" s="444">
        <f t="shared" ca="1" si="190"/>
        <v>-2944014073313282.5</v>
      </c>
      <c r="J5605" s="444">
        <f t="array" ref="J5605">IFERROR(INDEX('Retirement Calculator'!K:K,MATCH('Lorri 401b'!N5605,'Retirement Calculator'!A:A,0),0),0)</f>
        <v>0</v>
      </c>
      <c r="K5605" s="444">
        <f t="shared" ca="1" si="188"/>
        <v>-12266725305472.01</v>
      </c>
      <c r="L5605" s="444">
        <f t="shared" ca="1" si="189"/>
        <v>-2956280798618754.5</v>
      </c>
      <c r="M5605" s="460">
        <f t="shared" si="191"/>
        <v>0.05</v>
      </c>
      <c r="N5605" s="464">
        <f t="shared" si="192"/>
        <v>221643</v>
      </c>
    </row>
    <row r="5606" spans="7:14" ht="11.25" customHeight="1" x14ac:dyDescent="0.3">
      <c r="G5606" s="459"/>
      <c r="H5606" s="459">
        <v>5599</v>
      </c>
      <c r="I5606" s="444">
        <f t="shared" ca="1" si="190"/>
        <v>-2956280798618754.5</v>
      </c>
      <c r="J5606" s="444">
        <f t="array" ref="J5606">IFERROR(INDEX('Retirement Calculator'!K:K,MATCH('Lorri 401b'!N5606,'Retirement Calculator'!A:A,0),0),0)</f>
        <v>0</v>
      </c>
      <c r="K5606" s="444">
        <f t="shared" ca="1" si="188"/>
        <v>-12317836660911.477</v>
      </c>
      <c r="L5606" s="444">
        <f t="shared" ca="1" si="189"/>
        <v>-2968598635279666</v>
      </c>
      <c r="M5606" s="460">
        <f t="shared" si="191"/>
        <v>0.05</v>
      </c>
      <c r="N5606" s="464">
        <f t="shared" si="192"/>
        <v>221673</v>
      </c>
    </row>
    <row r="5607" spans="7:14" ht="11.25" customHeight="1" x14ac:dyDescent="0.3">
      <c r="G5607" s="459"/>
      <c r="H5607" s="459">
        <v>5600</v>
      </c>
      <c r="I5607" s="444">
        <f t="shared" ca="1" si="190"/>
        <v>-2968598635279666</v>
      </c>
      <c r="J5607" s="444">
        <f t="array" ref="J5607">IFERROR(INDEX('Retirement Calculator'!K:K,MATCH('Lorri 401b'!N5607,'Retirement Calculator'!A:A,0),0),0)</f>
        <v>0</v>
      </c>
      <c r="K5607" s="444">
        <f t="shared" ca="1" si="188"/>
        <v>-12369160980331.941</v>
      </c>
      <c r="L5607" s="444">
        <f t="shared" ca="1" si="189"/>
        <v>-2980967796259998</v>
      </c>
      <c r="M5607" s="460">
        <f t="shared" si="191"/>
        <v>0.05</v>
      </c>
      <c r="N5607" s="464">
        <f t="shared" si="192"/>
        <v>221704</v>
      </c>
    </row>
    <row r="5608" spans="7:14" ht="11.25" customHeight="1" x14ac:dyDescent="0.3">
      <c r="G5608" s="459"/>
      <c r="H5608" s="459">
        <v>5601</v>
      </c>
      <c r="I5608" s="444">
        <f t="shared" ca="1" si="190"/>
        <v>-2980967796259998</v>
      </c>
      <c r="J5608" s="444">
        <f t="array" ref="J5608">IFERROR(INDEX('Retirement Calculator'!K:K,MATCH('Lorri 401b'!N5608,'Retirement Calculator'!A:A,0),0),0)</f>
        <v>0</v>
      </c>
      <c r="K5608" s="444">
        <f t="shared" ca="1" si="188"/>
        <v>-12420699151083.324</v>
      </c>
      <c r="L5608" s="444">
        <f t="shared" ca="1" si="189"/>
        <v>-2993388495411081.5</v>
      </c>
      <c r="M5608" s="460">
        <f t="shared" si="191"/>
        <v>0.05</v>
      </c>
      <c r="N5608" s="464">
        <f t="shared" si="192"/>
        <v>221735</v>
      </c>
    </row>
    <row r="5609" spans="7:14" ht="11.25" customHeight="1" x14ac:dyDescent="0.3">
      <c r="G5609" s="459"/>
      <c r="H5609" s="459">
        <v>5602</v>
      </c>
      <c r="I5609" s="444">
        <f t="shared" ca="1" si="190"/>
        <v>-2993388495411081.5</v>
      </c>
      <c r="J5609" s="444">
        <f t="array" ref="J5609">IFERROR(INDEX('Retirement Calculator'!K:K,MATCH('Lorri 401b'!N5609,'Retirement Calculator'!A:A,0),0),0)</f>
        <v>0</v>
      </c>
      <c r="K5609" s="444">
        <f t="shared" ca="1" si="188"/>
        <v>-12472452064212.84</v>
      </c>
      <c r="L5609" s="444">
        <f t="shared" ca="1" si="189"/>
        <v>-3005860947475294.5</v>
      </c>
      <c r="M5609" s="460">
        <f t="shared" si="191"/>
        <v>0.05</v>
      </c>
      <c r="N5609" s="464">
        <f t="shared" si="192"/>
        <v>221763</v>
      </c>
    </row>
    <row r="5610" spans="7:14" ht="11.25" customHeight="1" x14ac:dyDescent="0.3">
      <c r="G5610" s="459"/>
      <c r="H5610" s="459">
        <v>5603</v>
      </c>
      <c r="I5610" s="444">
        <f t="shared" ca="1" si="190"/>
        <v>-3005860947475294.5</v>
      </c>
      <c r="J5610" s="444">
        <f t="array" ref="J5610">IFERROR(INDEX('Retirement Calculator'!K:K,MATCH('Lorri 401b'!N5610,'Retirement Calculator'!A:A,0),0),0)</f>
        <v>0</v>
      </c>
      <c r="K5610" s="444">
        <f t="shared" ca="1" si="188"/>
        <v>-12524420614480.395</v>
      </c>
      <c r="L5610" s="444">
        <f t="shared" ca="1" si="189"/>
        <v>-3018385368089775</v>
      </c>
      <c r="M5610" s="460">
        <f t="shared" si="191"/>
        <v>0.05</v>
      </c>
      <c r="N5610" s="464">
        <f t="shared" si="192"/>
        <v>221794</v>
      </c>
    </row>
    <row r="5611" spans="7:14" ht="11.25" customHeight="1" x14ac:dyDescent="0.3">
      <c r="G5611" s="459"/>
      <c r="H5611" s="459">
        <v>5604</v>
      </c>
      <c r="I5611" s="444">
        <f t="shared" ca="1" si="190"/>
        <v>-3018385368089775</v>
      </c>
      <c r="J5611" s="444">
        <f t="array" ref="J5611">IFERROR(INDEX('Retirement Calculator'!K:K,MATCH('Lorri 401b'!N5611,'Retirement Calculator'!A:A,0),0),0)</f>
        <v>0</v>
      </c>
      <c r="K5611" s="444">
        <f t="shared" ca="1" si="188"/>
        <v>-12576605700374.063</v>
      </c>
      <c r="L5611" s="444">
        <f t="shared" ca="1" si="189"/>
        <v>-3030961973790149</v>
      </c>
      <c r="M5611" s="460">
        <f t="shared" si="191"/>
        <v>0.05</v>
      </c>
      <c r="N5611" s="464">
        <f t="shared" si="192"/>
        <v>221824</v>
      </c>
    </row>
    <row r="5612" spans="7:14" ht="11.25" customHeight="1" x14ac:dyDescent="0.3">
      <c r="G5612" s="459"/>
      <c r="H5612" s="459">
        <v>5605</v>
      </c>
      <c r="I5612" s="444">
        <f t="shared" ca="1" si="190"/>
        <v>-3030961973790149</v>
      </c>
      <c r="J5612" s="444">
        <f t="array" ref="J5612">IFERROR(INDEX('Retirement Calculator'!K:K,MATCH('Lorri 401b'!N5612,'Retirement Calculator'!A:A,0),0),0)</f>
        <v>0</v>
      </c>
      <c r="K5612" s="444">
        <f t="shared" ca="1" si="188"/>
        <v>-12629008224125.621</v>
      </c>
      <c r="L5612" s="444">
        <f t="shared" ca="1" si="189"/>
        <v>-3043590982014274.5</v>
      </c>
      <c r="M5612" s="460">
        <f t="shared" si="191"/>
        <v>0.05</v>
      </c>
      <c r="N5612" s="464">
        <f t="shared" si="192"/>
        <v>221855</v>
      </c>
    </row>
    <row r="5613" spans="7:14" ht="11.25" customHeight="1" x14ac:dyDescent="0.3">
      <c r="G5613" s="459"/>
      <c r="H5613" s="459">
        <v>5606</v>
      </c>
      <c r="I5613" s="444">
        <f t="shared" ca="1" si="190"/>
        <v>-3043590982014274.5</v>
      </c>
      <c r="J5613" s="444">
        <f t="array" ref="J5613">IFERROR(INDEX('Retirement Calculator'!K:K,MATCH('Lorri 401b'!N5613,'Retirement Calculator'!A:A,0),0),0)</f>
        <v>0</v>
      </c>
      <c r="K5613" s="444">
        <f t="shared" ca="1" si="188"/>
        <v>-12681629091726.145</v>
      </c>
      <c r="L5613" s="444">
        <f t="shared" ca="1" si="189"/>
        <v>-3056272611106000.5</v>
      </c>
      <c r="M5613" s="460">
        <f t="shared" si="191"/>
        <v>0.05</v>
      </c>
      <c r="N5613" s="464">
        <f t="shared" si="192"/>
        <v>221885</v>
      </c>
    </row>
    <row r="5614" spans="7:14" ht="11.25" customHeight="1" x14ac:dyDescent="0.3">
      <c r="G5614" s="459"/>
      <c r="H5614" s="459">
        <v>5607</v>
      </c>
      <c r="I5614" s="444">
        <f t="shared" ca="1" si="190"/>
        <v>-3056272611106000.5</v>
      </c>
      <c r="J5614" s="444">
        <f t="array" ref="J5614">IFERROR(INDEX('Retirement Calculator'!K:K,MATCH('Lorri 401b'!N5614,'Retirement Calculator'!A:A,0),0),0)</f>
        <v>0</v>
      </c>
      <c r="K5614" s="444">
        <f t="shared" ca="1" si="188"/>
        <v>-12734469212941.668</v>
      </c>
      <c r="L5614" s="444">
        <f t="shared" ca="1" si="189"/>
        <v>-3069007080318942</v>
      </c>
      <c r="M5614" s="460">
        <f t="shared" si="191"/>
        <v>0.05</v>
      </c>
      <c r="N5614" s="464">
        <f t="shared" si="192"/>
        <v>221916</v>
      </c>
    </row>
    <row r="5615" spans="7:14" ht="11.25" customHeight="1" x14ac:dyDescent="0.3">
      <c r="G5615" s="459"/>
      <c r="H5615" s="459">
        <v>5608</v>
      </c>
      <c r="I5615" s="444">
        <f t="shared" ca="1" si="190"/>
        <v>-3069007080318942</v>
      </c>
      <c r="J5615" s="444">
        <f t="array" ref="J5615">IFERROR(INDEX('Retirement Calculator'!K:K,MATCH('Lorri 401b'!N5615,'Retirement Calculator'!A:A,0),0),0)</f>
        <v>0</v>
      </c>
      <c r="K5615" s="444">
        <f t="shared" ca="1" si="188"/>
        <v>-12787529501328.926</v>
      </c>
      <c r="L5615" s="444">
        <f t="shared" ca="1" si="189"/>
        <v>-3081794609820271</v>
      </c>
      <c r="M5615" s="460">
        <f t="shared" si="191"/>
        <v>0.05</v>
      </c>
      <c r="N5615" s="464">
        <f t="shared" si="192"/>
        <v>221947</v>
      </c>
    </row>
    <row r="5616" spans="7:14" ht="11.25" customHeight="1" x14ac:dyDescent="0.3">
      <c r="G5616" s="459"/>
      <c r="H5616" s="459">
        <v>5609</v>
      </c>
      <c r="I5616" s="444">
        <f t="shared" ca="1" si="190"/>
        <v>-3081794609820271</v>
      </c>
      <c r="J5616" s="444">
        <f t="array" ref="J5616">IFERROR(INDEX('Retirement Calculator'!K:K,MATCH('Lorri 401b'!N5616,'Retirement Calculator'!A:A,0),0),0)</f>
        <v>0</v>
      </c>
      <c r="K5616" s="444">
        <f t="shared" ca="1" si="188"/>
        <v>-12840810874251.129</v>
      </c>
      <c r="L5616" s="444">
        <f t="shared" ca="1" si="189"/>
        <v>-3094635420694522</v>
      </c>
      <c r="M5616" s="460">
        <f t="shared" si="191"/>
        <v>0.05</v>
      </c>
      <c r="N5616" s="464">
        <f t="shared" si="192"/>
        <v>221977</v>
      </c>
    </row>
    <row r="5617" spans="7:14" ht="11.25" customHeight="1" x14ac:dyDescent="0.3">
      <c r="G5617" s="459"/>
      <c r="H5617" s="459">
        <v>5610</v>
      </c>
      <c r="I5617" s="444">
        <f t="shared" ca="1" si="190"/>
        <v>-3094635420694522</v>
      </c>
      <c r="J5617" s="444">
        <f t="array" ref="J5617">IFERROR(INDEX('Retirement Calculator'!K:K,MATCH('Lorri 401b'!N5617,'Retirement Calculator'!A:A,0),0),0)</f>
        <v>0</v>
      </c>
      <c r="K5617" s="444">
        <f t="shared" ca="1" si="188"/>
        <v>-12894314252893.842</v>
      </c>
      <c r="L5617" s="444">
        <f t="shared" ca="1" si="189"/>
        <v>-3107529734947416</v>
      </c>
      <c r="M5617" s="460">
        <f t="shared" si="191"/>
        <v>0.05</v>
      </c>
      <c r="N5617" s="464">
        <f t="shared" si="192"/>
        <v>222008</v>
      </c>
    </row>
    <row r="5618" spans="7:14" ht="11.25" customHeight="1" x14ac:dyDescent="0.3">
      <c r="G5618" s="459"/>
      <c r="H5618" s="459">
        <v>5611</v>
      </c>
      <c r="I5618" s="444">
        <f t="shared" ca="1" si="190"/>
        <v>-3107529734947416</v>
      </c>
      <c r="J5618" s="444">
        <f t="array" ref="J5618">IFERROR(INDEX('Retirement Calculator'!K:K,MATCH('Lorri 401b'!N5618,'Retirement Calculator'!A:A,0),0),0)</f>
        <v>0</v>
      </c>
      <c r="K5618" s="444">
        <f t="shared" ref="K5618:K5872" ca="1" si="193">IPMT(M5618/12,1,12,-I5618+J5618,,0)</f>
        <v>-12948040562280.9</v>
      </c>
      <c r="L5618" s="444">
        <f t="shared" ref="L5618:L5872" ca="1" si="194">I5618-J5618+K5618</f>
        <v>-3120477775509697</v>
      </c>
      <c r="M5618" s="460">
        <f t="shared" si="191"/>
        <v>0.05</v>
      </c>
      <c r="N5618" s="464">
        <f t="shared" si="192"/>
        <v>222038</v>
      </c>
    </row>
    <row r="5619" spans="7:14" ht="11.25" customHeight="1" x14ac:dyDescent="0.3">
      <c r="G5619" s="459"/>
      <c r="H5619" s="459">
        <v>5612</v>
      </c>
      <c r="I5619" s="444">
        <f t="shared" ref="I5619:I5873" ca="1" si="195">L5618</f>
        <v>-3120477775509697</v>
      </c>
      <c r="J5619" s="444">
        <f t="array" ref="J5619">IFERROR(INDEX('Retirement Calculator'!K:K,MATCH('Lorri 401b'!N5619,'Retirement Calculator'!A:A,0),0),0)</f>
        <v>0</v>
      </c>
      <c r="K5619" s="444">
        <f t="shared" ca="1" si="193"/>
        <v>-13001990731290.404</v>
      </c>
      <c r="L5619" s="444">
        <f t="shared" ca="1" si="194"/>
        <v>-3133479766240987.5</v>
      </c>
      <c r="M5619" s="460">
        <f t="shared" ref="M5619:M5873" si="196">M5618</f>
        <v>0.05</v>
      </c>
      <c r="N5619" s="464">
        <f t="shared" ref="N5619:N5873" si="197">EDATE(N5618,1)</f>
        <v>222069</v>
      </c>
    </row>
    <row r="5620" spans="7:14" ht="11.25" customHeight="1" x14ac:dyDescent="0.3">
      <c r="G5620" s="459"/>
      <c r="H5620" s="459">
        <v>5613</v>
      </c>
      <c r="I5620" s="444">
        <f t="shared" ca="1" si="195"/>
        <v>-3133479766240987.5</v>
      </c>
      <c r="J5620" s="444">
        <f t="array" ref="J5620">IFERROR(INDEX('Retirement Calculator'!K:K,MATCH('Lorri 401b'!N5620,'Retirement Calculator'!A:A,0),0),0)</f>
        <v>0</v>
      </c>
      <c r="K5620" s="444">
        <f t="shared" ca="1" si="193"/>
        <v>-13056165692670.781</v>
      </c>
      <c r="L5620" s="444">
        <f t="shared" ca="1" si="194"/>
        <v>-3146535931933658.5</v>
      </c>
      <c r="M5620" s="460">
        <f t="shared" si="196"/>
        <v>0.05</v>
      </c>
      <c r="N5620" s="464">
        <f t="shared" si="197"/>
        <v>222100</v>
      </c>
    </row>
    <row r="5621" spans="7:14" ht="11.25" customHeight="1" x14ac:dyDescent="0.3">
      <c r="G5621" s="459"/>
      <c r="H5621" s="459">
        <v>5614</v>
      </c>
      <c r="I5621" s="444">
        <f t="shared" ca="1" si="195"/>
        <v>-3146535931933658.5</v>
      </c>
      <c r="J5621" s="444">
        <f t="array" ref="J5621">IFERROR(INDEX('Retirement Calculator'!K:K,MATCH('Lorri 401b'!N5621,'Retirement Calculator'!A:A,0),0),0)</f>
        <v>0</v>
      </c>
      <c r="K5621" s="444">
        <f t="shared" ca="1" si="193"/>
        <v>-13110566383056.91</v>
      </c>
      <c r="L5621" s="444">
        <f t="shared" ca="1" si="194"/>
        <v>-3159646498316715.5</v>
      </c>
      <c r="M5621" s="460">
        <f t="shared" si="196"/>
        <v>0.05</v>
      </c>
      <c r="N5621" s="464">
        <f t="shared" si="197"/>
        <v>222129</v>
      </c>
    </row>
    <row r="5622" spans="7:14" ht="11.25" customHeight="1" x14ac:dyDescent="0.3">
      <c r="G5622" s="459"/>
      <c r="H5622" s="459">
        <v>5615</v>
      </c>
      <c r="I5622" s="444">
        <f t="shared" ca="1" si="195"/>
        <v>-3159646498316715.5</v>
      </c>
      <c r="J5622" s="444">
        <f t="array" ref="J5622">IFERROR(INDEX('Retirement Calculator'!K:K,MATCH('Lorri 401b'!N5622,'Retirement Calculator'!A:A,0),0),0)</f>
        <v>0</v>
      </c>
      <c r="K5622" s="444">
        <f t="shared" ca="1" si="193"/>
        <v>-13165193742986.314</v>
      </c>
      <c r="L5622" s="444">
        <f t="shared" ca="1" si="194"/>
        <v>-3172811692059702</v>
      </c>
      <c r="M5622" s="460">
        <f t="shared" si="196"/>
        <v>0.05</v>
      </c>
      <c r="N5622" s="464">
        <f t="shared" si="197"/>
        <v>222160</v>
      </c>
    </row>
    <row r="5623" spans="7:14" ht="11.25" customHeight="1" x14ac:dyDescent="0.3">
      <c r="G5623" s="459"/>
      <c r="H5623" s="459">
        <v>5616</v>
      </c>
      <c r="I5623" s="444">
        <f t="shared" ca="1" si="195"/>
        <v>-3172811692059702</v>
      </c>
      <c r="J5623" s="444">
        <f t="array" ref="J5623">IFERROR(INDEX('Retirement Calculator'!K:K,MATCH('Lorri 401b'!N5623,'Retirement Calculator'!A:A,0),0),0)</f>
        <v>0</v>
      </c>
      <c r="K5623" s="444">
        <f t="shared" ca="1" si="193"/>
        <v>-13220048716915.426</v>
      </c>
      <c r="L5623" s="444">
        <f t="shared" ca="1" si="194"/>
        <v>-3186031740776617.5</v>
      </c>
      <c r="M5623" s="460">
        <f t="shared" si="196"/>
        <v>0.05</v>
      </c>
      <c r="N5623" s="464">
        <f t="shared" si="197"/>
        <v>222190</v>
      </c>
    </row>
    <row r="5624" spans="7:14" ht="11.25" customHeight="1" x14ac:dyDescent="0.3">
      <c r="G5624" s="459"/>
      <c r="H5624" s="459">
        <v>5617</v>
      </c>
      <c r="I5624" s="444">
        <f t="shared" ca="1" si="195"/>
        <v>-3186031740776617.5</v>
      </c>
      <c r="J5624" s="444">
        <f t="array" ref="J5624">IFERROR(INDEX('Retirement Calculator'!K:K,MATCH('Lorri 401b'!N5624,'Retirement Calculator'!A:A,0),0),0)</f>
        <v>0</v>
      </c>
      <c r="K5624" s="444">
        <f t="shared" ca="1" si="193"/>
        <v>-13275132253235.906</v>
      </c>
      <c r="L5624" s="444">
        <f t="shared" ca="1" si="194"/>
        <v>-3199306873029853.5</v>
      </c>
      <c r="M5624" s="460">
        <f t="shared" si="196"/>
        <v>0.05</v>
      </c>
      <c r="N5624" s="464">
        <f t="shared" si="197"/>
        <v>222221</v>
      </c>
    </row>
    <row r="5625" spans="7:14" ht="11.25" customHeight="1" x14ac:dyDescent="0.3">
      <c r="G5625" s="459"/>
      <c r="H5625" s="459">
        <v>5618</v>
      </c>
      <c r="I5625" s="444">
        <f t="shared" ca="1" si="195"/>
        <v>-3199306873029853.5</v>
      </c>
      <c r="J5625" s="444">
        <f t="array" ref="J5625">IFERROR(INDEX('Retirement Calculator'!K:K,MATCH('Lorri 401b'!N5625,'Retirement Calculator'!A:A,0),0),0)</f>
        <v>0</v>
      </c>
      <c r="K5625" s="444">
        <f t="shared" ca="1" si="193"/>
        <v>-13330445304291.057</v>
      </c>
      <c r="L5625" s="444">
        <f t="shared" ca="1" si="194"/>
        <v>-3212637318334144.5</v>
      </c>
      <c r="M5625" s="460">
        <f t="shared" si="196"/>
        <v>0.05</v>
      </c>
      <c r="N5625" s="464">
        <f t="shared" si="197"/>
        <v>222251</v>
      </c>
    </row>
    <row r="5626" spans="7:14" ht="11.25" customHeight="1" x14ac:dyDescent="0.3">
      <c r="G5626" s="459"/>
      <c r="H5626" s="459">
        <v>5619</v>
      </c>
      <c r="I5626" s="444">
        <f t="shared" ca="1" si="195"/>
        <v>-3212637318334144.5</v>
      </c>
      <c r="J5626" s="444">
        <f t="array" ref="J5626">IFERROR(INDEX('Retirement Calculator'!K:K,MATCH('Lorri 401b'!N5626,'Retirement Calculator'!A:A,0),0),0)</f>
        <v>0</v>
      </c>
      <c r="K5626" s="444">
        <f t="shared" ca="1" si="193"/>
        <v>-13385988826392.27</v>
      </c>
      <c r="L5626" s="444">
        <f t="shared" ca="1" si="194"/>
        <v>-3226023307160537</v>
      </c>
      <c r="M5626" s="460">
        <f t="shared" si="196"/>
        <v>0.05</v>
      </c>
      <c r="N5626" s="464">
        <f t="shared" si="197"/>
        <v>222282</v>
      </c>
    </row>
    <row r="5627" spans="7:14" ht="11.25" customHeight="1" x14ac:dyDescent="0.3">
      <c r="G5627" s="459"/>
      <c r="H5627" s="459">
        <v>5620</v>
      </c>
      <c r="I5627" s="444">
        <f t="shared" ca="1" si="195"/>
        <v>-3226023307160537</v>
      </c>
      <c r="J5627" s="444">
        <f t="array" ref="J5627">IFERROR(INDEX('Retirement Calculator'!K:K,MATCH('Lorri 401b'!N5627,'Retirement Calculator'!A:A,0),0),0)</f>
        <v>0</v>
      </c>
      <c r="K5627" s="444">
        <f t="shared" ca="1" si="193"/>
        <v>-13441763779835.57</v>
      </c>
      <c r="L5627" s="444">
        <f t="shared" ca="1" si="194"/>
        <v>-3239465070940372.5</v>
      </c>
      <c r="M5627" s="460">
        <f t="shared" si="196"/>
        <v>0.05</v>
      </c>
      <c r="N5627" s="464">
        <f t="shared" si="197"/>
        <v>222313</v>
      </c>
    </row>
    <row r="5628" spans="7:14" ht="11.25" customHeight="1" x14ac:dyDescent="0.3">
      <c r="G5628" s="459"/>
      <c r="H5628" s="459">
        <v>5621</v>
      </c>
      <c r="I5628" s="444">
        <f t="shared" ca="1" si="195"/>
        <v>-3239465070940372.5</v>
      </c>
      <c r="J5628" s="444">
        <f t="array" ref="J5628">IFERROR(INDEX('Retirement Calculator'!K:K,MATCH('Lorri 401b'!N5628,'Retirement Calculator'!A:A,0),0),0)</f>
        <v>0</v>
      </c>
      <c r="K5628" s="444">
        <f t="shared" ca="1" si="193"/>
        <v>-13497771128918.219</v>
      </c>
      <c r="L5628" s="444">
        <f t="shared" ca="1" si="194"/>
        <v>-3252962842069290.5</v>
      </c>
      <c r="M5628" s="460">
        <f t="shared" si="196"/>
        <v>0.05</v>
      </c>
      <c r="N5628" s="464">
        <f t="shared" si="197"/>
        <v>222343</v>
      </c>
    </row>
    <row r="5629" spans="7:14" ht="11.25" customHeight="1" x14ac:dyDescent="0.3">
      <c r="G5629" s="459"/>
      <c r="H5629" s="459">
        <v>5622</v>
      </c>
      <c r="I5629" s="444">
        <f t="shared" ca="1" si="195"/>
        <v>-3252962842069290.5</v>
      </c>
      <c r="J5629" s="444">
        <f t="array" ref="J5629">IFERROR(INDEX('Retirement Calculator'!K:K,MATCH('Lorri 401b'!N5629,'Retirement Calculator'!A:A,0),0),0)</f>
        <v>0</v>
      </c>
      <c r="K5629" s="444">
        <f t="shared" ca="1" si="193"/>
        <v>-13554011841955.377</v>
      </c>
      <c r="L5629" s="444">
        <f t="shared" ca="1" si="194"/>
        <v>-3266516853911246</v>
      </c>
      <c r="M5629" s="460">
        <f t="shared" si="196"/>
        <v>0.05</v>
      </c>
      <c r="N5629" s="464">
        <f t="shared" si="197"/>
        <v>222374</v>
      </c>
    </row>
    <row r="5630" spans="7:14" ht="11.25" customHeight="1" x14ac:dyDescent="0.3">
      <c r="G5630" s="459"/>
      <c r="H5630" s="459">
        <v>5623</v>
      </c>
      <c r="I5630" s="444">
        <f t="shared" ca="1" si="195"/>
        <v>-3266516853911246</v>
      </c>
      <c r="J5630" s="444">
        <f t="array" ref="J5630">IFERROR(INDEX('Retirement Calculator'!K:K,MATCH('Lorri 401b'!N5630,'Retirement Calculator'!A:A,0),0),0)</f>
        <v>0</v>
      </c>
      <c r="K5630" s="444">
        <f t="shared" ca="1" si="193"/>
        <v>-13610486891296.857</v>
      </c>
      <c r="L5630" s="444">
        <f t="shared" ca="1" si="194"/>
        <v>-3280127340802543</v>
      </c>
      <c r="M5630" s="460">
        <f t="shared" si="196"/>
        <v>0.05</v>
      </c>
      <c r="N5630" s="464">
        <f t="shared" si="197"/>
        <v>222404</v>
      </c>
    </row>
    <row r="5631" spans="7:14" ht="11.25" customHeight="1" x14ac:dyDescent="0.3">
      <c r="G5631" s="459"/>
      <c r="H5631" s="459">
        <v>5624</v>
      </c>
      <c r="I5631" s="444">
        <f t="shared" ca="1" si="195"/>
        <v>-3280127340802543</v>
      </c>
      <c r="J5631" s="444">
        <f t="array" ref="J5631">IFERROR(INDEX('Retirement Calculator'!K:K,MATCH('Lorri 401b'!N5631,'Retirement Calculator'!A:A,0),0),0)</f>
        <v>0</v>
      </c>
      <c r="K5631" s="444">
        <f t="shared" ca="1" si="193"/>
        <v>-13667197253343.93</v>
      </c>
      <c r="L5631" s="444">
        <f t="shared" ca="1" si="194"/>
        <v>-3293794538055887</v>
      </c>
      <c r="M5631" s="460">
        <f t="shared" si="196"/>
        <v>0.05</v>
      </c>
      <c r="N5631" s="464">
        <f t="shared" si="197"/>
        <v>222435</v>
      </c>
    </row>
    <row r="5632" spans="7:14" ht="11.25" customHeight="1" x14ac:dyDescent="0.3">
      <c r="G5632" s="459"/>
      <c r="H5632" s="459">
        <v>5625</v>
      </c>
      <c r="I5632" s="444">
        <f t="shared" ca="1" si="195"/>
        <v>-3293794538055887</v>
      </c>
      <c r="J5632" s="444">
        <f t="array" ref="J5632">IFERROR(INDEX('Retirement Calculator'!K:K,MATCH('Lorri 401b'!N5632,'Retirement Calculator'!A:A,0),0),0)</f>
        <v>0</v>
      </c>
      <c r="K5632" s="444">
        <f t="shared" ca="1" si="193"/>
        <v>-13724143908566.195</v>
      </c>
      <c r="L5632" s="444">
        <f t="shared" ca="1" si="194"/>
        <v>-3307518681964453</v>
      </c>
      <c r="M5632" s="460">
        <f t="shared" si="196"/>
        <v>0.05</v>
      </c>
      <c r="N5632" s="464">
        <f t="shared" si="197"/>
        <v>222466</v>
      </c>
    </row>
    <row r="5633" spans="7:14" ht="11.25" customHeight="1" x14ac:dyDescent="0.3">
      <c r="G5633" s="459"/>
      <c r="H5633" s="459">
        <v>5626</v>
      </c>
      <c r="I5633" s="444">
        <f t="shared" ca="1" si="195"/>
        <v>-3307518681964453</v>
      </c>
      <c r="J5633" s="444">
        <f t="array" ref="J5633">IFERROR(INDEX('Retirement Calculator'!K:K,MATCH('Lorri 401b'!N5633,'Retirement Calculator'!A:A,0),0),0)</f>
        <v>0</v>
      </c>
      <c r="K5633" s="444">
        <f t="shared" ca="1" si="193"/>
        <v>-13781327841518.555</v>
      </c>
      <c r="L5633" s="444">
        <f t="shared" ca="1" si="194"/>
        <v>-3321300009805971.5</v>
      </c>
      <c r="M5633" s="460">
        <f t="shared" si="196"/>
        <v>0.05</v>
      </c>
      <c r="N5633" s="464">
        <f t="shared" si="197"/>
        <v>222494</v>
      </c>
    </row>
    <row r="5634" spans="7:14" ht="11.25" customHeight="1" x14ac:dyDescent="0.3">
      <c r="G5634" s="459"/>
      <c r="H5634" s="459">
        <v>5627</v>
      </c>
      <c r="I5634" s="444">
        <f t="shared" ca="1" si="195"/>
        <v>-3321300009805971.5</v>
      </c>
      <c r="J5634" s="444">
        <f t="array" ref="J5634">IFERROR(INDEX('Retirement Calculator'!K:K,MATCH('Lorri 401b'!N5634,'Retirement Calculator'!A:A,0),0),0)</f>
        <v>0</v>
      </c>
      <c r="K5634" s="444">
        <f t="shared" ca="1" si="193"/>
        <v>-13838750040858.215</v>
      </c>
      <c r="L5634" s="444">
        <f t="shared" ca="1" si="194"/>
        <v>-3335138759846829.5</v>
      </c>
      <c r="M5634" s="460">
        <f t="shared" si="196"/>
        <v>0.05</v>
      </c>
      <c r="N5634" s="464">
        <f t="shared" si="197"/>
        <v>222525</v>
      </c>
    </row>
    <row r="5635" spans="7:14" ht="11.25" customHeight="1" x14ac:dyDescent="0.3">
      <c r="G5635" s="459"/>
      <c r="H5635" s="459">
        <v>5628</v>
      </c>
      <c r="I5635" s="444">
        <f t="shared" ca="1" si="195"/>
        <v>-3335138759846829.5</v>
      </c>
      <c r="J5635" s="444">
        <f t="array" ref="J5635">IFERROR(INDEX('Retirement Calculator'!K:K,MATCH('Lorri 401b'!N5635,'Retirement Calculator'!A:A,0),0),0)</f>
        <v>0</v>
      </c>
      <c r="K5635" s="444">
        <f t="shared" ca="1" si="193"/>
        <v>-13896411499361.789</v>
      </c>
      <c r="L5635" s="444">
        <f t="shared" ca="1" si="194"/>
        <v>-3349035171346191.5</v>
      </c>
      <c r="M5635" s="460">
        <f t="shared" si="196"/>
        <v>0.05</v>
      </c>
      <c r="N5635" s="464">
        <f t="shared" si="197"/>
        <v>222555</v>
      </c>
    </row>
    <row r="5636" spans="7:14" ht="11.25" customHeight="1" x14ac:dyDescent="0.3">
      <c r="G5636" s="459"/>
      <c r="H5636" s="459">
        <v>5629</v>
      </c>
      <c r="I5636" s="444">
        <f t="shared" ca="1" si="195"/>
        <v>-3349035171346191.5</v>
      </c>
      <c r="J5636" s="444">
        <f t="array" ref="J5636">IFERROR(INDEX('Retirement Calculator'!K:K,MATCH('Lorri 401b'!N5636,'Retirement Calculator'!A:A,0),0),0)</f>
        <v>0</v>
      </c>
      <c r="K5636" s="444">
        <f t="shared" ca="1" si="193"/>
        <v>-13954313213942.465</v>
      </c>
      <c r="L5636" s="444">
        <f t="shared" ca="1" si="194"/>
        <v>-3362989484560134</v>
      </c>
      <c r="M5636" s="460">
        <f t="shared" si="196"/>
        <v>0.05</v>
      </c>
      <c r="N5636" s="464">
        <f t="shared" si="197"/>
        <v>222586</v>
      </c>
    </row>
    <row r="5637" spans="7:14" ht="11.25" customHeight="1" x14ac:dyDescent="0.3">
      <c r="G5637" s="459"/>
      <c r="H5637" s="459">
        <v>5630</v>
      </c>
      <c r="I5637" s="444">
        <f t="shared" ca="1" si="195"/>
        <v>-3362989484560134</v>
      </c>
      <c r="J5637" s="444">
        <f t="array" ref="J5637">IFERROR(INDEX('Retirement Calculator'!K:K,MATCH('Lorri 401b'!N5637,'Retirement Calculator'!A:A,0),0),0)</f>
        <v>0</v>
      </c>
      <c r="K5637" s="444">
        <f t="shared" ca="1" si="193"/>
        <v>-14012456185667.225</v>
      </c>
      <c r="L5637" s="444">
        <f t="shared" ca="1" si="194"/>
        <v>-3377001940745801</v>
      </c>
      <c r="M5637" s="460">
        <f t="shared" si="196"/>
        <v>0.05</v>
      </c>
      <c r="N5637" s="464">
        <f t="shared" si="197"/>
        <v>222616</v>
      </c>
    </row>
    <row r="5638" spans="7:14" ht="11.25" customHeight="1" x14ac:dyDescent="0.3">
      <c r="G5638" s="459"/>
      <c r="H5638" s="459">
        <v>5631</v>
      </c>
      <c r="I5638" s="444">
        <f t="shared" ca="1" si="195"/>
        <v>-3377001940745801</v>
      </c>
      <c r="J5638" s="444">
        <f t="array" ref="J5638">IFERROR(INDEX('Retirement Calculator'!K:K,MATCH('Lorri 401b'!N5638,'Retirement Calculator'!A:A,0),0),0)</f>
        <v>0</v>
      </c>
      <c r="K5638" s="444">
        <f t="shared" ca="1" si="193"/>
        <v>-14070841419774.17</v>
      </c>
      <c r="L5638" s="444">
        <f t="shared" ca="1" si="194"/>
        <v>-3391072782165575</v>
      </c>
      <c r="M5638" s="460">
        <f t="shared" si="196"/>
        <v>0.05</v>
      </c>
      <c r="N5638" s="464">
        <f t="shared" si="197"/>
        <v>222647</v>
      </c>
    </row>
    <row r="5639" spans="7:14" ht="11.25" customHeight="1" x14ac:dyDescent="0.3">
      <c r="G5639" s="459"/>
      <c r="H5639" s="459">
        <v>5632</v>
      </c>
      <c r="I5639" s="444">
        <f t="shared" ca="1" si="195"/>
        <v>-3391072782165575</v>
      </c>
      <c r="J5639" s="444">
        <f t="array" ref="J5639">IFERROR(INDEX('Retirement Calculator'!K:K,MATCH('Lorri 401b'!N5639,'Retirement Calculator'!A:A,0),0),0)</f>
        <v>0</v>
      </c>
      <c r="K5639" s="444">
        <f t="shared" ca="1" si="193"/>
        <v>-14129469925689.896</v>
      </c>
      <c r="L5639" s="444">
        <f t="shared" ca="1" si="194"/>
        <v>-3405202252091265</v>
      </c>
      <c r="M5639" s="460">
        <f t="shared" si="196"/>
        <v>0.05</v>
      </c>
      <c r="N5639" s="464">
        <f t="shared" si="197"/>
        <v>222678</v>
      </c>
    </row>
    <row r="5640" spans="7:14" ht="11.25" customHeight="1" x14ac:dyDescent="0.3">
      <c r="G5640" s="459"/>
      <c r="H5640" s="459">
        <v>5633</v>
      </c>
      <c r="I5640" s="444">
        <f t="shared" ca="1" si="195"/>
        <v>-3405202252091265</v>
      </c>
      <c r="J5640" s="444">
        <f t="array" ref="J5640">IFERROR(INDEX('Retirement Calculator'!K:K,MATCH('Lorri 401b'!N5640,'Retirement Calculator'!A:A,0),0),0)</f>
        <v>0</v>
      </c>
      <c r="K5640" s="444">
        <f t="shared" ca="1" si="193"/>
        <v>-14188342717046.938</v>
      </c>
      <c r="L5640" s="444">
        <f t="shared" ca="1" si="194"/>
        <v>-3419390594808312</v>
      </c>
      <c r="M5640" s="460">
        <f t="shared" si="196"/>
        <v>0.05</v>
      </c>
      <c r="N5640" s="464">
        <f t="shared" si="197"/>
        <v>222708</v>
      </c>
    </row>
    <row r="5641" spans="7:14" ht="11.25" customHeight="1" x14ac:dyDescent="0.3">
      <c r="G5641" s="459"/>
      <c r="H5641" s="459">
        <v>5634</v>
      </c>
      <c r="I5641" s="444">
        <f t="shared" ca="1" si="195"/>
        <v>-3419390594808312</v>
      </c>
      <c r="J5641" s="444">
        <f t="array" ref="J5641">IFERROR(INDEX('Retirement Calculator'!K:K,MATCH('Lorri 401b'!N5641,'Retirement Calculator'!A:A,0),0),0)</f>
        <v>0</v>
      </c>
      <c r="K5641" s="444">
        <f t="shared" ca="1" si="193"/>
        <v>-14247460811701.299</v>
      </c>
      <c r="L5641" s="444">
        <f t="shared" ca="1" si="194"/>
        <v>-3433638055620013.5</v>
      </c>
      <c r="M5641" s="460">
        <f t="shared" si="196"/>
        <v>0.05</v>
      </c>
      <c r="N5641" s="464">
        <f t="shared" si="197"/>
        <v>222739</v>
      </c>
    </row>
    <row r="5642" spans="7:14" ht="11.25" customHeight="1" x14ac:dyDescent="0.3">
      <c r="G5642" s="459"/>
      <c r="H5642" s="459">
        <v>5635</v>
      </c>
      <c r="I5642" s="444">
        <f t="shared" ca="1" si="195"/>
        <v>-3433638055620013.5</v>
      </c>
      <c r="J5642" s="444">
        <f t="array" ref="J5642">IFERROR(INDEX('Retirement Calculator'!K:K,MATCH('Lorri 401b'!N5642,'Retirement Calculator'!A:A,0),0),0)</f>
        <v>0</v>
      </c>
      <c r="K5642" s="444">
        <f t="shared" ca="1" si="193"/>
        <v>-14306825231750.057</v>
      </c>
      <c r="L5642" s="444">
        <f t="shared" ca="1" si="194"/>
        <v>-3447944880851763.5</v>
      </c>
      <c r="M5642" s="460">
        <f t="shared" si="196"/>
        <v>0.05</v>
      </c>
      <c r="N5642" s="464">
        <f t="shared" si="197"/>
        <v>222769</v>
      </c>
    </row>
    <row r="5643" spans="7:14" ht="11.25" customHeight="1" x14ac:dyDescent="0.3">
      <c r="G5643" s="459"/>
      <c r="H5643" s="459">
        <v>5636</v>
      </c>
      <c r="I5643" s="444">
        <f t="shared" ca="1" si="195"/>
        <v>-3447944880851763.5</v>
      </c>
      <c r="J5643" s="444">
        <f t="array" ref="J5643">IFERROR(INDEX('Retirement Calculator'!K:K,MATCH('Lorri 401b'!N5643,'Retirement Calculator'!A:A,0),0),0)</f>
        <v>0</v>
      </c>
      <c r="K5643" s="444">
        <f t="shared" ca="1" si="193"/>
        <v>-14366437003549.014</v>
      </c>
      <c r="L5643" s="444">
        <f t="shared" ca="1" si="194"/>
        <v>-3462311317855312.5</v>
      </c>
      <c r="M5643" s="460">
        <f t="shared" si="196"/>
        <v>0.05</v>
      </c>
      <c r="N5643" s="464">
        <f t="shared" si="197"/>
        <v>222800</v>
      </c>
    </row>
    <row r="5644" spans="7:14" ht="11.25" customHeight="1" x14ac:dyDescent="0.3">
      <c r="G5644" s="459"/>
      <c r="H5644" s="459">
        <v>5637</v>
      </c>
      <c r="I5644" s="444">
        <f t="shared" ca="1" si="195"/>
        <v>-3462311317855312.5</v>
      </c>
      <c r="J5644" s="444">
        <f t="array" ref="J5644">IFERROR(INDEX('Retirement Calculator'!K:K,MATCH('Lorri 401b'!N5644,'Retirement Calculator'!A:A,0),0),0)</f>
        <v>0</v>
      </c>
      <c r="K5644" s="444">
        <f t="shared" ca="1" si="193"/>
        <v>-14426297157730.469</v>
      </c>
      <c r="L5644" s="444">
        <f t="shared" ca="1" si="194"/>
        <v>-3476737615013043</v>
      </c>
      <c r="M5644" s="460">
        <f t="shared" si="196"/>
        <v>0.05</v>
      </c>
      <c r="N5644" s="464">
        <f t="shared" si="197"/>
        <v>222831</v>
      </c>
    </row>
    <row r="5645" spans="7:14" ht="11.25" customHeight="1" x14ac:dyDescent="0.3">
      <c r="G5645" s="459"/>
      <c r="H5645" s="459">
        <v>5638</v>
      </c>
      <c r="I5645" s="444">
        <f t="shared" ca="1" si="195"/>
        <v>-3476737615013043</v>
      </c>
      <c r="J5645" s="444">
        <f t="array" ref="J5645">IFERROR(INDEX('Retirement Calculator'!K:K,MATCH('Lorri 401b'!N5645,'Retirement Calculator'!A:A,0),0),0)</f>
        <v>0</v>
      </c>
      <c r="K5645" s="444">
        <f t="shared" ca="1" si="193"/>
        <v>-14486406729221.012</v>
      </c>
      <c r="L5645" s="444">
        <f t="shared" ca="1" si="194"/>
        <v>-3491224021742264</v>
      </c>
      <c r="M5645" s="460">
        <f t="shared" si="196"/>
        <v>0.05</v>
      </c>
      <c r="N5645" s="464">
        <f t="shared" si="197"/>
        <v>222859</v>
      </c>
    </row>
    <row r="5646" spans="7:14" ht="11.25" customHeight="1" x14ac:dyDescent="0.3">
      <c r="G5646" s="459"/>
      <c r="H5646" s="459">
        <v>5639</v>
      </c>
      <c r="I5646" s="444">
        <f t="shared" ca="1" si="195"/>
        <v>-3491224021742264</v>
      </c>
      <c r="J5646" s="444">
        <f t="array" ref="J5646">IFERROR(INDEX('Retirement Calculator'!K:K,MATCH('Lorri 401b'!N5646,'Retirement Calculator'!A:A,0),0),0)</f>
        <v>0</v>
      </c>
      <c r="K5646" s="444">
        <f t="shared" ca="1" si="193"/>
        <v>-14546766757259.434</v>
      </c>
      <c r="L5646" s="444">
        <f t="shared" ca="1" si="194"/>
        <v>-3505770788499523.5</v>
      </c>
      <c r="M5646" s="460">
        <f t="shared" si="196"/>
        <v>0.05</v>
      </c>
      <c r="N5646" s="464">
        <f t="shared" si="197"/>
        <v>222890</v>
      </c>
    </row>
    <row r="5647" spans="7:14" ht="11.25" customHeight="1" x14ac:dyDescent="0.3">
      <c r="G5647" s="459"/>
      <c r="H5647" s="459">
        <v>5640</v>
      </c>
      <c r="I5647" s="444">
        <f t="shared" ca="1" si="195"/>
        <v>-3505770788499523.5</v>
      </c>
      <c r="J5647" s="444">
        <f t="array" ref="J5647">IFERROR(INDEX('Retirement Calculator'!K:K,MATCH('Lorri 401b'!N5647,'Retirement Calculator'!A:A,0),0),0)</f>
        <v>0</v>
      </c>
      <c r="K5647" s="444">
        <f t="shared" ca="1" si="193"/>
        <v>-14607378285414.682</v>
      </c>
      <c r="L5647" s="444">
        <f t="shared" ca="1" si="194"/>
        <v>-3520378166784938</v>
      </c>
      <c r="M5647" s="460">
        <f t="shared" si="196"/>
        <v>0.05</v>
      </c>
      <c r="N5647" s="464">
        <f t="shared" si="197"/>
        <v>222920</v>
      </c>
    </row>
    <row r="5648" spans="7:14" ht="11.25" customHeight="1" x14ac:dyDescent="0.3">
      <c r="G5648" s="459"/>
      <c r="H5648" s="459">
        <v>5641</v>
      </c>
      <c r="I5648" s="444">
        <f t="shared" ca="1" si="195"/>
        <v>-3520378166784938</v>
      </c>
      <c r="J5648" s="444">
        <f t="array" ref="J5648">IFERROR(INDEX('Retirement Calculator'!K:K,MATCH('Lorri 401b'!N5648,'Retirement Calculator'!A:A,0),0),0)</f>
        <v>0</v>
      </c>
      <c r="K5648" s="444">
        <f t="shared" ca="1" si="193"/>
        <v>-14668242361603.908</v>
      </c>
      <c r="L5648" s="444">
        <f t="shared" ca="1" si="194"/>
        <v>-3535046409146542</v>
      </c>
      <c r="M5648" s="460">
        <f t="shared" si="196"/>
        <v>0.05</v>
      </c>
      <c r="N5648" s="464">
        <f t="shared" si="197"/>
        <v>222951</v>
      </c>
    </row>
    <row r="5649" spans="7:14" ht="11.25" customHeight="1" x14ac:dyDescent="0.3">
      <c r="G5649" s="459"/>
      <c r="H5649" s="459">
        <v>5642</v>
      </c>
      <c r="I5649" s="444">
        <f t="shared" ca="1" si="195"/>
        <v>-3535046409146542</v>
      </c>
      <c r="J5649" s="444">
        <f t="array" ref="J5649">IFERROR(INDEX('Retirement Calculator'!K:K,MATCH('Lorri 401b'!N5649,'Retirement Calculator'!A:A,0),0),0)</f>
        <v>0</v>
      </c>
      <c r="K5649" s="444">
        <f t="shared" ca="1" si="193"/>
        <v>-14729360038110.592</v>
      </c>
      <c r="L5649" s="444">
        <f t="shared" ca="1" si="194"/>
        <v>-3549775769184652.5</v>
      </c>
      <c r="M5649" s="460">
        <f t="shared" si="196"/>
        <v>0.05</v>
      </c>
      <c r="N5649" s="464">
        <f t="shared" si="197"/>
        <v>222981</v>
      </c>
    </row>
    <row r="5650" spans="7:14" ht="11.25" customHeight="1" x14ac:dyDescent="0.3">
      <c r="G5650" s="459"/>
      <c r="H5650" s="459">
        <v>5643</v>
      </c>
      <c r="I5650" s="444">
        <f t="shared" ca="1" si="195"/>
        <v>-3549775769184652.5</v>
      </c>
      <c r="J5650" s="444">
        <f t="array" ref="J5650">IFERROR(INDEX('Retirement Calculator'!K:K,MATCH('Lorri 401b'!N5650,'Retirement Calculator'!A:A,0),0),0)</f>
        <v>0</v>
      </c>
      <c r="K5650" s="444">
        <f t="shared" ca="1" si="193"/>
        <v>-14790732371602.721</v>
      </c>
      <c r="L5650" s="444">
        <f t="shared" ca="1" si="194"/>
        <v>-3564566501556255</v>
      </c>
      <c r="M5650" s="460">
        <f t="shared" si="196"/>
        <v>0.05</v>
      </c>
      <c r="N5650" s="464">
        <f t="shared" si="197"/>
        <v>223012</v>
      </c>
    </row>
    <row r="5651" spans="7:14" ht="11.25" customHeight="1" x14ac:dyDescent="0.3">
      <c r="G5651" s="459"/>
      <c r="H5651" s="459">
        <v>5644</v>
      </c>
      <c r="I5651" s="444">
        <f t="shared" ca="1" si="195"/>
        <v>-3564566501556255</v>
      </c>
      <c r="J5651" s="444">
        <f t="array" ref="J5651">IFERROR(INDEX('Retirement Calculator'!K:K,MATCH('Lorri 401b'!N5651,'Retirement Calculator'!A:A,0),0),0)</f>
        <v>0</v>
      </c>
      <c r="K5651" s="444">
        <f t="shared" ca="1" si="193"/>
        <v>-14852360423151.063</v>
      </c>
      <c r="L5651" s="444">
        <f t="shared" ca="1" si="194"/>
        <v>-3579418861979406</v>
      </c>
      <c r="M5651" s="460">
        <f t="shared" si="196"/>
        <v>0.05</v>
      </c>
      <c r="N5651" s="464">
        <f t="shared" si="197"/>
        <v>223043</v>
      </c>
    </row>
    <row r="5652" spans="7:14" ht="11.25" customHeight="1" x14ac:dyDescent="0.3">
      <c r="G5652" s="459"/>
      <c r="H5652" s="459">
        <v>5645</v>
      </c>
      <c r="I5652" s="444">
        <f t="shared" ca="1" si="195"/>
        <v>-3579418861979406</v>
      </c>
      <c r="J5652" s="444">
        <f t="array" ref="J5652">IFERROR(INDEX('Retirement Calculator'!K:K,MATCH('Lorri 401b'!N5652,'Retirement Calculator'!A:A,0),0),0)</f>
        <v>0</v>
      </c>
      <c r="K5652" s="444">
        <f t="shared" ca="1" si="193"/>
        <v>-14914245258247.525</v>
      </c>
      <c r="L5652" s="444">
        <f t="shared" ca="1" si="194"/>
        <v>-3594333107237653.5</v>
      </c>
      <c r="M5652" s="460">
        <f t="shared" si="196"/>
        <v>0.05</v>
      </c>
      <c r="N5652" s="464">
        <f t="shared" si="197"/>
        <v>223073</v>
      </c>
    </row>
    <row r="5653" spans="7:14" ht="11.25" customHeight="1" x14ac:dyDescent="0.3">
      <c r="G5653" s="459"/>
      <c r="H5653" s="459">
        <v>5646</v>
      </c>
      <c r="I5653" s="444">
        <f t="shared" ca="1" si="195"/>
        <v>-3594333107237653.5</v>
      </c>
      <c r="J5653" s="444">
        <f t="array" ref="J5653">IFERROR(INDEX('Retirement Calculator'!K:K,MATCH('Lorri 401b'!N5653,'Retirement Calculator'!A:A,0),0),0)</f>
        <v>0</v>
      </c>
      <c r="K5653" s="444">
        <f t="shared" ca="1" si="193"/>
        <v>-14976387946823.555</v>
      </c>
      <c r="L5653" s="444">
        <f t="shared" ca="1" si="194"/>
        <v>-3609309495184477</v>
      </c>
      <c r="M5653" s="460">
        <f t="shared" si="196"/>
        <v>0.05</v>
      </c>
      <c r="N5653" s="464">
        <f t="shared" si="197"/>
        <v>223104</v>
      </c>
    </row>
    <row r="5654" spans="7:14" ht="11.25" customHeight="1" x14ac:dyDescent="0.3">
      <c r="G5654" s="459"/>
      <c r="H5654" s="459">
        <v>5647</v>
      </c>
      <c r="I5654" s="444">
        <f t="shared" ca="1" si="195"/>
        <v>-3609309495184477</v>
      </c>
      <c r="J5654" s="444">
        <f t="array" ref="J5654">IFERROR(INDEX('Retirement Calculator'!K:K,MATCH('Lorri 401b'!N5654,'Retirement Calculator'!A:A,0),0),0)</f>
        <v>0</v>
      </c>
      <c r="K5654" s="444">
        <f t="shared" ca="1" si="193"/>
        <v>-15038789563268.654</v>
      </c>
      <c r="L5654" s="444">
        <f t="shared" ca="1" si="194"/>
        <v>-3624348284747745.5</v>
      </c>
      <c r="M5654" s="460">
        <f t="shared" si="196"/>
        <v>0.05</v>
      </c>
      <c r="N5654" s="464">
        <f t="shared" si="197"/>
        <v>223134</v>
      </c>
    </row>
    <row r="5655" spans="7:14" ht="11.25" customHeight="1" x14ac:dyDescent="0.3">
      <c r="G5655" s="459"/>
      <c r="H5655" s="459">
        <v>5648</v>
      </c>
      <c r="I5655" s="444">
        <f t="shared" ca="1" si="195"/>
        <v>-3624348284747745.5</v>
      </c>
      <c r="J5655" s="444">
        <f t="array" ref="J5655">IFERROR(INDEX('Retirement Calculator'!K:K,MATCH('Lorri 401b'!N5655,'Retirement Calculator'!A:A,0),0),0)</f>
        <v>0</v>
      </c>
      <c r="K5655" s="444">
        <f t="shared" ca="1" si="193"/>
        <v>-15101451186448.941</v>
      </c>
      <c r="L5655" s="444">
        <f t="shared" ca="1" si="194"/>
        <v>-3639449735934194.5</v>
      </c>
      <c r="M5655" s="460">
        <f t="shared" si="196"/>
        <v>0.05</v>
      </c>
      <c r="N5655" s="464">
        <f t="shared" si="197"/>
        <v>223165</v>
      </c>
    </row>
    <row r="5656" spans="7:14" ht="11.25" customHeight="1" x14ac:dyDescent="0.3">
      <c r="G5656" s="459"/>
      <c r="H5656" s="459">
        <v>5649</v>
      </c>
      <c r="I5656" s="444">
        <f t="shared" ca="1" si="195"/>
        <v>-3639449735934194.5</v>
      </c>
      <c r="J5656" s="444">
        <f t="array" ref="J5656">IFERROR(INDEX('Retirement Calculator'!K:K,MATCH('Lorri 401b'!N5656,'Retirement Calculator'!A:A,0),0),0)</f>
        <v>0</v>
      </c>
      <c r="K5656" s="444">
        <f t="shared" ca="1" si="193"/>
        <v>-15164373899725.811</v>
      </c>
      <c r="L5656" s="444">
        <f t="shared" ca="1" si="194"/>
        <v>-3654614109833920.5</v>
      </c>
      <c r="M5656" s="460">
        <f t="shared" si="196"/>
        <v>0.05</v>
      </c>
      <c r="N5656" s="464">
        <f t="shared" si="197"/>
        <v>223196</v>
      </c>
    </row>
    <row r="5657" spans="7:14" ht="11.25" customHeight="1" x14ac:dyDescent="0.3">
      <c r="G5657" s="459"/>
      <c r="H5657" s="459">
        <v>5650</v>
      </c>
      <c r="I5657" s="444">
        <f t="shared" ca="1" si="195"/>
        <v>-3654614109833920.5</v>
      </c>
      <c r="J5657" s="444">
        <f t="array" ref="J5657">IFERROR(INDEX('Retirement Calculator'!K:K,MATCH('Lorri 401b'!N5657,'Retirement Calculator'!A:A,0),0),0)</f>
        <v>0</v>
      </c>
      <c r="K5657" s="444">
        <f t="shared" ca="1" si="193"/>
        <v>-15227558790974.666</v>
      </c>
      <c r="L5657" s="444">
        <f t="shared" ca="1" si="194"/>
        <v>-3669841668624895</v>
      </c>
      <c r="M5657" s="460">
        <f t="shared" si="196"/>
        <v>0.05</v>
      </c>
      <c r="N5657" s="464">
        <f t="shared" si="197"/>
        <v>223224</v>
      </c>
    </row>
    <row r="5658" spans="7:14" ht="11.25" customHeight="1" x14ac:dyDescent="0.3">
      <c r="G5658" s="459"/>
      <c r="H5658" s="459">
        <v>5651</v>
      </c>
      <c r="I5658" s="444">
        <f t="shared" ca="1" si="195"/>
        <v>-3669841668624895</v>
      </c>
      <c r="J5658" s="444">
        <f t="array" ref="J5658">IFERROR(INDEX('Retirement Calculator'!K:K,MATCH('Lorri 401b'!N5658,'Retirement Calculator'!A:A,0),0),0)</f>
        <v>0</v>
      </c>
      <c r="K5658" s="444">
        <f t="shared" ca="1" si="193"/>
        <v>-15291006952603.729</v>
      </c>
      <c r="L5658" s="444">
        <f t="shared" ca="1" si="194"/>
        <v>-3685132675577498.5</v>
      </c>
      <c r="M5658" s="460">
        <f t="shared" si="196"/>
        <v>0.05</v>
      </c>
      <c r="N5658" s="464">
        <f t="shared" si="197"/>
        <v>223255</v>
      </c>
    </row>
    <row r="5659" spans="7:14" ht="11.25" customHeight="1" x14ac:dyDescent="0.3">
      <c r="G5659" s="459"/>
      <c r="H5659" s="459">
        <v>5652</v>
      </c>
      <c r="I5659" s="444">
        <f t="shared" ca="1" si="195"/>
        <v>-3685132675577498.5</v>
      </c>
      <c r="J5659" s="444">
        <f t="array" ref="J5659">IFERROR(INDEX('Retirement Calculator'!K:K,MATCH('Lorri 401b'!N5659,'Retirement Calculator'!A:A,0),0),0)</f>
        <v>0</v>
      </c>
      <c r="K5659" s="444">
        <f t="shared" ca="1" si="193"/>
        <v>-15354719481572.91</v>
      </c>
      <c r="L5659" s="444">
        <f t="shared" ca="1" si="194"/>
        <v>-3700487395059071.5</v>
      </c>
      <c r="M5659" s="460">
        <f t="shared" si="196"/>
        <v>0.05</v>
      </c>
      <c r="N5659" s="464">
        <f t="shared" si="197"/>
        <v>223285</v>
      </c>
    </row>
    <row r="5660" spans="7:14" ht="11.25" customHeight="1" x14ac:dyDescent="0.3">
      <c r="G5660" s="459"/>
      <c r="H5660" s="459">
        <v>5653</v>
      </c>
      <c r="I5660" s="444">
        <f t="shared" ca="1" si="195"/>
        <v>-3700487395059071.5</v>
      </c>
      <c r="J5660" s="444">
        <f t="array" ref="J5660">IFERROR(INDEX('Retirement Calculator'!K:K,MATCH('Lorri 401b'!N5660,'Retirement Calculator'!A:A,0),0),0)</f>
        <v>0</v>
      </c>
      <c r="K5660" s="444">
        <f t="shared" ca="1" si="193"/>
        <v>-15418697479412.795</v>
      </c>
      <c r="L5660" s="444">
        <f t="shared" ca="1" si="194"/>
        <v>-3715906092538484.5</v>
      </c>
      <c r="M5660" s="460">
        <f t="shared" si="196"/>
        <v>0.05</v>
      </c>
      <c r="N5660" s="464">
        <f t="shared" si="197"/>
        <v>223316</v>
      </c>
    </row>
    <row r="5661" spans="7:14" ht="11.25" customHeight="1" x14ac:dyDescent="0.3">
      <c r="G5661" s="459"/>
      <c r="H5661" s="459">
        <v>5654</v>
      </c>
      <c r="I5661" s="444">
        <f t="shared" ca="1" si="195"/>
        <v>-3715906092538484.5</v>
      </c>
      <c r="J5661" s="444">
        <f t="array" ref="J5661">IFERROR(INDEX('Retirement Calculator'!K:K,MATCH('Lorri 401b'!N5661,'Retirement Calculator'!A:A,0),0),0)</f>
        <v>0</v>
      </c>
      <c r="K5661" s="444">
        <f t="shared" ca="1" si="193"/>
        <v>-15482942052243.684</v>
      </c>
      <c r="L5661" s="444">
        <f t="shared" ca="1" si="194"/>
        <v>-3731389034590728</v>
      </c>
      <c r="M5661" s="460">
        <f t="shared" si="196"/>
        <v>0.05</v>
      </c>
      <c r="N5661" s="464">
        <f t="shared" si="197"/>
        <v>223346</v>
      </c>
    </row>
    <row r="5662" spans="7:14" ht="11.25" customHeight="1" x14ac:dyDescent="0.3">
      <c r="G5662" s="459"/>
      <c r="H5662" s="459">
        <v>5655</v>
      </c>
      <c r="I5662" s="444">
        <f t="shared" ca="1" si="195"/>
        <v>-3731389034590728</v>
      </c>
      <c r="J5662" s="444">
        <f t="array" ref="J5662">IFERROR(INDEX('Retirement Calculator'!K:K,MATCH('Lorri 401b'!N5662,'Retirement Calculator'!A:A,0),0),0)</f>
        <v>0</v>
      </c>
      <c r="K5662" s="444">
        <f t="shared" ca="1" si="193"/>
        <v>-15547454310794.697</v>
      </c>
      <c r="L5662" s="444">
        <f t="shared" ca="1" si="194"/>
        <v>-3746936488901522.5</v>
      </c>
      <c r="M5662" s="460">
        <f t="shared" si="196"/>
        <v>0.05</v>
      </c>
      <c r="N5662" s="464">
        <f t="shared" si="197"/>
        <v>223377</v>
      </c>
    </row>
    <row r="5663" spans="7:14" ht="11.25" customHeight="1" x14ac:dyDescent="0.3">
      <c r="G5663" s="459"/>
      <c r="H5663" s="459">
        <v>5656</v>
      </c>
      <c r="I5663" s="444">
        <f t="shared" ca="1" si="195"/>
        <v>-3746936488901522.5</v>
      </c>
      <c r="J5663" s="444">
        <f t="array" ref="J5663">IFERROR(INDEX('Retirement Calculator'!K:K,MATCH('Lorri 401b'!N5663,'Retirement Calculator'!A:A,0),0),0)</f>
        <v>0</v>
      </c>
      <c r="K5663" s="444">
        <f t="shared" ca="1" si="193"/>
        <v>-15612235370423.01</v>
      </c>
      <c r="L5663" s="444">
        <f t="shared" ca="1" si="194"/>
        <v>-3762548724271945.5</v>
      </c>
      <c r="M5663" s="460">
        <f t="shared" si="196"/>
        <v>0.05</v>
      </c>
      <c r="N5663" s="464">
        <f t="shared" si="197"/>
        <v>223408</v>
      </c>
    </row>
    <row r="5664" spans="7:14" ht="11.25" customHeight="1" x14ac:dyDescent="0.3">
      <c r="G5664" s="459"/>
      <c r="H5664" s="459">
        <v>5657</v>
      </c>
      <c r="I5664" s="444">
        <f t="shared" ca="1" si="195"/>
        <v>-3762548724271945.5</v>
      </c>
      <c r="J5664" s="444">
        <f t="array" ref="J5664">IFERROR(INDEX('Retirement Calculator'!K:K,MATCH('Lorri 401b'!N5664,'Retirement Calculator'!A:A,0),0),0)</f>
        <v>0</v>
      </c>
      <c r="K5664" s="444">
        <f t="shared" ca="1" si="193"/>
        <v>-15677286351133.105</v>
      </c>
      <c r="L5664" s="444">
        <f t="shared" ca="1" si="194"/>
        <v>-3778226010623078.5</v>
      </c>
      <c r="M5664" s="460">
        <f t="shared" si="196"/>
        <v>0.05</v>
      </c>
      <c r="N5664" s="464">
        <f t="shared" si="197"/>
        <v>223438</v>
      </c>
    </row>
    <row r="5665" spans="7:14" ht="11.25" customHeight="1" x14ac:dyDescent="0.3">
      <c r="G5665" s="459"/>
      <c r="H5665" s="459">
        <v>5658</v>
      </c>
      <c r="I5665" s="444">
        <f t="shared" ca="1" si="195"/>
        <v>-3778226010623078.5</v>
      </c>
      <c r="J5665" s="444">
        <f t="array" ref="J5665">IFERROR(INDEX('Retirement Calculator'!K:K,MATCH('Lorri 401b'!N5665,'Retirement Calculator'!A:A,0),0),0)</f>
        <v>0</v>
      </c>
      <c r="K5665" s="444">
        <f t="shared" ca="1" si="193"/>
        <v>-15742608377596.16</v>
      </c>
      <c r="L5665" s="444">
        <f t="shared" ca="1" si="194"/>
        <v>-3793968619000674.5</v>
      </c>
      <c r="M5665" s="460">
        <f t="shared" si="196"/>
        <v>0.05</v>
      </c>
      <c r="N5665" s="464">
        <f t="shared" si="197"/>
        <v>223469</v>
      </c>
    </row>
    <row r="5666" spans="7:14" ht="11.25" customHeight="1" x14ac:dyDescent="0.3">
      <c r="G5666" s="459"/>
      <c r="H5666" s="459">
        <v>5659</v>
      </c>
      <c r="I5666" s="444">
        <f t="shared" ca="1" si="195"/>
        <v>-3793968619000674.5</v>
      </c>
      <c r="J5666" s="444">
        <f t="array" ref="J5666">IFERROR(INDEX('Retirement Calculator'!K:K,MATCH('Lorri 401b'!N5666,'Retirement Calculator'!A:A,0),0),0)</f>
        <v>0</v>
      </c>
      <c r="K5666" s="444">
        <f t="shared" ca="1" si="193"/>
        <v>-15808202579169.475</v>
      </c>
      <c r="L5666" s="444">
        <f t="shared" ca="1" si="194"/>
        <v>-3809776821579844</v>
      </c>
      <c r="M5666" s="460">
        <f t="shared" si="196"/>
        <v>0.05</v>
      </c>
      <c r="N5666" s="464">
        <f t="shared" si="197"/>
        <v>223499</v>
      </c>
    </row>
    <row r="5667" spans="7:14" ht="11.25" customHeight="1" x14ac:dyDescent="0.3">
      <c r="G5667" s="459"/>
      <c r="H5667" s="459">
        <v>5660</v>
      </c>
      <c r="I5667" s="444">
        <f t="shared" ca="1" si="195"/>
        <v>-3809776821579844</v>
      </c>
      <c r="J5667" s="444">
        <f t="array" ref="J5667">IFERROR(INDEX('Retirement Calculator'!K:K,MATCH('Lorri 401b'!N5667,'Retirement Calculator'!A:A,0),0),0)</f>
        <v>0</v>
      </c>
      <c r="K5667" s="444">
        <f t="shared" ca="1" si="193"/>
        <v>-15874070089916.016</v>
      </c>
      <c r="L5667" s="444">
        <f t="shared" ca="1" si="194"/>
        <v>-3825650891669760</v>
      </c>
      <c r="M5667" s="460">
        <f t="shared" si="196"/>
        <v>0.05</v>
      </c>
      <c r="N5667" s="464">
        <f t="shared" si="197"/>
        <v>223530</v>
      </c>
    </row>
    <row r="5668" spans="7:14" ht="11.25" customHeight="1" x14ac:dyDescent="0.3">
      <c r="G5668" s="459"/>
      <c r="H5668" s="459">
        <v>5661</v>
      </c>
      <c r="I5668" s="444">
        <f t="shared" ca="1" si="195"/>
        <v>-3825650891669760</v>
      </c>
      <c r="J5668" s="444">
        <f t="array" ref="J5668">IFERROR(INDEX('Retirement Calculator'!K:K,MATCH('Lorri 401b'!N5668,'Retirement Calculator'!A:A,0),0),0)</f>
        <v>0</v>
      </c>
      <c r="K5668" s="444">
        <f t="shared" ca="1" si="193"/>
        <v>-15940212048624</v>
      </c>
      <c r="L5668" s="444">
        <f t="shared" ca="1" si="194"/>
        <v>-3841591103718384</v>
      </c>
      <c r="M5668" s="460">
        <f t="shared" si="196"/>
        <v>0.05</v>
      </c>
      <c r="N5668" s="464">
        <f t="shared" si="197"/>
        <v>223561</v>
      </c>
    </row>
    <row r="5669" spans="7:14" ht="11.25" customHeight="1" x14ac:dyDescent="0.3">
      <c r="G5669" s="459"/>
      <c r="H5669" s="459">
        <v>5662</v>
      </c>
      <c r="I5669" s="444">
        <f t="shared" ca="1" si="195"/>
        <v>-3841591103718384</v>
      </c>
      <c r="J5669" s="444">
        <f t="array" ref="J5669">IFERROR(INDEX('Retirement Calculator'!K:K,MATCH('Lorri 401b'!N5669,'Retirement Calculator'!A:A,0),0),0)</f>
        <v>0</v>
      </c>
      <c r="K5669" s="444">
        <f t="shared" ca="1" si="193"/>
        <v>-16006629598826.598</v>
      </c>
      <c r="L5669" s="444">
        <f t="shared" ca="1" si="194"/>
        <v>-3857597733317210.5</v>
      </c>
      <c r="M5669" s="460">
        <f t="shared" si="196"/>
        <v>0.05</v>
      </c>
      <c r="N5669" s="464">
        <f t="shared" si="197"/>
        <v>223590</v>
      </c>
    </row>
    <row r="5670" spans="7:14" ht="11.25" customHeight="1" x14ac:dyDescent="0.3">
      <c r="G5670" s="459"/>
      <c r="H5670" s="459">
        <v>5663</v>
      </c>
      <c r="I5670" s="444">
        <f t="shared" ca="1" si="195"/>
        <v>-3857597733317210.5</v>
      </c>
      <c r="J5670" s="444">
        <f t="array" ref="J5670">IFERROR(INDEX('Retirement Calculator'!K:K,MATCH('Lorri 401b'!N5670,'Retirement Calculator'!A:A,0),0),0)</f>
        <v>0</v>
      </c>
      <c r="K5670" s="444">
        <f t="shared" ca="1" si="193"/>
        <v>-16073323888821.713</v>
      </c>
      <c r="L5670" s="444">
        <f t="shared" ca="1" si="194"/>
        <v>-3873671057206032</v>
      </c>
      <c r="M5670" s="460">
        <f t="shared" si="196"/>
        <v>0.05</v>
      </c>
      <c r="N5670" s="464">
        <f t="shared" si="197"/>
        <v>223621</v>
      </c>
    </row>
    <row r="5671" spans="7:14" ht="11.25" customHeight="1" x14ac:dyDescent="0.3">
      <c r="G5671" s="459"/>
      <c r="H5671" s="459">
        <v>5664</v>
      </c>
      <c r="I5671" s="444">
        <f t="shared" ca="1" si="195"/>
        <v>-3873671057206032</v>
      </c>
      <c r="J5671" s="444">
        <f t="array" ref="J5671">IFERROR(INDEX('Retirement Calculator'!K:K,MATCH('Lorri 401b'!N5671,'Retirement Calculator'!A:A,0),0),0)</f>
        <v>0</v>
      </c>
      <c r="K5671" s="444">
        <f t="shared" ca="1" si="193"/>
        <v>-16140296071691.799</v>
      </c>
      <c r="L5671" s="444">
        <f t="shared" ca="1" si="194"/>
        <v>-3889811353277724</v>
      </c>
      <c r="M5671" s="460">
        <f t="shared" si="196"/>
        <v>0.05</v>
      </c>
      <c r="N5671" s="464">
        <f t="shared" si="197"/>
        <v>223651</v>
      </c>
    </row>
    <row r="5672" spans="7:14" ht="11.25" customHeight="1" x14ac:dyDescent="0.3">
      <c r="G5672" s="459"/>
      <c r="H5672" s="459">
        <v>5665</v>
      </c>
      <c r="I5672" s="444">
        <f t="shared" ca="1" si="195"/>
        <v>-3889811353277724</v>
      </c>
      <c r="J5672" s="444">
        <f t="array" ref="J5672">IFERROR(INDEX('Retirement Calculator'!K:K,MATCH('Lorri 401b'!N5672,'Retirement Calculator'!A:A,0),0),0)</f>
        <v>0</v>
      </c>
      <c r="K5672" s="444">
        <f t="shared" ca="1" si="193"/>
        <v>-16207547305323.852</v>
      </c>
      <c r="L5672" s="444">
        <f t="shared" ca="1" si="194"/>
        <v>-3906018900583048</v>
      </c>
      <c r="M5672" s="460">
        <f t="shared" si="196"/>
        <v>0.05</v>
      </c>
      <c r="N5672" s="464">
        <f t="shared" si="197"/>
        <v>223682</v>
      </c>
    </row>
    <row r="5673" spans="7:14" ht="11.25" customHeight="1" x14ac:dyDescent="0.3">
      <c r="G5673" s="459"/>
      <c r="H5673" s="459">
        <v>5666</v>
      </c>
      <c r="I5673" s="444">
        <f t="shared" ca="1" si="195"/>
        <v>-3906018900583048</v>
      </c>
      <c r="J5673" s="444">
        <f t="array" ref="J5673">IFERROR(INDEX('Retirement Calculator'!K:K,MATCH('Lorri 401b'!N5673,'Retirement Calculator'!A:A,0),0),0)</f>
        <v>0</v>
      </c>
      <c r="K5673" s="444">
        <f t="shared" ca="1" si="193"/>
        <v>-16275078752429.367</v>
      </c>
      <c r="L5673" s="444">
        <f t="shared" ca="1" si="194"/>
        <v>-3922293979335477.5</v>
      </c>
      <c r="M5673" s="460">
        <f t="shared" si="196"/>
        <v>0.05</v>
      </c>
      <c r="N5673" s="464">
        <f t="shared" si="197"/>
        <v>223712</v>
      </c>
    </row>
    <row r="5674" spans="7:14" ht="11.25" customHeight="1" x14ac:dyDescent="0.3">
      <c r="G5674" s="459"/>
      <c r="H5674" s="459">
        <v>5667</v>
      </c>
      <c r="I5674" s="444">
        <f t="shared" ca="1" si="195"/>
        <v>-3922293979335477.5</v>
      </c>
      <c r="J5674" s="444">
        <f t="array" ref="J5674">IFERROR(INDEX('Retirement Calculator'!K:K,MATCH('Lorri 401b'!N5674,'Retirement Calculator'!A:A,0),0),0)</f>
        <v>0</v>
      </c>
      <c r="K5674" s="444">
        <f t="shared" ca="1" si="193"/>
        <v>-16342891580564.486</v>
      </c>
      <c r="L5674" s="444">
        <f t="shared" ca="1" si="194"/>
        <v>-3938636870916042</v>
      </c>
      <c r="M5674" s="460">
        <f t="shared" si="196"/>
        <v>0.05</v>
      </c>
      <c r="N5674" s="464">
        <f t="shared" si="197"/>
        <v>223743</v>
      </c>
    </row>
    <row r="5675" spans="7:14" ht="11.25" customHeight="1" x14ac:dyDescent="0.3">
      <c r="G5675" s="459"/>
      <c r="H5675" s="459">
        <v>5668</v>
      </c>
      <c r="I5675" s="444">
        <f t="shared" ca="1" si="195"/>
        <v>-3938636870916042</v>
      </c>
      <c r="J5675" s="444">
        <f t="array" ref="J5675">IFERROR(INDEX('Retirement Calculator'!K:K,MATCH('Lorri 401b'!N5675,'Retirement Calculator'!A:A,0),0),0)</f>
        <v>0</v>
      </c>
      <c r="K5675" s="444">
        <f t="shared" ca="1" si="193"/>
        <v>-16410986962150.172</v>
      </c>
      <c r="L5675" s="444">
        <f t="shared" ca="1" si="194"/>
        <v>-3955047857878192</v>
      </c>
      <c r="M5675" s="460">
        <f t="shared" si="196"/>
        <v>0.05</v>
      </c>
      <c r="N5675" s="464">
        <f t="shared" si="197"/>
        <v>223774</v>
      </c>
    </row>
    <row r="5676" spans="7:14" ht="11.25" customHeight="1" x14ac:dyDescent="0.3">
      <c r="G5676" s="459"/>
      <c r="H5676" s="459">
        <v>5669</v>
      </c>
      <c r="I5676" s="444">
        <f t="shared" ca="1" si="195"/>
        <v>-3955047857878192</v>
      </c>
      <c r="J5676" s="444">
        <f t="array" ref="J5676">IFERROR(INDEX('Retirement Calculator'!K:K,MATCH('Lorri 401b'!N5676,'Retirement Calculator'!A:A,0),0),0)</f>
        <v>0</v>
      </c>
      <c r="K5676" s="444">
        <f t="shared" ca="1" si="193"/>
        <v>-16479366074492.467</v>
      </c>
      <c r="L5676" s="444">
        <f t="shared" ca="1" si="194"/>
        <v>-3971527223952684.5</v>
      </c>
      <c r="M5676" s="460">
        <f t="shared" si="196"/>
        <v>0.05</v>
      </c>
      <c r="N5676" s="464">
        <f t="shared" si="197"/>
        <v>223804</v>
      </c>
    </row>
    <row r="5677" spans="7:14" ht="11.25" customHeight="1" x14ac:dyDescent="0.3">
      <c r="G5677" s="459"/>
      <c r="H5677" s="459">
        <v>5670</v>
      </c>
      <c r="I5677" s="444">
        <f t="shared" ca="1" si="195"/>
        <v>-3971527223952684.5</v>
      </c>
      <c r="J5677" s="444">
        <f t="array" ref="J5677">IFERROR(INDEX('Retirement Calculator'!K:K,MATCH('Lorri 401b'!N5677,'Retirement Calculator'!A:A,0),0),0)</f>
        <v>0</v>
      </c>
      <c r="K5677" s="444">
        <f t="shared" ca="1" si="193"/>
        <v>-16548030099802.852</v>
      </c>
      <c r="L5677" s="444">
        <f t="shared" ca="1" si="194"/>
        <v>-3988075254052487.5</v>
      </c>
      <c r="M5677" s="460">
        <f t="shared" si="196"/>
        <v>0.05</v>
      </c>
      <c r="N5677" s="464">
        <f t="shared" si="197"/>
        <v>223835</v>
      </c>
    </row>
    <row r="5678" spans="7:14" ht="11.25" customHeight="1" x14ac:dyDescent="0.3">
      <c r="G5678" s="459"/>
      <c r="H5678" s="459">
        <v>5671</v>
      </c>
      <c r="I5678" s="444">
        <f t="shared" ca="1" si="195"/>
        <v>-3988075254052487.5</v>
      </c>
      <c r="J5678" s="444">
        <f t="array" ref="J5678">IFERROR(INDEX('Retirement Calculator'!K:K,MATCH('Lorri 401b'!N5678,'Retirement Calculator'!A:A,0),0),0)</f>
        <v>0</v>
      </c>
      <c r="K5678" s="444">
        <f t="shared" ca="1" si="193"/>
        <v>-16616980225218.697</v>
      </c>
      <c r="L5678" s="444">
        <f t="shared" ca="1" si="194"/>
        <v>-4004692234277706</v>
      </c>
      <c r="M5678" s="460">
        <f t="shared" si="196"/>
        <v>0.05</v>
      </c>
      <c r="N5678" s="464">
        <f t="shared" si="197"/>
        <v>223865</v>
      </c>
    </row>
    <row r="5679" spans="7:14" ht="11.25" customHeight="1" x14ac:dyDescent="0.3">
      <c r="G5679" s="459"/>
      <c r="H5679" s="459">
        <v>5672</v>
      </c>
      <c r="I5679" s="444">
        <f t="shared" ca="1" si="195"/>
        <v>-4004692234277706</v>
      </c>
      <c r="J5679" s="444">
        <f t="array" ref="J5679">IFERROR(INDEX('Retirement Calculator'!K:K,MATCH('Lorri 401b'!N5679,'Retirement Calculator'!A:A,0),0),0)</f>
        <v>0</v>
      </c>
      <c r="K5679" s="444">
        <f t="shared" ca="1" si="193"/>
        <v>-16686217642823.775</v>
      </c>
      <c r="L5679" s="444">
        <f t="shared" ca="1" si="194"/>
        <v>-4021378451920530</v>
      </c>
      <c r="M5679" s="460">
        <f t="shared" si="196"/>
        <v>0.05</v>
      </c>
      <c r="N5679" s="464">
        <f t="shared" si="197"/>
        <v>223896</v>
      </c>
    </row>
    <row r="5680" spans="7:14" ht="11.25" customHeight="1" x14ac:dyDescent="0.3">
      <c r="G5680" s="459"/>
      <c r="H5680" s="459">
        <v>5673</v>
      </c>
      <c r="I5680" s="444">
        <f t="shared" ca="1" si="195"/>
        <v>-4021378451920530</v>
      </c>
      <c r="J5680" s="444">
        <f t="array" ref="J5680">IFERROR(INDEX('Retirement Calculator'!K:K,MATCH('Lorri 401b'!N5680,'Retirement Calculator'!A:A,0),0),0)</f>
        <v>0</v>
      </c>
      <c r="K5680" s="444">
        <f t="shared" ca="1" si="193"/>
        <v>-16755743549668.877</v>
      </c>
      <c r="L5680" s="444">
        <f t="shared" ca="1" si="194"/>
        <v>-4038134195470199</v>
      </c>
      <c r="M5680" s="460">
        <f t="shared" si="196"/>
        <v>0.05</v>
      </c>
      <c r="N5680" s="464">
        <f t="shared" si="197"/>
        <v>223927</v>
      </c>
    </row>
    <row r="5681" spans="7:14" ht="11.25" customHeight="1" x14ac:dyDescent="0.3">
      <c r="G5681" s="459"/>
      <c r="H5681" s="459">
        <v>5674</v>
      </c>
      <c r="I5681" s="444">
        <f t="shared" ca="1" si="195"/>
        <v>-4038134195470199</v>
      </c>
      <c r="J5681" s="444">
        <f t="array" ref="J5681">IFERROR(INDEX('Retirement Calculator'!K:K,MATCH('Lorri 401b'!N5681,'Retirement Calculator'!A:A,0),0),0)</f>
        <v>0</v>
      </c>
      <c r="K5681" s="444">
        <f t="shared" ca="1" si="193"/>
        <v>-16825559147792.494</v>
      </c>
      <c r="L5681" s="444">
        <f t="shared" ca="1" si="194"/>
        <v>-4054959754617991.5</v>
      </c>
      <c r="M5681" s="460">
        <f t="shared" si="196"/>
        <v>0.05</v>
      </c>
      <c r="N5681" s="464">
        <f t="shared" si="197"/>
        <v>223955</v>
      </c>
    </row>
    <row r="5682" spans="7:14" ht="11.25" customHeight="1" x14ac:dyDescent="0.3">
      <c r="G5682" s="459"/>
      <c r="H5682" s="459">
        <v>5675</v>
      </c>
      <c r="I5682" s="444">
        <f t="shared" ca="1" si="195"/>
        <v>-4054959754617991.5</v>
      </c>
      <c r="J5682" s="444">
        <f t="array" ref="J5682">IFERROR(INDEX('Retirement Calculator'!K:K,MATCH('Lorri 401b'!N5682,'Retirement Calculator'!A:A,0),0),0)</f>
        <v>0</v>
      </c>
      <c r="K5682" s="444">
        <f t="shared" ca="1" si="193"/>
        <v>-16895665644241.631</v>
      </c>
      <c r="L5682" s="444">
        <f t="shared" ca="1" si="194"/>
        <v>-4071855420262233</v>
      </c>
      <c r="M5682" s="460">
        <f t="shared" si="196"/>
        <v>0.05</v>
      </c>
      <c r="N5682" s="464">
        <f t="shared" si="197"/>
        <v>223986</v>
      </c>
    </row>
    <row r="5683" spans="7:14" ht="11.25" customHeight="1" x14ac:dyDescent="0.3">
      <c r="G5683" s="459"/>
      <c r="H5683" s="459">
        <v>5676</v>
      </c>
      <c r="I5683" s="444">
        <f t="shared" ca="1" si="195"/>
        <v>-4071855420262233</v>
      </c>
      <c r="J5683" s="444">
        <f t="array" ref="J5683">IFERROR(INDEX('Retirement Calculator'!K:K,MATCH('Lorri 401b'!N5683,'Retirement Calculator'!A:A,0),0),0)</f>
        <v>0</v>
      </c>
      <c r="K5683" s="444">
        <f t="shared" ca="1" si="193"/>
        <v>-16966064251092.637</v>
      </c>
      <c r="L5683" s="444">
        <f t="shared" ca="1" si="194"/>
        <v>-4088821484513325.5</v>
      </c>
      <c r="M5683" s="460">
        <f t="shared" si="196"/>
        <v>0.05</v>
      </c>
      <c r="N5683" s="464">
        <f t="shared" si="197"/>
        <v>224016</v>
      </c>
    </row>
    <row r="5684" spans="7:14" ht="11.25" customHeight="1" x14ac:dyDescent="0.3">
      <c r="G5684" s="459"/>
      <c r="H5684" s="459">
        <v>5677</v>
      </c>
      <c r="I5684" s="444">
        <f t="shared" ca="1" si="195"/>
        <v>-4088821484513325.5</v>
      </c>
      <c r="J5684" s="444">
        <f t="array" ref="J5684">IFERROR(INDEX('Retirement Calculator'!K:K,MATCH('Lorri 401b'!N5684,'Retirement Calculator'!A:A,0),0),0)</f>
        <v>0</v>
      </c>
      <c r="K5684" s="444">
        <f t="shared" ca="1" si="193"/>
        <v>-17036756185472.189</v>
      </c>
      <c r="L5684" s="444">
        <f t="shared" ca="1" si="194"/>
        <v>-4105858240698797.5</v>
      </c>
      <c r="M5684" s="460">
        <f t="shared" si="196"/>
        <v>0.05</v>
      </c>
      <c r="N5684" s="464">
        <f t="shared" si="197"/>
        <v>224047</v>
      </c>
    </row>
    <row r="5685" spans="7:14" ht="11.25" customHeight="1" x14ac:dyDescent="0.3">
      <c r="G5685" s="459"/>
      <c r="H5685" s="459">
        <v>5678</v>
      </c>
      <c r="I5685" s="444">
        <f t="shared" ca="1" si="195"/>
        <v>-4105858240698797.5</v>
      </c>
      <c r="J5685" s="444">
        <f t="array" ref="J5685">IFERROR(INDEX('Retirement Calculator'!K:K,MATCH('Lorri 401b'!N5685,'Retirement Calculator'!A:A,0),0),0)</f>
        <v>0</v>
      </c>
      <c r="K5685" s="444">
        <f t="shared" ca="1" si="193"/>
        <v>-17107742669578.322</v>
      </c>
      <c r="L5685" s="444">
        <f t="shared" ca="1" si="194"/>
        <v>-4122965983368376</v>
      </c>
      <c r="M5685" s="460">
        <f t="shared" si="196"/>
        <v>0.05</v>
      </c>
      <c r="N5685" s="464">
        <f t="shared" si="197"/>
        <v>224077</v>
      </c>
    </row>
    <row r="5686" spans="7:14" ht="11.25" customHeight="1" x14ac:dyDescent="0.3">
      <c r="G5686" s="459"/>
      <c r="H5686" s="459">
        <v>5679</v>
      </c>
      <c r="I5686" s="444">
        <f t="shared" ca="1" si="195"/>
        <v>-4122965983368376</v>
      </c>
      <c r="J5686" s="444">
        <f t="array" ref="J5686">IFERROR(INDEX('Retirement Calculator'!K:K,MATCH('Lorri 401b'!N5686,'Retirement Calculator'!A:A,0),0),0)</f>
        <v>0</v>
      </c>
      <c r="K5686" s="444">
        <f t="shared" ca="1" si="193"/>
        <v>-17179024930701.566</v>
      </c>
      <c r="L5686" s="444">
        <f t="shared" ca="1" si="194"/>
        <v>-4140145008299077.5</v>
      </c>
      <c r="M5686" s="460">
        <f t="shared" si="196"/>
        <v>0.05</v>
      </c>
      <c r="N5686" s="464">
        <f t="shared" si="197"/>
        <v>224108</v>
      </c>
    </row>
    <row r="5687" spans="7:14" ht="11.25" customHeight="1" x14ac:dyDescent="0.3">
      <c r="G5687" s="459"/>
      <c r="H5687" s="459">
        <v>5680</v>
      </c>
      <c r="I5687" s="444">
        <f t="shared" ca="1" si="195"/>
        <v>-4140145008299077.5</v>
      </c>
      <c r="J5687" s="444">
        <f t="array" ref="J5687">IFERROR(INDEX('Retirement Calculator'!K:K,MATCH('Lorri 401b'!N5687,'Retirement Calculator'!A:A,0),0),0)</f>
        <v>0</v>
      </c>
      <c r="K5687" s="444">
        <f t="shared" ca="1" si="193"/>
        <v>-17250604201246.158</v>
      </c>
      <c r="L5687" s="444">
        <f t="shared" ca="1" si="194"/>
        <v>-4157395612500323.5</v>
      </c>
      <c r="M5687" s="460">
        <f t="shared" si="196"/>
        <v>0.05</v>
      </c>
      <c r="N5687" s="464">
        <f t="shared" si="197"/>
        <v>224139</v>
      </c>
    </row>
    <row r="5688" spans="7:14" ht="11.25" customHeight="1" x14ac:dyDescent="0.3">
      <c r="G5688" s="459"/>
      <c r="H5688" s="459">
        <v>5681</v>
      </c>
      <c r="I5688" s="444">
        <f t="shared" ca="1" si="195"/>
        <v>-4157395612500323.5</v>
      </c>
      <c r="J5688" s="444">
        <f t="array" ref="J5688">IFERROR(INDEX('Retirement Calculator'!K:K,MATCH('Lorri 401b'!N5688,'Retirement Calculator'!A:A,0),0),0)</f>
        <v>0</v>
      </c>
      <c r="K5688" s="444">
        <f t="shared" ca="1" si="193"/>
        <v>-17322481718751.348</v>
      </c>
      <c r="L5688" s="444">
        <f t="shared" ca="1" si="194"/>
        <v>-4174718094219075</v>
      </c>
      <c r="M5688" s="460">
        <f t="shared" si="196"/>
        <v>0.05</v>
      </c>
      <c r="N5688" s="464">
        <f t="shared" si="197"/>
        <v>224169</v>
      </c>
    </row>
    <row r="5689" spans="7:14" ht="11.25" customHeight="1" x14ac:dyDescent="0.3">
      <c r="G5689" s="459"/>
      <c r="H5689" s="459">
        <v>5682</v>
      </c>
      <c r="I5689" s="444">
        <f t="shared" ca="1" si="195"/>
        <v>-4174718094219075</v>
      </c>
      <c r="J5689" s="444">
        <f t="array" ref="J5689">IFERROR(INDEX('Retirement Calculator'!K:K,MATCH('Lorri 401b'!N5689,'Retirement Calculator'!A:A,0),0),0)</f>
        <v>0</v>
      </c>
      <c r="K5689" s="444">
        <f t="shared" ca="1" si="193"/>
        <v>-17394658725912.813</v>
      </c>
      <c r="L5689" s="444">
        <f t="shared" ca="1" si="194"/>
        <v>-4192112752944988</v>
      </c>
      <c r="M5689" s="460">
        <f t="shared" si="196"/>
        <v>0.05</v>
      </c>
      <c r="N5689" s="464">
        <f t="shared" si="197"/>
        <v>224200</v>
      </c>
    </row>
    <row r="5690" spans="7:14" ht="11.25" customHeight="1" x14ac:dyDescent="0.3">
      <c r="G5690" s="459"/>
      <c r="H5690" s="459">
        <v>5683</v>
      </c>
      <c r="I5690" s="444">
        <f t="shared" ca="1" si="195"/>
        <v>-4192112752944988</v>
      </c>
      <c r="J5690" s="444">
        <f t="array" ref="J5690">IFERROR(INDEX('Retirement Calculator'!K:K,MATCH('Lorri 401b'!N5690,'Retirement Calculator'!A:A,0),0),0)</f>
        <v>0</v>
      </c>
      <c r="K5690" s="444">
        <f t="shared" ca="1" si="193"/>
        <v>-17467136470604.117</v>
      </c>
      <c r="L5690" s="444">
        <f t="shared" ca="1" si="194"/>
        <v>-4209579889415592</v>
      </c>
      <c r="M5690" s="460">
        <f t="shared" si="196"/>
        <v>0.05</v>
      </c>
      <c r="N5690" s="464">
        <f t="shared" si="197"/>
        <v>224230</v>
      </c>
    </row>
    <row r="5691" spans="7:14" ht="11.25" customHeight="1" x14ac:dyDescent="0.3">
      <c r="G5691" s="459"/>
      <c r="H5691" s="459">
        <v>5684</v>
      </c>
      <c r="I5691" s="444">
        <f t="shared" ca="1" si="195"/>
        <v>-4209579889415592</v>
      </c>
      <c r="J5691" s="444">
        <f t="array" ref="J5691">IFERROR(INDEX('Retirement Calculator'!K:K,MATCH('Lorri 401b'!N5691,'Retirement Calculator'!A:A,0),0),0)</f>
        <v>0</v>
      </c>
      <c r="K5691" s="444">
        <f t="shared" ca="1" si="193"/>
        <v>-17539916205898.297</v>
      </c>
      <c r="L5691" s="444">
        <f t="shared" ca="1" si="194"/>
        <v>-4227119805621490.5</v>
      </c>
      <c r="M5691" s="460">
        <f t="shared" si="196"/>
        <v>0.05</v>
      </c>
      <c r="N5691" s="464">
        <f t="shared" si="197"/>
        <v>224261</v>
      </c>
    </row>
    <row r="5692" spans="7:14" ht="11.25" customHeight="1" x14ac:dyDescent="0.3">
      <c r="G5692" s="459"/>
      <c r="H5692" s="459">
        <v>5685</v>
      </c>
      <c r="I5692" s="444">
        <f t="shared" ca="1" si="195"/>
        <v>-4227119805621490.5</v>
      </c>
      <c r="J5692" s="444">
        <f t="array" ref="J5692">IFERROR(INDEX('Retirement Calculator'!K:K,MATCH('Lorri 401b'!N5692,'Retirement Calculator'!A:A,0),0),0)</f>
        <v>0</v>
      </c>
      <c r="K5692" s="444">
        <f t="shared" ca="1" si="193"/>
        <v>-17612999190089.543</v>
      </c>
      <c r="L5692" s="444">
        <f t="shared" ca="1" si="194"/>
        <v>-4244732804811580</v>
      </c>
      <c r="M5692" s="460">
        <f t="shared" si="196"/>
        <v>0.05</v>
      </c>
      <c r="N5692" s="464">
        <f t="shared" si="197"/>
        <v>224292</v>
      </c>
    </row>
    <row r="5693" spans="7:14" ht="11.25" customHeight="1" x14ac:dyDescent="0.3">
      <c r="G5693" s="459"/>
      <c r="H5693" s="459">
        <v>5686</v>
      </c>
      <c r="I5693" s="444">
        <f t="shared" ca="1" si="195"/>
        <v>-4244732804811580</v>
      </c>
      <c r="J5693" s="444">
        <f t="array" ref="J5693">IFERROR(INDEX('Retirement Calculator'!K:K,MATCH('Lorri 401b'!N5693,'Retirement Calculator'!A:A,0),0),0)</f>
        <v>0</v>
      </c>
      <c r="K5693" s="444">
        <f t="shared" ca="1" si="193"/>
        <v>-17686386686714.918</v>
      </c>
      <c r="L5693" s="444">
        <f t="shared" ca="1" si="194"/>
        <v>-4262419191498295</v>
      </c>
      <c r="M5693" s="460">
        <f t="shared" si="196"/>
        <v>0.05</v>
      </c>
      <c r="N5693" s="464">
        <f t="shared" si="197"/>
        <v>224320</v>
      </c>
    </row>
    <row r="5694" spans="7:14" ht="11.25" customHeight="1" x14ac:dyDescent="0.3">
      <c r="G5694" s="459"/>
      <c r="H5694" s="459">
        <v>5687</v>
      </c>
      <c r="I5694" s="444">
        <f t="shared" ca="1" si="195"/>
        <v>-4262419191498295</v>
      </c>
      <c r="J5694" s="444">
        <f t="array" ref="J5694">IFERROR(INDEX('Retirement Calculator'!K:K,MATCH('Lorri 401b'!N5694,'Retirement Calculator'!A:A,0),0),0)</f>
        <v>0</v>
      </c>
      <c r="K5694" s="444">
        <f t="shared" ca="1" si="193"/>
        <v>-17760079964576.23</v>
      </c>
      <c r="L5694" s="444">
        <f t="shared" ca="1" si="194"/>
        <v>-4280179271462871</v>
      </c>
      <c r="M5694" s="460">
        <f t="shared" si="196"/>
        <v>0.05</v>
      </c>
      <c r="N5694" s="464">
        <f t="shared" si="197"/>
        <v>224351</v>
      </c>
    </row>
    <row r="5695" spans="7:14" ht="11.25" customHeight="1" x14ac:dyDescent="0.3">
      <c r="G5695" s="459"/>
      <c r="H5695" s="459">
        <v>5688</v>
      </c>
      <c r="I5695" s="444">
        <f t="shared" ca="1" si="195"/>
        <v>-4280179271462871</v>
      </c>
      <c r="J5695" s="444">
        <f t="array" ref="J5695">IFERROR(INDEX('Retirement Calculator'!K:K,MATCH('Lorri 401b'!N5695,'Retirement Calculator'!A:A,0),0),0)</f>
        <v>0</v>
      </c>
      <c r="K5695" s="444">
        <f t="shared" ca="1" si="193"/>
        <v>-17834080297761.965</v>
      </c>
      <c r="L5695" s="444">
        <f t="shared" ca="1" si="194"/>
        <v>-4298013351760633</v>
      </c>
      <c r="M5695" s="460">
        <f t="shared" si="196"/>
        <v>0.05</v>
      </c>
      <c r="N5695" s="464">
        <f t="shared" si="197"/>
        <v>224381</v>
      </c>
    </row>
    <row r="5696" spans="7:14" ht="11.25" customHeight="1" x14ac:dyDescent="0.3">
      <c r="G5696" s="459"/>
      <c r="H5696" s="459">
        <v>5689</v>
      </c>
      <c r="I5696" s="444">
        <f t="shared" ca="1" si="195"/>
        <v>-4298013351760633</v>
      </c>
      <c r="J5696" s="444">
        <f t="array" ref="J5696">IFERROR(INDEX('Retirement Calculator'!K:K,MATCH('Lorri 401b'!N5696,'Retirement Calculator'!A:A,0),0),0)</f>
        <v>0</v>
      </c>
      <c r="K5696" s="444">
        <f t="shared" ca="1" si="193"/>
        <v>-17908388965669.301</v>
      </c>
      <c r="L5696" s="444">
        <f t="shared" ca="1" si="194"/>
        <v>-4315921740726302.5</v>
      </c>
      <c r="M5696" s="460">
        <f t="shared" si="196"/>
        <v>0.05</v>
      </c>
      <c r="N5696" s="464">
        <f t="shared" si="197"/>
        <v>224412</v>
      </c>
    </row>
    <row r="5697" spans="7:14" ht="11.25" customHeight="1" x14ac:dyDescent="0.3">
      <c r="G5697" s="459"/>
      <c r="H5697" s="459">
        <v>5690</v>
      </c>
      <c r="I5697" s="444">
        <f t="shared" ca="1" si="195"/>
        <v>-4315921740726302.5</v>
      </c>
      <c r="J5697" s="444">
        <f t="array" ref="J5697">IFERROR(INDEX('Retirement Calculator'!K:K,MATCH('Lorri 401b'!N5697,'Retirement Calculator'!A:A,0),0),0)</f>
        <v>0</v>
      </c>
      <c r="K5697" s="444">
        <f t="shared" ca="1" si="193"/>
        <v>-17983007253026.258</v>
      </c>
      <c r="L5697" s="444">
        <f t="shared" ca="1" si="194"/>
        <v>-4333904747979329</v>
      </c>
      <c r="M5697" s="460">
        <f t="shared" si="196"/>
        <v>0.05</v>
      </c>
      <c r="N5697" s="464">
        <f t="shared" si="197"/>
        <v>224442</v>
      </c>
    </row>
    <row r="5698" spans="7:14" ht="11.25" customHeight="1" x14ac:dyDescent="0.3">
      <c r="G5698" s="459"/>
      <c r="H5698" s="459">
        <v>5691</v>
      </c>
      <c r="I5698" s="444">
        <f t="shared" ca="1" si="195"/>
        <v>-4333904747979329</v>
      </c>
      <c r="J5698" s="444">
        <f t="array" ref="J5698">IFERROR(INDEX('Retirement Calculator'!K:K,MATCH('Lorri 401b'!N5698,'Retirement Calculator'!A:A,0),0),0)</f>
        <v>0</v>
      </c>
      <c r="K5698" s="444">
        <f t="shared" ca="1" si="193"/>
        <v>-18057936449913.867</v>
      </c>
      <c r="L5698" s="444">
        <f t="shared" ca="1" si="194"/>
        <v>-4351962684429243</v>
      </c>
      <c r="M5698" s="460">
        <f t="shared" si="196"/>
        <v>0.05</v>
      </c>
      <c r="N5698" s="464">
        <f t="shared" si="197"/>
        <v>224473</v>
      </c>
    </row>
    <row r="5699" spans="7:14" ht="11.25" customHeight="1" x14ac:dyDescent="0.3">
      <c r="G5699" s="459"/>
      <c r="H5699" s="459">
        <v>5692</v>
      </c>
      <c r="I5699" s="444">
        <f t="shared" ca="1" si="195"/>
        <v>-4351962684429243</v>
      </c>
      <c r="J5699" s="444">
        <f t="array" ref="J5699">IFERROR(INDEX('Retirement Calculator'!K:K,MATCH('Lorri 401b'!N5699,'Retirement Calculator'!A:A,0),0),0)</f>
        <v>0</v>
      </c>
      <c r="K5699" s="444">
        <f t="shared" ca="1" si="193"/>
        <v>-18133177851788.512</v>
      </c>
      <c r="L5699" s="444">
        <f t="shared" ca="1" si="194"/>
        <v>-4370095862281031.5</v>
      </c>
      <c r="M5699" s="460">
        <f t="shared" si="196"/>
        <v>0.05</v>
      </c>
      <c r="N5699" s="464">
        <f t="shared" si="197"/>
        <v>224504</v>
      </c>
    </row>
    <row r="5700" spans="7:14" ht="11.25" customHeight="1" x14ac:dyDescent="0.3">
      <c r="G5700" s="459"/>
      <c r="H5700" s="459">
        <v>5693</v>
      </c>
      <c r="I5700" s="444">
        <f t="shared" ca="1" si="195"/>
        <v>-4370095862281031.5</v>
      </c>
      <c r="J5700" s="444">
        <f t="array" ref="J5700">IFERROR(INDEX('Retirement Calculator'!K:K,MATCH('Lorri 401b'!N5700,'Retirement Calculator'!A:A,0),0),0)</f>
        <v>0</v>
      </c>
      <c r="K5700" s="444">
        <f t="shared" ca="1" si="193"/>
        <v>-18208732759504.297</v>
      </c>
      <c r="L5700" s="444">
        <f t="shared" ca="1" si="194"/>
        <v>-4388304595040536</v>
      </c>
      <c r="M5700" s="460">
        <f t="shared" si="196"/>
        <v>0.05</v>
      </c>
      <c r="N5700" s="464">
        <f t="shared" si="197"/>
        <v>224534</v>
      </c>
    </row>
    <row r="5701" spans="7:14" ht="11.25" customHeight="1" x14ac:dyDescent="0.3">
      <c r="G5701" s="459"/>
      <c r="H5701" s="459">
        <v>5694</v>
      </c>
      <c r="I5701" s="444">
        <f t="shared" ca="1" si="195"/>
        <v>-4388304595040536</v>
      </c>
      <c r="J5701" s="444">
        <f t="array" ref="J5701">IFERROR(INDEX('Retirement Calculator'!K:K,MATCH('Lorri 401b'!N5701,'Retirement Calculator'!A:A,0),0),0)</f>
        <v>0</v>
      </c>
      <c r="K5701" s="444">
        <f t="shared" ca="1" si="193"/>
        <v>-18284602479335.57</v>
      </c>
      <c r="L5701" s="444">
        <f t="shared" ca="1" si="194"/>
        <v>-4406589197519871.5</v>
      </c>
      <c r="M5701" s="460">
        <f t="shared" si="196"/>
        <v>0.05</v>
      </c>
      <c r="N5701" s="464">
        <f t="shared" si="197"/>
        <v>224565</v>
      </c>
    </row>
    <row r="5702" spans="7:14" ht="11.25" customHeight="1" x14ac:dyDescent="0.3">
      <c r="G5702" s="459"/>
      <c r="H5702" s="459">
        <v>5695</v>
      </c>
      <c r="I5702" s="444">
        <f t="shared" ca="1" si="195"/>
        <v>-4406589197519871.5</v>
      </c>
      <c r="J5702" s="444">
        <f t="array" ref="J5702">IFERROR(INDEX('Retirement Calculator'!K:K,MATCH('Lorri 401b'!N5702,'Retirement Calculator'!A:A,0),0),0)</f>
        <v>0</v>
      </c>
      <c r="K5702" s="444">
        <f t="shared" ca="1" si="193"/>
        <v>-18360788322999.465</v>
      </c>
      <c r="L5702" s="444">
        <f t="shared" ca="1" si="194"/>
        <v>-4424949985842871</v>
      </c>
      <c r="M5702" s="460">
        <f t="shared" si="196"/>
        <v>0.05</v>
      </c>
      <c r="N5702" s="464">
        <f t="shared" si="197"/>
        <v>224595</v>
      </c>
    </row>
    <row r="5703" spans="7:14" ht="11.25" customHeight="1" x14ac:dyDescent="0.3">
      <c r="G5703" s="459"/>
      <c r="H5703" s="459">
        <v>5696</v>
      </c>
      <c r="I5703" s="444">
        <f t="shared" ca="1" si="195"/>
        <v>-4424949985842871</v>
      </c>
      <c r="J5703" s="444">
        <f t="array" ref="J5703">IFERROR(INDEX('Retirement Calculator'!K:K,MATCH('Lorri 401b'!N5703,'Retirement Calculator'!A:A,0),0),0)</f>
        <v>0</v>
      </c>
      <c r="K5703" s="444">
        <f t="shared" ca="1" si="193"/>
        <v>-18437291607678.629</v>
      </c>
      <c r="L5703" s="444">
        <f t="shared" ca="1" si="194"/>
        <v>-4443387277450549.5</v>
      </c>
      <c r="M5703" s="460">
        <f t="shared" si="196"/>
        <v>0.05</v>
      </c>
      <c r="N5703" s="464">
        <f t="shared" si="197"/>
        <v>224626</v>
      </c>
    </row>
    <row r="5704" spans="7:14" ht="11.25" customHeight="1" x14ac:dyDescent="0.3">
      <c r="G5704" s="459"/>
      <c r="H5704" s="459">
        <v>5697</v>
      </c>
      <c r="I5704" s="444">
        <f t="shared" ca="1" si="195"/>
        <v>-4443387277450549.5</v>
      </c>
      <c r="J5704" s="444">
        <f t="array" ref="J5704">IFERROR(INDEX('Retirement Calculator'!K:K,MATCH('Lorri 401b'!N5704,'Retirement Calculator'!A:A,0),0),0)</f>
        <v>0</v>
      </c>
      <c r="K5704" s="444">
        <f t="shared" ca="1" si="193"/>
        <v>-18514113656043.957</v>
      </c>
      <c r="L5704" s="444">
        <f t="shared" ca="1" si="194"/>
        <v>-4461901391106593.5</v>
      </c>
      <c r="M5704" s="460">
        <f t="shared" si="196"/>
        <v>0.05</v>
      </c>
      <c r="N5704" s="464">
        <f t="shared" si="197"/>
        <v>224657</v>
      </c>
    </row>
    <row r="5705" spans="7:14" ht="11.25" customHeight="1" x14ac:dyDescent="0.3">
      <c r="G5705" s="459"/>
      <c r="H5705" s="459">
        <v>5698</v>
      </c>
      <c r="I5705" s="444">
        <f t="shared" ca="1" si="195"/>
        <v>-4461901391106593.5</v>
      </c>
      <c r="J5705" s="444">
        <f t="array" ref="J5705">IFERROR(INDEX('Retirement Calculator'!K:K,MATCH('Lorri 401b'!N5705,'Retirement Calculator'!A:A,0),0),0)</f>
        <v>0</v>
      </c>
      <c r="K5705" s="444">
        <f t="shared" ca="1" si="193"/>
        <v>-18591255796277.473</v>
      </c>
      <c r="L5705" s="444">
        <f t="shared" ca="1" si="194"/>
        <v>-4480492646902871</v>
      </c>
      <c r="M5705" s="460">
        <f t="shared" si="196"/>
        <v>0.05</v>
      </c>
      <c r="N5705" s="464">
        <f t="shared" si="197"/>
        <v>224685</v>
      </c>
    </row>
    <row r="5706" spans="7:14" ht="11.25" customHeight="1" x14ac:dyDescent="0.3">
      <c r="G5706" s="459"/>
      <c r="H5706" s="459">
        <v>5699</v>
      </c>
      <c r="I5706" s="444">
        <f t="shared" ca="1" si="195"/>
        <v>-4480492646902871</v>
      </c>
      <c r="J5706" s="444">
        <f t="array" ref="J5706">IFERROR(INDEX('Retirement Calculator'!K:K,MATCH('Lorri 401b'!N5706,'Retirement Calculator'!A:A,0),0),0)</f>
        <v>0</v>
      </c>
      <c r="K5706" s="444">
        <f t="shared" ca="1" si="193"/>
        <v>-18668719362095.297</v>
      </c>
      <c r="L5706" s="444">
        <f t="shared" ca="1" si="194"/>
        <v>-4499161366264966.5</v>
      </c>
      <c r="M5706" s="460">
        <f t="shared" si="196"/>
        <v>0.05</v>
      </c>
      <c r="N5706" s="464">
        <f t="shared" si="197"/>
        <v>224716</v>
      </c>
    </row>
    <row r="5707" spans="7:14" ht="11.25" customHeight="1" x14ac:dyDescent="0.3">
      <c r="G5707" s="459"/>
      <c r="H5707" s="459">
        <v>5700</v>
      </c>
      <c r="I5707" s="444">
        <f t="shared" ca="1" si="195"/>
        <v>-4499161366264966.5</v>
      </c>
      <c r="J5707" s="444">
        <f t="array" ref="J5707">IFERROR(INDEX('Retirement Calculator'!K:K,MATCH('Lorri 401b'!N5707,'Retirement Calculator'!A:A,0),0),0)</f>
        <v>0</v>
      </c>
      <c r="K5707" s="444">
        <f t="shared" ca="1" si="193"/>
        <v>-18746505692770.695</v>
      </c>
      <c r="L5707" s="444">
        <f t="shared" ca="1" si="194"/>
        <v>-4517907871957737</v>
      </c>
      <c r="M5707" s="460">
        <f t="shared" si="196"/>
        <v>0.05</v>
      </c>
      <c r="N5707" s="464">
        <f t="shared" si="197"/>
        <v>224746</v>
      </c>
    </row>
    <row r="5708" spans="7:14" ht="11.25" customHeight="1" x14ac:dyDescent="0.3">
      <c r="G5708" s="459"/>
      <c r="H5708" s="459">
        <v>5701</v>
      </c>
      <c r="I5708" s="444">
        <f t="shared" ca="1" si="195"/>
        <v>-4517907871957737</v>
      </c>
      <c r="J5708" s="444">
        <f t="array" ref="J5708">IFERROR(INDEX('Retirement Calculator'!K:K,MATCH('Lorri 401b'!N5708,'Retirement Calculator'!A:A,0),0),0)</f>
        <v>0</v>
      </c>
      <c r="K5708" s="444">
        <f t="shared" ca="1" si="193"/>
        <v>-18824616133157.238</v>
      </c>
      <c r="L5708" s="444">
        <f t="shared" ca="1" si="194"/>
        <v>-4536732488090894</v>
      </c>
      <c r="M5708" s="460">
        <f t="shared" si="196"/>
        <v>0.05</v>
      </c>
      <c r="N5708" s="464">
        <f t="shared" si="197"/>
        <v>224777</v>
      </c>
    </row>
    <row r="5709" spans="7:14" ht="11.25" customHeight="1" x14ac:dyDescent="0.3">
      <c r="G5709" s="459"/>
      <c r="H5709" s="459">
        <v>5702</v>
      </c>
      <c r="I5709" s="444">
        <f t="shared" ca="1" si="195"/>
        <v>-4536732488090894</v>
      </c>
      <c r="J5709" s="444">
        <f t="array" ref="J5709">IFERROR(INDEX('Retirement Calculator'!K:K,MATCH('Lorri 401b'!N5709,'Retirement Calculator'!A:A,0),0),0)</f>
        <v>0</v>
      </c>
      <c r="K5709" s="444">
        <f t="shared" ca="1" si="193"/>
        <v>-18903052033712.059</v>
      </c>
      <c r="L5709" s="444">
        <f t="shared" ca="1" si="194"/>
        <v>-4555635540124606</v>
      </c>
      <c r="M5709" s="460">
        <f t="shared" si="196"/>
        <v>0.05</v>
      </c>
      <c r="N5709" s="464">
        <f t="shared" si="197"/>
        <v>224807</v>
      </c>
    </row>
    <row r="5710" spans="7:14" ht="11.25" customHeight="1" x14ac:dyDescent="0.3">
      <c r="G5710" s="459"/>
      <c r="H5710" s="459">
        <v>5703</v>
      </c>
      <c r="I5710" s="444">
        <f t="shared" ca="1" si="195"/>
        <v>-4555635540124606</v>
      </c>
      <c r="J5710" s="444">
        <f t="array" ref="J5710">IFERROR(INDEX('Retirement Calculator'!K:K,MATCH('Lorri 401b'!N5710,'Retirement Calculator'!A:A,0),0),0)</f>
        <v>0</v>
      </c>
      <c r="K5710" s="444">
        <f t="shared" ca="1" si="193"/>
        <v>-18981814750519.191</v>
      </c>
      <c r="L5710" s="444">
        <f t="shared" ca="1" si="194"/>
        <v>-4574617354875125</v>
      </c>
      <c r="M5710" s="460">
        <f t="shared" si="196"/>
        <v>0.05</v>
      </c>
      <c r="N5710" s="464">
        <f t="shared" si="197"/>
        <v>224838</v>
      </c>
    </row>
    <row r="5711" spans="7:14" ht="11.25" customHeight="1" x14ac:dyDescent="0.3">
      <c r="G5711" s="459"/>
      <c r="H5711" s="459">
        <v>5704</v>
      </c>
      <c r="I5711" s="444">
        <f t="shared" ca="1" si="195"/>
        <v>-4574617354875125</v>
      </c>
      <c r="J5711" s="444">
        <f t="array" ref="J5711">IFERROR(INDEX('Retirement Calculator'!K:K,MATCH('Lorri 401b'!N5711,'Retirement Calculator'!A:A,0),0),0)</f>
        <v>0</v>
      </c>
      <c r="K5711" s="444">
        <f t="shared" ca="1" si="193"/>
        <v>-19060905645313.02</v>
      </c>
      <c r="L5711" s="444">
        <f t="shared" ca="1" si="194"/>
        <v>-4593678260520438</v>
      </c>
      <c r="M5711" s="460">
        <f t="shared" si="196"/>
        <v>0.05</v>
      </c>
      <c r="N5711" s="464">
        <f t="shared" si="197"/>
        <v>224869</v>
      </c>
    </row>
    <row r="5712" spans="7:14" ht="11.25" customHeight="1" x14ac:dyDescent="0.3">
      <c r="G5712" s="459"/>
      <c r="H5712" s="459">
        <v>5705</v>
      </c>
      <c r="I5712" s="444">
        <f t="shared" ca="1" si="195"/>
        <v>-4593678260520438</v>
      </c>
      <c r="J5712" s="444">
        <f t="array" ref="J5712">IFERROR(INDEX('Retirement Calculator'!K:K,MATCH('Lorri 401b'!N5712,'Retirement Calculator'!A:A,0),0),0)</f>
        <v>0</v>
      </c>
      <c r="K5712" s="444">
        <f t="shared" ca="1" si="193"/>
        <v>-19140326085501.824</v>
      </c>
      <c r="L5712" s="444">
        <f t="shared" ca="1" si="194"/>
        <v>-4612818586605940</v>
      </c>
      <c r="M5712" s="460">
        <f t="shared" si="196"/>
        <v>0.05</v>
      </c>
      <c r="N5712" s="464">
        <f t="shared" si="197"/>
        <v>224899</v>
      </c>
    </row>
    <row r="5713" spans="7:14" ht="11.25" customHeight="1" x14ac:dyDescent="0.3">
      <c r="G5713" s="459"/>
      <c r="H5713" s="459">
        <v>5706</v>
      </c>
      <c r="I5713" s="444">
        <f t="shared" ca="1" si="195"/>
        <v>-4612818586605940</v>
      </c>
      <c r="J5713" s="444">
        <f t="array" ref="J5713">IFERROR(INDEX('Retirement Calculator'!K:K,MATCH('Lorri 401b'!N5713,'Retirement Calculator'!A:A,0),0),0)</f>
        <v>0</v>
      </c>
      <c r="K5713" s="444">
        <f t="shared" ca="1" si="193"/>
        <v>-19220077444191.418</v>
      </c>
      <c r="L5713" s="444">
        <f t="shared" ca="1" si="194"/>
        <v>-4632038664050131</v>
      </c>
      <c r="M5713" s="460">
        <f t="shared" si="196"/>
        <v>0.05</v>
      </c>
      <c r="N5713" s="464">
        <f t="shared" si="197"/>
        <v>224930</v>
      </c>
    </row>
    <row r="5714" spans="7:14" ht="11.25" customHeight="1" x14ac:dyDescent="0.3">
      <c r="G5714" s="459"/>
      <c r="H5714" s="459">
        <v>5707</v>
      </c>
      <c r="I5714" s="444">
        <f t="shared" ca="1" si="195"/>
        <v>-4632038664050131</v>
      </c>
      <c r="J5714" s="444">
        <f t="array" ref="J5714">IFERROR(INDEX('Retirement Calculator'!K:K,MATCH('Lorri 401b'!N5714,'Retirement Calculator'!A:A,0),0),0)</f>
        <v>0</v>
      </c>
      <c r="K5714" s="444">
        <f t="shared" ca="1" si="193"/>
        <v>-19300161100208.879</v>
      </c>
      <c r="L5714" s="444">
        <f t="shared" ca="1" si="194"/>
        <v>-4651338825150340</v>
      </c>
      <c r="M5714" s="460">
        <f t="shared" si="196"/>
        <v>0.05</v>
      </c>
      <c r="N5714" s="464">
        <f t="shared" si="197"/>
        <v>224960</v>
      </c>
    </row>
    <row r="5715" spans="7:14" ht="11.25" customHeight="1" x14ac:dyDescent="0.3">
      <c r="G5715" s="459"/>
      <c r="H5715" s="459">
        <v>5708</v>
      </c>
      <c r="I5715" s="444">
        <f t="shared" ca="1" si="195"/>
        <v>-4651338825150340</v>
      </c>
      <c r="J5715" s="444">
        <f t="array" ref="J5715">IFERROR(INDEX('Retirement Calculator'!K:K,MATCH('Lorri 401b'!N5715,'Retirement Calculator'!A:A,0),0),0)</f>
        <v>0</v>
      </c>
      <c r="K5715" s="444">
        <f t="shared" ca="1" si="193"/>
        <v>-19380578438126.418</v>
      </c>
      <c r="L5715" s="444">
        <f t="shared" ca="1" si="194"/>
        <v>-4670719403588466</v>
      </c>
      <c r="M5715" s="460">
        <f t="shared" si="196"/>
        <v>0.05</v>
      </c>
      <c r="N5715" s="464">
        <f t="shared" si="197"/>
        <v>224991</v>
      </c>
    </row>
    <row r="5716" spans="7:14" ht="11.25" customHeight="1" x14ac:dyDescent="0.3">
      <c r="G5716" s="459"/>
      <c r="H5716" s="459">
        <v>5709</v>
      </c>
      <c r="I5716" s="444">
        <f t="shared" ca="1" si="195"/>
        <v>-4670719403588466</v>
      </c>
      <c r="J5716" s="444">
        <f t="array" ref="J5716">IFERROR(INDEX('Retirement Calculator'!K:K,MATCH('Lorri 401b'!N5716,'Retirement Calculator'!A:A,0),0),0)</f>
        <v>0</v>
      </c>
      <c r="K5716" s="444">
        <f t="shared" ca="1" si="193"/>
        <v>-19461330848285.273</v>
      </c>
      <c r="L5716" s="444">
        <f t="shared" ca="1" si="194"/>
        <v>-4690180734436751</v>
      </c>
      <c r="M5716" s="460">
        <f t="shared" si="196"/>
        <v>0.05</v>
      </c>
      <c r="N5716" s="464">
        <f t="shared" si="197"/>
        <v>225022</v>
      </c>
    </row>
    <row r="5717" spans="7:14" ht="11.25" customHeight="1" x14ac:dyDescent="0.3">
      <c r="G5717" s="459"/>
      <c r="H5717" s="459">
        <v>5710</v>
      </c>
      <c r="I5717" s="444">
        <f t="shared" ca="1" si="195"/>
        <v>-4690180734436751</v>
      </c>
      <c r="J5717" s="444">
        <f t="array" ref="J5717">IFERROR(INDEX('Retirement Calculator'!K:K,MATCH('Lorri 401b'!N5717,'Retirement Calculator'!A:A,0),0),0)</f>
        <v>0</v>
      </c>
      <c r="K5717" s="444">
        <f t="shared" ca="1" si="193"/>
        <v>-19542419726819.797</v>
      </c>
      <c r="L5717" s="444">
        <f t="shared" ca="1" si="194"/>
        <v>-4709723154163571</v>
      </c>
      <c r="M5717" s="460">
        <f t="shared" si="196"/>
        <v>0.05</v>
      </c>
      <c r="N5717" s="464">
        <f t="shared" si="197"/>
        <v>225051</v>
      </c>
    </row>
    <row r="5718" spans="7:14" ht="11.25" customHeight="1" x14ac:dyDescent="0.3">
      <c r="G5718" s="459"/>
      <c r="H5718" s="459">
        <v>5711</v>
      </c>
      <c r="I5718" s="444">
        <f t="shared" ca="1" si="195"/>
        <v>-4709723154163571</v>
      </c>
      <c r="J5718" s="444">
        <f t="array" ref="J5718">IFERROR(INDEX('Retirement Calculator'!K:K,MATCH('Lorri 401b'!N5718,'Retirement Calculator'!A:A,0),0),0)</f>
        <v>0</v>
      </c>
      <c r="K5718" s="444">
        <f t="shared" ca="1" si="193"/>
        <v>-19623846475681.547</v>
      </c>
      <c r="L5718" s="444">
        <f t="shared" ca="1" si="194"/>
        <v>-4729347000639253</v>
      </c>
      <c r="M5718" s="460">
        <f t="shared" si="196"/>
        <v>0.05</v>
      </c>
      <c r="N5718" s="464">
        <f t="shared" si="197"/>
        <v>225082</v>
      </c>
    </row>
    <row r="5719" spans="7:14" ht="11.25" customHeight="1" x14ac:dyDescent="0.3">
      <c r="G5719" s="459"/>
      <c r="H5719" s="459">
        <v>5712</v>
      </c>
      <c r="I5719" s="444">
        <f t="shared" ca="1" si="195"/>
        <v>-4729347000639253</v>
      </c>
      <c r="J5719" s="444">
        <f t="array" ref="J5719">IFERROR(INDEX('Retirement Calculator'!K:K,MATCH('Lorri 401b'!N5719,'Retirement Calculator'!A:A,0),0),0)</f>
        <v>0</v>
      </c>
      <c r="K5719" s="444">
        <f t="shared" ca="1" si="193"/>
        <v>-19705612502663.555</v>
      </c>
      <c r="L5719" s="444">
        <f t="shared" ca="1" si="194"/>
        <v>-4749052613141917</v>
      </c>
      <c r="M5719" s="460">
        <f t="shared" si="196"/>
        <v>0.05</v>
      </c>
      <c r="N5719" s="464">
        <f t="shared" si="197"/>
        <v>225112</v>
      </c>
    </row>
    <row r="5720" spans="7:14" ht="11.25" customHeight="1" x14ac:dyDescent="0.3">
      <c r="G5720" s="459"/>
      <c r="H5720" s="459">
        <v>5713</v>
      </c>
      <c r="I5720" s="444">
        <f t="shared" ca="1" si="195"/>
        <v>-4749052613141917</v>
      </c>
      <c r="J5720" s="444">
        <f t="array" ref="J5720">IFERROR(INDEX('Retirement Calculator'!K:K,MATCH('Lorri 401b'!N5720,'Retirement Calculator'!A:A,0),0),0)</f>
        <v>0</v>
      </c>
      <c r="K5720" s="444">
        <f t="shared" ca="1" si="193"/>
        <v>-19787719221424.652</v>
      </c>
      <c r="L5720" s="444">
        <f t="shared" ca="1" si="194"/>
        <v>-4768840332363342</v>
      </c>
      <c r="M5720" s="460">
        <f t="shared" si="196"/>
        <v>0.05</v>
      </c>
      <c r="N5720" s="464">
        <f t="shared" si="197"/>
        <v>225143</v>
      </c>
    </row>
    <row r="5721" spans="7:14" ht="11.25" customHeight="1" x14ac:dyDescent="0.3">
      <c r="G5721" s="459"/>
      <c r="H5721" s="459">
        <v>5714</v>
      </c>
      <c r="I5721" s="444">
        <f t="shared" ca="1" si="195"/>
        <v>-4768840332363342</v>
      </c>
      <c r="J5721" s="444">
        <f t="array" ref="J5721">IFERROR(INDEX('Retirement Calculator'!K:K,MATCH('Lorri 401b'!N5721,'Retirement Calculator'!A:A,0),0),0)</f>
        <v>0</v>
      </c>
      <c r="K5721" s="444">
        <f t="shared" ca="1" si="193"/>
        <v>-19870168051513.926</v>
      </c>
      <c r="L5721" s="444">
        <f t="shared" ca="1" si="194"/>
        <v>-4788710500414856</v>
      </c>
      <c r="M5721" s="460">
        <f t="shared" si="196"/>
        <v>0.05</v>
      </c>
      <c r="N5721" s="464">
        <f t="shared" si="197"/>
        <v>225173</v>
      </c>
    </row>
    <row r="5722" spans="7:14" ht="11.25" customHeight="1" x14ac:dyDescent="0.3">
      <c r="G5722" s="459"/>
      <c r="H5722" s="459">
        <v>5715</v>
      </c>
      <c r="I5722" s="444">
        <f t="shared" ca="1" si="195"/>
        <v>-4788710500414856</v>
      </c>
      <c r="J5722" s="444">
        <f t="array" ref="J5722">IFERROR(INDEX('Retirement Calculator'!K:K,MATCH('Lorri 401b'!N5722,'Retirement Calculator'!A:A,0),0),0)</f>
        <v>0</v>
      </c>
      <c r="K5722" s="444">
        <f t="shared" ca="1" si="193"/>
        <v>-19952960418395.234</v>
      </c>
      <c r="L5722" s="444">
        <f t="shared" ca="1" si="194"/>
        <v>-4808663460833251</v>
      </c>
      <c r="M5722" s="460">
        <f t="shared" si="196"/>
        <v>0.05</v>
      </c>
      <c r="N5722" s="464">
        <f t="shared" si="197"/>
        <v>225204</v>
      </c>
    </row>
    <row r="5723" spans="7:14" ht="11.25" customHeight="1" x14ac:dyDescent="0.3">
      <c r="G5723" s="459"/>
      <c r="H5723" s="459">
        <v>5716</v>
      </c>
      <c r="I5723" s="444">
        <f t="shared" ca="1" si="195"/>
        <v>-4808663460833251</v>
      </c>
      <c r="J5723" s="444">
        <f t="array" ref="J5723">IFERROR(INDEX('Retirement Calculator'!K:K,MATCH('Lorri 401b'!N5723,'Retirement Calculator'!A:A,0),0),0)</f>
        <v>0</v>
      </c>
      <c r="K5723" s="444">
        <f t="shared" ca="1" si="193"/>
        <v>-20036097753471.879</v>
      </c>
      <c r="L5723" s="444">
        <f t="shared" ca="1" si="194"/>
        <v>-4828699558586723</v>
      </c>
      <c r="M5723" s="460">
        <f t="shared" si="196"/>
        <v>0.05</v>
      </c>
      <c r="N5723" s="464">
        <f t="shared" si="197"/>
        <v>225235</v>
      </c>
    </row>
    <row r="5724" spans="7:14" ht="11.25" customHeight="1" x14ac:dyDescent="0.3">
      <c r="G5724" s="459"/>
      <c r="H5724" s="459">
        <v>5717</v>
      </c>
      <c r="I5724" s="444">
        <f t="shared" ca="1" si="195"/>
        <v>-4828699558586723</v>
      </c>
      <c r="J5724" s="444">
        <f t="array" ref="J5724">IFERROR(INDEX('Retirement Calculator'!K:K,MATCH('Lorri 401b'!N5724,'Retirement Calculator'!A:A,0),0),0)</f>
        <v>0</v>
      </c>
      <c r="K5724" s="444">
        <f t="shared" ca="1" si="193"/>
        <v>-20119581494111.344</v>
      </c>
      <c r="L5724" s="444">
        <f t="shared" ca="1" si="194"/>
        <v>-4848819140080834</v>
      </c>
      <c r="M5724" s="460">
        <f t="shared" si="196"/>
        <v>0.05</v>
      </c>
      <c r="N5724" s="464">
        <f t="shared" si="197"/>
        <v>225265</v>
      </c>
    </row>
    <row r="5725" spans="7:14" ht="11.25" customHeight="1" x14ac:dyDescent="0.3">
      <c r="G5725" s="459"/>
      <c r="H5725" s="459">
        <v>5718</v>
      </c>
      <c r="I5725" s="444">
        <f t="shared" ca="1" si="195"/>
        <v>-4848819140080834</v>
      </c>
      <c r="J5725" s="444">
        <f t="array" ref="J5725">IFERROR(INDEX('Retirement Calculator'!K:K,MATCH('Lorri 401b'!N5725,'Retirement Calculator'!A:A,0),0),0)</f>
        <v>0</v>
      </c>
      <c r="K5725" s="444">
        <f t="shared" ca="1" si="193"/>
        <v>-20203413083670.141</v>
      </c>
      <c r="L5725" s="444">
        <f t="shared" ca="1" si="194"/>
        <v>-4869022553164504</v>
      </c>
      <c r="M5725" s="460">
        <f t="shared" si="196"/>
        <v>0.05</v>
      </c>
      <c r="N5725" s="464">
        <f t="shared" si="197"/>
        <v>225296</v>
      </c>
    </row>
    <row r="5726" spans="7:14" ht="11.25" customHeight="1" x14ac:dyDescent="0.3">
      <c r="G5726" s="459"/>
      <c r="H5726" s="459">
        <v>5719</v>
      </c>
      <c r="I5726" s="444">
        <f t="shared" ca="1" si="195"/>
        <v>-4869022553164504</v>
      </c>
      <c r="J5726" s="444">
        <f t="array" ref="J5726">IFERROR(INDEX('Retirement Calculator'!K:K,MATCH('Lorri 401b'!N5726,'Retirement Calculator'!A:A,0),0),0)</f>
        <v>0</v>
      </c>
      <c r="K5726" s="444">
        <f t="shared" ca="1" si="193"/>
        <v>-20287593971518.766</v>
      </c>
      <c r="L5726" s="444">
        <f t="shared" ca="1" si="194"/>
        <v>-4889310147136023</v>
      </c>
      <c r="M5726" s="460">
        <f t="shared" si="196"/>
        <v>0.05</v>
      </c>
      <c r="N5726" s="464">
        <f t="shared" si="197"/>
        <v>225326</v>
      </c>
    </row>
    <row r="5727" spans="7:14" ht="11.25" customHeight="1" x14ac:dyDescent="0.3">
      <c r="G5727" s="459"/>
      <c r="H5727" s="459">
        <v>5720</v>
      </c>
      <c r="I5727" s="444">
        <f t="shared" ca="1" si="195"/>
        <v>-4889310147136023</v>
      </c>
      <c r="J5727" s="444">
        <f t="array" ref="J5727">IFERROR(INDEX('Retirement Calculator'!K:K,MATCH('Lorri 401b'!N5727,'Retirement Calculator'!A:A,0),0),0)</f>
        <v>0</v>
      </c>
      <c r="K5727" s="444">
        <f t="shared" ca="1" si="193"/>
        <v>-20372125613066.762</v>
      </c>
      <c r="L5727" s="444">
        <f t="shared" ca="1" si="194"/>
        <v>-4909682272749090</v>
      </c>
      <c r="M5727" s="460">
        <f t="shared" si="196"/>
        <v>0.05</v>
      </c>
      <c r="N5727" s="464">
        <f t="shared" si="197"/>
        <v>225357</v>
      </c>
    </row>
    <row r="5728" spans="7:14" ht="11.25" customHeight="1" x14ac:dyDescent="0.3">
      <c r="G5728" s="459"/>
      <c r="H5728" s="459">
        <v>5721</v>
      </c>
      <c r="I5728" s="444">
        <f t="shared" ca="1" si="195"/>
        <v>-4909682272749090</v>
      </c>
      <c r="J5728" s="444">
        <f t="array" ref="J5728">IFERROR(INDEX('Retirement Calculator'!K:K,MATCH('Lorri 401b'!N5728,'Retirement Calculator'!A:A,0),0),0)</f>
        <v>0</v>
      </c>
      <c r="K5728" s="444">
        <f t="shared" ca="1" si="193"/>
        <v>-20457009469787.875</v>
      </c>
      <c r="L5728" s="444">
        <f t="shared" ca="1" si="194"/>
        <v>-4930139282218878</v>
      </c>
      <c r="M5728" s="460">
        <f t="shared" si="196"/>
        <v>0.05</v>
      </c>
      <c r="N5728" s="464">
        <f t="shared" si="197"/>
        <v>225388</v>
      </c>
    </row>
    <row r="5729" spans="7:14" ht="11.25" customHeight="1" x14ac:dyDescent="0.3">
      <c r="G5729" s="459"/>
      <c r="H5729" s="459">
        <v>5722</v>
      </c>
      <c r="I5729" s="444">
        <f t="shared" ca="1" si="195"/>
        <v>-4930139282218878</v>
      </c>
      <c r="J5729" s="444">
        <f t="array" ref="J5729">IFERROR(INDEX('Retirement Calculator'!K:K,MATCH('Lorri 401b'!N5729,'Retirement Calculator'!A:A,0),0),0)</f>
        <v>0</v>
      </c>
      <c r="K5729" s="444">
        <f t="shared" ca="1" si="193"/>
        <v>-20542247009245.324</v>
      </c>
      <c r="L5729" s="444">
        <f t="shared" ca="1" si="194"/>
        <v>-4950681529228123</v>
      </c>
      <c r="M5729" s="460">
        <f t="shared" si="196"/>
        <v>0.05</v>
      </c>
      <c r="N5729" s="464">
        <f t="shared" si="197"/>
        <v>225416</v>
      </c>
    </row>
    <row r="5730" spans="7:14" ht="11.25" customHeight="1" x14ac:dyDescent="0.3">
      <c r="G5730" s="459"/>
      <c r="H5730" s="459">
        <v>5723</v>
      </c>
      <c r="I5730" s="444">
        <f t="shared" ca="1" si="195"/>
        <v>-4950681529228123</v>
      </c>
      <c r="J5730" s="444">
        <f t="array" ref="J5730">IFERROR(INDEX('Retirement Calculator'!K:K,MATCH('Lorri 401b'!N5730,'Retirement Calculator'!A:A,0),0),0)</f>
        <v>0</v>
      </c>
      <c r="K5730" s="444">
        <f t="shared" ca="1" si="193"/>
        <v>-20627839705117.18</v>
      </c>
      <c r="L5730" s="444">
        <f t="shared" ca="1" si="194"/>
        <v>-4971309368933240</v>
      </c>
      <c r="M5730" s="460">
        <f t="shared" si="196"/>
        <v>0.05</v>
      </c>
      <c r="N5730" s="464">
        <f t="shared" si="197"/>
        <v>225447</v>
      </c>
    </row>
    <row r="5731" spans="7:14" ht="11.25" customHeight="1" x14ac:dyDescent="0.3">
      <c r="G5731" s="459"/>
      <c r="H5731" s="459">
        <v>5724</v>
      </c>
      <c r="I5731" s="444">
        <f t="shared" ca="1" si="195"/>
        <v>-4971309368933240</v>
      </c>
      <c r="J5731" s="444">
        <f t="array" ref="J5731">IFERROR(INDEX('Retirement Calculator'!K:K,MATCH('Lorri 401b'!N5731,'Retirement Calculator'!A:A,0),0),0)</f>
        <v>0</v>
      </c>
      <c r="K5731" s="444">
        <f t="shared" ca="1" si="193"/>
        <v>-20713789037221.832</v>
      </c>
      <c r="L5731" s="444">
        <f t="shared" ca="1" si="194"/>
        <v>-4992023157970462</v>
      </c>
      <c r="M5731" s="460">
        <f t="shared" si="196"/>
        <v>0.05</v>
      </c>
      <c r="N5731" s="464">
        <f t="shared" si="197"/>
        <v>225477</v>
      </c>
    </row>
    <row r="5732" spans="7:14" ht="11.25" customHeight="1" x14ac:dyDescent="0.3">
      <c r="G5732" s="459"/>
      <c r="H5732" s="459">
        <v>5725</v>
      </c>
      <c r="I5732" s="444">
        <f t="shared" ca="1" si="195"/>
        <v>-4992023157970462</v>
      </c>
      <c r="J5732" s="444">
        <f t="array" ref="J5732">IFERROR(INDEX('Retirement Calculator'!K:K,MATCH('Lorri 401b'!N5732,'Retirement Calculator'!A:A,0),0),0)</f>
        <v>0</v>
      </c>
      <c r="K5732" s="444">
        <f t="shared" ca="1" si="193"/>
        <v>-20800096491543.59</v>
      </c>
      <c r="L5732" s="444">
        <f t="shared" ca="1" si="194"/>
        <v>-5012823254462006</v>
      </c>
      <c r="M5732" s="460">
        <f t="shared" si="196"/>
        <v>0.05</v>
      </c>
      <c r="N5732" s="464">
        <f t="shared" si="197"/>
        <v>225508</v>
      </c>
    </row>
    <row r="5733" spans="7:14" ht="11.25" customHeight="1" x14ac:dyDescent="0.3">
      <c r="G5733" s="459"/>
      <c r="H5733" s="459">
        <v>5726</v>
      </c>
      <c r="I5733" s="444">
        <f t="shared" ca="1" si="195"/>
        <v>-5012823254462006</v>
      </c>
      <c r="J5733" s="444">
        <f t="array" ref="J5733">IFERROR(INDEX('Retirement Calculator'!K:K,MATCH('Lorri 401b'!N5733,'Retirement Calculator'!A:A,0),0),0)</f>
        <v>0</v>
      </c>
      <c r="K5733" s="444">
        <f t="shared" ca="1" si="193"/>
        <v>-20886763560258.359</v>
      </c>
      <c r="L5733" s="444">
        <f t="shared" ca="1" si="194"/>
        <v>-5033710018022264</v>
      </c>
      <c r="M5733" s="460">
        <f t="shared" si="196"/>
        <v>0.05</v>
      </c>
      <c r="N5733" s="464">
        <f t="shared" si="197"/>
        <v>225538</v>
      </c>
    </row>
    <row r="5734" spans="7:14" ht="11.25" customHeight="1" x14ac:dyDescent="0.3">
      <c r="G5734" s="459"/>
      <c r="H5734" s="459">
        <v>5727</v>
      </c>
      <c r="I5734" s="444">
        <f t="shared" ca="1" si="195"/>
        <v>-5033710018022264</v>
      </c>
      <c r="J5734" s="444">
        <f t="array" ref="J5734">IFERROR(INDEX('Retirement Calculator'!K:K,MATCH('Lorri 401b'!N5734,'Retirement Calculator'!A:A,0),0),0)</f>
        <v>0</v>
      </c>
      <c r="K5734" s="444">
        <f t="shared" ca="1" si="193"/>
        <v>-20973791741759.434</v>
      </c>
      <c r="L5734" s="444">
        <f t="shared" ca="1" si="194"/>
        <v>-5054683809764023</v>
      </c>
      <c r="M5734" s="460">
        <f t="shared" si="196"/>
        <v>0.05</v>
      </c>
      <c r="N5734" s="464">
        <f t="shared" si="197"/>
        <v>225569</v>
      </c>
    </row>
    <row r="5735" spans="7:14" ht="11.25" customHeight="1" x14ac:dyDescent="0.3">
      <c r="G5735" s="459"/>
      <c r="H5735" s="459">
        <v>5728</v>
      </c>
      <c r="I5735" s="444">
        <f t="shared" ca="1" si="195"/>
        <v>-5054683809764023</v>
      </c>
      <c r="J5735" s="444">
        <f t="array" ref="J5735">IFERROR(INDEX('Retirement Calculator'!K:K,MATCH('Lorri 401b'!N5735,'Retirement Calculator'!A:A,0),0),0)</f>
        <v>0</v>
      </c>
      <c r="K5735" s="444">
        <f t="shared" ca="1" si="193"/>
        <v>-21061182540683.43</v>
      </c>
      <c r="L5735" s="444">
        <f t="shared" ca="1" si="194"/>
        <v>-5075744992304706</v>
      </c>
      <c r="M5735" s="460">
        <f t="shared" si="196"/>
        <v>0.05</v>
      </c>
      <c r="N5735" s="464">
        <f t="shared" si="197"/>
        <v>225600</v>
      </c>
    </row>
    <row r="5736" spans="7:14" ht="11.25" customHeight="1" x14ac:dyDescent="0.3">
      <c r="G5736" s="459"/>
      <c r="H5736" s="459">
        <v>5729</v>
      </c>
      <c r="I5736" s="444">
        <f t="shared" ca="1" si="195"/>
        <v>-5075744992304706</v>
      </c>
      <c r="J5736" s="444">
        <f t="array" ref="J5736">IFERROR(INDEX('Retirement Calculator'!K:K,MATCH('Lorri 401b'!N5736,'Retirement Calculator'!A:A,0),0),0)</f>
        <v>0</v>
      </c>
      <c r="K5736" s="444">
        <f t="shared" ca="1" si="193"/>
        <v>-21148937467936.273</v>
      </c>
      <c r="L5736" s="444">
        <f t="shared" ca="1" si="194"/>
        <v>-5096893929772642</v>
      </c>
      <c r="M5736" s="460">
        <f t="shared" si="196"/>
        <v>0.05</v>
      </c>
      <c r="N5736" s="464">
        <f t="shared" si="197"/>
        <v>225630</v>
      </c>
    </row>
    <row r="5737" spans="7:14" ht="11.25" customHeight="1" x14ac:dyDescent="0.3">
      <c r="G5737" s="459"/>
      <c r="H5737" s="459">
        <v>5730</v>
      </c>
      <c r="I5737" s="444">
        <f t="shared" ca="1" si="195"/>
        <v>-5096893929772642</v>
      </c>
      <c r="J5737" s="444">
        <f t="array" ref="J5737">IFERROR(INDEX('Retirement Calculator'!K:K,MATCH('Lorri 401b'!N5737,'Retirement Calculator'!A:A,0),0),0)</f>
        <v>0</v>
      </c>
      <c r="K5737" s="444">
        <f t="shared" ca="1" si="193"/>
        <v>-21237058040719.34</v>
      </c>
      <c r="L5737" s="444">
        <f t="shared" ca="1" si="194"/>
        <v>-5118130987813361</v>
      </c>
      <c r="M5737" s="460">
        <f t="shared" si="196"/>
        <v>0.05</v>
      </c>
      <c r="N5737" s="464">
        <f t="shared" si="197"/>
        <v>225661</v>
      </c>
    </row>
    <row r="5738" spans="7:14" ht="11.25" customHeight="1" x14ac:dyDescent="0.3">
      <c r="G5738" s="459"/>
      <c r="H5738" s="459">
        <v>5731</v>
      </c>
      <c r="I5738" s="444">
        <f t="shared" ca="1" si="195"/>
        <v>-5118130987813361</v>
      </c>
      <c r="J5738" s="444">
        <f t="array" ref="J5738">IFERROR(INDEX('Retirement Calculator'!K:K,MATCH('Lorri 401b'!N5738,'Retirement Calculator'!A:A,0),0),0)</f>
        <v>0</v>
      </c>
      <c r="K5738" s="444">
        <f t="shared" ca="1" si="193"/>
        <v>-21325545782555.672</v>
      </c>
      <c r="L5738" s="444">
        <f t="shared" ca="1" si="194"/>
        <v>-5139456533595917</v>
      </c>
      <c r="M5738" s="460">
        <f t="shared" si="196"/>
        <v>0.05</v>
      </c>
      <c r="N5738" s="464">
        <f t="shared" si="197"/>
        <v>225691</v>
      </c>
    </row>
    <row r="5739" spans="7:14" ht="11.25" customHeight="1" x14ac:dyDescent="0.3">
      <c r="G5739" s="459"/>
      <c r="H5739" s="459">
        <v>5732</v>
      </c>
      <c r="I5739" s="444">
        <f t="shared" ca="1" si="195"/>
        <v>-5139456533595917</v>
      </c>
      <c r="J5739" s="444">
        <f t="array" ref="J5739">IFERROR(INDEX('Retirement Calculator'!K:K,MATCH('Lorri 401b'!N5739,'Retirement Calculator'!A:A,0),0),0)</f>
        <v>0</v>
      </c>
      <c r="K5739" s="444">
        <f t="shared" ca="1" si="193"/>
        <v>-21414402223316.32</v>
      </c>
      <c r="L5739" s="444">
        <f t="shared" ca="1" si="194"/>
        <v>-5160870935819233</v>
      </c>
      <c r="M5739" s="460">
        <f t="shared" si="196"/>
        <v>0.05</v>
      </c>
      <c r="N5739" s="464">
        <f t="shared" si="197"/>
        <v>225722</v>
      </c>
    </row>
    <row r="5740" spans="7:14" ht="11.25" customHeight="1" x14ac:dyDescent="0.3">
      <c r="G5740" s="459"/>
      <c r="H5740" s="459">
        <v>5733</v>
      </c>
      <c r="I5740" s="444">
        <f t="shared" ca="1" si="195"/>
        <v>-5160870935819233</v>
      </c>
      <c r="J5740" s="444">
        <f t="array" ref="J5740">IFERROR(INDEX('Retirement Calculator'!K:K,MATCH('Lorri 401b'!N5740,'Retirement Calculator'!A:A,0),0),0)</f>
        <v>0</v>
      </c>
      <c r="K5740" s="444">
        <f t="shared" ca="1" si="193"/>
        <v>-21503628899246.805</v>
      </c>
      <c r="L5740" s="444">
        <f t="shared" ca="1" si="194"/>
        <v>-5182374564718480</v>
      </c>
      <c r="M5740" s="460">
        <f t="shared" si="196"/>
        <v>0.05</v>
      </c>
      <c r="N5740" s="464">
        <f t="shared" si="197"/>
        <v>225753</v>
      </c>
    </row>
    <row r="5741" spans="7:14" ht="11.25" customHeight="1" x14ac:dyDescent="0.3">
      <c r="G5741" s="459"/>
      <c r="H5741" s="459">
        <v>5734</v>
      </c>
      <c r="I5741" s="444">
        <f t="shared" ca="1" si="195"/>
        <v>-5182374564718480</v>
      </c>
      <c r="J5741" s="444">
        <f t="array" ref="J5741">IFERROR(INDEX('Retirement Calculator'!K:K,MATCH('Lorri 401b'!N5741,'Retirement Calculator'!A:A,0),0),0)</f>
        <v>0</v>
      </c>
      <c r="K5741" s="444">
        <f t="shared" ca="1" si="193"/>
        <v>-21593227352993.668</v>
      </c>
      <c r="L5741" s="444">
        <f t="shared" ca="1" si="194"/>
        <v>-5203967792071474</v>
      </c>
      <c r="M5741" s="460">
        <f t="shared" si="196"/>
        <v>0.05</v>
      </c>
      <c r="N5741" s="464">
        <f t="shared" si="197"/>
        <v>225781</v>
      </c>
    </row>
    <row r="5742" spans="7:14" ht="11.25" customHeight="1" x14ac:dyDescent="0.3">
      <c r="G5742" s="459"/>
      <c r="H5742" s="459">
        <v>5735</v>
      </c>
      <c r="I5742" s="444">
        <f t="shared" ca="1" si="195"/>
        <v>-5203967792071474</v>
      </c>
      <c r="J5742" s="444">
        <f t="array" ref="J5742">IFERROR(INDEX('Retirement Calculator'!K:K,MATCH('Lorri 401b'!N5742,'Retirement Calculator'!A:A,0),0),0)</f>
        <v>0</v>
      </c>
      <c r="K5742" s="444">
        <f t="shared" ca="1" si="193"/>
        <v>-21683199133631.141</v>
      </c>
      <c r="L5742" s="444">
        <f t="shared" ca="1" si="194"/>
        <v>-5225650991205105</v>
      </c>
      <c r="M5742" s="460">
        <f t="shared" si="196"/>
        <v>0.05</v>
      </c>
      <c r="N5742" s="464">
        <f t="shared" si="197"/>
        <v>225812</v>
      </c>
    </row>
    <row r="5743" spans="7:14" ht="11.25" customHeight="1" x14ac:dyDescent="0.3">
      <c r="G5743" s="459"/>
      <c r="H5743" s="459">
        <v>5736</v>
      </c>
      <c r="I5743" s="444">
        <f t="shared" ca="1" si="195"/>
        <v>-5225650991205105</v>
      </c>
      <c r="J5743" s="444">
        <f t="array" ref="J5743">IFERROR(INDEX('Retirement Calculator'!K:K,MATCH('Lorri 401b'!N5743,'Retirement Calculator'!A:A,0),0),0)</f>
        <v>0</v>
      </c>
      <c r="K5743" s="444">
        <f t="shared" ca="1" si="193"/>
        <v>-21773545796687.938</v>
      </c>
      <c r="L5743" s="444">
        <f t="shared" ca="1" si="194"/>
        <v>-5247424537001793</v>
      </c>
      <c r="M5743" s="460">
        <f t="shared" si="196"/>
        <v>0.05</v>
      </c>
      <c r="N5743" s="464">
        <f t="shared" si="197"/>
        <v>225842</v>
      </c>
    </row>
    <row r="5744" spans="7:14" ht="11.25" customHeight="1" x14ac:dyDescent="0.3">
      <c r="G5744" s="459"/>
      <c r="H5744" s="459">
        <v>5737</v>
      </c>
      <c r="I5744" s="444">
        <f t="shared" ca="1" si="195"/>
        <v>-5247424537001793</v>
      </c>
      <c r="J5744" s="444">
        <f t="array" ref="J5744">IFERROR(INDEX('Retirement Calculator'!K:K,MATCH('Lorri 401b'!N5744,'Retirement Calculator'!A:A,0),0),0)</f>
        <v>0</v>
      </c>
      <c r="K5744" s="444">
        <f t="shared" ca="1" si="193"/>
        <v>-21864268904174.137</v>
      </c>
      <c r="L5744" s="444">
        <f t="shared" ca="1" si="194"/>
        <v>-5269288805905967</v>
      </c>
      <c r="M5744" s="460">
        <f t="shared" si="196"/>
        <v>0.05</v>
      </c>
      <c r="N5744" s="464">
        <f t="shared" si="197"/>
        <v>225873</v>
      </c>
    </row>
    <row r="5745" spans="7:14" ht="11.25" customHeight="1" x14ac:dyDescent="0.3">
      <c r="G5745" s="459"/>
      <c r="H5745" s="459">
        <v>5738</v>
      </c>
      <c r="I5745" s="444">
        <f t="shared" ca="1" si="195"/>
        <v>-5269288805905967</v>
      </c>
      <c r="J5745" s="444">
        <f t="array" ref="J5745">IFERROR(INDEX('Retirement Calculator'!K:K,MATCH('Lorri 401b'!N5745,'Retirement Calculator'!A:A,0),0),0)</f>
        <v>0</v>
      </c>
      <c r="K5745" s="444">
        <f t="shared" ca="1" si="193"/>
        <v>-21955370024608.195</v>
      </c>
      <c r="L5745" s="444">
        <f t="shared" ca="1" si="194"/>
        <v>-5291244175930575</v>
      </c>
      <c r="M5745" s="460">
        <f t="shared" si="196"/>
        <v>0.05</v>
      </c>
      <c r="N5745" s="464">
        <f t="shared" si="197"/>
        <v>225903</v>
      </c>
    </row>
    <row r="5746" spans="7:14" ht="11.25" customHeight="1" x14ac:dyDescent="0.3">
      <c r="G5746" s="459"/>
      <c r="H5746" s="459">
        <v>5739</v>
      </c>
      <c r="I5746" s="444">
        <f t="shared" ca="1" si="195"/>
        <v>-5291244175930575</v>
      </c>
      <c r="J5746" s="444">
        <f t="array" ref="J5746">IFERROR(INDEX('Retirement Calculator'!K:K,MATCH('Lorri 401b'!N5746,'Retirement Calculator'!A:A,0),0),0)</f>
        <v>0</v>
      </c>
      <c r="K5746" s="444">
        <f t="shared" ca="1" si="193"/>
        <v>-22046850733044.063</v>
      </c>
      <c r="L5746" s="444">
        <f t="shared" ca="1" si="194"/>
        <v>-5313291026663619</v>
      </c>
      <c r="M5746" s="460">
        <f t="shared" si="196"/>
        <v>0.05</v>
      </c>
      <c r="N5746" s="464">
        <f t="shared" si="197"/>
        <v>225934</v>
      </c>
    </row>
    <row r="5747" spans="7:14" ht="11.25" customHeight="1" x14ac:dyDescent="0.3">
      <c r="G5747" s="459"/>
      <c r="H5747" s="459">
        <v>5740</v>
      </c>
      <c r="I5747" s="444">
        <f t="shared" ca="1" si="195"/>
        <v>-5313291026663619</v>
      </c>
      <c r="J5747" s="444">
        <f t="array" ref="J5747">IFERROR(INDEX('Retirement Calculator'!K:K,MATCH('Lorri 401b'!N5747,'Retirement Calculator'!A:A,0),0),0)</f>
        <v>0</v>
      </c>
      <c r="K5747" s="444">
        <f t="shared" ca="1" si="193"/>
        <v>-22138712611098.414</v>
      </c>
      <c r="L5747" s="444">
        <f t="shared" ca="1" si="194"/>
        <v>-5335429739274717</v>
      </c>
      <c r="M5747" s="460">
        <f t="shared" si="196"/>
        <v>0.05</v>
      </c>
      <c r="N5747" s="464">
        <f t="shared" si="197"/>
        <v>225965</v>
      </c>
    </row>
    <row r="5748" spans="7:14" ht="11.25" customHeight="1" x14ac:dyDescent="0.3">
      <c r="G5748" s="459"/>
      <c r="H5748" s="459">
        <v>5741</v>
      </c>
      <c r="I5748" s="444">
        <f t="shared" ca="1" si="195"/>
        <v>-5335429739274717</v>
      </c>
      <c r="J5748" s="444">
        <f t="array" ref="J5748">IFERROR(INDEX('Retirement Calculator'!K:K,MATCH('Lorri 401b'!N5748,'Retirement Calculator'!A:A,0),0),0)</f>
        <v>0</v>
      </c>
      <c r="K5748" s="444">
        <f t="shared" ca="1" si="193"/>
        <v>-22230957246977.988</v>
      </c>
      <c r="L5748" s="444">
        <f t="shared" ca="1" si="194"/>
        <v>-5357660696521695</v>
      </c>
      <c r="M5748" s="460">
        <f t="shared" si="196"/>
        <v>0.05</v>
      </c>
      <c r="N5748" s="464">
        <f t="shared" si="197"/>
        <v>225995</v>
      </c>
    </row>
    <row r="5749" spans="7:14" ht="11.25" customHeight="1" x14ac:dyDescent="0.3">
      <c r="G5749" s="459"/>
      <c r="H5749" s="459">
        <v>5742</v>
      </c>
      <c r="I5749" s="444">
        <f t="shared" ca="1" si="195"/>
        <v>-5357660696521695</v>
      </c>
      <c r="J5749" s="444">
        <f t="array" ref="J5749">IFERROR(INDEX('Retirement Calculator'!K:K,MATCH('Lorri 401b'!N5749,'Retirement Calculator'!A:A,0),0),0)</f>
        <v>0</v>
      </c>
      <c r="K5749" s="444">
        <f t="shared" ca="1" si="193"/>
        <v>-22323586235507.063</v>
      </c>
      <c r="L5749" s="444">
        <f t="shared" ca="1" si="194"/>
        <v>-5379984282757202</v>
      </c>
      <c r="M5749" s="460">
        <f t="shared" si="196"/>
        <v>0.05</v>
      </c>
      <c r="N5749" s="464">
        <f t="shared" si="197"/>
        <v>226026</v>
      </c>
    </row>
    <row r="5750" spans="7:14" ht="11.25" customHeight="1" x14ac:dyDescent="0.3">
      <c r="G5750" s="459"/>
      <c r="H5750" s="459">
        <v>5743</v>
      </c>
      <c r="I5750" s="444">
        <f t="shared" ca="1" si="195"/>
        <v>-5379984282757202</v>
      </c>
      <c r="J5750" s="444">
        <f t="array" ref="J5750">IFERROR(INDEX('Retirement Calculator'!K:K,MATCH('Lorri 401b'!N5750,'Retirement Calculator'!A:A,0),0),0)</f>
        <v>0</v>
      </c>
      <c r="K5750" s="444">
        <f t="shared" ca="1" si="193"/>
        <v>-22416601178155.008</v>
      </c>
      <c r="L5750" s="444">
        <f t="shared" ca="1" si="194"/>
        <v>-5402400883935357</v>
      </c>
      <c r="M5750" s="460">
        <f t="shared" si="196"/>
        <v>0.05</v>
      </c>
      <c r="N5750" s="464">
        <f t="shared" si="197"/>
        <v>226056</v>
      </c>
    </row>
    <row r="5751" spans="7:14" ht="11.25" customHeight="1" x14ac:dyDescent="0.3">
      <c r="G5751" s="459"/>
      <c r="H5751" s="459">
        <v>5744</v>
      </c>
      <c r="I5751" s="444">
        <f t="shared" ca="1" si="195"/>
        <v>-5402400883935357</v>
      </c>
      <c r="J5751" s="444">
        <f t="array" ref="J5751">IFERROR(INDEX('Retirement Calculator'!K:K,MATCH('Lorri 401b'!N5751,'Retirement Calculator'!A:A,0),0),0)</f>
        <v>0</v>
      </c>
      <c r="K5751" s="444">
        <f t="shared" ca="1" si="193"/>
        <v>-22510003683063.988</v>
      </c>
      <c r="L5751" s="444">
        <f t="shared" ca="1" si="194"/>
        <v>-5424910887618421</v>
      </c>
      <c r="M5751" s="460">
        <f t="shared" si="196"/>
        <v>0.05</v>
      </c>
      <c r="N5751" s="464">
        <f t="shared" si="197"/>
        <v>226087</v>
      </c>
    </row>
    <row r="5752" spans="7:14" ht="11.25" customHeight="1" x14ac:dyDescent="0.3">
      <c r="G5752" s="459"/>
      <c r="H5752" s="459">
        <v>5745</v>
      </c>
      <c r="I5752" s="444">
        <f t="shared" ca="1" si="195"/>
        <v>-5424910887618421</v>
      </c>
      <c r="J5752" s="444">
        <f t="array" ref="J5752">IFERROR(INDEX('Retirement Calculator'!K:K,MATCH('Lorri 401b'!N5752,'Retirement Calculator'!A:A,0),0),0)</f>
        <v>0</v>
      </c>
      <c r="K5752" s="444">
        <f t="shared" ca="1" si="193"/>
        <v>-22603795365076.754</v>
      </c>
      <c r="L5752" s="444">
        <f t="shared" ca="1" si="194"/>
        <v>-5447514682983498</v>
      </c>
      <c r="M5752" s="460">
        <f t="shared" si="196"/>
        <v>0.05</v>
      </c>
      <c r="N5752" s="464">
        <f t="shared" si="197"/>
        <v>226118</v>
      </c>
    </row>
    <row r="5753" spans="7:14" ht="11.25" customHeight="1" x14ac:dyDescent="0.3">
      <c r="G5753" s="459"/>
      <c r="H5753" s="459">
        <v>5746</v>
      </c>
      <c r="I5753" s="444">
        <f t="shared" ca="1" si="195"/>
        <v>-5447514682983498</v>
      </c>
      <c r="J5753" s="444">
        <f t="array" ref="J5753">IFERROR(INDEX('Retirement Calculator'!K:K,MATCH('Lorri 401b'!N5753,'Retirement Calculator'!A:A,0),0),0)</f>
        <v>0</v>
      </c>
      <c r="K5753" s="444">
        <f t="shared" ca="1" si="193"/>
        <v>-22697977845764.574</v>
      </c>
      <c r="L5753" s="444">
        <f t="shared" ca="1" si="194"/>
        <v>-5470212660829263</v>
      </c>
      <c r="M5753" s="460">
        <f t="shared" si="196"/>
        <v>0.05</v>
      </c>
      <c r="N5753" s="464">
        <f t="shared" si="197"/>
        <v>226146</v>
      </c>
    </row>
    <row r="5754" spans="7:14" ht="11.25" customHeight="1" x14ac:dyDescent="0.3">
      <c r="G5754" s="459"/>
      <c r="H5754" s="459">
        <v>5747</v>
      </c>
      <c r="I5754" s="444">
        <f t="shared" ca="1" si="195"/>
        <v>-5470212660829263</v>
      </c>
      <c r="J5754" s="444">
        <f t="array" ref="J5754">IFERROR(INDEX('Retirement Calculator'!K:K,MATCH('Lorri 401b'!N5754,'Retirement Calculator'!A:A,0),0),0)</f>
        <v>0</v>
      </c>
      <c r="K5754" s="444">
        <f t="shared" ca="1" si="193"/>
        <v>-22792552753455.262</v>
      </c>
      <c r="L5754" s="444">
        <f t="shared" ca="1" si="194"/>
        <v>-5493005213582718</v>
      </c>
      <c r="M5754" s="460">
        <f t="shared" si="196"/>
        <v>0.05</v>
      </c>
      <c r="N5754" s="464">
        <f t="shared" si="197"/>
        <v>226177</v>
      </c>
    </row>
    <row r="5755" spans="7:14" ht="11.25" customHeight="1" x14ac:dyDescent="0.3">
      <c r="G5755" s="459"/>
      <c r="H5755" s="459">
        <v>5748</v>
      </c>
      <c r="I5755" s="444">
        <f t="shared" ca="1" si="195"/>
        <v>-5493005213582718</v>
      </c>
      <c r="J5755" s="444">
        <f t="array" ref="J5755">IFERROR(INDEX('Retirement Calculator'!K:K,MATCH('Lorri 401b'!N5755,'Retirement Calculator'!A:A,0),0),0)</f>
        <v>0</v>
      </c>
      <c r="K5755" s="444">
        <f t="shared" ca="1" si="193"/>
        <v>-22887521723261.324</v>
      </c>
      <c r="L5755" s="444">
        <f t="shared" ca="1" si="194"/>
        <v>-5515892735305979</v>
      </c>
      <c r="M5755" s="460">
        <f t="shared" si="196"/>
        <v>0.05</v>
      </c>
      <c r="N5755" s="464">
        <f t="shared" si="197"/>
        <v>226207</v>
      </c>
    </row>
    <row r="5756" spans="7:14" ht="11.25" customHeight="1" x14ac:dyDescent="0.3">
      <c r="G5756" s="459"/>
      <c r="H5756" s="459">
        <v>5749</v>
      </c>
      <c r="I5756" s="444">
        <f t="shared" ca="1" si="195"/>
        <v>-5515892735305979</v>
      </c>
      <c r="J5756" s="444">
        <f t="array" ref="J5756">IFERROR(INDEX('Retirement Calculator'!K:K,MATCH('Lorri 401b'!N5756,'Retirement Calculator'!A:A,0),0),0)</f>
        <v>0</v>
      </c>
      <c r="K5756" s="444">
        <f t="shared" ca="1" si="193"/>
        <v>-22982886397108.246</v>
      </c>
      <c r="L5756" s="444">
        <f t="shared" ca="1" si="194"/>
        <v>-5538875621703087</v>
      </c>
      <c r="M5756" s="460">
        <f t="shared" si="196"/>
        <v>0.05</v>
      </c>
      <c r="N5756" s="464">
        <f t="shared" si="197"/>
        <v>226238</v>
      </c>
    </row>
    <row r="5757" spans="7:14" ht="11.25" customHeight="1" x14ac:dyDescent="0.3">
      <c r="G5757" s="459"/>
      <c r="H5757" s="459">
        <v>5750</v>
      </c>
      <c r="I5757" s="444">
        <f t="shared" ca="1" si="195"/>
        <v>-5538875621703087</v>
      </c>
      <c r="J5757" s="444">
        <f t="array" ref="J5757">IFERROR(INDEX('Retirement Calculator'!K:K,MATCH('Lorri 401b'!N5757,'Retirement Calculator'!A:A,0),0),0)</f>
        <v>0</v>
      </c>
      <c r="K5757" s="444">
        <f t="shared" ca="1" si="193"/>
        <v>-23078648423762.863</v>
      </c>
      <c r="L5757" s="444">
        <f t="shared" ca="1" si="194"/>
        <v>-5561954270126850</v>
      </c>
      <c r="M5757" s="460">
        <f t="shared" si="196"/>
        <v>0.05</v>
      </c>
      <c r="N5757" s="464">
        <f t="shared" si="197"/>
        <v>226268</v>
      </c>
    </row>
    <row r="5758" spans="7:14" ht="11.25" customHeight="1" x14ac:dyDescent="0.3">
      <c r="G5758" s="459"/>
      <c r="H5758" s="459">
        <v>5751</v>
      </c>
      <c r="I5758" s="444">
        <f t="shared" ca="1" si="195"/>
        <v>-5561954270126850</v>
      </c>
      <c r="J5758" s="444">
        <f t="array" ref="J5758">IFERROR(INDEX('Retirement Calculator'!K:K,MATCH('Lorri 401b'!N5758,'Retirement Calculator'!A:A,0),0),0)</f>
        <v>0</v>
      </c>
      <c r="K5758" s="444">
        <f t="shared" ca="1" si="193"/>
        <v>-23174809458861.875</v>
      </c>
      <c r="L5758" s="444">
        <f t="shared" ca="1" si="194"/>
        <v>-5585129079585712</v>
      </c>
      <c r="M5758" s="460">
        <f t="shared" si="196"/>
        <v>0.05</v>
      </c>
      <c r="N5758" s="464">
        <f t="shared" si="197"/>
        <v>226299</v>
      </c>
    </row>
    <row r="5759" spans="7:14" ht="11.25" customHeight="1" x14ac:dyDescent="0.3">
      <c r="G5759" s="459"/>
      <c r="H5759" s="459">
        <v>5752</v>
      </c>
      <c r="I5759" s="444">
        <f t="shared" ca="1" si="195"/>
        <v>-5585129079585712</v>
      </c>
      <c r="J5759" s="444">
        <f t="array" ref="J5759">IFERROR(INDEX('Retirement Calculator'!K:K,MATCH('Lorri 401b'!N5759,'Retirement Calculator'!A:A,0),0),0)</f>
        <v>0</v>
      </c>
      <c r="K5759" s="444">
        <f t="shared" ca="1" si="193"/>
        <v>-23271371164940.465</v>
      </c>
      <c r="L5759" s="444">
        <f t="shared" ca="1" si="194"/>
        <v>-5608400450750652</v>
      </c>
      <c r="M5759" s="460">
        <f t="shared" si="196"/>
        <v>0.05</v>
      </c>
      <c r="N5759" s="464">
        <f t="shared" si="197"/>
        <v>226330</v>
      </c>
    </row>
    <row r="5760" spans="7:14" ht="11.25" customHeight="1" x14ac:dyDescent="0.3">
      <c r="G5760" s="459"/>
      <c r="H5760" s="459">
        <v>5753</v>
      </c>
      <c r="I5760" s="444">
        <f t="shared" ca="1" si="195"/>
        <v>-5608400450750652</v>
      </c>
      <c r="J5760" s="444">
        <f t="array" ref="J5760">IFERROR(INDEX('Retirement Calculator'!K:K,MATCH('Lorri 401b'!N5760,'Retirement Calculator'!A:A,0),0),0)</f>
        <v>0</v>
      </c>
      <c r="K5760" s="444">
        <f t="shared" ca="1" si="193"/>
        <v>-23368335211461.051</v>
      </c>
      <c r="L5760" s="444">
        <f t="shared" ca="1" si="194"/>
        <v>-5631768785962113</v>
      </c>
      <c r="M5760" s="460">
        <f t="shared" si="196"/>
        <v>0.05</v>
      </c>
      <c r="N5760" s="464">
        <f t="shared" si="197"/>
        <v>226360</v>
      </c>
    </row>
    <row r="5761" spans="7:14" ht="11.25" customHeight="1" x14ac:dyDescent="0.3">
      <c r="G5761" s="459"/>
      <c r="H5761" s="459">
        <v>5754</v>
      </c>
      <c r="I5761" s="444">
        <f t="shared" ca="1" si="195"/>
        <v>-5631768785962113</v>
      </c>
      <c r="J5761" s="444">
        <f t="array" ref="J5761">IFERROR(INDEX('Retirement Calculator'!K:K,MATCH('Lorri 401b'!N5761,'Retirement Calculator'!A:A,0),0),0)</f>
        <v>0</v>
      </c>
      <c r="K5761" s="444">
        <f t="shared" ca="1" si="193"/>
        <v>-23465703274842.137</v>
      </c>
      <c r="L5761" s="444">
        <f t="shared" ca="1" si="194"/>
        <v>-5655234489236955</v>
      </c>
      <c r="M5761" s="460">
        <f t="shared" si="196"/>
        <v>0.05</v>
      </c>
      <c r="N5761" s="464">
        <f t="shared" si="197"/>
        <v>226391</v>
      </c>
    </row>
    <row r="5762" spans="7:14" ht="11.25" customHeight="1" x14ac:dyDescent="0.3">
      <c r="G5762" s="459"/>
      <c r="H5762" s="459">
        <v>5755</v>
      </c>
      <c r="I5762" s="444">
        <f t="shared" ca="1" si="195"/>
        <v>-5655234489236955</v>
      </c>
      <c r="J5762" s="444">
        <f t="array" ref="J5762">IFERROR(INDEX('Retirement Calculator'!K:K,MATCH('Lorri 401b'!N5762,'Retirement Calculator'!A:A,0),0),0)</f>
        <v>0</v>
      </c>
      <c r="K5762" s="444">
        <f t="shared" ca="1" si="193"/>
        <v>-23563477038487.313</v>
      </c>
      <c r="L5762" s="444">
        <f t="shared" ca="1" si="194"/>
        <v>-5678797966275442</v>
      </c>
      <c r="M5762" s="460">
        <f t="shared" si="196"/>
        <v>0.05</v>
      </c>
      <c r="N5762" s="464">
        <f t="shared" si="197"/>
        <v>226421</v>
      </c>
    </row>
    <row r="5763" spans="7:14" ht="11.25" customHeight="1" x14ac:dyDescent="0.3">
      <c r="G5763" s="459"/>
      <c r="H5763" s="459">
        <v>5756</v>
      </c>
      <c r="I5763" s="444">
        <f t="shared" ca="1" si="195"/>
        <v>-5678797966275442</v>
      </c>
      <c r="J5763" s="444">
        <f t="array" ref="J5763">IFERROR(INDEX('Retirement Calculator'!K:K,MATCH('Lorri 401b'!N5763,'Retirement Calculator'!A:A,0),0),0)</f>
        <v>0</v>
      </c>
      <c r="K5763" s="444">
        <f t="shared" ca="1" si="193"/>
        <v>-23661658192814.34</v>
      </c>
      <c r="L5763" s="444">
        <f t="shared" ca="1" si="194"/>
        <v>-5702459624468256</v>
      </c>
      <c r="M5763" s="460">
        <f t="shared" si="196"/>
        <v>0.05</v>
      </c>
      <c r="N5763" s="464">
        <f t="shared" si="197"/>
        <v>226452</v>
      </c>
    </row>
    <row r="5764" spans="7:14" ht="11.25" customHeight="1" x14ac:dyDescent="0.3">
      <c r="G5764" s="459"/>
      <c r="H5764" s="459">
        <v>5757</v>
      </c>
      <c r="I5764" s="444">
        <f t="shared" ca="1" si="195"/>
        <v>-5702459624468256</v>
      </c>
      <c r="J5764" s="444">
        <f t="array" ref="J5764">IFERROR(INDEX('Retirement Calculator'!K:K,MATCH('Lorri 401b'!N5764,'Retirement Calculator'!A:A,0),0),0)</f>
        <v>0</v>
      </c>
      <c r="K5764" s="444">
        <f t="shared" ca="1" si="193"/>
        <v>-23760248435284.398</v>
      </c>
      <c r="L5764" s="444">
        <f t="shared" ca="1" si="194"/>
        <v>-5726219872903540</v>
      </c>
      <c r="M5764" s="460">
        <f t="shared" si="196"/>
        <v>0.05</v>
      </c>
      <c r="N5764" s="464">
        <f t="shared" si="197"/>
        <v>226483</v>
      </c>
    </row>
    <row r="5765" spans="7:14" ht="11.25" customHeight="1" x14ac:dyDescent="0.3">
      <c r="G5765" s="459"/>
      <c r="H5765" s="459">
        <v>5758</v>
      </c>
      <c r="I5765" s="444">
        <f t="shared" ca="1" si="195"/>
        <v>-5726219872903540</v>
      </c>
      <c r="J5765" s="444">
        <f t="array" ref="J5765">IFERROR(INDEX('Retirement Calculator'!K:K,MATCH('Lorri 401b'!N5765,'Retirement Calculator'!A:A,0),0),0)</f>
        <v>0</v>
      </c>
      <c r="K5765" s="444">
        <f t="shared" ca="1" si="193"/>
        <v>-23859249470431.418</v>
      </c>
      <c r="L5765" s="444">
        <f t="shared" ca="1" si="194"/>
        <v>-5750079122373971</v>
      </c>
      <c r="M5765" s="460">
        <f t="shared" si="196"/>
        <v>0.05</v>
      </c>
      <c r="N5765" s="464">
        <f t="shared" si="197"/>
        <v>226512</v>
      </c>
    </row>
    <row r="5766" spans="7:14" ht="11.25" customHeight="1" x14ac:dyDescent="0.3">
      <c r="G5766" s="459"/>
      <c r="H5766" s="459">
        <v>5759</v>
      </c>
      <c r="I5766" s="444">
        <f t="shared" ca="1" si="195"/>
        <v>-5750079122373971</v>
      </c>
      <c r="J5766" s="444">
        <f t="array" ref="J5766">IFERROR(INDEX('Retirement Calculator'!K:K,MATCH('Lorri 401b'!N5766,'Retirement Calculator'!A:A,0),0),0)</f>
        <v>0</v>
      </c>
      <c r="K5766" s="444">
        <f t="shared" ca="1" si="193"/>
        <v>-23958663009891.547</v>
      </c>
      <c r="L5766" s="444">
        <f t="shared" ca="1" si="194"/>
        <v>-5774037785383863</v>
      </c>
      <c r="M5766" s="460">
        <f t="shared" si="196"/>
        <v>0.05</v>
      </c>
      <c r="N5766" s="464">
        <f t="shared" si="197"/>
        <v>226543</v>
      </c>
    </row>
    <row r="5767" spans="7:14" ht="11.25" customHeight="1" x14ac:dyDescent="0.3">
      <c r="G5767" s="459"/>
      <c r="H5767" s="459">
        <v>5760</v>
      </c>
      <c r="I5767" s="444">
        <f t="shared" ca="1" si="195"/>
        <v>-5774037785383863</v>
      </c>
      <c r="J5767" s="444">
        <f t="array" ref="J5767">IFERROR(INDEX('Retirement Calculator'!K:K,MATCH('Lorri 401b'!N5767,'Retirement Calculator'!A:A,0),0),0)</f>
        <v>0</v>
      </c>
      <c r="K5767" s="444">
        <f t="shared" ca="1" si="193"/>
        <v>-24058490772432.762</v>
      </c>
      <c r="L5767" s="444">
        <f t="shared" ca="1" si="194"/>
        <v>-5798096276156296</v>
      </c>
      <c r="M5767" s="460">
        <f t="shared" si="196"/>
        <v>0.05</v>
      </c>
      <c r="N5767" s="464">
        <f t="shared" si="197"/>
        <v>226573</v>
      </c>
    </row>
    <row r="5768" spans="7:14" ht="11.25" customHeight="1" x14ac:dyDescent="0.3">
      <c r="G5768" s="459"/>
      <c r="H5768" s="459">
        <v>5761</v>
      </c>
      <c r="I5768" s="444">
        <f t="shared" ca="1" si="195"/>
        <v>-5798096276156296</v>
      </c>
      <c r="J5768" s="444">
        <f t="array" ref="J5768">IFERROR(INDEX('Retirement Calculator'!K:K,MATCH('Lorri 401b'!N5768,'Retirement Calculator'!A:A,0),0),0)</f>
        <v>0</v>
      </c>
      <c r="K5768" s="444">
        <f t="shared" ca="1" si="193"/>
        <v>-24158734483984.566</v>
      </c>
      <c r="L5768" s="444">
        <f t="shared" ca="1" si="194"/>
        <v>-5822255010640281</v>
      </c>
      <c r="M5768" s="460">
        <f t="shared" si="196"/>
        <v>0.05</v>
      </c>
      <c r="N5768" s="464">
        <f t="shared" si="197"/>
        <v>226604</v>
      </c>
    </row>
    <row r="5769" spans="7:14" ht="11.25" customHeight="1" x14ac:dyDescent="0.3">
      <c r="G5769" s="459"/>
      <c r="H5769" s="459">
        <v>5762</v>
      </c>
      <c r="I5769" s="444">
        <f t="shared" ca="1" si="195"/>
        <v>-5822255010640281</v>
      </c>
      <c r="J5769" s="444">
        <f t="array" ref="J5769">IFERROR(INDEX('Retirement Calculator'!K:K,MATCH('Lorri 401b'!N5769,'Retirement Calculator'!A:A,0),0),0)</f>
        <v>0</v>
      </c>
      <c r="K5769" s="444">
        <f t="shared" ca="1" si="193"/>
        <v>-24259395877667.836</v>
      </c>
      <c r="L5769" s="444">
        <f t="shared" ca="1" si="194"/>
        <v>-5846514406517949</v>
      </c>
      <c r="M5769" s="460">
        <f t="shared" si="196"/>
        <v>0.05</v>
      </c>
      <c r="N5769" s="464">
        <f t="shared" si="197"/>
        <v>226634</v>
      </c>
    </row>
    <row r="5770" spans="7:14" ht="11.25" customHeight="1" x14ac:dyDescent="0.3">
      <c r="G5770" s="459"/>
      <c r="H5770" s="459">
        <v>5763</v>
      </c>
      <c r="I5770" s="444">
        <f t="shared" ca="1" si="195"/>
        <v>-5846514406517949</v>
      </c>
      <c r="J5770" s="444">
        <f t="array" ref="J5770">IFERROR(INDEX('Retirement Calculator'!K:K,MATCH('Lorri 401b'!N5770,'Retirement Calculator'!A:A,0),0),0)</f>
        <v>0</v>
      </c>
      <c r="K5770" s="444">
        <f t="shared" ca="1" si="193"/>
        <v>-24360476693824.789</v>
      </c>
      <c r="L5770" s="444">
        <f t="shared" ca="1" si="194"/>
        <v>-5870874883211774</v>
      </c>
      <c r="M5770" s="460">
        <f t="shared" si="196"/>
        <v>0.05</v>
      </c>
      <c r="N5770" s="464">
        <f t="shared" si="197"/>
        <v>226665</v>
      </c>
    </row>
    <row r="5771" spans="7:14" ht="11.25" customHeight="1" x14ac:dyDescent="0.3">
      <c r="G5771" s="459"/>
      <c r="H5771" s="459">
        <v>5764</v>
      </c>
      <c r="I5771" s="444">
        <f t="shared" ca="1" si="195"/>
        <v>-5870874883211774</v>
      </c>
      <c r="J5771" s="444">
        <f t="array" ref="J5771">IFERROR(INDEX('Retirement Calculator'!K:K,MATCH('Lorri 401b'!N5771,'Retirement Calculator'!A:A,0),0),0)</f>
        <v>0</v>
      </c>
      <c r="K5771" s="444">
        <f t="shared" ca="1" si="193"/>
        <v>-24461978680049.059</v>
      </c>
      <c r="L5771" s="444">
        <f t="shared" ca="1" si="194"/>
        <v>-5895336861891823</v>
      </c>
      <c r="M5771" s="460">
        <f t="shared" si="196"/>
        <v>0.05</v>
      </c>
      <c r="N5771" s="464">
        <f t="shared" si="197"/>
        <v>226696</v>
      </c>
    </row>
    <row r="5772" spans="7:14" ht="11.25" customHeight="1" x14ac:dyDescent="0.3">
      <c r="G5772" s="459"/>
      <c r="H5772" s="459">
        <v>5765</v>
      </c>
      <c r="I5772" s="444">
        <f t="shared" ca="1" si="195"/>
        <v>-5895336861891823</v>
      </c>
      <c r="J5772" s="444">
        <f t="array" ref="J5772">IFERROR(INDEX('Retirement Calculator'!K:K,MATCH('Lorri 401b'!N5772,'Retirement Calculator'!A:A,0),0),0)</f>
        <v>0</v>
      </c>
      <c r="K5772" s="444">
        <f t="shared" ca="1" si="193"/>
        <v>-24563903591215.93</v>
      </c>
      <c r="L5772" s="444">
        <f t="shared" ca="1" si="194"/>
        <v>-5919900765483039</v>
      </c>
      <c r="M5772" s="460">
        <f t="shared" si="196"/>
        <v>0.05</v>
      </c>
      <c r="N5772" s="464">
        <f t="shared" si="197"/>
        <v>226726</v>
      </c>
    </row>
    <row r="5773" spans="7:14" ht="11.25" customHeight="1" x14ac:dyDescent="0.3">
      <c r="G5773" s="459"/>
      <c r="H5773" s="459">
        <v>5766</v>
      </c>
      <c r="I5773" s="444">
        <f t="shared" ca="1" si="195"/>
        <v>-5919900765483039</v>
      </c>
      <c r="J5773" s="444">
        <f t="array" ref="J5773">IFERROR(INDEX('Retirement Calculator'!K:K,MATCH('Lorri 401b'!N5773,'Retirement Calculator'!A:A,0),0),0)</f>
        <v>0</v>
      </c>
      <c r="K5773" s="444">
        <f t="shared" ca="1" si="193"/>
        <v>-24666253189512.664</v>
      </c>
      <c r="L5773" s="444">
        <f t="shared" ca="1" si="194"/>
        <v>-5944567018672552</v>
      </c>
      <c r="M5773" s="460">
        <f t="shared" si="196"/>
        <v>0.05</v>
      </c>
      <c r="N5773" s="464">
        <f t="shared" si="197"/>
        <v>226757</v>
      </c>
    </row>
    <row r="5774" spans="7:14" ht="11.25" customHeight="1" x14ac:dyDescent="0.3">
      <c r="G5774" s="459"/>
      <c r="H5774" s="459">
        <v>5767</v>
      </c>
      <c r="I5774" s="444">
        <f t="shared" ca="1" si="195"/>
        <v>-5944567018672552</v>
      </c>
      <c r="J5774" s="444">
        <f t="array" ref="J5774">IFERROR(INDEX('Retirement Calculator'!K:K,MATCH('Lorri 401b'!N5774,'Retirement Calculator'!A:A,0),0),0)</f>
        <v>0</v>
      </c>
      <c r="K5774" s="444">
        <f t="shared" ca="1" si="193"/>
        <v>-24769029244468.965</v>
      </c>
      <c r="L5774" s="444">
        <f t="shared" ca="1" si="194"/>
        <v>-5969336047917021</v>
      </c>
      <c r="M5774" s="460">
        <f t="shared" si="196"/>
        <v>0.05</v>
      </c>
      <c r="N5774" s="464">
        <f t="shared" si="197"/>
        <v>226787</v>
      </c>
    </row>
    <row r="5775" spans="7:14" ht="11.25" customHeight="1" x14ac:dyDescent="0.3">
      <c r="G5775" s="459"/>
      <c r="H5775" s="459">
        <v>5768</v>
      </c>
      <c r="I5775" s="444">
        <f t="shared" ca="1" si="195"/>
        <v>-5969336047917021</v>
      </c>
      <c r="J5775" s="444">
        <f t="array" ref="J5775">IFERROR(INDEX('Retirement Calculator'!K:K,MATCH('Lorri 401b'!N5775,'Retirement Calculator'!A:A,0),0),0)</f>
        <v>0</v>
      </c>
      <c r="K5775" s="444">
        <f t="shared" ca="1" si="193"/>
        <v>-24872233532987.586</v>
      </c>
      <c r="L5775" s="444">
        <f t="shared" ca="1" si="194"/>
        <v>-5994208281450009</v>
      </c>
      <c r="M5775" s="460">
        <f t="shared" si="196"/>
        <v>0.05</v>
      </c>
      <c r="N5775" s="464">
        <f t="shared" si="197"/>
        <v>226818</v>
      </c>
    </row>
    <row r="5776" spans="7:14" ht="11.25" customHeight="1" x14ac:dyDescent="0.3">
      <c r="G5776" s="459"/>
      <c r="H5776" s="459">
        <v>5769</v>
      </c>
      <c r="I5776" s="444">
        <f t="shared" ca="1" si="195"/>
        <v>-5994208281450009</v>
      </c>
      <c r="J5776" s="444">
        <f t="array" ref="J5776">IFERROR(INDEX('Retirement Calculator'!K:K,MATCH('Lorri 401b'!N5776,'Retirement Calculator'!A:A,0),0),0)</f>
        <v>0</v>
      </c>
      <c r="K5776" s="444">
        <f t="shared" ca="1" si="193"/>
        <v>-24975867839375.039</v>
      </c>
      <c r="L5776" s="444">
        <f t="shared" ca="1" si="194"/>
        <v>-6019184149289384</v>
      </c>
      <c r="M5776" s="460">
        <f t="shared" si="196"/>
        <v>0.05</v>
      </c>
      <c r="N5776" s="464">
        <f t="shared" si="197"/>
        <v>226849</v>
      </c>
    </row>
    <row r="5777" spans="7:14" ht="11.25" customHeight="1" x14ac:dyDescent="0.3">
      <c r="G5777" s="459"/>
      <c r="H5777" s="459">
        <v>5770</v>
      </c>
      <c r="I5777" s="444">
        <f t="shared" ca="1" si="195"/>
        <v>-6019184149289384</v>
      </c>
      <c r="J5777" s="444">
        <f t="array" ref="J5777">IFERROR(INDEX('Retirement Calculator'!K:K,MATCH('Lorri 401b'!N5777,'Retirement Calculator'!A:A,0),0),0)</f>
        <v>0</v>
      </c>
      <c r="K5777" s="444">
        <f t="shared" ca="1" si="193"/>
        <v>-25079933955372.434</v>
      </c>
      <c r="L5777" s="444">
        <f t="shared" ca="1" si="194"/>
        <v>-6044264083244756</v>
      </c>
      <c r="M5777" s="460">
        <f t="shared" si="196"/>
        <v>0.05</v>
      </c>
      <c r="N5777" s="464">
        <f t="shared" si="197"/>
        <v>226877</v>
      </c>
    </row>
    <row r="5778" spans="7:14" ht="11.25" customHeight="1" x14ac:dyDescent="0.3">
      <c r="G5778" s="459"/>
      <c r="H5778" s="459">
        <v>5771</v>
      </c>
      <c r="I5778" s="444">
        <f t="shared" ca="1" si="195"/>
        <v>-6044264083244756</v>
      </c>
      <c r="J5778" s="444">
        <f t="array" ref="J5778">IFERROR(INDEX('Retirement Calculator'!K:K,MATCH('Lorri 401b'!N5778,'Retirement Calculator'!A:A,0),0),0)</f>
        <v>0</v>
      </c>
      <c r="K5778" s="444">
        <f t="shared" ca="1" si="193"/>
        <v>-25184433680186.484</v>
      </c>
      <c r="L5778" s="444">
        <f t="shared" ca="1" si="194"/>
        <v>-6069448516924942</v>
      </c>
      <c r="M5778" s="460">
        <f t="shared" si="196"/>
        <v>0.05</v>
      </c>
      <c r="N5778" s="464">
        <f t="shared" si="197"/>
        <v>226908</v>
      </c>
    </row>
    <row r="5779" spans="7:14" ht="11.25" customHeight="1" x14ac:dyDescent="0.3">
      <c r="G5779" s="459"/>
      <c r="H5779" s="459">
        <v>5772</v>
      </c>
      <c r="I5779" s="444">
        <f t="shared" ca="1" si="195"/>
        <v>-6069448516924942</v>
      </c>
      <c r="J5779" s="444">
        <f t="array" ref="J5779">IFERROR(INDEX('Retirement Calculator'!K:K,MATCH('Lorri 401b'!N5779,'Retirement Calculator'!A:A,0),0),0)</f>
        <v>0</v>
      </c>
      <c r="K5779" s="444">
        <f t="shared" ca="1" si="193"/>
        <v>-25289368820520.59</v>
      </c>
      <c r="L5779" s="444">
        <f t="shared" ca="1" si="194"/>
        <v>-6094737885745463</v>
      </c>
      <c r="M5779" s="460">
        <f t="shared" si="196"/>
        <v>0.05</v>
      </c>
      <c r="N5779" s="464">
        <f t="shared" si="197"/>
        <v>226938</v>
      </c>
    </row>
    <row r="5780" spans="7:14" ht="11.25" customHeight="1" x14ac:dyDescent="0.3">
      <c r="G5780" s="459"/>
      <c r="H5780" s="459">
        <v>5773</v>
      </c>
      <c r="I5780" s="444">
        <f t="shared" ca="1" si="195"/>
        <v>-6094737885745463</v>
      </c>
      <c r="J5780" s="444">
        <f t="array" ref="J5780">IFERROR(INDEX('Retirement Calculator'!K:K,MATCH('Lorri 401b'!N5780,'Retirement Calculator'!A:A,0),0),0)</f>
        <v>0</v>
      </c>
      <c r="K5780" s="444">
        <f t="shared" ca="1" si="193"/>
        <v>-25394741190606.094</v>
      </c>
      <c r="L5780" s="444">
        <f t="shared" ca="1" si="194"/>
        <v>-6120132626936069</v>
      </c>
      <c r="M5780" s="460">
        <f t="shared" si="196"/>
        <v>0.05</v>
      </c>
      <c r="N5780" s="464">
        <f t="shared" si="197"/>
        <v>226969</v>
      </c>
    </row>
    <row r="5781" spans="7:14" ht="11.25" customHeight="1" x14ac:dyDescent="0.3">
      <c r="G5781" s="459"/>
      <c r="H5781" s="459">
        <v>5774</v>
      </c>
      <c r="I5781" s="444">
        <f t="shared" ca="1" si="195"/>
        <v>-6120132626936069</v>
      </c>
      <c r="J5781" s="444">
        <f t="array" ref="J5781">IFERROR(INDEX('Retirement Calculator'!K:K,MATCH('Lorri 401b'!N5781,'Retirement Calculator'!A:A,0),0),0)</f>
        <v>0</v>
      </c>
      <c r="K5781" s="444">
        <f t="shared" ca="1" si="193"/>
        <v>-25500552612233.621</v>
      </c>
      <c r="L5781" s="444">
        <f t="shared" ca="1" si="194"/>
        <v>-6145633179548303</v>
      </c>
      <c r="M5781" s="460">
        <f t="shared" si="196"/>
        <v>0.05</v>
      </c>
      <c r="N5781" s="464">
        <f t="shared" si="197"/>
        <v>226999</v>
      </c>
    </row>
    <row r="5782" spans="7:14" ht="11.25" customHeight="1" x14ac:dyDescent="0.3">
      <c r="G5782" s="459"/>
      <c r="H5782" s="459">
        <v>5775</v>
      </c>
      <c r="I5782" s="444">
        <f t="shared" ca="1" si="195"/>
        <v>-6145633179548303</v>
      </c>
      <c r="J5782" s="444">
        <f t="array" ref="J5782">IFERROR(INDEX('Retirement Calculator'!K:K,MATCH('Lorri 401b'!N5782,'Retirement Calculator'!A:A,0),0),0)</f>
        <v>0</v>
      </c>
      <c r="K5782" s="444">
        <f t="shared" ca="1" si="193"/>
        <v>-25606804914784.594</v>
      </c>
      <c r="L5782" s="444">
        <f t="shared" ca="1" si="194"/>
        <v>-6171239984463088</v>
      </c>
      <c r="M5782" s="460">
        <f t="shared" si="196"/>
        <v>0.05</v>
      </c>
      <c r="N5782" s="464">
        <f t="shared" si="197"/>
        <v>227030</v>
      </c>
    </row>
    <row r="5783" spans="7:14" ht="11.25" customHeight="1" x14ac:dyDescent="0.3">
      <c r="G5783" s="459"/>
      <c r="H5783" s="459">
        <v>5776</v>
      </c>
      <c r="I5783" s="444">
        <f t="shared" ca="1" si="195"/>
        <v>-6171239984463088</v>
      </c>
      <c r="J5783" s="444">
        <f t="array" ref="J5783">IFERROR(INDEX('Retirement Calculator'!K:K,MATCH('Lorri 401b'!N5783,'Retirement Calculator'!A:A,0),0),0)</f>
        <v>0</v>
      </c>
      <c r="K5783" s="444">
        <f t="shared" ca="1" si="193"/>
        <v>-25713499935262.867</v>
      </c>
      <c r="L5783" s="444">
        <f t="shared" ca="1" si="194"/>
        <v>-6196953484398351</v>
      </c>
      <c r="M5783" s="460">
        <f t="shared" si="196"/>
        <v>0.05</v>
      </c>
      <c r="N5783" s="464">
        <f t="shared" si="197"/>
        <v>227061</v>
      </c>
    </row>
    <row r="5784" spans="7:14" ht="11.25" customHeight="1" x14ac:dyDescent="0.3">
      <c r="G5784" s="459"/>
      <c r="H5784" s="459">
        <v>5777</v>
      </c>
      <c r="I5784" s="444">
        <f t="shared" ca="1" si="195"/>
        <v>-6196953484398351</v>
      </c>
      <c r="J5784" s="444">
        <f t="array" ref="J5784">IFERROR(INDEX('Retirement Calculator'!K:K,MATCH('Lorri 401b'!N5784,'Retirement Calculator'!A:A,0),0),0)</f>
        <v>0</v>
      </c>
      <c r="K5784" s="444">
        <f t="shared" ca="1" si="193"/>
        <v>-25820639518326.461</v>
      </c>
      <c r="L5784" s="444">
        <f t="shared" ca="1" si="194"/>
        <v>-6222774123916677</v>
      </c>
      <c r="M5784" s="460">
        <f t="shared" si="196"/>
        <v>0.05</v>
      </c>
      <c r="N5784" s="464">
        <f t="shared" si="197"/>
        <v>227091</v>
      </c>
    </row>
    <row r="5785" spans="7:14" ht="11.25" customHeight="1" x14ac:dyDescent="0.3">
      <c r="G5785" s="459"/>
      <c r="H5785" s="459">
        <v>5778</v>
      </c>
      <c r="I5785" s="444">
        <f t="shared" ca="1" si="195"/>
        <v>-6222774123916677</v>
      </c>
      <c r="J5785" s="444">
        <f t="array" ref="J5785">IFERROR(INDEX('Retirement Calculator'!K:K,MATCH('Lorri 401b'!N5785,'Retirement Calculator'!A:A,0),0),0)</f>
        <v>0</v>
      </c>
      <c r="K5785" s="444">
        <f t="shared" ca="1" si="193"/>
        <v>-25928225516319.488</v>
      </c>
      <c r="L5785" s="444">
        <f t="shared" ca="1" si="194"/>
        <v>-6248702349432996</v>
      </c>
      <c r="M5785" s="460">
        <f t="shared" si="196"/>
        <v>0.05</v>
      </c>
      <c r="N5785" s="464">
        <f t="shared" si="197"/>
        <v>227122</v>
      </c>
    </row>
    <row r="5786" spans="7:14" ht="11.25" customHeight="1" x14ac:dyDescent="0.3">
      <c r="G5786" s="459"/>
      <c r="H5786" s="459">
        <v>5779</v>
      </c>
      <c r="I5786" s="444">
        <f t="shared" ca="1" si="195"/>
        <v>-6248702349432996</v>
      </c>
      <c r="J5786" s="444">
        <f t="array" ref="J5786">IFERROR(INDEX('Retirement Calculator'!K:K,MATCH('Lorri 401b'!N5786,'Retirement Calculator'!A:A,0),0),0)</f>
        <v>0</v>
      </c>
      <c r="K5786" s="444">
        <f t="shared" ca="1" si="193"/>
        <v>-26036259789304.148</v>
      </c>
      <c r="L5786" s="444">
        <f t="shared" ca="1" si="194"/>
        <v>-6274738609222300</v>
      </c>
      <c r="M5786" s="460">
        <f t="shared" si="196"/>
        <v>0.05</v>
      </c>
      <c r="N5786" s="464">
        <f t="shared" si="197"/>
        <v>227152</v>
      </c>
    </row>
    <row r="5787" spans="7:14" ht="11.25" customHeight="1" x14ac:dyDescent="0.3">
      <c r="G5787" s="459"/>
      <c r="H5787" s="459">
        <v>5780</v>
      </c>
      <c r="I5787" s="444">
        <f t="shared" ca="1" si="195"/>
        <v>-6274738609222300</v>
      </c>
      <c r="J5787" s="444">
        <f t="array" ref="J5787">IFERROR(INDEX('Retirement Calculator'!K:K,MATCH('Lorri 401b'!N5787,'Retirement Calculator'!A:A,0),0),0)</f>
        <v>0</v>
      </c>
      <c r="K5787" s="444">
        <f t="shared" ca="1" si="193"/>
        <v>-26144744205092.918</v>
      </c>
      <c r="L5787" s="444">
        <f t="shared" ca="1" si="194"/>
        <v>-6300883353427393</v>
      </c>
      <c r="M5787" s="460">
        <f t="shared" si="196"/>
        <v>0.05</v>
      </c>
      <c r="N5787" s="464">
        <f t="shared" si="197"/>
        <v>227183</v>
      </c>
    </row>
    <row r="5788" spans="7:14" ht="11.25" customHeight="1" x14ac:dyDescent="0.3">
      <c r="G5788" s="459"/>
      <c r="H5788" s="459">
        <v>5781</v>
      </c>
      <c r="I5788" s="444">
        <f t="shared" ca="1" si="195"/>
        <v>-6300883353427393</v>
      </c>
      <c r="J5788" s="444">
        <f t="array" ref="J5788">IFERROR(INDEX('Retirement Calculator'!K:K,MATCH('Lorri 401b'!N5788,'Retirement Calculator'!A:A,0),0),0)</f>
        <v>0</v>
      </c>
      <c r="K5788" s="444">
        <f t="shared" ca="1" si="193"/>
        <v>-26253680639280.805</v>
      </c>
      <c r="L5788" s="444">
        <f t="shared" ca="1" si="194"/>
        <v>-6327137034066674</v>
      </c>
      <c r="M5788" s="460">
        <f t="shared" si="196"/>
        <v>0.05</v>
      </c>
      <c r="N5788" s="464">
        <f t="shared" si="197"/>
        <v>227214</v>
      </c>
    </row>
    <row r="5789" spans="7:14" ht="11.25" customHeight="1" x14ac:dyDescent="0.3">
      <c r="G5789" s="459"/>
      <c r="H5789" s="459">
        <v>5782</v>
      </c>
      <c r="I5789" s="444">
        <f t="shared" ca="1" si="195"/>
        <v>-6327137034066674</v>
      </c>
      <c r="J5789" s="444">
        <f t="array" ref="J5789">IFERROR(INDEX('Retirement Calculator'!K:K,MATCH('Lorri 401b'!N5789,'Retirement Calculator'!A:A,0),0),0)</f>
        <v>0</v>
      </c>
      <c r="K5789" s="444">
        <f t="shared" ca="1" si="193"/>
        <v>-26363070975277.809</v>
      </c>
      <c r="L5789" s="444">
        <f t="shared" ca="1" si="194"/>
        <v>-6353500105041952</v>
      </c>
      <c r="M5789" s="460">
        <f t="shared" si="196"/>
        <v>0.05</v>
      </c>
      <c r="N5789" s="464">
        <f t="shared" si="197"/>
        <v>227242</v>
      </c>
    </row>
    <row r="5790" spans="7:14" ht="11.25" customHeight="1" x14ac:dyDescent="0.3">
      <c r="G5790" s="459"/>
      <c r="H5790" s="459">
        <v>5783</v>
      </c>
      <c r="I5790" s="444">
        <f t="shared" ca="1" si="195"/>
        <v>-6353500105041952</v>
      </c>
      <c r="J5790" s="444">
        <f t="array" ref="J5790">IFERROR(INDEX('Retirement Calculator'!K:K,MATCH('Lorri 401b'!N5790,'Retirement Calculator'!A:A,0),0),0)</f>
        <v>0</v>
      </c>
      <c r="K5790" s="444">
        <f t="shared" ca="1" si="193"/>
        <v>-26472917104341.465</v>
      </c>
      <c r="L5790" s="444">
        <f t="shared" ca="1" si="194"/>
        <v>-6379973022146293</v>
      </c>
      <c r="M5790" s="460">
        <f t="shared" si="196"/>
        <v>0.05</v>
      </c>
      <c r="N5790" s="464">
        <f t="shared" si="197"/>
        <v>227273</v>
      </c>
    </row>
    <row r="5791" spans="7:14" ht="11.25" customHeight="1" x14ac:dyDescent="0.3">
      <c r="G5791" s="459"/>
      <c r="H5791" s="459">
        <v>5784</v>
      </c>
      <c r="I5791" s="444">
        <f t="shared" ca="1" si="195"/>
        <v>-6379973022146293</v>
      </c>
      <c r="J5791" s="444">
        <f t="array" ref="J5791">IFERROR(INDEX('Retirement Calculator'!K:K,MATCH('Lorri 401b'!N5791,'Retirement Calculator'!A:A,0),0),0)</f>
        <v>0</v>
      </c>
      <c r="K5791" s="444">
        <f t="shared" ca="1" si="193"/>
        <v>-26583220925609.555</v>
      </c>
      <c r="L5791" s="444">
        <f t="shared" ca="1" si="194"/>
        <v>-6406556243071903</v>
      </c>
      <c r="M5791" s="460">
        <f t="shared" si="196"/>
        <v>0.05</v>
      </c>
      <c r="N5791" s="464">
        <f t="shared" si="197"/>
        <v>227303</v>
      </c>
    </row>
    <row r="5792" spans="7:14" ht="11.25" customHeight="1" x14ac:dyDescent="0.3">
      <c r="G5792" s="459"/>
      <c r="H5792" s="459">
        <v>5785</v>
      </c>
      <c r="I5792" s="444">
        <f t="shared" ca="1" si="195"/>
        <v>-6406556243071903</v>
      </c>
      <c r="J5792" s="444">
        <f t="array" ref="J5792">IFERROR(INDEX('Retirement Calculator'!K:K,MATCH('Lorri 401b'!N5792,'Retirement Calculator'!A:A,0),0),0)</f>
        <v>0</v>
      </c>
      <c r="K5792" s="444">
        <f t="shared" ca="1" si="193"/>
        <v>-26693984346132.93</v>
      </c>
      <c r="L5792" s="444">
        <f t="shared" ca="1" si="194"/>
        <v>-6433250227418036</v>
      </c>
      <c r="M5792" s="460">
        <f t="shared" si="196"/>
        <v>0.05</v>
      </c>
      <c r="N5792" s="464">
        <f t="shared" si="197"/>
        <v>227334</v>
      </c>
    </row>
    <row r="5793" spans="7:14" ht="11.25" customHeight="1" x14ac:dyDescent="0.3">
      <c r="G5793" s="459"/>
      <c r="H5793" s="459">
        <v>5786</v>
      </c>
      <c r="I5793" s="444">
        <f t="shared" ca="1" si="195"/>
        <v>-6433250227418036</v>
      </c>
      <c r="J5793" s="444">
        <f t="array" ref="J5793">IFERROR(INDEX('Retirement Calculator'!K:K,MATCH('Lorri 401b'!N5793,'Retirement Calculator'!A:A,0),0),0)</f>
        <v>0</v>
      </c>
      <c r="K5793" s="444">
        <f t="shared" ca="1" si="193"/>
        <v>-26805209280908.484</v>
      </c>
      <c r="L5793" s="444">
        <f t="shared" ca="1" si="194"/>
        <v>-6460055436698944</v>
      </c>
      <c r="M5793" s="460">
        <f t="shared" si="196"/>
        <v>0.05</v>
      </c>
      <c r="N5793" s="464">
        <f t="shared" si="197"/>
        <v>227364</v>
      </c>
    </row>
    <row r="5794" spans="7:14" ht="11.25" customHeight="1" x14ac:dyDescent="0.3">
      <c r="G5794" s="459"/>
      <c r="H5794" s="459">
        <v>5787</v>
      </c>
      <c r="I5794" s="444">
        <f t="shared" ca="1" si="195"/>
        <v>-6460055436698944</v>
      </c>
      <c r="J5794" s="444">
        <f t="array" ref="J5794">IFERROR(INDEX('Retirement Calculator'!K:K,MATCH('Lorri 401b'!N5794,'Retirement Calculator'!A:A,0),0),0)</f>
        <v>0</v>
      </c>
      <c r="K5794" s="444">
        <f t="shared" ca="1" si="193"/>
        <v>-26916897652912.266</v>
      </c>
      <c r="L5794" s="444">
        <f t="shared" ca="1" si="194"/>
        <v>-6486972334351856</v>
      </c>
      <c r="M5794" s="460">
        <f t="shared" si="196"/>
        <v>0.05</v>
      </c>
      <c r="N5794" s="464">
        <f t="shared" si="197"/>
        <v>227395</v>
      </c>
    </row>
    <row r="5795" spans="7:14" ht="11.25" customHeight="1" x14ac:dyDescent="0.3">
      <c r="G5795" s="459"/>
      <c r="H5795" s="459">
        <v>5788</v>
      </c>
      <c r="I5795" s="444">
        <f t="shared" ca="1" si="195"/>
        <v>-6486972334351856</v>
      </c>
      <c r="J5795" s="444">
        <f t="array" ref="J5795">IFERROR(INDEX('Retirement Calculator'!K:K,MATCH('Lorri 401b'!N5795,'Retirement Calculator'!A:A,0),0),0)</f>
        <v>0</v>
      </c>
      <c r="K5795" s="444">
        <f t="shared" ca="1" si="193"/>
        <v>-27029051393132.734</v>
      </c>
      <c r="L5795" s="444">
        <f t="shared" ca="1" si="194"/>
        <v>-6514001385744989</v>
      </c>
      <c r="M5795" s="460">
        <f t="shared" si="196"/>
        <v>0.05</v>
      </c>
      <c r="N5795" s="464">
        <f t="shared" si="197"/>
        <v>227426</v>
      </c>
    </row>
    <row r="5796" spans="7:14" ht="11.25" customHeight="1" x14ac:dyDescent="0.3">
      <c r="G5796" s="459"/>
      <c r="H5796" s="459">
        <v>5789</v>
      </c>
      <c r="I5796" s="444">
        <f t="shared" ca="1" si="195"/>
        <v>-6514001385744989</v>
      </c>
      <c r="J5796" s="444">
        <f t="array" ref="J5796">IFERROR(INDEX('Retirement Calculator'!K:K,MATCH('Lorri 401b'!N5796,'Retirement Calculator'!A:A,0),0),0)</f>
        <v>0</v>
      </c>
      <c r="K5796" s="444">
        <f t="shared" ca="1" si="193"/>
        <v>-27141672440604.121</v>
      </c>
      <c r="L5796" s="444">
        <f t="shared" ca="1" si="194"/>
        <v>-6541143058185593</v>
      </c>
      <c r="M5796" s="460">
        <f t="shared" si="196"/>
        <v>0.05</v>
      </c>
      <c r="N5796" s="464">
        <f t="shared" si="197"/>
        <v>227456</v>
      </c>
    </row>
    <row r="5797" spans="7:14" ht="11.25" customHeight="1" x14ac:dyDescent="0.3">
      <c r="G5797" s="459"/>
      <c r="H5797" s="459">
        <v>5790</v>
      </c>
      <c r="I5797" s="444">
        <f t="shared" ca="1" si="195"/>
        <v>-6541143058185593</v>
      </c>
      <c r="J5797" s="444">
        <f t="array" ref="J5797">IFERROR(INDEX('Retirement Calculator'!K:K,MATCH('Lorri 401b'!N5797,'Retirement Calculator'!A:A,0),0),0)</f>
        <v>0</v>
      </c>
      <c r="K5797" s="444">
        <f t="shared" ca="1" si="193"/>
        <v>-27254762742439.969</v>
      </c>
      <c r="L5797" s="444">
        <f t="shared" ca="1" si="194"/>
        <v>-6568397820928033</v>
      </c>
      <c r="M5797" s="460">
        <f t="shared" si="196"/>
        <v>0.05</v>
      </c>
      <c r="N5797" s="464">
        <f t="shared" si="197"/>
        <v>227487</v>
      </c>
    </row>
    <row r="5798" spans="7:14" ht="11.25" customHeight="1" x14ac:dyDescent="0.3">
      <c r="G5798" s="459"/>
      <c r="H5798" s="459">
        <v>5791</v>
      </c>
      <c r="I5798" s="444">
        <f t="shared" ca="1" si="195"/>
        <v>-6568397820928033</v>
      </c>
      <c r="J5798" s="444">
        <f t="array" ref="J5798">IFERROR(INDEX('Retirement Calculator'!K:K,MATCH('Lorri 401b'!N5798,'Retirement Calculator'!A:A,0),0),0)</f>
        <v>0</v>
      </c>
      <c r="K5798" s="444">
        <f t="shared" ca="1" si="193"/>
        <v>-27368324253866.805</v>
      </c>
      <c r="L5798" s="444">
        <f t="shared" ca="1" si="194"/>
        <v>-6595766145181900</v>
      </c>
      <c r="M5798" s="460">
        <f t="shared" si="196"/>
        <v>0.05</v>
      </c>
      <c r="N5798" s="464">
        <f t="shared" si="197"/>
        <v>227517</v>
      </c>
    </row>
    <row r="5799" spans="7:14" ht="11.25" customHeight="1" x14ac:dyDescent="0.3">
      <c r="G5799" s="459"/>
      <c r="H5799" s="459">
        <v>5792</v>
      </c>
      <c r="I5799" s="444">
        <f t="shared" ca="1" si="195"/>
        <v>-6595766145181900</v>
      </c>
      <c r="J5799" s="444">
        <f t="array" ref="J5799">IFERROR(INDEX('Retirement Calculator'!K:K,MATCH('Lorri 401b'!N5799,'Retirement Calculator'!A:A,0),0),0)</f>
        <v>0</v>
      </c>
      <c r="K5799" s="444">
        <f t="shared" ca="1" si="193"/>
        <v>-27482358938257.918</v>
      </c>
      <c r="L5799" s="444">
        <f t="shared" ca="1" si="194"/>
        <v>-6623248504120158</v>
      </c>
      <c r="M5799" s="460">
        <f t="shared" si="196"/>
        <v>0.05</v>
      </c>
      <c r="N5799" s="464">
        <f t="shared" si="197"/>
        <v>227548</v>
      </c>
    </row>
    <row r="5800" spans="7:14" ht="11.25" customHeight="1" x14ac:dyDescent="0.3">
      <c r="G5800" s="459"/>
      <c r="H5800" s="459">
        <v>5793</v>
      </c>
      <c r="I5800" s="444">
        <f t="shared" ca="1" si="195"/>
        <v>-6623248504120158</v>
      </c>
      <c r="J5800" s="444">
        <f t="array" ref="J5800">IFERROR(INDEX('Retirement Calculator'!K:K,MATCH('Lorri 401b'!N5800,'Retirement Calculator'!A:A,0),0),0)</f>
        <v>0</v>
      </c>
      <c r="K5800" s="444">
        <f t="shared" ca="1" si="193"/>
        <v>-27596868767167.324</v>
      </c>
      <c r="L5800" s="444">
        <f t="shared" ca="1" si="194"/>
        <v>-6650845372887325</v>
      </c>
      <c r="M5800" s="460">
        <f t="shared" si="196"/>
        <v>0.05</v>
      </c>
      <c r="N5800" s="464">
        <f t="shared" si="197"/>
        <v>227579</v>
      </c>
    </row>
    <row r="5801" spans="7:14" ht="11.25" customHeight="1" x14ac:dyDescent="0.3">
      <c r="G5801" s="459"/>
      <c r="H5801" s="459">
        <v>5794</v>
      </c>
      <c r="I5801" s="444">
        <f t="shared" ca="1" si="195"/>
        <v>-6650845372887325</v>
      </c>
      <c r="J5801" s="444">
        <f t="array" ref="J5801">IFERROR(INDEX('Retirement Calculator'!K:K,MATCH('Lorri 401b'!N5801,'Retirement Calculator'!A:A,0),0),0)</f>
        <v>0</v>
      </c>
      <c r="K5801" s="444">
        <f t="shared" ca="1" si="193"/>
        <v>-27711855720363.855</v>
      </c>
      <c r="L5801" s="444">
        <f t="shared" ca="1" si="194"/>
        <v>-6678557228607689</v>
      </c>
      <c r="M5801" s="460">
        <f t="shared" si="196"/>
        <v>0.05</v>
      </c>
      <c r="N5801" s="464">
        <f t="shared" si="197"/>
        <v>227607</v>
      </c>
    </row>
    <row r="5802" spans="7:14" ht="11.25" customHeight="1" x14ac:dyDescent="0.3">
      <c r="G5802" s="459"/>
      <c r="H5802" s="459">
        <v>5795</v>
      </c>
      <c r="I5802" s="444">
        <f t="shared" ca="1" si="195"/>
        <v>-6678557228607689</v>
      </c>
      <c r="J5802" s="444">
        <f t="array" ref="J5802">IFERROR(INDEX('Retirement Calculator'!K:K,MATCH('Lorri 401b'!N5802,'Retirement Calculator'!A:A,0),0),0)</f>
        <v>0</v>
      </c>
      <c r="K5802" s="444">
        <f t="shared" ca="1" si="193"/>
        <v>-27827321785865.371</v>
      </c>
      <c r="L5802" s="444">
        <f t="shared" ca="1" si="194"/>
        <v>-6706384550393554</v>
      </c>
      <c r="M5802" s="460">
        <f t="shared" si="196"/>
        <v>0.05</v>
      </c>
      <c r="N5802" s="464">
        <f t="shared" si="197"/>
        <v>227638</v>
      </c>
    </row>
    <row r="5803" spans="7:14" ht="11.25" customHeight="1" x14ac:dyDescent="0.3">
      <c r="G5803" s="459"/>
      <c r="H5803" s="459">
        <v>5796</v>
      </c>
      <c r="I5803" s="444">
        <f t="shared" ca="1" si="195"/>
        <v>-6706384550393554</v>
      </c>
      <c r="J5803" s="444">
        <f t="array" ref="J5803">IFERROR(INDEX('Retirement Calculator'!K:K,MATCH('Lorri 401b'!N5803,'Retirement Calculator'!A:A,0),0),0)</f>
        <v>0</v>
      </c>
      <c r="K5803" s="444">
        <f t="shared" ca="1" si="193"/>
        <v>-27943268959973.141</v>
      </c>
      <c r="L5803" s="444">
        <f t="shared" ca="1" si="194"/>
        <v>-6734327819353527</v>
      </c>
      <c r="M5803" s="460">
        <f t="shared" si="196"/>
        <v>0.05</v>
      </c>
      <c r="N5803" s="464">
        <f t="shared" si="197"/>
        <v>227668</v>
      </c>
    </row>
    <row r="5804" spans="7:14" ht="11.25" customHeight="1" x14ac:dyDescent="0.3">
      <c r="G5804" s="459"/>
      <c r="H5804" s="459">
        <v>5797</v>
      </c>
      <c r="I5804" s="444">
        <f t="shared" ca="1" si="195"/>
        <v>-6734327819353527</v>
      </c>
      <c r="J5804" s="444">
        <f t="array" ref="J5804">IFERROR(INDEX('Retirement Calculator'!K:K,MATCH('Lorri 401b'!N5804,'Retirement Calculator'!A:A,0),0),0)</f>
        <v>0</v>
      </c>
      <c r="K5804" s="444">
        <f t="shared" ca="1" si="193"/>
        <v>-28059699247306.363</v>
      </c>
      <c r="L5804" s="444">
        <f t="shared" ca="1" si="194"/>
        <v>-6762387518600833</v>
      </c>
      <c r="M5804" s="460">
        <f t="shared" si="196"/>
        <v>0.05</v>
      </c>
      <c r="N5804" s="464">
        <f t="shared" si="197"/>
        <v>227699</v>
      </c>
    </row>
    <row r="5805" spans="7:14" ht="11.25" customHeight="1" x14ac:dyDescent="0.3">
      <c r="G5805" s="459"/>
      <c r="H5805" s="459">
        <v>5798</v>
      </c>
      <c r="I5805" s="444">
        <f t="shared" ca="1" si="195"/>
        <v>-6762387518600833</v>
      </c>
      <c r="J5805" s="444">
        <f t="array" ref="J5805">IFERROR(INDEX('Retirement Calculator'!K:K,MATCH('Lorri 401b'!N5805,'Retirement Calculator'!A:A,0),0),0)</f>
        <v>0</v>
      </c>
      <c r="K5805" s="444">
        <f t="shared" ca="1" si="193"/>
        <v>-28176614660836.805</v>
      </c>
      <c r="L5805" s="444">
        <f t="shared" ca="1" si="194"/>
        <v>-6790564133261670</v>
      </c>
      <c r="M5805" s="460">
        <f t="shared" si="196"/>
        <v>0.05</v>
      </c>
      <c r="N5805" s="464">
        <f t="shared" si="197"/>
        <v>227729</v>
      </c>
    </row>
    <row r="5806" spans="7:14" ht="11.25" customHeight="1" x14ac:dyDescent="0.3">
      <c r="G5806" s="459"/>
      <c r="H5806" s="459">
        <v>5799</v>
      </c>
      <c r="I5806" s="444">
        <f t="shared" ca="1" si="195"/>
        <v>-6790564133261670</v>
      </c>
      <c r="J5806" s="444">
        <f t="array" ref="J5806">IFERROR(INDEX('Retirement Calculator'!K:K,MATCH('Lorri 401b'!N5806,'Retirement Calculator'!A:A,0),0),0)</f>
        <v>0</v>
      </c>
      <c r="K5806" s="444">
        <f t="shared" ca="1" si="193"/>
        <v>-28294017221923.625</v>
      </c>
      <c r="L5806" s="444">
        <f t="shared" ca="1" si="194"/>
        <v>-6818858150483594</v>
      </c>
      <c r="M5806" s="460">
        <f t="shared" si="196"/>
        <v>0.05</v>
      </c>
      <c r="N5806" s="464">
        <f t="shared" si="197"/>
        <v>227760</v>
      </c>
    </row>
    <row r="5807" spans="7:14" ht="11.25" customHeight="1" x14ac:dyDescent="0.3">
      <c r="G5807" s="459"/>
      <c r="H5807" s="459">
        <v>5800</v>
      </c>
      <c r="I5807" s="444">
        <f t="shared" ca="1" si="195"/>
        <v>-6818858150483594</v>
      </c>
      <c r="J5807" s="444">
        <f t="array" ref="J5807">IFERROR(INDEX('Retirement Calculator'!K:K,MATCH('Lorri 401b'!N5807,'Retirement Calculator'!A:A,0),0),0)</f>
        <v>0</v>
      </c>
      <c r="K5807" s="444">
        <f t="shared" ca="1" si="193"/>
        <v>-28411908960348.309</v>
      </c>
      <c r="L5807" s="444">
        <f t="shared" ca="1" si="194"/>
        <v>-6847270059443942</v>
      </c>
      <c r="M5807" s="460">
        <f t="shared" si="196"/>
        <v>0.05</v>
      </c>
      <c r="N5807" s="464">
        <f t="shared" si="197"/>
        <v>227791</v>
      </c>
    </row>
    <row r="5808" spans="7:14" ht="11.25" customHeight="1" x14ac:dyDescent="0.3">
      <c r="G5808" s="459"/>
      <c r="H5808" s="459">
        <v>5801</v>
      </c>
      <c r="I5808" s="444">
        <f t="shared" ca="1" si="195"/>
        <v>-6847270059443942</v>
      </c>
      <c r="J5808" s="444">
        <f t="array" ref="J5808">IFERROR(INDEX('Retirement Calculator'!K:K,MATCH('Lorri 401b'!N5808,'Retirement Calculator'!A:A,0),0),0)</f>
        <v>0</v>
      </c>
      <c r="K5808" s="444">
        <f t="shared" ca="1" si="193"/>
        <v>-28530291914349.758</v>
      </c>
      <c r="L5808" s="444">
        <f t="shared" ca="1" si="194"/>
        <v>-6875800351358292</v>
      </c>
      <c r="M5808" s="460">
        <f t="shared" si="196"/>
        <v>0.05</v>
      </c>
      <c r="N5808" s="464">
        <f t="shared" si="197"/>
        <v>227821</v>
      </c>
    </row>
    <row r="5809" spans="7:14" ht="11.25" customHeight="1" x14ac:dyDescent="0.3">
      <c r="G5809" s="459"/>
      <c r="H5809" s="459">
        <v>5802</v>
      </c>
      <c r="I5809" s="444">
        <f t="shared" ca="1" si="195"/>
        <v>-6875800351358292</v>
      </c>
      <c r="J5809" s="444">
        <f t="array" ref="J5809">IFERROR(INDEX('Retirement Calculator'!K:K,MATCH('Lorri 401b'!N5809,'Retirement Calculator'!A:A,0),0),0)</f>
        <v>0</v>
      </c>
      <c r="K5809" s="444">
        <f t="shared" ca="1" si="193"/>
        <v>-28649168130659.551</v>
      </c>
      <c r="L5809" s="444">
        <f t="shared" ca="1" si="194"/>
        <v>-6904449519488952</v>
      </c>
      <c r="M5809" s="460">
        <f t="shared" si="196"/>
        <v>0.05</v>
      </c>
      <c r="N5809" s="464">
        <f t="shared" si="197"/>
        <v>227852</v>
      </c>
    </row>
    <row r="5810" spans="7:14" ht="11.25" customHeight="1" x14ac:dyDescent="0.3">
      <c r="G5810" s="459"/>
      <c r="H5810" s="459">
        <v>5803</v>
      </c>
      <c r="I5810" s="444">
        <f t="shared" ca="1" si="195"/>
        <v>-6904449519488952</v>
      </c>
      <c r="J5810" s="444">
        <f t="array" ref="J5810">IFERROR(INDEX('Retirement Calculator'!K:K,MATCH('Lorri 401b'!N5810,'Retirement Calculator'!A:A,0),0),0)</f>
        <v>0</v>
      </c>
      <c r="K5810" s="444">
        <f t="shared" ca="1" si="193"/>
        <v>-28768539664537.301</v>
      </c>
      <c r="L5810" s="444">
        <f t="shared" ca="1" si="194"/>
        <v>-6933218059153489</v>
      </c>
      <c r="M5810" s="460">
        <f t="shared" si="196"/>
        <v>0.05</v>
      </c>
      <c r="N5810" s="464">
        <f t="shared" si="197"/>
        <v>227882</v>
      </c>
    </row>
    <row r="5811" spans="7:14" ht="11.25" customHeight="1" x14ac:dyDescent="0.3">
      <c r="G5811" s="459"/>
      <c r="H5811" s="459">
        <v>5804</v>
      </c>
      <c r="I5811" s="444">
        <f t="shared" ca="1" si="195"/>
        <v>-6933218059153489</v>
      </c>
      <c r="J5811" s="444">
        <f t="array" ref="J5811">IFERROR(INDEX('Retirement Calculator'!K:K,MATCH('Lorri 401b'!N5811,'Retirement Calculator'!A:A,0),0),0)</f>
        <v>0</v>
      </c>
      <c r="K5811" s="444">
        <f t="shared" ca="1" si="193"/>
        <v>-28888408579806.203</v>
      </c>
      <c r="L5811" s="444">
        <f t="shared" ca="1" si="194"/>
        <v>-6962106467733295</v>
      </c>
      <c r="M5811" s="460">
        <f t="shared" si="196"/>
        <v>0.05</v>
      </c>
      <c r="N5811" s="464">
        <f t="shared" si="197"/>
        <v>227913</v>
      </c>
    </row>
    <row r="5812" spans="7:14" ht="11.25" customHeight="1" x14ac:dyDescent="0.3">
      <c r="G5812" s="459"/>
      <c r="H5812" s="459">
        <v>5805</v>
      </c>
      <c r="I5812" s="444">
        <f t="shared" ca="1" si="195"/>
        <v>-6962106467733295</v>
      </c>
      <c r="J5812" s="444">
        <f t="array" ref="J5812">IFERROR(INDEX('Retirement Calculator'!K:K,MATCH('Lorri 401b'!N5812,'Retirement Calculator'!A:A,0),0),0)</f>
        <v>0</v>
      </c>
      <c r="K5812" s="444">
        <f t="shared" ca="1" si="193"/>
        <v>-29008776948888.73</v>
      </c>
      <c r="L5812" s="444">
        <f t="shared" ca="1" si="194"/>
        <v>-6991115244682184</v>
      </c>
      <c r="M5812" s="460">
        <f t="shared" si="196"/>
        <v>0.05</v>
      </c>
      <c r="N5812" s="464">
        <f t="shared" si="197"/>
        <v>227944</v>
      </c>
    </row>
    <row r="5813" spans="7:14" ht="11.25" customHeight="1" x14ac:dyDescent="0.3">
      <c r="G5813" s="459"/>
      <c r="H5813" s="459">
        <v>5806</v>
      </c>
      <c r="I5813" s="444">
        <f t="shared" ca="1" si="195"/>
        <v>-6991115244682184</v>
      </c>
      <c r="J5813" s="444">
        <f t="array" ref="J5813">IFERROR(INDEX('Retirement Calculator'!K:K,MATCH('Lorri 401b'!N5813,'Retirement Calculator'!A:A,0),0),0)</f>
        <v>0</v>
      </c>
      <c r="K5813" s="444">
        <f t="shared" ca="1" si="193"/>
        <v>-29129646852842.434</v>
      </c>
      <c r="L5813" s="444">
        <f t="shared" ca="1" si="194"/>
        <v>-7020244891535026</v>
      </c>
      <c r="M5813" s="460">
        <f t="shared" si="196"/>
        <v>0.05</v>
      </c>
      <c r="N5813" s="464">
        <f t="shared" si="197"/>
        <v>227973</v>
      </c>
    </row>
    <row r="5814" spans="7:14" ht="11.25" customHeight="1" x14ac:dyDescent="0.3">
      <c r="G5814" s="459"/>
      <c r="H5814" s="459">
        <v>5807</v>
      </c>
      <c r="I5814" s="444">
        <f t="shared" ca="1" si="195"/>
        <v>-7020244891535026</v>
      </c>
      <c r="J5814" s="444">
        <f t="array" ref="J5814">IFERROR(INDEX('Retirement Calculator'!K:K,MATCH('Lorri 401b'!N5814,'Retirement Calculator'!A:A,0),0),0)</f>
        <v>0</v>
      </c>
      <c r="K5814" s="444">
        <f t="shared" ca="1" si="193"/>
        <v>-29251020381395.941</v>
      </c>
      <c r="L5814" s="444">
        <f t="shared" ca="1" si="194"/>
        <v>-7049495911916422</v>
      </c>
      <c r="M5814" s="460">
        <f t="shared" si="196"/>
        <v>0.05</v>
      </c>
      <c r="N5814" s="464">
        <f t="shared" si="197"/>
        <v>228004</v>
      </c>
    </row>
    <row r="5815" spans="7:14" ht="11.25" customHeight="1" x14ac:dyDescent="0.3">
      <c r="G5815" s="459"/>
      <c r="H5815" s="459">
        <v>5808</v>
      </c>
      <c r="I5815" s="444">
        <f t="shared" ca="1" si="195"/>
        <v>-7049495911916422</v>
      </c>
      <c r="J5815" s="444">
        <f t="array" ref="J5815">IFERROR(INDEX('Retirement Calculator'!K:K,MATCH('Lorri 401b'!N5815,'Retirement Calculator'!A:A,0),0),0)</f>
        <v>0</v>
      </c>
      <c r="K5815" s="444">
        <f t="shared" ca="1" si="193"/>
        <v>-29372899632985.09</v>
      </c>
      <c r="L5815" s="444">
        <f t="shared" ca="1" si="194"/>
        <v>-7078868811549407</v>
      </c>
      <c r="M5815" s="460">
        <f t="shared" si="196"/>
        <v>0.05</v>
      </c>
      <c r="N5815" s="464">
        <f t="shared" si="197"/>
        <v>228034</v>
      </c>
    </row>
    <row r="5816" spans="7:14" ht="11.25" customHeight="1" x14ac:dyDescent="0.3">
      <c r="G5816" s="459"/>
      <c r="H5816" s="459">
        <v>5809</v>
      </c>
      <c r="I5816" s="444">
        <f t="shared" ca="1" si="195"/>
        <v>-7078868811549407</v>
      </c>
      <c r="J5816" s="444">
        <f t="array" ref="J5816">IFERROR(INDEX('Retirement Calculator'!K:K,MATCH('Lorri 401b'!N5816,'Retirement Calculator'!A:A,0),0),0)</f>
        <v>0</v>
      </c>
      <c r="K5816" s="444">
        <f t="shared" ca="1" si="193"/>
        <v>-29495286714789.199</v>
      </c>
      <c r="L5816" s="444">
        <f t="shared" ca="1" si="194"/>
        <v>-7108364098264196</v>
      </c>
      <c r="M5816" s="460">
        <f t="shared" si="196"/>
        <v>0.05</v>
      </c>
      <c r="N5816" s="464">
        <f t="shared" si="197"/>
        <v>228065</v>
      </c>
    </row>
    <row r="5817" spans="7:14" ht="11.25" customHeight="1" x14ac:dyDescent="0.3">
      <c r="G5817" s="459"/>
      <c r="H5817" s="459">
        <v>5810</v>
      </c>
      <c r="I5817" s="444">
        <f t="shared" ca="1" si="195"/>
        <v>-7108364098264196</v>
      </c>
      <c r="J5817" s="444">
        <f t="array" ref="J5817">IFERROR(INDEX('Retirement Calculator'!K:K,MATCH('Lorri 401b'!N5817,'Retirement Calculator'!A:A,0),0),0)</f>
        <v>0</v>
      </c>
      <c r="K5817" s="444">
        <f t="shared" ca="1" si="193"/>
        <v>-29618183742767.484</v>
      </c>
      <c r="L5817" s="444">
        <f t="shared" ca="1" si="194"/>
        <v>-7137982282006963</v>
      </c>
      <c r="M5817" s="460">
        <f t="shared" si="196"/>
        <v>0.05</v>
      </c>
      <c r="N5817" s="464">
        <f t="shared" si="197"/>
        <v>228095</v>
      </c>
    </row>
    <row r="5818" spans="7:14" ht="11.25" customHeight="1" x14ac:dyDescent="0.3">
      <c r="G5818" s="459"/>
      <c r="H5818" s="459">
        <v>5811</v>
      </c>
      <c r="I5818" s="444">
        <f t="shared" ca="1" si="195"/>
        <v>-7137982282006963</v>
      </c>
      <c r="J5818" s="444">
        <f t="array" ref="J5818">IFERROR(INDEX('Retirement Calculator'!K:K,MATCH('Lorri 401b'!N5818,'Retirement Calculator'!A:A,0),0),0)</f>
        <v>0</v>
      </c>
      <c r="K5818" s="444">
        <f t="shared" ca="1" si="193"/>
        <v>-29741592841695.68</v>
      </c>
      <c r="L5818" s="444">
        <f t="shared" ca="1" si="194"/>
        <v>-7167723874848659</v>
      </c>
      <c r="M5818" s="460">
        <f t="shared" si="196"/>
        <v>0.05</v>
      </c>
      <c r="N5818" s="464">
        <f t="shared" si="197"/>
        <v>228126</v>
      </c>
    </row>
    <row r="5819" spans="7:14" ht="11.25" customHeight="1" x14ac:dyDescent="0.3">
      <c r="G5819" s="459"/>
      <c r="H5819" s="459">
        <v>5812</v>
      </c>
      <c r="I5819" s="444">
        <f t="shared" ca="1" si="195"/>
        <v>-7167723874848659</v>
      </c>
      <c r="J5819" s="444">
        <f t="array" ref="J5819">IFERROR(INDEX('Retirement Calculator'!K:K,MATCH('Lorri 401b'!N5819,'Retirement Calculator'!A:A,0),0),0)</f>
        <v>0</v>
      </c>
      <c r="K5819" s="444">
        <f t="shared" ca="1" si="193"/>
        <v>-29865516145202.746</v>
      </c>
      <c r="L5819" s="444">
        <f t="shared" ca="1" si="194"/>
        <v>-7197589390993862</v>
      </c>
      <c r="M5819" s="460">
        <f t="shared" si="196"/>
        <v>0.05</v>
      </c>
      <c r="N5819" s="464">
        <f t="shared" si="197"/>
        <v>228157</v>
      </c>
    </row>
    <row r="5820" spans="7:14" ht="11.25" customHeight="1" x14ac:dyDescent="0.3">
      <c r="G5820" s="459"/>
      <c r="H5820" s="459">
        <v>5813</v>
      </c>
      <c r="I5820" s="444">
        <f t="shared" ca="1" si="195"/>
        <v>-7197589390993862</v>
      </c>
      <c r="J5820" s="444">
        <f t="array" ref="J5820">IFERROR(INDEX('Retirement Calculator'!K:K,MATCH('Lorri 401b'!N5820,'Retirement Calculator'!A:A,0),0),0)</f>
        <v>0</v>
      </c>
      <c r="K5820" s="444">
        <f t="shared" ca="1" si="193"/>
        <v>-29989955795807.754</v>
      </c>
      <c r="L5820" s="444">
        <f t="shared" ca="1" si="194"/>
        <v>-7227579346789670</v>
      </c>
      <c r="M5820" s="460">
        <f t="shared" si="196"/>
        <v>0.05</v>
      </c>
      <c r="N5820" s="464">
        <f t="shared" si="197"/>
        <v>228187</v>
      </c>
    </row>
    <row r="5821" spans="7:14" ht="11.25" customHeight="1" x14ac:dyDescent="0.3">
      <c r="G5821" s="459"/>
      <c r="H5821" s="459">
        <v>5814</v>
      </c>
      <c r="I5821" s="444">
        <f t="shared" ca="1" si="195"/>
        <v>-7227579346789670</v>
      </c>
      <c r="J5821" s="444">
        <f t="array" ref="J5821">IFERROR(INDEX('Retirement Calculator'!K:K,MATCH('Lorri 401b'!N5821,'Retirement Calculator'!A:A,0),0),0)</f>
        <v>0</v>
      </c>
      <c r="K5821" s="444">
        <f t="shared" ca="1" si="193"/>
        <v>-30114913944956.957</v>
      </c>
      <c r="L5821" s="444">
        <f t="shared" ca="1" si="194"/>
        <v>-7257694260734627</v>
      </c>
      <c r="M5821" s="460">
        <f t="shared" si="196"/>
        <v>0.05</v>
      </c>
      <c r="N5821" s="464">
        <f t="shared" si="197"/>
        <v>228218</v>
      </c>
    </row>
    <row r="5822" spans="7:14" ht="11.25" customHeight="1" x14ac:dyDescent="0.3">
      <c r="G5822" s="459"/>
      <c r="H5822" s="459">
        <v>5815</v>
      </c>
      <c r="I5822" s="444">
        <f t="shared" ca="1" si="195"/>
        <v>-7257694260734627</v>
      </c>
      <c r="J5822" s="444">
        <f t="array" ref="J5822">IFERROR(INDEX('Retirement Calculator'!K:K,MATCH('Lorri 401b'!N5822,'Retirement Calculator'!A:A,0),0),0)</f>
        <v>0</v>
      </c>
      <c r="K5822" s="444">
        <f t="shared" ca="1" si="193"/>
        <v>-30240392753060.945</v>
      </c>
      <c r="L5822" s="444">
        <f t="shared" ca="1" si="194"/>
        <v>-7287934653487688</v>
      </c>
      <c r="M5822" s="460">
        <f t="shared" si="196"/>
        <v>0.05</v>
      </c>
      <c r="N5822" s="464">
        <f t="shared" si="197"/>
        <v>228248</v>
      </c>
    </row>
    <row r="5823" spans="7:14" ht="11.25" customHeight="1" x14ac:dyDescent="0.3">
      <c r="G5823" s="459"/>
      <c r="H5823" s="459">
        <v>5816</v>
      </c>
      <c r="I5823" s="444">
        <f t="shared" ca="1" si="195"/>
        <v>-7287934653487688</v>
      </c>
      <c r="J5823" s="444">
        <f t="array" ref="J5823">IFERROR(INDEX('Retirement Calculator'!K:K,MATCH('Lorri 401b'!N5823,'Retirement Calculator'!A:A,0),0),0)</f>
        <v>0</v>
      </c>
      <c r="K5823" s="444">
        <f t="shared" ca="1" si="193"/>
        <v>-30366394389532.031</v>
      </c>
      <c r="L5823" s="444">
        <f t="shared" ca="1" si="194"/>
        <v>-7318301047877220</v>
      </c>
      <c r="M5823" s="460">
        <f t="shared" si="196"/>
        <v>0.05</v>
      </c>
      <c r="N5823" s="464">
        <f t="shared" si="197"/>
        <v>228279</v>
      </c>
    </row>
    <row r="5824" spans="7:14" ht="11.25" customHeight="1" x14ac:dyDescent="0.3">
      <c r="G5824" s="459"/>
      <c r="H5824" s="459">
        <v>5817</v>
      </c>
      <c r="I5824" s="444">
        <f t="shared" ca="1" si="195"/>
        <v>-7318301047877220</v>
      </c>
      <c r="J5824" s="444">
        <f t="array" ref="J5824">IFERROR(INDEX('Retirement Calculator'!K:K,MATCH('Lorri 401b'!N5824,'Retirement Calculator'!A:A,0),0),0)</f>
        <v>0</v>
      </c>
      <c r="K5824" s="444">
        <f t="shared" ca="1" si="193"/>
        <v>-30492921032821.754</v>
      </c>
      <c r="L5824" s="444">
        <f t="shared" ca="1" si="194"/>
        <v>-7348793968910042</v>
      </c>
      <c r="M5824" s="460">
        <f t="shared" si="196"/>
        <v>0.05</v>
      </c>
      <c r="N5824" s="464">
        <f t="shared" si="197"/>
        <v>228310</v>
      </c>
    </row>
    <row r="5825" spans="7:14" ht="11.25" customHeight="1" x14ac:dyDescent="0.3">
      <c r="G5825" s="459"/>
      <c r="H5825" s="459">
        <v>5818</v>
      </c>
      <c r="I5825" s="444">
        <f t="shared" ca="1" si="195"/>
        <v>-7348793968910042</v>
      </c>
      <c r="J5825" s="444">
        <f t="array" ref="J5825">IFERROR(INDEX('Retirement Calculator'!K:K,MATCH('Lorri 401b'!N5825,'Retirement Calculator'!A:A,0),0),0)</f>
        <v>0</v>
      </c>
      <c r="K5825" s="444">
        <f t="shared" ca="1" si="193"/>
        <v>-30619974870458.508</v>
      </c>
      <c r="L5825" s="444">
        <f t="shared" ca="1" si="194"/>
        <v>-7379413943780501</v>
      </c>
      <c r="M5825" s="460">
        <f t="shared" si="196"/>
        <v>0.05</v>
      </c>
      <c r="N5825" s="464">
        <f t="shared" si="197"/>
        <v>228338</v>
      </c>
    </row>
    <row r="5826" spans="7:14" ht="11.25" customHeight="1" x14ac:dyDescent="0.3">
      <c r="G5826" s="459"/>
      <c r="H5826" s="459">
        <v>5819</v>
      </c>
      <c r="I5826" s="444">
        <f t="shared" ca="1" si="195"/>
        <v>-7379413943780501</v>
      </c>
      <c r="J5826" s="444">
        <f t="array" ref="J5826">IFERROR(INDEX('Retirement Calculator'!K:K,MATCH('Lorri 401b'!N5826,'Retirement Calculator'!A:A,0),0),0)</f>
        <v>0</v>
      </c>
      <c r="K5826" s="444">
        <f t="shared" ca="1" si="193"/>
        <v>-30747558099085.422</v>
      </c>
      <c r="L5826" s="444">
        <f t="shared" ca="1" si="194"/>
        <v>-7410161501879586</v>
      </c>
      <c r="M5826" s="460">
        <f t="shared" si="196"/>
        <v>0.05</v>
      </c>
      <c r="N5826" s="464">
        <f t="shared" si="197"/>
        <v>228369</v>
      </c>
    </row>
    <row r="5827" spans="7:14" ht="11.25" customHeight="1" x14ac:dyDescent="0.3">
      <c r="G5827" s="459"/>
      <c r="H5827" s="459">
        <v>5820</v>
      </c>
      <c r="I5827" s="444">
        <f t="shared" ca="1" si="195"/>
        <v>-7410161501879586</v>
      </c>
      <c r="J5827" s="444">
        <f t="array" ref="J5827">IFERROR(INDEX('Retirement Calculator'!K:K,MATCH('Lorri 401b'!N5827,'Retirement Calculator'!A:A,0),0),0)</f>
        <v>0</v>
      </c>
      <c r="K5827" s="444">
        <f t="shared" ca="1" si="193"/>
        <v>-30875672924498.273</v>
      </c>
      <c r="L5827" s="444">
        <f t="shared" ca="1" si="194"/>
        <v>-7441037174804084</v>
      </c>
      <c r="M5827" s="460">
        <f t="shared" si="196"/>
        <v>0.05</v>
      </c>
      <c r="N5827" s="464">
        <f t="shared" si="197"/>
        <v>228399</v>
      </c>
    </row>
    <row r="5828" spans="7:14" ht="11.25" customHeight="1" x14ac:dyDescent="0.3">
      <c r="G5828" s="459"/>
      <c r="H5828" s="459">
        <v>5821</v>
      </c>
      <c r="I5828" s="444">
        <f t="shared" ca="1" si="195"/>
        <v>-7441037174804084</v>
      </c>
      <c r="J5828" s="444">
        <f t="array" ref="J5828">IFERROR(INDEX('Retirement Calculator'!K:K,MATCH('Lorri 401b'!N5828,'Retirement Calculator'!A:A,0),0),0)</f>
        <v>0</v>
      </c>
      <c r="K5828" s="444">
        <f t="shared" ca="1" si="193"/>
        <v>-31004321561683.68</v>
      </c>
      <c r="L5828" s="444">
        <f t="shared" ca="1" si="194"/>
        <v>-7472041496365768</v>
      </c>
      <c r="M5828" s="460">
        <f t="shared" si="196"/>
        <v>0.05</v>
      </c>
      <c r="N5828" s="464">
        <f t="shared" si="197"/>
        <v>228430</v>
      </c>
    </row>
    <row r="5829" spans="7:14" ht="11.25" customHeight="1" x14ac:dyDescent="0.3">
      <c r="G5829" s="459"/>
      <c r="H5829" s="459">
        <v>5822</v>
      </c>
      <c r="I5829" s="444">
        <f t="shared" ca="1" si="195"/>
        <v>-7472041496365768</v>
      </c>
      <c r="J5829" s="444">
        <f t="array" ref="J5829">IFERROR(INDEX('Retirement Calculator'!K:K,MATCH('Lorri 401b'!N5829,'Retirement Calculator'!A:A,0),0),0)</f>
        <v>0</v>
      </c>
      <c r="K5829" s="444">
        <f t="shared" ca="1" si="193"/>
        <v>-31133506234857.367</v>
      </c>
      <c r="L5829" s="444">
        <f t="shared" ca="1" si="194"/>
        <v>-7503175002600625</v>
      </c>
      <c r="M5829" s="460">
        <f t="shared" si="196"/>
        <v>0.05</v>
      </c>
      <c r="N5829" s="464">
        <f t="shared" si="197"/>
        <v>228460</v>
      </c>
    </row>
    <row r="5830" spans="7:14" ht="11.25" customHeight="1" x14ac:dyDescent="0.3">
      <c r="G5830" s="459"/>
      <c r="H5830" s="459">
        <v>5823</v>
      </c>
      <c r="I5830" s="444">
        <f t="shared" ca="1" si="195"/>
        <v>-7503175002600625</v>
      </c>
      <c r="J5830" s="444">
        <f t="array" ref="J5830">IFERROR(INDEX('Retirement Calculator'!K:K,MATCH('Lorri 401b'!N5830,'Retirement Calculator'!A:A,0),0),0)</f>
        <v>0</v>
      </c>
      <c r="K5830" s="444">
        <f t="shared" ca="1" si="193"/>
        <v>-31263229177502.605</v>
      </c>
      <c r="L5830" s="444">
        <f t="shared" ca="1" si="194"/>
        <v>-7534438231778128</v>
      </c>
      <c r="M5830" s="460">
        <f t="shared" si="196"/>
        <v>0.05</v>
      </c>
      <c r="N5830" s="464">
        <f t="shared" si="197"/>
        <v>228491</v>
      </c>
    </row>
    <row r="5831" spans="7:14" ht="11.25" customHeight="1" x14ac:dyDescent="0.3">
      <c r="G5831" s="459"/>
      <c r="H5831" s="459">
        <v>5824</v>
      </c>
      <c r="I5831" s="444">
        <f t="shared" ca="1" si="195"/>
        <v>-7534438231778128</v>
      </c>
      <c r="J5831" s="444">
        <f t="array" ref="J5831">IFERROR(INDEX('Retirement Calculator'!K:K,MATCH('Lorri 401b'!N5831,'Retirement Calculator'!A:A,0),0),0)</f>
        <v>0</v>
      </c>
      <c r="K5831" s="444">
        <f t="shared" ca="1" si="193"/>
        <v>-31393492632408.867</v>
      </c>
      <c r="L5831" s="444">
        <f t="shared" ca="1" si="194"/>
        <v>-7565831724410537</v>
      </c>
      <c r="M5831" s="460">
        <f t="shared" si="196"/>
        <v>0.05</v>
      </c>
      <c r="N5831" s="464">
        <f t="shared" si="197"/>
        <v>228522</v>
      </c>
    </row>
    <row r="5832" spans="7:14" ht="11.25" customHeight="1" x14ac:dyDescent="0.3">
      <c r="G5832" s="459"/>
      <c r="H5832" s="459">
        <v>5825</v>
      </c>
      <c r="I5832" s="444">
        <f t="shared" ca="1" si="195"/>
        <v>-7565831724410537</v>
      </c>
      <c r="J5832" s="444">
        <f t="array" ref="J5832">IFERROR(INDEX('Retirement Calculator'!K:K,MATCH('Lorri 401b'!N5832,'Retirement Calculator'!A:A,0),0),0)</f>
        <v>0</v>
      </c>
      <c r="K5832" s="444">
        <f t="shared" ca="1" si="193"/>
        <v>-31524298851710.57</v>
      </c>
      <c r="L5832" s="444">
        <f t="shared" ca="1" si="194"/>
        <v>-7597356023262248</v>
      </c>
      <c r="M5832" s="460">
        <f t="shared" si="196"/>
        <v>0.05</v>
      </c>
      <c r="N5832" s="464">
        <f t="shared" si="197"/>
        <v>228552</v>
      </c>
    </row>
    <row r="5833" spans="7:14" ht="11.25" customHeight="1" x14ac:dyDescent="0.3">
      <c r="G5833" s="459"/>
      <c r="H5833" s="459">
        <v>5826</v>
      </c>
      <c r="I5833" s="444">
        <f t="shared" ca="1" si="195"/>
        <v>-7597356023262248</v>
      </c>
      <c r="J5833" s="444">
        <f t="array" ref="J5833">IFERROR(INDEX('Retirement Calculator'!K:K,MATCH('Lorri 401b'!N5833,'Retirement Calculator'!A:A,0),0),0)</f>
        <v>0</v>
      </c>
      <c r="K5833" s="444">
        <f t="shared" ca="1" si="193"/>
        <v>-31655650096926.035</v>
      </c>
      <c r="L5833" s="444">
        <f t="shared" ca="1" si="194"/>
        <v>-7629011673359174</v>
      </c>
      <c r="M5833" s="460">
        <f t="shared" si="196"/>
        <v>0.05</v>
      </c>
      <c r="N5833" s="464">
        <f t="shared" si="197"/>
        <v>228583</v>
      </c>
    </row>
    <row r="5834" spans="7:14" ht="11.25" customHeight="1" x14ac:dyDescent="0.3">
      <c r="G5834" s="459"/>
      <c r="H5834" s="459">
        <v>5827</v>
      </c>
      <c r="I5834" s="444">
        <f t="shared" ca="1" si="195"/>
        <v>-7629011673359174</v>
      </c>
      <c r="J5834" s="444">
        <f t="array" ref="J5834">IFERROR(INDEX('Retirement Calculator'!K:K,MATCH('Lorri 401b'!N5834,'Retirement Calculator'!A:A,0),0),0)</f>
        <v>0</v>
      </c>
      <c r="K5834" s="444">
        <f t="shared" ca="1" si="193"/>
        <v>-31787548638996.559</v>
      </c>
      <c r="L5834" s="444">
        <f t="shared" ca="1" si="194"/>
        <v>-7660799221998171</v>
      </c>
      <c r="M5834" s="460">
        <f t="shared" si="196"/>
        <v>0.05</v>
      </c>
      <c r="N5834" s="464">
        <f t="shared" si="197"/>
        <v>228613</v>
      </c>
    </row>
    <row r="5835" spans="7:14" ht="11.25" customHeight="1" x14ac:dyDescent="0.3">
      <c r="G5835" s="459"/>
      <c r="H5835" s="459">
        <v>5828</v>
      </c>
      <c r="I5835" s="444">
        <f t="shared" ca="1" si="195"/>
        <v>-7660799221998171</v>
      </c>
      <c r="J5835" s="444">
        <f t="array" ref="J5835">IFERROR(INDEX('Retirement Calculator'!K:K,MATCH('Lorri 401b'!N5835,'Retirement Calculator'!A:A,0),0),0)</f>
        <v>0</v>
      </c>
      <c r="K5835" s="444">
        <f t="shared" ca="1" si="193"/>
        <v>-31919996758325.711</v>
      </c>
      <c r="L5835" s="444">
        <f t="shared" ca="1" si="194"/>
        <v>-7692719218756497</v>
      </c>
      <c r="M5835" s="460">
        <f t="shared" si="196"/>
        <v>0.05</v>
      </c>
      <c r="N5835" s="464">
        <f t="shared" si="197"/>
        <v>228644</v>
      </c>
    </row>
    <row r="5836" spans="7:14" ht="11.25" customHeight="1" x14ac:dyDescent="0.3">
      <c r="G5836" s="459"/>
      <c r="H5836" s="459">
        <v>5829</v>
      </c>
      <c r="I5836" s="444">
        <f t="shared" ca="1" si="195"/>
        <v>-7692719218756497</v>
      </c>
      <c r="J5836" s="444">
        <f t="array" ref="J5836">IFERROR(INDEX('Retirement Calculator'!K:K,MATCH('Lorri 401b'!N5836,'Retirement Calculator'!A:A,0),0),0)</f>
        <v>0</v>
      </c>
      <c r="K5836" s="444">
        <f t="shared" ca="1" si="193"/>
        <v>-32052996744818.738</v>
      </c>
      <c r="L5836" s="444">
        <f t="shared" ca="1" si="194"/>
        <v>-7724772215501316</v>
      </c>
      <c r="M5836" s="460">
        <f t="shared" si="196"/>
        <v>0.05</v>
      </c>
      <c r="N5836" s="464">
        <f t="shared" si="197"/>
        <v>228675</v>
      </c>
    </row>
    <row r="5837" spans="7:14" ht="11.25" customHeight="1" x14ac:dyDescent="0.3">
      <c r="G5837" s="459"/>
      <c r="H5837" s="459">
        <v>5830</v>
      </c>
      <c r="I5837" s="444">
        <f t="shared" ca="1" si="195"/>
        <v>-7724772215501316</v>
      </c>
      <c r="J5837" s="444">
        <f t="array" ref="J5837">IFERROR(INDEX('Retirement Calculator'!K:K,MATCH('Lorri 401b'!N5837,'Retirement Calculator'!A:A,0),0),0)</f>
        <v>0</v>
      </c>
      <c r="K5837" s="444">
        <f t="shared" ca="1" si="193"/>
        <v>-32186550897922.145</v>
      </c>
      <c r="L5837" s="444">
        <f t="shared" ca="1" si="194"/>
        <v>-7756958766399238</v>
      </c>
      <c r="M5837" s="460">
        <f t="shared" si="196"/>
        <v>0.05</v>
      </c>
      <c r="N5837" s="464">
        <f t="shared" si="197"/>
        <v>228703</v>
      </c>
    </row>
    <row r="5838" spans="7:14" ht="11.25" customHeight="1" x14ac:dyDescent="0.3">
      <c r="G5838" s="459"/>
      <c r="H5838" s="459">
        <v>5831</v>
      </c>
      <c r="I5838" s="444">
        <f t="shared" ca="1" si="195"/>
        <v>-7756958766399238</v>
      </c>
      <c r="J5838" s="444">
        <f t="array" ref="J5838">IFERROR(INDEX('Retirement Calculator'!K:K,MATCH('Lorri 401b'!N5838,'Retirement Calculator'!A:A,0),0),0)</f>
        <v>0</v>
      </c>
      <c r="K5838" s="444">
        <f t="shared" ca="1" si="193"/>
        <v>-32320661526663.492</v>
      </c>
      <c r="L5838" s="444">
        <f t="shared" ca="1" si="194"/>
        <v>-7789279427925901</v>
      </c>
      <c r="M5838" s="460">
        <f t="shared" si="196"/>
        <v>0.05</v>
      </c>
      <c r="N5838" s="464">
        <f t="shared" si="197"/>
        <v>228734</v>
      </c>
    </row>
    <row r="5839" spans="7:14" ht="11.25" customHeight="1" x14ac:dyDescent="0.3">
      <c r="G5839" s="459"/>
      <c r="H5839" s="459">
        <v>5832</v>
      </c>
      <c r="I5839" s="444">
        <f t="shared" ca="1" si="195"/>
        <v>-7789279427925901</v>
      </c>
      <c r="J5839" s="444">
        <f t="array" ref="J5839">IFERROR(INDEX('Retirement Calculator'!K:K,MATCH('Lorri 401b'!N5839,'Retirement Calculator'!A:A,0),0),0)</f>
        <v>0</v>
      </c>
      <c r="K5839" s="444">
        <f t="shared" ca="1" si="193"/>
        <v>-32455330949691.254</v>
      </c>
      <c r="L5839" s="444">
        <f t="shared" ca="1" si="194"/>
        <v>-7821734758875592</v>
      </c>
      <c r="M5839" s="460">
        <f t="shared" si="196"/>
        <v>0.05</v>
      </c>
      <c r="N5839" s="464">
        <f t="shared" si="197"/>
        <v>228764</v>
      </c>
    </row>
    <row r="5840" spans="7:14" ht="11.25" customHeight="1" x14ac:dyDescent="0.3">
      <c r="G5840" s="459"/>
      <c r="H5840" s="459">
        <v>5833</v>
      </c>
      <c r="I5840" s="444">
        <f t="shared" ca="1" si="195"/>
        <v>-7821734758875592</v>
      </c>
      <c r="J5840" s="444">
        <f t="array" ref="J5840">IFERROR(INDEX('Retirement Calculator'!K:K,MATCH('Lorri 401b'!N5840,'Retirement Calculator'!A:A,0),0),0)</f>
        <v>0</v>
      </c>
      <c r="K5840" s="444">
        <f t="shared" ca="1" si="193"/>
        <v>-32590561495314.965</v>
      </c>
      <c r="L5840" s="444">
        <f t="shared" ca="1" si="194"/>
        <v>-7854325320370907</v>
      </c>
      <c r="M5840" s="460">
        <f t="shared" si="196"/>
        <v>0.05</v>
      </c>
      <c r="N5840" s="464">
        <f t="shared" si="197"/>
        <v>228795</v>
      </c>
    </row>
    <row r="5841" spans="7:14" ht="11.25" customHeight="1" x14ac:dyDescent="0.3">
      <c r="G5841" s="459"/>
      <c r="H5841" s="459">
        <v>5834</v>
      </c>
      <c r="I5841" s="444">
        <f t="shared" ca="1" si="195"/>
        <v>-7854325320370907</v>
      </c>
      <c r="J5841" s="444">
        <f t="array" ref="J5841">IFERROR(INDEX('Retirement Calculator'!K:K,MATCH('Lorri 401b'!N5841,'Retirement Calculator'!A:A,0),0),0)</f>
        <v>0</v>
      </c>
      <c r="K5841" s="444">
        <f t="shared" ca="1" si="193"/>
        <v>-32726355501545.445</v>
      </c>
      <c r="L5841" s="444">
        <f t="shared" ca="1" si="194"/>
        <v>-7887051675872452</v>
      </c>
      <c r="M5841" s="460">
        <f t="shared" si="196"/>
        <v>0.05</v>
      </c>
      <c r="N5841" s="464">
        <f t="shared" si="197"/>
        <v>228825</v>
      </c>
    </row>
    <row r="5842" spans="7:14" ht="11.25" customHeight="1" x14ac:dyDescent="0.3">
      <c r="G5842" s="459"/>
      <c r="H5842" s="459">
        <v>5835</v>
      </c>
      <c r="I5842" s="444">
        <f t="shared" ca="1" si="195"/>
        <v>-7887051675872452</v>
      </c>
      <c r="J5842" s="444">
        <f t="array" ref="J5842">IFERROR(INDEX('Retirement Calculator'!K:K,MATCH('Lorri 401b'!N5842,'Retirement Calculator'!A:A,0),0),0)</f>
        <v>0</v>
      </c>
      <c r="K5842" s="444">
        <f t="shared" ca="1" si="193"/>
        <v>-32862715316135.219</v>
      </c>
      <c r="L5842" s="444">
        <f t="shared" ca="1" si="194"/>
        <v>-7919914391188587</v>
      </c>
      <c r="M5842" s="460">
        <f t="shared" si="196"/>
        <v>0.05</v>
      </c>
      <c r="N5842" s="464">
        <f t="shared" si="197"/>
        <v>228856</v>
      </c>
    </row>
    <row r="5843" spans="7:14" ht="11.25" customHeight="1" x14ac:dyDescent="0.3">
      <c r="G5843" s="459"/>
      <c r="H5843" s="459">
        <v>5836</v>
      </c>
      <c r="I5843" s="444">
        <f t="shared" ca="1" si="195"/>
        <v>-7919914391188587</v>
      </c>
      <c r="J5843" s="444">
        <f t="array" ref="J5843">IFERROR(INDEX('Retirement Calculator'!K:K,MATCH('Lorri 401b'!N5843,'Retirement Calculator'!A:A,0),0),0)</f>
        <v>0</v>
      </c>
      <c r="K5843" s="444">
        <f t="shared" ca="1" si="193"/>
        <v>-32999643296619.113</v>
      </c>
      <c r="L5843" s="444">
        <f t="shared" ca="1" si="194"/>
        <v>-7952914034485206</v>
      </c>
      <c r="M5843" s="460">
        <f t="shared" si="196"/>
        <v>0.05</v>
      </c>
      <c r="N5843" s="464">
        <f t="shared" si="197"/>
        <v>228887</v>
      </c>
    </row>
    <row r="5844" spans="7:14" ht="11.25" customHeight="1" x14ac:dyDescent="0.3">
      <c r="G5844" s="459"/>
      <c r="H5844" s="459">
        <v>5837</v>
      </c>
      <c r="I5844" s="444">
        <f t="shared" ca="1" si="195"/>
        <v>-7952914034485206</v>
      </c>
      <c r="J5844" s="444">
        <f t="array" ref="J5844">IFERROR(INDEX('Retirement Calculator'!K:K,MATCH('Lorri 401b'!N5844,'Retirement Calculator'!A:A,0),0),0)</f>
        <v>0</v>
      </c>
      <c r="K5844" s="444">
        <f t="shared" ca="1" si="193"/>
        <v>-33137141810355.023</v>
      </c>
      <c r="L5844" s="444">
        <f t="shared" ca="1" si="194"/>
        <v>-7986051176295561</v>
      </c>
      <c r="M5844" s="460">
        <f t="shared" si="196"/>
        <v>0.05</v>
      </c>
      <c r="N5844" s="464">
        <f t="shared" si="197"/>
        <v>228917</v>
      </c>
    </row>
    <row r="5845" spans="7:14" ht="11.25" customHeight="1" x14ac:dyDescent="0.3">
      <c r="G5845" s="459"/>
      <c r="H5845" s="459">
        <v>5838</v>
      </c>
      <c r="I5845" s="444">
        <f t="shared" ca="1" si="195"/>
        <v>-7986051176295561</v>
      </c>
      <c r="J5845" s="444">
        <f t="array" ref="J5845">IFERROR(INDEX('Retirement Calculator'!K:K,MATCH('Lorri 401b'!N5845,'Retirement Calculator'!A:A,0),0),0)</f>
        <v>0</v>
      </c>
      <c r="K5845" s="444">
        <f t="shared" ca="1" si="193"/>
        <v>-33275213234564.84</v>
      </c>
      <c r="L5845" s="444">
        <f t="shared" ca="1" si="194"/>
        <v>-8019326389530126</v>
      </c>
      <c r="M5845" s="460">
        <f t="shared" si="196"/>
        <v>0.05</v>
      </c>
      <c r="N5845" s="464">
        <f t="shared" si="197"/>
        <v>228948</v>
      </c>
    </row>
    <row r="5846" spans="7:14" ht="11.25" customHeight="1" x14ac:dyDescent="0.3">
      <c r="G5846" s="459"/>
      <c r="H5846" s="459">
        <v>5839</v>
      </c>
      <c r="I5846" s="444">
        <f t="shared" ca="1" si="195"/>
        <v>-8019326389530126</v>
      </c>
      <c r="J5846" s="444">
        <f t="array" ref="J5846">IFERROR(INDEX('Retirement Calculator'!K:K,MATCH('Lorri 401b'!N5846,'Retirement Calculator'!A:A,0),0),0)</f>
        <v>0</v>
      </c>
      <c r="K5846" s="444">
        <f t="shared" ca="1" si="193"/>
        <v>-33413859956375.523</v>
      </c>
      <c r="L5846" s="444">
        <f t="shared" ca="1" si="194"/>
        <v>-8052740249486502</v>
      </c>
      <c r="M5846" s="460">
        <f t="shared" si="196"/>
        <v>0.05</v>
      </c>
      <c r="N5846" s="464">
        <f t="shared" si="197"/>
        <v>228978</v>
      </c>
    </row>
    <row r="5847" spans="7:14" ht="11.25" customHeight="1" x14ac:dyDescent="0.3">
      <c r="G5847" s="459"/>
      <c r="H5847" s="459">
        <v>5840</v>
      </c>
      <c r="I5847" s="444">
        <f t="shared" ca="1" si="195"/>
        <v>-8052740249486502</v>
      </c>
      <c r="J5847" s="444">
        <f t="array" ref="J5847">IFERROR(INDEX('Retirement Calculator'!K:K,MATCH('Lorri 401b'!N5847,'Retirement Calculator'!A:A,0),0),0)</f>
        <v>0</v>
      </c>
      <c r="K5847" s="444">
        <f t="shared" ca="1" si="193"/>
        <v>-33553084372860.426</v>
      </c>
      <c r="L5847" s="444">
        <f t="shared" ca="1" si="194"/>
        <v>-8086293333859362</v>
      </c>
      <c r="M5847" s="460">
        <f t="shared" si="196"/>
        <v>0.05</v>
      </c>
      <c r="N5847" s="464">
        <f t="shared" si="197"/>
        <v>229009</v>
      </c>
    </row>
    <row r="5848" spans="7:14" ht="11.25" customHeight="1" x14ac:dyDescent="0.3">
      <c r="G5848" s="459"/>
      <c r="H5848" s="459">
        <v>5841</v>
      </c>
      <c r="I5848" s="444">
        <f t="shared" ca="1" si="195"/>
        <v>-8086293333859362</v>
      </c>
      <c r="J5848" s="444">
        <f t="array" ref="J5848">IFERROR(INDEX('Retirement Calculator'!K:K,MATCH('Lorri 401b'!N5848,'Retirement Calculator'!A:A,0),0),0)</f>
        <v>0</v>
      </c>
      <c r="K5848" s="444">
        <f t="shared" ca="1" si="193"/>
        <v>-33692888891080.68</v>
      </c>
      <c r="L5848" s="444">
        <f t="shared" ca="1" si="194"/>
        <v>-8119986222750443</v>
      </c>
      <c r="M5848" s="460">
        <f t="shared" si="196"/>
        <v>0.05</v>
      </c>
      <c r="N5848" s="464">
        <f t="shared" si="197"/>
        <v>229040</v>
      </c>
    </row>
    <row r="5849" spans="7:14" ht="11.25" customHeight="1" x14ac:dyDescent="0.3">
      <c r="G5849" s="459"/>
      <c r="H5849" s="459">
        <v>5842</v>
      </c>
      <c r="I5849" s="444">
        <f t="shared" ca="1" si="195"/>
        <v>-8119986222750443</v>
      </c>
      <c r="J5849" s="444">
        <f t="array" ref="J5849">IFERROR(INDEX('Retirement Calculator'!K:K,MATCH('Lorri 401b'!N5849,'Retirement Calculator'!A:A,0),0),0)</f>
        <v>0</v>
      </c>
      <c r="K5849" s="444">
        <f t="shared" ca="1" si="193"/>
        <v>-33833275928126.844</v>
      </c>
      <c r="L5849" s="444">
        <f t="shared" ca="1" si="194"/>
        <v>-8153819498678570</v>
      </c>
      <c r="M5849" s="460">
        <f t="shared" si="196"/>
        <v>0.05</v>
      </c>
      <c r="N5849" s="464">
        <f t="shared" si="197"/>
        <v>229068</v>
      </c>
    </row>
    <row r="5850" spans="7:14" ht="11.25" customHeight="1" x14ac:dyDescent="0.3">
      <c r="G5850" s="459"/>
      <c r="H5850" s="459">
        <v>5843</v>
      </c>
      <c r="I5850" s="444">
        <f t="shared" ca="1" si="195"/>
        <v>-8153819498678570</v>
      </c>
      <c r="J5850" s="444">
        <f t="array" ref="J5850">IFERROR(INDEX('Retirement Calculator'!K:K,MATCH('Lorri 401b'!N5850,'Retirement Calculator'!A:A,0),0),0)</f>
        <v>0</v>
      </c>
      <c r="K5850" s="444">
        <f t="shared" ca="1" si="193"/>
        <v>-33974247911160.707</v>
      </c>
      <c r="L5850" s="444">
        <f t="shared" ca="1" si="194"/>
        <v>-8187793746589731</v>
      </c>
      <c r="M5850" s="460">
        <f t="shared" si="196"/>
        <v>0.05</v>
      </c>
      <c r="N5850" s="464">
        <f t="shared" si="197"/>
        <v>229099</v>
      </c>
    </row>
    <row r="5851" spans="7:14" ht="11.25" customHeight="1" x14ac:dyDescent="0.3">
      <c r="G5851" s="459"/>
      <c r="H5851" s="459">
        <v>5844</v>
      </c>
      <c r="I5851" s="444">
        <f t="shared" ca="1" si="195"/>
        <v>-8187793746589731</v>
      </c>
      <c r="J5851" s="444">
        <f t="array" ref="J5851">IFERROR(INDEX('Retirement Calculator'!K:K,MATCH('Lorri 401b'!N5851,'Retirement Calculator'!A:A,0),0),0)</f>
        <v>0</v>
      </c>
      <c r="K5851" s="444">
        <f t="shared" ca="1" si="193"/>
        <v>-34115807277457.211</v>
      </c>
      <c r="L5851" s="444">
        <f t="shared" ca="1" si="194"/>
        <v>-8221909553867188</v>
      </c>
      <c r="M5851" s="460">
        <f t="shared" si="196"/>
        <v>0.05</v>
      </c>
      <c r="N5851" s="464">
        <f t="shared" si="197"/>
        <v>229129</v>
      </c>
    </row>
    <row r="5852" spans="7:14" ht="11.25" customHeight="1" x14ac:dyDescent="0.3">
      <c r="G5852" s="459"/>
      <c r="H5852" s="459">
        <v>5845</v>
      </c>
      <c r="I5852" s="444">
        <f t="shared" ca="1" si="195"/>
        <v>-8221909553867188</v>
      </c>
      <c r="J5852" s="444">
        <f t="array" ref="J5852">IFERROR(INDEX('Retirement Calculator'!K:K,MATCH('Lorri 401b'!N5852,'Retirement Calculator'!A:A,0),0),0)</f>
        <v>0</v>
      </c>
      <c r="K5852" s="444">
        <f t="shared" ca="1" si="193"/>
        <v>-34257956474446.617</v>
      </c>
      <c r="L5852" s="444">
        <f t="shared" ca="1" si="194"/>
        <v>-8256167510341635</v>
      </c>
      <c r="M5852" s="460">
        <f t="shared" si="196"/>
        <v>0.05</v>
      </c>
      <c r="N5852" s="464">
        <f t="shared" si="197"/>
        <v>229160</v>
      </c>
    </row>
    <row r="5853" spans="7:14" ht="11.25" customHeight="1" x14ac:dyDescent="0.3">
      <c r="G5853" s="459"/>
      <c r="H5853" s="459">
        <v>5846</v>
      </c>
      <c r="I5853" s="444">
        <f t="shared" ca="1" si="195"/>
        <v>-8256167510341635</v>
      </c>
      <c r="J5853" s="444">
        <f t="array" ref="J5853">IFERROR(INDEX('Retirement Calculator'!K:K,MATCH('Lorri 401b'!N5853,'Retirement Calculator'!A:A,0),0),0)</f>
        <v>0</v>
      </c>
      <c r="K5853" s="444">
        <f t="shared" ca="1" si="193"/>
        <v>-34400697959756.809</v>
      </c>
      <c r="L5853" s="444">
        <f t="shared" ca="1" si="194"/>
        <v>-8290568208301392</v>
      </c>
      <c r="M5853" s="460">
        <f t="shared" si="196"/>
        <v>0.05</v>
      </c>
      <c r="N5853" s="464">
        <f t="shared" si="197"/>
        <v>229190</v>
      </c>
    </row>
    <row r="5854" spans="7:14" ht="11.25" customHeight="1" x14ac:dyDescent="0.3">
      <c r="G5854" s="459"/>
      <c r="H5854" s="459">
        <v>5847</v>
      </c>
      <c r="I5854" s="444">
        <f t="shared" ca="1" si="195"/>
        <v>-8290568208301392</v>
      </c>
      <c r="J5854" s="444">
        <f t="array" ref="J5854">IFERROR(INDEX('Retirement Calculator'!K:K,MATCH('Lorri 401b'!N5854,'Retirement Calculator'!A:A,0),0),0)</f>
        <v>0</v>
      </c>
      <c r="K5854" s="444">
        <f t="shared" ca="1" si="193"/>
        <v>-34544034201255.801</v>
      </c>
      <c r="L5854" s="444">
        <f t="shared" ca="1" si="194"/>
        <v>-8325112242502648</v>
      </c>
      <c r="M5854" s="460">
        <f t="shared" si="196"/>
        <v>0.05</v>
      </c>
      <c r="N5854" s="464">
        <f t="shared" si="197"/>
        <v>229221</v>
      </c>
    </row>
    <row r="5855" spans="7:14" ht="11.25" customHeight="1" x14ac:dyDescent="0.3">
      <c r="G5855" s="459"/>
      <c r="H5855" s="459">
        <v>5848</v>
      </c>
      <c r="I5855" s="444">
        <f t="shared" ca="1" si="195"/>
        <v>-8325112242502648</v>
      </c>
      <c r="J5855" s="444">
        <f t="array" ref="J5855">IFERROR(INDEX('Retirement Calculator'!K:K,MATCH('Lorri 401b'!N5855,'Retirement Calculator'!A:A,0),0),0)</f>
        <v>0</v>
      </c>
      <c r="K5855" s="444">
        <f t="shared" ca="1" si="193"/>
        <v>-34687967677094.363</v>
      </c>
      <c r="L5855" s="444">
        <f t="shared" ca="1" si="194"/>
        <v>-8359800210179742</v>
      </c>
      <c r="M5855" s="460">
        <f t="shared" si="196"/>
        <v>0.05</v>
      </c>
      <c r="N5855" s="464">
        <f t="shared" si="197"/>
        <v>229252</v>
      </c>
    </row>
    <row r="5856" spans="7:14" ht="11.25" customHeight="1" x14ac:dyDescent="0.3">
      <c r="G5856" s="459"/>
      <c r="H5856" s="459">
        <v>5849</v>
      </c>
      <c r="I5856" s="444">
        <f t="shared" ca="1" si="195"/>
        <v>-8359800210179742</v>
      </c>
      <c r="J5856" s="444">
        <f t="array" ref="J5856">IFERROR(INDEX('Retirement Calculator'!K:K,MATCH('Lorri 401b'!N5856,'Retirement Calculator'!A:A,0),0),0)</f>
        <v>0</v>
      </c>
      <c r="K5856" s="444">
        <f t="shared" ca="1" si="193"/>
        <v>-34832500875748.93</v>
      </c>
      <c r="L5856" s="444">
        <f t="shared" ca="1" si="194"/>
        <v>-8394632711055491</v>
      </c>
      <c r="M5856" s="460">
        <f t="shared" si="196"/>
        <v>0.05</v>
      </c>
      <c r="N5856" s="464">
        <f t="shared" si="197"/>
        <v>229282</v>
      </c>
    </row>
    <row r="5857" spans="7:14" ht="11.25" customHeight="1" x14ac:dyDescent="0.3">
      <c r="G5857" s="459"/>
      <c r="H5857" s="459">
        <v>5850</v>
      </c>
      <c r="I5857" s="444">
        <f t="shared" ca="1" si="195"/>
        <v>-8394632711055491</v>
      </c>
      <c r="J5857" s="444">
        <f t="array" ref="J5857">IFERROR(INDEX('Retirement Calculator'!K:K,MATCH('Lorri 401b'!N5857,'Retirement Calculator'!A:A,0),0),0)</f>
        <v>0</v>
      </c>
      <c r="K5857" s="444">
        <f t="shared" ca="1" si="193"/>
        <v>-34977636296064.543</v>
      </c>
      <c r="L5857" s="444">
        <f t="shared" ca="1" si="194"/>
        <v>-8429610347351556</v>
      </c>
      <c r="M5857" s="460">
        <f t="shared" si="196"/>
        <v>0.05</v>
      </c>
      <c r="N5857" s="464">
        <f t="shared" si="197"/>
        <v>229313</v>
      </c>
    </row>
    <row r="5858" spans="7:14" ht="11.25" customHeight="1" x14ac:dyDescent="0.3">
      <c r="G5858" s="459"/>
      <c r="H5858" s="459">
        <v>5851</v>
      </c>
      <c r="I5858" s="444">
        <f t="shared" ca="1" si="195"/>
        <v>-8429610347351556</v>
      </c>
      <c r="J5858" s="444">
        <f t="array" ref="J5858">IFERROR(INDEX('Retirement Calculator'!K:K,MATCH('Lorri 401b'!N5858,'Retirement Calculator'!A:A,0),0),0)</f>
        <v>0</v>
      </c>
      <c r="K5858" s="444">
        <f t="shared" ca="1" si="193"/>
        <v>-35123376447298.148</v>
      </c>
      <c r="L5858" s="444">
        <f t="shared" ca="1" si="194"/>
        <v>-8464733723798854</v>
      </c>
      <c r="M5858" s="460">
        <f t="shared" si="196"/>
        <v>0.05</v>
      </c>
      <c r="N5858" s="464">
        <f t="shared" si="197"/>
        <v>229343</v>
      </c>
    </row>
    <row r="5859" spans="7:14" ht="11.25" customHeight="1" x14ac:dyDescent="0.3">
      <c r="G5859" s="459"/>
      <c r="H5859" s="459">
        <v>5852</v>
      </c>
      <c r="I5859" s="444">
        <f t="shared" ca="1" si="195"/>
        <v>-8464733723798854</v>
      </c>
      <c r="J5859" s="444">
        <f t="array" ref="J5859">IFERROR(INDEX('Retirement Calculator'!K:K,MATCH('Lorri 401b'!N5859,'Retirement Calculator'!A:A,0),0),0)</f>
        <v>0</v>
      </c>
      <c r="K5859" s="444">
        <f t="shared" ca="1" si="193"/>
        <v>-35269723849161.898</v>
      </c>
      <c r="L5859" s="444">
        <f t="shared" ca="1" si="194"/>
        <v>-8500003447648016</v>
      </c>
      <c r="M5859" s="460">
        <f t="shared" si="196"/>
        <v>0.05</v>
      </c>
      <c r="N5859" s="464">
        <f t="shared" si="197"/>
        <v>229374</v>
      </c>
    </row>
    <row r="5860" spans="7:14" ht="11.25" customHeight="1" x14ac:dyDescent="0.3">
      <c r="G5860" s="459"/>
      <c r="H5860" s="459">
        <v>5853</v>
      </c>
      <c r="I5860" s="444">
        <f t="shared" ca="1" si="195"/>
        <v>-8500003447648016</v>
      </c>
      <c r="J5860" s="444">
        <f t="array" ref="J5860">IFERROR(INDEX('Retirement Calculator'!K:K,MATCH('Lorri 401b'!N5860,'Retirement Calculator'!A:A,0),0),0)</f>
        <v>0</v>
      </c>
      <c r="K5860" s="444">
        <f t="shared" ca="1" si="193"/>
        <v>-35416681031866.734</v>
      </c>
      <c r="L5860" s="444">
        <f t="shared" ca="1" si="194"/>
        <v>-8535420128679883</v>
      </c>
      <c r="M5860" s="460">
        <f t="shared" si="196"/>
        <v>0.05</v>
      </c>
      <c r="N5860" s="464">
        <f t="shared" si="197"/>
        <v>229405</v>
      </c>
    </row>
    <row r="5861" spans="7:14" ht="11.25" customHeight="1" x14ac:dyDescent="0.3">
      <c r="G5861" s="459"/>
      <c r="H5861" s="459">
        <v>5854</v>
      </c>
      <c r="I5861" s="444">
        <f t="shared" ca="1" si="195"/>
        <v>-8535420128679883</v>
      </c>
      <c r="J5861" s="444">
        <f t="array" ref="J5861">IFERROR(INDEX('Retirement Calculator'!K:K,MATCH('Lorri 401b'!N5861,'Retirement Calculator'!A:A,0),0),0)</f>
        <v>0</v>
      </c>
      <c r="K5861" s="444">
        <f t="shared" ca="1" si="193"/>
        <v>-35564250536166.172</v>
      </c>
      <c r="L5861" s="444">
        <f t="shared" ca="1" si="194"/>
        <v>-8570984379216049</v>
      </c>
      <c r="M5861" s="460">
        <f t="shared" si="196"/>
        <v>0.05</v>
      </c>
      <c r="N5861" s="464">
        <f t="shared" si="197"/>
        <v>229434</v>
      </c>
    </row>
    <row r="5862" spans="7:14" ht="11.25" customHeight="1" x14ac:dyDescent="0.3">
      <c r="G5862" s="459"/>
      <c r="H5862" s="459">
        <v>5855</v>
      </c>
      <c r="I5862" s="444">
        <f t="shared" ca="1" si="195"/>
        <v>-8570984379216049</v>
      </c>
      <c r="J5862" s="444">
        <f t="array" ref="J5862">IFERROR(INDEX('Retirement Calculator'!K:K,MATCH('Lorri 401b'!N5862,'Retirement Calculator'!A:A,0),0),0)</f>
        <v>0</v>
      </c>
      <c r="K5862" s="444">
        <f t="shared" ca="1" si="193"/>
        <v>-35712434913400.203</v>
      </c>
      <c r="L5862" s="444">
        <f t="shared" ca="1" si="194"/>
        <v>-8606696814129449</v>
      </c>
      <c r="M5862" s="460">
        <f t="shared" si="196"/>
        <v>0.05</v>
      </c>
      <c r="N5862" s="464">
        <f t="shared" si="197"/>
        <v>229465</v>
      </c>
    </row>
    <row r="5863" spans="7:14" ht="11.25" customHeight="1" x14ac:dyDescent="0.3">
      <c r="G5863" s="459"/>
      <c r="H5863" s="459">
        <v>5856</v>
      </c>
      <c r="I5863" s="444">
        <f t="shared" ca="1" si="195"/>
        <v>-8606696814129449</v>
      </c>
      <c r="J5863" s="444">
        <f t="array" ref="J5863">IFERROR(INDEX('Retirement Calculator'!K:K,MATCH('Lorri 401b'!N5863,'Retirement Calculator'!A:A,0),0),0)</f>
        <v>0</v>
      </c>
      <c r="K5863" s="444">
        <f t="shared" ca="1" si="193"/>
        <v>-35861236725539.375</v>
      </c>
      <c r="L5863" s="444">
        <f t="shared" ca="1" si="194"/>
        <v>-8642558050854988</v>
      </c>
      <c r="M5863" s="460">
        <f t="shared" si="196"/>
        <v>0.05</v>
      </c>
      <c r="N5863" s="464">
        <f t="shared" si="197"/>
        <v>229495</v>
      </c>
    </row>
    <row r="5864" spans="7:14" ht="11.25" customHeight="1" x14ac:dyDescent="0.3">
      <c r="G5864" s="459"/>
      <c r="H5864" s="459">
        <v>5857</v>
      </c>
      <c r="I5864" s="444">
        <f t="shared" ca="1" si="195"/>
        <v>-8642558050854988</v>
      </c>
      <c r="J5864" s="444">
        <f t="array" ref="J5864">IFERROR(INDEX('Retirement Calculator'!K:K,MATCH('Lorri 401b'!N5864,'Retirement Calculator'!A:A,0),0),0)</f>
        <v>0</v>
      </c>
      <c r="K5864" s="444">
        <f t="shared" ca="1" si="193"/>
        <v>-36010658545229.117</v>
      </c>
      <c r="L5864" s="444">
        <f t="shared" ca="1" si="194"/>
        <v>-8678568709400217</v>
      </c>
      <c r="M5864" s="460">
        <f t="shared" si="196"/>
        <v>0.05</v>
      </c>
      <c r="N5864" s="464">
        <f t="shared" si="197"/>
        <v>229526</v>
      </c>
    </row>
    <row r="5865" spans="7:14" ht="11.25" customHeight="1" x14ac:dyDescent="0.3">
      <c r="G5865" s="459"/>
      <c r="H5865" s="459">
        <v>5858</v>
      </c>
      <c r="I5865" s="444">
        <f t="shared" ca="1" si="195"/>
        <v>-8678568709400217</v>
      </c>
      <c r="J5865" s="444">
        <f t="array" ref="J5865">IFERROR(INDEX('Retirement Calculator'!K:K,MATCH('Lorri 401b'!N5865,'Retirement Calculator'!A:A,0),0),0)</f>
        <v>0</v>
      </c>
      <c r="K5865" s="444">
        <f t="shared" ca="1" si="193"/>
        <v>-36160702955834.234</v>
      </c>
      <c r="L5865" s="444">
        <f t="shared" ca="1" si="194"/>
        <v>-8714729412356051</v>
      </c>
      <c r="M5865" s="460">
        <f t="shared" si="196"/>
        <v>0.05</v>
      </c>
      <c r="N5865" s="464">
        <f t="shared" si="197"/>
        <v>229556</v>
      </c>
    </row>
    <row r="5866" spans="7:14" ht="11.25" customHeight="1" x14ac:dyDescent="0.3">
      <c r="G5866" s="459"/>
      <c r="H5866" s="459">
        <v>5859</v>
      </c>
      <c r="I5866" s="444">
        <f t="shared" ca="1" si="195"/>
        <v>-8714729412356051</v>
      </c>
      <c r="J5866" s="444">
        <f t="array" ref="J5866">IFERROR(INDEX('Retirement Calculator'!K:K,MATCH('Lorri 401b'!N5866,'Retirement Calculator'!A:A,0),0),0)</f>
        <v>0</v>
      </c>
      <c r="K5866" s="444">
        <f t="shared" ca="1" si="193"/>
        <v>-36311372551483.547</v>
      </c>
      <c r="L5866" s="444">
        <f t="shared" ca="1" si="194"/>
        <v>-8751040784907535</v>
      </c>
      <c r="M5866" s="460">
        <f t="shared" si="196"/>
        <v>0.05</v>
      </c>
      <c r="N5866" s="464">
        <f t="shared" si="197"/>
        <v>229587</v>
      </c>
    </row>
    <row r="5867" spans="7:14" ht="11.25" customHeight="1" x14ac:dyDescent="0.3">
      <c r="G5867" s="459"/>
      <c r="H5867" s="459">
        <v>5860</v>
      </c>
      <c r="I5867" s="444">
        <f t="shared" ca="1" si="195"/>
        <v>-8751040784907535</v>
      </c>
      <c r="J5867" s="444">
        <f t="array" ref="J5867">IFERROR(INDEX('Retirement Calculator'!K:K,MATCH('Lorri 401b'!N5867,'Retirement Calculator'!A:A,0),0),0)</f>
        <v>0</v>
      </c>
      <c r="K5867" s="444">
        <f t="shared" ca="1" si="193"/>
        <v>-36462669937114.727</v>
      </c>
      <c r="L5867" s="444">
        <f t="shared" ca="1" si="194"/>
        <v>-8787503454844650</v>
      </c>
      <c r="M5867" s="460">
        <f t="shared" si="196"/>
        <v>0.05</v>
      </c>
      <c r="N5867" s="464">
        <f t="shared" si="197"/>
        <v>229618</v>
      </c>
    </row>
    <row r="5868" spans="7:14" ht="11.25" customHeight="1" x14ac:dyDescent="0.3">
      <c r="G5868" s="459"/>
      <c r="H5868" s="459">
        <v>5861</v>
      </c>
      <c r="I5868" s="444">
        <f t="shared" ca="1" si="195"/>
        <v>-8787503454844650</v>
      </c>
      <c r="J5868" s="444">
        <f t="array" ref="J5868">IFERROR(INDEX('Retirement Calculator'!K:K,MATCH('Lorri 401b'!N5868,'Retirement Calculator'!A:A,0),0),0)</f>
        <v>0</v>
      </c>
      <c r="K5868" s="444">
        <f t="shared" ca="1" si="193"/>
        <v>-36614597728519.375</v>
      </c>
      <c r="L5868" s="444">
        <f t="shared" ca="1" si="194"/>
        <v>-8824118052573169</v>
      </c>
      <c r="M5868" s="460">
        <f t="shared" si="196"/>
        <v>0.05</v>
      </c>
      <c r="N5868" s="464">
        <f t="shared" si="197"/>
        <v>229648</v>
      </c>
    </row>
    <row r="5869" spans="7:14" ht="11.25" customHeight="1" x14ac:dyDescent="0.3">
      <c r="G5869" s="459"/>
      <c r="H5869" s="459">
        <v>5862</v>
      </c>
      <c r="I5869" s="444">
        <f t="shared" ca="1" si="195"/>
        <v>-8824118052573169</v>
      </c>
      <c r="J5869" s="444">
        <f t="array" ref="J5869">IFERROR(INDEX('Retirement Calculator'!K:K,MATCH('Lorri 401b'!N5869,'Retirement Calculator'!A:A,0),0),0)</f>
        <v>0</v>
      </c>
      <c r="K5869" s="444">
        <f t="shared" ca="1" si="193"/>
        <v>-36767158552388.203</v>
      </c>
      <c r="L5869" s="444">
        <f t="shared" ca="1" si="194"/>
        <v>-8860885211125557</v>
      </c>
      <c r="M5869" s="460">
        <f t="shared" si="196"/>
        <v>0.05</v>
      </c>
      <c r="N5869" s="464">
        <f t="shared" si="197"/>
        <v>229679</v>
      </c>
    </row>
    <row r="5870" spans="7:14" ht="11.25" customHeight="1" x14ac:dyDescent="0.3">
      <c r="G5870" s="459"/>
      <c r="H5870" s="459">
        <v>5863</v>
      </c>
      <c r="I5870" s="444">
        <f t="shared" ca="1" si="195"/>
        <v>-8860885211125557</v>
      </c>
      <c r="J5870" s="444">
        <f t="array" ref="J5870">IFERROR(INDEX('Retirement Calculator'!K:K,MATCH('Lorri 401b'!N5870,'Retirement Calculator'!A:A,0),0),0)</f>
        <v>0</v>
      </c>
      <c r="K5870" s="444">
        <f t="shared" ca="1" si="193"/>
        <v>-36920355046356.484</v>
      </c>
      <c r="L5870" s="444">
        <f t="shared" ca="1" si="194"/>
        <v>-8897805566171913</v>
      </c>
      <c r="M5870" s="460">
        <f t="shared" si="196"/>
        <v>0.05</v>
      </c>
      <c r="N5870" s="464">
        <f t="shared" si="197"/>
        <v>229709</v>
      </c>
    </row>
    <row r="5871" spans="7:14" ht="11.25" customHeight="1" x14ac:dyDescent="0.3">
      <c r="G5871" s="459"/>
      <c r="H5871" s="459">
        <v>5864</v>
      </c>
      <c r="I5871" s="444">
        <f t="shared" ca="1" si="195"/>
        <v>-8897805566171913</v>
      </c>
      <c r="J5871" s="444">
        <f t="array" ref="J5871">IFERROR(INDEX('Retirement Calculator'!K:K,MATCH('Lorri 401b'!N5871,'Retirement Calculator'!A:A,0),0),0)</f>
        <v>0</v>
      </c>
      <c r="K5871" s="444">
        <f t="shared" ca="1" si="193"/>
        <v>-37074189859049.641</v>
      </c>
      <c r="L5871" s="444">
        <f t="shared" ca="1" si="194"/>
        <v>-8934879756030963</v>
      </c>
      <c r="M5871" s="460">
        <f t="shared" si="196"/>
        <v>0.05</v>
      </c>
      <c r="N5871" s="464">
        <f t="shared" si="197"/>
        <v>229740</v>
      </c>
    </row>
    <row r="5872" spans="7:14" ht="11.25" customHeight="1" x14ac:dyDescent="0.3">
      <c r="G5872" s="459"/>
      <c r="H5872" s="459">
        <v>5865</v>
      </c>
      <c r="I5872" s="444">
        <f t="shared" ca="1" si="195"/>
        <v>-8934879756030963</v>
      </c>
      <c r="J5872" s="444">
        <f t="array" ref="J5872">IFERROR(INDEX('Retirement Calculator'!K:K,MATCH('Lorri 401b'!N5872,'Retirement Calculator'!A:A,0),0),0)</f>
        <v>0</v>
      </c>
      <c r="K5872" s="444">
        <f t="shared" ca="1" si="193"/>
        <v>-37228665650129.016</v>
      </c>
      <c r="L5872" s="444">
        <f t="shared" ca="1" si="194"/>
        <v>-8972108421681092</v>
      </c>
      <c r="M5872" s="460">
        <f t="shared" si="196"/>
        <v>0.05</v>
      </c>
      <c r="N5872" s="464">
        <f t="shared" si="197"/>
        <v>229771</v>
      </c>
    </row>
    <row r="5873" spans="7:14" ht="11.25" customHeight="1" x14ac:dyDescent="0.3">
      <c r="G5873" s="459"/>
      <c r="H5873" s="459">
        <v>5866</v>
      </c>
      <c r="I5873" s="444">
        <f t="shared" ca="1" si="195"/>
        <v>-8972108421681092</v>
      </c>
      <c r="J5873" s="444">
        <f t="array" ref="J5873">IFERROR(INDEX('Retirement Calculator'!K:K,MATCH('Lorri 401b'!N5873,'Retirement Calculator'!A:A,0),0),0)</f>
        <v>0</v>
      </c>
      <c r="K5873" s="444">
        <f t="shared" ref="K5873:K6127" ca="1" si="198">IPMT(M5873/12,1,12,-I5873+J5873,,0)</f>
        <v>-37383785090337.883</v>
      </c>
      <c r="L5873" s="444">
        <f t="shared" ref="L5873:L6127" ca="1" si="199">I5873-J5873+K5873</f>
        <v>-9009492206771430</v>
      </c>
      <c r="M5873" s="460">
        <f t="shared" si="196"/>
        <v>0.05</v>
      </c>
      <c r="N5873" s="464">
        <f t="shared" si="197"/>
        <v>229799</v>
      </c>
    </row>
    <row r="5874" spans="7:14" ht="11.25" customHeight="1" x14ac:dyDescent="0.3">
      <c r="G5874" s="459"/>
      <c r="H5874" s="459">
        <v>5867</v>
      </c>
      <c r="I5874" s="444">
        <f t="shared" ref="I5874:I6128" ca="1" si="200">L5873</f>
        <v>-9009492206771430</v>
      </c>
      <c r="J5874" s="444">
        <f t="array" ref="J5874">IFERROR(INDEX('Retirement Calculator'!K:K,MATCH('Lorri 401b'!N5874,'Retirement Calculator'!A:A,0),0),0)</f>
        <v>0</v>
      </c>
      <c r="K5874" s="444">
        <f t="shared" ca="1" si="198"/>
        <v>-37539550861547.625</v>
      </c>
      <c r="L5874" s="444">
        <f t="shared" ca="1" si="199"/>
        <v>-9047031757632978</v>
      </c>
      <c r="M5874" s="460">
        <f t="shared" ref="M5874:M6128" si="201">M5873</f>
        <v>0.05</v>
      </c>
      <c r="N5874" s="464">
        <f t="shared" ref="N5874:N6128" si="202">EDATE(N5873,1)</f>
        <v>229830</v>
      </c>
    </row>
    <row r="5875" spans="7:14" ht="11.25" customHeight="1" x14ac:dyDescent="0.3">
      <c r="G5875" s="459"/>
      <c r="H5875" s="459">
        <v>5868</v>
      </c>
      <c r="I5875" s="444">
        <f t="shared" ca="1" si="200"/>
        <v>-9047031757632978</v>
      </c>
      <c r="J5875" s="444">
        <f t="array" ref="J5875">IFERROR(INDEX('Retirement Calculator'!K:K,MATCH('Lorri 401b'!N5875,'Retirement Calculator'!A:A,0),0),0)</f>
        <v>0</v>
      </c>
      <c r="K5875" s="444">
        <f t="shared" ca="1" si="198"/>
        <v>-37695965656804.078</v>
      </c>
      <c r="L5875" s="444">
        <f t="shared" ca="1" si="199"/>
        <v>-9084727723289782</v>
      </c>
      <c r="M5875" s="460">
        <f t="shared" si="201"/>
        <v>0.05</v>
      </c>
      <c r="N5875" s="464">
        <f t="shared" si="202"/>
        <v>229860</v>
      </c>
    </row>
    <row r="5876" spans="7:14" ht="11.25" customHeight="1" x14ac:dyDescent="0.3">
      <c r="G5876" s="459"/>
      <c r="H5876" s="459">
        <v>5869</v>
      </c>
      <c r="I5876" s="444">
        <f t="shared" ca="1" si="200"/>
        <v>-9084727723289782</v>
      </c>
      <c r="J5876" s="444">
        <f t="array" ref="J5876">IFERROR(INDEX('Retirement Calculator'!K:K,MATCH('Lorri 401b'!N5876,'Retirement Calculator'!A:A,0),0),0)</f>
        <v>0</v>
      </c>
      <c r="K5876" s="444">
        <f t="shared" ca="1" si="198"/>
        <v>-37853032180374.094</v>
      </c>
      <c r="L5876" s="444">
        <f t="shared" ca="1" si="199"/>
        <v>-9122580755470156</v>
      </c>
      <c r="M5876" s="460">
        <f t="shared" si="201"/>
        <v>0.05</v>
      </c>
      <c r="N5876" s="464">
        <f t="shared" si="202"/>
        <v>229891</v>
      </c>
    </row>
    <row r="5877" spans="7:14" ht="11.25" customHeight="1" x14ac:dyDescent="0.3">
      <c r="G5877" s="459"/>
      <c r="H5877" s="459">
        <v>5870</v>
      </c>
      <c r="I5877" s="444">
        <f t="shared" ca="1" si="200"/>
        <v>-9122580755470156</v>
      </c>
      <c r="J5877" s="444">
        <f t="array" ref="J5877">IFERROR(INDEX('Retirement Calculator'!K:K,MATCH('Lorri 401b'!N5877,'Retirement Calculator'!A:A,0),0),0)</f>
        <v>0</v>
      </c>
      <c r="K5877" s="444">
        <f t="shared" ca="1" si="198"/>
        <v>-38010753147792.313</v>
      </c>
      <c r="L5877" s="444">
        <f t="shared" ca="1" si="199"/>
        <v>-9160591508617948</v>
      </c>
      <c r="M5877" s="460">
        <f t="shared" si="201"/>
        <v>0.05</v>
      </c>
      <c r="N5877" s="464">
        <f t="shared" si="202"/>
        <v>229921</v>
      </c>
    </row>
    <row r="5878" spans="7:14" ht="11.25" customHeight="1" x14ac:dyDescent="0.3">
      <c r="G5878" s="459"/>
      <c r="H5878" s="459">
        <v>5871</v>
      </c>
      <c r="I5878" s="444">
        <f t="shared" ca="1" si="200"/>
        <v>-9160591508617948</v>
      </c>
      <c r="J5878" s="444">
        <f t="array" ref="J5878">IFERROR(INDEX('Retirement Calculator'!K:K,MATCH('Lorri 401b'!N5878,'Retirement Calculator'!A:A,0),0),0)</f>
        <v>0</v>
      </c>
      <c r="K5878" s="444">
        <f t="shared" ca="1" si="198"/>
        <v>-38169131285908.117</v>
      </c>
      <c r="L5878" s="444">
        <f t="shared" ca="1" si="199"/>
        <v>-9198760639903856</v>
      </c>
      <c r="M5878" s="460">
        <f t="shared" si="201"/>
        <v>0.05</v>
      </c>
      <c r="N5878" s="464">
        <f t="shared" si="202"/>
        <v>229952</v>
      </c>
    </row>
    <row r="5879" spans="7:14" ht="11.25" customHeight="1" x14ac:dyDescent="0.3">
      <c r="G5879" s="459"/>
      <c r="H5879" s="459">
        <v>5872</v>
      </c>
      <c r="I5879" s="444">
        <f t="shared" ca="1" si="200"/>
        <v>-9198760639903856</v>
      </c>
      <c r="J5879" s="444">
        <f t="array" ref="J5879">IFERROR(INDEX('Retirement Calculator'!K:K,MATCH('Lorri 401b'!N5879,'Retirement Calculator'!A:A,0),0),0)</f>
        <v>0</v>
      </c>
      <c r="K5879" s="444">
        <f t="shared" ca="1" si="198"/>
        <v>-38328169332932.734</v>
      </c>
      <c r="L5879" s="444">
        <f t="shared" ca="1" si="199"/>
        <v>-9237088809236788</v>
      </c>
      <c r="M5879" s="460">
        <f t="shared" si="201"/>
        <v>0.05</v>
      </c>
      <c r="N5879" s="464">
        <f t="shared" si="202"/>
        <v>229983</v>
      </c>
    </row>
    <row r="5880" spans="7:14" ht="11.25" customHeight="1" x14ac:dyDescent="0.3">
      <c r="G5880" s="459"/>
      <c r="H5880" s="459">
        <v>5873</v>
      </c>
      <c r="I5880" s="444">
        <f t="shared" ca="1" si="200"/>
        <v>-9237088809236788</v>
      </c>
      <c r="J5880" s="444">
        <f t="array" ref="J5880">IFERROR(INDEX('Retirement Calculator'!K:K,MATCH('Lorri 401b'!N5880,'Retirement Calculator'!A:A,0),0),0)</f>
        <v>0</v>
      </c>
      <c r="K5880" s="444">
        <f t="shared" ca="1" si="198"/>
        <v>-38487870038486.617</v>
      </c>
      <c r="L5880" s="444">
        <f t="shared" ca="1" si="199"/>
        <v>-9275576679275274</v>
      </c>
      <c r="M5880" s="460">
        <f t="shared" si="201"/>
        <v>0.05</v>
      </c>
      <c r="N5880" s="464">
        <f t="shared" si="202"/>
        <v>230013</v>
      </c>
    </row>
    <row r="5881" spans="7:14" ht="11.25" customHeight="1" x14ac:dyDescent="0.3">
      <c r="G5881" s="459"/>
      <c r="H5881" s="459">
        <v>5874</v>
      </c>
      <c r="I5881" s="444">
        <f t="shared" ca="1" si="200"/>
        <v>-9275576679275274</v>
      </c>
      <c r="J5881" s="444">
        <f t="array" ref="J5881">IFERROR(INDEX('Retirement Calculator'!K:K,MATCH('Lorri 401b'!N5881,'Retirement Calculator'!A:A,0),0),0)</f>
        <v>0</v>
      </c>
      <c r="K5881" s="444">
        <f t="shared" ca="1" si="198"/>
        <v>-38648236163646.977</v>
      </c>
      <c r="L5881" s="444">
        <f t="shared" ca="1" si="199"/>
        <v>-9314224915438920</v>
      </c>
      <c r="M5881" s="460">
        <f t="shared" si="201"/>
        <v>0.05</v>
      </c>
      <c r="N5881" s="464">
        <f t="shared" si="202"/>
        <v>230044</v>
      </c>
    </row>
    <row r="5882" spans="7:14" ht="11.25" customHeight="1" x14ac:dyDescent="0.3">
      <c r="G5882" s="459"/>
      <c r="H5882" s="459">
        <v>5875</v>
      </c>
      <c r="I5882" s="444">
        <f t="shared" ca="1" si="200"/>
        <v>-9314224915438920</v>
      </c>
      <c r="J5882" s="444">
        <f t="array" ref="J5882">IFERROR(INDEX('Retirement Calculator'!K:K,MATCH('Lorri 401b'!N5882,'Retirement Calculator'!A:A,0),0),0)</f>
        <v>0</v>
      </c>
      <c r="K5882" s="444">
        <f t="shared" ca="1" si="198"/>
        <v>-38809270480995.5</v>
      </c>
      <c r="L5882" s="444">
        <f t="shared" ca="1" si="199"/>
        <v>-9353034185919916</v>
      </c>
      <c r="M5882" s="460">
        <f t="shared" si="201"/>
        <v>0.05</v>
      </c>
      <c r="N5882" s="464">
        <f t="shared" si="202"/>
        <v>230074</v>
      </c>
    </row>
    <row r="5883" spans="7:14" ht="11.25" customHeight="1" x14ac:dyDescent="0.3">
      <c r="G5883" s="459"/>
      <c r="H5883" s="459">
        <v>5876</v>
      </c>
      <c r="I5883" s="444">
        <f t="shared" ca="1" si="200"/>
        <v>-9353034185919916</v>
      </c>
      <c r="J5883" s="444">
        <f t="array" ref="J5883">IFERROR(INDEX('Retirement Calculator'!K:K,MATCH('Lorri 401b'!N5883,'Retirement Calculator'!A:A,0),0),0)</f>
        <v>0</v>
      </c>
      <c r="K5883" s="444">
        <f t="shared" ca="1" si="198"/>
        <v>-38970975774666.313</v>
      </c>
      <c r="L5883" s="444">
        <f t="shared" ca="1" si="199"/>
        <v>-9392005161694582</v>
      </c>
      <c r="M5883" s="460">
        <f t="shared" si="201"/>
        <v>0.05</v>
      </c>
      <c r="N5883" s="464">
        <f t="shared" si="202"/>
        <v>230105</v>
      </c>
    </row>
    <row r="5884" spans="7:14" ht="11.25" customHeight="1" x14ac:dyDescent="0.3">
      <c r="G5884" s="459"/>
      <c r="H5884" s="459">
        <v>5877</v>
      </c>
      <c r="I5884" s="444">
        <f t="shared" ca="1" si="200"/>
        <v>-9392005161694582</v>
      </c>
      <c r="J5884" s="444">
        <f t="array" ref="J5884">IFERROR(INDEX('Retirement Calculator'!K:K,MATCH('Lorri 401b'!N5884,'Retirement Calculator'!A:A,0),0),0)</f>
        <v>0</v>
      </c>
      <c r="K5884" s="444">
        <f t="shared" ca="1" si="198"/>
        <v>-39133354840394.094</v>
      </c>
      <c r="L5884" s="444">
        <f t="shared" ca="1" si="199"/>
        <v>-9431138516534976</v>
      </c>
      <c r="M5884" s="460">
        <f t="shared" si="201"/>
        <v>0.05</v>
      </c>
      <c r="N5884" s="464">
        <f t="shared" si="202"/>
        <v>230136</v>
      </c>
    </row>
    <row r="5885" spans="7:14" ht="11.25" customHeight="1" x14ac:dyDescent="0.3">
      <c r="G5885" s="459"/>
      <c r="H5885" s="459">
        <v>5878</v>
      </c>
      <c r="I5885" s="444">
        <f t="shared" ca="1" si="200"/>
        <v>-9431138516534976</v>
      </c>
      <c r="J5885" s="444">
        <f t="array" ref="J5885">IFERROR(INDEX('Retirement Calculator'!K:K,MATCH('Lorri 401b'!N5885,'Retirement Calculator'!A:A,0),0),0)</f>
        <v>0</v>
      </c>
      <c r="K5885" s="444">
        <f t="shared" ca="1" si="198"/>
        <v>-39296410485562.398</v>
      </c>
      <c r="L5885" s="444">
        <f t="shared" ca="1" si="199"/>
        <v>-9470434927020538</v>
      </c>
      <c r="M5885" s="460">
        <f t="shared" si="201"/>
        <v>0.05</v>
      </c>
      <c r="N5885" s="464">
        <f t="shared" si="202"/>
        <v>230164</v>
      </c>
    </row>
    <row r="5886" spans="7:14" ht="11.25" customHeight="1" x14ac:dyDescent="0.3">
      <c r="G5886" s="459"/>
      <c r="H5886" s="459">
        <v>5879</v>
      </c>
      <c r="I5886" s="444">
        <f t="shared" ca="1" si="200"/>
        <v>-9470434927020538</v>
      </c>
      <c r="J5886" s="444">
        <f t="array" ref="J5886">IFERROR(INDEX('Retirement Calculator'!K:K,MATCH('Lorri 401b'!N5886,'Retirement Calculator'!A:A,0),0),0)</f>
        <v>0</v>
      </c>
      <c r="K5886" s="444">
        <f t="shared" ca="1" si="198"/>
        <v>-39460145529252.242</v>
      </c>
      <c r="L5886" s="444">
        <f t="shared" ca="1" si="199"/>
        <v>-9509895072549790</v>
      </c>
      <c r="M5886" s="460">
        <f t="shared" si="201"/>
        <v>0.05</v>
      </c>
      <c r="N5886" s="464">
        <f t="shared" si="202"/>
        <v>230195</v>
      </c>
    </row>
    <row r="5887" spans="7:14" ht="11.25" customHeight="1" x14ac:dyDescent="0.3">
      <c r="G5887" s="459"/>
      <c r="H5887" s="459">
        <v>5880</v>
      </c>
      <c r="I5887" s="444">
        <f t="shared" ca="1" si="200"/>
        <v>-9509895072549790</v>
      </c>
      <c r="J5887" s="444">
        <f t="array" ref="J5887">IFERROR(INDEX('Retirement Calculator'!K:K,MATCH('Lorri 401b'!N5887,'Retirement Calculator'!A:A,0),0),0)</f>
        <v>0</v>
      </c>
      <c r="K5887" s="444">
        <f t="shared" ca="1" si="198"/>
        <v>-39624562802290.789</v>
      </c>
      <c r="L5887" s="444">
        <f t="shared" ca="1" si="199"/>
        <v>-9549519635352080</v>
      </c>
      <c r="M5887" s="460">
        <f t="shared" si="201"/>
        <v>0.05</v>
      </c>
      <c r="N5887" s="464">
        <f t="shared" si="202"/>
        <v>230225</v>
      </c>
    </row>
    <row r="5888" spans="7:14" ht="11.25" customHeight="1" x14ac:dyDescent="0.3">
      <c r="G5888" s="459"/>
      <c r="H5888" s="459">
        <v>5881</v>
      </c>
      <c r="I5888" s="444">
        <f t="shared" ca="1" si="200"/>
        <v>-9549519635352080</v>
      </c>
      <c r="J5888" s="444">
        <f t="array" ref="J5888">IFERROR(INDEX('Retirement Calculator'!K:K,MATCH('Lorri 401b'!N5888,'Retirement Calculator'!A:A,0),0),0)</f>
        <v>0</v>
      </c>
      <c r="K5888" s="444">
        <f t="shared" ca="1" si="198"/>
        <v>-39789665147300.336</v>
      </c>
      <c r="L5888" s="444">
        <f t="shared" ca="1" si="199"/>
        <v>-9589309300499380</v>
      </c>
      <c r="M5888" s="460">
        <f t="shared" si="201"/>
        <v>0.05</v>
      </c>
      <c r="N5888" s="464">
        <f t="shared" si="202"/>
        <v>230256</v>
      </c>
    </row>
    <row r="5889" spans="7:14" ht="11.25" customHeight="1" x14ac:dyDescent="0.3">
      <c r="G5889" s="459"/>
      <c r="H5889" s="459">
        <v>5882</v>
      </c>
      <c r="I5889" s="444">
        <f t="shared" ca="1" si="200"/>
        <v>-9589309300499380</v>
      </c>
      <c r="J5889" s="444">
        <f t="array" ref="J5889">IFERROR(INDEX('Retirement Calculator'!K:K,MATCH('Lorri 401b'!N5889,'Retirement Calculator'!A:A,0),0),0)</f>
        <v>0</v>
      </c>
      <c r="K5889" s="444">
        <f t="shared" ca="1" si="198"/>
        <v>-39955455418747.414</v>
      </c>
      <c r="L5889" s="444">
        <f t="shared" ca="1" si="199"/>
        <v>-9629264755918128</v>
      </c>
      <c r="M5889" s="460">
        <f t="shared" si="201"/>
        <v>0.05</v>
      </c>
      <c r="N5889" s="464">
        <f t="shared" si="202"/>
        <v>230286</v>
      </c>
    </row>
    <row r="5890" spans="7:14" ht="11.25" customHeight="1" x14ac:dyDescent="0.3">
      <c r="G5890" s="459"/>
      <c r="H5890" s="459">
        <v>5883</v>
      </c>
      <c r="I5890" s="444">
        <f t="shared" ca="1" si="200"/>
        <v>-9629264755918128</v>
      </c>
      <c r="J5890" s="444">
        <f t="array" ref="J5890">IFERROR(INDEX('Retirement Calculator'!K:K,MATCH('Lorri 401b'!N5890,'Retirement Calculator'!A:A,0),0),0)</f>
        <v>0</v>
      </c>
      <c r="K5890" s="444">
        <f t="shared" ca="1" si="198"/>
        <v>-40121936482992.203</v>
      </c>
      <c r="L5890" s="444">
        <f t="shared" ca="1" si="199"/>
        <v>-9669386692401120</v>
      </c>
      <c r="M5890" s="460">
        <f t="shared" si="201"/>
        <v>0.05</v>
      </c>
      <c r="N5890" s="464">
        <f t="shared" si="202"/>
        <v>230317</v>
      </c>
    </row>
    <row r="5891" spans="7:14" ht="11.25" customHeight="1" x14ac:dyDescent="0.3">
      <c r="G5891" s="459"/>
      <c r="H5891" s="459">
        <v>5884</v>
      </c>
      <c r="I5891" s="444">
        <f t="shared" ca="1" si="200"/>
        <v>-9669386692401120</v>
      </c>
      <c r="J5891" s="444">
        <f t="array" ref="J5891">IFERROR(INDEX('Retirement Calculator'!K:K,MATCH('Lorri 401b'!N5891,'Retirement Calculator'!A:A,0),0),0)</f>
        <v>0</v>
      </c>
      <c r="K5891" s="444">
        <f t="shared" ca="1" si="198"/>
        <v>-40289111218338</v>
      </c>
      <c r="L5891" s="444">
        <f t="shared" ca="1" si="199"/>
        <v>-9709675803619458</v>
      </c>
      <c r="M5891" s="460">
        <f t="shared" si="201"/>
        <v>0.05</v>
      </c>
      <c r="N5891" s="464">
        <f t="shared" si="202"/>
        <v>230348</v>
      </c>
    </row>
    <row r="5892" spans="7:14" ht="11.25" customHeight="1" x14ac:dyDescent="0.3">
      <c r="G5892" s="459"/>
      <c r="H5892" s="459">
        <v>5885</v>
      </c>
      <c r="I5892" s="444">
        <f t="shared" ca="1" si="200"/>
        <v>-9709675803619458</v>
      </c>
      <c r="J5892" s="444">
        <f t="array" ref="J5892">IFERROR(INDEX('Retirement Calculator'!K:K,MATCH('Lorri 401b'!N5892,'Retirement Calculator'!A:A,0),0),0)</f>
        <v>0</v>
      </c>
      <c r="K5892" s="444">
        <f t="shared" ca="1" si="198"/>
        <v>-40456982515081.078</v>
      </c>
      <c r="L5892" s="444">
        <f t="shared" ca="1" si="199"/>
        <v>-9750132786134540</v>
      </c>
      <c r="M5892" s="460">
        <f t="shared" si="201"/>
        <v>0.05</v>
      </c>
      <c r="N5892" s="464">
        <f t="shared" si="202"/>
        <v>230378</v>
      </c>
    </row>
    <row r="5893" spans="7:14" ht="11.25" customHeight="1" x14ac:dyDescent="0.3">
      <c r="G5893" s="459"/>
      <c r="H5893" s="459">
        <v>5886</v>
      </c>
      <c r="I5893" s="444">
        <f t="shared" ca="1" si="200"/>
        <v>-9750132786134540</v>
      </c>
      <c r="J5893" s="444">
        <f t="array" ref="J5893">IFERROR(INDEX('Retirement Calculator'!K:K,MATCH('Lorri 401b'!N5893,'Retirement Calculator'!A:A,0),0),0)</f>
        <v>0</v>
      </c>
      <c r="K5893" s="444">
        <f t="shared" ca="1" si="198"/>
        <v>-40625553275560.586</v>
      </c>
      <c r="L5893" s="444">
        <f t="shared" ca="1" si="199"/>
        <v>-9790758339410100</v>
      </c>
      <c r="M5893" s="460">
        <f t="shared" si="201"/>
        <v>0.05</v>
      </c>
      <c r="N5893" s="464">
        <f t="shared" si="202"/>
        <v>230409</v>
      </c>
    </row>
    <row r="5894" spans="7:14" ht="11.25" customHeight="1" x14ac:dyDescent="0.3">
      <c r="G5894" s="459"/>
      <c r="H5894" s="459">
        <v>5887</v>
      </c>
      <c r="I5894" s="444">
        <f t="shared" ca="1" si="200"/>
        <v>-9790758339410100</v>
      </c>
      <c r="J5894" s="444">
        <f t="array" ref="J5894">IFERROR(INDEX('Retirement Calculator'!K:K,MATCH('Lorri 401b'!N5894,'Retirement Calculator'!A:A,0),0),0)</f>
        <v>0</v>
      </c>
      <c r="K5894" s="444">
        <f t="shared" ca="1" si="198"/>
        <v>-40794826414208.75</v>
      </c>
      <c r="L5894" s="444">
        <f t="shared" ca="1" si="199"/>
        <v>-9831553165824308</v>
      </c>
      <c r="M5894" s="460">
        <f t="shared" si="201"/>
        <v>0.05</v>
      </c>
      <c r="N5894" s="464">
        <f t="shared" si="202"/>
        <v>230439</v>
      </c>
    </row>
    <row r="5895" spans="7:14" ht="11.25" customHeight="1" x14ac:dyDescent="0.3">
      <c r="G5895" s="459"/>
      <c r="H5895" s="459">
        <v>5888</v>
      </c>
      <c r="I5895" s="444">
        <f t="shared" ca="1" si="200"/>
        <v>-9831553165824308</v>
      </c>
      <c r="J5895" s="444">
        <f t="array" ref="J5895">IFERROR(INDEX('Retirement Calculator'!K:K,MATCH('Lorri 401b'!N5895,'Retirement Calculator'!A:A,0),0),0)</f>
        <v>0</v>
      </c>
      <c r="K5895" s="444">
        <f t="shared" ca="1" si="198"/>
        <v>-40964804857601.281</v>
      </c>
      <c r="L5895" s="444">
        <f t="shared" ca="1" si="199"/>
        <v>-9872517970681910</v>
      </c>
      <c r="M5895" s="460">
        <f t="shared" si="201"/>
        <v>0.05</v>
      </c>
      <c r="N5895" s="464">
        <f t="shared" si="202"/>
        <v>230470</v>
      </c>
    </row>
    <row r="5896" spans="7:14" ht="11.25" customHeight="1" x14ac:dyDescent="0.3">
      <c r="G5896" s="459"/>
      <c r="H5896" s="459">
        <v>5889</v>
      </c>
      <c r="I5896" s="444">
        <f t="shared" ca="1" si="200"/>
        <v>-9872517970681910</v>
      </c>
      <c r="J5896" s="444">
        <f t="array" ref="J5896">IFERROR(INDEX('Retirement Calculator'!K:K,MATCH('Lorri 401b'!N5896,'Retirement Calculator'!A:A,0),0),0)</f>
        <v>0</v>
      </c>
      <c r="K5896" s="444">
        <f t="shared" ca="1" si="198"/>
        <v>-41135491544507.961</v>
      </c>
      <c r="L5896" s="444">
        <f t="shared" ca="1" si="199"/>
        <v>-9913653462226418</v>
      </c>
      <c r="M5896" s="460">
        <f t="shared" si="201"/>
        <v>0.05</v>
      </c>
      <c r="N5896" s="464">
        <f t="shared" si="202"/>
        <v>230501</v>
      </c>
    </row>
    <row r="5897" spans="7:14" ht="11.25" customHeight="1" x14ac:dyDescent="0.3">
      <c r="G5897" s="459"/>
      <c r="H5897" s="459">
        <v>5890</v>
      </c>
      <c r="I5897" s="444">
        <f t="shared" ca="1" si="200"/>
        <v>-9913653462226418</v>
      </c>
      <c r="J5897" s="444">
        <f t="array" ref="J5897">IFERROR(INDEX('Retirement Calculator'!K:K,MATCH('Lorri 401b'!N5897,'Retirement Calculator'!A:A,0),0),0)</f>
        <v>0</v>
      </c>
      <c r="K5897" s="444">
        <f t="shared" ca="1" si="198"/>
        <v>-41306889425943.406</v>
      </c>
      <c r="L5897" s="444">
        <f t="shared" ca="1" si="199"/>
        <v>-9954960351652362</v>
      </c>
      <c r="M5897" s="460">
        <f t="shared" si="201"/>
        <v>0.05</v>
      </c>
      <c r="N5897" s="464">
        <f t="shared" si="202"/>
        <v>230529</v>
      </c>
    </row>
    <row r="5898" spans="7:14" ht="11.25" customHeight="1" x14ac:dyDescent="0.3">
      <c r="G5898" s="459"/>
      <c r="H5898" s="459">
        <v>5891</v>
      </c>
      <c r="I5898" s="444">
        <f t="shared" ca="1" si="200"/>
        <v>-9954960351652362</v>
      </c>
      <c r="J5898" s="444">
        <f t="array" ref="J5898">IFERROR(INDEX('Retirement Calculator'!K:K,MATCH('Lorri 401b'!N5898,'Retirement Calculator'!A:A,0),0),0)</f>
        <v>0</v>
      </c>
      <c r="K5898" s="444">
        <f t="shared" ca="1" si="198"/>
        <v>-41479001465218.172</v>
      </c>
      <c r="L5898" s="444">
        <f t="shared" ca="1" si="199"/>
        <v>-9996439353117580</v>
      </c>
      <c r="M5898" s="460">
        <f t="shared" si="201"/>
        <v>0.05</v>
      </c>
      <c r="N5898" s="464">
        <f t="shared" si="202"/>
        <v>230560</v>
      </c>
    </row>
    <row r="5899" spans="7:14" ht="11.25" customHeight="1" x14ac:dyDescent="0.3">
      <c r="G5899" s="459"/>
      <c r="H5899" s="459">
        <v>5892</v>
      </c>
      <c r="I5899" s="444">
        <f t="shared" ca="1" si="200"/>
        <v>-9996439353117580</v>
      </c>
      <c r="J5899" s="444">
        <f t="array" ref="J5899">IFERROR(INDEX('Retirement Calculator'!K:K,MATCH('Lorri 401b'!N5899,'Retirement Calculator'!A:A,0),0),0)</f>
        <v>0</v>
      </c>
      <c r="K5899" s="444">
        <f t="shared" ca="1" si="198"/>
        <v>-41651830637989.914</v>
      </c>
      <c r="L5899" s="444">
        <f t="shared" ca="1" si="199"/>
        <v>-1.003809118375557E+16</v>
      </c>
      <c r="M5899" s="460">
        <f t="shared" si="201"/>
        <v>0.05</v>
      </c>
      <c r="N5899" s="464">
        <f t="shared" si="202"/>
        <v>230590</v>
      </c>
    </row>
    <row r="5900" spans="7:14" ht="11.25" customHeight="1" x14ac:dyDescent="0.3">
      <c r="G5900" s="459"/>
      <c r="H5900" s="459">
        <v>5893</v>
      </c>
      <c r="I5900" s="444">
        <f t="shared" ca="1" si="200"/>
        <v>-1.003809118375557E+16</v>
      </c>
      <c r="J5900" s="444">
        <f t="array" ref="J5900">IFERROR(INDEX('Retirement Calculator'!K:K,MATCH('Lorri 401b'!N5900,'Retirement Calculator'!A:A,0),0),0)</f>
        <v>0</v>
      </c>
      <c r="K5900" s="444">
        <f t="shared" ca="1" si="198"/>
        <v>-41825379932314.875</v>
      </c>
      <c r="L5900" s="444">
        <f t="shared" ca="1" si="199"/>
        <v>-1.0079916563687884E+16</v>
      </c>
      <c r="M5900" s="460">
        <f t="shared" si="201"/>
        <v>0.05</v>
      </c>
      <c r="N5900" s="464">
        <f t="shared" si="202"/>
        <v>230621</v>
      </c>
    </row>
    <row r="5901" spans="7:14" ht="11.25" customHeight="1" x14ac:dyDescent="0.3">
      <c r="G5901" s="459"/>
      <c r="H5901" s="459">
        <v>5894</v>
      </c>
      <c r="I5901" s="444">
        <f t="shared" ca="1" si="200"/>
        <v>-1.0079916563687884E+16</v>
      </c>
      <c r="J5901" s="444">
        <f t="array" ref="J5901">IFERROR(INDEX('Retirement Calculator'!K:K,MATCH('Lorri 401b'!N5901,'Retirement Calculator'!A:A,0),0),0)</f>
        <v>0</v>
      </c>
      <c r="K5901" s="444">
        <f t="shared" ca="1" si="198"/>
        <v>-41999652348699.516</v>
      </c>
      <c r="L5901" s="444">
        <f t="shared" ca="1" si="199"/>
        <v>-1.0121916216036584E+16</v>
      </c>
      <c r="M5901" s="460">
        <f t="shared" si="201"/>
        <v>0.05</v>
      </c>
      <c r="N5901" s="464">
        <f t="shared" si="202"/>
        <v>230651</v>
      </c>
    </row>
    <row r="5902" spans="7:14" ht="11.25" customHeight="1" x14ac:dyDescent="0.3">
      <c r="G5902" s="459"/>
      <c r="H5902" s="459">
        <v>5895</v>
      </c>
      <c r="I5902" s="444">
        <f t="shared" ca="1" si="200"/>
        <v>-1.0121916216036584E+16</v>
      </c>
      <c r="J5902" s="444">
        <f t="array" ref="J5902">IFERROR(INDEX('Retirement Calculator'!K:K,MATCH('Lorri 401b'!N5902,'Retirement Calculator'!A:A,0),0),0)</f>
        <v>0</v>
      </c>
      <c r="K5902" s="444">
        <f t="shared" ca="1" si="198"/>
        <v>-42174650900152.43</v>
      </c>
      <c r="L5902" s="444">
        <f t="shared" ca="1" si="199"/>
        <v>-1.0164090866936736E+16</v>
      </c>
      <c r="M5902" s="460">
        <f t="shared" si="201"/>
        <v>0.05</v>
      </c>
      <c r="N5902" s="464">
        <f t="shared" si="202"/>
        <v>230682</v>
      </c>
    </row>
    <row r="5903" spans="7:14" ht="11.25" customHeight="1" x14ac:dyDescent="0.3">
      <c r="G5903" s="459"/>
      <c r="H5903" s="459">
        <v>5896</v>
      </c>
      <c r="I5903" s="444">
        <f t="shared" ca="1" si="200"/>
        <v>-1.0164090866936736E+16</v>
      </c>
      <c r="J5903" s="444">
        <f t="array" ref="J5903">IFERROR(INDEX('Retirement Calculator'!K:K,MATCH('Lorri 401b'!N5903,'Retirement Calculator'!A:A,0),0),0)</f>
        <v>0</v>
      </c>
      <c r="K5903" s="444">
        <f t="shared" ca="1" si="198"/>
        <v>-42350378612236.398</v>
      </c>
      <c r="L5903" s="444">
        <f t="shared" ca="1" si="199"/>
        <v>-1.0206441245548972E+16</v>
      </c>
      <c r="M5903" s="460">
        <f t="shared" si="201"/>
        <v>0.05</v>
      </c>
      <c r="N5903" s="464">
        <f t="shared" si="202"/>
        <v>230713</v>
      </c>
    </row>
    <row r="5904" spans="7:14" ht="11.25" customHeight="1" x14ac:dyDescent="0.3">
      <c r="G5904" s="459"/>
      <c r="H5904" s="459">
        <v>5897</v>
      </c>
      <c r="I5904" s="444">
        <f t="shared" ca="1" si="200"/>
        <v>-1.0206441245548972E+16</v>
      </c>
      <c r="J5904" s="444">
        <f t="array" ref="J5904">IFERROR(INDEX('Retirement Calculator'!K:K,MATCH('Lorri 401b'!N5904,'Retirement Calculator'!A:A,0),0),0)</f>
        <v>0</v>
      </c>
      <c r="K5904" s="444">
        <f t="shared" ca="1" si="198"/>
        <v>-42526838523120.719</v>
      </c>
      <c r="L5904" s="444">
        <f t="shared" ca="1" si="199"/>
        <v>-1.0248968084072092E+16</v>
      </c>
      <c r="M5904" s="460">
        <f t="shared" si="201"/>
        <v>0.05</v>
      </c>
      <c r="N5904" s="464">
        <f t="shared" si="202"/>
        <v>230743</v>
      </c>
    </row>
    <row r="5905" spans="7:14" ht="11.25" customHeight="1" x14ac:dyDescent="0.3">
      <c r="G5905" s="459"/>
      <c r="H5905" s="459">
        <v>5898</v>
      </c>
      <c r="I5905" s="444">
        <f t="shared" ca="1" si="200"/>
        <v>-1.0248968084072092E+16</v>
      </c>
      <c r="J5905" s="444">
        <f t="array" ref="J5905">IFERROR(INDEX('Retirement Calculator'!K:K,MATCH('Lorri 401b'!N5905,'Retirement Calculator'!A:A,0),0),0)</f>
        <v>0</v>
      </c>
      <c r="K5905" s="444">
        <f t="shared" ca="1" si="198"/>
        <v>-42704033683633.719</v>
      </c>
      <c r="L5905" s="444">
        <f t="shared" ca="1" si="199"/>
        <v>-1.0291672117755726E+16</v>
      </c>
      <c r="M5905" s="460">
        <f t="shared" si="201"/>
        <v>0.05</v>
      </c>
      <c r="N5905" s="464">
        <f t="shared" si="202"/>
        <v>230774</v>
      </c>
    </row>
    <row r="5906" spans="7:14" ht="11.25" customHeight="1" x14ac:dyDescent="0.3">
      <c r="G5906" s="459"/>
      <c r="H5906" s="459">
        <v>5899</v>
      </c>
      <c r="I5906" s="444">
        <f t="shared" ca="1" si="200"/>
        <v>-1.0291672117755726E+16</v>
      </c>
      <c r="J5906" s="444">
        <f t="array" ref="J5906">IFERROR(INDEX('Retirement Calculator'!K:K,MATCH('Lorri 401b'!N5906,'Retirement Calculator'!A:A,0),0),0)</f>
        <v>0</v>
      </c>
      <c r="K5906" s="444">
        <f t="shared" ca="1" si="198"/>
        <v>-42881967157315.523</v>
      </c>
      <c r="L5906" s="444">
        <f t="shared" ca="1" si="199"/>
        <v>-1.0334554084913042E+16</v>
      </c>
      <c r="M5906" s="460">
        <f t="shared" si="201"/>
        <v>0.05</v>
      </c>
      <c r="N5906" s="464">
        <f t="shared" si="202"/>
        <v>230804</v>
      </c>
    </row>
    <row r="5907" spans="7:14" ht="11.25" customHeight="1" x14ac:dyDescent="0.3">
      <c r="G5907" s="459"/>
      <c r="H5907" s="459">
        <v>5900</v>
      </c>
      <c r="I5907" s="444">
        <f t="shared" ca="1" si="200"/>
        <v>-1.0334554084913042E+16</v>
      </c>
      <c r="J5907" s="444">
        <f t="array" ref="J5907">IFERROR(INDEX('Retirement Calculator'!K:K,MATCH('Lorri 401b'!N5907,'Retirement Calculator'!A:A,0),0),0)</f>
        <v>0</v>
      </c>
      <c r="K5907" s="444">
        <f t="shared" ca="1" si="198"/>
        <v>-43060642020471.008</v>
      </c>
      <c r="L5907" s="444">
        <f t="shared" ca="1" si="199"/>
        <v>-1.0377614726933514E+16</v>
      </c>
      <c r="M5907" s="460">
        <f t="shared" si="201"/>
        <v>0.05</v>
      </c>
      <c r="N5907" s="464">
        <f t="shared" si="202"/>
        <v>230835</v>
      </c>
    </row>
    <row r="5908" spans="7:14" ht="11.25" customHeight="1" x14ac:dyDescent="0.3">
      <c r="G5908" s="459"/>
      <c r="H5908" s="459">
        <v>5901</v>
      </c>
      <c r="I5908" s="444">
        <f t="shared" ca="1" si="200"/>
        <v>-1.0377614726933514E+16</v>
      </c>
      <c r="J5908" s="444">
        <f t="array" ref="J5908">IFERROR(INDEX('Retirement Calculator'!K:K,MATCH('Lorri 401b'!N5908,'Retirement Calculator'!A:A,0),0),0)</f>
        <v>0</v>
      </c>
      <c r="K5908" s="444">
        <f t="shared" ca="1" si="198"/>
        <v>-43240061362222.977</v>
      </c>
      <c r="L5908" s="444">
        <f t="shared" ca="1" si="199"/>
        <v>-1.0420854788295736E+16</v>
      </c>
      <c r="M5908" s="460">
        <f t="shared" si="201"/>
        <v>0.05</v>
      </c>
      <c r="N5908" s="464">
        <f t="shared" si="202"/>
        <v>230866</v>
      </c>
    </row>
    <row r="5909" spans="7:14" ht="11.25" customHeight="1" x14ac:dyDescent="0.3">
      <c r="G5909" s="459"/>
      <c r="H5909" s="459">
        <v>5902</v>
      </c>
      <c r="I5909" s="444">
        <f t="shared" ca="1" si="200"/>
        <v>-1.0420854788295736E+16</v>
      </c>
      <c r="J5909" s="444">
        <f t="array" ref="J5909">IFERROR(INDEX('Retirement Calculator'!K:K,MATCH('Lorri 401b'!N5909,'Retirement Calculator'!A:A,0),0),0)</f>
        <v>0</v>
      </c>
      <c r="K5909" s="444">
        <f t="shared" ca="1" si="198"/>
        <v>-43420228284565.563</v>
      </c>
      <c r="L5909" s="444">
        <f t="shared" ca="1" si="199"/>
        <v>-1.0464275016580302E+16</v>
      </c>
      <c r="M5909" s="460">
        <f t="shared" si="201"/>
        <v>0.05</v>
      </c>
      <c r="N5909" s="464">
        <f t="shared" si="202"/>
        <v>230895</v>
      </c>
    </row>
    <row r="5910" spans="7:14" ht="11.25" customHeight="1" x14ac:dyDescent="0.3">
      <c r="G5910" s="459"/>
      <c r="H5910" s="459">
        <v>5903</v>
      </c>
      <c r="I5910" s="444">
        <f t="shared" ca="1" si="200"/>
        <v>-1.0464275016580302E+16</v>
      </c>
      <c r="J5910" s="444">
        <f t="array" ref="J5910">IFERROR(INDEX('Retirement Calculator'!K:K,MATCH('Lorri 401b'!N5910,'Retirement Calculator'!A:A,0),0),0)</f>
        <v>0</v>
      </c>
      <c r="K5910" s="444">
        <f t="shared" ca="1" si="198"/>
        <v>-43601145902417.922</v>
      </c>
      <c r="L5910" s="444">
        <f t="shared" ca="1" si="199"/>
        <v>-1.050787616248272E+16</v>
      </c>
      <c r="M5910" s="460">
        <f t="shared" si="201"/>
        <v>0.05</v>
      </c>
      <c r="N5910" s="464">
        <f t="shared" si="202"/>
        <v>230926</v>
      </c>
    </row>
    <row r="5911" spans="7:14" ht="11.25" customHeight="1" x14ac:dyDescent="0.3">
      <c r="G5911" s="459"/>
      <c r="H5911" s="459">
        <v>5904</v>
      </c>
      <c r="I5911" s="444">
        <f t="shared" ca="1" si="200"/>
        <v>-1.050787616248272E+16</v>
      </c>
      <c r="J5911" s="444">
        <f t="array" ref="J5911">IFERROR(INDEX('Retirement Calculator'!K:K,MATCH('Lorri 401b'!N5911,'Retirement Calculator'!A:A,0),0),0)</f>
        <v>0</v>
      </c>
      <c r="K5911" s="444">
        <f t="shared" ca="1" si="198"/>
        <v>-43782817343678</v>
      </c>
      <c r="L5911" s="444">
        <f t="shared" ca="1" si="199"/>
        <v>-1.0551658979826398E+16</v>
      </c>
      <c r="M5911" s="460">
        <f t="shared" si="201"/>
        <v>0.05</v>
      </c>
      <c r="N5911" s="464">
        <f t="shared" si="202"/>
        <v>230956</v>
      </c>
    </row>
    <row r="5912" spans="7:14" ht="11.25" customHeight="1" x14ac:dyDescent="0.3">
      <c r="G5912" s="459"/>
      <c r="H5912" s="459">
        <v>5905</v>
      </c>
      <c r="I5912" s="444">
        <f t="shared" ca="1" si="200"/>
        <v>-1.0551658979826398E+16</v>
      </c>
      <c r="J5912" s="444">
        <f t="array" ref="J5912">IFERROR(INDEX('Retirement Calculator'!K:K,MATCH('Lorri 401b'!N5912,'Retirement Calculator'!A:A,0),0),0)</f>
        <v>0</v>
      </c>
      <c r="K5912" s="444">
        <f t="shared" ca="1" si="198"/>
        <v>-43965245749276.656</v>
      </c>
      <c r="L5912" s="444">
        <f t="shared" ca="1" si="199"/>
        <v>-1.0595624225575674E+16</v>
      </c>
      <c r="M5912" s="460">
        <f t="shared" si="201"/>
        <v>0.05</v>
      </c>
      <c r="N5912" s="464">
        <f t="shared" si="202"/>
        <v>230987</v>
      </c>
    </row>
    <row r="5913" spans="7:14" ht="11.25" customHeight="1" x14ac:dyDescent="0.3">
      <c r="G5913" s="459"/>
      <c r="H5913" s="459">
        <v>5906</v>
      </c>
      <c r="I5913" s="444">
        <f t="shared" ca="1" si="200"/>
        <v>-1.0595624225575674E+16</v>
      </c>
      <c r="J5913" s="444">
        <f t="array" ref="J5913">IFERROR(INDEX('Retirement Calculator'!K:K,MATCH('Lorri 401b'!N5913,'Retirement Calculator'!A:A,0),0),0)</f>
        <v>0</v>
      </c>
      <c r="K5913" s="444">
        <f t="shared" ca="1" si="198"/>
        <v>-44148434273231.977</v>
      </c>
      <c r="L5913" s="444">
        <f t="shared" ca="1" si="199"/>
        <v>-1.0639772659848906E+16</v>
      </c>
      <c r="M5913" s="460">
        <f t="shared" si="201"/>
        <v>0.05</v>
      </c>
      <c r="N5913" s="464">
        <f t="shared" si="202"/>
        <v>231017</v>
      </c>
    </row>
    <row r="5914" spans="7:14" ht="11.25" customHeight="1" x14ac:dyDescent="0.3">
      <c r="G5914" s="459"/>
      <c r="H5914" s="459">
        <v>5907</v>
      </c>
      <c r="I5914" s="444">
        <f t="shared" ca="1" si="200"/>
        <v>-1.0639772659848906E+16</v>
      </c>
      <c r="J5914" s="444">
        <f t="array" ref="J5914">IFERROR(INDEX('Retirement Calculator'!K:K,MATCH('Lorri 401b'!N5914,'Retirement Calculator'!A:A,0),0),0)</f>
        <v>0</v>
      </c>
      <c r="K5914" s="444">
        <f t="shared" ca="1" si="198"/>
        <v>-44332386082703.773</v>
      </c>
      <c r="L5914" s="444">
        <f t="shared" ca="1" si="199"/>
        <v>-1.068410504593161E+16</v>
      </c>
      <c r="M5914" s="460">
        <f t="shared" si="201"/>
        <v>0.05</v>
      </c>
      <c r="N5914" s="464">
        <f t="shared" si="202"/>
        <v>231048</v>
      </c>
    </row>
    <row r="5915" spans="7:14" ht="11.25" customHeight="1" x14ac:dyDescent="0.3">
      <c r="G5915" s="459"/>
      <c r="H5915" s="459">
        <v>5908</v>
      </c>
      <c r="I5915" s="444">
        <f t="shared" ca="1" si="200"/>
        <v>-1.068410504593161E+16</v>
      </c>
      <c r="J5915" s="444">
        <f t="array" ref="J5915">IFERROR(INDEX('Retirement Calculator'!K:K,MATCH('Lorri 401b'!N5915,'Retirement Calculator'!A:A,0),0),0)</f>
        <v>0</v>
      </c>
      <c r="K5915" s="444">
        <f t="shared" ca="1" si="198"/>
        <v>-44517104358048.375</v>
      </c>
      <c r="L5915" s="444">
        <f t="shared" ca="1" si="199"/>
        <v>-1.0728622150289658E+16</v>
      </c>
      <c r="M5915" s="460">
        <f t="shared" si="201"/>
        <v>0.05</v>
      </c>
      <c r="N5915" s="464">
        <f t="shared" si="202"/>
        <v>231079</v>
      </c>
    </row>
    <row r="5916" spans="7:14" ht="11.25" customHeight="1" x14ac:dyDescent="0.3">
      <c r="G5916" s="459"/>
      <c r="H5916" s="459">
        <v>5909</v>
      </c>
      <c r="I5916" s="444">
        <f t="shared" ca="1" si="200"/>
        <v>-1.0728622150289658E+16</v>
      </c>
      <c r="J5916" s="444">
        <f t="array" ref="J5916">IFERROR(INDEX('Retirement Calculator'!K:K,MATCH('Lorri 401b'!N5916,'Retirement Calculator'!A:A,0),0),0)</f>
        <v>0</v>
      </c>
      <c r="K5916" s="444">
        <f t="shared" ca="1" si="198"/>
        <v>-44702592292873.578</v>
      </c>
      <c r="L5916" s="444">
        <f t="shared" ca="1" si="199"/>
        <v>-1.0773324742582532E+16</v>
      </c>
      <c r="M5916" s="460">
        <f t="shared" si="201"/>
        <v>0.05</v>
      </c>
      <c r="N5916" s="464">
        <f t="shared" si="202"/>
        <v>231109</v>
      </c>
    </row>
    <row r="5917" spans="7:14" ht="11.25" customHeight="1" x14ac:dyDescent="0.3">
      <c r="G5917" s="459"/>
      <c r="H5917" s="459">
        <v>5910</v>
      </c>
      <c r="I5917" s="444">
        <f t="shared" ca="1" si="200"/>
        <v>-1.0773324742582532E+16</v>
      </c>
      <c r="J5917" s="444">
        <f t="array" ref="J5917">IFERROR(INDEX('Retirement Calculator'!K:K,MATCH('Lorri 401b'!N5917,'Retirement Calculator'!A:A,0),0),0)</f>
        <v>0</v>
      </c>
      <c r="K5917" s="444">
        <f t="shared" ca="1" si="198"/>
        <v>-44888853094093.883</v>
      </c>
      <c r="L5917" s="444">
        <f t="shared" ca="1" si="199"/>
        <v>-1.0818213595676626E+16</v>
      </c>
      <c r="M5917" s="460">
        <f t="shared" si="201"/>
        <v>0.05</v>
      </c>
      <c r="N5917" s="464">
        <f t="shared" si="202"/>
        <v>231140</v>
      </c>
    </row>
    <row r="5918" spans="7:14" ht="11.25" customHeight="1" x14ac:dyDescent="0.3">
      <c r="G5918" s="459"/>
      <c r="H5918" s="459">
        <v>5911</v>
      </c>
      <c r="I5918" s="444">
        <f t="shared" ca="1" si="200"/>
        <v>-1.0818213595676626E+16</v>
      </c>
      <c r="J5918" s="444">
        <f t="array" ref="J5918">IFERROR(INDEX('Retirement Calculator'!K:K,MATCH('Lorri 401b'!N5918,'Retirement Calculator'!A:A,0),0),0)</f>
        <v>0</v>
      </c>
      <c r="K5918" s="444">
        <f t="shared" ca="1" si="198"/>
        <v>-45075889981985.938</v>
      </c>
      <c r="L5918" s="444">
        <f t="shared" ca="1" si="199"/>
        <v>-1.0863289485658612E+16</v>
      </c>
      <c r="M5918" s="460">
        <f t="shared" si="201"/>
        <v>0.05</v>
      </c>
      <c r="N5918" s="464">
        <f t="shared" si="202"/>
        <v>231170</v>
      </c>
    </row>
    <row r="5919" spans="7:14" ht="11.25" customHeight="1" x14ac:dyDescent="0.3">
      <c r="G5919" s="459"/>
      <c r="H5919" s="459">
        <v>5912</v>
      </c>
      <c r="I5919" s="444">
        <f t="shared" ca="1" si="200"/>
        <v>-1.0863289485658612E+16</v>
      </c>
      <c r="J5919" s="444">
        <f t="array" ref="J5919">IFERROR(INDEX('Retirement Calculator'!K:K,MATCH('Lorri 401b'!N5919,'Retirement Calculator'!A:A,0),0),0)</f>
        <v>0</v>
      </c>
      <c r="K5919" s="444">
        <f t="shared" ca="1" si="198"/>
        <v>-45263706190244.219</v>
      </c>
      <c r="L5919" s="444">
        <f t="shared" ca="1" si="199"/>
        <v>-1.0908553191848856E+16</v>
      </c>
      <c r="M5919" s="460">
        <f t="shared" si="201"/>
        <v>0.05</v>
      </c>
      <c r="N5919" s="464">
        <f t="shared" si="202"/>
        <v>231201</v>
      </c>
    </row>
    <row r="5920" spans="7:14" ht="11.25" customHeight="1" x14ac:dyDescent="0.3">
      <c r="G5920" s="459"/>
      <c r="H5920" s="459">
        <v>5913</v>
      </c>
      <c r="I5920" s="444">
        <f t="shared" ca="1" si="200"/>
        <v>-1.0908553191848856E+16</v>
      </c>
      <c r="J5920" s="444">
        <f t="array" ref="J5920">IFERROR(INDEX('Retirement Calculator'!K:K,MATCH('Lorri 401b'!N5920,'Retirement Calculator'!A:A,0),0),0)</f>
        <v>0</v>
      </c>
      <c r="K5920" s="444">
        <f t="shared" ca="1" si="198"/>
        <v>-45452304966036.898</v>
      </c>
      <c r="L5920" s="444">
        <f t="shared" ca="1" si="199"/>
        <v>-1.0954005496814892E+16</v>
      </c>
      <c r="M5920" s="460">
        <f t="shared" si="201"/>
        <v>0.05</v>
      </c>
      <c r="N5920" s="464">
        <f t="shared" si="202"/>
        <v>231232</v>
      </c>
    </row>
    <row r="5921" spans="7:14" ht="11.25" customHeight="1" x14ac:dyDescent="0.3">
      <c r="G5921" s="459"/>
      <c r="H5921" s="459">
        <v>5914</v>
      </c>
      <c r="I5921" s="444">
        <f t="shared" ca="1" si="200"/>
        <v>-1.0954005496814892E+16</v>
      </c>
      <c r="J5921" s="444">
        <f t="array" ref="J5921">IFERROR(INDEX('Retirement Calculator'!K:K,MATCH('Lorri 401b'!N5921,'Retirement Calculator'!A:A,0),0),0)</f>
        <v>0</v>
      </c>
      <c r="K5921" s="444">
        <f t="shared" ca="1" si="198"/>
        <v>-45641689570062.047</v>
      </c>
      <c r="L5921" s="444">
        <f t="shared" ca="1" si="199"/>
        <v>-1.0999647186384954E+16</v>
      </c>
      <c r="M5921" s="460">
        <f t="shared" si="201"/>
        <v>0.05</v>
      </c>
      <c r="N5921" s="464">
        <f t="shared" si="202"/>
        <v>231260</v>
      </c>
    </row>
    <row r="5922" spans="7:14" ht="11.25" customHeight="1" x14ac:dyDescent="0.3">
      <c r="G5922" s="459"/>
      <c r="H5922" s="459">
        <v>5915</v>
      </c>
      <c r="I5922" s="444">
        <f t="shared" ca="1" si="200"/>
        <v>-1.0999647186384954E+16</v>
      </c>
      <c r="J5922" s="444">
        <f t="array" ref="J5922">IFERROR(INDEX('Retirement Calculator'!K:K,MATCH('Lorri 401b'!N5922,'Retirement Calculator'!A:A,0),0),0)</f>
        <v>0</v>
      </c>
      <c r="K5922" s="444">
        <f t="shared" ca="1" si="198"/>
        <v>-45831863276603.977</v>
      </c>
      <c r="L5922" s="444">
        <f t="shared" ca="1" si="199"/>
        <v>-1.1045479049661558E+16</v>
      </c>
      <c r="M5922" s="460">
        <f t="shared" si="201"/>
        <v>0.05</v>
      </c>
      <c r="N5922" s="464">
        <f t="shared" si="202"/>
        <v>231291</v>
      </c>
    </row>
    <row r="5923" spans="7:14" ht="11.25" customHeight="1" x14ac:dyDescent="0.3">
      <c r="G5923" s="459"/>
      <c r="H5923" s="459">
        <v>5916</v>
      </c>
      <c r="I5923" s="444">
        <f t="shared" ca="1" si="200"/>
        <v>-1.1045479049661558E+16</v>
      </c>
      <c r="J5923" s="444">
        <f t="array" ref="J5923">IFERROR(INDEX('Retirement Calculator'!K:K,MATCH('Lorri 401b'!N5923,'Retirement Calculator'!A:A,0),0),0)</f>
        <v>0</v>
      </c>
      <c r="K5923" s="444">
        <f t="shared" ca="1" si="198"/>
        <v>-46022829373589.828</v>
      </c>
      <c r="L5923" s="444">
        <f t="shared" ca="1" si="199"/>
        <v>-1.1091501879035148E+16</v>
      </c>
      <c r="M5923" s="460">
        <f t="shared" si="201"/>
        <v>0.05</v>
      </c>
      <c r="N5923" s="464">
        <f t="shared" si="202"/>
        <v>231321</v>
      </c>
    </row>
    <row r="5924" spans="7:14" ht="11.25" customHeight="1" x14ac:dyDescent="0.3">
      <c r="G5924" s="459"/>
      <c r="H5924" s="459">
        <v>5917</v>
      </c>
      <c r="I5924" s="444">
        <f t="shared" ca="1" si="200"/>
        <v>-1.1091501879035148E+16</v>
      </c>
      <c r="J5924" s="444">
        <f t="array" ref="J5924">IFERROR(INDEX('Retirement Calculator'!K:K,MATCH('Lorri 401b'!N5924,'Retirement Calculator'!A:A,0),0),0)</f>
        <v>0</v>
      </c>
      <c r="K5924" s="444">
        <f t="shared" ca="1" si="198"/>
        <v>-46214591162646.453</v>
      </c>
      <c r="L5924" s="444">
        <f t="shared" ca="1" si="199"/>
        <v>-1.1137716470197794E+16</v>
      </c>
      <c r="M5924" s="460">
        <f t="shared" si="201"/>
        <v>0.05</v>
      </c>
      <c r="N5924" s="464">
        <f t="shared" si="202"/>
        <v>231352</v>
      </c>
    </row>
    <row r="5925" spans="7:14" ht="11.25" customHeight="1" x14ac:dyDescent="0.3">
      <c r="G5925" s="459"/>
      <c r="H5925" s="459">
        <v>5918</v>
      </c>
      <c r="I5925" s="444">
        <f t="shared" ca="1" si="200"/>
        <v>-1.1137716470197794E+16</v>
      </c>
      <c r="J5925" s="444">
        <f t="array" ref="J5925">IFERROR(INDEX('Retirement Calculator'!K:K,MATCH('Lorri 401b'!N5925,'Retirement Calculator'!A:A,0),0),0)</f>
        <v>0</v>
      </c>
      <c r="K5925" s="444">
        <f t="shared" ca="1" si="198"/>
        <v>-46407151959157.477</v>
      </c>
      <c r="L5925" s="444">
        <f t="shared" ca="1" si="199"/>
        <v>-1.1184123622156952E+16</v>
      </c>
      <c r="M5925" s="460">
        <f t="shared" si="201"/>
        <v>0.05</v>
      </c>
      <c r="N5925" s="464">
        <f t="shared" si="202"/>
        <v>231382</v>
      </c>
    </row>
    <row r="5926" spans="7:14" ht="11.25" customHeight="1" x14ac:dyDescent="0.3">
      <c r="G5926" s="459"/>
      <c r="H5926" s="459">
        <v>5919</v>
      </c>
      <c r="I5926" s="444">
        <f t="shared" ca="1" si="200"/>
        <v>-1.1184123622156952E+16</v>
      </c>
      <c r="J5926" s="444">
        <f t="array" ref="J5926">IFERROR(INDEX('Retirement Calculator'!K:K,MATCH('Lorri 401b'!N5926,'Retirement Calculator'!A:A,0),0),0)</f>
        <v>0</v>
      </c>
      <c r="K5926" s="444">
        <f t="shared" ca="1" si="198"/>
        <v>-46600515092320.633</v>
      </c>
      <c r="L5926" s="444">
        <f t="shared" ca="1" si="199"/>
        <v>-1.1230724137249272E+16</v>
      </c>
      <c r="M5926" s="460">
        <f t="shared" si="201"/>
        <v>0.05</v>
      </c>
      <c r="N5926" s="464">
        <f t="shared" si="202"/>
        <v>231413</v>
      </c>
    </row>
    <row r="5927" spans="7:14" ht="11.25" customHeight="1" x14ac:dyDescent="0.3">
      <c r="G5927" s="459"/>
      <c r="H5927" s="459">
        <v>5920</v>
      </c>
      <c r="I5927" s="444">
        <f t="shared" ca="1" si="200"/>
        <v>-1.1230724137249272E+16</v>
      </c>
      <c r="J5927" s="444">
        <f t="array" ref="J5927">IFERROR(INDEX('Retirement Calculator'!K:K,MATCH('Lorri 401b'!N5927,'Retirement Calculator'!A:A,0),0),0)</f>
        <v>0</v>
      </c>
      <c r="K5927" s="444">
        <f t="shared" ca="1" si="198"/>
        <v>-46794683905205.297</v>
      </c>
      <c r="L5927" s="444">
        <f t="shared" ca="1" si="199"/>
        <v>-1.1277518821154478E+16</v>
      </c>
      <c r="M5927" s="460">
        <f t="shared" si="201"/>
        <v>0.05</v>
      </c>
      <c r="N5927" s="464">
        <f t="shared" si="202"/>
        <v>231444</v>
      </c>
    </row>
    <row r="5928" spans="7:14" ht="11.25" customHeight="1" x14ac:dyDescent="0.3">
      <c r="G5928" s="459"/>
      <c r="H5928" s="459">
        <v>5921</v>
      </c>
      <c r="I5928" s="444">
        <f t="shared" ca="1" si="200"/>
        <v>-1.1277518821154478E+16</v>
      </c>
      <c r="J5928" s="444">
        <f t="array" ref="J5928">IFERROR(INDEX('Retirement Calculator'!K:K,MATCH('Lorri 401b'!N5928,'Retirement Calculator'!A:A,0),0),0)</f>
        <v>0</v>
      </c>
      <c r="K5928" s="444">
        <f t="shared" ca="1" si="198"/>
        <v>-46989661754810.328</v>
      </c>
      <c r="L5928" s="444">
        <f t="shared" ca="1" si="199"/>
        <v>-1.1324508482909288E+16</v>
      </c>
      <c r="M5928" s="460">
        <f t="shared" si="201"/>
        <v>0.05</v>
      </c>
      <c r="N5928" s="464">
        <f t="shared" si="202"/>
        <v>231474</v>
      </c>
    </row>
    <row r="5929" spans="7:14" ht="11.25" customHeight="1" x14ac:dyDescent="0.3">
      <c r="G5929" s="459"/>
      <c r="H5929" s="459">
        <v>5922</v>
      </c>
      <c r="I5929" s="444">
        <f t="shared" ca="1" si="200"/>
        <v>-1.1324508482909288E+16</v>
      </c>
      <c r="J5929" s="444">
        <f t="array" ref="J5929">IFERROR(INDEX('Retirement Calculator'!K:K,MATCH('Lorri 401b'!N5929,'Retirement Calculator'!A:A,0),0),0)</f>
        <v>0</v>
      </c>
      <c r="K5929" s="444">
        <f t="shared" ca="1" si="198"/>
        <v>-47185452012122.031</v>
      </c>
      <c r="L5929" s="444">
        <f t="shared" ca="1" si="199"/>
        <v>-1.137169393492141E+16</v>
      </c>
      <c r="M5929" s="460">
        <f t="shared" si="201"/>
        <v>0.05</v>
      </c>
      <c r="N5929" s="464">
        <f t="shared" si="202"/>
        <v>231505</v>
      </c>
    </row>
    <row r="5930" spans="7:14" ht="11.25" customHeight="1" x14ac:dyDescent="0.3">
      <c r="G5930" s="459"/>
      <c r="H5930" s="459">
        <v>5923</v>
      </c>
      <c r="I5930" s="444">
        <f t="shared" ca="1" si="200"/>
        <v>-1.137169393492141E+16</v>
      </c>
      <c r="J5930" s="444">
        <f t="array" ref="J5930">IFERROR(INDEX('Retirement Calculator'!K:K,MATCH('Lorri 401b'!N5930,'Retirement Calculator'!A:A,0),0),0)</f>
        <v>0</v>
      </c>
      <c r="K5930" s="444">
        <f t="shared" ca="1" si="198"/>
        <v>-47382058062172.539</v>
      </c>
      <c r="L5930" s="444">
        <f t="shared" ca="1" si="199"/>
        <v>-1.1419075992983582E+16</v>
      </c>
      <c r="M5930" s="460">
        <f t="shared" si="201"/>
        <v>0.05</v>
      </c>
      <c r="N5930" s="464">
        <f t="shared" si="202"/>
        <v>231535</v>
      </c>
    </row>
    <row r="5931" spans="7:14" ht="11.25" customHeight="1" x14ac:dyDescent="0.3">
      <c r="G5931" s="459"/>
      <c r="H5931" s="459">
        <v>5924</v>
      </c>
      <c r="I5931" s="444">
        <f t="shared" ca="1" si="200"/>
        <v>-1.1419075992983582E+16</v>
      </c>
      <c r="J5931" s="444">
        <f t="array" ref="J5931">IFERROR(INDEX('Retirement Calculator'!K:K,MATCH('Lorri 401b'!N5931,'Retirement Calculator'!A:A,0),0),0)</f>
        <v>0</v>
      </c>
      <c r="K5931" s="444">
        <f t="shared" ca="1" si="198"/>
        <v>-47579483304098.258</v>
      </c>
      <c r="L5931" s="444">
        <f t="shared" ca="1" si="199"/>
        <v>-1.146665547628768E+16</v>
      </c>
      <c r="M5931" s="460">
        <f t="shared" si="201"/>
        <v>0.05</v>
      </c>
      <c r="N5931" s="464">
        <f t="shared" si="202"/>
        <v>231566</v>
      </c>
    </row>
    <row r="5932" spans="7:14" ht="11.25" customHeight="1" x14ac:dyDescent="0.3">
      <c r="G5932" s="459"/>
      <c r="H5932" s="459">
        <v>5925</v>
      </c>
      <c r="I5932" s="444">
        <f t="shared" ca="1" si="200"/>
        <v>-1.146665547628768E+16</v>
      </c>
      <c r="J5932" s="444">
        <f t="array" ref="J5932">IFERROR(INDEX('Retirement Calculator'!K:K,MATCH('Lorri 401b'!N5932,'Retirement Calculator'!A:A,0),0),0)</f>
        <v>0</v>
      </c>
      <c r="K5932" s="444">
        <f t="shared" ca="1" si="198"/>
        <v>-47777731151198.664</v>
      </c>
      <c r="L5932" s="444">
        <f t="shared" ca="1" si="199"/>
        <v>-1.1514433207438878E+16</v>
      </c>
      <c r="M5932" s="460">
        <f t="shared" si="201"/>
        <v>0.05</v>
      </c>
      <c r="N5932" s="464">
        <f t="shared" si="202"/>
        <v>231597</v>
      </c>
    </row>
    <row r="5933" spans="7:14" ht="11.25" customHeight="1" x14ac:dyDescent="0.3">
      <c r="G5933" s="459"/>
      <c r="H5933" s="459">
        <v>5926</v>
      </c>
      <c r="I5933" s="444">
        <f t="shared" ca="1" si="200"/>
        <v>-1.1514433207438878E+16</v>
      </c>
      <c r="J5933" s="444">
        <f t="array" ref="J5933">IFERROR(INDEX('Retirement Calculator'!K:K,MATCH('Lorri 401b'!N5933,'Retirement Calculator'!A:A,0),0),0)</f>
        <v>0</v>
      </c>
      <c r="K5933" s="444">
        <f t="shared" ca="1" si="198"/>
        <v>-47976805030995.328</v>
      </c>
      <c r="L5933" s="444">
        <f t="shared" ca="1" si="199"/>
        <v>-1.1562410012469874E+16</v>
      </c>
      <c r="M5933" s="460">
        <f t="shared" si="201"/>
        <v>0.05</v>
      </c>
      <c r="N5933" s="464">
        <f t="shared" si="202"/>
        <v>231625</v>
      </c>
    </row>
    <row r="5934" spans="7:14" ht="11.25" customHeight="1" x14ac:dyDescent="0.3">
      <c r="G5934" s="459"/>
      <c r="H5934" s="459">
        <v>5927</v>
      </c>
      <c r="I5934" s="444">
        <f t="shared" ca="1" si="200"/>
        <v>-1.1562410012469874E+16</v>
      </c>
      <c r="J5934" s="444">
        <f t="array" ref="J5934">IFERROR(INDEX('Retirement Calculator'!K:K,MATCH('Lorri 401b'!N5934,'Retirement Calculator'!A:A,0),0),0)</f>
        <v>0</v>
      </c>
      <c r="K5934" s="444">
        <f t="shared" ca="1" si="198"/>
        <v>-48176708385291.141</v>
      </c>
      <c r="L5934" s="444">
        <f t="shared" ca="1" si="199"/>
        <v>-1.1610586720855166E+16</v>
      </c>
      <c r="M5934" s="460">
        <f t="shared" si="201"/>
        <v>0.05</v>
      </c>
      <c r="N5934" s="464">
        <f t="shared" si="202"/>
        <v>231656</v>
      </c>
    </row>
    <row r="5935" spans="7:14" ht="11.25" customHeight="1" x14ac:dyDescent="0.3">
      <c r="G5935" s="459"/>
      <c r="H5935" s="459">
        <v>5928</v>
      </c>
      <c r="I5935" s="444">
        <f t="shared" ca="1" si="200"/>
        <v>-1.1610586720855166E+16</v>
      </c>
      <c r="J5935" s="444">
        <f t="array" ref="J5935">IFERROR(INDEX('Retirement Calculator'!K:K,MATCH('Lorri 401b'!N5935,'Retirement Calculator'!A:A,0),0),0)</f>
        <v>0</v>
      </c>
      <c r="K5935" s="444">
        <f t="shared" ca="1" si="198"/>
        <v>-48377444670229.859</v>
      </c>
      <c r="L5935" s="444">
        <f t="shared" ca="1" si="199"/>
        <v>-1.1658964165525396E+16</v>
      </c>
      <c r="M5935" s="460">
        <f t="shared" si="201"/>
        <v>0.05</v>
      </c>
      <c r="N5935" s="464">
        <f t="shared" si="202"/>
        <v>231686</v>
      </c>
    </row>
    <row r="5936" spans="7:14" ht="11.25" customHeight="1" x14ac:dyDescent="0.3">
      <c r="G5936" s="459"/>
      <c r="H5936" s="459">
        <v>5929</v>
      </c>
      <c r="I5936" s="444">
        <f t="shared" ca="1" si="200"/>
        <v>-1.1658964165525396E+16</v>
      </c>
      <c r="J5936" s="444">
        <f t="array" ref="J5936">IFERROR(INDEX('Retirement Calculator'!K:K,MATCH('Lorri 401b'!N5936,'Retirement Calculator'!A:A,0),0),0)</f>
        <v>0</v>
      </c>
      <c r="K5936" s="444">
        <f t="shared" ca="1" si="198"/>
        <v>-48579017356355.813</v>
      </c>
      <c r="L5936" s="444">
        <f t="shared" ca="1" si="199"/>
        <v>-1.1707543182881752E+16</v>
      </c>
      <c r="M5936" s="460">
        <f t="shared" si="201"/>
        <v>0.05</v>
      </c>
      <c r="N5936" s="464">
        <f t="shared" si="202"/>
        <v>231717</v>
      </c>
    </row>
    <row r="5937" spans="7:14" ht="11.25" customHeight="1" x14ac:dyDescent="0.3">
      <c r="G5937" s="459"/>
      <c r="H5937" s="459">
        <v>5930</v>
      </c>
      <c r="I5937" s="444">
        <f t="shared" ca="1" si="200"/>
        <v>-1.1707543182881752E+16</v>
      </c>
      <c r="J5937" s="444">
        <f t="array" ref="J5937">IFERROR(INDEX('Retirement Calculator'!K:K,MATCH('Lorri 401b'!N5937,'Retirement Calculator'!A:A,0),0),0)</f>
        <v>0</v>
      </c>
      <c r="K5937" s="444">
        <f t="shared" ca="1" si="198"/>
        <v>-48781429928673.969</v>
      </c>
      <c r="L5937" s="444">
        <f t="shared" ca="1" si="199"/>
        <v>-1.1756324612810426E+16</v>
      </c>
      <c r="M5937" s="460">
        <f t="shared" si="201"/>
        <v>0.05</v>
      </c>
      <c r="N5937" s="464">
        <f t="shared" si="202"/>
        <v>231747</v>
      </c>
    </row>
    <row r="5938" spans="7:14" ht="11.25" customHeight="1" x14ac:dyDescent="0.3">
      <c r="G5938" s="459"/>
      <c r="H5938" s="459">
        <v>5931</v>
      </c>
      <c r="I5938" s="444">
        <f t="shared" ca="1" si="200"/>
        <v>-1.1756324612810426E+16</v>
      </c>
      <c r="J5938" s="444">
        <f t="array" ref="J5938">IFERROR(INDEX('Retirement Calculator'!K:K,MATCH('Lorri 401b'!N5938,'Retirement Calculator'!A:A,0),0),0)</f>
        <v>0</v>
      </c>
      <c r="K5938" s="444">
        <f t="shared" ca="1" si="198"/>
        <v>-48984685886710.109</v>
      </c>
      <c r="L5938" s="444">
        <f t="shared" ca="1" si="199"/>
        <v>-1.1805309298697136E+16</v>
      </c>
      <c r="M5938" s="460">
        <f t="shared" si="201"/>
        <v>0.05</v>
      </c>
      <c r="N5938" s="464">
        <f t="shared" si="202"/>
        <v>231778</v>
      </c>
    </row>
    <row r="5939" spans="7:14" ht="11.25" customHeight="1" x14ac:dyDescent="0.3">
      <c r="G5939" s="459"/>
      <c r="H5939" s="459">
        <v>5932</v>
      </c>
      <c r="I5939" s="444">
        <f t="shared" ca="1" si="200"/>
        <v>-1.1805309298697136E+16</v>
      </c>
      <c r="J5939" s="444">
        <f t="array" ref="J5939">IFERROR(INDEX('Retirement Calculator'!K:K,MATCH('Lorri 401b'!N5939,'Retirement Calculator'!A:A,0),0),0)</f>
        <v>0</v>
      </c>
      <c r="K5939" s="444">
        <f t="shared" ca="1" si="198"/>
        <v>-49188788744571.398</v>
      </c>
      <c r="L5939" s="444">
        <f t="shared" ca="1" si="199"/>
        <v>-1.1854498087441708E+16</v>
      </c>
      <c r="M5939" s="460">
        <f t="shared" si="201"/>
        <v>0.05</v>
      </c>
      <c r="N5939" s="464">
        <f t="shared" si="202"/>
        <v>231809</v>
      </c>
    </row>
    <row r="5940" spans="7:14" ht="11.25" customHeight="1" x14ac:dyDescent="0.3">
      <c r="G5940" s="459"/>
      <c r="H5940" s="459">
        <v>5933</v>
      </c>
      <c r="I5940" s="444">
        <f t="shared" ca="1" si="200"/>
        <v>-1.1854498087441708E+16</v>
      </c>
      <c r="J5940" s="444">
        <f t="array" ref="J5940">IFERROR(INDEX('Retirement Calculator'!K:K,MATCH('Lorri 401b'!N5940,'Retirement Calculator'!A:A,0),0),0)</f>
        <v>0</v>
      </c>
      <c r="K5940" s="444">
        <f t="shared" ca="1" si="198"/>
        <v>-49393742031007.117</v>
      </c>
      <c r="L5940" s="444">
        <f t="shared" ca="1" si="199"/>
        <v>-1.1903891829472716E+16</v>
      </c>
      <c r="M5940" s="460">
        <f t="shared" si="201"/>
        <v>0.05</v>
      </c>
      <c r="N5940" s="464">
        <f t="shared" si="202"/>
        <v>231839</v>
      </c>
    </row>
    <row r="5941" spans="7:14" ht="11.25" customHeight="1" x14ac:dyDescent="0.3">
      <c r="G5941" s="459"/>
      <c r="H5941" s="459">
        <v>5934</v>
      </c>
      <c r="I5941" s="444">
        <f t="shared" ca="1" si="200"/>
        <v>-1.1903891829472716E+16</v>
      </c>
      <c r="J5941" s="444">
        <f t="array" ref="J5941">IFERROR(INDEX('Retirement Calculator'!K:K,MATCH('Lorri 401b'!N5941,'Retirement Calculator'!A:A,0),0),0)</f>
        <v>0</v>
      </c>
      <c r="K5941" s="444">
        <f t="shared" ca="1" si="198"/>
        <v>-49599549289469.648</v>
      </c>
      <c r="L5941" s="444">
        <f t="shared" ca="1" si="199"/>
        <v>-1.1953491378762186E+16</v>
      </c>
      <c r="M5941" s="460">
        <f t="shared" si="201"/>
        <v>0.05</v>
      </c>
      <c r="N5941" s="464">
        <f t="shared" si="202"/>
        <v>231870</v>
      </c>
    </row>
    <row r="5942" spans="7:14" ht="11.25" customHeight="1" x14ac:dyDescent="0.3">
      <c r="G5942" s="459"/>
      <c r="H5942" s="459">
        <v>5935</v>
      </c>
      <c r="I5942" s="444">
        <f t="shared" ca="1" si="200"/>
        <v>-1.1953491378762186E+16</v>
      </c>
      <c r="J5942" s="444">
        <f t="array" ref="J5942">IFERROR(INDEX('Retirement Calculator'!K:K,MATCH('Lorri 401b'!N5942,'Retirement Calculator'!A:A,0),0),0)</f>
        <v>0</v>
      </c>
      <c r="K5942" s="444">
        <f t="shared" ca="1" si="198"/>
        <v>-49806214078175.773</v>
      </c>
      <c r="L5942" s="444">
        <f t="shared" ca="1" si="199"/>
        <v>-1.2003297592840362E+16</v>
      </c>
      <c r="M5942" s="460">
        <f t="shared" si="201"/>
        <v>0.05</v>
      </c>
      <c r="N5942" s="464">
        <f t="shared" si="202"/>
        <v>231900</v>
      </c>
    </row>
    <row r="5943" spans="7:14" ht="11.25" customHeight="1" x14ac:dyDescent="0.3">
      <c r="G5943" s="459"/>
      <c r="H5943" s="459">
        <v>5936</v>
      </c>
      <c r="I5943" s="444">
        <f t="shared" ca="1" si="200"/>
        <v>-1.2003297592840362E+16</v>
      </c>
      <c r="J5943" s="444">
        <f t="array" ref="J5943">IFERROR(INDEX('Retirement Calculator'!K:K,MATCH('Lorri 401b'!N5943,'Retirement Calculator'!A:A,0),0),0)</f>
        <v>0</v>
      </c>
      <c r="K5943" s="444">
        <f t="shared" ca="1" si="198"/>
        <v>-50013739970168.172</v>
      </c>
      <c r="L5943" s="444">
        <f t="shared" ca="1" si="199"/>
        <v>-1.205331133281053E+16</v>
      </c>
      <c r="M5943" s="460">
        <f t="shared" si="201"/>
        <v>0.05</v>
      </c>
      <c r="N5943" s="464">
        <f t="shared" si="202"/>
        <v>231931</v>
      </c>
    </row>
    <row r="5944" spans="7:14" ht="11.25" customHeight="1" x14ac:dyDescent="0.3">
      <c r="G5944" s="459"/>
      <c r="H5944" s="459">
        <v>5937</v>
      </c>
      <c r="I5944" s="444">
        <f t="shared" ca="1" si="200"/>
        <v>-1.205331133281053E+16</v>
      </c>
      <c r="J5944" s="444">
        <f t="array" ref="J5944">IFERROR(INDEX('Retirement Calculator'!K:K,MATCH('Lorri 401b'!N5944,'Retirement Calculator'!A:A,0),0),0)</f>
        <v>0</v>
      </c>
      <c r="K5944" s="444">
        <f t="shared" ca="1" si="198"/>
        <v>-50222130553377.211</v>
      </c>
      <c r="L5944" s="444">
        <f t="shared" ca="1" si="199"/>
        <v>-1.2103533463363908E+16</v>
      </c>
      <c r="M5944" s="460">
        <f t="shared" si="201"/>
        <v>0.05</v>
      </c>
      <c r="N5944" s="464">
        <f t="shared" si="202"/>
        <v>231962</v>
      </c>
    </row>
    <row r="5945" spans="7:14" ht="11.25" customHeight="1" x14ac:dyDescent="0.3">
      <c r="G5945" s="459"/>
      <c r="H5945" s="459">
        <v>5938</v>
      </c>
      <c r="I5945" s="444">
        <f t="shared" ca="1" si="200"/>
        <v>-1.2103533463363908E+16</v>
      </c>
      <c r="J5945" s="444">
        <f t="array" ref="J5945">IFERROR(INDEX('Retirement Calculator'!K:K,MATCH('Lorri 401b'!N5945,'Retirement Calculator'!A:A,0),0),0)</f>
        <v>0</v>
      </c>
      <c r="K5945" s="444">
        <f t="shared" ca="1" si="198"/>
        <v>-50431389430682.953</v>
      </c>
      <c r="L5945" s="444">
        <f t="shared" ca="1" si="199"/>
        <v>-1.215396485279459E+16</v>
      </c>
      <c r="M5945" s="460">
        <f t="shared" si="201"/>
        <v>0.05</v>
      </c>
      <c r="N5945" s="464">
        <f t="shared" si="202"/>
        <v>231990</v>
      </c>
    </row>
    <row r="5946" spans="7:14" ht="11.25" customHeight="1" x14ac:dyDescent="0.3">
      <c r="G5946" s="459"/>
      <c r="H5946" s="459">
        <v>5939</v>
      </c>
      <c r="I5946" s="444">
        <f t="shared" ca="1" si="200"/>
        <v>-1.215396485279459E+16</v>
      </c>
      <c r="J5946" s="444">
        <f t="array" ref="J5946">IFERROR(INDEX('Retirement Calculator'!K:K,MATCH('Lorri 401b'!N5946,'Retirement Calculator'!A:A,0),0),0)</f>
        <v>0</v>
      </c>
      <c r="K5946" s="444">
        <f t="shared" ca="1" si="198"/>
        <v>-50641520219977.461</v>
      </c>
      <c r="L5946" s="444">
        <f t="shared" ca="1" si="199"/>
        <v>-1.2204606373014568E+16</v>
      </c>
      <c r="M5946" s="460">
        <f t="shared" si="201"/>
        <v>0.05</v>
      </c>
      <c r="N5946" s="464">
        <f t="shared" si="202"/>
        <v>232021</v>
      </c>
    </row>
    <row r="5947" spans="7:14" ht="11.25" customHeight="1" x14ac:dyDescent="0.3">
      <c r="G5947" s="459"/>
      <c r="H5947" s="459">
        <v>5940</v>
      </c>
      <c r="I5947" s="444">
        <f t="shared" ca="1" si="200"/>
        <v>-1.2204606373014568E+16</v>
      </c>
      <c r="J5947" s="444">
        <f t="array" ref="J5947">IFERROR(INDEX('Retirement Calculator'!K:K,MATCH('Lorri 401b'!N5947,'Retirement Calculator'!A:A,0),0),0)</f>
        <v>0</v>
      </c>
      <c r="K5947" s="444">
        <f t="shared" ca="1" si="198"/>
        <v>-50852526554227.367</v>
      </c>
      <c r="L5947" s="444">
        <f t="shared" ca="1" si="199"/>
        <v>-1.2255458899568796E+16</v>
      </c>
      <c r="M5947" s="460">
        <f t="shared" si="201"/>
        <v>0.05</v>
      </c>
      <c r="N5947" s="464">
        <f t="shared" si="202"/>
        <v>232051</v>
      </c>
    </row>
    <row r="5948" spans="7:14" ht="11.25" customHeight="1" x14ac:dyDescent="0.3">
      <c r="G5948" s="459"/>
      <c r="H5948" s="459">
        <v>5941</v>
      </c>
      <c r="I5948" s="444">
        <f t="shared" ca="1" si="200"/>
        <v>-1.2255458899568796E+16</v>
      </c>
      <c r="J5948" s="444">
        <f t="array" ref="J5948">IFERROR(INDEX('Retirement Calculator'!K:K,MATCH('Lorri 401b'!N5948,'Retirement Calculator'!A:A,0),0),0)</f>
        <v>0</v>
      </c>
      <c r="K5948" s="444">
        <f t="shared" ca="1" si="198"/>
        <v>-51064412081536.648</v>
      </c>
      <c r="L5948" s="444">
        <f t="shared" ca="1" si="199"/>
        <v>-1.2306523311650332E+16</v>
      </c>
      <c r="M5948" s="460">
        <f t="shared" si="201"/>
        <v>0.05</v>
      </c>
      <c r="N5948" s="464">
        <f t="shared" si="202"/>
        <v>232082</v>
      </c>
    </row>
    <row r="5949" spans="7:14" ht="11.25" customHeight="1" x14ac:dyDescent="0.3">
      <c r="G5949" s="459"/>
      <c r="H5949" s="459">
        <v>5942</v>
      </c>
      <c r="I5949" s="444">
        <f t="shared" ca="1" si="200"/>
        <v>-1.2306523311650332E+16</v>
      </c>
      <c r="J5949" s="444">
        <f t="array" ref="J5949">IFERROR(INDEX('Retirement Calculator'!K:K,MATCH('Lorri 401b'!N5949,'Retirement Calculator'!A:A,0),0),0)</f>
        <v>0</v>
      </c>
      <c r="K5949" s="444">
        <f t="shared" ca="1" si="198"/>
        <v>-51277180465209.719</v>
      </c>
      <c r="L5949" s="444">
        <f t="shared" ca="1" si="199"/>
        <v>-1.2357800492115542E+16</v>
      </c>
      <c r="M5949" s="460">
        <f t="shared" si="201"/>
        <v>0.05</v>
      </c>
      <c r="N5949" s="464">
        <f t="shared" si="202"/>
        <v>232112</v>
      </c>
    </row>
    <row r="5950" spans="7:14" ht="11.25" customHeight="1" x14ac:dyDescent="0.3">
      <c r="G5950" s="459"/>
      <c r="H5950" s="459">
        <v>5943</v>
      </c>
      <c r="I5950" s="444">
        <f t="shared" ca="1" si="200"/>
        <v>-1.2357800492115542E+16</v>
      </c>
      <c r="J5950" s="444">
        <f t="array" ref="J5950">IFERROR(INDEX('Retirement Calculator'!K:K,MATCH('Lorri 401b'!N5950,'Retirement Calculator'!A:A,0),0),0)</f>
        <v>0</v>
      </c>
      <c r="K5950" s="444">
        <f t="shared" ca="1" si="198"/>
        <v>-51490835383814.758</v>
      </c>
      <c r="L5950" s="444">
        <f t="shared" ca="1" si="199"/>
        <v>-1.2409291327499356E+16</v>
      </c>
      <c r="M5950" s="460">
        <f t="shared" si="201"/>
        <v>0.05</v>
      </c>
      <c r="N5950" s="464">
        <f t="shared" si="202"/>
        <v>232143</v>
      </c>
    </row>
    <row r="5951" spans="7:14" ht="11.25" customHeight="1" x14ac:dyDescent="0.3">
      <c r="G5951" s="459"/>
      <c r="H5951" s="459">
        <v>5944</v>
      </c>
      <c r="I5951" s="444">
        <f t="shared" ca="1" si="200"/>
        <v>-1.2409291327499356E+16</v>
      </c>
      <c r="J5951" s="444">
        <f t="array" ref="J5951">IFERROR(INDEX('Retirement Calculator'!K:K,MATCH('Lorri 401b'!N5951,'Retirement Calculator'!A:A,0),0),0)</f>
        <v>0</v>
      </c>
      <c r="K5951" s="444">
        <f t="shared" ca="1" si="198"/>
        <v>-51705380531247.313</v>
      </c>
      <c r="L5951" s="444">
        <f t="shared" ca="1" si="199"/>
        <v>-1.2460996708030604E+16</v>
      </c>
      <c r="M5951" s="460">
        <f t="shared" si="201"/>
        <v>0.05</v>
      </c>
      <c r="N5951" s="464">
        <f t="shared" si="202"/>
        <v>232174</v>
      </c>
    </row>
    <row r="5952" spans="7:14" ht="11.25" customHeight="1" x14ac:dyDescent="0.3">
      <c r="G5952" s="459"/>
      <c r="H5952" s="459">
        <v>5945</v>
      </c>
      <c r="I5952" s="444">
        <f t="shared" ca="1" si="200"/>
        <v>-1.2460996708030604E+16</v>
      </c>
      <c r="J5952" s="444">
        <f t="array" ref="J5952">IFERROR(INDEX('Retirement Calculator'!K:K,MATCH('Lorri 401b'!N5952,'Retirement Calculator'!A:A,0),0),0)</f>
        <v>0</v>
      </c>
      <c r="K5952" s="444">
        <f t="shared" ca="1" si="198"/>
        <v>-51920819616794.18</v>
      </c>
      <c r="L5952" s="444">
        <f t="shared" ca="1" si="199"/>
        <v>-1.2512917527647398E+16</v>
      </c>
      <c r="M5952" s="460">
        <f t="shared" si="201"/>
        <v>0.05</v>
      </c>
      <c r="N5952" s="464">
        <f t="shared" si="202"/>
        <v>232204</v>
      </c>
    </row>
    <row r="5953" spans="7:14" ht="11.25" customHeight="1" x14ac:dyDescent="0.3">
      <c r="G5953" s="459"/>
      <c r="H5953" s="459">
        <v>5946</v>
      </c>
      <c r="I5953" s="444">
        <f t="shared" ca="1" si="200"/>
        <v>-1.2512917527647398E+16</v>
      </c>
      <c r="J5953" s="444">
        <f t="array" ref="J5953">IFERROR(INDEX('Retirement Calculator'!K:K,MATCH('Lorri 401b'!N5953,'Retirement Calculator'!A:A,0),0),0)</f>
        <v>0</v>
      </c>
      <c r="K5953" s="444">
        <f t="shared" ca="1" si="198"/>
        <v>-52137156365197.492</v>
      </c>
      <c r="L5953" s="444">
        <f t="shared" ca="1" si="199"/>
        <v>-1.2565054684012596E+16</v>
      </c>
      <c r="M5953" s="460">
        <f t="shared" si="201"/>
        <v>0.05</v>
      </c>
      <c r="N5953" s="464">
        <f t="shared" si="202"/>
        <v>232235</v>
      </c>
    </row>
    <row r="5954" spans="7:14" ht="11.25" customHeight="1" x14ac:dyDescent="0.3">
      <c r="G5954" s="459"/>
      <c r="H5954" s="459">
        <v>5947</v>
      </c>
      <c r="I5954" s="444">
        <f t="shared" ca="1" si="200"/>
        <v>-1.2565054684012596E+16</v>
      </c>
      <c r="J5954" s="444">
        <f t="array" ref="J5954">IFERROR(INDEX('Retirement Calculator'!K:K,MATCH('Lorri 401b'!N5954,'Retirement Calculator'!A:A,0),0),0)</f>
        <v>0</v>
      </c>
      <c r="K5954" s="444">
        <f t="shared" ca="1" si="198"/>
        <v>-52354394516719.148</v>
      </c>
      <c r="L5954" s="444">
        <f t="shared" ca="1" si="199"/>
        <v>-1.2617409078529316E+16</v>
      </c>
      <c r="M5954" s="460">
        <f t="shared" si="201"/>
        <v>0.05</v>
      </c>
      <c r="N5954" s="464">
        <f t="shared" si="202"/>
        <v>232265</v>
      </c>
    </row>
    <row r="5955" spans="7:14" ht="11.25" customHeight="1" x14ac:dyDescent="0.3">
      <c r="G5955" s="459"/>
      <c r="H5955" s="459">
        <v>5948</v>
      </c>
      <c r="I5955" s="444">
        <f t="shared" ca="1" si="200"/>
        <v>-1.2617409078529316E+16</v>
      </c>
      <c r="J5955" s="444">
        <f t="array" ref="J5955">IFERROR(INDEX('Retirement Calculator'!K:K,MATCH('Lorri 401b'!N5955,'Retirement Calculator'!A:A,0),0),0)</f>
        <v>0</v>
      </c>
      <c r="K5955" s="444">
        <f t="shared" ca="1" si="198"/>
        <v>-52572537827205.484</v>
      </c>
      <c r="L5955" s="444">
        <f t="shared" ca="1" si="199"/>
        <v>-1.2669981616356522E+16</v>
      </c>
      <c r="M5955" s="460">
        <f t="shared" si="201"/>
        <v>0.05</v>
      </c>
      <c r="N5955" s="464">
        <f t="shared" si="202"/>
        <v>232296</v>
      </c>
    </row>
    <row r="5956" spans="7:14" ht="11.25" customHeight="1" x14ac:dyDescent="0.3">
      <c r="G5956" s="459"/>
      <c r="H5956" s="459">
        <v>5949</v>
      </c>
      <c r="I5956" s="444">
        <f t="shared" ca="1" si="200"/>
        <v>-1.2669981616356522E+16</v>
      </c>
      <c r="J5956" s="444">
        <f t="array" ref="J5956">IFERROR(INDEX('Retirement Calculator'!K:K,MATCH('Lorri 401b'!N5956,'Retirement Calculator'!A:A,0),0),0)</f>
        <v>0</v>
      </c>
      <c r="K5956" s="444">
        <f t="shared" ca="1" si="198"/>
        <v>-52791590068152.172</v>
      </c>
      <c r="L5956" s="444">
        <f t="shared" ca="1" si="199"/>
        <v>-1.2722773206424674E+16</v>
      </c>
      <c r="M5956" s="460">
        <f t="shared" si="201"/>
        <v>0.05</v>
      </c>
      <c r="N5956" s="464">
        <f t="shared" si="202"/>
        <v>232327</v>
      </c>
    </row>
    <row r="5957" spans="7:14" ht="11.25" customHeight="1" x14ac:dyDescent="0.3">
      <c r="G5957" s="459"/>
      <c r="H5957" s="459">
        <v>5950</v>
      </c>
      <c r="I5957" s="444">
        <f t="shared" ca="1" si="200"/>
        <v>-1.2722773206424674E+16</v>
      </c>
      <c r="J5957" s="444">
        <f t="array" ref="J5957">IFERROR(INDEX('Retirement Calculator'!K:K,MATCH('Lorri 401b'!N5957,'Retirement Calculator'!A:A,0),0),0)</f>
        <v>0</v>
      </c>
      <c r="K5957" s="444">
        <f t="shared" ca="1" si="198"/>
        <v>-53011555026769.477</v>
      </c>
      <c r="L5957" s="444">
        <f t="shared" ca="1" si="199"/>
        <v>-1.2775784761451444E+16</v>
      </c>
      <c r="M5957" s="460">
        <f t="shared" si="201"/>
        <v>0.05</v>
      </c>
      <c r="N5957" s="464">
        <f t="shared" si="202"/>
        <v>232356</v>
      </c>
    </row>
    <row r="5958" spans="7:14" ht="11.25" customHeight="1" x14ac:dyDescent="0.3">
      <c r="G5958" s="459"/>
      <c r="H5958" s="459">
        <v>5951</v>
      </c>
      <c r="I5958" s="444">
        <f t="shared" ca="1" si="200"/>
        <v>-1.2775784761451444E+16</v>
      </c>
      <c r="J5958" s="444">
        <f t="array" ref="J5958">IFERROR(INDEX('Retirement Calculator'!K:K,MATCH('Lorri 401b'!N5958,'Retirement Calculator'!A:A,0),0),0)</f>
        <v>0</v>
      </c>
      <c r="K5958" s="444">
        <f t="shared" ca="1" si="198"/>
        <v>-53232436506047.68</v>
      </c>
      <c r="L5958" s="444">
        <f t="shared" ca="1" si="199"/>
        <v>-1.2829017197957492E+16</v>
      </c>
      <c r="M5958" s="460">
        <f t="shared" si="201"/>
        <v>0.05</v>
      </c>
      <c r="N5958" s="464">
        <f t="shared" si="202"/>
        <v>232387</v>
      </c>
    </row>
    <row r="5959" spans="7:14" ht="11.25" customHeight="1" x14ac:dyDescent="0.3">
      <c r="G5959" s="459"/>
      <c r="H5959" s="459">
        <v>5952</v>
      </c>
      <c r="I5959" s="444">
        <f t="shared" ca="1" si="200"/>
        <v>-1.2829017197957492E+16</v>
      </c>
      <c r="J5959" s="444">
        <f t="array" ref="J5959">IFERROR(INDEX('Retirement Calculator'!K:K,MATCH('Lorri 401b'!N5959,'Retirement Calculator'!A:A,0),0),0)</f>
        <v>0</v>
      </c>
      <c r="K5959" s="444">
        <f t="shared" ca="1" si="198"/>
        <v>-53454238324822.883</v>
      </c>
      <c r="L5959" s="444">
        <f t="shared" ca="1" si="199"/>
        <v>-1.2882471436282314E+16</v>
      </c>
      <c r="M5959" s="460">
        <f t="shared" si="201"/>
        <v>0.05</v>
      </c>
      <c r="N5959" s="464">
        <f t="shared" si="202"/>
        <v>232417</v>
      </c>
    </row>
    <row r="5960" spans="7:14" ht="11.25" customHeight="1" x14ac:dyDescent="0.3">
      <c r="G5960" s="459"/>
      <c r="H5960" s="459">
        <v>5953</v>
      </c>
      <c r="I5960" s="444">
        <f t="shared" ca="1" si="200"/>
        <v>-1.2882471436282314E+16</v>
      </c>
      <c r="J5960" s="444">
        <f t="array" ref="J5960">IFERROR(INDEX('Retirement Calculator'!K:K,MATCH('Lorri 401b'!N5960,'Retirement Calculator'!A:A,0),0),0)</f>
        <v>0</v>
      </c>
      <c r="K5960" s="444">
        <f t="shared" ca="1" si="198"/>
        <v>-53676964317842.977</v>
      </c>
      <c r="L5960" s="444">
        <f t="shared" ca="1" si="199"/>
        <v>-1.2936148400600156E+16</v>
      </c>
      <c r="M5960" s="460">
        <f t="shared" si="201"/>
        <v>0.05</v>
      </c>
      <c r="N5960" s="464">
        <f t="shared" si="202"/>
        <v>232448</v>
      </c>
    </row>
    <row r="5961" spans="7:14" ht="11.25" customHeight="1" x14ac:dyDescent="0.3">
      <c r="G5961" s="459"/>
      <c r="H5961" s="459">
        <v>5954</v>
      </c>
      <c r="I5961" s="444">
        <f t="shared" ca="1" si="200"/>
        <v>-1.2936148400600156E+16</v>
      </c>
      <c r="J5961" s="444">
        <f t="array" ref="J5961">IFERROR(INDEX('Retirement Calculator'!K:K,MATCH('Lorri 401b'!N5961,'Retirement Calculator'!A:A,0),0),0)</f>
        <v>0</v>
      </c>
      <c r="K5961" s="444">
        <f t="shared" ca="1" si="198"/>
        <v>-53900618335833.984</v>
      </c>
      <c r="L5961" s="444">
        <f t="shared" ca="1" si="199"/>
        <v>-1.299004901893599E+16</v>
      </c>
      <c r="M5961" s="460">
        <f t="shared" si="201"/>
        <v>0.05</v>
      </c>
      <c r="N5961" s="464">
        <f t="shared" si="202"/>
        <v>232478</v>
      </c>
    </row>
    <row r="5962" spans="7:14" ht="11.25" customHeight="1" x14ac:dyDescent="0.3">
      <c r="G5962" s="459"/>
      <c r="H5962" s="459">
        <v>5955</v>
      </c>
      <c r="I5962" s="444">
        <f t="shared" ca="1" si="200"/>
        <v>-1.299004901893599E+16</v>
      </c>
      <c r="J5962" s="444">
        <f t="array" ref="J5962">IFERROR(INDEX('Retirement Calculator'!K:K,MATCH('Lorri 401b'!N5962,'Retirement Calculator'!A:A,0),0),0)</f>
        <v>0</v>
      </c>
      <c r="K5962" s="444">
        <f t="shared" ca="1" si="198"/>
        <v>-54125204245566.625</v>
      </c>
      <c r="L5962" s="444">
        <f t="shared" ca="1" si="199"/>
        <v>-1.3044174223181556E+16</v>
      </c>
      <c r="M5962" s="460">
        <f t="shared" si="201"/>
        <v>0.05</v>
      </c>
      <c r="N5962" s="464">
        <f t="shared" si="202"/>
        <v>232509</v>
      </c>
    </row>
    <row r="5963" spans="7:14" ht="11.25" customHeight="1" x14ac:dyDescent="0.3">
      <c r="G5963" s="459"/>
      <c r="H5963" s="459">
        <v>5956</v>
      </c>
      <c r="I5963" s="444">
        <f t="shared" ca="1" si="200"/>
        <v>-1.3044174223181556E+16</v>
      </c>
      <c r="J5963" s="444">
        <f t="array" ref="J5963">IFERROR(INDEX('Retirement Calculator'!K:K,MATCH('Lorri 401b'!N5963,'Retirement Calculator'!A:A,0),0),0)</f>
        <v>0</v>
      </c>
      <c r="K5963" s="444">
        <f t="shared" ca="1" si="198"/>
        <v>-54350725929923.148</v>
      </c>
      <c r="L5963" s="444">
        <f t="shared" ca="1" si="199"/>
        <v>-1.309852494911148E+16</v>
      </c>
      <c r="M5963" s="460">
        <f t="shared" si="201"/>
        <v>0.05</v>
      </c>
      <c r="N5963" s="464">
        <f t="shared" si="202"/>
        <v>232540</v>
      </c>
    </row>
    <row r="5964" spans="7:14" ht="11.25" customHeight="1" x14ac:dyDescent="0.3">
      <c r="G5964" s="459"/>
      <c r="H5964" s="459">
        <v>5957</v>
      </c>
      <c r="I5964" s="444">
        <f t="shared" ca="1" si="200"/>
        <v>-1.309852494911148E+16</v>
      </c>
      <c r="J5964" s="444">
        <f t="array" ref="J5964">IFERROR(INDEX('Retirement Calculator'!K:K,MATCH('Lorri 401b'!N5964,'Retirement Calculator'!A:A,0),0),0)</f>
        <v>0</v>
      </c>
      <c r="K5964" s="444">
        <f t="shared" ca="1" si="198"/>
        <v>-54577187287964.5</v>
      </c>
      <c r="L5964" s="444">
        <f t="shared" ca="1" si="199"/>
        <v>-1.3153102136399444E+16</v>
      </c>
      <c r="M5964" s="460">
        <f t="shared" si="201"/>
        <v>0.05</v>
      </c>
      <c r="N5964" s="464">
        <f t="shared" si="202"/>
        <v>232570</v>
      </c>
    </row>
    <row r="5965" spans="7:14" ht="11.25" customHeight="1" x14ac:dyDescent="0.3">
      <c r="G5965" s="459"/>
      <c r="H5965" s="459">
        <v>5958</v>
      </c>
      <c r="I5965" s="444">
        <f t="shared" ca="1" si="200"/>
        <v>-1.3153102136399444E+16</v>
      </c>
      <c r="J5965" s="444">
        <f t="array" ref="J5965">IFERROR(INDEX('Retirement Calculator'!K:K,MATCH('Lorri 401b'!N5965,'Retirement Calculator'!A:A,0),0),0)</f>
        <v>0</v>
      </c>
      <c r="K5965" s="444">
        <f t="shared" ca="1" si="198"/>
        <v>-54804592234997.68</v>
      </c>
      <c r="L5965" s="444">
        <f t="shared" ca="1" si="199"/>
        <v>-1.3207906728634442E+16</v>
      </c>
      <c r="M5965" s="460">
        <f t="shared" si="201"/>
        <v>0.05</v>
      </c>
      <c r="N5965" s="464">
        <f t="shared" si="202"/>
        <v>232601</v>
      </c>
    </row>
    <row r="5966" spans="7:14" ht="11.25" customHeight="1" x14ac:dyDescent="0.3">
      <c r="G5966" s="459"/>
      <c r="H5966" s="459">
        <v>5959</v>
      </c>
      <c r="I5966" s="444">
        <f t="shared" ca="1" si="200"/>
        <v>-1.3207906728634442E+16</v>
      </c>
      <c r="J5966" s="444">
        <f t="array" ref="J5966">IFERROR(INDEX('Retirement Calculator'!K:K,MATCH('Lorri 401b'!N5966,'Retirement Calculator'!A:A,0),0),0)</f>
        <v>0</v>
      </c>
      <c r="K5966" s="444">
        <f t="shared" ca="1" si="198"/>
        <v>-55032944702643.508</v>
      </c>
      <c r="L5966" s="444">
        <f t="shared" ca="1" si="199"/>
        <v>-1.3262939673337086E+16</v>
      </c>
      <c r="M5966" s="460">
        <f t="shared" si="201"/>
        <v>0.05</v>
      </c>
      <c r="N5966" s="464">
        <f t="shared" si="202"/>
        <v>232631</v>
      </c>
    </row>
    <row r="5967" spans="7:14" ht="11.25" customHeight="1" x14ac:dyDescent="0.3">
      <c r="G5967" s="459"/>
      <c r="H5967" s="459">
        <v>5960</v>
      </c>
      <c r="I5967" s="444">
        <f t="shared" ca="1" si="200"/>
        <v>-1.3262939673337086E+16</v>
      </c>
      <c r="J5967" s="444">
        <f t="array" ref="J5967">IFERROR(INDEX('Retirement Calculator'!K:K,MATCH('Lorri 401b'!N5967,'Retirement Calculator'!A:A,0),0),0)</f>
        <v>0</v>
      </c>
      <c r="K5967" s="444">
        <f t="shared" ca="1" si="198"/>
        <v>-55262248638904.523</v>
      </c>
      <c r="L5967" s="444">
        <f t="shared" ca="1" si="199"/>
        <v>-1.331820192197599E+16</v>
      </c>
      <c r="M5967" s="460">
        <f t="shared" si="201"/>
        <v>0.05</v>
      </c>
      <c r="N5967" s="464">
        <f t="shared" si="202"/>
        <v>232662</v>
      </c>
    </row>
    <row r="5968" spans="7:14" ht="11.25" customHeight="1" x14ac:dyDescent="0.3">
      <c r="G5968" s="459"/>
      <c r="H5968" s="459">
        <v>5961</v>
      </c>
      <c r="I5968" s="444">
        <f t="shared" ca="1" si="200"/>
        <v>-1.331820192197599E+16</v>
      </c>
      <c r="J5968" s="444">
        <f t="array" ref="J5968">IFERROR(INDEX('Retirement Calculator'!K:K,MATCH('Lorri 401b'!N5968,'Retirement Calculator'!A:A,0),0),0)</f>
        <v>0</v>
      </c>
      <c r="K5968" s="444">
        <f t="shared" ca="1" si="198"/>
        <v>-55492508008233.289</v>
      </c>
      <c r="L5968" s="444">
        <f t="shared" ca="1" si="199"/>
        <v>-1.3373694429984224E+16</v>
      </c>
      <c r="M5968" s="460">
        <f t="shared" si="201"/>
        <v>0.05</v>
      </c>
      <c r="N5968" s="464">
        <f t="shared" si="202"/>
        <v>232693</v>
      </c>
    </row>
    <row r="5969" spans="7:14" ht="11.25" customHeight="1" x14ac:dyDescent="0.3">
      <c r="G5969" s="459"/>
      <c r="H5969" s="459">
        <v>5962</v>
      </c>
      <c r="I5969" s="444">
        <f t="shared" ca="1" si="200"/>
        <v>-1.3373694429984224E+16</v>
      </c>
      <c r="J5969" s="444">
        <f t="array" ref="J5969">IFERROR(INDEX('Retirement Calculator'!K:K,MATCH('Lorri 401b'!N5969,'Retirement Calculator'!A:A,0),0),0)</f>
        <v>0</v>
      </c>
      <c r="K5969" s="444">
        <f t="shared" ca="1" si="198"/>
        <v>-55723726791600.93</v>
      </c>
      <c r="L5969" s="444">
        <f t="shared" ca="1" si="199"/>
        <v>-1.3429418156775824E+16</v>
      </c>
      <c r="M5969" s="460">
        <f t="shared" si="201"/>
        <v>0.05</v>
      </c>
      <c r="N5969" s="464">
        <f t="shared" si="202"/>
        <v>232721</v>
      </c>
    </row>
    <row r="5970" spans="7:14" ht="11.25" customHeight="1" x14ac:dyDescent="0.3">
      <c r="G5970" s="459"/>
      <c r="H5970" s="459">
        <v>5963</v>
      </c>
      <c r="I5970" s="444">
        <f t="shared" ca="1" si="200"/>
        <v>-1.3429418156775824E+16</v>
      </c>
      <c r="J5970" s="444">
        <f t="array" ref="J5970">IFERROR(INDEX('Retirement Calculator'!K:K,MATCH('Lorri 401b'!N5970,'Retirement Calculator'!A:A,0),0),0)</f>
        <v>0</v>
      </c>
      <c r="K5970" s="444">
        <f t="shared" ca="1" si="198"/>
        <v>-55955908986565.93</v>
      </c>
      <c r="L5970" s="444">
        <f t="shared" ca="1" si="199"/>
        <v>-1.348537406576239E+16</v>
      </c>
      <c r="M5970" s="460">
        <f t="shared" si="201"/>
        <v>0.05</v>
      </c>
      <c r="N5970" s="464">
        <f t="shared" si="202"/>
        <v>232752</v>
      </c>
    </row>
    <row r="5971" spans="7:14" ht="11.25" customHeight="1" x14ac:dyDescent="0.3">
      <c r="G5971" s="459"/>
      <c r="H5971" s="459">
        <v>5964</v>
      </c>
      <c r="I5971" s="444">
        <f t="shared" ca="1" si="200"/>
        <v>-1.348537406576239E+16</v>
      </c>
      <c r="J5971" s="444">
        <f t="array" ref="J5971">IFERROR(INDEX('Retirement Calculator'!K:K,MATCH('Lorri 401b'!N5971,'Retirement Calculator'!A:A,0),0),0)</f>
        <v>0</v>
      </c>
      <c r="K5971" s="444">
        <f t="shared" ca="1" si="198"/>
        <v>-56189058607343.289</v>
      </c>
      <c r="L5971" s="444">
        <f t="shared" ca="1" si="199"/>
        <v>-1.3541563124369734E+16</v>
      </c>
      <c r="M5971" s="460">
        <f t="shared" si="201"/>
        <v>0.05</v>
      </c>
      <c r="N5971" s="464">
        <f t="shared" si="202"/>
        <v>232782</v>
      </c>
    </row>
    <row r="5972" spans="7:14" ht="11.25" customHeight="1" x14ac:dyDescent="0.3">
      <c r="G5972" s="459"/>
      <c r="H5972" s="459">
        <v>5965</v>
      </c>
      <c r="I5972" s="444">
        <f t="shared" ca="1" si="200"/>
        <v>-1.3541563124369734E+16</v>
      </c>
      <c r="J5972" s="444">
        <f t="array" ref="J5972">IFERROR(INDEX('Retirement Calculator'!K:K,MATCH('Lorri 401b'!N5972,'Retirement Calculator'!A:A,0),0),0)</f>
        <v>0</v>
      </c>
      <c r="K5972" s="444">
        <f t="shared" ca="1" si="198"/>
        <v>-56423179684873.891</v>
      </c>
      <c r="L5972" s="444">
        <f t="shared" ca="1" si="199"/>
        <v>-1.3597986304054608E+16</v>
      </c>
      <c r="M5972" s="460">
        <f t="shared" si="201"/>
        <v>0.05</v>
      </c>
      <c r="N5972" s="464">
        <f t="shared" si="202"/>
        <v>232813</v>
      </c>
    </row>
    <row r="5973" spans="7:14" ht="11.25" customHeight="1" x14ac:dyDescent="0.3">
      <c r="G5973" s="459"/>
      <c r="H5973" s="459">
        <v>5966</v>
      </c>
      <c r="I5973" s="444">
        <f t="shared" ca="1" si="200"/>
        <v>-1.3597986304054608E+16</v>
      </c>
      <c r="J5973" s="444">
        <f t="array" ref="J5973">IFERROR(INDEX('Retirement Calculator'!K:K,MATCH('Lorri 401b'!N5973,'Retirement Calculator'!A:A,0),0),0)</f>
        <v>0</v>
      </c>
      <c r="K5973" s="444">
        <f t="shared" ca="1" si="198"/>
        <v>-56658276266894.195</v>
      </c>
      <c r="L5973" s="444">
        <f t="shared" ca="1" si="199"/>
        <v>-1.3654644580321502E+16</v>
      </c>
      <c r="M5973" s="460">
        <f t="shared" si="201"/>
        <v>0.05</v>
      </c>
      <c r="N5973" s="464">
        <f t="shared" si="202"/>
        <v>232843</v>
      </c>
    </row>
    <row r="5974" spans="7:14" ht="11.25" customHeight="1" x14ac:dyDescent="0.3">
      <c r="G5974" s="459"/>
      <c r="H5974" s="459">
        <v>5967</v>
      </c>
      <c r="I5974" s="444">
        <f t="shared" ca="1" si="200"/>
        <v>-1.3654644580321502E+16</v>
      </c>
      <c r="J5974" s="444">
        <f t="array" ref="J5974">IFERROR(INDEX('Retirement Calculator'!K:K,MATCH('Lorri 401b'!N5974,'Retirement Calculator'!A:A,0),0),0)</f>
        <v>0</v>
      </c>
      <c r="K5974" s="444">
        <f t="shared" ca="1" si="198"/>
        <v>-56894352418006.258</v>
      </c>
      <c r="L5974" s="444">
        <f t="shared" ca="1" si="199"/>
        <v>-1.3711538932739508E+16</v>
      </c>
      <c r="M5974" s="460">
        <f t="shared" si="201"/>
        <v>0.05</v>
      </c>
      <c r="N5974" s="464">
        <f t="shared" si="202"/>
        <v>232874</v>
      </c>
    </row>
    <row r="5975" spans="7:14" ht="11.25" customHeight="1" x14ac:dyDescent="0.3">
      <c r="G5975" s="459"/>
      <c r="H5975" s="459">
        <v>5968</v>
      </c>
      <c r="I5975" s="444">
        <f t="shared" ca="1" si="200"/>
        <v>-1.3711538932739508E+16</v>
      </c>
      <c r="J5975" s="444">
        <f t="array" ref="J5975">IFERROR(INDEX('Retirement Calculator'!K:K,MATCH('Lorri 401b'!N5975,'Retirement Calculator'!A:A,0),0),0)</f>
        <v>0</v>
      </c>
      <c r="K5975" s="444">
        <f t="shared" ca="1" si="198"/>
        <v>-57131412219747.945</v>
      </c>
      <c r="L5975" s="444">
        <f t="shared" ca="1" si="199"/>
        <v>-1.3768670344959256E+16</v>
      </c>
      <c r="M5975" s="460">
        <f t="shared" si="201"/>
        <v>0.05</v>
      </c>
      <c r="N5975" s="464">
        <f t="shared" si="202"/>
        <v>232905</v>
      </c>
    </row>
    <row r="5976" spans="7:14" ht="11.25" customHeight="1" x14ac:dyDescent="0.3">
      <c r="G5976" s="459"/>
      <c r="H5976" s="459">
        <v>5969</v>
      </c>
      <c r="I5976" s="444">
        <f t="shared" ca="1" si="200"/>
        <v>-1.3768670344959256E+16</v>
      </c>
      <c r="J5976" s="444">
        <f t="array" ref="J5976">IFERROR(INDEX('Retirement Calculator'!K:K,MATCH('Lorri 401b'!N5976,'Retirement Calculator'!A:A,0),0),0)</f>
        <v>0</v>
      </c>
      <c r="K5976" s="444">
        <f t="shared" ca="1" si="198"/>
        <v>-57369459770663.563</v>
      </c>
      <c r="L5976" s="444">
        <f t="shared" ca="1" si="199"/>
        <v>-1.382603980472992E+16</v>
      </c>
      <c r="M5976" s="460">
        <f t="shared" si="201"/>
        <v>0.05</v>
      </c>
      <c r="N5976" s="464">
        <f t="shared" si="202"/>
        <v>232935</v>
      </c>
    </row>
    <row r="5977" spans="7:14" ht="11.25" customHeight="1" x14ac:dyDescent="0.3">
      <c r="G5977" s="459"/>
      <c r="H5977" s="459">
        <v>5970</v>
      </c>
      <c r="I5977" s="444">
        <f t="shared" ca="1" si="200"/>
        <v>-1.382603980472992E+16</v>
      </c>
      <c r="J5977" s="444">
        <f t="array" ref="J5977">IFERROR(INDEX('Retirement Calculator'!K:K,MATCH('Lorri 401b'!N5977,'Retirement Calculator'!A:A,0),0),0)</f>
        <v>0</v>
      </c>
      <c r="K5977" s="444">
        <f t="shared" ca="1" si="198"/>
        <v>-57608499186374.664</v>
      </c>
      <c r="L5977" s="444">
        <f t="shared" ca="1" si="199"/>
        <v>-1.3883648303916294E+16</v>
      </c>
      <c r="M5977" s="460">
        <f t="shared" si="201"/>
        <v>0.05</v>
      </c>
      <c r="N5977" s="464">
        <f t="shared" si="202"/>
        <v>232966</v>
      </c>
    </row>
    <row r="5978" spans="7:14" ht="11.25" customHeight="1" x14ac:dyDescent="0.3">
      <c r="G5978" s="459"/>
      <c r="H5978" s="459">
        <v>5971</v>
      </c>
      <c r="I5978" s="444">
        <f t="shared" ca="1" si="200"/>
        <v>-1.3883648303916294E+16</v>
      </c>
      <c r="J5978" s="444">
        <f t="array" ref="J5978">IFERROR(INDEX('Retirement Calculator'!K:K,MATCH('Lorri 401b'!N5978,'Retirement Calculator'!A:A,0),0),0)</f>
        <v>0</v>
      </c>
      <c r="K5978" s="444">
        <f t="shared" ca="1" si="198"/>
        <v>-57848534599651.227</v>
      </c>
      <c r="L5978" s="444">
        <f t="shared" ca="1" si="199"/>
        <v>-1.3941496838515946E+16</v>
      </c>
      <c r="M5978" s="460">
        <f t="shared" si="201"/>
        <v>0.05</v>
      </c>
      <c r="N5978" s="464">
        <f t="shared" si="202"/>
        <v>232996</v>
      </c>
    </row>
    <row r="5979" spans="7:14" ht="11.25" customHeight="1" x14ac:dyDescent="0.3">
      <c r="G5979" s="459"/>
      <c r="H5979" s="459">
        <v>5972</v>
      </c>
      <c r="I5979" s="444">
        <f t="shared" ca="1" si="200"/>
        <v>-1.3941496838515946E+16</v>
      </c>
      <c r="J5979" s="444">
        <f t="array" ref="J5979">IFERROR(INDEX('Retirement Calculator'!K:K,MATCH('Lorri 401b'!N5979,'Retirement Calculator'!A:A,0),0),0)</f>
        <v>0</v>
      </c>
      <c r="K5979" s="444">
        <f t="shared" ca="1" si="198"/>
        <v>-58089570160483.109</v>
      </c>
      <c r="L5979" s="444">
        <f t="shared" ca="1" si="199"/>
        <v>-1.399958640867643E+16</v>
      </c>
      <c r="M5979" s="460">
        <f t="shared" si="201"/>
        <v>0.05</v>
      </c>
      <c r="N5979" s="464">
        <f t="shared" si="202"/>
        <v>233027</v>
      </c>
    </row>
    <row r="5980" spans="7:14" ht="11.25" customHeight="1" x14ac:dyDescent="0.3">
      <c r="G5980" s="459"/>
      <c r="H5980" s="459">
        <v>5973</v>
      </c>
      <c r="I5980" s="444">
        <f t="shared" ca="1" si="200"/>
        <v>-1.399958640867643E+16</v>
      </c>
      <c r="J5980" s="444">
        <f t="array" ref="J5980">IFERROR(INDEX('Retirement Calculator'!K:K,MATCH('Lorri 401b'!N5980,'Retirement Calculator'!A:A,0),0),0)</f>
        <v>0</v>
      </c>
      <c r="K5980" s="444">
        <f t="shared" ca="1" si="198"/>
        <v>-58331610036151.789</v>
      </c>
      <c r="L5980" s="444">
        <f t="shared" ca="1" si="199"/>
        <v>-1.4057918018712582E+16</v>
      </c>
      <c r="M5980" s="460">
        <f t="shared" si="201"/>
        <v>0.05</v>
      </c>
      <c r="N5980" s="464">
        <f t="shared" si="202"/>
        <v>233058</v>
      </c>
    </row>
    <row r="5981" spans="7:14" ht="11.25" customHeight="1" x14ac:dyDescent="0.3">
      <c r="G5981" s="459"/>
      <c r="H5981" s="459">
        <v>5974</v>
      </c>
      <c r="I5981" s="444">
        <f t="shared" ca="1" si="200"/>
        <v>-1.4057918018712582E+16</v>
      </c>
      <c r="J5981" s="444">
        <f t="array" ref="J5981">IFERROR(INDEX('Retirement Calculator'!K:K,MATCH('Lorri 401b'!N5981,'Retirement Calculator'!A:A,0),0),0)</f>
        <v>0</v>
      </c>
      <c r="K5981" s="444">
        <f t="shared" ca="1" si="198"/>
        <v>-58574658411302.422</v>
      </c>
      <c r="L5981" s="444">
        <f t="shared" ca="1" si="199"/>
        <v>-1.4116492677123884E+16</v>
      </c>
      <c r="M5981" s="460">
        <f t="shared" si="201"/>
        <v>0.05</v>
      </c>
      <c r="N5981" s="464">
        <f t="shared" si="202"/>
        <v>233086</v>
      </c>
    </row>
    <row r="5982" spans="7:14" ht="11.25" customHeight="1" x14ac:dyDescent="0.3">
      <c r="G5982" s="459"/>
      <c r="H5982" s="459">
        <v>5975</v>
      </c>
      <c r="I5982" s="444">
        <f t="shared" ca="1" si="200"/>
        <v>-1.4116492677123884E+16</v>
      </c>
      <c r="J5982" s="444">
        <f t="array" ref="J5982">IFERROR(INDEX('Retirement Calculator'!K:K,MATCH('Lorri 401b'!N5982,'Retirement Calculator'!A:A,0),0),0)</f>
        <v>0</v>
      </c>
      <c r="K5982" s="444">
        <f t="shared" ca="1" si="198"/>
        <v>-58818719488016.18</v>
      </c>
      <c r="L5982" s="444">
        <f t="shared" ca="1" si="199"/>
        <v>-1.41753113966119E+16</v>
      </c>
      <c r="M5982" s="460">
        <f t="shared" si="201"/>
        <v>0.05</v>
      </c>
      <c r="N5982" s="464">
        <f t="shared" si="202"/>
        <v>233117</v>
      </c>
    </row>
    <row r="5983" spans="7:14" ht="11.25" customHeight="1" x14ac:dyDescent="0.3">
      <c r="G5983" s="459"/>
      <c r="H5983" s="459">
        <v>5976</v>
      </c>
      <c r="I5983" s="444">
        <f t="shared" ca="1" si="200"/>
        <v>-1.41753113966119E+16</v>
      </c>
      <c r="J5983" s="444">
        <f t="array" ref="J5983">IFERROR(INDEX('Retirement Calculator'!K:K,MATCH('Lorri 401b'!N5983,'Retirement Calculator'!A:A,0),0),0)</f>
        <v>0</v>
      </c>
      <c r="K5983" s="444">
        <f t="shared" ca="1" si="198"/>
        <v>-59063797485882.914</v>
      </c>
      <c r="L5983" s="444">
        <f t="shared" ca="1" si="199"/>
        <v>-1.4234375194097782E+16</v>
      </c>
      <c r="M5983" s="460">
        <f t="shared" si="201"/>
        <v>0.05</v>
      </c>
      <c r="N5983" s="464">
        <f t="shared" si="202"/>
        <v>233147</v>
      </c>
    </row>
    <row r="5984" spans="7:14" ht="11.25" customHeight="1" x14ac:dyDescent="0.3">
      <c r="G5984" s="459"/>
      <c r="H5984" s="459">
        <v>5977</v>
      </c>
      <c r="I5984" s="444">
        <f t="shared" ca="1" si="200"/>
        <v>-1.4234375194097782E+16</v>
      </c>
      <c r="J5984" s="444">
        <f t="array" ref="J5984">IFERROR(INDEX('Retirement Calculator'!K:K,MATCH('Lorri 401b'!N5984,'Retirement Calculator'!A:A,0),0),0)</f>
        <v>0</v>
      </c>
      <c r="K5984" s="444">
        <f t="shared" ca="1" si="198"/>
        <v>-59309896642074.094</v>
      </c>
      <c r="L5984" s="444">
        <f t="shared" ca="1" si="199"/>
        <v>-1.4293685090739856E+16</v>
      </c>
      <c r="M5984" s="460">
        <f t="shared" si="201"/>
        <v>0.05</v>
      </c>
      <c r="N5984" s="464">
        <f t="shared" si="202"/>
        <v>233178</v>
      </c>
    </row>
    <row r="5985" spans="7:14" ht="11.25" customHeight="1" x14ac:dyDescent="0.3">
      <c r="G5985" s="459"/>
      <c r="H5985" s="459">
        <v>5978</v>
      </c>
      <c r="I5985" s="444">
        <f t="shared" ca="1" si="200"/>
        <v>-1.4293685090739856E+16</v>
      </c>
      <c r="J5985" s="444">
        <f t="array" ref="J5985">IFERROR(INDEX('Retirement Calculator'!K:K,MATCH('Lorri 401b'!N5985,'Retirement Calculator'!A:A,0),0),0)</f>
        <v>0</v>
      </c>
      <c r="K5985" s="444">
        <f t="shared" ca="1" si="198"/>
        <v>-59557021211416.063</v>
      </c>
      <c r="L5985" s="444">
        <f t="shared" ca="1" si="199"/>
        <v>-1.4353242111951272E+16</v>
      </c>
      <c r="M5985" s="460">
        <f t="shared" si="201"/>
        <v>0.05</v>
      </c>
      <c r="N5985" s="464">
        <f t="shared" si="202"/>
        <v>233208</v>
      </c>
    </row>
    <row r="5986" spans="7:14" ht="11.25" customHeight="1" x14ac:dyDescent="0.3">
      <c r="G5986" s="459"/>
      <c r="H5986" s="459">
        <v>5979</v>
      </c>
      <c r="I5986" s="444">
        <f t="shared" ca="1" si="200"/>
        <v>-1.4353242111951272E+16</v>
      </c>
      <c r="J5986" s="444">
        <f t="array" ref="J5986">IFERROR(INDEX('Retirement Calculator'!K:K,MATCH('Lorri 401b'!N5986,'Retirement Calculator'!A:A,0),0),0)</f>
        <v>0</v>
      </c>
      <c r="K5986" s="444">
        <f t="shared" ca="1" si="198"/>
        <v>-59805175466463.633</v>
      </c>
      <c r="L5986" s="444">
        <f t="shared" ca="1" si="199"/>
        <v>-1.4413047287417736E+16</v>
      </c>
      <c r="M5986" s="460">
        <f t="shared" si="201"/>
        <v>0.05</v>
      </c>
      <c r="N5986" s="464">
        <f t="shared" si="202"/>
        <v>233239</v>
      </c>
    </row>
    <row r="5987" spans="7:14" ht="11.25" customHeight="1" x14ac:dyDescent="0.3">
      <c r="G5987" s="459"/>
      <c r="H5987" s="459">
        <v>5980</v>
      </c>
      <c r="I5987" s="444">
        <f t="shared" ca="1" si="200"/>
        <v>-1.4413047287417736E+16</v>
      </c>
      <c r="J5987" s="444">
        <f t="array" ref="J5987">IFERROR(INDEX('Retirement Calculator'!K:K,MATCH('Lorri 401b'!N5987,'Retirement Calculator'!A:A,0),0),0)</f>
        <v>0</v>
      </c>
      <c r="K5987" s="444">
        <f t="shared" ca="1" si="198"/>
        <v>-60054363697573.898</v>
      </c>
      <c r="L5987" s="444">
        <f t="shared" ca="1" si="199"/>
        <v>-1.447310165111531E+16</v>
      </c>
      <c r="M5987" s="460">
        <f t="shared" si="201"/>
        <v>0.05</v>
      </c>
      <c r="N5987" s="464">
        <f t="shared" si="202"/>
        <v>233270</v>
      </c>
    </row>
    <row r="5988" spans="7:14" ht="11.25" customHeight="1" x14ac:dyDescent="0.3">
      <c r="G5988" s="459"/>
      <c r="H5988" s="459">
        <v>5981</v>
      </c>
      <c r="I5988" s="444">
        <f t="shared" ca="1" si="200"/>
        <v>-1.447310165111531E+16</v>
      </c>
      <c r="J5988" s="444">
        <f t="array" ref="J5988">IFERROR(INDEX('Retirement Calculator'!K:K,MATCH('Lorri 401b'!N5988,'Retirement Calculator'!A:A,0),0),0)</f>
        <v>0</v>
      </c>
      <c r="K5988" s="444">
        <f t="shared" ca="1" si="198"/>
        <v>-60304590212980.461</v>
      </c>
      <c r="L5988" s="444">
        <f t="shared" ca="1" si="199"/>
        <v>-1.453340624132829E+16</v>
      </c>
      <c r="M5988" s="460">
        <f t="shared" si="201"/>
        <v>0.05</v>
      </c>
      <c r="N5988" s="464">
        <f t="shared" si="202"/>
        <v>233300</v>
      </c>
    </row>
    <row r="5989" spans="7:14" ht="11.25" customHeight="1" x14ac:dyDescent="0.3">
      <c r="G5989" s="459"/>
      <c r="H5989" s="459">
        <v>5982</v>
      </c>
      <c r="I5989" s="444">
        <f t="shared" ca="1" si="200"/>
        <v>-1.453340624132829E+16</v>
      </c>
      <c r="J5989" s="444">
        <f t="array" ref="J5989">IFERROR(INDEX('Retirement Calculator'!K:K,MATCH('Lorri 401b'!N5989,'Retirement Calculator'!A:A,0),0),0)</f>
        <v>0</v>
      </c>
      <c r="K5989" s="444">
        <f t="shared" ca="1" si="198"/>
        <v>-60555859338867.875</v>
      </c>
      <c r="L5989" s="444">
        <f t="shared" ca="1" si="199"/>
        <v>-1.4593962100667158E+16</v>
      </c>
      <c r="M5989" s="460">
        <f t="shared" si="201"/>
        <v>0.05</v>
      </c>
      <c r="N5989" s="464">
        <f t="shared" si="202"/>
        <v>233331</v>
      </c>
    </row>
    <row r="5990" spans="7:14" ht="11.25" customHeight="1" x14ac:dyDescent="0.3">
      <c r="G5990" s="459"/>
      <c r="H5990" s="459">
        <v>5983</v>
      </c>
      <c r="I5990" s="444">
        <f t="shared" ca="1" si="200"/>
        <v>-1.4593962100667158E+16</v>
      </c>
      <c r="J5990" s="444">
        <f t="array" ref="J5990">IFERROR(INDEX('Retirement Calculator'!K:K,MATCH('Lorri 401b'!N5990,'Retirement Calculator'!A:A,0),0),0)</f>
        <v>0</v>
      </c>
      <c r="K5990" s="444">
        <f t="shared" ca="1" si="198"/>
        <v>-60808175419446.492</v>
      </c>
      <c r="L5990" s="444">
        <f t="shared" ca="1" si="199"/>
        <v>-1.4654770276086604E+16</v>
      </c>
      <c r="M5990" s="460">
        <f t="shared" si="201"/>
        <v>0.05</v>
      </c>
      <c r="N5990" s="464">
        <f t="shared" si="202"/>
        <v>233361</v>
      </c>
    </row>
    <row r="5991" spans="7:14" ht="11.25" customHeight="1" x14ac:dyDescent="0.3">
      <c r="G5991" s="459"/>
      <c r="H5991" s="459">
        <v>5984</v>
      </c>
      <c r="I5991" s="444">
        <f t="shared" ca="1" si="200"/>
        <v>-1.4654770276086604E+16</v>
      </c>
      <c r="J5991" s="444">
        <f t="array" ref="J5991">IFERROR(INDEX('Retirement Calculator'!K:K,MATCH('Lorri 401b'!N5991,'Retirement Calculator'!A:A,0),0),0)</f>
        <v>0</v>
      </c>
      <c r="K5991" s="444">
        <f t="shared" ca="1" si="198"/>
        <v>-61061542817027.516</v>
      </c>
      <c r="L5991" s="444">
        <f t="shared" ca="1" si="199"/>
        <v>-1.4715831818903632E+16</v>
      </c>
      <c r="M5991" s="460">
        <f t="shared" si="201"/>
        <v>0.05</v>
      </c>
      <c r="N5991" s="464">
        <f t="shared" si="202"/>
        <v>233392</v>
      </c>
    </row>
    <row r="5992" spans="7:14" ht="11.25" customHeight="1" x14ac:dyDescent="0.3">
      <c r="G5992" s="459"/>
      <c r="H5992" s="459">
        <v>5985</v>
      </c>
      <c r="I5992" s="444">
        <f t="shared" ca="1" si="200"/>
        <v>-1.4715831818903632E+16</v>
      </c>
      <c r="J5992" s="444">
        <f t="array" ref="J5992">IFERROR(INDEX('Retirement Calculator'!K:K,MATCH('Lorri 401b'!N5992,'Retirement Calculator'!A:A,0),0),0)</f>
        <v>0</v>
      </c>
      <c r="K5992" s="444">
        <f t="shared" ca="1" si="198"/>
        <v>-61315965912098.469</v>
      </c>
      <c r="L5992" s="444">
        <f t="shared" ca="1" si="199"/>
        <v>-1.477714778481573E+16</v>
      </c>
      <c r="M5992" s="460">
        <f t="shared" si="201"/>
        <v>0.05</v>
      </c>
      <c r="N5992" s="464">
        <f t="shared" si="202"/>
        <v>233423</v>
      </c>
    </row>
    <row r="5993" spans="7:14" ht="11.25" customHeight="1" x14ac:dyDescent="0.3">
      <c r="G5993" s="459"/>
      <c r="H5993" s="459">
        <v>5986</v>
      </c>
      <c r="I5993" s="444">
        <f t="shared" ca="1" si="200"/>
        <v>-1.477714778481573E+16</v>
      </c>
      <c r="J5993" s="444">
        <f t="array" ref="J5993">IFERROR(INDEX('Retirement Calculator'!K:K,MATCH('Lorri 401b'!N5993,'Retirement Calculator'!A:A,0),0),0)</f>
        <v>0</v>
      </c>
      <c r="K5993" s="444">
        <f t="shared" ca="1" si="198"/>
        <v>-61571449103398.875</v>
      </c>
      <c r="L5993" s="444">
        <f t="shared" ca="1" si="199"/>
        <v>-1.4838719233919128E+16</v>
      </c>
      <c r="M5993" s="460">
        <f t="shared" si="201"/>
        <v>0.05</v>
      </c>
      <c r="N5993" s="464">
        <f t="shared" si="202"/>
        <v>233451</v>
      </c>
    </row>
    <row r="5994" spans="7:14" ht="11.25" customHeight="1" x14ac:dyDescent="0.3">
      <c r="G5994" s="459"/>
      <c r="H5994" s="459">
        <v>5987</v>
      </c>
      <c r="I5994" s="444">
        <f t="shared" ca="1" si="200"/>
        <v>-1.4838719233919128E+16</v>
      </c>
      <c r="J5994" s="444">
        <f t="array" ref="J5994">IFERROR(INDEX('Retirement Calculator'!K:K,MATCH('Lorri 401b'!N5994,'Retirement Calculator'!A:A,0),0),0)</f>
        <v>0</v>
      </c>
      <c r="K5994" s="444">
        <f t="shared" ca="1" si="198"/>
        <v>-61827996807996.359</v>
      </c>
      <c r="L5994" s="444">
        <f t="shared" ca="1" si="199"/>
        <v>-1.4900547230727124E+16</v>
      </c>
      <c r="M5994" s="460">
        <f t="shared" si="201"/>
        <v>0.05</v>
      </c>
      <c r="N5994" s="464">
        <f t="shared" si="202"/>
        <v>233482</v>
      </c>
    </row>
    <row r="5995" spans="7:14" ht="11.25" customHeight="1" x14ac:dyDescent="0.3">
      <c r="G5995" s="459"/>
      <c r="H5995" s="459">
        <v>5988</v>
      </c>
      <c r="I5995" s="444">
        <f t="shared" ca="1" si="200"/>
        <v>-1.4900547230727124E+16</v>
      </c>
      <c r="J5995" s="444">
        <f t="array" ref="J5995">IFERROR(INDEX('Retirement Calculator'!K:K,MATCH('Lorri 401b'!N5995,'Retirement Calculator'!A:A,0),0),0)</f>
        <v>0</v>
      </c>
      <c r="K5995" s="444">
        <f t="shared" ca="1" si="198"/>
        <v>-62085613461363.016</v>
      </c>
      <c r="L5995" s="444">
        <f t="shared" ca="1" si="199"/>
        <v>-1.4962632844188488E+16</v>
      </c>
      <c r="M5995" s="460">
        <f t="shared" si="201"/>
        <v>0.05</v>
      </c>
      <c r="N5995" s="464">
        <f t="shared" si="202"/>
        <v>233512</v>
      </c>
    </row>
    <row r="5996" spans="7:14" ht="11.25" customHeight="1" x14ac:dyDescent="0.3">
      <c r="G5996" s="459"/>
      <c r="H5996" s="459">
        <v>5989</v>
      </c>
      <c r="I5996" s="444">
        <f t="shared" ca="1" si="200"/>
        <v>-1.4962632844188488E+16</v>
      </c>
      <c r="J5996" s="444">
        <f t="array" ref="J5996">IFERROR(INDEX('Retirement Calculator'!K:K,MATCH('Lorri 401b'!N5996,'Retirement Calculator'!A:A,0),0),0)</f>
        <v>0</v>
      </c>
      <c r="K5996" s="444">
        <f t="shared" ca="1" si="198"/>
        <v>-62344303517452.031</v>
      </c>
      <c r="L5996" s="444">
        <f t="shared" ca="1" si="199"/>
        <v>-1.502497714770594E+16</v>
      </c>
      <c r="M5996" s="460">
        <f t="shared" si="201"/>
        <v>0.05</v>
      </c>
      <c r="N5996" s="464">
        <f t="shared" si="202"/>
        <v>233543</v>
      </c>
    </row>
    <row r="5997" spans="7:14" ht="11.25" customHeight="1" x14ac:dyDescent="0.3">
      <c r="G5997" s="459"/>
      <c r="H5997" s="459">
        <v>5990</v>
      </c>
      <c r="I5997" s="444">
        <f t="shared" ca="1" si="200"/>
        <v>-1.502497714770594E+16</v>
      </c>
      <c r="J5997" s="444">
        <f t="array" ref="J5997">IFERROR(INDEX('Retirement Calculator'!K:K,MATCH('Lorri 401b'!N5997,'Retirement Calculator'!A:A,0),0),0)</f>
        <v>0</v>
      </c>
      <c r="K5997" s="444">
        <f t="shared" ca="1" si="198"/>
        <v>-62604071448774.742</v>
      </c>
      <c r="L5997" s="444">
        <f t="shared" ca="1" si="199"/>
        <v>-1.5087581219154714E+16</v>
      </c>
      <c r="M5997" s="460">
        <f t="shared" si="201"/>
        <v>0.05</v>
      </c>
      <c r="N5997" s="464">
        <f t="shared" si="202"/>
        <v>233573</v>
      </c>
    </row>
    <row r="5998" spans="7:14" ht="11.25" customHeight="1" x14ac:dyDescent="0.3">
      <c r="G5998" s="459"/>
      <c r="H5998" s="459">
        <v>5991</v>
      </c>
      <c r="I5998" s="444">
        <f t="shared" ca="1" si="200"/>
        <v>-1.5087581219154714E+16</v>
      </c>
      <c r="J5998" s="444">
        <f t="array" ref="J5998">IFERROR(INDEX('Retirement Calculator'!K:K,MATCH('Lorri 401b'!N5998,'Retirement Calculator'!A:A,0),0),0)</f>
        <v>0</v>
      </c>
      <c r="K5998" s="444">
        <f t="shared" ca="1" si="198"/>
        <v>-62864921746477.977</v>
      </c>
      <c r="L5998" s="444">
        <f t="shared" ca="1" si="199"/>
        <v>-1.5150446140901192E+16</v>
      </c>
      <c r="M5998" s="460">
        <f t="shared" si="201"/>
        <v>0.05</v>
      </c>
      <c r="N5998" s="464">
        <f t="shared" si="202"/>
        <v>233604</v>
      </c>
    </row>
    <row r="5999" spans="7:14" ht="11.25" customHeight="1" x14ac:dyDescent="0.3">
      <c r="G5999" s="459"/>
      <c r="H5999" s="459">
        <v>5992</v>
      </c>
      <c r="I5999" s="444">
        <f t="shared" ca="1" si="200"/>
        <v>-1.5150446140901192E+16</v>
      </c>
      <c r="J5999" s="444">
        <f t="array" ref="J5999">IFERROR(INDEX('Retirement Calculator'!K:K,MATCH('Lorri 401b'!N5999,'Retirement Calculator'!A:A,0),0),0)</f>
        <v>0</v>
      </c>
      <c r="K5999" s="444">
        <f t="shared" ca="1" si="198"/>
        <v>-63126858920421.633</v>
      </c>
      <c r="L5999" s="444">
        <f t="shared" ca="1" si="199"/>
        <v>-1.5213572999821614E+16</v>
      </c>
      <c r="M5999" s="460">
        <f t="shared" si="201"/>
        <v>0.05</v>
      </c>
      <c r="N5999" s="464">
        <f t="shared" si="202"/>
        <v>233635</v>
      </c>
    </row>
    <row r="6000" spans="7:14" ht="11.25" customHeight="1" x14ac:dyDescent="0.3">
      <c r="G6000" s="459"/>
      <c r="H6000" s="459">
        <v>5993</v>
      </c>
      <c r="I6000" s="444">
        <f t="shared" ca="1" si="200"/>
        <v>-1.5213572999821614E+16</v>
      </c>
      <c r="J6000" s="444">
        <f t="array" ref="J6000">IFERROR(INDEX('Retirement Calculator'!K:K,MATCH('Lorri 401b'!N6000,'Retirement Calculator'!A:A,0),0),0)</f>
        <v>0</v>
      </c>
      <c r="K6000" s="444">
        <f t="shared" ca="1" si="198"/>
        <v>-63389887499256.727</v>
      </c>
      <c r="L6000" s="444">
        <f t="shared" ca="1" si="199"/>
        <v>-1.527696288732087E+16</v>
      </c>
      <c r="M6000" s="460">
        <f t="shared" si="201"/>
        <v>0.05</v>
      </c>
      <c r="N6000" s="464">
        <f t="shared" si="202"/>
        <v>233665</v>
      </c>
    </row>
    <row r="6001" spans="7:14" ht="11.25" customHeight="1" x14ac:dyDescent="0.3">
      <c r="G6001" s="459"/>
      <c r="H6001" s="459">
        <v>5994</v>
      </c>
      <c r="I6001" s="444">
        <f t="shared" ca="1" si="200"/>
        <v>-1.527696288732087E+16</v>
      </c>
      <c r="J6001" s="444">
        <f t="array" ref="J6001">IFERROR(INDEX('Retirement Calculator'!K:K,MATCH('Lorri 401b'!N6001,'Retirement Calculator'!A:A,0),0),0)</f>
        <v>0</v>
      </c>
      <c r="K6001" s="444">
        <f t="shared" ca="1" si="198"/>
        <v>-63654012030503.625</v>
      </c>
      <c r="L6001" s="444">
        <f t="shared" ca="1" si="199"/>
        <v>-1.5340616899351374E+16</v>
      </c>
      <c r="M6001" s="460">
        <f t="shared" si="201"/>
        <v>0.05</v>
      </c>
      <c r="N6001" s="464">
        <f t="shared" si="202"/>
        <v>233696</v>
      </c>
    </row>
    <row r="6002" spans="7:14" ht="11.25" customHeight="1" x14ac:dyDescent="0.3">
      <c r="G6002" s="459"/>
      <c r="H6002" s="459">
        <v>5995</v>
      </c>
      <c r="I6002" s="444">
        <f t="shared" ca="1" si="200"/>
        <v>-1.5340616899351374E+16</v>
      </c>
      <c r="J6002" s="444">
        <f t="array" ref="J6002">IFERROR(INDEX('Retirement Calculator'!K:K,MATCH('Lorri 401b'!N6002,'Retirement Calculator'!A:A,0),0),0)</f>
        <v>0</v>
      </c>
      <c r="K6002" s="444">
        <f t="shared" ca="1" si="198"/>
        <v>-63919237080630.727</v>
      </c>
      <c r="L6002" s="444">
        <f t="shared" ca="1" si="199"/>
        <v>-1.5404536136432004E+16</v>
      </c>
      <c r="M6002" s="460">
        <f t="shared" si="201"/>
        <v>0.05</v>
      </c>
      <c r="N6002" s="464">
        <f t="shared" si="202"/>
        <v>233726</v>
      </c>
    </row>
    <row r="6003" spans="7:14" ht="11.25" customHeight="1" x14ac:dyDescent="0.3">
      <c r="G6003" s="459"/>
      <c r="H6003" s="459">
        <v>5996</v>
      </c>
      <c r="I6003" s="444">
        <f t="shared" ca="1" si="200"/>
        <v>-1.5404536136432004E+16</v>
      </c>
      <c r="J6003" s="444">
        <f t="array" ref="J6003">IFERROR(INDEX('Retirement Calculator'!K:K,MATCH('Lorri 401b'!N6003,'Retirement Calculator'!A:A,0),0),0)</f>
        <v>0</v>
      </c>
      <c r="K6003" s="444">
        <f t="shared" ca="1" si="198"/>
        <v>-64185567235133.359</v>
      </c>
      <c r="L6003" s="444">
        <f t="shared" ca="1" si="199"/>
        <v>-1.5468721703667138E+16</v>
      </c>
      <c r="M6003" s="460">
        <f t="shared" si="201"/>
        <v>0.05</v>
      </c>
      <c r="N6003" s="464">
        <f t="shared" si="202"/>
        <v>233757</v>
      </c>
    </row>
    <row r="6004" spans="7:14" ht="11.25" customHeight="1" x14ac:dyDescent="0.3">
      <c r="G6004" s="459"/>
      <c r="H6004" s="459">
        <v>5997</v>
      </c>
      <c r="I6004" s="444">
        <f t="shared" ca="1" si="200"/>
        <v>-1.5468721703667138E+16</v>
      </c>
      <c r="J6004" s="444">
        <f t="array" ref="J6004">IFERROR(INDEX('Retirement Calculator'!K:K,MATCH('Lorri 401b'!N6004,'Retirement Calculator'!A:A,0),0),0)</f>
        <v>0</v>
      </c>
      <c r="K6004" s="444">
        <f t="shared" ca="1" si="198"/>
        <v>-64453007098613.07</v>
      </c>
      <c r="L6004" s="444">
        <f t="shared" ca="1" si="199"/>
        <v>-1.5533174710765752E+16</v>
      </c>
      <c r="M6004" s="460">
        <f t="shared" si="201"/>
        <v>0.05</v>
      </c>
      <c r="N6004" s="464">
        <f t="shared" si="202"/>
        <v>233788</v>
      </c>
    </row>
    <row r="6005" spans="7:14" ht="11.25" customHeight="1" x14ac:dyDescent="0.3">
      <c r="G6005" s="459"/>
      <c r="H6005" s="459">
        <v>5998</v>
      </c>
      <c r="I6005" s="444">
        <f t="shared" ca="1" si="200"/>
        <v>-1.5533174710765752E+16</v>
      </c>
      <c r="J6005" s="444">
        <f t="array" ref="J6005">IFERROR(INDEX('Retirement Calculator'!K:K,MATCH('Lorri 401b'!N6005,'Retirement Calculator'!A:A,0),0),0)</f>
        <v>0</v>
      </c>
      <c r="K6005" s="444">
        <f t="shared" ca="1" si="198"/>
        <v>-64721561294857.297</v>
      </c>
      <c r="L6005" s="444">
        <f t="shared" ca="1" si="199"/>
        <v>-1.559789627206061E+16</v>
      </c>
      <c r="M6005" s="460">
        <f t="shared" si="201"/>
        <v>0.05</v>
      </c>
      <c r="N6005" s="464">
        <f t="shared" si="202"/>
        <v>233817</v>
      </c>
    </row>
    <row r="6006" spans="7:14" ht="11.25" customHeight="1" x14ac:dyDescent="0.3">
      <c r="G6006" s="459"/>
      <c r="H6006" s="459">
        <v>5999</v>
      </c>
      <c r="I6006" s="444">
        <f t="shared" ca="1" si="200"/>
        <v>-1.559789627206061E+16</v>
      </c>
      <c r="J6006" s="444">
        <f t="array" ref="J6006">IFERROR(INDEX('Retirement Calculator'!K:K,MATCH('Lorri 401b'!N6006,'Retirement Calculator'!A:A,0),0),0)</f>
        <v>0</v>
      </c>
      <c r="K6006" s="444">
        <f t="shared" ca="1" si="198"/>
        <v>-64991234466919.211</v>
      </c>
      <c r="L6006" s="444">
        <f t="shared" ca="1" si="199"/>
        <v>-1.566288750652753E+16</v>
      </c>
      <c r="M6006" s="460">
        <f t="shared" si="201"/>
        <v>0.05</v>
      </c>
      <c r="N6006" s="464">
        <f t="shared" si="202"/>
        <v>233848</v>
      </c>
    </row>
    <row r="6007" spans="7:14" ht="11.25" customHeight="1" x14ac:dyDescent="0.3">
      <c r="G6007" s="459"/>
      <c r="H6007" s="459">
        <v>6000</v>
      </c>
      <c r="I6007" s="444">
        <f t="shared" ca="1" si="200"/>
        <v>-1.566288750652753E+16</v>
      </c>
      <c r="J6007" s="444">
        <f t="array" ref="J6007">IFERROR(INDEX('Retirement Calculator'!K:K,MATCH('Lorri 401b'!N6007,'Retirement Calculator'!A:A,0),0),0)</f>
        <v>0</v>
      </c>
      <c r="K6007" s="444">
        <f t="shared" ca="1" si="198"/>
        <v>-65262031277198.039</v>
      </c>
      <c r="L6007" s="444">
        <f t="shared" ca="1" si="199"/>
        <v>-1.5728149537804728E+16</v>
      </c>
      <c r="M6007" s="460">
        <f t="shared" si="201"/>
        <v>0.05</v>
      </c>
      <c r="N6007" s="464">
        <f t="shared" si="202"/>
        <v>233878</v>
      </c>
    </row>
    <row r="6008" spans="7:14" ht="11.25" customHeight="1" x14ac:dyDescent="0.3">
      <c r="G6008" s="459"/>
      <c r="H6008" s="459">
        <v>6001</v>
      </c>
      <c r="I6008" s="444">
        <f t="shared" ca="1" si="200"/>
        <v>-1.5728149537804728E+16</v>
      </c>
      <c r="J6008" s="444">
        <f t="array" ref="J6008">IFERROR(INDEX('Retirement Calculator'!K:K,MATCH('Lorri 401b'!N6008,'Retirement Calculator'!A:A,0),0),0)</f>
        <v>0</v>
      </c>
      <c r="K6008" s="444">
        <f t="shared" ca="1" si="198"/>
        <v>-65533956407519.695</v>
      </c>
      <c r="L6008" s="444">
        <f t="shared" ca="1" si="199"/>
        <v>-1.5793683494212248E+16</v>
      </c>
      <c r="M6008" s="460">
        <f t="shared" si="201"/>
        <v>0.05</v>
      </c>
      <c r="N6008" s="464">
        <f t="shared" si="202"/>
        <v>233909</v>
      </c>
    </row>
    <row r="6009" spans="7:14" ht="11.25" customHeight="1" x14ac:dyDescent="0.3">
      <c r="G6009" s="459"/>
      <c r="H6009" s="459">
        <v>6002</v>
      </c>
      <c r="I6009" s="444">
        <f t="shared" ca="1" si="200"/>
        <v>-1.5793683494212248E+16</v>
      </c>
      <c r="J6009" s="444">
        <f t="array" ref="J6009">IFERROR(INDEX('Retirement Calculator'!K:K,MATCH('Lorri 401b'!N6009,'Retirement Calculator'!A:A,0),0),0)</f>
        <v>0</v>
      </c>
      <c r="K6009" s="444">
        <f t="shared" ca="1" si="198"/>
        <v>-65807014559217.688</v>
      </c>
      <c r="L6009" s="444">
        <f t="shared" ca="1" si="199"/>
        <v>-1.5859490508771466E+16</v>
      </c>
      <c r="M6009" s="460">
        <f t="shared" si="201"/>
        <v>0.05</v>
      </c>
      <c r="N6009" s="464">
        <f t="shared" si="202"/>
        <v>233939</v>
      </c>
    </row>
    <row r="6010" spans="7:14" ht="11.25" customHeight="1" x14ac:dyDescent="0.3">
      <c r="G6010" s="459"/>
      <c r="H6010" s="459">
        <v>6003</v>
      </c>
      <c r="I6010" s="444">
        <f t="shared" ca="1" si="200"/>
        <v>-1.5859490508771466E+16</v>
      </c>
      <c r="J6010" s="444">
        <f t="array" ref="J6010">IFERROR(INDEX('Retirement Calculator'!K:K,MATCH('Lorri 401b'!N6010,'Retirement Calculator'!A:A,0),0),0)</f>
        <v>0</v>
      </c>
      <c r="K6010" s="444">
        <f t="shared" ca="1" si="198"/>
        <v>-66081210453214.438</v>
      </c>
      <c r="L6010" s="444">
        <f t="shared" ca="1" si="199"/>
        <v>-1.592557171922468E+16</v>
      </c>
      <c r="M6010" s="460">
        <f t="shared" si="201"/>
        <v>0.05</v>
      </c>
      <c r="N6010" s="464">
        <f t="shared" si="202"/>
        <v>233970</v>
      </c>
    </row>
    <row r="6011" spans="7:14" ht="11.25" customHeight="1" x14ac:dyDescent="0.3">
      <c r="G6011" s="459"/>
      <c r="H6011" s="459">
        <v>6004</v>
      </c>
      <c r="I6011" s="444">
        <f t="shared" ca="1" si="200"/>
        <v>-1.592557171922468E+16</v>
      </c>
      <c r="J6011" s="444">
        <f t="array" ref="J6011">IFERROR(INDEX('Retirement Calculator'!K:K,MATCH('Lorri 401b'!N6011,'Retirement Calculator'!A:A,0),0),0)</f>
        <v>0</v>
      </c>
      <c r="K6011" s="444">
        <f t="shared" ca="1" si="198"/>
        <v>-66356548830102.836</v>
      </c>
      <c r="L6011" s="444">
        <f t="shared" ca="1" si="199"/>
        <v>-1.5991928268054782E+16</v>
      </c>
      <c r="M6011" s="460">
        <f t="shared" si="201"/>
        <v>0.05</v>
      </c>
      <c r="N6011" s="464">
        <f t="shared" si="202"/>
        <v>234001</v>
      </c>
    </row>
    <row r="6012" spans="7:14" ht="11.25" customHeight="1" x14ac:dyDescent="0.3">
      <c r="G6012" s="459"/>
      <c r="H6012" s="459">
        <v>6005</v>
      </c>
      <c r="I6012" s="444">
        <f t="shared" ca="1" si="200"/>
        <v>-1.5991928268054782E+16</v>
      </c>
      <c r="J6012" s="444">
        <f t="array" ref="J6012">IFERROR(INDEX('Retirement Calculator'!K:K,MATCH('Lorri 401b'!N6012,'Retirement Calculator'!A:A,0),0),0)</f>
        <v>0</v>
      </c>
      <c r="K6012" s="444">
        <f t="shared" ca="1" si="198"/>
        <v>-66633034450228.266</v>
      </c>
      <c r="L6012" s="444">
        <f t="shared" ca="1" si="199"/>
        <v>-1.605856130250501E+16</v>
      </c>
      <c r="M6012" s="460">
        <f t="shared" si="201"/>
        <v>0.05</v>
      </c>
      <c r="N6012" s="464">
        <f t="shared" si="202"/>
        <v>234031</v>
      </c>
    </row>
    <row r="6013" spans="7:14" ht="11.25" customHeight="1" x14ac:dyDescent="0.3">
      <c r="G6013" s="459"/>
      <c r="H6013" s="459">
        <v>6006</v>
      </c>
      <c r="I6013" s="444">
        <f t="shared" ca="1" si="200"/>
        <v>-1.605856130250501E+16</v>
      </c>
      <c r="J6013" s="444">
        <f t="array" ref="J6013">IFERROR(INDEX('Retirement Calculator'!K:K,MATCH('Lorri 401b'!N6013,'Retirement Calculator'!A:A,0),0),0)</f>
        <v>0</v>
      </c>
      <c r="K6013" s="444">
        <f t="shared" ca="1" si="198"/>
        <v>-66910672093770.867</v>
      </c>
      <c r="L6013" s="444">
        <f t="shared" ca="1" si="199"/>
        <v>-1.612547197459878E+16</v>
      </c>
      <c r="M6013" s="460">
        <f t="shared" si="201"/>
        <v>0.05</v>
      </c>
      <c r="N6013" s="464">
        <f t="shared" si="202"/>
        <v>234062</v>
      </c>
    </row>
    <row r="6014" spans="7:14" ht="11.25" customHeight="1" x14ac:dyDescent="0.3">
      <c r="G6014" s="459"/>
      <c r="H6014" s="459">
        <v>6007</v>
      </c>
      <c r="I6014" s="444">
        <f t="shared" ca="1" si="200"/>
        <v>-1.612547197459878E+16</v>
      </c>
      <c r="J6014" s="444">
        <f t="array" ref="J6014">IFERROR(INDEX('Retirement Calculator'!K:K,MATCH('Lorri 401b'!N6014,'Retirement Calculator'!A:A,0),0),0)</f>
        <v>0</v>
      </c>
      <c r="K6014" s="444">
        <f t="shared" ca="1" si="198"/>
        <v>-67189466560828.25</v>
      </c>
      <c r="L6014" s="444">
        <f t="shared" ca="1" si="199"/>
        <v>-1.6192661441159608E+16</v>
      </c>
      <c r="M6014" s="460">
        <f t="shared" si="201"/>
        <v>0.05</v>
      </c>
      <c r="N6014" s="464">
        <f t="shared" si="202"/>
        <v>234092</v>
      </c>
    </row>
    <row r="6015" spans="7:14" ht="11.25" customHeight="1" x14ac:dyDescent="0.3">
      <c r="G6015" s="459"/>
      <c r="H6015" s="459">
        <v>6008</v>
      </c>
      <c r="I6015" s="444">
        <f t="shared" ca="1" si="200"/>
        <v>-1.6192661441159608E+16</v>
      </c>
      <c r="J6015" s="444">
        <f t="array" ref="J6015">IFERROR(INDEX('Retirement Calculator'!K:K,MATCH('Lorri 401b'!N6015,'Retirement Calculator'!A:A,0),0),0)</f>
        <v>0</v>
      </c>
      <c r="K6015" s="444">
        <f t="shared" ca="1" si="198"/>
        <v>-67469422671498.367</v>
      </c>
      <c r="L6015" s="444">
        <f t="shared" ca="1" si="199"/>
        <v>-1.6260130863831106E+16</v>
      </c>
      <c r="M6015" s="460">
        <f t="shared" si="201"/>
        <v>0.05</v>
      </c>
      <c r="N6015" s="464">
        <f t="shared" si="202"/>
        <v>234123</v>
      </c>
    </row>
    <row r="6016" spans="7:14" ht="11.25" customHeight="1" x14ac:dyDescent="0.3">
      <c r="G6016" s="459"/>
      <c r="H6016" s="459">
        <v>6009</v>
      </c>
      <c r="I6016" s="444">
        <f t="shared" ca="1" si="200"/>
        <v>-1.6260130863831106E+16</v>
      </c>
      <c r="J6016" s="444">
        <f t="array" ref="J6016">IFERROR(INDEX('Retirement Calculator'!K:K,MATCH('Lorri 401b'!N6016,'Retirement Calculator'!A:A,0),0),0)</f>
        <v>0</v>
      </c>
      <c r="K6016" s="444">
        <f t="shared" ca="1" si="198"/>
        <v>-67750545265962.93</v>
      </c>
      <c r="L6016" s="444">
        <f t="shared" ca="1" si="199"/>
        <v>-1.6327881409097068E+16</v>
      </c>
      <c r="M6016" s="460">
        <f t="shared" si="201"/>
        <v>0.05</v>
      </c>
      <c r="N6016" s="464">
        <f t="shared" si="202"/>
        <v>234154</v>
      </c>
    </row>
    <row r="6017" spans="7:14" ht="11.25" customHeight="1" x14ac:dyDescent="0.3">
      <c r="G6017" s="459"/>
      <c r="H6017" s="459">
        <v>6010</v>
      </c>
      <c r="I6017" s="444">
        <f t="shared" ca="1" si="200"/>
        <v>-1.6327881409097068E+16</v>
      </c>
      <c r="J6017" s="444">
        <f t="array" ref="J6017">IFERROR(INDEX('Retirement Calculator'!K:K,MATCH('Lorri 401b'!N6017,'Retirement Calculator'!A:A,0),0),0)</f>
        <v>0</v>
      </c>
      <c r="K6017" s="444">
        <f t="shared" ca="1" si="198"/>
        <v>-68032839204571.117</v>
      </c>
      <c r="L6017" s="444">
        <f t="shared" ca="1" si="199"/>
        <v>-1.639591424830164E+16</v>
      </c>
      <c r="M6017" s="460">
        <f t="shared" si="201"/>
        <v>0.05</v>
      </c>
      <c r="N6017" s="464">
        <f t="shared" si="202"/>
        <v>234182</v>
      </c>
    </row>
    <row r="6018" spans="7:14" ht="11.25" customHeight="1" x14ac:dyDescent="0.3">
      <c r="G6018" s="459"/>
      <c r="H6018" s="459">
        <v>6011</v>
      </c>
      <c r="I6018" s="444">
        <f t="shared" ca="1" si="200"/>
        <v>-1.639591424830164E+16</v>
      </c>
      <c r="J6018" s="444">
        <f t="array" ref="J6018">IFERROR(INDEX('Retirement Calculator'!K:K,MATCH('Lorri 401b'!N6018,'Retirement Calculator'!A:A,0),0),0)</f>
        <v>0</v>
      </c>
      <c r="K6018" s="444">
        <f t="shared" ca="1" si="198"/>
        <v>-68316309367923.508</v>
      </c>
      <c r="L6018" s="444">
        <f t="shared" ca="1" si="199"/>
        <v>-1.6464230557669564E+16</v>
      </c>
      <c r="M6018" s="460">
        <f t="shared" si="201"/>
        <v>0.05</v>
      </c>
      <c r="N6018" s="464">
        <f t="shared" si="202"/>
        <v>234213</v>
      </c>
    </row>
    <row r="6019" spans="7:14" ht="11.25" customHeight="1" x14ac:dyDescent="0.3">
      <c r="G6019" s="459"/>
      <c r="H6019" s="459">
        <v>6012</v>
      </c>
      <c r="I6019" s="444">
        <f t="shared" ca="1" si="200"/>
        <v>-1.6464230557669564E+16</v>
      </c>
      <c r="J6019" s="444">
        <f t="array" ref="J6019">IFERROR(INDEX('Retirement Calculator'!K:K,MATCH('Lorri 401b'!N6019,'Retirement Calculator'!A:A,0),0),0)</f>
        <v>0</v>
      </c>
      <c r="K6019" s="444">
        <f t="shared" ca="1" si="198"/>
        <v>-68600960656956.523</v>
      </c>
      <c r="L6019" s="444">
        <f t="shared" ca="1" si="199"/>
        <v>-1.653283151832652E+16</v>
      </c>
      <c r="M6019" s="460">
        <f t="shared" si="201"/>
        <v>0.05</v>
      </c>
      <c r="N6019" s="464">
        <f t="shared" si="202"/>
        <v>234243</v>
      </c>
    </row>
    <row r="6020" spans="7:14" ht="11.25" customHeight="1" x14ac:dyDescent="0.3">
      <c r="G6020" s="459"/>
      <c r="H6020" s="459">
        <v>6013</v>
      </c>
      <c r="I6020" s="444">
        <f t="shared" ca="1" si="200"/>
        <v>-1.653283151832652E+16</v>
      </c>
      <c r="J6020" s="444">
        <f t="array" ref="J6020">IFERROR(INDEX('Retirement Calculator'!K:K,MATCH('Lorri 401b'!N6020,'Retirement Calculator'!A:A,0),0),0)</f>
        <v>0</v>
      </c>
      <c r="K6020" s="444">
        <f t="shared" ca="1" si="198"/>
        <v>-68886797993027.156</v>
      </c>
      <c r="L6020" s="444">
        <f t="shared" ca="1" si="199"/>
        <v>-1.6601718316319548E+16</v>
      </c>
      <c r="M6020" s="460">
        <f t="shared" si="201"/>
        <v>0.05</v>
      </c>
      <c r="N6020" s="464">
        <f t="shared" si="202"/>
        <v>234274</v>
      </c>
    </row>
    <row r="6021" spans="7:14" ht="11.25" customHeight="1" x14ac:dyDescent="0.3">
      <c r="G6021" s="459"/>
      <c r="H6021" s="459">
        <v>6014</v>
      </c>
      <c r="I6021" s="444">
        <f t="shared" ca="1" si="200"/>
        <v>-1.6601718316319548E+16</v>
      </c>
      <c r="J6021" s="444">
        <f t="array" ref="J6021">IFERROR(INDEX('Retirement Calculator'!K:K,MATCH('Lorri 401b'!N6021,'Retirement Calculator'!A:A,0),0),0)</f>
        <v>0</v>
      </c>
      <c r="K6021" s="444">
        <f t="shared" ca="1" si="198"/>
        <v>-69173826317998.117</v>
      </c>
      <c r="L6021" s="444">
        <f t="shared" ca="1" si="199"/>
        <v>-1.6670892142637546E+16</v>
      </c>
      <c r="M6021" s="460">
        <f t="shared" si="201"/>
        <v>0.05</v>
      </c>
      <c r="N6021" s="464">
        <f t="shared" si="202"/>
        <v>234304</v>
      </c>
    </row>
    <row r="6022" spans="7:14" ht="11.25" customHeight="1" x14ac:dyDescent="0.3">
      <c r="G6022" s="459"/>
      <c r="H6022" s="459">
        <v>6015</v>
      </c>
      <c r="I6022" s="444">
        <f t="shared" ca="1" si="200"/>
        <v>-1.6670892142637546E+16</v>
      </c>
      <c r="J6022" s="444">
        <f t="array" ref="J6022">IFERROR(INDEX('Retirement Calculator'!K:K,MATCH('Lorri 401b'!N6022,'Retirement Calculator'!A:A,0),0),0)</f>
        <v>0</v>
      </c>
      <c r="K6022" s="444">
        <f t="shared" ca="1" si="198"/>
        <v>-69462050594323.109</v>
      </c>
      <c r="L6022" s="444">
        <f t="shared" ca="1" si="199"/>
        <v>-1.674035419323187E+16</v>
      </c>
      <c r="M6022" s="460">
        <f t="shared" si="201"/>
        <v>0.05</v>
      </c>
      <c r="N6022" s="464">
        <f t="shared" si="202"/>
        <v>234335</v>
      </c>
    </row>
    <row r="6023" spans="7:14" ht="11.25" customHeight="1" x14ac:dyDescent="0.3">
      <c r="G6023" s="459"/>
      <c r="H6023" s="459">
        <v>6016</v>
      </c>
      <c r="I6023" s="444">
        <f t="shared" ca="1" si="200"/>
        <v>-1.674035419323187E+16</v>
      </c>
      <c r="J6023" s="444">
        <f t="array" ref="J6023">IFERROR(INDEX('Retirement Calculator'!K:K,MATCH('Lorri 401b'!N6023,'Retirement Calculator'!A:A,0),0),0)</f>
        <v>0</v>
      </c>
      <c r="K6023" s="444">
        <f t="shared" ca="1" si="198"/>
        <v>-69751475805132.789</v>
      </c>
      <c r="L6023" s="444">
        <f t="shared" ca="1" si="199"/>
        <v>-1.6810105669037002E+16</v>
      </c>
      <c r="M6023" s="460">
        <f t="shared" si="201"/>
        <v>0.05</v>
      </c>
      <c r="N6023" s="464">
        <f t="shared" si="202"/>
        <v>234366</v>
      </c>
    </row>
    <row r="6024" spans="7:14" ht="11.25" customHeight="1" x14ac:dyDescent="0.3">
      <c r="G6024" s="459"/>
      <c r="H6024" s="459">
        <v>6017</v>
      </c>
      <c r="I6024" s="444">
        <f t="shared" ca="1" si="200"/>
        <v>-1.6810105669037002E+16</v>
      </c>
      <c r="J6024" s="444">
        <f t="array" ref="J6024">IFERROR(INDEX('Retirement Calculator'!K:K,MATCH('Lorri 401b'!N6024,'Retirement Calculator'!A:A,0),0),0)</f>
        <v>0</v>
      </c>
      <c r="K6024" s="444">
        <f t="shared" ca="1" si="198"/>
        <v>-70042106954320.836</v>
      </c>
      <c r="L6024" s="444">
        <f t="shared" ca="1" si="199"/>
        <v>-1.6880147775991322E+16</v>
      </c>
      <c r="M6024" s="460">
        <f t="shared" si="201"/>
        <v>0.05</v>
      </c>
      <c r="N6024" s="464">
        <f t="shared" si="202"/>
        <v>234396</v>
      </c>
    </row>
    <row r="6025" spans="7:14" ht="11.25" customHeight="1" x14ac:dyDescent="0.3">
      <c r="G6025" s="459"/>
      <c r="H6025" s="459">
        <v>6018</v>
      </c>
      <c r="I6025" s="444">
        <f t="shared" ca="1" si="200"/>
        <v>-1.6880147775991322E+16</v>
      </c>
      <c r="J6025" s="444">
        <f t="array" ref="J6025">IFERROR(INDEX('Retirement Calculator'!K:K,MATCH('Lorri 401b'!N6025,'Retirement Calculator'!A:A,0),0),0)</f>
        <v>0</v>
      </c>
      <c r="K6025" s="444">
        <f t="shared" ca="1" si="198"/>
        <v>-70333949066630.508</v>
      </c>
      <c r="L6025" s="444">
        <f t="shared" ca="1" si="199"/>
        <v>-1.6950481725057952E+16</v>
      </c>
      <c r="M6025" s="460">
        <f t="shared" si="201"/>
        <v>0.05</v>
      </c>
      <c r="N6025" s="464">
        <f t="shared" si="202"/>
        <v>234427</v>
      </c>
    </row>
    <row r="6026" spans="7:14" ht="11.25" customHeight="1" x14ac:dyDescent="0.3">
      <c r="G6026" s="459"/>
      <c r="H6026" s="459">
        <v>6019</v>
      </c>
      <c r="I6026" s="444">
        <f t="shared" ca="1" si="200"/>
        <v>-1.6950481725057952E+16</v>
      </c>
      <c r="J6026" s="444">
        <f t="array" ref="J6026">IFERROR(INDEX('Retirement Calculator'!K:K,MATCH('Lorri 401b'!N6026,'Retirement Calculator'!A:A,0),0),0)</f>
        <v>0</v>
      </c>
      <c r="K6026" s="444">
        <f t="shared" ca="1" si="198"/>
        <v>-70627007187741.469</v>
      </c>
      <c r="L6026" s="444">
        <f t="shared" ca="1" si="199"/>
        <v>-1.7021108732245694E+16</v>
      </c>
      <c r="M6026" s="460">
        <f t="shared" si="201"/>
        <v>0.05</v>
      </c>
      <c r="N6026" s="464">
        <f t="shared" si="202"/>
        <v>234457</v>
      </c>
    </row>
    <row r="6027" spans="7:14" ht="11.25" customHeight="1" x14ac:dyDescent="0.3">
      <c r="G6027" s="459"/>
      <c r="H6027" s="459">
        <v>6020</v>
      </c>
      <c r="I6027" s="444">
        <f t="shared" ca="1" si="200"/>
        <v>-1.7021108732245694E+16</v>
      </c>
      <c r="J6027" s="444">
        <f t="array" ref="J6027">IFERROR(INDEX('Retirement Calculator'!K:K,MATCH('Lorri 401b'!N6027,'Retirement Calculator'!A:A,0),0),0)</f>
        <v>0</v>
      </c>
      <c r="K6027" s="444">
        <f t="shared" ca="1" si="198"/>
        <v>-70921286384357.063</v>
      </c>
      <c r="L6027" s="444">
        <f t="shared" ca="1" si="199"/>
        <v>-1.7092030018630052E+16</v>
      </c>
      <c r="M6027" s="460">
        <f t="shared" si="201"/>
        <v>0.05</v>
      </c>
      <c r="N6027" s="464">
        <f t="shared" si="202"/>
        <v>234488</v>
      </c>
    </row>
    <row r="6028" spans="7:14" ht="11.25" customHeight="1" x14ac:dyDescent="0.3">
      <c r="G6028" s="459"/>
      <c r="H6028" s="459">
        <v>6021</v>
      </c>
      <c r="I6028" s="444">
        <f t="shared" ca="1" si="200"/>
        <v>-1.7092030018630052E+16</v>
      </c>
      <c r="J6028" s="444">
        <f t="array" ref="J6028">IFERROR(INDEX('Retirement Calculator'!K:K,MATCH('Lorri 401b'!N6028,'Retirement Calculator'!A:A,0),0),0)</f>
        <v>0</v>
      </c>
      <c r="K6028" s="444">
        <f t="shared" ca="1" si="198"/>
        <v>-71216791744291.875</v>
      </c>
      <c r="L6028" s="444">
        <f t="shared" ca="1" si="199"/>
        <v>-1.7163246810374344E+16</v>
      </c>
      <c r="M6028" s="460">
        <f t="shared" si="201"/>
        <v>0.05</v>
      </c>
      <c r="N6028" s="464">
        <f t="shared" si="202"/>
        <v>234519</v>
      </c>
    </row>
    <row r="6029" spans="7:14" ht="11.25" customHeight="1" x14ac:dyDescent="0.3">
      <c r="G6029" s="459"/>
      <c r="H6029" s="459">
        <v>6022</v>
      </c>
      <c r="I6029" s="444">
        <f t="shared" ca="1" si="200"/>
        <v>-1.7163246810374344E+16</v>
      </c>
      <c r="J6029" s="444">
        <f t="array" ref="J6029">IFERROR(INDEX('Retirement Calculator'!K:K,MATCH('Lorri 401b'!N6029,'Retirement Calculator'!A:A,0),0),0)</f>
        <v>0</v>
      </c>
      <c r="K6029" s="444">
        <f t="shared" ca="1" si="198"/>
        <v>-71513528376559.766</v>
      </c>
      <c r="L6029" s="444">
        <f t="shared" ca="1" si="199"/>
        <v>-1.7234760338750904E+16</v>
      </c>
      <c r="M6029" s="460">
        <f t="shared" si="201"/>
        <v>0.05</v>
      </c>
      <c r="N6029" s="464">
        <f t="shared" si="202"/>
        <v>234547</v>
      </c>
    </row>
    <row r="6030" spans="7:14" ht="11.25" customHeight="1" x14ac:dyDescent="0.3">
      <c r="G6030" s="459"/>
      <c r="H6030" s="459">
        <v>6023</v>
      </c>
      <c r="I6030" s="444">
        <f t="shared" ca="1" si="200"/>
        <v>-1.7234760338750904E+16</v>
      </c>
      <c r="J6030" s="444">
        <f t="array" ref="J6030">IFERROR(INDEX('Retirement Calculator'!K:K,MATCH('Lorri 401b'!N6030,'Retirement Calculator'!A:A,0),0),0)</f>
        <v>0</v>
      </c>
      <c r="K6030" s="444">
        <f t="shared" ca="1" si="198"/>
        <v>-71811501411462.094</v>
      </c>
      <c r="L6030" s="444">
        <f t="shared" ca="1" si="199"/>
        <v>-1.7306571840162366E+16</v>
      </c>
      <c r="M6030" s="460">
        <f t="shared" si="201"/>
        <v>0.05</v>
      </c>
      <c r="N6030" s="464">
        <f t="shared" si="202"/>
        <v>234578</v>
      </c>
    </row>
    <row r="6031" spans="7:14" ht="11.25" customHeight="1" x14ac:dyDescent="0.3">
      <c r="G6031" s="459"/>
      <c r="H6031" s="459">
        <v>6024</v>
      </c>
      <c r="I6031" s="444">
        <f t="shared" ca="1" si="200"/>
        <v>-1.7306571840162366E+16</v>
      </c>
      <c r="J6031" s="444">
        <f t="array" ref="J6031">IFERROR(INDEX('Retirement Calculator'!K:K,MATCH('Lorri 401b'!N6031,'Retirement Calculator'!A:A,0),0),0)</f>
        <v>0</v>
      </c>
      <c r="K6031" s="444">
        <f t="shared" ca="1" si="198"/>
        <v>-72110716000676.531</v>
      </c>
      <c r="L6031" s="444">
        <f t="shared" ca="1" si="199"/>
        <v>-1.7378682556163042E+16</v>
      </c>
      <c r="M6031" s="460">
        <f t="shared" si="201"/>
        <v>0.05</v>
      </c>
      <c r="N6031" s="464">
        <f t="shared" si="202"/>
        <v>234608</v>
      </c>
    </row>
    <row r="6032" spans="7:14" ht="11.25" customHeight="1" x14ac:dyDescent="0.3">
      <c r="G6032" s="459"/>
      <c r="H6032" s="459">
        <v>6025</v>
      </c>
      <c r="I6032" s="444">
        <f t="shared" ca="1" si="200"/>
        <v>-1.7378682556163042E+16</v>
      </c>
      <c r="J6032" s="444">
        <f t="array" ref="J6032">IFERROR(INDEX('Retirement Calculator'!K:K,MATCH('Lorri 401b'!N6032,'Retirement Calculator'!A:A,0),0),0)</f>
        <v>0</v>
      </c>
      <c r="K6032" s="444">
        <f t="shared" ca="1" si="198"/>
        <v>-72411177317346</v>
      </c>
      <c r="L6032" s="444">
        <f t="shared" ca="1" si="199"/>
        <v>-1.7451093733480388E+16</v>
      </c>
      <c r="M6032" s="460">
        <f t="shared" si="201"/>
        <v>0.05</v>
      </c>
      <c r="N6032" s="464">
        <f t="shared" si="202"/>
        <v>234639</v>
      </c>
    </row>
    <row r="6033" spans="7:14" ht="11.25" customHeight="1" x14ac:dyDescent="0.3">
      <c r="G6033" s="459"/>
      <c r="H6033" s="459">
        <v>6026</v>
      </c>
      <c r="I6033" s="444">
        <f t="shared" ca="1" si="200"/>
        <v>-1.7451093733480388E+16</v>
      </c>
      <c r="J6033" s="444">
        <f t="array" ref="J6033">IFERROR(INDEX('Retirement Calculator'!K:K,MATCH('Lorri 401b'!N6033,'Retirement Calculator'!A:A,0),0),0)</f>
        <v>0</v>
      </c>
      <c r="K6033" s="444">
        <f t="shared" ca="1" si="198"/>
        <v>-72712890556168.281</v>
      </c>
      <c r="L6033" s="444">
        <f t="shared" ca="1" si="199"/>
        <v>-1.7523806624036556E+16</v>
      </c>
      <c r="M6033" s="460">
        <f t="shared" si="201"/>
        <v>0.05</v>
      </c>
      <c r="N6033" s="464">
        <f t="shared" si="202"/>
        <v>234669</v>
      </c>
    </row>
    <row r="6034" spans="7:14" ht="11.25" customHeight="1" x14ac:dyDescent="0.3">
      <c r="G6034" s="459"/>
      <c r="H6034" s="459">
        <v>6027</v>
      </c>
      <c r="I6034" s="444">
        <f t="shared" ca="1" si="200"/>
        <v>-1.7523806624036556E+16</v>
      </c>
      <c r="J6034" s="444">
        <f t="array" ref="J6034">IFERROR(INDEX('Retirement Calculator'!K:K,MATCH('Lorri 401b'!N6034,'Retirement Calculator'!A:A,0),0),0)</f>
        <v>0</v>
      </c>
      <c r="K6034" s="444">
        <f t="shared" ca="1" si="198"/>
        <v>-73015860933485.656</v>
      </c>
      <c r="L6034" s="444">
        <f t="shared" ca="1" si="199"/>
        <v>-1.7596822484970042E+16</v>
      </c>
      <c r="M6034" s="460">
        <f t="shared" si="201"/>
        <v>0.05</v>
      </c>
      <c r="N6034" s="464">
        <f t="shared" si="202"/>
        <v>234700</v>
      </c>
    </row>
    <row r="6035" spans="7:14" ht="11.25" customHeight="1" x14ac:dyDescent="0.3">
      <c r="G6035" s="459"/>
      <c r="H6035" s="459">
        <v>6028</v>
      </c>
      <c r="I6035" s="444">
        <f t="shared" ca="1" si="200"/>
        <v>-1.7596822484970042E+16</v>
      </c>
      <c r="J6035" s="444">
        <f t="array" ref="J6035">IFERROR(INDEX('Retirement Calculator'!K:K,MATCH('Lorri 401b'!N6035,'Retirement Calculator'!A:A,0),0),0)</f>
        <v>0</v>
      </c>
      <c r="K6035" s="444">
        <f t="shared" ca="1" si="198"/>
        <v>-73320093687375.188</v>
      </c>
      <c r="L6035" s="444">
        <f t="shared" ca="1" si="199"/>
        <v>-1.7670142578657418E+16</v>
      </c>
      <c r="M6035" s="460">
        <f t="shared" si="201"/>
        <v>0.05</v>
      </c>
      <c r="N6035" s="464">
        <f t="shared" si="202"/>
        <v>234731</v>
      </c>
    </row>
    <row r="6036" spans="7:14" ht="11.25" customHeight="1" x14ac:dyDescent="0.3">
      <c r="G6036" s="459"/>
      <c r="H6036" s="459">
        <v>6029</v>
      </c>
      <c r="I6036" s="444">
        <f t="shared" ca="1" si="200"/>
        <v>-1.7670142578657418E+16</v>
      </c>
      <c r="J6036" s="444">
        <f t="array" ref="J6036">IFERROR(INDEX('Retirement Calculator'!K:K,MATCH('Lorri 401b'!N6036,'Retirement Calculator'!A:A,0),0),0)</f>
        <v>0</v>
      </c>
      <c r="K6036" s="444">
        <f t="shared" ca="1" si="198"/>
        <v>-73625594077739.234</v>
      </c>
      <c r="L6036" s="444">
        <f t="shared" ca="1" si="199"/>
        <v>-1.7743768172735158E+16</v>
      </c>
      <c r="M6036" s="460">
        <f t="shared" si="201"/>
        <v>0.05</v>
      </c>
      <c r="N6036" s="464">
        <f t="shared" si="202"/>
        <v>234761</v>
      </c>
    </row>
    <row r="6037" spans="7:14" ht="11.25" customHeight="1" x14ac:dyDescent="0.3">
      <c r="G6037" s="459"/>
      <c r="H6037" s="459">
        <v>6030</v>
      </c>
      <c r="I6037" s="444">
        <f t="shared" ca="1" si="200"/>
        <v>-1.7743768172735158E+16</v>
      </c>
      <c r="J6037" s="444">
        <f t="array" ref="J6037">IFERROR(INDEX('Retirement Calculator'!K:K,MATCH('Lorri 401b'!N6037,'Retirement Calculator'!A:A,0),0),0)</f>
        <v>0</v>
      </c>
      <c r="K6037" s="444">
        <f t="shared" ca="1" si="198"/>
        <v>-73932367386396.484</v>
      </c>
      <c r="L6037" s="444">
        <f t="shared" ca="1" si="199"/>
        <v>-1.7817700540121554E+16</v>
      </c>
      <c r="M6037" s="460">
        <f t="shared" si="201"/>
        <v>0.05</v>
      </c>
      <c r="N6037" s="464">
        <f t="shared" si="202"/>
        <v>234792</v>
      </c>
    </row>
    <row r="6038" spans="7:14" ht="11.25" customHeight="1" x14ac:dyDescent="0.3">
      <c r="G6038" s="459"/>
      <c r="H6038" s="459">
        <v>6031</v>
      </c>
      <c r="I6038" s="444">
        <f t="shared" ca="1" si="200"/>
        <v>-1.7817700540121554E+16</v>
      </c>
      <c r="J6038" s="444">
        <f t="array" ref="J6038">IFERROR(INDEX('Retirement Calculator'!K:K,MATCH('Lorri 401b'!N6038,'Retirement Calculator'!A:A,0),0),0)</f>
        <v>0</v>
      </c>
      <c r="K6038" s="444">
        <f t="shared" ca="1" si="198"/>
        <v>-74240418917173.141</v>
      </c>
      <c r="L6038" s="444">
        <f t="shared" ca="1" si="199"/>
        <v>-1.7891940959038728E+16</v>
      </c>
      <c r="M6038" s="460">
        <f t="shared" si="201"/>
        <v>0.05</v>
      </c>
      <c r="N6038" s="464">
        <f t="shared" si="202"/>
        <v>234822</v>
      </c>
    </row>
    <row r="6039" spans="7:14" ht="11.25" customHeight="1" x14ac:dyDescent="0.3">
      <c r="G6039" s="459"/>
      <c r="H6039" s="459">
        <v>6032</v>
      </c>
      <c r="I6039" s="444">
        <f t="shared" ca="1" si="200"/>
        <v>-1.7891940959038728E+16</v>
      </c>
      <c r="J6039" s="444">
        <f t="array" ref="J6039">IFERROR(INDEX('Retirement Calculator'!K:K,MATCH('Lorri 401b'!N6039,'Retirement Calculator'!A:A,0),0),0)</f>
        <v>0</v>
      </c>
      <c r="K6039" s="444">
        <f t="shared" ca="1" si="198"/>
        <v>-74549753995994.703</v>
      </c>
      <c r="L6039" s="444">
        <f t="shared" ca="1" si="199"/>
        <v>-1.7966490713034722E+16</v>
      </c>
      <c r="M6039" s="460">
        <f t="shared" si="201"/>
        <v>0.05</v>
      </c>
      <c r="N6039" s="464">
        <f t="shared" si="202"/>
        <v>234853</v>
      </c>
    </row>
    <row r="6040" spans="7:14" ht="11.25" customHeight="1" x14ac:dyDescent="0.3">
      <c r="G6040" s="459"/>
      <c r="H6040" s="459">
        <v>6033</v>
      </c>
      <c r="I6040" s="444">
        <f t="shared" ca="1" si="200"/>
        <v>-1.7966490713034722E+16</v>
      </c>
      <c r="J6040" s="444">
        <f t="array" ref="J6040">IFERROR(INDEX('Retirement Calculator'!K:K,MATCH('Lorri 401b'!N6040,'Retirement Calculator'!A:A,0),0),0)</f>
        <v>0</v>
      </c>
      <c r="K6040" s="444">
        <f t="shared" ca="1" si="198"/>
        <v>-74860377970978</v>
      </c>
      <c r="L6040" s="444">
        <f t="shared" ca="1" si="199"/>
        <v>-1.80413510910057E+16</v>
      </c>
      <c r="M6040" s="460">
        <f t="shared" si="201"/>
        <v>0.05</v>
      </c>
      <c r="N6040" s="464">
        <f t="shared" si="202"/>
        <v>234884</v>
      </c>
    </row>
    <row r="6041" spans="7:14" ht="11.25" customHeight="1" x14ac:dyDescent="0.3">
      <c r="G6041" s="459"/>
      <c r="H6041" s="459">
        <v>6034</v>
      </c>
      <c r="I6041" s="444">
        <f t="shared" ca="1" si="200"/>
        <v>-1.80413510910057E+16</v>
      </c>
      <c r="J6041" s="444">
        <f t="array" ref="J6041">IFERROR(INDEX('Retirement Calculator'!K:K,MATCH('Lorri 401b'!N6041,'Retirement Calculator'!A:A,0),0),0)</f>
        <v>0</v>
      </c>
      <c r="K6041" s="444">
        <f t="shared" ca="1" si="198"/>
        <v>-75172296212523.75</v>
      </c>
      <c r="L6041" s="444">
        <f t="shared" ca="1" si="199"/>
        <v>-1.8116523387218224E+16</v>
      </c>
      <c r="M6041" s="460">
        <f t="shared" si="201"/>
        <v>0.05</v>
      </c>
      <c r="N6041" s="464">
        <f t="shared" si="202"/>
        <v>234912</v>
      </c>
    </row>
    <row r="6042" spans="7:14" ht="11.25" customHeight="1" x14ac:dyDescent="0.3">
      <c r="G6042" s="459"/>
      <c r="H6042" s="459">
        <v>6035</v>
      </c>
      <c r="I6042" s="444">
        <f t="shared" ca="1" si="200"/>
        <v>-1.8116523387218224E+16</v>
      </c>
      <c r="J6042" s="444">
        <f t="array" ref="J6042">IFERROR(INDEX('Retirement Calculator'!K:K,MATCH('Lorri 401b'!N6042,'Retirement Calculator'!A:A,0),0),0)</f>
        <v>0</v>
      </c>
      <c r="K6042" s="444">
        <f t="shared" ca="1" si="198"/>
        <v>-75485514113409.266</v>
      </c>
      <c r="L6042" s="444">
        <f t="shared" ca="1" si="199"/>
        <v>-1.8192008901331632E+16</v>
      </c>
      <c r="M6042" s="460">
        <f t="shared" si="201"/>
        <v>0.05</v>
      </c>
      <c r="N6042" s="464">
        <f t="shared" si="202"/>
        <v>234943</v>
      </c>
    </row>
    <row r="6043" spans="7:14" ht="11.25" customHeight="1" x14ac:dyDescent="0.3">
      <c r="G6043" s="459"/>
      <c r="H6043" s="459">
        <v>6036</v>
      </c>
      <c r="I6043" s="444">
        <f t="shared" ca="1" si="200"/>
        <v>-1.8192008901331632E+16</v>
      </c>
      <c r="J6043" s="444">
        <f t="array" ref="J6043">IFERROR(INDEX('Retirement Calculator'!K:K,MATCH('Lorri 401b'!N6043,'Retirement Calculator'!A:A,0),0),0)</f>
        <v>0</v>
      </c>
      <c r="K6043" s="444">
        <f t="shared" ca="1" si="198"/>
        <v>-75800037088881.797</v>
      </c>
      <c r="L6043" s="444">
        <f t="shared" ca="1" si="199"/>
        <v>-1.8267808938420512E+16</v>
      </c>
      <c r="M6043" s="460">
        <f t="shared" si="201"/>
        <v>0.05</v>
      </c>
      <c r="N6043" s="464">
        <f t="shared" si="202"/>
        <v>234973</v>
      </c>
    </row>
    <row r="6044" spans="7:14" ht="11.25" customHeight="1" x14ac:dyDescent="0.3">
      <c r="G6044" s="459"/>
      <c r="H6044" s="459">
        <v>6037</v>
      </c>
      <c r="I6044" s="444">
        <f t="shared" ca="1" si="200"/>
        <v>-1.8267808938420512E+16</v>
      </c>
      <c r="J6044" s="444">
        <f t="array" ref="J6044">IFERROR(INDEX('Retirement Calculator'!K:K,MATCH('Lorri 401b'!N6044,'Retirement Calculator'!A:A,0),0),0)</f>
        <v>0</v>
      </c>
      <c r="K6044" s="444">
        <f t="shared" ca="1" si="198"/>
        <v>-76115870576752.125</v>
      </c>
      <c r="L6044" s="444">
        <f t="shared" ca="1" si="199"/>
        <v>-1.8343924808997264E+16</v>
      </c>
      <c r="M6044" s="460">
        <f t="shared" si="201"/>
        <v>0.05</v>
      </c>
      <c r="N6044" s="464">
        <f t="shared" si="202"/>
        <v>235004</v>
      </c>
    </row>
    <row r="6045" spans="7:14" ht="11.25" customHeight="1" x14ac:dyDescent="0.3">
      <c r="G6045" s="459"/>
      <c r="H6045" s="459">
        <v>6038</v>
      </c>
      <c r="I6045" s="444">
        <f t="shared" ca="1" si="200"/>
        <v>-1.8343924808997264E+16</v>
      </c>
      <c r="J6045" s="444">
        <f t="array" ref="J6045">IFERROR(INDEX('Retirement Calculator'!K:K,MATCH('Lorri 401b'!N6045,'Retirement Calculator'!A:A,0),0),0)</f>
        <v>0</v>
      </c>
      <c r="K6045" s="444">
        <f t="shared" ca="1" si="198"/>
        <v>-76433020037488.594</v>
      </c>
      <c r="L6045" s="444">
        <f t="shared" ca="1" si="199"/>
        <v>-1.8420357829034752E+16</v>
      </c>
      <c r="M6045" s="460">
        <f t="shared" si="201"/>
        <v>0.05</v>
      </c>
      <c r="N6045" s="464">
        <f t="shared" si="202"/>
        <v>235034</v>
      </c>
    </row>
    <row r="6046" spans="7:14" ht="11.25" customHeight="1" x14ac:dyDescent="0.3">
      <c r="G6046" s="459"/>
      <c r="H6046" s="459">
        <v>6039</v>
      </c>
      <c r="I6046" s="444">
        <f t="shared" ca="1" si="200"/>
        <v>-1.8420357829034752E+16</v>
      </c>
      <c r="J6046" s="444">
        <f t="array" ref="J6046">IFERROR(INDEX('Retirement Calculator'!K:K,MATCH('Lorri 401b'!N6046,'Retirement Calculator'!A:A,0),0),0)</f>
        <v>0</v>
      </c>
      <c r="K6046" s="444">
        <f t="shared" ca="1" si="198"/>
        <v>-76751490954311.469</v>
      </c>
      <c r="L6046" s="444">
        <f t="shared" ca="1" si="199"/>
        <v>-1.8497109319989064E+16</v>
      </c>
      <c r="M6046" s="460">
        <f t="shared" si="201"/>
        <v>0.05</v>
      </c>
      <c r="N6046" s="464">
        <f t="shared" si="202"/>
        <v>235065</v>
      </c>
    </row>
    <row r="6047" spans="7:14" ht="11.25" customHeight="1" x14ac:dyDescent="0.3">
      <c r="G6047" s="459"/>
      <c r="H6047" s="459">
        <v>6040</v>
      </c>
      <c r="I6047" s="444">
        <f t="shared" ca="1" si="200"/>
        <v>-1.8497109319989064E+16</v>
      </c>
      <c r="J6047" s="444">
        <f t="array" ref="J6047">IFERROR(INDEX('Retirement Calculator'!K:K,MATCH('Lorri 401b'!N6047,'Retirement Calculator'!A:A,0),0),0)</f>
        <v>0</v>
      </c>
      <c r="K6047" s="444">
        <f t="shared" ca="1" si="198"/>
        <v>-77071288833287.766</v>
      </c>
      <c r="L6047" s="444">
        <f t="shared" ca="1" si="199"/>
        <v>-1.8574180608822352E+16</v>
      </c>
      <c r="M6047" s="460">
        <f t="shared" si="201"/>
        <v>0.05</v>
      </c>
      <c r="N6047" s="464">
        <f t="shared" si="202"/>
        <v>235096</v>
      </c>
    </row>
    <row r="6048" spans="7:14" ht="11.25" customHeight="1" x14ac:dyDescent="0.3">
      <c r="G6048" s="459"/>
      <c r="H6048" s="459">
        <v>6041</v>
      </c>
      <c r="I6048" s="444">
        <f t="shared" ca="1" si="200"/>
        <v>-1.8574180608822352E+16</v>
      </c>
      <c r="J6048" s="444">
        <f t="array" ref="J6048">IFERROR(INDEX('Retirement Calculator'!K:K,MATCH('Lorri 401b'!N6048,'Retirement Calculator'!A:A,0),0),0)</f>
        <v>0</v>
      </c>
      <c r="K6048" s="444">
        <f t="shared" ca="1" si="198"/>
        <v>-77392419203426.469</v>
      </c>
      <c r="L6048" s="444">
        <f t="shared" ca="1" si="199"/>
        <v>-1.865157302802578E+16</v>
      </c>
      <c r="M6048" s="460">
        <f t="shared" si="201"/>
        <v>0.05</v>
      </c>
      <c r="N6048" s="464">
        <f t="shared" si="202"/>
        <v>235126</v>
      </c>
    </row>
    <row r="6049" spans="7:14" ht="11.25" customHeight="1" x14ac:dyDescent="0.3">
      <c r="G6049" s="459"/>
      <c r="H6049" s="459">
        <v>6042</v>
      </c>
      <c r="I6049" s="444">
        <f t="shared" ca="1" si="200"/>
        <v>-1.865157302802578E+16</v>
      </c>
      <c r="J6049" s="444">
        <f t="array" ref="J6049">IFERROR(INDEX('Retirement Calculator'!K:K,MATCH('Lorri 401b'!N6049,'Retirement Calculator'!A:A,0),0),0)</f>
        <v>0</v>
      </c>
      <c r="K6049" s="444">
        <f t="shared" ca="1" si="198"/>
        <v>-77714887616774.078</v>
      </c>
      <c r="L6049" s="444">
        <f t="shared" ca="1" si="199"/>
        <v>-1.8729287915642556E+16</v>
      </c>
      <c r="M6049" s="460">
        <f t="shared" si="201"/>
        <v>0.05</v>
      </c>
      <c r="N6049" s="464">
        <f t="shared" si="202"/>
        <v>235157</v>
      </c>
    </row>
    <row r="6050" spans="7:14" ht="11.25" customHeight="1" x14ac:dyDescent="0.3">
      <c r="G6050" s="459"/>
      <c r="H6050" s="459">
        <v>6043</v>
      </c>
      <c r="I6050" s="444">
        <f t="shared" ca="1" si="200"/>
        <v>-1.8729287915642556E+16</v>
      </c>
      <c r="J6050" s="444">
        <f t="array" ref="J6050">IFERROR(INDEX('Retirement Calculator'!K:K,MATCH('Lorri 401b'!N6050,'Retirement Calculator'!A:A,0),0),0)</f>
        <v>0</v>
      </c>
      <c r="K6050" s="444">
        <f t="shared" ca="1" si="198"/>
        <v>-78038699648510.656</v>
      </c>
      <c r="L6050" s="444">
        <f t="shared" ca="1" si="199"/>
        <v>-1.8807326615291068E+16</v>
      </c>
      <c r="M6050" s="460">
        <f t="shared" si="201"/>
        <v>0.05</v>
      </c>
      <c r="N6050" s="464">
        <f t="shared" si="202"/>
        <v>235187</v>
      </c>
    </row>
    <row r="6051" spans="7:14" ht="11.25" customHeight="1" x14ac:dyDescent="0.3">
      <c r="G6051" s="459"/>
      <c r="H6051" s="459">
        <v>6044</v>
      </c>
      <c r="I6051" s="444">
        <f t="shared" ca="1" si="200"/>
        <v>-1.8807326615291068E+16</v>
      </c>
      <c r="J6051" s="444">
        <f t="array" ref="J6051">IFERROR(INDEX('Retirement Calculator'!K:K,MATCH('Lorri 401b'!N6051,'Retirement Calculator'!A:A,0),0),0)</f>
        <v>0</v>
      </c>
      <c r="K6051" s="444">
        <f t="shared" ca="1" si="198"/>
        <v>-78363860897046.109</v>
      </c>
      <c r="L6051" s="444">
        <f t="shared" ca="1" si="199"/>
        <v>-1.8885690476188116E+16</v>
      </c>
      <c r="M6051" s="460">
        <f t="shared" si="201"/>
        <v>0.05</v>
      </c>
      <c r="N6051" s="464">
        <f t="shared" si="202"/>
        <v>235218</v>
      </c>
    </row>
    <row r="6052" spans="7:14" ht="11.25" customHeight="1" x14ac:dyDescent="0.3">
      <c r="G6052" s="459"/>
      <c r="H6052" s="459">
        <v>6045</v>
      </c>
      <c r="I6052" s="444">
        <f t="shared" ca="1" si="200"/>
        <v>-1.8885690476188116E+16</v>
      </c>
      <c r="J6052" s="444">
        <f t="array" ref="J6052">IFERROR(INDEX('Retirement Calculator'!K:K,MATCH('Lorri 401b'!N6052,'Retirement Calculator'!A:A,0),0),0)</f>
        <v>0</v>
      </c>
      <c r="K6052" s="444">
        <f t="shared" ca="1" si="198"/>
        <v>-78690376984117.156</v>
      </c>
      <c r="L6052" s="444">
        <f t="shared" ca="1" si="199"/>
        <v>-1.8964380853172232E+16</v>
      </c>
      <c r="M6052" s="460">
        <f t="shared" si="201"/>
        <v>0.05</v>
      </c>
      <c r="N6052" s="464">
        <f t="shared" si="202"/>
        <v>235249</v>
      </c>
    </row>
    <row r="6053" spans="7:14" ht="11.25" customHeight="1" x14ac:dyDescent="0.3">
      <c r="G6053" s="459"/>
      <c r="H6053" s="459">
        <v>6046</v>
      </c>
      <c r="I6053" s="444">
        <f t="shared" ca="1" si="200"/>
        <v>-1.8964380853172232E+16</v>
      </c>
      <c r="J6053" s="444">
        <f t="array" ref="J6053">IFERROR(INDEX('Retirement Calculator'!K:K,MATCH('Lorri 401b'!N6053,'Retirement Calculator'!A:A,0),0),0)</f>
        <v>0</v>
      </c>
      <c r="K6053" s="444">
        <f t="shared" ca="1" si="198"/>
        <v>-79018253554884.297</v>
      </c>
      <c r="L6053" s="444">
        <f t="shared" ca="1" si="199"/>
        <v>-1.9043399106727116E+16</v>
      </c>
      <c r="M6053" s="460">
        <f t="shared" si="201"/>
        <v>0.05</v>
      </c>
      <c r="N6053" s="464">
        <f t="shared" si="202"/>
        <v>235278</v>
      </c>
    </row>
    <row r="6054" spans="7:14" ht="11.25" customHeight="1" x14ac:dyDescent="0.3">
      <c r="G6054" s="459"/>
      <c r="H6054" s="459">
        <v>6047</v>
      </c>
      <c r="I6054" s="444">
        <f t="shared" ca="1" si="200"/>
        <v>-1.9043399106727116E+16</v>
      </c>
      <c r="J6054" s="444">
        <f t="array" ref="J6054">IFERROR(INDEX('Retirement Calculator'!K:K,MATCH('Lorri 401b'!N6054,'Retirement Calculator'!A:A,0),0),0)</f>
        <v>0</v>
      </c>
      <c r="K6054" s="444">
        <f t="shared" ca="1" si="198"/>
        <v>-79347496278029.656</v>
      </c>
      <c r="L6054" s="444">
        <f t="shared" ca="1" si="199"/>
        <v>-1.9122746603005144E+16</v>
      </c>
      <c r="M6054" s="460">
        <f t="shared" si="201"/>
        <v>0.05</v>
      </c>
      <c r="N6054" s="464">
        <f t="shared" si="202"/>
        <v>235309</v>
      </c>
    </row>
    <row r="6055" spans="7:14" ht="11.25" customHeight="1" x14ac:dyDescent="0.3">
      <c r="G6055" s="459"/>
      <c r="H6055" s="459">
        <v>6048</v>
      </c>
      <c r="I6055" s="444">
        <f t="shared" ca="1" si="200"/>
        <v>-1.9122746603005144E+16</v>
      </c>
      <c r="J6055" s="444">
        <f t="array" ref="J6055">IFERROR(INDEX('Retirement Calculator'!K:K,MATCH('Lorri 401b'!N6055,'Retirement Calculator'!A:A,0),0),0)</f>
        <v>0</v>
      </c>
      <c r="K6055" s="444">
        <f t="shared" ca="1" si="198"/>
        <v>-79678110845854.766</v>
      </c>
      <c r="L6055" s="444">
        <f t="shared" ca="1" si="199"/>
        <v>-1.9202424713851E+16</v>
      </c>
      <c r="M6055" s="460">
        <f t="shared" si="201"/>
        <v>0.05</v>
      </c>
      <c r="N6055" s="464">
        <f t="shared" si="202"/>
        <v>235339</v>
      </c>
    </row>
    <row r="6056" spans="7:14" ht="11.25" customHeight="1" x14ac:dyDescent="0.3">
      <c r="G6056" s="459"/>
      <c r="H6056" s="459">
        <v>6049</v>
      </c>
      <c r="I6056" s="444">
        <f t="shared" ca="1" si="200"/>
        <v>-1.9202424713851E+16</v>
      </c>
      <c r="J6056" s="444">
        <f t="array" ref="J6056">IFERROR(INDEX('Retirement Calculator'!K:K,MATCH('Lorri 401b'!N6056,'Retirement Calculator'!A:A,0),0),0)</f>
        <v>0</v>
      </c>
      <c r="K6056" s="444">
        <f t="shared" ca="1" si="198"/>
        <v>-80010102974379.172</v>
      </c>
      <c r="L6056" s="444">
        <f t="shared" ca="1" si="199"/>
        <v>-1.928243481682538E+16</v>
      </c>
      <c r="M6056" s="460">
        <f t="shared" si="201"/>
        <v>0.05</v>
      </c>
      <c r="N6056" s="464">
        <f t="shared" si="202"/>
        <v>235370</v>
      </c>
    </row>
    <row r="6057" spans="7:14" ht="11.25" customHeight="1" x14ac:dyDescent="0.3">
      <c r="G6057" s="459"/>
      <c r="H6057" s="459">
        <v>6050</v>
      </c>
      <c r="I6057" s="444">
        <f t="shared" ca="1" si="200"/>
        <v>-1.928243481682538E+16</v>
      </c>
      <c r="J6057" s="444">
        <f t="array" ref="J6057">IFERROR(INDEX('Retirement Calculator'!K:K,MATCH('Lorri 401b'!N6057,'Retirement Calculator'!A:A,0),0),0)</f>
        <v>0</v>
      </c>
      <c r="K6057" s="444">
        <f t="shared" ca="1" si="198"/>
        <v>-80343478403439.078</v>
      </c>
      <c r="L6057" s="444">
        <f t="shared" ca="1" si="199"/>
        <v>-1.936277829522882E+16</v>
      </c>
      <c r="M6057" s="460">
        <f t="shared" si="201"/>
        <v>0.05</v>
      </c>
      <c r="N6057" s="464">
        <f t="shared" si="202"/>
        <v>235400</v>
      </c>
    </row>
    <row r="6058" spans="7:14" ht="11.25" customHeight="1" x14ac:dyDescent="0.3">
      <c r="G6058" s="459"/>
      <c r="H6058" s="459">
        <v>6051</v>
      </c>
      <c r="I6058" s="444">
        <f t="shared" ca="1" si="200"/>
        <v>-1.936277829522882E+16</v>
      </c>
      <c r="J6058" s="444">
        <f t="array" ref="J6058">IFERROR(INDEX('Retirement Calculator'!K:K,MATCH('Lorri 401b'!N6058,'Retirement Calculator'!A:A,0),0),0)</f>
        <v>0</v>
      </c>
      <c r="K6058" s="444">
        <f t="shared" ca="1" si="198"/>
        <v>-80678242896786.75</v>
      </c>
      <c r="L6058" s="444">
        <f t="shared" ca="1" si="199"/>
        <v>-1.9443456538125608E+16</v>
      </c>
      <c r="M6058" s="460">
        <f t="shared" si="201"/>
        <v>0.05</v>
      </c>
      <c r="N6058" s="464">
        <f t="shared" si="202"/>
        <v>235431</v>
      </c>
    </row>
    <row r="6059" spans="7:14" ht="11.25" customHeight="1" x14ac:dyDescent="0.3">
      <c r="G6059" s="459"/>
      <c r="H6059" s="459">
        <v>6052</v>
      </c>
      <c r="I6059" s="444">
        <f t="shared" ca="1" si="200"/>
        <v>-1.9443456538125608E+16</v>
      </c>
      <c r="J6059" s="444">
        <f t="array" ref="J6059">IFERROR(INDEX('Retirement Calculator'!K:K,MATCH('Lorri 401b'!N6059,'Retirement Calculator'!A:A,0),0),0)</f>
        <v>0</v>
      </c>
      <c r="K6059" s="444">
        <f t="shared" ca="1" si="198"/>
        <v>-81014402242190.031</v>
      </c>
      <c r="L6059" s="444">
        <f t="shared" ca="1" si="199"/>
        <v>-1.95244709403678E+16</v>
      </c>
      <c r="M6059" s="460">
        <f t="shared" si="201"/>
        <v>0.05</v>
      </c>
      <c r="N6059" s="464">
        <f t="shared" si="202"/>
        <v>235462</v>
      </c>
    </row>
    <row r="6060" spans="7:14" ht="11.25" customHeight="1" x14ac:dyDescent="0.3">
      <c r="G6060" s="459"/>
      <c r="H6060" s="459">
        <v>6053</v>
      </c>
      <c r="I6060" s="444">
        <f t="shared" ca="1" si="200"/>
        <v>-1.95244709403678E+16</v>
      </c>
      <c r="J6060" s="444">
        <f t="array" ref="J6060">IFERROR(INDEX('Retirement Calculator'!K:K,MATCH('Lorri 401b'!N6060,'Retirement Calculator'!A:A,0),0),0)</f>
        <v>0</v>
      </c>
      <c r="K6060" s="444">
        <f t="shared" ca="1" si="198"/>
        <v>-81351962251532.5</v>
      </c>
      <c r="L6060" s="444">
        <f t="shared" ca="1" si="199"/>
        <v>-1.9605822902619332E+16</v>
      </c>
      <c r="M6060" s="460">
        <f t="shared" si="201"/>
        <v>0.05</v>
      </c>
      <c r="N6060" s="464">
        <f t="shared" si="202"/>
        <v>235492</v>
      </c>
    </row>
    <row r="6061" spans="7:14" ht="11.25" customHeight="1" x14ac:dyDescent="0.3">
      <c r="G6061" s="459"/>
      <c r="H6061" s="459">
        <v>6054</v>
      </c>
      <c r="I6061" s="444">
        <f t="shared" ca="1" si="200"/>
        <v>-1.9605822902619332E+16</v>
      </c>
      <c r="J6061" s="444">
        <f t="array" ref="J6061">IFERROR(INDEX('Retirement Calculator'!K:K,MATCH('Lorri 401b'!N6061,'Retirement Calculator'!A:A,0),0),0)</f>
        <v>0</v>
      </c>
      <c r="K6061" s="444">
        <f t="shared" ca="1" si="198"/>
        <v>-81690928760913.875</v>
      </c>
      <c r="L6061" s="444">
        <f t="shared" ca="1" si="199"/>
        <v>-1.9687513831380244E+16</v>
      </c>
      <c r="M6061" s="460">
        <f t="shared" si="201"/>
        <v>0.05</v>
      </c>
      <c r="N6061" s="464">
        <f t="shared" si="202"/>
        <v>235523</v>
      </c>
    </row>
    <row r="6062" spans="7:14" ht="11.25" customHeight="1" x14ac:dyDescent="0.3">
      <c r="G6062" s="459"/>
      <c r="H6062" s="459">
        <v>6055</v>
      </c>
      <c r="I6062" s="444">
        <f t="shared" ca="1" si="200"/>
        <v>-1.9687513831380244E+16</v>
      </c>
      <c r="J6062" s="444">
        <f t="array" ref="J6062">IFERROR(INDEX('Retirement Calculator'!K:K,MATCH('Lorri 401b'!N6062,'Retirement Calculator'!A:A,0),0),0)</f>
        <v>0</v>
      </c>
      <c r="K6062" s="444">
        <f t="shared" ca="1" si="198"/>
        <v>-82031307630751.016</v>
      </c>
      <c r="L6062" s="444">
        <f t="shared" ca="1" si="199"/>
        <v>-1.9769545139010996E+16</v>
      </c>
      <c r="M6062" s="460">
        <f t="shared" si="201"/>
        <v>0.05</v>
      </c>
      <c r="N6062" s="464">
        <f t="shared" si="202"/>
        <v>235553</v>
      </c>
    </row>
    <row r="6063" spans="7:14" ht="11.25" customHeight="1" x14ac:dyDescent="0.3">
      <c r="G6063" s="459"/>
      <c r="H6063" s="459">
        <v>6056</v>
      </c>
      <c r="I6063" s="444">
        <f t="shared" ca="1" si="200"/>
        <v>-1.9769545139010996E+16</v>
      </c>
      <c r="J6063" s="444">
        <f t="array" ref="J6063">IFERROR(INDEX('Retirement Calculator'!K:K,MATCH('Lorri 401b'!N6063,'Retirement Calculator'!A:A,0),0),0)</f>
        <v>0</v>
      </c>
      <c r="K6063" s="444">
        <f t="shared" ca="1" si="198"/>
        <v>-82373104745879.156</v>
      </c>
      <c r="L6063" s="444">
        <f t="shared" ca="1" si="199"/>
        <v>-1.9851918243756876E+16</v>
      </c>
      <c r="M6063" s="460">
        <f t="shared" si="201"/>
        <v>0.05</v>
      </c>
      <c r="N6063" s="464">
        <f t="shared" si="202"/>
        <v>235584</v>
      </c>
    </row>
    <row r="6064" spans="7:14" ht="11.25" customHeight="1" x14ac:dyDescent="0.3">
      <c r="G6064" s="459"/>
      <c r="H6064" s="459">
        <v>6057</v>
      </c>
      <c r="I6064" s="444">
        <f t="shared" ca="1" si="200"/>
        <v>-1.9851918243756876E+16</v>
      </c>
      <c r="J6064" s="444">
        <f t="array" ref="J6064">IFERROR(INDEX('Retirement Calculator'!K:K,MATCH('Lorri 401b'!N6064,'Retirement Calculator'!A:A,0),0),0)</f>
        <v>0</v>
      </c>
      <c r="K6064" s="444">
        <f t="shared" ca="1" si="198"/>
        <v>-82716326015653.656</v>
      </c>
      <c r="L6064" s="444">
        <f t="shared" ca="1" si="199"/>
        <v>-1.9934634569772528E+16</v>
      </c>
      <c r="M6064" s="460">
        <f t="shared" si="201"/>
        <v>0.05</v>
      </c>
      <c r="N6064" s="464">
        <f t="shared" si="202"/>
        <v>235615</v>
      </c>
    </row>
    <row r="6065" spans="7:14" ht="11.25" customHeight="1" x14ac:dyDescent="0.3">
      <c r="G6065" s="459"/>
      <c r="H6065" s="459">
        <v>6058</v>
      </c>
      <c r="I6065" s="444">
        <f t="shared" ca="1" si="200"/>
        <v>-1.9934634569772528E+16</v>
      </c>
      <c r="J6065" s="444">
        <f t="array" ref="J6065">IFERROR(INDEX('Retirement Calculator'!K:K,MATCH('Lorri 401b'!N6065,'Retirement Calculator'!A:A,0),0),0)</f>
        <v>0</v>
      </c>
      <c r="K6065" s="444">
        <f t="shared" ca="1" si="198"/>
        <v>-83060977374052.203</v>
      </c>
      <c r="L6065" s="444">
        <f t="shared" ca="1" si="199"/>
        <v>-2.001769554714658E+16</v>
      </c>
      <c r="M6065" s="460">
        <f t="shared" si="201"/>
        <v>0.05</v>
      </c>
      <c r="N6065" s="464">
        <f t="shared" si="202"/>
        <v>235643</v>
      </c>
    </row>
    <row r="6066" spans="7:14" ht="11.25" customHeight="1" x14ac:dyDescent="0.3">
      <c r="G6066" s="459"/>
      <c r="H6066" s="459">
        <v>6059</v>
      </c>
      <c r="I6066" s="444">
        <f t="shared" ca="1" si="200"/>
        <v>-2.001769554714658E+16</v>
      </c>
      <c r="J6066" s="444">
        <f t="array" ref="J6066">IFERROR(INDEX('Retirement Calculator'!K:K,MATCH('Lorri 401b'!N6066,'Retirement Calculator'!A:A,0),0),0)</f>
        <v>0</v>
      </c>
      <c r="K6066" s="444">
        <f t="shared" ca="1" si="198"/>
        <v>-83407064779777.422</v>
      </c>
      <c r="L6066" s="444">
        <f t="shared" ca="1" si="199"/>
        <v>-2.0101102611926356E+16</v>
      </c>
      <c r="M6066" s="460">
        <f t="shared" si="201"/>
        <v>0.05</v>
      </c>
      <c r="N6066" s="464">
        <f t="shared" si="202"/>
        <v>235674</v>
      </c>
    </row>
    <row r="6067" spans="7:14" ht="11.25" customHeight="1" x14ac:dyDescent="0.3">
      <c r="G6067" s="459"/>
      <c r="H6067" s="459">
        <v>6060</v>
      </c>
      <c r="I6067" s="444">
        <f t="shared" ca="1" si="200"/>
        <v>-2.0101102611926356E+16</v>
      </c>
      <c r="J6067" s="444">
        <f t="array" ref="J6067">IFERROR(INDEX('Retirement Calculator'!K:K,MATCH('Lorri 401b'!N6067,'Retirement Calculator'!A:A,0),0),0)</f>
        <v>0</v>
      </c>
      <c r="K6067" s="444">
        <f t="shared" ca="1" si="198"/>
        <v>-83754594216359.813</v>
      </c>
      <c r="L6067" s="444">
        <f t="shared" ca="1" si="199"/>
        <v>-2.0184857206142716E+16</v>
      </c>
      <c r="M6067" s="460">
        <f t="shared" si="201"/>
        <v>0.05</v>
      </c>
      <c r="N6067" s="464">
        <f t="shared" si="202"/>
        <v>235704</v>
      </c>
    </row>
    <row r="6068" spans="7:14" ht="11.25" customHeight="1" x14ac:dyDescent="0.3">
      <c r="G6068" s="459"/>
      <c r="H6068" s="459">
        <v>6061</v>
      </c>
      <c r="I6068" s="444">
        <f t="shared" ca="1" si="200"/>
        <v>-2.0184857206142716E+16</v>
      </c>
      <c r="J6068" s="444">
        <f t="array" ref="J6068">IFERROR(INDEX('Retirement Calculator'!K:K,MATCH('Lorri 401b'!N6068,'Retirement Calculator'!A:A,0),0),0)</f>
        <v>0</v>
      </c>
      <c r="K6068" s="444">
        <f t="shared" ca="1" si="198"/>
        <v>-84103571692261.313</v>
      </c>
      <c r="L6068" s="444">
        <f t="shared" ca="1" si="199"/>
        <v>-2.0268960777834976E+16</v>
      </c>
      <c r="M6068" s="460">
        <f t="shared" si="201"/>
        <v>0.05</v>
      </c>
      <c r="N6068" s="464">
        <f t="shared" si="202"/>
        <v>235735</v>
      </c>
    </row>
    <row r="6069" spans="7:14" ht="11.25" customHeight="1" x14ac:dyDescent="0.3">
      <c r="G6069" s="459"/>
      <c r="H6069" s="459">
        <v>6062</v>
      </c>
      <c r="I6069" s="444">
        <f t="shared" ca="1" si="200"/>
        <v>-2.0268960777834976E+16</v>
      </c>
      <c r="J6069" s="444">
        <f t="array" ref="J6069">IFERROR(INDEX('Retirement Calculator'!K:K,MATCH('Lorri 401b'!N6069,'Retirement Calculator'!A:A,0),0),0)</f>
        <v>0</v>
      </c>
      <c r="K6069" s="444">
        <f t="shared" ca="1" si="198"/>
        <v>-84454003240979.063</v>
      </c>
      <c r="L6069" s="444">
        <f t="shared" ca="1" si="199"/>
        <v>-2.0353414781075956E+16</v>
      </c>
      <c r="M6069" s="460">
        <f t="shared" si="201"/>
        <v>0.05</v>
      </c>
      <c r="N6069" s="464">
        <f t="shared" si="202"/>
        <v>235765</v>
      </c>
    </row>
    <row r="6070" spans="7:14" ht="11.25" customHeight="1" x14ac:dyDescent="0.3">
      <c r="G6070" s="459"/>
      <c r="H6070" s="459">
        <v>6063</v>
      </c>
      <c r="I6070" s="444">
        <f t="shared" ca="1" si="200"/>
        <v>-2.0353414781075956E+16</v>
      </c>
      <c r="J6070" s="444">
        <f t="array" ref="J6070">IFERROR(INDEX('Retirement Calculator'!K:K,MATCH('Lorri 401b'!N6070,'Retirement Calculator'!A:A,0),0),0)</f>
        <v>0</v>
      </c>
      <c r="K6070" s="444">
        <f t="shared" ca="1" si="198"/>
        <v>-84805894921149.813</v>
      </c>
      <c r="L6070" s="444">
        <f t="shared" ca="1" si="199"/>
        <v>-2.0438220675997104E+16</v>
      </c>
      <c r="M6070" s="460">
        <f t="shared" si="201"/>
        <v>0.05</v>
      </c>
      <c r="N6070" s="464">
        <f t="shared" si="202"/>
        <v>235796</v>
      </c>
    </row>
    <row r="6071" spans="7:14" ht="11.25" customHeight="1" x14ac:dyDescent="0.3">
      <c r="G6071" s="459"/>
      <c r="H6071" s="459">
        <v>6064</v>
      </c>
      <c r="I6071" s="444">
        <f t="shared" ca="1" si="200"/>
        <v>-2.0438220675997104E+16</v>
      </c>
      <c r="J6071" s="444">
        <f t="array" ref="J6071">IFERROR(INDEX('Retirement Calculator'!K:K,MATCH('Lorri 401b'!N6071,'Retirement Calculator'!A:A,0),0),0)</f>
        <v>0</v>
      </c>
      <c r="K6071" s="444">
        <f t="shared" ca="1" si="198"/>
        <v>-85159252816654.594</v>
      </c>
      <c r="L6071" s="444">
        <f t="shared" ca="1" si="199"/>
        <v>-2.052337992881376E+16</v>
      </c>
      <c r="M6071" s="460">
        <f t="shared" si="201"/>
        <v>0.05</v>
      </c>
      <c r="N6071" s="464">
        <f t="shared" si="202"/>
        <v>235827</v>
      </c>
    </row>
    <row r="6072" spans="7:14" ht="11.25" customHeight="1" x14ac:dyDescent="0.3">
      <c r="G6072" s="459"/>
      <c r="H6072" s="459">
        <v>6065</v>
      </c>
      <c r="I6072" s="444">
        <f t="shared" ca="1" si="200"/>
        <v>-2.052337992881376E+16</v>
      </c>
      <c r="J6072" s="444">
        <f t="array" ref="J6072">IFERROR(INDEX('Retirement Calculator'!K:K,MATCH('Lorri 401b'!N6072,'Retirement Calculator'!A:A,0),0),0)</f>
        <v>0</v>
      </c>
      <c r="K6072" s="444">
        <f t="shared" ca="1" si="198"/>
        <v>-85514083036724</v>
      </c>
      <c r="L6072" s="444">
        <f t="shared" ca="1" si="199"/>
        <v>-2.0608894011850484E+16</v>
      </c>
      <c r="M6072" s="460">
        <f t="shared" si="201"/>
        <v>0.05</v>
      </c>
      <c r="N6072" s="464">
        <f t="shared" si="202"/>
        <v>235857</v>
      </c>
    </row>
    <row r="6073" spans="7:14" ht="11.25" customHeight="1" x14ac:dyDescent="0.3">
      <c r="G6073" s="459"/>
      <c r="H6073" s="459">
        <v>6066</v>
      </c>
      <c r="I6073" s="444">
        <f t="shared" ca="1" si="200"/>
        <v>-2.0608894011850484E+16</v>
      </c>
      <c r="J6073" s="444">
        <f t="array" ref="J6073">IFERROR(INDEX('Retirement Calculator'!K:K,MATCH('Lorri 401b'!N6073,'Retirement Calculator'!A:A,0),0),0)</f>
        <v>0</v>
      </c>
      <c r="K6073" s="444">
        <f t="shared" ca="1" si="198"/>
        <v>-85870391716043.688</v>
      </c>
      <c r="L6073" s="444">
        <f t="shared" ca="1" si="199"/>
        <v>-2.0694764403566528E+16</v>
      </c>
      <c r="M6073" s="460">
        <f t="shared" si="201"/>
        <v>0.05</v>
      </c>
      <c r="N6073" s="464">
        <f t="shared" si="202"/>
        <v>235888</v>
      </c>
    </row>
    <row r="6074" spans="7:14" ht="11.25" customHeight="1" x14ac:dyDescent="0.3">
      <c r="G6074" s="459"/>
      <c r="H6074" s="459">
        <v>6067</v>
      </c>
      <c r="I6074" s="444">
        <f t="shared" ca="1" si="200"/>
        <v>-2.0694764403566528E+16</v>
      </c>
      <c r="J6074" s="444">
        <f t="array" ref="J6074">IFERROR(INDEX('Retirement Calculator'!K:K,MATCH('Lorri 401b'!N6074,'Retirement Calculator'!A:A,0),0),0)</f>
        <v>0</v>
      </c>
      <c r="K6074" s="444">
        <f t="shared" ca="1" si="198"/>
        <v>-86228185014860.531</v>
      </c>
      <c r="L6074" s="444">
        <f t="shared" ca="1" si="199"/>
        <v>-2.0780992588581388E+16</v>
      </c>
      <c r="M6074" s="460">
        <f t="shared" si="201"/>
        <v>0.05</v>
      </c>
      <c r="N6074" s="464">
        <f t="shared" si="202"/>
        <v>235918</v>
      </c>
    </row>
    <row r="6075" spans="7:14" ht="11.25" customHeight="1" x14ac:dyDescent="0.3">
      <c r="G6075" s="459"/>
      <c r="H6075" s="459">
        <v>6068</v>
      </c>
      <c r="I6075" s="444">
        <f t="shared" ca="1" si="200"/>
        <v>-2.0780992588581388E+16</v>
      </c>
      <c r="J6075" s="444">
        <f t="array" ref="J6075">IFERROR(INDEX('Retirement Calculator'!K:K,MATCH('Lorri 401b'!N6075,'Retirement Calculator'!A:A,0),0),0)</f>
        <v>0</v>
      </c>
      <c r="K6075" s="444">
        <f t="shared" ca="1" si="198"/>
        <v>-86587469119089.109</v>
      </c>
      <c r="L6075" s="444">
        <f t="shared" ca="1" si="199"/>
        <v>-2.0867580057700476E+16</v>
      </c>
      <c r="M6075" s="460">
        <f t="shared" si="201"/>
        <v>0.05</v>
      </c>
      <c r="N6075" s="464">
        <f t="shared" si="202"/>
        <v>235949</v>
      </c>
    </row>
    <row r="6076" spans="7:14" ht="11.25" customHeight="1" x14ac:dyDescent="0.3">
      <c r="G6076" s="459"/>
      <c r="H6076" s="459">
        <v>6069</v>
      </c>
      <c r="I6076" s="444">
        <f t="shared" ca="1" si="200"/>
        <v>-2.0867580057700476E+16</v>
      </c>
      <c r="J6076" s="444">
        <f t="array" ref="J6076">IFERROR(INDEX('Retirement Calculator'!K:K,MATCH('Lorri 401b'!N6076,'Retirement Calculator'!A:A,0),0),0)</f>
        <v>0</v>
      </c>
      <c r="K6076" s="444">
        <f t="shared" ca="1" si="198"/>
        <v>-86948250240418.656</v>
      </c>
      <c r="L6076" s="444">
        <f t="shared" ca="1" si="199"/>
        <v>-2.0954528307940896E+16</v>
      </c>
      <c r="M6076" s="460">
        <f t="shared" si="201"/>
        <v>0.05</v>
      </c>
      <c r="N6076" s="464">
        <f t="shared" si="202"/>
        <v>235980</v>
      </c>
    </row>
    <row r="6077" spans="7:14" ht="11.25" customHeight="1" x14ac:dyDescent="0.3">
      <c r="G6077" s="459"/>
      <c r="H6077" s="459">
        <v>6070</v>
      </c>
      <c r="I6077" s="444">
        <f t="shared" ca="1" si="200"/>
        <v>-2.0954528307940896E+16</v>
      </c>
      <c r="J6077" s="444">
        <f t="array" ref="J6077">IFERROR(INDEX('Retirement Calculator'!K:K,MATCH('Lorri 401b'!N6077,'Retirement Calculator'!A:A,0),0),0)</f>
        <v>0</v>
      </c>
      <c r="K6077" s="444">
        <f t="shared" ca="1" si="198"/>
        <v>-87310534616420.406</v>
      </c>
      <c r="L6077" s="444">
        <f t="shared" ca="1" si="199"/>
        <v>-2.1041838842557316E+16</v>
      </c>
      <c r="M6077" s="460">
        <f t="shared" si="201"/>
        <v>0.05</v>
      </c>
      <c r="N6077" s="464">
        <f t="shared" si="202"/>
        <v>236008</v>
      </c>
    </row>
    <row r="6078" spans="7:14" ht="11.25" customHeight="1" x14ac:dyDescent="0.3">
      <c r="G6078" s="459"/>
      <c r="H6078" s="459">
        <v>6071</v>
      </c>
      <c r="I6078" s="444">
        <f t="shared" ca="1" si="200"/>
        <v>-2.1041838842557316E+16</v>
      </c>
      <c r="J6078" s="444">
        <f t="array" ref="J6078">IFERROR(INDEX('Retirement Calculator'!K:K,MATCH('Lorri 401b'!N6078,'Retirement Calculator'!A:A,0),0),0)</f>
        <v>0</v>
      </c>
      <c r="K6078" s="444">
        <f t="shared" ca="1" si="198"/>
        <v>-87674328510655.484</v>
      </c>
      <c r="L6078" s="444">
        <f t="shared" ca="1" si="199"/>
        <v>-2.1129513171067972E+16</v>
      </c>
      <c r="M6078" s="460">
        <f t="shared" si="201"/>
        <v>0.05</v>
      </c>
      <c r="N6078" s="464">
        <f t="shared" si="202"/>
        <v>236039</v>
      </c>
    </row>
    <row r="6079" spans="7:14" ht="11.25" customHeight="1" x14ac:dyDescent="0.3">
      <c r="G6079" s="459"/>
      <c r="H6079" s="459">
        <v>6072</v>
      </c>
      <c r="I6079" s="444">
        <f t="shared" ca="1" si="200"/>
        <v>-2.1129513171067972E+16</v>
      </c>
      <c r="J6079" s="444">
        <f t="array" ref="J6079">IFERROR(INDEX('Retirement Calculator'!K:K,MATCH('Lorri 401b'!N6079,'Retirement Calculator'!A:A,0),0),0)</f>
        <v>0</v>
      </c>
      <c r="K6079" s="444">
        <f t="shared" ca="1" si="198"/>
        <v>-88039638212783.219</v>
      </c>
      <c r="L6079" s="444">
        <f t="shared" ca="1" si="199"/>
        <v>-2.1217552809280756E+16</v>
      </c>
      <c r="M6079" s="460">
        <f t="shared" si="201"/>
        <v>0.05</v>
      </c>
      <c r="N6079" s="464">
        <f t="shared" si="202"/>
        <v>236069</v>
      </c>
    </row>
    <row r="6080" spans="7:14" ht="11.25" customHeight="1" x14ac:dyDescent="0.3">
      <c r="G6080" s="459"/>
      <c r="H6080" s="459">
        <v>6073</v>
      </c>
      <c r="I6080" s="444">
        <f t="shared" ca="1" si="200"/>
        <v>-2.1217552809280756E+16</v>
      </c>
      <c r="J6080" s="444">
        <f t="array" ref="J6080">IFERROR(INDEX('Retirement Calculator'!K:K,MATCH('Lorri 401b'!N6080,'Retirement Calculator'!A:A,0),0),0)</f>
        <v>0</v>
      </c>
      <c r="K6080" s="444">
        <f t="shared" ca="1" si="198"/>
        <v>-88406470038669.813</v>
      </c>
      <c r="L6080" s="444">
        <f t="shared" ca="1" si="199"/>
        <v>-2.1305959279319424E+16</v>
      </c>
      <c r="M6080" s="460">
        <f t="shared" si="201"/>
        <v>0.05</v>
      </c>
      <c r="N6080" s="464">
        <f t="shared" si="202"/>
        <v>236100</v>
      </c>
    </row>
    <row r="6081" spans="7:14" ht="11.25" customHeight="1" x14ac:dyDescent="0.3">
      <c r="G6081" s="459"/>
      <c r="H6081" s="459">
        <v>6074</v>
      </c>
      <c r="I6081" s="444">
        <f t="shared" ca="1" si="200"/>
        <v>-2.1305959279319424E+16</v>
      </c>
      <c r="J6081" s="444">
        <f t="array" ref="J6081">IFERROR(INDEX('Retirement Calculator'!K:K,MATCH('Lorri 401b'!N6081,'Retirement Calculator'!A:A,0),0),0)</f>
        <v>0</v>
      </c>
      <c r="K6081" s="444">
        <f t="shared" ca="1" si="198"/>
        <v>-88774830330497.594</v>
      </c>
      <c r="L6081" s="444">
        <f t="shared" ca="1" si="199"/>
        <v>-2.139473410964992E+16</v>
      </c>
      <c r="M6081" s="460">
        <f t="shared" si="201"/>
        <v>0.05</v>
      </c>
      <c r="N6081" s="464">
        <f t="shared" si="202"/>
        <v>236130</v>
      </c>
    </row>
    <row r="6082" spans="7:14" ht="11.25" customHeight="1" x14ac:dyDescent="0.3">
      <c r="G6082" s="459"/>
      <c r="H6082" s="459">
        <v>6075</v>
      </c>
      <c r="I6082" s="444">
        <f t="shared" ca="1" si="200"/>
        <v>-2.139473410964992E+16</v>
      </c>
      <c r="J6082" s="444">
        <f t="array" ref="J6082">IFERROR(INDEX('Retirement Calculator'!K:K,MATCH('Lorri 401b'!N6082,'Retirement Calculator'!A:A,0),0),0)</f>
        <v>0</v>
      </c>
      <c r="K6082" s="444">
        <f t="shared" ca="1" si="198"/>
        <v>-89144725456874.672</v>
      </c>
      <c r="L6082" s="444">
        <f t="shared" ca="1" si="199"/>
        <v>-2.1483878835106796E+16</v>
      </c>
      <c r="M6082" s="460">
        <f t="shared" si="201"/>
        <v>0.05</v>
      </c>
      <c r="N6082" s="464">
        <f t="shared" si="202"/>
        <v>236161</v>
      </c>
    </row>
    <row r="6083" spans="7:14" ht="11.25" customHeight="1" x14ac:dyDescent="0.3">
      <c r="G6083" s="459"/>
      <c r="H6083" s="459">
        <v>6076</v>
      </c>
      <c r="I6083" s="444">
        <f t="shared" ca="1" si="200"/>
        <v>-2.1483878835106796E+16</v>
      </c>
      <c r="J6083" s="444">
        <f t="array" ref="J6083">IFERROR(INDEX('Retirement Calculator'!K:K,MATCH('Lorri 401b'!N6083,'Retirement Calculator'!A:A,0),0),0)</f>
        <v>0</v>
      </c>
      <c r="K6083" s="444">
        <f t="shared" ca="1" si="198"/>
        <v>-89516161812944.984</v>
      </c>
      <c r="L6083" s="444">
        <f t="shared" ca="1" si="199"/>
        <v>-2.157339499691974E+16</v>
      </c>
      <c r="M6083" s="460">
        <f t="shared" si="201"/>
        <v>0.05</v>
      </c>
      <c r="N6083" s="464">
        <f t="shared" si="202"/>
        <v>236192</v>
      </c>
    </row>
    <row r="6084" spans="7:14" ht="11.25" customHeight="1" x14ac:dyDescent="0.3">
      <c r="G6084" s="459"/>
      <c r="H6084" s="459">
        <v>6077</v>
      </c>
      <c r="I6084" s="444">
        <f t="shared" ca="1" si="200"/>
        <v>-2.157339499691974E+16</v>
      </c>
      <c r="J6084" s="444">
        <f t="array" ref="J6084">IFERROR(INDEX('Retirement Calculator'!K:K,MATCH('Lorri 401b'!N6084,'Retirement Calculator'!A:A,0),0),0)</f>
        <v>0</v>
      </c>
      <c r="K6084" s="444">
        <f t="shared" ca="1" si="198"/>
        <v>-89889145820498.922</v>
      </c>
      <c r="L6084" s="444">
        <f t="shared" ca="1" si="199"/>
        <v>-2.166328414274024E+16</v>
      </c>
      <c r="M6084" s="460">
        <f t="shared" si="201"/>
        <v>0.05</v>
      </c>
      <c r="N6084" s="464">
        <f t="shared" si="202"/>
        <v>236222</v>
      </c>
    </row>
    <row r="6085" spans="7:14" ht="11.25" customHeight="1" x14ac:dyDescent="0.3">
      <c r="G6085" s="459"/>
      <c r="H6085" s="459">
        <v>6078</v>
      </c>
      <c r="I6085" s="444">
        <f t="shared" ca="1" si="200"/>
        <v>-2.166328414274024E+16</v>
      </c>
      <c r="J6085" s="444">
        <f t="array" ref="J6085">IFERROR(INDEX('Retirement Calculator'!K:K,MATCH('Lorri 401b'!N6085,'Retirement Calculator'!A:A,0),0),0)</f>
        <v>0</v>
      </c>
      <c r="K6085" s="444">
        <f t="shared" ca="1" si="198"/>
        <v>-90263683928084.328</v>
      </c>
      <c r="L6085" s="444">
        <f t="shared" ca="1" si="199"/>
        <v>-2.1753547826668324E+16</v>
      </c>
      <c r="M6085" s="460">
        <f t="shared" si="201"/>
        <v>0.05</v>
      </c>
      <c r="N6085" s="464">
        <f t="shared" si="202"/>
        <v>236253</v>
      </c>
    </row>
    <row r="6086" spans="7:14" ht="11.25" customHeight="1" x14ac:dyDescent="0.3">
      <c r="G6086" s="459"/>
      <c r="H6086" s="459">
        <v>6079</v>
      </c>
      <c r="I6086" s="444">
        <f t="shared" ca="1" si="200"/>
        <v>-2.1753547826668324E+16</v>
      </c>
      <c r="J6086" s="444">
        <f t="array" ref="J6086">IFERROR(INDEX('Retirement Calculator'!K:K,MATCH('Lorri 401b'!N6086,'Retirement Calculator'!A:A,0),0),0)</f>
        <v>0</v>
      </c>
      <c r="K6086" s="444">
        <f t="shared" ca="1" si="198"/>
        <v>-90639782611118.016</v>
      </c>
      <c r="L6086" s="444">
        <f t="shared" ca="1" si="199"/>
        <v>-2.1844187609279444E+16</v>
      </c>
      <c r="M6086" s="460">
        <f t="shared" si="201"/>
        <v>0.05</v>
      </c>
      <c r="N6086" s="464">
        <f t="shared" si="202"/>
        <v>236283</v>
      </c>
    </row>
    <row r="6087" spans="7:14" ht="11.25" customHeight="1" x14ac:dyDescent="0.3">
      <c r="G6087" s="459"/>
      <c r="H6087" s="459">
        <v>6080</v>
      </c>
      <c r="I6087" s="444">
        <f t="shared" ca="1" si="200"/>
        <v>-2.1844187609279444E+16</v>
      </c>
      <c r="J6087" s="444">
        <f t="array" ref="J6087">IFERROR(INDEX('Retirement Calculator'!K:K,MATCH('Lorri 401b'!N6087,'Retirement Calculator'!A:A,0),0),0)</f>
        <v>0</v>
      </c>
      <c r="K6087" s="444">
        <f t="shared" ca="1" si="198"/>
        <v>-91017448371997.688</v>
      </c>
      <c r="L6087" s="444">
        <f t="shared" ca="1" si="199"/>
        <v>-2.193520505765144E+16</v>
      </c>
      <c r="M6087" s="460">
        <f t="shared" si="201"/>
        <v>0.05</v>
      </c>
      <c r="N6087" s="464">
        <f t="shared" si="202"/>
        <v>236314</v>
      </c>
    </row>
    <row r="6088" spans="7:14" ht="11.25" customHeight="1" x14ac:dyDescent="0.3">
      <c r="G6088" s="459"/>
      <c r="H6088" s="459">
        <v>6081</v>
      </c>
      <c r="I6088" s="444">
        <f t="shared" ca="1" si="200"/>
        <v>-2.193520505765144E+16</v>
      </c>
      <c r="J6088" s="444">
        <f t="array" ref="J6088">IFERROR(INDEX('Retirement Calculator'!K:K,MATCH('Lorri 401b'!N6088,'Retirement Calculator'!A:A,0),0),0)</f>
        <v>0</v>
      </c>
      <c r="K6088" s="444">
        <f t="shared" ca="1" si="198"/>
        <v>-91396687740214.328</v>
      </c>
      <c r="L6088" s="444">
        <f t="shared" ca="1" si="199"/>
        <v>-2.2026601745391656E+16</v>
      </c>
      <c r="M6088" s="460">
        <f t="shared" si="201"/>
        <v>0.05</v>
      </c>
      <c r="N6088" s="464">
        <f t="shared" si="202"/>
        <v>236345</v>
      </c>
    </row>
    <row r="6089" spans="7:14" ht="11.25" customHeight="1" x14ac:dyDescent="0.3">
      <c r="G6089" s="459"/>
      <c r="H6089" s="459">
        <v>6082</v>
      </c>
      <c r="I6089" s="444">
        <f t="shared" ca="1" si="200"/>
        <v>-2.2026601745391656E+16</v>
      </c>
      <c r="J6089" s="444">
        <f t="array" ref="J6089">IFERROR(INDEX('Retirement Calculator'!K:K,MATCH('Lorri 401b'!N6089,'Retirement Calculator'!A:A,0),0),0)</f>
        <v>0</v>
      </c>
      <c r="K6089" s="444">
        <f t="shared" ca="1" si="198"/>
        <v>-91777507272465.234</v>
      </c>
      <c r="L6089" s="444">
        <f t="shared" ca="1" si="199"/>
        <v>-2.211837925266412E+16</v>
      </c>
      <c r="M6089" s="460">
        <f t="shared" si="201"/>
        <v>0.05</v>
      </c>
      <c r="N6089" s="464">
        <f t="shared" si="202"/>
        <v>236373</v>
      </c>
    </row>
    <row r="6090" spans="7:14" ht="11.25" customHeight="1" x14ac:dyDescent="0.3">
      <c r="G6090" s="459"/>
      <c r="H6090" s="459">
        <v>6083</v>
      </c>
      <c r="I6090" s="444">
        <f t="shared" ca="1" si="200"/>
        <v>-2.211837925266412E+16</v>
      </c>
      <c r="J6090" s="444">
        <f t="array" ref="J6090">IFERROR(INDEX('Retirement Calculator'!K:K,MATCH('Lorri 401b'!N6090,'Retirement Calculator'!A:A,0),0),0)</f>
        <v>0</v>
      </c>
      <c r="K6090" s="444">
        <f t="shared" ca="1" si="198"/>
        <v>-92159913552767.172</v>
      </c>
      <c r="L6090" s="444">
        <f t="shared" ca="1" si="199"/>
        <v>-2.2210539166216888E+16</v>
      </c>
      <c r="M6090" s="460">
        <f t="shared" si="201"/>
        <v>0.05</v>
      </c>
      <c r="N6090" s="464">
        <f t="shared" si="202"/>
        <v>236404</v>
      </c>
    </row>
    <row r="6091" spans="7:14" ht="11.25" customHeight="1" x14ac:dyDescent="0.3">
      <c r="G6091" s="459"/>
      <c r="H6091" s="459">
        <v>6084</v>
      </c>
      <c r="I6091" s="444">
        <f t="shared" ca="1" si="200"/>
        <v>-2.2210539166216888E+16</v>
      </c>
      <c r="J6091" s="444">
        <f t="array" ref="J6091">IFERROR(INDEX('Retirement Calculator'!K:K,MATCH('Lorri 401b'!N6091,'Retirement Calculator'!A:A,0),0),0)</f>
        <v>0</v>
      </c>
      <c r="K6091" s="444">
        <f t="shared" ca="1" si="198"/>
        <v>-92543913192570.359</v>
      </c>
      <c r="L6091" s="444">
        <f t="shared" ca="1" si="199"/>
        <v>-2.230308307940946E+16</v>
      </c>
      <c r="M6091" s="460">
        <f t="shared" si="201"/>
        <v>0.05</v>
      </c>
      <c r="N6091" s="464">
        <f t="shared" si="202"/>
        <v>236434</v>
      </c>
    </row>
    <row r="6092" spans="7:14" ht="11.25" customHeight="1" x14ac:dyDescent="0.3">
      <c r="G6092" s="459"/>
      <c r="H6092" s="459">
        <v>6085</v>
      </c>
      <c r="I6092" s="444">
        <f t="shared" ca="1" si="200"/>
        <v>-2.230308307940946E+16</v>
      </c>
      <c r="J6092" s="444">
        <f t="array" ref="J6092">IFERROR(INDEX('Retirement Calculator'!K:K,MATCH('Lorri 401b'!N6092,'Retirement Calculator'!A:A,0),0),0)</f>
        <v>0</v>
      </c>
      <c r="K6092" s="444">
        <f t="shared" ca="1" si="198"/>
        <v>-92929512830872.75</v>
      </c>
      <c r="L6092" s="444">
        <f t="shared" ca="1" si="199"/>
        <v>-2.2396012592240332E+16</v>
      </c>
      <c r="M6092" s="460">
        <f t="shared" si="201"/>
        <v>0.05</v>
      </c>
      <c r="N6092" s="464">
        <f t="shared" si="202"/>
        <v>236465</v>
      </c>
    </row>
    <row r="6093" spans="7:14" ht="11.25" customHeight="1" x14ac:dyDescent="0.3">
      <c r="G6093" s="459"/>
      <c r="H6093" s="459">
        <v>6086</v>
      </c>
      <c r="I6093" s="444">
        <f t="shared" ca="1" si="200"/>
        <v>-2.2396012592240332E+16</v>
      </c>
      <c r="J6093" s="444">
        <f t="array" ref="J6093">IFERROR(INDEX('Retirement Calculator'!K:K,MATCH('Lorri 401b'!N6093,'Retirement Calculator'!A:A,0),0),0)</f>
        <v>0</v>
      </c>
      <c r="K6093" s="444">
        <f t="shared" ca="1" si="198"/>
        <v>-93316719134334.719</v>
      </c>
      <c r="L6093" s="444">
        <f t="shared" ca="1" si="199"/>
        <v>-2.2489329311374668E+16</v>
      </c>
      <c r="M6093" s="460">
        <f t="shared" si="201"/>
        <v>0.05</v>
      </c>
      <c r="N6093" s="464">
        <f t="shared" si="202"/>
        <v>236495</v>
      </c>
    </row>
    <row r="6094" spans="7:14" ht="11.25" customHeight="1" x14ac:dyDescent="0.3">
      <c r="G6094" s="459"/>
      <c r="H6094" s="459">
        <v>6087</v>
      </c>
      <c r="I6094" s="444">
        <f t="shared" ca="1" si="200"/>
        <v>-2.2489329311374668E+16</v>
      </c>
      <c r="J6094" s="444">
        <f t="array" ref="J6094">IFERROR(INDEX('Retirement Calculator'!K:K,MATCH('Lorri 401b'!N6094,'Retirement Calculator'!A:A,0),0),0)</f>
        <v>0</v>
      </c>
      <c r="K6094" s="444">
        <f t="shared" ca="1" si="198"/>
        <v>-93705538797394.453</v>
      </c>
      <c r="L6094" s="444">
        <f t="shared" ca="1" si="199"/>
        <v>-2.2583034850172064E+16</v>
      </c>
      <c r="M6094" s="460">
        <f t="shared" si="201"/>
        <v>0.05</v>
      </c>
      <c r="N6094" s="464">
        <f t="shared" si="202"/>
        <v>236526</v>
      </c>
    </row>
    <row r="6095" spans="7:14" ht="11.25" customHeight="1" x14ac:dyDescent="0.3">
      <c r="G6095" s="459"/>
      <c r="H6095" s="459">
        <v>6088</v>
      </c>
      <c r="I6095" s="444">
        <f t="shared" ca="1" si="200"/>
        <v>-2.2583034850172064E+16</v>
      </c>
      <c r="J6095" s="444">
        <f t="array" ref="J6095">IFERROR(INDEX('Retirement Calculator'!K:K,MATCH('Lorri 401b'!N6095,'Retirement Calculator'!A:A,0),0),0)</f>
        <v>0</v>
      </c>
      <c r="K6095" s="444">
        <f t="shared" ca="1" si="198"/>
        <v>-94095978542383.594</v>
      </c>
      <c r="L6095" s="444">
        <f t="shared" ca="1" si="199"/>
        <v>-2.2677130828714448E+16</v>
      </c>
      <c r="M6095" s="460">
        <f t="shared" si="201"/>
        <v>0.05</v>
      </c>
      <c r="N6095" s="464">
        <f t="shared" si="202"/>
        <v>236557</v>
      </c>
    </row>
    <row r="6096" spans="7:14" ht="11.25" customHeight="1" x14ac:dyDescent="0.3">
      <c r="G6096" s="459"/>
      <c r="H6096" s="459">
        <v>6089</v>
      </c>
      <c r="I6096" s="444">
        <f t="shared" ca="1" si="200"/>
        <v>-2.2677130828714448E+16</v>
      </c>
      <c r="J6096" s="444">
        <f t="array" ref="J6096">IFERROR(INDEX('Retirement Calculator'!K:K,MATCH('Lorri 401b'!N6096,'Retirement Calculator'!A:A,0),0),0)</f>
        <v>0</v>
      </c>
      <c r="K6096" s="444">
        <f t="shared" ca="1" si="198"/>
        <v>-94488045119643.531</v>
      </c>
      <c r="L6096" s="444">
        <f t="shared" ca="1" si="199"/>
        <v>-2.2771618873834092E+16</v>
      </c>
      <c r="M6096" s="460">
        <f t="shared" si="201"/>
        <v>0.05</v>
      </c>
      <c r="N6096" s="464">
        <f t="shared" si="202"/>
        <v>236587</v>
      </c>
    </row>
    <row r="6097" spans="7:14" ht="11.25" customHeight="1" x14ac:dyDescent="0.3">
      <c r="G6097" s="459"/>
      <c r="H6097" s="459">
        <v>6090</v>
      </c>
      <c r="I6097" s="444">
        <f t="shared" ca="1" si="200"/>
        <v>-2.2771618873834092E+16</v>
      </c>
      <c r="J6097" s="444">
        <f t="array" ref="J6097">IFERROR(INDEX('Retirement Calculator'!K:K,MATCH('Lorri 401b'!N6097,'Retirement Calculator'!A:A,0),0),0)</f>
        <v>0</v>
      </c>
      <c r="K6097" s="444">
        <f t="shared" ca="1" si="198"/>
        <v>-94881745307642.047</v>
      </c>
      <c r="L6097" s="444">
        <f t="shared" ca="1" si="199"/>
        <v>-2.2866500619141736E+16</v>
      </c>
      <c r="M6097" s="460">
        <f t="shared" si="201"/>
        <v>0.05</v>
      </c>
      <c r="N6097" s="464">
        <f t="shared" si="202"/>
        <v>236618</v>
      </c>
    </row>
    <row r="6098" spans="7:14" ht="11.25" customHeight="1" x14ac:dyDescent="0.3">
      <c r="G6098" s="459"/>
      <c r="H6098" s="459">
        <v>6091</v>
      </c>
      <c r="I6098" s="444">
        <f t="shared" ca="1" si="200"/>
        <v>-2.2866500619141736E+16</v>
      </c>
      <c r="J6098" s="444">
        <f t="array" ref="J6098">IFERROR(INDEX('Retirement Calculator'!K:K,MATCH('Lorri 401b'!N6098,'Retirement Calculator'!A:A,0),0),0)</f>
        <v>0</v>
      </c>
      <c r="K6098" s="444">
        <f t="shared" ca="1" si="198"/>
        <v>-95277085913090.563</v>
      </c>
      <c r="L6098" s="444">
        <f t="shared" ca="1" si="199"/>
        <v>-2.2961777705054828E+16</v>
      </c>
      <c r="M6098" s="460">
        <f t="shared" si="201"/>
        <v>0.05</v>
      </c>
      <c r="N6098" s="464">
        <f t="shared" si="202"/>
        <v>236648</v>
      </c>
    </row>
    <row r="6099" spans="7:14" ht="11.25" customHeight="1" x14ac:dyDescent="0.3">
      <c r="G6099" s="459"/>
      <c r="H6099" s="459">
        <v>6092</v>
      </c>
      <c r="I6099" s="444">
        <f t="shared" ca="1" si="200"/>
        <v>-2.2961777705054828E+16</v>
      </c>
      <c r="J6099" s="444">
        <f t="array" ref="J6099">IFERROR(INDEX('Retirement Calculator'!K:K,MATCH('Lorri 401b'!N6099,'Retirement Calculator'!A:A,0),0),0)</f>
        <v>0</v>
      </c>
      <c r="K6099" s="444">
        <f t="shared" ca="1" si="198"/>
        <v>-95674073771061.781</v>
      </c>
      <c r="L6099" s="444">
        <f t="shared" ca="1" si="199"/>
        <v>-2.3057451778825888E+16</v>
      </c>
      <c r="M6099" s="460">
        <f t="shared" si="201"/>
        <v>0.05</v>
      </c>
      <c r="N6099" s="464">
        <f t="shared" si="202"/>
        <v>236679</v>
      </c>
    </row>
    <row r="6100" spans="7:14" ht="11.25" customHeight="1" x14ac:dyDescent="0.3">
      <c r="G6100" s="459"/>
      <c r="H6100" s="459">
        <v>6093</v>
      </c>
      <c r="I6100" s="444">
        <f t="shared" ca="1" si="200"/>
        <v>-2.3057451778825888E+16</v>
      </c>
      <c r="J6100" s="444">
        <f t="array" ref="J6100">IFERROR(INDEX('Retirement Calculator'!K:K,MATCH('Lorri 401b'!N6100,'Retirement Calculator'!A:A,0),0),0)</f>
        <v>0</v>
      </c>
      <c r="K6100" s="444">
        <f t="shared" ca="1" si="198"/>
        <v>-96072715745107.859</v>
      </c>
      <c r="L6100" s="444">
        <f t="shared" ca="1" si="199"/>
        <v>-2.3153524494570996E+16</v>
      </c>
      <c r="M6100" s="460">
        <f t="shared" si="201"/>
        <v>0.05</v>
      </c>
      <c r="N6100" s="464">
        <f t="shared" si="202"/>
        <v>236710</v>
      </c>
    </row>
    <row r="6101" spans="7:14" ht="11.25" customHeight="1" x14ac:dyDescent="0.3">
      <c r="G6101" s="459"/>
      <c r="H6101" s="459">
        <v>6094</v>
      </c>
      <c r="I6101" s="444">
        <f t="shared" ca="1" si="200"/>
        <v>-2.3153524494570996E+16</v>
      </c>
      <c r="J6101" s="444">
        <f t="array" ref="J6101">IFERROR(INDEX('Retirement Calculator'!K:K,MATCH('Lorri 401b'!N6101,'Retirement Calculator'!A:A,0),0),0)</f>
        <v>0</v>
      </c>
      <c r="K6101" s="444">
        <f t="shared" ca="1" si="198"/>
        <v>-96473018727379.156</v>
      </c>
      <c r="L6101" s="444">
        <f t="shared" ca="1" si="199"/>
        <v>-2.3249997513298376E+16</v>
      </c>
      <c r="M6101" s="460">
        <f t="shared" si="201"/>
        <v>0.05</v>
      </c>
      <c r="N6101" s="464">
        <f t="shared" si="202"/>
        <v>236739</v>
      </c>
    </row>
    <row r="6102" spans="7:14" ht="11.25" customHeight="1" x14ac:dyDescent="0.3">
      <c r="G6102" s="459"/>
      <c r="H6102" s="459">
        <v>6095</v>
      </c>
      <c r="I6102" s="444">
        <f t="shared" ca="1" si="200"/>
        <v>-2.3249997513298376E+16</v>
      </c>
      <c r="J6102" s="444">
        <f t="array" ref="J6102">IFERROR(INDEX('Retirement Calculator'!K:K,MATCH('Lorri 401b'!N6102,'Retirement Calculator'!A:A,0),0),0)</f>
        <v>0</v>
      </c>
      <c r="K6102" s="444">
        <f t="shared" ca="1" si="198"/>
        <v>-96874989638743.234</v>
      </c>
      <c r="L6102" s="444">
        <f t="shared" ca="1" si="199"/>
        <v>-2.334687250293712E+16</v>
      </c>
      <c r="M6102" s="460">
        <f t="shared" si="201"/>
        <v>0.05</v>
      </c>
      <c r="N6102" s="464">
        <f t="shared" si="202"/>
        <v>236770</v>
      </c>
    </row>
    <row r="6103" spans="7:14" ht="11.25" customHeight="1" x14ac:dyDescent="0.3">
      <c r="G6103" s="459"/>
      <c r="H6103" s="459">
        <v>6096</v>
      </c>
      <c r="I6103" s="444">
        <f t="shared" ca="1" si="200"/>
        <v>-2.334687250293712E+16</v>
      </c>
      <c r="J6103" s="444">
        <f t="array" ref="J6103">IFERROR(INDEX('Retirement Calculator'!K:K,MATCH('Lorri 401b'!N6103,'Retirement Calculator'!A:A,0),0),0)</f>
        <v>0</v>
      </c>
      <c r="K6103" s="444">
        <f t="shared" ca="1" si="198"/>
        <v>-97278635428904.672</v>
      </c>
      <c r="L6103" s="444">
        <f t="shared" ca="1" si="199"/>
        <v>-2.3444151138366024E+16</v>
      </c>
      <c r="M6103" s="460">
        <f t="shared" si="201"/>
        <v>0.05</v>
      </c>
      <c r="N6103" s="464">
        <f t="shared" si="202"/>
        <v>236800</v>
      </c>
    </row>
    <row r="6104" spans="7:14" ht="11.25" customHeight="1" x14ac:dyDescent="0.3">
      <c r="G6104" s="459"/>
      <c r="H6104" s="459">
        <v>6097</v>
      </c>
      <c r="I6104" s="444">
        <f t="shared" ca="1" si="200"/>
        <v>-2.3444151138366024E+16</v>
      </c>
      <c r="J6104" s="444">
        <f t="array" ref="J6104">IFERROR(INDEX('Retirement Calculator'!K:K,MATCH('Lorri 401b'!N6104,'Retirement Calculator'!A:A,0),0),0)</f>
        <v>0</v>
      </c>
      <c r="K6104" s="444">
        <f t="shared" ca="1" si="198"/>
        <v>-97683963076525.094</v>
      </c>
      <c r="L6104" s="444">
        <f t="shared" ca="1" si="199"/>
        <v>-2.3541835101442548E+16</v>
      </c>
      <c r="M6104" s="460">
        <f t="shared" si="201"/>
        <v>0.05</v>
      </c>
      <c r="N6104" s="464">
        <f t="shared" si="202"/>
        <v>236831</v>
      </c>
    </row>
    <row r="6105" spans="7:14" ht="11.25" customHeight="1" x14ac:dyDescent="0.3">
      <c r="G6105" s="459"/>
      <c r="H6105" s="459">
        <v>6098</v>
      </c>
      <c r="I6105" s="444">
        <f t="shared" ca="1" si="200"/>
        <v>-2.3541835101442548E+16</v>
      </c>
      <c r="J6105" s="444">
        <f t="array" ref="J6105">IFERROR(INDEX('Retirement Calculator'!K:K,MATCH('Lorri 401b'!N6105,'Retirement Calculator'!A:A,0),0),0)</f>
        <v>0</v>
      </c>
      <c r="K6105" s="444">
        <f t="shared" ca="1" si="198"/>
        <v>-98090979589343.953</v>
      </c>
      <c r="L6105" s="444">
        <f t="shared" ca="1" si="199"/>
        <v>-2.3639926081031892E+16</v>
      </c>
      <c r="M6105" s="460">
        <f t="shared" si="201"/>
        <v>0.05</v>
      </c>
      <c r="N6105" s="464">
        <f t="shared" si="202"/>
        <v>236861</v>
      </c>
    </row>
    <row r="6106" spans="7:14" ht="11.25" customHeight="1" x14ac:dyDescent="0.3">
      <c r="G6106" s="459"/>
      <c r="H6106" s="459">
        <v>6099</v>
      </c>
      <c r="I6106" s="444">
        <f t="shared" ca="1" si="200"/>
        <v>-2.3639926081031892E+16</v>
      </c>
      <c r="J6106" s="444">
        <f t="array" ref="J6106">IFERROR(INDEX('Retirement Calculator'!K:K,MATCH('Lorri 401b'!N6106,'Retirement Calculator'!A:A,0),0),0)</f>
        <v>0</v>
      </c>
      <c r="K6106" s="444">
        <f t="shared" ca="1" si="198"/>
        <v>-98499692004299.547</v>
      </c>
      <c r="L6106" s="444">
        <f t="shared" ca="1" si="199"/>
        <v>-2.3738425773036192E+16</v>
      </c>
      <c r="M6106" s="460">
        <f t="shared" si="201"/>
        <v>0.05</v>
      </c>
      <c r="N6106" s="464">
        <f t="shared" si="202"/>
        <v>236892</v>
      </c>
    </row>
    <row r="6107" spans="7:14" ht="11.25" customHeight="1" x14ac:dyDescent="0.3">
      <c r="G6107" s="459"/>
      <c r="H6107" s="459">
        <v>6100</v>
      </c>
      <c r="I6107" s="444">
        <f t="shared" ca="1" si="200"/>
        <v>-2.3738425773036192E+16</v>
      </c>
      <c r="J6107" s="444">
        <f t="array" ref="J6107">IFERROR(INDEX('Retirement Calculator'!K:K,MATCH('Lorri 401b'!N6107,'Retirement Calculator'!A:A,0),0),0)</f>
        <v>0</v>
      </c>
      <c r="K6107" s="444">
        <f t="shared" ca="1" si="198"/>
        <v>-98910107387650.797</v>
      </c>
      <c r="L6107" s="444">
        <f t="shared" ca="1" si="199"/>
        <v>-2.3837335880423844E+16</v>
      </c>
      <c r="M6107" s="460">
        <f t="shared" si="201"/>
        <v>0.05</v>
      </c>
      <c r="N6107" s="464">
        <f t="shared" si="202"/>
        <v>236923</v>
      </c>
    </row>
    <row r="6108" spans="7:14" ht="11.25" customHeight="1" x14ac:dyDescent="0.3">
      <c r="G6108" s="459"/>
      <c r="H6108" s="459">
        <v>6101</v>
      </c>
      <c r="I6108" s="444">
        <f t="shared" ca="1" si="200"/>
        <v>-2.3837335880423844E+16</v>
      </c>
      <c r="J6108" s="444">
        <f t="array" ref="J6108">IFERROR(INDEX('Retirement Calculator'!K:K,MATCH('Lorri 401b'!N6108,'Retirement Calculator'!A:A,0),0),0)</f>
        <v>0</v>
      </c>
      <c r="K6108" s="444">
        <f t="shared" ca="1" si="198"/>
        <v>-99322232835099.344</v>
      </c>
      <c r="L6108" s="444">
        <f t="shared" ca="1" si="199"/>
        <v>-2.3936658113258944E+16</v>
      </c>
      <c r="M6108" s="460">
        <f t="shared" si="201"/>
        <v>0.05</v>
      </c>
      <c r="N6108" s="464">
        <f t="shared" si="202"/>
        <v>236953</v>
      </c>
    </row>
    <row r="6109" spans="7:14" ht="11.25" customHeight="1" x14ac:dyDescent="0.3">
      <c r="G6109" s="459"/>
      <c r="H6109" s="459">
        <v>6102</v>
      </c>
      <c r="I6109" s="444">
        <f t="shared" ca="1" si="200"/>
        <v>-2.3936658113258944E+16</v>
      </c>
      <c r="J6109" s="444">
        <f t="array" ref="J6109">IFERROR(INDEX('Retirement Calculator'!K:K,MATCH('Lorri 401b'!N6109,'Retirement Calculator'!A:A,0),0),0)</f>
        <v>0</v>
      </c>
      <c r="K6109" s="444">
        <f t="shared" ca="1" si="198"/>
        <v>-99736075471912.266</v>
      </c>
      <c r="L6109" s="444">
        <f t="shared" ca="1" si="199"/>
        <v>-2.4036394188730856E+16</v>
      </c>
      <c r="M6109" s="460">
        <f t="shared" si="201"/>
        <v>0.05</v>
      </c>
      <c r="N6109" s="464">
        <f t="shared" si="202"/>
        <v>236984</v>
      </c>
    </row>
    <row r="6110" spans="7:14" ht="11.25" customHeight="1" x14ac:dyDescent="0.3">
      <c r="G6110" s="459"/>
      <c r="H6110" s="459">
        <v>6103</v>
      </c>
      <c r="I6110" s="444">
        <f t="shared" ca="1" si="200"/>
        <v>-2.4036394188730856E+16</v>
      </c>
      <c r="J6110" s="444">
        <f t="array" ref="J6110">IFERROR(INDEX('Retirement Calculator'!K:K,MATCH('Lorri 401b'!N6110,'Retirement Calculator'!A:A,0),0),0)</f>
        <v>0</v>
      </c>
      <c r="K6110" s="444">
        <f t="shared" ca="1" si="198"/>
        <v>-100151642453045.23</v>
      </c>
      <c r="L6110" s="444">
        <f t="shared" ca="1" si="199"/>
        <v>-2.41365458311839E+16</v>
      </c>
      <c r="M6110" s="460">
        <f t="shared" si="201"/>
        <v>0.05</v>
      </c>
      <c r="N6110" s="464">
        <f t="shared" si="202"/>
        <v>237014</v>
      </c>
    </row>
    <row r="6111" spans="7:14" ht="11.25" customHeight="1" x14ac:dyDescent="0.3">
      <c r="G6111" s="459"/>
      <c r="H6111" s="459">
        <v>6104</v>
      </c>
      <c r="I6111" s="444">
        <f t="shared" ca="1" si="200"/>
        <v>-2.41365458311839E+16</v>
      </c>
      <c r="J6111" s="444">
        <f t="array" ref="J6111">IFERROR(INDEX('Retirement Calculator'!K:K,MATCH('Lorri 401b'!N6111,'Retirement Calculator'!A:A,0),0),0)</f>
        <v>0</v>
      </c>
      <c r="K6111" s="444">
        <f t="shared" ca="1" si="198"/>
        <v>-100568940963266.25</v>
      </c>
      <c r="L6111" s="444">
        <f t="shared" ca="1" si="199"/>
        <v>-2.4237114772147168E+16</v>
      </c>
      <c r="M6111" s="460">
        <f t="shared" si="201"/>
        <v>0.05</v>
      </c>
      <c r="N6111" s="464">
        <f t="shared" si="202"/>
        <v>237045</v>
      </c>
    </row>
    <row r="6112" spans="7:14" ht="11.25" customHeight="1" x14ac:dyDescent="0.3">
      <c r="G6112" s="459"/>
      <c r="H6112" s="459">
        <v>6105</v>
      </c>
      <c r="I6112" s="444">
        <f t="shared" ca="1" si="200"/>
        <v>-2.4237114772147168E+16</v>
      </c>
      <c r="J6112" s="444">
        <f t="array" ref="J6112">IFERROR(INDEX('Retirement Calculator'!K:K,MATCH('Lorri 401b'!N6112,'Retirement Calculator'!A:A,0),0),0)</f>
        <v>0</v>
      </c>
      <c r="K6112" s="444">
        <f t="shared" ca="1" si="198"/>
        <v>-100987978217279.86</v>
      </c>
      <c r="L6112" s="444">
        <f t="shared" ca="1" si="199"/>
        <v>-2.4338102750364448E+16</v>
      </c>
      <c r="M6112" s="460">
        <f t="shared" si="201"/>
        <v>0.05</v>
      </c>
      <c r="N6112" s="464">
        <f t="shared" si="202"/>
        <v>237076</v>
      </c>
    </row>
    <row r="6113" spans="7:14" ht="11.25" customHeight="1" x14ac:dyDescent="0.3">
      <c r="G6113" s="459"/>
      <c r="H6113" s="459">
        <v>6106</v>
      </c>
      <c r="I6113" s="444">
        <f t="shared" ca="1" si="200"/>
        <v>-2.4338102750364448E+16</v>
      </c>
      <c r="J6113" s="444">
        <f t="array" ref="J6113">IFERROR(INDEX('Retirement Calculator'!K:K,MATCH('Lorri 401b'!N6113,'Retirement Calculator'!A:A,0),0),0)</f>
        <v>0</v>
      </c>
      <c r="K6113" s="444">
        <f t="shared" ca="1" si="198"/>
        <v>-101408761459851.86</v>
      </c>
      <c r="L6113" s="444">
        <f t="shared" ca="1" si="199"/>
        <v>-2.44395115118243E+16</v>
      </c>
      <c r="M6113" s="460">
        <f t="shared" si="201"/>
        <v>0.05</v>
      </c>
      <c r="N6113" s="464">
        <f t="shared" si="202"/>
        <v>237104</v>
      </c>
    </row>
    <row r="6114" spans="7:14" ht="11.25" customHeight="1" x14ac:dyDescent="0.3">
      <c r="G6114" s="459"/>
      <c r="H6114" s="459">
        <v>6107</v>
      </c>
      <c r="I6114" s="444">
        <f t="shared" ca="1" si="200"/>
        <v>-2.44395115118243E+16</v>
      </c>
      <c r="J6114" s="444">
        <f t="array" ref="J6114">IFERROR(INDEX('Retirement Calculator'!K:K,MATCH('Lorri 401b'!N6114,'Retirement Calculator'!A:A,0),0),0)</f>
        <v>0</v>
      </c>
      <c r="K6114" s="444">
        <f t="shared" ca="1" si="198"/>
        <v>-101831297965934.58</v>
      </c>
      <c r="L6114" s="444">
        <f t="shared" ca="1" si="199"/>
        <v>-2.4541342809790236E+16</v>
      </c>
      <c r="M6114" s="460">
        <f t="shared" si="201"/>
        <v>0.05</v>
      </c>
      <c r="N6114" s="464">
        <f t="shared" si="202"/>
        <v>237135</v>
      </c>
    </row>
    <row r="6115" spans="7:14" ht="11.25" customHeight="1" x14ac:dyDescent="0.3">
      <c r="G6115" s="459"/>
      <c r="H6115" s="459">
        <v>6108</v>
      </c>
      <c r="I6115" s="444">
        <f t="shared" ca="1" si="200"/>
        <v>-2.4541342809790236E+16</v>
      </c>
      <c r="J6115" s="444">
        <f t="array" ref="J6115">IFERROR(INDEX('Retirement Calculator'!K:K,MATCH('Lorri 401b'!N6115,'Retirement Calculator'!A:A,0),0),0)</f>
        <v>0</v>
      </c>
      <c r="K6115" s="444">
        <f t="shared" ca="1" si="198"/>
        <v>-102255595040792.66</v>
      </c>
      <c r="L6115" s="444">
        <f t="shared" ca="1" si="199"/>
        <v>-2.4643598404831028E+16</v>
      </c>
      <c r="M6115" s="460">
        <f t="shared" si="201"/>
        <v>0.05</v>
      </c>
      <c r="N6115" s="464">
        <f t="shared" si="202"/>
        <v>237165</v>
      </c>
    </row>
    <row r="6116" spans="7:14" ht="11.25" customHeight="1" x14ac:dyDescent="0.3">
      <c r="G6116" s="459"/>
      <c r="H6116" s="459">
        <v>6109</v>
      </c>
      <c r="I6116" s="444">
        <f t="shared" ca="1" si="200"/>
        <v>-2.4643598404831028E+16</v>
      </c>
      <c r="J6116" s="444">
        <f t="array" ref="J6116">IFERROR(INDEX('Retirement Calculator'!K:K,MATCH('Lorri 401b'!N6116,'Retirement Calculator'!A:A,0),0),0)</f>
        <v>0</v>
      </c>
      <c r="K6116" s="444">
        <f t="shared" ca="1" si="198"/>
        <v>-102681660020129.28</v>
      </c>
      <c r="L6116" s="444">
        <f t="shared" ca="1" si="199"/>
        <v>-2.4746280064851156E+16</v>
      </c>
      <c r="M6116" s="460">
        <f t="shared" si="201"/>
        <v>0.05</v>
      </c>
      <c r="N6116" s="464">
        <f t="shared" si="202"/>
        <v>237196</v>
      </c>
    </row>
    <row r="6117" spans="7:14" ht="11.25" customHeight="1" x14ac:dyDescent="0.3">
      <c r="G6117" s="459"/>
      <c r="H6117" s="459">
        <v>6110</v>
      </c>
      <c r="I6117" s="444">
        <f t="shared" ca="1" si="200"/>
        <v>-2.4746280064851156E+16</v>
      </c>
      <c r="J6117" s="444">
        <f t="array" ref="J6117">IFERROR(INDEX('Retirement Calculator'!K:K,MATCH('Lorri 401b'!N6117,'Retirement Calculator'!A:A,0),0),0)</f>
        <v>0</v>
      </c>
      <c r="K6117" s="444">
        <f t="shared" ca="1" si="198"/>
        <v>-103109500270213.16</v>
      </c>
      <c r="L6117" s="444">
        <f t="shared" ca="1" si="199"/>
        <v>-2.4849389565121368E+16</v>
      </c>
      <c r="M6117" s="460">
        <f t="shared" si="201"/>
        <v>0.05</v>
      </c>
      <c r="N6117" s="464">
        <f t="shared" si="202"/>
        <v>237226</v>
      </c>
    </row>
    <row r="6118" spans="7:14" ht="11.25" customHeight="1" x14ac:dyDescent="0.3">
      <c r="G6118" s="459"/>
      <c r="H6118" s="459">
        <v>6111</v>
      </c>
      <c r="I6118" s="444">
        <f t="shared" ca="1" si="200"/>
        <v>-2.4849389565121368E+16</v>
      </c>
      <c r="J6118" s="444">
        <f t="array" ref="J6118">IFERROR(INDEX('Retirement Calculator'!K:K,MATCH('Lorri 401b'!N6118,'Retirement Calculator'!A:A,0),0),0)</f>
        <v>0</v>
      </c>
      <c r="K6118" s="444">
        <f t="shared" ca="1" si="198"/>
        <v>-103539123188005.7</v>
      </c>
      <c r="L6118" s="444">
        <f t="shared" ca="1" si="199"/>
        <v>-2.4952928688309372E+16</v>
      </c>
      <c r="M6118" s="460">
        <f t="shared" si="201"/>
        <v>0.05</v>
      </c>
      <c r="N6118" s="464">
        <f t="shared" si="202"/>
        <v>237257</v>
      </c>
    </row>
    <row r="6119" spans="7:14" ht="11.25" customHeight="1" x14ac:dyDescent="0.3">
      <c r="G6119" s="459"/>
      <c r="H6119" s="459">
        <v>6112</v>
      </c>
      <c r="I6119" s="444">
        <f t="shared" ca="1" si="200"/>
        <v>-2.4952928688309372E+16</v>
      </c>
      <c r="J6119" s="444">
        <f t="array" ref="J6119">IFERROR(INDEX('Retirement Calculator'!K:K,MATCH('Lorri 401b'!N6119,'Retirement Calculator'!A:A,0),0),0)</f>
        <v>0</v>
      </c>
      <c r="K6119" s="444">
        <f t="shared" ca="1" si="198"/>
        <v>-103970536201289.05</v>
      </c>
      <c r="L6119" s="444">
        <f t="shared" ca="1" si="199"/>
        <v>-2.505689922451066E+16</v>
      </c>
      <c r="M6119" s="460">
        <f t="shared" si="201"/>
        <v>0.05</v>
      </c>
      <c r="N6119" s="464">
        <f t="shared" si="202"/>
        <v>237288</v>
      </c>
    </row>
    <row r="6120" spans="7:14" ht="11.25" customHeight="1" x14ac:dyDescent="0.3">
      <c r="G6120" s="459"/>
      <c r="H6120" s="459">
        <v>6113</v>
      </c>
      <c r="I6120" s="444">
        <f t="shared" ca="1" si="200"/>
        <v>-2.505689922451066E+16</v>
      </c>
      <c r="J6120" s="444">
        <f t="array" ref="J6120">IFERROR(INDEX('Retirement Calculator'!K:K,MATCH('Lorri 401b'!N6120,'Retirement Calculator'!A:A,0),0),0)</f>
        <v>0</v>
      </c>
      <c r="K6120" s="444">
        <f t="shared" ca="1" si="198"/>
        <v>-104403746768794.42</v>
      </c>
      <c r="L6120" s="444">
        <f t="shared" ca="1" si="199"/>
        <v>-2.5161302971279456E+16</v>
      </c>
      <c r="M6120" s="460">
        <f t="shared" si="201"/>
        <v>0.05</v>
      </c>
      <c r="N6120" s="464">
        <f t="shared" si="202"/>
        <v>237318</v>
      </c>
    </row>
    <row r="6121" spans="7:14" ht="11.25" customHeight="1" x14ac:dyDescent="0.3">
      <c r="G6121" s="459"/>
      <c r="H6121" s="459">
        <v>6114</v>
      </c>
      <c r="I6121" s="444">
        <f t="shared" ca="1" si="200"/>
        <v>-2.5161302971279456E+16</v>
      </c>
      <c r="J6121" s="444">
        <f t="array" ref="J6121">IFERROR(INDEX('Retirement Calculator'!K:K,MATCH('Lorri 401b'!N6121,'Retirement Calculator'!A:A,0),0),0)</f>
        <v>0</v>
      </c>
      <c r="K6121" s="444">
        <f t="shared" ca="1" si="198"/>
        <v>-104838762380331.06</v>
      </c>
      <c r="L6121" s="444">
        <f t="shared" ca="1" si="199"/>
        <v>-2.5266141733659788E+16</v>
      </c>
      <c r="M6121" s="460">
        <f t="shared" si="201"/>
        <v>0.05</v>
      </c>
      <c r="N6121" s="464">
        <f t="shared" si="202"/>
        <v>237349</v>
      </c>
    </row>
    <row r="6122" spans="7:14" ht="11.25" customHeight="1" x14ac:dyDescent="0.3">
      <c r="G6122" s="459"/>
      <c r="H6122" s="459">
        <v>6115</v>
      </c>
      <c r="I6122" s="444">
        <f t="shared" ca="1" si="200"/>
        <v>-2.5266141733659788E+16</v>
      </c>
      <c r="J6122" s="444">
        <f t="array" ref="J6122">IFERROR(INDEX('Retirement Calculator'!K:K,MATCH('Lorri 401b'!N6122,'Retirement Calculator'!A:A,0),0),0)</f>
        <v>0</v>
      </c>
      <c r="K6122" s="444">
        <f t="shared" ca="1" si="198"/>
        <v>-105275590556915.78</v>
      </c>
      <c r="L6122" s="444">
        <f t="shared" ca="1" si="199"/>
        <v>-2.5371417324216704E+16</v>
      </c>
      <c r="M6122" s="460">
        <f t="shared" si="201"/>
        <v>0.05</v>
      </c>
      <c r="N6122" s="464">
        <f t="shared" si="202"/>
        <v>237379</v>
      </c>
    </row>
    <row r="6123" spans="7:14" ht="11.25" customHeight="1" x14ac:dyDescent="0.3">
      <c r="G6123" s="459"/>
      <c r="H6123" s="459">
        <v>6116</v>
      </c>
      <c r="I6123" s="444">
        <f t="shared" ca="1" si="200"/>
        <v>-2.5371417324216704E+16</v>
      </c>
      <c r="J6123" s="444">
        <f t="array" ref="J6123">IFERROR(INDEX('Retirement Calculator'!K:K,MATCH('Lorri 401b'!N6123,'Retirement Calculator'!A:A,0),0),0)</f>
        <v>0</v>
      </c>
      <c r="K6123" s="444">
        <f t="shared" ca="1" si="198"/>
        <v>-105714238850902.94</v>
      </c>
      <c r="L6123" s="444">
        <f t="shared" ca="1" si="199"/>
        <v>-2.5477131563067608E+16</v>
      </c>
      <c r="M6123" s="460">
        <f t="shared" si="201"/>
        <v>0.05</v>
      </c>
      <c r="N6123" s="464">
        <f t="shared" si="202"/>
        <v>237410</v>
      </c>
    </row>
    <row r="6124" spans="7:14" ht="11.25" customHeight="1" x14ac:dyDescent="0.3">
      <c r="G6124" s="459"/>
      <c r="H6124" s="459">
        <v>6117</v>
      </c>
      <c r="I6124" s="444">
        <f t="shared" ca="1" si="200"/>
        <v>-2.5477131563067608E+16</v>
      </c>
      <c r="J6124" s="444">
        <f t="array" ref="J6124">IFERROR(INDEX('Retirement Calculator'!K:K,MATCH('Lorri 401b'!N6124,'Retirement Calculator'!A:A,0),0),0)</f>
        <v>0</v>
      </c>
      <c r="K6124" s="444">
        <f t="shared" ca="1" si="198"/>
        <v>-106154714846115.03</v>
      </c>
      <c r="L6124" s="444">
        <f t="shared" ca="1" si="199"/>
        <v>-2.5583286277913724E+16</v>
      </c>
      <c r="M6124" s="460">
        <f t="shared" si="201"/>
        <v>0.05</v>
      </c>
      <c r="N6124" s="464">
        <f t="shared" si="202"/>
        <v>237441</v>
      </c>
    </row>
    <row r="6125" spans="7:14" ht="11.25" customHeight="1" x14ac:dyDescent="0.3">
      <c r="G6125" s="459"/>
      <c r="H6125" s="459">
        <v>6118</v>
      </c>
      <c r="I6125" s="444">
        <f t="shared" ca="1" si="200"/>
        <v>-2.5583286277913724E+16</v>
      </c>
      <c r="J6125" s="444">
        <f t="array" ref="J6125">IFERROR(INDEX('Retirement Calculator'!K:K,MATCH('Lorri 401b'!N6125,'Retirement Calculator'!A:A,0),0),0)</f>
        <v>0</v>
      </c>
      <c r="K6125" s="444">
        <f t="shared" ca="1" si="198"/>
        <v>-106597026157973.84</v>
      </c>
      <c r="L6125" s="444">
        <f t="shared" ca="1" si="199"/>
        <v>-2.5689883304071696E+16</v>
      </c>
      <c r="M6125" s="460">
        <f t="shared" si="201"/>
        <v>0.05</v>
      </c>
      <c r="N6125" s="464">
        <f t="shared" si="202"/>
        <v>237469</v>
      </c>
    </row>
    <row r="6126" spans="7:14" ht="11.25" customHeight="1" x14ac:dyDescent="0.3">
      <c r="G6126" s="459"/>
      <c r="H6126" s="459">
        <v>6119</v>
      </c>
      <c r="I6126" s="444">
        <f t="shared" ca="1" si="200"/>
        <v>-2.5689883304071696E+16</v>
      </c>
      <c r="J6126" s="444">
        <f t="array" ref="J6126">IFERROR(INDEX('Retirement Calculator'!K:K,MATCH('Lorri 401b'!N6126,'Retirement Calculator'!A:A,0),0),0)</f>
        <v>0</v>
      </c>
      <c r="K6126" s="444">
        <f t="shared" ca="1" si="198"/>
        <v>-107041180433632.06</v>
      </c>
      <c r="L6126" s="444">
        <f t="shared" ca="1" si="199"/>
        <v>-2.5796924484505328E+16</v>
      </c>
      <c r="M6126" s="460">
        <f t="shared" si="201"/>
        <v>0.05</v>
      </c>
      <c r="N6126" s="464">
        <f t="shared" si="202"/>
        <v>237500</v>
      </c>
    </row>
    <row r="6127" spans="7:14" ht="11.25" customHeight="1" x14ac:dyDescent="0.3">
      <c r="G6127" s="459"/>
      <c r="H6127" s="459">
        <v>6120</v>
      </c>
      <c r="I6127" s="444">
        <f t="shared" ca="1" si="200"/>
        <v>-2.5796924484505328E+16</v>
      </c>
      <c r="J6127" s="444">
        <f t="array" ref="J6127">IFERROR(INDEX('Retirement Calculator'!K:K,MATCH('Lorri 401b'!N6127,'Retirement Calculator'!A:A,0),0),0)</f>
        <v>0</v>
      </c>
      <c r="K6127" s="444">
        <f t="shared" ca="1" si="198"/>
        <v>-107487185352105.53</v>
      </c>
      <c r="L6127" s="444">
        <f t="shared" ca="1" si="199"/>
        <v>-2.5904411669857432E+16</v>
      </c>
      <c r="M6127" s="460">
        <f t="shared" si="201"/>
        <v>0.05</v>
      </c>
      <c r="N6127" s="464">
        <f t="shared" si="202"/>
        <v>237530</v>
      </c>
    </row>
    <row r="6128" spans="7:14" ht="11.25" customHeight="1" x14ac:dyDescent="0.3">
      <c r="G6128" s="459"/>
      <c r="H6128" s="459">
        <v>6121</v>
      </c>
      <c r="I6128" s="444">
        <f t="shared" ca="1" si="200"/>
        <v>-2.5904411669857432E+16</v>
      </c>
      <c r="J6128" s="444">
        <f t="array" ref="J6128">IFERROR(INDEX('Retirement Calculator'!K:K,MATCH('Lorri 401b'!N6128,'Retirement Calculator'!A:A,0),0),0)</f>
        <v>0</v>
      </c>
      <c r="K6128" s="444">
        <f t="shared" ref="K6128:K6250" ca="1" si="203">IPMT(M6128/12,1,12,-I6128+J6128,,0)</f>
        <v>-107935048624405.97</v>
      </c>
      <c r="L6128" s="444">
        <f t="shared" ref="L6128:L6250" ca="1" si="204">I6128-J6128+K6128</f>
        <v>-2.6012346718481836E+16</v>
      </c>
      <c r="M6128" s="460">
        <f t="shared" si="201"/>
        <v>0.05</v>
      </c>
      <c r="N6128" s="464">
        <f t="shared" si="202"/>
        <v>237561</v>
      </c>
    </row>
    <row r="6129" spans="7:14" ht="11.25" customHeight="1" x14ac:dyDescent="0.3">
      <c r="G6129" s="459"/>
      <c r="H6129" s="459">
        <v>6122</v>
      </c>
      <c r="I6129" s="444">
        <f t="shared" ref="I6129:I6250" ca="1" si="205">L6128</f>
        <v>-2.6012346718481836E+16</v>
      </c>
      <c r="J6129" s="444">
        <f t="array" ref="J6129">IFERROR(INDEX('Retirement Calculator'!K:K,MATCH('Lorri 401b'!N6129,'Retirement Calculator'!A:A,0),0),0)</f>
        <v>0</v>
      </c>
      <c r="K6129" s="444">
        <f t="shared" ca="1" si="203"/>
        <v>-108384777993674.31</v>
      </c>
      <c r="L6129" s="444">
        <f t="shared" ca="1" si="204"/>
        <v>-2.6120731496475512E+16</v>
      </c>
      <c r="M6129" s="460">
        <f t="shared" ref="M6129:M6250" si="206">M6128</f>
        <v>0.05</v>
      </c>
      <c r="N6129" s="464">
        <f t="shared" ref="N6129:N6250" si="207">EDATE(N6128,1)</f>
        <v>237591</v>
      </c>
    </row>
    <row r="6130" spans="7:14" ht="11.25" customHeight="1" x14ac:dyDescent="0.3">
      <c r="G6130" s="459"/>
      <c r="H6130" s="459">
        <v>6123</v>
      </c>
      <c r="I6130" s="444">
        <f t="shared" ca="1" si="205"/>
        <v>-2.6120731496475512E+16</v>
      </c>
      <c r="J6130" s="444">
        <f t="array" ref="J6130">IFERROR(INDEX('Retirement Calculator'!K:K,MATCH('Lorri 401b'!N6130,'Retirement Calculator'!A:A,0),0),0)</f>
        <v>0</v>
      </c>
      <c r="K6130" s="444">
        <f t="shared" ca="1" si="203"/>
        <v>-108836381235314.63</v>
      </c>
      <c r="L6130" s="444">
        <f t="shared" ca="1" si="204"/>
        <v>-2.6229567877710828E+16</v>
      </c>
      <c r="M6130" s="460">
        <f t="shared" si="206"/>
        <v>0.05</v>
      </c>
      <c r="N6130" s="464">
        <f t="shared" si="207"/>
        <v>237622</v>
      </c>
    </row>
    <row r="6131" spans="7:14" ht="11.25" customHeight="1" x14ac:dyDescent="0.3">
      <c r="G6131" s="459"/>
      <c r="H6131" s="459">
        <v>6124</v>
      </c>
      <c r="I6131" s="444">
        <f t="shared" ca="1" si="205"/>
        <v>-2.6229567877710828E+16</v>
      </c>
      <c r="J6131" s="444">
        <f t="array" ref="J6131">IFERROR(INDEX('Retirement Calculator'!K:K,MATCH('Lorri 401b'!N6131,'Retirement Calculator'!A:A,0),0),0)</f>
        <v>0</v>
      </c>
      <c r="K6131" s="444">
        <f t="shared" ca="1" si="203"/>
        <v>-109289866157128.45</v>
      </c>
      <c r="L6131" s="444">
        <f t="shared" ca="1" si="204"/>
        <v>-2.6338857743867956E+16</v>
      </c>
      <c r="M6131" s="460">
        <f t="shared" si="206"/>
        <v>0.05</v>
      </c>
      <c r="N6131" s="464">
        <f t="shared" si="207"/>
        <v>237653</v>
      </c>
    </row>
    <row r="6132" spans="7:14" ht="11.25" customHeight="1" x14ac:dyDescent="0.3">
      <c r="G6132" s="459"/>
      <c r="H6132" s="459">
        <v>6125</v>
      </c>
      <c r="I6132" s="444">
        <f t="shared" ca="1" si="205"/>
        <v>-2.6338857743867956E+16</v>
      </c>
      <c r="J6132" s="444">
        <f t="array" ref="J6132">IFERROR(INDEX('Retirement Calculator'!K:K,MATCH('Lorri 401b'!N6132,'Retirement Calculator'!A:A,0),0),0)</f>
        <v>0</v>
      </c>
      <c r="K6132" s="444">
        <f t="shared" ca="1" si="203"/>
        <v>-109745240599449.81</v>
      </c>
      <c r="L6132" s="444">
        <f t="shared" ca="1" si="204"/>
        <v>-2.6448602984467404E+16</v>
      </c>
      <c r="M6132" s="460">
        <f t="shared" si="206"/>
        <v>0.05</v>
      </c>
      <c r="N6132" s="464">
        <f t="shared" si="207"/>
        <v>237683</v>
      </c>
    </row>
    <row r="6133" spans="7:14" ht="11.25" customHeight="1" x14ac:dyDescent="0.3">
      <c r="G6133" s="459"/>
      <c r="H6133" s="459">
        <v>6126</v>
      </c>
      <c r="I6133" s="444">
        <f t="shared" ca="1" si="205"/>
        <v>-2.6448602984467404E+16</v>
      </c>
      <c r="J6133" s="444">
        <f t="array" ref="J6133">IFERROR(INDEX('Retirement Calculator'!K:K,MATCH('Lorri 401b'!N6133,'Retirement Calculator'!A:A,0),0),0)</f>
        <v>0</v>
      </c>
      <c r="K6133" s="444">
        <f t="shared" ca="1" si="203"/>
        <v>-110202512435280.84</v>
      </c>
      <c r="L6133" s="444">
        <f t="shared" ca="1" si="204"/>
        <v>-2.6558805496902684E+16</v>
      </c>
      <c r="M6133" s="460">
        <f t="shared" si="206"/>
        <v>0.05</v>
      </c>
      <c r="N6133" s="464">
        <f t="shared" si="207"/>
        <v>237714</v>
      </c>
    </row>
    <row r="6134" spans="7:14" ht="11.25" customHeight="1" x14ac:dyDescent="0.3">
      <c r="G6134" s="459"/>
      <c r="H6134" s="459">
        <v>6127</v>
      </c>
      <c r="I6134" s="444">
        <f t="shared" ca="1" si="205"/>
        <v>-2.6558805496902684E+16</v>
      </c>
      <c r="J6134" s="444">
        <f t="array" ref="J6134">IFERROR(INDEX('Retirement Calculator'!K:K,MATCH('Lorri 401b'!N6134,'Retirement Calculator'!A:A,0),0),0)</f>
        <v>0</v>
      </c>
      <c r="K6134" s="444">
        <f t="shared" ca="1" si="203"/>
        <v>-110661689570427.84</v>
      </c>
      <c r="L6134" s="444">
        <f t="shared" ca="1" si="204"/>
        <v>-2.6669467186473112E+16</v>
      </c>
      <c r="M6134" s="460">
        <f t="shared" si="206"/>
        <v>0.05</v>
      </c>
      <c r="N6134" s="464">
        <f t="shared" si="207"/>
        <v>237744</v>
      </c>
    </row>
    <row r="6135" spans="7:14" ht="11.25" customHeight="1" x14ac:dyDescent="0.3">
      <c r="G6135" s="459"/>
      <c r="H6135" s="459">
        <v>6128</v>
      </c>
      <c r="I6135" s="444">
        <f t="shared" ca="1" si="205"/>
        <v>-2.6669467186473112E+16</v>
      </c>
      <c r="J6135" s="444">
        <f t="array" ref="J6135">IFERROR(INDEX('Retirement Calculator'!K:K,MATCH('Lorri 401b'!N6135,'Retirement Calculator'!A:A,0),0),0)</f>
        <v>0</v>
      </c>
      <c r="K6135" s="444">
        <f t="shared" ca="1" si="203"/>
        <v>-111122779943637.97</v>
      </c>
      <c r="L6135" s="444">
        <f t="shared" ca="1" si="204"/>
        <v>-2.6780589966416748E+16</v>
      </c>
      <c r="M6135" s="460">
        <f t="shared" si="206"/>
        <v>0.05</v>
      </c>
      <c r="N6135" s="464">
        <f t="shared" si="207"/>
        <v>237775</v>
      </c>
    </row>
    <row r="6136" spans="7:14" ht="11.25" customHeight="1" x14ac:dyDescent="0.3">
      <c r="G6136" s="459"/>
      <c r="H6136" s="459">
        <v>6129</v>
      </c>
      <c r="I6136" s="444">
        <f t="shared" ca="1" si="205"/>
        <v>-2.6780589966416748E+16</v>
      </c>
      <c r="J6136" s="444">
        <f t="array" ref="J6136">IFERROR(INDEX('Retirement Calculator'!K:K,MATCH('Lorri 401b'!N6136,'Retirement Calculator'!A:A,0),0),0)</f>
        <v>0</v>
      </c>
      <c r="K6136" s="444">
        <f t="shared" ca="1" si="203"/>
        <v>-111585791526736.45</v>
      </c>
      <c r="L6136" s="444">
        <f t="shared" ca="1" si="204"/>
        <v>-2.6892175757943484E+16</v>
      </c>
      <c r="M6136" s="460">
        <f t="shared" si="206"/>
        <v>0.05</v>
      </c>
      <c r="N6136" s="464">
        <f t="shared" si="207"/>
        <v>237806</v>
      </c>
    </row>
    <row r="6137" spans="7:14" ht="11.25" customHeight="1" x14ac:dyDescent="0.3">
      <c r="G6137" s="459"/>
      <c r="H6137" s="459">
        <v>6130</v>
      </c>
      <c r="I6137" s="444">
        <f t="shared" ca="1" si="205"/>
        <v>-2.6892175757943484E+16</v>
      </c>
      <c r="J6137" s="444">
        <f t="array" ref="J6137">IFERROR(INDEX('Retirement Calculator'!K:K,MATCH('Lorri 401b'!N6137,'Retirement Calculator'!A:A,0),0),0)</f>
        <v>0</v>
      </c>
      <c r="K6137" s="444">
        <f t="shared" ca="1" si="203"/>
        <v>-112050732324764.52</v>
      </c>
      <c r="L6137" s="444">
        <f t="shared" ca="1" si="204"/>
        <v>-2.7004226490268248E+16</v>
      </c>
      <c r="M6137" s="460">
        <f t="shared" si="206"/>
        <v>0.05</v>
      </c>
      <c r="N6137" s="464">
        <f t="shared" si="207"/>
        <v>237834</v>
      </c>
    </row>
    <row r="6138" spans="7:14" ht="11.25" customHeight="1" x14ac:dyDescent="0.3">
      <c r="G6138" s="459"/>
      <c r="H6138" s="459">
        <v>6131</v>
      </c>
      <c r="I6138" s="444">
        <f t="shared" ca="1" si="205"/>
        <v>-2.7004226490268248E+16</v>
      </c>
      <c r="J6138" s="444">
        <f t="array" ref="J6138">IFERROR(INDEX('Retirement Calculator'!K:K,MATCH('Lorri 401b'!N6138,'Retirement Calculator'!A:A,0),0),0)</f>
        <v>0</v>
      </c>
      <c r="K6138" s="444">
        <f t="shared" ca="1" si="203"/>
        <v>-112517610376117.7</v>
      </c>
      <c r="L6138" s="444">
        <f t="shared" ca="1" si="204"/>
        <v>-2.7116744100644364E+16</v>
      </c>
      <c r="M6138" s="460">
        <f t="shared" si="206"/>
        <v>0.05</v>
      </c>
      <c r="N6138" s="464">
        <f t="shared" si="207"/>
        <v>237865</v>
      </c>
    </row>
    <row r="6139" spans="7:14" ht="11.25" customHeight="1" x14ac:dyDescent="0.3">
      <c r="G6139" s="459"/>
      <c r="H6139" s="459">
        <v>6132</v>
      </c>
      <c r="I6139" s="444">
        <f t="shared" ca="1" si="205"/>
        <v>-2.7116744100644364E+16</v>
      </c>
      <c r="J6139" s="444">
        <f t="array" ref="J6139">IFERROR(INDEX('Retirement Calculator'!K:K,MATCH('Lorri 401b'!N6139,'Retirement Calculator'!A:A,0),0),0)</f>
        <v>0</v>
      </c>
      <c r="K6139" s="444">
        <f t="shared" ca="1" si="203"/>
        <v>-112986433752684.84</v>
      </c>
      <c r="L6139" s="444">
        <f t="shared" ca="1" si="204"/>
        <v>-2.7229730534397048E+16</v>
      </c>
      <c r="M6139" s="460">
        <f t="shared" si="206"/>
        <v>0.05</v>
      </c>
      <c r="N6139" s="464">
        <f t="shared" si="207"/>
        <v>237895</v>
      </c>
    </row>
    <row r="6140" spans="7:14" ht="11.25" customHeight="1" x14ac:dyDescent="0.3">
      <c r="G6140" s="459"/>
      <c r="H6140" s="459">
        <v>6133</v>
      </c>
      <c r="I6140" s="444">
        <f t="shared" ca="1" si="205"/>
        <v>-2.7229730534397048E+16</v>
      </c>
      <c r="J6140" s="444">
        <f t="array" ref="J6140">IFERROR(INDEX('Retirement Calculator'!K:K,MATCH('Lorri 401b'!N6140,'Retirement Calculator'!A:A,0),0),0)</f>
        <v>0</v>
      </c>
      <c r="K6140" s="444">
        <f t="shared" ca="1" si="203"/>
        <v>-113457210559987.7</v>
      </c>
      <c r="L6140" s="444">
        <f t="shared" ca="1" si="204"/>
        <v>-2.7343187744957036E+16</v>
      </c>
      <c r="M6140" s="460">
        <f t="shared" si="206"/>
        <v>0.05</v>
      </c>
      <c r="N6140" s="464">
        <f t="shared" si="207"/>
        <v>237926</v>
      </c>
    </row>
    <row r="6141" spans="7:14" ht="11.25" customHeight="1" x14ac:dyDescent="0.3">
      <c r="G6141" s="459"/>
      <c r="H6141" s="459">
        <v>6134</v>
      </c>
      <c r="I6141" s="444">
        <f t="shared" ca="1" si="205"/>
        <v>-2.7343187744957036E+16</v>
      </c>
      <c r="J6141" s="444">
        <f t="array" ref="J6141">IFERROR(INDEX('Retirement Calculator'!K:K,MATCH('Lorri 401b'!N6141,'Retirement Calculator'!A:A,0),0),0)</f>
        <v>0</v>
      </c>
      <c r="K6141" s="444">
        <f t="shared" ca="1" si="203"/>
        <v>-113929948937320.98</v>
      </c>
      <c r="L6141" s="444">
        <f t="shared" ca="1" si="204"/>
        <v>-2.7457117693894356E+16</v>
      </c>
      <c r="M6141" s="460">
        <f t="shared" si="206"/>
        <v>0.05</v>
      </c>
      <c r="N6141" s="464">
        <f t="shared" si="207"/>
        <v>237956</v>
      </c>
    </row>
    <row r="6142" spans="7:14" ht="11.25" customHeight="1" x14ac:dyDescent="0.3">
      <c r="G6142" s="459"/>
      <c r="H6142" s="459">
        <v>6135</v>
      </c>
      <c r="I6142" s="444">
        <f t="shared" ca="1" si="205"/>
        <v>-2.7457117693894356E+16</v>
      </c>
      <c r="J6142" s="444">
        <f t="array" ref="J6142">IFERROR(INDEX('Retirement Calculator'!K:K,MATCH('Lorri 401b'!N6142,'Retirement Calculator'!A:A,0),0),0)</f>
        <v>0</v>
      </c>
      <c r="K6142" s="444">
        <f t="shared" ca="1" si="203"/>
        <v>-114404657057893.14</v>
      </c>
      <c r="L6142" s="444">
        <f t="shared" ca="1" si="204"/>
        <v>-2.7571522350952248E+16</v>
      </c>
      <c r="M6142" s="460">
        <f t="shared" si="206"/>
        <v>0.05</v>
      </c>
      <c r="N6142" s="464">
        <f t="shared" si="207"/>
        <v>237987</v>
      </c>
    </row>
    <row r="6143" spans="7:14" ht="11.25" customHeight="1" x14ac:dyDescent="0.3">
      <c r="G6143" s="459"/>
      <c r="H6143" s="459">
        <v>6136</v>
      </c>
      <c r="I6143" s="444">
        <f t="shared" ca="1" si="205"/>
        <v>-2.7571522350952248E+16</v>
      </c>
      <c r="J6143" s="444">
        <f t="array" ref="J6143">IFERROR(INDEX('Retirement Calculator'!K:K,MATCH('Lorri 401b'!N6143,'Retirement Calculator'!A:A,0),0),0)</f>
        <v>0</v>
      </c>
      <c r="K6143" s="444">
        <f t="shared" ca="1" si="203"/>
        <v>-114881343128967.7</v>
      </c>
      <c r="L6143" s="444">
        <f t="shared" ca="1" si="204"/>
        <v>-2.7686403694081216E+16</v>
      </c>
      <c r="M6143" s="460">
        <f t="shared" si="206"/>
        <v>0.05</v>
      </c>
      <c r="N6143" s="464">
        <f t="shared" si="207"/>
        <v>238018</v>
      </c>
    </row>
    <row r="6144" spans="7:14" ht="11.25" customHeight="1" x14ac:dyDescent="0.3">
      <c r="G6144" s="459"/>
      <c r="H6144" s="459">
        <v>6137</v>
      </c>
      <c r="I6144" s="444">
        <f t="shared" ca="1" si="205"/>
        <v>-2.7686403694081216E+16</v>
      </c>
      <c r="J6144" s="444">
        <f t="array" ref="J6144">IFERROR(INDEX('Retirement Calculator'!K:K,MATCH('Lorri 401b'!N6144,'Retirement Calculator'!A:A,0),0),0)</f>
        <v>0</v>
      </c>
      <c r="K6144" s="444">
        <f t="shared" ca="1" si="203"/>
        <v>-115360015392005.06</v>
      </c>
      <c r="L6144" s="444">
        <f t="shared" ca="1" si="204"/>
        <v>-2.780176370947322E+16</v>
      </c>
      <c r="M6144" s="460">
        <f t="shared" si="206"/>
        <v>0.05</v>
      </c>
      <c r="N6144" s="464">
        <f t="shared" si="207"/>
        <v>238048</v>
      </c>
    </row>
    <row r="6145" spans="7:14" ht="11.25" customHeight="1" x14ac:dyDescent="0.3">
      <c r="G6145" s="459"/>
      <c r="H6145" s="459">
        <v>6138</v>
      </c>
      <c r="I6145" s="444">
        <f t="shared" ca="1" si="205"/>
        <v>-2.780176370947322E+16</v>
      </c>
      <c r="J6145" s="444">
        <f t="array" ref="J6145">IFERROR(INDEX('Retirement Calculator'!K:K,MATCH('Lorri 401b'!N6145,'Retirement Calculator'!A:A,0),0),0)</f>
        <v>0</v>
      </c>
      <c r="K6145" s="444">
        <f t="shared" ca="1" si="203"/>
        <v>-115840682122805.08</v>
      </c>
      <c r="L6145" s="444">
        <f t="shared" ca="1" si="204"/>
        <v>-2.7917604391596024E+16</v>
      </c>
      <c r="M6145" s="460">
        <f t="shared" si="206"/>
        <v>0.05</v>
      </c>
      <c r="N6145" s="464">
        <f t="shared" si="207"/>
        <v>238079</v>
      </c>
    </row>
    <row r="6146" spans="7:14" ht="11.25" customHeight="1" x14ac:dyDescent="0.3">
      <c r="G6146" s="459"/>
      <c r="H6146" s="459">
        <v>6139</v>
      </c>
      <c r="I6146" s="444">
        <f t="shared" ca="1" si="205"/>
        <v>-2.7917604391596024E+16</v>
      </c>
      <c r="J6146" s="444">
        <f t="array" ref="J6146">IFERROR(INDEX('Retirement Calculator'!K:K,MATCH('Lorri 401b'!N6146,'Retirement Calculator'!A:A,0),0),0)</f>
        <v>0</v>
      </c>
      <c r="K6146" s="444">
        <f t="shared" ca="1" si="203"/>
        <v>-116323351631650.09</v>
      </c>
      <c r="L6146" s="444">
        <f t="shared" ca="1" si="204"/>
        <v>-2.8033927743227676E+16</v>
      </c>
      <c r="M6146" s="460">
        <f t="shared" si="206"/>
        <v>0.05</v>
      </c>
      <c r="N6146" s="464">
        <f t="shared" si="207"/>
        <v>238109</v>
      </c>
    </row>
    <row r="6147" spans="7:14" ht="11.25" customHeight="1" x14ac:dyDescent="0.3">
      <c r="G6147" s="459"/>
      <c r="H6147" s="459">
        <v>6140</v>
      </c>
      <c r="I6147" s="444">
        <f t="shared" ca="1" si="205"/>
        <v>-2.8033927743227676E+16</v>
      </c>
      <c r="J6147" s="444">
        <f t="array" ref="J6147">IFERROR(INDEX('Retirement Calculator'!K:K,MATCH('Lorri 401b'!N6147,'Retirement Calculator'!A:A,0),0),0)</f>
        <v>0</v>
      </c>
      <c r="K6147" s="444">
        <f t="shared" ca="1" si="203"/>
        <v>-116808032263448.64</v>
      </c>
      <c r="L6147" s="444">
        <f t="shared" ca="1" si="204"/>
        <v>-2.8150735775491124E+16</v>
      </c>
      <c r="M6147" s="460">
        <f t="shared" si="206"/>
        <v>0.05</v>
      </c>
      <c r="N6147" s="464">
        <f t="shared" si="207"/>
        <v>238140</v>
      </c>
    </row>
    <row r="6148" spans="7:14" ht="11.25" customHeight="1" x14ac:dyDescent="0.3">
      <c r="G6148" s="459"/>
      <c r="H6148" s="459">
        <v>6141</v>
      </c>
      <c r="I6148" s="444">
        <f t="shared" ca="1" si="205"/>
        <v>-2.8150735775491124E+16</v>
      </c>
      <c r="J6148" s="444">
        <f t="array" ref="J6148">IFERROR(INDEX('Retirement Calculator'!K:K,MATCH('Lorri 401b'!N6148,'Retirement Calculator'!A:A,0),0),0)</f>
        <v>0</v>
      </c>
      <c r="K6148" s="444">
        <f t="shared" ca="1" si="203"/>
        <v>-117294732397879.7</v>
      </c>
      <c r="L6148" s="444">
        <f t="shared" ca="1" si="204"/>
        <v>-2.8268030507889004E+16</v>
      </c>
      <c r="M6148" s="460">
        <f t="shared" si="206"/>
        <v>0.05</v>
      </c>
      <c r="N6148" s="464">
        <f t="shared" si="207"/>
        <v>238171</v>
      </c>
    </row>
    <row r="6149" spans="7:14" ht="11.25" customHeight="1" x14ac:dyDescent="0.3">
      <c r="G6149" s="459"/>
      <c r="H6149" s="459">
        <v>6142</v>
      </c>
      <c r="I6149" s="444">
        <f t="shared" ca="1" si="205"/>
        <v>-2.8268030507889004E+16</v>
      </c>
      <c r="J6149" s="444">
        <f t="array" ref="J6149">IFERROR(INDEX('Retirement Calculator'!K:K,MATCH('Lorri 401b'!N6149,'Retirement Calculator'!A:A,0),0),0)</f>
        <v>0</v>
      </c>
      <c r="K6149" s="444">
        <f t="shared" ca="1" si="203"/>
        <v>-117783460449537.53</v>
      </c>
      <c r="L6149" s="444">
        <f t="shared" ca="1" si="204"/>
        <v>-2.838581396833854E+16</v>
      </c>
      <c r="M6149" s="460">
        <f t="shared" si="206"/>
        <v>0.05</v>
      </c>
      <c r="N6149" s="464">
        <f t="shared" si="207"/>
        <v>238200</v>
      </c>
    </row>
    <row r="6150" spans="7:14" ht="11.25" customHeight="1" x14ac:dyDescent="0.3">
      <c r="G6150" s="459"/>
      <c r="H6150" s="459">
        <v>6143</v>
      </c>
      <c r="I6150" s="444">
        <f t="shared" ca="1" si="205"/>
        <v>-2.838581396833854E+16</v>
      </c>
      <c r="J6150" s="444">
        <f t="array" ref="J6150">IFERROR(INDEX('Retirement Calculator'!K:K,MATCH('Lorri 401b'!N6150,'Retirement Calculator'!A:A,0),0),0)</f>
        <v>0</v>
      </c>
      <c r="K6150" s="444">
        <f t="shared" ca="1" si="203"/>
        <v>-118274224868077.25</v>
      </c>
      <c r="L6150" s="444">
        <f t="shared" ca="1" si="204"/>
        <v>-2.8504088193206616E+16</v>
      </c>
      <c r="M6150" s="460">
        <f t="shared" si="206"/>
        <v>0.05</v>
      </c>
      <c r="N6150" s="464">
        <f t="shared" si="207"/>
        <v>238231</v>
      </c>
    </row>
    <row r="6151" spans="7:14" ht="11.25" customHeight="1" x14ac:dyDescent="0.3">
      <c r="G6151" s="459"/>
      <c r="H6151" s="459">
        <v>6144</v>
      </c>
      <c r="I6151" s="444">
        <f t="shared" ca="1" si="205"/>
        <v>-2.8504088193206616E+16</v>
      </c>
      <c r="J6151" s="444">
        <f t="array" ref="J6151">IFERROR(INDEX('Retirement Calculator'!K:K,MATCH('Lorri 401b'!N6151,'Retirement Calculator'!A:A,0),0),0)</f>
        <v>0</v>
      </c>
      <c r="K6151" s="444">
        <f t="shared" ca="1" si="203"/>
        <v>-118767034138360.89</v>
      </c>
      <c r="L6151" s="444">
        <f t="shared" ca="1" si="204"/>
        <v>-2.8622855227344976E+16</v>
      </c>
      <c r="M6151" s="460">
        <f t="shared" si="206"/>
        <v>0.05</v>
      </c>
      <c r="N6151" s="464">
        <f t="shared" si="207"/>
        <v>238261</v>
      </c>
    </row>
    <row r="6152" spans="7:14" ht="11.25" customHeight="1" x14ac:dyDescent="0.3">
      <c r="G6152" s="459"/>
      <c r="H6152" s="459">
        <v>6145</v>
      </c>
      <c r="I6152" s="444">
        <f t="shared" ca="1" si="205"/>
        <v>-2.8622855227344976E+16</v>
      </c>
      <c r="J6152" s="444">
        <f t="array" ref="J6152">IFERROR(INDEX('Retirement Calculator'!K:K,MATCH('Lorri 401b'!N6152,'Retirement Calculator'!A:A,0),0),0)</f>
        <v>0</v>
      </c>
      <c r="K6152" s="444">
        <f t="shared" ca="1" si="203"/>
        <v>-119261896780604.06</v>
      </c>
      <c r="L6152" s="444">
        <f t="shared" ca="1" si="204"/>
        <v>-2.874211712412558E+16</v>
      </c>
      <c r="M6152" s="460">
        <f t="shared" si="206"/>
        <v>0.05</v>
      </c>
      <c r="N6152" s="464">
        <f t="shared" si="207"/>
        <v>238292</v>
      </c>
    </row>
    <row r="6153" spans="7:14" ht="11.25" customHeight="1" x14ac:dyDescent="0.3">
      <c r="G6153" s="459"/>
      <c r="H6153" s="459">
        <v>6146</v>
      </c>
      <c r="I6153" s="444">
        <f t="shared" ca="1" si="205"/>
        <v>-2.874211712412558E+16</v>
      </c>
      <c r="J6153" s="444">
        <f t="array" ref="J6153">IFERROR(INDEX('Retirement Calculator'!K:K,MATCH('Lorri 401b'!N6153,'Retirement Calculator'!A:A,0),0),0)</f>
        <v>0</v>
      </c>
      <c r="K6153" s="444">
        <f t="shared" ca="1" si="203"/>
        <v>-119758821350523.23</v>
      </c>
      <c r="L6153" s="444">
        <f t="shared" ca="1" si="204"/>
        <v>-2.8861875945476104E+16</v>
      </c>
      <c r="M6153" s="460">
        <f t="shared" si="206"/>
        <v>0.05</v>
      </c>
      <c r="N6153" s="464">
        <f t="shared" si="207"/>
        <v>238322</v>
      </c>
    </row>
    <row r="6154" spans="7:14" ht="11.25" customHeight="1" x14ac:dyDescent="0.3">
      <c r="G6154" s="459"/>
      <c r="H6154" s="459">
        <v>6147</v>
      </c>
      <c r="I6154" s="444">
        <f t="shared" ca="1" si="205"/>
        <v>-2.8861875945476104E+16</v>
      </c>
      <c r="J6154" s="444">
        <f t="array" ref="J6154">IFERROR(INDEX('Retirement Calculator'!K:K,MATCH('Lorri 401b'!N6154,'Retirement Calculator'!A:A,0),0),0)</f>
        <v>0</v>
      </c>
      <c r="K6154" s="444">
        <f t="shared" ca="1" si="203"/>
        <v>-120257816439483.77</v>
      </c>
      <c r="L6154" s="444">
        <f t="shared" ca="1" si="204"/>
        <v>-2.8982133761915588E+16</v>
      </c>
      <c r="M6154" s="460">
        <f t="shared" si="206"/>
        <v>0.05</v>
      </c>
      <c r="N6154" s="464">
        <f t="shared" si="207"/>
        <v>238353</v>
      </c>
    </row>
    <row r="6155" spans="7:14" ht="11.25" customHeight="1" x14ac:dyDescent="0.3">
      <c r="G6155" s="459"/>
      <c r="H6155" s="459">
        <v>6148</v>
      </c>
      <c r="I6155" s="444">
        <f t="shared" ca="1" si="205"/>
        <v>-2.8982133761915588E+16</v>
      </c>
      <c r="J6155" s="444">
        <f t="array" ref="J6155">IFERROR(INDEX('Retirement Calculator'!K:K,MATCH('Lorri 401b'!N6155,'Retirement Calculator'!A:A,0),0),0)</f>
        <v>0</v>
      </c>
      <c r="K6155" s="444">
        <f t="shared" ca="1" si="203"/>
        <v>-120758890674648.28</v>
      </c>
      <c r="L6155" s="444">
        <f t="shared" ca="1" si="204"/>
        <v>-2.9102892652590236E+16</v>
      </c>
      <c r="M6155" s="460">
        <f t="shared" si="206"/>
        <v>0.05</v>
      </c>
      <c r="N6155" s="464">
        <f t="shared" si="207"/>
        <v>238384</v>
      </c>
    </row>
    <row r="6156" spans="7:14" ht="11.25" customHeight="1" x14ac:dyDescent="0.3">
      <c r="G6156" s="459"/>
      <c r="H6156" s="459">
        <v>6149</v>
      </c>
      <c r="I6156" s="444">
        <f t="shared" ca="1" si="205"/>
        <v>-2.9102892652590236E+16</v>
      </c>
      <c r="J6156" s="444">
        <f t="array" ref="J6156">IFERROR(INDEX('Retirement Calculator'!K:K,MATCH('Lorri 401b'!N6156,'Retirement Calculator'!A:A,0),0),0)</f>
        <v>0</v>
      </c>
      <c r="K6156" s="444">
        <f t="shared" ca="1" si="203"/>
        <v>-121262052719125.97</v>
      </c>
      <c r="L6156" s="444">
        <f t="shared" ca="1" si="204"/>
        <v>-2.922415470530936E+16</v>
      </c>
      <c r="M6156" s="460">
        <f t="shared" si="206"/>
        <v>0.05</v>
      </c>
      <c r="N6156" s="464">
        <f t="shared" si="207"/>
        <v>238414</v>
      </c>
    </row>
    <row r="6157" spans="7:14" ht="11.25" customHeight="1" x14ac:dyDescent="0.3">
      <c r="G6157" s="459"/>
      <c r="H6157" s="459">
        <v>6150</v>
      </c>
      <c r="I6157" s="444">
        <f t="shared" ca="1" si="205"/>
        <v>-2.922415470530936E+16</v>
      </c>
      <c r="J6157" s="444">
        <f t="array" ref="J6157">IFERROR(INDEX('Retirement Calculator'!K:K,MATCH('Lorri 401b'!N6157,'Retirement Calculator'!A:A,0),0),0)</f>
        <v>0</v>
      </c>
      <c r="K6157" s="444">
        <f t="shared" ca="1" si="203"/>
        <v>-121767311272122.31</v>
      </c>
      <c r="L6157" s="444">
        <f t="shared" ca="1" si="204"/>
        <v>-2.9345922016581484E+16</v>
      </c>
      <c r="M6157" s="460">
        <f t="shared" si="206"/>
        <v>0.05</v>
      </c>
      <c r="N6157" s="464">
        <f t="shared" si="207"/>
        <v>238445</v>
      </c>
    </row>
    <row r="6158" spans="7:14" ht="11.25" customHeight="1" x14ac:dyDescent="0.3">
      <c r="G6158" s="459"/>
      <c r="H6158" s="459">
        <v>6151</v>
      </c>
      <c r="I6158" s="444">
        <f t="shared" ca="1" si="205"/>
        <v>-2.9345922016581484E+16</v>
      </c>
      <c r="J6158" s="444">
        <f t="array" ref="J6158">IFERROR(INDEX('Retirement Calculator'!K:K,MATCH('Lorri 401b'!N6158,'Retirement Calculator'!A:A,0),0),0)</f>
        <v>0</v>
      </c>
      <c r="K6158" s="444">
        <f t="shared" ca="1" si="203"/>
        <v>-122274675069089.5</v>
      </c>
      <c r="L6158" s="444">
        <f t="shared" ca="1" si="204"/>
        <v>-2.9468196691650572E+16</v>
      </c>
      <c r="M6158" s="460">
        <f t="shared" si="206"/>
        <v>0.05</v>
      </c>
      <c r="N6158" s="464">
        <f t="shared" si="207"/>
        <v>238475</v>
      </c>
    </row>
    <row r="6159" spans="7:14" ht="11.25" customHeight="1" x14ac:dyDescent="0.3">
      <c r="G6159" s="459"/>
      <c r="H6159" s="459">
        <v>6152</v>
      </c>
      <c r="I6159" s="444">
        <f t="shared" ca="1" si="205"/>
        <v>-2.9468196691650572E+16</v>
      </c>
      <c r="J6159" s="444">
        <f t="array" ref="J6159">IFERROR(INDEX('Retirement Calculator'!K:K,MATCH('Lorri 401b'!N6159,'Retirement Calculator'!A:A,0),0),0)</f>
        <v>0</v>
      </c>
      <c r="K6159" s="444">
        <f t="shared" ca="1" si="203"/>
        <v>-122784152881877.38</v>
      </c>
      <c r="L6159" s="444">
        <f t="shared" ca="1" si="204"/>
        <v>-2.9590980844532448E+16</v>
      </c>
      <c r="M6159" s="460">
        <f t="shared" si="206"/>
        <v>0.05</v>
      </c>
      <c r="N6159" s="464">
        <f t="shared" si="207"/>
        <v>238506</v>
      </c>
    </row>
    <row r="6160" spans="7:14" ht="11.25" customHeight="1" x14ac:dyDescent="0.3">
      <c r="G6160" s="459"/>
      <c r="H6160" s="459">
        <v>6153</v>
      </c>
      <c r="I6160" s="444">
        <f t="shared" ca="1" si="205"/>
        <v>-2.9590980844532448E+16</v>
      </c>
      <c r="J6160" s="444">
        <f t="array" ref="J6160">IFERROR(INDEX('Retirement Calculator'!K:K,MATCH('Lorri 401b'!N6160,'Retirement Calculator'!A:A,0),0),0)</f>
        <v>0</v>
      </c>
      <c r="K6160" s="444">
        <f t="shared" ca="1" si="203"/>
        <v>-123295753518885.22</v>
      </c>
      <c r="L6160" s="444">
        <f t="shared" ca="1" si="204"/>
        <v>-2.9714276598051332E+16</v>
      </c>
      <c r="M6160" s="460">
        <f t="shared" si="206"/>
        <v>0.05</v>
      </c>
      <c r="N6160" s="464">
        <f t="shared" si="207"/>
        <v>238537</v>
      </c>
    </row>
    <row r="6161" spans="7:14" ht="11.25" customHeight="1" x14ac:dyDescent="0.3">
      <c r="G6161" s="459"/>
      <c r="H6161" s="459">
        <v>6154</v>
      </c>
      <c r="I6161" s="444">
        <f t="shared" ca="1" si="205"/>
        <v>-2.9714276598051332E+16</v>
      </c>
      <c r="J6161" s="444">
        <f t="array" ref="J6161">IFERROR(INDEX('Retirement Calculator'!K:K,MATCH('Lorri 401b'!N6161,'Retirement Calculator'!A:A,0),0),0)</f>
        <v>0</v>
      </c>
      <c r="K6161" s="444">
        <f t="shared" ca="1" si="203"/>
        <v>-123809485825213.89</v>
      </c>
      <c r="L6161" s="444">
        <f t="shared" ca="1" si="204"/>
        <v>-2.9838086083876544E+16</v>
      </c>
      <c r="M6161" s="460">
        <f t="shared" si="206"/>
        <v>0.05</v>
      </c>
      <c r="N6161" s="464">
        <f t="shared" si="207"/>
        <v>238565</v>
      </c>
    </row>
    <row r="6162" spans="7:14" ht="11.25" customHeight="1" x14ac:dyDescent="0.3">
      <c r="G6162" s="459"/>
      <c r="H6162" s="459">
        <v>6155</v>
      </c>
      <c r="I6162" s="444">
        <f t="shared" ca="1" si="205"/>
        <v>-2.9838086083876544E+16</v>
      </c>
      <c r="J6162" s="444">
        <f t="array" ref="J6162">IFERROR(INDEX('Retirement Calculator'!K:K,MATCH('Lorri 401b'!N6162,'Retirement Calculator'!A:A,0),0),0)</f>
        <v>0</v>
      </c>
      <c r="K6162" s="444">
        <f t="shared" ca="1" si="203"/>
        <v>-124325358682818.92</v>
      </c>
      <c r="L6162" s="444">
        <f t="shared" ca="1" si="204"/>
        <v>-2.9962411442559364E+16</v>
      </c>
      <c r="M6162" s="460">
        <f t="shared" si="206"/>
        <v>0.05</v>
      </c>
      <c r="N6162" s="464">
        <f t="shared" si="207"/>
        <v>238596</v>
      </c>
    </row>
    <row r="6163" spans="7:14" ht="11.25" customHeight="1" x14ac:dyDescent="0.3">
      <c r="G6163" s="459"/>
      <c r="H6163" s="459">
        <v>6156</v>
      </c>
      <c r="I6163" s="444">
        <f t="shared" ca="1" si="205"/>
        <v>-2.9962411442559364E+16</v>
      </c>
      <c r="J6163" s="444">
        <f t="array" ref="J6163">IFERROR(INDEX('Retirement Calculator'!K:K,MATCH('Lorri 401b'!N6163,'Retirement Calculator'!A:A,0),0),0)</f>
        <v>0</v>
      </c>
      <c r="K6163" s="444">
        <f t="shared" ca="1" si="203"/>
        <v>-124843381010664.02</v>
      </c>
      <c r="L6163" s="444">
        <f t="shared" ca="1" si="204"/>
        <v>-3.0087254823570028E+16</v>
      </c>
      <c r="M6163" s="460">
        <f t="shared" si="206"/>
        <v>0.05</v>
      </c>
      <c r="N6163" s="464">
        <f t="shared" si="207"/>
        <v>238626</v>
      </c>
    </row>
    <row r="6164" spans="7:14" ht="11.25" customHeight="1" x14ac:dyDescent="0.3">
      <c r="G6164" s="459"/>
      <c r="H6164" s="459">
        <v>6157</v>
      </c>
      <c r="I6164" s="444">
        <f t="shared" ca="1" si="205"/>
        <v>-3.0087254823570028E+16</v>
      </c>
      <c r="J6164" s="444">
        <f t="array" ref="J6164">IFERROR(INDEX('Retirement Calculator'!K:K,MATCH('Lorri 401b'!N6164,'Retirement Calculator'!A:A,0),0),0)</f>
        <v>0</v>
      </c>
      <c r="K6164" s="444">
        <f t="shared" ca="1" si="203"/>
        <v>-125363561764875.11</v>
      </c>
      <c r="L6164" s="444">
        <f t="shared" ca="1" si="204"/>
        <v>-3.0212618385334904E+16</v>
      </c>
      <c r="M6164" s="460">
        <f t="shared" si="206"/>
        <v>0.05</v>
      </c>
      <c r="N6164" s="464">
        <f t="shared" si="207"/>
        <v>238657</v>
      </c>
    </row>
    <row r="6165" spans="7:14" ht="11.25" customHeight="1" x14ac:dyDescent="0.3">
      <c r="G6165" s="459"/>
      <c r="H6165" s="459">
        <v>6158</v>
      </c>
      <c r="I6165" s="444">
        <f t="shared" ca="1" si="205"/>
        <v>-3.0212618385334904E+16</v>
      </c>
      <c r="J6165" s="444">
        <f t="array" ref="J6165">IFERROR(INDEX('Retirement Calculator'!K:K,MATCH('Lorri 401b'!N6165,'Retirement Calculator'!A:A,0),0),0)</f>
        <v>0</v>
      </c>
      <c r="K6165" s="444">
        <f t="shared" ca="1" si="203"/>
        <v>-125885909938895.44</v>
      </c>
      <c r="L6165" s="444">
        <f t="shared" ca="1" si="204"/>
        <v>-3.03385042952738E+16</v>
      </c>
      <c r="M6165" s="460">
        <f t="shared" si="206"/>
        <v>0.05</v>
      </c>
      <c r="N6165" s="464">
        <f t="shared" si="207"/>
        <v>238687</v>
      </c>
    </row>
    <row r="6166" spans="7:14" ht="11.25" customHeight="1" x14ac:dyDescent="0.3">
      <c r="G6166" s="459"/>
      <c r="H6166" s="459">
        <v>6159</v>
      </c>
      <c r="I6166" s="444">
        <f t="shared" ca="1" si="205"/>
        <v>-3.03385042952738E+16</v>
      </c>
      <c r="J6166" s="444">
        <f t="array" ref="J6166">IFERROR(INDEX('Retirement Calculator'!K:K,MATCH('Lorri 401b'!N6166,'Retirement Calculator'!A:A,0),0),0)</f>
        <v>0</v>
      </c>
      <c r="K6166" s="444">
        <f t="shared" ca="1" si="203"/>
        <v>-126410434563640.83</v>
      </c>
      <c r="L6166" s="444">
        <f t="shared" ca="1" si="204"/>
        <v>-3.046491472983744E+16</v>
      </c>
      <c r="M6166" s="460">
        <f t="shared" si="206"/>
        <v>0.05</v>
      </c>
      <c r="N6166" s="464">
        <f t="shared" si="207"/>
        <v>238718</v>
      </c>
    </row>
    <row r="6167" spans="7:14" ht="11.25" customHeight="1" x14ac:dyDescent="0.3">
      <c r="G6167" s="459"/>
      <c r="H6167" s="459">
        <v>6160</v>
      </c>
      <c r="I6167" s="444">
        <f t="shared" ca="1" si="205"/>
        <v>-3.046491472983744E+16</v>
      </c>
      <c r="J6167" s="444">
        <f t="array" ref="J6167">IFERROR(INDEX('Retirement Calculator'!K:K,MATCH('Lorri 401b'!N6167,'Retirement Calculator'!A:A,0),0),0)</f>
        <v>0</v>
      </c>
      <c r="K6167" s="444">
        <f t="shared" ca="1" si="203"/>
        <v>-126937144707656</v>
      </c>
      <c r="L6167" s="444">
        <f t="shared" ca="1" si="204"/>
        <v>-3.0591851874545096E+16</v>
      </c>
      <c r="M6167" s="460">
        <f t="shared" si="206"/>
        <v>0.05</v>
      </c>
      <c r="N6167" s="464">
        <f t="shared" si="207"/>
        <v>238749</v>
      </c>
    </row>
    <row r="6168" spans="7:14" ht="11.25" customHeight="1" x14ac:dyDescent="0.3">
      <c r="G6168" s="459"/>
      <c r="H6168" s="459">
        <v>6161</v>
      </c>
      <c r="I6168" s="444">
        <f t="shared" ca="1" si="205"/>
        <v>-3.0591851874545096E+16</v>
      </c>
      <c r="J6168" s="444">
        <f t="array" ref="J6168">IFERROR(INDEX('Retirement Calculator'!K:K,MATCH('Lorri 401b'!N6168,'Retirement Calculator'!A:A,0),0),0)</f>
        <v>0</v>
      </c>
      <c r="K6168" s="444">
        <f t="shared" ca="1" si="203"/>
        <v>-127466049477271.23</v>
      </c>
      <c r="L6168" s="444">
        <f t="shared" ca="1" si="204"/>
        <v>-3.0719317924022368E+16</v>
      </c>
      <c r="M6168" s="460">
        <f t="shared" si="206"/>
        <v>0.05</v>
      </c>
      <c r="N6168" s="464">
        <f t="shared" si="207"/>
        <v>238779</v>
      </c>
    </row>
    <row r="6169" spans="7:14" ht="11.25" customHeight="1" x14ac:dyDescent="0.3">
      <c r="G6169" s="459"/>
      <c r="H6169" s="459">
        <v>6162</v>
      </c>
      <c r="I6169" s="444">
        <f t="shared" ca="1" si="205"/>
        <v>-3.0719317924022368E+16</v>
      </c>
      <c r="J6169" s="444">
        <f t="array" ref="J6169">IFERROR(INDEX('Retirement Calculator'!K:K,MATCH('Lorri 401b'!N6169,'Retirement Calculator'!A:A,0),0),0)</f>
        <v>0</v>
      </c>
      <c r="K6169" s="444">
        <f t="shared" ca="1" si="203"/>
        <v>-127997158016759.86</v>
      </c>
      <c r="L6169" s="444">
        <f t="shared" ca="1" si="204"/>
        <v>-3.0847315082039128E+16</v>
      </c>
      <c r="M6169" s="460">
        <f t="shared" si="206"/>
        <v>0.05</v>
      </c>
      <c r="N6169" s="464">
        <f t="shared" si="207"/>
        <v>238810</v>
      </c>
    </row>
    <row r="6170" spans="7:14" ht="11.25" customHeight="1" x14ac:dyDescent="0.3">
      <c r="G6170" s="459"/>
      <c r="H6170" s="459">
        <v>6163</v>
      </c>
      <c r="I6170" s="444">
        <f t="shared" ca="1" si="205"/>
        <v>-3.0847315082039128E+16</v>
      </c>
      <c r="J6170" s="444">
        <f t="array" ref="J6170">IFERROR(INDEX('Retirement Calculator'!K:K,MATCH('Lorri 401b'!N6170,'Retirement Calculator'!A:A,0),0),0)</f>
        <v>0</v>
      </c>
      <c r="K6170" s="444">
        <f t="shared" ca="1" si="203"/>
        <v>-128530479508496.38</v>
      </c>
      <c r="L6170" s="444">
        <f t="shared" ca="1" si="204"/>
        <v>-3.0975845561547624E+16</v>
      </c>
      <c r="M6170" s="460">
        <f t="shared" si="206"/>
        <v>0.05</v>
      </c>
      <c r="N6170" s="464">
        <f t="shared" si="207"/>
        <v>238840</v>
      </c>
    </row>
    <row r="6171" spans="7:14" ht="11.25" customHeight="1" x14ac:dyDescent="0.3">
      <c r="G6171" s="459"/>
      <c r="H6171" s="459">
        <v>6164</v>
      </c>
      <c r="I6171" s="444">
        <f t="shared" ca="1" si="205"/>
        <v>-3.0975845561547624E+16</v>
      </c>
      <c r="J6171" s="444">
        <f t="array" ref="J6171">IFERROR(INDEX('Retirement Calculator'!K:K,MATCH('Lorri 401b'!N6171,'Retirement Calculator'!A:A,0),0),0)</f>
        <v>0</v>
      </c>
      <c r="K6171" s="444">
        <f t="shared" ca="1" si="203"/>
        <v>-129066023173115.08</v>
      </c>
      <c r="L6171" s="444">
        <f t="shared" ca="1" si="204"/>
        <v>-3.110491158472074E+16</v>
      </c>
      <c r="M6171" s="460">
        <f t="shared" si="206"/>
        <v>0.05</v>
      </c>
      <c r="N6171" s="464">
        <f t="shared" si="207"/>
        <v>238871</v>
      </c>
    </row>
    <row r="6172" spans="7:14" ht="11.25" customHeight="1" x14ac:dyDescent="0.3">
      <c r="G6172" s="459"/>
      <c r="H6172" s="459">
        <v>6165</v>
      </c>
      <c r="I6172" s="444">
        <f t="shared" ca="1" si="205"/>
        <v>-3.110491158472074E+16</v>
      </c>
      <c r="J6172" s="444">
        <f t="array" ref="J6172">IFERROR(INDEX('Retirement Calculator'!K:K,MATCH('Lorri 401b'!N6172,'Retirement Calculator'!A:A,0),0),0)</f>
        <v>0</v>
      </c>
      <c r="K6172" s="444">
        <f t="shared" ca="1" si="203"/>
        <v>-129603798269669.73</v>
      </c>
      <c r="L6172" s="444">
        <f t="shared" ca="1" si="204"/>
        <v>-3.1234515382990408E+16</v>
      </c>
      <c r="M6172" s="460">
        <f t="shared" si="206"/>
        <v>0.05</v>
      </c>
      <c r="N6172" s="464">
        <f t="shared" si="207"/>
        <v>238902</v>
      </c>
    </row>
    <row r="6173" spans="7:14" ht="11.25" customHeight="1" x14ac:dyDescent="0.3">
      <c r="G6173" s="459"/>
      <c r="H6173" s="459">
        <v>6166</v>
      </c>
      <c r="I6173" s="444">
        <f t="shared" ca="1" si="205"/>
        <v>-3.1234515382990408E+16</v>
      </c>
      <c r="J6173" s="444">
        <f t="array" ref="J6173">IFERROR(INDEX('Retirement Calculator'!K:K,MATCH('Lorri 401b'!N6173,'Retirement Calculator'!A:A,0),0),0)</f>
        <v>0</v>
      </c>
      <c r="K6173" s="444">
        <f t="shared" ca="1" si="203"/>
        <v>-130143814095793.36</v>
      </c>
      <c r="L6173" s="444">
        <f t="shared" ca="1" si="204"/>
        <v>-3.13646591970862E+16</v>
      </c>
      <c r="M6173" s="460">
        <f t="shared" si="206"/>
        <v>0.05</v>
      </c>
      <c r="N6173" s="464">
        <f t="shared" si="207"/>
        <v>238930</v>
      </c>
    </row>
    <row r="6174" spans="7:14" ht="11.25" customHeight="1" x14ac:dyDescent="0.3">
      <c r="G6174" s="459"/>
      <c r="H6174" s="459">
        <v>6167</v>
      </c>
      <c r="I6174" s="444">
        <f t="shared" ca="1" si="205"/>
        <v>-3.13646591970862E+16</v>
      </c>
      <c r="J6174" s="444">
        <f t="array" ref="J6174">IFERROR(INDEX('Retirement Calculator'!K:K,MATCH('Lorri 401b'!N6174,'Retirement Calculator'!A:A,0),0),0)</f>
        <v>0</v>
      </c>
      <c r="K6174" s="444">
        <f t="shared" ca="1" si="203"/>
        <v>-130686079987859.14</v>
      </c>
      <c r="L6174" s="444">
        <f t="shared" ca="1" si="204"/>
        <v>-3.149534527707406E+16</v>
      </c>
      <c r="M6174" s="460">
        <f t="shared" si="206"/>
        <v>0.05</v>
      </c>
      <c r="N6174" s="464">
        <f t="shared" si="207"/>
        <v>238961</v>
      </c>
    </row>
    <row r="6175" spans="7:14" ht="11.25" customHeight="1" x14ac:dyDescent="0.3">
      <c r="G6175" s="459"/>
      <c r="H6175" s="459">
        <v>6168</v>
      </c>
      <c r="I6175" s="444">
        <f t="shared" ca="1" si="205"/>
        <v>-3.149534527707406E+16</v>
      </c>
      <c r="J6175" s="444">
        <f t="array" ref="J6175">IFERROR(INDEX('Retirement Calculator'!K:K,MATCH('Lorri 401b'!N6175,'Retirement Calculator'!A:A,0),0),0)</f>
        <v>0</v>
      </c>
      <c r="K6175" s="444">
        <f t="shared" ca="1" si="203"/>
        <v>-131230605321141.89</v>
      </c>
      <c r="L6175" s="444">
        <f t="shared" ca="1" si="204"/>
        <v>-3.16265758823952E+16</v>
      </c>
      <c r="M6175" s="460">
        <f t="shared" si="206"/>
        <v>0.05</v>
      </c>
      <c r="N6175" s="464">
        <f t="shared" si="207"/>
        <v>238991</v>
      </c>
    </row>
    <row r="6176" spans="7:14" ht="11.25" customHeight="1" x14ac:dyDescent="0.3">
      <c r="G6176" s="459"/>
      <c r="H6176" s="459">
        <v>6169</v>
      </c>
      <c r="I6176" s="444">
        <f t="shared" ca="1" si="205"/>
        <v>-3.16265758823952E+16</v>
      </c>
      <c r="J6176" s="444">
        <f t="array" ref="J6176">IFERROR(INDEX('Retirement Calculator'!K:K,MATCH('Lorri 401b'!N6176,'Retirement Calculator'!A:A,0),0),0)</f>
        <v>0</v>
      </c>
      <c r="K6176" s="444">
        <f t="shared" ca="1" si="203"/>
        <v>-131777399509980.02</v>
      </c>
      <c r="L6176" s="444">
        <f t="shared" ca="1" si="204"/>
        <v>-3.175835328190518E+16</v>
      </c>
      <c r="M6176" s="460">
        <f t="shared" si="206"/>
        <v>0.05</v>
      </c>
      <c r="N6176" s="464">
        <f t="shared" si="207"/>
        <v>239022</v>
      </c>
    </row>
    <row r="6177" spans="7:14" ht="11.25" customHeight="1" x14ac:dyDescent="0.3">
      <c r="G6177" s="459"/>
      <c r="H6177" s="459">
        <v>6170</v>
      </c>
      <c r="I6177" s="444">
        <f t="shared" ca="1" si="205"/>
        <v>-3.175835328190518E+16</v>
      </c>
      <c r="J6177" s="444">
        <f t="array" ref="J6177">IFERROR(INDEX('Retirement Calculator'!K:K,MATCH('Lorri 401b'!N6177,'Retirement Calculator'!A:A,0),0),0)</f>
        <v>0</v>
      </c>
      <c r="K6177" s="444">
        <f t="shared" ca="1" si="203"/>
        <v>-132326472007938.27</v>
      </c>
      <c r="L6177" s="444">
        <f t="shared" ca="1" si="204"/>
        <v>-3.189067975391312E+16</v>
      </c>
      <c r="M6177" s="460">
        <f t="shared" si="206"/>
        <v>0.05</v>
      </c>
      <c r="N6177" s="464">
        <f t="shared" si="207"/>
        <v>239052</v>
      </c>
    </row>
    <row r="6178" spans="7:14" ht="11.25" customHeight="1" x14ac:dyDescent="0.3">
      <c r="G6178" s="459"/>
      <c r="H6178" s="459">
        <v>6171</v>
      </c>
      <c r="I6178" s="444">
        <f t="shared" ca="1" si="205"/>
        <v>-3.189067975391312E+16</v>
      </c>
      <c r="J6178" s="444">
        <f t="array" ref="J6178">IFERROR(INDEX('Retirement Calculator'!K:K,MATCH('Lorri 401b'!N6178,'Retirement Calculator'!A:A,0),0),0)</f>
        <v>0</v>
      </c>
      <c r="K6178" s="444">
        <f t="shared" ca="1" si="203"/>
        <v>-132877832307971.33</v>
      </c>
      <c r="L6178" s="444">
        <f t="shared" ca="1" si="204"/>
        <v>-3.2023557586221092E+16</v>
      </c>
      <c r="M6178" s="460">
        <f t="shared" si="206"/>
        <v>0.05</v>
      </c>
      <c r="N6178" s="464">
        <f t="shared" si="207"/>
        <v>239083</v>
      </c>
    </row>
    <row r="6179" spans="7:14" ht="11.25" customHeight="1" x14ac:dyDescent="0.3">
      <c r="G6179" s="459"/>
      <c r="H6179" s="459">
        <v>6172</v>
      </c>
      <c r="I6179" s="444">
        <f t="shared" ca="1" si="205"/>
        <v>-3.2023557586221092E+16</v>
      </c>
      <c r="J6179" s="444">
        <f t="array" ref="J6179">IFERROR(INDEX('Retirement Calculator'!K:K,MATCH('Lorri 401b'!N6179,'Retirement Calculator'!A:A,0),0),0)</f>
        <v>0</v>
      </c>
      <c r="K6179" s="444">
        <f t="shared" ca="1" si="203"/>
        <v>-133431489942587.88</v>
      </c>
      <c r="L6179" s="444">
        <f t="shared" ca="1" si="204"/>
        <v>-3.215698907616368E+16</v>
      </c>
      <c r="M6179" s="460">
        <f t="shared" si="206"/>
        <v>0.05</v>
      </c>
      <c r="N6179" s="464">
        <f t="shared" si="207"/>
        <v>239114</v>
      </c>
    </row>
    <row r="6180" spans="7:14" ht="11.25" customHeight="1" x14ac:dyDescent="0.3">
      <c r="G6180" s="459"/>
      <c r="H6180" s="459">
        <v>6173</v>
      </c>
      <c r="I6180" s="444">
        <f t="shared" ca="1" si="205"/>
        <v>-3.215698907616368E+16</v>
      </c>
      <c r="J6180" s="444">
        <f t="array" ref="J6180">IFERROR(INDEX('Retirement Calculator'!K:K,MATCH('Lorri 401b'!N6180,'Retirement Calculator'!A:A,0),0),0)</f>
        <v>0</v>
      </c>
      <c r="K6180" s="444">
        <f t="shared" ca="1" si="203"/>
        <v>-133987454484015.33</v>
      </c>
      <c r="L6180" s="444">
        <f t="shared" ca="1" si="204"/>
        <v>-3.2290976530647696E+16</v>
      </c>
      <c r="M6180" s="460">
        <f t="shared" si="206"/>
        <v>0.05</v>
      </c>
      <c r="N6180" s="464">
        <f t="shared" si="207"/>
        <v>239144</v>
      </c>
    </row>
    <row r="6181" spans="7:14" ht="11.25" customHeight="1" x14ac:dyDescent="0.3">
      <c r="G6181" s="459"/>
      <c r="H6181" s="459">
        <v>6174</v>
      </c>
      <c r="I6181" s="444">
        <f t="shared" ca="1" si="205"/>
        <v>-3.2290976530647696E+16</v>
      </c>
      <c r="J6181" s="444">
        <f t="array" ref="J6181">IFERROR(INDEX('Retirement Calculator'!K:K,MATCH('Lorri 401b'!N6181,'Retirement Calculator'!A:A,0),0),0)</f>
        <v>0</v>
      </c>
      <c r="K6181" s="444">
        <f t="shared" ca="1" si="203"/>
        <v>-134545735544365.39</v>
      </c>
      <c r="L6181" s="444">
        <f t="shared" ca="1" si="204"/>
        <v>-3.242552226619206E+16</v>
      </c>
      <c r="M6181" s="460">
        <f t="shared" si="206"/>
        <v>0.05</v>
      </c>
      <c r="N6181" s="464">
        <f t="shared" si="207"/>
        <v>239175</v>
      </c>
    </row>
    <row r="6182" spans="7:14" ht="11.25" customHeight="1" x14ac:dyDescent="0.3">
      <c r="G6182" s="459"/>
      <c r="H6182" s="459">
        <v>6175</v>
      </c>
      <c r="I6182" s="444">
        <f t="shared" ca="1" si="205"/>
        <v>-3.242552226619206E+16</v>
      </c>
      <c r="J6182" s="444">
        <f t="array" ref="J6182">IFERROR(INDEX('Retirement Calculator'!K:K,MATCH('Lorri 401b'!N6182,'Retirement Calculator'!A:A,0),0),0)</f>
        <v>0</v>
      </c>
      <c r="K6182" s="444">
        <f t="shared" ca="1" si="203"/>
        <v>-135106342775800.25</v>
      </c>
      <c r="L6182" s="444">
        <f t="shared" ca="1" si="204"/>
        <v>-3.256062860896786E+16</v>
      </c>
      <c r="M6182" s="460">
        <f t="shared" si="206"/>
        <v>0.05</v>
      </c>
      <c r="N6182" s="464">
        <f t="shared" si="207"/>
        <v>239205</v>
      </c>
    </row>
    <row r="6183" spans="7:14" ht="11.25" customHeight="1" x14ac:dyDescent="0.3">
      <c r="G6183" s="459"/>
      <c r="H6183" s="459">
        <v>6176</v>
      </c>
      <c r="I6183" s="444">
        <f t="shared" ca="1" si="205"/>
        <v>-3.256062860896786E+16</v>
      </c>
      <c r="J6183" s="444">
        <f t="array" ref="J6183">IFERROR(INDEX('Retirement Calculator'!K:K,MATCH('Lorri 401b'!N6183,'Retirement Calculator'!A:A,0),0),0)</f>
        <v>0</v>
      </c>
      <c r="K6183" s="444">
        <f t="shared" ca="1" si="203"/>
        <v>-135669285870699.44</v>
      </c>
      <c r="L6183" s="444">
        <f t="shared" ca="1" si="204"/>
        <v>-3.269629789483856E+16</v>
      </c>
      <c r="M6183" s="460">
        <f t="shared" si="206"/>
        <v>0.05</v>
      </c>
      <c r="N6183" s="464">
        <f t="shared" si="207"/>
        <v>239236</v>
      </c>
    </row>
    <row r="6184" spans="7:14" ht="11.25" customHeight="1" x14ac:dyDescent="0.3">
      <c r="G6184" s="459"/>
      <c r="H6184" s="459">
        <v>6177</v>
      </c>
      <c r="I6184" s="444">
        <f t="shared" ca="1" si="205"/>
        <v>-3.269629789483856E+16</v>
      </c>
      <c r="J6184" s="444">
        <f t="array" ref="J6184">IFERROR(INDEX('Retirement Calculator'!K:K,MATCH('Lorri 401b'!N6184,'Retirement Calculator'!A:A,0),0),0)</f>
        <v>0</v>
      </c>
      <c r="K6184" s="444">
        <f t="shared" ca="1" si="203"/>
        <v>-136234574561827.33</v>
      </c>
      <c r="L6184" s="444">
        <f t="shared" ca="1" si="204"/>
        <v>-3.2832532469400388E+16</v>
      </c>
      <c r="M6184" s="460">
        <f t="shared" si="206"/>
        <v>0.05</v>
      </c>
      <c r="N6184" s="464">
        <f t="shared" si="207"/>
        <v>239267</v>
      </c>
    </row>
    <row r="6185" spans="7:14" ht="11.25" customHeight="1" x14ac:dyDescent="0.3">
      <c r="G6185" s="459"/>
      <c r="H6185" s="459">
        <v>6178</v>
      </c>
      <c r="I6185" s="444">
        <f t="shared" ca="1" si="205"/>
        <v>-3.2832532469400388E+16</v>
      </c>
      <c r="J6185" s="444">
        <f t="array" ref="J6185">IFERROR(INDEX('Retirement Calculator'!K:K,MATCH('Lorri 401b'!N6185,'Retirement Calculator'!A:A,0),0),0)</f>
        <v>0</v>
      </c>
      <c r="K6185" s="444">
        <f t="shared" ca="1" si="203"/>
        <v>-136802218622501.63</v>
      </c>
      <c r="L6185" s="444">
        <f t="shared" ca="1" si="204"/>
        <v>-3.2969334688022888E+16</v>
      </c>
      <c r="M6185" s="460">
        <f t="shared" si="206"/>
        <v>0.05</v>
      </c>
      <c r="N6185" s="464">
        <f t="shared" si="207"/>
        <v>239295</v>
      </c>
    </row>
    <row r="6186" spans="7:14" ht="11.25" customHeight="1" x14ac:dyDescent="0.3">
      <c r="G6186" s="459"/>
      <c r="H6186" s="459">
        <v>6179</v>
      </c>
      <c r="I6186" s="444">
        <f t="shared" ca="1" si="205"/>
        <v>-3.2969334688022888E+16</v>
      </c>
      <c r="J6186" s="444">
        <f t="array" ref="J6186">IFERROR(INDEX('Retirement Calculator'!K:K,MATCH('Lorri 401b'!N6186,'Retirement Calculator'!A:A,0),0),0)</f>
        <v>0</v>
      </c>
      <c r="K6186" s="444">
        <f t="shared" ca="1" si="203"/>
        <v>-137372227866762.02</v>
      </c>
      <c r="L6186" s="444">
        <f t="shared" ca="1" si="204"/>
        <v>-3.3106706915889652E+16</v>
      </c>
      <c r="M6186" s="460">
        <f t="shared" si="206"/>
        <v>0.05</v>
      </c>
      <c r="N6186" s="464">
        <f t="shared" si="207"/>
        <v>239326</v>
      </c>
    </row>
    <row r="6187" spans="7:14" ht="11.25" customHeight="1" x14ac:dyDescent="0.3">
      <c r="G6187" s="459"/>
      <c r="H6187" s="459">
        <v>6180</v>
      </c>
      <c r="I6187" s="444">
        <f t="shared" ca="1" si="205"/>
        <v>-3.3106706915889652E+16</v>
      </c>
      <c r="J6187" s="444">
        <f t="array" ref="J6187">IFERROR(INDEX('Retirement Calculator'!K:K,MATCH('Lorri 401b'!N6187,'Retirement Calculator'!A:A,0),0),0)</f>
        <v>0</v>
      </c>
      <c r="K6187" s="444">
        <f t="shared" ca="1" si="203"/>
        <v>-137944612149540.23</v>
      </c>
      <c r="L6187" s="444">
        <f t="shared" ca="1" si="204"/>
        <v>-3.3244651528039192E+16</v>
      </c>
      <c r="M6187" s="460">
        <f t="shared" si="206"/>
        <v>0.05</v>
      </c>
      <c r="N6187" s="464">
        <f t="shared" si="207"/>
        <v>239356</v>
      </c>
    </row>
    <row r="6188" spans="7:14" ht="11.25" customHeight="1" x14ac:dyDescent="0.3">
      <c r="G6188" s="459"/>
      <c r="H6188" s="459">
        <v>6181</v>
      </c>
      <c r="I6188" s="444">
        <f t="shared" ca="1" si="205"/>
        <v>-3.3244651528039192E+16</v>
      </c>
      <c r="J6188" s="444">
        <f t="array" ref="J6188">IFERROR(INDEX('Retirement Calculator'!K:K,MATCH('Lorri 401b'!N6188,'Retirement Calculator'!A:A,0),0),0)</f>
        <v>0</v>
      </c>
      <c r="K6188" s="444">
        <f t="shared" ca="1" si="203"/>
        <v>-138519381366829.97</v>
      </c>
      <c r="L6188" s="444">
        <f t="shared" ca="1" si="204"/>
        <v>-3.338317090940602E+16</v>
      </c>
      <c r="M6188" s="460">
        <f t="shared" si="206"/>
        <v>0.05</v>
      </c>
      <c r="N6188" s="464">
        <f t="shared" si="207"/>
        <v>239387</v>
      </c>
    </row>
    <row r="6189" spans="7:14" ht="11.25" customHeight="1" x14ac:dyDescent="0.3">
      <c r="G6189" s="459"/>
      <c r="H6189" s="459">
        <v>6182</v>
      </c>
      <c r="I6189" s="444">
        <f t="shared" ca="1" si="205"/>
        <v>-3.338317090940602E+16</v>
      </c>
      <c r="J6189" s="444">
        <f t="array" ref="J6189">IFERROR(INDEX('Retirement Calculator'!K:K,MATCH('Lorri 401b'!N6189,'Retirement Calculator'!A:A,0),0),0)</f>
        <v>0</v>
      </c>
      <c r="K6189" s="444">
        <f t="shared" ca="1" si="203"/>
        <v>-139096545455858.39</v>
      </c>
      <c r="L6189" s="444">
        <f t="shared" ca="1" si="204"/>
        <v>-3.352226745486188E+16</v>
      </c>
      <c r="M6189" s="460">
        <f t="shared" si="206"/>
        <v>0.05</v>
      </c>
      <c r="N6189" s="464">
        <f t="shared" si="207"/>
        <v>239417</v>
      </c>
    </row>
    <row r="6190" spans="7:14" ht="11.25" customHeight="1" x14ac:dyDescent="0.3">
      <c r="G6190" s="459"/>
      <c r="H6190" s="459">
        <v>6183</v>
      </c>
      <c r="I6190" s="444">
        <f t="shared" ca="1" si="205"/>
        <v>-3.352226745486188E+16</v>
      </c>
      <c r="J6190" s="444">
        <f t="array" ref="J6190">IFERROR(INDEX('Retirement Calculator'!K:K,MATCH('Lorri 401b'!N6190,'Retirement Calculator'!A:A,0),0),0)</f>
        <v>0</v>
      </c>
      <c r="K6190" s="444">
        <f t="shared" ca="1" si="203"/>
        <v>-139676114395257.83</v>
      </c>
      <c r="L6190" s="444">
        <f t="shared" ca="1" si="204"/>
        <v>-3.3661943569257136E+16</v>
      </c>
      <c r="M6190" s="460">
        <f t="shared" si="206"/>
        <v>0.05</v>
      </c>
      <c r="N6190" s="464">
        <f t="shared" si="207"/>
        <v>239448</v>
      </c>
    </row>
    <row r="6191" spans="7:14" ht="11.25" customHeight="1" x14ac:dyDescent="0.3">
      <c r="G6191" s="459"/>
      <c r="H6191" s="459">
        <v>6184</v>
      </c>
      <c r="I6191" s="444">
        <f t="shared" ca="1" si="205"/>
        <v>-3.3661943569257136E+16</v>
      </c>
      <c r="J6191" s="444">
        <f t="array" ref="J6191">IFERROR(INDEX('Retirement Calculator'!K:K,MATCH('Lorri 401b'!N6191,'Retirement Calculator'!A:A,0),0),0)</f>
        <v>0</v>
      </c>
      <c r="K6191" s="444">
        <f t="shared" ca="1" si="203"/>
        <v>-140258098205238.05</v>
      </c>
      <c r="L6191" s="444">
        <f t="shared" ca="1" si="204"/>
        <v>-3.3802201667462376E+16</v>
      </c>
      <c r="M6191" s="460">
        <f t="shared" si="206"/>
        <v>0.05</v>
      </c>
      <c r="N6191" s="464">
        <f t="shared" si="207"/>
        <v>239479</v>
      </c>
    </row>
    <row r="6192" spans="7:14" ht="11.25" customHeight="1" x14ac:dyDescent="0.3">
      <c r="G6192" s="459"/>
      <c r="H6192" s="459">
        <v>6185</v>
      </c>
      <c r="I6192" s="444">
        <f t="shared" ca="1" si="205"/>
        <v>-3.3802201667462376E+16</v>
      </c>
      <c r="J6192" s="444">
        <f t="array" ref="J6192">IFERROR(INDEX('Retirement Calculator'!K:K,MATCH('Lorri 401b'!N6192,'Retirement Calculator'!A:A,0),0),0)</f>
        <v>0</v>
      </c>
      <c r="K6192" s="444">
        <f t="shared" ca="1" si="203"/>
        <v>-140842506947759.91</v>
      </c>
      <c r="L6192" s="444">
        <f t="shared" ca="1" si="204"/>
        <v>-3.3943044174410136E+16</v>
      </c>
      <c r="M6192" s="460">
        <f t="shared" si="206"/>
        <v>0.05</v>
      </c>
      <c r="N6192" s="464">
        <f t="shared" si="207"/>
        <v>239509</v>
      </c>
    </row>
    <row r="6193" spans="7:14" ht="11.25" customHeight="1" x14ac:dyDescent="0.3">
      <c r="G6193" s="459"/>
      <c r="H6193" s="459">
        <v>6186</v>
      </c>
      <c r="I6193" s="444">
        <f t="shared" ca="1" si="205"/>
        <v>-3.3943044174410136E+16</v>
      </c>
      <c r="J6193" s="444">
        <f t="array" ref="J6193">IFERROR(INDEX('Retirement Calculator'!K:K,MATCH('Lorri 401b'!N6193,'Retirement Calculator'!A:A,0),0),0)</f>
        <v>0</v>
      </c>
      <c r="K6193" s="444">
        <f t="shared" ca="1" si="203"/>
        <v>-141429350726708.91</v>
      </c>
      <c r="L6193" s="444">
        <f t="shared" ca="1" si="204"/>
        <v>-3.4084473525136844E+16</v>
      </c>
      <c r="M6193" s="460">
        <f t="shared" si="206"/>
        <v>0.05</v>
      </c>
      <c r="N6193" s="464">
        <f t="shared" si="207"/>
        <v>239540</v>
      </c>
    </row>
    <row r="6194" spans="7:14" ht="11.25" customHeight="1" x14ac:dyDescent="0.3">
      <c r="G6194" s="459"/>
      <c r="H6194" s="459">
        <v>6187</v>
      </c>
      <c r="I6194" s="444">
        <f t="shared" ca="1" si="205"/>
        <v>-3.4084473525136844E+16</v>
      </c>
      <c r="J6194" s="444">
        <f t="array" ref="J6194">IFERROR(INDEX('Retirement Calculator'!K:K,MATCH('Lorri 401b'!N6194,'Retirement Calculator'!A:A,0),0),0)</f>
        <v>0</v>
      </c>
      <c r="K6194" s="444">
        <f t="shared" ca="1" si="203"/>
        <v>-142018639688070.16</v>
      </c>
      <c r="L6194" s="444">
        <f t="shared" ca="1" si="204"/>
        <v>-3.4226492164824916E+16</v>
      </c>
      <c r="M6194" s="460">
        <f t="shared" si="206"/>
        <v>0.05</v>
      </c>
      <c r="N6194" s="464">
        <f t="shared" si="207"/>
        <v>239570</v>
      </c>
    </row>
    <row r="6195" spans="7:14" ht="11.25" customHeight="1" x14ac:dyDescent="0.3">
      <c r="G6195" s="459"/>
      <c r="H6195" s="459">
        <v>6188</v>
      </c>
      <c r="I6195" s="444">
        <f t="shared" ca="1" si="205"/>
        <v>-3.4226492164824916E+16</v>
      </c>
      <c r="J6195" s="444">
        <f t="array" ref="J6195">IFERROR(INDEX('Retirement Calculator'!K:K,MATCH('Lorri 401b'!N6195,'Retirement Calculator'!A:A,0),0),0)</f>
        <v>0</v>
      </c>
      <c r="K6195" s="444">
        <f t="shared" ca="1" si="203"/>
        <v>-142610384020103.84</v>
      </c>
      <c r="L6195" s="444">
        <f t="shared" ca="1" si="204"/>
        <v>-3.436910254884502E+16</v>
      </c>
      <c r="M6195" s="460">
        <f t="shared" si="206"/>
        <v>0.05</v>
      </c>
      <c r="N6195" s="464">
        <f t="shared" si="207"/>
        <v>239601</v>
      </c>
    </row>
    <row r="6196" spans="7:14" ht="11.25" customHeight="1" x14ac:dyDescent="0.3">
      <c r="G6196" s="459"/>
      <c r="H6196" s="459">
        <v>6189</v>
      </c>
      <c r="I6196" s="444">
        <f t="shared" ca="1" si="205"/>
        <v>-3.436910254884502E+16</v>
      </c>
      <c r="J6196" s="444">
        <f t="array" ref="J6196">IFERROR(INDEX('Retirement Calculator'!K:K,MATCH('Lorri 401b'!N6196,'Retirement Calculator'!A:A,0),0),0)</f>
        <v>0</v>
      </c>
      <c r="K6196" s="444">
        <f t="shared" ca="1" si="203"/>
        <v>-143204593953520.91</v>
      </c>
      <c r="L6196" s="444">
        <f t="shared" ca="1" si="204"/>
        <v>-3.451230714279854E+16</v>
      </c>
      <c r="M6196" s="460">
        <f t="shared" si="206"/>
        <v>0.05</v>
      </c>
      <c r="N6196" s="464">
        <f t="shared" si="207"/>
        <v>239632</v>
      </c>
    </row>
    <row r="6197" spans="7:14" ht="11.25" customHeight="1" x14ac:dyDescent="0.3">
      <c r="G6197" s="459"/>
      <c r="H6197" s="459">
        <v>6190</v>
      </c>
      <c r="I6197" s="444">
        <f t="shared" ca="1" si="205"/>
        <v>-3.451230714279854E+16</v>
      </c>
      <c r="J6197" s="444">
        <f t="array" ref="J6197">IFERROR(INDEX('Retirement Calculator'!K:K,MATCH('Lorri 401b'!N6197,'Retirement Calculator'!A:A,0),0),0)</f>
        <v>0</v>
      </c>
      <c r="K6197" s="444">
        <f t="shared" ca="1" si="203"/>
        <v>-143801279761660.56</v>
      </c>
      <c r="L6197" s="444">
        <f t="shared" ca="1" si="204"/>
        <v>-3.46561084225602E+16</v>
      </c>
      <c r="M6197" s="460">
        <f t="shared" si="206"/>
        <v>0.05</v>
      </c>
      <c r="N6197" s="464">
        <f t="shared" si="207"/>
        <v>239661</v>
      </c>
    </row>
    <row r="6198" spans="7:14" ht="11.25" customHeight="1" x14ac:dyDescent="0.3">
      <c r="G6198" s="459"/>
      <c r="H6198" s="459">
        <v>6191</v>
      </c>
      <c r="I6198" s="444">
        <f t="shared" ca="1" si="205"/>
        <v>-3.46561084225602E+16</v>
      </c>
      <c r="J6198" s="444">
        <f t="array" ref="J6198">IFERROR(INDEX('Retirement Calculator'!K:K,MATCH('Lorri 401b'!N6198,'Retirement Calculator'!A:A,0),0),0)</f>
        <v>0</v>
      </c>
      <c r="K6198" s="444">
        <f t="shared" ca="1" si="203"/>
        <v>-144400451760667.5</v>
      </c>
      <c r="L6198" s="444">
        <f t="shared" ca="1" si="204"/>
        <v>-3.4800508874320868E+16</v>
      </c>
      <c r="M6198" s="460">
        <f t="shared" si="206"/>
        <v>0.05</v>
      </c>
      <c r="N6198" s="464">
        <f t="shared" si="207"/>
        <v>239692</v>
      </c>
    </row>
    <row r="6199" spans="7:14" ht="11.25" customHeight="1" x14ac:dyDescent="0.3">
      <c r="G6199" s="459"/>
      <c r="H6199" s="459">
        <v>6192</v>
      </c>
      <c r="I6199" s="444">
        <f t="shared" ca="1" si="205"/>
        <v>-3.4800508874320868E+16</v>
      </c>
      <c r="J6199" s="444">
        <f t="array" ref="J6199">IFERROR(INDEX('Retirement Calculator'!K:K,MATCH('Lorri 401b'!N6199,'Retirement Calculator'!A:A,0),0),0)</f>
        <v>0</v>
      </c>
      <c r="K6199" s="444">
        <f t="shared" ca="1" si="203"/>
        <v>-145002120309670.28</v>
      </c>
      <c r="L6199" s="444">
        <f t="shared" ca="1" si="204"/>
        <v>-3.494551099463054E+16</v>
      </c>
      <c r="M6199" s="460">
        <f t="shared" si="206"/>
        <v>0.05</v>
      </c>
      <c r="N6199" s="464">
        <f t="shared" si="207"/>
        <v>239722</v>
      </c>
    </row>
    <row r="6200" spans="7:14" ht="11.25" customHeight="1" x14ac:dyDescent="0.3">
      <c r="G6200" s="459"/>
      <c r="H6200" s="459">
        <v>6193</v>
      </c>
      <c r="I6200" s="444">
        <f t="shared" ca="1" si="205"/>
        <v>-3.494551099463054E+16</v>
      </c>
      <c r="J6200" s="444">
        <f t="array" ref="J6200">IFERROR(INDEX('Retirement Calculator'!K:K,MATCH('Lorri 401b'!N6200,'Retirement Calculator'!A:A,0),0),0)</f>
        <v>0</v>
      </c>
      <c r="K6200" s="444">
        <f t="shared" ca="1" si="203"/>
        <v>-145606295810960.59</v>
      </c>
      <c r="L6200" s="444">
        <f t="shared" ca="1" si="204"/>
        <v>-3.50911172904415E+16</v>
      </c>
      <c r="M6200" s="460">
        <f t="shared" si="206"/>
        <v>0.05</v>
      </c>
      <c r="N6200" s="464">
        <f t="shared" si="207"/>
        <v>239753</v>
      </c>
    </row>
    <row r="6201" spans="7:14" ht="11.25" customHeight="1" x14ac:dyDescent="0.3">
      <c r="G6201" s="459"/>
      <c r="H6201" s="459">
        <v>6194</v>
      </c>
      <c r="I6201" s="444">
        <f t="shared" ca="1" si="205"/>
        <v>-3.50911172904415E+16</v>
      </c>
      <c r="J6201" s="444">
        <f t="array" ref="J6201">IFERROR(INDEX('Retirement Calculator'!K:K,MATCH('Lorri 401b'!N6201,'Retirement Calculator'!A:A,0),0),0)</f>
        <v>0</v>
      </c>
      <c r="K6201" s="444">
        <f t="shared" ca="1" si="203"/>
        <v>-146212988710172.91</v>
      </c>
      <c r="L6201" s="444">
        <f t="shared" ca="1" si="204"/>
        <v>-3.5237330279151672E+16</v>
      </c>
      <c r="M6201" s="460">
        <f t="shared" si="206"/>
        <v>0.05</v>
      </c>
      <c r="N6201" s="464">
        <f t="shared" si="207"/>
        <v>239783</v>
      </c>
    </row>
    <row r="6202" spans="7:14" ht="11.25" customHeight="1" x14ac:dyDescent="0.3">
      <c r="G6202" s="459"/>
      <c r="H6202" s="459">
        <v>6195</v>
      </c>
      <c r="I6202" s="444">
        <f t="shared" ca="1" si="205"/>
        <v>-3.5237330279151672E+16</v>
      </c>
      <c r="J6202" s="444">
        <f t="array" ref="J6202">IFERROR(INDEX('Retirement Calculator'!K:K,MATCH('Lorri 401b'!N6202,'Retirement Calculator'!A:A,0),0),0)</f>
        <v>0</v>
      </c>
      <c r="K6202" s="444">
        <f t="shared" ca="1" si="203"/>
        <v>-146822209496465.28</v>
      </c>
      <c r="L6202" s="444">
        <f t="shared" ca="1" si="204"/>
        <v>-3.5384152488648136E+16</v>
      </c>
      <c r="M6202" s="460">
        <f t="shared" si="206"/>
        <v>0.05</v>
      </c>
      <c r="N6202" s="464">
        <f t="shared" si="207"/>
        <v>239814</v>
      </c>
    </row>
    <row r="6203" spans="7:14" ht="11.25" customHeight="1" x14ac:dyDescent="0.3">
      <c r="G6203" s="459"/>
      <c r="H6203" s="459">
        <v>6196</v>
      </c>
      <c r="I6203" s="444">
        <f t="shared" ca="1" si="205"/>
        <v>-3.5384152488648136E+16</v>
      </c>
      <c r="J6203" s="444">
        <f t="array" ref="J6203">IFERROR(INDEX('Retirement Calculator'!K:K,MATCH('Lorri 401b'!N6203,'Retirement Calculator'!A:A,0),0),0)</f>
        <v>0</v>
      </c>
      <c r="K6203" s="444">
        <f t="shared" ca="1" si="203"/>
        <v>-147433968702700.56</v>
      </c>
      <c r="L6203" s="444">
        <f t="shared" ca="1" si="204"/>
        <v>-3.5531586457350836E+16</v>
      </c>
      <c r="M6203" s="460">
        <f t="shared" si="206"/>
        <v>0.05</v>
      </c>
      <c r="N6203" s="464">
        <f t="shared" si="207"/>
        <v>239845</v>
      </c>
    </row>
    <row r="6204" spans="7:14" ht="11.25" customHeight="1" x14ac:dyDescent="0.3">
      <c r="G6204" s="459"/>
      <c r="H6204" s="459">
        <v>6197</v>
      </c>
      <c r="I6204" s="444">
        <f t="shared" ca="1" si="205"/>
        <v>-3.5531586457350836E+16</v>
      </c>
      <c r="J6204" s="444">
        <f t="array" ref="J6204">IFERROR(INDEX('Retirement Calculator'!K:K,MATCH('Lorri 401b'!N6204,'Retirement Calculator'!A:A,0),0),0)</f>
        <v>0</v>
      </c>
      <c r="K6204" s="444">
        <f t="shared" ca="1" si="203"/>
        <v>-148048276905628.47</v>
      </c>
      <c r="L6204" s="444">
        <f t="shared" ca="1" si="204"/>
        <v>-3.5679634734256464E+16</v>
      </c>
      <c r="M6204" s="460">
        <f t="shared" si="206"/>
        <v>0.05</v>
      </c>
      <c r="N6204" s="464">
        <f t="shared" si="207"/>
        <v>239875</v>
      </c>
    </row>
    <row r="6205" spans="7:14" ht="11.25" customHeight="1" x14ac:dyDescent="0.3">
      <c r="G6205" s="459"/>
      <c r="H6205" s="459">
        <v>6198</v>
      </c>
      <c r="I6205" s="444">
        <f t="shared" ca="1" si="205"/>
        <v>-3.5679634734256464E+16</v>
      </c>
      <c r="J6205" s="444">
        <f t="array" ref="J6205">IFERROR(INDEX('Retirement Calculator'!K:K,MATCH('Lorri 401b'!N6205,'Retirement Calculator'!A:A,0),0),0)</f>
        <v>0</v>
      </c>
      <c r="K6205" s="444">
        <f t="shared" ca="1" si="203"/>
        <v>-148665144726068.63</v>
      </c>
      <c r="L6205" s="444">
        <f t="shared" ca="1" si="204"/>
        <v>-3.5828299878982532E+16</v>
      </c>
      <c r="M6205" s="460">
        <f t="shared" si="206"/>
        <v>0.05</v>
      </c>
      <c r="N6205" s="464">
        <f t="shared" si="207"/>
        <v>239906</v>
      </c>
    </row>
    <row r="6206" spans="7:14" ht="11.25" customHeight="1" x14ac:dyDescent="0.3">
      <c r="G6206" s="459"/>
      <c r="H6206" s="459">
        <v>6199</v>
      </c>
      <c r="I6206" s="444">
        <f t="shared" ca="1" si="205"/>
        <v>-3.5828299878982532E+16</v>
      </c>
      <c r="J6206" s="444">
        <f t="array" ref="J6206">IFERROR(INDEX('Retirement Calculator'!K:K,MATCH('Lorri 401b'!N6206,'Retirement Calculator'!A:A,0),0),0)</f>
        <v>0</v>
      </c>
      <c r="K6206" s="444">
        <f t="shared" ca="1" si="203"/>
        <v>-149284582829093.88</v>
      </c>
      <c r="L6206" s="444">
        <f t="shared" ca="1" si="204"/>
        <v>-3.5977584461811624E+16</v>
      </c>
      <c r="M6206" s="460">
        <f t="shared" si="206"/>
        <v>0.05</v>
      </c>
      <c r="N6206" s="464">
        <f t="shared" si="207"/>
        <v>239936</v>
      </c>
    </row>
    <row r="6207" spans="7:14" ht="11.25" customHeight="1" x14ac:dyDescent="0.3">
      <c r="G6207" s="459"/>
      <c r="H6207" s="459">
        <v>6200</v>
      </c>
      <c r="I6207" s="444">
        <f t="shared" ca="1" si="205"/>
        <v>-3.5977584461811624E+16</v>
      </c>
      <c r="J6207" s="444">
        <f t="array" ref="J6207">IFERROR(INDEX('Retirement Calculator'!K:K,MATCH('Lorri 401b'!N6207,'Retirement Calculator'!A:A,0),0),0)</f>
        <v>0</v>
      </c>
      <c r="K6207" s="444">
        <f t="shared" ca="1" si="203"/>
        <v>-149906601924215.09</v>
      </c>
      <c r="L6207" s="444">
        <f t="shared" ca="1" si="204"/>
        <v>-3.612749106373584E+16</v>
      </c>
      <c r="M6207" s="460">
        <f t="shared" si="206"/>
        <v>0.05</v>
      </c>
      <c r="N6207" s="464">
        <f t="shared" si="207"/>
        <v>239967</v>
      </c>
    </row>
    <row r="6208" spans="7:14" ht="11.25" customHeight="1" x14ac:dyDescent="0.3">
      <c r="G6208" s="459"/>
      <c r="H6208" s="459">
        <v>6201</v>
      </c>
      <c r="I6208" s="444">
        <f t="shared" ca="1" si="205"/>
        <v>-3.612749106373584E+16</v>
      </c>
      <c r="J6208" s="444">
        <f t="array" ref="J6208">IFERROR(INDEX('Retirement Calculator'!K:K,MATCH('Lorri 401b'!N6208,'Retirement Calculator'!A:A,0),0),0)</f>
        <v>0</v>
      </c>
      <c r="K6208" s="444">
        <f t="shared" ca="1" si="203"/>
        <v>-150531212765566</v>
      </c>
      <c r="L6208" s="444">
        <f t="shared" ca="1" si="204"/>
        <v>-3.6278022276501408E+16</v>
      </c>
      <c r="M6208" s="460">
        <f t="shared" si="206"/>
        <v>0.05</v>
      </c>
      <c r="N6208" s="464">
        <f t="shared" si="207"/>
        <v>239998</v>
      </c>
    </row>
    <row r="6209" spans="7:14" ht="11.25" customHeight="1" x14ac:dyDescent="0.3">
      <c r="G6209" s="459"/>
      <c r="H6209" s="459">
        <v>6202</v>
      </c>
      <c r="I6209" s="444">
        <f t="shared" ca="1" si="205"/>
        <v>-3.6278022276501408E+16</v>
      </c>
      <c r="J6209" s="444">
        <f t="array" ref="J6209">IFERROR(INDEX('Retirement Calculator'!K:K,MATCH('Lorri 401b'!N6209,'Retirement Calculator'!A:A,0),0),0)</f>
        <v>0</v>
      </c>
      <c r="K6209" s="444">
        <f t="shared" ca="1" si="203"/>
        <v>-151158426152089.19</v>
      </c>
      <c r="L6209" s="444">
        <f t="shared" ca="1" si="204"/>
        <v>-3.6429180702653496E+16</v>
      </c>
      <c r="M6209" s="460">
        <f t="shared" si="206"/>
        <v>0.05</v>
      </c>
      <c r="N6209" s="464">
        <f t="shared" si="207"/>
        <v>240026</v>
      </c>
    </row>
    <row r="6210" spans="7:14" ht="11.25" customHeight="1" x14ac:dyDescent="0.3">
      <c r="G6210" s="459"/>
      <c r="H6210" s="459">
        <v>6203</v>
      </c>
      <c r="I6210" s="444">
        <f t="shared" ca="1" si="205"/>
        <v>-3.6429180702653496E+16</v>
      </c>
      <c r="J6210" s="444">
        <f t="array" ref="J6210">IFERROR(INDEX('Retirement Calculator'!K:K,MATCH('Lorri 401b'!N6210,'Retirement Calculator'!A:A,0),0),0)</f>
        <v>0</v>
      </c>
      <c r="K6210" s="444">
        <f t="shared" ca="1" si="203"/>
        <v>-151788252927722.91</v>
      </c>
      <c r="L6210" s="444">
        <f t="shared" ca="1" si="204"/>
        <v>-3.6580968955581216E+16</v>
      </c>
      <c r="M6210" s="460">
        <f t="shared" si="206"/>
        <v>0.05</v>
      </c>
      <c r="N6210" s="464">
        <f t="shared" si="207"/>
        <v>240057</v>
      </c>
    </row>
    <row r="6211" spans="7:14" ht="11.25" customHeight="1" x14ac:dyDescent="0.3">
      <c r="G6211" s="459"/>
      <c r="H6211" s="459">
        <v>6204</v>
      </c>
      <c r="I6211" s="444">
        <f t="shared" ca="1" si="205"/>
        <v>-3.6580968955581216E+16</v>
      </c>
      <c r="J6211" s="444">
        <f t="array" ref="J6211">IFERROR(INDEX('Retirement Calculator'!K:K,MATCH('Lorri 401b'!N6211,'Retirement Calculator'!A:A,0),0),0)</f>
        <v>0</v>
      </c>
      <c r="K6211" s="444">
        <f t="shared" ca="1" si="203"/>
        <v>-152420703981588.41</v>
      </c>
      <c r="L6211" s="444">
        <f t="shared" ca="1" si="204"/>
        <v>-3.6733389659562808E+16</v>
      </c>
      <c r="M6211" s="460">
        <f t="shared" si="206"/>
        <v>0.05</v>
      </c>
      <c r="N6211" s="464">
        <f t="shared" si="207"/>
        <v>240087</v>
      </c>
    </row>
    <row r="6212" spans="7:14" ht="11.25" customHeight="1" x14ac:dyDescent="0.3">
      <c r="G6212" s="459"/>
      <c r="H6212" s="459">
        <v>6205</v>
      </c>
      <c r="I6212" s="444">
        <f t="shared" ca="1" si="205"/>
        <v>-3.6733389659562808E+16</v>
      </c>
      <c r="J6212" s="444">
        <f t="array" ref="J6212">IFERROR(INDEX('Retirement Calculator'!K:K,MATCH('Lorri 401b'!N6212,'Retirement Calculator'!A:A,0),0),0)</f>
        <v>0</v>
      </c>
      <c r="K6212" s="444">
        <f t="shared" ca="1" si="203"/>
        <v>-153055790248178.38</v>
      </c>
      <c r="L6212" s="444">
        <f t="shared" ca="1" si="204"/>
        <v>-3.6886445449810984E+16</v>
      </c>
      <c r="M6212" s="460">
        <f t="shared" si="206"/>
        <v>0.05</v>
      </c>
      <c r="N6212" s="464">
        <f t="shared" si="207"/>
        <v>240118</v>
      </c>
    </row>
    <row r="6213" spans="7:14" ht="11.25" customHeight="1" x14ac:dyDescent="0.3">
      <c r="G6213" s="459"/>
      <c r="H6213" s="459">
        <v>6206</v>
      </c>
      <c r="I6213" s="444">
        <f t="shared" ca="1" si="205"/>
        <v>-3.6886445449810984E+16</v>
      </c>
      <c r="J6213" s="444">
        <f t="array" ref="J6213">IFERROR(INDEX('Retirement Calculator'!K:K,MATCH('Lorri 401b'!N6213,'Retirement Calculator'!A:A,0),0),0)</f>
        <v>0</v>
      </c>
      <c r="K6213" s="444">
        <f t="shared" ca="1" si="203"/>
        <v>-153693522707545.75</v>
      </c>
      <c r="L6213" s="444">
        <f t="shared" ca="1" si="204"/>
        <v>-3.7040138972518528E+16</v>
      </c>
      <c r="M6213" s="460">
        <f t="shared" si="206"/>
        <v>0.05</v>
      </c>
      <c r="N6213" s="464">
        <f t="shared" si="207"/>
        <v>240148</v>
      </c>
    </row>
    <row r="6214" spans="7:14" ht="11.25" customHeight="1" x14ac:dyDescent="0.3">
      <c r="G6214" s="459"/>
      <c r="H6214" s="459">
        <v>6207</v>
      </c>
      <c r="I6214" s="444">
        <f t="shared" ca="1" si="205"/>
        <v>-3.7040138972518528E+16</v>
      </c>
      <c r="J6214" s="444">
        <f t="array" ref="J6214">IFERROR(INDEX('Retirement Calculator'!K:K,MATCH('Lorri 401b'!N6214,'Retirement Calculator'!A:A,0),0),0)</f>
        <v>0</v>
      </c>
      <c r="K6214" s="444">
        <f t="shared" ca="1" si="203"/>
        <v>-154333912385493.88</v>
      </c>
      <c r="L6214" s="444">
        <f t="shared" ca="1" si="204"/>
        <v>-3.7194472884904024E+16</v>
      </c>
      <c r="M6214" s="460">
        <f t="shared" si="206"/>
        <v>0.05</v>
      </c>
      <c r="N6214" s="464">
        <f t="shared" si="207"/>
        <v>240179</v>
      </c>
    </row>
    <row r="6215" spans="7:14" ht="11.25" customHeight="1" x14ac:dyDescent="0.3">
      <c r="G6215" s="459"/>
      <c r="H6215" s="459">
        <v>6208</v>
      </c>
      <c r="I6215" s="444">
        <f t="shared" ca="1" si="205"/>
        <v>-3.7194472884904024E+16</v>
      </c>
      <c r="J6215" s="444">
        <f t="array" ref="J6215">IFERROR(INDEX('Retirement Calculator'!K:K,MATCH('Lorri 401b'!N6215,'Retirement Calculator'!A:A,0),0),0)</f>
        <v>0</v>
      </c>
      <c r="K6215" s="444">
        <f t="shared" ca="1" si="203"/>
        <v>-154976970353766.75</v>
      </c>
      <c r="L6215" s="444">
        <f t="shared" ca="1" si="204"/>
        <v>-3.7349449855257792E+16</v>
      </c>
      <c r="M6215" s="460">
        <f t="shared" si="206"/>
        <v>0.05</v>
      </c>
      <c r="N6215" s="464">
        <f t="shared" si="207"/>
        <v>240210</v>
      </c>
    </row>
    <row r="6216" spans="7:14" ht="11.25" customHeight="1" x14ac:dyDescent="0.3">
      <c r="G6216" s="459"/>
      <c r="H6216" s="459">
        <v>6209</v>
      </c>
      <c r="I6216" s="444">
        <f t="shared" ca="1" si="205"/>
        <v>-3.7349449855257792E+16</v>
      </c>
      <c r="J6216" s="444">
        <f t="array" ref="J6216">IFERROR(INDEX('Retirement Calculator'!K:K,MATCH('Lorri 401b'!N6216,'Retirement Calculator'!A:A,0),0),0)</f>
        <v>0</v>
      </c>
      <c r="K6216" s="444">
        <f t="shared" ca="1" si="203"/>
        <v>-155622707730240.81</v>
      </c>
      <c r="L6216" s="444">
        <f t="shared" ca="1" si="204"/>
        <v>-3.7505072562988032E+16</v>
      </c>
      <c r="M6216" s="460">
        <f t="shared" si="206"/>
        <v>0.05</v>
      </c>
      <c r="N6216" s="464">
        <f t="shared" si="207"/>
        <v>240240</v>
      </c>
    </row>
    <row r="6217" spans="7:14" ht="11.25" customHeight="1" x14ac:dyDescent="0.3">
      <c r="G6217" s="459"/>
      <c r="H6217" s="459">
        <v>6210</v>
      </c>
      <c r="I6217" s="444">
        <f t="shared" ca="1" si="205"/>
        <v>-3.7505072562988032E+16</v>
      </c>
      <c r="J6217" s="444">
        <f t="array" ref="J6217">IFERROR(INDEX('Retirement Calculator'!K:K,MATCH('Lorri 401b'!N6217,'Retirement Calculator'!A:A,0),0),0)</f>
        <v>0</v>
      </c>
      <c r="K6217" s="444">
        <f t="shared" ca="1" si="203"/>
        <v>-156271135679116.81</v>
      </c>
      <c r="L6217" s="444">
        <f t="shared" ca="1" si="204"/>
        <v>-3.7661343698667152E+16</v>
      </c>
      <c r="M6217" s="460">
        <f t="shared" si="206"/>
        <v>0.05</v>
      </c>
      <c r="N6217" s="464">
        <f t="shared" si="207"/>
        <v>240271</v>
      </c>
    </row>
    <row r="6218" spans="7:14" ht="11.25" customHeight="1" x14ac:dyDescent="0.3">
      <c r="G6218" s="459"/>
      <c r="H6218" s="459">
        <v>6211</v>
      </c>
      <c r="I6218" s="444">
        <f t="shared" ca="1" si="205"/>
        <v>-3.7661343698667152E+16</v>
      </c>
      <c r="J6218" s="444">
        <f t="array" ref="J6218">IFERROR(INDEX('Retirement Calculator'!K:K,MATCH('Lorri 401b'!N6218,'Retirement Calculator'!A:A,0),0),0)</f>
        <v>0</v>
      </c>
      <c r="K6218" s="444">
        <f t="shared" ca="1" si="203"/>
        <v>-156922265411113.13</v>
      </c>
      <c r="L6218" s="444">
        <f t="shared" ca="1" si="204"/>
        <v>-3.7818265964078264E+16</v>
      </c>
      <c r="M6218" s="460">
        <f t="shared" si="206"/>
        <v>0.05</v>
      </c>
      <c r="N6218" s="464">
        <f t="shared" si="207"/>
        <v>240301</v>
      </c>
    </row>
    <row r="6219" spans="7:14" ht="11.25" customHeight="1" x14ac:dyDescent="0.3">
      <c r="G6219" s="459"/>
      <c r="H6219" s="459">
        <v>6212</v>
      </c>
      <c r="I6219" s="444">
        <f t="shared" ca="1" si="205"/>
        <v>-3.7818265964078264E+16</v>
      </c>
      <c r="J6219" s="444">
        <f t="array" ref="J6219">IFERROR(INDEX('Retirement Calculator'!K:K,MATCH('Lorri 401b'!N6219,'Retirement Calculator'!A:A,0),0),0)</f>
        <v>0</v>
      </c>
      <c r="K6219" s="444">
        <f t="shared" ca="1" si="203"/>
        <v>-157576108183659.44</v>
      </c>
      <c r="L6219" s="444">
        <f t="shared" ca="1" si="204"/>
        <v>-3.797584207226192E+16</v>
      </c>
      <c r="M6219" s="460">
        <f t="shared" si="206"/>
        <v>0.05</v>
      </c>
      <c r="N6219" s="464">
        <f t="shared" si="207"/>
        <v>240332</v>
      </c>
    </row>
    <row r="6220" spans="7:14" ht="11.25" customHeight="1" x14ac:dyDescent="0.3">
      <c r="G6220" s="459"/>
      <c r="H6220" s="459">
        <v>6213</v>
      </c>
      <c r="I6220" s="444">
        <f t="shared" ca="1" si="205"/>
        <v>-3.797584207226192E+16</v>
      </c>
      <c r="J6220" s="444">
        <f t="array" ref="J6220">IFERROR(INDEX('Retirement Calculator'!K:K,MATCH('Lorri 401b'!N6220,'Retirement Calculator'!A:A,0),0),0)</f>
        <v>0</v>
      </c>
      <c r="K6220" s="444">
        <f t="shared" ca="1" si="203"/>
        <v>-158232675301091.34</v>
      </c>
      <c r="L6220" s="444">
        <f t="shared" ca="1" si="204"/>
        <v>-3.8134074747563008E+16</v>
      </c>
      <c r="M6220" s="460">
        <f t="shared" si="206"/>
        <v>0.05</v>
      </c>
      <c r="N6220" s="464">
        <f t="shared" si="207"/>
        <v>240363</v>
      </c>
    </row>
    <row r="6221" spans="7:14" ht="11.25" customHeight="1" x14ac:dyDescent="0.3">
      <c r="G6221" s="459"/>
      <c r="H6221" s="459">
        <v>6214</v>
      </c>
      <c r="I6221" s="444">
        <f t="shared" ca="1" si="205"/>
        <v>-3.8134074747563008E+16</v>
      </c>
      <c r="J6221" s="444">
        <f t="array" ref="J6221">IFERROR(INDEX('Retirement Calculator'!K:K,MATCH('Lorri 401b'!N6221,'Retirement Calculator'!A:A,0),0),0)</f>
        <v>0</v>
      </c>
      <c r="K6221" s="444">
        <f t="shared" ca="1" si="203"/>
        <v>-158891978114845.88</v>
      </c>
      <c r="L6221" s="444">
        <f t="shared" ca="1" si="204"/>
        <v>-3.8292966725677856E+16</v>
      </c>
      <c r="M6221" s="460">
        <f t="shared" si="206"/>
        <v>0.05</v>
      </c>
      <c r="N6221" s="464">
        <f t="shared" si="207"/>
        <v>240391</v>
      </c>
    </row>
    <row r="6222" spans="7:14" ht="11.25" customHeight="1" x14ac:dyDescent="0.3">
      <c r="G6222" s="459"/>
      <c r="H6222" s="459">
        <v>6215</v>
      </c>
      <c r="I6222" s="444">
        <f t="shared" ca="1" si="205"/>
        <v>-3.8292966725677856E+16</v>
      </c>
      <c r="J6222" s="444">
        <f t="array" ref="J6222">IFERROR(INDEX('Retirement Calculator'!K:K,MATCH('Lorri 401b'!N6222,'Retirement Calculator'!A:A,0),0),0)</f>
        <v>0</v>
      </c>
      <c r="K6222" s="444">
        <f t="shared" ca="1" si="203"/>
        <v>-159554028023657.72</v>
      </c>
      <c r="L6222" s="444">
        <f t="shared" ca="1" si="204"/>
        <v>-3.8452520753701512E+16</v>
      </c>
      <c r="M6222" s="460">
        <f t="shared" si="206"/>
        <v>0.05</v>
      </c>
      <c r="N6222" s="464">
        <f t="shared" si="207"/>
        <v>240422</v>
      </c>
    </row>
    <row r="6223" spans="7:14" ht="11.25" customHeight="1" x14ac:dyDescent="0.3">
      <c r="G6223" s="459"/>
      <c r="H6223" s="459">
        <v>6216</v>
      </c>
      <c r="I6223" s="444">
        <f t="shared" ca="1" si="205"/>
        <v>-3.8452520753701512E+16</v>
      </c>
      <c r="J6223" s="444">
        <f t="array" ref="J6223">IFERROR(INDEX('Retirement Calculator'!K:K,MATCH('Lorri 401b'!N6223,'Retirement Calculator'!A:A,0),0),0)</f>
        <v>0</v>
      </c>
      <c r="K6223" s="444">
        <f t="shared" ca="1" si="203"/>
        <v>-160218836473756.31</v>
      </c>
      <c r="L6223" s="444">
        <f t="shared" ca="1" si="204"/>
        <v>-3.8612739590175272E+16</v>
      </c>
      <c r="M6223" s="460">
        <f t="shared" si="206"/>
        <v>0.05</v>
      </c>
      <c r="N6223" s="464">
        <f t="shared" si="207"/>
        <v>240452</v>
      </c>
    </row>
    <row r="6224" spans="7:14" ht="11.25" customHeight="1" x14ac:dyDescent="0.3">
      <c r="G6224" s="459"/>
      <c r="H6224" s="459">
        <v>6217</v>
      </c>
      <c r="I6224" s="444">
        <f t="shared" ca="1" si="205"/>
        <v>-3.8612739590175272E+16</v>
      </c>
      <c r="J6224" s="444">
        <f t="array" ref="J6224">IFERROR(INDEX('Retirement Calculator'!K:K,MATCH('Lorri 401b'!N6224,'Retirement Calculator'!A:A,0),0),0)</f>
        <v>0</v>
      </c>
      <c r="K6224" s="444">
        <f t="shared" ca="1" si="203"/>
        <v>-160886414959063.63</v>
      </c>
      <c r="L6224" s="444">
        <f t="shared" ca="1" si="204"/>
        <v>-3.8773626005134336E+16</v>
      </c>
      <c r="M6224" s="460">
        <f t="shared" si="206"/>
        <v>0.05</v>
      </c>
      <c r="N6224" s="464">
        <f t="shared" si="207"/>
        <v>240483</v>
      </c>
    </row>
    <row r="6225" spans="7:14" ht="11.25" customHeight="1" x14ac:dyDescent="0.3">
      <c r="G6225" s="459"/>
      <c r="H6225" s="459">
        <v>6218</v>
      </c>
      <c r="I6225" s="444">
        <f t="shared" ca="1" si="205"/>
        <v>-3.8773626005134336E+16</v>
      </c>
      <c r="J6225" s="444">
        <f t="array" ref="J6225">IFERROR(INDEX('Retirement Calculator'!K:K,MATCH('Lorri 401b'!N6225,'Retirement Calculator'!A:A,0),0),0)</f>
        <v>0</v>
      </c>
      <c r="K6225" s="444">
        <f t="shared" ca="1" si="203"/>
        <v>-161556775021393.06</v>
      </c>
      <c r="L6225" s="444">
        <f t="shared" ca="1" si="204"/>
        <v>-3.8935182780155728E+16</v>
      </c>
      <c r="M6225" s="460">
        <f t="shared" si="206"/>
        <v>0.05</v>
      </c>
      <c r="N6225" s="464">
        <f t="shared" si="207"/>
        <v>240513</v>
      </c>
    </row>
    <row r="6226" spans="7:14" ht="11.25" customHeight="1" x14ac:dyDescent="0.3">
      <c r="G6226" s="459"/>
      <c r="H6226" s="459">
        <v>6219</v>
      </c>
      <c r="I6226" s="444">
        <f t="shared" ca="1" si="205"/>
        <v>-3.8935182780155728E+16</v>
      </c>
      <c r="J6226" s="444">
        <f t="array" ref="J6226">IFERROR(INDEX('Retirement Calculator'!K:K,MATCH('Lorri 401b'!N6226,'Retirement Calculator'!A:A,0),0),0)</f>
        <v>0</v>
      </c>
      <c r="K6226" s="444">
        <f t="shared" ca="1" si="203"/>
        <v>-162229928250648.88</v>
      </c>
      <c r="L6226" s="444">
        <f t="shared" ca="1" si="204"/>
        <v>-3.9097412708406376E+16</v>
      </c>
      <c r="M6226" s="460">
        <f t="shared" si="206"/>
        <v>0.05</v>
      </c>
      <c r="N6226" s="464">
        <f t="shared" si="207"/>
        <v>240544</v>
      </c>
    </row>
    <row r="6227" spans="7:14" ht="11.25" customHeight="1" x14ac:dyDescent="0.3">
      <c r="G6227" s="459"/>
      <c r="H6227" s="459">
        <v>6220</v>
      </c>
      <c r="I6227" s="444">
        <f t="shared" ca="1" si="205"/>
        <v>-3.9097412708406376E+16</v>
      </c>
      <c r="J6227" s="444">
        <f t="array" ref="J6227">IFERROR(INDEX('Retirement Calculator'!K:K,MATCH('Lorri 401b'!N6227,'Retirement Calculator'!A:A,0),0),0)</f>
        <v>0</v>
      </c>
      <c r="K6227" s="444">
        <f t="shared" ca="1" si="203"/>
        <v>-162905886285026.56</v>
      </c>
      <c r="L6227" s="444">
        <f t="shared" ca="1" si="204"/>
        <v>-3.92603185946914E+16</v>
      </c>
      <c r="M6227" s="460">
        <f t="shared" si="206"/>
        <v>0.05</v>
      </c>
      <c r="N6227" s="464">
        <f t="shared" si="207"/>
        <v>240575</v>
      </c>
    </row>
    <row r="6228" spans="7:14" ht="11.25" customHeight="1" x14ac:dyDescent="0.3">
      <c r="G6228" s="459"/>
      <c r="H6228" s="459">
        <v>6221</v>
      </c>
      <c r="I6228" s="444">
        <f t="shared" ca="1" si="205"/>
        <v>-3.92603185946914E+16</v>
      </c>
      <c r="J6228" s="444">
        <f t="array" ref="J6228">IFERROR(INDEX('Retirement Calculator'!K:K,MATCH('Lorri 401b'!N6228,'Retirement Calculator'!A:A,0),0),0)</f>
        <v>0</v>
      </c>
      <c r="K6228" s="444">
        <f t="shared" ca="1" si="203"/>
        <v>-163584660811214.16</v>
      </c>
      <c r="L6228" s="444">
        <f t="shared" ca="1" si="204"/>
        <v>-3.9423903255502616E+16</v>
      </c>
      <c r="M6228" s="460">
        <f t="shared" si="206"/>
        <v>0.05</v>
      </c>
      <c r="N6228" s="464">
        <f t="shared" si="207"/>
        <v>240605</v>
      </c>
    </row>
    <row r="6229" spans="7:14" ht="11.25" customHeight="1" x14ac:dyDescent="0.3">
      <c r="G6229" s="459"/>
      <c r="H6229" s="459">
        <v>6222</v>
      </c>
      <c r="I6229" s="444">
        <f t="shared" ca="1" si="205"/>
        <v>-3.9423903255502616E+16</v>
      </c>
      <c r="J6229" s="444">
        <f t="array" ref="J6229">IFERROR(INDEX('Retirement Calculator'!K:K,MATCH('Lorri 401b'!N6229,'Retirement Calculator'!A:A,0),0),0)</f>
        <v>0</v>
      </c>
      <c r="K6229" s="444">
        <f t="shared" ca="1" si="203"/>
        <v>-164266263564594.22</v>
      </c>
      <c r="L6229" s="444">
        <f t="shared" ca="1" si="204"/>
        <v>-3.9588169519067208E+16</v>
      </c>
      <c r="M6229" s="460">
        <f t="shared" si="206"/>
        <v>0.05</v>
      </c>
      <c r="N6229" s="464">
        <f t="shared" si="207"/>
        <v>240636</v>
      </c>
    </row>
    <row r="6230" spans="7:14" ht="11.25" customHeight="1" x14ac:dyDescent="0.3">
      <c r="G6230" s="459"/>
      <c r="H6230" s="459">
        <v>6223</v>
      </c>
      <c r="I6230" s="444">
        <f t="shared" ca="1" si="205"/>
        <v>-3.9588169519067208E+16</v>
      </c>
      <c r="J6230" s="444">
        <f t="array" ref="J6230">IFERROR(INDEX('Retirement Calculator'!K:K,MATCH('Lorri 401b'!N6230,'Retirement Calculator'!A:A,0),0),0)</f>
        <v>0</v>
      </c>
      <c r="K6230" s="444">
        <f t="shared" ca="1" si="203"/>
        <v>-164950706329446.69</v>
      </c>
      <c r="L6230" s="444">
        <f t="shared" ca="1" si="204"/>
        <v>-3.9753120225396656E+16</v>
      </c>
      <c r="M6230" s="460">
        <f t="shared" si="206"/>
        <v>0.05</v>
      </c>
      <c r="N6230" s="464">
        <f t="shared" si="207"/>
        <v>240666</v>
      </c>
    </row>
    <row r="6231" spans="7:14" ht="11.25" customHeight="1" x14ac:dyDescent="0.3">
      <c r="G6231" s="459"/>
      <c r="H6231" s="459">
        <v>6224</v>
      </c>
      <c r="I6231" s="444">
        <f t="shared" ca="1" si="205"/>
        <v>-3.9753120225396656E+16</v>
      </c>
      <c r="J6231" s="444">
        <f t="array" ref="J6231">IFERROR(INDEX('Retirement Calculator'!K:K,MATCH('Lorri 401b'!N6231,'Retirement Calculator'!A:A,0),0),0)</f>
        <v>0</v>
      </c>
      <c r="K6231" s="444">
        <f t="shared" ca="1" si="203"/>
        <v>-165638000939152.72</v>
      </c>
      <c r="L6231" s="444">
        <f t="shared" ca="1" si="204"/>
        <v>-3.9918758226335808E+16</v>
      </c>
      <c r="M6231" s="460">
        <f t="shared" si="206"/>
        <v>0.05</v>
      </c>
      <c r="N6231" s="464">
        <f t="shared" si="207"/>
        <v>240697</v>
      </c>
    </row>
    <row r="6232" spans="7:14" ht="11.25" customHeight="1" x14ac:dyDescent="0.3">
      <c r="G6232" s="459"/>
      <c r="H6232" s="459">
        <v>6225</v>
      </c>
      <c r="I6232" s="444">
        <f t="shared" ca="1" si="205"/>
        <v>-3.9918758226335808E+16</v>
      </c>
      <c r="J6232" s="444">
        <f t="array" ref="J6232">IFERROR(INDEX('Retirement Calculator'!K:K,MATCH('Lorri 401b'!N6232,'Retirement Calculator'!A:A,0),0),0)</f>
        <v>0</v>
      </c>
      <c r="K6232" s="444">
        <f t="shared" ca="1" si="203"/>
        <v>-166328159276399.19</v>
      </c>
      <c r="L6232" s="444">
        <f t="shared" ca="1" si="204"/>
        <v>-4.0085086385612208E+16</v>
      </c>
      <c r="M6232" s="460">
        <f t="shared" si="206"/>
        <v>0.05</v>
      </c>
      <c r="N6232" s="464">
        <f t="shared" si="207"/>
        <v>240728</v>
      </c>
    </row>
    <row r="6233" spans="7:14" ht="11.25" customHeight="1" x14ac:dyDescent="0.3">
      <c r="G6233" s="459"/>
      <c r="H6233" s="459">
        <v>6226</v>
      </c>
      <c r="I6233" s="444">
        <f t="shared" ca="1" si="205"/>
        <v>-4.0085086385612208E+16</v>
      </c>
      <c r="J6233" s="444">
        <f t="array" ref="J6233">IFERROR(INDEX('Retirement Calculator'!K:K,MATCH('Lorri 401b'!N6233,'Retirement Calculator'!A:A,0),0),0)</f>
        <v>0</v>
      </c>
      <c r="K6233" s="444">
        <f t="shared" ca="1" si="203"/>
        <v>-167021193273384.19</v>
      </c>
      <c r="L6233" s="444">
        <f t="shared" ca="1" si="204"/>
        <v>-4.0252107578885592E+16</v>
      </c>
      <c r="M6233" s="460">
        <f t="shared" si="206"/>
        <v>0.05</v>
      </c>
      <c r="N6233" s="464">
        <f t="shared" si="207"/>
        <v>240756</v>
      </c>
    </row>
    <row r="6234" spans="7:14" ht="11.25" customHeight="1" x14ac:dyDescent="0.3">
      <c r="G6234" s="459"/>
      <c r="H6234" s="459">
        <v>6227</v>
      </c>
      <c r="I6234" s="444">
        <f t="shared" ca="1" si="205"/>
        <v>-4.0252107578885592E+16</v>
      </c>
      <c r="J6234" s="444">
        <f t="array" ref="J6234">IFERROR(INDEX('Retirement Calculator'!K:K,MATCH('Lorri 401b'!N6234,'Retirement Calculator'!A:A,0),0),0)</f>
        <v>0</v>
      </c>
      <c r="K6234" s="444">
        <f t="shared" ca="1" si="203"/>
        <v>-167717114912023.31</v>
      </c>
      <c r="L6234" s="444">
        <f t="shared" ca="1" si="204"/>
        <v>-4.0419824693797616E+16</v>
      </c>
      <c r="M6234" s="460">
        <f t="shared" si="206"/>
        <v>0.05</v>
      </c>
      <c r="N6234" s="464">
        <f t="shared" si="207"/>
        <v>240787</v>
      </c>
    </row>
    <row r="6235" spans="7:14" ht="11.25" customHeight="1" x14ac:dyDescent="0.3">
      <c r="G6235" s="459"/>
      <c r="H6235" s="459">
        <v>6228</v>
      </c>
      <c r="I6235" s="444">
        <f t="shared" ca="1" si="205"/>
        <v>-4.0419824693797616E+16</v>
      </c>
      <c r="J6235" s="444">
        <f t="array" ref="J6235">IFERROR(INDEX('Retirement Calculator'!K:K,MATCH('Lorri 401b'!N6235,'Retirement Calculator'!A:A,0),0),0)</f>
        <v>0</v>
      </c>
      <c r="K6235" s="444">
        <f t="shared" ca="1" si="203"/>
        <v>-168415936224156.72</v>
      </c>
      <c r="L6235" s="444">
        <f t="shared" ca="1" si="204"/>
        <v>-4.0588240630021776E+16</v>
      </c>
      <c r="M6235" s="460">
        <f t="shared" si="206"/>
        <v>0.05</v>
      </c>
      <c r="N6235" s="464">
        <f t="shared" si="207"/>
        <v>240817</v>
      </c>
    </row>
    <row r="6236" spans="7:14" ht="11.25" customHeight="1" x14ac:dyDescent="0.3">
      <c r="G6236" s="459"/>
      <c r="H6236" s="459">
        <v>6229</v>
      </c>
      <c r="I6236" s="444">
        <f t="shared" ca="1" si="205"/>
        <v>-4.0588240630021776E+16</v>
      </c>
      <c r="J6236" s="444">
        <f t="array" ref="J6236">IFERROR(INDEX('Retirement Calculator'!K:K,MATCH('Lorri 401b'!N6236,'Retirement Calculator'!A:A,0),0),0)</f>
        <v>0</v>
      </c>
      <c r="K6236" s="444">
        <f t="shared" ca="1" si="203"/>
        <v>-169117669291757.41</v>
      </c>
      <c r="L6236" s="444">
        <f t="shared" ca="1" si="204"/>
        <v>-4.0757358299313536E+16</v>
      </c>
      <c r="M6236" s="460">
        <f t="shared" si="206"/>
        <v>0.05</v>
      </c>
      <c r="N6236" s="464">
        <f t="shared" si="207"/>
        <v>240848</v>
      </c>
    </row>
    <row r="6237" spans="7:14" ht="11.25" customHeight="1" x14ac:dyDescent="0.3">
      <c r="G6237" s="459"/>
      <c r="H6237" s="459">
        <v>6230</v>
      </c>
      <c r="I6237" s="444">
        <f t="shared" ca="1" si="205"/>
        <v>-4.0757358299313536E+16</v>
      </c>
      <c r="J6237" s="444">
        <f t="array" ref="J6237">IFERROR(INDEX('Retirement Calculator'!K:K,MATCH('Lorri 401b'!N6237,'Retirement Calculator'!A:A,0),0),0)</f>
        <v>0</v>
      </c>
      <c r="K6237" s="444">
        <f t="shared" ca="1" si="203"/>
        <v>-169822326247139.72</v>
      </c>
      <c r="L6237" s="444">
        <f t="shared" ca="1" si="204"/>
        <v>-4.0927180625560672E+16</v>
      </c>
      <c r="M6237" s="460">
        <f t="shared" si="206"/>
        <v>0.05</v>
      </c>
      <c r="N6237" s="464">
        <f t="shared" si="207"/>
        <v>240878</v>
      </c>
    </row>
    <row r="6238" spans="7:14" ht="11.25" customHeight="1" x14ac:dyDescent="0.3">
      <c r="G6238" s="459"/>
      <c r="H6238" s="459">
        <v>6231</v>
      </c>
      <c r="I6238" s="444">
        <f t="shared" ca="1" si="205"/>
        <v>-4.0927180625560672E+16</v>
      </c>
      <c r="J6238" s="444">
        <f t="array" ref="J6238">IFERROR(INDEX('Retirement Calculator'!K:K,MATCH('Lorri 401b'!N6238,'Retirement Calculator'!A:A,0),0),0)</f>
        <v>0</v>
      </c>
      <c r="K6238" s="444">
        <f t="shared" ca="1" si="203"/>
        <v>-170529919273169.47</v>
      </c>
      <c r="L6238" s="444">
        <f t="shared" ca="1" si="204"/>
        <v>-4.109771054483384E+16</v>
      </c>
      <c r="M6238" s="460">
        <f t="shared" si="206"/>
        <v>0.05</v>
      </c>
      <c r="N6238" s="464">
        <f t="shared" si="207"/>
        <v>240909</v>
      </c>
    </row>
    <row r="6239" spans="7:14" ht="11.25" customHeight="1" x14ac:dyDescent="0.3">
      <c r="G6239" s="459"/>
      <c r="H6239" s="459">
        <v>6232</v>
      </c>
      <c r="I6239" s="444">
        <f t="shared" ca="1" si="205"/>
        <v>-4.109771054483384E+16</v>
      </c>
      <c r="J6239" s="444">
        <f t="array" ref="J6239">IFERROR(INDEX('Retirement Calculator'!K:K,MATCH('Lorri 401b'!N6239,'Retirement Calculator'!A:A,0),0),0)</f>
        <v>0</v>
      </c>
      <c r="K6239" s="444">
        <f t="shared" ca="1" si="203"/>
        <v>-171240460603474.34</v>
      </c>
      <c r="L6239" s="444">
        <f t="shared" ca="1" si="204"/>
        <v>-4.1268951005437312E+16</v>
      </c>
      <c r="M6239" s="460">
        <f t="shared" si="206"/>
        <v>0.05</v>
      </c>
      <c r="N6239" s="464">
        <f t="shared" si="207"/>
        <v>240940</v>
      </c>
    </row>
    <row r="6240" spans="7:14" ht="11.25" customHeight="1" x14ac:dyDescent="0.3">
      <c r="G6240" s="459"/>
      <c r="H6240" s="459">
        <v>6233</v>
      </c>
      <c r="I6240" s="444">
        <f t="shared" ca="1" si="205"/>
        <v>-4.1268951005437312E+16</v>
      </c>
      <c r="J6240" s="444">
        <f t="array" ref="J6240">IFERROR(INDEX('Retirement Calculator'!K:K,MATCH('Lorri 401b'!N6240,'Retirement Calculator'!A:A,0),0),0)</f>
        <v>0</v>
      </c>
      <c r="K6240" s="444">
        <f t="shared" ca="1" si="203"/>
        <v>-171953962522655.47</v>
      </c>
      <c r="L6240" s="444">
        <f t="shared" ca="1" si="204"/>
        <v>-4.1440904967959968E+16</v>
      </c>
      <c r="M6240" s="460">
        <f t="shared" si="206"/>
        <v>0.05</v>
      </c>
      <c r="N6240" s="464">
        <f t="shared" si="207"/>
        <v>240970</v>
      </c>
    </row>
    <row r="6241" spans="7:14" ht="11.25" customHeight="1" x14ac:dyDescent="0.3">
      <c r="G6241" s="459"/>
      <c r="H6241" s="459">
        <v>6234</v>
      </c>
      <c r="I6241" s="444">
        <f t="shared" ca="1" si="205"/>
        <v>-4.1440904967959968E+16</v>
      </c>
      <c r="J6241" s="444">
        <f t="array" ref="J6241">IFERROR(INDEX('Retirement Calculator'!K:K,MATCH('Lorri 401b'!N6241,'Retirement Calculator'!A:A,0),0),0)</f>
        <v>0</v>
      </c>
      <c r="K6241" s="444">
        <f t="shared" ca="1" si="203"/>
        <v>-172670437366499.88</v>
      </c>
      <c r="L6241" s="444">
        <f t="shared" ca="1" si="204"/>
        <v>-4.1613575405326464E+16</v>
      </c>
      <c r="M6241" s="460">
        <f t="shared" si="206"/>
        <v>0.05</v>
      </c>
      <c r="N6241" s="464">
        <f t="shared" si="207"/>
        <v>241001</v>
      </c>
    </row>
    <row r="6242" spans="7:14" ht="11.25" customHeight="1" x14ac:dyDescent="0.3">
      <c r="G6242" s="459"/>
      <c r="H6242" s="459">
        <v>6235</v>
      </c>
      <c r="I6242" s="444">
        <f t="shared" ca="1" si="205"/>
        <v>-4.1613575405326464E+16</v>
      </c>
      <c r="J6242" s="444">
        <f t="array" ref="J6242">IFERROR(INDEX('Retirement Calculator'!K:K,MATCH('Lorri 401b'!N6242,'Retirement Calculator'!A:A,0),0),0)</f>
        <v>0</v>
      </c>
      <c r="K6242" s="444">
        <f t="shared" ca="1" si="203"/>
        <v>-173389897522193.59</v>
      </c>
      <c r="L6242" s="444">
        <f t="shared" ca="1" si="204"/>
        <v>-4.1786965302848656E+16</v>
      </c>
      <c r="M6242" s="460">
        <f t="shared" si="206"/>
        <v>0.05</v>
      </c>
      <c r="N6242" s="464">
        <f t="shared" si="207"/>
        <v>241031</v>
      </c>
    </row>
    <row r="6243" spans="7:14" ht="11.25" customHeight="1" x14ac:dyDescent="0.3">
      <c r="G6243" s="459"/>
      <c r="H6243" s="459">
        <v>6236</v>
      </c>
      <c r="I6243" s="444">
        <f t="shared" ca="1" si="205"/>
        <v>-4.1786965302848656E+16</v>
      </c>
      <c r="J6243" s="444">
        <f t="array" ref="J6243">IFERROR(INDEX('Retirement Calculator'!K:K,MATCH('Lorri 401b'!N6243,'Retirement Calculator'!A:A,0),0),0)</f>
        <v>0</v>
      </c>
      <c r="K6243" s="444">
        <f t="shared" ca="1" si="203"/>
        <v>-174112355428536.06</v>
      </c>
      <c r="L6243" s="444">
        <f t="shared" ca="1" si="204"/>
        <v>-4.1961077658277192E+16</v>
      </c>
      <c r="M6243" s="460">
        <f t="shared" si="206"/>
        <v>0.05</v>
      </c>
      <c r="N6243" s="464">
        <f t="shared" si="207"/>
        <v>241062</v>
      </c>
    </row>
    <row r="6244" spans="7:14" ht="11.25" customHeight="1" x14ac:dyDescent="0.3">
      <c r="G6244" s="459"/>
      <c r="H6244" s="459">
        <v>6237</v>
      </c>
      <c r="I6244" s="444">
        <f t="shared" ca="1" si="205"/>
        <v>-4.1961077658277192E+16</v>
      </c>
      <c r="J6244" s="444">
        <f t="array" ref="J6244">IFERROR(INDEX('Retirement Calculator'!K:K,MATCH('Lorri 401b'!N6244,'Retirement Calculator'!A:A,0),0),0)</f>
        <v>0</v>
      </c>
      <c r="K6244" s="444">
        <f t="shared" ca="1" si="203"/>
        <v>-174837823576154.97</v>
      </c>
      <c r="L6244" s="444">
        <f t="shared" ca="1" si="204"/>
        <v>-4.2135915481853344E+16</v>
      </c>
      <c r="M6244" s="460">
        <f t="shared" si="206"/>
        <v>0.05</v>
      </c>
      <c r="N6244" s="464">
        <f t="shared" si="207"/>
        <v>241093</v>
      </c>
    </row>
    <row r="6245" spans="7:14" ht="11.25" customHeight="1" x14ac:dyDescent="0.3">
      <c r="G6245" s="459"/>
      <c r="H6245" s="459">
        <v>6238</v>
      </c>
      <c r="I6245" s="444">
        <f t="shared" ca="1" si="205"/>
        <v>-4.2135915481853344E+16</v>
      </c>
      <c r="J6245" s="444">
        <f t="array" ref="J6245">IFERROR(INDEX('Retirement Calculator'!K:K,MATCH('Lorri 401b'!N6245,'Retirement Calculator'!A:A,0),0),0)</f>
        <v>0</v>
      </c>
      <c r="K6245" s="444">
        <f t="shared" ca="1" si="203"/>
        <v>-175566314507722.25</v>
      </c>
      <c r="L6245" s="444">
        <f t="shared" ca="1" si="204"/>
        <v>-4.2311481796361064E+16</v>
      </c>
      <c r="M6245" s="460">
        <f t="shared" si="206"/>
        <v>0.05</v>
      </c>
      <c r="N6245" s="464">
        <f t="shared" si="207"/>
        <v>241122</v>
      </c>
    </row>
    <row r="6246" spans="7:14" ht="11.25" customHeight="1" x14ac:dyDescent="0.3">
      <c r="G6246" s="459"/>
      <c r="H6246" s="459">
        <v>6239</v>
      </c>
      <c r="I6246" s="444">
        <f t="shared" ca="1" si="205"/>
        <v>-4.2311481796361064E+16</v>
      </c>
      <c r="J6246" s="444">
        <f t="array" ref="J6246">IFERROR(INDEX('Retirement Calculator'!K:K,MATCH('Lorri 401b'!N6246,'Retirement Calculator'!A:A,0),0),0)</f>
        <v>0</v>
      </c>
      <c r="K6246" s="444">
        <f t="shared" ca="1" si="203"/>
        <v>-176297840818171.09</v>
      </c>
      <c r="L6246" s="444">
        <f t="shared" ca="1" si="204"/>
        <v>-4.2487779637179232E+16</v>
      </c>
      <c r="M6246" s="460">
        <f t="shared" si="206"/>
        <v>0.05</v>
      </c>
      <c r="N6246" s="464">
        <f t="shared" si="207"/>
        <v>241153</v>
      </c>
    </row>
    <row r="6247" spans="7:14" ht="11.25" customHeight="1" x14ac:dyDescent="0.3">
      <c r="G6247" s="459"/>
      <c r="H6247" s="459">
        <v>6240</v>
      </c>
      <c r="I6247" s="444">
        <f t="shared" ca="1" si="205"/>
        <v>-4.2487779637179232E+16</v>
      </c>
      <c r="J6247" s="444">
        <f t="array" ref="J6247">IFERROR(INDEX('Retirement Calculator'!K:K,MATCH('Lorri 401b'!N6247,'Retirement Calculator'!A:A,0),0),0)</f>
        <v>0</v>
      </c>
      <c r="K6247" s="444">
        <f t="shared" ca="1" si="203"/>
        <v>-177032415154913.47</v>
      </c>
      <c r="L6247" s="444">
        <f t="shared" ca="1" si="204"/>
        <v>-4.2664812052334144E+16</v>
      </c>
      <c r="M6247" s="460">
        <f t="shared" si="206"/>
        <v>0.05</v>
      </c>
      <c r="N6247" s="464">
        <f t="shared" si="207"/>
        <v>241183</v>
      </c>
    </row>
    <row r="6248" spans="7:14" ht="11.25" customHeight="1" x14ac:dyDescent="0.3">
      <c r="G6248" s="459"/>
      <c r="H6248" s="459">
        <v>6241</v>
      </c>
      <c r="I6248" s="444">
        <f t="shared" ca="1" si="205"/>
        <v>-4.2664812052334144E+16</v>
      </c>
      <c r="J6248" s="444">
        <f t="array" ref="J6248">IFERROR(INDEX('Retirement Calculator'!K:K,MATCH('Lorri 401b'!N6248,'Retirement Calculator'!A:A,0),0),0)</f>
        <v>0</v>
      </c>
      <c r="K6248" s="444">
        <f t="shared" ca="1" si="203"/>
        <v>-177770050218058.94</v>
      </c>
      <c r="L6248" s="444">
        <f t="shared" ca="1" si="204"/>
        <v>-4.28425821025522E+16</v>
      </c>
      <c r="M6248" s="460">
        <f t="shared" si="206"/>
        <v>0.05</v>
      </c>
      <c r="N6248" s="464">
        <f t="shared" si="207"/>
        <v>241214</v>
      </c>
    </row>
    <row r="6249" spans="7:14" ht="11.25" customHeight="1" x14ac:dyDescent="0.3">
      <c r="G6249" s="459"/>
      <c r="H6249" s="459">
        <v>6242</v>
      </c>
      <c r="I6249" s="444">
        <f t="shared" ca="1" si="205"/>
        <v>-4.28425821025522E+16</v>
      </c>
      <c r="J6249" s="444">
        <f t="array" ref="J6249">IFERROR(INDEX('Retirement Calculator'!K:K,MATCH('Lorri 401b'!N6249,'Retirement Calculator'!A:A,0),0),0)</f>
        <v>0</v>
      </c>
      <c r="K6249" s="444">
        <f t="shared" ca="1" si="203"/>
        <v>-178510758760634.16</v>
      </c>
      <c r="L6249" s="444">
        <f t="shared" ca="1" si="204"/>
        <v>-4.3021092861312832E+16</v>
      </c>
      <c r="M6249" s="460">
        <f t="shared" si="206"/>
        <v>0.05</v>
      </c>
      <c r="N6249" s="464">
        <f t="shared" si="207"/>
        <v>241244</v>
      </c>
    </row>
    <row r="6250" spans="7:14" ht="11.25" customHeight="1" x14ac:dyDescent="0.3">
      <c r="G6250" s="459"/>
      <c r="H6250" s="459">
        <v>6243</v>
      </c>
      <c r="I6250" s="444">
        <f t="shared" ca="1" si="205"/>
        <v>-4.3021092861312832E+16</v>
      </c>
      <c r="J6250" s="444">
        <f t="array" ref="J6250">IFERROR(INDEX('Retirement Calculator'!K:K,MATCH('Lorri 401b'!N6250,'Retirement Calculator'!A:A,0),0),0)</f>
        <v>0</v>
      </c>
      <c r="K6250" s="444">
        <f t="shared" ca="1" si="203"/>
        <v>-179254553588803.47</v>
      </c>
      <c r="L6250" s="444">
        <f t="shared" ca="1" si="204"/>
        <v>-4.3200347414901632E+16</v>
      </c>
      <c r="M6250" s="460">
        <f t="shared" si="206"/>
        <v>0.05</v>
      </c>
      <c r="N6250" s="464">
        <f t="shared" si="207"/>
        <v>241275</v>
      </c>
    </row>
  </sheetData>
  <pageMargins left="0.7" right="0.7" top="0.75" bottom="0.75" header="0" footer="0"/>
  <pageSetup orientation="landscape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dimension ref="A1:M1000"/>
  <sheetViews>
    <sheetView workbookViewId="0">
      <selection activeCell="D3" sqref="D3"/>
    </sheetView>
  </sheetViews>
  <sheetFormatPr defaultColWidth="14.44140625" defaultRowHeight="15" customHeight="1" x14ac:dyDescent="0.3"/>
  <cols>
    <col min="1" max="1" width="4" customWidth="1"/>
    <col min="2" max="2" width="5" customWidth="1"/>
    <col min="3" max="3" width="11" customWidth="1"/>
    <col min="4" max="4" width="12" customWidth="1"/>
    <col min="5" max="5" width="11" customWidth="1"/>
    <col min="6" max="6" width="10" customWidth="1"/>
    <col min="7" max="7" width="11" customWidth="1"/>
    <col min="8" max="8" width="10" customWidth="1"/>
    <col min="9" max="11" width="11" customWidth="1"/>
    <col min="12" max="12" width="10" customWidth="1"/>
    <col min="13" max="13" width="12" customWidth="1"/>
  </cols>
  <sheetData>
    <row r="1" spans="1:13" ht="11.25" customHeight="1" x14ac:dyDescent="0.3">
      <c r="A1" s="465"/>
      <c r="B1" s="465"/>
      <c r="C1" s="466" t="s">
        <v>668</v>
      </c>
      <c r="D1" s="466">
        <v>3063</v>
      </c>
      <c r="E1" s="295"/>
      <c r="F1" s="295"/>
      <c r="G1" s="295"/>
      <c r="H1" s="295"/>
      <c r="I1" s="295"/>
      <c r="J1" s="295"/>
      <c r="K1" s="295"/>
      <c r="L1" s="295"/>
      <c r="M1" s="295" t="s">
        <v>669</v>
      </c>
    </row>
    <row r="2" spans="1:13" ht="11.25" customHeight="1" x14ac:dyDescent="0.3">
      <c r="A2" s="465"/>
      <c r="B2" s="465"/>
      <c r="C2" s="466" t="s">
        <v>670</v>
      </c>
      <c r="D2" s="466">
        <v>26</v>
      </c>
      <c r="E2" s="295"/>
      <c r="F2" s="295"/>
      <c r="G2" s="295"/>
      <c r="H2" s="295"/>
      <c r="I2" s="295"/>
      <c r="J2" s="295"/>
      <c r="K2" s="295"/>
      <c r="L2" s="295"/>
      <c r="M2" s="405">
        <v>45442</v>
      </c>
    </row>
    <row r="3" spans="1:13" ht="11.25" customHeight="1" x14ac:dyDescent="0.3">
      <c r="A3" s="465"/>
      <c r="B3" s="465"/>
      <c r="C3" s="466" t="s">
        <v>671</v>
      </c>
      <c r="D3" s="401">
        <f>D1/D2</f>
        <v>117.80769230769231</v>
      </c>
      <c r="E3" s="295"/>
      <c r="F3" s="295"/>
      <c r="G3" s="295"/>
      <c r="H3" s="295"/>
      <c r="I3" s="295"/>
      <c r="J3" s="295"/>
      <c r="K3" s="295"/>
      <c r="L3" s="295"/>
      <c r="M3" s="405"/>
    </row>
    <row r="4" spans="1:13" ht="11.25" customHeight="1" x14ac:dyDescent="0.3">
      <c r="A4" s="465"/>
      <c r="B4" s="465"/>
      <c r="C4" s="466"/>
      <c r="D4" s="295"/>
      <c r="E4" s="295"/>
      <c r="F4" s="295"/>
      <c r="G4" s="295"/>
      <c r="H4" s="295"/>
      <c r="I4" s="295"/>
      <c r="J4" s="295"/>
      <c r="K4" s="295"/>
      <c r="L4" s="295"/>
      <c r="M4" s="295"/>
    </row>
    <row r="5" spans="1:13" ht="11.25" customHeight="1" x14ac:dyDescent="0.3">
      <c r="A5" s="465" t="s">
        <v>647</v>
      </c>
      <c r="B5" s="465" t="s">
        <v>661</v>
      </c>
      <c r="C5" s="466" t="s">
        <v>672</v>
      </c>
      <c r="D5" s="571" t="s">
        <v>673</v>
      </c>
      <c r="E5" s="560"/>
      <c r="F5" s="571" t="s">
        <v>674</v>
      </c>
      <c r="G5" s="560"/>
      <c r="H5" s="571" t="s">
        <v>675</v>
      </c>
      <c r="I5" s="560"/>
      <c r="J5" s="571" t="s">
        <v>676</v>
      </c>
      <c r="K5" s="560"/>
      <c r="L5" s="295"/>
      <c r="M5" s="295"/>
    </row>
    <row r="6" spans="1:13" ht="11.25" customHeight="1" x14ac:dyDescent="0.3">
      <c r="A6" s="465"/>
      <c r="B6" s="465"/>
      <c r="C6" s="466"/>
      <c r="D6" s="188" t="s">
        <v>677</v>
      </c>
      <c r="E6" s="188" t="s">
        <v>162</v>
      </c>
      <c r="F6" s="188" t="s">
        <v>677</v>
      </c>
      <c r="G6" s="188" t="s">
        <v>162</v>
      </c>
      <c r="H6" s="188" t="s">
        <v>677</v>
      </c>
      <c r="I6" s="188" t="s">
        <v>162</v>
      </c>
      <c r="J6" s="188" t="s">
        <v>677</v>
      </c>
      <c r="K6" s="188" t="s">
        <v>162</v>
      </c>
      <c r="L6" s="295"/>
      <c r="M6" s="295"/>
    </row>
    <row r="7" spans="1:13" ht="11.25" customHeight="1" x14ac:dyDescent="0.3">
      <c r="A7" s="465">
        <v>42</v>
      </c>
      <c r="B7" s="465">
        <v>2023</v>
      </c>
      <c r="C7" s="466">
        <v>24</v>
      </c>
      <c r="D7" s="467">
        <v>7111.8</v>
      </c>
      <c r="E7" s="468">
        <f>((((D1/D2)*C7)/360)*0.025)*D7</f>
        <v>1396.3745769230768</v>
      </c>
      <c r="F7" s="467">
        <v>8186.1</v>
      </c>
      <c r="G7" s="468">
        <f>((((D1/D2)*C7)/360)*0.025)*F7</f>
        <v>1607.30925</v>
      </c>
      <c r="H7" s="467">
        <v>9248.7000000000007</v>
      </c>
      <c r="I7" s="468">
        <f>((((D1/D2)*C7)/360)*0.025)*H7</f>
        <v>1815.9466730769232</v>
      </c>
      <c r="J7" s="469">
        <v>10205.700000000001</v>
      </c>
      <c r="K7" s="470">
        <f>((((D1/D2)*C7)/360)*0.025)*J7</f>
        <v>2003.8499423076923</v>
      </c>
      <c r="L7" s="295"/>
      <c r="M7" s="295"/>
    </row>
    <row r="8" spans="1:13" ht="11.25" customHeight="1" x14ac:dyDescent="0.3">
      <c r="A8" s="465">
        <v>43</v>
      </c>
      <c r="B8" s="465">
        <v>2024</v>
      </c>
      <c r="C8" s="466">
        <v>25</v>
      </c>
      <c r="D8" s="467">
        <v>7111.8</v>
      </c>
      <c r="E8" s="468">
        <f>((((D1/D2)*C8)/360)*0.025)*D8</f>
        <v>1454.5568509615384</v>
      </c>
      <c r="F8" s="467">
        <v>8186.1</v>
      </c>
      <c r="G8" s="468">
        <f>((((D1/D2)*C8)/360)*0.025)*F8</f>
        <v>1674.28046875</v>
      </c>
      <c r="H8" s="467">
        <v>9248.7000000000007</v>
      </c>
      <c r="I8" s="468">
        <f>((((D1/D2)*C8)/360)*0.025)*H8</f>
        <v>1891.6111177884616</v>
      </c>
      <c r="J8" s="469">
        <v>10205.700000000001</v>
      </c>
      <c r="K8" s="470">
        <f>((((D1/D2)*C8)/360)*0.025)*J8</f>
        <v>2087.3436899038461</v>
      </c>
      <c r="L8" s="295"/>
      <c r="M8" s="295"/>
    </row>
    <row r="9" spans="1:13" ht="11.25" customHeight="1" x14ac:dyDescent="0.3">
      <c r="A9" s="465">
        <v>44</v>
      </c>
      <c r="B9" s="465">
        <v>2025</v>
      </c>
      <c r="C9" s="466">
        <v>26</v>
      </c>
      <c r="D9" s="467">
        <v>7111.8</v>
      </c>
      <c r="E9" s="468">
        <f>((((D1/D2)*C9)/360)*0.025)*D9</f>
        <v>1512.7391250000001</v>
      </c>
      <c r="F9" s="467">
        <v>8447.1</v>
      </c>
      <c r="G9" s="468">
        <f>((((D1/D2)*C9)/360)*0.025)*F9</f>
        <v>1796.7685625000001</v>
      </c>
      <c r="H9" s="467">
        <v>9629.7000000000007</v>
      </c>
      <c r="I9" s="468">
        <f>((((D1/D2)*C9)/360)*0.025)*H9</f>
        <v>2048.3174375000003</v>
      </c>
      <c r="J9" s="469">
        <v>10597.2</v>
      </c>
      <c r="K9" s="470">
        <f>((((D1/D2)*C9)/360)*0.025)*J9</f>
        <v>2254.1127500000002</v>
      </c>
      <c r="L9" s="295"/>
      <c r="M9" s="295"/>
    </row>
    <row r="10" spans="1:13" ht="11.25" customHeight="1" x14ac:dyDescent="0.3">
      <c r="A10" s="465">
        <v>45</v>
      </c>
      <c r="B10" s="465">
        <v>2026</v>
      </c>
      <c r="C10" s="466">
        <v>27</v>
      </c>
      <c r="D10" s="467">
        <v>7111.8</v>
      </c>
      <c r="E10" s="468">
        <f>((((D1/D2)*C10)/360)*0.025)*D10</f>
        <v>1570.9213990384617</v>
      </c>
      <c r="F10" s="467">
        <v>8447.1</v>
      </c>
      <c r="G10" s="468">
        <f>((((D1/D2)*C10)/360)*0.025)*F10</f>
        <v>1865.875045673077</v>
      </c>
      <c r="H10" s="467">
        <v>9629.7000000000007</v>
      </c>
      <c r="I10" s="468">
        <f>((((D1/D2)*C10)/360)*0.025)*H10</f>
        <v>2127.0988774038465</v>
      </c>
      <c r="J10" s="469">
        <v>10597.2</v>
      </c>
      <c r="K10" s="470">
        <f>((((D1/D2)*C10)/360)*0.025)*J10</f>
        <v>2340.8093942307696</v>
      </c>
      <c r="L10" s="295"/>
      <c r="M10" s="295"/>
    </row>
    <row r="11" spans="1:13" ht="11.25" customHeight="1" x14ac:dyDescent="0.3">
      <c r="A11" s="465">
        <v>46</v>
      </c>
      <c r="B11" s="465">
        <v>2027</v>
      </c>
      <c r="C11" s="466">
        <v>28</v>
      </c>
      <c r="D11" s="467">
        <v>7111.8</v>
      </c>
      <c r="E11" s="468">
        <f>((((D1/D2)*C11)/360)*0.025)*D11</f>
        <v>1629.1036730769231</v>
      </c>
      <c r="F11" s="467">
        <v>8447.1</v>
      </c>
      <c r="G11" s="468">
        <f>((((D1/D2)*C11)/360)*0.025)*F11</f>
        <v>1934.9815288461541</v>
      </c>
      <c r="H11" s="467">
        <v>9629.7000000000007</v>
      </c>
      <c r="I11" s="468">
        <f>((((D1/D2)*C11)/360)*0.025)*H11</f>
        <v>2205.8803173076926</v>
      </c>
      <c r="J11" s="469">
        <v>10597.2</v>
      </c>
      <c r="K11" s="470">
        <f>((((D1/D2)*C11)/360)*0.025)*J11</f>
        <v>2427.5060384615385</v>
      </c>
      <c r="L11" s="295"/>
      <c r="M11" s="295"/>
    </row>
    <row r="12" spans="1:13" ht="11.25" customHeight="1" x14ac:dyDescent="0.3">
      <c r="A12" s="465">
        <v>47</v>
      </c>
      <c r="B12" s="465">
        <v>2028</v>
      </c>
      <c r="C12" s="466">
        <v>29</v>
      </c>
      <c r="D12" s="467">
        <v>7111.8</v>
      </c>
      <c r="E12" s="468">
        <f>((((D1/D2)*C12)/360)*0.025)*D12</f>
        <v>1687.2859471153845</v>
      </c>
      <c r="F12" s="467">
        <v>8447.1</v>
      </c>
      <c r="G12" s="468">
        <f>((((D1/D2)*C12)/360)*0.025)*F12</f>
        <v>2004.0880120192307</v>
      </c>
      <c r="H12" s="467">
        <v>9629.7000000000007</v>
      </c>
      <c r="I12" s="468">
        <f>((((D1/D2)*C12)/360)*0.025)*H12</f>
        <v>2284.6617572115383</v>
      </c>
      <c r="J12" s="469">
        <v>10597.2</v>
      </c>
      <c r="K12" s="470">
        <f>((((D1/D2)*C12)/360)*0.025)*J12</f>
        <v>2514.2026826923079</v>
      </c>
      <c r="L12" s="295"/>
      <c r="M12" s="295"/>
    </row>
    <row r="13" spans="1:13" ht="11.25" customHeight="1" x14ac:dyDescent="0.3">
      <c r="A13" s="465">
        <v>48</v>
      </c>
      <c r="B13" s="465">
        <v>2029</v>
      </c>
      <c r="C13" s="466">
        <v>30</v>
      </c>
      <c r="D13" s="467">
        <v>7111.8</v>
      </c>
      <c r="E13" s="468">
        <f>((((D1/D2)*C13)/360)*0.025)*D13</f>
        <v>1745.4682211538461</v>
      </c>
      <c r="F13" s="467">
        <v>8447.1</v>
      </c>
      <c r="G13" s="468">
        <f>((((D1/D2)*C13)/360)*0.025)*F13</f>
        <v>2073.1944951923078</v>
      </c>
      <c r="H13" s="467">
        <v>9821.7000000000007</v>
      </c>
      <c r="I13" s="468">
        <f>((((D1/D2)*C13)/360)*0.025)*H13</f>
        <v>2410.5662740384614</v>
      </c>
      <c r="J13" s="469">
        <v>11128.2</v>
      </c>
      <c r="K13" s="470">
        <f>((((D1/D2)*C13)/360)*0.025)*J13</f>
        <v>2731.2240865384615</v>
      </c>
      <c r="L13" s="295"/>
      <c r="M13" s="295"/>
    </row>
    <row r="14" spans="1:13" ht="11.25" customHeight="1" x14ac:dyDescent="0.3">
      <c r="A14" s="465">
        <v>49</v>
      </c>
      <c r="B14" s="465">
        <v>2030</v>
      </c>
      <c r="C14" s="466">
        <v>31</v>
      </c>
      <c r="D14" s="467">
        <v>7111.8</v>
      </c>
      <c r="E14" s="468">
        <f>((((D1/D2)*C14)/360)*0.025)*D14</f>
        <v>1803.6504951923077</v>
      </c>
      <c r="F14" s="467">
        <v>8447.1</v>
      </c>
      <c r="G14" s="468">
        <f>((((D1/D2)*C14)/360)*0.025)*F14</f>
        <v>2142.3009783653847</v>
      </c>
      <c r="H14" s="467">
        <v>9821.7000000000007</v>
      </c>
      <c r="I14" s="468">
        <f>((((D1/D2)*C14)/360)*0.025)*H14</f>
        <v>2490.9184831730772</v>
      </c>
      <c r="J14" s="469">
        <v>11128.2</v>
      </c>
      <c r="K14" s="470">
        <f>((((D1/D2)*C14)/360)*0.025)*J14</f>
        <v>2822.264889423077</v>
      </c>
      <c r="L14" s="295"/>
      <c r="M14" s="295"/>
    </row>
    <row r="15" spans="1:13" ht="11.25" customHeight="1" x14ac:dyDescent="0.3">
      <c r="A15" s="465">
        <v>50</v>
      </c>
      <c r="B15" s="465">
        <v>2031</v>
      </c>
      <c r="C15" s="466">
        <v>32</v>
      </c>
      <c r="D15" s="467">
        <v>7111.8</v>
      </c>
      <c r="E15" s="468">
        <f>((((D1/D2)*C15)/360)*0.025)*D15</f>
        <v>1861.8327692307694</v>
      </c>
      <c r="F15" s="467">
        <v>8447.1</v>
      </c>
      <c r="G15" s="468">
        <f>((((D1/D2)*C15)/360)*0.025)*F15</f>
        <v>2211.407461538462</v>
      </c>
      <c r="H15" s="467">
        <v>9821.7000000000007</v>
      </c>
      <c r="I15" s="468">
        <f>((((D1/D2)*C15)/360)*0.025)*H15</f>
        <v>2571.2706923076926</v>
      </c>
      <c r="J15" s="469">
        <v>11128.2</v>
      </c>
      <c r="K15" s="470">
        <f>((((D1/D2)*C15)/360)*0.025)*J15</f>
        <v>2913.3056923076929</v>
      </c>
      <c r="L15" s="295"/>
      <c r="M15" s="295"/>
    </row>
    <row r="16" spans="1:13" ht="11.25" customHeight="1" x14ac:dyDescent="0.3">
      <c r="A16" s="465">
        <v>51</v>
      </c>
      <c r="B16" s="465">
        <v>2032</v>
      </c>
      <c r="C16" s="466">
        <v>33</v>
      </c>
      <c r="D16" s="467">
        <v>7111.8</v>
      </c>
      <c r="E16" s="468">
        <f>((((D1/D2)*C16)/360)*0.025)*D16</f>
        <v>1920.0150432692308</v>
      </c>
      <c r="F16" s="467">
        <v>8447.1</v>
      </c>
      <c r="G16" s="468">
        <f>((((D1/D2)*C16)/360)*0.025)*F16</f>
        <v>2280.5139447115384</v>
      </c>
      <c r="H16" s="467">
        <v>9821.7000000000007</v>
      </c>
      <c r="I16" s="468">
        <f>((((D1/D2)*C16)/360)*0.025)*H16</f>
        <v>2651.6229014423079</v>
      </c>
      <c r="J16" s="469">
        <v>11128.2</v>
      </c>
      <c r="K16" s="470">
        <f>((((D1/D2)*C16)/360)*0.025)*J16</f>
        <v>3004.3464951923079</v>
      </c>
      <c r="L16" s="295"/>
      <c r="M16" s="295"/>
    </row>
    <row r="17" spans="1:11" ht="11.25" customHeight="1" x14ac:dyDescent="0.3">
      <c r="A17" s="465">
        <v>52</v>
      </c>
      <c r="B17" s="465">
        <v>2033</v>
      </c>
      <c r="C17" s="466">
        <v>34</v>
      </c>
      <c r="D17" s="467">
        <v>7111.8</v>
      </c>
      <c r="E17" s="468">
        <f>((((D1/D2)*C17)/360)*0.025)*D17</f>
        <v>1978.1973173076926</v>
      </c>
      <c r="F17" s="467">
        <v>8447.1</v>
      </c>
      <c r="G17" s="468">
        <f>((((D1/D2)*C17)/360)*0.025)*F17</f>
        <v>2349.6204278846158</v>
      </c>
      <c r="H17" s="467">
        <v>9821.7000000000007</v>
      </c>
      <c r="I17" s="468">
        <f>((((D1/D2)*C17)/360)*0.025)*H17</f>
        <v>2731.9751105769237</v>
      </c>
      <c r="J17" s="469">
        <v>11683.5</v>
      </c>
      <c r="K17" s="470">
        <f>((((D1/D2)*C17)/360)*0.025)*J17</f>
        <v>3249.8479086538464</v>
      </c>
    </row>
    <row r="18" spans="1:11" ht="11.25" customHeight="1" x14ac:dyDescent="0.3">
      <c r="A18" s="465">
        <v>53</v>
      </c>
      <c r="B18" s="465">
        <v>2034</v>
      </c>
      <c r="C18" s="466">
        <v>35</v>
      </c>
      <c r="D18" s="467">
        <v>7111.8</v>
      </c>
      <c r="E18" s="468">
        <f>((((D1/D2)*C18)/360)*0.025)*D18</f>
        <v>2036.379591346154</v>
      </c>
      <c r="F18" s="467">
        <v>8447.1</v>
      </c>
      <c r="G18" s="468">
        <f>((((D1/D2)*C18)/360)*0.025)*F18</f>
        <v>2418.7269110576926</v>
      </c>
      <c r="H18" s="467">
        <v>9821.7000000000007</v>
      </c>
      <c r="I18" s="468">
        <f>((((D1/D2)*C18)/360)*0.025)*H18</f>
        <v>2812.3273197115386</v>
      </c>
      <c r="J18" s="469">
        <v>11683.5</v>
      </c>
      <c r="K18" s="470">
        <f>((((D1/D2)*C18)/360)*0.025)*J18</f>
        <v>3345.431670673077</v>
      </c>
    </row>
    <row r="19" spans="1:11" ht="11.25" customHeight="1" x14ac:dyDescent="0.3">
      <c r="A19" s="465">
        <v>54</v>
      </c>
      <c r="B19" s="465">
        <v>2035</v>
      </c>
      <c r="C19" s="466">
        <v>36</v>
      </c>
      <c r="D19" s="467">
        <v>7111.8</v>
      </c>
      <c r="E19" s="468">
        <f>((((D1/D2)*C19)/360)*0.025)*D19</f>
        <v>2094.5618653846154</v>
      </c>
      <c r="F19" s="467">
        <v>8447.1</v>
      </c>
      <c r="G19" s="468">
        <f>((((D1/D2)*C19)/360)*0.025)*F19</f>
        <v>2487.833394230769</v>
      </c>
      <c r="H19" s="467">
        <v>9821.7000000000007</v>
      </c>
      <c r="I19" s="468">
        <f>((((D1/D2)*C19)/360)*0.025)*H19</f>
        <v>2892.679528846154</v>
      </c>
      <c r="J19" s="469">
        <v>11683.5</v>
      </c>
      <c r="K19" s="470">
        <f>((((D1/D2)*C19)/360)*0.025)*J19</f>
        <v>3441.0154326923075</v>
      </c>
    </row>
    <row r="20" spans="1:11" ht="11.25" customHeight="1" x14ac:dyDescent="0.3">
      <c r="A20" s="465">
        <v>55</v>
      </c>
      <c r="B20" s="465">
        <v>2036</v>
      </c>
      <c r="C20" s="466">
        <v>37</v>
      </c>
      <c r="D20" s="467">
        <v>7111.8</v>
      </c>
      <c r="E20" s="468">
        <f>((((D1/D2)*C20)/360)*0.025)*D20</f>
        <v>2152.7441394230773</v>
      </c>
      <c r="F20" s="467">
        <v>8447.1</v>
      </c>
      <c r="G20" s="468">
        <f>((((D1/D2)*C20)/360)*0.025)*F20</f>
        <v>2556.9398774038464</v>
      </c>
      <c r="H20" s="467">
        <v>9821.7000000000007</v>
      </c>
      <c r="I20" s="468">
        <f>((((D1/D2)*C20)/360)*0.025)*H20</f>
        <v>2973.0317379807698</v>
      </c>
      <c r="J20" s="469">
        <v>11683.5</v>
      </c>
      <c r="K20" s="470">
        <f>((((D1/D2)*C20)/360)*0.025)*J20</f>
        <v>3536.5991947115385</v>
      </c>
    </row>
    <row r="21" spans="1:11" ht="11.25" customHeight="1" x14ac:dyDescent="0.3">
      <c r="A21" s="465">
        <v>56</v>
      </c>
      <c r="B21" s="465">
        <v>2037</v>
      </c>
      <c r="C21" s="466">
        <v>38</v>
      </c>
      <c r="D21" s="467">
        <v>7111.8</v>
      </c>
      <c r="E21" s="468">
        <f>((((D1/D2)*C21)/360)*0.025)*D21</f>
        <v>2210.9264134615387</v>
      </c>
      <c r="F21" s="467">
        <v>8447.1</v>
      </c>
      <c r="G21" s="468">
        <f>((((D1/D2)*C21)/360)*0.025)*F21</f>
        <v>2626.0463605769237</v>
      </c>
      <c r="H21" s="467">
        <v>9821.7000000000007</v>
      </c>
      <c r="I21" s="468">
        <f>((((D1/D2)*C21)/360)*0.025)*H21</f>
        <v>3053.3839471153851</v>
      </c>
      <c r="J21" s="469">
        <v>12269.1</v>
      </c>
      <c r="K21" s="470">
        <f>((((D1/D2)*C21)/360)*0.025)*J21</f>
        <v>3814.2351105769239</v>
      </c>
    </row>
    <row r="22" spans="1:11" ht="11.25" customHeight="1" x14ac:dyDescent="0.3">
      <c r="A22" s="465">
        <v>57</v>
      </c>
      <c r="B22" s="465">
        <v>2038</v>
      </c>
      <c r="C22" s="466">
        <v>39</v>
      </c>
      <c r="D22" s="467">
        <v>7111.8</v>
      </c>
      <c r="E22" s="468">
        <f>((((D1/D2)*C22)/360)*0.025)*D22</f>
        <v>2269.1086875000001</v>
      </c>
      <c r="F22" s="467">
        <v>8447.1</v>
      </c>
      <c r="G22" s="468">
        <f>((((D1/D2)*C22)/360)*0.025)*F22</f>
        <v>2695.1528437500006</v>
      </c>
      <c r="H22" s="467">
        <v>9821.7000000000007</v>
      </c>
      <c r="I22" s="468">
        <f>((((D1/D2)*C22)/360)*0.025)*H22</f>
        <v>3133.7361562500005</v>
      </c>
      <c r="J22" s="469">
        <v>12269.1</v>
      </c>
      <c r="K22" s="470">
        <f>((((D1/D2)*C22)/360)*0.025)*J22</f>
        <v>3914.6097187500004</v>
      </c>
    </row>
    <row r="23" spans="1:11" ht="11.25" customHeight="1" x14ac:dyDescent="0.3">
      <c r="A23" s="465">
        <v>58</v>
      </c>
      <c r="B23" s="465">
        <v>2039</v>
      </c>
      <c r="C23" s="466">
        <v>40</v>
      </c>
      <c r="D23" s="467">
        <v>7111.8</v>
      </c>
      <c r="E23" s="471">
        <f>((((D1/D2)*C23)/360)*0.025)*D23</f>
        <v>2327.2909615384615</v>
      </c>
      <c r="F23" s="467">
        <v>8447.1</v>
      </c>
      <c r="G23" s="471">
        <f>((((D1/D2)*C23)/360)*0.025)*F23</f>
        <v>2764.259326923077</v>
      </c>
      <c r="H23" s="467">
        <v>9821.7000000000007</v>
      </c>
      <c r="I23" s="471">
        <f>((((D1/D2)*C23)/360)*0.025)*H23</f>
        <v>3214.0883653846158</v>
      </c>
      <c r="J23" s="469">
        <v>12269.1</v>
      </c>
      <c r="K23" s="472">
        <f>((((D1/D2)*C23)/360)*0.025)*J23</f>
        <v>4014.9843269230769</v>
      </c>
    </row>
    <row r="24" spans="1:11" ht="11.25" customHeight="1" x14ac:dyDescent="0.3">
      <c r="A24" s="465">
        <v>59</v>
      </c>
      <c r="B24" s="465">
        <v>2040</v>
      </c>
      <c r="C24" s="466">
        <v>41</v>
      </c>
      <c r="D24" s="467">
        <v>7111.8</v>
      </c>
      <c r="E24" s="471">
        <f>((((D1/D2)*C24)/360)*0.025)*D24</f>
        <v>2385.4732355769233</v>
      </c>
      <c r="F24" s="467">
        <v>8447.1</v>
      </c>
      <c r="G24" s="471">
        <f>((((D1/D2)*C24)/360)*0.025)*F24</f>
        <v>2833.3658100961543</v>
      </c>
      <c r="H24" s="467">
        <v>9821.7000000000007</v>
      </c>
      <c r="I24" s="471">
        <f>((((D1/D2)*C24)/360)*0.025)*H24</f>
        <v>3294.4405745192312</v>
      </c>
      <c r="J24" s="469">
        <v>12269.1</v>
      </c>
      <c r="K24" s="472">
        <f>((((D1/D2)*C24)/360)*0.025)*J24</f>
        <v>4115.3589350961547</v>
      </c>
    </row>
    <row r="25" spans="1:11" ht="11.25" customHeight="1" x14ac:dyDescent="0.3">
      <c r="A25" s="465">
        <v>60</v>
      </c>
      <c r="B25" s="465">
        <v>2041</v>
      </c>
      <c r="C25" s="466">
        <v>42</v>
      </c>
      <c r="D25" s="467">
        <v>7111.8</v>
      </c>
      <c r="E25" s="468">
        <f>((((D1/D2)*C25)/360)*0.025)*D25</f>
        <v>2443.6555096153847</v>
      </c>
      <c r="F25" s="467">
        <v>8447.1</v>
      </c>
      <c r="G25" s="468">
        <f>((((D1/D2)*C25)/360)*0.025)*F25</f>
        <v>2902.4722932692312</v>
      </c>
      <c r="H25" s="467">
        <v>9821.7000000000007</v>
      </c>
      <c r="I25" s="468">
        <f>((((D1/D2)*C25)/360)*0.025)*H25</f>
        <v>3374.7927836538465</v>
      </c>
      <c r="J25" s="469">
        <v>12269.1</v>
      </c>
      <c r="K25" s="470">
        <f>((((D1/D2)*C25)/360)*0.025)*J25</f>
        <v>4215.7335432692307</v>
      </c>
    </row>
    <row r="26" spans="1:11" ht="11.25" customHeight="1" x14ac:dyDescent="0.3">
      <c r="A26" s="465">
        <v>61</v>
      </c>
      <c r="B26" s="465">
        <v>2042</v>
      </c>
      <c r="C26" s="466">
        <v>43</v>
      </c>
      <c r="D26" s="467">
        <v>7111.8</v>
      </c>
      <c r="E26" s="468">
        <f>((((D1/D2)*C26)/360)*0.025)*D26</f>
        <v>2501.8377836538466</v>
      </c>
      <c r="F26" s="467">
        <v>8447.1</v>
      </c>
      <c r="G26" s="468">
        <f>((((D1/D2)*C26)/360)*0.025)*F26</f>
        <v>2971.578776442308</v>
      </c>
      <c r="H26" s="467">
        <v>9821.7000000000007</v>
      </c>
      <c r="I26" s="468">
        <f>((((D1/D2)*C26)/360)*0.025)*H26</f>
        <v>3455.1449927884623</v>
      </c>
      <c r="J26" s="469">
        <v>12269.1</v>
      </c>
      <c r="K26" s="470">
        <f>((((D1/D2)*C26)/360)*0.025)*J26</f>
        <v>4316.1081514423086</v>
      </c>
    </row>
    <row r="27" spans="1:11" ht="11.25" customHeight="1" x14ac:dyDescent="0.3">
      <c r="A27" s="465">
        <v>62</v>
      </c>
      <c r="B27" s="465">
        <v>2043</v>
      </c>
      <c r="C27" s="466">
        <v>44</v>
      </c>
      <c r="D27" s="467">
        <v>7111.8</v>
      </c>
      <c r="E27" s="468">
        <f>((((D1/D2)*C27)/360)*0.025)*D27</f>
        <v>2560.0200576923085</v>
      </c>
      <c r="F27" s="467">
        <v>8447.1</v>
      </c>
      <c r="G27" s="468">
        <f>((((D1/D2)*C27)/360)*0.025)*F27</f>
        <v>3040.6852596153853</v>
      </c>
      <c r="H27" s="467">
        <v>9821.7000000000007</v>
      </c>
      <c r="I27" s="468">
        <f>((((D1/D2)*C27)/360)*0.025)*H27</f>
        <v>3535.4972019230781</v>
      </c>
      <c r="J27" s="469">
        <v>12269.1</v>
      </c>
      <c r="K27" s="470">
        <f>((((D1/D2)*C27)/360)*0.025)*J27</f>
        <v>4416.4827596153855</v>
      </c>
    </row>
    <row r="28" spans="1:11" ht="15.75" customHeight="1" x14ac:dyDescent="0.3"/>
    <row r="29" spans="1:11" ht="15.75" customHeight="1" x14ac:dyDescent="0.3"/>
    <row r="30" spans="1:11" ht="15.75" customHeight="1" x14ac:dyDescent="0.3"/>
    <row r="31" spans="1:11" ht="15.75" customHeight="1" x14ac:dyDescent="0.3"/>
    <row r="32" spans="1:11" ht="15.75" customHeight="1" x14ac:dyDescent="0.3"/>
    <row r="33" ht="15.75" customHeight="1" x14ac:dyDescent="0.3"/>
    <row r="34" ht="15.75" customHeight="1" x14ac:dyDescent="0.3"/>
    <row r="35" ht="15.75" customHeight="1" x14ac:dyDescent="0.3"/>
    <row r="36" ht="15.75" customHeight="1" x14ac:dyDescent="0.3"/>
    <row r="37" ht="15.75" customHeight="1" x14ac:dyDescent="0.3"/>
    <row r="38" ht="15.75" customHeight="1" x14ac:dyDescent="0.3"/>
    <row r="39" ht="15.75" customHeight="1" x14ac:dyDescent="0.3"/>
    <row r="40" ht="15.75" customHeight="1" x14ac:dyDescent="0.3"/>
    <row r="41" ht="15.75" customHeight="1" x14ac:dyDescent="0.3"/>
    <row r="42" ht="15.75" customHeight="1" x14ac:dyDescent="0.3"/>
    <row r="43" ht="15.75" customHeight="1" x14ac:dyDescent="0.3"/>
    <row r="44" ht="15.75" customHeight="1" x14ac:dyDescent="0.3"/>
    <row r="45" ht="15.75" customHeight="1" x14ac:dyDescent="0.3"/>
    <row r="46" ht="15.75" customHeight="1" x14ac:dyDescent="0.3"/>
    <row r="47" ht="15.75" customHeight="1" x14ac:dyDescent="0.3"/>
    <row r="48" ht="15.75" customHeight="1" x14ac:dyDescent="0.3"/>
    <row r="49" ht="15.75" customHeight="1" x14ac:dyDescent="0.3"/>
    <row r="50" ht="15.75" customHeight="1" x14ac:dyDescent="0.3"/>
    <row r="51" ht="15.75" customHeight="1" x14ac:dyDescent="0.3"/>
    <row r="52" ht="15.75" customHeight="1" x14ac:dyDescent="0.3"/>
    <row r="53" ht="15.75" customHeight="1" x14ac:dyDescent="0.3"/>
    <row r="54" ht="15.75" customHeight="1" x14ac:dyDescent="0.3"/>
    <row r="55" ht="15.75" customHeight="1" x14ac:dyDescent="0.3"/>
    <row r="56" ht="15.75" customHeight="1" x14ac:dyDescent="0.3"/>
    <row r="57" ht="15.75" customHeight="1" x14ac:dyDescent="0.3"/>
    <row r="58" ht="15.75" customHeight="1" x14ac:dyDescent="0.3"/>
    <row r="59" ht="15.75" customHeight="1" x14ac:dyDescent="0.3"/>
    <row r="60" ht="15.75" customHeight="1" x14ac:dyDescent="0.3"/>
    <row r="61" ht="15.75" customHeight="1" x14ac:dyDescent="0.3"/>
    <row r="62" ht="15.75" customHeight="1" x14ac:dyDescent="0.3"/>
    <row r="63" ht="15.75" customHeight="1" x14ac:dyDescent="0.3"/>
    <row r="64" ht="15.75" customHeight="1" x14ac:dyDescent="0.3"/>
    <row r="65" ht="15.75" customHeight="1" x14ac:dyDescent="0.3"/>
    <row r="66" ht="15.75" customHeight="1" x14ac:dyDescent="0.3"/>
    <row r="67" ht="15.75" customHeight="1" x14ac:dyDescent="0.3"/>
    <row r="68" ht="15.75" customHeight="1" x14ac:dyDescent="0.3"/>
    <row r="69" ht="15.75" customHeight="1" x14ac:dyDescent="0.3"/>
    <row r="70" ht="15.75" customHeight="1" x14ac:dyDescent="0.3"/>
    <row r="71" ht="15.75" customHeight="1" x14ac:dyDescent="0.3"/>
    <row r="72" ht="15.75" customHeight="1" x14ac:dyDescent="0.3"/>
    <row r="73" ht="15.75" customHeight="1" x14ac:dyDescent="0.3"/>
    <row r="74" ht="15.75" customHeight="1" x14ac:dyDescent="0.3"/>
    <row r="75" ht="15.75" customHeight="1" x14ac:dyDescent="0.3"/>
    <row r="76" ht="15.75" customHeight="1" x14ac:dyDescent="0.3"/>
    <row r="77" ht="15.75" customHeight="1" x14ac:dyDescent="0.3"/>
    <row r="78" ht="15.75" customHeight="1" x14ac:dyDescent="0.3"/>
    <row r="79" ht="15.75" customHeight="1" x14ac:dyDescent="0.3"/>
    <row r="80" ht="15.75" customHeight="1" x14ac:dyDescent="0.3"/>
    <row r="81" ht="15.75" customHeight="1" x14ac:dyDescent="0.3"/>
    <row r="82" ht="15.75" customHeight="1" x14ac:dyDescent="0.3"/>
    <row r="83" ht="15.75" customHeight="1" x14ac:dyDescent="0.3"/>
    <row r="84" ht="15.75" customHeight="1" x14ac:dyDescent="0.3"/>
    <row r="85" ht="15.75" customHeight="1" x14ac:dyDescent="0.3"/>
    <row r="86" ht="15.75" customHeight="1" x14ac:dyDescent="0.3"/>
    <row r="87" ht="15.75" customHeight="1" x14ac:dyDescent="0.3"/>
    <row r="88" ht="15.75" customHeight="1" x14ac:dyDescent="0.3"/>
    <row r="89" ht="15.75" customHeight="1" x14ac:dyDescent="0.3"/>
    <row r="90" ht="15.75" customHeight="1" x14ac:dyDescent="0.3"/>
    <row r="91" ht="15.75" customHeight="1" x14ac:dyDescent="0.3"/>
    <row r="92" ht="15.75" customHeight="1" x14ac:dyDescent="0.3"/>
    <row r="93" ht="15.75" customHeight="1" x14ac:dyDescent="0.3"/>
    <row r="94" ht="15.75" customHeight="1" x14ac:dyDescent="0.3"/>
    <row r="95" ht="15.75" customHeight="1" x14ac:dyDescent="0.3"/>
    <row r="96" ht="15.75" customHeight="1" x14ac:dyDescent="0.3"/>
    <row r="97" ht="15.75" customHeight="1" x14ac:dyDescent="0.3"/>
    <row r="98" ht="15.75" customHeight="1" x14ac:dyDescent="0.3"/>
    <row r="99" ht="15.75" customHeight="1" x14ac:dyDescent="0.3"/>
    <row r="100" ht="15.75" customHeight="1" x14ac:dyDescent="0.3"/>
    <row r="101" ht="15.75" customHeight="1" x14ac:dyDescent="0.3"/>
    <row r="102" ht="15.75" customHeight="1" x14ac:dyDescent="0.3"/>
    <row r="103" ht="15.75" customHeight="1" x14ac:dyDescent="0.3"/>
    <row r="104" ht="15.75" customHeight="1" x14ac:dyDescent="0.3"/>
    <row r="105" ht="15.75" customHeight="1" x14ac:dyDescent="0.3"/>
    <row r="106" ht="15.75" customHeight="1" x14ac:dyDescent="0.3"/>
    <row r="107" ht="15.75" customHeight="1" x14ac:dyDescent="0.3"/>
    <row r="108" ht="15.75" customHeight="1" x14ac:dyDescent="0.3"/>
    <row r="109" ht="15.75" customHeight="1" x14ac:dyDescent="0.3"/>
    <row r="110" ht="15.75" customHeight="1" x14ac:dyDescent="0.3"/>
    <row r="111" ht="15.75" customHeight="1" x14ac:dyDescent="0.3"/>
    <row r="112" ht="15.75" customHeight="1" x14ac:dyDescent="0.3"/>
    <row r="113" ht="15.75" customHeight="1" x14ac:dyDescent="0.3"/>
    <row r="114" ht="15.75" customHeight="1" x14ac:dyDescent="0.3"/>
    <row r="115" ht="15.75" customHeight="1" x14ac:dyDescent="0.3"/>
    <row r="116" ht="15.75" customHeight="1" x14ac:dyDescent="0.3"/>
    <row r="117" ht="15.75" customHeight="1" x14ac:dyDescent="0.3"/>
    <row r="118" ht="15.75" customHeight="1" x14ac:dyDescent="0.3"/>
    <row r="119" ht="15.75" customHeight="1" x14ac:dyDescent="0.3"/>
    <row r="120" ht="15.75" customHeight="1" x14ac:dyDescent="0.3"/>
    <row r="121" ht="15.75" customHeight="1" x14ac:dyDescent="0.3"/>
    <row r="122" ht="15.75" customHeight="1" x14ac:dyDescent="0.3"/>
    <row r="123" ht="15.75" customHeight="1" x14ac:dyDescent="0.3"/>
    <row r="124" ht="15.75" customHeight="1" x14ac:dyDescent="0.3"/>
    <row r="125" ht="15.75" customHeight="1" x14ac:dyDescent="0.3"/>
    <row r="126" ht="15.75" customHeight="1" x14ac:dyDescent="0.3"/>
    <row r="127" ht="15.75" customHeight="1" x14ac:dyDescent="0.3"/>
    <row r="128" ht="15.75" customHeight="1" x14ac:dyDescent="0.3"/>
    <row r="129" ht="15.75" customHeight="1" x14ac:dyDescent="0.3"/>
    <row r="130" ht="15.75" customHeight="1" x14ac:dyDescent="0.3"/>
    <row r="131" ht="15.75" customHeight="1" x14ac:dyDescent="0.3"/>
    <row r="132" ht="15.75" customHeight="1" x14ac:dyDescent="0.3"/>
    <row r="133" ht="15.75" customHeight="1" x14ac:dyDescent="0.3"/>
    <row r="134" ht="15.75" customHeight="1" x14ac:dyDescent="0.3"/>
    <row r="135" ht="15.75" customHeight="1" x14ac:dyDescent="0.3"/>
    <row r="136" ht="15.75" customHeight="1" x14ac:dyDescent="0.3"/>
    <row r="137" ht="15.75" customHeight="1" x14ac:dyDescent="0.3"/>
    <row r="138" ht="15.75" customHeight="1" x14ac:dyDescent="0.3"/>
    <row r="139" ht="15.75" customHeight="1" x14ac:dyDescent="0.3"/>
    <row r="140" ht="15.75" customHeight="1" x14ac:dyDescent="0.3"/>
    <row r="141" ht="15.75" customHeight="1" x14ac:dyDescent="0.3"/>
    <row r="142" ht="15.75" customHeight="1" x14ac:dyDescent="0.3"/>
    <row r="143" ht="15.75" customHeight="1" x14ac:dyDescent="0.3"/>
    <row r="144" ht="15.75" customHeight="1" x14ac:dyDescent="0.3"/>
    <row r="145" ht="15.75" customHeight="1" x14ac:dyDescent="0.3"/>
    <row r="146" ht="15.75" customHeight="1" x14ac:dyDescent="0.3"/>
    <row r="147" ht="15.75" customHeight="1" x14ac:dyDescent="0.3"/>
    <row r="148" ht="15.75" customHeight="1" x14ac:dyDescent="0.3"/>
    <row r="149" ht="15.75" customHeight="1" x14ac:dyDescent="0.3"/>
    <row r="150" ht="15.75" customHeight="1" x14ac:dyDescent="0.3"/>
    <row r="151" ht="15.75" customHeight="1" x14ac:dyDescent="0.3"/>
    <row r="152" ht="15.75" customHeight="1" x14ac:dyDescent="0.3"/>
    <row r="153" ht="15.75" customHeight="1" x14ac:dyDescent="0.3"/>
    <row r="154" ht="15.75" customHeight="1" x14ac:dyDescent="0.3"/>
    <row r="155" ht="15.75" customHeight="1" x14ac:dyDescent="0.3"/>
    <row r="156" ht="15.75" customHeight="1" x14ac:dyDescent="0.3"/>
    <row r="157" ht="15.75" customHeight="1" x14ac:dyDescent="0.3"/>
    <row r="158" ht="15.75" customHeight="1" x14ac:dyDescent="0.3"/>
    <row r="159" ht="15.75" customHeight="1" x14ac:dyDescent="0.3"/>
    <row r="160" ht="15.75" customHeight="1" x14ac:dyDescent="0.3"/>
    <row r="161" ht="15.75" customHeight="1" x14ac:dyDescent="0.3"/>
    <row r="162" ht="15.75" customHeight="1" x14ac:dyDescent="0.3"/>
    <row r="163" ht="15.75" customHeight="1" x14ac:dyDescent="0.3"/>
    <row r="164" ht="15.75" customHeight="1" x14ac:dyDescent="0.3"/>
    <row r="165" ht="15.75" customHeight="1" x14ac:dyDescent="0.3"/>
    <row r="166" ht="15.75" customHeight="1" x14ac:dyDescent="0.3"/>
    <row r="167" ht="15.75" customHeight="1" x14ac:dyDescent="0.3"/>
    <row r="168" ht="15.75" customHeight="1" x14ac:dyDescent="0.3"/>
    <row r="169" ht="15.75" customHeight="1" x14ac:dyDescent="0.3"/>
    <row r="170" ht="15.75" customHeight="1" x14ac:dyDescent="0.3"/>
    <row r="171" ht="15.75" customHeight="1" x14ac:dyDescent="0.3"/>
    <row r="172" ht="15.75" customHeight="1" x14ac:dyDescent="0.3"/>
    <row r="173" ht="15.75" customHeight="1" x14ac:dyDescent="0.3"/>
    <row r="174" ht="15.75" customHeight="1" x14ac:dyDescent="0.3"/>
    <row r="175" ht="15.75" customHeight="1" x14ac:dyDescent="0.3"/>
    <row r="176" ht="15.75" customHeight="1" x14ac:dyDescent="0.3"/>
    <row r="177" ht="15.75" customHeight="1" x14ac:dyDescent="0.3"/>
    <row r="178" ht="15.75" customHeight="1" x14ac:dyDescent="0.3"/>
    <row r="179" ht="15.75" customHeight="1" x14ac:dyDescent="0.3"/>
    <row r="180" ht="15.75" customHeight="1" x14ac:dyDescent="0.3"/>
    <row r="181" ht="15.75" customHeight="1" x14ac:dyDescent="0.3"/>
    <row r="182" ht="15.75" customHeight="1" x14ac:dyDescent="0.3"/>
    <row r="183" ht="15.75" customHeight="1" x14ac:dyDescent="0.3"/>
    <row r="184" ht="15.75" customHeight="1" x14ac:dyDescent="0.3"/>
    <row r="185" ht="15.75" customHeight="1" x14ac:dyDescent="0.3"/>
    <row r="186" ht="15.75" customHeight="1" x14ac:dyDescent="0.3"/>
    <row r="187" ht="15.75" customHeight="1" x14ac:dyDescent="0.3"/>
    <row r="188" ht="15.75" customHeight="1" x14ac:dyDescent="0.3"/>
    <row r="189" ht="15.75" customHeight="1" x14ac:dyDescent="0.3"/>
    <row r="190" ht="15.75" customHeight="1" x14ac:dyDescent="0.3"/>
    <row r="191" ht="15.75" customHeight="1" x14ac:dyDescent="0.3"/>
    <row r="192" ht="15.75" customHeight="1" x14ac:dyDescent="0.3"/>
    <row r="193" ht="15.75" customHeight="1" x14ac:dyDescent="0.3"/>
    <row r="194" ht="15.75" customHeight="1" x14ac:dyDescent="0.3"/>
    <row r="195" ht="15.75" customHeight="1" x14ac:dyDescent="0.3"/>
    <row r="196" ht="15.75" customHeight="1" x14ac:dyDescent="0.3"/>
    <row r="197" ht="15.75" customHeight="1" x14ac:dyDescent="0.3"/>
    <row r="198" ht="15.75" customHeight="1" x14ac:dyDescent="0.3"/>
    <row r="199" ht="15.75" customHeight="1" x14ac:dyDescent="0.3"/>
    <row r="200" ht="15.75" customHeight="1" x14ac:dyDescent="0.3"/>
    <row r="201" ht="15.75" customHeight="1" x14ac:dyDescent="0.3"/>
    <row r="202" ht="15.75" customHeight="1" x14ac:dyDescent="0.3"/>
    <row r="203" ht="15.75" customHeight="1" x14ac:dyDescent="0.3"/>
    <row r="204" ht="15.75" customHeight="1" x14ac:dyDescent="0.3"/>
    <row r="205" ht="15.75" customHeight="1" x14ac:dyDescent="0.3"/>
    <row r="206" ht="15.75" customHeight="1" x14ac:dyDescent="0.3"/>
    <row r="207" ht="15.75" customHeight="1" x14ac:dyDescent="0.3"/>
    <row r="208" ht="15.75" customHeight="1" x14ac:dyDescent="0.3"/>
    <row r="209" ht="15.75" customHeight="1" x14ac:dyDescent="0.3"/>
    <row r="210" ht="15.75" customHeight="1" x14ac:dyDescent="0.3"/>
    <row r="211" ht="15.75" customHeight="1" x14ac:dyDescent="0.3"/>
    <row r="212" ht="15.75" customHeight="1" x14ac:dyDescent="0.3"/>
    <row r="213" ht="15.75" customHeight="1" x14ac:dyDescent="0.3"/>
    <row r="214" ht="15.75" customHeight="1" x14ac:dyDescent="0.3"/>
    <row r="215" ht="15.75" customHeight="1" x14ac:dyDescent="0.3"/>
    <row r="216" ht="15.75" customHeight="1" x14ac:dyDescent="0.3"/>
    <row r="217" ht="15.75" customHeight="1" x14ac:dyDescent="0.3"/>
    <row r="218" ht="15.75" customHeight="1" x14ac:dyDescent="0.3"/>
    <row r="219" ht="15.75" customHeight="1" x14ac:dyDescent="0.3"/>
    <row r="220" ht="15.75" customHeight="1" x14ac:dyDescent="0.3"/>
    <row r="221" ht="15.75" customHeight="1" x14ac:dyDescent="0.3"/>
    <row r="222" ht="15.75" customHeight="1" x14ac:dyDescent="0.3"/>
    <row r="223" ht="15.75" customHeight="1" x14ac:dyDescent="0.3"/>
    <row r="224" ht="15.75" customHeight="1" x14ac:dyDescent="0.3"/>
    <row r="225" ht="15.75" customHeight="1" x14ac:dyDescent="0.3"/>
    <row r="226" ht="15.75" customHeight="1" x14ac:dyDescent="0.3"/>
    <row r="227" ht="15.75" customHeight="1" x14ac:dyDescent="0.3"/>
    <row r="228" ht="15.75" customHeight="1" x14ac:dyDescent="0.3"/>
    <row r="229" ht="15.75" customHeight="1" x14ac:dyDescent="0.3"/>
    <row r="230" ht="15.75" customHeight="1" x14ac:dyDescent="0.3"/>
    <row r="231" ht="15.75" customHeight="1" x14ac:dyDescent="0.3"/>
    <row r="232" ht="15.75" customHeight="1" x14ac:dyDescent="0.3"/>
    <row r="233" ht="15.75" customHeight="1" x14ac:dyDescent="0.3"/>
    <row r="234" ht="15.75" customHeight="1" x14ac:dyDescent="0.3"/>
    <row r="235" ht="15.75" customHeight="1" x14ac:dyDescent="0.3"/>
    <row r="236" ht="15.75" customHeight="1" x14ac:dyDescent="0.3"/>
    <row r="237" ht="15.75" customHeight="1" x14ac:dyDescent="0.3"/>
    <row r="238" ht="15.75" customHeight="1" x14ac:dyDescent="0.3"/>
    <row r="239" ht="15.75" customHeight="1" x14ac:dyDescent="0.3"/>
    <row r="240" ht="15.75" customHeight="1" x14ac:dyDescent="0.3"/>
    <row r="241" ht="15.75" customHeight="1" x14ac:dyDescent="0.3"/>
    <row r="242" ht="15.75" customHeight="1" x14ac:dyDescent="0.3"/>
    <row r="243" ht="15.75" customHeight="1" x14ac:dyDescent="0.3"/>
    <row r="244" ht="15.75" customHeight="1" x14ac:dyDescent="0.3"/>
    <row r="245" ht="15.75" customHeight="1" x14ac:dyDescent="0.3"/>
    <row r="246" ht="15.75" customHeight="1" x14ac:dyDescent="0.3"/>
    <row r="247" ht="15.75" customHeight="1" x14ac:dyDescent="0.3"/>
    <row r="248" ht="15.75" customHeight="1" x14ac:dyDescent="0.3"/>
    <row r="249" ht="15.75" customHeight="1" x14ac:dyDescent="0.3"/>
    <row r="250" ht="15.75" customHeight="1" x14ac:dyDescent="0.3"/>
    <row r="251" ht="15.75" customHeight="1" x14ac:dyDescent="0.3"/>
    <row r="252" ht="15.75" customHeight="1" x14ac:dyDescent="0.3"/>
    <row r="253" ht="15.75" customHeight="1" x14ac:dyDescent="0.3"/>
    <row r="254" ht="15.75" customHeight="1" x14ac:dyDescent="0.3"/>
    <row r="255" ht="15.75" customHeight="1" x14ac:dyDescent="0.3"/>
    <row r="256" ht="15.75" customHeight="1" x14ac:dyDescent="0.3"/>
    <row r="257" ht="15.75" customHeight="1" x14ac:dyDescent="0.3"/>
    <row r="258" ht="15.75" customHeight="1" x14ac:dyDescent="0.3"/>
    <row r="259" ht="15.75" customHeight="1" x14ac:dyDescent="0.3"/>
    <row r="260" ht="15.75" customHeight="1" x14ac:dyDescent="0.3"/>
    <row r="261" ht="15.75" customHeight="1" x14ac:dyDescent="0.3"/>
    <row r="262" ht="15.75" customHeight="1" x14ac:dyDescent="0.3"/>
    <row r="263" ht="15.75" customHeight="1" x14ac:dyDescent="0.3"/>
    <row r="264" ht="15.75" customHeight="1" x14ac:dyDescent="0.3"/>
    <row r="265" ht="15.75" customHeight="1" x14ac:dyDescent="0.3"/>
    <row r="266" ht="15.75" customHeight="1" x14ac:dyDescent="0.3"/>
    <row r="267" ht="15.75" customHeight="1" x14ac:dyDescent="0.3"/>
    <row r="268" ht="15.75" customHeight="1" x14ac:dyDescent="0.3"/>
    <row r="269" ht="15.75" customHeight="1" x14ac:dyDescent="0.3"/>
    <row r="270" ht="15.75" customHeight="1" x14ac:dyDescent="0.3"/>
    <row r="271" ht="15.75" customHeight="1" x14ac:dyDescent="0.3"/>
    <row r="272" ht="15.75" customHeight="1" x14ac:dyDescent="0.3"/>
    <row r="273" ht="15.75" customHeight="1" x14ac:dyDescent="0.3"/>
    <row r="274" ht="15.75" customHeight="1" x14ac:dyDescent="0.3"/>
    <row r="275" ht="15.75" customHeight="1" x14ac:dyDescent="0.3"/>
    <row r="276" ht="15.75" customHeight="1" x14ac:dyDescent="0.3"/>
    <row r="277" ht="15.75" customHeight="1" x14ac:dyDescent="0.3"/>
    <row r="278" ht="15.75" customHeight="1" x14ac:dyDescent="0.3"/>
    <row r="279" ht="15.75" customHeight="1" x14ac:dyDescent="0.3"/>
    <row r="280" ht="15.75" customHeight="1" x14ac:dyDescent="0.3"/>
    <row r="281" ht="15.75" customHeight="1" x14ac:dyDescent="0.3"/>
    <row r="282" ht="15.75" customHeight="1" x14ac:dyDescent="0.3"/>
    <row r="283" ht="15.75" customHeight="1" x14ac:dyDescent="0.3"/>
    <row r="284" ht="15.75" customHeight="1" x14ac:dyDescent="0.3"/>
    <row r="285" ht="15.75" customHeight="1" x14ac:dyDescent="0.3"/>
    <row r="286" ht="15.75" customHeight="1" x14ac:dyDescent="0.3"/>
    <row r="287" ht="15.75" customHeight="1" x14ac:dyDescent="0.3"/>
    <row r="288" ht="15.75" customHeight="1" x14ac:dyDescent="0.3"/>
    <row r="289" ht="15.75" customHeight="1" x14ac:dyDescent="0.3"/>
    <row r="290" ht="15.75" customHeight="1" x14ac:dyDescent="0.3"/>
    <row r="291" ht="15.75" customHeight="1" x14ac:dyDescent="0.3"/>
    <row r="292" ht="15.75" customHeight="1" x14ac:dyDescent="0.3"/>
    <row r="293" ht="15.75" customHeight="1" x14ac:dyDescent="0.3"/>
    <row r="294" ht="15.75" customHeight="1" x14ac:dyDescent="0.3"/>
    <row r="295" ht="15.75" customHeight="1" x14ac:dyDescent="0.3"/>
    <row r="296" ht="15.75" customHeight="1" x14ac:dyDescent="0.3"/>
    <row r="297" ht="15.75" customHeight="1" x14ac:dyDescent="0.3"/>
    <row r="298" ht="15.75" customHeight="1" x14ac:dyDescent="0.3"/>
    <row r="299" ht="15.75" customHeight="1" x14ac:dyDescent="0.3"/>
    <row r="300" ht="15.75" customHeight="1" x14ac:dyDescent="0.3"/>
    <row r="301" ht="15.75" customHeight="1" x14ac:dyDescent="0.3"/>
    <row r="302" ht="15.75" customHeight="1" x14ac:dyDescent="0.3"/>
    <row r="303" ht="15.75" customHeight="1" x14ac:dyDescent="0.3"/>
    <row r="304" ht="15.75" customHeight="1" x14ac:dyDescent="0.3"/>
    <row r="305" ht="15.75" customHeight="1" x14ac:dyDescent="0.3"/>
    <row r="306" ht="15.75" customHeight="1" x14ac:dyDescent="0.3"/>
    <row r="307" ht="15.75" customHeight="1" x14ac:dyDescent="0.3"/>
    <row r="308" ht="15.75" customHeight="1" x14ac:dyDescent="0.3"/>
    <row r="309" ht="15.75" customHeight="1" x14ac:dyDescent="0.3"/>
    <row r="310" ht="15.75" customHeight="1" x14ac:dyDescent="0.3"/>
    <row r="311" ht="15.75" customHeight="1" x14ac:dyDescent="0.3"/>
    <row r="312" ht="15.75" customHeight="1" x14ac:dyDescent="0.3"/>
    <row r="313" ht="15.75" customHeight="1" x14ac:dyDescent="0.3"/>
    <row r="314" ht="15.75" customHeight="1" x14ac:dyDescent="0.3"/>
    <row r="315" ht="15.75" customHeight="1" x14ac:dyDescent="0.3"/>
    <row r="316" ht="15.75" customHeight="1" x14ac:dyDescent="0.3"/>
    <row r="317" ht="15.75" customHeight="1" x14ac:dyDescent="0.3"/>
    <row r="318" ht="15.75" customHeight="1" x14ac:dyDescent="0.3"/>
    <row r="319" ht="15.75" customHeight="1" x14ac:dyDescent="0.3"/>
    <row r="320" ht="15.75" customHeight="1" x14ac:dyDescent="0.3"/>
    <row r="321" ht="15.75" customHeight="1" x14ac:dyDescent="0.3"/>
    <row r="322" ht="15.75" customHeight="1" x14ac:dyDescent="0.3"/>
    <row r="323" ht="15.75" customHeight="1" x14ac:dyDescent="0.3"/>
    <row r="324" ht="15.75" customHeight="1" x14ac:dyDescent="0.3"/>
    <row r="325" ht="15.75" customHeight="1" x14ac:dyDescent="0.3"/>
    <row r="326" ht="15.75" customHeight="1" x14ac:dyDescent="0.3"/>
    <row r="327" ht="15.75" customHeight="1" x14ac:dyDescent="0.3"/>
    <row r="328" ht="15.75" customHeight="1" x14ac:dyDescent="0.3"/>
    <row r="329" ht="15.75" customHeight="1" x14ac:dyDescent="0.3"/>
    <row r="330" ht="15.75" customHeight="1" x14ac:dyDescent="0.3"/>
    <row r="331" ht="15.75" customHeight="1" x14ac:dyDescent="0.3"/>
    <row r="332" ht="15.75" customHeight="1" x14ac:dyDescent="0.3"/>
    <row r="333" ht="15.75" customHeight="1" x14ac:dyDescent="0.3"/>
    <row r="334" ht="15.75" customHeight="1" x14ac:dyDescent="0.3"/>
    <row r="335" ht="15.75" customHeight="1" x14ac:dyDescent="0.3"/>
    <row r="336" ht="15.75" customHeight="1" x14ac:dyDescent="0.3"/>
    <row r="337" ht="15.75" customHeight="1" x14ac:dyDescent="0.3"/>
    <row r="338" ht="15.75" customHeight="1" x14ac:dyDescent="0.3"/>
    <row r="339" ht="15.75" customHeight="1" x14ac:dyDescent="0.3"/>
    <row r="340" ht="15.75" customHeight="1" x14ac:dyDescent="0.3"/>
    <row r="341" ht="15.75" customHeight="1" x14ac:dyDescent="0.3"/>
    <row r="342" ht="15.75" customHeight="1" x14ac:dyDescent="0.3"/>
    <row r="343" ht="15.75" customHeight="1" x14ac:dyDescent="0.3"/>
    <row r="344" ht="15.75" customHeight="1" x14ac:dyDescent="0.3"/>
    <row r="345" ht="15.75" customHeight="1" x14ac:dyDescent="0.3"/>
    <row r="346" ht="15.75" customHeight="1" x14ac:dyDescent="0.3"/>
    <row r="347" ht="15.75" customHeight="1" x14ac:dyDescent="0.3"/>
    <row r="348" ht="15.75" customHeight="1" x14ac:dyDescent="0.3"/>
    <row r="349" ht="15.75" customHeight="1" x14ac:dyDescent="0.3"/>
    <row r="350" ht="15.75" customHeight="1" x14ac:dyDescent="0.3"/>
    <row r="351" ht="15.75" customHeight="1" x14ac:dyDescent="0.3"/>
    <row r="352" ht="15.75" customHeight="1" x14ac:dyDescent="0.3"/>
    <row r="353" ht="15.75" customHeight="1" x14ac:dyDescent="0.3"/>
    <row r="354" ht="15.75" customHeight="1" x14ac:dyDescent="0.3"/>
    <row r="355" ht="15.75" customHeight="1" x14ac:dyDescent="0.3"/>
    <row r="356" ht="15.75" customHeight="1" x14ac:dyDescent="0.3"/>
    <row r="357" ht="15.75" customHeight="1" x14ac:dyDescent="0.3"/>
    <row r="358" ht="15.75" customHeight="1" x14ac:dyDescent="0.3"/>
    <row r="359" ht="15.75" customHeight="1" x14ac:dyDescent="0.3"/>
    <row r="360" ht="15.75" customHeight="1" x14ac:dyDescent="0.3"/>
    <row r="361" ht="15.75" customHeight="1" x14ac:dyDescent="0.3"/>
    <row r="362" ht="15.75" customHeight="1" x14ac:dyDescent="0.3"/>
    <row r="363" ht="15.75" customHeight="1" x14ac:dyDescent="0.3"/>
    <row r="364" ht="15.75" customHeight="1" x14ac:dyDescent="0.3"/>
    <row r="365" ht="15.75" customHeight="1" x14ac:dyDescent="0.3"/>
    <row r="366" ht="15.75" customHeight="1" x14ac:dyDescent="0.3"/>
    <row r="367" ht="15.75" customHeight="1" x14ac:dyDescent="0.3"/>
    <row r="368" ht="15.75" customHeight="1" x14ac:dyDescent="0.3"/>
    <row r="369" ht="15.75" customHeight="1" x14ac:dyDescent="0.3"/>
    <row r="370" ht="15.75" customHeight="1" x14ac:dyDescent="0.3"/>
    <row r="371" ht="15.75" customHeight="1" x14ac:dyDescent="0.3"/>
    <row r="372" ht="15.75" customHeight="1" x14ac:dyDescent="0.3"/>
    <row r="373" ht="15.75" customHeight="1" x14ac:dyDescent="0.3"/>
    <row r="374" ht="15.75" customHeight="1" x14ac:dyDescent="0.3"/>
    <row r="375" ht="15.75" customHeight="1" x14ac:dyDescent="0.3"/>
    <row r="376" ht="15.75" customHeight="1" x14ac:dyDescent="0.3"/>
    <row r="377" ht="15.75" customHeight="1" x14ac:dyDescent="0.3"/>
    <row r="378" ht="15.75" customHeight="1" x14ac:dyDescent="0.3"/>
    <row r="379" ht="15.75" customHeight="1" x14ac:dyDescent="0.3"/>
    <row r="380" ht="15.75" customHeight="1" x14ac:dyDescent="0.3"/>
    <row r="381" ht="15.75" customHeight="1" x14ac:dyDescent="0.3"/>
    <row r="382" ht="15.75" customHeight="1" x14ac:dyDescent="0.3"/>
    <row r="383" ht="15.75" customHeight="1" x14ac:dyDescent="0.3"/>
    <row r="384" ht="15.75" customHeight="1" x14ac:dyDescent="0.3"/>
    <row r="385" ht="15.75" customHeight="1" x14ac:dyDescent="0.3"/>
    <row r="386" ht="15.75" customHeight="1" x14ac:dyDescent="0.3"/>
    <row r="387" ht="15.75" customHeight="1" x14ac:dyDescent="0.3"/>
    <row r="388" ht="15.75" customHeight="1" x14ac:dyDescent="0.3"/>
    <row r="389" ht="15.75" customHeight="1" x14ac:dyDescent="0.3"/>
    <row r="390" ht="15.75" customHeight="1" x14ac:dyDescent="0.3"/>
    <row r="391" ht="15.75" customHeight="1" x14ac:dyDescent="0.3"/>
    <row r="392" ht="15.75" customHeight="1" x14ac:dyDescent="0.3"/>
    <row r="393" ht="15.75" customHeight="1" x14ac:dyDescent="0.3"/>
    <row r="394" ht="15.75" customHeight="1" x14ac:dyDescent="0.3"/>
    <row r="395" ht="15.75" customHeight="1" x14ac:dyDescent="0.3"/>
    <row r="396" ht="15.75" customHeight="1" x14ac:dyDescent="0.3"/>
    <row r="397" ht="15.75" customHeight="1" x14ac:dyDescent="0.3"/>
    <row r="398" ht="15.75" customHeight="1" x14ac:dyDescent="0.3"/>
    <row r="399" ht="15.75" customHeight="1" x14ac:dyDescent="0.3"/>
    <row r="400" ht="15.75" customHeight="1" x14ac:dyDescent="0.3"/>
    <row r="401" ht="15.75" customHeight="1" x14ac:dyDescent="0.3"/>
    <row r="402" ht="15.75" customHeight="1" x14ac:dyDescent="0.3"/>
    <row r="403" ht="15.75" customHeight="1" x14ac:dyDescent="0.3"/>
    <row r="404" ht="15.75" customHeight="1" x14ac:dyDescent="0.3"/>
    <row r="405" ht="15.75" customHeight="1" x14ac:dyDescent="0.3"/>
    <row r="406" ht="15.75" customHeight="1" x14ac:dyDescent="0.3"/>
    <row r="407" ht="15.75" customHeight="1" x14ac:dyDescent="0.3"/>
    <row r="408" ht="15.75" customHeight="1" x14ac:dyDescent="0.3"/>
    <row r="409" ht="15.75" customHeight="1" x14ac:dyDescent="0.3"/>
    <row r="410" ht="15.75" customHeight="1" x14ac:dyDescent="0.3"/>
    <row r="411" ht="15.75" customHeight="1" x14ac:dyDescent="0.3"/>
    <row r="412" ht="15.75" customHeight="1" x14ac:dyDescent="0.3"/>
    <row r="413" ht="15.75" customHeight="1" x14ac:dyDescent="0.3"/>
    <row r="414" ht="15.75" customHeight="1" x14ac:dyDescent="0.3"/>
    <row r="415" ht="15.75" customHeight="1" x14ac:dyDescent="0.3"/>
    <row r="416" ht="15.75" customHeight="1" x14ac:dyDescent="0.3"/>
    <row r="417" ht="15.75" customHeight="1" x14ac:dyDescent="0.3"/>
    <row r="418" ht="15.75" customHeight="1" x14ac:dyDescent="0.3"/>
    <row r="419" ht="15.75" customHeight="1" x14ac:dyDescent="0.3"/>
    <row r="420" ht="15.75" customHeight="1" x14ac:dyDescent="0.3"/>
    <row r="421" ht="15.75" customHeight="1" x14ac:dyDescent="0.3"/>
    <row r="422" ht="15.75" customHeight="1" x14ac:dyDescent="0.3"/>
    <row r="423" ht="15.75" customHeight="1" x14ac:dyDescent="0.3"/>
    <row r="424" ht="15.75" customHeight="1" x14ac:dyDescent="0.3"/>
    <row r="425" ht="15.75" customHeight="1" x14ac:dyDescent="0.3"/>
    <row r="426" ht="15.75" customHeight="1" x14ac:dyDescent="0.3"/>
    <row r="427" ht="15.75" customHeight="1" x14ac:dyDescent="0.3"/>
    <row r="428" ht="15.75" customHeight="1" x14ac:dyDescent="0.3"/>
    <row r="429" ht="15.75" customHeight="1" x14ac:dyDescent="0.3"/>
    <row r="430" ht="15.75" customHeight="1" x14ac:dyDescent="0.3"/>
    <row r="431" ht="15.75" customHeight="1" x14ac:dyDescent="0.3"/>
    <row r="432" ht="15.75" customHeight="1" x14ac:dyDescent="0.3"/>
    <row r="433" ht="15.75" customHeight="1" x14ac:dyDescent="0.3"/>
    <row r="434" ht="15.75" customHeight="1" x14ac:dyDescent="0.3"/>
    <row r="435" ht="15.75" customHeight="1" x14ac:dyDescent="0.3"/>
    <row r="436" ht="15.75" customHeight="1" x14ac:dyDescent="0.3"/>
    <row r="437" ht="15.75" customHeight="1" x14ac:dyDescent="0.3"/>
    <row r="438" ht="15.75" customHeight="1" x14ac:dyDescent="0.3"/>
    <row r="439" ht="15.75" customHeight="1" x14ac:dyDescent="0.3"/>
    <row r="440" ht="15.75" customHeight="1" x14ac:dyDescent="0.3"/>
    <row r="441" ht="15.75" customHeight="1" x14ac:dyDescent="0.3"/>
    <row r="442" ht="15.75" customHeight="1" x14ac:dyDescent="0.3"/>
    <row r="443" ht="15.75" customHeight="1" x14ac:dyDescent="0.3"/>
    <row r="444" ht="15.75" customHeight="1" x14ac:dyDescent="0.3"/>
    <row r="445" ht="15.75" customHeight="1" x14ac:dyDescent="0.3"/>
    <row r="446" ht="15.75" customHeight="1" x14ac:dyDescent="0.3"/>
    <row r="447" ht="15.75" customHeight="1" x14ac:dyDescent="0.3"/>
    <row r="448" ht="15.75" customHeight="1" x14ac:dyDescent="0.3"/>
    <row r="449" ht="15.75" customHeight="1" x14ac:dyDescent="0.3"/>
    <row r="450" ht="15.75" customHeight="1" x14ac:dyDescent="0.3"/>
    <row r="451" ht="15.75" customHeight="1" x14ac:dyDescent="0.3"/>
    <row r="452" ht="15.75" customHeight="1" x14ac:dyDescent="0.3"/>
    <row r="453" ht="15.75" customHeight="1" x14ac:dyDescent="0.3"/>
    <row r="454" ht="15.75" customHeight="1" x14ac:dyDescent="0.3"/>
    <row r="455" ht="15.75" customHeight="1" x14ac:dyDescent="0.3"/>
    <row r="456" ht="15.75" customHeight="1" x14ac:dyDescent="0.3"/>
    <row r="457" ht="15.75" customHeight="1" x14ac:dyDescent="0.3"/>
    <row r="458" ht="15.75" customHeight="1" x14ac:dyDescent="0.3"/>
    <row r="459" ht="15.75" customHeight="1" x14ac:dyDescent="0.3"/>
    <row r="460" ht="15.75" customHeight="1" x14ac:dyDescent="0.3"/>
    <row r="461" ht="15.75" customHeight="1" x14ac:dyDescent="0.3"/>
    <row r="462" ht="15.75" customHeight="1" x14ac:dyDescent="0.3"/>
    <row r="463" ht="15.75" customHeight="1" x14ac:dyDescent="0.3"/>
    <row r="464" ht="15.75" customHeight="1" x14ac:dyDescent="0.3"/>
    <row r="465" ht="15.75" customHeight="1" x14ac:dyDescent="0.3"/>
    <row r="466" ht="15.75" customHeight="1" x14ac:dyDescent="0.3"/>
    <row r="467" ht="15.75" customHeight="1" x14ac:dyDescent="0.3"/>
    <row r="468" ht="15.75" customHeight="1" x14ac:dyDescent="0.3"/>
    <row r="469" ht="15.75" customHeight="1" x14ac:dyDescent="0.3"/>
    <row r="470" ht="15.75" customHeight="1" x14ac:dyDescent="0.3"/>
    <row r="471" ht="15.75" customHeight="1" x14ac:dyDescent="0.3"/>
    <row r="472" ht="15.75" customHeight="1" x14ac:dyDescent="0.3"/>
    <row r="473" ht="15.75" customHeight="1" x14ac:dyDescent="0.3"/>
    <row r="474" ht="15.75" customHeight="1" x14ac:dyDescent="0.3"/>
    <row r="475" ht="15.75" customHeight="1" x14ac:dyDescent="0.3"/>
    <row r="476" ht="15.75" customHeight="1" x14ac:dyDescent="0.3"/>
    <row r="477" ht="15.75" customHeight="1" x14ac:dyDescent="0.3"/>
    <row r="478" ht="15.75" customHeight="1" x14ac:dyDescent="0.3"/>
    <row r="479" ht="15.75" customHeight="1" x14ac:dyDescent="0.3"/>
    <row r="480" ht="15.75" customHeight="1" x14ac:dyDescent="0.3"/>
    <row r="481" ht="15.75" customHeight="1" x14ac:dyDescent="0.3"/>
    <row r="482" ht="15.75" customHeight="1" x14ac:dyDescent="0.3"/>
    <row r="483" ht="15.75" customHeight="1" x14ac:dyDescent="0.3"/>
    <row r="484" ht="15.75" customHeight="1" x14ac:dyDescent="0.3"/>
    <row r="485" ht="15.75" customHeight="1" x14ac:dyDescent="0.3"/>
    <row r="486" ht="15.75" customHeight="1" x14ac:dyDescent="0.3"/>
    <row r="487" ht="15.75" customHeight="1" x14ac:dyDescent="0.3"/>
    <row r="488" ht="15.75" customHeight="1" x14ac:dyDescent="0.3"/>
    <row r="489" ht="15.75" customHeight="1" x14ac:dyDescent="0.3"/>
    <row r="490" ht="15.75" customHeight="1" x14ac:dyDescent="0.3"/>
    <row r="491" ht="15.75" customHeight="1" x14ac:dyDescent="0.3"/>
    <row r="492" ht="15.75" customHeight="1" x14ac:dyDescent="0.3"/>
    <row r="493" ht="15.75" customHeight="1" x14ac:dyDescent="0.3"/>
    <row r="494" ht="15.75" customHeight="1" x14ac:dyDescent="0.3"/>
    <row r="495" ht="15.75" customHeight="1" x14ac:dyDescent="0.3"/>
    <row r="496" ht="15.75" customHeight="1" x14ac:dyDescent="0.3"/>
    <row r="497" ht="15.75" customHeight="1" x14ac:dyDescent="0.3"/>
    <row r="498" ht="15.75" customHeight="1" x14ac:dyDescent="0.3"/>
    <row r="499" ht="15.75" customHeight="1" x14ac:dyDescent="0.3"/>
    <row r="500" ht="15.75" customHeight="1" x14ac:dyDescent="0.3"/>
    <row r="501" ht="15.75" customHeight="1" x14ac:dyDescent="0.3"/>
    <row r="502" ht="15.75" customHeight="1" x14ac:dyDescent="0.3"/>
    <row r="503" ht="15.75" customHeight="1" x14ac:dyDescent="0.3"/>
    <row r="504" ht="15.75" customHeight="1" x14ac:dyDescent="0.3"/>
    <row r="505" ht="15.75" customHeight="1" x14ac:dyDescent="0.3"/>
    <row r="506" ht="15.75" customHeight="1" x14ac:dyDescent="0.3"/>
    <row r="507" ht="15.75" customHeight="1" x14ac:dyDescent="0.3"/>
    <row r="508" ht="15.75" customHeight="1" x14ac:dyDescent="0.3"/>
    <row r="509" ht="15.75" customHeight="1" x14ac:dyDescent="0.3"/>
    <row r="510" ht="15.75" customHeight="1" x14ac:dyDescent="0.3"/>
    <row r="511" ht="15.75" customHeight="1" x14ac:dyDescent="0.3"/>
    <row r="512" ht="15.75" customHeight="1" x14ac:dyDescent="0.3"/>
    <row r="513" ht="15.75" customHeight="1" x14ac:dyDescent="0.3"/>
    <row r="514" ht="15.75" customHeight="1" x14ac:dyDescent="0.3"/>
    <row r="515" ht="15.75" customHeight="1" x14ac:dyDescent="0.3"/>
    <row r="516" ht="15.75" customHeight="1" x14ac:dyDescent="0.3"/>
    <row r="517" ht="15.75" customHeight="1" x14ac:dyDescent="0.3"/>
    <row r="518" ht="15.75" customHeight="1" x14ac:dyDescent="0.3"/>
    <row r="519" ht="15.75" customHeight="1" x14ac:dyDescent="0.3"/>
    <row r="520" ht="15.75" customHeight="1" x14ac:dyDescent="0.3"/>
    <row r="521" ht="15.75" customHeight="1" x14ac:dyDescent="0.3"/>
    <row r="522" ht="15.75" customHeight="1" x14ac:dyDescent="0.3"/>
    <row r="523" ht="15.75" customHeight="1" x14ac:dyDescent="0.3"/>
    <row r="524" ht="15.75" customHeight="1" x14ac:dyDescent="0.3"/>
    <row r="525" ht="15.75" customHeight="1" x14ac:dyDescent="0.3"/>
    <row r="526" ht="15.75" customHeight="1" x14ac:dyDescent="0.3"/>
    <row r="527" ht="15.75" customHeight="1" x14ac:dyDescent="0.3"/>
    <row r="528" ht="15.75" customHeight="1" x14ac:dyDescent="0.3"/>
    <row r="529" ht="15.75" customHeight="1" x14ac:dyDescent="0.3"/>
    <row r="530" ht="15.75" customHeight="1" x14ac:dyDescent="0.3"/>
    <row r="531" ht="15.75" customHeight="1" x14ac:dyDescent="0.3"/>
    <row r="532" ht="15.75" customHeight="1" x14ac:dyDescent="0.3"/>
    <row r="533" ht="15.75" customHeight="1" x14ac:dyDescent="0.3"/>
    <row r="534" ht="15.75" customHeight="1" x14ac:dyDescent="0.3"/>
    <row r="535" ht="15.75" customHeight="1" x14ac:dyDescent="0.3"/>
    <row r="536" ht="15.75" customHeight="1" x14ac:dyDescent="0.3"/>
    <row r="537" ht="15.75" customHeight="1" x14ac:dyDescent="0.3"/>
    <row r="538" ht="15.75" customHeight="1" x14ac:dyDescent="0.3"/>
    <row r="539" ht="15.75" customHeight="1" x14ac:dyDescent="0.3"/>
    <row r="540" ht="15.75" customHeight="1" x14ac:dyDescent="0.3"/>
    <row r="541" ht="15.75" customHeight="1" x14ac:dyDescent="0.3"/>
    <row r="542" ht="15.75" customHeight="1" x14ac:dyDescent="0.3"/>
    <row r="543" ht="15.75" customHeight="1" x14ac:dyDescent="0.3"/>
    <row r="544" ht="15.75" customHeight="1" x14ac:dyDescent="0.3"/>
    <row r="545" ht="15.75" customHeight="1" x14ac:dyDescent="0.3"/>
    <row r="546" ht="15.75" customHeight="1" x14ac:dyDescent="0.3"/>
    <row r="547" ht="15.75" customHeight="1" x14ac:dyDescent="0.3"/>
    <row r="548" ht="15.75" customHeight="1" x14ac:dyDescent="0.3"/>
    <row r="549" ht="15.75" customHeight="1" x14ac:dyDescent="0.3"/>
    <row r="550" ht="15.75" customHeight="1" x14ac:dyDescent="0.3"/>
    <row r="551" ht="15.75" customHeight="1" x14ac:dyDescent="0.3"/>
    <row r="552" ht="15.75" customHeight="1" x14ac:dyDescent="0.3"/>
    <row r="553" ht="15.75" customHeight="1" x14ac:dyDescent="0.3"/>
    <row r="554" ht="15.75" customHeight="1" x14ac:dyDescent="0.3"/>
    <row r="555" ht="15.75" customHeight="1" x14ac:dyDescent="0.3"/>
    <row r="556" ht="15.75" customHeight="1" x14ac:dyDescent="0.3"/>
    <row r="557" ht="15.75" customHeight="1" x14ac:dyDescent="0.3"/>
    <row r="558" ht="15.75" customHeight="1" x14ac:dyDescent="0.3"/>
    <row r="559" ht="15.75" customHeight="1" x14ac:dyDescent="0.3"/>
    <row r="560" ht="15.75" customHeight="1" x14ac:dyDescent="0.3"/>
    <row r="561" ht="15.75" customHeight="1" x14ac:dyDescent="0.3"/>
    <row r="562" ht="15.75" customHeight="1" x14ac:dyDescent="0.3"/>
    <row r="563" ht="15.75" customHeight="1" x14ac:dyDescent="0.3"/>
    <row r="564" ht="15.75" customHeight="1" x14ac:dyDescent="0.3"/>
    <row r="565" ht="15.75" customHeight="1" x14ac:dyDescent="0.3"/>
    <row r="566" ht="15.75" customHeight="1" x14ac:dyDescent="0.3"/>
    <row r="567" ht="15.75" customHeight="1" x14ac:dyDescent="0.3"/>
    <row r="568" ht="15.75" customHeight="1" x14ac:dyDescent="0.3"/>
    <row r="569" ht="15.75" customHeight="1" x14ac:dyDescent="0.3"/>
    <row r="570" ht="15.75" customHeight="1" x14ac:dyDescent="0.3"/>
    <row r="571" ht="15.75" customHeight="1" x14ac:dyDescent="0.3"/>
    <row r="572" ht="15.75" customHeight="1" x14ac:dyDescent="0.3"/>
    <row r="573" ht="15.75" customHeight="1" x14ac:dyDescent="0.3"/>
    <row r="574" ht="15.75" customHeight="1" x14ac:dyDescent="0.3"/>
    <row r="575" ht="15.75" customHeight="1" x14ac:dyDescent="0.3"/>
    <row r="576" ht="15.75" customHeight="1" x14ac:dyDescent="0.3"/>
    <row r="577" ht="15.75" customHeight="1" x14ac:dyDescent="0.3"/>
    <row r="578" ht="15.75" customHeight="1" x14ac:dyDescent="0.3"/>
    <row r="579" ht="15.75" customHeight="1" x14ac:dyDescent="0.3"/>
    <row r="580" ht="15.75" customHeight="1" x14ac:dyDescent="0.3"/>
    <row r="581" ht="15.75" customHeight="1" x14ac:dyDescent="0.3"/>
    <row r="582" ht="15.75" customHeight="1" x14ac:dyDescent="0.3"/>
    <row r="583" ht="15.75" customHeight="1" x14ac:dyDescent="0.3"/>
    <row r="584" ht="15.75" customHeight="1" x14ac:dyDescent="0.3"/>
    <row r="585" ht="15.75" customHeight="1" x14ac:dyDescent="0.3"/>
    <row r="586" ht="15.75" customHeight="1" x14ac:dyDescent="0.3"/>
    <row r="587" ht="15.75" customHeight="1" x14ac:dyDescent="0.3"/>
    <row r="588" ht="15.75" customHeight="1" x14ac:dyDescent="0.3"/>
    <row r="589" ht="15.75" customHeight="1" x14ac:dyDescent="0.3"/>
    <row r="590" ht="15.75" customHeight="1" x14ac:dyDescent="0.3"/>
    <row r="591" ht="15.75" customHeight="1" x14ac:dyDescent="0.3"/>
    <row r="592" ht="15.75" customHeight="1" x14ac:dyDescent="0.3"/>
    <row r="593" ht="15.75" customHeight="1" x14ac:dyDescent="0.3"/>
    <row r="594" ht="15.75" customHeight="1" x14ac:dyDescent="0.3"/>
    <row r="595" ht="15.75" customHeight="1" x14ac:dyDescent="0.3"/>
    <row r="596" ht="15.75" customHeight="1" x14ac:dyDescent="0.3"/>
    <row r="597" ht="15.75" customHeight="1" x14ac:dyDescent="0.3"/>
    <row r="598" ht="15.75" customHeight="1" x14ac:dyDescent="0.3"/>
    <row r="599" ht="15.75" customHeight="1" x14ac:dyDescent="0.3"/>
    <row r="600" ht="15.75" customHeight="1" x14ac:dyDescent="0.3"/>
    <row r="601" ht="15.75" customHeight="1" x14ac:dyDescent="0.3"/>
    <row r="602" ht="15.75" customHeight="1" x14ac:dyDescent="0.3"/>
    <row r="603" ht="15.75" customHeight="1" x14ac:dyDescent="0.3"/>
    <row r="604" ht="15.75" customHeight="1" x14ac:dyDescent="0.3"/>
    <row r="605" ht="15.75" customHeight="1" x14ac:dyDescent="0.3"/>
    <row r="606" ht="15.75" customHeight="1" x14ac:dyDescent="0.3"/>
    <row r="607" ht="15.75" customHeight="1" x14ac:dyDescent="0.3"/>
    <row r="608" ht="15.75" customHeight="1" x14ac:dyDescent="0.3"/>
    <row r="609" ht="15.75" customHeight="1" x14ac:dyDescent="0.3"/>
    <row r="610" ht="15.75" customHeight="1" x14ac:dyDescent="0.3"/>
    <row r="611" ht="15.75" customHeight="1" x14ac:dyDescent="0.3"/>
    <row r="612" ht="15.75" customHeight="1" x14ac:dyDescent="0.3"/>
    <row r="613" ht="15.75" customHeight="1" x14ac:dyDescent="0.3"/>
    <row r="614" ht="15.75" customHeight="1" x14ac:dyDescent="0.3"/>
    <row r="615" ht="15.75" customHeight="1" x14ac:dyDescent="0.3"/>
    <row r="616" ht="15.75" customHeight="1" x14ac:dyDescent="0.3"/>
    <row r="617" ht="15.75" customHeight="1" x14ac:dyDescent="0.3"/>
    <row r="618" ht="15.75" customHeight="1" x14ac:dyDescent="0.3"/>
    <row r="619" ht="15.75" customHeight="1" x14ac:dyDescent="0.3"/>
    <row r="620" ht="15.75" customHeight="1" x14ac:dyDescent="0.3"/>
    <row r="621" ht="15.75" customHeight="1" x14ac:dyDescent="0.3"/>
    <row r="622" ht="15.75" customHeight="1" x14ac:dyDescent="0.3"/>
    <row r="623" ht="15.75" customHeight="1" x14ac:dyDescent="0.3"/>
    <row r="624" ht="15.75" customHeight="1" x14ac:dyDescent="0.3"/>
    <row r="625" ht="15.75" customHeight="1" x14ac:dyDescent="0.3"/>
    <row r="626" ht="15.75" customHeight="1" x14ac:dyDescent="0.3"/>
    <row r="627" ht="15.75" customHeight="1" x14ac:dyDescent="0.3"/>
    <row r="628" ht="15.75" customHeight="1" x14ac:dyDescent="0.3"/>
    <row r="629" ht="15.75" customHeight="1" x14ac:dyDescent="0.3"/>
    <row r="630" ht="15.75" customHeight="1" x14ac:dyDescent="0.3"/>
    <row r="631" ht="15.75" customHeight="1" x14ac:dyDescent="0.3"/>
    <row r="632" ht="15.75" customHeight="1" x14ac:dyDescent="0.3"/>
    <row r="633" ht="15.75" customHeight="1" x14ac:dyDescent="0.3"/>
    <row r="634" ht="15.75" customHeight="1" x14ac:dyDescent="0.3"/>
    <row r="635" ht="15.75" customHeight="1" x14ac:dyDescent="0.3"/>
    <row r="636" ht="15.75" customHeight="1" x14ac:dyDescent="0.3"/>
    <row r="637" ht="15.75" customHeight="1" x14ac:dyDescent="0.3"/>
    <row r="638" ht="15.75" customHeight="1" x14ac:dyDescent="0.3"/>
    <row r="639" ht="15.75" customHeight="1" x14ac:dyDescent="0.3"/>
    <row r="640" ht="15.75" customHeight="1" x14ac:dyDescent="0.3"/>
    <row r="641" ht="15.75" customHeight="1" x14ac:dyDescent="0.3"/>
    <row r="642" ht="15.75" customHeight="1" x14ac:dyDescent="0.3"/>
    <row r="643" ht="15.75" customHeight="1" x14ac:dyDescent="0.3"/>
    <row r="644" ht="15.75" customHeight="1" x14ac:dyDescent="0.3"/>
    <row r="645" ht="15.75" customHeight="1" x14ac:dyDescent="0.3"/>
    <row r="646" ht="15.75" customHeight="1" x14ac:dyDescent="0.3"/>
    <row r="647" ht="15.75" customHeight="1" x14ac:dyDescent="0.3"/>
    <row r="648" ht="15.75" customHeight="1" x14ac:dyDescent="0.3"/>
    <row r="649" ht="15.75" customHeight="1" x14ac:dyDescent="0.3"/>
    <row r="650" ht="15.75" customHeight="1" x14ac:dyDescent="0.3"/>
    <row r="651" ht="15.75" customHeight="1" x14ac:dyDescent="0.3"/>
    <row r="652" ht="15.75" customHeight="1" x14ac:dyDescent="0.3"/>
    <row r="653" ht="15.75" customHeight="1" x14ac:dyDescent="0.3"/>
    <row r="654" ht="15.75" customHeight="1" x14ac:dyDescent="0.3"/>
    <row r="655" ht="15.75" customHeight="1" x14ac:dyDescent="0.3"/>
    <row r="656" ht="15.75" customHeight="1" x14ac:dyDescent="0.3"/>
    <row r="657" ht="15.75" customHeight="1" x14ac:dyDescent="0.3"/>
    <row r="658" ht="15.75" customHeight="1" x14ac:dyDescent="0.3"/>
    <row r="659" ht="15.75" customHeight="1" x14ac:dyDescent="0.3"/>
    <row r="660" ht="15.75" customHeight="1" x14ac:dyDescent="0.3"/>
    <row r="661" ht="15.75" customHeight="1" x14ac:dyDescent="0.3"/>
    <row r="662" ht="15.75" customHeight="1" x14ac:dyDescent="0.3"/>
    <row r="663" ht="15.75" customHeight="1" x14ac:dyDescent="0.3"/>
    <row r="664" ht="15.75" customHeight="1" x14ac:dyDescent="0.3"/>
    <row r="665" ht="15.75" customHeight="1" x14ac:dyDescent="0.3"/>
    <row r="666" ht="15.75" customHeight="1" x14ac:dyDescent="0.3"/>
    <row r="667" ht="15.75" customHeight="1" x14ac:dyDescent="0.3"/>
    <row r="668" ht="15.75" customHeight="1" x14ac:dyDescent="0.3"/>
    <row r="669" ht="15.75" customHeight="1" x14ac:dyDescent="0.3"/>
    <row r="670" ht="15.75" customHeight="1" x14ac:dyDescent="0.3"/>
    <row r="671" ht="15.75" customHeight="1" x14ac:dyDescent="0.3"/>
    <row r="672" ht="15.75" customHeight="1" x14ac:dyDescent="0.3"/>
    <row r="673" ht="15.75" customHeight="1" x14ac:dyDescent="0.3"/>
    <row r="674" ht="15.75" customHeight="1" x14ac:dyDescent="0.3"/>
    <row r="675" ht="15.75" customHeight="1" x14ac:dyDescent="0.3"/>
    <row r="676" ht="15.75" customHeight="1" x14ac:dyDescent="0.3"/>
    <row r="677" ht="15.75" customHeight="1" x14ac:dyDescent="0.3"/>
    <row r="678" ht="15.75" customHeight="1" x14ac:dyDescent="0.3"/>
    <row r="679" ht="15.75" customHeight="1" x14ac:dyDescent="0.3"/>
    <row r="680" ht="15.75" customHeight="1" x14ac:dyDescent="0.3"/>
    <row r="681" ht="15.75" customHeight="1" x14ac:dyDescent="0.3"/>
    <row r="682" ht="15.75" customHeight="1" x14ac:dyDescent="0.3"/>
    <row r="683" ht="15.75" customHeight="1" x14ac:dyDescent="0.3"/>
    <row r="684" ht="15.75" customHeight="1" x14ac:dyDescent="0.3"/>
    <row r="685" ht="15.75" customHeight="1" x14ac:dyDescent="0.3"/>
    <row r="686" ht="15.75" customHeight="1" x14ac:dyDescent="0.3"/>
    <row r="687" ht="15.75" customHeight="1" x14ac:dyDescent="0.3"/>
    <row r="688" ht="15.75" customHeight="1" x14ac:dyDescent="0.3"/>
    <row r="689" ht="15.75" customHeight="1" x14ac:dyDescent="0.3"/>
    <row r="690" ht="15.75" customHeight="1" x14ac:dyDescent="0.3"/>
    <row r="691" ht="15.75" customHeight="1" x14ac:dyDescent="0.3"/>
    <row r="692" ht="15.75" customHeight="1" x14ac:dyDescent="0.3"/>
    <row r="693" ht="15.75" customHeight="1" x14ac:dyDescent="0.3"/>
    <row r="694" ht="15.75" customHeight="1" x14ac:dyDescent="0.3"/>
    <row r="695" ht="15.75" customHeight="1" x14ac:dyDescent="0.3"/>
    <row r="696" ht="15.75" customHeight="1" x14ac:dyDescent="0.3"/>
    <row r="697" ht="15.75" customHeight="1" x14ac:dyDescent="0.3"/>
    <row r="698" ht="15.75" customHeight="1" x14ac:dyDescent="0.3"/>
    <row r="699" ht="15.75" customHeight="1" x14ac:dyDescent="0.3"/>
    <row r="700" ht="15.75" customHeight="1" x14ac:dyDescent="0.3"/>
    <row r="701" ht="15.75" customHeight="1" x14ac:dyDescent="0.3"/>
    <row r="702" ht="15.75" customHeight="1" x14ac:dyDescent="0.3"/>
    <row r="703" ht="15.75" customHeight="1" x14ac:dyDescent="0.3"/>
    <row r="704" ht="15.75" customHeight="1" x14ac:dyDescent="0.3"/>
    <row r="705" ht="15.75" customHeight="1" x14ac:dyDescent="0.3"/>
    <row r="706" ht="15.75" customHeight="1" x14ac:dyDescent="0.3"/>
    <row r="707" ht="15.75" customHeight="1" x14ac:dyDescent="0.3"/>
    <row r="708" ht="15.75" customHeight="1" x14ac:dyDescent="0.3"/>
    <row r="709" ht="15.75" customHeight="1" x14ac:dyDescent="0.3"/>
    <row r="710" ht="15.75" customHeight="1" x14ac:dyDescent="0.3"/>
    <row r="711" ht="15.75" customHeight="1" x14ac:dyDescent="0.3"/>
    <row r="712" ht="15.75" customHeight="1" x14ac:dyDescent="0.3"/>
    <row r="713" ht="15.75" customHeight="1" x14ac:dyDescent="0.3"/>
    <row r="714" ht="15.75" customHeight="1" x14ac:dyDescent="0.3"/>
    <row r="715" ht="15.75" customHeight="1" x14ac:dyDescent="0.3"/>
    <row r="716" ht="15.75" customHeight="1" x14ac:dyDescent="0.3"/>
    <row r="717" ht="15.75" customHeight="1" x14ac:dyDescent="0.3"/>
    <row r="718" ht="15.75" customHeight="1" x14ac:dyDescent="0.3"/>
    <row r="719" ht="15.75" customHeight="1" x14ac:dyDescent="0.3"/>
    <row r="720" ht="15.75" customHeight="1" x14ac:dyDescent="0.3"/>
    <row r="721" ht="15.75" customHeight="1" x14ac:dyDescent="0.3"/>
    <row r="722" ht="15.75" customHeight="1" x14ac:dyDescent="0.3"/>
    <row r="723" ht="15.75" customHeight="1" x14ac:dyDescent="0.3"/>
    <row r="724" ht="15.75" customHeight="1" x14ac:dyDescent="0.3"/>
    <row r="725" ht="15.75" customHeight="1" x14ac:dyDescent="0.3"/>
    <row r="726" ht="15.75" customHeight="1" x14ac:dyDescent="0.3"/>
    <row r="727" ht="15.75" customHeight="1" x14ac:dyDescent="0.3"/>
    <row r="728" ht="15.75" customHeight="1" x14ac:dyDescent="0.3"/>
    <row r="729" ht="15.75" customHeight="1" x14ac:dyDescent="0.3"/>
    <row r="730" ht="15.75" customHeight="1" x14ac:dyDescent="0.3"/>
    <row r="731" ht="15.75" customHeight="1" x14ac:dyDescent="0.3"/>
    <row r="732" ht="15.75" customHeight="1" x14ac:dyDescent="0.3"/>
    <row r="733" ht="15.75" customHeight="1" x14ac:dyDescent="0.3"/>
    <row r="734" ht="15.75" customHeight="1" x14ac:dyDescent="0.3"/>
    <row r="735" ht="15.75" customHeight="1" x14ac:dyDescent="0.3"/>
    <row r="736" ht="15.75" customHeight="1" x14ac:dyDescent="0.3"/>
    <row r="737" ht="15.75" customHeight="1" x14ac:dyDescent="0.3"/>
    <row r="738" ht="15.75" customHeight="1" x14ac:dyDescent="0.3"/>
    <row r="739" ht="15.75" customHeight="1" x14ac:dyDescent="0.3"/>
    <row r="740" ht="15.75" customHeight="1" x14ac:dyDescent="0.3"/>
    <row r="741" ht="15.75" customHeight="1" x14ac:dyDescent="0.3"/>
    <row r="742" ht="15.75" customHeight="1" x14ac:dyDescent="0.3"/>
    <row r="743" ht="15.75" customHeight="1" x14ac:dyDescent="0.3"/>
    <row r="744" ht="15.75" customHeight="1" x14ac:dyDescent="0.3"/>
    <row r="745" ht="15.75" customHeight="1" x14ac:dyDescent="0.3"/>
    <row r="746" ht="15.75" customHeight="1" x14ac:dyDescent="0.3"/>
    <row r="747" ht="15.75" customHeight="1" x14ac:dyDescent="0.3"/>
    <row r="748" ht="15.75" customHeight="1" x14ac:dyDescent="0.3"/>
    <row r="749" ht="15.75" customHeight="1" x14ac:dyDescent="0.3"/>
    <row r="750" ht="15.75" customHeight="1" x14ac:dyDescent="0.3"/>
    <row r="751" ht="15.75" customHeight="1" x14ac:dyDescent="0.3"/>
    <row r="752" ht="15.75" customHeight="1" x14ac:dyDescent="0.3"/>
    <row r="753" ht="15.75" customHeight="1" x14ac:dyDescent="0.3"/>
    <row r="754" ht="15.75" customHeight="1" x14ac:dyDescent="0.3"/>
    <row r="755" ht="15.75" customHeight="1" x14ac:dyDescent="0.3"/>
    <row r="756" ht="15.75" customHeight="1" x14ac:dyDescent="0.3"/>
    <row r="757" ht="15.75" customHeight="1" x14ac:dyDescent="0.3"/>
    <row r="758" ht="15.75" customHeight="1" x14ac:dyDescent="0.3"/>
    <row r="759" ht="15.75" customHeight="1" x14ac:dyDescent="0.3"/>
    <row r="760" ht="15.75" customHeight="1" x14ac:dyDescent="0.3"/>
    <row r="761" ht="15.75" customHeight="1" x14ac:dyDescent="0.3"/>
    <row r="762" ht="15.75" customHeight="1" x14ac:dyDescent="0.3"/>
    <row r="763" ht="15.75" customHeight="1" x14ac:dyDescent="0.3"/>
    <row r="764" ht="15.75" customHeight="1" x14ac:dyDescent="0.3"/>
    <row r="765" ht="15.75" customHeight="1" x14ac:dyDescent="0.3"/>
    <row r="766" ht="15.75" customHeight="1" x14ac:dyDescent="0.3"/>
    <row r="767" ht="15.75" customHeight="1" x14ac:dyDescent="0.3"/>
    <row r="768" ht="15.75" customHeight="1" x14ac:dyDescent="0.3"/>
    <row r="769" ht="15.75" customHeight="1" x14ac:dyDescent="0.3"/>
    <row r="770" ht="15.75" customHeight="1" x14ac:dyDescent="0.3"/>
    <row r="771" ht="15.75" customHeight="1" x14ac:dyDescent="0.3"/>
    <row r="772" ht="15.75" customHeight="1" x14ac:dyDescent="0.3"/>
    <row r="773" ht="15.75" customHeight="1" x14ac:dyDescent="0.3"/>
    <row r="774" ht="15.75" customHeight="1" x14ac:dyDescent="0.3"/>
    <row r="775" ht="15.75" customHeight="1" x14ac:dyDescent="0.3"/>
    <row r="776" ht="15.75" customHeight="1" x14ac:dyDescent="0.3"/>
    <row r="777" ht="15.75" customHeight="1" x14ac:dyDescent="0.3"/>
    <row r="778" ht="15.75" customHeight="1" x14ac:dyDescent="0.3"/>
    <row r="779" ht="15.75" customHeight="1" x14ac:dyDescent="0.3"/>
    <row r="780" ht="15.75" customHeight="1" x14ac:dyDescent="0.3"/>
    <row r="781" ht="15.75" customHeight="1" x14ac:dyDescent="0.3"/>
    <row r="782" ht="15.75" customHeight="1" x14ac:dyDescent="0.3"/>
    <row r="783" ht="15.75" customHeight="1" x14ac:dyDescent="0.3"/>
    <row r="784" ht="15.75" customHeight="1" x14ac:dyDescent="0.3"/>
    <row r="785" ht="15.75" customHeight="1" x14ac:dyDescent="0.3"/>
    <row r="786" ht="15.75" customHeight="1" x14ac:dyDescent="0.3"/>
    <row r="787" ht="15.75" customHeight="1" x14ac:dyDescent="0.3"/>
    <row r="788" ht="15.75" customHeight="1" x14ac:dyDescent="0.3"/>
    <row r="789" ht="15.75" customHeight="1" x14ac:dyDescent="0.3"/>
    <row r="790" ht="15.75" customHeight="1" x14ac:dyDescent="0.3"/>
    <row r="791" ht="15.75" customHeight="1" x14ac:dyDescent="0.3"/>
    <row r="792" ht="15.75" customHeight="1" x14ac:dyDescent="0.3"/>
    <row r="793" ht="15.75" customHeight="1" x14ac:dyDescent="0.3"/>
    <row r="794" ht="15.75" customHeight="1" x14ac:dyDescent="0.3"/>
    <row r="795" ht="15.75" customHeight="1" x14ac:dyDescent="0.3"/>
    <row r="796" ht="15.75" customHeight="1" x14ac:dyDescent="0.3"/>
    <row r="797" ht="15.75" customHeight="1" x14ac:dyDescent="0.3"/>
    <row r="798" ht="15.75" customHeight="1" x14ac:dyDescent="0.3"/>
    <row r="799" ht="15.75" customHeight="1" x14ac:dyDescent="0.3"/>
    <row r="800" ht="15.75" customHeight="1" x14ac:dyDescent="0.3"/>
    <row r="801" ht="15.75" customHeight="1" x14ac:dyDescent="0.3"/>
    <row r="802" ht="15.75" customHeight="1" x14ac:dyDescent="0.3"/>
    <row r="803" ht="15.75" customHeight="1" x14ac:dyDescent="0.3"/>
    <row r="804" ht="15.75" customHeight="1" x14ac:dyDescent="0.3"/>
    <row r="805" ht="15.75" customHeight="1" x14ac:dyDescent="0.3"/>
    <row r="806" ht="15.75" customHeight="1" x14ac:dyDescent="0.3"/>
    <row r="807" ht="15.75" customHeight="1" x14ac:dyDescent="0.3"/>
    <row r="808" ht="15.75" customHeight="1" x14ac:dyDescent="0.3"/>
    <row r="809" ht="15.75" customHeight="1" x14ac:dyDescent="0.3"/>
    <row r="810" ht="15.75" customHeight="1" x14ac:dyDescent="0.3"/>
    <row r="811" ht="15.75" customHeight="1" x14ac:dyDescent="0.3"/>
    <row r="812" ht="15.75" customHeight="1" x14ac:dyDescent="0.3"/>
    <row r="813" ht="15.75" customHeight="1" x14ac:dyDescent="0.3"/>
    <row r="814" ht="15.75" customHeight="1" x14ac:dyDescent="0.3"/>
    <row r="815" ht="15.75" customHeight="1" x14ac:dyDescent="0.3"/>
    <row r="816" ht="15.75" customHeight="1" x14ac:dyDescent="0.3"/>
    <row r="817" ht="15.75" customHeight="1" x14ac:dyDescent="0.3"/>
    <row r="818" ht="15.75" customHeight="1" x14ac:dyDescent="0.3"/>
    <row r="819" ht="15.75" customHeight="1" x14ac:dyDescent="0.3"/>
    <row r="820" ht="15.75" customHeight="1" x14ac:dyDescent="0.3"/>
    <row r="821" ht="15.75" customHeight="1" x14ac:dyDescent="0.3"/>
    <row r="822" ht="15.75" customHeight="1" x14ac:dyDescent="0.3"/>
    <row r="823" ht="15.75" customHeight="1" x14ac:dyDescent="0.3"/>
    <row r="824" ht="15.75" customHeight="1" x14ac:dyDescent="0.3"/>
    <row r="825" ht="15.75" customHeight="1" x14ac:dyDescent="0.3"/>
    <row r="826" ht="15.75" customHeight="1" x14ac:dyDescent="0.3"/>
    <row r="827" ht="15.75" customHeight="1" x14ac:dyDescent="0.3"/>
    <row r="828" ht="15.75" customHeight="1" x14ac:dyDescent="0.3"/>
    <row r="829" ht="15.75" customHeight="1" x14ac:dyDescent="0.3"/>
    <row r="830" ht="15.75" customHeight="1" x14ac:dyDescent="0.3"/>
    <row r="831" ht="15.75" customHeight="1" x14ac:dyDescent="0.3"/>
    <row r="832" ht="15.75" customHeight="1" x14ac:dyDescent="0.3"/>
    <row r="833" ht="15.75" customHeight="1" x14ac:dyDescent="0.3"/>
    <row r="834" ht="15.75" customHeight="1" x14ac:dyDescent="0.3"/>
    <row r="835" ht="15.75" customHeight="1" x14ac:dyDescent="0.3"/>
    <row r="836" ht="15.75" customHeight="1" x14ac:dyDescent="0.3"/>
    <row r="837" ht="15.75" customHeight="1" x14ac:dyDescent="0.3"/>
    <row r="838" ht="15.75" customHeight="1" x14ac:dyDescent="0.3"/>
    <row r="839" ht="15.75" customHeight="1" x14ac:dyDescent="0.3"/>
    <row r="840" ht="15.75" customHeight="1" x14ac:dyDescent="0.3"/>
    <row r="841" ht="15.75" customHeight="1" x14ac:dyDescent="0.3"/>
    <row r="842" ht="15.75" customHeight="1" x14ac:dyDescent="0.3"/>
    <row r="843" ht="15.75" customHeight="1" x14ac:dyDescent="0.3"/>
    <row r="844" ht="15.75" customHeight="1" x14ac:dyDescent="0.3"/>
    <row r="845" ht="15.75" customHeight="1" x14ac:dyDescent="0.3"/>
    <row r="846" ht="15.75" customHeight="1" x14ac:dyDescent="0.3"/>
    <row r="847" ht="15.75" customHeight="1" x14ac:dyDescent="0.3"/>
    <row r="848" ht="15.75" customHeight="1" x14ac:dyDescent="0.3"/>
    <row r="849" ht="15.75" customHeight="1" x14ac:dyDescent="0.3"/>
    <row r="850" ht="15.75" customHeight="1" x14ac:dyDescent="0.3"/>
    <row r="851" ht="15.75" customHeight="1" x14ac:dyDescent="0.3"/>
    <row r="852" ht="15.75" customHeight="1" x14ac:dyDescent="0.3"/>
    <row r="853" ht="15.75" customHeight="1" x14ac:dyDescent="0.3"/>
    <row r="854" ht="15.75" customHeight="1" x14ac:dyDescent="0.3"/>
    <row r="855" ht="15.75" customHeight="1" x14ac:dyDescent="0.3"/>
    <row r="856" ht="15.75" customHeight="1" x14ac:dyDescent="0.3"/>
    <row r="857" ht="15.75" customHeight="1" x14ac:dyDescent="0.3"/>
    <row r="858" ht="15.75" customHeight="1" x14ac:dyDescent="0.3"/>
    <row r="859" ht="15.75" customHeight="1" x14ac:dyDescent="0.3"/>
    <row r="860" ht="15.75" customHeight="1" x14ac:dyDescent="0.3"/>
    <row r="861" ht="15.75" customHeight="1" x14ac:dyDescent="0.3"/>
    <row r="862" ht="15.75" customHeight="1" x14ac:dyDescent="0.3"/>
    <row r="863" ht="15.75" customHeight="1" x14ac:dyDescent="0.3"/>
    <row r="864" ht="15.75" customHeight="1" x14ac:dyDescent="0.3"/>
    <row r="865" ht="15.75" customHeight="1" x14ac:dyDescent="0.3"/>
    <row r="866" ht="15.75" customHeight="1" x14ac:dyDescent="0.3"/>
    <row r="867" ht="15.75" customHeight="1" x14ac:dyDescent="0.3"/>
    <row r="868" ht="15.75" customHeight="1" x14ac:dyDescent="0.3"/>
    <row r="869" ht="15.75" customHeight="1" x14ac:dyDescent="0.3"/>
    <row r="870" ht="15.75" customHeight="1" x14ac:dyDescent="0.3"/>
    <row r="871" ht="15.75" customHeight="1" x14ac:dyDescent="0.3"/>
    <row r="872" ht="15.75" customHeight="1" x14ac:dyDescent="0.3"/>
    <row r="873" ht="15.75" customHeight="1" x14ac:dyDescent="0.3"/>
    <row r="874" ht="15.75" customHeight="1" x14ac:dyDescent="0.3"/>
    <row r="875" ht="15.75" customHeight="1" x14ac:dyDescent="0.3"/>
    <row r="876" ht="15.75" customHeight="1" x14ac:dyDescent="0.3"/>
    <row r="877" ht="15.75" customHeight="1" x14ac:dyDescent="0.3"/>
    <row r="878" ht="15.75" customHeight="1" x14ac:dyDescent="0.3"/>
    <row r="879" ht="15.75" customHeight="1" x14ac:dyDescent="0.3"/>
    <row r="880" ht="15.75" customHeight="1" x14ac:dyDescent="0.3"/>
    <row r="881" ht="15.75" customHeight="1" x14ac:dyDescent="0.3"/>
    <row r="882" ht="15.75" customHeight="1" x14ac:dyDescent="0.3"/>
    <row r="883" ht="15.75" customHeight="1" x14ac:dyDescent="0.3"/>
    <row r="884" ht="15.75" customHeight="1" x14ac:dyDescent="0.3"/>
    <row r="885" ht="15.75" customHeight="1" x14ac:dyDescent="0.3"/>
    <row r="886" ht="15.75" customHeight="1" x14ac:dyDescent="0.3"/>
    <row r="887" ht="15.75" customHeight="1" x14ac:dyDescent="0.3"/>
    <row r="888" ht="15.75" customHeight="1" x14ac:dyDescent="0.3"/>
    <row r="889" ht="15.75" customHeight="1" x14ac:dyDescent="0.3"/>
    <row r="890" ht="15.75" customHeight="1" x14ac:dyDescent="0.3"/>
    <row r="891" ht="15.75" customHeight="1" x14ac:dyDescent="0.3"/>
    <row r="892" ht="15.75" customHeight="1" x14ac:dyDescent="0.3"/>
    <row r="893" ht="15.75" customHeight="1" x14ac:dyDescent="0.3"/>
    <row r="894" ht="15.75" customHeight="1" x14ac:dyDescent="0.3"/>
    <row r="895" ht="15.75" customHeight="1" x14ac:dyDescent="0.3"/>
    <row r="896" ht="15.75" customHeight="1" x14ac:dyDescent="0.3"/>
    <row r="897" ht="15.75" customHeight="1" x14ac:dyDescent="0.3"/>
    <row r="898" ht="15.75" customHeight="1" x14ac:dyDescent="0.3"/>
    <row r="899" ht="15.75" customHeight="1" x14ac:dyDescent="0.3"/>
    <row r="900" ht="15.75" customHeight="1" x14ac:dyDescent="0.3"/>
    <row r="901" ht="15.75" customHeight="1" x14ac:dyDescent="0.3"/>
    <row r="902" ht="15.75" customHeight="1" x14ac:dyDescent="0.3"/>
    <row r="903" ht="15.75" customHeight="1" x14ac:dyDescent="0.3"/>
    <row r="904" ht="15.75" customHeight="1" x14ac:dyDescent="0.3"/>
    <row r="905" ht="15.75" customHeight="1" x14ac:dyDescent="0.3"/>
    <row r="906" ht="15.75" customHeight="1" x14ac:dyDescent="0.3"/>
    <row r="907" ht="15.75" customHeight="1" x14ac:dyDescent="0.3"/>
    <row r="908" ht="15.75" customHeight="1" x14ac:dyDescent="0.3"/>
    <row r="909" ht="15.75" customHeight="1" x14ac:dyDescent="0.3"/>
    <row r="910" ht="15.75" customHeight="1" x14ac:dyDescent="0.3"/>
    <row r="911" ht="15.75" customHeight="1" x14ac:dyDescent="0.3"/>
    <row r="912" ht="15.75" customHeight="1" x14ac:dyDescent="0.3"/>
    <row r="913" ht="15.75" customHeight="1" x14ac:dyDescent="0.3"/>
    <row r="914" ht="15.75" customHeight="1" x14ac:dyDescent="0.3"/>
    <row r="915" ht="15.75" customHeight="1" x14ac:dyDescent="0.3"/>
    <row r="916" ht="15.75" customHeight="1" x14ac:dyDescent="0.3"/>
    <row r="917" ht="15.75" customHeight="1" x14ac:dyDescent="0.3"/>
    <row r="918" ht="15.75" customHeight="1" x14ac:dyDescent="0.3"/>
    <row r="919" ht="15.75" customHeight="1" x14ac:dyDescent="0.3"/>
    <row r="920" ht="15.75" customHeight="1" x14ac:dyDescent="0.3"/>
    <row r="921" ht="15.75" customHeight="1" x14ac:dyDescent="0.3"/>
    <row r="922" ht="15.75" customHeight="1" x14ac:dyDescent="0.3"/>
    <row r="923" ht="15.75" customHeight="1" x14ac:dyDescent="0.3"/>
    <row r="924" ht="15.75" customHeight="1" x14ac:dyDescent="0.3"/>
    <row r="925" ht="15.75" customHeight="1" x14ac:dyDescent="0.3"/>
    <row r="926" ht="15.75" customHeight="1" x14ac:dyDescent="0.3"/>
    <row r="927" ht="15.75" customHeight="1" x14ac:dyDescent="0.3"/>
    <row r="928" ht="15.75" customHeight="1" x14ac:dyDescent="0.3"/>
    <row r="929" ht="15.75" customHeight="1" x14ac:dyDescent="0.3"/>
    <row r="930" ht="15.75" customHeight="1" x14ac:dyDescent="0.3"/>
    <row r="931" ht="15.75" customHeight="1" x14ac:dyDescent="0.3"/>
    <row r="932" ht="15.75" customHeight="1" x14ac:dyDescent="0.3"/>
    <row r="933" ht="15.75" customHeight="1" x14ac:dyDescent="0.3"/>
    <row r="934" ht="15.75" customHeight="1" x14ac:dyDescent="0.3"/>
    <row r="935" ht="15.75" customHeight="1" x14ac:dyDescent="0.3"/>
    <row r="936" ht="15.75" customHeight="1" x14ac:dyDescent="0.3"/>
    <row r="937" ht="15.75" customHeight="1" x14ac:dyDescent="0.3"/>
    <row r="938" ht="15.75" customHeight="1" x14ac:dyDescent="0.3"/>
    <row r="939" ht="15.75" customHeight="1" x14ac:dyDescent="0.3"/>
    <row r="940" ht="15.75" customHeight="1" x14ac:dyDescent="0.3"/>
    <row r="941" ht="15.75" customHeight="1" x14ac:dyDescent="0.3"/>
    <row r="942" ht="15.75" customHeight="1" x14ac:dyDescent="0.3"/>
    <row r="943" ht="15.75" customHeight="1" x14ac:dyDescent="0.3"/>
    <row r="944" ht="15.75" customHeight="1" x14ac:dyDescent="0.3"/>
    <row r="945" ht="15.75" customHeight="1" x14ac:dyDescent="0.3"/>
    <row r="946" ht="15.75" customHeight="1" x14ac:dyDescent="0.3"/>
    <row r="947" ht="15.75" customHeight="1" x14ac:dyDescent="0.3"/>
    <row r="948" ht="15.75" customHeight="1" x14ac:dyDescent="0.3"/>
    <row r="949" ht="15.75" customHeight="1" x14ac:dyDescent="0.3"/>
    <row r="950" ht="15.75" customHeight="1" x14ac:dyDescent="0.3"/>
    <row r="951" ht="15.75" customHeight="1" x14ac:dyDescent="0.3"/>
    <row r="952" ht="15.75" customHeight="1" x14ac:dyDescent="0.3"/>
    <row r="953" ht="15.75" customHeight="1" x14ac:dyDescent="0.3"/>
    <row r="954" ht="15.75" customHeight="1" x14ac:dyDescent="0.3"/>
    <row r="955" ht="15.75" customHeight="1" x14ac:dyDescent="0.3"/>
    <row r="956" ht="15.75" customHeight="1" x14ac:dyDescent="0.3"/>
    <row r="957" ht="15.75" customHeight="1" x14ac:dyDescent="0.3"/>
    <row r="958" ht="15.75" customHeight="1" x14ac:dyDescent="0.3"/>
    <row r="959" ht="15.75" customHeight="1" x14ac:dyDescent="0.3"/>
    <row r="960" ht="15.75" customHeight="1" x14ac:dyDescent="0.3"/>
    <row r="961" ht="15.75" customHeight="1" x14ac:dyDescent="0.3"/>
    <row r="962" ht="15.75" customHeight="1" x14ac:dyDescent="0.3"/>
    <row r="963" ht="15.75" customHeight="1" x14ac:dyDescent="0.3"/>
    <row r="964" ht="15.75" customHeight="1" x14ac:dyDescent="0.3"/>
    <row r="965" ht="15.75" customHeight="1" x14ac:dyDescent="0.3"/>
    <row r="966" ht="15.75" customHeight="1" x14ac:dyDescent="0.3"/>
    <row r="967" ht="15.75" customHeight="1" x14ac:dyDescent="0.3"/>
    <row r="968" ht="15.75" customHeight="1" x14ac:dyDescent="0.3"/>
    <row r="969" ht="15.75" customHeight="1" x14ac:dyDescent="0.3"/>
    <row r="970" ht="15.75" customHeight="1" x14ac:dyDescent="0.3"/>
    <row r="971" ht="15.75" customHeight="1" x14ac:dyDescent="0.3"/>
    <row r="972" ht="15.75" customHeight="1" x14ac:dyDescent="0.3"/>
    <row r="973" ht="15.75" customHeight="1" x14ac:dyDescent="0.3"/>
    <row r="974" ht="15.75" customHeight="1" x14ac:dyDescent="0.3"/>
    <row r="975" ht="15.75" customHeight="1" x14ac:dyDescent="0.3"/>
    <row r="976" ht="15.75" customHeight="1" x14ac:dyDescent="0.3"/>
    <row r="977" ht="15.75" customHeight="1" x14ac:dyDescent="0.3"/>
    <row r="978" ht="15.75" customHeight="1" x14ac:dyDescent="0.3"/>
    <row r="979" ht="15.75" customHeight="1" x14ac:dyDescent="0.3"/>
    <row r="980" ht="15.75" customHeight="1" x14ac:dyDescent="0.3"/>
    <row r="981" ht="15.75" customHeight="1" x14ac:dyDescent="0.3"/>
    <row r="982" ht="15.75" customHeight="1" x14ac:dyDescent="0.3"/>
    <row r="983" ht="15.75" customHeight="1" x14ac:dyDescent="0.3"/>
    <row r="984" ht="15.75" customHeight="1" x14ac:dyDescent="0.3"/>
    <row r="985" ht="15.75" customHeight="1" x14ac:dyDescent="0.3"/>
    <row r="986" ht="15.75" customHeight="1" x14ac:dyDescent="0.3"/>
    <row r="987" ht="15.75" customHeight="1" x14ac:dyDescent="0.3"/>
    <row r="988" ht="15.75" customHeight="1" x14ac:dyDescent="0.3"/>
    <row r="989" ht="15.75" customHeight="1" x14ac:dyDescent="0.3"/>
    <row r="990" ht="15.75" customHeight="1" x14ac:dyDescent="0.3"/>
    <row r="991" ht="15.75" customHeight="1" x14ac:dyDescent="0.3"/>
    <row r="992" ht="15.75" customHeight="1" x14ac:dyDescent="0.3"/>
    <row r="993" ht="15.75" customHeight="1" x14ac:dyDescent="0.3"/>
    <row r="994" ht="15.75" customHeight="1" x14ac:dyDescent="0.3"/>
    <row r="995" ht="15.75" customHeight="1" x14ac:dyDescent="0.3"/>
    <row r="996" ht="15.75" customHeight="1" x14ac:dyDescent="0.3"/>
    <row r="997" ht="15.75" customHeight="1" x14ac:dyDescent="0.3"/>
    <row r="998" ht="15.75" customHeight="1" x14ac:dyDescent="0.3"/>
    <row r="999" ht="15.75" customHeight="1" x14ac:dyDescent="0.3"/>
    <row r="1000" ht="15.75" customHeight="1" x14ac:dyDescent="0.3"/>
  </sheetData>
  <mergeCells count="4">
    <mergeCell ref="D5:E5"/>
    <mergeCell ref="F5:G5"/>
    <mergeCell ref="H5:I5"/>
    <mergeCell ref="J5:K5"/>
  </mergeCells>
  <pageMargins left="0.7" right="0.7" top="0.75" bottom="0.75" header="0" footer="0"/>
  <pageSetup orientation="portrait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F00-000000000000}">
  <dimension ref="A1:H1000"/>
  <sheetViews>
    <sheetView workbookViewId="0">
      <selection activeCell="H21" sqref="H21"/>
    </sheetView>
  </sheetViews>
  <sheetFormatPr defaultColWidth="14.44140625" defaultRowHeight="15" customHeight="1" x14ac:dyDescent="0.3"/>
  <cols>
    <col min="1" max="1" width="25.5546875" customWidth="1"/>
    <col min="2" max="2" width="26.5546875" customWidth="1"/>
    <col min="3" max="3" width="18.33203125" customWidth="1"/>
    <col min="4" max="4" width="5" customWidth="1"/>
    <col min="5" max="5" width="65.88671875" customWidth="1"/>
    <col min="6" max="6" width="13.109375" customWidth="1"/>
    <col min="7" max="7" width="8" customWidth="1"/>
    <col min="8" max="8" width="9.109375" customWidth="1"/>
  </cols>
  <sheetData>
    <row r="1" spans="1:8" ht="11.25" customHeight="1" x14ac:dyDescent="0.3">
      <c r="A1" s="473"/>
      <c r="B1" s="473" t="s">
        <v>678</v>
      </c>
      <c r="C1" s="473" t="s">
        <v>679</v>
      </c>
      <c r="D1" s="473" t="s">
        <v>680</v>
      </c>
      <c r="E1" s="473" t="s">
        <v>681</v>
      </c>
      <c r="F1" s="473" t="s">
        <v>682</v>
      </c>
      <c r="G1" s="473"/>
      <c r="H1" s="473"/>
    </row>
    <row r="2" spans="1:8" ht="11.25" customHeight="1" x14ac:dyDescent="0.3">
      <c r="A2" s="473" t="s">
        <v>683</v>
      </c>
      <c r="B2" s="295" t="s">
        <v>684</v>
      </c>
      <c r="C2" s="473" t="s">
        <v>685</v>
      </c>
      <c r="D2" s="473"/>
      <c r="E2" s="473" t="s">
        <v>686</v>
      </c>
      <c r="F2" s="473"/>
      <c r="G2" s="473"/>
      <c r="H2" s="473"/>
    </row>
    <row r="3" spans="1:8" ht="11.25" customHeight="1" x14ac:dyDescent="0.3">
      <c r="A3" s="473" t="s">
        <v>687</v>
      </c>
      <c r="B3" s="473" t="s">
        <v>688</v>
      </c>
      <c r="C3" s="473" t="s">
        <v>689</v>
      </c>
      <c r="D3" s="473"/>
      <c r="E3" s="473"/>
      <c r="F3" s="473"/>
      <c r="G3" s="473"/>
      <c r="H3" s="473"/>
    </row>
    <row r="4" spans="1:8" ht="11.25" customHeight="1" x14ac:dyDescent="0.3">
      <c r="A4" s="473" t="s">
        <v>690</v>
      </c>
      <c r="B4" s="474" t="s">
        <v>691</v>
      </c>
      <c r="C4" s="473" t="s">
        <v>692</v>
      </c>
      <c r="D4" s="473"/>
      <c r="E4" s="473" t="s">
        <v>693</v>
      </c>
      <c r="F4" s="473"/>
      <c r="G4" s="473"/>
      <c r="H4" s="473"/>
    </row>
    <row r="5" spans="1:8" ht="11.25" customHeight="1" x14ac:dyDescent="0.3">
      <c r="A5" s="473" t="s">
        <v>690</v>
      </c>
      <c r="B5" s="473" t="s">
        <v>694</v>
      </c>
      <c r="C5" s="473" t="s">
        <v>695</v>
      </c>
      <c r="D5" s="473"/>
      <c r="E5" s="473" t="s">
        <v>693</v>
      </c>
      <c r="F5" s="473"/>
      <c r="G5" s="473"/>
      <c r="H5" s="473"/>
    </row>
    <row r="6" spans="1:8" ht="11.25" customHeight="1" x14ac:dyDescent="0.3">
      <c r="A6" s="473" t="s">
        <v>624</v>
      </c>
      <c r="B6" s="473" t="s">
        <v>696</v>
      </c>
      <c r="C6" s="473" t="s">
        <v>697</v>
      </c>
      <c r="D6" s="473"/>
      <c r="E6" s="295" t="s">
        <v>698</v>
      </c>
      <c r="F6" s="473"/>
      <c r="G6" s="473"/>
      <c r="H6" s="473"/>
    </row>
    <row r="7" spans="1:8" ht="11.25" customHeight="1" x14ac:dyDescent="0.3">
      <c r="A7" s="473" t="s">
        <v>185</v>
      </c>
      <c r="B7" s="473" t="s">
        <v>699</v>
      </c>
      <c r="C7" s="473" t="s">
        <v>700</v>
      </c>
      <c r="D7" s="473"/>
      <c r="E7" s="473" t="s">
        <v>701</v>
      </c>
      <c r="F7" s="473"/>
      <c r="G7" s="473"/>
      <c r="H7" s="473"/>
    </row>
    <row r="8" spans="1:8" ht="11.25" customHeight="1" x14ac:dyDescent="0.3">
      <c r="A8" s="473" t="s">
        <v>185</v>
      </c>
      <c r="B8" s="473" t="s">
        <v>691</v>
      </c>
      <c r="C8" s="473" t="s">
        <v>702</v>
      </c>
      <c r="D8" s="473"/>
      <c r="E8" s="473"/>
      <c r="F8" s="473"/>
      <c r="G8" s="473"/>
      <c r="H8" s="473"/>
    </row>
    <row r="9" spans="1:8" ht="11.25" customHeight="1" x14ac:dyDescent="0.3">
      <c r="A9" s="473" t="s">
        <v>703</v>
      </c>
      <c r="B9" s="295" t="s">
        <v>704</v>
      </c>
      <c r="C9" s="473" t="s">
        <v>702</v>
      </c>
      <c r="D9" s="473"/>
      <c r="E9" s="473" t="s">
        <v>705</v>
      </c>
      <c r="F9" s="473"/>
      <c r="G9" s="473"/>
      <c r="H9" s="473"/>
    </row>
    <row r="10" spans="1:8" ht="11.25" customHeight="1" x14ac:dyDescent="0.3">
      <c r="A10" s="473" t="s">
        <v>706</v>
      </c>
      <c r="B10" s="473" t="s">
        <v>695</v>
      </c>
      <c r="C10" s="475" t="s">
        <v>707</v>
      </c>
      <c r="D10" s="475"/>
      <c r="E10" s="295" t="s">
        <v>708</v>
      </c>
      <c r="F10" s="473"/>
      <c r="G10" s="473"/>
      <c r="H10" s="473"/>
    </row>
    <row r="11" spans="1:8" ht="11.25" customHeight="1" x14ac:dyDescent="0.3">
      <c r="A11" s="473" t="s">
        <v>709</v>
      </c>
      <c r="B11" s="474" t="s">
        <v>710</v>
      </c>
      <c r="C11" s="473" t="s">
        <v>711</v>
      </c>
      <c r="D11" s="473"/>
      <c r="E11" s="476" t="s">
        <v>712</v>
      </c>
      <c r="F11" s="473"/>
      <c r="G11" s="473" t="s">
        <v>713</v>
      </c>
      <c r="H11" s="473" t="s">
        <v>714</v>
      </c>
    </row>
    <row r="12" spans="1:8" ht="11.25" customHeight="1" x14ac:dyDescent="0.3">
      <c r="A12" s="473" t="s">
        <v>715</v>
      </c>
      <c r="B12" s="473" t="s">
        <v>716</v>
      </c>
      <c r="C12" s="473" t="s">
        <v>717</v>
      </c>
      <c r="D12" s="473"/>
      <c r="E12" s="473" t="s">
        <v>718</v>
      </c>
      <c r="F12" s="473"/>
      <c r="G12" s="473"/>
      <c r="H12" s="473"/>
    </row>
    <row r="13" spans="1:8" ht="11.25" customHeight="1" x14ac:dyDescent="0.3">
      <c r="A13" s="473" t="s">
        <v>352</v>
      </c>
      <c r="B13" s="295" t="s">
        <v>684</v>
      </c>
      <c r="C13" s="473" t="s">
        <v>714</v>
      </c>
      <c r="D13" s="473"/>
      <c r="E13" s="474" t="s">
        <v>719</v>
      </c>
      <c r="F13" s="473"/>
      <c r="G13" s="473"/>
      <c r="H13" s="473"/>
    </row>
    <row r="14" spans="1:8" ht="11.25" customHeight="1" x14ac:dyDescent="0.3">
      <c r="A14" s="473" t="s">
        <v>720</v>
      </c>
      <c r="B14" s="473" t="s">
        <v>691</v>
      </c>
      <c r="C14" s="473" t="s">
        <v>692</v>
      </c>
      <c r="D14" s="473"/>
      <c r="E14" s="477" t="s">
        <v>721</v>
      </c>
      <c r="F14" s="473"/>
      <c r="G14" s="473"/>
      <c r="H14" s="473"/>
    </row>
    <row r="15" spans="1:8" ht="11.25" customHeight="1" x14ac:dyDescent="0.3">
      <c r="A15" s="473" t="s">
        <v>722</v>
      </c>
      <c r="B15" s="473" t="s">
        <v>723</v>
      </c>
      <c r="C15" s="473" t="s">
        <v>724</v>
      </c>
      <c r="D15" s="473"/>
      <c r="E15" s="295" t="s">
        <v>725</v>
      </c>
      <c r="F15" s="473"/>
      <c r="G15" s="473"/>
      <c r="H15" s="473"/>
    </row>
    <row r="16" spans="1:8" ht="11.25" customHeight="1" x14ac:dyDescent="0.3">
      <c r="A16" s="473" t="s">
        <v>726</v>
      </c>
      <c r="B16" s="295" t="s">
        <v>684</v>
      </c>
      <c r="C16" s="473" t="s">
        <v>700</v>
      </c>
      <c r="D16" s="473"/>
      <c r="E16" s="473"/>
      <c r="F16" s="473"/>
      <c r="G16" s="473"/>
      <c r="H16" s="473"/>
    </row>
    <row r="17" spans="1:8" ht="11.25" customHeight="1" x14ac:dyDescent="0.3">
      <c r="A17" s="473" t="s">
        <v>727</v>
      </c>
      <c r="B17" s="474" t="s">
        <v>728</v>
      </c>
      <c r="C17" s="473" t="s">
        <v>700</v>
      </c>
      <c r="D17" s="473"/>
      <c r="E17" s="473"/>
      <c r="F17" s="473"/>
      <c r="G17" s="473"/>
      <c r="H17" s="473"/>
    </row>
    <row r="18" spans="1:8" ht="11.25" customHeight="1" x14ac:dyDescent="0.3">
      <c r="A18" s="473" t="s">
        <v>729</v>
      </c>
      <c r="B18" s="473" t="s">
        <v>691</v>
      </c>
      <c r="C18" s="473" t="s">
        <v>730</v>
      </c>
      <c r="D18" s="473"/>
      <c r="E18" s="473" t="s">
        <v>731</v>
      </c>
      <c r="F18" s="473"/>
      <c r="G18" s="473"/>
      <c r="H18" s="473"/>
    </row>
    <row r="19" spans="1:8" ht="11.25" customHeight="1" x14ac:dyDescent="0.3">
      <c r="A19" s="473" t="s">
        <v>732</v>
      </c>
      <c r="B19" s="474" t="s">
        <v>688</v>
      </c>
      <c r="C19" s="473" t="s">
        <v>733</v>
      </c>
      <c r="D19" s="473"/>
      <c r="E19" s="476" t="s">
        <v>734</v>
      </c>
      <c r="F19" s="473"/>
      <c r="G19" s="473"/>
      <c r="H19" s="473"/>
    </row>
    <row r="20" spans="1:8" ht="11.25" customHeight="1" x14ac:dyDescent="0.3">
      <c r="A20" s="473" t="s">
        <v>735</v>
      </c>
      <c r="B20" s="473" t="s">
        <v>691</v>
      </c>
      <c r="C20" s="473" t="s">
        <v>733</v>
      </c>
      <c r="D20" s="473"/>
      <c r="E20" s="473" t="s">
        <v>734</v>
      </c>
      <c r="F20" s="473"/>
      <c r="G20" s="473"/>
      <c r="H20" s="473"/>
    </row>
    <row r="21" spans="1:8" ht="11.25" customHeight="1" x14ac:dyDescent="0.3">
      <c r="A21" s="473" t="s">
        <v>736</v>
      </c>
      <c r="B21" s="474" t="s">
        <v>688</v>
      </c>
      <c r="C21" s="473" t="s">
        <v>737</v>
      </c>
      <c r="D21" s="473" t="s">
        <v>738</v>
      </c>
      <c r="E21" s="473"/>
      <c r="F21" s="473"/>
      <c r="G21" s="473"/>
      <c r="H21" s="473"/>
    </row>
    <row r="22" spans="1:8" ht="11.25" customHeight="1" x14ac:dyDescent="0.3">
      <c r="A22" s="473" t="s">
        <v>736</v>
      </c>
      <c r="B22" s="473" t="s">
        <v>739</v>
      </c>
      <c r="C22" s="473" t="s">
        <v>740</v>
      </c>
      <c r="D22" s="473" t="s">
        <v>741</v>
      </c>
      <c r="E22" s="473"/>
      <c r="F22" s="473"/>
      <c r="G22" s="473"/>
      <c r="H22" s="473"/>
    </row>
    <row r="23" spans="1:8" ht="11.25" customHeight="1" x14ac:dyDescent="0.3">
      <c r="A23" s="473" t="s">
        <v>742</v>
      </c>
      <c r="B23" s="473" t="s">
        <v>688</v>
      </c>
      <c r="C23" s="473" t="s">
        <v>700</v>
      </c>
      <c r="D23" s="473"/>
      <c r="E23" s="473"/>
      <c r="F23" s="473"/>
      <c r="G23" s="473"/>
      <c r="H23" s="473"/>
    </row>
    <row r="24" spans="1:8" ht="11.25" customHeight="1" x14ac:dyDescent="0.3">
      <c r="A24" s="473" t="s">
        <v>743</v>
      </c>
      <c r="B24" s="473" t="s">
        <v>744</v>
      </c>
      <c r="C24" s="473" t="s">
        <v>692</v>
      </c>
      <c r="D24" s="473"/>
      <c r="E24" s="295" t="s">
        <v>745</v>
      </c>
      <c r="F24" s="473"/>
      <c r="G24" s="473"/>
      <c r="H24" s="473"/>
    </row>
    <row r="25" spans="1:8" ht="11.25" customHeight="1" x14ac:dyDescent="0.3">
      <c r="A25" s="473" t="s">
        <v>97</v>
      </c>
      <c r="B25" s="473" t="s">
        <v>716</v>
      </c>
      <c r="C25" s="473" t="s">
        <v>746</v>
      </c>
      <c r="D25" s="473"/>
      <c r="E25" s="473" t="s">
        <v>747</v>
      </c>
      <c r="F25" s="473"/>
      <c r="G25" s="473"/>
      <c r="H25" s="473"/>
    </row>
    <row r="26" spans="1:8" ht="11.25" customHeight="1" x14ac:dyDescent="0.3">
      <c r="A26" s="473" t="s">
        <v>748</v>
      </c>
      <c r="B26" s="473" t="s">
        <v>691</v>
      </c>
      <c r="C26" s="473" t="s">
        <v>714</v>
      </c>
      <c r="D26" s="473"/>
      <c r="E26" s="473"/>
      <c r="F26" s="473" t="s">
        <v>749</v>
      </c>
      <c r="G26" s="473" t="s">
        <v>750</v>
      </c>
      <c r="H26" s="473"/>
    </row>
    <row r="27" spans="1:8" ht="11.25" customHeight="1" x14ac:dyDescent="0.3">
      <c r="A27" s="473" t="s">
        <v>751</v>
      </c>
      <c r="B27" s="473" t="s">
        <v>691</v>
      </c>
      <c r="C27" s="473" t="s">
        <v>692</v>
      </c>
      <c r="D27" s="475">
        <v>1116</v>
      </c>
      <c r="E27" s="295" t="s">
        <v>752</v>
      </c>
      <c r="F27" s="473"/>
      <c r="G27" s="473"/>
      <c r="H27" s="473"/>
    </row>
    <row r="28" spans="1:8" ht="11.25" customHeight="1" x14ac:dyDescent="0.3">
      <c r="A28" s="473" t="s">
        <v>753</v>
      </c>
      <c r="B28" s="475">
        <v>4403872289</v>
      </c>
      <c r="C28" s="473" t="s">
        <v>692</v>
      </c>
      <c r="D28" s="473"/>
      <c r="E28" s="473" t="s">
        <v>754</v>
      </c>
      <c r="F28" s="473"/>
      <c r="G28" s="473"/>
      <c r="H28" s="473"/>
    </row>
    <row r="29" spans="1:8" ht="11.25" customHeight="1" x14ac:dyDescent="0.3">
      <c r="A29" s="473" t="s">
        <v>755</v>
      </c>
      <c r="B29" s="295" t="s">
        <v>684</v>
      </c>
      <c r="C29" s="473" t="s">
        <v>700</v>
      </c>
      <c r="D29" s="473"/>
      <c r="E29" s="295" t="s">
        <v>756</v>
      </c>
      <c r="F29" s="473" t="s">
        <v>757</v>
      </c>
      <c r="G29" s="473" t="s">
        <v>758</v>
      </c>
      <c r="H29" s="473"/>
    </row>
    <row r="30" spans="1:8" ht="11.25" customHeight="1" x14ac:dyDescent="0.3">
      <c r="A30" s="473" t="s">
        <v>759</v>
      </c>
      <c r="B30" s="473" t="s">
        <v>716</v>
      </c>
      <c r="C30" s="473" t="s">
        <v>760</v>
      </c>
      <c r="D30" s="473"/>
      <c r="E30" s="473"/>
      <c r="F30" s="473"/>
      <c r="G30" s="473"/>
      <c r="H30" s="473"/>
    </row>
    <row r="31" spans="1:8" ht="11.25" customHeight="1" x14ac:dyDescent="0.3">
      <c r="A31" s="473" t="s">
        <v>761</v>
      </c>
      <c r="B31" s="473" t="s">
        <v>691</v>
      </c>
      <c r="C31" s="473" t="s">
        <v>692</v>
      </c>
      <c r="D31" s="473"/>
      <c r="E31" s="473"/>
      <c r="F31" s="473"/>
      <c r="G31" s="473"/>
      <c r="H31" s="473"/>
    </row>
    <row r="32" spans="1:8" ht="11.25" customHeight="1" x14ac:dyDescent="0.3">
      <c r="A32" s="473" t="s">
        <v>762</v>
      </c>
      <c r="B32" s="473" t="s">
        <v>691</v>
      </c>
      <c r="C32" s="473" t="s">
        <v>714</v>
      </c>
      <c r="D32" s="473"/>
      <c r="E32" s="473"/>
      <c r="F32" s="473"/>
      <c r="G32" s="473"/>
      <c r="H32" s="473"/>
    </row>
    <row r="33" spans="1:8" ht="11.25" customHeight="1" x14ac:dyDescent="0.3">
      <c r="A33" s="473" t="s">
        <v>763</v>
      </c>
      <c r="B33" s="476" t="s">
        <v>764</v>
      </c>
      <c r="C33" s="473" t="s">
        <v>714</v>
      </c>
      <c r="D33" s="473"/>
      <c r="E33" s="473"/>
      <c r="F33" s="473"/>
      <c r="G33" s="473"/>
      <c r="H33" s="473"/>
    </row>
    <row r="34" spans="1:8" ht="11.25" customHeight="1" x14ac:dyDescent="0.3">
      <c r="A34" s="473" t="s">
        <v>765</v>
      </c>
      <c r="B34" s="473" t="s">
        <v>766</v>
      </c>
      <c r="C34" s="473"/>
      <c r="D34" s="473"/>
      <c r="E34" s="473"/>
      <c r="F34" s="473"/>
      <c r="G34" s="473"/>
      <c r="H34" s="473"/>
    </row>
    <row r="35" spans="1:8" ht="11.25" customHeight="1" x14ac:dyDescent="0.3">
      <c r="A35" s="473"/>
      <c r="B35" s="473"/>
      <c r="C35" s="473"/>
      <c r="D35" s="473"/>
      <c r="E35" s="473"/>
      <c r="F35" s="473"/>
      <c r="G35" s="473"/>
      <c r="H35" s="473"/>
    </row>
    <row r="36" spans="1:8" ht="11.25" customHeight="1" x14ac:dyDescent="0.3">
      <c r="A36" s="473"/>
      <c r="B36" s="473"/>
      <c r="C36" s="473"/>
      <c r="D36" s="473"/>
      <c r="E36" s="473"/>
      <c r="F36" s="473" t="s">
        <v>767</v>
      </c>
      <c r="G36" s="473"/>
      <c r="H36" s="473"/>
    </row>
    <row r="37" spans="1:8" ht="15.75" customHeight="1" x14ac:dyDescent="0.3"/>
    <row r="38" spans="1:8" ht="15.75" customHeight="1" x14ac:dyDescent="0.3"/>
    <row r="39" spans="1:8" ht="15.75" customHeight="1" x14ac:dyDescent="0.3"/>
    <row r="40" spans="1:8" ht="15.75" customHeight="1" x14ac:dyDescent="0.3"/>
    <row r="41" spans="1:8" ht="15.75" customHeight="1" x14ac:dyDescent="0.3"/>
    <row r="42" spans="1:8" ht="15.75" customHeight="1" x14ac:dyDescent="0.3"/>
    <row r="43" spans="1:8" ht="15.75" customHeight="1" x14ac:dyDescent="0.3"/>
    <row r="44" spans="1:8" ht="15.75" customHeight="1" x14ac:dyDescent="0.3"/>
    <row r="45" spans="1:8" ht="15.75" customHeight="1" x14ac:dyDescent="0.3"/>
    <row r="46" spans="1:8" ht="15.75" customHeight="1" x14ac:dyDescent="0.3"/>
    <row r="47" spans="1:8" ht="15.75" customHeight="1" x14ac:dyDescent="0.3"/>
    <row r="48" spans="1:8" ht="15.75" customHeight="1" x14ac:dyDescent="0.3"/>
    <row r="49" ht="15.75" customHeight="1" x14ac:dyDescent="0.3"/>
    <row r="50" ht="15.75" customHeight="1" x14ac:dyDescent="0.3"/>
    <row r="51" ht="15.75" customHeight="1" x14ac:dyDescent="0.3"/>
    <row r="52" ht="15.75" customHeight="1" x14ac:dyDescent="0.3"/>
    <row r="53" ht="15.75" customHeight="1" x14ac:dyDescent="0.3"/>
    <row r="54" ht="15.75" customHeight="1" x14ac:dyDescent="0.3"/>
    <row r="55" ht="15.75" customHeight="1" x14ac:dyDescent="0.3"/>
    <row r="56" ht="15.75" customHeight="1" x14ac:dyDescent="0.3"/>
    <row r="57" ht="15.75" customHeight="1" x14ac:dyDescent="0.3"/>
    <row r="58" ht="15.75" customHeight="1" x14ac:dyDescent="0.3"/>
    <row r="59" ht="15.75" customHeight="1" x14ac:dyDescent="0.3"/>
    <row r="60" ht="15.75" customHeight="1" x14ac:dyDescent="0.3"/>
    <row r="61" ht="15.75" customHeight="1" x14ac:dyDescent="0.3"/>
    <row r="62" ht="15.75" customHeight="1" x14ac:dyDescent="0.3"/>
    <row r="63" ht="15.75" customHeight="1" x14ac:dyDescent="0.3"/>
    <row r="64" ht="15.75" customHeight="1" x14ac:dyDescent="0.3"/>
    <row r="65" ht="15.75" customHeight="1" x14ac:dyDescent="0.3"/>
    <row r="66" ht="15.75" customHeight="1" x14ac:dyDescent="0.3"/>
    <row r="67" ht="15.75" customHeight="1" x14ac:dyDescent="0.3"/>
    <row r="68" ht="15.75" customHeight="1" x14ac:dyDescent="0.3"/>
    <row r="69" ht="15.75" customHeight="1" x14ac:dyDescent="0.3"/>
    <row r="70" ht="15.75" customHeight="1" x14ac:dyDescent="0.3"/>
    <row r="71" ht="15.75" customHeight="1" x14ac:dyDescent="0.3"/>
    <row r="72" ht="15.75" customHeight="1" x14ac:dyDescent="0.3"/>
    <row r="73" ht="15.75" customHeight="1" x14ac:dyDescent="0.3"/>
    <row r="74" ht="15.75" customHeight="1" x14ac:dyDescent="0.3"/>
    <row r="75" ht="15.75" customHeight="1" x14ac:dyDescent="0.3"/>
    <row r="76" ht="15.75" customHeight="1" x14ac:dyDescent="0.3"/>
    <row r="77" ht="15.75" customHeight="1" x14ac:dyDescent="0.3"/>
    <row r="78" ht="15.75" customHeight="1" x14ac:dyDescent="0.3"/>
    <row r="79" ht="15.75" customHeight="1" x14ac:dyDescent="0.3"/>
    <row r="80" ht="15.75" customHeight="1" x14ac:dyDescent="0.3"/>
    <row r="81" ht="15.75" customHeight="1" x14ac:dyDescent="0.3"/>
    <row r="82" ht="15.75" customHeight="1" x14ac:dyDescent="0.3"/>
    <row r="83" ht="15.75" customHeight="1" x14ac:dyDescent="0.3"/>
    <row r="84" ht="15.75" customHeight="1" x14ac:dyDescent="0.3"/>
    <row r="85" ht="15.75" customHeight="1" x14ac:dyDescent="0.3"/>
    <row r="86" ht="15.75" customHeight="1" x14ac:dyDescent="0.3"/>
    <row r="87" ht="15.75" customHeight="1" x14ac:dyDescent="0.3"/>
    <row r="88" ht="15.75" customHeight="1" x14ac:dyDescent="0.3"/>
    <row r="89" ht="15.75" customHeight="1" x14ac:dyDescent="0.3"/>
    <row r="90" ht="15.75" customHeight="1" x14ac:dyDescent="0.3"/>
    <row r="91" ht="15.75" customHeight="1" x14ac:dyDescent="0.3"/>
    <row r="92" ht="15.75" customHeight="1" x14ac:dyDescent="0.3"/>
    <row r="93" ht="15.75" customHeight="1" x14ac:dyDescent="0.3"/>
    <row r="94" ht="15.75" customHeight="1" x14ac:dyDescent="0.3"/>
    <row r="95" ht="15.75" customHeight="1" x14ac:dyDescent="0.3"/>
    <row r="96" ht="15.75" customHeight="1" x14ac:dyDescent="0.3"/>
    <row r="97" ht="15.75" customHeight="1" x14ac:dyDescent="0.3"/>
    <row r="98" ht="15.75" customHeight="1" x14ac:dyDescent="0.3"/>
    <row r="99" ht="15.75" customHeight="1" x14ac:dyDescent="0.3"/>
    <row r="100" ht="15.75" customHeight="1" x14ac:dyDescent="0.3"/>
    <row r="101" ht="15.75" customHeight="1" x14ac:dyDescent="0.3"/>
    <row r="102" ht="15.75" customHeight="1" x14ac:dyDescent="0.3"/>
    <row r="103" ht="15.75" customHeight="1" x14ac:dyDescent="0.3"/>
    <row r="104" ht="15.75" customHeight="1" x14ac:dyDescent="0.3"/>
    <row r="105" ht="15.75" customHeight="1" x14ac:dyDescent="0.3"/>
    <row r="106" ht="15.75" customHeight="1" x14ac:dyDescent="0.3"/>
    <row r="107" ht="15.75" customHeight="1" x14ac:dyDescent="0.3"/>
    <row r="108" ht="15.75" customHeight="1" x14ac:dyDescent="0.3"/>
    <row r="109" ht="15.75" customHeight="1" x14ac:dyDescent="0.3"/>
    <row r="110" ht="15.75" customHeight="1" x14ac:dyDescent="0.3"/>
    <row r="111" ht="15.75" customHeight="1" x14ac:dyDescent="0.3"/>
    <row r="112" ht="15.75" customHeight="1" x14ac:dyDescent="0.3"/>
    <row r="113" ht="15.75" customHeight="1" x14ac:dyDescent="0.3"/>
    <row r="114" ht="15.75" customHeight="1" x14ac:dyDescent="0.3"/>
    <row r="115" ht="15.75" customHeight="1" x14ac:dyDescent="0.3"/>
    <row r="116" ht="15.75" customHeight="1" x14ac:dyDescent="0.3"/>
    <row r="117" ht="15.75" customHeight="1" x14ac:dyDescent="0.3"/>
    <row r="118" ht="15.75" customHeight="1" x14ac:dyDescent="0.3"/>
    <row r="119" ht="15.75" customHeight="1" x14ac:dyDescent="0.3"/>
    <row r="120" ht="15.75" customHeight="1" x14ac:dyDescent="0.3"/>
    <row r="121" ht="15.75" customHeight="1" x14ac:dyDescent="0.3"/>
    <row r="122" ht="15.75" customHeight="1" x14ac:dyDescent="0.3"/>
    <row r="123" ht="15.75" customHeight="1" x14ac:dyDescent="0.3"/>
    <row r="124" ht="15.75" customHeight="1" x14ac:dyDescent="0.3"/>
    <row r="125" ht="15.75" customHeight="1" x14ac:dyDescent="0.3"/>
    <row r="126" ht="15.75" customHeight="1" x14ac:dyDescent="0.3"/>
    <row r="127" ht="15.75" customHeight="1" x14ac:dyDescent="0.3"/>
    <row r="128" ht="15.75" customHeight="1" x14ac:dyDescent="0.3"/>
    <row r="129" ht="15.75" customHeight="1" x14ac:dyDescent="0.3"/>
    <row r="130" ht="15.75" customHeight="1" x14ac:dyDescent="0.3"/>
    <row r="131" ht="15.75" customHeight="1" x14ac:dyDescent="0.3"/>
    <row r="132" ht="15.75" customHeight="1" x14ac:dyDescent="0.3"/>
    <row r="133" ht="15.75" customHeight="1" x14ac:dyDescent="0.3"/>
    <row r="134" ht="15.75" customHeight="1" x14ac:dyDescent="0.3"/>
    <row r="135" ht="15.75" customHeight="1" x14ac:dyDescent="0.3"/>
    <row r="136" ht="15.75" customHeight="1" x14ac:dyDescent="0.3"/>
    <row r="137" ht="15.75" customHeight="1" x14ac:dyDescent="0.3"/>
    <row r="138" ht="15.75" customHeight="1" x14ac:dyDescent="0.3"/>
    <row r="139" ht="15.75" customHeight="1" x14ac:dyDescent="0.3"/>
    <row r="140" ht="15.75" customHeight="1" x14ac:dyDescent="0.3"/>
    <row r="141" ht="15.75" customHeight="1" x14ac:dyDescent="0.3"/>
    <row r="142" ht="15.75" customHeight="1" x14ac:dyDescent="0.3"/>
    <row r="143" ht="15.75" customHeight="1" x14ac:dyDescent="0.3"/>
    <row r="144" ht="15.75" customHeight="1" x14ac:dyDescent="0.3"/>
    <row r="145" ht="15.75" customHeight="1" x14ac:dyDescent="0.3"/>
    <row r="146" ht="15.75" customHeight="1" x14ac:dyDescent="0.3"/>
    <row r="147" ht="15.75" customHeight="1" x14ac:dyDescent="0.3"/>
    <row r="148" ht="15.75" customHeight="1" x14ac:dyDescent="0.3"/>
    <row r="149" ht="15.75" customHeight="1" x14ac:dyDescent="0.3"/>
    <row r="150" ht="15.75" customHeight="1" x14ac:dyDescent="0.3"/>
    <row r="151" ht="15.75" customHeight="1" x14ac:dyDescent="0.3"/>
    <row r="152" ht="15.75" customHeight="1" x14ac:dyDescent="0.3"/>
    <row r="153" ht="15.75" customHeight="1" x14ac:dyDescent="0.3"/>
    <row r="154" ht="15.75" customHeight="1" x14ac:dyDescent="0.3"/>
    <row r="155" ht="15.75" customHeight="1" x14ac:dyDescent="0.3"/>
    <row r="156" ht="15.75" customHeight="1" x14ac:dyDescent="0.3"/>
    <row r="157" ht="15.75" customHeight="1" x14ac:dyDescent="0.3"/>
    <row r="158" ht="15.75" customHeight="1" x14ac:dyDescent="0.3"/>
    <row r="159" ht="15.75" customHeight="1" x14ac:dyDescent="0.3"/>
    <row r="160" ht="15.75" customHeight="1" x14ac:dyDescent="0.3"/>
    <row r="161" ht="15.75" customHeight="1" x14ac:dyDescent="0.3"/>
    <row r="162" ht="15.75" customHeight="1" x14ac:dyDescent="0.3"/>
    <row r="163" ht="15.75" customHeight="1" x14ac:dyDescent="0.3"/>
    <row r="164" ht="15.75" customHeight="1" x14ac:dyDescent="0.3"/>
    <row r="165" ht="15.75" customHeight="1" x14ac:dyDescent="0.3"/>
    <row r="166" ht="15.75" customHeight="1" x14ac:dyDescent="0.3"/>
    <row r="167" ht="15.75" customHeight="1" x14ac:dyDescent="0.3"/>
    <row r="168" ht="15.75" customHeight="1" x14ac:dyDescent="0.3"/>
    <row r="169" ht="15.75" customHeight="1" x14ac:dyDescent="0.3"/>
    <row r="170" ht="15.75" customHeight="1" x14ac:dyDescent="0.3"/>
    <row r="171" ht="15.75" customHeight="1" x14ac:dyDescent="0.3"/>
    <row r="172" ht="15.75" customHeight="1" x14ac:dyDescent="0.3"/>
    <row r="173" ht="15.75" customHeight="1" x14ac:dyDescent="0.3"/>
    <row r="174" ht="15.75" customHeight="1" x14ac:dyDescent="0.3"/>
    <row r="175" ht="15.75" customHeight="1" x14ac:dyDescent="0.3"/>
    <row r="176" ht="15.75" customHeight="1" x14ac:dyDescent="0.3"/>
    <row r="177" ht="15.75" customHeight="1" x14ac:dyDescent="0.3"/>
    <row r="178" ht="15.75" customHeight="1" x14ac:dyDescent="0.3"/>
    <row r="179" ht="15.75" customHeight="1" x14ac:dyDescent="0.3"/>
    <row r="180" ht="15.75" customHeight="1" x14ac:dyDescent="0.3"/>
    <row r="181" ht="15.75" customHeight="1" x14ac:dyDescent="0.3"/>
    <row r="182" ht="15.75" customHeight="1" x14ac:dyDescent="0.3"/>
    <row r="183" ht="15.75" customHeight="1" x14ac:dyDescent="0.3"/>
    <row r="184" ht="15.75" customHeight="1" x14ac:dyDescent="0.3"/>
    <row r="185" ht="15.75" customHeight="1" x14ac:dyDescent="0.3"/>
    <row r="186" ht="15.75" customHeight="1" x14ac:dyDescent="0.3"/>
    <row r="187" ht="15.75" customHeight="1" x14ac:dyDescent="0.3"/>
    <row r="188" ht="15.75" customHeight="1" x14ac:dyDescent="0.3"/>
    <row r="189" ht="15.75" customHeight="1" x14ac:dyDescent="0.3"/>
    <row r="190" ht="15.75" customHeight="1" x14ac:dyDescent="0.3"/>
    <row r="191" ht="15.75" customHeight="1" x14ac:dyDescent="0.3"/>
    <row r="192" ht="15.75" customHeight="1" x14ac:dyDescent="0.3"/>
    <row r="193" ht="15.75" customHeight="1" x14ac:dyDescent="0.3"/>
    <row r="194" ht="15.75" customHeight="1" x14ac:dyDescent="0.3"/>
    <row r="195" ht="15.75" customHeight="1" x14ac:dyDescent="0.3"/>
    <row r="196" ht="15.75" customHeight="1" x14ac:dyDescent="0.3"/>
    <row r="197" ht="15.75" customHeight="1" x14ac:dyDescent="0.3"/>
    <row r="198" ht="15.75" customHeight="1" x14ac:dyDescent="0.3"/>
    <row r="199" ht="15.75" customHeight="1" x14ac:dyDescent="0.3"/>
    <row r="200" ht="15.75" customHeight="1" x14ac:dyDescent="0.3"/>
    <row r="201" ht="15.75" customHeight="1" x14ac:dyDescent="0.3"/>
    <row r="202" ht="15.75" customHeight="1" x14ac:dyDescent="0.3"/>
    <row r="203" ht="15.75" customHeight="1" x14ac:dyDescent="0.3"/>
    <row r="204" ht="15.75" customHeight="1" x14ac:dyDescent="0.3"/>
    <row r="205" ht="15.75" customHeight="1" x14ac:dyDescent="0.3"/>
    <row r="206" ht="15.75" customHeight="1" x14ac:dyDescent="0.3"/>
    <row r="207" ht="15.75" customHeight="1" x14ac:dyDescent="0.3"/>
    <row r="208" ht="15.75" customHeight="1" x14ac:dyDescent="0.3"/>
    <row r="209" ht="15.75" customHeight="1" x14ac:dyDescent="0.3"/>
    <row r="210" ht="15.75" customHeight="1" x14ac:dyDescent="0.3"/>
    <row r="211" ht="15.75" customHeight="1" x14ac:dyDescent="0.3"/>
    <row r="212" ht="15.75" customHeight="1" x14ac:dyDescent="0.3"/>
    <row r="213" ht="15.75" customHeight="1" x14ac:dyDescent="0.3"/>
    <row r="214" ht="15.75" customHeight="1" x14ac:dyDescent="0.3"/>
    <row r="215" ht="15.75" customHeight="1" x14ac:dyDescent="0.3"/>
    <row r="216" ht="15.75" customHeight="1" x14ac:dyDescent="0.3"/>
    <row r="217" ht="15.75" customHeight="1" x14ac:dyDescent="0.3"/>
    <row r="218" ht="15.75" customHeight="1" x14ac:dyDescent="0.3"/>
    <row r="219" ht="15.75" customHeight="1" x14ac:dyDescent="0.3"/>
    <row r="220" ht="15.75" customHeight="1" x14ac:dyDescent="0.3"/>
    <row r="221" ht="15.75" customHeight="1" x14ac:dyDescent="0.3"/>
    <row r="222" ht="15.75" customHeight="1" x14ac:dyDescent="0.3"/>
    <row r="223" ht="15.75" customHeight="1" x14ac:dyDescent="0.3"/>
    <row r="224" ht="15.75" customHeight="1" x14ac:dyDescent="0.3"/>
    <row r="225" ht="15.75" customHeight="1" x14ac:dyDescent="0.3"/>
    <row r="226" ht="15.75" customHeight="1" x14ac:dyDescent="0.3"/>
    <row r="227" ht="15.75" customHeight="1" x14ac:dyDescent="0.3"/>
    <row r="228" ht="15.75" customHeight="1" x14ac:dyDescent="0.3"/>
    <row r="229" ht="15.75" customHeight="1" x14ac:dyDescent="0.3"/>
    <row r="230" ht="15.75" customHeight="1" x14ac:dyDescent="0.3"/>
    <row r="231" ht="15.75" customHeight="1" x14ac:dyDescent="0.3"/>
    <row r="232" ht="15.75" customHeight="1" x14ac:dyDescent="0.3"/>
    <row r="233" ht="15.75" customHeight="1" x14ac:dyDescent="0.3"/>
    <row r="234" ht="15.75" customHeight="1" x14ac:dyDescent="0.3"/>
    <row r="235" ht="15.75" customHeight="1" x14ac:dyDescent="0.3"/>
    <row r="236" ht="15.75" customHeight="1" x14ac:dyDescent="0.3"/>
    <row r="237" ht="15.75" customHeight="1" x14ac:dyDescent="0.3"/>
    <row r="238" ht="15.75" customHeight="1" x14ac:dyDescent="0.3"/>
    <row r="239" ht="15.75" customHeight="1" x14ac:dyDescent="0.3"/>
    <row r="240" ht="15.75" customHeight="1" x14ac:dyDescent="0.3"/>
    <row r="241" ht="15.75" customHeight="1" x14ac:dyDescent="0.3"/>
    <row r="242" ht="15.75" customHeight="1" x14ac:dyDescent="0.3"/>
    <row r="243" ht="15.75" customHeight="1" x14ac:dyDescent="0.3"/>
    <row r="244" ht="15.75" customHeight="1" x14ac:dyDescent="0.3"/>
    <row r="245" ht="15.75" customHeight="1" x14ac:dyDescent="0.3"/>
    <row r="246" ht="15.75" customHeight="1" x14ac:dyDescent="0.3"/>
    <row r="247" ht="15.75" customHeight="1" x14ac:dyDescent="0.3"/>
    <row r="248" ht="15.75" customHeight="1" x14ac:dyDescent="0.3"/>
    <row r="249" ht="15.75" customHeight="1" x14ac:dyDescent="0.3"/>
    <row r="250" ht="15.75" customHeight="1" x14ac:dyDescent="0.3"/>
    <row r="251" ht="15.75" customHeight="1" x14ac:dyDescent="0.3"/>
    <row r="252" ht="15.75" customHeight="1" x14ac:dyDescent="0.3"/>
    <row r="253" ht="15.75" customHeight="1" x14ac:dyDescent="0.3"/>
    <row r="254" ht="15.75" customHeight="1" x14ac:dyDescent="0.3"/>
    <row r="255" ht="15.75" customHeight="1" x14ac:dyDescent="0.3"/>
    <row r="256" ht="15.75" customHeight="1" x14ac:dyDescent="0.3"/>
    <row r="257" ht="15.75" customHeight="1" x14ac:dyDescent="0.3"/>
    <row r="258" ht="15.75" customHeight="1" x14ac:dyDescent="0.3"/>
    <row r="259" ht="15.75" customHeight="1" x14ac:dyDescent="0.3"/>
    <row r="260" ht="15.75" customHeight="1" x14ac:dyDescent="0.3"/>
    <row r="261" ht="15.75" customHeight="1" x14ac:dyDescent="0.3"/>
    <row r="262" ht="15.75" customHeight="1" x14ac:dyDescent="0.3"/>
    <row r="263" ht="15.75" customHeight="1" x14ac:dyDescent="0.3"/>
    <row r="264" ht="15.75" customHeight="1" x14ac:dyDescent="0.3"/>
    <row r="265" ht="15.75" customHeight="1" x14ac:dyDescent="0.3"/>
    <row r="266" ht="15.75" customHeight="1" x14ac:dyDescent="0.3"/>
    <row r="267" ht="15.75" customHeight="1" x14ac:dyDescent="0.3"/>
    <row r="268" ht="15.75" customHeight="1" x14ac:dyDescent="0.3"/>
    <row r="269" ht="15.75" customHeight="1" x14ac:dyDescent="0.3"/>
    <row r="270" ht="15.75" customHeight="1" x14ac:dyDescent="0.3"/>
    <row r="271" ht="15.75" customHeight="1" x14ac:dyDescent="0.3"/>
    <row r="272" ht="15.75" customHeight="1" x14ac:dyDescent="0.3"/>
    <row r="273" ht="15.75" customHeight="1" x14ac:dyDescent="0.3"/>
    <row r="274" ht="15.75" customHeight="1" x14ac:dyDescent="0.3"/>
    <row r="275" ht="15.75" customHeight="1" x14ac:dyDescent="0.3"/>
    <row r="276" ht="15.75" customHeight="1" x14ac:dyDescent="0.3"/>
    <row r="277" ht="15.75" customHeight="1" x14ac:dyDescent="0.3"/>
    <row r="278" ht="15.75" customHeight="1" x14ac:dyDescent="0.3"/>
    <row r="279" ht="15.75" customHeight="1" x14ac:dyDescent="0.3"/>
    <row r="280" ht="15.75" customHeight="1" x14ac:dyDescent="0.3"/>
    <row r="281" ht="15.75" customHeight="1" x14ac:dyDescent="0.3"/>
    <row r="282" ht="15.75" customHeight="1" x14ac:dyDescent="0.3"/>
    <row r="283" ht="15.75" customHeight="1" x14ac:dyDescent="0.3"/>
    <row r="284" ht="15.75" customHeight="1" x14ac:dyDescent="0.3"/>
    <row r="285" ht="15.75" customHeight="1" x14ac:dyDescent="0.3"/>
    <row r="286" ht="15.75" customHeight="1" x14ac:dyDescent="0.3"/>
    <row r="287" ht="15.75" customHeight="1" x14ac:dyDescent="0.3"/>
    <row r="288" ht="15.75" customHeight="1" x14ac:dyDescent="0.3"/>
    <row r="289" ht="15.75" customHeight="1" x14ac:dyDescent="0.3"/>
    <row r="290" ht="15.75" customHeight="1" x14ac:dyDescent="0.3"/>
    <row r="291" ht="15.75" customHeight="1" x14ac:dyDescent="0.3"/>
    <row r="292" ht="15.75" customHeight="1" x14ac:dyDescent="0.3"/>
    <row r="293" ht="15.75" customHeight="1" x14ac:dyDescent="0.3"/>
    <row r="294" ht="15.75" customHeight="1" x14ac:dyDescent="0.3"/>
    <row r="295" ht="15.75" customHeight="1" x14ac:dyDescent="0.3"/>
    <row r="296" ht="15.75" customHeight="1" x14ac:dyDescent="0.3"/>
    <row r="297" ht="15.75" customHeight="1" x14ac:dyDescent="0.3"/>
    <row r="298" ht="15.75" customHeight="1" x14ac:dyDescent="0.3"/>
    <row r="299" ht="15.75" customHeight="1" x14ac:dyDescent="0.3"/>
    <row r="300" ht="15.75" customHeight="1" x14ac:dyDescent="0.3"/>
    <row r="301" ht="15.75" customHeight="1" x14ac:dyDescent="0.3"/>
    <row r="302" ht="15.75" customHeight="1" x14ac:dyDescent="0.3"/>
    <row r="303" ht="15.75" customHeight="1" x14ac:dyDescent="0.3"/>
    <row r="304" ht="15.75" customHeight="1" x14ac:dyDescent="0.3"/>
    <row r="305" ht="15.75" customHeight="1" x14ac:dyDescent="0.3"/>
    <row r="306" ht="15.75" customHeight="1" x14ac:dyDescent="0.3"/>
    <row r="307" ht="15.75" customHeight="1" x14ac:dyDescent="0.3"/>
    <row r="308" ht="15.75" customHeight="1" x14ac:dyDescent="0.3"/>
    <row r="309" ht="15.75" customHeight="1" x14ac:dyDescent="0.3"/>
    <row r="310" ht="15.75" customHeight="1" x14ac:dyDescent="0.3"/>
    <row r="311" ht="15.75" customHeight="1" x14ac:dyDescent="0.3"/>
    <row r="312" ht="15.75" customHeight="1" x14ac:dyDescent="0.3"/>
    <row r="313" ht="15.75" customHeight="1" x14ac:dyDescent="0.3"/>
    <row r="314" ht="15.75" customHeight="1" x14ac:dyDescent="0.3"/>
    <row r="315" ht="15.75" customHeight="1" x14ac:dyDescent="0.3"/>
    <row r="316" ht="15.75" customHeight="1" x14ac:dyDescent="0.3"/>
    <row r="317" ht="15.75" customHeight="1" x14ac:dyDescent="0.3"/>
    <row r="318" ht="15.75" customHeight="1" x14ac:dyDescent="0.3"/>
    <row r="319" ht="15.75" customHeight="1" x14ac:dyDescent="0.3"/>
    <row r="320" ht="15.75" customHeight="1" x14ac:dyDescent="0.3"/>
    <row r="321" ht="15.75" customHeight="1" x14ac:dyDescent="0.3"/>
    <row r="322" ht="15.75" customHeight="1" x14ac:dyDescent="0.3"/>
    <row r="323" ht="15.75" customHeight="1" x14ac:dyDescent="0.3"/>
    <row r="324" ht="15.75" customHeight="1" x14ac:dyDescent="0.3"/>
    <row r="325" ht="15.75" customHeight="1" x14ac:dyDescent="0.3"/>
    <row r="326" ht="15.75" customHeight="1" x14ac:dyDescent="0.3"/>
    <row r="327" ht="15.75" customHeight="1" x14ac:dyDescent="0.3"/>
    <row r="328" ht="15.75" customHeight="1" x14ac:dyDescent="0.3"/>
    <row r="329" ht="15.75" customHeight="1" x14ac:dyDescent="0.3"/>
    <row r="330" ht="15.75" customHeight="1" x14ac:dyDescent="0.3"/>
    <row r="331" ht="15.75" customHeight="1" x14ac:dyDescent="0.3"/>
    <row r="332" ht="15.75" customHeight="1" x14ac:dyDescent="0.3"/>
    <row r="333" ht="15.75" customHeight="1" x14ac:dyDescent="0.3"/>
    <row r="334" ht="15.75" customHeight="1" x14ac:dyDescent="0.3"/>
    <row r="335" ht="15.75" customHeight="1" x14ac:dyDescent="0.3"/>
    <row r="336" ht="15.75" customHeight="1" x14ac:dyDescent="0.3"/>
    <row r="337" ht="15.75" customHeight="1" x14ac:dyDescent="0.3"/>
    <row r="338" ht="15.75" customHeight="1" x14ac:dyDescent="0.3"/>
    <row r="339" ht="15.75" customHeight="1" x14ac:dyDescent="0.3"/>
    <row r="340" ht="15.75" customHeight="1" x14ac:dyDescent="0.3"/>
    <row r="341" ht="15.75" customHeight="1" x14ac:dyDescent="0.3"/>
    <row r="342" ht="15.75" customHeight="1" x14ac:dyDescent="0.3"/>
    <row r="343" ht="15.75" customHeight="1" x14ac:dyDescent="0.3"/>
    <row r="344" ht="15.75" customHeight="1" x14ac:dyDescent="0.3"/>
    <row r="345" ht="15.75" customHeight="1" x14ac:dyDescent="0.3"/>
    <row r="346" ht="15.75" customHeight="1" x14ac:dyDescent="0.3"/>
    <row r="347" ht="15.75" customHeight="1" x14ac:dyDescent="0.3"/>
    <row r="348" ht="15.75" customHeight="1" x14ac:dyDescent="0.3"/>
    <row r="349" ht="15.75" customHeight="1" x14ac:dyDescent="0.3"/>
    <row r="350" ht="15.75" customHeight="1" x14ac:dyDescent="0.3"/>
    <row r="351" ht="15.75" customHeight="1" x14ac:dyDescent="0.3"/>
    <row r="352" ht="15.75" customHeight="1" x14ac:dyDescent="0.3"/>
    <row r="353" ht="15.75" customHeight="1" x14ac:dyDescent="0.3"/>
    <row r="354" ht="15.75" customHeight="1" x14ac:dyDescent="0.3"/>
    <row r="355" ht="15.75" customHeight="1" x14ac:dyDescent="0.3"/>
    <row r="356" ht="15.75" customHeight="1" x14ac:dyDescent="0.3"/>
    <row r="357" ht="15.75" customHeight="1" x14ac:dyDescent="0.3"/>
    <row r="358" ht="15.75" customHeight="1" x14ac:dyDescent="0.3"/>
    <row r="359" ht="15.75" customHeight="1" x14ac:dyDescent="0.3"/>
    <row r="360" ht="15.75" customHeight="1" x14ac:dyDescent="0.3"/>
    <row r="361" ht="15.75" customHeight="1" x14ac:dyDescent="0.3"/>
    <row r="362" ht="15.75" customHeight="1" x14ac:dyDescent="0.3"/>
    <row r="363" ht="15.75" customHeight="1" x14ac:dyDescent="0.3"/>
    <row r="364" ht="15.75" customHeight="1" x14ac:dyDescent="0.3"/>
    <row r="365" ht="15.75" customHeight="1" x14ac:dyDescent="0.3"/>
    <row r="366" ht="15.75" customHeight="1" x14ac:dyDescent="0.3"/>
    <row r="367" ht="15.75" customHeight="1" x14ac:dyDescent="0.3"/>
    <row r="368" ht="15.75" customHeight="1" x14ac:dyDescent="0.3"/>
    <row r="369" ht="15.75" customHeight="1" x14ac:dyDescent="0.3"/>
    <row r="370" ht="15.75" customHeight="1" x14ac:dyDescent="0.3"/>
    <row r="371" ht="15.75" customHeight="1" x14ac:dyDescent="0.3"/>
    <row r="372" ht="15.75" customHeight="1" x14ac:dyDescent="0.3"/>
    <row r="373" ht="15.75" customHeight="1" x14ac:dyDescent="0.3"/>
    <row r="374" ht="15.75" customHeight="1" x14ac:dyDescent="0.3"/>
    <row r="375" ht="15.75" customHeight="1" x14ac:dyDescent="0.3"/>
    <row r="376" ht="15.75" customHeight="1" x14ac:dyDescent="0.3"/>
    <row r="377" ht="15.75" customHeight="1" x14ac:dyDescent="0.3"/>
    <row r="378" ht="15.75" customHeight="1" x14ac:dyDescent="0.3"/>
    <row r="379" ht="15.75" customHeight="1" x14ac:dyDescent="0.3"/>
    <row r="380" ht="15.75" customHeight="1" x14ac:dyDescent="0.3"/>
    <row r="381" ht="15.75" customHeight="1" x14ac:dyDescent="0.3"/>
    <row r="382" ht="15.75" customHeight="1" x14ac:dyDescent="0.3"/>
    <row r="383" ht="15.75" customHeight="1" x14ac:dyDescent="0.3"/>
    <row r="384" ht="15.75" customHeight="1" x14ac:dyDescent="0.3"/>
    <row r="385" ht="15.75" customHeight="1" x14ac:dyDescent="0.3"/>
    <row r="386" ht="15.75" customHeight="1" x14ac:dyDescent="0.3"/>
    <row r="387" ht="15.75" customHeight="1" x14ac:dyDescent="0.3"/>
    <row r="388" ht="15.75" customHeight="1" x14ac:dyDescent="0.3"/>
    <row r="389" ht="15.75" customHeight="1" x14ac:dyDescent="0.3"/>
    <row r="390" ht="15.75" customHeight="1" x14ac:dyDescent="0.3"/>
    <row r="391" ht="15.75" customHeight="1" x14ac:dyDescent="0.3"/>
    <row r="392" ht="15.75" customHeight="1" x14ac:dyDescent="0.3"/>
    <row r="393" ht="15.75" customHeight="1" x14ac:dyDescent="0.3"/>
    <row r="394" ht="15.75" customHeight="1" x14ac:dyDescent="0.3"/>
    <row r="395" ht="15.75" customHeight="1" x14ac:dyDescent="0.3"/>
    <row r="396" ht="15.75" customHeight="1" x14ac:dyDescent="0.3"/>
    <row r="397" ht="15.75" customHeight="1" x14ac:dyDescent="0.3"/>
    <row r="398" ht="15.75" customHeight="1" x14ac:dyDescent="0.3"/>
    <row r="399" ht="15.75" customHeight="1" x14ac:dyDescent="0.3"/>
    <row r="400" ht="15.75" customHeight="1" x14ac:dyDescent="0.3"/>
    <row r="401" ht="15.75" customHeight="1" x14ac:dyDescent="0.3"/>
    <row r="402" ht="15.75" customHeight="1" x14ac:dyDescent="0.3"/>
    <row r="403" ht="15.75" customHeight="1" x14ac:dyDescent="0.3"/>
    <row r="404" ht="15.75" customHeight="1" x14ac:dyDescent="0.3"/>
    <row r="405" ht="15.75" customHeight="1" x14ac:dyDescent="0.3"/>
    <row r="406" ht="15.75" customHeight="1" x14ac:dyDescent="0.3"/>
    <row r="407" ht="15.75" customHeight="1" x14ac:dyDescent="0.3"/>
    <row r="408" ht="15.75" customHeight="1" x14ac:dyDescent="0.3"/>
    <row r="409" ht="15.75" customHeight="1" x14ac:dyDescent="0.3"/>
    <row r="410" ht="15.75" customHeight="1" x14ac:dyDescent="0.3"/>
    <row r="411" ht="15.75" customHeight="1" x14ac:dyDescent="0.3"/>
    <row r="412" ht="15.75" customHeight="1" x14ac:dyDescent="0.3"/>
    <row r="413" ht="15.75" customHeight="1" x14ac:dyDescent="0.3"/>
    <row r="414" ht="15.75" customHeight="1" x14ac:dyDescent="0.3"/>
    <row r="415" ht="15.75" customHeight="1" x14ac:dyDescent="0.3"/>
    <row r="416" ht="15.75" customHeight="1" x14ac:dyDescent="0.3"/>
    <row r="417" ht="15.75" customHeight="1" x14ac:dyDescent="0.3"/>
    <row r="418" ht="15.75" customHeight="1" x14ac:dyDescent="0.3"/>
    <row r="419" ht="15.75" customHeight="1" x14ac:dyDescent="0.3"/>
    <row r="420" ht="15.75" customHeight="1" x14ac:dyDescent="0.3"/>
    <row r="421" ht="15.75" customHeight="1" x14ac:dyDescent="0.3"/>
    <row r="422" ht="15.75" customHeight="1" x14ac:dyDescent="0.3"/>
    <row r="423" ht="15.75" customHeight="1" x14ac:dyDescent="0.3"/>
    <row r="424" ht="15.75" customHeight="1" x14ac:dyDescent="0.3"/>
    <row r="425" ht="15.75" customHeight="1" x14ac:dyDescent="0.3"/>
    <row r="426" ht="15.75" customHeight="1" x14ac:dyDescent="0.3"/>
    <row r="427" ht="15.75" customHeight="1" x14ac:dyDescent="0.3"/>
    <row r="428" ht="15.75" customHeight="1" x14ac:dyDescent="0.3"/>
    <row r="429" ht="15.75" customHeight="1" x14ac:dyDescent="0.3"/>
    <row r="430" ht="15.75" customHeight="1" x14ac:dyDescent="0.3"/>
    <row r="431" ht="15.75" customHeight="1" x14ac:dyDescent="0.3"/>
    <row r="432" ht="15.75" customHeight="1" x14ac:dyDescent="0.3"/>
    <row r="433" ht="15.75" customHeight="1" x14ac:dyDescent="0.3"/>
    <row r="434" ht="15.75" customHeight="1" x14ac:dyDescent="0.3"/>
    <row r="435" ht="15.75" customHeight="1" x14ac:dyDescent="0.3"/>
    <row r="436" ht="15.75" customHeight="1" x14ac:dyDescent="0.3"/>
    <row r="437" ht="15.75" customHeight="1" x14ac:dyDescent="0.3"/>
    <row r="438" ht="15.75" customHeight="1" x14ac:dyDescent="0.3"/>
    <row r="439" ht="15.75" customHeight="1" x14ac:dyDescent="0.3"/>
    <row r="440" ht="15.75" customHeight="1" x14ac:dyDescent="0.3"/>
    <row r="441" ht="15.75" customHeight="1" x14ac:dyDescent="0.3"/>
    <row r="442" ht="15.75" customHeight="1" x14ac:dyDescent="0.3"/>
    <row r="443" ht="15.75" customHeight="1" x14ac:dyDescent="0.3"/>
    <row r="444" ht="15.75" customHeight="1" x14ac:dyDescent="0.3"/>
    <row r="445" ht="15.75" customHeight="1" x14ac:dyDescent="0.3"/>
    <row r="446" ht="15.75" customHeight="1" x14ac:dyDescent="0.3"/>
    <row r="447" ht="15.75" customHeight="1" x14ac:dyDescent="0.3"/>
    <row r="448" ht="15.75" customHeight="1" x14ac:dyDescent="0.3"/>
    <row r="449" ht="15.75" customHeight="1" x14ac:dyDescent="0.3"/>
    <row r="450" ht="15.75" customHeight="1" x14ac:dyDescent="0.3"/>
    <row r="451" ht="15.75" customHeight="1" x14ac:dyDescent="0.3"/>
    <row r="452" ht="15.75" customHeight="1" x14ac:dyDescent="0.3"/>
    <row r="453" ht="15.75" customHeight="1" x14ac:dyDescent="0.3"/>
    <row r="454" ht="15.75" customHeight="1" x14ac:dyDescent="0.3"/>
    <row r="455" ht="15.75" customHeight="1" x14ac:dyDescent="0.3"/>
    <row r="456" ht="15.75" customHeight="1" x14ac:dyDescent="0.3"/>
    <row r="457" ht="15.75" customHeight="1" x14ac:dyDescent="0.3"/>
    <row r="458" ht="15.75" customHeight="1" x14ac:dyDescent="0.3"/>
    <row r="459" ht="15.75" customHeight="1" x14ac:dyDescent="0.3"/>
    <row r="460" ht="15.75" customHeight="1" x14ac:dyDescent="0.3"/>
    <row r="461" ht="15.75" customHeight="1" x14ac:dyDescent="0.3"/>
    <row r="462" ht="15.75" customHeight="1" x14ac:dyDescent="0.3"/>
    <row r="463" ht="15.75" customHeight="1" x14ac:dyDescent="0.3"/>
    <row r="464" ht="15.75" customHeight="1" x14ac:dyDescent="0.3"/>
    <row r="465" ht="15.75" customHeight="1" x14ac:dyDescent="0.3"/>
    <row r="466" ht="15.75" customHeight="1" x14ac:dyDescent="0.3"/>
    <row r="467" ht="15.75" customHeight="1" x14ac:dyDescent="0.3"/>
    <row r="468" ht="15.75" customHeight="1" x14ac:dyDescent="0.3"/>
    <row r="469" ht="15.75" customHeight="1" x14ac:dyDescent="0.3"/>
    <row r="470" ht="15.75" customHeight="1" x14ac:dyDescent="0.3"/>
    <row r="471" ht="15.75" customHeight="1" x14ac:dyDescent="0.3"/>
    <row r="472" ht="15.75" customHeight="1" x14ac:dyDescent="0.3"/>
    <row r="473" ht="15.75" customHeight="1" x14ac:dyDescent="0.3"/>
    <row r="474" ht="15.75" customHeight="1" x14ac:dyDescent="0.3"/>
    <row r="475" ht="15.75" customHeight="1" x14ac:dyDescent="0.3"/>
    <row r="476" ht="15.75" customHeight="1" x14ac:dyDescent="0.3"/>
    <row r="477" ht="15.75" customHeight="1" x14ac:dyDescent="0.3"/>
    <row r="478" ht="15.75" customHeight="1" x14ac:dyDescent="0.3"/>
    <row r="479" ht="15.75" customHeight="1" x14ac:dyDescent="0.3"/>
    <row r="480" ht="15.75" customHeight="1" x14ac:dyDescent="0.3"/>
    <row r="481" ht="15.75" customHeight="1" x14ac:dyDescent="0.3"/>
    <row r="482" ht="15.75" customHeight="1" x14ac:dyDescent="0.3"/>
    <row r="483" ht="15.75" customHeight="1" x14ac:dyDescent="0.3"/>
    <row r="484" ht="15.75" customHeight="1" x14ac:dyDescent="0.3"/>
    <row r="485" ht="15.75" customHeight="1" x14ac:dyDescent="0.3"/>
    <row r="486" ht="15.75" customHeight="1" x14ac:dyDescent="0.3"/>
    <row r="487" ht="15.75" customHeight="1" x14ac:dyDescent="0.3"/>
    <row r="488" ht="15.75" customHeight="1" x14ac:dyDescent="0.3"/>
    <row r="489" ht="15.75" customHeight="1" x14ac:dyDescent="0.3"/>
    <row r="490" ht="15.75" customHeight="1" x14ac:dyDescent="0.3"/>
    <row r="491" ht="15.75" customHeight="1" x14ac:dyDescent="0.3"/>
    <row r="492" ht="15.75" customHeight="1" x14ac:dyDescent="0.3"/>
    <row r="493" ht="15.75" customHeight="1" x14ac:dyDescent="0.3"/>
    <row r="494" ht="15.75" customHeight="1" x14ac:dyDescent="0.3"/>
    <row r="495" ht="15.75" customHeight="1" x14ac:dyDescent="0.3"/>
    <row r="496" ht="15.75" customHeight="1" x14ac:dyDescent="0.3"/>
    <row r="497" ht="15.75" customHeight="1" x14ac:dyDescent="0.3"/>
    <row r="498" ht="15.75" customHeight="1" x14ac:dyDescent="0.3"/>
    <row r="499" ht="15.75" customHeight="1" x14ac:dyDescent="0.3"/>
    <row r="500" ht="15.75" customHeight="1" x14ac:dyDescent="0.3"/>
    <row r="501" ht="15.75" customHeight="1" x14ac:dyDescent="0.3"/>
    <row r="502" ht="15.75" customHeight="1" x14ac:dyDescent="0.3"/>
    <row r="503" ht="15.75" customHeight="1" x14ac:dyDescent="0.3"/>
    <row r="504" ht="15.75" customHeight="1" x14ac:dyDescent="0.3"/>
    <row r="505" ht="15.75" customHeight="1" x14ac:dyDescent="0.3"/>
    <row r="506" ht="15.75" customHeight="1" x14ac:dyDescent="0.3"/>
    <row r="507" ht="15.75" customHeight="1" x14ac:dyDescent="0.3"/>
    <row r="508" ht="15.75" customHeight="1" x14ac:dyDescent="0.3"/>
    <row r="509" ht="15.75" customHeight="1" x14ac:dyDescent="0.3"/>
    <row r="510" ht="15.75" customHeight="1" x14ac:dyDescent="0.3"/>
    <row r="511" ht="15.75" customHeight="1" x14ac:dyDescent="0.3"/>
    <row r="512" ht="15.75" customHeight="1" x14ac:dyDescent="0.3"/>
    <row r="513" ht="15.75" customHeight="1" x14ac:dyDescent="0.3"/>
    <row r="514" ht="15.75" customHeight="1" x14ac:dyDescent="0.3"/>
    <row r="515" ht="15.75" customHeight="1" x14ac:dyDescent="0.3"/>
    <row r="516" ht="15.75" customHeight="1" x14ac:dyDescent="0.3"/>
    <row r="517" ht="15.75" customHeight="1" x14ac:dyDescent="0.3"/>
    <row r="518" ht="15.75" customHeight="1" x14ac:dyDescent="0.3"/>
    <row r="519" ht="15.75" customHeight="1" x14ac:dyDescent="0.3"/>
    <row r="520" ht="15.75" customHeight="1" x14ac:dyDescent="0.3"/>
    <row r="521" ht="15.75" customHeight="1" x14ac:dyDescent="0.3"/>
    <row r="522" ht="15.75" customHeight="1" x14ac:dyDescent="0.3"/>
    <row r="523" ht="15.75" customHeight="1" x14ac:dyDescent="0.3"/>
    <row r="524" ht="15.75" customHeight="1" x14ac:dyDescent="0.3"/>
    <row r="525" ht="15.75" customHeight="1" x14ac:dyDescent="0.3"/>
    <row r="526" ht="15.75" customHeight="1" x14ac:dyDescent="0.3"/>
    <row r="527" ht="15.75" customHeight="1" x14ac:dyDescent="0.3"/>
    <row r="528" ht="15.75" customHeight="1" x14ac:dyDescent="0.3"/>
    <row r="529" ht="15.75" customHeight="1" x14ac:dyDescent="0.3"/>
    <row r="530" ht="15.75" customHeight="1" x14ac:dyDescent="0.3"/>
    <row r="531" ht="15.75" customHeight="1" x14ac:dyDescent="0.3"/>
    <row r="532" ht="15.75" customHeight="1" x14ac:dyDescent="0.3"/>
    <row r="533" ht="15.75" customHeight="1" x14ac:dyDescent="0.3"/>
    <row r="534" ht="15.75" customHeight="1" x14ac:dyDescent="0.3"/>
    <row r="535" ht="15.75" customHeight="1" x14ac:dyDescent="0.3"/>
    <row r="536" ht="15.75" customHeight="1" x14ac:dyDescent="0.3"/>
    <row r="537" ht="15.75" customHeight="1" x14ac:dyDescent="0.3"/>
    <row r="538" ht="15.75" customHeight="1" x14ac:dyDescent="0.3"/>
    <row r="539" ht="15.75" customHeight="1" x14ac:dyDescent="0.3"/>
    <row r="540" ht="15.75" customHeight="1" x14ac:dyDescent="0.3"/>
    <row r="541" ht="15.75" customHeight="1" x14ac:dyDescent="0.3"/>
    <row r="542" ht="15.75" customHeight="1" x14ac:dyDescent="0.3"/>
    <row r="543" ht="15.75" customHeight="1" x14ac:dyDescent="0.3"/>
    <row r="544" ht="15.75" customHeight="1" x14ac:dyDescent="0.3"/>
    <row r="545" ht="15.75" customHeight="1" x14ac:dyDescent="0.3"/>
    <row r="546" ht="15.75" customHeight="1" x14ac:dyDescent="0.3"/>
    <row r="547" ht="15.75" customHeight="1" x14ac:dyDescent="0.3"/>
    <row r="548" ht="15.75" customHeight="1" x14ac:dyDescent="0.3"/>
    <row r="549" ht="15.75" customHeight="1" x14ac:dyDescent="0.3"/>
    <row r="550" ht="15.75" customHeight="1" x14ac:dyDescent="0.3"/>
    <row r="551" ht="15.75" customHeight="1" x14ac:dyDescent="0.3"/>
    <row r="552" ht="15.75" customHeight="1" x14ac:dyDescent="0.3"/>
    <row r="553" ht="15.75" customHeight="1" x14ac:dyDescent="0.3"/>
    <row r="554" ht="15.75" customHeight="1" x14ac:dyDescent="0.3"/>
    <row r="555" ht="15.75" customHeight="1" x14ac:dyDescent="0.3"/>
    <row r="556" ht="15.75" customHeight="1" x14ac:dyDescent="0.3"/>
    <row r="557" ht="15.75" customHeight="1" x14ac:dyDescent="0.3"/>
    <row r="558" ht="15.75" customHeight="1" x14ac:dyDescent="0.3"/>
    <row r="559" ht="15.75" customHeight="1" x14ac:dyDescent="0.3"/>
    <row r="560" ht="15.75" customHeight="1" x14ac:dyDescent="0.3"/>
    <row r="561" ht="15.75" customHeight="1" x14ac:dyDescent="0.3"/>
    <row r="562" ht="15.75" customHeight="1" x14ac:dyDescent="0.3"/>
    <row r="563" ht="15.75" customHeight="1" x14ac:dyDescent="0.3"/>
    <row r="564" ht="15.75" customHeight="1" x14ac:dyDescent="0.3"/>
    <row r="565" ht="15.75" customHeight="1" x14ac:dyDescent="0.3"/>
    <row r="566" ht="15.75" customHeight="1" x14ac:dyDescent="0.3"/>
    <row r="567" ht="15.75" customHeight="1" x14ac:dyDescent="0.3"/>
    <row r="568" ht="15.75" customHeight="1" x14ac:dyDescent="0.3"/>
    <row r="569" ht="15.75" customHeight="1" x14ac:dyDescent="0.3"/>
    <row r="570" ht="15.75" customHeight="1" x14ac:dyDescent="0.3"/>
    <row r="571" ht="15.75" customHeight="1" x14ac:dyDescent="0.3"/>
    <row r="572" ht="15.75" customHeight="1" x14ac:dyDescent="0.3"/>
    <row r="573" ht="15.75" customHeight="1" x14ac:dyDescent="0.3"/>
    <row r="574" ht="15.75" customHeight="1" x14ac:dyDescent="0.3"/>
    <row r="575" ht="15.75" customHeight="1" x14ac:dyDescent="0.3"/>
    <row r="576" ht="15.75" customHeight="1" x14ac:dyDescent="0.3"/>
    <row r="577" ht="15.75" customHeight="1" x14ac:dyDescent="0.3"/>
    <row r="578" ht="15.75" customHeight="1" x14ac:dyDescent="0.3"/>
    <row r="579" ht="15.75" customHeight="1" x14ac:dyDescent="0.3"/>
    <row r="580" ht="15.75" customHeight="1" x14ac:dyDescent="0.3"/>
    <row r="581" ht="15.75" customHeight="1" x14ac:dyDescent="0.3"/>
    <row r="582" ht="15.75" customHeight="1" x14ac:dyDescent="0.3"/>
    <row r="583" ht="15.75" customHeight="1" x14ac:dyDescent="0.3"/>
    <row r="584" ht="15.75" customHeight="1" x14ac:dyDescent="0.3"/>
    <row r="585" ht="15.75" customHeight="1" x14ac:dyDescent="0.3"/>
    <row r="586" ht="15.75" customHeight="1" x14ac:dyDescent="0.3"/>
    <row r="587" ht="15.75" customHeight="1" x14ac:dyDescent="0.3"/>
    <row r="588" ht="15.75" customHeight="1" x14ac:dyDescent="0.3"/>
    <row r="589" ht="15.75" customHeight="1" x14ac:dyDescent="0.3"/>
    <row r="590" ht="15.75" customHeight="1" x14ac:dyDescent="0.3"/>
    <row r="591" ht="15.75" customHeight="1" x14ac:dyDescent="0.3"/>
    <row r="592" ht="15.75" customHeight="1" x14ac:dyDescent="0.3"/>
    <row r="593" ht="15.75" customHeight="1" x14ac:dyDescent="0.3"/>
    <row r="594" ht="15.75" customHeight="1" x14ac:dyDescent="0.3"/>
    <row r="595" ht="15.75" customHeight="1" x14ac:dyDescent="0.3"/>
    <row r="596" ht="15.75" customHeight="1" x14ac:dyDescent="0.3"/>
    <row r="597" ht="15.75" customHeight="1" x14ac:dyDescent="0.3"/>
    <row r="598" ht="15.75" customHeight="1" x14ac:dyDescent="0.3"/>
    <row r="599" ht="15.75" customHeight="1" x14ac:dyDescent="0.3"/>
    <row r="600" ht="15.75" customHeight="1" x14ac:dyDescent="0.3"/>
    <row r="601" ht="15.75" customHeight="1" x14ac:dyDescent="0.3"/>
    <row r="602" ht="15.75" customHeight="1" x14ac:dyDescent="0.3"/>
    <row r="603" ht="15.75" customHeight="1" x14ac:dyDescent="0.3"/>
    <row r="604" ht="15.75" customHeight="1" x14ac:dyDescent="0.3"/>
    <row r="605" ht="15.75" customHeight="1" x14ac:dyDescent="0.3"/>
    <row r="606" ht="15.75" customHeight="1" x14ac:dyDescent="0.3"/>
    <row r="607" ht="15.75" customHeight="1" x14ac:dyDescent="0.3"/>
    <row r="608" ht="15.75" customHeight="1" x14ac:dyDescent="0.3"/>
    <row r="609" ht="15.75" customHeight="1" x14ac:dyDescent="0.3"/>
    <row r="610" ht="15.75" customHeight="1" x14ac:dyDescent="0.3"/>
    <row r="611" ht="15.75" customHeight="1" x14ac:dyDescent="0.3"/>
    <row r="612" ht="15.75" customHeight="1" x14ac:dyDescent="0.3"/>
    <row r="613" ht="15.75" customHeight="1" x14ac:dyDescent="0.3"/>
    <row r="614" ht="15.75" customHeight="1" x14ac:dyDescent="0.3"/>
    <row r="615" ht="15.75" customHeight="1" x14ac:dyDescent="0.3"/>
    <row r="616" ht="15.75" customHeight="1" x14ac:dyDescent="0.3"/>
    <row r="617" ht="15.75" customHeight="1" x14ac:dyDescent="0.3"/>
    <row r="618" ht="15.75" customHeight="1" x14ac:dyDescent="0.3"/>
    <row r="619" ht="15.75" customHeight="1" x14ac:dyDescent="0.3"/>
    <row r="620" ht="15.75" customHeight="1" x14ac:dyDescent="0.3"/>
    <row r="621" ht="15.75" customHeight="1" x14ac:dyDescent="0.3"/>
    <row r="622" ht="15.75" customHeight="1" x14ac:dyDescent="0.3"/>
    <row r="623" ht="15.75" customHeight="1" x14ac:dyDescent="0.3"/>
    <row r="624" ht="15.75" customHeight="1" x14ac:dyDescent="0.3"/>
    <row r="625" ht="15.75" customHeight="1" x14ac:dyDescent="0.3"/>
    <row r="626" ht="15.75" customHeight="1" x14ac:dyDescent="0.3"/>
    <row r="627" ht="15.75" customHeight="1" x14ac:dyDescent="0.3"/>
    <row r="628" ht="15.75" customHeight="1" x14ac:dyDescent="0.3"/>
    <row r="629" ht="15.75" customHeight="1" x14ac:dyDescent="0.3"/>
    <row r="630" ht="15.75" customHeight="1" x14ac:dyDescent="0.3"/>
    <row r="631" ht="15.75" customHeight="1" x14ac:dyDescent="0.3"/>
    <row r="632" ht="15.75" customHeight="1" x14ac:dyDescent="0.3"/>
    <row r="633" ht="15.75" customHeight="1" x14ac:dyDescent="0.3"/>
    <row r="634" ht="15.75" customHeight="1" x14ac:dyDescent="0.3"/>
    <row r="635" ht="15.75" customHeight="1" x14ac:dyDescent="0.3"/>
    <row r="636" ht="15.75" customHeight="1" x14ac:dyDescent="0.3"/>
    <row r="637" ht="15.75" customHeight="1" x14ac:dyDescent="0.3"/>
    <row r="638" ht="15.75" customHeight="1" x14ac:dyDescent="0.3"/>
    <row r="639" ht="15.75" customHeight="1" x14ac:dyDescent="0.3"/>
    <row r="640" ht="15.75" customHeight="1" x14ac:dyDescent="0.3"/>
    <row r="641" ht="15.75" customHeight="1" x14ac:dyDescent="0.3"/>
    <row r="642" ht="15.75" customHeight="1" x14ac:dyDescent="0.3"/>
    <row r="643" ht="15.75" customHeight="1" x14ac:dyDescent="0.3"/>
    <row r="644" ht="15.75" customHeight="1" x14ac:dyDescent="0.3"/>
    <row r="645" ht="15.75" customHeight="1" x14ac:dyDescent="0.3"/>
    <row r="646" ht="15.75" customHeight="1" x14ac:dyDescent="0.3"/>
    <row r="647" ht="15.75" customHeight="1" x14ac:dyDescent="0.3"/>
    <row r="648" ht="15.75" customHeight="1" x14ac:dyDescent="0.3"/>
    <row r="649" ht="15.75" customHeight="1" x14ac:dyDescent="0.3"/>
    <row r="650" ht="15.75" customHeight="1" x14ac:dyDescent="0.3"/>
    <row r="651" ht="15.75" customHeight="1" x14ac:dyDescent="0.3"/>
    <row r="652" ht="15.75" customHeight="1" x14ac:dyDescent="0.3"/>
    <row r="653" ht="15.75" customHeight="1" x14ac:dyDescent="0.3"/>
    <row r="654" ht="15.75" customHeight="1" x14ac:dyDescent="0.3"/>
    <row r="655" ht="15.75" customHeight="1" x14ac:dyDescent="0.3"/>
    <row r="656" ht="15.75" customHeight="1" x14ac:dyDescent="0.3"/>
    <row r="657" ht="15.75" customHeight="1" x14ac:dyDescent="0.3"/>
    <row r="658" ht="15.75" customHeight="1" x14ac:dyDescent="0.3"/>
    <row r="659" ht="15.75" customHeight="1" x14ac:dyDescent="0.3"/>
    <row r="660" ht="15.75" customHeight="1" x14ac:dyDescent="0.3"/>
    <row r="661" ht="15.75" customHeight="1" x14ac:dyDescent="0.3"/>
    <row r="662" ht="15.75" customHeight="1" x14ac:dyDescent="0.3"/>
    <row r="663" ht="15.75" customHeight="1" x14ac:dyDescent="0.3"/>
    <row r="664" ht="15.75" customHeight="1" x14ac:dyDescent="0.3"/>
    <row r="665" ht="15.75" customHeight="1" x14ac:dyDescent="0.3"/>
    <row r="666" ht="15.75" customHeight="1" x14ac:dyDescent="0.3"/>
    <row r="667" ht="15.75" customHeight="1" x14ac:dyDescent="0.3"/>
    <row r="668" ht="15.75" customHeight="1" x14ac:dyDescent="0.3"/>
    <row r="669" ht="15.75" customHeight="1" x14ac:dyDescent="0.3"/>
    <row r="670" ht="15.75" customHeight="1" x14ac:dyDescent="0.3"/>
    <row r="671" ht="15.75" customHeight="1" x14ac:dyDescent="0.3"/>
    <row r="672" ht="15.75" customHeight="1" x14ac:dyDescent="0.3"/>
    <row r="673" ht="15.75" customHeight="1" x14ac:dyDescent="0.3"/>
    <row r="674" ht="15.75" customHeight="1" x14ac:dyDescent="0.3"/>
    <row r="675" ht="15.75" customHeight="1" x14ac:dyDescent="0.3"/>
    <row r="676" ht="15.75" customHeight="1" x14ac:dyDescent="0.3"/>
    <row r="677" ht="15.75" customHeight="1" x14ac:dyDescent="0.3"/>
    <row r="678" ht="15.75" customHeight="1" x14ac:dyDescent="0.3"/>
    <row r="679" ht="15.75" customHeight="1" x14ac:dyDescent="0.3"/>
    <row r="680" ht="15.75" customHeight="1" x14ac:dyDescent="0.3"/>
    <row r="681" ht="15.75" customHeight="1" x14ac:dyDescent="0.3"/>
    <row r="682" ht="15.75" customHeight="1" x14ac:dyDescent="0.3"/>
    <row r="683" ht="15.75" customHeight="1" x14ac:dyDescent="0.3"/>
    <row r="684" ht="15.75" customHeight="1" x14ac:dyDescent="0.3"/>
    <row r="685" ht="15.75" customHeight="1" x14ac:dyDescent="0.3"/>
    <row r="686" ht="15.75" customHeight="1" x14ac:dyDescent="0.3"/>
    <row r="687" ht="15.75" customHeight="1" x14ac:dyDescent="0.3"/>
    <row r="688" ht="15.75" customHeight="1" x14ac:dyDescent="0.3"/>
    <row r="689" ht="15.75" customHeight="1" x14ac:dyDescent="0.3"/>
    <row r="690" ht="15.75" customHeight="1" x14ac:dyDescent="0.3"/>
    <row r="691" ht="15.75" customHeight="1" x14ac:dyDescent="0.3"/>
    <row r="692" ht="15.75" customHeight="1" x14ac:dyDescent="0.3"/>
    <row r="693" ht="15.75" customHeight="1" x14ac:dyDescent="0.3"/>
    <row r="694" ht="15.75" customHeight="1" x14ac:dyDescent="0.3"/>
    <row r="695" ht="15.75" customHeight="1" x14ac:dyDescent="0.3"/>
    <row r="696" ht="15.75" customHeight="1" x14ac:dyDescent="0.3"/>
    <row r="697" ht="15.75" customHeight="1" x14ac:dyDescent="0.3"/>
    <row r="698" ht="15.75" customHeight="1" x14ac:dyDescent="0.3"/>
    <row r="699" ht="15.75" customHeight="1" x14ac:dyDescent="0.3"/>
    <row r="700" ht="15.75" customHeight="1" x14ac:dyDescent="0.3"/>
    <row r="701" ht="15.75" customHeight="1" x14ac:dyDescent="0.3"/>
    <row r="702" ht="15.75" customHeight="1" x14ac:dyDescent="0.3"/>
    <row r="703" ht="15.75" customHeight="1" x14ac:dyDescent="0.3"/>
    <row r="704" ht="15.75" customHeight="1" x14ac:dyDescent="0.3"/>
    <row r="705" ht="15.75" customHeight="1" x14ac:dyDescent="0.3"/>
    <row r="706" ht="15.75" customHeight="1" x14ac:dyDescent="0.3"/>
    <row r="707" ht="15.75" customHeight="1" x14ac:dyDescent="0.3"/>
    <row r="708" ht="15.75" customHeight="1" x14ac:dyDescent="0.3"/>
    <row r="709" ht="15.75" customHeight="1" x14ac:dyDescent="0.3"/>
    <row r="710" ht="15.75" customHeight="1" x14ac:dyDescent="0.3"/>
    <row r="711" ht="15.75" customHeight="1" x14ac:dyDescent="0.3"/>
    <row r="712" ht="15.75" customHeight="1" x14ac:dyDescent="0.3"/>
    <row r="713" ht="15.75" customHeight="1" x14ac:dyDescent="0.3"/>
    <row r="714" ht="15.75" customHeight="1" x14ac:dyDescent="0.3"/>
    <row r="715" ht="15.75" customHeight="1" x14ac:dyDescent="0.3"/>
    <row r="716" ht="15.75" customHeight="1" x14ac:dyDescent="0.3"/>
    <row r="717" ht="15.75" customHeight="1" x14ac:dyDescent="0.3"/>
    <row r="718" ht="15.75" customHeight="1" x14ac:dyDescent="0.3"/>
    <row r="719" ht="15.75" customHeight="1" x14ac:dyDescent="0.3"/>
    <row r="720" ht="15.75" customHeight="1" x14ac:dyDescent="0.3"/>
    <row r="721" ht="15.75" customHeight="1" x14ac:dyDescent="0.3"/>
    <row r="722" ht="15.75" customHeight="1" x14ac:dyDescent="0.3"/>
    <row r="723" ht="15.75" customHeight="1" x14ac:dyDescent="0.3"/>
    <row r="724" ht="15.75" customHeight="1" x14ac:dyDescent="0.3"/>
    <row r="725" ht="15.75" customHeight="1" x14ac:dyDescent="0.3"/>
    <row r="726" ht="15.75" customHeight="1" x14ac:dyDescent="0.3"/>
    <row r="727" ht="15.75" customHeight="1" x14ac:dyDescent="0.3"/>
    <row r="728" ht="15.75" customHeight="1" x14ac:dyDescent="0.3"/>
    <row r="729" ht="15.75" customHeight="1" x14ac:dyDescent="0.3"/>
    <row r="730" ht="15.75" customHeight="1" x14ac:dyDescent="0.3"/>
    <row r="731" ht="15.75" customHeight="1" x14ac:dyDescent="0.3"/>
    <row r="732" ht="15.75" customHeight="1" x14ac:dyDescent="0.3"/>
    <row r="733" ht="15.75" customHeight="1" x14ac:dyDescent="0.3"/>
    <row r="734" ht="15.75" customHeight="1" x14ac:dyDescent="0.3"/>
    <row r="735" ht="15.75" customHeight="1" x14ac:dyDescent="0.3"/>
    <row r="736" ht="15.75" customHeight="1" x14ac:dyDescent="0.3"/>
    <row r="737" ht="15.75" customHeight="1" x14ac:dyDescent="0.3"/>
    <row r="738" ht="15.75" customHeight="1" x14ac:dyDescent="0.3"/>
    <row r="739" ht="15.75" customHeight="1" x14ac:dyDescent="0.3"/>
    <row r="740" ht="15.75" customHeight="1" x14ac:dyDescent="0.3"/>
    <row r="741" ht="15.75" customHeight="1" x14ac:dyDescent="0.3"/>
    <row r="742" ht="15.75" customHeight="1" x14ac:dyDescent="0.3"/>
    <row r="743" ht="15.75" customHeight="1" x14ac:dyDescent="0.3"/>
    <row r="744" ht="15.75" customHeight="1" x14ac:dyDescent="0.3"/>
    <row r="745" ht="15.75" customHeight="1" x14ac:dyDescent="0.3"/>
    <row r="746" ht="15.75" customHeight="1" x14ac:dyDescent="0.3"/>
    <row r="747" ht="15.75" customHeight="1" x14ac:dyDescent="0.3"/>
    <row r="748" ht="15.75" customHeight="1" x14ac:dyDescent="0.3"/>
    <row r="749" ht="15.75" customHeight="1" x14ac:dyDescent="0.3"/>
    <row r="750" ht="15.75" customHeight="1" x14ac:dyDescent="0.3"/>
    <row r="751" ht="15.75" customHeight="1" x14ac:dyDescent="0.3"/>
    <row r="752" ht="15.75" customHeight="1" x14ac:dyDescent="0.3"/>
    <row r="753" ht="15.75" customHeight="1" x14ac:dyDescent="0.3"/>
    <row r="754" ht="15.75" customHeight="1" x14ac:dyDescent="0.3"/>
    <row r="755" ht="15.75" customHeight="1" x14ac:dyDescent="0.3"/>
    <row r="756" ht="15.75" customHeight="1" x14ac:dyDescent="0.3"/>
    <row r="757" ht="15.75" customHeight="1" x14ac:dyDescent="0.3"/>
    <row r="758" ht="15.75" customHeight="1" x14ac:dyDescent="0.3"/>
    <row r="759" ht="15.75" customHeight="1" x14ac:dyDescent="0.3"/>
    <row r="760" ht="15.75" customHeight="1" x14ac:dyDescent="0.3"/>
    <row r="761" ht="15.75" customHeight="1" x14ac:dyDescent="0.3"/>
    <row r="762" ht="15.75" customHeight="1" x14ac:dyDescent="0.3"/>
    <row r="763" ht="15.75" customHeight="1" x14ac:dyDescent="0.3"/>
    <row r="764" ht="15.75" customHeight="1" x14ac:dyDescent="0.3"/>
    <row r="765" ht="15.75" customHeight="1" x14ac:dyDescent="0.3"/>
    <row r="766" ht="15.75" customHeight="1" x14ac:dyDescent="0.3"/>
    <row r="767" ht="15.75" customHeight="1" x14ac:dyDescent="0.3"/>
    <row r="768" ht="15.75" customHeight="1" x14ac:dyDescent="0.3"/>
    <row r="769" ht="15.75" customHeight="1" x14ac:dyDescent="0.3"/>
    <row r="770" ht="15.75" customHeight="1" x14ac:dyDescent="0.3"/>
    <row r="771" ht="15.75" customHeight="1" x14ac:dyDescent="0.3"/>
    <row r="772" ht="15.75" customHeight="1" x14ac:dyDescent="0.3"/>
    <row r="773" ht="15.75" customHeight="1" x14ac:dyDescent="0.3"/>
    <row r="774" ht="15.75" customHeight="1" x14ac:dyDescent="0.3"/>
    <row r="775" ht="15.75" customHeight="1" x14ac:dyDescent="0.3"/>
    <row r="776" ht="15.75" customHeight="1" x14ac:dyDescent="0.3"/>
    <row r="777" ht="15.75" customHeight="1" x14ac:dyDescent="0.3"/>
    <row r="778" ht="15.75" customHeight="1" x14ac:dyDescent="0.3"/>
    <row r="779" ht="15.75" customHeight="1" x14ac:dyDescent="0.3"/>
    <row r="780" ht="15.75" customHeight="1" x14ac:dyDescent="0.3"/>
    <row r="781" ht="15.75" customHeight="1" x14ac:dyDescent="0.3"/>
    <row r="782" ht="15.75" customHeight="1" x14ac:dyDescent="0.3"/>
    <row r="783" ht="15.75" customHeight="1" x14ac:dyDescent="0.3"/>
    <row r="784" ht="15.75" customHeight="1" x14ac:dyDescent="0.3"/>
    <row r="785" ht="15.75" customHeight="1" x14ac:dyDescent="0.3"/>
    <row r="786" ht="15.75" customHeight="1" x14ac:dyDescent="0.3"/>
    <row r="787" ht="15.75" customHeight="1" x14ac:dyDescent="0.3"/>
    <row r="788" ht="15.75" customHeight="1" x14ac:dyDescent="0.3"/>
    <row r="789" ht="15.75" customHeight="1" x14ac:dyDescent="0.3"/>
    <row r="790" ht="15.75" customHeight="1" x14ac:dyDescent="0.3"/>
    <row r="791" ht="15.75" customHeight="1" x14ac:dyDescent="0.3"/>
    <row r="792" ht="15.75" customHeight="1" x14ac:dyDescent="0.3"/>
    <row r="793" ht="15.75" customHeight="1" x14ac:dyDescent="0.3"/>
    <row r="794" ht="15.75" customHeight="1" x14ac:dyDescent="0.3"/>
    <row r="795" ht="15.75" customHeight="1" x14ac:dyDescent="0.3"/>
    <row r="796" ht="15.75" customHeight="1" x14ac:dyDescent="0.3"/>
    <row r="797" ht="15.75" customHeight="1" x14ac:dyDescent="0.3"/>
    <row r="798" ht="15.75" customHeight="1" x14ac:dyDescent="0.3"/>
    <row r="799" ht="15.75" customHeight="1" x14ac:dyDescent="0.3"/>
    <row r="800" ht="15.75" customHeight="1" x14ac:dyDescent="0.3"/>
    <row r="801" ht="15.75" customHeight="1" x14ac:dyDescent="0.3"/>
    <row r="802" ht="15.75" customHeight="1" x14ac:dyDescent="0.3"/>
    <row r="803" ht="15.75" customHeight="1" x14ac:dyDescent="0.3"/>
    <row r="804" ht="15.75" customHeight="1" x14ac:dyDescent="0.3"/>
    <row r="805" ht="15.75" customHeight="1" x14ac:dyDescent="0.3"/>
    <row r="806" ht="15.75" customHeight="1" x14ac:dyDescent="0.3"/>
    <row r="807" ht="15.75" customHeight="1" x14ac:dyDescent="0.3"/>
    <row r="808" ht="15.75" customHeight="1" x14ac:dyDescent="0.3"/>
    <row r="809" ht="15.75" customHeight="1" x14ac:dyDescent="0.3"/>
    <row r="810" ht="15.75" customHeight="1" x14ac:dyDescent="0.3"/>
    <row r="811" ht="15.75" customHeight="1" x14ac:dyDescent="0.3"/>
    <row r="812" ht="15.75" customHeight="1" x14ac:dyDescent="0.3"/>
    <row r="813" ht="15.75" customHeight="1" x14ac:dyDescent="0.3"/>
    <row r="814" ht="15.75" customHeight="1" x14ac:dyDescent="0.3"/>
    <row r="815" ht="15.75" customHeight="1" x14ac:dyDescent="0.3"/>
    <row r="816" ht="15.75" customHeight="1" x14ac:dyDescent="0.3"/>
    <row r="817" ht="15.75" customHeight="1" x14ac:dyDescent="0.3"/>
    <row r="818" ht="15.75" customHeight="1" x14ac:dyDescent="0.3"/>
    <row r="819" ht="15.75" customHeight="1" x14ac:dyDescent="0.3"/>
    <row r="820" ht="15.75" customHeight="1" x14ac:dyDescent="0.3"/>
    <row r="821" ht="15.75" customHeight="1" x14ac:dyDescent="0.3"/>
    <row r="822" ht="15.75" customHeight="1" x14ac:dyDescent="0.3"/>
    <row r="823" ht="15.75" customHeight="1" x14ac:dyDescent="0.3"/>
    <row r="824" ht="15.75" customHeight="1" x14ac:dyDescent="0.3"/>
    <row r="825" ht="15.75" customHeight="1" x14ac:dyDescent="0.3"/>
    <row r="826" ht="15.75" customHeight="1" x14ac:dyDescent="0.3"/>
    <row r="827" ht="15.75" customHeight="1" x14ac:dyDescent="0.3"/>
    <row r="828" ht="15.75" customHeight="1" x14ac:dyDescent="0.3"/>
    <row r="829" ht="15.75" customHeight="1" x14ac:dyDescent="0.3"/>
    <row r="830" ht="15.75" customHeight="1" x14ac:dyDescent="0.3"/>
    <row r="831" ht="15.75" customHeight="1" x14ac:dyDescent="0.3"/>
    <row r="832" ht="15.75" customHeight="1" x14ac:dyDescent="0.3"/>
    <row r="833" ht="15.75" customHeight="1" x14ac:dyDescent="0.3"/>
    <row r="834" ht="15.75" customHeight="1" x14ac:dyDescent="0.3"/>
    <row r="835" ht="15.75" customHeight="1" x14ac:dyDescent="0.3"/>
    <row r="836" ht="15.75" customHeight="1" x14ac:dyDescent="0.3"/>
    <row r="837" ht="15.75" customHeight="1" x14ac:dyDescent="0.3"/>
    <row r="838" ht="15.75" customHeight="1" x14ac:dyDescent="0.3"/>
    <row r="839" ht="15.75" customHeight="1" x14ac:dyDescent="0.3"/>
    <row r="840" ht="15.75" customHeight="1" x14ac:dyDescent="0.3"/>
    <row r="841" ht="15.75" customHeight="1" x14ac:dyDescent="0.3"/>
    <row r="842" ht="15.75" customHeight="1" x14ac:dyDescent="0.3"/>
    <row r="843" ht="15.75" customHeight="1" x14ac:dyDescent="0.3"/>
    <row r="844" ht="15.75" customHeight="1" x14ac:dyDescent="0.3"/>
    <row r="845" ht="15.75" customHeight="1" x14ac:dyDescent="0.3"/>
    <row r="846" ht="15.75" customHeight="1" x14ac:dyDescent="0.3"/>
    <row r="847" ht="15.75" customHeight="1" x14ac:dyDescent="0.3"/>
    <row r="848" ht="15.75" customHeight="1" x14ac:dyDescent="0.3"/>
    <row r="849" ht="15.75" customHeight="1" x14ac:dyDescent="0.3"/>
    <row r="850" ht="15.75" customHeight="1" x14ac:dyDescent="0.3"/>
    <row r="851" ht="15.75" customHeight="1" x14ac:dyDescent="0.3"/>
    <row r="852" ht="15.75" customHeight="1" x14ac:dyDescent="0.3"/>
    <row r="853" ht="15.75" customHeight="1" x14ac:dyDescent="0.3"/>
    <row r="854" ht="15.75" customHeight="1" x14ac:dyDescent="0.3"/>
    <row r="855" ht="15.75" customHeight="1" x14ac:dyDescent="0.3"/>
    <row r="856" ht="15.75" customHeight="1" x14ac:dyDescent="0.3"/>
    <row r="857" ht="15.75" customHeight="1" x14ac:dyDescent="0.3"/>
    <row r="858" ht="15.75" customHeight="1" x14ac:dyDescent="0.3"/>
    <row r="859" ht="15.75" customHeight="1" x14ac:dyDescent="0.3"/>
    <row r="860" ht="15.75" customHeight="1" x14ac:dyDescent="0.3"/>
    <row r="861" ht="15.75" customHeight="1" x14ac:dyDescent="0.3"/>
    <row r="862" ht="15.75" customHeight="1" x14ac:dyDescent="0.3"/>
    <row r="863" ht="15.75" customHeight="1" x14ac:dyDescent="0.3"/>
    <row r="864" ht="15.75" customHeight="1" x14ac:dyDescent="0.3"/>
    <row r="865" ht="15.75" customHeight="1" x14ac:dyDescent="0.3"/>
    <row r="866" ht="15.75" customHeight="1" x14ac:dyDescent="0.3"/>
    <row r="867" ht="15.75" customHeight="1" x14ac:dyDescent="0.3"/>
    <row r="868" ht="15.75" customHeight="1" x14ac:dyDescent="0.3"/>
    <row r="869" ht="15.75" customHeight="1" x14ac:dyDescent="0.3"/>
    <row r="870" ht="15.75" customHeight="1" x14ac:dyDescent="0.3"/>
    <row r="871" ht="15.75" customHeight="1" x14ac:dyDescent="0.3"/>
    <row r="872" ht="15.75" customHeight="1" x14ac:dyDescent="0.3"/>
    <row r="873" ht="15.75" customHeight="1" x14ac:dyDescent="0.3"/>
    <row r="874" ht="15.75" customHeight="1" x14ac:dyDescent="0.3"/>
    <row r="875" ht="15.75" customHeight="1" x14ac:dyDescent="0.3"/>
    <row r="876" ht="15.75" customHeight="1" x14ac:dyDescent="0.3"/>
    <row r="877" ht="15.75" customHeight="1" x14ac:dyDescent="0.3"/>
    <row r="878" ht="15.75" customHeight="1" x14ac:dyDescent="0.3"/>
    <row r="879" ht="15.75" customHeight="1" x14ac:dyDescent="0.3"/>
    <row r="880" ht="15.75" customHeight="1" x14ac:dyDescent="0.3"/>
    <row r="881" ht="15.75" customHeight="1" x14ac:dyDescent="0.3"/>
    <row r="882" ht="15.75" customHeight="1" x14ac:dyDescent="0.3"/>
    <row r="883" ht="15.75" customHeight="1" x14ac:dyDescent="0.3"/>
    <row r="884" ht="15.75" customHeight="1" x14ac:dyDescent="0.3"/>
    <row r="885" ht="15.75" customHeight="1" x14ac:dyDescent="0.3"/>
    <row r="886" ht="15.75" customHeight="1" x14ac:dyDescent="0.3"/>
    <row r="887" ht="15.75" customHeight="1" x14ac:dyDescent="0.3"/>
    <row r="888" ht="15.75" customHeight="1" x14ac:dyDescent="0.3"/>
    <row r="889" ht="15.75" customHeight="1" x14ac:dyDescent="0.3"/>
    <row r="890" ht="15.75" customHeight="1" x14ac:dyDescent="0.3"/>
    <row r="891" ht="15.75" customHeight="1" x14ac:dyDescent="0.3"/>
    <row r="892" ht="15.75" customHeight="1" x14ac:dyDescent="0.3"/>
    <row r="893" ht="15.75" customHeight="1" x14ac:dyDescent="0.3"/>
    <row r="894" ht="15.75" customHeight="1" x14ac:dyDescent="0.3"/>
    <row r="895" ht="15.75" customHeight="1" x14ac:dyDescent="0.3"/>
    <row r="896" ht="15.75" customHeight="1" x14ac:dyDescent="0.3"/>
    <row r="897" ht="15.75" customHeight="1" x14ac:dyDescent="0.3"/>
    <row r="898" ht="15.75" customHeight="1" x14ac:dyDescent="0.3"/>
    <row r="899" ht="15.75" customHeight="1" x14ac:dyDescent="0.3"/>
    <row r="900" ht="15.75" customHeight="1" x14ac:dyDescent="0.3"/>
    <row r="901" ht="15.75" customHeight="1" x14ac:dyDescent="0.3"/>
    <row r="902" ht="15.75" customHeight="1" x14ac:dyDescent="0.3"/>
    <row r="903" ht="15.75" customHeight="1" x14ac:dyDescent="0.3"/>
    <row r="904" ht="15.75" customHeight="1" x14ac:dyDescent="0.3"/>
    <row r="905" ht="15.75" customHeight="1" x14ac:dyDescent="0.3"/>
    <row r="906" ht="15.75" customHeight="1" x14ac:dyDescent="0.3"/>
    <row r="907" ht="15.75" customHeight="1" x14ac:dyDescent="0.3"/>
    <row r="908" ht="15.75" customHeight="1" x14ac:dyDescent="0.3"/>
    <row r="909" ht="15.75" customHeight="1" x14ac:dyDescent="0.3"/>
    <row r="910" ht="15.75" customHeight="1" x14ac:dyDescent="0.3"/>
    <row r="911" ht="15.75" customHeight="1" x14ac:dyDescent="0.3"/>
    <row r="912" ht="15.75" customHeight="1" x14ac:dyDescent="0.3"/>
    <row r="913" ht="15.75" customHeight="1" x14ac:dyDescent="0.3"/>
    <row r="914" ht="15.75" customHeight="1" x14ac:dyDescent="0.3"/>
    <row r="915" ht="15.75" customHeight="1" x14ac:dyDescent="0.3"/>
    <row r="916" ht="15.75" customHeight="1" x14ac:dyDescent="0.3"/>
    <row r="917" ht="15.75" customHeight="1" x14ac:dyDescent="0.3"/>
    <row r="918" ht="15.75" customHeight="1" x14ac:dyDescent="0.3"/>
    <row r="919" ht="15.75" customHeight="1" x14ac:dyDescent="0.3"/>
    <row r="920" ht="15.75" customHeight="1" x14ac:dyDescent="0.3"/>
    <row r="921" ht="15.75" customHeight="1" x14ac:dyDescent="0.3"/>
    <row r="922" ht="15.75" customHeight="1" x14ac:dyDescent="0.3"/>
    <row r="923" ht="15.75" customHeight="1" x14ac:dyDescent="0.3"/>
    <row r="924" ht="15.75" customHeight="1" x14ac:dyDescent="0.3"/>
    <row r="925" ht="15.75" customHeight="1" x14ac:dyDescent="0.3"/>
    <row r="926" ht="15.75" customHeight="1" x14ac:dyDescent="0.3"/>
    <row r="927" ht="15.75" customHeight="1" x14ac:dyDescent="0.3"/>
    <row r="928" ht="15.75" customHeight="1" x14ac:dyDescent="0.3"/>
    <row r="929" ht="15.75" customHeight="1" x14ac:dyDescent="0.3"/>
    <row r="930" ht="15.75" customHeight="1" x14ac:dyDescent="0.3"/>
    <row r="931" ht="15.75" customHeight="1" x14ac:dyDescent="0.3"/>
    <row r="932" ht="15.75" customHeight="1" x14ac:dyDescent="0.3"/>
    <row r="933" ht="15.75" customHeight="1" x14ac:dyDescent="0.3"/>
    <row r="934" ht="15.75" customHeight="1" x14ac:dyDescent="0.3"/>
    <row r="935" ht="15.75" customHeight="1" x14ac:dyDescent="0.3"/>
    <row r="936" ht="15.75" customHeight="1" x14ac:dyDescent="0.3"/>
    <row r="937" ht="15.75" customHeight="1" x14ac:dyDescent="0.3"/>
    <row r="938" ht="15.75" customHeight="1" x14ac:dyDescent="0.3"/>
    <row r="939" ht="15.75" customHeight="1" x14ac:dyDescent="0.3"/>
    <row r="940" ht="15.75" customHeight="1" x14ac:dyDescent="0.3"/>
    <row r="941" ht="15.75" customHeight="1" x14ac:dyDescent="0.3"/>
    <row r="942" ht="15.75" customHeight="1" x14ac:dyDescent="0.3"/>
    <row r="943" ht="15.75" customHeight="1" x14ac:dyDescent="0.3"/>
    <row r="944" ht="15.75" customHeight="1" x14ac:dyDescent="0.3"/>
    <row r="945" ht="15.75" customHeight="1" x14ac:dyDescent="0.3"/>
    <row r="946" ht="15.75" customHeight="1" x14ac:dyDescent="0.3"/>
    <row r="947" ht="15.75" customHeight="1" x14ac:dyDescent="0.3"/>
    <row r="948" ht="15.75" customHeight="1" x14ac:dyDescent="0.3"/>
    <row r="949" ht="15.75" customHeight="1" x14ac:dyDescent="0.3"/>
    <row r="950" ht="15.75" customHeight="1" x14ac:dyDescent="0.3"/>
    <row r="951" ht="15.75" customHeight="1" x14ac:dyDescent="0.3"/>
    <row r="952" ht="15.75" customHeight="1" x14ac:dyDescent="0.3"/>
    <row r="953" ht="15.75" customHeight="1" x14ac:dyDescent="0.3"/>
    <row r="954" ht="15.75" customHeight="1" x14ac:dyDescent="0.3"/>
    <row r="955" ht="15.75" customHeight="1" x14ac:dyDescent="0.3"/>
    <row r="956" ht="15.75" customHeight="1" x14ac:dyDescent="0.3"/>
    <row r="957" ht="15.75" customHeight="1" x14ac:dyDescent="0.3"/>
    <row r="958" ht="15.75" customHeight="1" x14ac:dyDescent="0.3"/>
    <row r="959" ht="15.75" customHeight="1" x14ac:dyDescent="0.3"/>
    <row r="960" ht="15.75" customHeight="1" x14ac:dyDescent="0.3"/>
    <row r="961" ht="15.75" customHeight="1" x14ac:dyDescent="0.3"/>
    <row r="962" ht="15.75" customHeight="1" x14ac:dyDescent="0.3"/>
    <row r="963" ht="15.75" customHeight="1" x14ac:dyDescent="0.3"/>
    <row r="964" ht="15.75" customHeight="1" x14ac:dyDescent="0.3"/>
    <row r="965" ht="15.75" customHeight="1" x14ac:dyDescent="0.3"/>
    <row r="966" ht="15.75" customHeight="1" x14ac:dyDescent="0.3"/>
    <row r="967" ht="15.75" customHeight="1" x14ac:dyDescent="0.3"/>
    <row r="968" ht="15.75" customHeight="1" x14ac:dyDescent="0.3"/>
    <row r="969" ht="15.75" customHeight="1" x14ac:dyDescent="0.3"/>
    <row r="970" ht="15.75" customHeight="1" x14ac:dyDescent="0.3"/>
    <row r="971" ht="15.75" customHeight="1" x14ac:dyDescent="0.3"/>
    <row r="972" ht="15.75" customHeight="1" x14ac:dyDescent="0.3"/>
    <row r="973" ht="15.75" customHeight="1" x14ac:dyDescent="0.3"/>
    <row r="974" ht="15.75" customHeight="1" x14ac:dyDescent="0.3"/>
    <row r="975" ht="15.75" customHeight="1" x14ac:dyDescent="0.3"/>
    <row r="976" ht="15.75" customHeight="1" x14ac:dyDescent="0.3"/>
    <row r="977" ht="15.75" customHeight="1" x14ac:dyDescent="0.3"/>
    <row r="978" ht="15.75" customHeight="1" x14ac:dyDescent="0.3"/>
    <row r="979" ht="15.75" customHeight="1" x14ac:dyDescent="0.3"/>
    <row r="980" ht="15.75" customHeight="1" x14ac:dyDescent="0.3"/>
    <row r="981" ht="15.75" customHeight="1" x14ac:dyDescent="0.3"/>
    <row r="982" ht="15.75" customHeight="1" x14ac:dyDescent="0.3"/>
    <row r="983" ht="15.75" customHeight="1" x14ac:dyDescent="0.3"/>
    <row r="984" ht="15.75" customHeight="1" x14ac:dyDescent="0.3"/>
    <row r="985" ht="15.75" customHeight="1" x14ac:dyDescent="0.3"/>
    <row r="986" ht="15.75" customHeight="1" x14ac:dyDescent="0.3"/>
    <row r="987" ht="15.75" customHeight="1" x14ac:dyDescent="0.3"/>
    <row r="988" ht="15.75" customHeight="1" x14ac:dyDescent="0.3"/>
    <row r="989" ht="15.75" customHeight="1" x14ac:dyDescent="0.3"/>
    <row r="990" ht="15.75" customHeight="1" x14ac:dyDescent="0.3"/>
    <row r="991" ht="15.75" customHeight="1" x14ac:dyDescent="0.3"/>
    <row r="992" ht="15.75" customHeight="1" x14ac:dyDescent="0.3"/>
    <row r="993" ht="15.75" customHeight="1" x14ac:dyDescent="0.3"/>
    <row r="994" ht="15.75" customHeight="1" x14ac:dyDescent="0.3"/>
    <row r="995" ht="15.75" customHeight="1" x14ac:dyDescent="0.3"/>
    <row r="996" ht="15.75" customHeight="1" x14ac:dyDescent="0.3"/>
    <row r="997" ht="15.75" customHeight="1" x14ac:dyDescent="0.3"/>
    <row r="998" ht="15.75" customHeight="1" x14ac:dyDescent="0.3"/>
    <row r="999" ht="15.75" customHeight="1" x14ac:dyDescent="0.3"/>
    <row r="1000" ht="15.75" customHeight="1" x14ac:dyDescent="0.3"/>
  </sheetData>
  <hyperlinks>
    <hyperlink ref="B4" r:id="rId1" xr:uid="{00000000-0004-0000-0F00-000000000000}"/>
    <hyperlink ref="B11" r:id="rId2" xr:uid="{00000000-0004-0000-0F00-000001000000}"/>
    <hyperlink ref="E11" r:id="rId3" xr:uid="{00000000-0004-0000-0F00-000002000000}"/>
    <hyperlink ref="E13" r:id="rId4" xr:uid="{00000000-0004-0000-0F00-000003000000}"/>
    <hyperlink ref="E14" r:id="rId5" xr:uid="{00000000-0004-0000-0F00-000004000000}"/>
    <hyperlink ref="B17" r:id="rId6" xr:uid="{00000000-0004-0000-0F00-000005000000}"/>
    <hyperlink ref="B19" r:id="rId7" xr:uid="{00000000-0004-0000-0F00-000006000000}"/>
    <hyperlink ref="E19" r:id="rId8" xr:uid="{00000000-0004-0000-0F00-000007000000}"/>
    <hyperlink ref="B21" r:id="rId9" xr:uid="{00000000-0004-0000-0F00-000008000000}"/>
    <hyperlink ref="B33" r:id="rId10" xr:uid="{00000000-0004-0000-0F00-000009000000}"/>
  </hyperlinks>
  <pageMargins left="0.7" right="0.7" top="0.75" bottom="0.75" header="0" footer="0"/>
  <pageSetup orientation="portrait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000-000000000000}">
  <dimension ref="A1:J1000"/>
  <sheetViews>
    <sheetView workbookViewId="0">
      <selection activeCell="H25" sqref="H25"/>
    </sheetView>
  </sheetViews>
  <sheetFormatPr defaultColWidth="14.44140625" defaultRowHeight="15" customHeight="1" x14ac:dyDescent="0.3"/>
  <cols>
    <col min="1" max="1" width="8.6640625" customWidth="1"/>
    <col min="2" max="2" width="13.109375" customWidth="1"/>
    <col min="3" max="3" width="24.109375" customWidth="1"/>
    <col min="4" max="4" width="16.33203125" customWidth="1"/>
    <col min="5" max="5" width="10.33203125" customWidth="1"/>
    <col min="6" max="6" width="8.6640625" customWidth="1"/>
    <col min="7" max="7" width="11.33203125" customWidth="1"/>
    <col min="8" max="8" width="8.6640625" customWidth="1"/>
    <col min="9" max="9" width="11.33203125" customWidth="1"/>
    <col min="10" max="26" width="8.6640625" customWidth="1"/>
  </cols>
  <sheetData>
    <row r="1" spans="1:10" ht="14.25" customHeight="1" x14ac:dyDescent="0.3">
      <c r="B1" s="478"/>
      <c r="C1" s="479"/>
      <c r="E1" s="480"/>
      <c r="G1" s="65"/>
    </row>
    <row r="2" spans="1:10" ht="14.25" customHeight="1" x14ac:dyDescent="0.3">
      <c r="B2" s="478"/>
      <c r="C2" s="479"/>
      <c r="E2" s="480" t="s">
        <v>768</v>
      </c>
      <c r="G2" s="65"/>
      <c r="I2" s="92" t="s">
        <v>769</v>
      </c>
    </row>
    <row r="3" spans="1:10" ht="14.25" customHeight="1" x14ac:dyDescent="0.3">
      <c r="A3" s="92" t="s">
        <v>770</v>
      </c>
      <c r="B3" s="478"/>
      <c r="C3" s="479"/>
      <c r="E3" s="480" t="s">
        <v>771</v>
      </c>
      <c r="F3" s="92" t="s">
        <v>772</v>
      </c>
      <c r="G3" s="65"/>
      <c r="I3" s="481">
        <v>0.46899999999999997</v>
      </c>
      <c r="J3" s="92" t="s">
        <v>773</v>
      </c>
    </row>
    <row r="4" spans="1:10" ht="14.25" customHeight="1" x14ac:dyDescent="0.3">
      <c r="B4" s="478"/>
      <c r="C4" s="479"/>
      <c r="E4" s="480"/>
      <c r="G4" s="65"/>
    </row>
    <row r="5" spans="1:10" ht="14.25" customHeight="1" x14ac:dyDescent="0.3">
      <c r="B5" s="478"/>
      <c r="C5" s="479"/>
      <c r="E5" s="480"/>
      <c r="G5" s="65"/>
    </row>
    <row r="6" spans="1:10" ht="14.25" customHeight="1" x14ac:dyDescent="0.3">
      <c r="A6" s="92" t="s">
        <v>774</v>
      </c>
      <c r="B6" s="478"/>
      <c r="C6" s="479"/>
      <c r="E6" s="480" t="s">
        <v>775</v>
      </c>
      <c r="F6" s="92" t="s">
        <v>720</v>
      </c>
      <c r="G6" s="65"/>
      <c r="I6" s="482">
        <v>0.46899999999999997</v>
      </c>
      <c r="J6" s="92" t="s">
        <v>773</v>
      </c>
    </row>
    <row r="7" spans="1:10" ht="14.25" customHeight="1" x14ac:dyDescent="0.3">
      <c r="B7" s="478"/>
      <c r="C7" s="479"/>
      <c r="E7" s="480"/>
      <c r="G7" s="65"/>
    </row>
    <row r="8" spans="1:10" ht="14.25" customHeight="1" x14ac:dyDescent="0.3">
      <c r="B8" s="478"/>
      <c r="C8" s="479"/>
      <c r="E8" s="480"/>
      <c r="G8" s="65"/>
    </row>
    <row r="9" spans="1:10" ht="14.25" customHeight="1" x14ac:dyDescent="0.3">
      <c r="B9" s="478"/>
      <c r="C9" s="479"/>
      <c r="E9" s="480"/>
      <c r="G9" s="65"/>
    </row>
    <row r="10" spans="1:10" ht="14.25" customHeight="1" x14ac:dyDescent="0.3">
      <c r="B10" s="478"/>
      <c r="C10" s="479"/>
      <c r="E10" s="480"/>
      <c r="G10" s="65"/>
    </row>
    <row r="11" spans="1:10" ht="14.25" customHeight="1" x14ac:dyDescent="0.3">
      <c r="B11" s="478" t="s">
        <v>776</v>
      </c>
      <c r="C11" s="479" t="s">
        <v>777</v>
      </c>
      <c r="D11" s="86" t="s">
        <v>778</v>
      </c>
      <c r="E11" s="480" t="s">
        <v>779</v>
      </c>
      <c r="F11" s="86" t="s">
        <v>780</v>
      </c>
      <c r="G11" s="65" t="s">
        <v>781</v>
      </c>
      <c r="H11" s="86" t="s">
        <v>782</v>
      </c>
    </row>
    <row r="12" spans="1:10" ht="14.25" customHeight="1" x14ac:dyDescent="0.3">
      <c r="A12" s="86" t="s">
        <v>783</v>
      </c>
      <c r="B12" s="478">
        <v>110059119914</v>
      </c>
      <c r="C12" s="483" t="s">
        <v>784</v>
      </c>
      <c r="D12" s="86" t="s">
        <v>772</v>
      </c>
      <c r="E12" s="480">
        <v>8.2900000000000001E-2</v>
      </c>
      <c r="F12" s="86" t="s">
        <v>785</v>
      </c>
      <c r="G12" s="65">
        <v>45878</v>
      </c>
    </row>
    <row r="13" spans="1:10" ht="14.25" customHeight="1" x14ac:dyDescent="0.3">
      <c r="A13" s="86" t="s">
        <v>149</v>
      </c>
      <c r="B13" s="478">
        <v>110154325473</v>
      </c>
      <c r="C13" s="479" t="s">
        <v>786</v>
      </c>
      <c r="D13" s="86" t="s">
        <v>772</v>
      </c>
      <c r="E13" s="480">
        <v>8.2900000000000001E-2</v>
      </c>
      <c r="F13" s="86" t="s">
        <v>785</v>
      </c>
      <c r="G13" s="65">
        <v>45878</v>
      </c>
    </row>
    <row r="14" spans="1:10" ht="14.25" customHeight="1" x14ac:dyDescent="0.3">
      <c r="B14" s="478"/>
      <c r="C14" s="479"/>
      <c r="E14" s="480"/>
      <c r="G14" s="65"/>
    </row>
    <row r="15" spans="1:10" ht="14.25" customHeight="1" x14ac:dyDescent="0.3">
      <c r="B15" s="478"/>
      <c r="C15" s="479"/>
      <c r="E15" s="480"/>
      <c r="G15" s="65"/>
    </row>
    <row r="16" spans="1:10" ht="14.25" customHeight="1" x14ac:dyDescent="0.3">
      <c r="B16" s="478"/>
      <c r="C16" s="479"/>
      <c r="E16" s="480"/>
      <c r="G16" s="65"/>
    </row>
    <row r="17" spans="2:7" ht="14.25" customHeight="1" x14ac:dyDescent="0.3">
      <c r="B17" s="478"/>
      <c r="C17" s="479"/>
      <c r="E17" s="480"/>
      <c r="G17" s="65"/>
    </row>
    <row r="18" spans="2:7" ht="14.25" customHeight="1" x14ac:dyDescent="0.3">
      <c r="B18" s="478"/>
      <c r="C18" s="479"/>
      <c r="E18" s="480"/>
      <c r="G18" s="65"/>
    </row>
    <row r="19" spans="2:7" ht="14.25" customHeight="1" x14ac:dyDescent="0.3">
      <c r="B19" s="478"/>
      <c r="C19" s="479"/>
      <c r="E19" s="480"/>
      <c r="G19" s="65"/>
    </row>
    <row r="20" spans="2:7" ht="14.25" customHeight="1" x14ac:dyDescent="0.3">
      <c r="B20" s="478"/>
      <c r="C20" s="479"/>
      <c r="E20" s="480"/>
      <c r="G20" s="65"/>
    </row>
    <row r="21" spans="2:7" ht="14.25" customHeight="1" x14ac:dyDescent="0.3">
      <c r="B21" s="478"/>
      <c r="C21" s="479"/>
      <c r="E21" s="480"/>
      <c r="G21" s="65"/>
    </row>
    <row r="22" spans="2:7" ht="14.25" customHeight="1" x14ac:dyDescent="0.3">
      <c r="B22" s="478"/>
      <c r="C22" s="479"/>
      <c r="E22" s="480"/>
      <c r="G22" s="65"/>
    </row>
    <row r="23" spans="2:7" ht="14.25" customHeight="1" x14ac:dyDescent="0.3">
      <c r="B23" s="478"/>
      <c r="C23" s="479"/>
      <c r="E23" s="480"/>
      <c r="G23" s="65"/>
    </row>
    <row r="24" spans="2:7" ht="14.25" customHeight="1" x14ac:dyDescent="0.3">
      <c r="B24" s="478"/>
      <c r="C24" s="479"/>
      <c r="E24" s="480"/>
      <c r="G24" s="65"/>
    </row>
    <row r="25" spans="2:7" ht="14.25" customHeight="1" x14ac:dyDescent="0.3">
      <c r="B25" s="478"/>
      <c r="C25" s="479"/>
      <c r="E25" s="480"/>
      <c r="G25" s="65"/>
    </row>
    <row r="26" spans="2:7" ht="14.25" customHeight="1" x14ac:dyDescent="0.3">
      <c r="B26" s="478"/>
      <c r="C26" s="479"/>
      <c r="E26" s="480"/>
      <c r="G26" s="65"/>
    </row>
    <row r="27" spans="2:7" ht="14.25" customHeight="1" x14ac:dyDescent="0.3">
      <c r="B27" s="478"/>
      <c r="C27" s="479"/>
      <c r="E27" s="480"/>
      <c r="G27" s="65"/>
    </row>
    <row r="28" spans="2:7" ht="14.25" customHeight="1" x14ac:dyDescent="0.3">
      <c r="B28" s="478"/>
      <c r="C28" s="479"/>
      <c r="E28" s="480"/>
      <c r="G28" s="65"/>
    </row>
    <row r="29" spans="2:7" ht="14.25" customHeight="1" x14ac:dyDescent="0.3">
      <c r="B29" s="478"/>
      <c r="C29" s="479"/>
      <c r="E29" s="480"/>
      <c r="G29" s="65"/>
    </row>
    <row r="30" spans="2:7" ht="14.25" customHeight="1" x14ac:dyDescent="0.3">
      <c r="B30" s="478"/>
      <c r="C30" s="479"/>
      <c r="E30" s="480"/>
      <c r="G30" s="65"/>
    </row>
    <row r="31" spans="2:7" ht="14.25" customHeight="1" x14ac:dyDescent="0.3">
      <c r="B31" s="478"/>
      <c r="C31" s="479"/>
      <c r="E31" s="480"/>
      <c r="G31" s="65"/>
    </row>
    <row r="32" spans="2:7" ht="14.25" customHeight="1" x14ac:dyDescent="0.3">
      <c r="B32" s="478"/>
      <c r="C32" s="479"/>
      <c r="E32" s="480"/>
      <c r="G32" s="65"/>
    </row>
    <row r="33" spans="2:7" ht="14.25" customHeight="1" x14ac:dyDescent="0.3">
      <c r="B33" s="478"/>
      <c r="C33" s="479"/>
      <c r="E33" s="480"/>
      <c r="G33" s="65"/>
    </row>
    <row r="34" spans="2:7" ht="14.25" customHeight="1" x14ac:dyDescent="0.3">
      <c r="B34" s="478"/>
      <c r="C34" s="479"/>
      <c r="E34" s="480"/>
      <c r="G34" s="65"/>
    </row>
    <row r="35" spans="2:7" ht="14.25" customHeight="1" x14ac:dyDescent="0.3">
      <c r="B35" s="478"/>
      <c r="C35" s="479"/>
      <c r="E35" s="480"/>
      <c r="G35" s="65"/>
    </row>
    <row r="36" spans="2:7" ht="14.25" customHeight="1" x14ac:dyDescent="0.3">
      <c r="B36" s="478"/>
      <c r="C36" s="479"/>
      <c r="E36" s="480"/>
      <c r="G36" s="65"/>
    </row>
    <row r="37" spans="2:7" ht="14.25" customHeight="1" x14ac:dyDescent="0.3">
      <c r="B37" s="478"/>
      <c r="C37" s="479"/>
      <c r="E37" s="480"/>
      <c r="G37" s="65"/>
    </row>
    <row r="38" spans="2:7" ht="14.25" customHeight="1" x14ac:dyDescent="0.3">
      <c r="B38" s="478"/>
      <c r="C38" s="479"/>
      <c r="E38" s="480"/>
      <c r="G38" s="65"/>
    </row>
    <row r="39" spans="2:7" ht="14.25" customHeight="1" x14ac:dyDescent="0.3">
      <c r="B39" s="478"/>
      <c r="C39" s="479"/>
      <c r="E39" s="480"/>
      <c r="G39" s="65"/>
    </row>
    <row r="40" spans="2:7" ht="14.25" customHeight="1" x14ac:dyDescent="0.3">
      <c r="B40" s="478"/>
      <c r="C40" s="479"/>
      <c r="E40" s="480"/>
      <c r="G40" s="65"/>
    </row>
    <row r="41" spans="2:7" ht="14.25" customHeight="1" x14ac:dyDescent="0.3">
      <c r="B41" s="478"/>
      <c r="C41" s="479"/>
      <c r="E41" s="480"/>
      <c r="G41" s="65"/>
    </row>
    <row r="42" spans="2:7" ht="14.25" customHeight="1" x14ac:dyDescent="0.3">
      <c r="B42" s="478"/>
      <c r="C42" s="479"/>
      <c r="E42" s="480"/>
      <c r="G42" s="65"/>
    </row>
    <row r="43" spans="2:7" ht="14.25" customHeight="1" x14ac:dyDescent="0.3">
      <c r="B43" s="478"/>
      <c r="C43" s="479"/>
      <c r="E43" s="480"/>
      <c r="G43" s="65"/>
    </row>
    <row r="44" spans="2:7" ht="14.25" customHeight="1" x14ac:dyDescent="0.3">
      <c r="B44" s="478"/>
      <c r="C44" s="479"/>
      <c r="E44" s="480"/>
      <c r="G44" s="65"/>
    </row>
    <row r="45" spans="2:7" ht="14.25" customHeight="1" x14ac:dyDescent="0.3">
      <c r="B45" s="478"/>
      <c r="C45" s="479"/>
      <c r="E45" s="480"/>
      <c r="G45" s="65"/>
    </row>
    <row r="46" spans="2:7" ht="14.25" customHeight="1" x14ac:dyDescent="0.3">
      <c r="B46" s="478"/>
      <c r="C46" s="479"/>
      <c r="E46" s="480"/>
      <c r="G46" s="65"/>
    </row>
    <row r="47" spans="2:7" ht="14.25" customHeight="1" x14ac:dyDescent="0.3">
      <c r="B47" s="478"/>
      <c r="C47" s="479"/>
      <c r="E47" s="480"/>
      <c r="G47" s="65"/>
    </row>
    <row r="48" spans="2:7" ht="14.25" customHeight="1" x14ac:dyDescent="0.3">
      <c r="B48" s="478"/>
      <c r="C48" s="479"/>
      <c r="E48" s="480"/>
      <c r="G48" s="65"/>
    </row>
    <row r="49" spans="2:7" ht="14.25" customHeight="1" x14ac:dyDescent="0.3">
      <c r="B49" s="478"/>
      <c r="C49" s="479"/>
      <c r="E49" s="480"/>
      <c r="G49" s="65"/>
    </row>
    <row r="50" spans="2:7" ht="14.25" customHeight="1" x14ac:dyDescent="0.3">
      <c r="B50" s="478"/>
      <c r="C50" s="479"/>
      <c r="E50" s="480"/>
      <c r="G50" s="65"/>
    </row>
    <row r="51" spans="2:7" ht="14.25" customHeight="1" x14ac:dyDescent="0.3">
      <c r="B51" s="478"/>
      <c r="C51" s="479"/>
      <c r="E51" s="480"/>
      <c r="G51" s="65"/>
    </row>
    <row r="52" spans="2:7" ht="14.25" customHeight="1" x14ac:dyDescent="0.3">
      <c r="B52" s="478"/>
      <c r="C52" s="479"/>
      <c r="E52" s="480"/>
      <c r="G52" s="65"/>
    </row>
    <row r="53" spans="2:7" ht="14.25" customHeight="1" x14ac:dyDescent="0.3">
      <c r="B53" s="478"/>
      <c r="C53" s="479"/>
      <c r="E53" s="480"/>
      <c r="G53" s="65"/>
    </row>
    <row r="54" spans="2:7" ht="14.25" customHeight="1" x14ac:dyDescent="0.3">
      <c r="B54" s="478"/>
      <c r="C54" s="479"/>
      <c r="E54" s="480"/>
      <c r="G54" s="65"/>
    </row>
    <row r="55" spans="2:7" ht="14.25" customHeight="1" x14ac:dyDescent="0.3">
      <c r="B55" s="478"/>
      <c r="C55" s="479"/>
      <c r="E55" s="480"/>
      <c r="G55" s="65"/>
    </row>
    <row r="56" spans="2:7" ht="14.25" customHeight="1" x14ac:dyDescent="0.3">
      <c r="B56" s="478"/>
      <c r="C56" s="479"/>
      <c r="E56" s="480"/>
      <c r="G56" s="65"/>
    </row>
    <row r="57" spans="2:7" ht="14.25" customHeight="1" x14ac:dyDescent="0.3">
      <c r="B57" s="478"/>
      <c r="C57" s="479"/>
      <c r="E57" s="480"/>
      <c r="G57" s="65"/>
    </row>
    <row r="58" spans="2:7" ht="14.25" customHeight="1" x14ac:dyDescent="0.3">
      <c r="B58" s="478"/>
      <c r="C58" s="479"/>
      <c r="E58" s="480"/>
      <c r="G58" s="65"/>
    </row>
    <row r="59" spans="2:7" ht="14.25" customHeight="1" x14ac:dyDescent="0.3">
      <c r="B59" s="478"/>
      <c r="C59" s="479"/>
      <c r="E59" s="480"/>
      <c r="G59" s="65"/>
    </row>
    <row r="60" spans="2:7" ht="14.25" customHeight="1" x14ac:dyDescent="0.3">
      <c r="B60" s="478"/>
      <c r="C60" s="479"/>
      <c r="E60" s="480"/>
      <c r="G60" s="65"/>
    </row>
    <row r="61" spans="2:7" ht="14.25" customHeight="1" x14ac:dyDescent="0.3">
      <c r="B61" s="478"/>
      <c r="C61" s="479"/>
      <c r="E61" s="480"/>
      <c r="G61" s="65"/>
    </row>
    <row r="62" spans="2:7" ht="14.25" customHeight="1" x14ac:dyDescent="0.3">
      <c r="B62" s="478"/>
      <c r="C62" s="479"/>
      <c r="E62" s="480"/>
      <c r="G62" s="65"/>
    </row>
    <row r="63" spans="2:7" ht="14.25" customHeight="1" x14ac:dyDescent="0.3">
      <c r="B63" s="478"/>
      <c r="C63" s="479"/>
      <c r="E63" s="480"/>
      <c r="G63" s="65"/>
    </row>
    <row r="64" spans="2:7" ht="14.25" customHeight="1" x14ac:dyDescent="0.3">
      <c r="B64" s="478"/>
      <c r="C64" s="479"/>
      <c r="E64" s="480"/>
      <c r="G64" s="65"/>
    </row>
    <row r="65" spans="2:7" ht="14.25" customHeight="1" x14ac:dyDescent="0.3">
      <c r="B65" s="478"/>
      <c r="C65" s="479"/>
      <c r="E65" s="480"/>
      <c r="G65" s="65"/>
    </row>
    <row r="66" spans="2:7" ht="14.25" customHeight="1" x14ac:dyDescent="0.3">
      <c r="B66" s="478"/>
      <c r="C66" s="479"/>
      <c r="E66" s="480"/>
      <c r="G66" s="65"/>
    </row>
    <row r="67" spans="2:7" ht="14.25" customHeight="1" x14ac:dyDescent="0.3">
      <c r="B67" s="478"/>
      <c r="C67" s="479"/>
      <c r="E67" s="480"/>
      <c r="G67" s="65"/>
    </row>
    <row r="68" spans="2:7" ht="14.25" customHeight="1" x14ac:dyDescent="0.3">
      <c r="B68" s="478"/>
      <c r="C68" s="479"/>
      <c r="E68" s="480"/>
      <c r="G68" s="65"/>
    </row>
    <row r="69" spans="2:7" ht="14.25" customHeight="1" x14ac:dyDescent="0.3">
      <c r="B69" s="478"/>
      <c r="C69" s="479"/>
      <c r="E69" s="480"/>
      <c r="G69" s="65"/>
    </row>
    <row r="70" spans="2:7" ht="14.25" customHeight="1" x14ac:dyDescent="0.3">
      <c r="B70" s="478"/>
      <c r="C70" s="479"/>
      <c r="E70" s="480"/>
      <c r="G70" s="65"/>
    </row>
    <row r="71" spans="2:7" ht="14.25" customHeight="1" x14ac:dyDescent="0.3">
      <c r="B71" s="478"/>
      <c r="C71" s="479"/>
      <c r="E71" s="480"/>
      <c r="G71" s="65"/>
    </row>
    <row r="72" spans="2:7" ht="14.25" customHeight="1" x14ac:dyDescent="0.3">
      <c r="B72" s="478"/>
      <c r="C72" s="479"/>
      <c r="E72" s="480"/>
      <c r="G72" s="65"/>
    </row>
    <row r="73" spans="2:7" ht="14.25" customHeight="1" x14ac:dyDescent="0.3">
      <c r="B73" s="478"/>
      <c r="C73" s="479"/>
      <c r="E73" s="480"/>
      <c r="G73" s="65"/>
    </row>
    <row r="74" spans="2:7" ht="14.25" customHeight="1" x14ac:dyDescent="0.3">
      <c r="B74" s="478"/>
      <c r="C74" s="479"/>
      <c r="E74" s="480"/>
      <c r="G74" s="65"/>
    </row>
    <row r="75" spans="2:7" ht="14.25" customHeight="1" x14ac:dyDescent="0.3">
      <c r="B75" s="478"/>
      <c r="C75" s="479"/>
      <c r="E75" s="480"/>
      <c r="G75" s="65"/>
    </row>
    <row r="76" spans="2:7" ht="14.25" customHeight="1" x14ac:dyDescent="0.3">
      <c r="B76" s="478"/>
      <c r="C76" s="479"/>
      <c r="E76" s="480"/>
      <c r="G76" s="65"/>
    </row>
    <row r="77" spans="2:7" ht="14.25" customHeight="1" x14ac:dyDescent="0.3">
      <c r="B77" s="478"/>
      <c r="C77" s="479"/>
      <c r="E77" s="480"/>
      <c r="G77" s="65"/>
    </row>
    <row r="78" spans="2:7" ht="14.25" customHeight="1" x14ac:dyDescent="0.3">
      <c r="B78" s="478"/>
      <c r="C78" s="479"/>
      <c r="E78" s="480"/>
      <c r="G78" s="65"/>
    </row>
    <row r="79" spans="2:7" ht="14.25" customHeight="1" x14ac:dyDescent="0.3">
      <c r="B79" s="478"/>
      <c r="C79" s="479"/>
      <c r="E79" s="480"/>
      <c r="G79" s="65"/>
    </row>
    <row r="80" spans="2:7" ht="14.25" customHeight="1" x14ac:dyDescent="0.3">
      <c r="B80" s="478"/>
      <c r="C80" s="479"/>
      <c r="E80" s="480"/>
      <c r="G80" s="65"/>
    </row>
    <row r="81" spans="2:7" ht="14.25" customHeight="1" x14ac:dyDescent="0.3">
      <c r="B81" s="478"/>
      <c r="C81" s="479"/>
      <c r="E81" s="480"/>
      <c r="G81" s="65"/>
    </row>
    <row r="82" spans="2:7" ht="14.25" customHeight="1" x14ac:dyDescent="0.3">
      <c r="B82" s="478"/>
      <c r="C82" s="479"/>
      <c r="E82" s="480"/>
      <c r="G82" s="65"/>
    </row>
    <row r="83" spans="2:7" ht="14.25" customHeight="1" x14ac:dyDescent="0.3">
      <c r="B83" s="478"/>
      <c r="C83" s="479"/>
      <c r="E83" s="480"/>
      <c r="G83" s="65"/>
    </row>
    <row r="84" spans="2:7" ht="14.25" customHeight="1" x14ac:dyDescent="0.3">
      <c r="B84" s="478"/>
      <c r="C84" s="479"/>
      <c r="E84" s="480"/>
      <c r="G84" s="65"/>
    </row>
    <row r="85" spans="2:7" ht="14.25" customHeight="1" x14ac:dyDescent="0.3">
      <c r="B85" s="478"/>
      <c r="C85" s="479"/>
      <c r="E85" s="480"/>
      <c r="G85" s="65"/>
    </row>
    <row r="86" spans="2:7" ht="14.25" customHeight="1" x14ac:dyDescent="0.3">
      <c r="B86" s="478"/>
      <c r="C86" s="479"/>
      <c r="E86" s="480"/>
      <c r="G86" s="65"/>
    </row>
    <row r="87" spans="2:7" ht="14.25" customHeight="1" x14ac:dyDescent="0.3">
      <c r="B87" s="478"/>
      <c r="C87" s="479"/>
      <c r="E87" s="480"/>
      <c r="G87" s="65"/>
    </row>
    <row r="88" spans="2:7" ht="14.25" customHeight="1" x14ac:dyDescent="0.3">
      <c r="B88" s="478"/>
      <c r="C88" s="479"/>
      <c r="E88" s="480"/>
      <c r="G88" s="65"/>
    </row>
    <row r="89" spans="2:7" ht="14.25" customHeight="1" x14ac:dyDescent="0.3">
      <c r="B89" s="478"/>
      <c r="C89" s="479"/>
      <c r="E89" s="480"/>
      <c r="G89" s="65"/>
    </row>
    <row r="90" spans="2:7" ht="14.25" customHeight="1" x14ac:dyDescent="0.3">
      <c r="B90" s="478"/>
      <c r="C90" s="479"/>
      <c r="E90" s="480"/>
      <c r="G90" s="65"/>
    </row>
    <row r="91" spans="2:7" ht="14.25" customHeight="1" x14ac:dyDescent="0.3">
      <c r="B91" s="478"/>
      <c r="C91" s="479"/>
      <c r="E91" s="480"/>
      <c r="G91" s="65"/>
    </row>
    <row r="92" spans="2:7" ht="14.25" customHeight="1" x14ac:dyDescent="0.3">
      <c r="B92" s="478"/>
      <c r="C92" s="479"/>
      <c r="E92" s="480"/>
      <c r="G92" s="65"/>
    </row>
    <row r="93" spans="2:7" ht="14.25" customHeight="1" x14ac:dyDescent="0.3">
      <c r="B93" s="478"/>
      <c r="C93" s="479"/>
      <c r="E93" s="480"/>
      <c r="G93" s="65"/>
    </row>
    <row r="94" spans="2:7" ht="14.25" customHeight="1" x14ac:dyDescent="0.3">
      <c r="B94" s="478"/>
      <c r="C94" s="479"/>
      <c r="E94" s="480"/>
      <c r="G94" s="65"/>
    </row>
    <row r="95" spans="2:7" ht="14.25" customHeight="1" x14ac:dyDescent="0.3">
      <c r="B95" s="478"/>
      <c r="C95" s="479"/>
      <c r="E95" s="480"/>
      <c r="G95" s="65"/>
    </row>
    <row r="96" spans="2:7" ht="14.25" customHeight="1" x14ac:dyDescent="0.3">
      <c r="B96" s="478"/>
      <c r="C96" s="479"/>
      <c r="E96" s="480"/>
      <c r="G96" s="65"/>
    </row>
    <row r="97" spans="2:7" ht="14.25" customHeight="1" x14ac:dyDescent="0.3">
      <c r="B97" s="478"/>
      <c r="C97" s="479"/>
      <c r="E97" s="480"/>
      <c r="G97" s="65"/>
    </row>
    <row r="98" spans="2:7" ht="14.25" customHeight="1" x14ac:dyDescent="0.3">
      <c r="B98" s="478"/>
      <c r="C98" s="479"/>
      <c r="E98" s="480"/>
      <c r="G98" s="65"/>
    </row>
    <row r="99" spans="2:7" ht="14.25" customHeight="1" x14ac:dyDescent="0.3">
      <c r="B99" s="478"/>
      <c r="C99" s="479"/>
      <c r="E99" s="480"/>
      <c r="G99" s="65"/>
    </row>
    <row r="100" spans="2:7" ht="14.25" customHeight="1" x14ac:dyDescent="0.3">
      <c r="B100" s="478"/>
      <c r="C100" s="479"/>
      <c r="E100" s="480"/>
      <c r="G100" s="65"/>
    </row>
    <row r="101" spans="2:7" ht="14.25" customHeight="1" x14ac:dyDescent="0.3">
      <c r="B101" s="478"/>
      <c r="C101" s="479"/>
      <c r="E101" s="480"/>
      <c r="G101" s="65"/>
    </row>
    <row r="102" spans="2:7" ht="14.25" customHeight="1" x14ac:dyDescent="0.3">
      <c r="B102" s="478"/>
      <c r="C102" s="479"/>
      <c r="E102" s="480"/>
      <c r="G102" s="65"/>
    </row>
    <row r="103" spans="2:7" ht="14.25" customHeight="1" x14ac:dyDescent="0.3">
      <c r="B103" s="478"/>
      <c r="C103" s="479"/>
      <c r="E103" s="480"/>
      <c r="G103" s="65"/>
    </row>
    <row r="104" spans="2:7" ht="14.25" customHeight="1" x14ac:dyDescent="0.3">
      <c r="B104" s="478"/>
      <c r="C104" s="479"/>
      <c r="E104" s="480"/>
      <c r="G104" s="65"/>
    </row>
    <row r="105" spans="2:7" ht="14.25" customHeight="1" x14ac:dyDescent="0.3">
      <c r="B105" s="478"/>
      <c r="C105" s="479"/>
      <c r="E105" s="480"/>
      <c r="G105" s="65"/>
    </row>
    <row r="106" spans="2:7" ht="14.25" customHeight="1" x14ac:dyDescent="0.3">
      <c r="B106" s="478"/>
      <c r="C106" s="479"/>
      <c r="E106" s="480"/>
      <c r="G106" s="65"/>
    </row>
    <row r="107" spans="2:7" ht="14.25" customHeight="1" x14ac:dyDescent="0.3">
      <c r="B107" s="478"/>
      <c r="C107" s="479"/>
      <c r="E107" s="480"/>
      <c r="G107" s="65"/>
    </row>
    <row r="108" spans="2:7" ht="14.25" customHeight="1" x14ac:dyDescent="0.3">
      <c r="B108" s="478"/>
      <c r="C108" s="479"/>
      <c r="E108" s="480"/>
      <c r="G108" s="65"/>
    </row>
    <row r="109" spans="2:7" ht="14.25" customHeight="1" x14ac:dyDescent="0.3">
      <c r="B109" s="478"/>
      <c r="C109" s="479"/>
      <c r="E109" s="480"/>
      <c r="G109" s="65"/>
    </row>
    <row r="110" spans="2:7" ht="14.25" customHeight="1" x14ac:dyDescent="0.3">
      <c r="B110" s="478"/>
      <c r="C110" s="479"/>
      <c r="E110" s="480"/>
      <c r="G110" s="65"/>
    </row>
    <row r="111" spans="2:7" ht="14.25" customHeight="1" x14ac:dyDescent="0.3">
      <c r="B111" s="478"/>
      <c r="C111" s="479"/>
      <c r="E111" s="480"/>
      <c r="G111" s="65"/>
    </row>
    <row r="112" spans="2:7" ht="14.25" customHeight="1" x14ac:dyDescent="0.3">
      <c r="B112" s="478"/>
      <c r="C112" s="479"/>
      <c r="E112" s="480"/>
      <c r="G112" s="65"/>
    </row>
    <row r="113" spans="2:7" ht="14.25" customHeight="1" x14ac:dyDescent="0.3">
      <c r="B113" s="478"/>
      <c r="C113" s="479"/>
      <c r="E113" s="480"/>
      <c r="G113" s="65"/>
    </row>
    <row r="114" spans="2:7" ht="14.25" customHeight="1" x14ac:dyDescent="0.3">
      <c r="B114" s="478"/>
      <c r="C114" s="479"/>
      <c r="E114" s="480"/>
      <c r="G114" s="65"/>
    </row>
    <row r="115" spans="2:7" ht="14.25" customHeight="1" x14ac:dyDescent="0.3">
      <c r="B115" s="478"/>
      <c r="C115" s="479"/>
      <c r="E115" s="480"/>
      <c r="G115" s="65"/>
    </row>
    <row r="116" spans="2:7" ht="14.25" customHeight="1" x14ac:dyDescent="0.3">
      <c r="B116" s="478"/>
      <c r="C116" s="479"/>
      <c r="E116" s="480"/>
      <c r="G116" s="65"/>
    </row>
    <row r="117" spans="2:7" ht="14.25" customHeight="1" x14ac:dyDescent="0.3">
      <c r="B117" s="478"/>
      <c r="C117" s="479"/>
      <c r="E117" s="480"/>
      <c r="G117" s="65"/>
    </row>
    <row r="118" spans="2:7" ht="14.25" customHeight="1" x14ac:dyDescent="0.3">
      <c r="B118" s="478"/>
      <c r="C118" s="479"/>
      <c r="E118" s="480"/>
      <c r="G118" s="65"/>
    </row>
    <row r="119" spans="2:7" ht="14.25" customHeight="1" x14ac:dyDescent="0.3">
      <c r="B119" s="478"/>
      <c r="C119" s="479"/>
      <c r="E119" s="480"/>
      <c r="G119" s="65"/>
    </row>
    <row r="120" spans="2:7" ht="14.25" customHeight="1" x14ac:dyDescent="0.3">
      <c r="B120" s="478"/>
      <c r="C120" s="479"/>
      <c r="E120" s="480"/>
      <c r="G120" s="65"/>
    </row>
    <row r="121" spans="2:7" ht="14.25" customHeight="1" x14ac:dyDescent="0.3">
      <c r="B121" s="478"/>
      <c r="C121" s="479"/>
      <c r="E121" s="480"/>
      <c r="G121" s="65"/>
    </row>
    <row r="122" spans="2:7" ht="14.25" customHeight="1" x14ac:dyDescent="0.3">
      <c r="B122" s="478"/>
      <c r="C122" s="479"/>
      <c r="E122" s="480"/>
      <c r="G122" s="65"/>
    </row>
    <row r="123" spans="2:7" ht="14.25" customHeight="1" x14ac:dyDescent="0.3">
      <c r="B123" s="478"/>
      <c r="C123" s="479"/>
      <c r="E123" s="480"/>
      <c r="G123" s="65"/>
    </row>
    <row r="124" spans="2:7" ht="14.25" customHeight="1" x14ac:dyDescent="0.3">
      <c r="B124" s="478"/>
      <c r="C124" s="479"/>
      <c r="E124" s="480"/>
      <c r="G124" s="65"/>
    </row>
    <row r="125" spans="2:7" ht="14.25" customHeight="1" x14ac:dyDescent="0.3">
      <c r="B125" s="478"/>
      <c r="C125" s="479"/>
      <c r="E125" s="480"/>
      <c r="G125" s="65"/>
    </row>
    <row r="126" spans="2:7" ht="14.25" customHeight="1" x14ac:dyDescent="0.3">
      <c r="B126" s="478"/>
      <c r="C126" s="479"/>
      <c r="E126" s="480"/>
      <c r="G126" s="65"/>
    </row>
    <row r="127" spans="2:7" ht="14.25" customHeight="1" x14ac:dyDescent="0.3">
      <c r="B127" s="478"/>
      <c r="C127" s="479"/>
      <c r="E127" s="480"/>
      <c r="G127" s="65"/>
    </row>
    <row r="128" spans="2:7" ht="14.25" customHeight="1" x14ac:dyDescent="0.3">
      <c r="B128" s="478"/>
      <c r="C128" s="479"/>
      <c r="E128" s="480"/>
      <c r="G128" s="65"/>
    </row>
    <row r="129" spans="2:7" ht="14.25" customHeight="1" x14ac:dyDescent="0.3">
      <c r="B129" s="478"/>
      <c r="C129" s="479"/>
      <c r="E129" s="480"/>
      <c r="G129" s="65"/>
    </row>
    <row r="130" spans="2:7" ht="14.25" customHeight="1" x14ac:dyDescent="0.3">
      <c r="B130" s="478"/>
      <c r="C130" s="479"/>
      <c r="E130" s="480"/>
      <c r="G130" s="65"/>
    </row>
    <row r="131" spans="2:7" ht="14.25" customHeight="1" x14ac:dyDescent="0.3">
      <c r="B131" s="478"/>
      <c r="C131" s="479"/>
      <c r="E131" s="480"/>
      <c r="G131" s="65"/>
    </row>
    <row r="132" spans="2:7" ht="14.25" customHeight="1" x14ac:dyDescent="0.3">
      <c r="B132" s="478"/>
      <c r="C132" s="479"/>
      <c r="E132" s="480"/>
      <c r="G132" s="65"/>
    </row>
    <row r="133" spans="2:7" ht="14.25" customHeight="1" x14ac:dyDescent="0.3">
      <c r="B133" s="478"/>
      <c r="C133" s="479"/>
      <c r="E133" s="480"/>
      <c r="G133" s="65"/>
    </row>
    <row r="134" spans="2:7" ht="14.25" customHeight="1" x14ac:dyDescent="0.3">
      <c r="B134" s="478"/>
      <c r="C134" s="479"/>
      <c r="E134" s="480"/>
      <c r="G134" s="65"/>
    </row>
    <row r="135" spans="2:7" ht="14.25" customHeight="1" x14ac:dyDescent="0.3">
      <c r="B135" s="478"/>
      <c r="C135" s="479"/>
      <c r="E135" s="480"/>
      <c r="G135" s="65"/>
    </row>
    <row r="136" spans="2:7" ht="14.25" customHeight="1" x14ac:dyDescent="0.3">
      <c r="B136" s="478"/>
      <c r="C136" s="479"/>
      <c r="E136" s="480"/>
      <c r="G136" s="65"/>
    </row>
    <row r="137" spans="2:7" ht="14.25" customHeight="1" x14ac:dyDescent="0.3">
      <c r="B137" s="478"/>
      <c r="C137" s="479"/>
      <c r="E137" s="480"/>
      <c r="G137" s="65"/>
    </row>
    <row r="138" spans="2:7" ht="14.25" customHeight="1" x14ac:dyDescent="0.3">
      <c r="B138" s="478"/>
      <c r="C138" s="479"/>
      <c r="E138" s="480"/>
      <c r="G138" s="65"/>
    </row>
    <row r="139" spans="2:7" ht="14.25" customHeight="1" x14ac:dyDescent="0.3">
      <c r="B139" s="478"/>
      <c r="C139" s="479"/>
      <c r="E139" s="480"/>
      <c r="G139" s="65"/>
    </row>
    <row r="140" spans="2:7" ht="14.25" customHeight="1" x14ac:dyDescent="0.3">
      <c r="B140" s="478"/>
      <c r="C140" s="479"/>
      <c r="E140" s="480"/>
      <c r="G140" s="65"/>
    </row>
    <row r="141" spans="2:7" ht="14.25" customHeight="1" x14ac:dyDescent="0.3">
      <c r="B141" s="478"/>
      <c r="C141" s="479"/>
      <c r="E141" s="480"/>
      <c r="G141" s="65"/>
    </row>
    <row r="142" spans="2:7" ht="14.25" customHeight="1" x14ac:dyDescent="0.3">
      <c r="B142" s="478"/>
      <c r="C142" s="479"/>
      <c r="E142" s="480"/>
      <c r="G142" s="65"/>
    </row>
    <row r="143" spans="2:7" ht="14.25" customHeight="1" x14ac:dyDescent="0.3">
      <c r="B143" s="478"/>
      <c r="C143" s="479"/>
      <c r="E143" s="480"/>
      <c r="G143" s="65"/>
    </row>
    <row r="144" spans="2:7" ht="14.25" customHeight="1" x14ac:dyDescent="0.3">
      <c r="B144" s="478"/>
      <c r="C144" s="479"/>
      <c r="E144" s="480"/>
      <c r="G144" s="65"/>
    </row>
    <row r="145" spans="2:7" ht="14.25" customHeight="1" x14ac:dyDescent="0.3">
      <c r="B145" s="478"/>
      <c r="C145" s="479"/>
      <c r="E145" s="480"/>
      <c r="G145" s="65"/>
    </row>
    <row r="146" spans="2:7" ht="14.25" customHeight="1" x14ac:dyDescent="0.3">
      <c r="B146" s="478"/>
      <c r="C146" s="479"/>
      <c r="E146" s="480"/>
      <c r="G146" s="65"/>
    </row>
    <row r="147" spans="2:7" ht="14.25" customHeight="1" x14ac:dyDescent="0.3">
      <c r="B147" s="478"/>
      <c r="C147" s="479"/>
      <c r="E147" s="480"/>
      <c r="G147" s="65"/>
    </row>
    <row r="148" spans="2:7" ht="14.25" customHeight="1" x14ac:dyDescent="0.3">
      <c r="B148" s="478"/>
      <c r="C148" s="479"/>
      <c r="E148" s="480"/>
      <c r="G148" s="65"/>
    </row>
    <row r="149" spans="2:7" ht="14.25" customHeight="1" x14ac:dyDescent="0.3">
      <c r="B149" s="478"/>
      <c r="C149" s="479"/>
      <c r="E149" s="480"/>
      <c r="G149" s="65"/>
    </row>
    <row r="150" spans="2:7" ht="14.25" customHeight="1" x14ac:dyDescent="0.3">
      <c r="B150" s="478"/>
      <c r="C150" s="479"/>
      <c r="E150" s="480"/>
      <c r="G150" s="65"/>
    </row>
    <row r="151" spans="2:7" ht="14.25" customHeight="1" x14ac:dyDescent="0.3">
      <c r="B151" s="478"/>
      <c r="C151" s="479"/>
      <c r="E151" s="480"/>
      <c r="G151" s="65"/>
    </row>
    <row r="152" spans="2:7" ht="14.25" customHeight="1" x14ac:dyDescent="0.3">
      <c r="B152" s="478"/>
      <c r="C152" s="479"/>
      <c r="E152" s="480"/>
      <c r="G152" s="65"/>
    </row>
    <row r="153" spans="2:7" ht="14.25" customHeight="1" x14ac:dyDescent="0.3">
      <c r="B153" s="478"/>
      <c r="C153" s="479"/>
      <c r="E153" s="480"/>
      <c r="G153" s="65"/>
    </row>
    <row r="154" spans="2:7" ht="14.25" customHeight="1" x14ac:dyDescent="0.3">
      <c r="B154" s="478"/>
      <c r="C154" s="479"/>
      <c r="E154" s="480"/>
      <c r="G154" s="65"/>
    </row>
    <row r="155" spans="2:7" ht="14.25" customHeight="1" x14ac:dyDescent="0.3">
      <c r="B155" s="478"/>
      <c r="C155" s="479"/>
      <c r="E155" s="480"/>
      <c r="G155" s="65"/>
    </row>
    <row r="156" spans="2:7" ht="14.25" customHeight="1" x14ac:dyDescent="0.3">
      <c r="B156" s="478"/>
      <c r="C156" s="479"/>
      <c r="E156" s="480"/>
      <c r="G156" s="65"/>
    </row>
    <row r="157" spans="2:7" ht="14.25" customHeight="1" x14ac:dyDescent="0.3">
      <c r="B157" s="478"/>
      <c r="C157" s="479"/>
      <c r="E157" s="480"/>
      <c r="G157" s="65"/>
    </row>
    <row r="158" spans="2:7" ht="14.25" customHeight="1" x14ac:dyDescent="0.3">
      <c r="B158" s="478"/>
      <c r="C158" s="479"/>
      <c r="E158" s="480"/>
      <c r="G158" s="65"/>
    </row>
    <row r="159" spans="2:7" ht="14.25" customHeight="1" x14ac:dyDescent="0.3">
      <c r="B159" s="478"/>
      <c r="C159" s="479"/>
      <c r="E159" s="480"/>
      <c r="G159" s="65"/>
    </row>
    <row r="160" spans="2:7" ht="14.25" customHeight="1" x14ac:dyDescent="0.3">
      <c r="B160" s="478"/>
      <c r="C160" s="479"/>
      <c r="E160" s="480"/>
      <c r="G160" s="65"/>
    </row>
    <row r="161" spans="2:7" ht="14.25" customHeight="1" x14ac:dyDescent="0.3">
      <c r="B161" s="478"/>
      <c r="C161" s="479"/>
      <c r="E161" s="480"/>
      <c r="G161" s="65"/>
    </row>
    <row r="162" spans="2:7" ht="14.25" customHeight="1" x14ac:dyDescent="0.3">
      <c r="B162" s="478"/>
      <c r="C162" s="479"/>
      <c r="E162" s="480"/>
      <c r="G162" s="65"/>
    </row>
    <row r="163" spans="2:7" ht="14.25" customHeight="1" x14ac:dyDescent="0.3">
      <c r="B163" s="478"/>
      <c r="C163" s="479"/>
      <c r="E163" s="480"/>
      <c r="G163" s="65"/>
    </row>
    <row r="164" spans="2:7" ht="14.25" customHeight="1" x14ac:dyDescent="0.3">
      <c r="B164" s="478"/>
      <c r="C164" s="479"/>
      <c r="E164" s="480"/>
      <c r="G164" s="65"/>
    </row>
    <row r="165" spans="2:7" ht="14.25" customHeight="1" x14ac:dyDescent="0.3">
      <c r="B165" s="478"/>
      <c r="C165" s="479"/>
      <c r="E165" s="480"/>
      <c r="G165" s="65"/>
    </row>
    <row r="166" spans="2:7" ht="14.25" customHeight="1" x14ac:dyDescent="0.3">
      <c r="B166" s="478"/>
      <c r="C166" s="479"/>
      <c r="E166" s="480"/>
      <c r="G166" s="65"/>
    </row>
    <row r="167" spans="2:7" ht="14.25" customHeight="1" x14ac:dyDescent="0.3">
      <c r="B167" s="478"/>
      <c r="C167" s="479"/>
      <c r="E167" s="480"/>
      <c r="G167" s="65"/>
    </row>
    <row r="168" spans="2:7" ht="14.25" customHeight="1" x14ac:dyDescent="0.3">
      <c r="B168" s="478"/>
      <c r="C168" s="479"/>
      <c r="E168" s="480"/>
      <c r="G168" s="65"/>
    </row>
    <row r="169" spans="2:7" ht="14.25" customHeight="1" x14ac:dyDescent="0.3">
      <c r="B169" s="478"/>
      <c r="C169" s="479"/>
      <c r="E169" s="480"/>
      <c r="G169" s="65"/>
    </row>
    <row r="170" spans="2:7" ht="14.25" customHeight="1" x14ac:dyDescent="0.3">
      <c r="B170" s="478"/>
      <c r="C170" s="479"/>
      <c r="E170" s="480"/>
      <c r="G170" s="65"/>
    </row>
    <row r="171" spans="2:7" ht="14.25" customHeight="1" x14ac:dyDescent="0.3">
      <c r="B171" s="478"/>
      <c r="C171" s="479"/>
      <c r="E171" s="480"/>
      <c r="G171" s="65"/>
    </row>
    <row r="172" spans="2:7" ht="14.25" customHeight="1" x14ac:dyDescent="0.3">
      <c r="B172" s="478"/>
      <c r="C172" s="479"/>
      <c r="E172" s="480"/>
      <c r="G172" s="65"/>
    </row>
    <row r="173" spans="2:7" ht="14.25" customHeight="1" x14ac:dyDescent="0.3">
      <c r="B173" s="478"/>
      <c r="C173" s="479"/>
      <c r="E173" s="480"/>
      <c r="G173" s="65"/>
    </row>
    <row r="174" spans="2:7" ht="14.25" customHeight="1" x14ac:dyDescent="0.3">
      <c r="B174" s="478"/>
      <c r="C174" s="479"/>
      <c r="E174" s="480"/>
      <c r="G174" s="65"/>
    </row>
    <row r="175" spans="2:7" ht="14.25" customHeight="1" x14ac:dyDescent="0.3">
      <c r="B175" s="478"/>
      <c r="C175" s="479"/>
      <c r="E175" s="480"/>
      <c r="G175" s="65"/>
    </row>
    <row r="176" spans="2:7" ht="14.25" customHeight="1" x14ac:dyDescent="0.3">
      <c r="B176" s="478"/>
      <c r="C176" s="479"/>
      <c r="E176" s="480"/>
      <c r="G176" s="65"/>
    </row>
    <row r="177" spans="2:7" ht="14.25" customHeight="1" x14ac:dyDescent="0.3">
      <c r="B177" s="478"/>
      <c r="C177" s="479"/>
      <c r="E177" s="480"/>
      <c r="G177" s="65"/>
    </row>
    <row r="178" spans="2:7" ht="14.25" customHeight="1" x14ac:dyDescent="0.3">
      <c r="B178" s="478"/>
      <c r="C178" s="479"/>
      <c r="E178" s="480"/>
      <c r="G178" s="65"/>
    </row>
    <row r="179" spans="2:7" ht="14.25" customHeight="1" x14ac:dyDescent="0.3">
      <c r="B179" s="478"/>
      <c r="C179" s="479"/>
      <c r="E179" s="480"/>
      <c r="G179" s="65"/>
    </row>
    <row r="180" spans="2:7" ht="14.25" customHeight="1" x14ac:dyDescent="0.3">
      <c r="B180" s="478"/>
      <c r="C180" s="479"/>
      <c r="E180" s="480"/>
      <c r="G180" s="65"/>
    </row>
    <row r="181" spans="2:7" ht="14.25" customHeight="1" x14ac:dyDescent="0.3">
      <c r="B181" s="478"/>
      <c r="C181" s="479"/>
      <c r="E181" s="480"/>
      <c r="G181" s="65"/>
    </row>
    <row r="182" spans="2:7" ht="14.25" customHeight="1" x14ac:dyDescent="0.3">
      <c r="B182" s="478"/>
      <c r="C182" s="479"/>
      <c r="E182" s="480"/>
      <c r="G182" s="65"/>
    </row>
    <row r="183" spans="2:7" ht="14.25" customHeight="1" x14ac:dyDescent="0.3">
      <c r="B183" s="478"/>
      <c r="C183" s="479"/>
      <c r="E183" s="480"/>
      <c r="G183" s="65"/>
    </row>
    <row r="184" spans="2:7" ht="14.25" customHeight="1" x14ac:dyDescent="0.3">
      <c r="B184" s="478"/>
      <c r="C184" s="479"/>
      <c r="E184" s="480"/>
      <c r="G184" s="65"/>
    </row>
    <row r="185" spans="2:7" ht="14.25" customHeight="1" x14ac:dyDescent="0.3">
      <c r="B185" s="478"/>
      <c r="C185" s="479"/>
      <c r="E185" s="480"/>
      <c r="G185" s="65"/>
    </row>
    <row r="186" spans="2:7" ht="14.25" customHeight="1" x14ac:dyDescent="0.3">
      <c r="B186" s="478"/>
      <c r="C186" s="479"/>
      <c r="E186" s="480"/>
      <c r="G186" s="65"/>
    </row>
    <row r="187" spans="2:7" ht="14.25" customHeight="1" x14ac:dyDescent="0.3">
      <c r="B187" s="478"/>
      <c r="C187" s="479"/>
      <c r="E187" s="480"/>
      <c r="G187" s="65"/>
    </row>
    <row r="188" spans="2:7" ht="14.25" customHeight="1" x14ac:dyDescent="0.3">
      <c r="B188" s="478"/>
      <c r="C188" s="479"/>
      <c r="E188" s="480"/>
      <c r="G188" s="65"/>
    </row>
    <row r="189" spans="2:7" ht="14.25" customHeight="1" x14ac:dyDescent="0.3">
      <c r="B189" s="478"/>
      <c r="C189" s="479"/>
      <c r="E189" s="480"/>
      <c r="G189" s="65"/>
    </row>
    <row r="190" spans="2:7" ht="14.25" customHeight="1" x14ac:dyDescent="0.3">
      <c r="B190" s="478"/>
      <c r="C190" s="479"/>
      <c r="E190" s="480"/>
      <c r="G190" s="65"/>
    </row>
    <row r="191" spans="2:7" ht="14.25" customHeight="1" x14ac:dyDescent="0.3">
      <c r="B191" s="478"/>
      <c r="C191" s="479"/>
      <c r="E191" s="480"/>
      <c r="G191" s="65"/>
    </row>
    <row r="192" spans="2:7" ht="14.25" customHeight="1" x14ac:dyDescent="0.3">
      <c r="B192" s="478"/>
      <c r="C192" s="479"/>
      <c r="E192" s="480"/>
      <c r="G192" s="65"/>
    </row>
    <row r="193" spans="2:7" ht="14.25" customHeight="1" x14ac:dyDescent="0.3">
      <c r="B193" s="478"/>
      <c r="C193" s="479"/>
      <c r="E193" s="480"/>
      <c r="G193" s="65"/>
    </row>
    <row r="194" spans="2:7" ht="14.25" customHeight="1" x14ac:dyDescent="0.3">
      <c r="B194" s="478"/>
      <c r="C194" s="479"/>
      <c r="E194" s="480"/>
      <c r="G194" s="65"/>
    </row>
    <row r="195" spans="2:7" ht="14.25" customHeight="1" x14ac:dyDescent="0.3">
      <c r="B195" s="478"/>
      <c r="C195" s="479"/>
      <c r="E195" s="480"/>
      <c r="G195" s="65"/>
    </row>
    <row r="196" spans="2:7" ht="14.25" customHeight="1" x14ac:dyDescent="0.3">
      <c r="B196" s="478"/>
      <c r="C196" s="479"/>
      <c r="E196" s="480"/>
      <c r="G196" s="65"/>
    </row>
    <row r="197" spans="2:7" ht="14.25" customHeight="1" x14ac:dyDescent="0.3">
      <c r="B197" s="478"/>
      <c r="C197" s="479"/>
      <c r="E197" s="480"/>
      <c r="G197" s="65"/>
    </row>
    <row r="198" spans="2:7" ht="14.25" customHeight="1" x14ac:dyDescent="0.3">
      <c r="B198" s="478"/>
      <c r="C198" s="479"/>
      <c r="E198" s="480"/>
      <c r="G198" s="65"/>
    </row>
    <row r="199" spans="2:7" ht="14.25" customHeight="1" x14ac:dyDescent="0.3">
      <c r="B199" s="478"/>
      <c r="C199" s="479"/>
      <c r="E199" s="480"/>
      <c r="G199" s="65"/>
    </row>
    <row r="200" spans="2:7" ht="14.25" customHeight="1" x14ac:dyDescent="0.3">
      <c r="B200" s="478"/>
      <c r="C200" s="479"/>
      <c r="E200" s="480"/>
      <c r="G200" s="65"/>
    </row>
    <row r="201" spans="2:7" ht="14.25" customHeight="1" x14ac:dyDescent="0.3">
      <c r="B201" s="478"/>
      <c r="C201" s="479"/>
      <c r="E201" s="480"/>
      <c r="G201" s="65"/>
    </row>
    <row r="202" spans="2:7" ht="14.25" customHeight="1" x14ac:dyDescent="0.3">
      <c r="B202" s="478"/>
      <c r="C202" s="479"/>
      <c r="E202" s="480"/>
      <c r="G202" s="65"/>
    </row>
    <row r="203" spans="2:7" ht="14.25" customHeight="1" x14ac:dyDescent="0.3">
      <c r="B203" s="478"/>
      <c r="C203" s="479"/>
      <c r="E203" s="480"/>
      <c r="G203" s="65"/>
    </row>
    <row r="204" spans="2:7" ht="14.25" customHeight="1" x14ac:dyDescent="0.3">
      <c r="B204" s="478"/>
      <c r="C204" s="479"/>
      <c r="E204" s="480"/>
      <c r="G204" s="65"/>
    </row>
    <row r="205" spans="2:7" ht="14.25" customHeight="1" x14ac:dyDescent="0.3">
      <c r="B205" s="478"/>
      <c r="C205" s="479"/>
      <c r="E205" s="480"/>
      <c r="G205" s="65"/>
    </row>
    <row r="206" spans="2:7" ht="14.25" customHeight="1" x14ac:dyDescent="0.3">
      <c r="B206" s="478"/>
      <c r="C206" s="479"/>
      <c r="E206" s="480"/>
      <c r="G206" s="65"/>
    </row>
    <row r="207" spans="2:7" ht="14.25" customHeight="1" x14ac:dyDescent="0.3">
      <c r="B207" s="478"/>
      <c r="C207" s="479"/>
      <c r="E207" s="480"/>
      <c r="G207" s="65"/>
    </row>
    <row r="208" spans="2:7" ht="14.25" customHeight="1" x14ac:dyDescent="0.3">
      <c r="B208" s="478"/>
      <c r="C208" s="479"/>
      <c r="E208" s="480"/>
      <c r="G208" s="65"/>
    </row>
    <row r="209" spans="2:7" ht="14.25" customHeight="1" x14ac:dyDescent="0.3">
      <c r="B209" s="478"/>
      <c r="C209" s="479"/>
      <c r="E209" s="480"/>
      <c r="G209" s="65"/>
    </row>
    <row r="210" spans="2:7" ht="14.25" customHeight="1" x14ac:dyDescent="0.3">
      <c r="B210" s="478"/>
      <c r="C210" s="479"/>
      <c r="E210" s="480"/>
      <c r="G210" s="65"/>
    </row>
    <row r="211" spans="2:7" ht="14.25" customHeight="1" x14ac:dyDescent="0.3">
      <c r="B211" s="478"/>
      <c r="C211" s="479"/>
      <c r="E211" s="480"/>
      <c r="G211" s="65"/>
    </row>
    <row r="212" spans="2:7" ht="14.25" customHeight="1" x14ac:dyDescent="0.3">
      <c r="B212" s="478"/>
      <c r="C212" s="479"/>
      <c r="E212" s="480"/>
      <c r="G212" s="65"/>
    </row>
    <row r="213" spans="2:7" ht="14.25" customHeight="1" x14ac:dyDescent="0.3">
      <c r="B213" s="478"/>
      <c r="C213" s="479"/>
      <c r="E213" s="480"/>
      <c r="G213" s="65"/>
    </row>
    <row r="214" spans="2:7" ht="14.25" customHeight="1" x14ac:dyDescent="0.3">
      <c r="B214" s="478"/>
      <c r="C214" s="479"/>
      <c r="E214" s="480"/>
      <c r="G214" s="65"/>
    </row>
    <row r="215" spans="2:7" ht="14.25" customHeight="1" x14ac:dyDescent="0.3">
      <c r="B215" s="478"/>
      <c r="C215" s="479"/>
      <c r="E215" s="480"/>
      <c r="G215" s="65"/>
    </row>
    <row r="216" spans="2:7" ht="14.25" customHeight="1" x14ac:dyDescent="0.3">
      <c r="B216" s="478"/>
      <c r="C216" s="479"/>
      <c r="E216" s="480"/>
      <c r="G216" s="65"/>
    </row>
    <row r="217" spans="2:7" ht="14.25" customHeight="1" x14ac:dyDescent="0.3">
      <c r="B217" s="478"/>
      <c r="C217" s="479"/>
      <c r="E217" s="480"/>
      <c r="G217" s="65"/>
    </row>
    <row r="218" spans="2:7" ht="14.25" customHeight="1" x14ac:dyDescent="0.3">
      <c r="B218" s="478"/>
      <c r="C218" s="479"/>
      <c r="E218" s="480"/>
      <c r="G218" s="65"/>
    </row>
    <row r="219" spans="2:7" ht="14.25" customHeight="1" x14ac:dyDescent="0.3">
      <c r="B219" s="478"/>
      <c r="C219" s="479"/>
      <c r="E219" s="480"/>
      <c r="G219" s="65"/>
    </row>
    <row r="220" spans="2:7" ht="14.25" customHeight="1" x14ac:dyDescent="0.3">
      <c r="B220" s="478"/>
      <c r="C220" s="479"/>
      <c r="E220" s="480"/>
      <c r="G220" s="65"/>
    </row>
    <row r="221" spans="2:7" ht="14.25" customHeight="1" x14ac:dyDescent="0.3">
      <c r="B221" s="478"/>
      <c r="C221" s="479"/>
      <c r="E221" s="480"/>
      <c r="G221" s="65"/>
    </row>
    <row r="222" spans="2:7" ht="14.25" customHeight="1" x14ac:dyDescent="0.3">
      <c r="B222" s="478"/>
      <c r="C222" s="479"/>
      <c r="E222" s="480"/>
      <c r="G222" s="65"/>
    </row>
    <row r="223" spans="2:7" ht="14.25" customHeight="1" x14ac:dyDescent="0.3">
      <c r="B223" s="478"/>
      <c r="C223" s="479"/>
      <c r="E223" s="480"/>
      <c r="G223" s="65"/>
    </row>
    <row r="224" spans="2:7" ht="14.25" customHeight="1" x14ac:dyDescent="0.3">
      <c r="B224" s="478"/>
      <c r="C224" s="479"/>
      <c r="E224" s="480"/>
      <c r="G224" s="65"/>
    </row>
    <row r="225" spans="2:7" ht="14.25" customHeight="1" x14ac:dyDescent="0.3">
      <c r="B225" s="478"/>
      <c r="C225" s="479"/>
      <c r="E225" s="480"/>
      <c r="G225" s="65"/>
    </row>
    <row r="226" spans="2:7" ht="14.25" customHeight="1" x14ac:dyDescent="0.3">
      <c r="B226" s="478"/>
      <c r="C226" s="479"/>
      <c r="E226" s="480"/>
      <c r="G226" s="65"/>
    </row>
    <row r="227" spans="2:7" ht="14.25" customHeight="1" x14ac:dyDescent="0.3">
      <c r="B227" s="478"/>
      <c r="C227" s="479"/>
      <c r="E227" s="480"/>
      <c r="G227" s="65"/>
    </row>
    <row r="228" spans="2:7" ht="14.25" customHeight="1" x14ac:dyDescent="0.3">
      <c r="B228" s="478"/>
      <c r="C228" s="479"/>
      <c r="E228" s="480"/>
      <c r="G228" s="65"/>
    </row>
    <row r="229" spans="2:7" ht="14.25" customHeight="1" x14ac:dyDescent="0.3">
      <c r="B229" s="478"/>
      <c r="C229" s="479"/>
      <c r="E229" s="480"/>
      <c r="G229" s="65"/>
    </row>
    <row r="230" spans="2:7" ht="14.25" customHeight="1" x14ac:dyDescent="0.3">
      <c r="B230" s="478"/>
      <c r="C230" s="479"/>
      <c r="E230" s="480"/>
      <c r="G230" s="65"/>
    </row>
    <row r="231" spans="2:7" ht="14.25" customHeight="1" x14ac:dyDescent="0.3">
      <c r="B231" s="478"/>
      <c r="C231" s="479"/>
      <c r="E231" s="480"/>
      <c r="G231" s="65"/>
    </row>
    <row r="232" spans="2:7" ht="14.25" customHeight="1" x14ac:dyDescent="0.3">
      <c r="B232" s="478"/>
      <c r="C232" s="479"/>
      <c r="E232" s="480"/>
      <c r="G232" s="65"/>
    </row>
    <row r="233" spans="2:7" ht="14.25" customHeight="1" x14ac:dyDescent="0.3">
      <c r="B233" s="478"/>
      <c r="C233" s="479"/>
      <c r="E233" s="480"/>
      <c r="G233" s="65"/>
    </row>
    <row r="234" spans="2:7" ht="14.25" customHeight="1" x14ac:dyDescent="0.3">
      <c r="B234" s="478"/>
      <c r="C234" s="479"/>
      <c r="E234" s="480"/>
      <c r="G234" s="65"/>
    </row>
    <row r="235" spans="2:7" ht="14.25" customHeight="1" x14ac:dyDescent="0.3">
      <c r="B235" s="478"/>
      <c r="C235" s="479"/>
      <c r="E235" s="480"/>
      <c r="G235" s="65"/>
    </row>
    <row r="236" spans="2:7" ht="14.25" customHeight="1" x14ac:dyDescent="0.3">
      <c r="B236" s="478"/>
      <c r="C236" s="479"/>
      <c r="E236" s="480"/>
      <c r="G236" s="65"/>
    </row>
    <row r="237" spans="2:7" ht="14.25" customHeight="1" x14ac:dyDescent="0.3">
      <c r="B237" s="478"/>
      <c r="C237" s="479"/>
      <c r="E237" s="480"/>
      <c r="G237" s="65"/>
    </row>
    <row r="238" spans="2:7" ht="14.25" customHeight="1" x14ac:dyDescent="0.3">
      <c r="B238" s="478"/>
      <c r="C238" s="479"/>
      <c r="E238" s="480"/>
      <c r="G238" s="65"/>
    </row>
    <row r="239" spans="2:7" ht="14.25" customHeight="1" x14ac:dyDescent="0.3">
      <c r="B239" s="478"/>
      <c r="C239" s="479"/>
      <c r="E239" s="480"/>
      <c r="G239" s="65"/>
    </row>
    <row r="240" spans="2:7" ht="14.25" customHeight="1" x14ac:dyDescent="0.3">
      <c r="B240" s="478"/>
      <c r="C240" s="479"/>
      <c r="E240" s="480"/>
      <c r="G240" s="65"/>
    </row>
    <row r="241" spans="2:7" ht="14.25" customHeight="1" x14ac:dyDescent="0.3">
      <c r="B241" s="478"/>
      <c r="C241" s="479"/>
      <c r="E241" s="480"/>
      <c r="G241" s="65"/>
    </row>
    <row r="242" spans="2:7" ht="14.25" customHeight="1" x14ac:dyDescent="0.3">
      <c r="B242" s="478"/>
      <c r="C242" s="479"/>
      <c r="E242" s="480"/>
      <c r="G242" s="65"/>
    </row>
    <row r="243" spans="2:7" ht="14.25" customHeight="1" x14ac:dyDescent="0.3">
      <c r="B243" s="478"/>
      <c r="C243" s="479"/>
      <c r="E243" s="480"/>
      <c r="G243" s="65"/>
    </row>
    <row r="244" spans="2:7" ht="14.25" customHeight="1" x14ac:dyDescent="0.3">
      <c r="B244" s="478"/>
      <c r="C244" s="479"/>
      <c r="E244" s="480"/>
      <c r="G244" s="65"/>
    </row>
    <row r="245" spans="2:7" ht="14.25" customHeight="1" x14ac:dyDescent="0.3">
      <c r="B245" s="478"/>
      <c r="C245" s="479"/>
      <c r="E245" s="480"/>
      <c r="G245" s="65"/>
    </row>
    <row r="246" spans="2:7" ht="14.25" customHeight="1" x14ac:dyDescent="0.3">
      <c r="B246" s="478"/>
      <c r="C246" s="479"/>
      <c r="E246" s="480"/>
      <c r="G246" s="65"/>
    </row>
    <row r="247" spans="2:7" ht="14.25" customHeight="1" x14ac:dyDescent="0.3">
      <c r="B247" s="478"/>
      <c r="C247" s="479"/>
      <c r="E247" s="480"/>
      <c r="G247" s="65"/>
    </row>
    <row r="248" spans="2:7" ht="14.25" customHeight="1" x14ac:dyDescent="0.3">
      <c r="B248" s="478"/>
      <c r="C248" s="479"/>
      <c r="E248" s="480"/>
      <c r="G248" s="65"/>
    </row>
    <row r="249" spans="2:7" ht="14.25" customHeight="1" x14ac:dyDescent="0.3">
      <c r="B249" s="478"/>
      <c r="C249" s="479"/>
      <c r="E249" s="480"/>
      <c r="G249" s="65"/>
    </row>
    <row r="250" spans="2:7" ht="14.25" customHeight="1" x14ac:dyDescent="0.3">
      <c r="B250" s="478"/>
      <c r="C250" s="479"/>
      <c r="E250" s="480"/>
      <c r="G250" s="65"/>
    </row>
    <row r="251" spans="2:7" ht="14.25" customHeight="1" x14ac:dyDescent="0.3">
      <c r="B251" s="478"/>
      <c r="C251" s="479"/>
      <c r="E251" s="480"/>
      <c r="G251" s="65"/>
    </row>
    <row r="252" spans="2:7" ht="14.25" customHeight="1" x14ac:dyDescent="0.3">
      <c r="B252" s="478"/>
      <c r="C252" s="479"/>
      <c r="E252" s="480"/>
      <c r="G252" s="65"/>
    </row>
    <row r="253" spans="2:7" ht="14.25" customHeight="1" x14ac:dyDescent="0.3">
      <c r="B253" s="478"/>
      <c r="C253" s="479"/>
      <c r="E253" s="480"/>
      <c r="G253" s="65"/>
    </row>
    <row r="254" spans="2:7" ht="14.25" customHeight="1" x14ac:dyDescent="0.3">
      <c r="B254" s="478"/>
      <c r="C254" s="479"/>
      <c r="E254" s="480"/>
      <c r="G254" s="65"/>
    </row>
    <row r="255" spans="2:7" ht="14.25" customHeight="1" x14ac:dyDescent="0.3">
      <c r="B255" s="478"/>
      <c r="C255" s="479"/>
      <c r="E255" s="480"/>
      <c r="G255" s="65"/>
    </row>
    <row r="256" spans="2:7" ht="14.25" customHeight="1" x14ac:dyDescent="0.3">
      <c r="B256" s="478"/>
      <c r="C256" s="479"/>
      <c r="E256" s="480"/>
      <c r="G256" s="65"/>
    </row>
    <row r="257" spans="2:7" ht="14.25" customHeight="1" x14ac:dyDescent="0.3">
      <c r="B257" s="478"/>
      <c r="C257" s="479"/>
      <c r="E257" s="480"/>
      <c r="G257" s="65"/>
    </row>
    <row r="258" spans="2:7" ht="14.25" customHeight="1" x14ac:dyDescent="0.3">
      <c r="B258" s="478"/>
      <c r="C258" s="479"/>
      <c r="E258" s="480"/>
      <c r="G258" s="65"/>
    </row>
    <row r="259" spans="2:7" ht="14.25" customHeight="1" x14ac:dyDescent="0.3">
      <c r="B259" s="478"/>
      <c r="C259" s="479"/>
      <c r="E259" s="480"/>
      <c r="G259" s="65"/>
    </row>
    <row r="260" spans="2:7" ht="14.25" customHeight="1" x14ac:dyDescent="0.3">
      <c r="B260" s="478"/>
      <c r="C260" s="479"/>
      <c r="E260" s="480"/>
      <c r="G260" s="65"/>
    </row>
    <row r="261" spans="2:7" ht="14.25" customHeight="1" x14ac:dyDescent="0.3">
      <c r="B261" s="478"/>
      <c r="C261" s="479"/>
      <c r="E261" s="480"/>
      <c r="G261" s="65"/>
    </row>
    <row r="262" spans="2:7" ht="14.25" customHeight="1" x14ac:dyDescent="0.3">
      <c r="B262" s="478"/>
      <c r="C262" s="479"/>
      <c r="E262" s="480"/>
      <c r="G262" s="65"/>
    </row>
    <row r="263" spans="2:7" ht="14.25" customHeight="1" x14ac:dyDescent="0.3">
      <c r="B263" s="478"/>
      <c r="C263" s="479"/>
      <c r="E263" s="480"/>
      <c r="G263" s="65"/>
    </row>
    <row r="264" spans="2:7" ht="14.25" customHeight="1" x14ac:dyDescent="0.3">
      <c r="B264" s="478"/>
      <c r="C264" s="479"/>
      <c r="E264" s="480"/>
      <c r="G264" s="65"/>
    </row>
    <row r="265" spans="2:7" ht="14.25" customHeight="1" x14ac:dyDescent="0.3">
      <c r="B265" s="478"/>
      <c r="C265" s="479"/>
      <c r="E265" s="480"/>
      <c r="G265" s="65"/>
    </row>
    <row r="266" spans="2:7" ht="14.25" customHeight="1" x14ac:dyDescent="0.3">
      <c r="B266" s="478"/>
      <c r="C266" s="479"/>
      <c r="E266" s="480"/>
      <c r="G266" s="65"/>
    </row>
    <row r="267" spans="2:7" ht="14.25" customHeight="1" x14ac:dyDescent="0.3">
      <c r="B267" s="478"/>
      <c r="C267" s="479"/>
      <c r="E267" s="480"/>
      <c r="G267" s="65"/>
    </row>
    <row r="268" spans="2:7" ht="14.25" customHeight="1" x14ac:dyDescent="0.3">
      <c r="B268" s="478"/>
      <c r="C268" s="479"/>
      <c r="E268" s="480"/>
      <c r="G268" s="65"/>
    </row>
    <row r="269" spans="2:7" ht="14.25" customHeight="1" x14ac:dyDescent="0.3">
      <c r="B269" s="478"/>
      <c r="C269" s="479"/>
      <c r="E269" s="480"/>
      <c r="G269" s="65"/>
    </row>
    <row r="270" spans="2:7" ht="14.25" customHeight="1" x14ac:dyDescent="0.3">
      <c r="B270" s="478"/>
      <c r="C270" s="479"/>
      <c r="E270" s="480"/>
      <c r="G270" s="65"/>
    </row>
    <row r="271" spans="2:7" ht="14.25" customHeight="1" x14ac:dyDescent="0.3">
      <c r="B271" s="478"/>
      <c r="C271" s="479"/>
      <c r="E271" s="480"/>
      <c r="G271" s="65"/>
    </row>
    <row r="272" spans="2:7" ht="14.25" customHeight="1" x14ac:dyDescent="0.3">
      <c r="B272" s="478"/>
      <c r="C272" s="479"/>
      <c r="E272" s="480"/>
      <c r="G272" s="65"/>
    </row>
    <row r="273" spans="2:7" ht="14.25" customHeight="1" x14ac:dyDescent="0.3">
      <c r="B273" s="478"/>
      <c r="C273" s="479"/>
      <c r="E273" s="480"/>
      <c r="G273" s="65"/>
    </row>
    <row r="274" spans="2:7" ht="14.25" customHeight="1" x14ac:dyDescent="0.3">
      <c r="B274" s="478"/>
      <c r="C274" s="479"/>
      <c r="E274" s="480"/>
      <c r="G274" s="65"/>
    </row>
    <row r="275" spans="2:7" ht="14.25" customHeight="1" x14ac:dyDescent="0.3">
      <c r="B275" s="478"/>
      <c r="C275" s="479"/>
      <c r="E275" s="480"/>
      <c r="G275" s="65"/>
    </row>
    <row r="276" spans="2:7" ht="14.25" customHeight="1" x14ac:dyDescent="0.3">
      <c r="B276" s="478"/>
      <c r="C276" s="479"/>
      <c r="E276" s="480"/>
      <c r="G276" s="65"/>
    </row>
    <row r="277" spans="2:7" ht="14.25" customHeight="1" x14ac:dyDescent="0.3">
      <c r="B277" s="478"/>
      <c r="C277" s="479"/>
      <c r="E277" s="480"/>
      <c r="G277" s="65"/>
    </row>
    <row r="278" spans="2:7" ht="14.25" customHeight="1" x14ac:dyDescent="0.3">
      <c r="B278" s="478"/>
      <c r="C278" s="479"/>
      <c r="E278" s="480"/>
      <c r="G278" s="65"/>
    </row>
    <row r="279" spans="2:7" ht="14.25" customHeight="1" x14ac:dyDescent="0.3">
      <c r="B279" s="478"/>
      <c r="C279" s="479"/>
      <c r="E279" s="480"/>
      <c r="G279" s="65"/>
    </row>
    <row r="280" spans="2:7" ht="14.25" customHeight="1" x14ac:dyDescent="0.3">
      <c r="B280" s="478"/>
      <c r="C280" s="479"/>
      <c r="E280" s="480"/>
      <c r="G280" s="65"/>
    </row>
    <row r="281" spans="2:7" ht="14.25" customHeight="1" x14ac:dyDescent="0.3">
      <c r="B281" s="478"/>
      <c r="C281" s="479"/>
      <c r="E281" s="480"/>
      <c r="G281" s="65"/>
    </row>
    <row r="282" spans="2:7" ht="14.25" customHeight="1" x14ac:dyDescent="0.3">
      <c r="B282" s="478"/>
      <c r="C282" s="479"/>
      <c r="E282" s="480"/>
      <c r="G282" s="65"/>
    </row>
    <row r="283" spans="2:7" ht="14.25" customHeight="1" x14ac:dyDescent="0.3">
      <c r="B283" s="478"/>
      <c r="C283" s="479"/>
      <c r="E283" s="480"/>
      <c r="G283" s="65"/>
    </row>
    <row r="284" spans="2:7" ht="14.25" customHeight="1" x14ac:dyDescent="0.3">
      <c r="B284" s="478"/>
      <c r="C284" s="479"/>
      <c r="E284" s="480"/>
      <c r="G284" s="65"/>
    </row>
    <row r="285" spans="2:7" ht="14.25" customHeight="1" x14ac:dyDescent="0.3">
      <c r="B285" s="478"/>
      <c r="C285" s="479"/>
      <c r="E285" s="480"/>
      <c r="G285" s="65"/>
    </row>
    <row r="286" spans="2:7" ht="14.25" customHeight="1" x14ac:dyDescent="0.3">
      <c r="B286" s="478"/>
      <c r="C286" s="479"/>
      <c r="E286" s="480"/>
      <c r="G286" s="65"/>
    </row>
    <row r="287" spans="2:7" ht="14.25" customHeight="1" x14ac:dyDescent="0.3">
      <c r="B287" s="478"/>
      <c r="C287" s="479"/>
      <c r="E287" s="480"/>
      <c r="G287" s="65"/>
    </row>
    <row r="288" spans="2:7" ht="14.25" customHeight="1" x14ac:dyDescent="0.3">
      <c r="B288" s="478"/>
      <c r="C288" s="479"/>
      <c r="E288" s="480"/>
      <c r="G288" s="65"/>
    </row>
    <row r="289" spans="2:7" ht="14.25" customHeight="1" x14ac:dyDescent="0.3">
      <c r="B289" s="478"/>
      <c r="C289" s="479"/>
      <c r="E289" s="480"/>
      <c r="G289" s="65"/>
    </row>
    <row r="290" spans="2:7" ht="14.25" customHeight="1" x14ac:dyDescent="0.3">
      <c r="B290" s="478"/>
      <c r="C290" s="479"/>
      <c r="E290" s="480"/>
      <c r="G290" s="65"/>
    </row>
    <row r="291" spans="2:7" ht="14.25" customHeight="1" x14ac:dyDescent="0.3">
      <c r="B291" s="478"/>
      <c r="C291" s="479"/>
      <c r="E291" s="480"/>
      <c r="G291" s="65"/>
    </row>
    <row r="292" spans="2:7" ht="14.25" customHeight="1" x14ac:dyDescent="0.3">
      <c r="B292" s="478"/>
      <c r="C292" s="479"/>
      <c r="E292" s="480"/>
      <c r="G292" s="65"/>
    </row>
    <row r="293" spans="2:7" ht="14.25" customHeight="1" x14ac:dyDescent="0.3">
      <c r="B293" s="478"/>
      <c r="C293" s="479"/>
      <c r="E293" s="480"/>
      <c r="G293" s="65"/>
    </row>
    <row r="294" spans="2:7" ht="14.25" customHeight="1" x14ac:dyDescent="0.3">
      <c r="B294" s="478"/>
      <c r="C294" s="479"/>
      <c r="E294" s="480"/>
      <c r="G294" s="65"/>
    </row>
    <row r="295" spans="2:7" ht="14.25" customHeight="1" x14ac:dyDescent="0.3">
      <c r="B295" s="478"/>
      <c r="C295" s="479"/>
      <c r="E295" s="480"/>
      <c r="G295" s="65"/>
    </row>
    <row r="296" spans="2:7" ht="14.25" customHeight="1" x14ac:dyDescent="0.3">
      <c r="B296" s="478"/>
      <c r="C296" s="479"/>
      <c r="E296" s="480"/>
      <c r="G296" s="65"/>
    </row>
    <row r="297" spans="2:7" ht="14.25" customHeight="1" x14ac:dyDescent="0.3">
      <c r="B297" s="478"/>
      <c r="C297" s="479"/>
      <c r="E297" s="480"/>
      <c r="G297" s="65"/>
    </row>
    <row r="298" spans="2:7" ht="14.25" customHeight="1" x14ac:dyDescent="0.3">
      <c r="B298" s="478"/>
      <c r="C298" s="479"/>
      <c r="E298" s="480"/>
      <c r="G298" s="65"/>
    </row>
    <row r="299" spans="2:7" ht="14.25" customHeight="1" x14ac:dyDescent="0.3">
      <c r="B299" s="478"/>
      <c r="C299" s="479"/>
      <c r="E299" s="480"/>
      <c r="G299" s="65"/>
    </row>
    <row r="300" spans="2:7" ht="14.25" customHeight="1" x14ac:dyDescent="0.3">
      <c r="B300" s="478"/>
      <c r="C300" s="479"/>
      <c r="E300" s="480"/>
      <c r="G300" s="65"/>
    </row>
    <row r="301" spans="2:7" ht="14.25" customHeight="1" x14ac:dyDescent="0.3">
      <c r="B301" s="478"/>
      <c r="C301" s="479"/>
      <c r="E301" s="480"/>
      <c r="G301" s="65"/>
    </row>
    <row r="302" spans="2:7" ht="14.25" customHeight="1" x14ac:dyDescent="0.3">
      <c r="B302" s="478"/>
      <c r="C302" s="479"/>
      <c r="E302" s="480"/>
      <c r="G302" s="65"/>
    </row>
    <row r="303" spans="2:7" ht="14.25" customHeight="1" x14ac:dyDescent="0.3">
      <c r="B303" s="478"/>
      <c r="C303" s="479"/>
      <c r="E303" s="480"/>
      <c r="G303" s="65"/>
    </row>
    <row r="304" spans="2:7" ht="14.25" customHeight="1" x14ac:dyDescent="0.3">
      <c r="B304" s="478"/>
      <c r="C304" s="479"/>
      <c r="E304" s="480"/>
      <c r="G304" s="65"/>
    </row>
    <row r="305" spans="2:7" ht="14.25" customHeight="1" x14ac:dyDescent="0.3">
      <c r="B305" s="478"/>
      <c r="C305" s="479"/>
      <c r="E305" s="480"/>
      <c r="G305" s="65"/>
    </row>
    <row r="306" spans="2:7" ht="14.25" customHeight="1" x14ac:dyDescent="0.3">
      <c r="B306" s="478"/>
      <c r="C306" s="479"/>
      <c r="E306" s="480"/>
      <c r="G306" s="65"/>
    </row>
    <row r="307" spans="2:7" ht="14.25" customHeight="1" x14ac:dyDescent="0.3">
      <c r="B307" s="478"/>
      <c r="C307" s="479"/>
      <c r="E307" s="480"/>
      <c r="G307" s="65"/>
    </row>
    <row r="308" spans="2:7" ht="14.25" customHeight="1" x14ac:dyDescent="0.3">
      <c r="B308" s="478"/>
      <c r="C308" s="479"/>
      <c r="E308" s="480"/>
      <c r="G308" s="65"/>
    </row>
    <row r="309" spans="2:7" ht="14.25" customHeight="1" x14ac:dyDescent="0.3">
      <c r="B309" s="478"/>
      <c r="C309" s="479"/>
      <c r="E309" s="480"/>
      <c r="G309" s="65"/>
    </row>
    <row r="310" spans="2:7" ht="14.25" customHeight="1" x14ac:dyDescent="0.3">
      <c r="B310" s="478"/>
      <c r="C310" s="479"/>
      <c r="E310" s="480"/>
      <c r="G310" s="65"/>
    </row>
    <row r="311" spans="2:7" ht="14.25" customHeight="1" x14ac:dyDescent="0.3">
      <c r="B311" s="478"/>
      <c r="C311" s="479"/>
      <c r="E311" s="480"/>
      <c r="G311" s="65"/>
    </row>
    <row r="312" spans="2:7" ht="14.25" customHeight="1" x14ac:dyDescent="0.3">
      <c r="B312" s="478"/>
      <c r="C312" s="479"/>
      <c r="E312" s="480"/>
      <c r="G312" s="65"/>
    </row>
    <row r="313" spans="2:7" ht="14.25" customHeight="1" x14ac:dyDescent="0.3">
      <c r="B313" s="478"/>
      <c r="C313" s="479"/>
      <c r="E313" s="480"/>
      <c r="G313" s="65"/>
    </row>
    <row r="314" spans="2:7" ht="14.25" customHeight="1" x14ac:dyDescent="0.3">
      <c r="B314" s="478"/>
      <c r="C314" s="479"/>
      <c r="E314" s="480"/>
      <c r="G314" s="65"/>
    </row>
    <row r="315" spans="2:7" ht="14.25" customHeight="1" x14ac:dyDescent="0.3">
      <c r="B315" s="478"/>
      <c r="C315" s="479"/>
      <c r="E315" s="480"/>
      <c r="G315" s="65"/>
    </row>
    <row r="316" spans="2:7" ht="14.25" customHeight="1" x14ac:dyDescent="0.3">
      <c r="B316" s="478"/>
      <c r="C316" s="479"/>
      <c r="E316" s="480"/>
      <c r="G316" s="65"/>
    </row>
    <row r="317" spans="2:7" ht="14.25" customHeight="1" x14ac:dyDescent="0.3">
      <c r="B317" s="478"/>
      <c r="C317" s="479"/>
      <c r="E317" s="480"/>
      <c r="G317" s="65"/>
    </row>
    <row r="318" spans="2:7" ht="14.25" customHeight="1" x14ac:dyDescent="0.3">
      <c r="B318" s="478"/>
      <c r="C318" s="479"/>
      <c r="E318" s="480"/>
      <c r="G318" s="65"/>
    </row>
    <row r="319" spans="2:7" ht="14.25" customHeight="1" x14ac:dyDescent="0.3">
      <c r="B319" s="478"/>
      <c r="C319" s="479"/>
      <c r="E319" s="480"/>
      <c r="G319" s="65"/>
    </row>
    <row r="320" spans="2:7" ht="14.25" customHeight="1" x14ac:dyDescent="0.3">
      <c r="B320" s="478"/>
      <c r="C320" s="479"/>
      <c r="E320" s="480"/>
      <c r="G320" s="65"/>
    </row>
    <row r="321" spans="2:7" ht="14.25" customHeight="1" x14ac:dyDescent="0.3">
      <c r="B321" s="478"/>
      <c r="C321" s="479"/>
      <c r="E321" s="480"/>
      <c r="G321" s="65"/>
    </row>
    <row r="322" spans="2:7" ht="14.25" customHeight="1" x14ac:dyDescent="0.3">
      <c r="B322" s="478"/>
      <c r="C322" s="479"/>
      <c r="E322" s="480"/>
      <c r="G322" s="65"/>
    </row>
    <row r="323" spans="2:7" ht="14.25" customHeight="1" x14ac:dyDescent="0.3">
      <c r="B323" s="478"/>
      <c r="C323" s="479"/>
      <c r="E323" s="480"/>
      <c r="G323" s="65"/>
    </row>
    <row r="324" spans="2:7" ht="14.25" customHeight="1" x14ac:dyDescent="0.3">
      <c r="B324" s="478"/>
      <c r="C324" s="479"/>
      <c r="E324" s="480"/>
      <c r="G324" s="65"/>
    </row>
    <row r="325" spans="2:7" ht="14.25" customHeight="1" x14ac:dyDescent="0.3">
      <c r="B325" s="478"/>
      <c r="C325" s="479"/>
      <c r="E325" s="480"/>
      <c r="G325" s="65"/>
    </row>
    <row r="326" spans="2:7" ht="14.25" customHeight="1" x14ac:dyDescent="0.3">
      <c r="B326" s="478"/>
      <c r="C326" s="479"/>
      <c r="E326" s="480"/>
      <c r="G326" s="65"/>
    </row>
    <row r="327" spans="2:7" ht="14.25" customHeight="1" x14ac:dyDescent="0.3">
      <c r="B327" s="478"/>
      <c r="C327" s="479"/>
      <c r="E327" s="480"/>
      <c r="G327" s="65"/>
    </row>
    <row r="328" spans="2:7" ht="14.25" customHeight="1" x14ac:dyDescent="0.3">
      <c r="B328" s="478"/>
      <c r="C328" s="479"/>
      <c r="E328" s="480"/>
      <c r="G328" s="65"/>
    </row>
    <row r="329" spans="2:7" ht="14.25" customHeight="1" x14ac:dyDescent="0.3">
      <c r="B329" s="478"/>
      <c r="C329" s="479"/>
      <c r="E329" s="480"/>
      <c r="G329" s="65"/>
    </row>
    <row r="330" spans="2:7" ht="14.25" customHeight="1" x14ac:dyDescent="0.3">
      <c r="B330" s="478"/>
      <c r="C330" s="479"/>
      <c r="E330" s="480"/>
      <c r="G330" s="65"/>
    </row>
    <row r="331" spans="2:7" ht="14.25" customHeight="1" x14ac:dyDescent="0.3">
      <c r="B331" s="478"/>
      <c r="C331" s="479"/>
      <c r="E331" s="480"/>
      <c r="G331" s="65"/>
    </row>
    <row r="332" spans="2:7" ht="14.25" customHeight="1" x14ac:dyDescent="0.3">
      <c r="B332" s="478"/>
      <c r="C332" s="479"/>
      <c r="E332" s="480"/>
      <c r="G332" s="65"/>
    </row>
    <row r="333" spans="2:7" ht="14.25" customHeight="1" x14ac:dyDescent="0.3">
      <c r="B333" s="478"/>
      <c r="C333" s="479"/>
      <c r="E333" s="480"/>
      <c r="G333" s="65"/>
    </row>
    <row r="334" spans="2:7" ht="14.25" customHeight="1" x14ac:dyDescent="0.3">
      <c r="B334" s="478"/>
      <c r="C334" s="479"/>
      <c r="E334" s="480"/>
      <c r="G334" s="65"/>
    </row>
    <row r="335" spans="2:7" ht="14.25" customHeight="1" x14ac:dyDescent="0.3">
      <c r="B335" s="478"/>
      <c r="C335" s="479"/>
      <c r="E335" s="480"/>
      <c r="G335" s="65"/>
    </row>
    <row r="336" spans="2:7" ht="14.25" customHeight="1" x14ac:dyDescent="0.3">
      <c r="B336" s="478"/>
      <c r="C336" s="479"/>
      <c r="E336" s="480"/>
      <c r="G336" s="65"/>
    </row>
    <row r="337" spans="2:7" ht="14.25" customHeight="1" x14ac:dyDescent="0.3">
      <c r="B337" s="478"/>
      <c r="C337" s="479"/>
      <c r="E337" s="480"/>
      <c r="G337" s="65"/>
    </row>
    <row r="338" spans="2:7" ht="14.25" customHeight="1" x14ac:dyDescent="0.3">
      <c r="B338" s="478"/>
      <c r="C338" s="479"/>
      <c r="E338" s="480"/>
      <c r="G338" s="65"/>
    </row>
    <row r="339" spans="2:7" ht="14.25" customHeight="1" x14ac:dyDescent="0.3">
      <c r="B339" s="478"/>
      <c r="C339" s="479"/>
      <c r="E339" s="480"/>
      <c r="G339" s="65"/>
    </row>
    <row r="340" spans="2:7" ht="14.25" customHeight="1" x14ac:dyDescent="0.3">
      <c r="B340" s="478"/>
      <c r="C340" s="479"/>
      <c r="E340" s="480"/>
      <c r="G340" s="65"/>
    </row>
    <row r="341" spans="2:7" ht="14.25" customHeight="1" x14ac:dyDescent="0.3">
      <c r="B341" s="478"/>
      <c r="C341" s="479"/>
      <c r="E341" s="480"/>
      <c r="G341" s="65"/>
    </row>
    <row r="342" spans="2:7" ht="14.25" customHeight="1" x14ac:dyDescent="0.3">
      <c r="B342" s="478"/>
      <c r="C342" s="479"/>
      <c r="E342" s="480"/>
      <c r="G342" s="65"/>
    </row>
    <row r="343" spans="2:7" ht="14.25" customHeight="1" x14ac:dyDescent="0.3">
      <c r="B343" s="478"/>
      <c r="C343" s="479"/>
      <c r="E343" s="480"/>
      <c r="G343" s="65"/>
    </row>
    <row r="344" spans="2:7" ht="14.25" customHeight="1" x14ac:dyDescent="0.3">
      <c r="B344" s="478"/>
      <c r="C344" s="479"/>
      <c r="E344" s="480"/>
      <c r="G344" s="65"/>
    </row>
    <row r="345" spans="2:7" ht="14.25" customHeight="1" x14ac:dyDescent="0.3">
      <c r="B345" s="478"/>
      <c r="C345" s="479"/>
      <c r="E345" s="480"/>
      <c r="G345" s="65"/>
    </row>
    <row r="346" spans="2:7" ht="14.25" customHeight="1" x14ac:dyDescent="0.3">
      <c r="B346" s="478"/>
      <c r="C346" s="479"/>
      <c r="E346" s="480"/>
      <c r="G346" s="65"/>
    </row>
    <row r="347" spans="2:7" ht="14.25" customHeight="1" x14ac:dyDescent="0.3">
      <c r="B347" s="478"/>
      <c r="C347" s="479"/>
      <c r="E347" s="480"/>
      <c r="G347" s="65"/>
    </row>
    <row r="348" spans="2:7" ht="14.25" customHeight="1" x14ac:dyDescent="0.3">
      <c r="B348" s="478"/>
      <c r="C348" s="479"/>
      <c r="E348" s="480"/>
      <c r="G348" s="65"/>
    </row>
    <row r="349" spans="2:7" ht="14.25" customHeight="1" x14ac:dyDescent="0.3">
      <c r="B349" s="478"/>
      <c r="C349" s="479"/>
      <c r="E349" s="480"/>
      <c r="G349" s="65"/>
    </row>
    <row r="350" spans="2:7" ht="14.25" customHeight="1" x14ac:dyDescent="0.3">
      <c r="B350" s="478"/>
      <c r="C350" s="479"/>
      <c r="E350" s="480"/>
      <c r="G350" s="65"/>
    </row>
    <row r="351" spans="2:7" ht="14.25" customHeight="1" x14ac:dyDescent="0.3">
      <c r="B351" s="478"/>
      <c r="C351" s="479"/>
      <c r="E351" s="480"/>
      <c r="G351" s="65"/>
    </row>
    <row r="352" spans="2:7" ht="14.25" customHeight="1" x14ac:dyDescent="0.3">
      <c r="B352" s="478"/>
      <c r="C352" s="479"/>
      <c r="E352" s="480"/>
      <c r="G352" s="65"/>
    </row>
    <row r="353" spans="2:7" ht="14.25" customHeight="1" x14ac:dyDescent="0.3">
      <c r="B353" s="478"/>
      <c r="C353" s="479"/>
      <c r="E353" s="480"/>
      <c r="G353" s="65"/>
    </row>
    <row r="354" spans="2:7" ht="14.25" customHeight="1" x14ac:dyDescent="0.3">
      <c r="B354" s="478"/>
      <c r="C354" s="479"/>
      <c r="E354" s="480"/>
      <c r="G354" s="65"/>
    </row>
    <row r="355" spans="2:7" ht="14.25" customHeight="1" x14ac:dyDescent="0.3">
      <c r="B355" s="478"/>
      <c r="C355" s="479"/>
      <c r="E355" s="480"/>
      <c r="G355" s="65"/>
    </row>
    <row r="356" spans="2:7" ht="14.25" customHeight="1" x14ac:dyDescent="0.3">
      <c r="B356" s="478"/>
      <c r="C356" s="479"/>
      <c r="E356" s="480"/>
      <c r="G356" s="65"/>
    </row>
    <row r="357" spans="2:7" ht="14.25" customHeight="1" x14ac:dyDescent="0.3">
      <c r="B357" s="478"/>
      <c r="C357" s="479"/>
      <c r="E357" s="480"/>
      <c r="G357" s="65"/>
    </row>
    <row r="358" spans="2:7" ht="14.25" customHeight="1" x14ac:dyDescent="0.3">
      <c r="B358" s="478"/>
      <c r="C358" s="479"/>
      <c r="E358" s="480"/>
      <c r="G358" s="65"/>
    </row>
    <row r="359" spans="2:7" ht="14.25" customHeight="1" x14ac:dyDescent="0.3">
      <c r="B359" s="478"/>
      <c r="C359" s="479"/>
      <c r="E359" s="480"/>
      <c r="G359" s="65"/>
    </row>
    <row r="360" spans="2:7" ht="14.25" customHeight="1" x14ac:dyDescent="0.3">
      <c r="B360" s="478"/>
      <c r="C360" s="479"/>
      <c r="E360" s="480"/>
      <c r="G360" s="65"/>
    </row>
    <row r="361" spans="2:7" ht="14.25" customHeight="1" x14ac:dyDescent="0.3">
      <c r="B361" s="478"/>
      <c r="C361" s="479"/>
      <c r="E361" s="480"/>
      <c r="G361" s="65"/>
    </row>
    <row r="362" spans="2:7" ht="14.25" customHeight="1" x14ac:dyDescent="0.3">
      <c r="B362" s="478"/>
      <c r="C362" s="479"/>
      <c r="E362" s="480"/>
      <c r="G362" s="65"/>
    </row>
    <row r="363" spans="2:7" ht="14.25" customHeight="1" x14ac:dyDescent="0.3">
      <c r="B363" s="478"/>
      <c r="C363" s="479"/>
      <c r="E363" s="480"/>
      <c r="G363" s="65"/>
    </row>
    <row r="364" spans="2:7" ht="14.25" customHeight="1" x14ac:dyDescent="0.3">
      <c r="B364" s="478"/>
      <c r="C364" s="479"/>
      <c r="E364" s="480"/>
      <c r="G364" s="65"/>
    </row>
    <row r="365" spans="2:7" ht="14.25" customHeight="1" x14ac:dyDescent="0.3">
      <c r="B365" s="478"/>
      <c r="C365" s="479"/>
      <c r="E365" s="480"/>
      <c r="G365" s="65"/>
    </row>
    <row r="366" spans="2:7" ht="14.25" customHeight="1" x14ac:dyDescent="0.3">
      <c r="B366" s="478"/>
      <c r="C366" s="479"/>
      <c r="E366" s="480"/>
      <c r="G366" s="65"/>
    </row>
    <row r="367" spans="2:7" ht="14.25" customHeight="1" x14ac:dyDescent="0.3">
      <c r="B367" s="478"/>
      <c r="C367" s="479"/>
      <c r="E367" s="480"/>
      <c r="G367" s="65"/>
    </row>
    <row r="368" spans="2:7" ht="14.25" customHeight="1" x14ac:dyDescent="0.3">
      <c r="B368" s="478"/>
      <c r="C368" s="479"/>
      <c r="E368" s="480"/>
      <c r="G368" s="65"/>
    </row>
    <row r="369" spans="2:7" ht="14.25" customHeight="1" x14ac:dyDescent="0.3">
      <c r="B369" s="478"/>
      <c r="C369" s="479"/>
      <c r="E369" s="480"/>
      <c r="G369" s="65"/>
    </row>
    <row r="370" spans="2:7" ht="14.25" customHeight="1" x14ac:dyDescent="0.3">
      <c r="B370" s="478"/>
      <c r="C370" s="479"/>
      <c r="E370" s="480"/>
      <c r="G370" s="65"/>
    </row>
    <row r="371" spans="2:7" ht="14.25" customHeight="1" x14ac:dyDescent="0.3">
      <c r="B371" s="478"/>
      <c r="C371" s="479"/>
      <c r="E371" s="480"/>
      <c r="G371" s="65"/>
    </row>
    <row r="372" spans="2:7" ht="14.25" customHeight="1" x14ac:dyDescent="0.3">
      <c r="B372" s="478"/>
      <c r="C372" s="479"/>
      <c r="E372" s="480"/>
      <c r="G372" s="65"/>
    </row>
    <row r="373" spans="2:7" ht="14.25" customHeight="1" x14ac:dyDescent="0.3">
      <c r="B373" s="478"/>
      <c r="C373" s="479"/>
      <c r="E373" s="480"/>
      <c r="G373" s="65"/>
    </row>
    <row r="374" spans="2:7" ht="14.25" customHeight="1" x14ac:dyDescent="0.3">
      <c r="B374" s="478"/>
      <c r="C374" s="479"/>
      <c r="E374" s="480"/>
      <c r="G374" s="65"/>
    </row>
    <row r="375" spans="2:7" ht="14.25" customHeight="1" x14ac:dyDescent="0.3">
      <c r="B375" s="478"/>
      <c r="C375" s="479"/>
      <c r="E375" s="480"/>
      <c r="G375" s="65"/>
    </row>
    <row r="376" spans="2:7" ht="14.25" customHeight="1" x14ac:dyDescent="0.3">
      <c r="B376" s="478"/>
      <c r="C376" s="479"/>
      <c r="E376" s="480"/>
      <c r="G376" s="65"/>
    </row>
    <row r="377" spans="2:7" ht="14.25" customHeight="1" x14ac:dyDescent="0.3">
      <c r="B377" s="478"/>
      <c r="C377" s="479"/>
      <c r="E377" s="480"/>
      <c r="G377" s="65"/>
    </row>
    <row r="378" spans="2:7" ht="14.25" customHeight="1" x14ac:dyDescent="0.3">
      <c r="B378" s="478"/>
      <c r="C378" s="479"/>
      <c r="E378" s="480"/>
      <c r="G378" s="65"/>
    </row>
    <row r="379" spans="2:7" ht="14.25" customHeight="1" x14ac:dyDescent="0.3">
      <c r="B379" s="478"/>
      <c r="C379" s="479"/>
      <c r="E379" s="480"/>
      <c r="G379" s="65"/>
    </row>
    <row r="380" spans="2:7" ht="14.25" customHeight="1" x14ac:dyDescent="0.3">
      <c r="B380" s="478"/>
      <c r="C380" s="479"/>
      <c r="E380" s="480"/>
      <c r="G380" s="65"/>
    </row>
    <row r="381" spans="2:7" ht="14.25" customHeight="1" x14ac:dyDescent="0.3">
      <c r="B381" s="478"/>
      <c r="C381" s="479"/>
      <c r="E381" s="480"/>
      <c r="G381" s="65"/>
    </row>
    <row r="382" spans="2:7" ht="14.25" customHeight="1" x14ac:dyDescent="0.3">
      <c r="B382" s="478"/>
      <c r="C382" s="479"/>
      <c r="E382" s="480"/>
      <c r="G382" s="65"/>
    </row>
    <row r="383" spans="2:7" ht="14.25" customHeight="1" x14ac:dyDescent="0.3">
      <c r="B383" s="478"/>
      <c r="C383" s="479"/>
      <c r="E383" s="480"/>
      <c r="G383" s="65"/>
    </row>
    <row r="384" spans="2:7" ht="14.25" customHeight="1" x14ac:dyDescent="0.3">
      <c r="B384" s="478"/>
      <c r="C384" s="479"/>
      <c r="E384" s="480"/>
      <c r="G384" s="65"/>
    </row>
    <row r="385" spans="2:7" ht="14.25" customHeight="1" x14ac:dyDescent="0.3">
      <c r="B385" s="478"/>
      <c r="C385" s="479"/>
      <c r="E385" s="480"/>
      <c r="G385" s="65"/>
    </row>
    <row r="386" spans="2:7" ht="14.25" customHeight="1" x14ac:dyDescent="0.3">
      <c r="B386" s="478"/>
      <c r="C386" s="479"/>
      <c r="E386" s="480"/>
      <c r="G386" s="65"/>
    </row>
    <row r="387" spans="2:7" ht="14.25" customHeight="1" x14ac:dyDescent="0.3">
      <c r="B387" s="478"/>
      <c r="C387" s="479"/>
      <c r="E387" s="480"/>
      <c r="G387" s="65"/>
    </row>
    <row r="388" spans="2:7" ht="14.25" customHeight="1" x14ac:dyDescent="0.3">
      <c r="B388" s="478"/>
      <c r="C388" s="479"/>
      <c r="E388" s="480"/>
      <c r="G388" s="65"/>
    </row>
    <row r="389" spans="2:7" ht="14.25" customHeight="1" x14ac:dyDescent="0.3">
      <c r="B389" s="478"/>
      <c r="C389" s="479"/>
      <c r="E389" s="480"/>
      <c r="G389" s="65"/>
    </row>
    <row r="390" spans="2:7" ht="14.25" customHeight="1" x14ac:dyDescent="0.3">
      <c r="B390" s="478"/>
      <c r="C390" s="479"/>
      <c r="E390" s="480"/>
      <c r="G390" s="65"/>
    </row>
    <row r="391" spans="2:7" ht="14.25" customHeight="1" x14ac:dyDescent="0.3">
      <c r="B391" s="478"/>
      <c r="C391" s="479"/>
      <c r="E391" s="480"/>
      <c r="G391" s="65"/>
    </row>
    <row r="392" spans="2:7" ht="14.25" customHeight="1" x14ac:dyDescent="0.3">
      <c r="B392" s="478"/>
      <c r="C392" s="479"/>
      <c r="E392" s="480"/>
      <c r="G392" s="65"/>
    </row>
    <row r="393" spans="2:7" ht="14.25" customHeight="1" x14ac:dyDescent="0.3">
      <c r="B393" s="478"/>
      <c r="C393" s="479"/>
      <c r="E393" s="480"/>
      <c r="G393" s="65"/>
    </row>
    <row r="394" spans="2:7" ht="14.25" customHeight="1" x14ac:dyDescent="0.3">
      <c r="B394" s="478"/>
      <c r="C394" s="479"/>
      <c r="E394" s="480"/>
      <c r="G394" s="65"/>
    </row>
    <row r="395" spans="2:7" ht="14.25" customHeight="1" x14ac:dyDescent="0.3">
      <c r="B395" s="478"/>
      <c r="C395" s="479"/>
      <c r="E395" s="480"/>
      <c r="G395" s="65"/>
    </row>
    <row r="396" spans="2:7" ht="14.25" customHeight="1" x14ac:dyDescent="0.3">
      <c r="B396" s="478"/>
      <c r="C396" s="479"/>
      <c r="E396" s="480"/>
      <c r="G396" s="65"/>
    </row>
    <row r="397" spans="2:7" ht="14.25" customHeight="1" x14ac:dyDescent="0.3">
      <c r="B397" s="478"/>
      <c r="C397" s="479"/>
      <c r="E397" s="480"/>
      <c r="G397" s="65"/>
    </row>
    <row r="398" spans="2:7" ht="14.25" customHeight="1" x14ac:dyDescent="0.3">
      <c r="B398" s="478"/>
      <c r="C398" s="479"/>
      <c r="E398" s="480"/>
      <c r="G398" s="65"/>
    </row>
    <row r="399" spans="2:7" ht="14.25" customHeight="1" x14ac:dyDescent="0.3">
      <c r="B399" s="478"/>
      <c r="C399" s="479"/>
      <c r="E399" s="480"/>
      <c r="G399" s="65"/>
    </row>
    <row r="400" spans="2:7" ht="14.25" customHeight="1" x14ac:dyDescent="0.3">
      <c r="B400" s="478"/>
      <c r="C400" s="479"/>
      <c r="E400" s="480"/>
      <c r="G400" s="65"/>
    </row>
    <row r="401" spans="2:7" ht="14.25" customHeight="1" x14ac:dyDescent="0.3">
      <c r="B401" s="478"/>
      <c r="C401" s="479"/>
      <c r="E401" s="480"/>
      <c r="G401" s="65"/>
    </row>
    <row r="402" spans="2:7" ht="14.25" customHeight="1" x14ac:dyDescent="0.3">
      <c r="B402" s="478"/>
      <c r="C402" s="479"/>
      <c r="E402" s="480"/>
      <c r="G402" s="65"/>
    </row>
    <row r="403" spans="2:7" ht="14.25" customHeight="1" x14ac:dyDescent="0.3">
      <c r="B403" s="478"/>
      <c r="C403" s="479"/>
      <c r="E403" s="480"/>
      <c r="G403" s="65"/>
    </row>
    <row r="404" spans="2:7" ht="14.25" customHeight="1" x14ac:dyDescent="0.3">
      <c r="B404" s="478"/>
      <c r="C404" s="479"/>
      <c r="E404" s="480"/>
      <c r="G404" s="65"/>
    </row>
    <row r="405" spans="2:7" ht="14.25" customHeight="1" x14ac:dyDescent="0.3">
      <c r="B405" s="478"/>
      <c r="C405" s="479"/>
      <c r="E405" s="480"/>
      <c r="G405" s="65"/>
    </row>
    <row r="406" spans="2:7" ht="14.25" customHeight="1" x14ac:dyDescent="0.3">
      <c r="B406" s="478"/>
      <c r="C406" s="479"/>
      <c r="E406" s="480"/>
      <c r="G406" s="65"/>
    </row>
    <row r="407" spans="2:7" ht="14.25" customHeight="1" x14ac:dyDescent="0.3">
      <c r="B407" s="478"/>
      <c r="C407" s="479"/>
      <c r="E407" s="480"/>
      <c r="G407" s="65"/>
    </row>
    <row r="408" spans="2:7" ht="14.25" customHeight="1" x14ac:dyDescent="0.3">
      <c r="B408" s="478"/>
      <c r="C408" s="479"/>
      <c r="E408" s="480"/>
      <c r="G408" s="65"/>
    </row>
    <row r="409" spans="2:7" ht="14.25" customHeight="1" x14ac:dyDescent="0.3">
      <c r="B409" s="478"/>
      <c r="C409" s="479"/>
      <c r="E409" s="480"/>
      <c r="G409" s="65"/>
    </row>
    <row r="410" spans="2:7" ht="14.25" customHeight="1" x14ac:dyDescent="0.3">
      <c r="B410" s="478"/>
      <c r="C410" s="479"/>
      <c r="E410" s="480"/>
      <c r="G410" s="65"/>
    </row>
    <row r="411" spans="2:7" ht="14.25" customHeight="1" x14ac:dyDescent="0.3">
      <c r="B411" s="478"/>
      <c r="C411" s="479"/>
      <c r="E411" s="480"/>
      <c r="G411" s="65"/>
    </row>
    <row r="412" spans="2:7" ht="14.25" customHeight="1" x14ac:dyDescent="0.3">
      <c r="B412" s="478"/>
      <c r="C412" s="479"/>
      <c r="E412" s="480"/>
      <c r="G412" s="65"/>
    </row>
    <row r="413" spans="2:7" ht="14.25" customHeight="1" x14ac:dyDescent="0.3">
      <c r="B413" s="478"/>
      <c r="C413" s="479"/>
      <c r="E413" s="480"/>
      <c r="G413" s="65"/>
    </row>
    <row r="414" spans="2:7" ht="14.25" customHeight="1" x14ac:dyDescent="0.3">
      <c r="B414" s="478"/>
      <c r="C414" s="479"/>
      <c r="E414" s="480"/>
      <c r="G414" s="65"/>
    </row>
    <row r="415" spans="2:7" ht="14.25" customHeight="1" x14ac:dyDescent="0.3">
      <c r="B415" s="478"/>
      <c r="C415" s="479"/>
      <c r="E415" s="480"/>
      <c r="G415" s="65"/>
    </row>
    <row r="416" spans="2:7" ht="14.25" customHeight="1" x14ac:dyDescent="0.3">
      <c r="B416" s="478"/>
      <c r="C416" s="479"/>
      <c r="E416" s="480"/>
      <c r="G416" s="65"/>
    </row>
    <row r="417" spans="2:7" ht="14.25" customHeight="1" x14ac:dyDescent="0.3">
      <c r="B417" s="478"/>
      <c r="C417" s="479"/>
      <c r="E417" s="480"/>
      <c r="G417" s="65"/>
    </row>
    <row r="418" spans="2:7" ht="14.25" customHeight="1" x14ac:dyDescent="0.3">
      <c r="B418" s="478"/>
      <c r="C418" s="479"/>
      <c r="E418" s="480"/>
      <c r="G418" s="65"/>
    </row>
    <row r="419" spans="2:7" ht="14.25" customHeight="1" x14ac:dyDescent="0.3">
      <c r="B419" s="478"/>
      <c r="C419" s="479"/>
      <c r="E419" s="480"/>
      <c r="G419" s="65"/>
    </row>
    <row r="420" spans="2:7" ht="14.25" customHeight="1" x14ac:dyDescent="0.3">
      <c r="B420" s="478"/>
      <c r="C420" s="479"/>
      <c r="E420" s="480"/>
      <c r="G420" s="65"/>
    </row>
    <row r="421" spans="2:7" ht="14.25" customHeight="1" x14ac:dyDescent="0.3">
      <c r="B421" s="478"/>
      <c r="C421" s="479"/>
      <c r="E421" s="480"/>
      <c r="G421" s="65"/>
    </row>
    <row r="422" spans="2:7" ht="14.25" customHeight="1" x14ac:dyDescent="0.3">
      <c r="B422" s="478"/>
      <c r="C422" s="479"/>
      <c r="E422" s="480"/>
      <c r="G422" s="65"/>
    </row>
    <row r="423" spans="2:7" ht="14.25" customHeight="1" x14ac:dyDescent="0.3">
      <c r="B423" s="478"/>
      <c r="C423" s="479"/>
      <c r="E423" s="480"/>
      <c r="G423" s="65"/>
    </row>
    <row r="424" spans="2:7" ht="14.25" customHeight="1" x14ac:dyDescent="0.3">
      <c r="B424" s="478"/>
      <c r="C424" s="479"/>
      <c r="E424" s="480"/>
      <c r="G424" s="65"/>
    </row>
    <row r="425" spans="2:7" ht="14.25" customHeight="1" x14ac:dyDescent="0.3">
      <c r="B425" s="478"/>
      <c r="C425" s="479"/>
      <c r="E425" s="480"/>
      <c r="G425" s="65"/>
    </row>
    <row r="426" spans="2:7" ht="14.25" customHeight="1" x14ac:dyDescent="0.3">
      <c r="B426" s="478"/>
      <c r="C426" s="479"/>
      <c r="E426" s="480"/>
      <c r="G426" s="65"/>
    </row>
    <row r="427" spans="2:7" ht="14.25" customHeight="1" x14ac:dyDescent="0.3">
      <c r="B427" s="478"/>
      <c r="C427" s="479"/>
      <c r="E427" s="480"/>
      <c r="G427" s="65"/>
    </row>
    <row r="428" spans="2:7" ht="14.25" customHeight="1" x14ac:dyDescent="0.3">
      <c r="B428" s="478"/>
      <c r="C428" s="479"/>
      <c r="E428" s="480"/>
      <c r="G428" s="65"/>
    </row>
    <row r="429" spans="2:7" ht="14.25" customHeight="1" x14ac:dyDescent="0.3">
      <c r="B429" s="478"/>
      <c r="C429" s="479"/>
      <c r="E429" s="480"/>
      <c r="G429" s="65"/>
    </row>
    <row r="430" spans="2:7" ht="14.25" customHeight="1" x14ac:dyDescent="0.3">
      <c r="B430" s="478"/>
      <c r="C430" s="479"/>
      <c r="E430" s="480"/>
      <c r="G430" s="65"/>
    </row>
    <row r="431" spans="2:7" ht="14.25" customHeight="1" x14ac:dyDescent="0.3">
      <c r="B431" s="478"/>
      <c r="C431" s="479"/>
      <c r="E431" s="480"/>
      <c r="G431" s="65"/>
    </row>
    <row r="432" spans="2:7" ht="14.25" customHeight="1" x14ac:dyDescent="0.3">
      <c r="B432" s="478"/>
      <c r="C432" s="479"/>
      <c r="E432" s="480"/>
      <c r="G432" s="65"/>
    </row>
    <row r="433" spans="2:7" ht="14.25" customHeight="1" x14ac:dyDescent="0.3">
      <c r="B433" s="478"/>
      <c r="C433" s="479"/>
      <c r="E433" s="480"/>
      <c r="G433" s="65"/>
    </row>
    <row r="434" spans="2:7" ht="14.25" customHeight="1" x14ac:dyDescent="0.3">
      <c r="B434" s="478"/>
      <c r="C434" s="479"/>
      <c r="E434" s="480"/>
      <c r="G434" s="65"/>
    </row>
    <row r="435" spans="2:7" ht="14.25" customHeight="1" x14ac:dyDescent="0.3">
      <c r="B435" s="478"/>
      <c r="C435" s="479"/>
      <c r="E435" s="480"/>
      <c r="G435" s="65"/>
    </row>
    <row r="436" spans="2:7" ht="14.25" customHeight="1" x14ac:dyDescent="0.3">
      <c r="B436" s="478"/>
      <c r="C436" s="479"/>
      <c r="E436" s="480"/>
      <c r="G436" s="65"/>
    </row>
    <row r="437" spans="2:7" ht="14.25" customHeight="1" x14ac:dyDescent="0.3">
      <c r="B437" s="478"/>
      <c r="C437" s="479"/>
      <c r="E437" s="480"/>
      <c r="G437" s="65"/>
    </row>
    <row r="438" spans="2:7" ht="14.25" customHeight="1" x14ac:dyDescent="0.3">
      <c r="B438" s="478"/>
      <c r="C438" s="479"/>
      <c r="E438" s="480"/>
      <c r="G438" s="65"/>
    </row>
    <row r="439" spans="2:7" ht="14.25" customHeight="1" x14ac:dyDescent="0.3">
      <c r="B439" s="478"/>
      <c r="C439" s="479"/>
      <c r="E439" s="480"/>
      <c r="G439" s="65"/>
    </row>
    <row r="440" spans="2:7" ht="14.25" customHeight="1" x14ac:dyDescent="0.3">
      <c r="B440" s="478"/>
      <c r="C440" s="479"/>
      <c r="E440" s="480"/>
      <c r="G440" s="65"/>
    </row>
    <row r="441" spans="2:7" ht="14.25" customHeight="1" x14ac:dyDescent="0.3">
      <c r="B441" s="478"/>
      <c r="C441" s="479"/>
      <c r="E441" s="480"/>
      <c r="G441" s="65"/>
    </row>
    <row r="442" spans="2:7" ht="14.25" customHeight="1" x14ac:dyDescent="0.3">
      <c r="B442" s="478"/>
      <c r="C442" s="479"/>
      <c r="E442" s="480"/>
      <c r="G442" s="65"/>
    </row>
    <row r="443" spans="2:7" ht="14.25" customHeight="1" x14ac:dyDescent="0.3">
      <c r="B443" s="478"/>
      <c r="C443" s="479"/>
      <c r="E443" s="480"/>
      <c r="G443" s="65"/>
    </row>
    <row r="444" spans="2:7" ht="14.25" customHeight="1" x14ac:dyDescent="0.3">
      <c r="B444" s="478"/>
      <c r="C444" s="479"/>
      <c r="E444" s="480"/>
      <c r="G444" s="65"/>
    </row>
    <row r="445" spans="2:7" ht="14.25" customHeight="1" x14ac:dyDescent="0.3">
      <c r="B445" s="478"/>
      <c r="C445" s="479"/>
      <c r="E445" s="480"/>
      <c r="G445" s="65"/>
    </row>
    <row r="446" spans="2:7" ht="14.25" customHeight="1" x14ac:dyDescent="0.3">
      <c r="B446" s="478"/>
      <c r="C446" s="479"/>
      <c r="E446" s="480"/>
      <c r="G446" s="65"/>
    </row>
    <row r="447" spans="2:7" ht="14.25" customHeight="1" x14ac:dyDescent="0.3">
      <c r="B447" s="478"/>
      <c r="C447" s="479"/>
      <c r="E447" s="480"/>
      <c r="G447" s="65"/>
    </row>
    <row r="448" spans="2:7" ht="14.25" customHeight="1" x14ac:dyDescent="0.3">
      <c r="B448" s="478"/>
      <c r="C448" s="479"/>
      <c r="E448" s="480"/>
      <c r="G448" s="65"/>
    </row>
    <row r="449" spans="2:7" ht="14.25" customHeight="1" x14ac:dyDescent="0.3">
      <c r="B449" s="478"/>
      <c r="C449" s="479"/>
      <c r="E449" s="480"/>
      <c r="G449" s="65"/>
    </row>
    <row r="450" spans="2:7" ht="14.25" customHeight="1" x14ac:dyDescent="0.3">
      <c r="B450" s="478"/>
      <c r="C450" s="479"/>
      <c r="E450" s="480"/>
      <c r="G450" s="65"/>
    </row>
    <row r="451" spans="2:7" ht="14.25" customHeight="1" x14ac:dyDescent="0.3">
      <c r="B451" s="478"/>
      <c r="C451" s="479"/>
      <c r="E451" s="480"/>
      <c r="G451" s="65"/>
    </row>
    <row r="452" spans="2:7" ht="14.25" customHeight="1" x14ac:dyDescent="0.3">
      <c r="B452" s="478"/>
      <c r="C452" s="479"/>
      <c r="E452" s="480"/>
      <c r="G452" s="65"/>
    </row>
    <row r="453" spans="2:7" ht="14.25" customHeight="1" x14ac:dyDescent="0.3">
      <c r="B453" s="478"/>
      <c r="C453" s="479"/>
      <c r="E453" s="480"/>
      <c r="G453" s="65"/>
    </row>
    <row r="454" spans="2:7" ht="14.25" customHeight="1" x14ac:dyDescent="0.3">
      <c r="B454" s="478"/>
      <c r="C454" s="479"/>
      <c r="E454" s="480"/>
      <c r="G454" s="65"/>
    </row>
    <row r="455" spans="2:7" ht="14.25" customHeight="1" x14ac:dyDescent="0.3">
      <c r="B455" s="478"/>
      <c r="C455" s="479"/>
      <c r="E455" s="480"/>
      <c r="G455" s="65"/>
    </row>
    <row r="456" spans="2:7" ht="14.25" customHeight="1" x14ac:dyDescent="0.3">
      <c r="B456" s="478"/>
      <c r="C456" s="479"/>
      <c r="E456" s="480"/>
      <c r="G456" s="65"/>
    </row>
    <row r="457" spans="2:7" ht="14.25" customHeight="1" x14ac:dyDescent="0.3">
      <c r="B457" s="478"/>
      <c r="C457" s="479"/>
      <c r="E457" s="480"/>
      <c r="G457" s="65"/>
    </row>
    <row r="458" spans="2:7" ht="14.25" customHeight="1" x14ac:dyDescent="0.3">
      <c r="B458" s="478"/>
      <c r="C458" s="479"/>
      <c r="E458" s="480"/>
      <c r="G458" s="65"/>
    </row>
    <row r="459" spans="2:7" ht="14.25" customHeight="1" x14ac:dyDescent="0.3">
      <c r="B459" s="478"/>
      <c r="C459" s="479"/>
      <c r="E459" s="480"/>
      <c r="G459" s="65"/>
    </row>
    <row r="460" spans="2:7" ht="14.25" customHeight="1" x14ac:dyDescent="0.3">
      <c r="B460" s="478"/>
      <c r="C460" s="479"/>
      <c r="E460" s="480"/>
      <c r="G460" s="65"/>
    </row>
    <row r="461" spans="2:7" ht="14.25" customHeight="1" x14ac:dyDescent="0.3">
      <c r="B461" s="478"/>
      <c r="C461" s="479"/>
      <c r="E461" s="480"/>
      <c r="G461" s="65"/>
    </row>
    <row r="462" spans="2:7" ht="14.25" customHeight="1" x14ac:dyDescent="0.3">
      <c r="B462" s="478"/>
      <c r="C462" s="479"/>
      <c r="E462" s="480"/>
      <c r="G462" s="65"/>
    </row>
    <row r="463" spans="2:7" ht="14.25" customHeight="1" x14ac:dyDescent="0.3">
      <c r="B463" s="478"/>
      <c r="C463" s="479"/>
      <c r="E463" s="480"/>
      <c r="G463" s="65"/>
    </row>
    <row r="464" spans="2:7" ht="14.25" customHeight="1" x14ac:dyDescent="0.3">
      <c r="B464" s="478"/>
      <c r="C464" s="479"/>
      <c r="E464" s="480"/>
      <c r="G464" s="65"/>
    </row>
    <row r="465" spans="2:7" ht="14.25" customHeight="1" x14ac:dyDescent="0.3">
      <c r="B465" s="478"/>
      <c r="C465" s="479"/>
      <c r="E465" s="480"/>
      <c r="G465" s="65"/>
    </row>
    <row r="466" spans="2:7" ht="14.25" customHeight="1" x14ac:dyDescent="0.3">
      <c r="B466" s="478"/>
      <c r="C466" s="479"/>
      <c r="E466" s="480"/>
      <c r="G466" s="65"/>
    </row>
    <row r="467" spans="2:7" ht="14.25" customHeight="1" x14ac:dyDescent="0.3">
      <c r="B467" s="478"/>
      <c r="C467" s="479"/>
      <c r="E467" s="480"/>
      <c r="G467" s="65"/>
    </row>
    <row r="468" spans="2:7" ht="14.25" customHeight="1" x14ac:dyDescent="0.3">
      <c r="B468" s="478"/>
      <c r="C468" s="479"/>
      <c r="E468" s="480"/>
      <c r="G468" s="65"/>
    </row>
    <row r="469" spans="2:7" ht="14.25" customHeight="1" x14ac:dyDescent="0.3">
      <c r="B469" s="478"/>
      <c r="C469" s="479"/>
      <c r="E469" s="480"/>
      <c r="G469" s="65"/>
    </row>
    <row r="470" spans="2:7" ht="14.25" customHeight="1" x14ac:dyDescent="0.3">
      <c r="B470" s="478"/>
      <c r="C470" s="479"/>
      <c r="E470" s="480"/>
      <c r="G470" s="65"/>
    </row>
    <row r="471" spans="2:7" ht="14.25" customHeight="1" x14ac:dyDescent="0.3">
      <c r="B471" s="478"/>
      <c r="C471" s="479"/>
      <c r="E471" s="480"/>
      <c r="G471" s="65"/>
    </row>
    <row r="472" spans="2:7" ht="14.25" customHeight="1" x14ac:dyDescent="0.3">
      <c r="B472" s="478"/>
      <c r="C472" s="479"/>
      <c r="E472" s="480"/>
      <c r="G472" s="65"/>
    </row>
    <row r="473" spans="2:7" ht="14.25" customHeight="1" x14ac:dyDescent="0.3">
      <c r="B473" s="478"/>
      <c r="C473" s="479"/>
      <c r="E473" s="480"/>
      <c r="G473" s="65"/>
    </row>
    <row r="474" spans="2:7" ht="14.25" customHeight="1" x14ac:dyDescent="0.3">
      <c r="B474" s="478"/>
      <c r="C474" s="479"/>
      <c r="E474" s="480"/>
      <c r="G474" s="65"/>
    </row>
    <row r="475" spans="2:7" ht="14.25" customHeight="1" x14ac:dyDescent="0.3">
      <c r="B475" s="478"/>
      <c r="C475" s="479"/>
      <c r="E475" s="480"/>
      <c r="G475" s="65"/>
    </row>
    <row r="476" spans="2:7" ht="14.25" customHeight="1" x14ac:dyDescent="0.3">
      <c r="B476" s="478"/>
      <c r="C476" s="479"/>
      <c r="E476" s="480"/>
      <c r="G476" s="65"/>
    </row>
    <row r="477" spans="2:7" ht="14.25" customHeight="1" x14ac:dyDescent="0.3">
      <c r="B477" s="478"/>
      <c r="C477" s="479"/>
      <c r="E477" s="480"/>
      <c r="G477" s="65"/>
    </row>
    <row r="478" spans="2:7" ht="14.25" customHeight="1" x14ac:dyDescent="0.3">
      <c r="B478" s="478"/>
      <c r="C478" s="479"/>
      <c r="E478" s="480"/>
      <c r="G478" s="65"/>
    </row>
    <row r="479" spans="2:7" ht="14.25" customHeight="1" x14ac:dyDescent="0.3">
      <c r="B479" s="478"/>
      <c r="C479" s="479"/>
      <c r="E479" s="480"/>
      <c r="G479" s="65"/>
    </row>
    <row r="480" spans="2:7" ht="14.25" customHeight="1" x14ac:dyDescent="0.3">
      <c r="B480" s="478"/>
      <c r="C480" s="479"/>
      <c r="E480" s="480"/>
      <c r="G480" s="65"/>
    </row>
    <row r="481" spans="2:7" ht="14.25" customHeight="1" x14ac:dyDescent="0.3">
      <c r="B481" s="478"/>
      <c r="C481" s="479"/>
      <c r="E481" s="480"/>
      <c r="G481" s="65"/>
    </row>
    <row r="482" spans="2:7" ht="14.25" customHeight="1" x14ac:dyDescent="0.3">
      <c r="B482" s="478"/>
      <c r="C482" s="479"/>
      <c r="E482" s="480"/>
      <c r="G482" s="65"/>
    </row>
    <row r="483" spans="2:7" ht="14.25" customHeight="1" x14ac:dyDescent="0.3">
      <c r="B483" s="478"/>
      <c r="C483" s="479"/>
      <c r="E483" s="480"/>
      <c r="G483" s="65"/>
    </row>
    <row r="484" spans="2:7" ht="14.25" customHeight="1" x14ac:dyDescent="0.3">
      <c r="B484" s="478"/>
      <c r="C484" s="479"/>
      <c r="E484" s="480"/>
      <c r="G484" s="65"/>
    </row>
    <row r="485" spans="2:7" ht="14.25" customHeight="1" x14ac:dyDescent="0.3">
      <c r="B485" s="478"/>
      <c r="C485" s="479"/>
      <c r="E485" s="480"/>
      <c r="G485" s="65"/>
    </row>
    <row r="486" spans="2:7" ht="14.25" customHeight="1" x14ac:dyDescent="0.3">
      <c r="B486" s="478"/>
      <c r="C486" s="479"/>
      <c r="E486" s="480"/>
      <c r="G486" s="65"/>
    </row>
    <row r="487" spans="2:7" ht="14.25" customHeight="1" x14ac:dyDescent="0.3">
      <c r="B487" s="478"/>
      <c r="C487" s="479"/>
      <c r="E487" s="480"/>
      <c r="G487" s="65"/>
    </row>
    <row r="488" spans="2:7" ht="14.25" customHeight="1" x14ac:dyDescent="0.3">
      <c r="B488" s="478"/>
      <c r="C488" s="479"/>
      <c r="E488" s="480"/>
      <c r="G488" s="65"/>
    </row>
    <row r="489" spans="2:7" ht="14.25" customHeight="1" x14ac:dyDescent="0.3">
      <c r="B489" s="478"/>
      <c r="C489" s="479"/>
      <c r="E489" s="480"/>
      <c r="G489" s="65"/>
    </row>
    <row r="490" spans="2:7" ht="14.25" customHeight="1" x14ac:dyDescent="0.3">
      <c r="B490" s="478"/>
      <c r="C490" s="479"/>
      <c r="E490" s="480"/>
      <c r="G490" s="65"/>
    </row>
    <row r="491" spans="2:7" ht="14.25" customHeight="1" x14ac:dyDescent="0.3">
      <c r="B491" s="478"/>
      <c r="C491" s="479"/>
      <c r="E491" s="480"/>
      <c r="G491" s="65"/>
    </row>
    <row r="492" spans="2:7" ht="14.25" customHeight="1" x14ac:dyDescent="0.3">
      <c r="B492" s="478"/>
      <c r="C492" s="479"/>
      <c r="E492" s="480"/>
      <c r="G492" s="65"/>
    </row>
    <row r="493" spans="2:7" ht="14.25" customHeight="1" x14ac:dyDescent="0.3">
      <c r="B493" s="478"/>
      <c r="C493" s="479"/>
      <c r="E493" s="480"/>
      <c r="G493" s="65"/>
    </row>
    <row r="494" spans="2:7" ht="14.25" customHeight="1" x14ac:dyDescent="0.3">
      <c r="B494" s="478"/>
      <c r="C494" s="479"/>
      <c r="E494" s="480"/>
      <c r="G494" s="65"/>
    </row>
    <row r="495" spans="2:7" ht="14.25" customHeight="1" x14ac:dyDescent="0.3">
      <c r="B495" s="478"/>
      <c r="C495" s="479"/>
      <c r="E495" s="480"/>
      <c r="G495" s="65"/>
    </row>
    <row r="496" spans="2:7" ht="14.25" customHeight="1" x14ac:dyDescent="0.3">
      <c r="B496" s="478"/>
      <c r="C496" s="479"/>
      <c r="E496" s="480"/>
      <c r="G496" s="65"/>
    </row>
    <row r="497" spans="2:7" ht="14.25" customHeight="1" x14ac:dyDescent="0.3">
      <c r="B497" s="478"/>
      <c r="C497" s="479"/>
      <c r="E497" s="480"/>
      <c r="G497" s="65"/>
    </row>
    <row r="498" spans="2:7" ht="14.25" customHeight="1" x14ac:dyDescent="0.3">
      <c r="B498" s="478"/>
      <c r="C498" s="479"/>
      <c r="E498" s="480"/>
      <c r="G498" s="65"/>
    </row>
    <row r="499" spans="2:7" ht="14.25" customHeight="1" x14ac:dyDescent="0.3">
      <c r="B499" s="478"/>
      <c r="C499" s="479"/>
      <c r="E499" s="480"/>
      <c r="G499" s="65"/>
    </row>
    <row r="500" spans="2:7" ht="14.25" customHeight="1" x14ac:dyDescent="0.3">
      <c r="B500" s="478"/>
      <c r="C500" s="479"/>
      <c r="E500" s="480"/>
      <c r="G500" s="65"/>
    </row>
    <row r="501" spans="2:7" ht="14.25" customHeight="1" x14ac:dyDescent="0.3">
      <c r="B501" s="478"/>
      <c r="C501" s="479"/>
      <c r="E501" s="480"/>
      <c r="G501" s="65"/>
    </row>
    <row r="502" spans="2:7" ht="14.25" customHeight="1" x14ac:dyDescent="0.3">
      <c r="B502" s="478"/>
      <c r="C502" s="479"/>
      <c r="E502" s="480"/>
      <c r="G502" s="65"/>
    </row>
    <row r="503" spans="2:7" ht="14.25" customHeight="1" x14ac:dyDescent="0.3">
      <c r="B503" s="478"/>
      <c r="C503" s="479"/>
      <c r="E503" s="480"/>
      <c r="G503" s="65"/>
    </row>
    <row r="504" spans="2:7" ht="14.25" customHeight="1" x14ac:dyDescent="0.3">
      <c r="B504" s="478"/>
      <c r="C504" s="479"/>
      <c r="E504" s="480"/>
      <c r="G504" s="65"/>
    </row>
    <row r="505" spans="2:7" ht="14.25" customHeight="1" x14ac:dyDescent="0.3">
      <c r="B505" s="478"/>
      <c r="C505" s="479"/>
      <c r="E505" s="480"/>
      <c r="G505" s="65"/>
    </row>
    <row r="506" spans="2:7" ht="14.25" customHeight="1" x14ac:dyDescent="0.3">
      <c r="B506" s="478"/>
      <c r="C506" s="479"/>
      <c r="E506" s="480"/>
      <c r="G506" s="65"/>
    </row>
    <row r="507" spans="2:7" ht="14.25" customHeight="1" x14ac:dyDescent="0.3">
      <c r="B507" s="478"/>
      <c r="C507" s="479"/>
      <c r="E507" s="480"/>
      <c r="G507" s="65"/>
    </row>
    <row r="508" spans="2:7" ht="14.25" customHeight="1" x14ac:dyDescent="0.3">
      <c r="B508" s="478"/>
      <c r="C508" s="479"/>
      <c r="E508" s="480"/>
      <c r="G508" s="65"/>
    </row>
    <row r="509" spans="2:7" ht="14.25" customHeight="1" x14ac:dyDescent="0.3">
      <c r="B509" s="478"/>
      <c r="C509" s="479"/>
      <c r="E509" s="480"/>
      <c r="G509" s="65"/>
    </row>
    <row r="510" spans="2:7" ht="14.25" customHeight="1" x14ac:dyDescent="0.3">
      <c r="B510" s="478"/>
      <c r="C510" s="479"/>
      <c r="E510" s="480"/>
      <c r="G510" s="65"/>
    </row>
    <row r="511" spans="2:7" ht="14.25" customHeight="1" x14ac:dyDescent="0.3">
      <c r="B511" s="478"/>
      <c r="C511" s="479"/>
      <c r="E511" s="480"/>
      <c r="G511" s="65"/>
    </row>
    <row r="512" spans="2:7" ht="14.25" customHeight="1" x14ac:dyDescent="0.3">
      <c r="B512" s="478"/>
      <c r="C512" s="479"/>
      <c r="E512" s="480"/>
      <c r="G512" s="65"/>
    </row>
    <row r="513" spans="2:7" ht="14.25" customHeight="1" x14ac:dyDescent="0.3">
      <c r="B513" s="478"/>
      <c r="C513" s="479"/>
      <c r="E513" s="480"/>
      <c r="G513" s="65"/>
    </row>
    <row r="514" spans="2:7" ht="14.25" customHeight="1" x14ac:dyDescent="0.3">
      <c r="B514" s="478"/>
      <c r="C514" s="479"/>
      <c r="E514" s="480"/>
      <c r="G514" s="65"/>
    </row>
    <row r="515" spans="2:7" ht="14.25" customHeight="1" x14ac:dyDescent="0.3">
      <c r="B515" s="478"/>
      <c r="C515" s="479"/>
      <c r="E515" s="480"/>
      <c r="G515" s="65"/>
    </row>
    <row r="516" spans="2:7" ht="14.25" customHeight="1" x14ac:dyDescent="0.3">
      <c r="B516" s="478"/>
      <c r="C516" s="479"/>
      <c r="E516" s="480"/>
      <c r="G516" s="65"/>
    </row>
    <row r="517" spans="2:7" ht="14.25" customHeight="1" x14ac:dyDescent="0.3">
      <c r="B517" s="478"/>
      <c r="C517" s="479"/>
      <c r="E517" s="480"/>
      <c r="G517" s="65"/>
    </row>
    <row r="518" spans="2:7" ht="14.25" customHeight="1" x14ac:dyDescent="0.3">
      <c r="B518" s="478"/>
      <c r="C518" s="479"/>
      <c r="E518" s="480"/>
      <c r="G518" s="65"/>
    </row>
    <row r="519" spans="2:7" ht="14.25" customHeight="1" x14ac:dyDescent="0.3">
      <c r="B519" s="478"/>
      <c r="C519" s="479"/>
      <c r="E519" s="480"/>
      <c r="G519" s="65"/>
    </row>
    <row r="520" spans="2:7" ht="14.25" customHeight="1" x14ac:dyDescent="0.3">
      <c r="B520" s="478"/>
      <c r="C520" s="479"/>
      <c r="E520" s="480"/>
      <c r="G520" s="65"/>
    </row>
    <row r="521" spans="2:7" ht="14.25" customHeight="1" x14ac:dyDescent="0.3">
      <c r="B521" s="478"/>
      <c r="C521" s="479"/>
      <c r="E521" s="480"/>
      <c r="G521" s="65"/>
    </row>
    <row r="522" spans="2:7" ht="14.25" customHeight="1" x14ac:dyDescent="0.3">
      <c r="B522" s="478"/>
      <c r="C522" s="479"/>
      <c r="E522" s="480"/>
      <c r="G522" s="65"/>
    </row>
    <row r="523" spans="2:7" ht="14.25" customHeight="1" x14ac:dyDescent="0.3">
      <c r="B523" s="478"/>
      <c r="C523" s="479"/>
      <c r="E523" s="480"/>
      <c r="G523" s="65"/>
    </row>
    <row r="524" spans="2:7" ht="14.25" customHeight="1" x14ac:dyDescent="0.3">
      <c r="B524" s="478"/>
      <c r="C524" s="479"/>
      <c r="E524" s="480"/>
      <c r="G524" s="65"/>
    </row>
    <row r="525" spans="2:7" ht="14.25" customHeight="1" x14ac:dyDescent="0.3">
      <c r="B525" s="478"/>
      <c r="C525" s="479"/>
      <c r="E525" s="480"/>
      <c r="G525" s="65"/>
    </row>
    <row r="526" spans="2:7" ht="14.25" customHeight="1" x14ac:dyDescent="0.3">
      <c r="B526" s="478"/>
      <c r="C526" s="479"/>
      <c r="E526" s="480"/>
      <c r="G526" s="65"/>
    </row>
    <row r="527" spans="2:7" ht="14.25" customHeight="1" x14ac:dyDescent="0.3">
      <c r="B527" s="478"/>
      <c r="C527" s="479"/>
      <c r="E527" s="480"/>
      <c r="G527" s="65"/>
    </row>
    <row r="528" spans="2:7" ht="14.25" customHeight="1" x14ac:dyDescent="0.3">
      <c r="B528" s="478"/>
      <c r="C528" s="479"/>
      <c r="E528" s="480"/>
      <c r="G528" s="65"/>
    </row>
    <row r="529" spans="2:7" ht="14.25" customHeight="1" x14ac:dyDescent="0.3">
      <c r="B529" s="478"/>
      <c r="C529" s="479"/>
      <c r="E529" s="480"/>
      <c r="G529" s="65"/>
    </row>
    <row r="530" spans="2:7" ht="14.25" customHeight="1" x14ac:dyDescent="0.3">
      <c r="B530" s="478"/>
      <c r="C530" s="479"/>
      <c r="E530" s="480"/>
      <c r="G530" s="65"/>
    </row>
    <row r="531" spans="2:7" ht="14.25" customHeight="1" x14ac:dyDescent="0.3">
      <c r="B531" s="478"/>
      <c r="C531" s="479"/>
      <c r="E531" s="480"/>
      <c r="G531" s="65"/>
    </row>
    <row r="532" spans="2:7" ht="14.25" customHeight="1" x14ac:dyDescent="0.3">
      <c r="B532" s="478"/>
      <c r="C532" s="479"/>
      <c r="E532" s="480"/>
      <c r="G532" s="65"/>
    </row>
    <row r="533" spans="2:7" ht="14.25" customHeight="1" x14ac:dyDescent="0.3">
      <c r="B533" s="478"/>
      <c r="C533" s="479"/>
      <c r="E533" s="480"/>
      <c r="G533" s="65"/>
    </row>
    <row r="534" spans="2:7" ht="14.25" customHeight="1" x14ac:dyDescent="0.3">
      <c r="B534" s="478"/>
      <c r="C534" s="479"/>
      <c r="E534" s="480"/>
      <c r="G534" s="65"/>
    </row>
    <row r="535" spans="2:7" ht="14.25" customHeight="1" x14ac:dyDescent="0.3">
      <c r="B535" s="478"/>
      <c r="C535" s="479"/>
      <c r="E535" s="480"/>
      <c r="G535" s="65"/>
    </row>
    <row r="536" spans="2:7" ht="14.25" customHeight="1" x14ac:dyDescent="0.3">
      <c r="B536" s="478"/>
      <c r="C536" s="479"/>
      <c r="E536" s="480"/>
      <c r="G536" s="65"/>
    </row>
    <row r="537" spans="2:7" ht="14.25" customHeight="1" x14ac:dyDescent="0.3">
      <c r="B537" s="478"/>
      <c r="C537" s="479"/>
      <c r="E537" s="480"/>
      <c r="G537" s="65"/>
    </row>
    <row r="538" spans="2:7" ht="14.25" customHeight="1" x14ac:dyDescent="0.3">
      <c r="B538" s="478"/>
      <c r="C538" s="479"/>
      <c r="E538" s="480"/>
      <c r="G538" s="65"/>
    </row>
    <row r="539" spans="2:7" ht="14.25" customHeight="1" x14ac:dyDescent="0.3">
      <c r="B539" s="478"/>
      <c r="C539" s="479"/>
      <c r="E539" s="480"/>
      <c r="G539" s="65"/>
    </row>
    <row r="540" spans="2:7" ht="14.25" customHeight="1" x14ac:dyDescent="0.3">
      <c r="B540" s="478"/>
      <c r="C540" s="479"/>
      <c r="E540" s="480"/>
      <c r="G540" s="65"/>
    </row>
    <row r="541" spans="2:7" ht="14.25" customHeight="1" x14ac:dyDescent="0.3">
      <c r="B541" s="478"/>
      <c r="C541" s="479"/>
      <c r="E541" s="480"/>
      <c r="G541" s="65"/>
    </row>
    <row r="542" spans="2:7" ht="14.25" customHeight="1" x14ac:dyDescent="0.3">
      <c r="B542" s="478"/>
      <c r="C542" s="479"/>
      <c r="E542" s="480"/>
      <c r="G542" s="65"/>
    </row>
    <row r="543" spans="2:7" ht="14.25" customHeight="1" x14ac:dyDescent="0.3">
      <c r="B543" s="478"/>
      <c r="C543" s="479"/>
      <c r="E543" s="480"/>
      <c r="G543" s="65"/>
    </row>
    <row r="544" spans="2:7" ht="14.25" customHeight="1" x14ac:dyDescent="0.3">
      <c r="B544" s="478"/>
      <c r="C544" s="479"/>
      <c r="E544" s="480"/>
      <c r="G544" s="65"/>
    </row>
    <row r="545" spans="2:7" ht="14.25" customHeight="1" x14ac:dyDescent="0.3">
      <c r="B545" s="478"/>
      <c r="C545" s="479"/>
      <c r="E545" s="480"/>
      <c r="G545" s="65"/>
    </row>
    <row r="546" spans="2:7" ht="14.25" customHeight="1" x14ac:dyDescent="0.3">
      <c r="B546" s="478"/>
      <c r="C546" s="479"/>
      <c r="E546" s="480"/>
      <c r="G546" s="65"/>
    </row>
    <row r="547" spans="2:7" ht="14.25" customHeight="1" x14ac:dyDescent="0.3">
      <c r="B547" s="478"/>
      <c r="C547" s="479"/>
      <c r="E547" s="480"/>
      <c r="G547" s="65"/>
    </row>
    <row r="548" spans="2:7" ht="14.25" customHeight="1" x14ac:dyDescent="0.3">
      <c r="B548" s="478"/>
      <c r="C548" s="479"/>
      <c r="E548" s="480"/>
      <c r="G548" s="65"/>
    </row>
    <row r="549" spans="2:7" ht="14.25" customHeight="1" x14ac:dyDescent="0.3">
      <c r="B549" s="478"/>
      <c r="C549" s="479"/>
      <c r="E549" s="480"/>
      <c r="G549" s="65"/>
    </row>
    <row r="550" spans="2:7" ht="14.25" customHeight="1" x14ac:dyDescent="0.3">
      <c r="B550" s="478"/>
      <c r="C550" s="479"/>
      <c r="E550" s="480"/>
      <c r="G550" s="65"/>
    </row>
    <row r="551" spans="2:7" ht="14.25" customHeight="1" x14ac:dyDescent="0.3">
      <c r="B551" s="478"/>
      <c r="C551" s="479"/>
      <c r="E551" s="480"/>
      <c r="G551" s="65"/>
    </row>
    <row r="552" spans="2:7" ht="14.25" customHeight="1" x14ac:dyDescent="0.3">
      <c r="B552" s="478"/>
      <c r="C552" s="479"/>
      <c r="E552" s="480"/>
      <c r="G552" s="65"/>
    </row>
    <row r="553" spans="2:7" ht="14.25" customHeight="1" x14ac:dyDescent="0.3">
      <c r="B553" s="478"/>
      <c r="C553" s="479"/>
      <c r="E553" s="480"/>
      <c r="G553" s="65"/>
    </row>
    <row r="554" spans="2:7" ht="14.25" customHeight="1" x14ac:dyDescent="0.3">
      <c r="B554" s="478"/>
      <c r="C554" s="479"/>
      <c r="E554" s="480"/>
      <c r="G554" s="65"/>
    </row>
    <row r="555" spans="2:7" ht="14.25" customHeight="1" x14ac:dyDescent="0.3">
      <c r="B555" s="478"/>
      <c r="C555" s="479"/>
      <c r="E555" s="480"/>
      <c r="G555" s="65"/>
    </row>
    <row r="556" spans="2:7" ht="14.25" customHeight="1" x14ac:dyDescent="0.3">
      <c r="B556" s="478"/>
      <c r="C556" s="479"/>
      <c r="E556" s="480"/>
      <c r="G556" s="65"/>
    </row>
    <row r="557" spans="2:7" ht="14.25" customHeight="1" x14ac:dyDescent="0.3">
      <c r="B557" s="478"/>
      <c r="C557" s="479"/>
      <c r="E557" s="480"/>
      <c r="G557" s="65"/>
    </row>
    <row r="558" spans="2:7" ht="14.25" customHeight="1" x14ac:dyDescent="0.3">
      <c r="B558" s="478"/>
      <c r="C558" s="479"/>
      <c r="E558" s="480"/>
      <c r="G558" s="65"/>
    </row>
    <row r="559" spans="2:7" ht="14.25" customHeight="1" x14ac:dyDescent="0.3">
      <c r="B559" s="478"/>
      <c r="C559" s="479"/>
      <c r="E559" s="480"/>
      <c r="G559" s="65"/>
    </row>
    <row r="560" spans="2:7" ht="14.25" customHeight="1" x14ac:dyDescent="0.3">
      <c r="B560" s="478"/>
      <c r="C560" s="479"/>
      <c r="E560" s="480"/>
      <c r="G560" s="65"/>
    </row>
    <row r="561" spans="2:7" ht="14.25" customHeight="1" x14ac:dyDescent="0.3">
      <c r="B561" s="478"/>
      <c r="C561" s="479"/>
      <c r="E561" s="480"/>
      <c r="G561" s="65"/>
    </row>
    <row r="562" spans="2:7" ht="14.25" customHeight="1" x14ac:dyDescent="0.3">
      <c r="B562" s="478"/>
      <c r="C562" s="479"/>
      <c r="E562" s="480"/>
      <c r="G562" s="65"/>
    </row>
    <row r="563" spans="2:7" ht="14.25" customHeight="1" x14ac:dyDescent="0.3">
      <c r="B563" s="478"/>
      <c r="C563" s="479"/>
      <c r="E563" s="480"/>
      <c r="G563" s="65"/>
    </row>
    <row r="564" spans="2:7" ht="14.25" customHeight="1" x14ac:dyDescent="0.3">
      <c r="B564" s="478"/>
      <c r="C564" s="479"/>
      <c r="E564" s="480"/>
      <c r="G564" s="65"/>
    </row>
    <row r="565" spans="2:7" ht="14.25" customHeight="1" x14ac:dyDescent="0.3">
      <c r="B565" s="478"/>
      <c r="C565" s="479"/>
      <c r="E565" s="480"/>
      <c r="G565" s="65"/>
    </row>
    <row r="566" spans="2:7" ht="14.25" customHeight="1" x14ac:dyDescent="0.3">
      <c r="B566" s="478"/>
      <c r="C566" s="479"/>
      <c r="E566" s="480"/>
      <c r="G566" s="65"/>
    </row>
    <row r="567" spans="2:7" ht="14.25" customHeight="1" x14ac:dyDescent="0.3">
      <c r="B567" s="478"/>
      <c r="C567" s="479"/>
      <c r="E567" s="480"/>
      <c r="G567" s="65"/>
    </row>
    <row r="568" spans="2:7" ht="14.25" customHeight="1" x14ac:dyDescent="0.3">
      <c r="B568" s="478"/>
      <c r="C568" s="479"/>
      <c r="E568" s="480"/>
      <c r="G568" s="65"/>
    </row>
    <row r="569" spans="2:7" ht="14.25" customHeight="1" x14ac:dyDescent="0.3">
      <c r="B569" s="478"/>
      <c r="C569" s="479"/>
      <c r="E569" s="480"/>
      <c r="G569" s="65"/>
    </row>
    <row r="570" spans="2:7" ht="14.25" customHeight="1" x14ac:dyDescent="0.3">
      <c r="B570" s="478"/>
      <c r="C570" s="479"/>
      <c r="E570" s="480"/>
      <c r="G570" s="65"/>
    </row>
    <row r="571" spans="2:7" ht="14.25" customHeight="1" x14ac:dyDescent="0.3">
      <c r="B571" s="478"/>
      <c r="C571" s="479"/>
      <c r="E571" s="480"/>
      <c r="G571" s="65"/>
    </row>
    <row r="572" spans="2:7" ht="14.25" customHeight="1" x14ac:dyDescent="0.3">
      <c r="B572" s="478"/>
      <c r="C572" s="479"/>
      <c r="E572" s="480"/>
      <c r="G572" s="65"/>
    </row>
    <row r="573" spans="2:7" ht="14.25" customHeight="1" x14ac:dyDescent="0.3">
      <c r="B573" s="478"/>
      <c r="C573" s="479"/>
      <c r="E573" s="480"/>
      <c r="G573" s="65"/>
    </row>
    <row r="574" spans="2:7" ht="14.25" customHeight="1" x14ac:dyDescent="0.3">
      <c r="B574" s="478"/>
      <c r="C574" s="479"/>
      <c r="E574" s="480"/>
      <c r="G574" s="65"/>
    </row>
    <row r="575" spans="2:7" ht="14.25" customHeight="1" x14ac:dyDescent="0.3">
      <c r="B575" s="478"/>
      <c r="C575" s="479"/>
      <c r="E575" s="480"/>
      <c r="G575" s="65"/>
    </row>
    <row r="576" spans="2:7" ht="14.25" customHeight="1" x14ac:dyDescent="0.3">
      <c r="B576" s="478"/>
      <c r="C576" s="479"/>
      <c r="E576" s="480"/>
      <c r="G576" s="65"/>
    </row>
    <row r="577" spans="2:7" ht="14.25" customHeight="1" x14ac:dyDescent="0.3">
      <c r="B577" s="478"/>
      <c r="C577" s="479"/>
      <c r="E577" s="480"/>
      <c r="G577" s="65"/>
    </row>
    <row r="578" spans="2:7" ht="14.25" customHeight="1" x14ac:dyDescent="0.3">
      <c r="B578" s="478"/>
      <c r="C578" s="479"/>
      <c r="E578" s="480"/>
      <c r="G578" s="65"/>
    </row>
    <row r="579" spans="2:7" ht="14.25" customHeight="1" x14ac:dyDescent="0.3">
      <c r="B579" s="478"/>
      <c r="C579" s="479"/>
      <c r="E579" s="480"/>
      <c r="G579" s="65"/>
    </row>
    <row r="580" spans="2:7" ht="14.25" customHeight="1" x14ac:dyDescent="0.3">
      <c r="B580" s="478"/>
      <c r="C580" s="479"/>
      <c r="E580" s="480"/>
      <c r="G580" s="65"/>
    </row>
    <row r="581" spans="2:7" ht="14.25" customHeight="1" x14ac:dyDescent="0.3">
      <c r="B581" s="478"/>
      <c r="C581" s="479"/>
      <c r="E581" s="480"/>
      <c r="G581" s="65"/>
    </row>
    <row r="582" spans="2:7" ht="14.25" customHeight="1" x14ac:dyDescent="0.3">
      <c r="B582" s="478"/>
      <c r="C582" s="479"/>
      <c r="E582" s="480"/>
      <c r="G582" s="65"/>
    </row>
    <row r="583" spans="2:7" ht="14.25" customHeight="1" x14ac:dyDescent="0.3">
      <c r="B583" s="478"/>
      <c r="C583" s="479"/>
      <c r="E583" s="480"/>
      <c r="G583" s="65"/>
    </row>
    <row r="584" spans="2:7" ht="14.25" customHeight="1" x14ac:dyDescent="0.3">
      <c r="B584" s="478"/>
      <c r="C584" s="479"/>
      <c r="E584" s="480"/>
      <c r="G584" s="65"/>
    </row>
    <row r="585" spans="2:7" ht="14.25" customHeight="1" x14ac:dyDescent="0.3">
      <c r="B585" s="478"/>
      <c r="C585" s="479"/>
      <c r="E585" s="480"/>
      <c r="G585" s="65"/>
    </row>
    <row r="586" spans="2:7" ht="14.25" customHeight="1" x14ac:dyDescent="0.3">
      <c r="B586" s="478"/>
      <c r="C586" s="479"/>
      <c r="E586" s="480"/>
      <c r="G586" s="65"/>
    </row>
    <row r="587" spans="2:7" ht="14.25" customHeight="1" x14ac:dyDescent="0.3">
      <c r="B587" s="478"/>
      <c r="C587" s="479"/>
      <c r="E587" s="480"/>
      <c r="G587" s="65"/>
    </row>
    <row r="588" spans="2:7" ht="14.25" customHeight="1" x14ac:dyDescent="0.3">
      <c r="B588" s="478"/>
      <c r="C588" s="479"/>
      <c r="E588" s="480"/>
      <c r="G588" s="65"/>
    </row>
    <row r="589" spans="2:7" ht="14.25" customHeight="1" x14ac:dyDescent="0.3">
      <c r="B589" s="478"/>
      <c r="C589" s="479"/>
      <c r="E589" s="480"/>
      <c r="G589" s="65"/>
    </row>
    <row r="590" spans="2:7" ht="14.25" customHeight="1" x14ac:dyDescent="0.3">
      <c r="B590" s="478"/>
      <c r="C590" s="479"/>
      <c r="E590" s="480"/>
      <c r="G590" s="65"/>
    </row>
    <row r="591" spans="2:7" ht="14.25" customHeight="1" x14ac:dyDescent="0.3">
      <c r="B591" s="478"/>
      <c r="C591" s="479"/>
      <c r="E591" s="480"/>
      <c r="G591" s="65"/>
    </row>
    <row r="592" spans="2:7" ht="14.25" customHeight="1" x14ac:dyDescent="0.3">
      <c r="B592" s="478"/>
      <c r="C592" s="479"/>
      <c r="E592" s="480"/>
      <c r="G592" s="65"/>
    </row>
    <row r="593" spans="2:7" ht="14.25" customHeight="1" x14ac:dyDescent="0.3">
      <c r="B593" s="478"/>
      <c r="C593" s="479"/>
      <c r="E593" s="480"/>
      <c r="G593" s="65"/>
    </row>
    <row r="594" spans="2:7" ht="14.25" customHeight="1" x14ac:dyDescent="0.3">
      <c r="B594" s="478"/>
      <c r="C594" s="479"/>
      <c r="E594" s="480"/>
      <c r="G594" s="65"/>
    </row>
    <row r="595" spans="2:7" ht="14.25" customHeight="1" x14ac:dyDescent="0.3">
      <c r="B595" s="478"/>
      <c r="C595" s="479"/>
      <c r="E595" s="480"/>
      <c r="G595" s="65"/>
    </row>
    <row r="596" spans="2:7" ht="14.25" customHeight="1" x14ac:dyDescent="0.3">
      <c r="B596" s="478"/>
      <c r="C596" s="479"/>
      <c r="E596" s="480"/>
      <c r="G596" s="65"/>
    </row>
    <row r="597" spans="2:7" ht="14.25" customHeight="1" x14ac:dyDescent="0.3">
      <c r="B597" s="478"/>
      <c r="C597" s="479"/>
      <c r="E597" s="480"/>
      <c r="G597" s="65"/>
    </row>
    <row r="598" spans="2:7" ht="14.25" customHeight="1" x14ac:dyDescent="0.3">
      <c r="B598" s="478"/>
      <c r="C598" s="479"/>
      <c r="E598" s="480"/>
      <c r="G598" s="65"/>
    </row>
    <row r="599" spans="2:7" ht="14.25" customHeight="1" x14ac:dyDescent="0.3">
      <c r="B599" s="478"/>
      <c r="C599" s="479"/>
      <c r="E599" s="480"/>
      <c r="G599" s="65"/>
    </row>
    <row r="600" spans="2:7" ht="14.25" customHeight="1" x14ac:dyDescent="0.3">
      <c r="B600" s="478"/>
      <c r="C600" s="479"/>
      <c r="E600" s="480"/>
      <c r="G600" s="65"/>
    </row>
    <row r="601" spans="2:7" ht="14.25" customHeight="1" x14ac:dyDescent="0.3">
      <c r="B601" s="478"/>
      <c r="C601" s="479"/>
      <c r="E601" s="480"/>
      <c r="G601" s="65"/>
    </row>
    <row r="602" spans="2:7" ht="14.25" customHeight="1" x14ac:dyDescent="0.3">
      <c r="B602" s="478"/>
      <c r="C602" s="479"/>
      <c r="E602" s="480"/>
      <c r="G602" s="65"/>
    </row>
    <row r="603" spans="2:7" ht="14.25" customHeight="1" x14ac:dyDescent="0.3">
      <c r="B603" s="478"/>
      <c r="C603" s="479"/>
      <c r="E603" s="480"/>
      <c r="G603" s="65"/>
    </row>
    <row r="604" spans="2:7" ht="14.25" customHeight="1" x14ac:dyDescent="0.3">
      <c r="B604" s="478"/>
      <c r="C604" s="479"/>
      <c r="E604" s="480"/>
      <c r="G604" s="65"/>
    </row>
    <row r="605" spans="2:7" ht="14.25" customHeight="1" x14ac:dyDescent="0.3">
      <c r="B605" s="478"/>
      <c r="C605" s="479"/>
      <c r="E605" s="480"/>
      <c r="G605" s="65"/>
    </row>
    <row r="606" spans="2:7" ht="14.25" customHeight="1" x14ac:dyDescent="0.3">
      <c r="B606" s="478"/>
      <c r="C606" s="479"/>
      <c r="E606" s="480"/>
      <c r="G606" s="65"/>
    </row>
    <row r="607" spans="2:7" ht="14.25" customHeight="1" x14ac:dyDescent="0.3">
      <c r="B607" s="478"/>
      <c r="C607" s="479"/>
      <c r="E607" s="480"/>
      <c r="G607" s="65"/>
    </row>
    <row r="608" spans="2:7" ht="14.25" customHeight="1" x14ac:dyDescent="0.3">
      <c r="B608" s="478"/>
      <c r="C608" s="479"/>
      <c r="E608" s="480"/>
      <c r="G608" s="65"/>
    </row>
    <row r="609" spans="2:7" ht="14.25" customHeight="1" x14ac:dyDescent="0.3">
      <c r="B609" s="478"/>
      <c r="C609" s="479"/>
      <c r="E609" s="480"/>
      <c r="G609" s="65"/>
    </row>
    <row r="610" spans="2:7" ht="14.25" customHeight="1" x14ac:dyDescent="0.3">
      <c r="B610" s="478"/>
      <c r="C610" s="479"/>
      <c r="E610" s="480"/>
      <c r="G610" s="65"/>
    </row>
    <row r="611" spans="2:7" ht="14.25" customHeight="1" x14ac:dyDescent="0.3">
      <c r="B611" s="478"/>
      <c r="C611" s="479"/>
      <c r="E611" s="480"/>
      <c r="G611" s="65"/>
    </row>
    <row r="612" spans="2:7" ht="14.25" customHeight="1" x14ac:dyDescent="0.3">
      <c r="B612" s="478"/>
      <c r="C612" s="479"/>
      <c r="E612" s="480"/>
      <c r="G612" s="65"/>
    </row>
    <row r="613" spans="2:7" ht="14.25" customHeight="1" x14ac:dyDescent="0.3">
      <c r="B613" s="478"/>
      <c r="C613" s="479"/>
      <c r="E613" s="480"/>
      <c r="G613" s="65"/>
    </row>
    <row r="614" spans="2:7" ht="14.25" customHeight="1" x14ac:dyDescent="0.3">
      <c r="B614" s="478"/>
      <c r="C614" s="479"/>
      <c r="E614" s="480"/>
      <c r="G614" s="65"/>
    </row>
    <row r="615" spans="2:7" ht="14.25" customHeight="1" x14ac:dyDescent="0.3">
      <c r="B615" s="478"/>
      <c r="C615" s="479"/>
      <c r="E615" s="480"/>
      <c r="G615" s="65"/>
    </row>
    <row r="616" spans="2:7" ht="14.25" customHeight="1" x14ac:dyDescent="0.3">
      <c r="B616" s="478"/>
      <c r="C616" s="479"/>
      <c r="E616" s="480"/>
      <c r="G616" s="65"/>
    </row>
    <row r="617" spans="2:7" ht="14.25" customHeight="1" x14ac:dyDescent="0.3">
      <c r="B617" s="478"/>
      <c r="C617" s="479"/>
      <c r="E617" s="480"/>
      <c r="G617" s="65"/>
    </row>
    <row r="618" spans="2:7" ht="14.25" customHeight="1" x14ac:dyDescent="0.3">
      <c r="B618" s="478"/>
      <c r="C618" s="479"/>
      <c r="E618" s="480"/>
      <c r="G618" s="65"/>
    </row>
    <row r="619" spans="2:7" ht="14.25" customHeight="1" x14ac:dyDescent="0.3">
      <c r="B619" s="478"/>
      <c r="C619" s="479"/>
      <c r="E619" s="480"/>
      <c r="G619" s="65"/>
    </row>
    <row r="620" spans="2:7" ht="14.25" customHeight="1" x14ac:dyDescent="0.3">
      <c r="B620" s="478"/>
      <c r="C620" s="479"/>
      <c r="E620" s="480"/>
      <c r="G620" s="65"/>
    </row>
    <row r="621" spans="2:7" ht="14.25" customHeight="1" x14ac:dyDescent="0.3">
      <c r="B621" s="478"/>
      <c r="C621" s="479"/>
      <c r="E621" s="480"/>
      <c r="G621" s="65"/>
    </row>
    <row r="622" spans="2:7" ht="14.25" customHeight="1" x14ac:dyDescent="0.3">
      <c r="B622" s="478"/>
      <c r="C622" s="479"/>
      <c r="E622" s="480"/>
      <c r="G622" s="65"/>
    </row>
    <row r="623" spans="2:7" ht="14.25" customHeight="1" x14ac:dyDescent="0.3">
      <c r="B623" s="478"/>
      <c r="C623" s="479"/>
      <c r="E623" s="480"/>
      <c r="G623" s="65"/>
    </row>
    <row r="624" spans="2:7" ht="14.25" customHeight="1" x14ac:dyDescent="0.3">
      <c r="B624" s="478"/>
      <c r="C624" s="479"/>
      <c r="E624" s="480"/>
      <c r="G624" s="65"/>
    </row>
    <row r="625" spans="2:7" ht="14.25" customHeight="1" x14ac:dyDescent="0.3">
      <c r="B625" s="478"/>
      <c r="C625" s="479"/>
      <c r="E625" s="480"/>
      <c r="G625" s="65"/>
    </row>
    <row r="626" spans="2:7" ht="14.25" customHeight="1" x14ac:dyDescent="0.3">
      <c r="B626" s="478"/>
      <c r="C626" s="479"/>
      <c r="E626" s="480"/>
      <c r="G626" s="65"/>
    </row>
    <row r="627" spans="2:7" ht="14.25" customHeight="1" x14ac:dyDescent="0.3">
      <c r="B627" s="478"/>
      <c r="C627" s="479"/>
      <c r="E627" s="480"/>
      <c r="G627" s="65"/>
    </row>
    <row r="628" spans="2:7" ht="14.25" customHeight="1" x14ac:dyDescent="0.3">
      <c r="B628" s="478"/>
      <c r="C628" s="479"/>
      <c r="E628" s="480"/>
      <c r="G628" s="65"/>
    </row>
    <row r="629" spans="2:7" ht="14.25" customHeight="1" x14ac:dyDescent="0.3">
      <c r="B629" s="478"/>
      <c r="C629" s="479"/>
      <c r="E629" s="480"/>
      <c r="G629" s="65"/>
    </row>
    <row r="630" spans="2:7" ht="14.25" customHeight="1" x14ac:dyDescent="0.3">
      <c r="B630" s="478"/>
      <c r="C630" s="479"/>
      <c r="E630" s="480"/>
      <c r="G630" s="65"/>
    </row>
    <row r="631" spans="2:7" ht="14.25" customHeight="1" x14ac:dyDescent="0.3">
      <c r="B631" s="478"/>
      <c r="C631" s="479"/>
      <c r="E631" s="480"/>
      <c r="G631" s="65"/>
    </row>
    <row r="632" spans="2:7" ht="14.25" customHeight="1" x14ac:dyDescent="0.3">
      <c r="B632" s="478"/>
      <c r="C632" s="479"/>
      <c r="E632" s="480"/>
      <c r="G632" s="65"/>
    </row>
    <row r="633" spans="2:7" ht="14.25" customHeight="1" x14ac:dyDescent="0.3">
      <c r="B633" s="478"/>
      <c r="C633" s="479"/>
      <c r="E633" s="480"/>
      <c r="G633" s="65"/>
    </row>
    <row r="634" spans="2:7" ht="14.25" customHeight="1" x14ac:dyDescent="0.3">
      <c r="B634" s="478"/>
      <c r="C634" s="479"/>
      <c r="E634" s="480"/>
      <c r="G634" s="65"/>
    </row>
    <row r="635" spans="2:7" ht="14.25" customHeight="1" x14ac:dyDescent="0.3">
      <c r="B635" s="478"/>
      <c r="C635" s="479"/>
      <c r="E635" s="480"/>
      <c r="G635" s="65"/>
    </row>
    <row r="636" spans="2:7" ht="14.25" customHeight="1" x14ac:dyDescent="0.3">
      <c r="B636" s="478"/>
      <c r="C636" s="479"/>
      <c r="E636" s="480"/>
      <c r="G636" s="65"/>
    </row>
    <row r="637" spans="2:7" ht="14.25" customHeight="1" x14ac:dyDescent="0.3">
      <c r="B637" s="478"/>
      <c r="C637" s="479"/>
      <c r="E637" s="480"/>
      <c r="G637" s="65"/>
    </row>
    <row r="638" spans="2:7" ht="14.25" customHeight="1" x14ac:dyDescent="0.3">
      <c r="B638" s="478"/>
      <c r="C638" s="479"/>
      <c r="E638" s="480"/>
      <c r="G638" s="65"/>
    </row>
    <row r="639" spans="2:7" ht="14.25" customHeight="1" x14ac:dyDescent="0.3">
      <c r="B639" s="478"/>
      <c r="C639" s="479"/>
      <c r="E639" s="480"/>
      <c r="G639" s="65"/>
    </row>
    <row r="640" spans="2:7" ht="14.25" customHeight="1" x14ac:dyDescent="0.3">
      <c r="B640" s="478"/>
      <c r="C640" s="479"/>
      <c r="E640" s="480"/>
      <c r="G640" s="65"/>
    </row>
    <row r="641" spans="2:7" ht="14.25" customHeight="1" x14ac:dyDescent="0.3">
      <c r="B641" s="478"/>
      <c r="C641" s="479"/>
      <c r="E641" s="480"/>
      <c r="G641" s="65"/>
    </row>
    <row r="642" spans="2:7" ht="14.25" customHeight="1" x14ac:dyDescent="0.3">
      <c r="B642" s="478"/>
      <c r="C642" s="479"/>
      <c r="E642" s="480"/>
      <c r="G642" s="65"/>
    </row>
    <row r="643" spans="2:7" ht="14.25" customHeight="1" x14ac:dyDescent="0.3">
      <c r="B643" s="478"/>
      <c r="C643" s="479"/>
      <c r="E643" s="480"/>
      <c r="G643" s="65"/>
    </row>
    <row r="644" spans="2:7" ht="14.25" customHeight="1" x14ac:dyDescent="0.3">
      <c r="B644" s="478"/>
      <c r="C644" s="479"/>
      <c r="E644" s="480"/>
      <c r="G644" s="65"/>
    </row>
    <row r="645" spans="2:7" ht="14.25" customHeight="1" x14ac:dyDescent="0.3">
      <c r="B645" s="478"/>
      <c r="C645" s="479"/>
      <c r="E645" s="480"/>
      <c r="G645" s="65"/>
    </row>
    <row r="646" spans="2:7" ht="14.25" customHeight="1" x14ac:dyDescent="0.3">
      <c r="B646" s="478"/>
      <c r="C646" s="479"/>
      <c r="E646" s="480"/>
      <c r="G646" s="65"/>
    </row>
    <row r="647" spans="2:7" ht="14.25" customHeight="1" x14ac:dyDescent="0.3">
      <c r="B647" s="478"/>
      <c r="C647" s="479"/>
      <c r="E647" s="480"/>
      <c r="G647" s="65"/>
    </row>
    <row r="648" spans="2:7" ht="14.25" customHeight="1" x14ac:dyDescent="0.3">
      <c r="B648" s="478"/>
      <c r="C648" s="479"/>
      <c r="E648" s="480"/>
      <c r="G648" s="65"/>
    </row>
    <row r="649" spans="2:7" ht="14.25" customHeight="1" x14ac:dyDescent="0.3">
      <c r="B649" s="478"/>
      <c r="C649" s="479"/>
      <c r="E649" s="480"/>
      <c r="G649" s="65"/>
    </row>
    <row r="650" spans="2:7" ht="14.25" customHeight="1" x14ac:dyDescent="0.3">
      <c r="B650" s="478"/>
      <c r="C650" s="479"/>
      <c r="E650" s="480"/>
      <c r="G650" s="65"/>
    </row>
    <row r="651" spans="2:7" ht="14.25" customHeight="1" x14ac:dyDescent="0.3">
      <c r="B651" s="478"/>
      <c r="C651" s="479"/>
      <c r="E651" s="480"/>
      <c r="G651" s="65"/>
    </row>
    <row r="652" spans="2:7" ht="14.25" customHeight="1" x14ac:dyDescent="0.3">
      <c r="B652" s="478"/>
      <c r="C652" s="479"/>
      <c r="E652" s="480"/>
      <c r="G652" s="65"/>
    </row>
    <row r="653" spans="2:7" ht="14.25" customHeight="1" x14ac:dyDescent="0.3">
      <c r="B653" s="478"/>
      <c r="C653" s="479"/>
      <c r="E653" s="480"/>
      <c r="G653" s="65"/>
    </row>
    <row r="654" spans="2:7" ht="14.25" customHeight="1" x14ac:dyDescent="0.3">
      <c r="B654" s="478"/>
      <c r="C654" s="479"/>
      <c r="E654" s="480"/>
      <c r="G654" s="65"/>
    </row>
    <row r="655" spans="2:7" ht="14.25" customHeight="1" x14ac:dyDescent="0.3">
      <c r="B655" s="478"/>
      <c r="C655" s="479"/>
      <c r="E655" s="480"/>
      <c r="G655" s="65"/>
    </row>
    <row r="656" spans="2:7" ht="14.25" customHeight="1" x14ac:dyDescent="0.3">
      <c r="B656" s="478"/>
      <c r="C656" s="479"/>
      <c r="E656" s="480"/>
      <c r="G656" s="65"/>
    </row>
    <row r="657" spans="2:7" ht="14.25" customHeight="1" x14ac:dyDescent="0.3">
      <c r="B657" s="478"/>
      <c r="C657" s="479"/>
      <c r="E657" s="480"/>
      <c r="G657" s="65"/>
    </row>
    <row r="658" spans="2:7" ht="14.25" customHeight="1" x14ac:dyDescent="0.3">
      <c r="B658" s="478"/>
      <c r="C658" s="479"/>
      <c r="E658" s="480"/>
      <c r="G658" s="65"/>
    </row>
    <row r="659" spans="2:7" ht="14.25" customHeight="1" x14ac:dyDescent="0.3">
      <c r="B659" s="478"/>
      <c r="C659" s="479"/>
      <c r="E659" s="480"/>
      <c r="G659" s="65"/>
    </row>
    <row r="660" spans="2:7" ht="14.25" customHeight="1" x14ac:dyDescent="0.3">
      <c r="B660" s="478"/>
      <c r="C660" s="479"/>
      <c r="E660" s="480"/>
      <c r="G660" s="65"/>
    </row>
    <row r="661" spans="2:7" ht="14.25" customHeight="1" x14ac:dyDescent="0.3">
      <c r="B661" s="478"/>
      <c r="C661" s="479"/>
      <c r="E661" s="480"/>
      <c r="G661" s="65"/>
    </row>
    <row r="662" spans="2:7" ht="14.25" customHeight="1" x14ac:dyDescent="0.3">
      <c r="B662" s="478"/>
      <c r="C662" s="479"/>
      <c r="E662" s="480"/>
      <c r="G662" s="65"/>
    </row>
    <row r="663" spans="2:7" ht="14.25" customHeight="1" x14ac:dyDescent="0.3">
      <c r="B663" s="478"/>
      <c r="C663" s="479"/>
      <c r="E663" s="480"/>
      <c r="G663" s="65"/>
    </row>
    <row r="664" spans="2:7" ht="14.25" customHeight="1" x14ac:dyDescent="0.3">
      <c r="B664" s="478"/>
      <c r="C664" s="479"/>
      <c r="E664" s="480"/>
      <c r="G664" s="65"/>
    </row>
    <row r="665" spans="2:7" ht="14.25" customHeight="1" x14ac:dyDescent="0.3">
      <c r="B665" s="478"/>
      <c r="C665" s="479"/>
      <c r="E665" s="480"/>
      <c r="G665" s="65"/>
    </row>
    <row r="666" spans="2:7" ht="14.25" customHeight="1" x14ac:dyDescent="0.3">
      <c r="B666" s="478"/>
      <c r="C666" s="479"/>
      <c r="E666" s="480"/>
      <c r="G666" s="65"/>
    </row>
    <row r="667" spans="2:7" ht="14.25" customHeight="1" x14ac:dyDescent="0.3">
      <c r="B667" s="478"/>
      <c r="C667" s="479"/>
      <c r="E667" s="480"/>
      <c r="G667" s="65"/>
    </row>
    <row r="668" spans="2:7" ht="14.25" customHeight="1" x14ac:dyDescent="0.3">
      <c r="B668" s="478"/>
      <c r="C668" s="479"/>
      <c r="E668" s="480"/>
      <c r="G668" s="65"/>
    </row>
    <row r="669" spans="2:7" ht="14.25" customHeight="1" x14ac:dyDescent="0.3">
      <c r="B669" s="478"/>
      <c r="C669" s="479"/>
      <c r="E669" s="480"/>
      <c r="G669" s="65"/>
    </row>
    <row r="670" spans="2:7" ht="14.25" customHeight="1" x14ac:dyDescent="0.3">
      <c r="B670" s="478"/>
      <c r="C670" s="479"/>
      <c r="E670" s="480"/>
      <c r="G670" s="65"/>
    </row>
    <row r="671" spans="2:7" ht="14.25" customHeight="1" x14ac:dyDescent="0.3">
      <c r="B671" s="478"/>
      <c r="C671" s="479"/>
      <c r="E671" s="480"/>
      <c r="G671" s="65"/>
    </row>
    <row r="672" spans="2:7" ht="14.25" customHeight="1" x14ac:dyDescent="0.3">
      <c r="B672" s="478"/>
      <c r="C672" s="479"/>
      <c r="E672" s="480"/>
      <c r="G672" s="65"/>
    </row>
    <row r="673" spans="2:7" ht="14.25" customHeight="1" x14ac:dyDescent="0.3">
      <c r="B673" s="478"/>
      <c r="C673" s="479"/>
      <c r="E673" s="480"/>
      <c r="G673" s="65"/>
    </row>
    <row r="674" spans="2:7" ht="14.25" customHeight="1" x14ac:dyDescent="0.3">
      <c r="B674" s="478"/>
      <c r="C674" s="479"/>
      <c r="E674" s="480"/>
      <c r="G674" s="65"/>
    </row>
    <row r="675" spans="2:7" ht="14.25" customHeight="1" x14ac:dyDescent="0.3">
      <c r="B675" s="478"/>
      <c r="C675" s="479"/>
      <c r="E675" s="480"/>
      <c r="G675" s="65"/>
    </row>
    <row r="676" spans="2:7" ht="14.25" customHeight="1" x14ac:dyDescent="0.3">
      <c r="B676" s="478"/>
      <c r="C676" s="479"/>
      <c r="E676" s="480"/>
      <c r="G676" s="65"/>
    </row>
    <row r="677" spans="2:7" ht="14.25" customHeight="1" x14ac:dyDescent="0.3">
      <c r="B677" s="478"/>
      <c r="C677" s="479"/>
      <c r="E677" s="480"/>
      <c r="G677" s="65"/>
    </row>
    <row r="678" spans="2:7" ht="14.25" customHeight="1" x14ac:dyDescent="0.3">
      <c r="B678" s="478"/>
      <c r="C678" s="479"/>
      <c r="E678" s="480"/>
      <c r="G678" s="65"/>
    </row>
    <row r="679" spans="2:7" ht="14.25" customHeight="1" x14ac:dyDescent="0.3">
      <c r="B679" s="478"/>
      <c r="C679" s="479"/>
      <c r="E679" s="480"/>
      <c r="G679" s="65"/>
    </row>
    <row r="680" spans="2:7" ht="14.25" customHeight="1" x14ac:dyDescent="0.3">
      <c r="B680" s="478"/>
      <c r="C680" s="479"/>
      <c r="E680" s="480"/>
      <c r="G680" s="65"/>
    </row>
    <row r="681" spans="2:7" ht="14.25" customHeight="1" x14ac:dyDescent="0.3">
      <c r="B681" s="478"/>
      <c r="C681" s="479"/>
      <c r="E681" s="480"/>
      <c r="G681" s="65"/>
    </row>
    <row r="682" spans="2:7" ht="14.25" customHeight="1" x14ac:dyDescent="0.3">
      <c r="B682" s="478"/>
      <c r="C682" s="479"/>
      <c r="E682" s="480"/>
      <c r="G682" s="65"/>
    </row>
    <row r="683" spans="2:7" ht="14.25" customHeight="1" x14ac:dyDescent="0.3">
      <c r="B683" s="478"/>
      <c r="C683" s="479"/>
      <c r="E683" s="480"/>
      <c r="G683" s="65"/>
    </row>
    <row r="684" spans="2:7" ht="14.25" customHeight="1" x14ac:dyDescent="0.3">
      <c r="B684" s="478"/>
      <c r="C684" s="479"/>
      <c r="E684" s="480"/>
      <c r="G684" s="65"/>
    </row>
    <row r="685" spans="2:7" ht="14.25" customHeight="1" x14ac:dyDescent="0.3">
      <c r="B685" s="478"/>
      <c r="C685" s="479"/>
      <c r="E685" s="480"/>
      <c r="G685" s="65"/>
    </row>
    <row r="686" spans="2:7" ht="14.25" customHeight="1" x14ac:dyDescent="0.3">
      <c r="B686" s="478"/>
      <c r="C686" s="479"/>
      <c r="E686" s="480"/>
      <c r="G686" s="65"/>
    </row>
    <row r="687" spans="2:7" ht="14.25" customHeight="1" x14ac:dyDescent="0.3">
      <c r="B687" s="478"/>
      <c r="C687" s="479"/>
      <c r="E687" s="480"/>
      <c r="G687" s="65"/>
    </row>
    <row r="688" spans="2:7" ht="14.25" customHeight="1" x14ac:dyDescent="0.3">
      <c r="B688" s="478"/>
      <c r="C688" s="479"/>
      <c r="E688" s="480"/>
      <c r="G688" s="65"/>
    </row>
    <row r="689" spans="2:7" ht="14.25" customHeight="1" x14ac:dyDescent="0.3">
      <c r="B689" s="478"/>
      <c r="C689" s="479"/>
      <c r="E689" s="480"/>
      <c r="G689" s="65"/>
    </row>
    <row r="690" spans="2:7" ht="14.25" customHeight="1" x14ac:dyDescent="0.3">
      <c r="B690" s="478"/>
      <c r="C690" s="479"/>
      <c r="E690" s="480"/>
      <c r="G690" s="65"/>
    </row>
    <row r="691" spans="2:7" ht="14.25" customHeight="1" x14ac:dyDescent="0.3">
      <c r="B691" s="478"/>
      <c r="C691" s="479"/>
      <c r="E691" s="480"/>
      <c r="G691" s="65"/>
    </row>
    <row r="692" spans="2:7" ht="14.25" customHeight="1" x14ac:dyDescent="0.3">
      <c r="B692" s="478"/>
      <c r="C692" s="479"/>
      <c r="E692" s="480"/>
      <c r="G692" s="65"/>
    </row>
    <row r="693" spans="2:7" ht="14.25" customHeight="1" x14ac:dyDescent="0.3">
      <c r="B693" s="478"/>
      <c r="C693" s="479"/>
      <c r="E693" s="480"/>
      <c r="G693" s="65"/>
    </row>
    <row r="694" spans="2:7" ht="14.25" customHeight="1" x14ac:dyDescent="0.3">
      <c r="B694" s="478"/>
      <c r="C694" s="479"/>
      <c r="E694" s="480"/>
      <c r="G694" s="65"/>
    </row>
    <row r="695" spans="2:7" ht="14.25" customHeight="1" x14ac:dyDescent="0.3">
      <c r="B695" s="478"/>
      <c r="C695" s="479"/>
      <c r="E695" s="480"/>
      <c r="G695" s="65"/>
    </row>
    <row r="696" spans="2:7" ht="14.25" customHeight="1" x14ac:dyDescent="0.3">
      <c r="B696" s="478"/>
      <c r="C696" s="479"/>
      <c r="E696" s="480"/>
      <c r="G696" s="65"/>
    </row>
    <row r="697" spans="2:7" ht="14.25" customHeight="1" x14ac:dyDescent="0.3">
      <c r="B697" s="478"/>
      <c r="C697" s="479"/>
      <c r="E697" s="480"/>
      <c r="G697" s="65"/>
    </row>
    <row r="698" spans="2:7" ht="14.25" customHeight="1" x14ac:dyDescent="0.3">
      <c r="B698" s="478"/>
      <c r="C698" s="479"/>
      <c r="E698" s="480"/>
      <c r="G698" s="65"/>
    </row>
    <row r="699" spans="2:7" ht="14.25" customHeight="1" x14ac:dyDescent="0.3">
      <c r="B699" s="478"/>
      <c r="C699" s="479"/>
      <c r="E699" s="480"/>
      <c r="G699" s="65"/>
    </row>
    <row r="700" spans="2:7" ht="14.25" customHeight="1" x14ac:dyDescent="0.3">
      <c r="B700" s="478"/>
      <c r="C700" s="479"/>
      <c r="E700" s="480"/>
      <c r="G700" s="65"/>
    </row>
    <row r="701" spans="2:7" ht="14.25" customHeight="1" x14ac:dyDescent="0.3">
      <c r="B701" s="478"/>
      <c r="C701" s="479"/>
      <c r="E701" s="480"/>
      <c r="G701" s="65"/>
    </row>
    <row r="702" spans="2:7" ht="14.25" customHeight="1" x14ac:dyDescent="0.3">
      <c r="B702" s="478"/>
      <c r="C702" s="479"/>
      <c r="E702" s="480"/>
      <c r="G702" s="65"/>
    </row>
    <row r="703" spans="2:7" ht="14.25" customHeight="1" x14ac:dyDescent="0.3">
      <c r="B703" s="478"/>
      <c r="C703" s="479"/>
      <c r="E703" s="480"/>
      <c r="G703" s="65"/>
    </row>
    <row r="704" spans="2:7" ht="14.25" customHeight="1" x14ac:dyDescent="0.3">
      <c r="B704" s="478"/>
      <c r="C704" s="479"/>
      <c r="E704" s="480"/>
      <c r="G704" s="65"/>
    </row>
    <row r="705" spans="2:7" ht="14.25" customHeight="1" x14ac:dyDescent="0.3">
      <c r="B705" s="478"/>
      <c r="C705" s="479"/>
      <c r="E705" s="480"/>
      <c r="G705" s="65"/>
    </row>
    <row r="706" spans="2:7" ht="14.25" customHeight="1" x14ac:dyDescent="0.3">
      <c r="B706" s="478"/>
      <c r="C706" s="479"/>
      <c r="E706" s="480"/>
      <c r="G706" s="65"/>
    </row>
    <row r="707" spans="2:7" ht="14.25" customHeight="1" x14ac:dyDescent="0.3">
      <c r="B707" s="478"/>
      <c r="C707" s="479"/>
      <c r="E707" s="480"/>
      <c r="G707" s="65"/>
    </row>
    <row r="708" spans="2:7" ht="14.25" customHeight="1" x14ac:dyDescent="0.3">
      <c r="B708" s="478"/>
      <c r="C708" s="479"/>
      <c r="E708" s="480"/>
      <c r="G708" s="65"/>
    </row>
    <row r="709" spans="2:7" ht="14.25" customHeight="1" x14ac:dyDescent="0.3">
      <c r="B709" s="478"/>
      <c r="C709" s="479"/>
      <c r="E709" s="480"/>
      <c r="G709" s="65"/>
    </row>
    <row r="710" spans="2:7" ht="14.25" customHeight="1" x14ac:dyDescent="0.3">
      <c r="B710" s="478"/>
      <c r="C710" s="479"/>
      <c r="E710" s="480"/>
      <c r="G710" s="65"/>
    </row>
    <row r="711" spans="2:7" ht="14.25" customHeight="1" x14ac:dyDescent="0.3">
      <c r="B711" s="478"/>
      <c r="C711" s="479"/>
      <c r="E711" s="480"/>
      <c r="G711" s="65"/>
    </row>
    <row r="712" spans="2:7" ht="14.25" customHeight="1" x14ac:dyDescent="0.3">
      <c r="B712" s="478"/>
      <c r="C712" s="479"/>
      <c r="E712" s="480"/>
      <c r="G712" s="65"/>
    </row>
    <row r="713" spans="2:7" ht="14.25" customHeight="1" x14ac:dyDescent="0.3">
      <c r="B713" s="478"/>
      <c r="C713" s="479"/>
      <c r="E713" s="480"/>
      <c r="G713" s="65"/>
    </row>
    <row r="714" spans="2:7" ht="14.25" customHeight="1" x14ac:dyDescent="0.3">
      <c r="B714" s="478"/>
      <c r="C714" s="479"/>
      <c r="E714" s="480"/>
      <c r="G714" s="65"/>
    </row>
    <row r="715" spans="2:7" ht="14.25" customHeight="1" x14ac:dyDescent="0.3">
      <c r="B715" s="478"/>
      <c r="C715" s="479"/>
      <c r="E715" s="480"/>
      <c r="G715" s="65"/>
    </row>
    <row r="716" spans="2:7" ht="14.25" customHeight="1" x14ac:dyDescent="0.3">
      <c r="B716" s="478"/>
      <c r="C716" s="479"/>
      <c r="E716" s="480"/>
      <c r="G716" s="65"/>
    </row>
    <row r="717" spans="2:7" ht="14.25" customHeight="1" x14ac:dyDescent="0.3">
      <c r="B717" s="478"/>
      <c r="C717" s="479"/>
      <c r="E717" s="480"/>
      <c r="G717" s="65"/>
    </row>
    <row r="718" spans="2:7" ht="14.25" customHeight="1" x14ac:dyDescent="0.3">
      <c r="B718" s="478"/>
      <c r="C718" s="479"/>
      <c r="E718" s="480"/>
      <c r="G718" s="65"/>
    </row>
    <row r="719" spans="2:7" ht="14.25" customHeight="1" x14ac:dyDescent="0.3">
      <c r="B719" s="478"/>
      <c r="C719" s="479"/>
      <c r="E719" s="480"/>
      <c r="G719" s="65"/>
    </row>
    <row r="720" spans="2:7" ht="14.25" customHeight="1" x14ac:dyDescent="0.3">
      <c r="B720" s="478"/>
      <c r="C720" s="479"/>
      <c r="E720" s="480"/>
      <c r="G720" s="65"/>
    </row>
    <row r="721" spans="2:7" ht="14.25" customHeight="1" x14ac:dyDescent="0.3">
      <c r="B721" s="478"/>
      <c r="C721" s="479"/>
      <c r="E721" s="480"/>
      <c r="G721" s="65"/>
    </row>
    <row r="722" spans="2:7" ht="14.25" customHeight="1" x14ac:dyDescent="0.3">
      <c r="B722" s="478"/>
      <c r="C722" s="479"/>
      <c r="E722" s="480"/>
      <c r="G722" s="65"/>
    </row>
    <row r="723" spans="2:7" ht="14.25" customHeight="1" x14ac:dyDescent="0.3">
      <c r="B723" s="478"/>
      <c r="C723" s="479"/>
      <c r="E723" s="480"/>
      <c r="G723" s="65"/>
    </row>
    <row r="724" spans="2:7" ht="14.25" customHeight="1" x14ac:dyDescent="0.3">
      <c r="B724" s="478"/>
      <c r="C724" s="479"/>
      <c r="E724" s="480"/>
      <c r="G724" s="65"/>
    </row>
    <row r="725" spans="2:7" ht="14.25" customHeight="1" x14ac:dyDescent="0.3">
      <c r="B725" s="478"/>
      <c r="C725" s="479"/>
      <c r="E725" s="480"/>
      <c r="G725" s="65"/>
    </row>
    <row r="726" spans="2:7" ht="14.25" customHeight="1" x14ac:dyDescent="0.3">
      <c r="B726" s="478"/>
      <c r="C726" s="479"/>
      <c r="E726" s="480"/>
      <c r="G726" s="65"/>
    </row>
    <row r="727" spans="2:7" ht="14.25" customHeight="1" x14ac:dyDescent="0.3">
      <c r="B727" s="478"/>
      <c r="C727" s="479"/>
      <c r="E727" s="480"/>
      <c r="G727" s="65"/>
    </row>
    <row r="728" spans="2:7" ht="14.25" customHeight="1" x14ac:dyDescent="0.3">
      <c r="B728" s="478"/>
      <c r="C728" s="479"/>
      <c r="E728" s="480"/>
      <c r="G728" s="65"/>
    </row>
    <row r="729" spans="2:7" ht="14.25" customHeight="1" x14ac:dyDescent="0.3">
      <c r="B729" s="478"/>
      <c r="C729" s="479"/>
      <c r="E729" s="480"/>
      <c r="G729" s="65"/>
    </row>
    <row r="730" spans="2:7" ht="14.25" customHeight="1" x14ac:dyDescent="0.3">
      <c r="B730" s="478"/>
      <c r="C730" s="479"/>
      <c r="E730" s="480"/>
      <c r="G730" s="65"/>
    </row>
    <row r="731" spans="2:7" ht="14.25" customHeight="1" x14ac:dyDescent="0.3">
      <c r="B731" s="478"/>
      <c r="C731" s="479"/>
      <c r="E731" s="480"/>
      <c r="G731" s="65"/>
    </row>
    <row r="732" spans="2:7" ht="14.25" customHeight="1" x14ac:dyDescent="0.3">
      <c r="B732" s="478"/>
      <c r="C732" s="479"/>
      <c r="E732" s="480"/>
      <c r="G732" s="65"/>
    </row>
    <row r="733" spans="2:7" ht="14.25" customHeight="1" x14ac:dyDescent="0.3">
      <c r="B733" s="478"/>
      <c r="C733" s="479"/>
      <c r="E733" s="480"/>
      <c r="G733" s="65"/>
    </row>
    <row r="734" spans="2:7" ht="14.25" customHeight="1" x14ac:dyDescent="0.3">
      <c r="B734" s="478"/>
      <c r="C734" s="479"/>
      <c r="E734" s="480"/>
      <c r="G734" s="65"/>
    </row>
    <row r="735" spans="2:7" ht="14.25" customHeight="1" x14ac:dyDescent="0.3">
      <c r="B735" s="478"/>
      <c r="C735" s="479"/>
      <c r="E735" s="480"/>
      <c r="G735" s="65"/>
    </row>
    <row r="736" spans="2:7" ht="14.25" customHeight="1" x14ac:dyDescent="0.3">
      <c r="B736" s="478"/>
      <c r="C736" s="479"/>
      <c r="E736" s="480"/>
      <c r="G736" s="65"/>
    </row>
    <row r="737" spans="2:7" ht="14.25" customHeight="1" x14ac:dyDescent="0.3">
      <c r="B737" s="478"/>
      <c r="C737" s="479"/>
      <c r="E737" s="480"/>
      <c r="G737" s="65"/>
    </row>
    <row r="738" spans="2:7" ht="14.25" customHeight="1" x14ac:dyDescent="0.3">
      <c r="B738" s="478"/>
      <c r="C738" s="479"/>
      <c r="E738" s="480"/>
      <c r="G738" s="65"/>
    </row>
    <row r="739" spans="2:7" ht="14.25" customHeight="1" x14ac:dyDescent="0.3">
      <c r="B739" s="478"/>
      <c r="C739" s="479"/>
      <c r="E739" s="480"/>
      <c r="G739" s="65"/>
    </row>
    <row r="740" spans="2:7" ht="14.25" customHeight="1" x14ac:dyDescent="0.3">
      <c r="B740" s="478"/>
      <c r="C740" s="479"/>
      <c r="E740" s="480"/>
      <c r="G740" s="65"/>
    </row>
    <row r="741" spans="2:7" ht="14.25" customHeight="1" x14ac:dyDescent="0.3">
      <c r="B741" s="478"/>
      <c r="C741" s="479"/>
      <c r="E741" s="480"/>
      <c r="G741" s="65"/>
    </row>
    <row r="742" spans="2:7" ht="14.25" customHeight="1" x14ac:dyDescent="0.3">
      <c r="B742" s="478"/>
      <c r="C742" s="479"/>
      <c r="E742" s="480"/>
      <c r="G742" s="65"/>
    </row>
    <row r="743" spans="2:7" ht="14.25" customHeight="1" x14ac:dyDescent="0.3">
      <c r="B743" s="478"/>
      <c r="C743" s="479"/>
      <c r="E743" s="480"/>
      <c r="G743" s="65"/>
    </row>
    <row r="744" spans="2:7" ht="14.25" customHeight="1" x14ac:dyDescent="0.3">
      <c r="B744" s="478"/>
      <c r="C744" s="479"/>
      <c r="E744" s="480"/>
      <c r="G744" s="65"/>
    </row>
    <row r="745" spans="2:7" ht="14.25" customHeight="1" x14ac:dyDescent="0.3">
      <c r="B745" s="478"/>
      <c r="C745" s="479"/>
      <c r="E745" s="480"/>
      <c r="G745" s="65"/>
    </row>
    <row r="746" spans="2:7" ht="14.25" customHeight="1" x14ac:dyDescent="0.3">
      <c r="B746" s="478"/>
      <c r="C746" s="479"/>
      <c r="E746" s="480"/>
      <c r="G746" s="65"/>
    </row>
    <row r="747" spans="2:7" ht="14.25" customHeight="1" x14ac:dyDescent="0.3">
      <c r="B747" s="478"/>
      <c r="C747" s="479"/>
      <c r="E747" s="480"/>
      <c r="G747" s="65"/>
    </row>
    <row r="748" spans="2:7" ht="14.25" customHeight="1" x14ac:dyDescent="0.3">
      <c r="B748" s="478"/>
      <c r="C748" s="479"/>
      <c r="E748" s="480"/>
      <c r="G748" s="65"/>
    </row>
    <row r="749" spans="2:7" ht="14.25" customHeight="1" x14ac:dyDescent="0.3">
      <c r="B749" s="478"/>
      <c r="C749" s="479"/>
      <c r="E749" s="480"/>
      <c r="G749" s="65"/>
    </row>
    <row r="750" spans="2:7" ht="14.25" customHeight="1" x14ac:dyDescent="0.3">
      <c r="B750" s="478"/>
      <c r="C750" s="479"/>
      <c r="E750" s="480"/>
      <c r="G750" s="65"/>
    </row>
    <row r="751" spans="2:7" ht="14.25" customHeight="1" x14ac:dyDescent="0.3">
      <c r="B751" s="478"/>
      <c r="C751" s="479"/>
      <c r="E751" s="480"/>
      <c r="G751" s="65"/>
    </row>
    <row r="752" spans="2:7" ht="14.25" customHeight="1" x14ac:dyDescent="0.3">
      <c r="B752" s="478"/>
      <c r="C752" s="479"/>
      <c r="E752" s="480"/>
      <c r="G752" s="65"/>
    </row>
    <row r="753" spans="2:7" ht="14.25" customHeight="1" x14ac:dyDescent="0.3">
      <c r="B753" s="478"/>
      <c r="C753" s="479"/>
      <c r="E753" s="480"/>
      <c r="G753" s="65"/>
    </row>
    <row r="754" spans="2:7" ht="14.25" customHeight="1" x14ac:dyDescent="0.3">
      <c r="B754" s="478"/>
      <c r="C754" s="479"/>
      <c r="E754" s="480"/>
      <c r="G754" s="65"/>
    </row>
    <row r="755" spans="2:7" ht="14.25" customHeight="1" x14ac:dyDescent="0.3">
      <c r="B755" s="478"/>
      <c r="C755" s="479"/>
      <c r="E755" s="480"/>
      <c r="G755" s="65"/>
    </row>
    <row r="756" spans="2:7" ht="14.25" customHeight="1" x14ac:dyDescent="0.3">
      <c r="B756" s="478"/>
      <c r="C756" s="479"/>
      <c r="E756" s="480"/>
      <c r="G756" s="65"/>
    </row>
    <row r="757" spans="2:7" ht="14.25" customHeight="1" x14ac:dyDescent="0.3">
      <c r="B757" s="478"/>
      <c r="C757" s="479"/>
      <c r="E757" s="480"/>
      <c r="G757" s="65"/>
    </row>
    <row r="758" spans="2:7" ht="14.25" customHeight="1" x14ac:dyDescent="0.3">
      <c r="B758" s="478"/>
      <c r="C758" s="479"/>
      <c r="E758" s="480"/>
      <c r="G758" s="65"/>
    </row>
    <row r="759" spans="2:7" ht="14.25" customHeight="1" x14ac:dyDescent="0.3">
      <c r="B759" s="478"/>
      <c r="C759" s="479"/>
      <c r="E759" s="480"/>
      <c r="G759" s="65"/>
    </row>
    <row r="760" spans="2:7" ht="14.25" customHeight="1" x14ac:dyDescent="0.3">
      <c r="B760" s="478"/>
      <c r="C760" s="479"/>
      <c r="E760" s="480"/>
      <c r="G760" s="65"/>
    </row>
    <row r="761" spans="2:7" ht="14.25" customHeight="1" x14ac:dyDescent="0.3">
      <c r="B761" s="478"/>
      <c r="C761" s="479"/>
      <c r="E761" s="480"/>
      <c r="G761" s="65"/>
    </row>
    <row r="762" spans="2:7" ht="14.25" customHeight="1" x14ac:dyDescent="0.3">
      <c r="B762" s="478"/>
      <c r="C762" s="479"/>
      <c r="E762" s="480"/>
      <c r="G762" s="65"/>
    </row>
    <row r="763" spans="2:7" ht="14.25" customHeight="1" x14ac:dyDescent="0.3">
      <c r="B763" s="478"/>
      <c r="C763" s="479"/>
      <c r="E763" s="480"/>
      <c r="G763" s="65"/>
    </row>
    <row r="764" spans="2:7" ht="14.25" customHeight="1" x14ac:dyDescent="0.3">
      <c r="B764" s="478"/>
      <c r="C764" s="479"/>
      <c r="E764" s="480"/>
      <c r="G764" s="65"/>
    </row>
    <row r="765" spans="2:7" ht="14.25" customHeight="1" x14ac:dyDescent="0.3">
      <c r="B765" s="478"/>
      <c r="C765" s="479"/>
      <c r="E765" s="480"/>
      <c r="G765" s="65"/>
    </row>
    <row r="766" spans="2:7" ht="14.25" customHeight="1" x14ac:dyDescent="0.3">
      <c r="B766" s="478"/>
      <c r="C766" s="479"/>
      <c r="E766" s="480"/>
      <c r="G766" s="65"/>
    </row>
    <row r="767" spans="2:7" ht="14.25" customHeight="1" x14ac:dyDescent="0.3">
      <c r="B767" s="478"/>
      <c r="C767" s="479"/>
      <c r="E767" s="480"/>
      <c r="G767" s="65"/>
    </row>
    <row r="768" spans="2:7" ht="14.25" customHeight="1" x14ac:dyDescent="0.3">
      <c r="B768" s="478"/>
      <c r="C768" s="479"/>
      <c r="E768" s="480"/>
      <c r="G768" s="65"/>
    </row>
    <row r="769" spans="2:7" ht="14.25" customHeight="1" x14ac:dyDescent="0.3">
      <c r="B769" s="478"/>
      <c r="C769" s="479"/>
      <c r="E769" s="480"/>
      <c r="G769" s="65"/>
    </row>
    <row r="770" spans="2:7" ht="14.25" customHeight="1" x14ac:dyDescent="0.3">
      <c r="B770" s="478"/>
      <c r="C770" s="479"/>
      <c r="E770" s="480"/>
      <c r="G770" s="65"/>
    </row>
    <row r="771" spans="2:7" ht="14.25" customHeight="1" x14ac:dyDescent="0.3">
      <c r="B771" s="478"/>
      <c r="C771" s="479"/>
      <c r="E771" s="480"/>
      <c r="G771" s="65"/>
    </row>
    <row r="772" spans="2:7" ht="14.25" customHeight="1" x14ac:dyDescent="0.3">
      <c r="B772" s="478"/>
      <c r="C772" s="479"/>
      <c r="E772" s="480"/>
      <c r="G772" s="65"/>
    </row>
    <row r="773" spans="2:7" ht="14.25" customHeight="1" x14ac:dyDescent="0.3">
      <c r="B773" s="478"/>
      <c r="C773" s="479"/>
      <c r="E773" s="480"/>
      <c r="G773" s="65"/>
    </row>
    <row r="774" spans="2:7" ht="14.25" customHeight="1" x14ac:dyDescent="0.3">
      <c r="B774" s="478"/>
      <c r="C774" s="479"/>
      <c r="E774" s="480"/>
      <c r="G774" s="65"/>
    </row>
    <row r="775" spans="2:7" ht="14.25" customHeight="1" x14ac:dyDescent="0.3">
      <c r="B775" s="478"/>
      <c r="C775" s="479"/>
      <c r="E775" s="480"/>
      <c r="G775" s="65"/>
    </row>
    <row r="776" spans="2:7" ht="14.25" customHeight="1" x14ac:dyDescent="0.3">
      <c r="B776" s="478"/>
      <c r="C776" s="479"/>
      <c r="E776" s="480"/>
      <c r="G776" s="65"/>
    </row>
    <row r="777" spans="2:7" ht="14.25" customHeight="1" x14ac:dyDescent="0.3">
      <c r="B777" s="478"/>
      <c r="C777" s="479"/>
      <c r="E777" s="480"/>
      <c r="G777" s="65"/>
    </row>
    <row r="778" spans="2:7" ht="14.25" customHeight="1" x14ac:dyDescent="0.3">
      <c r="B778" s="478"/>
      <c r="C778" s="479"/>
      <c r="E778" s="480"/>
      <c r="G778" s="65"/>
    </row>
    <row r="779" spans="2:7" ht="14.25" customHeight="1" x14ac:dyDescent="0.3">
      <c r="B779" s="478"/>
      <c r="C779" s="479"/>
      <c r="E779" s="480"/>
      <c r="G779" s="65"/>
    </row>
    <row r="780" spans="2:7" ht="14.25" customHeight="1" x14ac:dyDescent="0.3">
      <c r="B780" s="478"/>
      <c r="C780" s="479"/>
      <c r="E780" s="480"/>
      <c r="G780" s="65"/>
    </row>
    <row r="781" spans="2:7" ht="14.25" customHeight="1" x14ac:dyDescent="0.3">
      <c r="B781" s="478"/>
      <c r="C781" s="479"/>
      <c r="E781" s="480"/>
      <c r="G781" s="65"/>
    </row>
    <row r="782" spans="2:7" ht="14.25" customHeight="1" x14ac:dyDescent="0.3">
      <c r="B782" s="478"/>
      <c r="C782" s="479"/>
      <c r="E782" s="480"/>
      <c r="G782" s="65"/>
    </row>
    <row r="783" spans="2:7" ht="14.25" customHeight="1" x14ac:dyDescent="0.3">
      <c r="B783" s="478"/>
      <c r="C783" s="479"/>
      <c r="E783" s="480"/>
      <c r="G783" s="65"/>
    </row>
    <row r="784" spans="2:7" ht="14.25" customHeight="1" x14ac:dyDescent="0.3">
      <c r="B784" s="478"/>
      <c r="C784" s="479"/>
      <c r="E784" s="480"/>
      <c r="G784" s="65"/>
    </row>
    <row r="785" spans="2:7" ht="14.25" customHeight="1" x14ac:dyDescent="0.3">
      <c r="B785" s="478"/>
      <c r="C785" s="479"/>
      <c r="E785" s="480"/>
      <c r="G785" s="65"/>
    </row>
    <row r="786" spans="2:7" ht="14.25" customHeight="1" x14ac:dyDescent="0.3">
      <c r="B786" s="478"/>
      <c r="C786" s="479"/>
      <c r="E786" s="480"/>
      <c r="G786" s="65"/>
    </row>
    <row r="787" spans="2:7" ht="14.25" customHeight="1" x14ac:dyDescent="0.3">
      <c r="B787" s="478"/>
      <c r="C787" s="479"/>
      <c r="E787" s="480"/>
      <c r="G787" s="65"/>
    </row>
    <row r="788" spans="2:7" ht="14.25" customHeight="1" x14ac:dyDescent="0.3">
      <c r="B788" s="478"/>
      <c r="C788" s="479"/>
      <c r="E788" s="480"/>
      <c r="G788" s="65"/>
    </row>
    <row r="789" spans="2:7" ht="14.25" customHeight="1" x14ac:dyDescent="0.3">
      <c r="B789" s="478"/>
      <c r="C789" s="479"/>
      <c r="E789" s="480"/>
      <c r="G789" s="65"/>
    </row>
    <row r="790" spans="2:7" ht="14.25" customHeight="1" x14ac:dyDescent="0.3">
      <c r="B790" s="478"/>
      <c r="C790" s="479"/>
      <c r="E790" s="480"/>
      <c r="G790" s="65"/>
    </row>
    <row r="791" spans="2:7" ht="14.25" customHeight="1" x14ac:dyDescent="0.3">
      <c r="B791" s="478"/>
      <c r="C791" s="479"/>
      <c r="E791" s="480"/>
      <c r="G791" s="65"/>
    </row>
    <row r="792" spans="2:7" ht="14.25" customHeight="1" x14ac:dyDescent="0.3">
      <c r="B792" s="478"/>
      <c r="C792" s="479"/>
      <c r="E792" s="480"/>
      <c r="G792" s="65"/>
    </row>
    <row r="793" spans="2:7" ht="14.25" customHeight="1" x14ac:dyDescent="0.3">
      <c r="B793" s="478"/>
      <c r="C793" s="479"/>
      <c r="E793" s="480"/>
      <c r="G793" s="65"/>
    </row>
    <row r="794" spans="2:7" ht="14.25" customHeight="1" x14ac:dyDescent="0.3">
      <c r="B794" s="478"/>
      <c r="C794" s="479"/>
      <c r="E794" s="480"/>
      <c r="G794" s="65"/>
    </row>
    <row r="795" spans="2:7" ht="14.25" customHeight="1" x14ac:dyDescent="0.3">
      <c r="B795" s="478"/>
      <c r="C795" s="479"/>
      <c r="E795" s="480"/>
      <c r="G795" s="65"/>
    </row>
    <row r="796" spans="2:7" ht="14.25" customHeight="1" x14ac:dyDescent="0.3">
      <c r="B796" s="478"/>
      <c r="C796" s="479"/>
      <c r="E796" s="480"/>
      <c r="G796" s="65"/>
    </row>
    <row r="797" spans="2:7" ht="14.25" customHeight="1" x14ac:dyDescent="0.3">
      <c r="B797" s="478"/>
      <c r="C797" s="479"/>
      <c r="E797" s="480"/>
      <c r="G797" s="65"/>
    </row>
    <row r="798" spans="2:7" ht="14.25" customHeight="1" x14ac:dyDescent="0.3">
      <c r="B798" s="478"/>
      <c r="C798" s="479"/>
      <c r="E798" s="480"/>
      <c r="G798" s="65"/>
    </row>
    <row r="799" spans="2:7" ht="14.25" customHeight="1" x14ac:dyDescent="0.3">
      <c r="B799" s="478"/>
      <c r="C799" s="479"/>
      <c r="E799" s="480"/>
      <c r="G799" s="65"/>
    </row>
    <row r="800" spans="2:7" ht="14.25" customHeight="1" x14ac:dyDescent="0.3">
      <c r="B800" s="478"/>
      <c r="C800" s="479"/>
      <c r="E800" s="480"/>
      <c r="G800" s="65"/>
    </row>
    <row r="801" spans="2:7" ht="14.25" customHeight="1" x14ac:dyDescent="0.3">
      <c r="B801" s="478"/>
      <c r="C801" s="479"/>
      <c r="E801" s="480"/>
      <c r="G801" s="65"/>
    </row>
    <row r="802" spans="2:7" ht="14.25" customHeight="1" x14ac:dyDescent="0.3">
      <c r="B802" s="478"/>
      <c r="C802" s="479"/>
      <c r="E802" s="480"/>
      <c r="G802" s="65"/>
    </row>
    <row r="803" spans="2:7" ht="14.25" customHeight="1" x14ac:dyDescent="0.3">
      <c r="B803" s="478"/>
      <c r="C803" s="479"/>
      <c r="E803" s="480"/>
      <c r="G803" s="65"/>
    </row>
    <row r="804" spans="2:7" ht="14.25" customHeight="1" x14ac:dyDescent="0.3">
      <c r="B804" s="478"/>
      <c r="C804" s="479"/>
      <c r="E804" s="480"/>
      <c r="G804" s="65"/>
    </row>
    <row r="805" spans="2:7" ht="14.25" customHeight="1" x14ac:dyDescent="0.3">
      <c r="B805" s="478"/>
      <c r="C805" s="479"/>
      <c r="E805" s="480"/>
      <c r="G805" s="65"/>
    </row>
    <row r="806" spans="2:7" ht="14.25" customHeight="1" x14ac:dyDescent="0.3">
      <c r="B806" s="478"/>
      <c r="C806" s="479"/>
      <c r="E806" s="480"/>
      <c r="G806" s="65"/>
    </row>
    <row r="807" spans="2:7" ht="14.25" customHeight="1" x14ac:dyDescent="0.3">
      <c r="B807" s="478"/>
      <c r="C807" s="479"/>
      <c r="E807" s="480"/>
      <c r="G807" s="65"/>
    </row>
    <row r="808" spans="2:7" ht="14.25" customHeight="1" x14ac:dyDescent="0.3">
      <c r="B808" s="478"/>
      <c r="C808" s="479"/>
      <c r="E808" s="480"/>
      <c r="G808" s="65"/>
    </row>
    <row r="809" spans="2:7" ht="14.25" customHeight="1" x14ac:dyDescent="0.3">
      <c r="B809" s="478"/>
      <c r="C809" s="479"/>
      <c r="E809" s="480"/>
      <c r="G809" s="65"/>
    </row>
    <row r="810" spans="2:7" ht="14.25" customHeight="1" x14ac:dyDescent="0.3">
      <c r="B810" s="478"/>
      <c r="C810" s="479"/>
      <c r="E810" s="480"/>
      <c r="G810" s="65"/>
    </row>
    <row r="811" spans="2:7" ht="14.25" customHeight="1" x14ac:dyDescent="0.3">
      <c r="B811" s="478"/>
      <c r="C811" s="479"/>
      <c r="E811" s="480"/>
      <c r="G811" s="65"/>
    </row>
    <row r="812" spans="2:7" ht="14.25" customHeight="1" x14ac:dyDescent="0.3">
      <c r="B812" s="478"/>
      <c r="C812" s="479"/>
      <c r="E812" s="480"/>
      <c r="G812" s="65"/>
    </row>
    <row r="813" spans="2:7" ht="14.25" customHeight="1" x14ac:dyDescent="0.3">
      <c r="B813" s="478"/>
      <c r="C813" s="479"/>
      <c r="E813" s="480"/>
      <c r="G813" s="65"/>
    </row>
    <row r="814" spans="2:7" ht="14.25" customHeight="1" x14ac:dyDescent="0.3">
      <c r="B814" s="478"/>
      <c r="C814" s="479"/>
      <c r="E814" s="480"/>
      <c r="G814" s="65"/>
    </row>
    <row r="815" spans="2:7" ht="14.25" customHeight="1" x14ac:dyDescent="0.3">
      <c r="B815" s="478"/>
      <c r="C815" s="479"/>
      <c r="E815" s="480"/>
      <c r="G815" s="65"/>
    </row>
    <row r="816" spans="2:7" ht="14.25" customHeight="1" x14ac:dyDescent="0.3">
      <c r="B816" s="478"/>
      <c r="C816" s="479"/>
      <c r="E816" s="480"/>
      <c r="G816" s="65"/>
    </row>
    <row r="817" spans="2:7" ht="14.25" customHeight="1" x14ac:dyDescent="0.3">
      <c r="B817" s="478"/>
      <c r="C817" s="479"/>
      <c r="E817" s="480"/>
      <c r="G817" s="65"/>
    </row>
    <row r="818" spans="2:7" ht="14.25" customHeight="1" x14ac:dyDescent="0.3">
      <c r="B818" s="478"/>
      <c r="C818" s="479"/>
      <c r="E818" s="480"/>
      <c r="G818" s="65"/>
    </row>
    <row r="819" spans="2:7" ht="14.25" customHeight="1" x14ac:dyDescent="0.3">
      <c r="B819" s="478"/>
      <c r="C819" s="479"/>
      <c r="E819" s="480"/>
      <c r="G819" s="65"/>
    </row>
    <row r="820" spans="2:7" ht="14.25" customHeight="1" x14ac:dyDescent="0.3">
      <c r="B820" s="478"/>
      <c r="C820" s="479"/>
      <c r="E820" s="480"/>
      <c r="G820" s="65"/>
    </row>
    <row r="821" spans="2:7" ht="14.25" customHeight="1" x14ac:dyDescent="0.3">
      <c r="B821" s="478"/>
      <c r="C821" s="479"/>
      <c r="E821" s="480"/>
      <c r="G821" s="65"/>
    </row>
    <row r="822" spans="2:7" ht="14.25" customHeight="1" x14ac:dyDescent="0.3">
      <c r="B822" s="478"/>
      <c r="C822" s="479"/>
      <c r="E822" s="480"/>
      <c r="G822" s="65"/>
    </row>
    <row r="823" spans="2:7" ht="14.25" customHeight="1" x14ac:dyDescent="0.3">
      <c r="B823" s="478"/>
      <c r="C823" s="479"/>
      <c r="E823" s="480"/>
      <c r="G823" s="65"/>
    </row>
    <row r="824" spans="2:7" ht="14.25" customHeight="1" x14ac:dyDescent="0.3">
      <c r="B824" s="478"/>
      <c r="C824" s="479"/>
      <c r="E824" s="480"/>
      <c r="G824" s="65"/>
    </row>
    <row r="825" spans="2:7" ht="14.25" customHeight="1" x14ac:dyDescent="0.3">
      <c r="B825" s="478"/>
      <c r="C825" s="479"/>
      <c r="E825" s="480"/>
      <c r="G825" s="65"/>
    </row>
    <row r="826" spans="2:7" ht="14.25" customHeight="1" x14ac:dyDescent="0.3">
      <c r="B826" s="478"/>
      <c r="C826" s="479"/>
      <c r="E826" s="480"/>
      <c r="G826" s="65"/>
    </row>
    <row r="827" spans="2:7" ht="14.25" customHeight="1" x14ac:dyDescent="0.3">
      <c r="B827" s="478"/>
      <c r="C827" s="479"/>
      <c r="E827" s="480"/>
      <c r="G827" s="65"/>
    </row>
    <row r="828" spans="2:7" ht="14.25" customHeight="1" x14ac:dyDescent="0.3">
      <c r="B828" s="478"/>
      <c r="C828" s="479"/>
      <c r="E828" s="480"/>
      <c r="G828" s="65"/>
    </row>
    <row r="829" spans="2:7" ht="14.25" customHeight="1" x14ac:dyDescent="0.3">
      <c r="B829" s="478"/>
      <c r="C829" s="479"/>
      <c r="E829" s="480"/>
      <c r="G829" s="65"/>
    </row>
    <row r="830" spans="2:7" ht="14.25" customHeight="1" x14ac:dyDescent="0.3">
      <c r="B830" s="478"/>
      <c r="C830" s="479"/>
      <c r="E830" s="480"/>
      <c r="G830" s="65"/>
    </row>
    <row r="831" spans="2:7" ht="14.25" customHeight="1" x14ac:dyDescent="0.3">
      <c r="B831" s="478"/>
      <c r="C831" s="479"/>
      <c r="E831" s="480"/>
      <c r="G831" s="65"/>
    </row>
    <row r="832" spans="2:7" ht="14.25" customHeight="1" x14ac:dyDescent="0.3">
      <c r="B832" s="478"/>
      <c r="C832" s="479"/>
      <c r="E832" s="480"/>
      <c r="G832" s="65"/>
    </row>
    <row r="833" spans="2:7" ht="14.25" customHeight="1" x14ac:dyDescent="0.3">
      <c r="B833" s="478"/>
      <c r="C833" s="479"/>
      <c r="E833" s="480"/>
      <c r="G833" s="65"/>
    </row>
    <row r="834" spans="2:7" ht="14.25" customHeight="1" x14ac:dyDescent="0.3">
      <c r="B834" s="478"/>
      <c r="C834" s="479"/>
      <c r="E834" s="480"/>
      <c r="G834" s="65"/>
    </row>
    <row r="835" spans="2:7" ht="14.25" customHeight="1" x14ac:dyDescent="0.3">
      <c r="B835" s="478"/>
      <c r="C835" s="479"/>
      <c r="E835" s="480"/>
      <c r="G835" s="65"/>
    </row>
    <row r="836" spans="2:7" ht="14.25" customHeight="1" x14ac:dyDescent="0.3">
      <c r="B836" s="478"/>
      <c r="C836" s="479"/>
      <c r="E836" s="480"/>
      <c r="G836" s="65"/>
    </row>
    <row r="837" spans="2:7" ht="14.25" customHeight="1" x14ac:dyDescent="0.3">
      <c r="B837" s="478"/>
      <c r="C837" s="479"/>
      <c r="E837" s="480"/>
      <c r="G837" s="65"/>
    </row>
    <row r="838" spans="2:7" ht="14.25" customHeight="1" x14ac:dyDescent="0.3">
      <c r="B838" s="478"/>
      <c r="C838" s="479"/>
      <c r="E838" s="480"/>
      <c r="G838" s="65"/>
    </row>
    <row r="839" spans="2:7" ht="14.25" customHeight="1" x14ac:dyDescent="0.3">
      <c r="B839" s="478"/>
      <c r="C839" s="479"/>
      <c r="E839" s="480"/>
      <c r="G839" s="65"/>
    </row>
    <row r="840" spans="2:7" ht="14.25" customHeight="1" x14ac:dyDescent="0.3">
      <c r="B840" s="478"/>
      <c r="C840" s="479"/>
      <c r="E840" s="480"/>
      <c r="G840" s="65"/>
    </row>
    <row r="841" spans="2:7" ht="14.25" customHeight="1" x14ac:dyDescent="0.3">
      <c r="B841" s="478"/>
      <c r="C841" s="479"/>
      <c r="E841" s="480"/>
      <c r="G841" s="65"/>
    </row>
    <row r="842" spans="2:7" ht="14.25" customHeight="1" x14ac:dyDescent="0.3">
      <c r="B842" s="478"/>
      <c r="C842" s="479"/>
      <c r="E842" s="480"/>
      <c r="G842" s="65"/>
    </row>
    <row r="843" spans="2:7" ht="14.25" customHeight="1" x14ac:dyDescent="0.3">
      <c r="B843" s="478"/>
      <c r="C843" s="479"/>
      <c r="E843" s="480"/>
      <c r="G843" s="65"/>
    </row>
    <row r="844" spans="2:7" ht="14.25" customHeight="1" x14ac:dyDescent="0.3">
      <c r="B844" s="478"/>
      <c r="C844" s="479"/>
      <c r="E844" s="480"/>
      <c r="G844" s="65"/>
    </row>
    <row r="845" spans="2:7" ht="14.25" customHeight="1" x14ac:dyDescent="0.3">
      <c r="B845" s="478"/>
      <c r="C845" s="479"/>
      <c r="E845" s="480"/>
      <c r="G845" s="65"/>
    </row>
    <row r="846" spans="2:7" ht="14.25" customHeight="1" x14ac:dyDescent="0.3">
      <c r="B846" s="478"/>
      <c r="C846" s="479"/>
      <c r="E846" s="480"/>
      <c r="G846" s="65"/>
    </row>
    <row r="847" spans="2:7" ht="14.25" customHeight="1" x14ac:dyDescent="0.3">
      <c r="B847" s="478"/>
      <c r="C847" s="479"/>
      <c r="E847" s="480"/>
      <c r="G847" s="65"/>
    </row>
    <row r="848" spans="2:7" ht="14.25" customHeight="1" x14ac:dyDescent="0.3">
      <c r="B848" s="478"/>
      <c r="C848" s="479"/>
      <c r="E848" s="480"/>
      <c r="G848" s="65"/>
    </row>
    <row r="849" spans="2:7" ht="14.25" customHeight="1" x14ac:dyDescent="0.3">
      <c r="B849" s="478"/>
      <c r="C849" s="479"/>
      <c r="E849" s="480"/>
      <c r="G849" s="65"/>
    </row>
    <row r="850" spans="2:7" ht="14.25" customHeight="1" x14ac:dyDescent="0.3">
      <c r="B850" s="478"/>
      <c r="C850" s="479"/>
      <c r="E850" s="480"/>
      <c r="G850" s="65"/>
    </row>
    <row r="851" spans="2:7" ht="14.25" customHeight="1" x14ac:dyDescent="0.3">
      <c r="B851" s="478"/>
      <c r="C851" s="479"/>
      <c r="E851" s="480"/>
      <c r="G851" s="65"/>
    </row>
    <row r="852" spans="2:7" ht="14.25" customHeight="1" x14ac:dyDescent="0.3">
      <c r="B852" s="478"/>
      <c r="C852" s="479"/>
      <c r="E852" s="480"/>
      <c r="G852" s="65"/>
    </row>
    <row r="853" spans="2:7" ht="14.25" customHeight="1" x14ac:dyDescent="0.3">
      <c r="B853" s="478"/>
      <c r="C853" s="479"/>
      <c r="E853" s="480"/>
      <c r="G853" s="65"/>
    </row>
    <row r="854" spans="2:7" ht="14.25" customHeight="1" x14ac:dyDescent="0.3">
      <c r="B854" s="478"/>
      <c r="C854" s="479"/>
      <c r="E854" s="480"/>
      <c r="G854" s="65"/>
    </row>
    <row r="855" spans="2:7" ht="14.25" customHeight="1" x14ac:dyDescent="0.3">
      <c r="B855" s="478"/>
      <c r="C855" s="479"/>
      <c r="E855" s="480"/>
      <c r="G855" s="65"/>
    </row>
    <row r="856" spans="2:7" ht="14.25" customHeight="1" x14ac:dyDescent="0.3">
      <c r="B856" s="478"/>
      <c r="C856" s="479"/>
      <c r="E856" s="480"/>
      <c r="G856" s="65"/>
    </row>
    <row r="857" spans="2:7" ht="14.25" customHeight="1" x14ac:dyDescent="0.3">
      <c r="B857" s="478"/>
      <c r="C857" s="479"/>
      <c r="E857" s="480"/>
      <c r="G857" s="65"/>
    </row>
    <row r="858" spans="2:7" ht="14.25" customHeight="1" x14ac:dyDescent="0.3">
      <c r="B858" s="478"/>
      <c r="C858" s="479"/>
      <c r="E858" s="480"/>
      <c r="G858" s="65"/>
    </row>
    <row r="859" spans="2:7" ht="14.25" customHeight="1" x14ac:dyDescent="0.3">
      <c r="B859" s="478"/>
      <c r="C859" s="479"/>
      <c r="E859" s="480"/>
      <c r="G859" s="65"/>
    </row>
    <row r="860" spans="2:7" ht="14.25" customHeight="1" x14ac:dyDescent="0.3">
      <c r="B860" s="478"/>
      <c r="C860" s="479"/>
      <c r="E860" s="480"/>
      <c r="G860" s="65"/>
    </row>
    <row r="861" spans="2:7" ht="14.25" customHeight="1" x14ac:dyDescent="0.3">
      <c r="B861" s="478"/>
      <c r="C861" s="479"/>
      <c r="E861" s="480"/>
      <c r="G861" s="65"/>
    </row>
    <row r="862" spans="2:7" ht="14.25" customHeight="1" x14ac:dyDescent="0.3">
      <c r="B862" s="478"/>
      <c r="C862" s="479"/>
      <c r="E862" s="480"/>
      <c r="G862" s="65"/>
    </row>
    <row r="863" spans="2:7" ht="14.25" customHeight="1" x14ac:dyDescent="0.3">
      <c r="B863" s="478"/>
      <c r="C863" s="479"/>
      <c r="E863" s="480"/>
      <c r="G863" s="65"/>
    </row>
    <row r="864" spans="2:7" ht="14.25" customHeight="1" x14ac:dyDescent="0.3">
      <c r="B864" s="478"/>
      <c r="C864" s="479"/>
      <c r="E864" s="480"/>
      <c r="G864" s="65"/>
    </row>
    <row r="865" spans="2:7" ht="14.25" customHeight="1" x14ac:dyDescent="0.3">
      <c r="B865" s="478"/>
      <c r="C865" s="479"/>
      <c r="E865" s="480"/>
      <c r="G865" s="65"/>
    </row>
    <row r="866" spans="2:7" ht="14.25" customHeight="1" x14ac:dyDescent="0.3">
      <c r="B866" s="478"/>
      <c r="C866" s="479"/>
      <c r="E866" s="480"/>
      <c r="G866" s="65"/>
    </row>
    <row r="867" spans="2:7" ht="14.25" customHeight="1" x14ac:dyDescent="0.3">
      <c r="B867" s="478"/>
      <c r="C867" s="479"/>
      <c r="E867" s="480"/>
      <c r="G867" s="65"/>
    </row>
    <row r="868" spans="2:7" ht="14.25" customHeight="1" x14ac:dyDescent="0.3">
      <c r="B868" s="478"/>
      <c r="C868" s="479"/>
      <c r="E868" s="480"/>
      <c r="G868" s="65"/>
    </row>
    <row r="869" spans="2:7" ht="14.25" customHeight="1" x14ac:dyDescent="0.3">
      <c r="B869" s="478"/>
      <c r="C869" s="479"/>
      <c r="E869" s="480"/>
      <c r="G869" s="65"/>
    </row>
    <row r="870" spans="2:7" ht="14.25" customHeight="1" x14ac:dyDescent="0.3">
      <c r="B870" s="478"/>
      <c r="C870" s="479"/>
      <c r="E870" s="480"/>
      <c r="G870" s="65"/>
    </row>
    <row r="871" spans="2:7" ht="14.25" customHeight="1" x14ac:dyDescent="0.3">
      <c r="B871" s="478"/>
      <c r="C871" s="479"/>
      <c r="E871" s="480"/>
      <c r="G871" s="65"/>
    </row>
    <row r="872" spans="2:7" ht="14.25" customHeight="1" x14ac:dyDescent="0.3">
      <c r="B872" s="478"/>
      <c r="C872" s="479"/>
      <c r="E872" s="480"/>
      <c r="G872" s="65"/>
    </row>
    <row r="873" spans="2:7" ht="14.25" customHeight="1" x14ac:dyDescent="0.3">
      <c r="B873" s="478"/>
      <c r="C873" s="479"/>
      <c r="E873" s="480"/>
      <c r="G873" s="65"/>
    </row>
    <row r="874" spans="2:7" ht="14.25" customHeight="1" x14ac:dyDescent="0.3">
      <c r="B874" s="478"/>
      <c r="C874" s="479"/>
      <c r="E874" s="480"/>
      <c r="G874" s="65"/>
    </row>
    <row r="875" spans="2:7" ht="14.25" customHeight="1" x14ac:dyDescent="0.3">
      <c r="B875" s="478"/>
      <c r="C875" s="479"/>
      <c r="E875" s="480"/>
      <c r="G875" s="65"/>
    </row>
    <row r="876" spans="2:7" ht="14.25" customHeight="1" x14ac:dyDescent="0.3">
      <c r="B876" s="478"/>
      <c r="C876" s="479"/>
      <c r="E876" s="480"/>
      <c r="G876" s="65"/>
    </row>
    <row r="877" spans="2:7" ht="14.25" customHeight="1" x14ac:dyDescent="0.3">
      <c r="B877" s="478"/>
      <c r="C877" s="479"/>
      <c r="E877" s="480"/>
      <c r="G877" s="65"/>
    </row>
    <row r="878" spans="2:7" ht="14.25" customHeight="1" x14ac:dyDescent="0.3">
      <c r="B878" s="478"/>
      <c r="C878" s="479"/>
      <c r="E878" s="480"/>
      <c r="G878" s="65"/>
    </row>
    <row r="879" spans="2:7" ht="14.25" customHeight="1" x14ac:dyDescent="0.3">
      <c r="B879" s="478"/>
      <c r="C879" s="479"/>
      <c r="E879" s="480"/>
      <c r="G879" s="65"/>
    </row>
    <row r="880" spans="2:7" ht="14.25" customHeight="1" x14ac:dyDescent="0.3">
      <c r="B880" s="478"/>
      <c r="C880" s="479"/>
      <c r="E880" s="480"/>
      <c r="G880" s="65"/>
    </row>
    <row r="881" spans="2:7" ht="14.25" customHeight="1" x14ac:dyDescent="0.3">
      <c r="B881" s="478"/>
      <c r="C881" s="479"/>
      <c r="E881" s="480"/>
      <c r="G881" s="65"/>
    </row>
    <row r="882" spans="2:7" ht="14.25" customHeight="1" x14ac:dyDescent="0.3">
      <c r="B882" s="478"/>
      <c r="C882" s="479"/>
      <c r="E882" s="480"/>
      <c r="G882" s="65"/>
    </row>
    <row r="883" spans="2:7" ht="14.25" customHeight="1" x14ac:dyDescent="0.3">
      <c r="B883" s="478"/>
      <c r="C883" s="479"/>
      <c r="E883" s="480"/>
      <c r="G883" s="65"/>
    </row>
    <row r="884" spans="2:7" ht="14.25" customHeight="1" x14ac:dyDescent="0.3">
      <c r="B884" s="478"/>
      <c r="C884" s="479"/>
      <c r="E884" s="480"/>
      <c r="G884" s="65"/>
    </row>
    <row r="885" spans="2:7" ht="14.25" customHeight="1" x14ac:dyDescent="0.3">
      <c r="B885" s="478"/>
      <c r="C885" s="479"/>
      <c r="E885" s="480"/>
      <c r="G885" s="65"/>
    </row>
    <row r="886" spans="2:7" ht="14.25" customHeight="1" x14ac:dyDescent="0.3">
      <c r="B886" s="478"/>
      <c r="C886" s="479"/>
      <c r="E886" s="480"/>
      <c r="G886" s="65"/>
    </row>
    <row r="887" spans="2:7" ht="14.25" customHeight="1" x14ac:dyDescent="0.3">
      <c r="B887" s="478"/>
      <c r="C887" s="479"/>
      <c r="E887" s="480"/>
      <c r="G887" s="65"/>
    </row>
    <row r="888" spans="2:7" ht="14.25" customHeight="1" x14ac:dyDescent="0.3">
      <c r="B888" s="478"/>
      <c r="C888" s="479"/>
      <c r="E888" s="480"/>
      <c r="G888" s="65"/>
    </row>
    <row r="889" spans="2:7" ht="14.25" customHeight="1" x14ac:dyDescent="0.3">
      <c r="B889" s="478"/>
      <c r="C889" s="479"/>
      <c r="E889" s="480"/>
      <c r="G889" s="65"/>
    </row>
    <row r="890" spans="2:7" ht="14.25" customHeight="1" x14ac:dyDescent="0.3">
      <c r="B890" s="478"/>
      <c r="C890" s="479"/>
      <c r="E890" s="480"/>
      <c r="G890" s="65"/>
    </row>
    <row r="891" spans="2:7" ht="14.25" customHeight="1" x14ac:dyDescent="0.3">
      <c r="B891" s="478"/>
      <c r="C891" s="479"/>
      <c r="E891" s="480"/>
      <c r="G891" s="65"/>
    </row>
    <row r="892" spans="2:7" ht="14.25" customHeight="1" x14ac:dyDescent="0.3">
      <c r="B892" s="478"/>
      <c r="C892" s="479"/>
      <c r="E892" s="480"/>
      <c r="G892" s="65"/>
    </row>
    <row r="893" spans="2:7" ht="14.25" customHeight="1" x14ac:dyDescent="0.3">
      <c r="B893" s="478"/>
      <c r="C893" s="479"/>
      <c r="E893" s="480"/>
      <c r="G893" s="65"/>
    </row>
    <row r="894" spans="2:7" ht="14.25" customHeight="1" x14ac:dyDescent="0.3">
      <c r="B894" s="478"/>
      <c r="C894" s="479"/>
      <c r="E894" s="480"/>
      <c r="G894" s="65"/>
    </row>
    <row r="895" spans="2:7" ht="14.25" customHeight="1" x14ac:dyDescent="0.3">
      <c r="B895" s="478"/>
      <c r="C895" s="479"/>
      <c r="E895" s="480"/>
      <c r="G895" s="65"/>
    </row>
    <row r="896" spans="2:7" ht="14.25" customHeight="1" x14ac:dyDescent="0.3">
      <c r="B896" s="478"/>
      <c r="C896" s="479"/>
      <c r="E896" s="480"/>
      <c r="G896" s="65"/>
    </row>
    <row r="897" spans="2:7" ht="14.25" customHeight="1" x14ac:dyDescent="0.3">
      <c r="B897" s="478"/>
      <c r="C897" s="479"/>
      <c r="E897" s="480"/>
      <c r="G897" s="65"/>
    </row>
    <row r="898" spans="2:7" ht="14.25" customHeight="1" x14ac:dyDescent="0.3">
      <c r="B898" s="478"/>
      <c r="C898" s="479"/>
      <c r="E898" s="480"/>
      <c r="G898" s="65"/>
    </row>
    <row r="899" spans="2:7" ht="14.25" customHeight="1" x14ac:dyDescent="0.3">
      <c r="B899" s="478"/>
      <c r="C899" s="479"/>
      <c r="E899" s="480"/>
      <c r="G899" s="65"/>
    </row>
    <row r="900" spans="2:7" ht="14.25" customHeight="1" x14ac:dyDescent="0.3">
      <c r="B900" s="478"/>
      <c r="C900" s="479"/>
      <c r="E900" s="480"/>
      <c r="G900" s="65"/>
    </row>
    <row r="901" spans="2:7" ht="14.25" customHeight="1" x14ac:dyDescent="0.3">
      <c r="B901" s="478"/>
      <c r="C901" s="479"/>
      <c r="E901" s="480"/>
      <c r="G901" s="65"/>
    </row>
    <row r="902" spans="2:7" ht="14.25" customHeight="1" x14ac:dyDescent="0.3">
      <c r="B902" s="478"/>
      <c r="C902" s="479"/>
      <c r="E902" s="480"/>
      <c r="G902" s="65"/>
    </row>
    <row r="903" spans="2:7" ht="14.25" customHeight="1" x14ac:dyDescent="0.3">
      <c r="B903" s="478"/>
      <c r="C903" s="479"/>
      <c r="E903" s="480"/>
      <c r="G903" s="65"/>
    </row>
    <row r="904" spans="2:7" ht="14.25" customHeight="1" x14ac:dyDescent="0.3">
      <c r="B904" s="478"/>
      <c r="C904" s="479"/>
      <c r="E904" s="480"/>
      <c r="G904" s="65"/>
    </row>
    <row r="905" spans="2:7" ht="14.25" customHeight="1" x14ac:dyDescent="0.3">
      <c r="B905" s="478"/>
      <c r="C905" s="479"/>
      <c r="E905" s="480"/>
      <c r="G905" s="65"/>
    </row>
    <row r="906" spans="2:7" ht="14.25" customHeight="1" x14ac:dyDescent="0.3">
      <c r="B906" s="478"/>
      <c r="C906" s="479"/>
      <c r="E906" s="480"/>
      <c r="G906" s="65"/>
    </row>
    <row r="907" spans="2:7" ht="14.25" customHeight="1" x14ac:dyDescent="0.3">
      <c r="B907" s="478"/>
      <c r="C907" s="479"/>
      <c r="E907" s="480"/>
      <c r="G907" s="65"/>
    </row>
    <row r="908" spans="2:7" ht="14.25" customHeight="1" x14ac:dyDescent="0.3">
      <c r="B908" s="478"/>
      <c r="C908" s="479"/>
      <c r="E908" s="480"/>
      <c r="G908" s="65"/>
    </row>
    <row r="909" spans="2:7" ht="14.25" customHeight="1" x14ac:dyDescent="0.3">
      <c r="B909" s="478"/>
      <c r="C909" s="479"/>
      <c r="E909" s="480"/>
      <c r="G909" s="65"/>
    </row>
    <row r="910" spans="2:7" ht="14.25" customHeight="1" x14ac:dyDescent="0.3">
      <c r="B910" s="478"/>
      <c r="C910" s="479"/>
      <c r="E910" s="480"/>
      <c r="G910" s="65"/>
    </row>
    <row r="911" spans="2:7" ht="14.25" customHeight="1" x14ac:dyDescent="0.3">
      <c r="B911" s="478"/>
      <c r="C911" s="479"/>
      <c r="E911" s="480"/>
      <c r="G911" s="65"/>
    </row>
    <row r="912" spans="2:7" ht="14.25" customHeight="1" x14ac:dyDescent="0.3">
      <c r="B912" s="478"/>
      <c r="C912" s="479"/>
      <c r="E912" s="480"/>
      <c r="G912" s="65"/>
    </row>
    <row r="913" spans="2:7" ht="14.25" customHeight="1" x14ac:dyDescent="0.3">
      <c r="B913" s="478"/>
      <c r="C913" s="479"/>
      <c r="E913" s="480"/>
      <c r="G913" s="65"/>
    </row>
    <row r="914" spans="2:7" ht="14.25" customHeight="1" x14ac:dyDescent="0.3">
      <c r="B914" s="478"/>
      <c r="C914" s="479"/>
      <c r="E914" s="480"/>
      <c r="G914" s="65"/>
    </row>
    <row r="915" spans="2:7" ht="14.25" customHeight="1" x14ac:dyDescent="0.3">
      <c r="B915" s="478"/>
      <c r="C915" s="479"/>
      <c r="E915" s="480"/>
      <c r="G915" s="65"/>
    </row>
    <row r="916" spans="2:7" ht="14.25" customHeight="1" x14ac:dyDescent="0.3">
      <c r="B916" s="478"/>
      <c r="C916" s="479"/>
      <c r="E916" s="480"/>
      <c r="G916" s="65"/>
    </row>
    <row r="917" spans="2:7" ht="14.25" customHeight="1" x14ac:dyDescent="0.3">
      <c r="B917" s="478"/>
      <c r="C917" s="479"/>
      <c r="E917" s="480"/>
      <c r="G917" s="65"/>
    </row>
    <row r="918" spans="2:7" ht="14.25" customHeight="1" x14ac:dyDescent="0.3">
      <c r="B918" s="478"/>
      <c r="C918" s="479"/>
      <c r="E918" s="480"/>
      <c r="G918" s="65"/>
    </row>
    <row r="919" spans="2:7" ht="14.25" customHeight="1" x14ac:dyDescent="0.3">
      <c r="B919" s="478"/>
      <c r="C919" s="479"/>
      <c r="E919" s="480"/>
      <c r="G919" s="65"/>
    </row>
    <row r="920" spans="2:7" ht="14.25" customHeight="1" x14ac:dyDescent="0.3">
      <c r="B920" s="478"/>
      <c r="C920" s="479"/>
      <c r="E920" s="480"/>
      <c r="G920" s="65"/>
    </row>
    <row r="921" spans="2:7" ht="14.25" customHeight="1" x14ac:dyDescent="0.3">
      <c r="B921" s="478"/>
      <c r="C921" s="479"/>
      <c r="E921" s="480"/>
      <c r="G921" s="65"/>
    </row>
    <row r="922" spans="2:7" ht="14.25" customHeight="1" x14ac:dyDescent="0.3">
      <c r="B922" s="478"/>
      <c r="C922" s="479"/>
      <c r="E922" s="480"/>
      <c r="G922" s="65"/>
    </row>
    <row r="923" spans="2:7" ht="14.25" customHeight="1" x14ac:dyDescent="0.3">
      <c r="B923" s="478"/>
      <c r="C923" s="479"/>
      <c r="E923" s="480"/>
      <c r="G923" s="65"/>
    </row>
    <row r="924" spans="2:7" ht="14.25" customHeight="1" x14ac:dyDescent="0.3">
      <c r="B924" s="478"/>
      <c r="C924" s="479"/>
      <c r="E924" s="480"/>
      <c r="G924" s="65"/>
    </row>
    <row r="925" spans="2:7" ht="14.25" customHeight="1" x14ac:dyDescent="0.3">
      <c r="B925" s="478"/>
      <c r="C925" s="479"/>
      <c r="E925" s="480"/>
      <c r="G925" s="65"/>
    </row>
    <row r="926" spans="2:7" ht="14.25" customHeight="1" x14ac:dyDescent="0.3">
      <c r="B926" s="478"/>
      <c r="C926" s="479"/>
      <c r="E926" s="480"/>
      <c r="G926" s="65"/>
    </row>
    <row r="927" spans="2:7" ht="14.25" customHeight="1" x14ac:dyDescent="0.3">
      <c r="B927" s="478"/>
      <c r="C927" s="479"/>
      <c r="E927" s="480"/>
      <c r="G927" s="65"/>
    </row>
    <row r="928" spans="2:7" ht="14.25" customHeight="1" x14ac:dyDescent="0.3">
      <c r="B928" s="478"/>
      <c r="C928" s="479"/>
      <c r="E928" s="480"/>
      <c r="G928" s="65"/>
    </row>
    <row r="929" spans="2:7" ht="14.25" customHeight="1" x14ac:dyDescent="0.3">
      <c r="B929" s="478"/>
      <c r="C929" s="479"/>
      <c r="E929" s="480"/>
      <c r="G929" s="65"/>
    </row>
    <row r="930" spans="2:7" ht="14.25" customHeight="1" x14ac:dyDescent="0.3">
      <c r="B930" s="478"/>
      <c r="C930" s="479"/>
      <c r="E930" s="480"/>
      <c r="G930" s="65"/>
    </row>
    <row r="931" spans="2:7" ht="14.25" customHeight="1" x14ac:dyDescent="0.3">
      <c r="B931" s="478"/>
      <c r="C931" s="479"/>
      <c r="E931" s="480"/>
      <c r="G931" s="65"/>
    </row>
    <row r="932" spans="2:7" ht="14.25" customHeight="1" x14ac:dyDescent="0.3">
      <c r="B932" s="478"/>
      <c r="C932" s="479"/>
      <c r="E932" s="480"/>
      <c r="G932" s="65"/>
    </row>
    <row r="933" spans="2:7" ht="14.25" customHeight="1" x14ac:dyDescent="0.3">
      <c r="B933" s="478"/>
      <c r="C933" s="479"/>
      <c r="E933" s="480"/>
      <c r="G933" s="65"/>
    </row>
    <row r="934" spans="2:7" ht="14.25" customHeight="1" x14ac:dyDescent="0.3">
      <c r="B934" s="478"/>
      <c r="C934" s="479"/>
      <c r="E934" s="480"/>
      <c r="G934" s="65"/>
    </row>
    <row r="935" spans="2:7" ht="14.25" customHeight="1" x14ac:dyDescent="0.3">
      <c r="B935" s="478"/>
      <c r="C935" s="479"/>
      <c r="E935" s="480"/>
      <c r="G935" s="65"/>
    </row>
    <row r="936" spans="2:7" ht="14.25" customHeight="1" x14ac:dyDescent="0.3">
      <c r="B936" s="478"/>
      <c r="C936" s="479"/>
      <c r="E936" s="480"/>
      <c r="G936" s="65"/>
    </row>
    <row r="937" spans="2:7" ht="14.25" customHeight="1" x14ac:dyDescent="0.3">
      <c r="B937" s="478"/>
      <c r="C937" s="479"/>
      <c r="E937" s="480"/>
      <c r="G937" s="65"/>
    </row>
    <row r="938" spans="2:7" ht="14.25" customHeight="1" x14ac:dyDescent="0.3">
      <c r="B938" s="478"/>
      <c r="C938" s="479"/>
      <c r="E938" s="480"/>
      <c r="G938" s="65"/>
    </row>
    <row r="939" spans="2:7" ht="14.25" customHeight="1" x14ac:dyDescent="0.3">
      <c r="B939" s="478"/>
      <c r="C939" s="479"/>
      <c r="E939" s="480"/>
      <c r="G939" s="65"/>
    </row>
    <row r="940" spans="2:7" ht="14.25" customHeight="1" x14ac:dyDescent="0.3">
      <c r="B940" s="478"/>
      <c r="C940" s="479"/>
      <c r="E940" s="480"/>
      <c r="G940" s="65"/>
    </row>
    <row r="941" spans="2:7" ht="14.25" customHeight="1" x14ac:dyDescent="0.3">
      <c r="B941" s="478"/>
      <c r="C941" s="479"/>
      <c r="E941" s="480"/>
      <c r="G941" s="65"/>
    </row>
    <row r="942" spans="2:7" ht="14.25" customHeight="1" x14ac:dyDescent="0.3">
      <c r="B942" s="478"/>
      <c r="C942" s="479"/>
      <c r="E942" s="480"/>
      <c r="G942" s="65"/>
    </row>
    <row r="943" spans="2:7" ht="14.25" customHeight="1" x14ac:dyDescent="0.3">
      <c r="B943" s="478"/>
      <c r="C943" s="479"/>
      <c r="E943" s="480"/>
      <c r="G943" s="65"/>
    </row>
    <row r="944" spans="2:7" ht="14.25" customHeight="1" x14ac:dyDescent="0.3">
      <c r="B944" s="478"/>
      <c r="C944" s="479"/>
      <c r="E944" s="480"/>
      <c r="G944" s="65"/>
    </row>
    <row r="945" spans="2:7" ht="14.25" customHeight="1" x14ac:dyDescent="0.3">
      <c r="B945" s="478"/>
      <c r="C945" s="479"/>
      <c r="E945" s="480"/>
      <c r="G945" s="65"/>
    </row>
    <row r="946" spans="2:7" ht="14.25" customHeight="1" x14ac:dyDescent="0.3">
      <c r="B946" s="478"/>
      <c r="C946" s="479"/>
      <c r="E946" s="480"/>
      <c r="G946" s="65"/>
    </row>
    <row r="947" spans="2:7" ht="14.25" customHeight="1" x14ac:dyDescent="0.3">
      <c r="B947" s="478"/>
      <c r="C947" s="479"/>
      <c r="E947" s="480"/>
      <c r="G947" s="65"/>
    </row>
    <row r="948" spans="2:7" ht="14.25" customHeight="1" x14ac:dyDescent="0.3">
      <c r="B948" s="478"/>
      <c r="C948" s="479"/>
      <c r="E948" s="480"/>
      <c r="G948" s="65"/>
    </row>
    <row r="949" spans="2:7" ht="14.25" customHeight="1" x14ac:dyDescent="0.3">
      <c r="B949" s="478"/>
      <c r="C949" s="479"/>
      <c r="E949" s="480"/>
      <c r="G949" s="65"/>
    </row>
    <row r="950" spans="2:7" ht="14.25" customHeight="1" x14ac:dyDescent="0.3">
      <c r="B950" s="478"/>
      <c r="C950" s="479"/>
      <c r="E950" s="480"/>
      <c r="G950" s="65"/>
    </row>
    <row r="951" spans="2:7" ht="14.25" customHeight="1" x14ac:dyDescent="0.3">
      <c r="B951" s="478"/>
      <c r="C951" s="479"/>
      <c r="E951" s="480"/>
      <c r="G951" s="65"/>
    </row>
    <row r="952" spans="2:7" ht="14.25" customHeight="1" x14ac:dyDescent="0.3">
      <c r="B952" s="478"/>
      <c r="C952" s="479"/>
      <c r="E952" s="480"/>
      <c r="G952" s="65"/>
    </row>
    <row r="953" spans="2:7" ht="14.25" customHeight="1" x14ac:dyDescent="0.3">
      <c r="B953" s="478"/>
      <c r="C953" s="479"/>
      <c r="E953" s="480"/>
      <c r="G953" s="65"/>
    </row>
    <row r="954" spans="2:7" ht="14.25" customHeight="1" x14ac:dyDescent="0.3">
      <c r="B954" s="478"/>
      <c r="C954" s="479"/>
      <c r="E954" s="480"/>
      <c r="G954" s="65"/>
    </row>
    <row r="955" spans="2:7" ht="14.25" customHeight="1" x14ac:dyDescent="0.3">
      <c r="B955" s="478"/>
      <c r="C955" s="479"/>
      <c r="E955" s="480"/>
      <c r="G955" s="65"/>
    </row>
    <row r="956" spans="2:7" ht="14.25" customHeight="1" x14ac:dyDescent="0.3">
      <c r="B956" s="478"/>
      <c r="C956" s="479"/>
      <c r="E956" s="480"/>
      <c r="G956" s="65"/>
    </row>
    <row r="957" spans="2:7" ht="14.25" customHeight="1" x14ac:dyDescent="0.3">
      <c r="B957" s="478"/>
      <c r="C957" s="479"/>
      <c r="E957" s="480"/>
      <c r="G957" s="65"/>
    </row>
    <row r="958" spans="2:7" ht="14.25" customHeight="1" x14ac:dyDescent="0.3">
      <c r="B958" s="478"/>
      <c r="C958" s="479"/>
      <c r="E958" s="480"/>
      <c r="G958" s="65"/>
    </row>
    <row r="959" spans="2:7" ht="14.25" customHeight="1" x14ac:dyDescent="0.3">
      <c r="B959" s="478"/>
      <c r="C959" s="479"/>
      <c r="E959" s="480"/>
      <c r="G959" s="65"/>
    </row>
    <row r="960" spans="2:7" ht="14.25" customHeight="1" x14ac:dyDescent="0.3">
      <c r="B960" s="478"/>
      <c r="C960" s="479"/>
      <c r="E960" s="480"/>
      <c r="G960" s="65"/>
    </row>
    <row r="961" spans="2:7" ht="14.25" customHeight="1" x14ac:dyDescent="0.3">
      <c r="B961" s="478"/>
      <c r="C961" s="479"/>
      <c r="E961" s="480"/>
      <c r="G961" s="65"/>
    </row>
    <row r="962" spans="2:7" ht="14.25" customHeight="1" x14ac:dyDescent="0.3">
      <c r="B962" s="478"/>
      <c r="C962" s="479"/>
      <c r="E962" s="480"/>
      <c r="G962" s="65"/>
    </row>
    <row r="963" spans="2:7" ht="14.25" customHeight="1" x14ac:dyDescent="0.3">
      <c r="B963" s="478"/>
      <c r="C963" s="479"/>
      <c r="E963" s="480"/>
      <c r="G963" s="65"/>
    </row>
    <row r="964" spans="2:7" ht="14.25" customHeight="1" x14ac:dyDescent="0.3">
      <c r="B964" s="478"/>
      <c r="C964" s="479"/>
      <c r="E964" s="480"/>
      <c r="G964" s="65"/>
    </row>
    <row r="965" spans="2:7" ht="14.25" customHeight="1" x14ac:dyDescent="0.3">
      <c r="B965" s="478"/>
      <c r="C965" s="479"/>
      <c r="E965" s="480"/>
      <c r="G965" s="65"/>
    </row>
    <row r="966" spans="2:7" ht="14.25" customHeight="1" x14ac:dyDescent="0.3">
      <c r="B966" s="478"/>
      <c r="C966" s="479"/>
      <c r="E966" s="480"/>
      <c r="G966" s="65"/>
    </row>
    <row r="967" spans="2:7" ht="14.25" customHeight="1" x14ac:dyDescent="0.3">
      <c r="B967" s="478"/>
      <c r="C967" s="479"/>
      <c r="E967" s="480"/>
      <c r="G967" s="65"/>
    </row>
    <row r="968" spans="2:7" ht="14.25" customHeight="1" x14ac:dyDescent="0.3">
      <c r="B968" s="478"/>
      <c r="C968" s="479"/>
      <c r="E968" s="480"/>
      <c r="G968" s="65"/>
    </row>
    <row r="969" spans="2:7" ht="14.25" customHeight="1" x14ac:dyDescent="0.3">
      <c r="B969" s="478"/>
      <c r="C969" s="479"/>
      <c r="E969" s="480"/>
      <c r="G969" s="65"/>
    </row>
    <row r="970" spans="2:7" ht="14.25" customHeight="1" x14ac:dyDescent="0.3">
      <c r="B970" s="478"/>
      <c r="C970" s="479"/>
      <c r="E970" s="480"/>
      <c r="G970" s="65"/>
    </row>
    <row r="971" spans="2:7" ht="14.25" customHeight="1" x14ac:dyDescent="0.3">
      <c r="B971" s="478"/>
      <c r="C971" s="479"/>
      <c r="E971" s="480"/>
      <c r="G971" s="65"/>
    </row>
    <row r="972" spans="2:7" ht="14.25" customHeight="1" x14ac:dyDescent="0.3">
      <c r="B972" s="478"/>
      <c r="C972" s="479"/>
      <c r="E972" s="480"/>
      <c r="G972" s="65"/>
    </row>
    <row r="973" spans="2:7" ht="14.25" customHeight="1" x14ac:dyDescent="0.3">
      <c r="B973" s="478"/>
      <c r="C973" s="479"/>
      <c r="E973" s="480"/>
      <c r="G973" s="65"/>
    </row>
    <row r="974" spans="2:7" ht="14.25" customHeight="1" x14ac:dyDescent="0.3">
      <c r="B974" s="478"/>
      <c r="C974" s="479"/>
      <c r="E974" s="480"/>
      <c r="G974" s="65"/>
    </row>
    <row r="975" spans="2:7" ht="14.25" customHeight="1" x14ac:dyDescent="0.3">
      <c r="B975" s="478"/>
      <c r="C975" s="479"/>
      <c r="E975" s="480"/>
      <c r="G975" s="65"/>
    </row>
    <row r="976" spans="2:7" ht="14.25" customHeight="1" x14ac:dyDescent="0.3">
      <c r="B976" s="478"/>
      <c r="C976" s="479"/>
      <c r="E976" s="480"/>
      <c r="G976" s="65"/>
    </row>
    <row r="977" spans="2:7" ht="14.25" customHeight="1" x14ac:dyDescent="0.3">
      <c r="B977" s="478"/>
      <c r="C977" s="479"/>
      <c r="E977" s="480"/>
      <c r="G977" s="65"/>
    </row>
    <row r="978" spans="2:7" ht="14.25" customHeight="1" x14ac:dyDescent="0.3">
      <c r="B978" s="478"/>
      <c r="C978" s="479"/>
      <c r="E978" s="480"/>
      <c r="G978" s="65"/>
    </row>
    <row r="979" spans="2:7" ht="14.25" customHeight="1" x14ac:dyDescent="0.3">
      <c r="B979" s="478"/>
      <c r="C979" s="479"/>
      <c r="E979" s="480"/>
      <c r="G979" s="65"/>
    </row>
    <row r="980" spans="2:7" ht="14.25" customHeight="1" x14ac:dyDescent="0.3">
      <c r="B980" s="478"/>
      <c r="C980" s="479"/>
      <c r="E980" s="480"/>
      <c r="G980" s="65"/>
    </row>
    <row r="981" spans="2:7" ht="14.25" customHeight="1" x14ac:dyDescent="0.3">
      <c r="B981" s="478"/>
      <c r="C981" s="479"/>
      <c r="E981" s="480"/>
      <c r="G981" s="65"/>
    </row>
    <row r="982" spans="2:7" ht="14.25" customHeight="1" x14ac:dyDescent="0.3">
      <c r="B982" s="478"/>
      <c r="C982" s="479"/>
      <c r="E982" s="480"/>
      <c r="G982" s="65"/>
    </row>
    <row r="983" spans="2:7" ht="14.25" customHeight="1" x14ac:dyDescent="0.3">
      <c r="B983" s="478"/>
      <c r="C983" s="479"/>
      <c r="E983" s="480"/>
      <c r="G983" s="65"/>
    </row>
    <row r="984" spans="2:7" ht="14.25" customHeight="1" x14ac:dyDescent="0.3">
      <c r="B984" s="478"/>
      <c r="C984" s="479"/>
      <c r="E984" s="480"/>
      <c r="G984" s="65"/>
    </row>
    <row r="985" spans="2:7" ht="14.25" customHeight="1" x14ac:dyDescent="0.3">
      <c r="B985" s="478"/>
      <c r="C985" s="479"/>
      <c r="E985" s="480"/>
      <c r="G985" s="65"/>
    </row>
    <row r="986" spans="2:7" ht="14.25" customHeight="1" x14ac:dyDescent="0.3">
      <c r="B986" s="478"/>
      <c r="C986" s="479"/>
      <c r="E986" s="480"/>
      <c r="G986" s="65"/>
    </row>
    <row r="987" spans="2:7" ht="14.25" customHeight="1" x14ac:dyDescent="0.3">
      <c r="B987" s="478"/>
      <c r="C987" s="479"/>
      <c r="E987" s="480"/>
      <c r="G987" s="65"/>
    </row>
    <row r="988" spans="2:7" ht="14.25" customHeight="1" x14ac:dyDescent="0.3">
      <c r="B988" s="478"/>
      <c r="C988" s="479"/>
      <c r="E988" s="480"/>
      <c r="G988" s="65"/>
    </row>
    <row r="989" spans="2:7" ht="14.25" customHeight="1" x14ac:dyDescent="0.3">
      <c r="B989" s="478"/>
      <c r="C989" s="479"/>
      <c r="E989" s="480"/>
      <c r="G989" s="65"/>
    </row>
    <row r="990" spans="2:7" ht="14.25" customHeight="1" x14ac:dyDescent="0.3">
      <c r="B990" s="478"/>
      <c r="C990" s="479"/>
      <c r="E990" s="480"/>
      <c r="G990" s="65"/>
    </row>
    <row r="991" spans="2:7" ht="14.25" customHeight="1" x14ac:dyDescent="0.3">
      <c r="B991" s="478"/>
      <c r="C991" s="479"/>
      <c r="E991" s="480"/>
      <c r="G991" s="65"/>
    </row>
    <row r="992" spans="2:7" ht="14.25" customHeight="1" x14ac:dyDescent="0.3">
      <c r="B992" s="478"/>
      <c r="C992" s="479"/>
      <c r="E992" s="480"/>
      <c r="G992" s="65"/>
    </row>
    <row r="993" spans="2:7" ht="14.25" customHeight="1" x14ac:dyDescent="0.3">
      <c r="B993" s="478"/>
      <c r="C993" s="479"/>
      <c r="E993" s="480"/>
      <c r="G993" s="65"/>
    </row>
    <row r="994" spans="2:7" ht="14.25" customHeight="1" x14ac:dyDescent="0.3">
      <c r="B994" s="478"/>
      <c r="C994" s="479"/>
      <c r="E994" s="480"/>
      <c r="G994" s="65"/>
    </row>
    <row r="995" spans="2:7" ht="14.25" customHeight="1" x14ac:dyDescent="0.3">
      <c r="B995" s="478"/>
      <c r="C995" s="479"/>
      <c r="E995" s="480"/>
      <c r="G995" s="65"/>
    </row>
    <row r="996" spans="2:7" ht="14.25" customHeight="1" x14ac:dyDescent="0.3">
      <c r="B996" s="478"/>
      <c r="C996" s="479"/>
      <c r="E996" s="480"/>
      <c r="G996" s="65"/>
    </row>
    <row r="997" spans="2:7" ht="14.25" customHeight="1" x14ac:dyDescent="0.3">
      <c r="B997" s="478"/>
      <c r="C997" s="479"/>
      <c r="E997" s="480"/>
      <c r="G997" s="65"/>
    </row>
    <row r="998" spans="2:7" ht="14.25" customHeight="1" x14ac:dyDescent="0.3">
      <c r="B998" s="478"/>
      <c r="C998" s="479"/>
      <c r="E998" s="480"/>
      <c r="G998" s="65"/>
    </row>
    <row r="999" spans="2:7" ht="14.25" customHeight="1" x14ac:dyDescent="0.3">
      <c r="B999" s="478"/>
      <c r="C999" s="479"/>
      <c r="E999" s="480"/>
      <c r="G999" s="65"/>
    </row>
    <row r="1000" spans="2:7" ht="14.25" customHeight="1" x14ac:dyDescent="0.3">
      <c r="B1000" s="478"/>
      <c r="C1000" s="479"/>
      <c r="E1000" s="480"/>
      <c r="G1000" s="65"/>
    </row>
  </sheetData>
  <pageMargins left="0.7" right="0.7" top="0.75" bottom="0.75" header="0" footer="0"/>
  <pageSetup orientation="landscape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100-000000000000}">
  <dimension ref="A1:Z1000"/>
  <sheetViews>
    <sheetView workbookViewId="0"/>
  </sheetViews>
  <sheetFormatPr defaultColWidth="14.44140625" defaultRowHeight="15" customHeight="1" x14ac:dyDescent="0.3"/>
  <cols>
    <col min="1" max="1" width="5" customWidth="1"/>
    <col min="2" max="2" width="12.6640625" customWidth="1"/>
    <col min="3" max="3" width="23.33203125" customWidth="1"/>
    <col min="4" max="4" width="17.5546875" customWidth="1"/>
    <col min="5" max="5" width="29" customWidth="1"/>
    <col min="6" max="6" width="24.88671875" customWidth="1"/>
    <col min="7" max="7" width="22" customWidth="1"/>
    <col min="8" max="8" width="15.5546875" customWidth="1"/>
    <col min="9" max="9" width="19.5546875" customWidth="1"/>
    <col min="10" max="10" width="20.109375" customWidth="1"/>
    <col min="11" max="11" width="16.6640625" customWidth="1"/>
    <col min="12" max="12" width="15.33203125" customWidth="1"/>
    <col min="13" max="13" width="19" customWidth="1"/>
    <col min="14" max="14" width="19.5546875" customWidth="1"/>
    <col min="15" max="15" width="16.6640625" customWidth="1"/>
    <col min="16" max="16" width="15.33203125" customWidth="1"/>
    <col min="17" max="17" width="8.6640625" customWidth="1"/>
    <col min="18" max="18" width="14.6640625" customWidth="1"/>
    <col min="19" max="19" width="11.88671875" customWidth="1"/>
    <col min="20" max="20" width="10.5546875" customWidth="1"/>
    <col min="21" max="21" width="9.109375" customWidth="1"/>
    <col min="22" max="26" width="8.6640625" customWidth="1"/>
  </cols>
  <sheetData>
    <row r="1" spans="1:26" ht="14.25" customHeight="1" x14ac:dyDescent="0.3">
      <c r="A1" s="484"/>
      <c r="C1" s="572" t="s">
        <v>787</v>
      </c>
      <c r="D1" s="573"/>
      <c r="E1" s="573"/>
      <c r="F1" s="573"/>
      <c r="G1" s="573"/>
      <c r="H1" s="574"/>
      <c r="I1" s="485"/>
      <c r="J1" s="485"/>
      <c r="K1" s="485"/>
      <c r="L1" s="485"/>
      <c r="M1" s="486"/>
      <c r="N1" s="486"/>
      <c r="O1" s="486"/>
      <c r="P1" s="486"/>
      <c r="R1" s="23"/>
      <c r="U1" s="11"/>
    </row>
    <row r="2" spans="1:26" ht="14.25" customHeight="1" x14ac:dyDescent="0.3">
      <c r="A2" s="487" t="s">
        <v>661</v>
      </c>
      <c r="B2" s="488" t="s">
        <v>776</v>
      </c>
      <c r="C2" s="489" t="s">
        <v>788</v>
      </c>
      <c r="D2" s="489" t="s">
        <v>789</v>
      </c>
      <c r="E2" s="489" t="s">
        <v>790</v>
      </c>
      <c r="F2" s="489" t="s">
        <v>791</v>
      </c>
      <c r="G2" s="489" t="s">
        <v>792</v>
      </c>
      <c r="H2" s="489" t="s">
        <v>793</v>
      </c>
      <c r="I2" s="490" t="s">
        <v>794</v>
      </c>
      <c r="J2" s="490" t="s">
        <v>795</v>
      </c>
      <c r="K2" s="490" t="s">
        <v>796</v>
      </c>
      <c r="L2" s="490" t="s">
        <v>797</v>
      </c>
      <c r="M2" s="491" t="s">
        <v>798</v>
      </c>
      <c r="N2" s="491" t="s">
        <v>799</v>
      </c>
      <c r="O2" s="491" t="s">
        <v>796</v>
      </c>
      <c r="P2" s="491" t="s">
        <v>797</v>
      </c>
      <c r="Q2" s="492"/>
      <c r="R2" s="493" t="s">
        <v>800</v>
      </c>
      <c r="S2" s="492"/>
      <c r="T2" s="492"/>
      <c r="U2" s="494"/>
      <c r="V2" s="492"/>
      <c r="W2" s="492"/>
      <c r="X2" s="492"/>
      <c r="Y2" s="492"/>
      <c r="Z2" s="492"/>
    </row>
    <row r="3" spans="1:26" ht="14.25" customHeight="1" x14ac:dyDescent="0.3">
      <c r="A3" s="495">
        <v>2020</v>
      </c>
      <c r="B3" s="496" t="s">
        <v>801</v>
      </c>
      <c r="C3" s="497">
        <v>19.149999999999999</v>
      </c>
      <c r="D3" s="497"/>
      <c r="E3" s="497"/>
      <c r="F3" s="497"/>
      <c r="G3" s="497"/>
      <c r="H3" s="497">
        <v>0</v>
      </c>
      <c r="I3" s="498">
        <v>12452.14</v>
      </c>
      <c r="J3" s="498">
        <v>12025.27</v>
      </c>
      <c r="K3" s="498">
        <v>45.04</v>
      </c>
      <c r="L3" s="498">
        <v>471.91</v>
      </c>
      <c r="M3" s="499">
        <v>0</v>
      </c>
      <c r="N3" s="499">
        <v>0</v>
      </c>
      <c r="O3" s="499">
        <v>0</v>
      </c>
      <c r="P3" s="500">
        <v>0</v>
      </c>
      <c r="R3" s="23"/>
      <c r="U3" s="11"/>
    </row>
    <row r="4" spans="1:26" ht="14.25" customHeight="1" x14ac:dyDescent="0.3">
      <c r="A4" s="501">
        <v>2020</v>
      </c>
      <c r="B4" s="47" t="s">
        <v>802</v>
      </c>
      <c r="C4" s="502">
        <v>0</v>
      </c>
      <c r="D4" s="502"/>
      <c r="E4" s="502"/>
      <c r="F4" s="502"/>
      <c r="G4" s="502"/>
      <c r="H4" s="502">
        <v>0</v>
      </c>
      <c r="I4" s="503">
        <v>3102.37</v>
      </c>
      <c r="J4" s="503">
        <v>2996.68</v>
      </c>
      <c r="K4" s="503">
        <v>4.3</v>
      </c>
      <c r="L4" s="503">
        <v>109.99</v>
      </c>
      <c r="M4" s="504">
        <v>0</v>
      </c>
      <c r="N4" s="504">
        <v>0</v>
      </c>
      <c r="O4" s="504">
        <v>0</v>
      </c>
      <c r="P4" s="505">
        <v>0</v>
      </c>
      <c r="R4" s="23"/>
      <c r="U4" s="11"/>
    </row>
    <row r="5" spans="1:26" ht="14.25" customHeight="1" x14ac:dyDescent="0.3">
      <c r="A5" s="501">
        <v>2020</v>
      </c>
      <c r="B5" s="47" t="s">
        <v>803</v>
      </c>
      <c r="C5" s="502">
        <v>0</v>
      </c>
      <c r="D5" s="502"/>
      <c r="E5" s="502"/>
      <c r="F5" s="502"/>
      <c r="G5" s="502"/>
      <c r="H5" s="502">
        <v>0</v>
      </c>
      <c r="I5" s="503">
        <v>6554.06</v>
      </c>
      <c r="J5" s="503">
        <v>6488.57</v>
      </c>
      <c r="K5" s="503">
        <v>2.2799999999999998</v>
      </c>
      <c r="L5" s="503">
        <v>67.77</v>
      </c>
      <c r="M5" s="504">
        <v>0</v>
      </c>
      <c r="N5" s="504">
        <v>0</v>
      </c>
      <c r="O5" s="504">
        <v>0</v>
      </c>
      <c r="P5" s="505">
        <v>0</v>
      </c>
      <c r="R5" s="23"/>
      <c r="U5" s="11"/>
    </row>
    <row r="6" spans="1:26" ht="14.25" customHeight="1" x14ac:dyDescent="0.3">
      <c r="A6" s="506">
        <v>2020</v>
      </c>
      <c r="B6" s="507" t="s">
        <v>68</v>
      </c>
      <c r="C6" s="508">
        <f t="shared" ref="C6:F6" si="0">SUM(C2:C5)</f>
        <v>19.149999999999999</v>
      </c>
      <c r="D6" s="508">
        <f t="shared" si="0"/>
        <v>0</v>
      </c>
      <c r="E6" s="508">
        <f t="shared" si="0"/>
        <v>0</v>
      </c>
      <c r="F6" s="508">
        <f t="shared" si="0"/>
        <v>0</v>
      </c>
      <c r="G6" s="508"/>
      <c r="H6" s="508">
        <f t="shared" ref="H6:P6" si="1">SUM(H2:H5)</f>
        <v>0</v>
      </c>
      <c r="I6" s="509">
        <f t="shared" si="1"/>
        <v>22108.57</v>
      </c>
      <c r="J6" s="509">
        <f t="shared" si="1"/>
        <v>21510.52</v>
      </c>
      <c r="K6" s="509">
        <f t="shared" si="1"/>
        <v>51.62</v>
      </c>
      <c r="L6" s="509">
        <f t="shared" si="1"/>
        <v>649.66999999999996</v>
      </c>
      <c r="M6" s="510">
        <f t="shared" si="1"/>
        <v>0</v>
      </c>
      <c r="N6" s="510">
        <f t="shared" si="1"/>
        <v>0</v>
      </c>
      <c r="O6" s="510">
        <f t="shared" si="1"/>
        <v>0</v>
      </c>
      <c r="P6" s="511">
        <f t="shared" si="1"/>
        <v>0</v>
      </c>
      <c r="Q6" s="492"/>
      <c r="R6" s="512">
        <f>L6+P6</f>
        <v>649.66999999999996</v>
      </c>
      <c r="S6" s="492"/>
      <c r="T6" s="492"/>
      <c r="U6" s="494"/>
      <c r="V6" s="492"/>
      <c r="W6" s="492"/>
      <c r="X6" s="492"/>
      <c r="Y6" s="492"/>
      <c r="Z6" s="492"/>
    </row>
    <row r="7" spans="1:26" ht="14.25" customHeight="1" x14ac:dyDescent="0.3">
      <c r="A7" s="484"/>
      <c r="C7" s="513"/>
      <c r="D7" s="513"/>
      <c r="E7" s="513"/>
      <c r="F7" s="513"/>
      <c r="G7" s="513"/>
      <c r="H7" s="513"/>
      <c r="I7" s="485"/>
      <c r="J7" s="485"/>
      <c r="K7" s="485"/>
      <c r="L7" s="485"/>
      <c r="M7" s="486"/>
      <c r="N7" s="486"/>
      <c r="O7" s="486"/>
      <c r="P7" s="486"/>
      <c r="R7" s="23"/>
      <c r="U7" s="11"/>
    </row>
    <row r="8" spans="1:26" ht="14.25" customHeight="1" x14ac:dyDescent="0.3">
      <c r="A8" s="495">
        <v>2021</v>
      </c>
      <c r="B8" s="496" t="s">
        <v>804</v>
      </c>
      <c r="C8" s="497">
        <v>45.14</v>
      </c>
      <c r="D8" s="497"/>
      <c r="E8" s="497"/>
      <c r="F8" s="497"/>
      <c r="G8" s="497"/>
      <c r="H8" s="497">
        <v>0.94</v>
      </c>
      <c r="I8" s="498">
        <v>75774.039999999994</v>
      </c>
      <c r="J8" s="498">
        <v>72656.539999999994</v>
      </c>
      <c r="K8" s="498">
        <v>395.57</v>
      </c>
      <c r="L8" s="498">
        <v>3513.07</v>
      </c>
      <c r="M8" s="499">
        <v>1617.32</v>
      </c>
      <c r="N8" s="499">
        <v>1052.6500000000001</v>
      </c>
      <c r="O8" s="499">
        <v>0</v>
      </c>
      <c r="P8" s="500">
        <v>564.66999999999996</v>
      </c>
      <c r="R8" s="23"/>
      <c r="U8" s="11"/>
    </row>
    <row r="9" spans="1:26" ht="14.25" customHeight="1" x14ac:dyDescent="0.3">
      <c r="A9" s="501">
        <v>2021</v>
      </c>
      <c r="B9" s="47" t="s">
        <v>802</v>
      </c>
      <c r="C9" s="502">
        <v>0</v>
      </c>
      <c r="D9" s="502"/>
      <c r="E9" s="502"/>
      <c r="F9" s="502"/>
      <c r="G9" s="502"/>
      <c r="H9" s="502">
        <v>0</v>
      </c>
      <c r="I9" s="503">
        <v>15051.2</v>
      </c>
      <c r="J9" s="503">
        <v>14175.95</v>
      </c>
      <c r="K9" s="503">
        <v>13.41</v>
      </c>
      <c r="L9" s="503">
        <v>888.66</v>
      </c>
      <c r="M9" s="504">
        <v>570.67999999999995</v>
      </c>
      <c r="N9" s="504">
        <v>339.23</v>
      </c>
      <c r="O9" s="504">
        <v>0</v>
      </c>
      <c r="P9" s="505">
        <v>231.45</v>
      </c>
      <c r="R9" s="23"/>
      <c r="U9" s="11"/>
    </row>
    <row r="10" spans="1:26" ht="14.25" customHeight="1" x14ac:dyDescent="0.3">
      <c r="A10" s="501">
        <v>2021</v>
      </c>
      <c r="B10" s="47" t="s">
        <v>803</v>
      </c>
      <c r="C10" s="502">
        <v>0</v>
      </c>
      <c r="D10" s="502"/>
      <c r="E10" s="502"/>
      <c r="F10" s="502"/>
      <c r="G10" s="502"/>
      <c r="H10" s="502">
        <v>0</v>
      </c>
      <c r="I10" s="503">
        <v>11202.69</v>
      </c>
      <c r="J10" s="503">
        <v>10564.64</v>
      </c>
      <c r="K10" s="503">
        <v>15.33</v>
      </c>
      <c r="L10" s="503">
        <v>653.38</v>
      </c>
      <c r="M10" s="504">
        <v>426.17</v>
      </c>
      <c r="N10" s="504">
        <v>253.66</v>
      </c>
      <c r="O10" s="504">
        <v>0</v>
      </c>
      <c r="P10" s="505">
        <v>172.51</v>
      </c>
      <c r="R10" s="23"/>
      <c r="U10" s="11"/>
    </row>
    <row r="11" spans="1:26" ht="14.25" customHeight="1" x14ac:dyDescent="0.3">
      <c r="A11" s="506">
        <v>2021</v>
      </c>
      <c r="B11" s="507" t="s">
        <v>68</v>
      </c>
      <c r="C11" s="508">
        <f t="shared" ref="C11:P11" si="2">SUM(C8:C10)</f>
        <v>45.14</v>
      </c>
      <c r="D11" s="508">
        <f t="shared" si="2"/>
        <v>0</v>
      </c>
      <c r="E11" s="508">
        <f t="shared" si="2"/>
        <v>0</v>
      </c>
      <c r="F11" s="508">
        <f t="shared" si="2"/>
        <v>0</v>
      </c>
      <c r="G11" s="508">
        <f t="shared" si="2"/>
        <v>0</v>
      </c>
      <c r="H11" s="508">
        <f t="shared" si="2"/>
        <v>0.94</v>
      </c>
      <c r="I11" s="509">
        <f t="shared" si="2"/>
        <v>102027.93</v>
      </c>
      <c r="J11" s="509">
        <f t="shared" si="2"/>
        <v>97397.12999999999</v>
      </c>
      <c r="K11" s="509">
        <f t="shared" si="2"/>
        <v>424.31</v>
      </c>
      <c r="L11" s="509">
        <f t="shared" si="2"/>
        <v>5055.1100000000006</v>
      </c>
      <c r="M11" s="510">
        <f t="shared" si="2"/>
        <v>2614.17</v>
      </c>
      <c r="N11" s="510">
        <f t="shared" si="2"/>
        <v>1645.5400000000002</v>
      </c>
      <c r="O11" s="510">
        <f t="shared" si="2"/>
        <v>0</v>
      </c>
      <c r="P11" s="511">
        <f t="shared" si="2"/>
        <v>968.62999999999988</v>
      </c>
      <c r="Q11" s="492"/>
      <c r="R11" s="512">
        <f>L11+P11</f>
        <v>6023.7400000000007</v>
      </c>
      <c r="S11" s="492"/>
      <c r="T11" s="492"/>
      <c r="U11" s="494"/>
      <c r="V11" s="492"/>
      <c r="W11" s="492"/>
      <c r="X11" s="492"/>
      <c r="Y11" s="492"/>
      <c r="Z11" s="492"/>
    </row>
    <row r="12" spans="1:26" ht="14.25" customHeight="1" x14ac:dyDescent="0.3">
      <c r="A12" s="484"/>
      <c r="C12" s="513"/>
      <c r="D12" s="513"/>
      <c r="E12" s="513"/>
      <c r="F12" s="513"/>
      <c r="G12" s="513"/>
      <c r="H12" s="513"/>
      <c r="I12" s="485"/>
      <c r="J12" s="485"/>
      <c r="K12" s="485"/>
      <c r="L12" s="485"/>
      <c r="M12" s="486"/>
      <c r="N12" s="486"/>
      <c r="O12" s="486"/>
      <c r="P12" s="486"/>
      <c r="R12" s="23"/>
      <c r="U12" s="11"/>
    </row>
    <row r="13" spans="1:26" ht="14.25" customHeight="1" x14ac:dyDescent="0.3">
      <c r="A13" s="495">
        <v>2022</v>
      </c>
      <c r="B13" s="496" t="s">
        <v>801</v>
      </c>
      <c r="C13" s="497">
        <v>220.65</v>
      </c>
      <c r="D13" s="497"/>
      <c r="E13" s="497"/>
      <c r="F13" s="497">
        <v>12.93</v>
      </c>
      <c r="G13" s="497">
        <v>0.32</v>
      </c>
      <c r="H13" s="497">
        <v>0</v>
      </c>
      <c r="I13" s="498">
        <v>94983.37</v>
      </c>
      <c r="J13" s="498">
        <v>112827.17</v>
      </c>
      <c r="K13" s="498">
        <v>1902.03</v>
      </c>
      <c r="L13" s="498">
        <v>-15941.77</v>
      </c>
      <c r="M13" s="499">
        <v>22406.02</v>
      </c>
      <c r="N13" s="499">
        <v>29089.68</v>
      </c>
      <c r="O13" s="499">
        <v>2107.16</v>
      </c>
      <c r="P13" s="500">
        <v>-4576.5</v>
      </c>
      <c r="R13" s="23"/>
      <c r="U13" s="11"/>
    </row>
    <row r="14" spans="1:26" ht="14.25" customHeight="1" x14ac:dyDescent="0.3">
      <c r="A14" s="501">
        <v>2022</v>
      </c>
      <c r="B14" s="47" t="s">
        <v>802</v>
      </c>
      <c r="C14" s="502">
        <v>22.14</v>
      </c>
      <c r="D14" s="502"/>
      <c r="E14" s="502"/>
      <c r="F14" s="502">
        <v>1.2</v>
      </c>
      <c r="G14" s="502">
        <v>0.03</v>
      </c>
      <c r="H14" s="502">
        <v>0</v>
      </c>
      <c r="I14" s="503">
        <v>10363.58</v>
      </c>
      <c r="J14" s="503">
        <v>12096.94</v>
      </c>
      <c r="K14" s="503">
        <v>194.48</v>
      </c>
      <c r="L14" s="503">
        <v>-1538.88</v>
      </c>
      <c r="M14" s="504">
        <v>2634.85</v>
      </c>
      <c r="N14" s="504">
        <v>3549.22</v>
      </c>
      <c r="O14" s="504">
        <v>228.25</v>
      </c>
      <c r="P14" s="505">
        <v>-686.12</v>
      </c>
      <c r="R14" s="23"/>
      <c r="U14" s="11"/>
    </row>
    <row r="15" spans="1:26" ht="14.25" customHeight="1" x14ac:dyDescent="0.3">
      <c r="A15" s="501">
        <v>2022</v>
      </c>
      <c r="B15" s="47" t="s">
        <v>803</v>
      </c>
      <c r="C15" s="502">
        <v>22.04</v>
      </c>
      <c r="D15" s="502"/>
      <c r="E15" s="502"/>
      <c r="F15" s="502">
        <v>1.23</v>
      </c>
      <c r="G15" s="502">
        <v>0.03</v>
      </c>
      <c r="H15" s="502">
        <v>0</v>
      </c>
      <c r="I15" s="503">
        <v>9690.0300000000007</v>
      </c>
      <c r="J15" s="503">
        <v>11200.65</v>
      </c>
      <c r="K15" s="503">
        <v>164.55</v>
      </c>
      <c r="L15" s="503">
        <v>-1346.07</v>
      </c>
      <c r="M15" s="504">
        <v>2439.35</v>
      </c>
      <c r="N15" s="504">
        <v>3222.21</v>
      </c>
      <c r="O15" s="504">
        <v>231.38</v>
      </c>
      <c r="P15" s="505">
        <v>-551.48</v>
      </c>
      <c r="R15" s="23"/>
      <c r="S15" s="484">
        <v>2022</v>
      </c>
      <c r="T15" s="484">
        <v>2023</v>
      </c>
      <c r="U15" s="484">
        <v>2024</v>
      </c>
    </row>
    <row r="16" spans="1:26" ht="14.25" customHeight="1" x14ac:dyDescent="0.3">
      <c r="A16" s="506">
        <v>2022</v>
      </c>
      <c r="B16" s="507" t="s">
        <v>68</v>
      </c>
      <c r="C16" s="508">
        <f t="shared" ref="C16:P16" si="3">SUM(C13:C15)</f>
        <v>264.83000000000004</v>
      </c>
      <c r="D16" s="508">
        <f t="shared" si="3"/>
        <v>0</v>
      </c>
      <c r="E16" s="508">
        <f t="shared" si="3"/>
        <v>0</v>
      </c>
      <c r="F16" s="508">
        <f t="shared" si="3"/>
        <v>15.36</v>
      </c>
      <c r="G16" s="508">
        <f t="shared" si="3"/>
        <v>0.38</v>
      </c>
      <c r="H16" s="508">
        <f t="shared" si="3"/>
        <v>0</v>
      </c>
      <c r="I16" s="509">
        <f t="shared" si="3"/>
        <v>115036.98</v>
      </c>
      <c r="J16" s="509">
        <f t="shared" si="3"/>
        <v>136124.76</v>
      </c>
      <c r="K16" s="509">
        <f t="shared" si="3"/>
        <v>2261.06</v>
      </c>
      <c r="L16" s="509">
        <f t="shared" si="3"/>
        <v>-18826.72</v>
      </c>
      <c r="M16" s="510">
        <f t="shared" si="3"/>
        <v>27480.219999999998</v>
      </c>
      <c r="N16" s="510">
        <f t="shared" si="3"/>
        <v>35861.11</v>
      </c>
      <c r="O16" s="510">
        <f t="shared" si="3"/>
        <v>2566.79</v>
      </c>
      <c r="P16" s="511">
        <f t="shared" si="3"/>
        <v>-5814.1</v>
      </c>
      <c r="Q16" s="492"/>
      <c r="R16" s="493">
        <f>L16+P16</f>
        <v>-24640.82</v>
      </c>
      <c r="S16" s="493">
        <v>3000</v>
      </c>
      <c r="T16" s="493">
        <v>1200.55</v>
      </c>
      <c r="U16" s="514">
        <v>3000</v>
      </c>
      <c r="V16" s="492"/>
      <c r="W16" s="492"/>
      <c r="X16" s="492"/>
      <c r="Y16" s="492"/>
      <c r="Z16" s="492"/>
    </row>
    <row r="17" spans="1:26" ht="14.25" customHeight="1" x14ac:dyDescent="0.3">
      <c r="A17" s="484"/>
      <c r="C17" s="513"/>
      <c r="D17" s="513"/>
      <c r="E17" s="513"/>
      <c r="F17" s="513"/>
      <c r="G17" s="513"/>
      <c r="H17" s="513"/>
      <c r="I17" s="485"/>
      <c r="J17" s="485"/>
      <c r="K17" s="485"/>
      <c r="L17" s="485"/>
      <c r="M17" s="486"/>
      <c r="N17" s="486"/>
      <c r="O17" s="486"/>
      <c r="P17" s="486"/>
      <c r="R17" s="23"/>
      <c r="U17" s="11"/>
    </row>
    <row r="18" spans="1:26" ht="14.25" customHeight="1" x14ac:dyDescent="0.3">
      <c r="A18" s="495">
        <v>2023</v>
      </c>
      <c r="B18" s="496" t="s">
        <v>801</v>
      </c>
      <c r="C18" s="497">
        <v>531.49</v>
      </c>
      <c r="D18" s="497"/>
      <c r="E18" s="497">
        <v>1.08</v>
      </c>
      <c r="F18" s="497">
        <v>1.38</v>
      </c>
      <c r="G18" s="497">
        <v>7.34</v>
      </c>
      <c r="H18" s="497">
        <v>1.65</v>
      </c>
      <c r="I18" s="498">
        <v>30169.67</v>
      </c>
      <c r="J18" s="498">
        <v>31517.34</v>
      </c>
      <c r="K18" s="498">
        <v>680.55</v>
      </c>
      <c r="L18" s="498">
        <v>-667.12</v>
      </c>
      <c r="M18" s="499">
        <v>4072.37</v>
      </c>
      <c r="N18" s="499">
        <v>5526.03</v>
      </c>
      <c r="O18" s="499">
        <v>451.77</v>
      </c>
      <c r="P18" s="500">
        <v>-1001.89</v>
      </c>
      <c r="R18" s="23"/>
      <c r="U18" s="11"/>
    </row>
    <row r="19" spans="1:26" ht="14.25" customHeight="1" x14ac:dyDescent="0.3">
      <c r="A19" s="501">
        <v>2023</v>
      </c>
      <c r="B19" s="47" t="s">
        <v>805</v>
      </c>
      <c r="C19" s="502">
        <v>366.19</v>
      </c>
      <c r="D19" s="502"/>
      <c r="E19" s="502"/>
      <c r="F19" s="502"/>
      <c r="G19" s="502">
        <v>3.11</v>
      </c>
      <c r="H19" s="502">
        <v>3.66</v>
      </c>
      <c r="I19" s="503">
        <v>3673.22</v>
      </c>
      <c r="J19" s="503">
        <v>3685.42</v>
      </c>
      <c r="K19" s="503">
        <v>10.91</v>
      </c>
      <c r="L19" s="503">
        <v>-1.29</v>
      </c>
      <c r="M19" s="504">
        <v>610.11</v>
      </c>
      <c r="N19" s="504">
        <v>701.93</v>
      </c>
      <c r="O19" s="504">
        <v>1.48</v>
      </c>
      <c r="P19" s="505">
        <v>-90.34</v>
      </c>
      <c r="R19" s="23"/>
      <c r="U19" s="11"/>
    </row>
    <row r="20" spans="1:26" ht="14.25" customHeight="1" x14ac:dyDescent="0.3">
      <c r="A20" s="501">
        <v>2023</v>
      </c>
      <c r="B20" s="47" t="s">
        <v>802</v>
      </c>
      <c r="C20" s="502">
        <v>36.15</v>
      </c>
      <c r="D20" s="502"/>
      <c r="E20" s="502">
        <v>0.1</v>
      </c>
      <c r="F20" s="502">
        <v>0.13</v>
      </c>
      <c r="G20" s="502">
        <v>0.64</v>
      </c>
      <c r="H20" s="502">
        <v>0.09</v>
      </c>
      <c r="I20" s="503">
        <v>6803.5</v>
      </c>
      <c r="J20" s="503">
        <v>6582.31</v>
      </c>
      <c r="K20" s="503">
        <v>50.59</v>
      </c>
      <c r="L20" s="503">
        <v>271.77999999999997</v>
      </c>
      <c r="M20" s="504">
        <v>830.72</v>
      </c>
      <c r="N20" s="504">
        <v>1041.3599999999999</v>
      </c>
      <c r="O20" s="504">
        <v>60.19</v>
      </c>
      <c r="P20" s="505">
        <v>-150.44999999999999</v>
      </c>
      <c r="R20" s="23"/>
      <c r="U20" s="11"/>
    </row>
    <row r="21" spans="1:26" ht="14.25" customHeight="1" x14ac:dyDescent="0.3">
      <c r="A21" s="501">
        <v>2023</v>
      </c>
      <c r="B21" s="47" t="s">
        <v>803</v>
      </c>
      <c r="C21" s="502">
        <v>56.85</v>
      </c>
      <c r="D21" s="502"/>
      <c r="E21" s="502">
        <v>0.11</v>
      </c>
      <c r="F21" s="502">
        <v>0.15</v>
      </c>
      <c r="G21" s="502">
        <v>0.77</v>
      </c>
      <c r="H21" s="502">
        <v>0.18</v>
      </c>
      <c r="I21" s="503">
        <v>2976.71</v>
      </c>
      <c r="J21" s="503">
        <v>3097.87</v>
      </c>
      <c r="K21" s="503">
        <v>58.34</v>
      </c>
      <c r="L21" s="503">
        <v>-62.82</v>
      </c>
      <c r="M21" s="504">
        <v>441.52</v>
      </c>
      <c r="N21" s="504">
        <v>587.78</v>
      </c>
      <c r="O21" s="504">
        <v>48.94</v>
      </c>
      <c r="P21" s="505">
        <v>-97.32</v>
      </c>
      <c r="R21" s="23"/>
      <c r="S21" s="484">
        <v>2023</v>
      </c>
      <c r="U21" s="11"/>
    </row>
    <row r="22" spans="1:26" ht="14.25" customHeight="1" x14ac:dyDescent="0.3">
      <c r="A22" s="506">
        <v>2023</v>
      </c>
      <c r="B22" s="507" t="s">
        <v>68</v>
      </c>
      <c r="C22" s="508">
        <f>SUM(C18:C21)</f>
        <v>990.68000000000006</v>
      </c>
      <c r="D22" s="508"/>
      <c r="E22" s="508">
        <f t="shared" ref="E22:P22" si="4">SUM(E18:E21)</f>
        <v>1.2900000000000003</v>
      </c>
      <c r="F22" s="508">
        <f t="shared" si="4"/>
        <v>1.6599999999999997</v>
      </c>
      <c r="G22" s="508">
        <f t="shared" si="4"/>
        <v>11.86</v>
      </c>
      <c r="H22" s="508">
        <f t="shared" si="4"/>
        <v>5.58</v>
      </c>
      <c r="I22" s="509">
        <f t="shared" si="4"/>
        <v>43623.1</v>
      </c>
      <c r="J22" s="509">
        <f t="shared" si="4"/>
        <v>44882.94</v>
      </c>
      <c r="K22" s="509">
        <f t="shared" si="4"/>
        <v>800.39</v>
      </c>
      <c r="L22" s="509">
        <f t="shared" si="4"/>
        <v>-459.45</v>
      </c>
      <c r="M22" s="510">
        <f t="shared" si="4"/>
        <v>5954.7199999999993</v>
      </c>
      <c r="N22" s="510">
        <f t="shared" si="4"/>
        <v>7857.0999999999995</v>
      </c>
      <c r="O22" s="510">
        <f t="shared" si="4"/>
        <v>562.38000000000011</v>
      </c>
      <c r="P22" s="511">
        <f t="shared" si="4"/>
        <v>-1340</v>
      </c>
      <c r="Q22" s="492"/>
      <c r="R22" s="512">
        <f>L22+P22</f>
        <v>-1799.45</v>
      </c>
      <c r="S22" s="512">
        <v>1799.45</v>
      </c>
      <c r="T22" s="492"/>
      <c r="U22" s="494"/>
      <c r="V22" s="492"/>
      <c r="W22" s="492"/>
      <c r="X22" s="492"/>
      <c r="Y22" s="492"/>
      <c r="Z22" s="492"/>
    </row>
    <row r="23" spans="1:26" ht="14.25" customHeight="1" x14ac:dyDescent="0.3">
      <c r="A23" s="484"/>
      <c r="C23" s="513"/>
      <c r="D23" s="513"/>
      <c r="E23" s="513"/>
      <c r="F23" s="513"/>
      <c r="G23" s="513"/>
      <c r="H23" s="513"/>
      <c r="I23" s="485"/>
      <c r="J23" s="485"/>
      <c r="K23" s="485"/>
      <c r="L23" s="485"/>
      <c r="M23" s="486"/>
      <c r="N23" s="486"/>
      <c r="O23" s="486"/>
      <c r="P23" s="486"/>
      <c r="R23" s="23"/>
      <c r="U23" s="11"/>
    </row>
    <row r="24" spans="1:26" ht="14.25" customHeight="1" x14ac:dyDescent="0.3">
      <c r="A24" s="515">
        <v>2024</v>
      </c>
      <c r="B24" s="516">
        <v>255006</v>
      </c>
      <c r="C24" s="517">
        <v>1017.8</v>
      </c>
      <c r="D24" s="517">
        <v>0.73</v>
      </c>
      <c r="E24" s="517">
        <v>0</v>
      </c>
      <c r="F24" s="517">
        <v>0</v>
      </c>
      <c r="G24" s="517">
        <v>15.21</v>
      </c>
      <c r="H24" s="517">
        <v>0.88</v>
      </c>
      <c r="I24" s="518">
        <v>14079.67</v>
      </c>
      <c r="J24" s="518">
        <v>13840.06</v>
      </c>
      <c r="K24" s="518">
        <v>106.57</v>
      </c>
      <c r="L24" s="518">
        <v>346.18</v>
      </c>
      <c r="M24" s="519">
        <v>31521.56</v>
      </c>
      <c r="N24" s="519">
        <v>25753.85</v>
      </c>
      <c r="O24" s="519">
        <v>4.93</v>
      </c>
      <c r="P24" s="520">
        <v>5772.64</v>
      </c>
      <c r="Q24" s="492"/>
      <c r="R24" s="493">
        <f>L24+P24</f>
        <v>6118.8200000000006</v>
      </c>
      <c r="S24" s="492"/>
      <c r="T24" s="492"/>
      <c r="U24" s="494"/>
      <c r="V24" s="492"/>
      <c r="W24" s="492"/>
      <c r="X24" s="492"/>
      <c r="Y24" s="492"/>
      <c r="Z24" s="492"/>
    </row>
    <row r="25" spans="1:26" ht="14.25" customHeight="1" x14ac:dyDescent="0.3">
      <c r="A25" s="484"/>
      <c r="C25" s="25"/>
      <c r="D25" s="25"/>
      <c r="E25" s="25"/>
      <c r="F25" s="25"/>
      <c r="G25" s="25"/>
      <c r="H25" s="25"/>
      <c r="I25" s="25"/>
      <c r="J25" s="25"/>
      <c r="K25" s="25"/>
      <c r="L25" s="25"/>
      <c r="M25" s="25"/>
      <c r="N25" s="25"/>
      <c r="O25" s="25"/>
      <c r="P25" s="25"/>
      <c r="R25" s="23"/>
      <c r="U25" s="11"/>
    </row>
    <row r="26" spans="1:26" ht="14.25" customHeight="1" x14ac:dyDescent="0.3">
      <c r="A26" s="484"/>
      <c r="C26" s="25"/>
      <c r="D26" s="25"/>
      <c r="E26" s="25"/>
      <c r="F26" s="25"/>
      <c r="G26" s="25"/>
      <c r="H26" s="25"/>
      <c r="I26" s="25"/>
      <c r="J26" s="25"/>
      <c r="K26" s="25"/>
      <c r="L26" s="25"/>
      <c r="M26" s="25"/>
      <c r="N26" s="25"/>
      <c r="O26" s="25"/>
      <c r="P26" s="25"/>
      <c r="R26" s="23"/>
      <c r="U26" s="11"/>
    </row>
    <row r="27" spans="1:26" ht="14.25" customHeight="1" x14ac:dyDescent="0.3">
      <c r="A27" s="484"/>
      <c r="C27" s="25"/>
      <c r="D27" s="25"/>
      <c r="E27" s="25"/>
      <c r="F27" s="25"/>
      <c r="G27" s="25"/>
      <c r="H27" s="25"/>
      <c r="I27" s="25"/>
      <c r="J27" s="25"/>
      <c r="K27" s="25"/>
      <c r="L27" s="25"/>
      <c r="M27" s="25"/>
      <c r="N27" s="25"/>
      <c r="O27" s="25"/>
      <c r="P27" s="25"/>
      <c r="R27" s="23"/>
      <c r="U27" s="11"/>
    </row>
    <row r="28" spans="1:26" ht="14.25" customHeight="1" x14ac:dyDescent="0.3">
      <c r="A28" s="484"/>
      <c r="C28" s="25"/>
      <c r="D28" s="25"/>
      <c r="E28" s="25"/>
      <c r="F28" s="25"/>
      <c r="G28" s="25"/>
      <c r="H28" s="25"/>
      <c r="I28" s="25"/>
      <c r="J28" s="25"/>
      <c r="K28" s="25"/>
      <c r="L28" s="25"/>
      <c r="M28" s="25"/>
      <c r="N28" s="25"/>
      <c r="O28" s="25"/>
      <c r="P28" s="25"/>
      <c r="R28" s="23"/>
      <c r="U28" s="11"/>
    </row>
    <row r="29" spans="1:26" ht="14.25" customHeight="1" x14ac:dyDescent="0.3">
      <c r="A29" s="484"/>
      <c r="C29" s="25"/>
      <c r="D29" s="25"/>
      <c r="E29" s="25"/>
      <c r="F29" s="25"/>
      <c r="G29" s="25"/>
      <c r="H29" s="25"/>
      <c r="I29" s="25"/>
      <c r="J29" s="25"/>
      <c r="K29" s="25"/>
      <c r="L29" s="25"/>
      <c r="M29" s="25"/>
      <c r="N29" s="25"/>
      <c r="O29" s="25"/>
      <c r="P29" s="25"/>
      <c r="R29" s="23"/>
      <c r="U29" s="11"/>
    </row>
    <row r="30" spans="1:26" ht="14.25" customHeight="1" x14ac:dyDescent="0.3">
      <c r="A30" s="484"/>
      <c r="C30" s="25"/>
      <c r="D30" s="25"/>
      <c r="E30" s="25"/>
      <c r="F30" s="25"/>
      <c r="G30" s="25"/>
      <c r="H30" s="25"/>
      <c r="I30" s="25"/>
      <c r="J30" s="25"/>
      <c r="K30" s="25"/>
      <c r="L30" s="25"/>
      <c r="M30" s="25"/>
      <c r="N30" s="25"/>
      <c r="O30" s="25"/>
      <c r="P30" s="25"/>
      <c r="R30" s="23"/>
      <c r="U30" s="11"/>
    </row>
    <row r="31" spans="1:26" ht="14.25" customHeight="1" x14ac:dyDescent="0.3">
      <c r="A31" s="484"/>
      <c r="C31" s="25"/>
      <c r="D31" s="25"/>
      <c r="E31" s="25"/>
      <c r="F31" s="25"/>
      <c r="G31" s="25"/>
      <c r="H31" s="25"/>
      <c r="I31" s="25"/>
      <c r="J31" s="25"/>
      <c r="K31" s="25"/>
      <c r="L31" s="25"/>
      <c r="M31" s="25"/>
      <c r="N31" s="25"/>
      <c r="O31" s="25"/>
      <c r="P31" s="25"/>
      <c r="R31" s="23"/>
      <c r="U31" s="11"/>
    </row>
    <row r="32" spans="1:26" ht="14.25" customHeight="1" x14ac:dyDescent="0.3">
      <c r="A32" s="484"/>
      <c r="C32" s="25"/>
      <c r="D32" s="25"/>
      <c r="E32" s="25"/>
      <c r="F32" s="25"/>
      <c r="G32" s="25"/>
      <c r="H32" s="25"/>
      <c r="I32" s="25"/>
      <c r="J32" s="25"/>
      <c r="K32" s="25"/>
      <c r="L32" s="25"/>
      <c r="M32" s="25"/>
      <c r="N32" s="25"/>
      <c r="O32" s="25"/>
      <c r="P32" s="25"/>
      <c r="R32" s="23"/>
      <c r="U32" s="11"/>
    </row>
    <row r="33" spans="1:21" ht="14.25" customHeight="1" x14ac:dyDescent="0.3">
      <c r="A33" s="484"/>
      <c r="C33" s="25"/>
      <c r="D33" s="25"/>
      <c r="E33" s="25"/>
      <c r="F33" s="25"/>
      <c r="G33" s="25"/>
      <c r="H33" s="25"/>
      <c r="I33" s="25"/>
      <c r="J33" s="25"/>
      <c r="K33" s="25"/>
      <c r="L33" s="25"/>
      <c r="M33" s="25"/>
      <c r="N33" s="25"/>
      <c r="O33" s="25"/>
      <c r="P33" s="25"/>
      <c r="R33" s="23"/>
      <c r="U33" s="11"/>
    </row>
    <row r="34" spans="1:21" ht="14.25" customHeight="1" x14ac:dyDescent="0.3">
      <c r="A34" s="484"/>
      <c r="C34" s="25"/>
      <c r="D34" s="25"/>
      <c r="E34" s="25"/>
      <c r="F34" s="25"/>
      <c r="G34" s="25"/>
      <c r="H34" s="25"/>
      <c r="I34" s="25"/>
      <c r="J34" s="25"/>
      <c r="K34" s="25"/>
      <c r="L34" s="25"/>
      <c r="M34" s="25"/>
      <c r="N34" s="25"/>
      <c r="O34" s="25"/>
      <c r="P34" s="25"/>
      <c r="R34" s="23"/>
      <c r="U34" s="11"/>
    </row>
    <row r="35" spans="1:21" ht="14.25" customHeight="1" x14ac:dyDescent="0.3">
      <c r="A35" s="484"/>
      <c r="C35" s="25"/>
      <c r="D35" s="25"/>
      <c r="E35" s="25"/>
      <c r="F35" s="25"/>
      <c r="G35" s="25"/>
      <c r="H35" s="25"/>
      <c r="I35" s="25"/>
      <c r="J35" s="25"/>
      <c r="K35" s="25"/>
      <c r="L35" s="25"/>
      <c r="M35" s="25"/>
      <c r="N35" s="25"/>
      <c r="O35" s="25"/>
      <c r="P35" s="25"/>
      <c r="R35" s="23"/>
      <c r="U35" s="11"/>
    </row>
    <row r="36" spans="1:21" ht="14.25" customHeight="1" x14ac:dyDescent="0.3">
      <c r="A36" s="484"/>
      <c r="C36" s="25"/>
      <c r="D36" s="25"/>
      <c r="E36" s="25"/>
      <c r="F36" s="25"/>
      <c r="G36" s="25"/>
      <c r="H36" s="25"/>
      <c r="I36" s="25"/>
      <c r="J36" s="25"/>
      <c r="K36" s="25"/>
      <c r="L36" s="25"/>
      <c r="M36" s="25"/>
      <c r="N36" s="25"/>
      <c r="O36" s="25"/>
      <c r="P36" s="25"/>
      <c r="R36" s="23"/>
      <c r="U36" s="11"/>
    </row>
    <row r="37" spans="1:21" ht="14.25" customHeight="1" x14ac:dyDescent="0.3">
      <c r="A37" s="484"/>
      <c r="C37" s="25"/>
      <c r="D37" s="25"/>
      <c r="E37" s="25"/>
      <c r="F37" s="25"/>
      <c r="G37" s="25"/>
      <c r="H37" s="25"/>
      <c r="I37" s="25"/>
      <c r="J37" s="25"/>
      <c r="K37" s="25"/>
      <c r="L37" s="25"/>
      <c r="M37" s="25"/>
      <c r="N37" s="25"/>
      <c r="O37" s="25"/>
      <c r="P37" s="25"/>
      <c r="R37" s="23"/>
      <c r="U37" s="11"/>
    </row>
    <row r="38" spans="1:21" ht="14.25" customHeight="1" x14ac:dyDescent="0.3">
      <c r="A38" s="484"/>
      <c r="C38" s="25"/>
      <c r="D38" s="25"/>
      <c r="E38" s="25"/>
      <c r="F38" s="25"/>
      <c r="G38" s="25"/>
      <c r="H38" s="25"/>
      <c r="I38" s="25"/>
      <c r="J38" s="25"/>
      <c r="K38" s="25"/>
      <c r="L38" s="25"/>
      <c r="M38" s="25"/>
      <c r="N38" s="25"/>
      <c r="O38" s="25"/>
      <c r="P38" s="25"/>
      <c r="R38" s="23"/>
      <c r="U38" s="11"/>
    </row>
    <row r="39" spans="1:21" ht="14.25" customHeight="1" x14ac:dyDescent="0.3">
      <c r="A39" s="484"/>
      <c r="C39" s="25"/>
      <c r="D39" s="25"/>
      <c r="E39" s="25"/>
      <c r="F39" s="25"/>
      <c r="G39" s="25"/>
      <c r="H39" s="25"/>
      <c r="I39" s="25"/>
      <c r="J39" s="25"/>
      <c r="K39" s="25"/>
      <c r="L39" s="25"/>
      <c r="M39" s="25"/>
      <c r="N39" s="25"/>
      <c r="O39" s="25"/>
      <c r="P39" s="25"/>
      <c r="R39" s="23"/>
      <c r="U39" s="11"/>
    </row>
    <row r="40" spans="1:21" ht="14.25" customHeight="1" x14ac:dyDescent="0.3">
      <c r="A40" s="484"/>
      <c r="C40" s="25"/>
      <c r="D40" s="25"/>
      <c r="E40" s="25"/>
      <c r="F40" s="25"/>
      <c r="G40" s="25"/>
      <c r="H40" s="25"/>
      <c r="I40" s="25"/>
      <c r="J40" s="25"/>
      <c r="K40" s="25"/>
      <c r="L40" s="25"/>
      <c r="M40" s="25"/>
      <c r="N40" s="25"/>
      <c r="O40" s="25"/>
      <c r="P40" s="25"/>
      <c r="R40" s="23"/>
      <c r="U40" s="11"/>
    </row>
    <row r="41" spans="1:21" ht="14.25" customHeight="1" x14ac:dyDescent="0.3">
      <c r="A41" s="484"/>
      <c r="C41" s="25"/>
      <c r="D41" s="25"/>
      <c r="E41" s="25"/>
      <c r="F41" s="25"/>
      <c r="G41" s="25"/>
      <c r="H41" s="25"/>
      <c r="I41" s="25"/>
      <c r="J41" s="25"/>
      <c r="K41" s="25"/>
      <c r="L41" s="25"/>
      <c r="M41" s="25"/>
      <c r="N41" s="25"/>
      <c r="O41" s="25"/>
      <c r="P41" s="25"/>
      <c r="R41" s="23"/>
      <c r="U41" s="11"/>
    </row>
    <row r="42" spans="1:21" ht="14.25" customHeight="1" x14ac:dyDescent="0.3">
      <c r="A42" s="484"/>
      <c r="C42" s="25"/>
      <c r="D42" s="25"/>
      <c r="E42" s="25"/>
      <c r="F42" s="25"/>
      <c r="G42" s="25"/>
      <c r="H42" s="25"/>
      <c r="I42" s="25"/>
      <c r="J42" s="25"/>
      <c r="K42" s="25"/>
      <c r="L42" s="25"/>
      <c r="M42" s="25"/>
      <c r="N42" s="25"/>
      <c r="O42" s="25"/>
      <c r="P42" s="25"/>
      <c r="R42" s="23"/>
      <c r="U42" s="11"/>
    </row>
    <row r="43" spans="1:21" ht="14.25" customHeight="1" x14ac:dyDescent="0.3">
      <c r="A43" s="484"/>
      <c r="C43" s="25"/>
      <c r="D43" s="25"/>
      <c r="E43" s="25"/>
      <c r="F43" s="25"/>
      <c r="G43" s="25"/>
      <c r="H43" s="25"/>
      <c r="I43" s="25"/>
      <c r="J43" s="25"/>
      <c r="K43" s="25"/>
      <c r="L43" s="25"/>
      <c r="M43" s="25"/>
      <c r="N43" s="25"/>
      <c r="O43" s="25"/>
      <c r="P43" s="25"/>
      <c r="R43" s="23"/>
      <c r="U43" s="11"/>
    </row>
    <row r="44" spans="1:21" ht="14.25" customHeight="1" x14ac:dyDescent="0.3">
      <c r="A44" s="484"/>
      <c r="C44" s="25"/>
      <c r="D44" s="25"/>
      <c r="E44" s="25"/>
      <c r="F44" s="25"/>
      <c r="G44" s="25"/>
      <c r="H44" s="25"/>
      <c r="I44" s="25"/>
      <c r="J44" s="25"/>
      <c r="K44" s="25"/>
      <c r="L44" s="25"/>
      <c r="M44" s="25"/>
      <c r="N44" s="25"/>
      <c r="O44" s="25"/>
      <c r="P44" s="25"/>
      <c r="R44" s="23"/>
      <c r="U44" s="11"/>
    </row>
    <row r="45" spans="1:21" ht="14.25" customHeight="1" x14ac:dyDescent="0.3">
      <c r="A45" s="484"/>
      <c r="C45" s="25"/>
      <c r="D45" s="25"/>
      <c r="E45" s="25"/>
      <c r="F45" s="25"/>
      <c r="G45" s="25"/>
      <c r="H45" s="25"/>
      <c r="I45" s="25"/>
      <c r="J45" s="25"/>
      <c r="K45" s="25"/>
      <c r="L45" s="25"/>
      <c r="M45" s="25"/>
      <c r="N45" s="25"/>
      <c r="O45" s="25"/>
      <c r="P45" s="25"/>
      <c r="R45" s="23"/>
      <c r="U45" s="11"/>
    </row>
    <row r="46" spans="1:21" ht="14.25" customHeight="1" x14ac:dyDescent="0.3">
      <c r="A46" s="484"/>
      <c r="C46" s="25"/>
      <c r="D46" s="25"/>
      <c r="E46" s="25"/>
      <c r="F46" s="25"/>
      <c r="G46" s="25"/>
      <c r="H46" s="25"/>
      <c r="I46" s="25"/>
      <c r="J46" s="25"/>
      <c r="K46" s="25"/>
      <c r="L46" s="25"/>
      <c r="M46" s="25"/>
      <c r="N46" s="25"/>
      <c r="O46" s="25"/>
      <c r="P46" s="25"/>
      <c r="R46" s="23"/>
      <c r="U46" s="11"/>
    </row>
    <row r="47" spans="1:21" ht="14.25" customHeight="1" x14ac:dyDescent="0.3">
      <c r="A47" s="484"/>
      <c r="C47" s="25"/>
      <c r="D47" s="25"/>
      <c r="E47" s="25"/>
      <c r="F47" s="25"/>
      <c r="G47" s="25"/>
      <c r="H47" s="25"/>
      <c r="I47" s="25"/>
      <c r="J47" s="25"/>
      <c r="K47" s="25"/>
      <c r="L47" s="25"/>
      <c r="M47" s="25"/>
      <c r="N47" s="25"/>
      <c r="O47" s="25"/>
      <c r="P47" s="25"/>
      <c r="R47" s="23"/>
      <c r="U47" s="11"/>
    </row>
    <row r="48" spans="1:21" ht="14.25" customHeight="1" x14ac:dyDescent="0.3">
      <c r="A48" s="484"/>
      <c r="C48" s="25"/>
      <c r="D48" s="25"/>
      <c r="E48" s="25"/>
      <c r="F48" s="25"/>
      <c r="G48" s="25"/>
      <c r="H48" s="25"/>
      <c r="I48" s="25"/>
      <c r="J48" s="25"/>
      <c r="K48" s="25"/>
      <c r="L48" s="25"/>
      <c r="M48" s="25"/>
      <c r="N48" s="25"/>
      <c r="O48" s="25"/>
      <c r="P48" s="25"/>
      <c r="R48" s="23"/>
      <c r="U48" s="11"/>
    </row>
    <row r="49" spans="1:21" ht="14.25" customHeight="1" x14ac:dyDescent="0.3">
      <c r="A49" s="484"/>
      <c r="C49" s="25"/>
      <c r="D49" s="25"/>
      <c r="E49" s="25"/>
      <c r="F49" s="25"/>
      <c r="G49" s="25"/>
      <c r="H49" s="25"/>
      <c r="I49" s="25"/>
      <c r="J49" s="25"/>
      <c r="K49" s="25"/>
      <c r="L49" s="25"/>
      <c r="M49" s="25"/>
      <c r="N49" s="25"/>
      <c r="O49" s="25"/>
      <c r="P49" s="25"/>
      <c r="R49" s="23"/>
      <c r="U49" s="11"/>
    </row>
    <row r="50" spans="1:21" ht="14.25" customHeight="1" x14ac:dyDescent="0.3">
      <c r="A50" s="484"/>
      <c r="C50" s="25"/>
      <c r="D50" s="25"/>
      <c r="E50" s="25"/>
      <c r="F50" s="25"/>
      <c r="G50" s="25"/>
      <c r="H50" s="25"/>
      <c r="I50" s="25"/>
      <c r="J50" s="25"/>
      <c r="K50" s="25"/>
      <c r="L50" s="25"/>
      <c r="M50" s="25"/>
      <c r="N50" s="25"/>
      <c r="O50" s="25"/>
      <c r="P50" s="25"/>
      <c r="R50" s="23"/>
      <c r="U50" s="11"/>
    </row>
    <row r="51" spans="1:21" ht="14.25" customHeight="1" x14ac:dyDescent="0.3">
      <c r="A51" s="484"/>
      <c r="C51" s="25"/>
      <c r="D51" s="25"/>
      <c r="E51" s="25"/>
      <c r="F51" s="25"/>
      <c r="G51" s="25"/>
      <c r="H51" s="25"/>
      <c r="I51" s="25"/>
      <c r="J51" s="25"/>
      <c r="K51" s="25"/>
      <c r="L51" s="25"/>
      <c r="M51" s="25"/>
      <c r="N51" s="25"/>
      <c r="O51" s="25"/>
      <c r="P51" s="25"/>
      <c r="R51" s="23"/>
      <c r="U51" s="11"/>
    </row>
    <row r="52" spans="1:21" ht="14.25" customHeight="1" x14ac:dyDescent="0.3">
      <c r="A52" s="484"/>
      <c r="C52" s="25"/>
      <c r="D52" s="25"/>
      <c r="E52" s="25"/>
      <c r="F52" s="25"/>
      <c r="G52" s="25"/>
      <c r="H52" s="25"/>
      <c r="I52" s="25"/>
      <c r="J52" s="25"/>
      <c r="K52" s="25"/>
      <c r="L52" s="25"/>
      <c r="M52" s="25"/>
      <c r="N52" s="25"/>
      <c r="O52" s="25"/>
      <c r="P52" s="25"/>
      <c r="R52" s="23"/>
      <c r="U52" s="11"/>
    </row>
    <row r="53" spans="1:21" ht="14.25" customHeight="1" x14ac:dyDescent="0.3">
      <c r="A53" s="484"/>
      <c r="C53" s="25"/>
      <c r="D53" s="25"/>
      <c r="E53" s="25"/>
      <c r="F53" s="25"/>
      <c r="G53" s="25"/>
      <c r="H53" s="25"/>
      <c r="I53" s="25"/>
      <c r="J53" s="25"/>
      <c r="K53" s="25"/>
      <c r="L53" s="25"/>
      <c r="M53" s="25"/>
      <c r="N53" s="25"/>
      <c r="O53" s="25"/>
      <c r="P53" s="25"/>
      <c r="R53" s="23"/>
      <c r="U53" s="11"/>
    </row>
    <row r="54" spans="1:21" ht="14.25" customHeight="1" x14ac:dyDescent="0.3">
      <c r="A54" s="484"/>
      <c r="C54" s="25"/>
      <c r="D54" s="25"/>
      <c r="E54" s="25"/>
      <c r="F54" s="25"/>
      <c r="G54" s="25"/>
      <c r="H54" s="25"/>
      <c r="I54" s="25"/>
      <c r="J54" s="25"/>
      <c r="K54" s="25"/>
      <c r="L54" s="25"/>
      <c r="M54" s="25"/>
      <c r="N54" s="25"/>
      <c r="O54" s="25"/>
      <c r="P54" s="25"/>
      <c r="R54" s="23"/>
      <c r="U54" s="11"/>
    </row>
    <row r="55" spans="1:21" ht="14.25" customHeight="1" x14ac:dyDescent="0.3">
      <c r="A55" s="484"/>
      <c r="C55" s="25"/>
      <c r="D55" s="25"/>
      <c r="E55" s="25"/>
      <c r="F55" s="25"/>
      <c r="G55" s="25"/>
      <c r="H55" s="25"/>
      <c r="I55" s="25"/>
      <c r="J55" s="25"/>
      <c r="K55" s="25"/>
      <c r="L55" s="25"/>
      <c r="M55" s="25"/>
      <c r="N55" s="25"/>
      <c r="O55" s="25"/>
      <c r="P55" s="25"/>
      <c r="R55" s="23"/>
      <c r="U55" s="11"/>
    </row>
    <row r="56" spans="1:21" ht="14.25" customHeight="1" x14ac:dyDescent="0.3">
      <c r="A56" s="484"/>
      <c r="C56" s="25"/>
      <c r="D56" s="25"/>
      <c r="E56" s="25"/>
      <c r="F56" s="25"/>
      <c r="G56" s="25"/>
      <c r="H56" s="25"/>
      <c r="I56" s="25"/>
      <c r="J56" s="25"/>
      <c r="K56" s="25"/>
      <c r="L56" s="25"/>
      <c r="M56" s="25"/>
      <c r="N56" s="25"/>
      <c r="O56" s="25"/>
      <c r="P56" s="25"/>
      <c r="R56" s="23"/>
      <c r="U56" s="11"/>
    </row>
    <row r="57" spans="1:21" ht="14.25" customHeight="1" x14ac:dyDescent="0.3">
      <c r="A57" s="484"/>
      <c r="C57" s="25"/>
      <c r="D57" s="25"/>
      <c r="E57" s="25"/>
      <c r="F57" s="25"/>
      <c r="G57" s="25"/>
      <c r="H57" s="25"/>
      <c r="I57" s="25"/>
      <c r="J57" s="25"/>
      <c r="K57" s="25"/>
      <c r="L57" s="25"/>
      <c r="M57" s="25"/>
      <c r="N57" s="25"/>
      <c r="O57" s="25"/>
      <c r="P57" s="25"/>
      <c r="R57" s="23"/>
      <c r="U57" s="11"/>
    </row>
    <row r="58" spans="1:21" ht="14.25" customHeight="1" x14ac:dyDescent="0.3">
      <c r="A58" s="484"/>
      <c r="C58" s="25"/>
      <c r="D58" s="25"/>
      <c r="E58" s="25"/>
      <c r="F58" s="25"/>
      <c r="G58" s="25"/>
      <c r="H58" s="25"/>
      <c r="I58" s="25"/>
      <c r="J58" s="25"/>
      <c r="K58" s="25"/>
      <c r="L58" s="25"/>
      <c r="M58" s="25"/>
      <c r="N58" s="25"/>
      <c r="O58" s="25"/>
      <c r="P58" s="25"/>
      <c r="R58" s="23"/>
      <c r="U58" s="11"/>
    </row>
    <row r="59" spans="1:21" ht="14.25" customHeight="1" x14ac:dyDescent="0.3">
      <c r="A59" s="484"/>
      <c r="C59" s="25"/>
      <c r="D59" s="25"/>
      <c r="E59" s="25"/>
      <c r="F59" s="25"/>
      <c r="G59" s="25"/>
      <c r="H59" s="25"/>
      <c r="I59" s="25"/>
      <c r="J59" s="25"/>
      <c r="K59" s="25"/>
      <c r="L59" s="25"/>
      <c r="M59" s="25"/>
      <c r="N59" s="25"/>
      <c r="O59" s="25"/>
      <c r="P59" s="25"/>
      <c r="R59" s="23"/>
      <c r="U59" s="11"/>
    </row>
    <row r="60" spans="1:21" ht="14.25" customHeight="1" x14ac:dyDescent="0.3">
      <c r="A60" s="484"/>
      <c r="C60" s="25"/>
      <c r="D60" s="25"/>
      <c r="E60" s="25"/>
      <c r="F60" s="25"/>
      <c r="G60" s="25"/>
      <c r="H60" s="25"/>
      <c r="I60" s="25"/>
      <c r="J60" s="25"/>
      <c r="K60" s="25"/>
      <c r="L60" s="25"/>
      <c r="M60" s="25"/>
      <c r="N60" s="25"/>
      <c r="O60" s="25"/>
      <c r="P60" s="25"/>
      <c r="R60" s="23"/>
      <c r="U60" s="11"/>
    </row>
    <row r="61" spans="1:21" ht="14.25" customHeight="1" x14ac:dyDescent="0.3">
      <c r="A61" s="484"/>
      <c r="C61" s="25"/>
      <c r="D61" s="25"/>
      <c r="E61" s="25"/>
      <c r="F61" s="25"/>
      <c r="G61" s="25"/>
      <c r="H61" s="25"/>
      <c r="I61" s="25"/>
      <c r="J61" s="25"/>
      <c r="K61" s="25"/>
      <c r="L61" s="25"/>
      <c r="M61" s="25"/>
      <c r="N61" s="25"/>
      <c r="O61" s="25"/>
      <c r="P61" s="25"/>
      <c r="R61" s="23"/>
      <c r="U61" s="11"/>
    </row>
    <row r="62" spans="1:21" ht="14.25" customHeight="1" x14ac:dyDescent="0.3">
      <c r="A62" s="484"/>
      <c r="C62" s="25"/>
      <c r="D62" s="25"/>
      <c r="E62" s="25"/>
      <c r="F62" s="25"/>
      <c r="G62" s="25"/>
      <c r="H62" s="25"/>
      <c r="I62" s="25"/>
      <c r="J62" s="25"/>
      <c r="K62" s="25"/>
      <c r="L62" s="25"/>
      <c r="M62" s="25"/>
      <c r="N62" s="25"/>
      <c r="O62" s="25"/>
      <c r="P62" s="25"/>
      <c r="R62" s="23"/>
      <c r="U62" s="11"/>
    </row>
    <row r="63" spans="1:21" ht="14.25" customHeight="1" x14ac:dyDescent="0.3">
      <c r="A63" s="484"/>
      <c r="C63" s="25"/>
      <c r="D63" s="25"/>
      <c r="E63" s="25"/>
      <c r="F63" s="25"/>
      <c r="G63" s="25"/>
      <c r="H63" s="25"/>
      <c r="I63" s="25"/>
      <c r="J63" s="25"/>
      <c r="K63" s="25"/>
      <c r="L63" s="25"/>
      <c r="M63" s="25"/>
      <c r="N63" s="25"/>
      <c r="O63" s="25"/>
      <c r="P63" s="25"/>
      <c r="R63" s="23"/>
      <c r="U63" s="11"/>
    </row>
    <row r="64" spans="1:21" ht="14.25" customHeight="1" x14ac:dyDescent="0.3">
      <c r="A64" s="484"/>
      <c r="C64" s="25"/>
      <c r="D64" s="25"/>
      <c r="E64" s="25"/>
      <c r="F64" s="25"/>
      <c r="G64" s="25"/>
      <c r="H64" s="25"/>
      <c r="I64" s="25"/>
      <c r="J64" s="25"/>
      <c r="K64" s="25"/>
      <c r="L64" s="25"/>
      <c r="M64" s="25"/>
      <c r="N64" s="25"/>
      <c r="O64" s="25"/>
      <c r="P64" s="25"/>
      <c r="R64" s="23"/>
      <c r="U64" s="11"/>
    </row>
    <row r="65" spans="1:21" ht="14.25" customHeight="1" x14ac:dyDescent="0.3">
      <c r="A65" s="484"/>
      <c r="C65" s="25"/>
      <c r="D65" s="25"/>
      <c r="E65" s="25"/>
      <c r="F65" s="25"/>
      <c r="G65" s="25"/>
      <c r="H65" s="25"/>
      <c r="I65" s="25"/>
      <c r="J65" s="25"/>
      <c r="K65" s="25"/>
      <c r="L65" s="25"/>
      <c r="M65" s="25"/>
      <c r="N65" s="25"/>
      <c r="O65" s="25"/>
      <c r="P65" s="25"/>
      <c r="R65" s="23"/>
      <c r="U65" s="11"/>
    </row>
    <row r="66" spans="1:21" ht="14.25" customHeight="1" x14ac:dyDescent="0.3">
      <c r="A66" s="484"/>
      <c r="C66" s="25"/>
      <c r="D66" s="25"/>
      <c r="E66" s="25"/>
      <c r="F66" s="25"/>
      <c r="G66" s="25"/>
      <c r="H66" s="25"/>
      <c r="I66" s="25"/>
      <c r="J66" s="25"/>
      <c r="K66" s="25"/>
      <c r="L66" s="25"/>
      <c r="M66" s="25"/>
      <c r="N66" s="25"/>
      <c r="O66" s="25"/>
      <c r="P66" s="25"/>
      <c r="R66" s="23"/>
      <c r="U66" s="11"/>
    </row>
    <row r="67" spans="1:21" ht="14.25" customHeight="1" x14ac:dyDescent="0.3">
      <c r="A67" s="484"/>
      <c r="C67" s="25"/>
      <c r="D67" s="25"/>
      <c r="E67" s="25"/>
      <c r="F67" s="25"/>
      <c r="G67" s="25"/>
      <c r="H67" s="25"/>
      <c r="I67" s="25"/>
      <c r="J67" s="25"/>
      <c r="K67" s="25"/>
      <c r="L67" s="25"/>
      <c r="M67" s="25"/>
      <c r="N67" s="25"/>
      <c r="O67" s="25"/>
      <c r="P67" s="25"/>
      <c r="R67" s="23"/>
      <c r="U67" s="11"/>
    </row>
    <row r="68" spans="1:21" ht="14.25" customHeight="1" x14ac:dyDescent="0.3">
      <c r="A68" s="484"/>
      <c r="C68" s="25"/>
      <c r="D68" s="25"/>
      <c r="E68" s="25"/>
      <c r="F68" s="25"/>
      <c r="G68" s="25"/>
      <c r="H68" s="25"/>
      <c r="I68" s="25"/>
      <c r="J68" s="25"/>
      <c r="K68" s="25"/>
      <c r="L68" s="25"/>
      <c r="M68" s="25"/>
      <c r="N68" s="25"/>
      <c r="O68" s="25"/>
      <c r="P68" s="25"/>
      <c r="R68" s="23"/>
      <c r="U68" s="11"/>
    </row>
    <row r="69" spans="1:21" ht="14.25" customHeight="1" x14ac:dyDescent="0.3">
      <c r="A69" s="484"/>
      <c r="C69" s="25"/>
      <c r="D69" s="25"/>
      <c r="E69" s="25"/>
      <c r="F69" s="25"/>
      <c r="G69" s="25"/>
      <c r="H69" s="25"/>
      <c r="I69" s="25"/>
      <c r="J69" s="25"/>
      <c r="K69" s="25"/>
      <c r="L69" s="25"/>
      <c r="M69" s="25"/>
      <c r="N69" s="25"/>
      <c r="O69" s="25"/>
      <c r="P69" s="25"/>
      <c r="R69" s="23"/>
      <c r="U69" s="11"/>
    </row>
    <row r="70" spans="1:21" ht="14.25" customHeight="1" x14ac:dyDescent="0.3">
      <c r="A70" s="484"/>
      <c r="C70" s="25"/>
      <c r="D70" s="25"/>
      <c r="E70" s="25"/>
      <c r="F70" s="25"/>
      <c r="G70" s="25"/>
      <c r="H70" s="25"/>
      <c r="I70" s="25"/>
      <c r="J70" s="25"/>
      <c r="K70" s="25"/>
      <c r="L70" s="25"/>
      <c r="M70" s="25"/>
      <c r="N70" s="25"/>
      <c r="O70" s="25"/>
      <c r="P70" s="25"/>
      <c r="R70" s="23"/>
      <c r="U70" s="11"/>
    </row>
    <row r="71" spans="1:21" ht="14.25" customHeight="1" x14ac:dyDescent="0.3">
      <c r="A71" s="484"/>
      <c r="C71" s="25"/>
      <c r="D71" s="25"/>
      <c r="E71" s="25"/>
      <c r="F71" s="25"/>
      <c r="G71" s="25"/>
      <c r="H71" s="25"/>
      <c r="I71" s="25"/>
      <c r="J71" s="25"/>
      <c r="K71" s="25"/>
      <c r="L71" s="25"/>
      <c r="M71" s="25"/>
      <c r="N71" s="25"/>
      <c r="O71" s="25"/>
      <c r="P71" s="25"/>
      <c r="R71" s="23"/>
      <c r="U71" s="11"/>
    </row>
    <row r="72" spans="1:21" ht="14.25" customHeight="1" x14ac:dyDescent="0.3">
      <c r="A72" s="484"/>
      <c r="C72" s="25"/>
      <c r="D72" s="25"/>
      <c r="E72" s="25"/>
      <c r="F72" s="25"/>
      <c r="G72" s="25"/>
      <c r="H72" s="25"/>
      <c r="I72" s="25"/>
      <c r="J72" s="25"/>
      <c r="K72" s="25"/>
      <c r="L72" s="25"/>
      <c r="M72" s="25"/>
      <c r="N72" s="25"/>
      <c r="O72" s="25"/>
      <c r="P72" s="25"/>
      <c r="R72" s="23"/>
      <c r="U72" s="11"/>
    </row>
    <row r="73" spans="1:21" ht="14.25" customHeight="1" x14ac:dyDescent="0.3">
      <c r="A73" s="484"/>
      <c r="C73" s="25"/>
      <c r="D73" s="25"/>
      <c r="E73" s="25"/>
      <c r="F73" s="25"/>
      <c r="G73" s="25"/>
      <c r="H73" s="25"/>
      <c r="I73" s="25"/>
      <c r="J73" s="25"/>
      <c r="K73" s="25"/>
      <c r="L73" s="25"/>
      <c r="M73" s="25"/>
      <c r="N73" s="25"/>
      <c r="O73" s="25"/>
      <c r="P73" s="25"/>
      <c r="R73" s="23"/>
      <c r="U73" s="11"/>
    </row>
    <row r="74" spans="1:21" ht="14.25" customHeight="1" x14ac:dyDescent="0.3">
      <c r="A74" s="484"/>
      <c r="C74" s="25"/>
      <c r="D74" s="25"/>
      <c r="E74" s="25"/>
      <c r="F74" s="25"/>
      <c r="G74" s="25"/>
      <c r="H74" s="25"/>
      <c r="I74" s="25"/>
      <c r="J74" s="25"/>
      <c r="K74" s="25"/>
      <c r="L74" s="25"/>
      <c r="M74" s="25"/>
      <c r="N74" s="25"/>
      <c r="O74" s="25"/>
      <c r="P74" s="25"/>
      <c r="R74" s="23"/>
      <c r="U74" s="11"/>
    </row>
    <row r="75" spans="1:21" ht="14.25" customHeight="1" x14ac:dyDescent="0.3">
      <c r="A75" s="484"/>
      <c r="C75" s="25"/>
      <c r="D75" s="25"/>
      <c r="E75" s="25"/>
      <c r="F75" s="25"/>
      <c r="G75" s="25"/>
      <c r="H75" s="25"/>
      <c r="I75" s="25"/>
      <c r="J75" s="25"/>
      <c r="K75" s="25"/>
      <c r="L75" s="25"/>
      <c r="M75" s="25"/>
      <c r="N75" s="25"/>
      <c r="O75" s="25"/>
      <c r="P75" s="25"/>
      <c r="R75" s="23"/>
      <c r="U75" s="11"/>
    </row>
    <row r="76" spans="1:21" ht="14.25" customHeight="1" x14ac:dyDescent="0.3">
      <c r="A76" s="484"/>
      <c r="C76" s="25"/>
      <c r="D76" s="25"/>
      <c r="E76" s="25"/>
      <c r="F76" s="25"/>
      <c r="G76" s="25"/>
      <c r="H76" s="25"/>
      <c r="I76" s="25"/>
      <c r="J76" s="25"/>
      <c r="K76" s="25"/>
      <c r="L76" s="25"/>
      <c r="M76" s="25"/>
      <c r="N76" s="25"/>
      <c r="O76" s="25"/>
      <c r="P76" s="25"/>
      <c r="R76" s="23"/>
      <c r="U76" s="11"/>
    </row>
    <row r="77" spans="1:21" ht="14.25" customHeight="1" x14ac:dyDescent="0.3">
      <c r="A77" s="484"/>
      <c r="C77" s="25"/>
      <c r="D77" s="25"/>
      <c r="E77" s="25"/>
      <c r="F77" s="25"/>
      <c r="G77" s="25"/>
      <c r="H77" s="25"/>
      <c r="I77" s="25"/>
      <c r="J77" s="25"/>
      <c r="K77" s="25"/>
      <c r="L77" s="25"/>
      <c r="M77" s="25"/>
      <c r="N77" s="25"/>
      <c r="O77" s="25"/>
      <c r="P77" s="25"/>
      <c r="R77" s="23"/>
      <c r="U77" s="11"/>
    </row>
    <row r="78" spans="1:21" ht="14.25" customHeight="1" x14ac:dyDescent="0.3">
      <c r="A78" s="484"/>
      <c r="C78" s="25"/>
      <c r="D78" s="25"/>
      <c r="E78" s="25"/>
      <c r="F78" s="25"/>
      <c r="G78" s="25"/>
      <c r="H78" s="25"/>
      <c r="I78" s="25"/>
      <c r="J78" s="25"/>
      <c r="K78" s="25"/>
      <c r="L78" s="25"/>
      <c r="M78" s="25"/>
      <c r="N78" s="25"/>
      <c r="O78" s="25"/>
      <c r="P78" s="25"/>
      <c r="R78" s="23"/>
      <c r="U78" s="11"/>
    </row>
    <row r="79" spans="1:21" ht="14.25" customHeight="1" x14ac:dyDescent="0.3">
      <c r="A79" s="484"/>
      <c r="C79" s="25"/>
      <c r="D79" s="25"/>
      <c r="E79" s="25"/>
      <c r="F79" s="25"/>
      <c r="G79" s="25"/>
      <c r="H79" s="25"/>
      <c r="I79" s="25"/>
      <c r="J79" s="25"/>
      <c r="K79" s="25"/>
      <c r="L79" s="25"/>
      <c r="M79" s="25"/>
      <c r="N79" s="25"/>
      <c r="O79" s="25"/>
      <c r="P79" s="25"/>
      <c r="R79" s="23"/>
      <c r="U79" s="11"/>
    </row>
    <row r="80" spans="1:21" ht="14.25" customHeight="1" x14ac:dyDescent="0.3">
      <c r="A80" s="484"/>
      <c r="C80" s="25"/>
      <c r="D80" s="25"/>
      <c r="E80" s="25"/>
      <c r="F80" s="25"/>
      <c r="G80" s="25"/>
      <c r="H80" s="25"/>
      <c r="I80" s="25"/>
      <c r="J80" s="25"/>
      <c r="K80" s="25"/>
      <c r="L80" s="25"/>
      <c r="M80" s="25"/>
      <c r="N80" s="25"/>
      <c r="O80" s="25"/>
      <c r="P80" s="25"/>
      <c r="R80" s="23"/>
      <c r="U80" s="11"/>
    </row>
    <row r="81" spans="1:21" ht="14.25" customHeight="1" x14ac:dyDescent="0.3">
      <c r="A81" s="484"/>
      <c r="C81" s="25"/>
      <c r="D81" s="25"/>
      <c r="E81" s="25"/>
      <c r="F81" s="25"/>
      <c r="G81" s="25"/>
      <c r="H81" s="25"/>
      <c r="I81" s="25"/>
      <c r="J81" s="25"/>
      <c r="K81" s="25"/>
      <c r="L81" s="25"/>
      <c r="M81" s="25"/>
      <c r="N81" s="25"/>
      <c r="O81" s="25"/>
      <c r="P81" s="25"/>
      <c r="R81" s="23"/>
      <c r="U81" s="11"/>
    </row>
    <row r="82" spans="1:21" ht="14.25" customHeight="1" x14ac:dyDescent="0.3">
      <c r="A82" s="484"/>
      <c r="C82" s="25"/>
      <c r="D82" s="25"/>
      <c r="E82" s="25"/>
      <c r="F82" s="25"/>
      <c r="G82" s="25"/>
      <c r="H82" s="25"/>
      <c r="I82" s="25"/>
      <c r="J82" s="25"/>
      <c r="K82" s="25"/>
      <c r="L82" s="25"/>
      <c r="M82" s="25"/>
      <c r="N82" s="25"/>
      <c r="O82" s="25"/>
      <c r="P82" s="25"/>
      <c r="R82" s="23"/>
      <c r="U82" s="11"/>
    </row>
    <row r="83" spans="1:21" ht="14.25" customHeight="1" x14ac:dyDescent="0.3">
      <c r="A83" s="484"/>
      <c r="C83" s="25"/>
      <c r="D83" s="25"/>
      <c r="E83" s="25"/>
      <c r="F83" s="25"/>
      <c r="G83" s="25"/>
      <c r="H83" s="25"/>
      <c r="I83" s="25"/>
      <c r="J83" s="25"/>
      <c r="K83" s="25"/>
      <c r="L83" s="25"/>
      <c r="M83" s="25"/>
      <c r="N83" s="25"/>
      <c r="O83" s="25"/>
      <c r="P83" s="25"/>
      <c r="R83" s="23"/>
      <c r="U83" s="11"/>
    </row>
    <row r="84" spans="1:21" ht="14.25" customHeight="1" x14ac:dyDescent="0.3">
      <c r="A84" s="484"/>
      <c r="C84" s="25"/>
      <c r="D84" s="25"/>
      <c r="E84" s="25"/>
      <c r="F84" s="25"/>
      <c r="G84" s="25"/>
      <c r="H84" s="25"/>
      <c r="I84" s="25"/>
      <c r="J84" s="25"/>
      <c r="K84" s="25"/>
      <c r="L84" s="25"/>
      <c r="M84" s="25"/>
      <c r="N84" s="25"/>
      <c r="O84" s="25"/>
      <c r="P84" s="25"/>
      <c r="R84" s="23"/>
      <c r="U84" s="11"/>
    </row>
    <row r="85" spans="1:21" ht="14.25" customHeight="1" x14ac:dyDescent="0.3">
      <c r="A85" s="484"/>
      <c r="C85" s="25"/>
      <c r="D85" s="25"/>
      <c r="E85" s="25"/>
      <c r="F85" s="25"/>
      <c r="G85" s="25"/>
      <c r="H85" s="25"/>
      <c r="I85" s="25"/>
      <c r="J85" s="25"/>
      <c r="K85" s="25"/>
      <c r="L85" s="25"/>
      <c r="M85" s="25"/>
      <c r="N85" s="25"/>
      <c r="O85" s="25"/>
      <c r="P85" s="25"/>
      <c r="R85" s="23"/>
      <c r="U85" s="11"/>
    </row>
    <row r="86" spans="1:21" ht="14.25" customHeight="1" x14ac:dyDescent="0.3">
      <c r="A86" s="484"/>
      <c r="C86" s="25"/>
      <c r="D86" s="25"/>
      <c r="E86" s="25"/>
      <c r="F86" s="25"/>
      <c r="G86" s="25"/>
      <c r="H86" s="25"/>
      <c r="I86" s="25"/>
      <c r="J86" s="25"/>
      <c r="K86" s="25"/>
      <c r="L86" s="25"/>
      <c r="M86" s="25"/>
      <c r="N86" s="25"/>
      <c r="O86" s="25"/>
      <c r="P86" s="25"/>
      <c r="R86" s="23"/>
      <c r="U86" s="11"/>
    </row>
    <row r="87" spans="1:21" ht="14.25" customHeight="1" x14ac:dyDescent="0.3">
      <c r="A87" s="484"/>
      <c r="C87" s="25"/>
      <c r="D87" s="25"/>
      <c r="E87" s="25"/>
      <c r="F87" s="25"/>
      <c r="G87" s="25"/>
      <c r="H87" s="25"/>
      <c r="I87" s="25"/>
      <c r="J87" s="25"/>
      <c r="K87" s="25"/>
      <c r="L87" s="25"/>
      <c r="M87" s="25"/>
      <c r="N87" s="25"/>
      <c r="O87" s="25"/>
      <c r="P87" s="25"/>
      <c r="R87" s="23"/>
      <c r="U87" s="11"/>
    </row>
    <row r="88" spans="1:21" ht="14.25" customHeight="1" x14ac:dyDescent="0.3">
      <c r="A88" s="484"/>
      <c r="C88" s="25"/>
      <c r="D88" s="25"/>
      <c r="E88" s="25"/>
      <c r="F88" s="25"/>
      <c r="G88" s="25"/>
      <c r="H88" s="25"/>
      <c r="I88" s="25"/>
      <c r="J88" s="25"/>
      <c r="K88" s="25"/>
      <c r="L88" s="25"/>
      <c r="M88" s="25"/>
      <c r="N88" s="25"/>
      <c r="O88" s="25"/>
      <c r="P88" s="25"/>
      <c r="R88" s="23"/>
      <c r="U88" s="11"/>
    </row>
    <row r="89" spans="1:21" ht="14.25" customHeight="1" x14ac:dyDescent="0.3">
      <c r="A89" s="484"/>
      <c r="C89" s="25"/>
      <c r="D89" s="25"/>
      <c r="E89" s="25"/>
      <c r="F89" s="25"/>
      <c r="G89" s="25"/>
      <c r="H89" s="25"/>
      <c r="I89" s="25"/>
      <c r="J89" s="25"/>
      <c r="K89" s="25"/>
      <c r="L89" s="25"/>
      <c r="M89" s="25"/>
      <c r="N89" s="25"/>
      <c r="O89" s="25"/>
      <c r="P89" s="25"/>
      <c r="R89" s="23"/>
      <c r="U89" s="11"/>
    </row>
    <row r="90" spans="1:21" ht="14.25" customHeight="1" x14ac:dyDescent="0.3">
      <c r="A90" s="484"/>
      <c r="C90" s="25"/>
      <c r="D90" s="25"/>
      <c r="E90" s="25"/>
      <c r="F90" s="25"/>
      <c r="G90" s="25"/>
      <c r="H90" s="25"/>
      <c r="I90" s="25"/>
      <c r="J90" s="25"/>
      <c r="K90" s="25"/>
      <c r="L90" s="25"/>
      <c r="M90" s="25"/>
      <c r="N90" s="25"/>
      <c r="O90" s="25"/>
      <c r="P90" s="25"/>
      <c r="R90" s="23"/>
      <c r="U90" s="11"/>
    </row>
    <row r="91" spans="1:21" ht="14.25" customHeight="1" x14ac:dyDescent="0.3">
      <c r="A91" s="484"/>
      <c r="C91" s="25"/>
      <c r="D91" s="25"/>
      <c r="E91" s="25"/>
      <c r="F91" s="25"/>
      <c r="G91" s="25"/>
      <c r="H91" s="25"/>
      <c r="I91" s="25"/>
      <c r="J91" s="25"/>
      <c r="K91" s="25"/>
      <c r="L91" s="25"/>
      <c r="M91" s="25"/>
      <c r="N91" s="25"/>
      <c r="O91" s="25"/>
      <c r="P91" s="25"/>
      <c r="R91" s="23"/>
      <c r="U91" s="11"/>
    </row>
    <row r="92" spans="1:21" ht="14.25" customHeight="1" x14ac:dyDescent="0.3">
      <c r="A92" s="484"/>
      <c r="C92" s="25"/>
      <c r="D92" s="25"/>
      <c r="E92" s="25"/>
      <c r="F92" s="25"/>
      <c r="G92" s="25"/>
      <c r="H92" s="25"/>
      <c r="I92" s="25"/>
      <c r="J92" s="25"/>
      <c r="K92" s="25"/>
      <c r="L92" s="25"/>
      <c r="M92" s="25"/>
      <c r="N92" s="25"/>
      <c r="O92" s="25"/>
      <c r="P92" s="25"/>
      <c r="R92" s="23"/>
      <c r="U92" s="11"/>
    </row>
    <row r="93" spans="1:21" ht="14.25" customHeight="1" x14ac:dyDescent="0.3">
      <c r="A93" s="484"/>
      <c r="C93" s="25"/>
      <c r="D93" s="25"/>
      <c r="E93" s="25"/>
      <c r="F93" s="25"/>
      <c r="G93" s="25"/>
      <c r="H93" s="25"/>
      <c r="I93" s="25"/>
      <c r="J93" s="25"/>
      <c r="K93" s="25"/>
      <c r="L93" s="25"/>
      <c r="M93" s="25"/>
      <c r="N93" s="25"/>
      <c r="O93" s="25"/>
      <c r="P93" s="25"/>
      <c r="R93" s="23"/>
      <c r="U93" s="11"/>
    </row>
    <row r="94" spans="1:21" ht="14.25" customHeight="1" x14ac:dyDescent="0.3">
      <c r="A94" s="484"/>
      <c r="C94" s="25"/>
      <c r="D94" s="25"/>
      <c r="E94" s="25"/>
      <c r="F94" s="25"/>
      <c r="G94" s="25"/>
      <c r="H94" s="25"/>
      <c r="I94" s="25"/>
      <c r="J94" s="25"/>
      <c r="K94" s="25"/>
      <c r="L94" s="25"/>
      <c r="M94" s="25"/>
      <c r="N94" s="25"/>
      <c r="O94" s="25"/>
      <c r="P94" s="25"/>
      <c r="R94" s="23"/>
      <c r="U94" s="11"/>
    </row>
    <row r="95" spans="1:21" ht="14.25" customHeight="1" x14ac:dyDescent="0.3">
      <c r="A95" s="484"/>
      <c r="C95" s="25"/>
      <c r="D95" s="25"/>
      <c r="E95" s="25"/>
      <c r="F95" s="25"/>
      <c r="G95" s="25"/>
      <c r="H95" s="25"/>
      <c r="I95" s="25"/>
      <c r="J95" s="25"/>
      <c r="K95" s="25"/>
      <c r="L95" s="25"/>
      <c r="M95" s="25"/>
      <c r="N95" s="25"/>
      <c r="O95" s="25"/>
      <c r="P95" s="25"/>
      <c r="R95" s="23"/>
      <c r="U95" s="11"/>
    </row>
    <row r="96" spans="1:21" ht="14.25" customHeight="1" x14ac:dyDescent="0.3">
      <c r="A96" s="484"/>
      <c r="C96" s="25"/>
      <c r="D96" s="25"/>
      <c r="E96" s="25"/>
      <c r="F96" s="25"/>
      <c r="G96" s="25"/>
      <c r="H96" s="25"/>
      <c r="I96" s="25"/>
      <c r="J96" s="25"/>
      <c r="K96" s="25"/>
      <c r="L96" s="25"/>
      <c r="M96" s="25"/>
      <c r="N96" s="25"/>
      <c r="O96" s="25"/>
      <c r="P96" s="25"/>
      <c r="R96" s="23"/>
      <c r="U96" s="11"/>
    </row>
    <row r="97" spans="1:21" ht="14.25" customHeight="1" x14ac:dyDescent="0.3">
      <c r="A97" s="484"/>
      <c r="C97" s="25"/>
      <c r="D97" s="25"/>
      <c r="E97" s="25"/>
      <c r="F97" s="25"/>
      <c r="G97" s="25"/>
      <c r="H97" s="25"/>
      <c r="I97" s="25"/>
      <c r="J97" s="25"/>
      <c r="K97" s="25"/>
      <c r="L97" s="25"/>
      <c r="M97" s="25"/>
      <c r="N97" s="25"/>
      <c r="O97" s="25"/>
      <c r="P97" s="25"/>
      <c r="R97" s="23"/>
      <c r="U97" s="11"/>
    </row>
    <row r="98" spans="1:21" ht="14.25" customHeight="1" x14ac:dyDescent="0.3">
      <c r="A98" s="484"/>
      <c r="C98" s="25"/>
      <c r="D98" s="25"/>
      <c r="E98" s="25"/>
      <c r="F98" s="25"/>
      <c r="G98" s="25"/>
      <c r="H98" s="25"/>
      <c r="I98" s="25"/>
      <c r="J98" s="25"/>
      <c r="K98" s="25"/>
      <c r="L98" s="25"/>
      <c r="M98" s="25"/>
      <c r="N98" s="25"/>
      <c r="O98" s="25"/>
      <c r="P98" s="25"/>
      <c r="R98" s="23"/>
      <c r="U98" s="11"/>
    </row>
    <row r="99" spans="1:21" ht="14.25" customHeight="1" x14ac:dyDescent="0.3">
      <c r="A99" s="484"/>
      <c r="C99" s="25"/>
      <c r="D99" s="25"/>
      <c r="E99" s="25"/>
      <c r="F99" s="25"/>
      <c r="G99" s="25"/>
      <c r="H99" s="25"/>
      <c r="I99" s="25"/>
      <c r="J99" s="25"/>
      <c r="K99" s="25"/>
      <c r="L99" s="25"/>
      <c r="M99" s="25"/>
      <c r="N99" s="25"/>
      <c r="O99" s="25"/>
      <c r="P99" s="25"/>
      <c r="R99" s="23"/>
      <c r="U99" s="11"/>
    </row>
    <row r="100" spans="1:21" ht="14.25" customHeight="1" x14ac:dyDescent="0.3">
      <c r="A100" s="484"/>
      <c r="C100" s="25"/>
      <c r="D100" s="25"/>
      <c r="E100" s="25"/>
      <c r="F100" s="25"/>
      <c r="G100" s="25"/>
      <c r="H100" s="25"/>
      <c r="I100" s="25"/>
      <c r="J100" s="25"/>
      <c r="K100" s="25"/>
      <c r="L100" s="25"/>
      <c r="M100" s="25"/>
      <c r="N100" s="25"/>
      <c r="O100" s="25"/>
      <c r="P100" s="25"/>
      <c r="R100" s="23"/>
      <c r="U100" s="11"/>
    </row>
    <row r="101" spans="1:21" ht="14.25" customHeight="1" x14ac:dyDescent="0.3">
      <c r="A101" s="484"/>
      <c r="C101" s="25"/>
      <c r="D101" s="25"/>
      <c r="E101" s="25"/>
      <c r="F101" s="25"/>
      <c r="G101" s="25"/>
      <c r="H101" s="25"/>
      <c r="I101" s="25"/>
      <c r="J101" s="25"/>
      <c r="K101" s="25"/>
      <c r="L101" s="25"/>
      <c r="M101" s="25"/>
      <c r="N101" s="25"/>
      <c r="O101" s="25"/>
      <c r="P101" s="25"/>
      <c r="R101" s="23"/>
      <c r="U101" s="11"/>
    </row>
    <row r="102" spans="1:21" ht="14.25" customHeight="1" x14ac:dyDescent="0.3">
      <c r="A102" s="484"/>
      <c r="C102" s="25"/>
      <c r="D102" s="25"/>
      <c r="E102" s="25"/>
      <c r="F102" s="25"/>
      <c r="G102" s="25"/>
      <c r="H102" s="25"/>
      <c r="I102" s="25"/>
      <c r="J102" s="25"/>
      <c r="K102" s="25"/>
      <c r="L102" s="25"/>
      <c r="M102" s="25"/>
      <c r="N102" s="25"/>
      <c r="O102" s="25"/>
      <c r="P102" s="25"/>
      <c r="R102" s="23"/>
      <c r="U102" s="11"/>
    </row>
    <row r="103" spans="1:21" ht="14.25" customHeight="1" x14ac:dyDescent="0.3">
      <c r="A103" s="484"/>
      <c r="C103" s="25"/>
      <c r="D103" s="25"/>
      <c r="E103" s="25"/>
      <c r="F103" s="25"/>
      <c r="G103" s="25"/>
      <c r="H103" s="25"/>
      <c r="I103" s="25"/>
      <c r="J103" s="25"/>
      <c r="K103" s="25"/>
      <c r="L103" s="25"/>
      <c r="M103" s="25"/>
      <c r="N103" s="25"/>
      <c r="O103" s="25"/>
      <c r="P103" s="25"/>
      <c r="R103" s="23"/>
      <c r="U103" s="11"/>
    </row>
    <row r="104" spans="1:21" ht="14.25" customHeight="1" x14ac:dyDescent="0.3">
      <c r="A104" s="484"/>
      <c r="C104" s="25"/>
      <c r="D104" s="25"/>
      <c r="E104" s="25"/>
      <c r="F104" s="25"/>
      <c r="G104" s="25"/>
      <c r="H104" s="25"/>
      <c r="I104" s="25"/>
      <c r="J104" s="25"/>
      <c r="K104" s="25"/>
      <c r="L104" s="25"/>
      <c r="M104" s="25"/>
      <c r="N104" s="25"/>
      <c r="O104" s="25"/>
      <c r="P104" s="25"/>
      <c r="R104" s="23"/>
      <c r="U104" s="11"/>
    </row>
    <row r="105" spans="1:21" ht="14.25" customHeight="1" x14ac:dyDescent="0.3">
      <c r="A105" s="484"/>
      <c r="C105" s="25"/>
      <c r="D105" s="25"/>
      <c r="E105" s="25"/>
      <c r="F105" s="25"/>
      <c r="G105" s="25"/>
      <c r="H105" s="25"/>
      <c r="I105" s="25"/>
      <c r="J105" s="25"/>
      <c r="K105" s="25"/>
      <c r="L105" s="25"/>
      <c r="M105" s="25"/>
      <c r="N105" s="25"/>
      <c r="O105" s="25"/>
      <c r="P105" s="25"/>
      <c r="R105" s="23"/>
      <c r="U105" s="11"/>
    </row>
    <row r="106" spans="1:21" ht="14.25" customHeight="1" x14ac:dyDescent="0.3">
      <c r="A106" s="484"/>
      <c r="C106" s="25"/>
      <c r="D106" s="25"/>
      <c r="E106" s="25"/>
      <c r="F106" s="25"/>
      <c r="G106" s="25"/>
      <c r="H106" s="25"/>
      <c r="I106" s="25"/>
      <c r="J106" s="25"/>
      <c r="K106" s="25"/>
      <c r="L106" s="25"/>
      <c r="M106" s="25"/>
      <c r="N106" s="25"/>
      <c r="O106" s="25"/>
      <c r="P106" s="25"/>
      <c r="R106" s="23"/>
      <c r="U106" s="11"/>
    </row>
    <row r="107" spans="1:21" ht="14.25" customHeight="1" x14ac:dyDescent="0.3">
      <c r="A107" s="484"/>
      <c r="C107" s="25"/>
      <c r="D107" s="25"/>
      <c r="E107" s="25"/>
      <c r="F107" s="25"/>
      <c r="G107" s="25"/>
      <c r="H107" s="25"/>
      <c r="I107" s="25"/>
      <c r="J107" s="25"/>
      <c r="K107" s="25"/>
      <c r="L107" s="25"/>
      <c r="M107" s="25"/>
      <c r="N107" s="25"/>
      <c r="O107" s="25"/>
      <c r="P107" s="25"/>
      <c r="R107" s="23"/>
      <c r="U107" s="11"/>
    </row>
    <row r="108" spans="1:21" ht="14.25" customHeight="1" x14ac:dyDescent="0.3">
      <c r="A108" s="484"/>
      <c r="C108" s="25"/>
      <c r="D108" s="25"/>
      <c r="E108" s="25"/>
      <c r="F108" s="25"/>
      <c r="G108" s="25"/>
      <c r="H108" s="25"/>
      <c r="I108" s="25"/>
      <c r="J108" s="25"/>
      <c r="K108" s="25"/>
      <c r="L108" s="25"/>
      <c r="M108" s="25"/>
      <c r="N108" s="25"/>
      <c r="O108" s="25"/>
      <c r="P108" s="25"/>
      <c r="R108" s="23"/>
      <c r="U108" s="11"/>
    </row>
    <row r="109" spans="1:21" ht="14.25" customHeight="1" x14ac:dyDescent="0.3">
      <c r="A109" s="484"/>
      <c r="C109" s="25"/>
      <c r="D109" s="25"/>
      <c r="E109" s="25"/>
      <c r="F109" s="25"/>
      <c r="G109" s="25"/>
      <c r="H109" s="25"/>
      <c r="I109" s="25"/>
      <c r="J109" s="25"/>
      <c r="K109" s="25"/>
      <c r="L109" s="25"/>
      <c r="M109" s="25"/>
      <c r="N109" s="25"/>
      <c r="O109" s="25"/>
      <c r="P109" s="25"/>
      <c r="R109" s="23"/>
      <c r="U109" s="11"/>
    </row>
    <row r="110" spans="1:21" ht="14.25" customHeight="1" x14ac:dyDescent="0.3">
      <c r="A110" s="484"/>
      <c r="C110" s="25"/>
      <c r="D110" s="25"/>
      <c r="E110" s="25"/>
      <c r="F110" s="25"/>
      <c r="G110" s="25"/>
      <c r="H110" s="25"/>
      <c r="I110" s="25"/>
      <c r="J110" s="25"/>
      <c r="K110" s="25"/>
      <c r="L110" s="25"/>
      <c r="M110" s="25"/>
      <c r="N110" s="25"/>
      <c r="O110" s="25"/>
      <c r="P110" s="25"/>
      <c r="R110" s="23"/>
      <c r="U110" s="11"/>
    </row>
    <row r="111" spans="1:21" ht="14.25" customHeight="1" x14ac:dyDescent="0.3">
      <c r="A111" s="484"/>
      <c r="C111" s="25"/>
      <c r="D111" s="25"/>
      <c r="E111" s="25"/>
      <c r="F111" s="25"/>
      <c r="G111" s="25"/>
      <c r="H111" s="25"/>
      <c r="I111" s="25"/>
      <c r="J111" s="25"/>
      <c r="K111" s="25"/>
      <c r="L111" s="25"/>
      <c r="M111" s="25"/>
      <c r="N111" s="25"/>
      <c r="O111" s="25"/>
      <c r="P111" s="25"/>
      <c r="R111" s="23"/>
      <c r="U111" s="11"/>
    </row>
    <row r="112" spans="1:21" ht="14.25" customHeight="1" x14ac:dyDescent="0.3">
      <c r="A112" s="484"/>
      <c r="C112" s="25"/>
      <c r="D112" s="25"/>
      <c r="E112" s="25"/>
      <c r="F112" s="25"/>
      <c r="G112" s="25"/>
      <c r="H112" s="25"/>
      <c r="I112" s="25"/>
      <c r="J112" s="25"/>
      <c r="K112" s="25"/>
      <c r="L112" s="25"/>
      <c r="M112" s="25"/>
      <c r="N112" s="25"/>
      <c r="O112" s="25"/>
      <c r="P112" s="25"/>
      <c r="R112" s="23"/>
      <c r="U112" s="11"/>
    </row>
    <row r="113" spans="1:21" ht="14.25" customHeight="1" x14ac:dyDescent="0.3">
      <c r="A113" s="484"/>
      <c r="C113" s="25"/>
      <c r="D113" s="25"/>
      <c r="E113" s="25"/>
      <c r="F113" s="25"/>
      <c r="G113" s="25"/>
      <c r="H113" s="25"/>
      <c r="I113" s="25"/>
      <c r="J113" s="25"/>
      <c r="K113" s="25"/>
      <c r="L113" s="25"/>
      <c r="M113" s="25"/>
      <c r="N113" s="25"/>
      <c r="O113" s="25"/>
      <c r="P113" s="25"/>
      <c r="R113" s="23"/>
      <c r="U113" s="11"/>
    </row>
    <row r="114" spans="1:21" ht="14.25" customHeight="1" x14ac:dyDescent="0.3">
      <c r="A114" s="484"/>
      <c r="C114" s="25"/>
      <c r="D114" s="25"/>
      <c r="E114" s="25"/>
      <c r="F114" s="25"/>
      <c r="G114" s="25"/>
      <c r="H114" s="25"/>
      <c r="I114" s="25"/>
      <c r="J114" s="25"/>
      <c r="K114" s="25"/>
      <c r="L114" s="25"/>
      <c r="M114" s="25"/>
      <c r="N114" s="25"/>
      <c r="O114" s="25"/>
      <c r="P114" s="25"/>
      <c r="R114" s="23"/>
      <c r="U114" s="11"/>
    </row>
    <row r="115" spans="1:21" ht="14.25" customHeight="1" x14ac:dyDescent="0.3">
      <c r="A115" s="484"/>
      <c r="C115" s="25"/>
      <c r="D115" s="25"/>
      <c r="E115" s="25"/>
      <c r="F115" s="25"/>
      <c r="G115" s="25"/>
      <c r="H115" s="25"/>
      <c r="I115" s="25"/>
      <c r="J115" s="25"/>
      <c r="K115" s="25"/>
      <c r="L115" s="25"/>
      <c r="M115" s="25"/>
      <c r="N115" s="25"/>
      <c r="O115" s="25"/>
      <c r="P115" s="25"/>
      <c r="R115" s="23"/>
      <c r="U115" s="11"/>
    </row>
    <row r="116" spans="1:21" ht="14.25" customHeight="1" x14ac:dyDescent="0.3">
      <c r="A116" s="484"/>
      <c r="C116" s="25"/>
      <c r="D116" s="25"/>
      <c r="E116" s="25"/>
      <c r="F116" s="25"/>
      <c r="G116" s="25"/>
      <c r="H116" s="25"/>
      <c r="I116" s="25"/>
      <c r="J116" s="25"/>
      <c r="K116" s="25"/>
      <c r="L116" s="25"/>
      <c r="M116" s="25"/>
      <c r="N116" s="25"/>
      <c r="O116" s="25"/>
      <c r="P116" s="25"/>
      <c r="R116" s="23"/>
      <c r="U116" s="11"/>
    </row>
    <row r="117" spans="1:21" ht="14.25" customHeight="1" x14ac:dyDescent="0.3">
      <c r="A117" s="484"/>
      <c r="C117" s="25"/>
      <c r="D117" s="25"/>
      <c r="E117" s="25"/>
      <c r="F117" s="25"/>
      <c r="G117" s="25"/>
      <c r="H117" s="25"/>
      <c r="I117" s="25"/>
      <c r="J117" s="25"/>
      <c r="K117" s="25"/>
      <c r="L117" s="25"/>
      <c r="M117" s="25"/>
      <c r="N117" s="25"/>
      <c r="O117" s="25"/>
      <c r="P117" s="25"/>
      <c r="R117" s="23"/>
      <c r="U117" s="11"/>
    </row>
    <row r="118" spans="1:21" ht="14.25" customHeight="1" x14ac:dyDescent="0.3">
      <c r="A118" s="484"/>
      <c r="C118" s="25"/>
      <c r="D118" s="25"/>
      <c r="E118" s="25"/>
      <c r="F118" s="25"/>
      <c r="G118" s="25"/>
      <c r="H118" s="25"/>
      <c r="I118" s="25"/>
      <c r="J118" s="25"/>
      <c r="K118" s="25"/>
      <c r="L118" s="25"/>
      <c r="M118" s="25"/>
      <c r="N118" s="25"/>
      <c r="O118" s="25"/>
      <c r="P118" s="25"/>
      <c r="R118" s="23"/>
      <c r="U118" s="11"/>
    </row>
    <row r="119" spans="1:21" ht="14.25" customHeight="1" x14ac:dyDescent="0.3">
      <c r="A119" s="484"/>
      <c r="C119" s="25"/>
      <c r="D119" s="25"/>
      <c r="E119" s="25"/>
      <c r="F119" s="25"/>
      <c r="G119" s="25"/>
      <c r="H119" s="25"/>
      <c r="I119" s="25"/>
      <c r="J119" s="25"/>
      <c r="K119" s="25"/>
      <c r="L119" s="25"/>
      <c r="M119" s="25"/>
      <c r="N119" s="25"/>
      <c r="O119" s="25"/>
      <c r="P119" s="25"/>
      <c r="R119" s="23"/>
      <c r="U119" s="11"/>
    </row>
    <row r="120" spans="1:21" ht="14.25" customHeight="1" x14ac:dyDescent="0.3">
      <c r="A120" s="484"/>
      <c r="C120" s="25"/>
      <c r="D120" s="25"/>
      <c r="E120" s="25"/>
      <c r="F120" s="25"/>
      <c r="G120" s="25"/>
      <c r="H120" s="25"/>
      <c r="I120" s="25"/>
      <c r="J120" s="25"/>
      <c r="K120" s="25"/>
      <c r="L120" s="25"/>
      <c r="M120" s="25"/>
      <c r="N120" s="25"/>
      <c r="O120" s="25"/>
      <c r="P120" s="25"/>
      <c r="R120" s="23"/>
      <c r="U120" s="11"/>
    </row>
    <row r="121" spans="1:21" ht="14.25" customHeight="1" x14ac:dyDescent="0.3">
      <c r="A121" s="484"/>
      <c r="C121" s="25"/>
      <c r="D121" s="25"/>
      <c r="E121" s="25"/>
      <c r="F121" s="25"/>
      <c r="G121" s="25"/>
      <c r="H121" s="25"/>
      <c r="I121" s="25"/>
      <c r="J121" s="25"/>
      <c r="K121" s="25"/>
      <c r="L121" s="25"/>
      <c r="M121" s="25"/>
      <c r="N121" s="25"/>
      <c r="O121" s="25"/>
      <c r="P121" s="25"/>
      <c r="R121" s="23"/>
      <c r="U121" s="11"/>
    </row>
    <row r="122" spans="1:21" ht="14.25" customHeight="1" x14ac:dyDescent="0.3">
      <c r="A122" s="484"/>
      <c r="C122" s="25"/>
      <c r="D122" s="25"/>
      <c r="E122" s="25"/>
      <c r="F122" s="25"/>
      <c r="G122" s="25"/>
      <c r="H122" s="25"/>
      <c r="I122" s="25"/>
      <c r="J122" s="25"/>
      <c r="K122" s="25"/>
      <c r="L122" s="25"/>
      <c r="M122" s="25"/>
      <c r="N122" s="25"/>
      <c r="O122" s="25"/>
      <c r="P122" s="25"/>
      <c r="R122" s="23"/>
      <c r="U122" s="11"/>
    </row>
    <row r="123" spans="1:21" ht="14.25" customHeight="1" x14ac:dyDescent="0.3">
      <c r="A123" s="484"/>
      <c r="C123" s="25"/>
      <c r="D123" s="25"/>
      <c r="E123" s="25"/>
      <c r="F123" s="25"/>
      <c r="G123" s="25"/>
      <c r="H123" s="25"/>
      <c r="I123" s="25"/>
      <c r="J123" s="25"/>
      <c r="K123" s="25"/>
      <c r="L123" s="25"/>
      <c r="M123" s="25"/>
      <c r="N123" s="25"/>
      <c r="O123" s="25"/>
      <c r="P123" s="25"/>
      <c r="R123" s="23"/>
      <c r="U123" s="11"/>
    </row>
    <row r="124" spans="1:21" ht="14.25" customHeight="1" x14ac:dyDescent="0.3">
      <c r="A124" s="484"/>
      <c r="C124" s="25"/>
      <c r="D124" s="25"/>
      <c r="E124" s="25"/>
      <c r="F124" s="25"/>
      <c r="G124" s="25"/>
      <c r="H124" s="25"/>
      <c r="I124" s="25"/>
      <c r="J124" s="25"/>
      <c r="K124" s="25"/>
      <c r="L124" s="25"/>
      <c r="M124" s="25"/>
      <c r="N124" s="25"/>
      <c r="O124" s="25"/>
      <c r="P124" s="25"/>
      <c r="R124" s="23"/>
      <c r="U124" s="11"/>
    </row>
    <row r="125" spans="1:21" ht="14.25" customHeight="1" x14ac:dyDescent="0.3">
      <c r="A125" s="484"/>
      <c r="C125" s="25"/>
      <c r="D125" s="25"/>
      <c r="E125" s="25"/>
      <c r="F125" s="25"/>
      <c r="G125" s="25"/>
      <c r="H125" s="25"/>
      <c r="I125" s="25"/>
      <c r="J125" s="25"/>
      <c r="K125" s="25"/>
      <c r="L125" s="25"/>
      <c r="M125" s="25"/>
      <c r="N125" s="25"/>
      <c r="O125" s="25"/>
      <c r="P125" s="25"/>
      <c r="R125" s="23"/>
      <c r="U125" s="11"/>
    </row>
    <row r="126" spans="1:21" ht="14.25" customHeight="1" x14ac:dyDescent="0.3">
      <c r="A126" s="484"/>
      <c r="C126" s="25"/>
      <c r="D126" s="25"/>
      <c r="E126" s="25"/>
      <c r="F126" s="25"/>
      <c r="G126" s="25"/>
      <c r="H126" s="25"/>
      <c r="I126" s="25"/>
      <c r="J126" s="25"/>
      <c r="K126" s="25"/>
      <c r="L126" s="25"/>
      <c r="M126" s="25"/>
      <c r="N126" s="25"/>
      <c r="O126" s="25"/>
      <c r="P126" s="25"/>
      <c r="R126" s="23"/>
      <c r="U126" s="11"/>
    </row>
    <row r="127" spans="1:21" ht="14.25" customHeight="1" x14ac:dyDescent="0.3">
      <c r="A127" s="484"/>
      <c r="C127" s="25"/>
      <c r="D127" s="25"/>
      <c r="E127" s="25"/>
      <c r="F127" s="25"/>
      <c r="G127" s="25"/>
      <c r="H127" s="25"/>
      <c r="I127" s="25"/>
      <c r="J127" s="25"/>
      <c r="K127" s="25"/>
      <c r="L127" s="25"/>
      <c r="M127" s="25"/>
      <c r="N127" s="25"/>
      <c r="O127" s="25"/>
      <c r="P127" s="25"/>
      <c r="R127" s="23"/>
      <c r="U127" s="11"/>
    </row>
    <row r="128" spans="1:21" ht="14.25" customHeight="1" x14ac:dyDescent="0.3">
      <c r="A128" s="484"/>
      <c r="C128" s="25"/>
      <c r="D128" s="25"/>
      <c r="E128" s="25"/>
      <c r="F128" s="25"/>
      <c r="G128" s="25"/>
      <c r="H128" s="25"/>
      <c r="I128" s="25"/>
      <c r="J128" s="25"/>
      <c r="K128" s="25"/>
      <c r="L128" s="25"/>
      <c r="M128" s="25"/>
      <c r="N128" s="25"/>
      <c r="O128" s="25"/>
      <c r="P128" s="25"/>
      <c r="R128" s="23"/>
      <c r="U128" s="11"/>
    </row>
    <row r="129" spans="1:21" ht="14.25" customHeight="1" x14ac:dyDescent="0.3">
      <c r="A129" s="484"/>
      <c r="C129" s="25"/>
      <c r="D129" s="25"/>
      <c r="E129" s="25"/>
      <c r="F129" s="25"/>
      <c r="G129" s="25"/>
      <c r="H129" s="25"/>
      <c r="I129" s="25"/>
      <c r="J129" s="25"/>
      <c r="K129" s="25"/>
      <c r="L129" s="25"/>
      <c r="M129" s="25"/>
      <c r="N129" s="25"/>
      <c r="O129" s="25"/>
      <c r="P129" s="25"/>
      <c r="R129" s="23"/>
      <c r="U129" s="11"/>
    </row>
    <row r="130" spans="1:21" ht="14.25" customHeight="1" x14ac:dyDescent="0.3">
      <c r="A130" s="484"/>
      <c r="C130" s="25"/>
      <c r="D130" s="25"/>
      <c r="E130" s="25"/>
      <c r="F130" s="25"/>
      <c r="G130" s="25"/>
      <c r="H130" s="25"/>
      <c r="I130" s="25"/>
      <c r="J130" s="25"/>
      <c r="K130" s="25"/>
      <c r="L130" s="25"/>
      <c r="M130" s="25"/>
      <c r="N130" s="25"/>
      <c r="O130" s="25"/>
      <c r="P130" s="25"/>
      <c r="R130" s="23"/>
      <c r="U130" s="11"/>
    </row>
    <row r="131" spans="1:21" ht="14.25" customHeight="1" x14ac:dyDescent="0.3">
      <c r="A131" s="484"/>
      <c r="C131" s="25"/>
      <c r="D131" s="25"/>
      <c r="E131" s="25"/>
      <c r="F131" s="25"/>
      <c r="G131" s="25"/>
      <c r="H131" s="25"/>
      <c r="I131" s="25"/>
      <c r="J131" s="25"/>
      <c r="K131" s="25"/>
      <c r="L131" s="25"/>
      <c r="M131" s="25"/>
      <c r="N131" s="25"/>
      <c r="O131" s="25"/>
      <c r="P131" s="25"/>
      <c r="R131" s="23"/>
      <c r="U131" s="11"/>
    </row>
    <row r="132" spans="1:21" ht="14.25" customHeight="1" x14ac:dyDescent="0.3">
      <c r="A132" s="484"/>
      <c r="C132" s="25"/>
      <c r="D132" s="25"/>
      <c r="E132" s="25"/>
      <c r="F132" s="25"/>
      <c r="G132" s="25"/>
      <c r="H132" s="25"/>
      <c r="I132" s="25"/>
      <c r="J132" s="25"/>
      <c r="K132" s="25"/>
      <c r="L132" s="25"/>
      <c r="M132" s="25"/>
      <c r="N132" s="25"/>
      <c r="O132" s="25"/>
      <c r="P132" s="25"/>
      <c r="R132" s="23"/>
      <c r="U132" s="11"/>
    </row>
    <row r="133" spans="1:21" ht="14.25" customHeight="1" x14ac:dyDescent="0.3">
      <c r="A133" s="484"/>
      <c r="C133" s="25"/>
      <c r="D133" s="25"/>
      <c r="E133" s="25"/>
      <c r="F133" s="25"/>
      <c r="G133" s="25"/>
      <c r="H133" s="25"/>
      <c r="I133" s="25"/>
      <c r="J133" s="25"/>
      <c r="K133" s="25"/>
      <c r="L133" s="25"/>
      <c r="M133" s="25"/>
      <c r="N133" s="25"/>
      <c r="O133" s="25"/>
      <c r="P133" s="25"/>
      <c r="R133" s="23"/>
      <c r="U133" s="11"/>
    </row>
    <row r="134" spans="1:21" ht="14.25" customHeight="1" x14ac:dyDescent="0.3">
      <c r="A134" s="484"/>
      <c r="C134" s="25"/>
      <c r="D134" s="25"/>
      <c r="E134" s="25"/>
      <c r="F134" s="25"/>
      <c r="G134" s="25"/>
      <c r="H134" s="25"/>
      <c r="I134" s="25"/>
      <c r="J134" s="25"/>
      <c r="K134" s="25"/>
      <c r="L134" s="25"/>
      <c r="M134" s="25"/>
      <c r="N134" s="25"/>
      <c r="O134" s="25"/>
      <c r="P134" s="25"/>
      <c r="R134" s="23"/>
      <c r="U134" s="11"/>
    </row>
    <row r="135" spans="1:21" ht="14.25" customHeight="1" x14ac:dyDescent="0.3">
      <c r="A135" s="484"/>
      <c r="C135" s="25"/>
      <c r="D135" s="25"/>
      <c r="E135" s="25"/>
      <c r="F135" s="25"/>
      <c r="G135" s="25"/>
      <c r="H135" s="25"/>
      <c r="I135" s="25"/>
      <c r="J135" s="25"/>
      <c r="K135" s="25"/>
      <c r="L135" s="25"/>
      <c r="M135" s="25"/>
      <c r="N135" s="25"/>
      <c r="O135" s="25"/>
      <c r="P135" s="25"/>
      <c r="R135" s="23"/>
      <c r="U135" s="11"/>
    </row>
    <row r="136" spans="1:21" ht="14.25" customHeight="1" x14ac:dyDescent="0.3">
      <c r="A136" s="484"/>
      <c r="C136" s="25"/>
      <c r="D136" s="25"/>
      <c r="E136" s="25"/>
      <c r="F136" s="25"/>
      <c r="G136" s="25"/>
      <c r="H136" s="25"/>
      <c r="I136" s="25"/>
      <c r="J136" s="25"/>
      <c r="K136" s="25"/>
      <c r="L136" s="25"/>
      <c r="M136" s="25"/>
      <c r="N136" s="25"/>
      <c r="O136" s="25"/>
      <c r="P136" s="25"/>
      <c r="R136" s="23"/>
      <c r="U136" s="11"/>
    </row>
    <row r="137" spans="1:21" ht="14.25" customHeight="1" x14ac:dyDescent="0.3">
      <c r="A137" s="484"/>
      <c r="C137" s="25"/>
      <c r="D137" s="25"/>
      <c r="E137" s="25"/>
      <c r="F137" s="25"/>
      <c r="G137" s="25"/>
      <c r="H137" s="25"/>
      <c r="I137" s="25"/>
      <c r="J137" s="25"/>
      <c r="K137" s="25"/>
      <c r="L137" s="25"/>
      <c r="M137" s="25"/>
      <c r="N137" s="25"/>
      <c r="O137" s="25"/>
      <c r="P137" s="25"/>
      <c r="R137" s="23"/>
      <c r="U137" s="11"/>
    </row>
    <row r="138" spans="1:21" ht="14.25" customHeight="1" x14ac:dyDescent="0.3">
      <c r="A138" s="484"/>
      <c r="C138" s="25"/>
      <c r="D138" s="25"/>
      <c r="E138" s="25"/>
      <c r="F138" s="25"/>
      <c r="G138" s="25"/>
      <c r="H138" s="25"/>
      <c r="I138" s="25"/>
      <c r="J138" s="25"/>
      <c r="K138" s="25"/>
      <c r="L138" s="25"/>
      <c r="M138" s="25"/>
      <c r="N138" s="25"/>
      <c r="O138" s="25"/>
      <c r="P138" s="25"/>
      <c r="R138" s="23"/>
      <c r="U138" s="11"/>
    </row>
    <row r="139" spans="1:21" ht="14.25" customHeight="1" x14ac:dyDescent="0.3">
      <c r="A139" s="484"/>
      <c r="C139" s="25"/>
      <c r="D139" s="25"/>
      <c r="E139" s="25"/>
      <c r="F139" s="25"/>
      <c r="G139" s="25"/>
      <c r="H139" s="25"/>
      <c r="I139" s="25"/>
      <c r="J139" s="25"/>
      <c r="K139" s="25"/>
      <c r="L139" s="25"/>
      <c r="M139" s="25"/>
      <c r="N139" s="25"/>
      <c r="O139" s="25"/>
      <c r="P139" s="25"/>
      <c r="R139" s="23"/>
      <c r="U139" s="11"/>
    </row>
    <row r="140" spans="1:21" ht="14.25" customHeight="1" x14ac:dyDescent="0.3">
      <c r="A140" s="484"/>
      <c r="C140" s="25"/>
      <c r="D140" s="25"/>
      <c r="E140" s="25"/>
      <c r="F140" s="25"/>
      <c r="G140" s="25"/>
      <c r="H140" s="25"/>
      <c r="I140" s="25"/>
      <c r="J140" s="25"/>
      <c r="K140" s="25"/>
      <c r="L140" s="25"/>
      <c r="M140" s="25"/>
      <c r="N140" s="25"/>
      <c r="O140" s="25"/>
      <c r="P140" s="25"/>
      <c r="R140" s="23"/>
      <c r="U140" s="11"/>
    </row>
    <row r="141" spans="1:21" ht="14.25" customHeight="1" x14ac:dyDescent="0.3">
      <c r="A141" s="484"/>
      <c r="C141" s="25"/>
      <c r="D141" s="25"/>
      <c r="E141" s="25"/>
      <c r="F141" s="25"/>
      <c r="G141" s="25"/>
      <c r="H141" s="25"/>
      <c r="I141" s="25"/>
      <c r="J141" s="25"/>
      <c r="K141" s="25"/>
      <c r="L141" s="25"/>
      <c r="M141" s="25"/>
      <c r="N141" s="25"/>
      <c r="O141" s="25"/>
      <c r="P141" s="25"/>
      <c r="R141" s="23"/>
      <c r="U141" s="11"/>
    </row>
    <row r="142" spans="1:21" ht="14.25" customHeight="1" x14ac:dyDescent="0.3">
      <c r="A142" s="484"/>
      <c r="C142" s="25"/>
      <c r="D142" s="25"/>
      <c r="E142" s="25"/>
      <c r="F142" s="25"/>
      <c r="G142" s="25"/>
      <c r="H142" s="25"/>
      <c r="I142" s="25"/>
      <c r="J142" s="25"/>
      <c r="K142" s="25"/>
      <c r="L142" s="25"/>
      <c r="M142" s="25"/>
      <c r="N142" s="25"/>
      <c r="O142" s="25"/>
      <c r="P142" s="25"/>
      <c r="R142" s="23"/>
      <c r="U142" s="11"/>
    </row>
    <row r="143" spans="1:21" ht="14.25" customHeight="1" x14ac:dyDescent="0.3">
      <c r="A143" s="484"/>
      <c r="C143" s="25"/>
      <c r="D143" s="25"/>
      <c r="E143" s="25"/>
      <c r="F143" s="25"/>
      <c r="G143" s="25"/>
      <c r="H143" s="25"/>
      <c r="I143" s="25"/>
      <c r="J143" s="25"/>
      <c r="K143" s="25"/>
      <c r="L143" s="25"/>
      <c r="M143" s="25"/>
      <c r="N143" s="25"/>
      <c r="O143" s="25"/>
      <c r="P143" s="25"/>
      <c r="R143" s="23"/>
      <c r="U143" s="11"/>
    </row>
    <row r="144" spans="1:21" ht="14.25" customHeight="1" x14ac:dyDescent="0.3">
      <c r="A144" s="484"/>
      <c r="C144" s="25"/>
      <c r="D144" s="25"/>
      <c r="E144" s="25"/>
      <c r="F144" s="25"/>
      <c r="G144" s="25"/>
      <c r="H144" s="25"/>
      <c r="I144" s="25"/>
      <c r="J144" s="25"/>
      <c r="K144" s="25"/>
      <c r="L144" s="25"/>
      <c r="M144" s="25"/>
      <c r="N144" s="25"/>
      <c r="O144" s="25"/>
      <c r="P144" s="25"/>
      <c r="R144" s="23"/>
      <c r="U144" s="11"/>
    </row>
    <row r="145" spans="1:21" ht="14.25" customHeight="1" x14ac:dyDescent="0.3">
      <c r="A145" s="484"/>
      <c r="C145" s="25"/>
      <c r="D145" s="25"/>
      <c r="E145" s="25"/>
      <c r="F145" s="25"/>
      <c r="G145" s="25"/>
      <c r="H145" s="25"/>
      <c r="I145" s="25"/>
      <c r="J145" s="25"/>
      <c r="K145" s="25"/>
      <c r="L145" s="25"/>
      <c r="M145" s="25"/>
      <c r="N145" s="25"/>
      <c r="O145" s="25"/>
      <c r="P145" s="25"/>
      <c r="R145" s="23"/>
      <c r="U145" s="11"/>
    </row>
    <row r="146" spans="1:21" ht="14.25" customHeight="1" x14ac:dyDescent="0.3">
      <c r="A146" s="484"/>
      <c r="C146" s="25"/>
      <c r="D146" s="25"/>
      <c r="E146" s="25"/>
      <c r="F146" s="25"/>
      <c r="G146" s="25"/>
      <c r="H146" s="25"/>
      <c r="I146" s="25"/>
      <c r="J146" s="25"/>
      <c r="K146" s="25"/>
      <c r="L146" s="25"/>
      <c r="M146" s="25"/>
      <c r="N146" s="25"/>
      <c r="O146" s="25"/>
      <c r="P146" s="25"/>
      <c r="R146" s="23"/>
      <c r="U146" s="11"/>
    </row>
    <row r="147" spans="1:21" ht="14.25" customHeight="1" x14ac:dyDescent="0.3">
      <c r="A147" s="484"/>
      <c r="C147" s="25"/>
      <c r="D147" s="25"/>
      <c r="E147" s="25"/>
      <c r="F147" s="25"/>
      <c r="G147" s="25"/>
      <c r="H147" s="25"/>
      <c r="I147" s="25"/>
      <c r="J147" s="25"/>
      <c r="K147" s="25"/>
      <c r="L147" s="25"/>
      <c r="M147" s="25"/>
      <c r="N147" s="25"/>
      <c r="O147" s="25"/>
      <c r="P147" s="25"/>
      <c r="R147" s="23"/>
      <c r="U147" s="11"/>
    </row>
    <row r="148" spans="1:21" ht="14.25" customHeight="1" x14ac:dyDescent="0.3">
      <c r="A148" s="484"/>
      <c r="C148" s="25"/>
      <c r="D148" s="25"/>
      <c r="E148" s="25"/>
      <c r="F148" s="25"/>
      <c r="G148" s="25"/>
      <c r="H148" s="25"/>
      <c r="I148" s="25"/>
      <c r="J148" s="25"/>
      <c r="K148" s="25"/>
      <c r="L148" s="25"/>
      <c r="M148" s="25"/>
      <c r="N148" s="25"/>
      <c r="O148" s="25"/>
      <c r="P148" s="25"/>
      <c r="R148" s="23"/>
      <c r="U148" s="11"/>
    </row>
    <row r="149" spans="1:21" ht="14.25" customHeight="1" x14ac:dyDescent="0.3">
      <c r="A149" s="484"/>
      <c r="C149" s="25"/>
      <c r="D149" s="25"/>
      <c r="E149" s="25"/>
      <c r="F149" s="25"/>
      <c r="G149" s="25"/>
      <c r="H149" s="25"/>
      <c r="I149" s="25"/>
      <c r="J149" s="25"/>
      <c r="K149" s="25"/>
      <c r="L149" s="25"/>
      <c r="M149" s="25"/>
      <c r="N149" s="25"/>
      <c r="O149" s="25"/>
      <c r="P149" s="25"/>
      <c r="R149" s="23"/>
      <c r="U149" s="11"/>
    </row>
    <row r="150" spans="1:21" ht="14.25" customHeight="1" x14ac:dyDescent="0.3">
      <c r="A150" s="484"/>
      <c r="C150" s="25"/>
      <c r="D150" s="25"/>
      <c r="E150" s="25"/>
      <c r="F150" s="25"/>
      <c r="G150" s="25"/>
      <c r="H150" s="25"/>
      <c r="I150" s="25"/>
      <c r="J150" s="25"/>
      <c r="K150" s="25"/>
      <c r="L150" s="25"/>
      <c r="M150" s="25"/>
      <c r="N150" s="25"/>
      <c r="O150" s="25"/>
      <c r="P150" s="25"/>
      <c r="R150" s="23"/>
      <c r="U150" s="11"/>
    </row>
    <row r="151" spans="1:21" ht="14.25" customHeight="1" x14ac:dyDescent="0.3">
      <c r="A151" s="484"/>
      <c r="C151" s="25"/>
      <c r="D151" s="25"/>
      <c r="E151" s="25"/>
      <c r="F151" s="25"/>
      <c r="G151" s="25"/>
      <c r="H151" s="25"/>
      <c r="I151" s="25"/>
      <c r="J151" s="25"/>
      <c r="K151" s="25"/>
      <c r="L151" s="25"/>
      <c r="M151" s="25"/>
      <c r="N151" s="25"/>
      <c r="O151" s="25"/>
      <c r="P151" s="25"/>
      <c r="R151" s="23"/>
      <c r="U151" s="11"/>
    </row>
    <row r="152" spans="1:21" ht="14.25" customHeight="1" x14ac:dyDescent="0.3">
      <c r="A152" s="484"/>
      <c r="C152" s="25"/>
      <c r="D152" s="25"/>
      <c r="E152" s="25"/>
      <c r="F152" s="25"/>
      <c r="G152" s="25"/>
      <c r="H152" s="25"/>
      <c r="I152" s="25"/>
      <c r="J152" s="25"/>
      <c r="K152" s="25"/>
      <c r="L152" s="25"/>
      <c r="M152" s="25"/>
      <c r="N152" s="25"/>
      <c r="O152" s="25"/>
      <c r="P152" s="25"/>
      <c r="R152" s="23"/>
      <c r="U152" s="11"/>
    </row>
    <row r="153" spans="1:21" ht="14.25" customHeight="1" x14ac:dyDescent="0.3">
      <c r="A153" s="484"/>
      <c r="C153" s="25"/>
      <c r="D153" s="25"/>
      <c r="E153" s="25"/>
      <c r="F153" s="25"/>
      <c r="G153" s="25"/>
      <c r="H153" s="25"/>
      <c r="I153" s="25"/>
      <c r="J153" s="25"/>
      <c r="K153" s="25"/>
      <c r="L153" s="25"/>
      <c r="M153" s="25"/>
      <c r="N153" s="25"/>
      <c r="O153" s="25"/>
      <c r="P153" s="25"/>
      <c r="R153" s="23"/>
      <c r="U153" s="11"/>
    </row>
    <row r="154" spans="1:21" ht="14.25" customHeight="1" x14ac:dyDescent="0.3">
      <c r="A154" s="484"/>
      <c r="C154" s="25"/>
      <c r="D154" s="25"/>
      <c r="E154" s="25"/>
      <c r="F154" s="25"/>
      <c r="G154" s="25"/>
      <c r="H154" s="25"/>
      <c r="I154" s="25"/>
      <c r="J154" s="25"/>
      <c r="K154" s="25"/>
      <c r="L154" s="25"/>
      <c r="M154" s="25"/>
      <c r="N154" s="25"/>
      <c r="O154" s="25"/>
      <c r="P154" s="25"/>
      <c r="R154" s="23"/>
      <c r="U154" s="11"/>
    </row>
    <row r="155" spans="1:21" ht="14.25" customHeight="1" x14ac:dyDescent="0.3">
      <c r="A155" s="484"/>
      <c r="C155" s="25"/>
      <c r="D155" s="25"/>
      <c r="E155" s="25"/>
      <c r="F155" s="25"/>
      <c r="G155" s="25"/>
      <c r="H155" s="25"/>
      <c r="I155" s="25"/>
      <c r="J155" s="25"/>
      <c r="K155" s="25"/>
      <c r="L155" s="25"/>
      <c r="M155" s="25"/>
      <c r="N155" s="25"/>
      <c r="O155" s="25"/>
      <c r="P155" s="25"/>
      <c r="R155" s="23"/>
      <c r="U155" s="11"/>
    </row>
    <row r="156" spans="1:21" ht="14.25" customHeight="1" x14ac:dyDescent="0.3">
      <c r="A156" s="484"/>
      <c r="C156" s="25"/>
      <c r="D156" s="25"/>
      <c r="E156" s="25"/>
      <c r="F156" s="25"/>
      <c r="G156" s="25"/>
      <c r="H156" s="25"/>
      <c r="I156" s="25"/>
      <c r="J156" s="25"/>
      <c r="K156" s="25"/>
      <c r="L156" s="25"/>
      <c r="M156" s="25"/>
      <c r="N156" s="25"/>
      <c r="O156" s="25"/>
      <c r="P156" s="25"/>
      <c r="R156" s="23"/>
      <c r="U156" s="11"/>
    </row>
    <row r="157" spans="1:21" ht="14.25" customHeight="1" x14ac:dyDescent="0.3">
      <c r="A157" s="484"/>
      <c r="C157" s="25"/>
      <c r="D157" s="25"/>
      <c r="E157" s="25"/>
      <c r="F157" s="25"/>
      <c r="G157" s="25"/>
      <c r="H157" s="25"/>
      <c r="I157" s="25"/>
      <c r="J157" s="25"/>
      <c r="K157" s="25"/>
      <c r="L157" s="25"/>
      <c r="M157" s="25"/>
      <c r="N157" s="25"/>
      <c r="O157" s="25"/>
      <c r="P157" s="25"/>
      <c r="R157" s="23"/>
      <c r="U157" s="11"/>
    </row>
    <row r="158" spans="1:21" ht="14.25" customHeight="1" x14ac:dyDescent="0.3">
      <c r="A158" s="484"/>
      <c r="C158" s="25"/>
      <c r="D158" s="25"/>
      <c r="E158" s="25"/>
      <c r="F158" s="25"/>
      <c r="G158" s="25"/>
      <c r="H158" s="25"/>
      <c r="I158" s="25"/>
      <c r="J158" s="25"/>
      <c r="K158" s="25"/>
      <c r="L158" s="25"/>
      <c r="M158" s="25"/>
      <c r="N158" s="25"/>
      <c r="O158" s="25"/>
      <c r="P158" s="25"/>
      <c r="R158" s="23"/>
      <c r="U158" s="11"/>
    </row>
    <row r="159" spans="1:21" ht="14.25" customHeight="1" x14ac:dyDescent="0.3">
      <c r="A159" s="484"/>
      <c r="C159" s="25"/>
      <c r="D159" s="25"/>
      <c r="E159" s="25"/>
      <c r="F159" s="25"/>
      <c r="G159" s="25"/>
      <c r="H159" s="25"/>
      <c r="I159" s="25"/>
      <c r="J159" s="25"/>
      <c r="K159" s="25"/>
      <c r="L159" s="25"/>
      <c r="M159" s="25"/>
      <c r="N159" s="25"/>
      <c r="O159" s="25"/>
      <c r="P159" s="25"/>
      <c r="R159" s="23"/>
      <c r="U159" s="11"/>
    </row>
    <row r="160" spans="1:21" ht="14.25" customHeight="1" x14ac:dyDescent="0.3">
      <c r="A160" s="484"/>
      <c r="C160" s="25"/>
      <c r="D160" s="25"/>
      <c r="E160" s="25"/>
      <c r="F160" s="25"/>
      <c r="G160" s="25"/>
      <c r="H160" s="25"/>
      <c r="I160" s="25"/>
      <c r="J160" s="25"/>
      <c r="K160" s="25"/>
      <c r="L160" s="25"/>
      <c r="M160" s="25"/>
      <c r="N160" s="25"/>
      <c r="O160" s="25"/>
      <c r="P160" s="25"/>
      <c r="R160" s="23"/>
      <c r="U160" s="11"/>
    </row>
    <row r="161" spans="1:21" ht="14.25" customHeight="1" x14ac:dyDescent="0.3">
      <c r="A161" s="484"/>
      <c r="C161" s="25"/>
      <c r="D161" s="25"/>
      <c r="E161" s="25"/>
      <c r="F161" s="25"/>
      <c r="G161" s="25"/>
      <c r="H161" s="25"/>
      <c r="I161" s="25"/>
      <c r="J161" s="25"/>
      <c r="K161" s="25"/>
      <c r="L161" s="25"/>
      <c r="M161" s="25"/>
      <c r="N161" s="25"/>
      <c r="O161" s="25"/>
      <c r="P161" s="25"/>
      <c r="R161" s="23"/>
      <c r="U161" s="11"/>
    </row>
    <row r="162" spans="1:21" ht="14.25" customHeight="1" x14ac:dyDescent="0.3">
      <c r="A162" s="484"/>
      <c r="C162" s="25"/>
      <c r="D162" s="25"/>
      <c r="E162" s="25"/>
      <c r="F162" s="25"/>
      <c r="G162" s="25"/>
      <c r="H162" s="25"/>
      <c r="I162" s="25"/>
      <c r="J162" s="25"/>
      <c r="K162" s="25"/>
      <c r="L162" s="25"/>
      <c r="M162" s="25"/>
      <c r="N162" s="25"/>
      <c r="O162" s="25"/>
      <c r="P162" s="25"/>
      <c r="R162" s="23"/>
      <c r="U162" s="11"/>
    </row>
    <row r="163" spans="1:21" ht="14.25" customHeight="1" x14ac:dyDescent="0.3">
      <c r="A163" s="484"/>
      <c r="C163" s="25"/>
      <c r="D163" s="25"/>
      <c r="E163" s="25"/>
      <c r="F163" s="25"/>
      <c r="G163" s="25"/>
      <c r="H163" s="25"/>
      <c r="I163" s="25"/>
      <c r="J163" s="25"/>
      <c r="K163" s="25"/>
      <c r="L163" s="25"/>
      <c r="M163" s="25"/>
      <c r="N163" s="25"/>
      <c r="O163" s="25"/>
      <c r="P163" s="25"/>
      <c r="R163" s="23"/>
      <c r="U163" s="11"/>
    </row>
    <row r="164" spans="1:21" ht="14.25" customHeight="1" x14ac:dyDescent="0.3">
      <c r="A164" s="484"/>
      <c r="C164" s="25"/>
      <c r="D164" s="25"/>
      <c r="E164" s="25"/>
      <c r="F164" s="25"/>
      <c r="G164" s="25"/>
      <c r="H164" s="25"/>
      <c r="I164" s="25"/>
      <c r="J164" s="25"/>
      <c r="K164" s="25"/>
      <c r="L164" s="25"/>
      <c r="M164" s="25"/>
      <c r="N164" s="25"/>
      <c r="O164" s="25"/>
      <c r="P164" s="25"/>
      <c r="R164" s="23"/>
      <c r="U164" s="11"/>
    </row>
    <row r="165" spans="1:21" ht="14.25" customHeight="1" x14ac:dyDescent="0.3">
      <c r="A165" s="484"/>
      <c r="C165" s="25"/>
      <c r="D165" s="25"/>
      <c r="E165" s="25"/>
      <c r="F165" s="25"/>
      <c r="G165" s="25"/>
      <c r="H165" s="25"/>
      <c r="I165" s="25"/>
      <c r="J165" s="25"/>
      <c r="K165" s="25"/>
      <c r="L165" s="25"/>
      <c r="M165" s="25"/>
      <c r="N165" s="25"/>
      <c r="O165" s="25"/>
      <c r="P165" s="25"/>
      <c r="R165" s="23"/>
      <c r="U165" s="11"/>
    </row>
    <row r="166" spans="1:21" ht="14.25" customHeight="1" x14ac:dyDescent="0.3">
      <c r="A166" s="484"/>
      <c r="C166" s="25"/>
      <c r="D166" s="25"/>
      <c r="E166" s="25"/>
      <c r="F166" s="25"/>
      <c r="G166" s="25"/>
      <c r="H166" s="25"/>
      <c r="I166" s="25"/>
      <c r="J166" s="25"/>
      <c r="K166" s="25"/>
      <c r="L166" s="25"/>
      <c r="M166" s="25"/>
      <c r="N166" s="25"/>
      <c r="O166" s="25"/>
      <c r="P166" s="25"/>
      <c r="R166" s="23"/>
      <c r="U166" s="11"/>
    </row>
    <row r="167" spans="1:21" ht="14.25" customHeight="1" x14ac:dyDescent="0.3">
      <c r="A167" s="484"/>
      <c r="C167" s="25"/>
      <c r="D167" s="25"/>
      <c r="E167" s="25"/>
      <c r="F167" s="25"/>
      <c r="G167" s="25"/>
      <c r="H167" s="25"/>
      <c r="I167" s="25"/>
      <c r="J167" s="25"/>
      <c r="K167" s="25"/>
      <c r="L167" s="25"/>
      <c r="M167" s="25"/>
      <c r="N167" s="25"/>
      <c r="O167" s="25"/>
      <c r="P167" s="25"/>
      <c r="R167" s="23"/>
      <c r="U167" s="11"/>
    </row>
    <row r="168" spans="1:21" ht="14.25" customHeight="1" x14ac:dyDescent="0.3">
      <c r="A168" s="484"/>
      <c r="C168" s="25"/>
      <c r="D168" s="25"/>
      <c r="E168" s="25"/>
      <c r="F168" s="25"/>
      <c r="G168" s="25"/>
      <c r="H168" s="25"/>
      <c r="I168" s="25"/>
      <c r="J168" s="25"/>
      <c r="K168" s="25"/>
      <c r="L168" s="25"/>
      <c r="M168" s="25"/>
      <c r="N168" s="25"/>
      <c r="O168" s="25"/>
      <c r="P168" s="25"/>
      <c r="R168" s="23"/>
      <c r="U168" s="11"/>
    </row>
    <row r="169" spans="1:21" ht="14.25" customHeight="1" x14ac:dyDescent="0.3">
      <c r="A169" s="484"/>
      <c r="C169" s="25"/>
      <c r="D169" s="25"/>
      <c r="E169" s="25"/>
      <c r="F169" s="25"/>
      <c r="G169" s="25"/>
      <c r="H169" s="25"/>
      <c r="I169" s="25"/>
      <c r="J169" s="25"/>
      <c r="K169" s="25"/>
      <c r="L169" s="25"/>
      <c r="M169" s="25"/>
      <c r="N169" s="25"/>
      <c r="O169" s="25"/>
      <c r="P169" s="25"/>
      <c r="R169" s="23"/>
      <c r="U169" s="11"/>
    </row>
    <row r="170" spans="1:21" ht="14.25" customHeight="1" x14ac:dyDescent="0.3">
      <c r="A170" s="484"/>
      <c r="C170" s="25"/>
      <c r="D170" s="25"/>
      <c r="E170" s="25"/>
      <c r="F170" s="25"/>
      <c r="G170" s="25"/>
      <c r="H170" s="25"/>
      <c r="I170" s="25"/>
      <c r="J170" s="25"/>
      <c r="K170" s="25"/>
      <c r="L170" s="25"/>
      <c r="M170" s="25"/>
      <c r="N170" s="25"/>
      <c r="O170" s="25"/>
      <c r="P170" s="25"/>
      <c r="R170" s="23"/>
      <c r="U170" s="11"/>
    </row>
    <row r="171" spans="1:21" ht="14.25" customHeight="1" x14ac:dyDescent="0.3">
      <c r="A171" s="484"/>
      <c r="C171" s="25"/>
      <c r="D171" s="25"/>
      <c r="E171" s="25"/>
      <c r="F171" s="25"/>
      <c r="G171" s="25"/>
      <c r="H171" s="25"/>
      <c r="I171" s="25"/>
      <c r="J171" s="25"/>
      <c r="K171" s="25"/>
      <c r="L171" s="25"/>
      <c r="M171" s="25"/>
      <c r="N171" s="25"/>
      <c r="O171" s="25"/>
      <c r="P171" s="25"/>
      <c r="R171" s="23"/>
      <c r="U171" s="11"/>
    </row>
    <row r="172" spans="1:21" ht="14.25" customHeight="1" x14ac:dyDescent="0.3">
      <c r="A172" s="484"/>
      <c r="C172" s="25"/>
      <c r="D172" s="25"/>
      <c r="E172" s="25"/>
      <c r="F172" s="25"/>
      <c r="G172" s="25"/>
      <c r="H172" s="25"/>
      <c r="I172" s="25"/>
      <c r="J172" s="25"/>
      <c r="K172" s="25"/>
      <c r="L172" s="25"/>
      <c r="M172" s="25"/>
      <c r="N172" s="25"/>
      <c r="O172" s="25"/>
      <c r="P172" s="25"/>
      <c r="R172" s="23"/>
      <c r="U172" s="11"/>
    </row>
    <row r="173" spans="1:21" ht="14.25" customHeight="1" x14ac:dyDescent="0.3">
      <c r="A173" s="484"/>
      <c r="C173" s="25"/>
      <c r="D173" s="25"/>
      <c r="E173" s="25"/>
      <c r="F173" s="25"/>
      <c r="G173" s="25"/>
      <c r="H173" s="25"/>
      <c r="I173" s="25"/>
      <c r="J173" s="25"/>
      <c r="K173" s="25"/>
      <c r="L173" s="25"/>
      <c r="M173" s="25"/>
      <c r="N173" s="25"/>
      <c r="O173" s="25"/>
      <c r="P173" s="25"/>
      <c r="R173" s="23"/>
      <c r="U173" s="11"/>
    </row>
    <row r="174" spans="1:21" ht="14.25" customHeight="1" x14ac:dyDescent="0.3">
      <c r="A174" s="484"/>
      <c r="C174" s="25"/>
      <c r="D174" s="25"/>
      <c r="E174" s="25"/>
      <c r="F174" s="25"/>
      <c r="G174" s="25"/>
      <c r="H174" s="25"/>
      <c r="I174" s="25"/>
      <c r="J174" s="25"/>
      <c r="K174" s="25"/>
      <c r="L174" s="25"/>
      <c r="M174" s="25"/>
      <c r="N174" s="25"/>
      <c r="O174" s="25"/>
      <c r="P174" s="25"/>
      <c r="R174" s="23"/>
      <c r="U174" s="11"/>
    </row>
    <row r="175" spans="1:21" ht="14.25" customHeight="1" x14ac:dyDescent="0.3">
      <c r="A175" s="484"/>
      <c r="C175" s="25"/>
      <c r="D175" s="25"/>
      <c r="E175" s="25"/>
      <c r="F175" s="25"/>
      <c r="G175" s="25"/>
      <c r="H175" s="25"/>
      <c r="I175" s="25"/>
      <c r="J175" s="25"/>
      <c r="K175" s="25"/>
      <c r="L175" s="25"/>
      <c r="M175" s="25"/>
      <c r="N175" s="25"/>
      <c r="O175" s="25"/>
      <c r="P175" s="25"/>
      <c r="R175" s="23"/>
      <c r="U175" s="11"/>
    </row>
    <row r="176" spans="1:21" ht="14.25" customHeight="1" x14ac:dyDescent="0.3">
      <c r="A176" s="484"/>
      <c r="C176" s="25"/>
      <c r="D176" s="25"/>
      <c r="E176" s="25"/>
      <c r="F176" s="25"/>
      <c r="G176" s="25"/>
      <c r="H176" s="25"/>
      <c r="I176" s="25"/>
      <c r="J176" s="25"/>
      <c r="K176" s="25"/>
      <c r="L176" s="25"/>
      <c r="M176" s="25"/>
      <c r="N176" s="25"/>
      <c r="O176" s="25"/>
      <c r="P176" s="25"/>
      <c r="R176" s="23"/>
      <c r="U176" s="11"/>
    </row>
    <row r="177" spans="1:21" ht="14.25" customHeight="1" x14ac:dyDescent="0.3">
      <c r="A177" s="484"/>
      <c r="C177" s="25"/>
      <c r="D177" s="25"/>
      <c r="E177" s="25"/>
      <c r="F177" s="25"/>
      <c r="G177" s="25"/>
      <c r="H177" s="25"/>
      <c r="I177" s="25"/>
      <c r="J177" s="25"/>
      <c r="K177" s="25"/>
      <c r="L177" s="25"/>
      <c r="M177" s="25"/>
      <c r="N177" s="25"/>
      <c r="O177" s="25"/>
      <c r="P177" s="25"/>
      <c r="R177" s="23"/>
      <c r="U177" s="11"/>
    </row>
    <row r="178" spans="1:21" ht="14.25" customHeight="1" x14ac:dyDescent="0.3">
      <c r="A178" s="484"/>
      <c r="C178" s="25"/>
      <c r="D178" s="25"/>
      <c r="E178" s="25"/>
      <c r="F178" s="25"/>
      <c r="G178" s="25"/>
      <c r="H178" s="25"/>
      <c r="I178" s="25"/>
      <c r="J178" s="25"/>
      <c r="K178" s="25"/>
      <c r="L178" s="25"/>
      <c r="M178" s="25"/>
      <c r="N178" s="25"/>
      <c r="O178" s="25"/>
      <c r="P178" s="25"/>
      <c r="R178" s="23"/>
      <c r="U178" s="11"/>
    </row>
    <row r="179" spans="1:21" ht="14.25" customHeight="1" x14ac:dyDescent="0.3">
      <c r="A179" s="484"/>
      <c r="C179" s="25"/>
      <c r="D179" s="25"/>
      <c r="E179" s="25"/>
      <c r="F179" s="25"/>
      <c r="G179" s="25"/>
      <c r="H179" s="25"/>
      <c r="I179" s="25"/>
      <c r="J179" s="25"/>
      <c r="K179" s="25"/>
      <c r="L179" s="25"/>
      <c r="M179" s="25"/>
      <c r="N179" s="25"/>
      <c r="O179" s="25"/>
      <c r="P179" s="25"/>
      <c r="R179" s="23"/>
      <c r="U179" s="11"/>
    </row>
    <row r="180" spans="1:21" ht="14.25" customHeight="1" x14ac:dyDescent="0.3">
      <c r="A180" s="484"/>
      <c r="C180" s="25"/>
      <c r="D180" s="25"/>
      <c r="E180" s="25"/>
      <c r="F180" s="25"/>
      <c r="G180" s="25"/>
      <c r="H180" s="25"/>
      <c r="I180" s="25"/>
      <c r="J180" s="25"/>
      <c r="K180" s="25"/>
      <c r="L180" s="25"/>
      <c r="M180" s="25"/>
      <c r="N180" s="25"/>
      <c r="O180" s="25"/>
      <c r="P180" s="25"/>
      <c r="R180" s="23"/>
      <c r="U180" s="11"/>
    </row>
    <row r="181" spans="1:21" ht="14.25" customHeight="1" x14ac:dyDescent="0.3">
      <c r="A181" s="484"/>
      <c r="C181" s="25"/>
      <c r="D181" s="25"/>
      <c r="E181" s="25"/>
      <c r="F181" s="25"/>
      <c r="G181" s="25"/>
      <c r="H181" s="25"/>
      <c r="I181" s="25"/>
      <c r="J181" s="25"/>
      <c r="K181" s="25"/>
      <c r="L181" s="25"/>
      <c r="M181" s="25"/>
      <c r="N181" s="25"/>
      <c r="O181" s="25"/>
      <c r="P181" s="25"/>
      <c r="R181" s="23"/>
      <c r="U181" s="11"/>
    </row>
    <row r="182" spans="1:21" ht="14.25" customHeight="1" x14ac:dyDescent="0.3">
      <c r="A182" s="484"/>
      <c r="C182" s="25"/>
      <c r="D182" s="25"/>
      <c r="E182" s="25"/>
      <c r="F182" s="25"/>
      <c r="G182" s="25"/>
      <c r="H182" s="25"/>
      <c r="I182" s="25"/>
      <c r="J182" s="25"/>
      <c r="K182" s="25"/>
      <c r="L182" s="25"/>
      <c r="M182" s="25"/>
      <c r="N182" s="25"/>
      <c r="O182" s="25"/>
      <c r="P182" s="25"/>
      <c r="R182" s="23"/>
      <c r="U182" s="11"/>
    </row>
    <row r="183" spans="1:21" ht="14.25" customHeight="1" x14ac:dyDescent="0.3">
      <c r="A183" s="484"/>
      <c r="C183" s="25"/>
      <c r="D183" s="25"/>
      <c r="E183" s="25"/>
      <c r="F183" s="25"/>
      <c r="G183" s="25"/>
      <c r="H183" s="25"/>
      <c r="I183" s="25"/>
      <c r="J183" s="25"/>
      <c r="K183" s="25"/>
      <c r="L183" s="25"/>
      <c r="M183" s="25"/>
      <c r="N183" s="25"/>
      <c r="O183" s="25"/>
      <c r="P183" s="25"/>
      <c r="R183" s="23"/>
      <c r="U183" s="11"/>
    </row>
    <row r="184" spans="1:21" ht="14.25" customHeight="1" x14ac:dyDescent="0.3">
      <c r="A184" s="484"/>
      <c r="C184" s="25"/>
      <c r="D184" s="25"/>
      <c r="E184" s="25"/>
      <c r="F184" s="25"/>
      <c r="G184" s="25"/>
      <c r="H184" s="25"/>
      <c r="I184" s="25"/>
      <c r="J184" s="25"/>
      <c r="K184" s="25"/>
      <c r="L184" s="25"/>
      <c r="M184" s="25"/>
      <c r="N184" s="25"/>
      <c r="O184" s="25"/>
      <c r="P184" s="25"/>
      <c r="R184" s="23"/>
      <c r="U184" s="11"/>
    </row>
    <row r="185" spans="1:21" ht="14.25" customHeight="1" x14ac:dyDescent="0.3">
      <c r="A185" s="484"/>
      <c r="C185" s="25"/>
      <c r="D185" s="25"/>
      <c r="E185" s="25"/>
      <c r="F185" s="25"/>
      <c r="G185" s="25"/>
      <c r="H185" s="25"/>
      <c r="I185" s="25"/>
      <c r="J185" s="25"/>
      <c r="K185" s="25"/>
      <c r="L185" s="25"/>
      <c r="M185" s="25"/>
      <c r="N185" s="25"/>
      <c r="O185" s="25"/>
      <c r="P185" s="25"/>
      <c r="R185" s="23"/>
      <c r="U185" s="11"/>
    </row>
    <row r="186" spans="1:21" ht="14.25" customHeight="1" x14ac:dyDescent="0.3">
      <c r="A186" s="484"/>
      <c r="C186" s="25"/>
      <c r="D186" s="25"/>
      <c r="E186" s="25"/>
      <c r="F186" s="25"/>
      <c r="G186" s="25"/>
      <c r="H186" s="25"/>
      <c r="I186" s="25"/>
      <c r="J186" s="25"/>
      <c r="K186" s="25"/>
      <c r="L186" s="25"/>
      <c r="M186" s="25"/>
      <c r="N186" s="25"/>
      <c r="O186" s="25"/>
      <c r="P186" s="25"/>
      <c r="R186" s="23"/>
      <c r="U186" s="11"/>
    </row>
    <row r="187" spans="1:21" ht="14.25" customHeight="1" x14ac:dyDescent="0.3">
      <c r="A187" s="484"/>
      <c r="C187" s="25"/>
      <c r="D187" s="25"/>
      <c r="E187" s="25"/>
      <c r="F187" s="25"/>
      <c r="G187" s="25"/>
      <c r="H187" s="25"/>
      <c r="I187" s="25"/>
      <c r="J187" s="25"/>
      <c r="K187" s="25"/>
      <c r="L187" s="25"/>
      <c r="M187" s="25"/>
      <c r="N187" s="25"/>
      <c r="O187" s="25"/>
      <c r="P187" s="25"/>
      <c r="R187" s="23"/>
      <c r="U187" s="11"/>
    </row>
    <row r="188" spans="1:21" ht="14.25" customHeight="1" x14ac:dyDescent="0.3">
      <c r="A188" s="484"/>
      <c r="C188" s="25"/>
      <c r="D188" s="25"/>
      <c r="E188" s="25"/>
      <c r="F188" s="25"/>
      <c r="G188" s="25"/>
      <c r="H188" s="25"/>
      <c r="I188" s="25"/>
      <c r="J188" s="25"/>
      <c r="K188" s="25"/>
      <c r="L188" s="25"/>
      <c r="M188" s="25"/>
      <c r="N188" s="25"/>
      <c r="O188" s="25"/>
      <c r="P188" s="25"/>
      <c r="R188" s="23"/>
      <c r="U188" s="11"/>
    </row>
    <row r="189" spans="1:21" ht="14.25" customHeight="1" x14ac:dyDescent="0.3">
      <c r="A189" s="484"/>
      <c r="C189" s="25"/>
      <c r="D189" s="25"/>
      <c r="E189" s="25"/>
      <c r="F189" s="25"/>
      <c r="G189" s="25"/>
      <c r="H189" s="25"/>
      <c r="I189" s="25"/>
      <c r="J189" s="25"/>
      <c r="K189" s="25"/>
      <c r="L189" s="25"/>
      <c r="M189" s="25"/>
      <c r="N189" s="25"/>
      <c r="O189" s="25"/>
      <c r="P189" s="25"/>
      <c r="R189" s="23"/>
      <c r="U189" s="11"/>
    </row>
    <row r="190" spans="1:21" ht="14.25" customHeight="1" x14ac:dyDescent="0.3">
      <c r="A190" s="484"/>
      <c r="C190" s="25"/>
      <c r="D190" s="25"/>
      <c r="E190" s="25"/>
      <c r="F190" s="25"/>
      <c r="G190" s="25"/>
      <c r="H190" s="25"/>
      <c r="I190" s="25"/>
      <c r="J190" s="25"/>
      <c r="K190" s="25"/>
      <c r="L190" s="25"/>
      <c r="M190" s="25"/>
      <c r="N190" s="25"/>
      <c r="O190" s="25"/>
      <c r="P190" s="25"/>
      <c r="R190" s="23"/>
      <c r="U190" s="11"/>
    </row>
    <row r="191" spans="1:21" ht="14.25" customHeight="1" x14ac:dyDescent="0.3">
      <c r="A191" s="484"/>
      <c r="C191" s="25"/>
      <c r="D191" s="25"/>
      <c r="E191" s="25"/>
      <c r="F191" s="25"/>
      <c r="G191" s="25"/>
      <c r="H191" s="25"/>
      <c r="I191" s="25"/>
      <c r="J191" s="25"/>
      <c r="K191" s="25"/>
      <c r="L191" s="25"/>
      <c r="M191" s="25"/>
      <c r="N191" s="25"/>
      <c r="O191" s="25"/>
      <c r="P191" s="25"/>
      <c r="R191" s="23"/>
      <c r="U191" s="11"/>
    </row>
    <row r="192" spans="1:21" ht="14.25" customHeight="1" x14ac:dyDescent="0.3">
      <c r="A192" s="484"/>
      <c r="C192" s="25"/>
      <c r="D192" s="25"/>
      <c r="E192" s="25"/>
      <c r="F192" s="25"/>
      <c r="G192" s="25"/>
      <c r="H192" s="25"/>
      <c r="I192" s="25"/>
      <c r="J192" s="25"/>
      <c r="K192" s="25"/>
      <c r="L192" s="25"/>
      <c r="M192" s="25"/>
      <c r="N192" s="25"/>
      <c r="O192" s="25"/>
      <c r="P192" s="25"/>
      <c r="R192" s="23"/>
      <c r="U192" s="11"/>
    </row>
    <row r="193" spans="1:21" ht="14.25" customHeight="1" x14ac:dyDescent="0.3">
      <c r="A193" s="484"/>
      <c r="C193" s="25"/>
      <c r="D193" s="25"/>
      <c r="E193" s="25"/>
      <c r="F193" s="25"/>
      <c r="G193" s="25"/>
      <c r="H193" s="25"/>
      <c r="I193" s="25"/>
      <c r="J193" s="25"/>
      <c r="K193" s="25"/>
      <c r="L193" s="25"/>
      <c r="M193" s="25"/>
      <c r="N193" s="25"/>
      <c r="O193" s="25"/>
      <c r="P193" s="25"/>
      <c r="R193" s="23"/>
      <c r="U193" s="11"/>
    </row>
    <row r="194" spans="1:21" ht="14.25" customHeight="1" x14ac:dyDescent="0.3">
      <c r="A194" s="484"/>
      <c r="C194" s="25"/>
      <c r="D194" s="25"/>
      <c r="E194" s="25"/>
      <c r="F194" s="25"/>
      <c r="G194" s="25"/>
      <c r="H194" s="25"/>
      <c r="I194" s="25"/>
      <c r="J194" s="25"/>
      <c r="K194" s="25"/>
      <c r="L194" s="25"/>
      <c r="M194" s="25"/>
      <c r="N194" s="25"/>
      <c r="O194" s="25"/>
      <c r="P194" s="25"/>
      <c r="R194" s="23"/>
      <c r="U194" s="11"/>
    </row>
    <row r="195" spans="1:21" ht="14.25" customHeight="1" x14ac:dyDescent="0.3">
      <c r="A195" s="484"/>
      <c r="C195" s="25"/>
      <c r="D195" s="25"/>
      <c r="E195" s="25"/>
      <c r="F195" s="25"/>
      <c r="G195" s="25"/>
      <c r="H195" s="25"/>
      <c r="I195" s="25"/>
      <c r="J195" s="25"/>
      <c r="K195" s="25"/>
      <c r="L195" s="25"/>
      <c r="M195" s="25"/>
      <c r="N195" s="25"/>
      <c r="O195" s="25"/>
      <c r="P195" s="25"/>
      <c r="R195" s="23"/>
      <c r="U195" s="11"/>
    </row>
    <row r="196" spans="1:21" ht="14.25" customHeight="1" x14ac:dyDescent="0.3">
      <c r="A196" s="484"/>
      <c r="C196" s="25"/>
      <c r="D196" s="25"/>
      <c r="E196" s="25"/>
      <c r="F196" s="25"/>
      <c r="G196" s="25"/>
      <c r="H196" s="25"/>
      <c r="I196" s="25"/>
      <c r="J196" s="25"/>
      <c r="K196" s="25"/>
      <c r="L196" s="25"/>
      <c r="M196" s="25"/>
      <c r="N196" s="25"/>
      <c r="O196" s="25"/>
      <c r="P196" s="25"/>
      <c r="R196" s="23"/>
      <c r="U196" s="11"/>
    </row>
    <row r="197" spans="1:21" ht="14.25" customHeight="1" x14ac:dyDescent="0.3">
      <c r="A197" s="484"/>
      <c r="C197" s="25"/>
      <c r="D197" s="25"/>
      <c r="E197" s="25"/>
      <c r="F197" s="25"/>
      <c r="G197" s="25"/>
      <c r="H197" s="25"/>
      <c r="I197" s="25"/>
      <c r="J197" s="25"/>
      <c r="K197" s="25"/>
      <c r="L197" s="25"/>
      <c r="M197" s="25"/>
      <c r="N197" s="25"/>
      <c r="O197" s="25"/>
      <c r="P197" s="25"/>
      <c r="R197" s="23"/>
      <c r="U197" s="11"/>
    </row>
    <row r="198" spans="1:21" ht="14.25" customHeight="1" x14ac:dyDescent="0.3">
      <c r="A198" s="484"/>
      <c r="C198" s="25"/>
      <c r="D198" s="25"/>
      <c r="E198" s="25"/>
      <c r="F198" s="25"/>
      <c r="G198" s="25"/>
      <c r="H198" s="25"/>
      <c r="I198" s="25"/>
      <c r="J198" s="25"/>
      <c r="K198" s="25"/>
      <c r="L198" s="25"/>
      <c r="M198" s="25"/>
      <c r="N198" s="25"/>
      <c r="O198" s="25"/>
      <c r="P198" s="25"/>
      <c r="R198" s="23"/>
      <c r="U198" s="11"/>
    </row>
    <row r="199" spans="1:21" ht="14.25" customHeight="1" x14ac:dyDescent="0.3">
      <c r="A199" s="484"/>
      <c r="C199" s="25"/>
      <c r="D199" s="25"/>
      <c r="E199" s="25"/>
      <c r="F199" s="25"/>
      <c r="G199" s="25"/>
      <c r="H199" s="25"/>
      <c r="I199" s="25"/>
      <c r="J199" s="25"/>
      <c r="K199" s="25"/>
      <c r="L199" s="25"/>
      <c r="M199" s="25"/>
      <c r="N199" s="25"/>
      <c r="O199" s="25"/>
      <c r="P199" s="25"/>
      <c r="R199" s="23"/>
      <c r="U199" s="11"/>
    </row>
    <row r="200" spans="1:21" ht="14.25" customHeight="1" x14ac:dyDescent="0.3">
      <c r="A200" s="484"/>
      <c r="C200" s="25"/>
      <c r="D200" s="25"/>
      <c r="E200" s="25"/>
      <c r="F200" s="25"/>
      <c r="G200" s="25"/>
      <c r="H200" s="25"/>
      <c r="I200" s="25"/>
      <c r="J200" s="25"/>
      <c r="K200" s="25"/>
      <c r="L200" s="25"/>
      <c r="M200" s="25"/>
      <c r="N200" s="25"/>
      <c r="O200" s="25"/>
      <c r="P200" s="25"/>
      <c r="R200" s="23"/>
      <c r="U200" s="11"/>
    </row>
    <row r="201" spans="1:21" ht="14.25" customHeight="1" x14ac:dyDescent="0.3">
      <c r="A201" s="484"/>
      <c r="C201" s="25"/>
      <c r="D201" s="25"/>
      <c r="E201" s="25"/>
      <c r="F201" s="25"/>
      <c r="G201" s="25"/>
      <c r="H201" s="25"/>
      <c r="I201" s="25"/>
      <c r="J201" s="25"/>
      <c r="K201" s="25"/>
      <c r="L201" s="25"/>
      <c r="M201" s="25"/>
      <c r="N201" s="25"/>
      <c r="O201" s="25"/>
      <c r="P201" s="25"/>
      <c r="R201" s="23"/>
      <c r="U201" s="11"/>
    </row>
    <row r="202" spans="1:21" ht="14.25" customHeight="1" x14ac:dyDescent="0.3">
      <c r="A202" s="484"/>
      <c r="C202" s="25"/>
      <c r="D202" s="25"/>
      <c r="E202" s="25"/>
      <c r="F202" s="25"/>
      <c r="G202" s="25"/>
      <c r="H202" s="25"/>
      <c r="I202" s="25"/>
      <c r="J202" s="25"/>
      <c r="K202" s="25"/>
      <c r="L202" s="25"/>
      <c r="M202" s="25"/>
      <c r="N202" s="25"/>
      <c r="O202" s="25"/>
      <c r="P202" s="25"/>
      <c r="R202" s="23"/>
      <c r="U202" s="11"/>
    </row>
    <row r="203" spans="1:21" ht="14.25" customHeight="1" x14ac:dyDescent="0.3">
      <c r="A203" s="484"/>
      <c r="C203" s="25"/>
      <c r="D203" s="25"/>
      <c r="E203" s="25"/>
      <c r="F203" s="25"/>
      <c r="G203" s="25"/>
      <c r="H203" s="25"/>
      <c r="I203" s="25"/>
      <c r="J203" s="25"/>
      <c r="K203" s="25"/>
      <c r="L203" s="25"/>
      <c r="M203" s="25"/>
      <c r="N203" s="25"/>
      <c r="O203" s="25"/>
      <c r="P203" s="25"/>
      <c r="R203" s="23"/>
      <c r="U203" s="11"/>
    </row>
    <row r="204" spans="1:21" ht="14.25" customHeight="1" x14ac:dyDescent="0.3">
      <c r="A204" s="484"/>
      <c r="C204" s="25"/>
      <c r="D204" s="25"/>
      <c r="E204" s="25"/>
      <c r="F204" s="25"/>
      <c r="G204" s="25"/>
      <c r="H204" s="25"/>
      <c r="I204" s="25"/>
      <c r="J204" s="25"/>
      <c r="K204" s="25"/>
      <c r="L204" s="25"/>
      <c r="M204" s="25"/>
      <c r="N204" s="25"/>
      <c r="O204" s="25"/>
      <c r="P204" s="25"/>
      <c r="R204" s="23"/>
      <c r="U204" s="11"/>
    </row>
    <row r="205" spans="1:21" ht="14.25" customHeight="1" x14ac:dyDescent="0.3">
      <c r="A205" s="484"/>
      <c r="C205" s="25"/>
      <c r="D205" s="25"/>
      <c r="E205" s="25"/>
      <c r="F205" s="25"/>
      <c r="G205" s="25"/>
      <c r="H205" s="25"/>
      <c r="I205" s="25"/>
      <c r="J205" s="25"/>
      <c r="K205" s="25"/>
      <c r="L205" s="25"/>
      <c r="M205" s="25"/>
      <c r="N205" s="25"/>
      <c r="O205" s="25"/>
      <c r="P205" s="25"/>
      <c r="R205" s="23"/>
      <c r="U205" s="11"/>
    </row>
    <row r="206" spans="1:21" ht="14.25" customHeight="1" x14ac:dyDescent="0.3">
      <c r="A206" s="484"/>
      <c r="C206" s="25"/>
      <c r="D206" s="25"/>
      <c r="E206" s="25"/>
      <c r="F206" s="25"/>
      <c r="G206" s="25"/>
      <c r="H206" s="25"/>
      <c r="I206" s="25"/>
      <c r="J206" s="25"/>
      <c r="K206" s="25"/>
      <c r="L206" s="25"/>
      <c r="M206" s="25"/>
      <c r="N206" s="25"/>
      <c r="O206" s="25"/>
      <c r="P206" s="25"/>
      <c r="R206" s="23"/>
      <c r="U206" s="11"/>
    </row>
    <row r="207" spans="1:21" ht="14.25" customHeight="1" x14ac:dyDescent="0.3">
      <c r="A207" s="484"/>
      <c r="C207" s="25"/>
      <c r="D207" s="25"/>
      <c r="E207" s="25"/>
      <c r="F207" s="25"/>
      <c r="G207" s="25"/>
      <c r="H207" s="25"/>
      <c r="I207" s="25"/>
      <c r="J207" s="25"/>
      <c r="K207" s="25"/>
      <c r="L207" s="25"/>
      <c r="M207" s="25"/>
      <c r="N207" s="25"/>
      <c r="O207" s="25"/>
      <c r="P207" s="25"/>
      <c r="R207" s="23"/>
      <c r="U207" s="11"/>
    </row>
    <row r="208" spans="1:21" ht="14.25" customHeight="1" x14ac:dyDescent="0.3">
      <c r="A208" s="484"/>
      <c r="C208" s="25"/>
      <c r="D208" s="25"/>
      <c r="E208" s="25"/>
      <c r="F208" s="25"/>
      <c r="G208" s="25"/>
      <c r="H208" s="25"/>
      <c r="I208" s="25"/>
      <c r="J208" s="25"/>
      <c r="K208" s="25"/>
      <c r="L208" s="25"/>
      <c r="M208" s="25"/>
      <c r="N208" s="25"/>
      <c r="O208" s="25"/>
      <c r="P208" s="25"/>
      <c r="R208" s="23"/>
      <c r="U208" s="11"/>
    </row>
    <row r="209" spans="1:21" ht="14.25" customHeight="1" x14ac:dyDescent="0.3">
      <c r="A209" s="484"/>
      <c r="C209" s="25"/>
      <c r="D209" s="25"/>
      <c r="E209" s="25"/>
      <c r="F209" s="25"/>
      <c r="G209" s="25"/>
      <c r="H209" s="25"/>
      <c r="I209" s="25"/>
      <c r="J209" s="25"/>
      <c r="K209" s="25"/>
      <c r="L209" s="25"/>
      <c r="M209" s="25"/>
      <c r="N209" s="25"/>
      <c r="O209" s="25"/>
      <c r="P209" s="25"/>
      <c r="R209" s="23"/>
      <c r="U209" s="11"/>
    </row>
    <row r="210" spans="1:21" ht="14.25" customHeight="1" x14ac:dyDescent="0.3">
      <c r="A210" s="484"/>
      <c r="C210" s="25"/>
      <c r="D210" s="25"/>
      <c r="E210" s="25"/>
      <c r="F210" s="25"/>
      <c r="G210" s="25"/>
      <c r="H210" s="25"/>
      <c r="I210" s="25"/>
      <c r="J210" s="25"/>
      <c r="K210" s="25"/>
      <c r="L210" s="25"/>
      <c r="M210" s="25"/>
      <c r="N210" s="25"/>
      <c r="O210" s="25"/>
      <c r="P210" s="25"/>
      <c r="R210" s="23"/>
      <c r="U210" s="11"/>
    </row>
    <row r="211" spans="1:21" ht="14.25" customHeight="1" x14ac:dyDescent="0.3">
      <c r="A211" s="484"/>
      <c r="C211" s="25"/>
      <c r="D211" s="25"/>
      <c r="E211" s="25"/>
      <c r="F211" s="25"/>
      <c r="G211" s="25"/>
      <c r="H211" s="25"/>
      <c r="I211" s="25"/>
      <c r="J211" s="25"/>
      <c r="K211" s="25"/>
      <c r="L211" s="25"/>
      <c r="M211" s="25"/>
      <c r="N211" s="25"/>
      <c r="O211" s="25"/>
      <c r="P211" s="25"/>
      <c r="R211" s="23"/>
      <c r="U211" s="11"/>
    </row>
    <row r="212" spans="1:21" ht="14.25" customHeight="1" x14ac:dyDescent="0.3">
      <c r="A212" s="484"/>
      <c r="C212" s="25"/>
      <c r="D212" s="25"/>
      <c r="E212" s="25"/>
      <c r="F212" s="25"/>
      <c r="G212" s="25"/>
      <c r="H212" s="25"/>
      <c r="I212" s="25"/>
      <c r="J212" s="25"/>
      <c r="K212" s="25"/>
      <c r="L212" s="25"/>
      <c r="M212" s="25"/>
      <c r="N212" s="25"/>
      <c r="O212" s="25"/>
      <c r="P212" s="25"/>
      <c r="R212" s="23"/>
      <c r="U212" s="11"/>
    </row>
    <row r="213" spans="1:21" ht="14.25" customHeight="1" x14ac:dyDescent="0.3">
      <c r="A213" s="484"/>
      <c r="C213" s="25"/>
      <c r="D213" s="25"/>
      <c r="E213" s="25"/>
      <c r="F213" s="25"/>
      <c r="G213" s="25"/>
      <c r="H213" s="25"/>
      <c r="I213" s="25"/>
      <c r="J213" s="25"/>
      <c r="K213" s="25"/>
      <c r="L213" s="25"/>
      <c r="M213" s="25"/>
      <c r="N213" s="25"/>
      <c r="O213" s="25"/>
      <c r="P213" s="25"/>
      <c r="R213" s="23"/>
      <c r="U213" s="11"/>
    </row>
    <row r="214" spans="1:21" ht="14.25" customHeight="1" x14ac:dyDescent="0.3">
      <c r="A214" s="484"/>
      <c r="C214" s="25"/>
      <c r="D214" s="25"/>
      <c r="E214" s="25"/>
      <c r="F214" s="25"/>
      <c r="G214" s="25"/>
      <c r="H214" s="25"/>
      <c r="I214" s="25"/>
      <c r="J214" s="25"/>
      <c r="K214" s="25"/>
      <c r="L214" s="25"/>
      <c r="M214" s="25"/>
      <c r="N214" s="25"/>
      <c r="O214" s="25"/>
      <c r="P214" s="25"/>
      <c r="R214" s="23"/>
      <c r="U214" s="11"/>
    </row>
    <row r="215" spans="1:21" ht="14.25" customHeight="1" x14ac:dyDescent="0.3">
      <c r="A215" s="484"/>
      <c r="C215" s="25"/>
      <c r="D215" s="25"/>
      <c r="E215" s="25"/>
      <c r="F215" s="25"/>
      <c r="G215" s="25"/>
      <c r="H215" s="25"/>
      <c r="I215" s="25"/>
      <c r="J215" s="25"/>
      <c r="K215" s="25"/>
      <c r="L215" s="25"/>
      <c r="M215" s="25"/>
      <c r="N215" s="25"/>
      <c r="O215" s="25"/>
      <c r="P215" s="25"/>
      <c r="R215" s="23"/>
      <c r="U215" s="11"/>
    </row>
    <row r="216" spans="1:21" ht="14.25" customHeight="1" x14ac:dyDescent="0.3">
      <c r="A216" s="484"/>
      <c r="C216" s="25"/>
      <c r="D216" s="25"/>
      <c r="E216" s="25"/>
      <c r="F216" s="25"/>
      <c r="G216" s="25"/>
      <c r="H216" s="25"/>
      <c r="I216" s="25"/>
      <c r="J216" s="25"/>
      <c r="K216" s="25"/>
      <c r="L216" s="25"/>
      <c r="M216" s="25"/>
      <c r="N216" s="25"/>
      <c r="O216" s="25"/>
      <c r="P216" s="25"/>
      <c r="R216" s="23"/>
      <c r="U216" s="11"/>
    </row>
    <row r="217" spans="1:21" ht="14.25" customHeight="1" x14ac:dyDescent="0.3">
      <c r="A217" s="484"/>
      <c r="C217" s="25"/>
      <c r="D217" s="25"/>
      <c r="E217" s="25"/>
      <c r="F217" s="25"/>
      <c r="G217" s="25"/>
      <c r="H217" s="25"/>
      <c r="I217" s="25"/>
      <c r="J217" s="25"/>
      <c r="K217" s="25"/>
      <c r="L217" s="25"/>
      <c r="M217" s="25"/>
      <c r="N217" s="25"/>
      <c r="O217" s="25"/>
      <c r="P217" s="25"/>
      <c r="R217" s="23"/>
      <c r="U217" s="11"/>
    </row>
    <row r="218" spans="1:21" ht="14.25" customHeight="1" x14ac:dyDescent="0.3">
      <c r="A218" s="484"/>
      <c r="C218" s="25"/>
      <c r="D218" s="25"/>
      <c r="E218" s="25"/>
      <c r="F218" s="25"/>
      <c r="G218" s="25"/>
      <c r="H218" s="25"/>
      <c r="I218" s="25"/>
      <c r="J218" s="25"/>
      <c r="K218" s="25"/>
      <c r="L218" s="25"/>
      <c r="M218" s="25"/>
      <c r="N218" s="25"/>
      <c r="O218" s="25"/>
      <c r="P218" s="25"/>
      <c r="R218" s="23"/>
      <c r="U218" s="11"/>
    </row>
    <row r="219" spans="1:21" ht="14.25" customHeight="1" x14ac:dyDescent="0.3">
      <c r="A219" s="484"/>
      <c r="C219" s="25"/>
      <c r="D219" s="25"/>
      <c r="E219" s="25"/>
      <c r="F219" s="25"/>
      <c r="G219" s="25"/>
      <c r="H219" s="25"/>
      <c r="I219" s="25"/>
      <c r="J219" s="25"/>
      <c r="K219" s="25"/>
      <c r="L219" s="25"/>
      <c r="M219" s="25"/>
      <c r="N219" s="25"/>
      <c r="O219" s="25"/>
      <c r="P219" s="25"/>
      <c r="R219" s="23"/>
      <c r="U219" s="11"/>
    </row>
    <row r="220" spans="1:21" ht="14.25" customHeight="1" x14ac:dyDescent="0.3">
      <c r="A220" s="484"/>
      <c r="C220" s="25"/>
      <c r="D220" s="25"/>
      <c r="E220" s="25"/>
      <c r="F220" s="25"/>
      <c r="G220" s="25"/>
      <c r="H220" s="25"/>
      <c r="I220" s="25"/>
      <c r="J220" s="25"/>
      <c r="K220" s="25"/>
      <c r="L220" s="25"/>
      <c r="M220" s="25"/>
      <c r="N220" s="25"/>
      <c r="O220" s="25"/>
      <c r="P220" s="25"/>
      <c r="R220" s="23"/>
      <c r="U220" s="11"/>
    </row>
    <row r="221" spans="1:21" ht="14.25" customHeight="1" x14ac:dyDescent="0.3">
      <c r="A221" s="484"/>
      <c r="C221" s="25"/>
      <c r="D221" s="25"/>
      <c r="E221" s="25"/>
      <c r="F221" s="25"/>
      <c r="G221" s="25"/>
      <c r="H221" s="25"/>
      <c r="I221" s="25"/>
      <c r="J221" s="25"/>
      <c r="K221" s="25"/>
      <c r="L221" s="25"/>
      <c r="M221" s="25"/>
      <c r="N221" s="25"/>
      <c r="O221" s="25"/>
      <c r="P221" s="25"/>
      <c r="R221" s="23"/>
      <c r="U221" s="11"/>
    </row>
    <row r="222" spans="1:21" ht="14.25" customHeight="1" x14ac:dyDescent="0.3">
      <c r="A222" s="484"/>
      <c r="C222" s="25"/>
      <c r="D222" s="25"/>
      <c r="E222" s="25"/>
      <c r="F222" s="25"/>
      <c r="G222" s="25"/>
      <c r="H222" s="25"/>
      <c r="I222" s="25"/>
      <c r="J222" s="25"/>
      <c r="K222" s="25"/>
      <c r="L222" s="25"/>
      <c r="M222" s="25"/>
      <c r="N222" s="25"/>
      <c r="O222" s="25"/>
      <c r="P222" s="25"/>
      <c r="R222" s="23"/>
      <c r="U222" s="11"/>
    </row>
    <row r="223" spans="1:21" ht="14.25" customHeight="1" x14ac:dyDescent="0.3">
      <c r="A223" s="484"/>
      <c r="C223" s="25"/>
      <c r="D223" s="25"/>
      <c r="E223" s="25"/>
      <c r="F223" s="25"/>
      <c r="G223" s="25"/>
      <c r="H223" s="25"/>
      <c r="I223" s="25"/>
      <c r="J223" s="25"/>
      <c r="K223" s="25"/>
      <c r="L223" s="25"/>
      <c r="M223" s="25"/>
      <c r="N223" s="25"/>
      <c r="O223" s="25"/>
      <c r="P223" s="25"/>
      <c r="R223" s="23"/>
      <c r="U223" s="11"/>
    </row>
    <row r="224" spans="1:21" ht="14.25" customHeight="1" x14ac:dyDescent="0.3">
      <c r="A224" s="484"/>
      <c r="C224" s="25"/>
      <c r="D224" s="25"/>
      <c r="E224" s="25"/>
      <c r="F224" s="25"/>
      <c r="G224" s="25"/>
      <c r="H224" s="25"/>
      <c r="I224" s="25"/>
      <c r="J224" s="25"/>
      <c r="K224" s="25"/>
      <c r="L224" s="25"/>
      <c r="M224" s="25"/>
      <c r="N224" s="25"/>
      <c r="O224" s="25"/>
      <c r="P224" s="25"/>
      <c r="R224" s="23"/>
      <c r="U224" s="11"/>
    </row>
    <row r="225" spans="1:21" ht="14.25" customHeight="1" x14ac:dyDescent="0.3">
      <c r="A225" s="484"/>
      <c r="C225" s="25"/>
      <c r="D225" s="25"/>
      <c r="E225" s="25"/>
      <c r="F225" s="25"/>
      <c r="G225" s="25"/>
      <c r="H225" s="25"/>
      <c r="I225" s="25"/>
      <c r="J225" s="25"/>
      <c r="K225" s="25"/>
      <c r="L225" s="25"/>
      <c r="M225" s="25"/>
      <c r="N225" s="25"/>
      <c r="O225" s="25"/>
      <c r="P225" s="25"/>
      <c r="R225" s="23"/>
      <c r="U225" s="11"/>
    </row>
    <row r="226" spans="1:21" ht="14.25" customHeight="1" x14ac:dyDescent="0.3">
      <c r="A226" s="484"/>
      <c r="C226" s="25"/>
      <c r="D226" s="25"/>
      <c r="E226" s="25"/>
      <c r="F226" s="25"/>
      <c r="G226" s="25"/>
      <c r="H226" s="25"/>
      <c r="I226" s="25"/>
      <c r="J226" s="25"/>
      <c r="K226" s="25"/>
      <c r="L226" s="25"/>
      <c r="M226" s="25"/>
      <c r="N226" s="25"/>
      <c r="O226" s="25"/>
      <c r="P226" s="25"/>
      <c r="R226" s="23"/>
      <c r="U226" s="11"/>
    </row>
    <row r="227" spans="1:21" ht="14.25" customHeight="1" x14ac:dyDescent="0.3">
      <c r="A227" s="484"/>
      <c r="C227" s="25"/>
      <c r="D227" s="25"/>
      <c r="E227" s="25"/>
      <c r="F227" s="25"/>
      <c r="G227" s="25"/>
      <c r="H227" s="25"/>
      <c r="I227" s="25"/>
      <c r="J227" s="25"/>
      <c r="K227" s="25"/>
      <c r="L227" s="25"/>
      <c r="M227" s="25"/>
      <c r="N227" s="25"/>
      <c r="O227" s="25"/>
      <c r="P227" s="25"/>
      <c r="R227" s="23"/>
      <c r="U227" s="11"/>
    </row>
    <row r="228" spans="1:21" ht="14.25" customHeight="1" x14ac:dyDescent="0.3">
      <c r="A228" s="484"/>
      <c r="C228" s="25"/>
      <c r="D228" s="25"/>
      <c r="E228" s="25"/>
      <c r="F228" s="25"/>
      <c r="G228" s="25"/>
      <c r="H228" s="25"/>
      <c r="I228" s="25"/>
      <c r="J228" s="25"/>
      <c r="K228" s="25"/>
      <c r="L228" s="25"/>
      <c r="M228" s="25"/>
      <c r="N228" s="25"/>
      <c r="O228" s="25"/>
      <c r="P228" s="25"/>
      <c r="R228" s="23"/>
      <c r="U228" s="11"/>
    </row>
    <row r="229" spans="1:21" ht="14.25" customHeight="1" x14ac:dyDescent="0.3">
      <c r="A229" s="484"/>
      <c r="C229" s="25"/>
      <c r="D229" s="25"/>
      <c r="E229" s="25"/>
      <c r="F229" s="25"/>
      <c r="G229" s="25"/>
      <c r="H229" s="25"/>
      <c r="I229" s="25"/>
      <c r="J229" s="25"/>
      <c r="K229" s="25"/>
      <c r="L229" s="25"/>
      <c r="M229" s="25"/>
      <c r="N229" s="25"/>
      <c r="O229" s="25"/>
      <c r="P229" s="25"/>
      <c r="R229" s="23"/>
      <c r="U229" s="11"/>
    </row>
    <row r="230" spans="1:21" ht="14.25" customHeight="1" x14ac:dyDescent="0.3">
      <c r="A230" s="484"/>
      <c r="C230" s="25"/>
      <c r="D230" s="25"/>
      <c r="E230" s="25"/>
      <c r="F230" s="25"/>
      <c r="G230" s="25"/>
      <c r="H230" s="25"/>
      <c r="I230" s="25"/>
      <c r="J230" s="25"/>
      <c r="K230" s="25"/>
      <c r="L230" s="25"/>
      <c r="M230" s="25"/>
      <c r="N230" s="25"/>
      <c r="O230" s="25"/>
      <c r="P230" s="25"/>
      <c r="R230" s="23"/>
      <c r="U230" s="11"/>
    </row>
    <row r="231" spans="1:21" ht="14.25" customHeight="1" x14ac:dyDescent="0.3">
      <c r="A231" s="484"/>
      <c r="C231" s="25"/>
      <c r="D231" s="25"/>
      <c r="E231" s="25"/>
      <c r="F231" s="25"/>
      <c r="G231" s="25"/>
      <c r="H231" s="25"/>
      <c r="I231" s="25"/>
      <c r="J231" s="25"/>
      <c r="K231" s="25"/>
      <c r="L231" s="25"/>
      <c r="M231" s="25"/>
      <c r="N231" s="25"/>
      <c r="O231" s="25"/>
      <c r="P231" s="25"/>
      <c r="R231" s="23"/>
      <c r="U231" s="11"/>
    </row>
    <row r="232" spans="1:21" ht="14.25" customHeight="1" x14ac:dyDescent="0.3">
      <c r="A232" s="484"/>
      <c r="C232" s="25"/>
      <c r="D232" s="25"/>
      <c r="E232" s="25"/>
      <c r="F232" s="25"/>
      <c r="G232" s="25"/>
      <c r="H232" s="25"/>
      <c r="I232" s="25"/>
      <c r="J232" s="25"/>
      <c r="K232" s="25"/>
      <c r="L232" s="25"/>
      <c r="M232" s="25"/>
      <c r="N232" s="25"/>
      <c r="O232" s="25"/>
      <c r="P232" s="25"/>
      <c r="R232" s="23"/>
      <c r="U232" s="11"/>
    </row>
    <row r="233" spans="1:21" ht="14.25" customHeight="1" x14ac:dyDescent="0.3">
      <c r="A233" s="484"/>
      <c r="C233" s="25"/>
      <c r="D233" s="25"/>
      <c r="E233" s="25"/>
      <c r="F233" s="25"/>
      <c r="G233" s="25"/>
      <c r="H233" s="25"/>
      <c r="I233" s="25"/>
      <c r="J233" s="25"/>
      <c r="K233" s="25"/>
      <c r="L233" s="25"/>
      <c r="M233" s="25"/>
      <c r="N233" s="25"/>
      <c r="O233" s="25"/>
      <c r="P233" s="25"/>
      <c r="R233" s="23"/>
      <c r="U233" s="11"/>
    </row>
    <row r="234" spans="1:21" ht="14.25" customHeight="1" x14ac:dyDescent="0.3">
      <c r="A234" s="484"/>
      <c r="C234" s="25"/>
      <c r="D234" s="25"/>
      <c r="E234" s="25"/>
      <c r="F234" s="25"/>
      <c r="G234" s="25"/>
      <c r="H234" s="25"/>
      <c r="I234" s="25"/>
      <c r="J234" s="25"/>
      <c r="K234" s="25"/>
      <c r="L234" s="25"/>
      <c r="M234" s="25"/>
      <c r="N234" s="25"/>
      <c r="O234" s="25"/>
      <c r="P234" s="25"/>
      <c r="R234" s="23"/>
      <c r="U234" s="11"/>
    </row>
    <row r="235" spans="1:21" ht="14.25" customHeight="1" x14ac:dyDescent="0.3">
      <c r="A235" s="484"/>
      <c r="C235" s="25"/>
      <c r="D235" s="25"/>
      <c r="E235" s="25"/>
      <c r="F235" s="25"/>
      <c r="G235" s="25"/>
      <c r="H235" s="25"/>
      <c r="I235" s="25"/>
      <c r="J235" s="25"/>
      <c r="K235" s="25"/>
      <c r="L235" s="25"/>
      <c r="M235" s="25"/>
      <c r="N235" s="25"/>
      <c r="O235" s="25"/>
      <c r="P235" s="25"/>
      <c r="R235" s="23"/>
      <c r="U235" s="11"/>
    </row>
    <row r="236" spans="1:21" ht="14.25" customHeight="1" x14ac:dyDescent="0.3">
      <c r="A236" s="484"/>
      <c r="C236" s="25"/>
      <c r="D236" s="25"/>
      <c r="E236" s="25"/>
      <c r="F236" s="25"/>
      <c r="G236" s="25"/>
      <c r="H236" s="25"/>
      <c r="I236" s="25"/>
      <c r="J236" s="25"/>
      <c r="K236" s="25"/>
      <c r="L236" s="25"/>
      <c r="M236" s="25"/>
      <c r="N236" s="25"/>
      <c r="O236" s="25"/>
      <c r="P236" s="25"/>
      <c r="R236" s="23"/>
      <c r="U236" s="11"/>
    </row>
    <row r="237" spans="1:21" ht="14.25" customHeight="1" x14ac:dyDescent="0.3">
      <c r="A237" s="484"/>
      <c r="C237" s="25"/>
      <c r="D237" s="25"/>
      <c r="E237" s="25"/>
      <c r="F237" s="25"/>
      <c r="G237" s="25"/>
      <c r="H237" s="25"/>
      <c r="I237" s="25"/>
      <c r="J237" s="25"/>
      <c r="K237" s="25"/>
      <c r="L237" s="25"/>
      <c r="M237" s="25"/>
      <c r="N237" s="25"/>
      <c r="O237" s="25"/>
      <c r="P237" s="25"/>
      <c r="R237" s="23"/>
      <c r="U237" s="11"/>
    </row>
    <row r="238" spans="1:21" ht="14.25" customHeight="1" x14ac:dyDescent="0.3">
      <c r="A238" s="484"/>
      <c r="C238" s="25"/>
      <c r="D238" s="25"/>
      <c r="E238" s="25"/>
      <c r="F238" s="25"/>
      <c r="G238" s="25"/>
      <c r="H238" s="25"/>
      <c r="I238" s="25"/>
      <c r="J238" s="25"/>
      <c r="K238" s="25"/>
      <c r="L238" s="25"/>
      <c r="M238" s="25"/>
      <c r="N238" s="25"/>
      <c r="O238" s="25"/>
      <c r="P238" s="25"/>
      <c r="R238" s="23"/>
      <c r="U238" s="11"/>
    </row>
    <row r="239" spans="1:21" ht="14.25" customHeight="1" x14ac:dyDescent="0.3">
      <c r="A239" s="484"/>
      <c r="C239" s="25"/>
      <c r="D239" s="25"/>
      <c r="E239" s="25"/>
      <c r="F239" s="25"/>
      <c r="G239" s="25"/>
      <c r="H239" s="25"/>
      <c r="I239" s="25"/>
      <c r="J239" s="25"/>
      <c r="K239" s="25"/>
      <c r="L239" s="25"/>
      <c r="M239" s="25"/>
      <c r="N239" s="25"/>
      <c r="O239" s="25"/>
      <c r="P239" s="25"/>
      <c r="R239" s="23"/>
      <c r="U239" s="11"/>
    </row>
    <row r="240" spans="1:21" ht="14.25" customHeight="1" x14ac:dyDescent="0.3">
      <c r="A240" s="484"/>
      <c r="C240" s="25"/>
      <c r="D240" s="25"/>
      <c r="E240" s="25"/>
      <c r="F240" s="25"/>
      <c r="G240" s="25"/>
      <c r="H240" s="25"/>
      <c r="I240" s="25"/>
      <c r="J240" s="25"/>
      <c r="K240" s="25"/>
      <c r="L240" s="25"/>
      <c r="M240" s="25"/>
      <c r="N240" s="25"/>
      <c r="O240" s="25"/>
      <c r="P240" s="25"/>
      <c r="R240" s="23"/>
      <c r="U240" s="11"/>
    </row>
    <row r="241" spans="1:21" ht="14.25" customHeight="1" x14ac:dyDescent="0.3">
      <c r="A241" s="484"/>
      <c r="C241" s="25"/>
      <c r="D241" s="25"/>
      <c r="E241" s="25"/>
      <c r="F241" s="25"/>
      <c r="G241" s="25"/>
      <c r="H241" s="25"/>
      <c r="I241" s="25"/>
      <c r="J241" s="25"/>
      <c r="K241" s="25"/>
      <c r="L241" s="25"/>
      <c r="M241" s="25"/>
      <c r="N241" s="25"/>
      <c r="O241" s="25"/>
      <c r="P241" s="25"/>
      <c r="R241" s="23"/>
      <c r="U241" s="11"/>
    </row>
    <row r="242" spans="1:21" ht="14.25" customHeight="1" x14ac:dyDescent="0.3">
      <c r="A242" s="484"/>
      <c r="C242" s="25"/>
      <c r="D242" s="25"/>
      <c r="E242" s="25"/>
      <c r="F242" s="25"/>
      <c r="G242" s="25"/>
      <c r="H242" s="25"/>
      <c r="I242" s="25"/>
      <c r="J242" s="25"/>
      <c r="K242" s="25"/>
      <c r="L242" s="25"/>
      <c r="M242" s="25"/>
      <c r="N242" s="25"/>
      <c r="O242" s="25"/>
      <c r="P242" s="25"/>
      <c r="R242" s="23"/>
      <c r="U242" s="11"/>
    </row>
    <row r="243" spans="1:21" ht="14.25" customHeight="1" x14ac:dyDescent="0.3">
      <c r="A243" s="484"/>
      <c r="C243" s="25"/>
      <c r="D243" s="25"/>
      <c r="E243" s="25"/>
      <c r="F243" s="25"/>
      <c r="G243" s="25"/>
      <c r="H243" s="25"/>
      <c r="I243" s="25"/>
      <c r="J243" s="25"/>
      <c r="K243" s="25"/>
      <c r="L243" s="25"/>
      <c r="M243" s="25"/>
      <c r="N243" s="25"/>
      <c r="O243" s="25"/>
      <c r="P243" s="25"/>
      <c r="R243" s="23"/>
      <c r="U243" s="11"/>
    </row>
    <row r="244" spans="1:21" ht="14.25" customHeight="1" x14ac:dyDescent="0.3">
      <c r="A244" s="484"/>
      <c r="C244" s="25"/>
      <c r="D244" s="25"/>
      <c r="E244" s="25"/>
      <c r="F244" s="25"/>
      <c r="G244" s="25"/>
      <c r="H244" s="25"/>
      <c r="I244" s="25"/>
      <c r="J244" s="25"/>
      <c r="K244" s="25"/>
      <c r="L244" s="25"/>
      <c r="M244" s="25"/>
      <c r="N244" s="25"/>
      <c r="O244" s="25"/>
      <c r="P244" s="25"/>
      <c r="R244" s="23"/>
      <c r="U244" s="11"/>
    </row>
    <row r="245" spans="1:21" ht="14.25" customHeight="1" x14ac:dyDescent="0.3">
      <c r="A245" s="484"/>
      <c r="C245" s="25"/>
      <c r="D245" s="25"/>
      <c r="E245" s="25"/>
      <c r="F245" s="25"/>
      <c r="G245" s="25"/>
      <c r="H245" s="25"/>
      <c r="I245" s="25"/>
      <c r="J245" s="25"/>
      <c r="K245" s="25"/>
      <c r="L245" s="25"/>
      <c r="M245" s="25"/>
      <c r="N245" s="25"/>
      <c r="O245" s="25"/>
      <c r="P245" s="25"/>
      <c r="R245" s="23"/>
      <c r="U245" s="11"/>
    </row>
    <row r="246" spans="1:21" ht="14.25" customHeight="1" x14ac:dyDescent="0.3">
      <c r="A246" s="484"/>
      <c r="C246" s="25"/>
      <c r="D246" s="25"/>
      <c r="E246" s="25"/>
      <c r="F246" s="25"/>
      <c r="G246" s="25"/>
      <c r="H246" s="25"/>
      <c r="I246" s="25"/>
      <c r="J246" s="25"/>
      <c r="K246" s="25"/>
      <c r="L246" s="25"/>
      <c r="M246" s="25"/>
      <c r="N246" s="25"/>
      <c r="O246" s="25"/>
      <c r="P246" s="25"/>
      <c r="R246" s="23"/>
      <c r="U246" s="11"/>
    </row>
    <row r="247" spans="1:21" ht="14.25" customHeight="1" x14ac:dyDescent="0.3">
      <c r="A247" s="484"/>
      <c r="C247" s="25"/>
      <c r="D247" s="25"/>
      <c r="E247" s="25"/>
      <c r="F247" s="25"/>
      <c r="G247" s="25"/>
      <c r="H247" s="25"/>
      <c r="I247" s="25"/>
      <c r="J247" s="25"/>
      <c r="K247" s="25"/>
      <c r="L247" s="25"/>
      <c r="M247" s="25"/>
      <c r="N247" s="25"/>
      <c r="O247" s="25"/>
      <c r="P247" s="25"/>
      <c r="R247" s="23"/>
      <c r="U247" s="11"/>
    </row>
    <row r="248" spans="1:21" ht="14.25" customHeight="1" x14ac:dyDescent="0.3">
      <c r="A248" s="484"/>
      <c r="C248" s="25"/>
      <c r="D248" s="25"/>
      <c r="E248" s="25"/>
      <c r="F248" s="25"/>
      <c r="G248" s="25"/>
      <c r="H248" s="25"/>
      <c r="I248" s="25"/>
      <c r="J248" s="25"/>
      <c r="K248" s="25"/>
      <c r="L248" s="25"/>
      <c r="M248" s="25"/>
      <c r="N248" s="25"/>
      <c r="O248" s="25"/>
      <c r="P248" s="25"/>
      <c r="R248" s="23"/>
      <c r="U248" s="11"/>
    </row>
    <row r="249" spans="1:21" ht="14.25" customHeight="1" x14ac:dyDescent="0.3">
      <c r="A249" s="484"/>
      <c r="C249" s="25"/>
      <c r="D249" s="25"/>
      <c r="E249" s="25"/>
      <c r="F249" s="25"/>
      <c r="G249" s="25"/>
      <c r="H249" s="25"/>
      <c r="I249" s="25"/>
      <c r="J249" s="25"/>
      <c r="K249" s="25"/>
      <c r="L249" s="25"/>
      <c r="M249" s="25"/>
      <c r="N249" s="25"/>
      <c r="O249" s="25"/>
      <c r="P249" s="25"/>
      <c r="R249" s="23"/>
      <c r="U249" s="11"/>
    </row>
    <row r="250" spans="1:21" ht="14.25" customHeight="1" x14ac:dyDescent="0.3">
      <c r="A250" s="484"/>
      <c r="C250" s="25"/>
      <c r="D250" s="25"/>
      <c r="E250" s="25"/>
      <c r="F250" s="25"/>
      <c r="G250" s="25"/>
      <c r="H250" s="25"/>
      <c r="I250" s="25"/>
      <c r="J250" s="25"/>
      <c r="K250" s="25"/>
      <c r="L250" s="25"/>
      <c r="M250" s="25"/>
      <c r="N250" s="25"/>
      <c r="O250" s="25"/>
      <c r="P250" s="25"/>
      <c r="R250" s="23"/>
      <c r="U250" s="11"/>
    </row>
    <row r="251" spans="1:21" ht="14.25" customHeight="1" x14ac:dyDescent="0.3">
      <c r="A251" s="484"/>
      <c r="C251" s="25"/>
      <c r="D251" s="25"/>
      <c r="E251" s="25"/>
      <c r="F251" s="25"/>
      <c r="G251" s="25"/>
      <c r="H251" s="25"/>
      <c r="I251" s="25"/>
      <c r="J251" s="25"/>
      <c r="K251" s="25"/>
      <c r="L251" s="25"/>
      <c r="M251" s="25"/>
      <c r="N251" s="25"/>
      <c r="O251" s="25"/>
      <c r="P251" s="25"/>
      <c r="R251" s="23"/>
      <c r="U251" s="11"/>
    </row>
    <row r="252" spans="1:21" ht="14.25" customHeight="1" x14ac:dyDescent="0.3">
      <c r="A252" s="484"/>
      <c r="C252" s="25"/>
      <c r="D252" s="25"/>
      <c r="E252" s="25"/>
      <c r="F252" s="25"/>
      <c r="G252" s="25"/>
      <c r="H252" s="25"/>
      <c r="I252" s="25"/>
      <c r="J252" s="25"/>
      <c r="K252" s="25"/>
      <c r="L252" s="25"/>
      <c r="M252" s="25"/>
      <c r="N252" s="25"/>
      <c r="O252" s="25"/>
      <c r="P252" s="25"/>
      <c r="R252" s="23"/>
      <c r="U252" s="11"/>
    </row>
    <row r="253" spans="1:21" ht="14.25" customHeight="1" x14ac:dyDescent="0.3">
      <c r="A253" s="484"/>
      <c r="C253" s="25"/>
      <c r="D253" s="25"/>
      <c r="E253" s="25"/>
      <c r="F253" s="25"/>
      <c r="G253" s="25"/>
      <c r="H253" s="25"/>
      <c r="I253" s="25"/>
      <c r="J253" s="25"/>
      <c r="K253" s="25"/>
      <c r="L253" s="25"/>
      <c r="M253" s="25"/>
      <c r="N253" s="25"/>
      <c r="O253" s="25"/>
      <c r="P253" s="25"/>
      <c r="R253" s="23"/>
      <c r="U253" s="11"/>
    </row>
    <row r="254" spans="1:21" ht="14.25" customHeight="1" x14ac:dyDescent="0.3">
      <c r="A254" s="484"/>
      <c r="C254" s="25"/>
      <c r="D254" s="25"/>
      <c r="E254" s="25"/>
      <c r="F254" s="25"/>
      <c r="G254" s="25"/>
      <c r="H254" s="25"/>
      <c r="I254" s="25"/>
      <c r="J254" s="25"/>
      <c r="K254" s="25"/>
      <c r="L254" s="25"/>
      <c r="M254" s="25"/>
      <c r="N254" s="25"/>
      <c r="O254" s="25"/>
      <c r="P254" s="25"/>
      <c r="R254" s="23"/>
      <c r="U254" s="11"/>
    </row>
    <row r="255" spans="1:21" ht="14.25" customHeight="1" x14ac:dyDescent="0.3">
      <c r="A255" s="484"/>
      <c r="C255" s="25"/>
      <c r="D255" s="25"/>
      <c r="E255" s="25"/>
      <c r="F255" s="25"/>
      <c r="G255" s="25"/>
      <c r="H255" s="25"/>
      <c r="I255" s="25"/>
      <c r="J255" s="25"/>
      <c r="K255" s="25"/>
      <c r="L255" s="25"/>
      <c r="M255" s="25"/>
      <c r="N255" s="25"/>
      <c r="O255" s="25"/>
      <c r="P255" s="25"/>
      <c r="R255" s="23"/>
      <c r="U255" s="11"/>
    </row>
    <row r="256" spans="1:21" ht="14.25" customHeight="1" x14ac:dyDescent="0.3">
      <c r="A256" s="484"/>
      <c r="C256" s="25"/>
      <c r="D256" s="25"/>
      <c r="E256" s="25"/>
      <c r="F256" s="25"/>
      <c r="G256" s="25"/>
      <c r="H256" s="25"/>
      <c r="I256" s="25"/>
      <c r="J256" s="25"/>
      <c r="K256" s="25"/>
      <c r="L256" s="25"/>
      <c r="M256" s="25"/>
      <c r="N256" s="25"/>
      <c r="O256" s="25"/>
      <c r="P256" s="25"/>
      <c r="R256" s="23"/>
      <c r="U256" s="11"/>
    </row>
    <row r="257" spans="1:21" ht="14.25" customHeight="1" x14ac:dyDescent="0.3">
      <c r="A257" s="484"/>
      <c r="C257" s="25"/>
      <c r="D257" s="25"/>
      <c r="E257" s="25"/>
      <c r="F257" s="25"/>
      <c r="G257" s="25"/>
      <c r="H257" s="25"/>
      <c r="I257" s="25"/>
      <c r="J257" s="25"/>
      <c r="K257" s="25"/>
      <c r="L257" s="25"/>
      <c r="M257" s="25"/>
      <c r="N257" s="25"/>
      <c r="O257" s="25"/>
      <c r="P257" s="25"/>
      <c r="R257" s="23"/>
      <c r="U257" s="11"/>
    </row>
    <row r="258" spans="1:21" ht="14.25" customHeight="1" x14ac:dyDescent="0.3">
      <c r="A258" s="484"/>
      <c r="C258" s="25"/>
      <c r="D258" s="25"/>
      <c r="E258" s="25"/>
      <c r="F258" s="25"/>
      <c r="G258" s="25"/>
      <c r="H258" s="25"/>
      <c r="I258" s="25"/>
      <c r="J258" s="25"/>
      <c r="K258" s="25"/>
      <c r="L258" s="25"/>
      <c r="M258" s="25"/>
      <c r="N258" s="25"/>
      <c r="O258" s="25"/>
      <c r="P258" s="25"/>
      <c r="R258" s="23"/>
      <c r="U258" s="11"/>
    </row>
    <row r="259" spans="1:21" ht="14.25" customHeight="1" x14ac:dyDescent="0.3">
      <c r="A259" s="484"/>
      <c r="C259" s="25"/>
      <c r="D259" s="25"/>
      <c r="E259" s="25"/>
      <c r="F259" s="25"/>
      <c r="G259" s="25"/>
      <c r="H259" s="25"/>
      <c r="I259" s="25"/>
      <c r="J259" s="25"/>
      <c r="K259" s="25"/>
      <c r="L259" s="25"/>
      <c r="M259" s="25"/>
      <c r="N259" s="25"/>
      <c r="O259" s="25"/>
      <c r="P259" s="25"/>
      <c r="R259" s="23"/>
      <c r="U259" s="11"/>
    </row>
    <row r="260" spans="1:21" ht="14.25" customHeight="1" x14ac:dyDescent="0.3">
      <c r="A260" s="484"/>
      <c r="C260" s="25"/>
      <c r="D260" s="25"/>
      <c r="E260" s="25"/>
      <c r="F260" s="25"/>
      <c r="G260" s="25"/>
      <c r="H260" s="25"/>
      <c r="I260" s="25"/>
      <c r="J260" s="25"/>
      <c r="K260" s="25"/>
      <c r="L260" s="25"/>
      <c r="M260" s="25"/>
      <c r="N260" s="25"/>
      <c r="O260" s="25"/>
      <c r="P260" s="25"/>
      <c r="R260" s="23"/>
      <c r="U260" s="11"/>
    </row>
    <row r="261" spans="1:21" ht="14.25" customHeight="1" x14ac:dyDescent="0.3">
      <c r="A261" s="484"/>
      <c r="C261" s="25"/>
      <c r="D261" s="25"/>
      <c r="E261" s="25"/>
      <c r="F261" s="25"/>
      <c r="G261" s="25"/>
      <c r="H261" s="25"/>
      <c r="I261" s="25"/>
      <c r="J261" s="25"/>
      <c r="K261" s="25"/>
      <c r="L261" s="25"/>
      <c r="M261" s="25"/>
      <c r="N261" s="25"/>
      <c r="O261" s="25"/>
      <c r="P261" s="25"/>
      <c r="R261" s="23"/>
      <c r="U261" s="11"/>
    </row>
    <row r="262" spans="1:21" ht="14.25" customHeight="1" x14ac:dyDescent="0.3">
      <c r="A262" s="484"/>
      <c r="C262" s="25"/>
      <c r="D262" s="25"/>
      <c r="E262" s="25"/>
      <c r="F262" s="25"/>
      <c r="G262" s="25"/>
      <c r="H262" s="25"/>
      <c r="I262" s="25"/>
      <c r="J262" s="25"/>
      <c r="K262" s="25"/>
      <c r="L262" s="25"/>
      <c r="M262" s="25"/>
      <c r="N262" s="25"/>
      <c r="O262" s="25"/>
      <c r="P262" s="25"/>
      <c r="R262" s="23"/>
      <c r="U262" s="11"/>
    </row>
    <row r="263" spans="1:21" ht="14.25" customHeight="1" x14ac:dyDescent="0.3">
      <c r="A263" s="484"/>
      <c r="C263" s="25"/>
      <c r="D263" s="25"/>
      <c r="E263" s="25"/>
      <c r="F263" s="25"/>
      <c r="G263" s="25"/>
      <c r="H263" s="25"/>
      <c r="I263" s="25"/>
      <c r="J263" s="25"/>
      <c r="K263" s="25"/>
      <c r="L263" s="25"/>
      <c r="M263" s="25"/>
      <c r="N263" s="25"/>
      <c r="O263" s="25"/>
      <c r="P263" s="25"/>
      <c r="R263" s="23"/>
      <c r="U263" s="11"/>
    </row>
    <row r="264" spans="1:21" ht="14.25" customHeight="1" x14ac:dyDescent="0.3">
      <c r="A264" s="484"/>
      <c r="C264" s="25"/>
      <c r="D264" s="25"/>
      <c r="E264" s="25"/>
      <c r="F264" s="25"/>
      <c r="G264" s="25"/>
      <c r="H264" s="25"/>
      <c r="I264" s="25"/>
      <c r="J264" s="25"/>
      <c r="K264" s="25"/>
      <c r="L264" s="25"/>
      <c r="M264" s="25"/>
      <c r="N264" s="25"/>
      <c r="O264" s="25"/>
      <c r="P264" s="25"/>
      <c r="R264" s="23"/>
      <c r="U264" s="11"/>
    </row>
    <row r="265" spans="1:21" ht="14.25" customHeight="1" x14ac:dyDescent="0.3">
      <c r="A265" s="484"/>
      <c r="C265" s="25"/>
      <c r="D265" s="25"/>
      <c r="E265" s="25"/>
      <c r="F265" s="25"/>
      <c r="G265" s="25"/>
      <c r="H265" s="25"/>
      <c r="I265" s="25"/>
      <c r="J265" s="25"/>
      <c r="K265" s="25"/>
      <c r="L265" s="25"/>
      <c r="M265" s="25"/>
      <c r="N265" s="25"/>
      <c r="O265" s="25"/>
      <c r="P265" s="25"/>
      <c r="R265" s="23"/>
      <c r="U265" s="11"/>
    </row>
    <row r="266" spans="1:21" ht="14.25" customHeight="1" x14ac:dyDescent="0.3">
      <c r="A266" s="484"/>
      <c r="C266" s="25"/>
      <c r="D266" s="25"/>
      <c r="E266" s="25"/>
      <c r="F266" s="25"/>
      <c r="G266" s="25"/>
      <c r="H266" s="25"/>
      <c r="I266" s="25"/>
      <c r="J266" s="25"/>
      <c r="K266" s="25"/>
      <c r="L266" s="25"/>
      <c r="M266" s="25"/>
      <c r="N266" s="25"/>
      <c r="O266" s="25"/>
      <c r="P266" s="25"/>
      <c r="R266" s="23"/>
      <c r="U266" s="11"/>
    </row>
    <row r="267" spans="1:21" ht="14.25" customHeight="1" x14ac:dyDescent="0.3">
      <c r="A267" s="484"/>
      <c r="C267" s="25"/>
      <c r="D267" s="25"/>
      <c r="E267" s="25"/>
      <c r="F267" s="25"/>
      <c r="G267" s="25"/>
      <c r="H267" s="25"/>
      <c r="I267" s="25"/>
      <c r="J267" s="25"/>
      <c r="K267" s="25"/>
      <c r="L267" s="25"/>
      <c r="M267" s="25"/>
      <c r="N267" s="25"/>
      <c r="O267" s="25"/>
      <c r="P267" s="25"/>
      <c r="R267" s="23"/>
      <c r="U267" s="11"/>
    </row>
    <row r="268" spans="1:21" ht="14.25" customHeight="1" x14ac:dyDescent="0.3">
      <c r="A268" s="484"/>
      <c r="C268" s="25"/>
      <c r="D268" s="25"/>
      <c r="E268" s="25"/>
      <c r="F268" s="25"/>
      <c r="G268" s="25"/>
      <c r="H268" s="25"/>
      <c r="I268" s="25"/>
      <c r="J268" s="25"/>
      <c r="K268" s="25"/>
      <c r="L268" s="25"/>
      <c r="M268" s="25"/>
      <c r="N268" s="25"/>
      <c r="O268" s="25"/>
      <c r="P268" s="25"/>
      <c r="R268" s="23"/>
      <c r="U268" s="11"/>
    </row>
    <row r="269" spans="1:21" ht="14.25" customHeight="1" x14ac:dyDescent="0.3">
      <c r="A269" s="484"/>
      <c r="C269" s="25"/>
      <c r="D269" s="25"/>
      <c r="E269" s="25"/>
      <c r="F269" s="25"/>
      <c r="G269" s="25"/>
      <c r="H269" s="25"/>
      <c r="I269" s="25"/>
      <c r="J269" s="25"/>
      <c r="K269" s="25"/>
      <c r="L269" s="25"/>
      <c r="M269" s="25"/>
      <c r="N269" s="25"/>
      <c r="O269" s="25"/>
      <c r="P269" s="25"/>
      <c r="R269" s="23"/>
      <c r="U269" s="11"/>
    </row>
    <row r="270" spans="1:21" ht="14.25" customHeight="1" x14ac:dyDescent="0.3">
      <c r="A270" s="484"/>
      <c r="C270" s="25"/>
      <c r="D270" s="25"/>
      <c r="E270" s="25"/>
      <c r="F270" s="25"/>
      <c r="G270" s="25"/>
      <c r="H270" s="25"/>
      <c r="I270" s="25"/>
      <c r="J270" s="25"/>
      <c r="K270" s="25"/>
      <c r="L270" s="25"/>
      <c r="M270" s="25"/>
      <c r="N270" s="25"/>
      <c r="O270" s="25"/>
      <c r="P270" s="25"/>
      <c r="R270" s="23"/>
      <c r="U270" s="11"/>
    </row>
    <row r="271" spans="1:21" ht="14.25" customHeight="1" x14ac:dyDescent="0.3">
      <c r="A271" s="484"/>
      <c r="C271" s="25"/>
      <c r="D271" s="25"/>
      <c r="E271" s="25"/>
      <c r="F271" s="25"/>
      <c r="G271" s="25"/>
      <c r="H271" s="25"/>
      <c r="I271" s="25"/>
      <c r="J271" s="25"/>
      <c r="K271" s="25"/>
      <c r="L271" s="25"/>
      <c r="M271" s="25"/>
      <c r="N271" s="25"/>
      <c r="O271" s="25"/>
      <c r="P271" s="25"/>
      <c r="R271" s="23"/>
      <c r="U271" s="11"/>
    </row>
    <row r="272" spans="1:21" ht="14.25" customHeight="1" x14ac:dyDescent="0.3">
      <c r="A272" s="484"/>
      <c r="C272" s="25"/>
      <c r="D272" s="25"/>
      <c r="E272" s="25"/>
      <c r="F272" s="25"/>
      <c r="G272" s="25"/>
      <c r="H272" s="25"/>
      <c r="I272" s="25"/>
      <c r="J272" s="25"/>
      <c r="K272" s="25"/>
      <c r="L272" s="25"/>
      <c r="M272" s="25"/>
      <c r="N272" s="25"/>
      <c r="O272" s="25"/>
      <c r="P272" s="25"/>
      <c r="R272" s="23"/>
      <c r="U272" s="11"/>
    </row>
    <row r="273" spans="1:21" ht="14.25" customHeight="1" x14ac:dyDescent="0.3">
      <c r="A273" s="484"/>
      <c r="C273" s="25"/>
      <c r="D273" s="25"/>
      <c r="E273" s="25"/>
      <c r="F273" s="25"/>
      <c r="G273" s="25"/>
      <c r="H273" s="25"/>
      <c r="I273" s="25"/>
      <c r="J273" s="25"/>
      <c r="K273" s="25"/>
      <c r="L273" s="25"/>
      <c r="M273" s="25"/>
      <c r="N273" s="25"/>
      <c r="O273" s="25"/>
      <c r="P273" s="25"/>
      <c r="R273" s="23"/>
      <c r="U273" s="11"/>
    </row>
    <row r="274" spans="1:21" ht="14.25" customHeight="1" x14ac:dyDescent="0.3">
      <c r="A274" s="484"/>
      <c r="C274" s="25"/>
      <c r="D274" s="25"/>
      <c r="E274" s="25"/>
      <c r="F274" s="25"/>
      <c r="G274" s="25"/>
      <c r="H274" s="25"/>
      <c r="I274" s="25"/>
      <c r="J274" s="25"/>
      <c r="K274" s="25"/>
      <c r="L274" s="25"/>
      <c r="M274" s="25"/>
      <c r="N274" s="25"/>
      <c r="O274" s="25"/>
      <c r="P274" s="25"/>
      <c r="R274" s="23"/>
      <c r="U274" s="11"/>
    </row>
    <row r="275" spans="1:21" ht="14.25" customHeight="1" x14ac:dyDescent="0.3">
      <c r="A275" s="484"/>
      <c r="C275" s="25"/>
      <c r="D275" s="25"/>
      <c r="E275" s="25"/>
      <c r="F275" s="25"/>
      <c r="G275" s="25"/>
      <c r="H275" s="25"/>
      <c r="I275" s="25"/>
      <c r="J275" s="25"/>
      <c r="K275" s="25"/>
      <c r="L275" s="25"/>
      <c r="M275" s="25"/>
      <c r="N275" s="25"/>
      <c r="O275" s="25"/>
      <c r="P275" s="25"/>
      <c r="R275" s="23"/>
      <c r="U275" s="11"/>
    </row>
    <row r="276" spans="1:21" ht="14.25" customHeight="1" x14ac:dyDescent="0.3">
      <c r="A276" s="484"/>
      <c r="C276" s="25"/>
      <c r="D276" s="25"/>
      <c r="E276" s="25"/>
      <c r="F276" s="25"/>
      <c r="G276" s="25"/>
      <c r="H276" s="25"/>
      <c r="I276" s="25"/>
      <c r="J276" s="25"/>
      <c r="K276" s="25"/>
      <c r="L276" s="25"/>
      <c r="M276" s="25"/>
      <c r="N276" s="25"/>
      <c r="O276" s="25"/>
      <c r="P276" s="25"/>
      <c r="R276" s="23"/>
      <c r="U276" s="11"/>
    </row>
    <row r="277" spans="1:21" ht="14.25" customHeight="1" x14ac:dyDescent="0.3">
      <c r="A277" s="484"/>
      <c r="C277" s="25"/>
      <c r="D277" s="25"/>
      <c r="E277" s="25"/>
      <c r="F277" s="25"/>
      <c r="G277" s="25"/>
      <c r="H277" s="25"/>
      <c r="I277" s="25"/>
      <c r="J277" s="25"/>
      <c r="K277" s="25"/>
      <c r="L277" s="25"/>
      <c r="M277" s="25"/>
      <c r="N277" s="25"/>
      <c r="O277" s="25"/>
      <c r="P277" s="25"/>
      <c r="R277" s="23"/>
      <c r="U277" s="11"/>
    </row>
    <row r="278" spans="1:21" ht="14.25" customHeight="1" x14ac:dyDescent="0.3">
      <c r="A278" s="484"/>
      <c r="C278" s="25"/>
      <c r="D278" s="25"/>
      <c r="E278" s="25"/>
      <c r="F278" s="25"/>
      <c r="G278" s="25"/>
      <c r="H278" s="25"/>
      <c r="I278" s="25"/>
      <c r="J278" s="25"/>
      <c r="K278" s="25"/>
      <c r="L278" s="25"/>
      <c r="M278" s="25"/>
      <c r="N278" s="25"/>
      <c r="O278" s="25"/>
      <c r="P278" s="25"/>
      <c r="R278" s="23"/>
      <c r="U278" s="11"/>
    </row>
    <row r="279" spans="1:21" ht="14.25" customHeight="1" x14ac:dyDescent="0.3">
      <c r="A279" s="484"/>
      <c r="C279" s="25"/>
      <c r="D279" s="25"/>
      <c r="E279" s="25"/>
      <c r="F279" s="25"/>
      <c r="G279" s="25"/>
      <c r="H279" s="25"/>
      <c r="I279" s="25"/>
      <c r="J279" s="25"/>
      <c r="K279" s="25"/>
      <c r="L279" s="25"/>
      <c r="M279" s="25"/>
      <c r="N279" s="25"/>
      <c r="O279" s="25"/>
      <c r="P279" s="25"/>
      <c r="R279" s="23"/>
      <c r="U279" s="11"/>
    </row>
    <row r="280" spans="1:21" ht="14.25" customHeight="1" x14ac:dyDescent="0.3">
      <c r="A280" s="484"/>
      <c r="C280" s="25"/>
      <c r="D280" s="25"/>
      <c r="E280" s="25"/>
      <c r="F280" s="25"/>
      <c r="G280" s="25"/>
      <c r="H280" s="25"/>
      <c r="I280" s="25"/>
      <c r="J280" s="25"/>
      <c r="K280" s="25"/>
      <c r="L280" s="25"/>
      <c r="M280" s="25"/>
      <c r="N280" s="25"/>
      <c r="O280" s="25"/>
      <c r="P280" s="25"/>
      <c r="R280" s="23"/>
      <c r="U280" s="11"/>
    </row>
    <row r="281" spans="1:21" ht="14.25" customHeight="1" x14ac:dyDescent="0.3">
      <c r="A281" s="484"/>
      <c r="C281" s="25"/>
      <c r="D281" s="25"/>
      <c r="E281" s="25"/>
      <c r="F281" s="25"/>
      <c r="G281" s="25"/>
      <c r="H281" s="25"/>
      <c r="I281" s="25"/>
      <c r="J281" s="25"/>
      <c r="K281" s="25"/>
      <c r="L281" s="25"/>
      <c r="M281" s="25"/>
      <c r="N281" s="25"/>
      <c r="O281" s="25"/>
      <c r="P281" s="25"/>
      <c r="R281" s="23"/>
      <c r="U281" s="11"/>
    </row>
    <row r="282" spans="1:21" ht="14.25" customHeight="1" x14ac:dyDescent="0.3">
      <c r="A282" s="484"/>
      <c r="C282" s="25"/>
      <c r="D282" s="25"/>
      <c r="E282" s="25"/>
      <c r="F282" s="25"/>
      <c r="G282" s="25"/>
      <c r="H282" s="25"/>
      <c r="I282" s="25"/>
      <c r="J282" s="25"/>
      <c r="K282" s="25"/>
      <c r="L282" s="25"/>
      <c r="M282" s="25"/>
      <c r="N282" s="25"/>
      <c r="O282" s="25"/>
      <c r="P282" s="25"/>
      <c r="R282" s="23"/>
      <c r="U282" s="11"/>
    </row>
    <row r="283" spans="1:21" ht="14.25" customHeight="1" x14ac:dyDescent="0.3">
      <c r="A283" s="484"/>
      <c r="C283" s="25"/>
      <c r="D283" s="25"/>
      <c r="E283" s="25"/>
      <c r="F283" s="25"/>
      <c r="G283" s="25"/>
      <c r="H283" s="25"/>
      <c r="I283" s="25"/>
      <c r="J283" s="25"/>
      <c r="K283" s="25"/>
      <c r="L283" s="25"/>
      <c r="M283" s="25"/>
      <c r="N283" s="25"/>
      <c r="O283" s="25"/>
      <c r="P283" s="25"/>
      <c r="R283" s="23"/>
      <c r="U283" s="11"/>
    </row>
    <row r="284" spans="1:21" ht="14.25" customHeight="1" x14ac:dyDescent="0.3">
      <c r="A284" s="484"/>
      <c r="C284" s="25"/>
      <c r="D284" s="25"/>
      <c r="E284" s="25"/>
      <c r="F284" s="25"/>
      <c r="G284" s="25"/>
      <c r="H284" s="25"/>
      <c r="I284" s="25"/>
      <c r="J284" s="25"/>
      <c r="K284" s="25"/>
      <c r="L284" s="25"/>
      <c r="M284" s="25"/>
      <c r="N284" s="25"/>
      <c r="O284" s="25"/>
      <c r="P284" s="25"/>
      <c r="R284" s="23"/>
      <c r="U284" s="11"/>
    </row>
    <row r="285" spans="1:21" ht="14.25" customHeight="1" x14ac:dyDescent="0.3">
      <c r="A285" s="484"/>
      <c r="C285" s="25"/>
      <c r="D285" s="25"/>
      <c r="E285" s="25"/>
      <c r="F285" s="25"/>
      <c r="G285" s="25"/>
      <c r="H285" s="25"/>
      <c r="I285" s="25"/>
      <c r="J285" s="25"/>
      <c r="K285" s="25"/>
      <c r="L285" s="25"/>
      <c r="M285" s="25"/>
      <c r="N285" s="25"/>
      <c r="O285" s="25"/>
      <c r="P285" s="25"/>
      <c r="R285" s="23"/>
      <c r="U285" s="11"/>
    </row>
    <row r="286" spans="1:21" ht="14.25" customHeight="1" x14ac:dyDescent="0.3">
      <c r="A286" s="484"/>
      <c r="C286" s="25"/>
      <c r="D286" s="25"/>
      <c r="E286" s="25"/>
      <c r="F286" s="25"/>
      <c r="G286" s="25"/>
      <c r="H286" s="25"/>
      <c r="I286" s="25"/>
      <c r="J286" s="25"/>
      <c r="K286" s="25"/>
      <c r="L286" s="25"/>
      <c r="M286" s="25"/>
      <c r="N286" s="25"/>
      <c r="O286" s="25"/>
      <c r="P286" s="25"/>
      <c r="R286" s="23"/>
      <c r="U286" s="11"/>
    </row>
    <row r="287" spans="1:21" ht="14.25" customHeight="1" x14ac:dyDescent="0.3">
      <c r="A287" s="484"/>
      <c r="C287" s="25"/>
      <c r="D287" s="25"/>
      <c r="E287" s="25"/>
      <c r="F287" s="25"/>
      <c r="G287" s="25"/>
      <c r="H287" s="25"/>
      <c r="I287" s="25"/>
      <c r="J287" s="25"/>
      <c r="K287" s="25"/>
      <c r="L287" s="25"/>
      <c r="M287" s="25"/>
      <c r="N287" s="25"/>
      <c r="O287" s="25"/>
      <c r="P287" s="25"/>
      <c r="R287" s="23"/>
      <c r="U287" s="11"/>
    </row>
    <row r="288" spans="1:21" ht="14.25" customHeight="1" x14ac:dyDescent="0.3">
      <c r="A288" s="484"/>
      <c r="C288" s="25"/>
      <c r="D288" s="25"/>
      <c r="E288" s="25"/>
      <c r="F288" s="25"/>
      <c r="G288" s="25"/>
      <c r="H288" s="25"/>
      <c r="I288" s="25"/>
      <c r="J288" s="25"/>
      <c r="K288" s="25"/>
      <c r="L288" s="25"/>
      <c r="M288" s="25"/>
      <c r="N288" s="25"/>
      <c r="O288" s="25"/>
      <c r="P288" s="25"/>
      <c r="R288" s="23"/>
      <c r="U288" s="11"/>
    </row>
    <row r="289" spans="1:21" ht="14.25" customHeight="1" x14ac:dyDescent="0.3">
      <c r="A289" s="484"/>
      <c r="C289" s="25"/>
      <c r="D289" s="25"/>
      <c r="E289" s="25"/>
      <c r="F289" s="25"/>
      <c r="G289" s="25"/>
      <c r="H289" s="25"/>
      <c r="I289" s="25"/>
      <c r="J289" s="25"/>
      <c r="K289" s="25"/>
      <c r="L289" s="25"/>
      <c r="M289" s="25"/>
      <c r="N289" s="25"/>
      <c r="O289" s="25"/>
      <c r="P289" s="25"/>
      <c r="R289" s="23"/>
      <c r="U289" s="11"/>
    </row>
    <row r="290" spans="1:21" ht="14.25" customHeight="1" x14ac:dyDescent="0.3">
      <c r="A290" s="484"/>
      <c r="C290" s="25"/>
      <c r="D290" s="25"/>
      <c r="E290" s="25"/>
      <c r="F290" s="25"/>
      <c r="G290" s="25"/>
      <c r="H290" s="25"/>
      <c r="I290" s="25"/>
      <c r="J290" s="25"/>
      <c r="K290" s="25"/>
      <c r="L290" s="25"/>
      <c r="M290" s="25"/>
      <c r="N290" s="25"/>
      <c r="O290" s="25"/>
      <c r="P290" s="25"/>
      <c r="R290" s="23"/>
      <c r="U290" s="11"/>
    </row>
    <row r="291" spans="1:21" ht="14.25" customHeight="1" x14ac:dyDescent="0.3">
      <c r="A291" s="484"/>
      <c r="C291" s="25"/>
      <c r="D291" s="25"/>
      <c r="E291" s="25"/>
      <c r="F291" s="25"/>
      <c r="G291" s="25"/>
      <c r="H291" s="25"/>
      <c r="I291" s="25"/>
      <c r="J291" s="25"/>
      <c r="K291" s="25"/>
      <c r="L291" s="25"/>
      <c r="M291" s="25"/>
      <c r="N291" s="25"/>
      <c r="O291" s="25"/>
      <c r="P291" s="25"/>
      <c r="R291" s="23"/>
      <c r="U291" s="11"/>
    </row>
    <row r="292" spans="1:21" ht="14.25" customHeight="1" x14ac:dyDescent="0.3">
      <c r="A292" s="484"/>
      <c r="C292" s="25"/>
      <c r="D292" s="25"/>
      <c r="E292" s="25"/>
      <c r="F292" s="25"/>
      <c r="G292" s="25"/>
      <c r="H292" s="25"/>
      <c r="I292" s="25"/>
      <c r="J292" s="25"/>
      <c r="K292" s="25"/>
      <c r="L292" s="25"/>
      <c r="M292" s="25"/>
      <c r="N292" s="25"/>
      <c r="O292" s="25"/>
      <c r="P292" s="25"/>
      <c r="R292" s="23"/>
      <c r="U292" s="11"/>
    </row>
    <row r="293" spans="1:21" ht="14.25" customHeight="1" x14ac:dyDescent="0.3">
      <c r="A293" s="484"/>
      <c r="C293" s="25"/>
      <c r="D293" s="25"/>
      <c r="E293" s="25"/>
      <c r="F293" s="25"/>
      <c r="G293" s="25"/>
      <c r="H293" s="25"/>
      <c r="I293" s="25"/>
      <c r="J293" s="25"/>
      <c r="K293" s="25"/>
      <c r="L293" s="25"/>
      <c r="M293" s="25"/>
      <c r="N293" s="25"/>
      <c r="O293" s="25"/>
      <c r="P293" s="25"/>
      <c r="R293" s="23"/>
      <c r="U293" s="11"/>
    </row>
    <row r="294" spans="1:21" ht="14.25" customHeight="1" x14ac:dyDescent="0.3">
      <c r="A294" s="484"/>
      <c r="C294" s="25"/>
      <c r="D294" s="25"/>
      <c r="E294" s="25"/>
      <c r="F294" s="25"/>
      <c r="G294" s="25"/>
      <c r="H294" s="25"/>
      <c r="I294" s="25"/>
      <c r="J294" s="25"/>
      <c r="K294" s="25"/>
      <c r="L294" s="25"/>
      <c r="M294" s="25"/>
      <c r="N294" s="25"/>
      <c r="O294" s="25"/>
      <c r="P294" s="25"/>
      <c r="R294" s="23"/>
      <c r="U294" s="11"/>
    </row>
    <row r="295" spans="1:21" ht="14.25" customHeight="1" x14ac:dyDescent="0.3">
      <c r="A295" s="484"/>
      <c r="C295" s="25"/>
      <c r="D295" s="25"/>
      <c r="E295" s="25"/>
      <c r="F295" s="25"/>
      <c r="G295" s="25"/>
      <c r="H295" s="25"/>
      <c r="I295" s="25"/>
      <c r="J295" s="25"/>
      <c r="K295" s="25"/>
      <c r="L295" s="25"/>
      <c r="M295" s="25"/>
      <c r="N295" s="25"/>
      <c r="O295" s="25"/>
      <c r="P295" s="25"/>
      <c r="R295" s="23"/>
      <c r="U295" s="11"/>
    </row>
    <row r="296" spans="1:21" ht="14.25" customHeight="1" x14ac:dyDescent="0.3">
      <c r="A296" s="484"/>
      <c r="C296" s="25"/>
      <c r="D296" s="25"/>
      <c r="E296" s="25"/>
      <c r="F296" s="25"/>
      <c r="G296" s="25"/>
      <c r="H296" s="25"/>
      <c r="I296" s="25"/>
      <c r="J296" s="25"/>
      <c r="K296" s="25"/>
      <c r="L296" s="25"/>
      <c r="M296" s="25"/>
      <c r="N296" s="25"/>
      <c r="O296" s="25"/>
      <c r="P296" s="25"/>
      <c r="R296" s="23"/>
      <c r="U296" s="11"/>
    </row>
    <row r="297" spans="1:21" ht="14.25" customHeight="1" x14ac:dyDescent="0.3">
      <c r="A297" s="484"/>
      <c r="C297" s="25"/>
      <c r="D297" s="25"/>
      <c r="E297" s="25"/>
      <c r="F297" s="25"/>
      <c r="G297" s="25"/>
      <c r="H297" s="25"/>
      <c r="I297" s="25"/>
      <c r="J297" s="25"/>
      <c r="K297" s="25"/>
      <c r="L297" s="25"/>
      <c r="M297" s="25"/>
      <c r="N297" s="25"/>
      <c r="O297" s="25"/>
      <c r="P297" s="25"/>
      <c r="R297" s="23"/>
      <c r="U297" s="11"/>
    </row>
    <row r="298" spans="1:21" ht="14.25" customHeight="1" x14ac:dyDescent="0.3">
      <c r="A298" s="484"/>
      <c r="C298" s="25"/>
      <c r="D298" s="25"/>
      <c r="E298" s="25"/>
      <c r="F298" s="25"/>
      <c r="G298" s="25"/>
      <c r="H298" s="25"/>
      <c r="I298" s="25"/>
      <c r="J298" s="25"/>
      <c r="K298" s="25"/>
      <c r="L298" s="25"/>
      <c r="M298" s="25"/>
      <c r="N298" s="25"/>
      <c r="O298" s="25"/>
      <c r="P298" s="25"/>
      <c r="R298" s="23"/>
      <c r="U298" s="11"/>
    </row>
    <row r="299" spans="1:21" ht="14.25" customHeight="1" x14ac:dyDescent="0.3">
      <c r="A299" s="484"/>
      <c r="C299" s="25"/>
      <c r="D299" s="25"/>
      <c r="E299" s="25"/>
      <c r="F299" s="25"/>
      <c r="G299" s="25"/>
      <c r="H299" s="25"/>
      <c r="I299" s="25"/>
      <c r="J299" s="25"/>
      <c r="K299" s="25"/>
      <c r="L299" s="25"/>
      <c r="M299" s="25"/>
      <c r="N299" s="25"/>
      <c r="O299" s="25"/>
      <c r="P299" s="25"/>
      <c r="R299" s="23"/>
      <c r="U299" s="11"/>
    </row>
    <row r="300" spans="1:21" ht="14.25" customHeight="1" x14ac:dyDescent="0.3">
      <c r="A300" s="484"/>
      <c r="C300" s="25"/>
      <c r="D300" s="25"/>
      <c r="E300" s="25"/>
      <c r="F300" s="25"/>
      <c r="G300" s="25"/>
      <c r="H300" s="25"/>
      <c r="I300" s="25"/>
      <c r="J300" s="25"/>
      <c r="K300" s="25"/>
      <c r="L300" s="25"/>
      <c r="M300" s="25"/>
      <c r="N300" s="25"/>
      <c r="O300" s="25"/>
      <c r="P300" s="25"/>
      <c r="R300" s="23"/>
      <c r="U300" s="11"/>
    </row>
    <row r="301" spans="1:21" ht="14.25" customHeight="1" x14ac:dyDescent="0.3">
      <c r="A301" s="484"/>
      <c r="C301" s="25"/>
      <c r="D301" s="25"/>
      <c r="E301" s="25"/>
      <c r="F301" s="25"/>
      <c r="G301" s="25"/>
      <c r="H301" s="25"/>
      <c r="I301" s="25"/>
      <c r="J301" s="25"/>
      <c r="K301" s="25"/>
      <c r="L301" s="25"/>
      <c r="M301" s="25"/>
      <c r="N301" s="25"/>
      <c r="O301" s="25"/>
      <c r="P301" s="25"/>
      <c r="R301" s="23"/>
      <c r="U301" s="11"/>
    </row>
    <row r="302" spans="1:21" ht="14.25" customHeight="1" x14ac:dyDescent="0.3">
      <c r="A302" s="484"/>
      <c r="C302" s="25"/>
      <c r="D302" s="25"/>
      <c r="E302" s="25"/>
      <c r="F302" s="25"/>
      <c r="G302" s="25"/>
      <c r="H302" s="25"/>
      <c r="I302" s="25"/>
      <c r="J302" s="25"/>
      <c r="K302" s="25"/>
      <c r="L302" s="25"/>
      <c r="M302" s="25"/>
      <c r="N302" s="25"/>
      <c r="O302" s="25"/>
      <c r="P302" s="25"/>
      <c r="R302" s="23"/>
      <c r="U302" s="11"/>
    </row>
    <row r="303" spans="1:21" ht="14.25" customHeight="1" x14ac:dyDescent="0.3">
      <c r="A303" s="484"/>
      <c r="C303" s="25"/>
      <c r="D303" s="25"/>
      <c r="E303" s="25"/>
      <c r="F303" s="25"/>
      <c r="G303" s="25"/>
      <c r="H303" s="25"/>
      <c r="I303" s="25"/>
      <c r="J303" s="25"/>
      <c r="K303" s="25"/>
      <c r="L303" s="25"/>
      <c r="M303" s="25"/>
      <c r="N303" s="25"/>
      <c r="O303" s="25"/>
      <c r="P303" s="25"/>
      <c r="R303" s="23"/>
      <c r="U303" s="11"/>
    </row>
    <row r="304" spans="1:21" ht="14.25" customHeight="1" x14ac:dyDescent="0.3">
      <c r="A304" s="484"/>
      <c r="C304" s="25"/>
      <c r="D304" s="25"/>
      <c r="E304" s="25"/>
      <c r="F304" s="25"/>
      <c r="G304" s="25"/>
      <c r="H304" s="25"/>
      <c r="I304" s="25"/>
      <c r="J304" s="25"/>
      <c r="K304" s="25"/>
      <c r="L304" s="25"/>
      <c r="M304" s="25"/>
      <c r="N304" s="25"/>
      <c r="O304" s="25"/>
      <c r="P304" s="25"/>
      <c r="R304" s="23"/>
      <c r="U304" s="11"/>
    </row>
    <row r="305" spans="1:21" ht="14.25" customHeight="1" x14ac:dyDescent="0.3">
      <c r="A305" s="484"/>
      <c r="C305" s="25"/>
      <c r="D305" s="25"/>
      <c r="E305" s="25"/>
      <c r="F305" s="25"/>
      <c r="G305" s="25"/>
      <c r="H305" s="25"/>
      <c r="I305" s="25"/>
      <c r="J305" s="25"/>
      <c r="K305" s="25"/>
      <c r="L305" s="25"/>
      <c r="M305" s="25"/>
      <c r="N305" s="25"/>
      <c r="O305" s="25"/>
      <c r="P305" s="25"/>
      <c r="R305" s="23"/>
      <c r="U305" s="11"/>
    </row>
    <row r="306" spans="1:21" ht="14.25" customHeight="1" x14ac:dyDescent="0.3">
      <c r="A306" s="484"/>
      <c r="C306" s="25"/>
      <c r="D306" s="25"/>
      <c r="E306" s="25"/>
      <c r="F306" s="25"/>
      <c r="G306" s="25"/>
      <c r="H306" s="25"/>
      <c r="I306" s="25"/>
      <c r="J306" s="25"/>
      <c r="K306" s="25"/>
      <c r="L306" s="25"/>
      <c r="M306" s="25"/>
      <c r="N306" s="25"/>
      <c r="O306" s="25"/>
      <c r="P306" s="25"/>
      <c r="R306" s="23"/>
      <c r="U306" s="11"/>
    </row>
    <row r="307" spans="1:21" ht="14.25" customHeight="1" x14ac:dyDescent="0.3">
      <c r="A307" s="484"/>
      <c r="C307" s="25"/>
      <c r="D307" s="25"/>
      <c r="E307" s="25"/>
      <c r="F307" s="25"/>
      <c r="G307" s="25"/>
      <c r="H307" s="25"/>
      <c r="I307" s="25"/>
      <c r="J307" s="25"/>
      <c r="K307" s="25"/>
      <c r="L307" s="25"/>
      <c r="M307" s="25"/>
      <c r="N307" s="25"/>
      <c r="O307" s="25"/>
      <c r="P307" s="25"/>
      <c r="R307" s="23"/>
      <c r="U307" s="11"/>
    </row>
    <row r="308" spans="1:21" ht="14.25" customHeight="1" x14ac:dyDescent="0.3">
      <c r="A308" s="484"/>
      <c r="C308" s="25"/>
      <c r="D308" s="25"/>
      <c r="E308" s="25"/>
      <c r="F308" s="25"/>
      <c r="G308" s="25"/>
      <c r="H308" s="25"/>
      <c r="I308" s="25"/>
      <c r="J308" s="25"/>
      <c r="K308" s="25"/>
      <c r="L308" s="25"/>
      <c r="M308" s="25"/>
      <c r="N308" s="25"/>
      <c r="O308" s="25"/>
      <c r="P308" s="25"/>
      <c r="R308" s="23"/>
      <c r="U308" s="11"/>
    </row>
    <row r="309" spans="1:21" ht="14.25" customHeight="1" x14ac:dyDescent="0.3">
      <c r="A309" s="484"/>
      <c r="C309" s="25"/>
      <c r="D309" s="25"/>
      <c r="E309" s="25"/>
      <c r="F309" s="25"/>
      <c r="G309" s="25"/>
      <c r="H309" s="25"/>
      <c r="I309" s="25"/>
      <c r="J309" s="25"/>
      <c r="K309" s="25"/>
      <c r="L309" s="25"/>
      <c r="M309" s="25"/>
      <c r="N309" s="25"/>
      <c r="O309" s="25"/>
      <c r="P309" s="25"/>
      <c r="R309" s="23"/>
      <c r="U309" s="11"/>
    </row>
    <row r="310" spans="1:21" ht="14.25" customHeight="1" x14ac:dyDescent="0.3">
      <c r="A310" s="484"/>
      <c r="C310" s="25"/>
      <c r="D310" s="25"/>
      <c r="E310" s="25"/>
      <c r="F310" s="25"/>
      <c r="G310" s="25"/>
      <c r="H310" s="25"/>
      <c r="I310" s="25"/>
      <c r="J310" s="25"/>
      <c r="K310" s="25"/>
      <c r="L310" s="25"/>
      <c r="M310" s="25"/>
      <c r="N310" s="25"/>
      <c r="O310" s="25"/>
      <c r="P310" s="25"/>
      <c r="R310" s="23"/>
      <c r="U310" s="11"/>
    </row>
    <row r="311" spans="1:21" ht="14.25" customHeight="1" x14ac:dyDescent="0.3">
      <c r="A311" s="484"/>
      <c r="C311" s="25"/>
      <c r="D311" s="25"/>
      <c r="E311" s="25"/>
      <c r="F311" s="25"/>
      <c r="G311" s="25"/>
      <c r="H311" s="25"/>
      <c r="I311" s="25"/>
      <c r="J311" s="25"/>
      <c r="K311" s="25"/>
      <c r="L311" s="25"/>
      <c r="M311" s="25"/>
      <c r="N311" s="25"/>
      <c r="O311" s="25"/>
      <c r="P311" s="25"/>
      <c r="R311" s="23"/>
      <c r="U311" s="11"/>
    </row>
    <row r="312" spans="1:21" ht="14.25" customHeight="1" x14ac:dyDescent="0.3">
      <c r="A312" s="484"/>
      <c r="C312" s="25"/>
      <c r="D312" s="25"/>
      <c r="E312" s="25"/>
      <c r="F312" s="25"/>
      <c r="G312" s="25"/>
      <c r="H312" s="25"/>
      <c r="I312" s="25"/>
      <c r="J312" s="25"/>
      <c r="K312" s="25"/>
      <c r="L312" s="25"/>
      <c r="M312" s="25"/>
      <c r="N312" s="25"/>
      <c r="O312" s="25"/>
      <c r="P312" s="25"/>
      <c r="R312" s="23"/>
      <c r="U312" s="11"/>
    </row>
    <row r="313" spans="1:21" ht="14.25" customHeight="1" x14ac:dyDescent="0.3">
      <c r="A313" s="484"/>
      <c r="C313" s="25"/>
      <c r="D313" s="25"/>
      <c r="E313" s="25"/>
      <c r="F313" s="25"/>
      <c r="G313" s="25"/>
      <c r="H313" s="25"/>
      <c r="I313" s="25"/>
      <c r="J313" s="25"/>
      <c r="K313" s="25"/>
      <c r="L313" s="25"/>
      <c r="M313" s="25"/>
      <c r="N313" s="25"/>
      <c r="O313" s="25"/>
      <c r="P313" s="25"/>
      <c r="R313" s="23"/>
      <c r="U313" s="11"/>
    </row>
    <row r="314" spans="1:21" ht="14.25" customHeight="1" x14ac:dyDescent="0.3">
      <c r="A314" s="484"/>
      <c r="C314" s="25"/>
      <c r="D314" s="25"/>
      <c r="E314" s="25"/>
      <c r="F314" s="25"/>
      <c r="G314" s="25"/>
      <c r="H314" s="25"/>
      <c r="I314" s="25"/>
      <c r="J314" s="25"/>
      <c r="K314" s="25"/>
      <c r="L314" s="25"/>
      <c r="M314" s="25"/>
      <c r="N314" s="25"/>
      <c r="O314" s="25"/>
      <c r="P314" s="25"/>
      <c r="R314" s="23"/>
      <c r="U314" s="11"/>
    </row>
    <row r="315" spans="1:21" ht="14.25" customHeight="1" x14ac:dyDescent="0.3">
      <c r="A315" s="484"/>
      <c r="C315" s="25"/>
      <c r="D315" s="25"/>
      <c r="E315" s="25"/>
      <c r="F315" s="25"/>
      <c r="G315" s="25"/>
      <c r="H315" s="25"/>
      <c r="I315" s="25"/>
      <c r="J315" s="25"/>
      <c r="K315" s="25"/>
      <c r="L315" s="25"/>
      <c r="M315" s="25"/>
      <c r="N315" s="25"/>
      <c r="O315" s="25"/>
      <c r="P315" s="25"/>
      <c r="R315" s="23"/>
      <c r="U315" s="11"/>
    </row>
    <row r="316" spans="1:21" ht="14.25" customHeight="1" x14ac:dyDescent="0.3">
      <c r="A316" s="484"/>
      <c r="C316" s="25"/>
      <c r="D316" s="25"/>
      <c r="E316" s="25"/>
      <c r="F316" s="25"/>
      <c r="G316" s="25"/>
      <c r="H316" s="25"/>
      <c r="I316" s="25"/>
      <c r="J316" s="25"/>
      <c r="K316" s="25"/>
      <c r="L316" s="25"/>
      <c r="M316" s="25"/>
      <c r="N316" s="25"/>
      <c r="O316" s="25"/>
      <c r="P316" s="25"/>
      <c r="R316" s="23"/>
      <c r="U316" s="11"/>
    </row>
    <row r="317" spans="1:21" ht="14.25" customHeight="1" x14ac:dyDescent="0.3">
      <c r="A317" s="484"/>
      <c r="C317" s="25"/>
      <c r="D317" s="25"/>
      <c r="E317" s="25"/>
      <c r="F317" s="25"/>
      <c r="G317" s="25"/>
      <c r="H317" s="25"/>
      <c r="I317" s="25"/>
      <c r="J317" s="25"/>
      <c r="K317" s="25"/>
      <c r="L317" s="25"/>
      <c r="M317" s="25"/>
      <c r="N317" s="25"/>
      <c r="O317" s="25"/>
      <c r="P317" s="25"/>
      <c r="R317" s="23"/>
      <c r="U317" s="11"/>
    </row>
    <row r="318" spans="1:21" ht="14.25" customHeight="1" x14ac:dyDescent="0.3">
      <c r="A318" s="484"/>
      <c r="C318" s="25"/>
      <c r="D318" s="25"/>
      <c r="E318" s="25"/>
      <c r="F318" s="25"/>
      <c r="G318" s="25"/>
      <c r="H318" s="25"/>
      <c r="I318" s="25"/>
      <c r="J318" s="25"/>
      <c r="K318" s="25"/>
      <c r="L318" s="25"/>
      <c r="M318" s="25"/>
      <c r="N318" s="25"/>
      <c r="O318" s="25"/>
      <c r="P318" s="25"/>
      <c r="R318" s="23"/>
      <c r="U318" s="11"/>
    </row>
    <row r="319" spans="1:21" ht="14.25" customHeight="1" x14ac:dyDescent="0.3">
      <c r="A319" s="484"/>
      <c r="C319" s="25"/>
      <c r="D319" s="25"/>
      <c r="E319" s="25"/>
      <c r="F319" s="25"/>
      <c r="G319" s="25"/>
      <c r="H319" s="25"/>
      <c r="I319" s="25"/>
      <c r="J319" s="25"/>
      <c r="K319" s="25"/>
      <c r="L319" s="25"/>
      <c r="M319" s="25"/>
      <c r="N319" s="25"/>
      <c r="O319" s="25"/>
      <c r="P319" s="25"/>
      <c r="R319" s="23"/>
      <c r="U319" s="11"/>
    </row>
    <row r="320" spans="1:21" ht="14.25" customHeight="1" x14ac:dyDescent="0.3">
      <c r="A320" s="484"/>
      <c r="C320" s="25"/>
      <c r="D320" s="25"/>
      <c r="E320" s="25"/>
      <c r="F320" s="25"/>
      <c r="G320" s="25"/>
      <c r="H320" s="25"/>
      <c r="I320" s="25"/>
      <c r="J320" s="25"/>
      <c r="K320" s="25"/>
      <c r="L320" s="25"/>
      <c r="M320" s="25"/>
      <c r="N320" s="25"/>
      <c r="O320" s="25"/>
      <c r="P320" s="25"/>
      <c r="R320" s="23"/>
      <c r="U320" s="11"/>
    </row>
    <row r="321" spans="1:21" ht="14.25" customHeight="1" x14ac:dyDescent="0.3">
      <c r="A321" s="484"/>
      <c r="C321" s="25"/>
      <c r="D321" s="25"/>
      <c r="E321" s="25"/>
      <c r="F321" s="25"/>
      <c r="G321" s="25"/>
      <c r="H321" s="25"/>
      <c r="I321" s="25"/>
      <c r="J321" s="25"/>
      <c r="K321" s="25"/>
      <c r="L321" s="25"/>
      <c r="M321" s="25"/>
      <c r="N321" s="25"/>
      <c r="O321" s="25"/>
      <c r="P321" s="25"/>
      <c r="R321" s="23"/>
      <c r="U321" s="11"/>
    </row>
    <row r="322" spans="1:21" ht="14.25" customHeight="1" x14ac:dyDescent="0.3">
      <c r="A322" s="484"/>
      <c r="C322" s="25"/>
      <c r="D322" s="25"/>
      <c r="E322" s="25"/>
      <c r="F322" s="25"/>
      <c r="G322" s="25"/>
      <c r="H322" s="25"/>
      <c r="I322" s="25"/>
      <c r="J322" s="25"/>
      <c r="K322" s="25"/>
      <c r="L322" s="25"/>
      <c r="M322" s="25"/>
      <c r="N322" s="25"/>
      <c r="O322" s="25"/>
      <c r="P322" s="25"/>
      <c r="R322" s="23"/>
      <c r="U322" s="11"/>
    </row>
    <row r="323" spans="1:21" ht="14.25" customHeight="1" x14ac:dyDescent="0.3">
      <c r="A323" s="484"/>
      <c r="C323" s="25"/>
      <c r="D323" s="25"/>
      <c r="E323" s="25"/>
      <c r="F323" s="25"/>
      <c r="G323" s="25"/>
      <c r="H323" s="25"/>
      <c r="I323" s="25"/>
      <c r="J323" s="25"/>
      <c r="K323" s="25"/>
      <c r="L323" s="25"/>
      <c r="M323" s="25"/>
      <c r="N323" s="25"/>
      <c r="O323" s="25"/>
      <c r="P323" s="25"/>
      <c r="R323" s="23"/>
      <c r="U323" s="11"/>
    </row>
    <row r="324" spans="1:21" ht="14.25" customHeight="1" x14ac:dyDescent="0.3">
      <c r="A324" s="484"/>
      <c r="C324" s="25"/>
      <c r="D324" s="25"/>
      <c r="E324" s="25"/>
      <c r="F324" s="25"/>
      <c r="G324" s="25"/>
      <c r="H324" s="25"/>
      <c r="I324" s="25"/>
      <c r="J324" s="25"/>
      <c r="K324" s="25"/>
      <c r="L324" s="25"/>
      <c r="M324" s="25"/>
      <c r="N324" s="25"/>
      <c r="O324" s="25"/>
      <c r="P324" s="25"/>
      <c r="R324" s="23"/>
      <c r="U324" s="11"/>
    </row>
    <row r="325" spans="1:21" ht="14.25" customHeight="1" x14ac:dyDescent="0.3">
      <c r="A325" s="484"/>
      <c r="C325" s="25"/>
      <c r="D325" s="25"/>
      <c r="E325" s="25"/>
      <c r="F325" s="25"/>
      <c r="G325" s="25"/>
      <c r="H325" s="25"/>
      <c r="I325" s="25"/>
      <c r="J325" s="25"/>
      <c r="K325" s="25"/>
      <c r="L325" s="25"/>
      <c r="M325" s="25"/>
      <c r="N325" s="25"/>
      <c r="O325" s="25"/>
      <c r="P325" s="25"/>
      <c r="R325" s="23"/>
      <c r="U325" s="11"/>
    </row>
    <row r="326" spans="1:21" ht="14.25" customHeight="1" x14ac:dyDescent="0.3">
      <c r="A326" s="484"/>
      <c r="C326" s="25"/>
      <c r="D326" s="25"/>
      <c r="E326" s="25"/>
      <c r="F326" s="25"/>
      <c r="G326" s="25"/>
      <c r="H326" s="25"/>
      <c r="I326" s="25"/>
      <c r="J326" s="25"/>
      <c r="K326" s="25"/>
      <c r="L326" s="25"/>
      <c r="M326" s="25"/>
      <c r="N326" s="25"/>
      <c r="O326" s="25"/>
      <c r="P326" s="25"/>
      <c r="R326" s="23"/>
      <c r="U326" s="11"/>
    </row>
    <row r="327" spans="1:21" ht="14.25" customHeight="1" x14ac:dyDescent="0.3">
      <c r="A327" s="484"/>
      <c r="C327" s="25"/>
      <c r="D327" s="25"/>
      <c r="E327" s="25"/>
      <c r="F327" s="25"/>
      <c r="G327" s="25"/>
      <c r="H327" s="25"/>
      <c r="I327" s="25"/>
      <c r="J327" s="25"/>
      <c r="K327" s="25"/>
      <c r="L327" s="25"/>
      <c r="M327" s="25"/>
      <c r="N327" s="25"/>
      <c r="O327" s="25"/>
      <c r="P327" s="25"/>
      <c r="R327" s="23"/>
      <c r="U327" s="11"/>
    </row>
    <row r="328" spans="1:21" ht="14.25" customHeight="1" x14ac:dyDescent="0.3">
      <c r="A328" s="484"/>
      <c r="C328" s="25"/>
      <c r="D328" s="25"/>
      <c r="E328" s="25"/>
      <c r="F328" s="25"/>
      <c r="G328" s="25"/>
      <c r="H328" s="25"/>
      <c r="I328" s="25"/>
      <c r="J328" s="25"/>
      <c r="K328" s="25"/>
      <c r="L328" s="25"/>
      <c r="M328" s="25"/>
      <c r="N328" s="25"/>
      <c r="O328" s="25"/>
      <c r="P328" s="25"/>
      <c r="R328" s="23"/>
      <c r="U328" s="11"/>
    </row>
    <row r="329" spans="1:21" ht="14.25" customHeight="1" x14ac:dyDescent="0.3">
      <c r="A329" s="484"/>
      <c r="C329" s="25"/>
      <c r="D329" s="25"/>
      <c r="E329" s="25"/>
      <c r="F329" s="25"/>
      <c r="G329" s="25"/>
      <c r="H329" s="25"/>
      <c r="I329" s="25"/>
      <c r="J329" s="25"/>
      <c r="K329" s="25"/>
      <c r="L329" s="25"/>
      <c r="M329" s="25"/>
      <c r="N329" s="25"/>
      <c r="O329" s="25"/>
      <c r="P329" s="25"/>
      <c r="R329" s="23"/>
      <c r="U329" s="11"/>
    </row>
    <row r="330" spans="1:21" ht="14.25" customHeight="1" x14ac:dyDescent="0.3">
      <c r="A330" s="484"/>
      <c r="C330" s="25"/>
      <c r="D330" s="25"/>
      <c r="E330" s="25"/>
      <c r="F330" s="25"/>
      <c r="G330" s="25"/>
      <c r="H330" s="25"/>
      <c r="I330" s="25"/>
      <c r="J330" s="25"/>
      <c r="K330" s="25"/>
      <c r="L330" s="25"/>
      <c r="M330" s="25"/>
      <c r="N330" s="25"/>
      <c r="O330" s="25"/>
      <c r="P330" s="25"/>
      <c r="R330" s="23"/>
      <c r="U330" s="11"/>
    </row>
    <row r="331" spans="1:21" ht="14.25" customHeight="1" x14ac:dyDescent="0.3">
      <c r="A331" s="484"/>
      <c r="C331" s="25"/>
      <c r="D331" s="25"/>
      <c r="E331" s="25"/>
      <c r="F331" s="25"/>
      <c r="G331" s="25"/>
      <c r="H331" s="25"/>
      <c r="I331" s="25"/>
      <c r="J331" s="25"/>
      <c r="K331" s="25"/>
      <c r="L331" s="25"/>
      <c r="M331" s="25"/>
      <c r="N331" s="25"/>
      <c r="O331" s="25"/>
      <c r="P331" s="25"/>
      <c r="R331" s="23"/>
      <c r="U331" s="11"/>
    </row>
    <row r="332" spans="1:21" ht="14.25" customHeight="1" x14ac:dyDescent="0.3">
      <c r="A332" s="484"/>
      <c r="C332" s="25"/>
      <c r="D332" s="25"/>
      <c r="E332" s="25"/>
      <c r="F332" s="25"/>
      <c r="G332" s="25"/>
      <c r="H332" s="25"/>
      <c r="I332" s="25"/>
      <c r="J332" s="25"/>
      <c r="K332" s="25"/>
      <c r="L332" s="25"/>
      <c r="M332" s="25"/>
      <c r="N332" s="25"/>
      <c r="O332" s="25"/>
      <c r="P332" s="25"/>
      <c r="R332" s="23"/>
      <c r="U332" s="11"/>
    </row>
    <row r="333" spans="1:21" ht="14.25" customHeight="1" x14ac:dyDescent="0.3">
      <c r="A333" s="484"/>
      <c r="C333" s="25"/>
      <c r="D333" s="25"/>
      <c r="E333" s="25"/>
      <c r="F333" s="25"/>
      <c r="G333" s="25"/>
      <c r="H333" s="25"/>
      <c r="I333" s="25"/>
      <c r="J333" s="25"/>
      <c r="K333" s="25"/>
      <c r="L333" s="25"/>
      <c r="M333" s="25"/>
      <c r="N333" s="25"/>
      <c r="O333" s="25"/>
      <c r="P333" s="25"/>
      <c r="R333" s="23"/>
      <c r="U333" s="11"/>
    </row>
    <row r="334" spans="1:21" ht="14.25" customHeight="1" x14ac:dyDescent="0.3">
      <c r="A334" s="484"/>
      <c r="C334" s="25"/>
      <c r="D334" s="25"/>
      <c r="E334" s="25"/>
      <c r="F334" s="25"/>
      <c r="G334" s="25"/>
      <c r="H334" s="25"/>
      <c r="I334" s="25"/>
      <c r="J334" s="25"/>
      <c r="K334" s="25"/>
      <c r="L334" s="25"/>
      <c r="M334" s="25"/>
      <c r="N334" s="25"/>
      <c r="O334" s="25"/>
      <c r="P334" s="25"/>
      <c r="R334" s="23"/>
      <c r="U334" s="11"/>
    </row>
    <row r="335" spans="1:21" ht="14.25" customHeight="1" x14ac:dyDescent="0.3">
      <c r="A335" s="484"/>
      <c r="C335" s="25"/>
      <c r="D335" s="25"/>
      <c r="E335" s="25"/>
      <c r="F335" s="25"/>
      <c r="G335" s="25"/>
      <c r="H335" s="25"/>
      <c r="I335" s="25"/>
      <c r="J335" s="25"/>
      <c r="K335" s="25"/>
      <c r="L335" s="25"/>
      <c r="M335" s="25"/>
      <c r="N335" s="25"/>
      <c r="O335" s="25"/>
      <c r="P335" s="25"/>
      <c r="R335" s="23"/>
      <c r="U335" s="11"/>
    </row>
    <row r="336" spans="1:21" ht="14.25" customHeight="1" x14ac:dyDescent="0.3">
      <c r="A336" s="484"/>
      <c r="C336" s="25"/>
      <c r="D336" s="25"/>
      <c r="E336" s="25"/>
      <c r="F336" s="25"/>
      <c r="G336" s="25"/>
      <c r="H336" s="25"/>
      <c r="I336" s="25"/>
      <c r="J336" s="25"/>
      <c r="K336" s="25"/>
      <c r="L336" s="25"/>
      <c r="M336" s="25"/>
      <c r="N336" s="25"/>
      <c r="O336" s="25"/>
      <c r="P336" s="25"/>
      <c r="R336" s="23"/>
      <c r="U336" s="11"/>
    </row>
    <row r="337" spans="1:21" ht="14.25" customHeight="1" x14ac:dyDescent="0.3">
      <c r="A337" s="484"/>
      <c r="C337" s="25"/>
      <c r="D337" s="25"/>
      <c r="E337" s="25"/>
      <c r="F337" s="25"/>
      <c r="G337" s="25"/>
      <c r="H337" s="25"/>
      <c r="I337" s="25"/>
      <c r="J337" s="25"/>
      <c r="K337" s="25"/>
      <c r="L337" s="25"/>
      <c r="M337" s="25"/>
      <c r="N337" s="25"/>
      <c r="O337" s="25"/>
      <c r="P337" s="25"/>
      <c r="R337" s="23"/>
      <c r="U337" s="11"/>
    </row>
    <row r="338" spans="1:21" ht="14.25" customHeight="1" x14ac:dyDescent="0.3">
      <c r="A338" s="484"/>
      <c r="C338" s="25"/>
      <c r="D338" s="25"/>
      <c r="E338" s="25"/>
      <c r="F338" s="25"/>
      <c r="G338" s="25"/>
      <c r="H338" s="25"/>
      <c r="I338" s="25"/>
      <c r="J338" s="25"/>
      <c r="K338" s="25"/>
      <c r="L338" s="25"/>
      <c r="M338" s="25"/>
      <c r="N338" s="25"/>
      <c r="O338" s="25"/>
      <c r="P338" s="25"/>
      <c r="R338" s="23"/>
      <c r="U338" s="11"/>
    </row>
    <row r="339" spans="1:21" ht="14.25" customHeight="1" x14ac:dyDescent="0.3">
      <c r="A339" s="484"/>
      <c r="C339" s="25"/>
      <c r="D339" s="25"/>
      <c r="E339" s="25"/>
      <c r="F339" s="25"/>
      <c r="G339" s="25"/>
      <c r="H339" s="25"/>
      <c r="I339" s="25"/>
      <c r="J339" s="25"/>
      <c r="K339" s="25"/>
      <c r="L339" s="25"/>
      <c r="M339" s="25"/>
      <c r="N339" s="25"/>
      <c r="O339" s="25"/>
      <c r="P339" s="25"/>
      <c r="R339" s="23"/>
      <c r="U339" s="11"/>
    </row>
    <row r="340" spans="1:21" ht="14.25" customHeight="1" x14ac:dyDescent="0.3">
      <c r="A340" s="484"/>
      <c r="C340" s="25"/>
      <c r="D340" s="25"/>
      <c r="E340" s="25"/>
      <c r="F340" s="25"/>
      <c r="G340" s="25"/>
      <c r="H340" s="25"/>
      <c r="I340" s="25"/>
      <c r="J340" s="25"/>
      <c r="K340" s="25"/>
      <c r="L340" s="25"/>
      <c r="M340" s="25"/>
      <c r="N340" s="25"/>
      <c r="O340" s="25"/>
      <c r="P340" s="25"/>
      <c r="R340" s="23"/>
      <c r="U340" s="11"/>
    </row>
    <row r="341" spans="1:21" ht="14.25" customHeight="1" x14ac:dyDescent="0.3">
      <c r="A341" s="484"/>
      <c r="C341" s="25"/>
      <c r="D341" s="25"/>
      <c r="E341" s="25"/>
      <c r="F341" s="25"/>
      <c r="G341" s="25"/>
      <c r="H341" s="25"/>
      <c r="I341" s="25"/>
      <c r="J341" s="25"/>
      <c r="K341" s="25"/>
      <c r="L341" s="25"/>
      <c r="M341" s="25"/>
      <c r="N341" s="25"/>
      <c r="O341" s="25"/>
      <c r="P341" s="25"/>
      <c r="R341" s="23"/>
      <c r="U341" s="11"/>
    </row>
    <row r="342" spans="1:21" ht="14.25" customHeight="1" x14ac:dyDescent="0.3">
      <c r="A342" s="484"/>
      <c r="C342" s="25"/>
      <c r="D342" s="25"/>
      <c r="E342" s="25"/>
      <c r="F342" s="25"/>
      <c r="G342" s="25"/>
      <c r="H342" s="25"/>
      <c r="I342" s="25"/>
      <c r="J342" s="25"/>
      <c r="K342" s="25"/>
      <c r="L342" s="25"/>
      <c r="M342" s="25"/>
      <c r="N342" s="25"/>
      <c r="O342" s="25"/>
      <c r="P342" s="25"/>
      <c r="R342" s="23"/>
      <c r="U342" s="11"/>
    </row>
    <row r="343" spans="1:21" ht="14.25" customHeight="1" x14ac:dyDescent="0.3">
      <c r="A343" s="484"/>
      <c r="C343" s="25"/>
      <c r="D343" s="25"/>
      <c r="E343" s="25"/>
      <c r="F343" s="25"/>
      <c r="G343" s="25"/>
      <c r="H343" s="25"/>
      <c r="I343" s="25"/>
      <c r="J343" s="25"/>
      <c r="K343" s="25"/>
      <c r="L343" s="25"/>
      <c r="M343" s="25"/>
      <c r="N343" s="25"/>
      <c r="O343" s="25"/>
      <c r="P343" s="25"/>
      <c r="R343" s="23"/>
      <c r="U343" s="11"/>
    </row>
    <row r="344" spans="1:21" ht="14.25" customHeight="1" x14ac:dyDescent="0.3">
      <c r="A344" s="484"/>
      <c r="C344" s="25"/>
      <c r="D344" s="25"/>
      <c r="E344" s="25"/>
      <c r="F344" s="25"/>
      <c r="G344" s="25"/>
      <c r="H344" s="25"/>
      <c r="I344" s="25"/>
      <c r="J344" s="25"/>
      <c r="K344" s="25"/>
      <c r="L344" s="25"/>
      <c r="M344" s="25"/>
      <c r="N344" s="25"/>
      <c r="O344" s="25"/>
      <c r="P344" s="25"/>
      <c r="R344" s="23"/>
      <c r="U344" s="11"/>
    </row>
    <row r="345" spans="1:21" ht="14.25" customHeight="1" x14ac:dyDescent="0.3">
      <c r="A345" s="484"/>
      <c r="C345" s="25"/>
      <c r="D345" s="25"/>
      <c r="E345" s="25"/>
      <c r="F345" s="25"/>
      <c r="G345" s="25"/>
      <c r="H345" s="25"/>
      <c r="I345" s="25"/>
      <c r="J345" s="25"/>
      <c r="K345" s="25"/>
      <c r="L345" s="25"/>
      <c r="M345" s="25"/>
      <c r="N345" s="25"/>
      <c r="O345" s="25"/>
      <c r="P345" s="25"/>
      <c r="R345" s="23"/>
      <c r="U345" s="11"/>
    </row>
    <row r="346" spans="1:21" ht="14.25" customHeight="1" x14ac:dyDescent="0.3">
      <c r="A346" s="484"/>
      <c r="C346" s="25"/>
      <c r="D346" s="25"/>
      <c r="E346" s="25"/>
      <c r="F346" s="25"/>
      <c r="G346" s="25"/>
      <c r="H346" s="25"/>
      <c r="I346" s="25"/>
      <c r="J346" s="25"/>
      <c r="K346" s="25"/>
      <c r="L346" s="25"/>
      <c r="M346" s="25"/>
      <c r="N346" s="25"/>
      <c r="O346" s="25"/>
      <c r="P346" s="25"/>
      <c r="R346" s="23"/>
      <c r="U346" s="11"/>
    </row>
    <row r="347" spans="1:21" ht="14.25" customHeight="1" x14ac:dyDescent="0.3">
      <c r="A347" s="484"/>
      <c r="C347" s="25"/>
      <c r="D347" s="25"/>
      <c r="E347" s="25"/>
      <c r="F347" s="25"/>
      <c r="G347" s="25"/>
      <c r="H347" s="25"/>
      <c r="I347" s="25"/>
      <c r="J347" s="25"/>
      <c r="K347" s="25"/>
      <c r="L347" s="25"/>
      <c r="M347" s="25"/>
      <c r="N347" s="25"/>
      <c r="O347" s="25"/>
      <c r="P347" s="25"/>
      <c r="R347" s="23"/>
      <c r="U347" s="11"/>
    </row>
    <row r="348" spans="1:21" ht="14.25" customHeight="1" x14ac:dyDescent="0.3">
      <c r="A348" s="484"/>
      <c r="C348" s="25"/>
      <c r="D348" s="25"/>
      <c r="E348" s="25"/>
      <c r="F348" s="25"/>
      <c r="G348" s="25"/>
      <c r="H348" s="25"/>
      <c r="I348" s="25"/>
      <c r="J348" s="25"/>
      <c r="K348" s="25"/>
      <c r="L348" s="25"/>
      <c r="M348" s="25"/>
      <c r="N348" s="25"/>
      <c r="O348" s="25"/>
      <c r="P348" s="25"/>
      <c r="R348" s="23"/>
      <c r="U348" s="11"/>
    </row>
    <row r="349" spans="1:21" ht="14.25" customHeight="1" x14ac:dyDescent="0.3">
      <c r="A349" s="484"/>
      <c r="C349" s="25"/>
      <c r="D349" s="25"/>
      <c r="E349" s="25"/>
      <c r="F349" s="25"/>
      <c r="G349" s="25"/>
      <c r="H349" s="25"/>
      <c r="I349" s="25"/>
      <c r="J349" s="25"/>
      <c r="K349" s="25"/>
      <c r="L349" s="25"/>
      <c r="M349" s="25"/>
      <c r="N349" s="25"/>
      <c r="O349" s="25"/>
      <c r="P349" s="25"/>
      <c r="R349" s="23"/>
      <c r="U349" s="11"/>
    </row>
    <row r="350" spans="1:21" ht="14.25" customHeight="1" x14ac:dyDescent="0.3">
      <c r="A350" s="484"/>
      <c r="C350" s="25"/>
      <c r="D350" s="25"/>
      <c r="E350" s="25"/>
      <c r="F350" s="25"/>
      <c r="G350" s="25"/>
      <c r="H350" s="25"/>
      <c r="I350" s="25"/>
      <c r="J350" s="25"/>
      <c r="K350" s="25"/>
      <c r="L350" s="25"/>
      <c r="M350" s="25"/>
      <c r="N350" s="25"/>
      <c r="O350" s="25"/>
      <c r="P350" s="25"/>
      <c r="R350" s="23"/>
      <c r="U350" s="11"/>
    </row>
    <row r="351" spans="1:21" ht="14.25" customHeight="1" x14ac:dyDescent="0.3">
      <c r="A351" s="484"/>
      <c r="C351" s="25"/>
      <c r="D351" s="25"/>
      <c r="E351" s="25"/>
      <c r="F351" s="25"/>
      <c r="G351" s="25"/>
      <c r="H351" s="25"/>
      <c r="I351" s="25"/>
      <c r="J351" s="25"/>
      <c r="K351" s="25"/>
      <c r="L351" s="25"/>
      <c r="M351" s="25"/>
      <c r="N351" s="25"/>
      <c r="O351" s="25"/>
      <c r="P351" s="25"/>
      <c r="R351" s="23"/>
      <c r="U351" s="11"/>
    </row>
    <row r="352" spans="1:21" ht="14.25" customHeight="1" x14ac:dyDescent="0.3">
      <c r="A352" s="484"/>
      <c r="C352" s="25"/>
      <c r="D352" s="25"/>
      <c r="E352" s="25"/>
      <c r="F352" s="25"/>
      <c r="G352" s="25"/>
      <c r="H352" s="25"/>
      <c r="I352" s="25"/>
      <c r="J352" s="25"/>
      <c r="K352" s="25"/>
      <c r="L352" s="25"/>
      <c r="M352" s="25"/>
      <c r="N352" s="25"/>
      <c r="O352" s="25"/>
      <c r="P352" s="25"/>
      <c r="R352" s="23"/>
      <c r="U352" s="11"/>
    </row>
    <row r="353" spans="1:21" ht="14.25" customHeight="1" x14ac:dyDescent="0.3">
      <c r="A353" s="484"/>
      <c r="C353" s="25"/>
      <c r="D353" s="25"/>
      <c r="E353" s="25"/>
      <c r="F353" s="25"/>
      <c r="G353" s="25"/>
      <c r="H353" s="25"/>
      <c r="I353" s="25"/>
      <c r="J353" s="25"/>
      <c r="K353" s="25"/>
      <c r="L353" s="25"/>
      <c r="M353" s="25"/>
      <c r="N353" s="25"/>
      <c r="O353" s="25"/>
      <c r="P353" s="25"/>
      <c r="R353" s="23"/>
      <c r="U353" s="11"/>
    </row>
    <row r="354" spans="1:21" ht="14.25" customHeight="1" x14ac:dyDescent="0.3">
      <c r="A354" s="484"/>
      <c r="C354" s="25"/>
      <c r="D354" s="25"/>
      <c r="E354" s="25"/>
      <c r="F354" s="25"/>
      <c r="G354" s="25"/>
      <c r="H354" s="25"/>
      <c r="I354" s="25"/>
      <c r="J354" s="25"/>
      <c r="K354" s="25"/>
      <c r="L354" s="25"/>
      <c r="M354" s="25"/>
      <c r="N354" s="25"/>
      <c r="O354" s="25"/>
      <c r="P354" s="25"/>
      <c r="R354" s="23"/>
      <c r="U354" s="11"/>
    </row>
    <row r="355" spans="1:21" ht="14.25" customHeight="1" x14ac:dyDescent="0.3">
      <c r="A355" s="484"/>
      <c r="C355" s="25"/>
      <c r="D355" s="25"/>
      <c r="E355" s="25"/>
      <c r="F355" s="25"/>
      <c r="G355" s="25"/>
      <c r="H355" s="25"/>
      <c r="I355" s="25"/>
      <c r="J355" s="25"/>
      <c r="K355" s="25"/>
      <c r="L355" s="25"/>
      <c r="M355" s="25"/>
      <c r="N355" s="25"/>
      <c r="O355" s="25"/>
      <c r="P355" s="25"/>
      <c r="R355" s="23"/>
      <c r="U355" s="11"/>
    </row>
    <row r="356" spans="1:21" ht="14.25" customHeight="1" x14ac:dyDescent="0.3">
      <c r="A356" s="484"/>
      <c r="C356" s="25"/>
      <c r="D356" s="25"/>
      <c r="E356" s="25"/>
      <c r="F356" s="25"/>
      <c r="G356" s="25"/>
      <c r="H356" s="25"/>
      <c r="I356" s="25"/>
      <c r="J356" s="25"/>
      <c r="K356" s="25"/>
      <c r="L356" s="25"/>
      <c r="M356" s="25"/>
      <c r="N356" s="25"/>
      <c r="O356" s="25"/>
      <c r="P356" s="25"/>
      <c r="R356" s="23"/>
      <c r="U356" s="11"/>
    </row>
    <row r="357" spans="1:21" ht="14.25" customHeight="1" x14ac:dyDescent="0.3">
      <c r="A357" s="484"/>
      <c r="C357" s="25"/>
      <c r="D357" s="25"/>
      <c r="E357" s="25"/>
      <c r="F357" s="25"/>
      <c r="G357" s="25"/>
      <c r="H357" s="25"/>
      <c r="I357" s="25"/>
      <c r="J357" s="25"/>
      <c r="K357" s="25"/>
      <c r="L357" s="25"/>
      <c r="M357" s="25"/>
      <c r="N357" s="25"/>
      <c r="O357" s="25"/>
      <c r="P357" s="25"/>
      <c r="R357" s="23"/>
      <c r="U357" s="11"/>
    </row>
    <row r="358" spans="1:21" ht="14.25" customHeight="1" x14ac:dyDescent="0.3">
      <c r="A358" s="484"/>
      <c r="C358" s="25"/>
      <c r="D358" s="25"/>
      <c r="E358" s="25"/>
      <c r="F358" s="25"/>
      <c r="G358" s="25"/>
      <c r="H358" s="25"/>
      <c r="I358" s="25"/>
      <c r="J358" s="25"/>
      <c r="K358" s="25"/>
      <c r="L358" s="25"/>
      <c r="M358" s="25"/>
      <c r="N358" s="25"/>
      <c r="O358" s="25"/>
      <c r="P358" s="25"/>
      <c r="R358" s="23"/>
      <c r="U358" s="11"/>
    </row>
    <row r="359" spans="1:21" ht="14.25" customHeight="1" x14ac:dyDescent="0.3">
      <c r="A359" s="484"/>
      <c r="C359" s="25"/>
      <c r="D359" s="25"/>
      <c r="E359" s="25"/>
      <c r="F359" s="25"/>
      <c r="G359" s="25"/>
      <c r="H359" s="25"/>
      <c r="I359" s="25"/>
      <c r="J359" s="25"/>
      <c r="K359" s="25"/>
      <c r="L359" s="25"/>
      <c r="M359" s="25"/>
      <c r="N359" s="25"/>
      <c r="O359" s="25"/>
      <c r="P359" s="25"/>
      <c r="R359" s="23"/>
      <c r="U359" s="11"/>
    </row>
    <row r="360" spans="1:21" ht="14.25" customHeight="1" x14ac:dyDescent="0.3">
      <c r="A360" s="484"/>
      <c r="C360" s="25"/>
      <c r="D360" s="25"/>
      <c r="E360" s="25"/>
      <c r="F360" s="25"/>
      <c r="G360" s="25"/>
      <c r="H360" s="25"/>
      <c r="I360" s="25"/>
      <c r="J360" s="25"/>
      <c r="K360" s="25"/>
      <c r="L360" s="25"/>
      <c r="M360" s="25"/>
      <c r="N360" s="25"/>
      <c r="O360" s="25"/>
      <c r="P360" s="25"/>
      <c r="R360" s="23"/>
      <c r="U360" s="11"/>
    </row>
    <row r="361" spans="1:21" ht="14.25" customHeight="1" x14ac:dyDescent="0.3">
      <c r="A361" s="484"/>
      <c r="C361" s="25"/>
      <c r="D361" s="25"/>
      <c r="E361" s="25"/>
      <c r="F361" s="25"/>
      <c r="G361" s="25"/>
      <c r="H361" s="25"/>
      <c r="I361" s="25"/>
      <c r="J361" s="25"/>
      <c r="K361" s="25"/>
      <c r="L361" s="25"/>
      <c r="M361" s="25"/>
      <c r="N361" s="25"/>
      <c r="O361" s="25"/>
      <c r="P361" s="25"/>
      <c r="R361" s="23"/>
      <c r="U361" s="11"/>
    </row>
    <row r="362" spans="1:21" ht="14.25" customHeight="1" x14ac:dyDescent="0.3">
      <c r="A362" s="484"/>
      <c r="C362" s="25"/>
      <c r="D362" s="25"/>
      <c r="E362" s="25"/>
      <c r="F362" s="25"/>
      <c r="G362" s="25"/>
      <c r="H362" s="25"/>
      <c r="I362" s="25"/>
      <c r="J362" s="25"/>
      <c r="K362" s="25"/>
      <c r="L362" s="25"/>
      <c r="M362" s="25"/>
      <c r="N362" s="25"/>
      <c r="O362" s="25"/>
      <c r="P362" s="25"/>
      <c r="R362" s="23"/>
      <c r="U362" s="11"/>
    </row>
    <row r="363" spans="1:21" ht="14.25" customHeight="1" x14ac:dyDescent="0.3">
      <c r="A363" s="484"/>
      <c r="C363" s="25"/>
      <c r="D363" s="25"/>
      <c r="E363" s="25"/>
      <c r="F363" s="25"/>
      <c r="G363" s="25"/>
      <c r="H363" s="25"/>
      <c r="I363" s="25"/>
      <c r="J363" s="25"/>
      <c r="K363" s="25"/>
      <c r="L363" s="25"/>
      <c r="M363" s="25"/>
      <c r="N363" s="25"/>
      <c r="O363" s="25"/>
      <c r="P363" s="25"/>
      <c r="R363" s="23"/>
      <c r="U363" s="11"/>
    </row>
    <row r="364" spans="1:21" ht="14.25" customHeight="1" x14ac:dyDescent="0.3">
      <c r="A364" s="484"/>
      <c r="C364" s="25"/>
      <c r="D364" s="25"/>
      <c r="E364" s="25"/>
      <c r="F364" s="25"/>
      <c r="G364" s="25"/>
      <c r="H364" s="25"/>
      <c r="I364" s="25"/>
      <c r="J364" s="25"/>
      <c r="K364" s="25"/>
      <c r="L364" s="25"/>
      <c r="M364" s="25"/>
      <c r="N364" s="25"/>
      <c r="O364" s="25"/>
      <c r="P364" s="25"/>
      <c r="R364" s="23"/>
      <c r="U364" s="11"/>
    </row>
    <row r="365" spans="1:21" ht="14.25" customHeight="1" x14ac:dyDescent="0.3">
      <c r="A365" s="484"/>
      <c r="C365" s="25"/>
      <c r="D365" s="25"/>
      <c r="E365" s="25"/>
      <c r="F365" s="25"/>
      <c r="G365" s="25"/>
      <c r="H365" s="25"/>
      <c r="I365" s="25"/>
      <c r="J365" s="25"/>
      <c r="K365" s="25"/>
      <c r="L365" s="25"/>
      <c r="M365" s="25"/>
      <c r="N365" s="25"/>
      <c r="O365" s="25"/>
      <c r="P365" s="25"/>
      <c r="R365" s="23"/>
      <c r="U365" s="11"/>
    </row>
    <row r="366" spans="1:21" ht="14.25" customHeight="1" x14ac:dyDescent="0.3">
      <c r="A366" s="484"/>
      <c r="C366" s="25"/>
      <c r="D366" s="25"/>
      <c r="E366" s="25"/>
      <c r="F366" s="25"/>
      <c r="G366" s="25"/>
      <c r="H366" s="25"/>
      <c r="I366" s="25"/>
      <c r="J366" s="25"/>
      <c r="K366" s="25"/>
      <c r="L366" s="25"/>
      <c r="M366" s="25"/>
      <c r="N366" s="25"/>
      <c r="O366" s="25"/>
      <c r="P366" s="25"/>
      <c r="R366" s="23"/>
      <c r="U366" s="11"/>
    </row>
    <row r="367" spans="1:21" ht="14.25" customHeight="1" x14ac:dyDescent="0.3">
      <c r="A367" s="484"/>
      <c r="C367" s="25"/>
      <c r="D367" s="25"/>
      <c r="E367" s="25"/>
      <c r="F367" s="25"/>
      <c r="G367" s="25"/>
      <c r="H367" s="25"/>
      <c r="I367" s="25"/>
      <c r="J367" s="25"/>
      <c r="K367" s="25"/>
      <c r="L367" s="25"/>
      <c r="M367" s="25"/>
      <c r="N367" s="25"/>
      <c r="O367" s="25"/>
      <c r="P367" s="25"/>
      <c r="R367" s="23"/>
      <c r="U367" s="11"/>
    </row>
    <row r="368" spans="1:21" ht="14.25" customHeight="1" x14ac:dyDescent="0.3">
      <c r="A368" s="484"/>
      <c r="C368" s="25"/>
      <c r="D368" s="25"/>
      <c r="E368" s="25"/>
      <c r="F368" s="25"/>
      <c r="G368" s="25"/>
      <c r="H368" s="25"/>
      <c r="I368" s="25"/>
      <c r="J368" s="25"/>
      <c r="K368" s="25"/>
      <c r="L368" s="25"/>
      <c r="M368" s="25"/>
      <c r="N368" s="25"/>
      <c r="O368" s="25"/>
      <c r="P368" s="25"/>
      <c r="R368" s="23"/>
      <c r="U368" s="11"/>
    </row>
    <row r="369" spans="1:21" ht="14.25" customHeight="1" x14ac:dyDescent="0.3">
      <c r="A369" s="484"/>
      <c r="C369" s="25"/>
      <c r="D369" s="25"/>
      <c r="E369" s="25"/>
      <c r="F369" s="25"/>
      <c r="G369" s="25"/>
      <c r="H369" s="25"/>
      <c r="I369" s="25"/>
      <c r="J369" s="25"/>
      <c r="K369" s="25"/>
      <c r="L369" s="25"/>
      <c r="M369" s="25"/>
      <c r="N369" s="25"/>
      <c r="O369" s="25"/>
      <c r="P369" s="25"/>
      <c r="R369" s="23"/>
      <c r="U369" s="11"/>
    </row>
    <row r="370" spans="1:21" ht="14.25" customHeight="1" x14ac:dyDescent="0.3">
      <c r="A370" s="484"/>
      <c r="C370" s="25"/>
      <c r="D370" s="25"/>
      <c r="E370" s="25"/>
      <c r="F370" s="25"/>
      <c r="G370" s="25"/>
      <c r="H370" s="25"/>
      <c r="I370" s="25"/>
      <c r="J370" s="25"/>
      <c r="K370" s="25"/>
      <c r="L370" s="25"/>
      <c r="M370" s="25"/>
      <c r="N370" s="25"/>
      <c r="O370" s="25"/>
      <c r="P370" s="25"/>
      <c r="R370" s="23"/>
      <c r="U370" s="11"/>
    </row>
    <row r="371" spans="1:21" ht="14.25" customHeight="1" x14ac:dyDescent="0.3">
      <c r="A371" s="484"/>
      <c r="C371" s="25"/>
      <c r="D371" s="25"/>
      <c r="E371" s="25"/>
      <c r="F371" s="25"/>
      <c r="G371" s="25"/>
      <c r="H371" s="25"/>
      <c r="I371" s="25"/>
      <c r="J371" s="25"/>
      <c r="K371" s="25"/>
      <c r="L371" s="25"/>
      <c r="M371" s="25"/>
      <c r="N371" s="25"/>
      <c r="O371" s="25"/>
      <c r="P371" s="25"/>
      <c r="R371" s="23"/>
      <c r="U371" s="11"/>
    </row>
    <row r="372" spans="1:21" ht="14.25" customHeight="1" x14ac:dyDescent="0.3">
      <c r="A372" s="484"/>
      <c r="C372" s="25"/>
      <c r="D372" s="25"/>
      <c r="E372" s="25"/>
      <c r="F372" s="25"/>
      <c r="G372" s="25"/>
      <c r="H372" s="25"/>
      <c r="I372" s="25"/>
      <c r="J372" s="25"/>
      <c r="K372" s="25"/>
      <c r="L372" s="25"/>
      <c r="M372" s="25"/>
      <c r="N372" s="25"/>
      <c r="O372" s="25"/>
      <c r="P372" s="25"/>
      <c r="R372" s="23"/>
      <c r="U372" s="11"/>
    </row>
    <row r="373" spans="1:21" ht="14.25" customHeight="1" x14ac:dyDescent="0.3">
      <c r="A373" s="484"/>
      <c r="C373" s="25"/>
      <c r="D373" s="25"/>
      <c r="E373" s="25"/>
      <c r="F373" s="25"/>
      <c r="G373" s="25"/>
      <c r="H373" s="25"/>
      <c r="I373" s="25"/>
      <c r="J373" s="25"/>
      <c r="K373" s="25"/>
      <c r="L373" s="25"/>
      <c r="M373" s="25"/>
      <c r="N373" s="25"/>
      <c r="O373" s="25"/>
      <c r="P373" s="25"/>
      <c r="R373" s="23"/>
      <c r="U373" s="11"/>
    </row>
    <row r="374" spans="1:21" ht="14.25" customHeight="1" x14ac:dyDescent="0.3">
      <c r="A374" s="484"/>
      <c r="C374" s="25"/>
      <c r="D374" s="25"/>
      <c r="E374" s="25"/>
      <c r="F374" s="25"/>
      <c r="G374" s="25"/>
      <c r="H374" s="25"/>
      <c r="I374" s="25"/>
      <c r="J374" s="25"/>
      <c r="K374" s="25"/>
      <c r="L374" s="25"/>
      <c r="M374" s="25"/>
      <c r="N374" s="25"/>
      <c r="O374" s="25"/>
      <c r="P374" s="25"/>
      <c r="R374" s="23"/>
      <c r="U374" s="11"/>
    </row>
    <row r="375" spans="1:21" ht="14.25" customHeight="1" x14ac:dyDescent="0.3">
      <c r="A375" s="484"/>
      <c r="C375" s="25"/>
      <c r="D375" s="25"/>
      <c r="E375" s="25"/>
      <c r="F375" s="25"/>
      <c r="G375" s="25"/>
      <c r="H375" s="25"/>
      <c r="I375" s="25"/>
      <c r="J375" s="25"/>
      <c r="K375" s="25"/>
      <c r="L375" s="25"/>
      <c r="M375" s="25"/>
      <c r="N375" s="25"/>
      <c r="O375" s="25"/>
      <c r="P375" s="25"/>
      <c r="R375" s="23"/>
      <c r="U375" s="11"/>
    </row>
    <row r="376" spans="1:21" ht="14.25" customHeight="1" x14ac:dyDescent="0.3">
      <c r="A376" s="484"/>
      <c r="C376" s="25"/>
      <c r="D376" s="25"/>
      <c r="E376" s="25"/>
      <c r="F376" s="25"/>
      <c r="G376" s="25"/>
      <c r="H376" s="25"/>
      <c r="I376" s="25"/>
      <c r="J376" s="25"/>
      <c r="K376" s="25"/>
      <c r="L376" s="25"/>
      <c r="M376" s="25"/>
      <c r="N376" s="25"/>
      <c r="O376" s="25"/>
      <c r="P376" s="25"/>
      <c r="R376" s="23"/>
      <c r="U376" s="11"/>
    </row>
    <row r="377" spans="1:21" ht="14.25" customHeight="1" x14ac:dyDescent="0.3">
      <c r="A377" s="484"/>
      <c r="C377" s="25"/>
      <c r="D377" s="25"/>
      <c r="E377" s="25"/>
      <c r="F377" s="25"/>
      <c r="G377" s="25"/>
      <c r="H377" s="25"/>
      <c r="I377" s="25"/>
      <c r="J377" s="25"/>
      <c r="K377" s="25"/>
      <c r="L377" s="25"/>
      <c r="M377" s="25"/>
      <c r="N377" s="25"/>
      <c r="O377" s="25"/>
      <c r="P377" s="25"/>
      <c r="R377" s="23"/>
      <c r="U377" s="11"/>
    </row>
    <row r="378" spans="1:21" ht="14.25" customHeight="1" x14ac:dyDescent="0.3">
      <c r="A378" s="484"/>
      <c r="C378" s="25"/>
      <c r="D378" s="25"/>
      <c r="E378" s="25"/>
      <c r="F378" s="25"/>
      <c r="G378" s="25"/>
      <c r="H378" s="25"/>
      <c r="I378" s="25"/>
      <c r="J378" s="25"/>
      <c r="K378" s="25"/>
      <c r="L378" s="25"/>
      <c r="M378" s="25"/>
      <c r="N378" s="25"/>
      <c r="O378" s="25"/>
      <c r="P378" s="25"/>
      <c r="R378" s="23"/>
      <c r="U378" s="11"/>
    </row>
    <row r="379" spans="1:21" ht="14.25" customHeight="1" x14ac:dyDescent="0.3">
      <c r="A379" s="484"/>
      <c r="C379" s="25"/>
      <c r="D379" s="25"/>
      <c r="E379" s="25"/>
      <c r="F379" s="25"/>
      <c r="G379" s="25"/>
      <c r="H379" s="25"/>
      <c r="I379" s="25"/>
      <c r="J379" s="25"/>
      <c r="K379" s="25"/>
      <c r="L379" s="25"/>
      <c r="M379" s="25"/>
      <c r="N379" s="25"/>
      <c r="O379" s="25"/>
      <c r="P379" s="25"/>
      <c r="R379" s="23"/>
      <c r="U379" s="11"/>
    </row>
    <row r="380" spans="1:21" ht="14.25" customHeight="1" x14ac:dyDescent="0.3">
      <c r="A380" s="484"/>
      <c r="C380" s="25"/>
      <c r="D380" s="25"/>
      <c r="E380" s="25"/>
      <c r="F380" s="25"/>
      <c r="G380" s="25"/>
      <c r="H380" s="25"/>
      <c r="I380" s="25"/>
      <c r="J380" s="25"/>
      <c r="K380" s="25"/>
      <c r="L380" s="25"/>
      <c r="M380" s="25"/>
      <c r="N380" s="25"/>
      <c r="O380" s="25"/>
      <c r="P380" s="25"/>
      <c r="R380" s="23"/>
      <c r="U380" s="11"/>
    </row>
    <row r="381" spans="1:21" ht="14.25" customHeight="1" x14ac:dyDescent="0.3">
      <c r="A381" s="484"/>
      <c r="C381" s="25"/>
      <c r="D381" s="25"/>
      <c r="E381" s="25"/>
      <c r="F381" s="25"/>
      <c r="G381" s="25"/>
      <c r="H381" s="25"/>
      <c r="I381" s="25"/>
      <c r="J381" s="25"/>
      <c r="K381" s="25"/>
      <c r="L381" s="25"/>
      <c r="M381" s="25"/>
      <c r="N381" s="25"/>
      <c r="O381" s="25"/>
      <c r="P381" s="25"/>
      <c r="R381" s="23"/>
      <c r="U381" s="11"/>
    </row>
    <row r="382" spans="1:21" ht="14.25" customHeight="1" x14ac:dyDescent="0.3">
      <c r="A382" s="484"/>
      <c r="C382" s="25"/>
      <c r="D382" s="25"/>
      <c r="E382" s="25"/>
      <c r="F382" s="25"/>
      <c r="G382" s="25"/>
      <c r="H382" s="25"/>
      <c r="I382" s="25"/>
      <c r="J382" s="25"/>
      <c r="K382" s="25"/>
      <c r="L382" s="25"/>
      <c r="M382" s="25"/>
      <c r="N382" s="25"/>
      <c r="O382" s="25"/>
      <c r="P382" s="25"/>
      <c r="R382" s="23"/>
      <c r="U382" s="11"/>
    </row>
    <row r="383" spans="1:21" ht="14.25" customHeight="1" x14ac:dyDescent="0.3">
      <c r="A383" s="484"/>
      <c r="C383" s="25"/>
      <c r="D383" s="25"/>
      <c r="E383" s="25"/>
      <c r="F383" s="25"/>
      <c r="G383" s="25"/>
      <c r="H383" s="25"/>
      <c r="I383" s="25"/>
      <c r="J383" s="25"/>
      <c r="K383" s="25"/>
      <c r="L383" s="25"/>
      <c r="M383" s="25"/>
      <c r="N383" s="25"/>
      <c r="O383" s="25"/>
      <c r="P383" s="25"/>
      <c r="R383" s="23"/>
      <c r="U383" s="11"/>
    </row>
    <row r="384" spans="1:21" ht="14.25" customHeight="1" x14ac:dyDescent="0.3">
      <c r="A384" s="484"/>
      <c r="C384" s="25"/>
      <c r="D384" s="25"/>
      <c r="E384" s="25"/>
      <c r="F384" s="25"/>
      <c r="G384" s="25"/>
      <c r="H384" s="25"/>
      <c r="I384" s="25"/>
      <c r="J384" s="25"/>
      <c r="K384" s="25"/>
      <c r="L384" s="25"/>
      <c r="M384" s="25"/>
      <c r="N384" s="25"/>
      <c r="O384" s="25"/>
      <c r="P384" s="25"/>
      <c r="R384" s="23"/>
      <c r="U384" s="11"/>
    </row>
    <row r="385" spans="1:21" ht="14.25" customHeight="1" x14ac:dyDescent="0.3">
      <c r="A385" s="484"/>
      <c r="C385" s="25"/>
      <c r="D385" s="25"/>
      <c r="E385" s="25"/>
      <c r="F385" s="25"/>
      <c r="G385" s="25"/>
      <c r="H385" s="25"/>
      <c r="I385" s="25"/>
      <c r="J385" s="25"/>
      <c r="K385" s="25"/>
      <c r="L385" s="25"/>
      <c r="M385" s="25"/>
      <c r="N385" s="25"/>
      <c r="O385" s="25"/>
      <c r="P385" s="25"/>
      <c r="R385" s="23"/>
      <c r="U385" s="11"/>
    </row>
    <row r="386" spans="1:21" ht="14.25" customHeight="1" x14ac:dyDescent="0.3">
      <c r="A386" s="484"/>
      <c r="C386" s="25"/>
      <c r="D386" s="25"/>
      <c r="E386" s="25"/>
      <c r="F386" s="25"/>
      <c r="G386" s="25"/>
      <c r="H386" s="25"/>
      <c r="I386" s="25"/>
      <c r="J386" s="25"/>
      <c r="K386" s="25"/>
      <c r="L386" s="25"/>
      <c r="M386" s="25"/>
      <c r="N386" s="25"/>
      <c r="O386" s="25"/>
      <c r="P386" s="25"/>
      <c r="R386" s="23"/>
      <c r="U386" s="11"/>
    </row>
    <row r="387" spans="1:21" ht="14.25" customHeight="1" x14ac:dyDescent="0.3">
      <c r="A387" s="484"/>
      <c r="C387" s="25"/>
      <c r="D387" s="25"/>
      <c r="E387" s="25"/>
      <c r="F387" s="25"/>
      <c r="G387" s="25"/>
      <c r="H387" s="25"/>
      <c r="I387" s="25"/>
      <c r="J387" s="25"/>
      <c r="K387" s="25"/>
      <c r="L387" s="25"/>
      <c r="M387" s="25"/>
      <c r="N387" s="25"/>
      <c r="O387" s="25"/>
      <c r="P387" s="25"/>
      <c r="R387" s="23"/>
      <c r="U387" s="11"/>
    </row>
    <row r="388" spans="1:21" ht="14.25" customHeight="1" x14ac:dyDescent="0.3">
      <c r="A388" s="484"/>
      <c r="C388" s="25"/>
      <c r="D388" s="25"/>
      <c r="E388" s="25"/>
      <c r="F388" s="25"/>
      <c r="G388" s="25"/>
      <c r="H388" s="25"/>
      <c r="I388" s="25"/>
      <c r="J388" s="25"/>
      <c r="K388" s="25"/>
      <c r="L388" s="25"/>
      <c r="M388" s="25"/>
      <c r="N388" s="25"/>
      <c r="O388" s="25"/>
      <c r="P388" s="25"/>
      <c r="R388" s="23"/>
      <c r="U388" s="11"/>
    </row>
    <row r="389" spans="1:21" ht="14.25" customHeight="1" x14ac:dyDescent="0.3">
      <c r="A389" s="484"/>
      <c r="C389" s="25"/>
      <c r="D389" s="25"/>
      <c r="E389" s="25"/>
      <c r="F389" s="25"/>
      <c r="G389" s="25"/>
      <c r="H389" s="25"/>
      <c r="I389" s="25"/>
      <c r="J389" s="25"/>
      <c r="K389" s="25"/>
      <c r="L389" s="25"/>
      <c r="M389" s="25"/>
      <c r="N389" s="25"/>
      <c r="O389" s="25"/>
      <c r="P389" s="25"/>
      <c r="R389" s="23"/>
      <c r="U389" s="11"/>
    </row>
    <row r="390" spans="1:21" ht="14.25" customHeight="1" x14ac:dyDescent="0.3">
      <c r="A390" s="484"/>
      <c r="C390" s="25"/>
      <c r="D390" s="25"/>
      <c r="E390" s="25"/>
      <c r="F390" s="25"/>
      <c r="G390" s="25"/>
      <c r="H390" s="25"/>
      <c r="I390" s="25"/>
      <c r="J390" s="25"/>
      <c r="K390" s="25"/>
      <c r="L390" s="25"/>
      <c r="M390" s="25"/>
      <c r="N390" s="25"/>
      <c r="O390" s="25"/>
      <c r="P390" s="25"/>
      <c r="R390" s="23"/>
      <c r="U390" s="11"/>
    </row>
    <row r="391" spans="1:21" ht="14.25" customHeight="1" x14ac:dyDescent="0.3">
      <c r="A391" s="484"/>
      <c r="C391" s="25"/>
      <c r="D391" s="25"/>
      <c r="E391" s="25"/>
      <c r="F391" s="25"/>
      <c r="G391" s="25"/>
      <c r="H391" s="25"/>
      <c r="I391" s="25"/>
      <c r="J391" s="25"/>
      <c r="K391" s="25"/>
      <c r="L391" s="25"/>
      <c r="M391" s="25"/>
      <c r="N391" s="25"/>
      <c r="O391" s="25"/>
      <c r="P391" s="25"/>
      <c r="R391" s="23"/>
      <c r="U391" s="11"/>
    </row>
    <row r="392" spans="1:21" ht="14.25" customHeight="1" x14ac:dyDescent="0.3">
      <c r="A392" s="484"/>
      <c r="C392" s="25"/>
      <c r="D392" s="25"/>
      <c r="E392" s="25"/>
      <c r="F392" s="25"/>
      <c r="G392" s="25"/>
      <c r="H392" s="25"/>
      <c r="I392" s="25"/>
      <c r="J392" s="25"/>
      <c r="K392" s="25"/>
      <c r="L392" s="25"/>
      <c r="M392" s="25"/>
      <c r="N392" s="25"/>
      <c r="O392" s="25"/>
      <c r="P392" s="25"/>
      <c r="R392" s="23"/>
      <c r="U392" s="11"/>
    </row>
    <row r="393" spans="1:21" ht="14.25" customHeight="1" x14ac:dyDescent="0.3">
      <c r="A393" s="484"/>
      <c r="C393" s="25"/>
      <c r="D393" s="25"/>
      <c r="E393" s="25"/>
      <c r="F393" s="25"/>
      <c r="G393" s="25"/>
      <c r="H393" s="25"/>
      <c r="I393" s="25"/>
      <c r="J393" s="25"/>
      <c r="K393" s="25"/>
      <c r="L393" s="25"/>
      <c r="M393" s="25"/>
      <c r="N393" s="25"/>
      <c r="O393" s="25"/>
      <c r="P393" s="25"/>
      <c r="R393" s="23"/>
      <c r="U393" s="11"/>
    </row>
    <row r="394" spans="1:21" ht="14.25" customHeight="1" x14ac:dyDescent="0.3">
      <c r="A394" s="484"/>
      <c r="C394" s="25"/>
      <c r="D394" s="25"/>
      <c r="E394" s="25"/>
      <c r="F394" s="25"/>
      <c r="G394" s="25"/>
      <c r="H394" s="25"/>
      <c r="I394" s="25"/>
      <c r="J394" s="25"/>
      <c r="K394" s="25"/>
      <c r="L394" s="25"/>
      <c r="M394" s="25"/>
      <c r="N394" s="25"/>
      <c r="O394" s="25"/>
      <c r="P394" s="25"/>
      <c r="R394" s="23"/>
      <c r="U394" s="11"/>
    </row>
    <row r="395" spans="1:21" ht="14.25" customHeight="1" x14ac:dyDescent="0.3">
      <c r="A395" s="484"/>
      <c r="C395" s="25"/>
      <c r="D395" s="25"/>
      <c r="E395" s="25"/>
      <c r="F395" s="25"/>
      <c r="G395" s="25"/>
      <c r="H395" s="25"/>
      <c r="I395" s="25"/>
      <c r="J395" s="25"/>
      <c r="K395" s="25"/>
      <c r="L395" s="25"/>
      <c r="M395" s="25"/>
      <c r="N395" s="25"/>
      <c r="O395" s="25"/>
      <c r="P395" s="25"/>
      <c r="R395" s="23"/>
      <c r="U395" s="11"/>
    </row>
    <row r="396" spans="1:21" ht="14.25" customHeight="1" x14ac:dyDescent="0.3">
      <c r="A396" s="484"/>
      <c r="C396" s="25"/>
      <c r="D396" s="25"/>
      <c r="E396" s="25"/>
      <c r="F396" s="25"/>
      <c r="G396" s="25"/>
      <c r="H396" s="25"/>
      <c r="I396" s="25"/>
      <c r="J396" s="25"/>
      <c r="K396" s="25"/>
      <c r="L396" s="25"/>
      <c r="M396" s="25"/>
      <c r="N396" s="25"/>
      <c r="O396" s="25"/>
      <c r="P396" s="25"/>
      <c r="R396" s="23"/>
      <c r="U396" s="11"/>
    </row>
    <row r="397" spans="1:21" ht="14.25" customHeight="1" x14ac:dyDescent="0.3">
      <c r="A397" s="484"/>
      <c r="C397" s="25"/>
      <c r="D397" s="25"/>
      <c r="E397" s="25"/>
      <c r="F397" s="25"/>
      <c r="G397" s="25"/>
      <c r="H397" s="25"/>
      <c r="I397" s="25"/>
      <c r="J397" s="25"/>
      <c r="K397" s="25"/>
      <c r="L397" s="25"/>
      <c r="M397" s="25"/>
      <c r="N397" s="25"/>
      <c r="O397" s="25"/>
      <c r="P397" s="25"/>
      <c r="R397" s="23"/>
      <c r="U397" s="11"/>
    </row>
    <row r="398" spans="1:21" ht="14.25" customHeight="1" x14ac:dyDescent="0.3">
      <c r="A398" s="484"/>
      <c r="C398" s="25"/>
      <c r="D398" s="25"/>
      <c r="E398" s="25"/>
      <c r="F398" s="25"/>
      <c r="G398" s="25"/>
      <c r="H398" s="25"/>
      <c r="I398" s="25"/>
      <c r="J398" s="25"/>
      <c r="K398" s="25"/>
      <c r="L398" s="25"/>
      <c r="M398" s="25"/>
      <c r="N398" s="25"/>
      <c r="O398" s="25"/>
      <c r="P398" s="25"/>
      <c r="R398" s="23"/>
      <c r="U398" s="11"/>
    </row>
    <row r="399" spans="1:21" ht="14.25" customHeight="1" x14ac:dyDescent="0.3">
      <c r="A399" s="484"/>
      <c r="C399" s="25"/>
      <c r="D399" s="25"/>
      <c r="E399" s="25"/>
      <c r="F399" s="25"/>
      <c r="G399" s="25"/>
      <c r="H399" s="25"/>
      <c r="I399" s="25"/>
      <c r="J399" s="25"/>
      <c r="K399" s="25"/>
      <c r="L399" s="25"/>
      <c r="M399" s="25"/>
      <c r="N399" s="25"/>
      <c r="O399" s="25"/>
      <c r="P399" s="25"/>
      <c r="R399" s="23"/>
      <c r="U399" s="11"/>
    </row>
    <row r="400" spans="1:21" ht="14.25" customHeight="1" x14ac:dyDescent="0.3">
      <c r="A400" s="484"/>
      <c r="C400" s="25"/>
      <c r="D400" s="25"/>
      <c r="E400" s="25"/>
      <c r="F400" s="25"/>
      <c r="G400" s="25"/>
      <c r="H400" s="25"/>
      <c r="I400" s="25"/>
      <c r="J400" s="25"/>
      <c r="K400" s="25"/>
      <c r="L400" s="25"/>
      <c r="M400" s="25"/>
      <c r="N400" s="25"/>
      <c r="O400" s="25"/>
      <c r="P400" s="25"/>
      <c r="R400" s="23"/>
      <c r="U400" s="11"/>
    </row>
    <row r="401" spans="1:21" ht="14.25" customHeight="1" x14ac:dyDescent="0.3">
      <c r="A401" s="484"/>
      <c r="C401" s="25"/>
      <c r="D401" s="25"/>
      <c r="E401" s="25"/>
      <c r="F401" s="25"/>
      <c r="G401" s="25"/>
      <c r="H401" s="25"/>
      <c r="I401" s="25"/>
      <c r="J401" s="25"/>
      <c r="K401" s="25"/>
      <c r="L401" s="25"/>
      <c r="M401" s="25"/>
      <c r="N401" s="25"/>
      <c r="O401" s="25"/>
      <c r="P401" s="25"/>
      <c r="R401" s="23"/>
      <c r="U401" s="11"/>
    </row>
    <row r="402" spans="1:21" ht="14.25" customHeight="1" x14ac:dyDescent="0.3">
      <c r="A402" s="484"/>
      <c r="C402" s="25"/>
      <c r="D402" s="25"/>
      <c r="E402" s="25"/>
      <c r="F402" s="25"/>
      <c r="G402" s="25"/>
      <c r="H402" s="25"/>
      <c r="I402" s="25"/>
      <c r="J402" s="25"/>
      <c r="K402" s="25"/>
      <c r="L402" s="25"/>
      <c r="M402" s="25"/>
      <c r="N402" s="25"/>
      <c r="O402" s="25"/>
      <c r="P402" s="25"/>
      <c r="R402" s="23"/>
      <c r="U402" s="11"/>
    </row>
    <row r="403" spans="1:21" ht="14.25" customHeight="1" x14ac:dyDescent="0.3">
      <c r="A403" s="484"/>
      <c r="C403" s="25"/>
      <c r="D403" s="25"/>
      <c r="E403" s="25"/>
      <c r="F403" s="25"/>
      <c r="G403" s="25"/>
      <c r="H403" s="25"/>
      <c r="I403" s="25"/>
      <c r="J403" s="25"/>
      <c r="K403" s="25"/>
      <c r="L403" s="25"/>
      <c r="M403" s="25"/>
      <c r="N403" s="25"/>
      <c r="O403" s="25"/>
      <c r="P403" s="25"/>
      <c r="R403" s="23"/>
      <c r="U403" s="11"/>
    </row>
    <row r="404" spans="1:21" ht="14.25" customHeight="1" x14ac:dyDescent="0.3">
      <c r="A404" s="484"/>
      <c r="C404" s="25"/>
      <c r="D404" s="25"/>
      <c r="E404" s="25"/>
      <c r="F404" s="25"/>
      <c r="G404" s="25"/>
      <c r="H404" s="25"/>
      <c r="I404" s="25"/>
      <c r="J404" s="25"/>
      <c r="K404" s="25"/>
      <c r="L404" s="25"/>
      <c r="M404" s="25"/>
      <c r="N404" s="25"/>
      <c r="O404" s="25"/>
      <c r="P404" s="25"/>
      <c r="R404" s="23"/>
      <c r="U404" s="11"/>
    </row>
    <row r="405" spans="1:21" ht="14.25" customHeight="1" x14ac:dyDescent="0.3">
      <c r="A405" s="484"/>
      <c r="C405" s="25"/>
      <c r="D405" s="25"/>
      <c r="E405" s="25"/>
      <c r="F405" s="25"/>
      <c r="G405" s="25"/>
      <c r="H405" s="25"/>
      <c r="I405" s="25"/>
      <c r="J405" s="25"/>
      <c r="K405" s="25"/>
      <c r="L405" s="25"/>
      <c r="M405" s="25"/>
      <c r="N405" s="25"/>
      <c r="O405" s="25"/>
      <c r="P405" s="25"/>
      <c r="R405" s="23"/>
      <c r="U405" s="11"/>
    </row>
    <row r="406" spans="1:21" ht="14.25" customHeight="1" x14ac:dyDescent="0.3">
      <c r="A406" s="484"/>
      <c r="C406" s="25"/>
      <c r="D406" s="25"/>
      <c r="E406" s="25"/>
      <c r="F406" s="25"/>
      <c r="G406" s="25"/>
      <c r="H406" s="25"/>
      <c r="I406" s="25"/>
      <c r="J406" s="25"/>
      <c r="K406" s="25"/>
      <c r="L406" s="25"/>
      <c r="M406" s="25"/>
      <c r="N406" s="25"/>
      <c r="O406" s="25"/>
      <c r="P406" s="25"/>
      <c r="R406" s="23"/>
      <c r="U406" s="11"/>
    </row>
    <row r="407" spans="1:21" ht="14.25" customHeight="1" x14ac:dyDescent="0.3">
      <c r="A407" s="484"/>
      <c r="C407" s="25"/>
      <c r="D407" s="25"/>
      <c r="E407" s="25"/>
      <c r="F407" s="25"/>
      <c r="G407" s="25"/>
      <c r="H407" s="25"/>
      <c r="I407" s="25"/>
      <c r="J407" s="25"/>
      <c r="K407" s="25"/>
      <c r="L407" s="25"/>
      <c r="M407" s="25"/>
      <c r="N407" s="25"/>
      <c r="O407" s="25"/>
      <c r="P407" s="25"/>
      <c r="R407" s="23"/>
      <c r="U407" s="11"/>
    </row>
    <row r="408" spans="1:21" ht="14.25" customHeight="1" x14ac:dyDescent="0.3">
      <c r="A408" s="484"/>
      <c r="C408" s="25"/>
      <c r="D408" s="25"/>
      <c r="E408" s="25"/>
      <c r="F408" s="25"/>
      <c r="G408" s="25"/>
      <c r="H408" s="25"/>
      <c r="I408" s="25"/>
      <c r="J408" s="25"/>
      <c r="K408" s="25"/>
      <c r="L408" s="25"/>
      <c r="M408" s="25"/>
      <c r="N408" s="25"/>
      <c r="O408" s="25"/>
      <c r="P408" s="25"/>
      <c r="R408" s="23"/>
      <c r="U408" s="11"/>
    </row>
    <row r="409" spans="1:21" ht="14.25" customHeight="1" x14ac:dyDescent="0.3">
      <c r="A409" s="484"/>
      <c r="C409" s="25"/>
      <c r="D409" s="25"/>
      <c r="E409" s="25"/>
      <c r="F409" s="25"/>
      <c r="G409" s="25"/>
      <c r="H409" s="25"/>
      <c r="I409" s="25"/>
      <c r="J409" s="25"/>
      <c r="K409" s="25"/>
      <c r="L409" s="25"/>
      <c r="M409" s="25"/>
      <c r="N409" s="25"/>
      <c r="O409" s="25"/>
      <c r="P409" s="25"/>
      <c r="R409" s="23"/>
      <c r="U409" s="11"/>
    </row>
    <row r="410" spans="1:21" ht="14.25" customHeight="1" x14ac:dyDescent="0.3">
      <c r="A410" s="484"/>
      <c r="C410" s="25"/>
      <c r="D410" s="25"/>
      <c r="E410" s="25"/>
      <c r="F410" s="25"/>
      <c r="G410" s="25"/>
      <c r="H410" s="25"/>
      <c r="I410" s="25"/>
      <c r="J410" s="25"/>
      <c r="K410" s="25"/>
      <c r="L410" s="25"/>
      <c r="M410" s="25"/>
      <c r="N410" s="25"/>
      <c r="O410" s="25"/>
      <c r="P410" s="25"/>
      <c r="R410" s="23"/>
      <c r="U410" s="11"/>
    </row>
    <row r="411" spans="1:21" ht="14.25" customHeight="1" x14ac:dyDescent="0.3">
      <c r="A411" s="484"/>
      <c r="C411" s="25"/>
      <c r="D411" s="25"/>
      <c r="E411" s="25"/>
      <c r="F411" s="25"/>
      <c r="G411" s="25"/>
      <c r="H411" s="25"/>
      <c r="I411" s="25"/>
      <c r="J411" s="25"/>
      <c r="K411" s="25"/>
      <c r="L411" s="25"/>
      <c r="M411" s="25"/>
      <c r="N411" s="25"/>
      <c r="O411" s="25"/>
      <c r="P411" s="25"/>
      <c r="R411" s="23"/>
      <c r="U411" s="11"/>
    </row>
    <row r="412" spans="1:21" ht="14.25" customHeight="1" x14ac:dyDescent="0.3">
      <c r="A412" s="484"/>
      <c r="C412" s="25"/>
      <c r="D412" s="25"/>
      <c r="E412" s="25"/>
      <c r="F412" s="25"/>
      <c r="G412" s="25"/>
      <c r="H412" s="25"/>
      <c r="I412" s="25"/>
      <c r="J412" s="25"/>
      <c r="K412" s="25"/>
      <c r="L412" s="25"/>
      <c r="M412" s="25"/>
      <c r="N412" s="25"/>
      <c r="O412" s="25"/>
      <c r="P412" s="25"/>
      <c r="R412" s="23"/>
      <c r="U412" s="11"/>
    </row>
    <row r="413" spans="1:21" ht="14.25" customHeight="1" x14ac:dyDescent="0.3">
      <c r="A413" s="484"/>
      <c r="C413" s="25"/>
      <c r="D413" s="25"/>
      <c r="E413" s="25"/>
      <c r="F413" s="25"/>
      <c r="G413" s="25"/>
      <c r="H413" s="25"/>
      <c r="I413" s="25"/>
      <c r="J413" s="25"/>
      <c r="K413" s="25"/>
      <c r="L413" s="25"/>
      <c r="M413" s="25"/>
      <c r="N413" s="25"/>
      <c r="O413" s="25"/>
      <c r="P413" s="25"/>
      <c r="R413" s="23"/>
      <c r="U413" s="11"/>
    </row>
    <row r="414" spans="1:21" ht="14.25" customHeight="1" x14ac:dyDescent="0.3">
      <c r="A414" s="484"/>
      <c r="C414" s="25"/>
      <c r="D414" s="25"/>
      <c r="E414" s="25"/>
      <c r="F414" s="25"/>
      <c r="G414" s="25"/>
      <c r="H414" s="25"/>
      <c r="I414" s="25"/>
      <c r="J414" s="25"/>
      <c r="K414" s="25"/>
      <c r="L414" s="25"/>
      <c r="M414" s="25"/>
      <c r="N414" s="25"/>
      <c r="O414" s="25"/>
      <c r="P414" s="25"/>
      <c r="R414" s="23"/>
      <c r="U414" s="11"/>
    </row>
    <row r="415" spans="1:21" ht="14.25" customHeight="1" x14ac:dyDescent="0.3">
      <c r="A415" s="484"/>
      <c r="C415" s="25"/>
      <c r="D415" s="25"/>
      <c r="E415" s="25"/>
      <c r="F415" s="25"/>
      <c r="G415" s="25"/>
      <c r="H415" s="25"/>
      <c r="I415" s="25"/>
      <c r="J415" s="25"/>
      <c r="K415" s="25"/>
      <c r="L415" s="25"/>
      <c r="M415" s="25"/>
      <c r="N415" s="25"/>
      <c r="O415" s="25"/>
      <c r="P415" s="25"/>
      <c r="R415" s="23"/>
      <c r="U415" s="11"/>
    </row>
    <row r="416" spans="1:21" ht="14.25" customHeight="1" x14ac:dyDescent="0.3">
      <c r="A416" s="484"/>
      <c r="C416" s="25"/>
      <c r="D416" s="25"/>
      <c r="E416" s="25"/>
      <c r="F416" s="25"/>
      <c r="G416" s="25"/>
      <c r="H416" s="25"/>
      <c r="I416" s="25"/>
      <c r="J416" s="25"/>
      <c r="K416" s="25"/>
      <c r="L416" s="25"/>
      <c r="M416" s="25"/>
      <c r="N416" s="25"/>
      <c r="O416" s="25"/>
      <c r="P416" s="25"/>
      <c r="R416" s="23"/>
      <c r="U416" s="11"/>
    </row>
    <row r="417" spans="1:21" ht="14.25" customHeight="1" x14ac:dyDescent="0.3">
      <c r="A417" s="484"/>
      <c r="C417" s="25"/>
      <c r="D417" s="25"/>
      <c r="E417" s="25"/>
      <c r="F417" s="25"/>
      <c r="G417" s="25"/>
      <c r="H417" s="25"/>
      <c r="I417" s="25"/>
      <c r="J417" s="25"/>
      <c r="K417" s="25"/>
      <c r="L417" s="25"/>
      <c r="M417" s="25"/>
      <c r="N417" s="25"/>
      <c r="O417" s="25"/>
      <c r="P417" s="25"/>
      <c r="R417" s="23"/>
      <c r="U417" s="11"/>
    </row>
    <row r="418" spans="1:21" ht="14.25" customHeight="1" x14ac:dyDescent="0.3">
      <c r="A418" s="484"/>
      <c r="C418" s="25"/>
      <c r="D418" s="25"/>
      <c r="E418" s="25"/>
      <c r="F418" s="25"/>
      <c r="G418" s="25"/>
      <c r="H418" s="25"/>
      <c r="I418" s="25"/>
      <c r="J418" s="25"/>
      <c r="K418" s="25"/>
      <c r="L418" s="25"/>
      <c r="M418" s="25"/>
      <c r="N418" s="25"/>
      <c r="O418" s="25"/>
      <c r="P418" s="25"/>
      <c r="R418" s="23"/>
      <c r="U418" s="11"/>
    </row>
    <row r="419" spans="1:21" ht="14.25" customHeight="1" x14ac:dyDescent="0.3">
      <c r="A419" s="484"/>
      <c r="C419" s="25"/>
      <c r="D419" s="25"/>
      <c r="E419" s="25"/>
      <c r="F419" s="25"/>
      <c r="G419" s="25"/>
      <c r="H419" s="25"/>
      <c r="I419" s="25"/>
      <c r="J419" s="25"/>
      <c r="K419" s="25"/>
      <c r="L419" s="25"/>
      <c r="M419" s="25"/>
      <c r="N419" s="25"/>
      <c r="O419" s="25"/>
      <c r="P419" s="25"/>
      <c r="R419" s="23"/>
      <c r="U419" s="11"/>
    </row>
    <row r="420" spans="1:21" ht="14.25" customHeight="1" x14ac:dyDescent="0.3">
      <c r="A420" s="484"/>
      <c r="C420" s="25"/>
      <c r="D420" s="25"/>
      <c r="E420" s="25"/>
      <c r="F420" s="25"/>
      <c r="G420" s="25"/>
      <c r="H420" s="25"/>
      <c r="I420" s="25"/>
      <c r="J420" s="25"/>
      <c r="K420" s="25"/>
      <c r="L420" s="25"/>
      <c r="M420" s="25"/>
      <c r="N420" s="25"/>
      <c r="O420" s="25"/>
      <c r="P420" s="25"/>
      <c r="R420" s="23"/>
      <c r="U420" s="11"/>
    </row>
    <row r="421" spans="1:21" ht="14.25" customHeight="1" x14ac:dyDescent="0.3">
      <c r="A421" s="484"/>
      <c r="C421" s="25"/>
      <c r="D421" s="25"/>
      <c r="E421" s="25"/>
      <c r="F421" s="25"/>
      <c r="G421" s="25"/>
      <c r="H421" s="25"/>
      <c r="I421" s="25"/>
      <c r="J421" s="25"/>
      <c r="K421" s="25"/>
      <c r="L421" s="25"/>
      <c r="M421" s="25"/>
      <c r="N421" s="25"/>
      <c r="O421" s="25"/>
      <c r="P421" s="25"/>
      <c r="R421" s="23"/>
      <c r="U421" s="11"/>
    </row>
    <row r="422" spans="1:21" ht="14.25" customHeight="1" x14ac:dyDescent="0.3">
      <c r="A422" s="484"/>
      <c r="C422" s="25"/>
      <c r="D422" s="25"/>
      <c r="E422" s="25"/>
      <c r="F422" s="25"/>
      <c r="G422" s="25"/>
      <c r="H422" s="25"/>
      <c r="I422" s="25"/>
      <c r="J422" s="25"/>
      <c r="K422" s="25"/>
      <c r="L422" s="25"/>
      <c r="M422" s="25"/>
      <c r="N422" s="25"/>
      <c r="O422" s="25"/>
      <c r="P422" s="25"/>
      <c r="R422" s="23"/>
      <c r="U422" s="11"/>
    </row>
    <row r="423" spans="1:21" ht="14.25" customHeight="1" x14ac:dyDescent="0.3">
      <c r="A423" s="484"/>
      <c r="C423" s="25"/>
      <c r="D423" s="25"/>
      <c r="E423" s="25"/>
      <c r="F423" s="25"/>
      <c r="G423" s="25"/>
      <c r="H423" s="25"/>
      <c r="I423" s="25"/>
      <c r="J423" s="25"/>
      <c r="K423" s="25"/>
      <c r="L423" s="25"/>
      <c r="M423" s="25"/>
      <c r="N423" s="25"/>
      <c r="O423" s="25"/>
      <c r="P423" s="25"/>
      <c r="R423" s="23"/>
      <c r="U423" s="11"/>
    </row>
    <row r="424" spans="1:21" ht="14.25" customHeight="1" x14ac:dyDescent="0.3">
      <c r="A424" s="484"/>
      <c r="C424" s="25"/>
      <c r="D424" s="25"/>
      <c r="E424" s="25"/>
      <c r="F424" s="25"/>
      <c r="G424" s="25"/>
      <c r="H424" s="25"/>
      <c r="I424" s="25"/>
      <c r="J424" s="25"/>
      <c r="K424" s="25"/>
      <c r="L424" s="25"/>
      <c r="M424" s="25"/>
      <c r="N424" s="25"/>
      <c r="O424" s="25"/>
      <c r="P424" s="25"/>
      <c r="R424" s="23"/>
      <c r="U424" s="11"/>
    </row>
    <row r="425" spans="1:21" ht="14.25" customHeight="1" x14ac:dyDescent="0.3">
      <c r="A425" s="484"/>
      <c r="C425" s="25"/>
      <c r="D425" s="25"/>
      <c r="E425" s="25"/>
      <c r="F425" s="25"/>
      <c r="G425" s="25"/>
      <c r="H425" s="25"/>
      <c r="I425" s="25"/>
      <c r="J425" s="25"/>
      <c r="K425" s="25"/>
      <c r="L425" s="25"/>
      <c r="M425" s="25"/>
      <c r="N425" s="25"/>
      <c r="O425" s="25"/>
      <c r="P425" s="25"/>
      <c r="R425" s="23"/>
      <c r="U425" s="11"/>
    </row>
    <row r="426" spans="1:21" ht="14.25" customHeight="1" x14ac:dyDescent="0.3">
      <c r="A426" s="484"/>
      <c r="C426" s="25"/>
      <c r="D426" s="25"/>
      <c r="E426" s="25"/>
      <c r="F426" s="25"/>
      <c r="G426" s="25"/>
      <c r="H426" s="25"/>
      <c r="I426" s="25"/>
      <c r="J426" s="25"/>
      <c r="K426" s="25"/>
      <c r="L426" s="25"/>
      <c r="M426" s="25"/>
      <c r="N426" s="25"/>
      <c r="O426" s="25"/>
      <c r="P426" s="25"/>
      <c r="R426" s="23"/>
      <c r="U426" s="11"/>
    </row>
    <row r="427" spans="1:21" ht="14.25" customHeight="1" x14ac:dyDescent="0.3">
      <c r="A427" s="484"/>
      <c r="C427" s="25"/>
      <c r="D427" s="25"/>
      <c r="E427" s="25"/>
      <c r="F427" s="25"/>
      <c r="G427" s="25"/>
      <c r="H427" s="25"/>
      <c r="I427" s="25"/>
      <c r="J427" s="25"/>
      <c r="K427" s="25"/>
      <c r="L427" s="25"/>
      <c r="M427" s="25"/>
      <c r="N427" s="25"/>
      <c r="O427" s="25"/>
      <c r="P427" s="25"/>
      <c r="R427" s="23"/>
      <c r="U427" s="11"/>
    </row>
    <row r="428" spans="1:21" ht="14.25" customHeight="1" x14ac:dyDescent="0.3">
      <c r="A428" s="484"/>
      <c r="C428" s="25"/>
      <c r="D428" s="25"/>
      <c r="E428" s="25"/>
      <c r="F428" s="25"/>
      <c r="G428" s="25"/>
      <c r="H428" s="25"/>
      <c r="I428" s="25"/>
      <c r="J428" s="25"/>
      <c r="K428" s="25"/>
      <c r="L428" s="25"/>
      <c r="M428" s="25"/>
      <c r="N428" s="25"/>
      <c r="O428" s="25"/>
      <c r="P428" s="25"/>
      <c r="R428" s="23"/>
      <c r="U428" s="11"/>
    </row>
    <row r="429" spans="1:21" ht="14.25" customHeight="1" x14ac:dyDescent="0.3">
      <c r="A429" s="484"/>
      <c r="C429" s="25"/>
      <c r="D429" s="25"/>
      <c r="E429" s="25"/>
      <c r="F429" s="25"/>
      <c r="G429" s="25"/>
      <c r="H429" s="25"/>
      <c r="I429" s="25"/>
      <c r="J429" s="25"/>
      <c r="K429" s="25"/>
      <c r="L429" s="25"/>
      <c r="M429" s="25"/>
      <c r="N429" s="25"/>
      <c r="O429" s="25"/>
      <c r="P429" s="25"/>
      <c r="R429" s="23"/>
      <c r="U429" s="11"/>
    </row>
    <row r="430" spans="1:21" ht="14.25" customHeight="1" x14ac:dyDescent="0.3">
      <c r="A430" s="484"/>
      <c r="C430" s="25"/>
      <c r="D430" s="25"/>
      <c r="E430" s="25"/>
      <c r="F430" s="25"/>
      <c r="G430" s="25"/>
      <c r="H430" s="25"/>
      <c r="I430" s="25"/>
      <c r="J430" s="25"/>
      <c r="K430" s="25"/>
      <c r="L430" s="25"/>
      <c r="M430" s="25"/>
      <c r="N430" s="25"/>
      <c r="O430" s="25"/>
      <c r="P430" s="25"/>
      <c r="R430" s="23"/>
      <c r="U430" s="11"/>
    </row>
    <row r="431" spans="1:21" ht="14.25" customHeight="1" x14ac:dyDescent="0.3">
      <c r="A431" s="484"/>
      <c r="C431" s="25"/>
      <c r="D431" s="25"/>
      <c r="E431" s="25"/>
      <c r="F431" s="25"/>
      <c r="G431" s="25"/>
      <c r="H431" s="25"/>
      <c r="I431" s="25"/>
      <c r="J431" s="25"/>
      <c r="K431" s="25"/>
      <c r="L431" s="25"/>
      <c r="M431" s="25"/>
      <c r="N431" s="25"/>
      <c r="O431" s="25"/>
      <c r="P431" s="25"/>
      <c r="R431" s="23"/>
      <c r="U431" s="11"/>
    </row>
    <row r="432" spans="1:21" ht="14.25" customHeight="1" x14ac:dyDescent="0.3">
      <c r="A432" s="484"/>
      <c r="C432" s="25"/>
      <c r="D432" s="25"/>
      <c r="E432" s="25"/>
      <c r="F432" s="25"/>
      <c r="G432" s="25"/>
      <c r="H432" s="25"/>
      <c r="I432" s="25"/>
      <c r="J432" s="25"/>
      <c r="K432" s="25"/>
      <c r="L432" s="25"/>
      <c r="M432" s="25"/>
      <c r="N432" s="25"/>
      <c r="O432" s="25"/>
      <c r="P432" s="25"/>
      <c r="R432" s="23"/>
      <c r="U432" s="11"/>
    </row>
    <row r="433" spans="1:21" ht="14.25" customHeight="1" x14ac:dyDescent="0.3">
      <c r="A433" s="484"/>
      <c r="C433" s="25"/>
      <c r="D433" s="25"/>
      <c r="E433" s="25"/>
      <c r="F433" s="25"/>
      <c r="G433" s="25"/>
      <c r="H433" s="25"/>
      <c r="I433" s="25"/>
      <c r="J433" s="25"/>
      <c r="K433" s="25"/>
      <c r="L433" s="25"/>
      <c r="M433" s="25"/>
      <c r="N433" s="25"/>
      <c r="O433" s="25"/>
      <c r="P433" s="25"/>
      <c r="R433" s="23"/>
      <c r="U433" s="11"/>
    </row>
    <row r="434" spans="1:21" ht="14.25" customHeight="1" x14ac:dyDescent="0.3">
      <c r="A434" s="484"/>
      <c r="C434" s="25"/>
      <c r="D434" s="25"/>
      <c r="E434" s="25"/>
      <c r="F434" s="25"/>
      <c r="G434" s="25"/>
      <c r="H434" s="25"/>
      <c r="I434" s="25"/>
      <c r="J434" s="25"/>
      <c r="K434" s="25"/>
      <c r="L434" s="25"/>
      <c r="M434" s="25"/>
      <c r="N434" s="25"/>
      <c r="O434" s="25"/>
      <c r="P434" s="25"/>
      <c r="R434" s="23"/>
      <c r="U434" s="11"/>
    </row>
    <row r="435" spans="1:21" ht="14.25" customHeight="1" x14ac:dyDescent="0.3">
      <c r="A435" s="484"/>
      <c r="C435" s="25"/>
      <c r="D435" s="25"/>
      <c r="E435" s="25"/>
      <c r="F435" s="25"/>
      <c r="G435" s="25"/>
      <c r="H435" s="25"/>
      <c r="I435" s="25"/>
      <c r="J435" s="25"/>
      <c r="K435" s="25"/>
      <c r="L435" s="25"/>
      <c r="M435" s="25"/>
      <c r="N435" s="25"/>
      <c r="O435" s="25"/>
      <c r="P435" s="25"/>
      <c r="R435" s="23"/>
      <c r="U435" s="11"/>
    </row>
    <row r="436" spans="1:21" ht="14.25" customHeight="1" x14ac:dyDescent="0.3">
      <c r="A436" s="484"/>
      <c r="C436" s="25"/>
      <c r="D436" s="25"/>
      <c r="E436" s="25"/>
      <c r="F436" s="25"/>
      <c r="G436" s="25"/>
      <c r="H436" s="25"/>
      <c r="I436" s="25"/>
      <c r="J436" s="25"/>
      <c r="K436" s="25"/>
      <c r="L436" s="25"/>
      <c r="M436" s="25"/>
      <c r="N436" s="25"/>
      <c r="O436" s="25"/>
      <c r="P436" s="25"/>
      <c r="R436" s="23"/>
      <c r="U436" s="11"/>
    </row>
    <row r="437" spans="1:21" ht="14.25" customHeight="1" x14ac:dyDescent="0.3">
      <c r="A437" s="484"/>
      <c r="C437" s="25"/>
      <c r="D437" s="25"/>
      <c r="E437" s="25"/>
      <c r="F437" s="25"/>
      <c r="G437" s="25"/>
      <c r="H437" s="25"/>
      <c r="I437" s="25"/>
      <c r="J437" s="25"/>
      <c r="K437" s="25"/>
      <c r="L437" s="25"/>
      <c r="M437" s="25"/>
      <c r="N437" s="25"/>
      <c r="O437" s="25"/>
      <c r="P437" s="25"/>
      <c r="R437" s="23"/>
      <c r="U437" s="11"/>
    </row>
    <row r="438" spans="1:21" ht="14.25" customHeight="1" x14ac:dyDescent="0.3">
      <c r="A438" s="484"/>
      <c r="C438" s="25"/>
      <c r="D438" s="25"/>
      <c r="E438" s="25"/>
      <c r="F438" s="25"/>
      <c r="G438" s="25"/>
      <c r="H438" s="25"/>
      <c r="I438" s="25"/>
      <c r="J438" s="25"/>
      <c r="K438" s="25"/>
      <c r="L438" s="25"/>
      <c r="M438" s="25"/>
      <c r="N438" s="25"/>
      <c r="O438" s="25"/>
      <c r="P438" s="25"/>
      <c r="R438" s="23"/>
      <c r="U438" s="11"/>
    </row>
    <row r="439" spans="1:21" ht="14.25" customHeight="1" x14ac:dyDescent="0.3">
      <c r="A439" s="484"/>
      <c r="C439" s="25"/>
      <c r="D439" s="25"/>
      <c r="E439" s="25"/>
      <c r="F439" s="25"/>
      <c r="G439" s="25"/>
      <c r="H439" s="25"/>
      <c r="I439" s="25"/>
      <c r="J439" s="25"/>
      <c r="K439" s="25"/>
      <c r="L439" s="25"/>
      <c r="M439" s="25"/>
      <c r="N439" s="25"/>
      <c r="O439" s="25"/>
      <c r="P439" s="25"/>
      <c r="R439" s="23"/>
      <c r="U439" s="11"/>
    </row>
    <row r="440" spans="1:21" ht="14.25" customHeight="1" x14ac:dyDescent="0.3">
      <c r="A440" s="484"/>
      <c r="C440" s="25"/>
      <c r="D440" s="25"/>
      <c r="E440" s="25"/>
      <c r="F440" s="25"/>
      <c r="G440" s="25"/>
      <c r="H440" s="25"/>
      <c r="I440" s="25"/>
      <c r="J440" s="25"/>
      <c r="K440" s="25"/>
      <c r="L440" s="25"/>
      <c r="M440" s="25"/>
      <c r="N440" s="25"/>
      <c r="O440" s="25"/>
      <c r="P440" s="25"/>
      <c r="R440" s="23"/>
      <c r="U440" s="11"/>
    </row>
    <row r="441" spans="1:21" ht="14.25" customHeight="1" x14ac:dyDescent="0.3">
      <c r="A441" s="484"/>
      <c r="C441" s="25"/>
      <c r="D441" s="25"/>
      <c r="E441" s="25"/>
      <c r="F441" s="25"/>
      <c r="G441" s="25"/>
      <c r="H441" s="25"/>
      <c r="I441" s="25"/>
      <c r="J441" s="25"/>
      <c r="K441" s="25"/>
      <c r="L441" s="25"/>
      <c r="M441" s="25"/>
      <c r="N441" s="25"/>
      <c r="O441" s="25"/>
      <c r="P441" s="25"/>
      <c r="R441" s="23"/>
      <c r="U441" s="11"/>
    </row>
    <row r="442" spans="1:21" ht="14.25" customHeight="1" x14ac:dyDescent="0.3">
      <c r="A442" s="484"/>
      <c r="C442" s="25"/>
      <c r="D442" s="25"/>
      <c r="E442" s="25"/>
      <c r="F442" s="25"/>
      <c r="G442" s="25"/>
      <c r="H442" s="25"/>
      <c r="I442" s="25"/>
      <c r="J442" s="25"/>
      <c r="K442" s="25"/>
      <c r="L442" s="25"/>
      <c r="M442" s="25"/>
      <c r="N442" s="25"/>
      <c r="O442" s="25"/>
      <c r="P442" s="25"/>
      <c r="R442" s="23"/>
      <c r="U442" s="11"/>
    </row>
    <row r="443" spans="1:21" ht="14.25" customHeight="1" x14ac:dyDescent="0.3">
      <c r="A443" s="484"/>
      <c r="C443" s="25"/>
      <c r="D443" s="25"/>
      <c r="E443" s="25"/>
      <c r="F443" s="25"/>
      <c r="G443" s="25"/>
      <c r="H443" s="25"/>
      <c r="I443" s="25"/>
      <c r="J443" s="25"/>
      <c r="K443" s="25"/>
      <c r="L443" s="25"/>
      <c r="M443" s="25"/>
      <c r="N443" s="25"/>
      <c r="O443" s="25"/>
      <c r="P443" s="25"/>
      <c r="R443" s="23"/>
      <c r="U443" s="11"/>
    </row>
    <row r="444" spans="1:21" ht="14.25" customHeight="1" x14ac:dyDescent="0.3">
      <c r="A444" s="484"/>
      <c r="C444" s="25"/>
      <c r="D444" s="25"/>
      <c r="E444" s="25"/>
      <c r="F444" s="25"/>
      <c r="G444" s="25"/>
      <c r="H444" s="25"/>
      <c r="I444" s="25"/>
      <c r="J444" s="25"/>
      <c r="K444" s="25"/>
      <c r="L444" s="25"/>
      <c r="M444" s="25"/>
      <c r="N444" s="25"/>
      <c r="O444" s="25"/>
      <c r="P444" s="25"/>
      <c r="R444" s="23"/>
      <c r="U444" s="11"/>
    </row>
    <row r="445" spans="1:21" ht="14.25" customHeight="1" x14ac:dyDescent="0.3">
      <c r="A445" s="484"/>
      <c r="C445" s="25"/>
      <c r="D445" s="25"/>
      <c r="E445" s="25"/>
      <c r="F445" s="25"/>
      <c r="G445" s="25"/>
      <c r="H445" s="25"/>
      <c r="I445" s="25"/>
      <c r="J445" s="25"/>
      <c r="K445" s="25"/>
      <c r="L445" s="25"/>
      <c r="M445" s="25"/>
      <c r="N445" s="25"/>
      <c r="O445" s="25"/>
      <c r="P445" s="25"/>
      <c r="R445" s="23"/>
      <c r="U445" s="11"/>
    </row>
    <row r="446" spans="1:21" ht="14.25" customHeight="1" x14ac:dyDescent="0.3">
      <c r="A446" s="484"/>
      <c r="C446" s="25"/>
      <c r="D446" s="25"/>
      <c r="E446" s="25"/>
      <c r="F446" s="25"/>
      <c r="G446" s="25"/>
      <c r="H446" s="25"/>
      <c r="I446" s="25"/>
      <c r="J446" s="25"/>
      <c r="K446" s="25"/>
      <c r="L446" s="25"/>
      <c r="M446" s="25"/>
      <c r="N446" s="25"/>
      <c r="O446" s="25"/>
      <c r="P446" s="25"/>
      <c r="R446" s="23"/>
      <c r="U446" s="11"/>
    </row>
    <row r="447" spans="1:21" ht="14.25" customHeight="1" x14ac:dyDescent="0.3">
      <c r="A447" s="484"/>
      <c r="C447" s="25"/>
      <c r="D447" s="25"/>
      <c r="E447" s="25"/>
      <c r="F447" s="25"/>
      <c r="G447" s="25"/>
      <c r="H447" s="25"/>
      <c r="I447" s="25"/>
      <c r="J447" s="25"/>
      <c r="K447" s="25"/>
      <c r="L447" s="25"/>
      <c r="M447" s="25"/>
      <c r="N447" s="25"/>
      <c r="O447" s="25"/>
      <c r="P447" s="25"/>
      <c r="R447" s="23"/>
      <c r="U447" s="11"/>
    </row>
    <row r="448" spans="1:21" ht="14.25" customHeight="1" x14ac:dyDescent="0.3">
      <c r="A448" s="484"/>
      <c r="C448" s="25"/>
      <c r="D448" s="25"/>
      <c r="E448" s="25"/>
      <c r="F448" s="25"/>
      <c r="G448" s="25"/>
      <c r="H448" s="25"/>
      <c r="I448" s="25"/>
      <c r="J448" s="25"/>
      <c r="K448" s="25"/>
      <c r="L448" s="25"/>
      <c r="M448" s="25"/>
      <c r="N448" s="25"/>
      <c r="O448" s="25"/>
      <c r="P448" s="25"/>
      <c r="R448" s="23"/>
      <c r="U448" s="11"/>
    </row>
    <row r="449" spans="1:21" ht="14.25" customHeight="1" x14ac:dyDescent="0.3">
      <c r="A449" s="484"/>
      <c r="C449" s="25"/>
      <c r="D449" s="25"/>
      <c r="E449" s="25"/>
      <c r="F449" s="25"/>
      <c r="G449" s="25"/>
      <c r="H449" s="25"/>
      <c r="I449" s="25"/>
      <c r="J449" s="25"/>
      <c r="K449" s="25"/>
      <c r="L449" s="25"/>
      <c r="M449" s="25"/>
      <c r="N449" s="25"/>
      <c r="O449" s="25"/>
      <c r="P449" s="25"/>
      <c r="R449" s="23"/>
      <c r="U449" s="11"/>
    </row>
    <row r="450" spans="1:21" ht="14.25" customHeight="1" x14ac:dyDescent="0.3">
      <c r="A450" s="484"/>
      <c r="C450" s="25"/>
      <c r="D450" s="25"/>
      <c r="E450" s="25"/>
      <c r="F450" s="25"/>
      <c r="G450" s="25"/>
      <c r="H450" s="25"/>
      <c r="I450" s="25"/>
      <c r="J450" s="25"/>
      <c r="K450" s="25"/>
      <c r="L450" s="25"/>
      <c r="M450" s="25"/>
      <c r="N450" s="25"/>
      <c r="O450" s="25"/>
      <c r="P450" s="25"/>
      <c r="R450" s="23"/>
      <c r="U450" s="11"/>
    </row>
    <row r="451" spans="1:21" ht="14.25" customHeight="1" x14ac:dyDescent="0.3">
      <c r="A451" s="484"/>
      <c r="C451" s="25"/>
      <c r="D451" s="25"/>
      <c r="E451" s="25"/>
      <c r="F451" s="25"/>
      <c r="G451" s="25"/>
      <c r="H451" s="25"/>
      <c r="I451" s="25"/>
      <c r="J451" s="25"/>
      <c r="K451" s="25"/>
      <c r="L451" s="25"/>
      <c r="M451" s="25"/>
      <c r="N451" s="25"/>
      <c r="O451" s="25"/>
      <c r="P451" s="25"/>
      <c r="R451" s="23"/>
      <c r="U451" s="11"/>
    </row>
    <row r="452" spans="1:21" ht="14.25" customHeight="1" x14ac:dyDescent="0.3">
      <c r="A452" s="484"/>
      <c r="C452" s="25"/>
      <c r="D452" s="25"/>
      <c r="E452" s="25"/>
      <c r="F452" s="25"/>
      <c r="G452" s="25"/>
      <c r="H452" s="25"/>
      <c r="I452" s="25"/>
      <c r="J452" s="25"/>
      <c r="K452" s="25"/>
      <c r="L452" s="25"/>
      <c r="M452" s="25"/>
      <c r="N452" s="25"/>
      <c r="O452" s="25"/>
      <c r="P452" s="25"/>
      <c r="R452" s="23"/>
      <c r="U452" s="11"/>
    </row>
    <row r="453" spans="1:21" ht="14.25" customHeight="1" x14ac:dyDescent="0.3">
      <c r="A453" s="484"/>
      <c r="C453" s="25"/>
      <c r="D453" s="25"/>
      <c r="E453" s="25"/>
      <c r="F453" s="25"/>
      <c r="G453" s="25"/>
      <c r="H453" s="25"/>
      <c r="I453" s="25"/>
      <c r="J453" s="25"/>
      <c r="K453" s="25"/>
      <c r="L453" s="25"/>
      <c r="M453" s="25"/>
      <c r="N453" s="25"/>
      <c r="O453" s="25"/>
      <c r="P453" s="25"/>
      <c r="R453" s="23"/>
      <c r="U453" s="11"/>
    </row>
    <row r="454" spans="1:21" ht="14.25" customHeight="1" x14ac:dyDescent="0.3">
      <c r="A454" s="484"/>
      <c r="C454" s="25"/>
      <c r="D454" s="25"/>
      <c r="E454" s="25"/>
      <c r="F454" s="25"/>
      <c r="G454" s="25"/>
      <c r="H454" s="25"/>
      <c r="I454" s="25"/>
      <c r="J454" s="25"/>
      <c r="K454" s="25"/>
      <c r="L454" s="25"/>
      <c r="M454" s="25"/>
      <c r="N454" s="25"/>
      <c r="O454" s="25"/>
      <c r="P454" s="25"/>
      <c r="R454" s="23"/>
      <c r="U454" s="11"/>
    </row>
    <row r="455" spans="1:21" ht="14.25" customHeight="1" x14ac:dyDescent="0.3">
      <c r="A455" s="484"/>
      <c r="C455" s="25"/>
      <c r="D455" s="25"/>
      <c r="E455" s="25"/>
      <c r="F455" s="25"/>
      <c r="G455" s="25"/>
      <c r="H455" s="25"/>
      <c r="I455" s="25"/>
      <c r="J455" s="25"/>
      <c r="K455" s="25"/>
      <c r="L455" s="25"/>
      <c r="M455" s="25"/>
      <c r="N455" s="25"/>
      <c r="O455" s="25"/>
      <c r="P455" s="25"/>
      <c r="R455" s="23"/>
      <c r="U455" s="11"/>
    </row>
    <row r="456" spans="1:21" ht="14.25" customHeight="1" x14ac:dyDescent="0.3">
      <c r="A456" s="484"/>
      <c r="C456" s="25"/>
      <c r="D456" s="25"/>
      <c r="E456" s="25"/>
      <c r="F456" s="25"/>
      <c r="G456" s="25"/>
      <c r="H456" s="25"/>
      <c r="I456" s="25"/>
      <c r="J456" s="25"/>
      <c r="K456" s="25"/>
      <c r="L456" s="25"/>
      <c r="M456" s="25"/>
      <c r="N456" s="25"/>
      <c r="O456" s="25"/>
      <c r="P456" s="25"/>
      <c r="R456" s="23"/>
      <c r="U456" s="11"/>
    </row>
    <row r="457" spans="1:21" ht="14.25" customHeight="1" x14ac:dyDescent="0.3">
      <c r="A457" s="484"/>
      <c r="C457" s="25"/>
      <c r="D457" s="25"/>
      <c r="E457" s="25"/>
      <c r="F457" s="25"/>
      <c r="G457" s="25"/>
      <c r="H457" s="25"/>
      <c r="I457" s="25"/>
      <c r="J457" s="25"/>
      <c r="K457" s="25"/>
      <c r="L457" s="25"/>
      <c r="M457" s="25"/>
      <c r="N457" s="25"/>
      <c r="O457" s="25"/>
      <c r="P457" s="25"/>
      <c r="R457" s="23"/>
      <c r="U457" s="11"/>
    </row>
    <row r="458" spans="1:21" ht="14.25" customHeight="1" x14ac:dyDescent="0.3">
      <c r="A458" s="484"/>
      <c r="C458" s="25"/>
      <c r="D458" s="25"/>
      <c r="E458" s="25"/>
      <c r="F458" s="25"/>
      <c r="G458" s="25"/>
      <c r="H458" s="25"/>
      <c r="I458" s="25"/>
      <c r="J458" s="25"/>
      <c r="K458" s="25"/>
      <c r="L458" s="25"/>
      <c r="M458" s="25"/>
      <c r="N458" s="25"/>
      <c r="O458" s="25"/>
      <c r="P458" s="25"/>
      <c r="R458" s="23"/>
      <c r="U458" s="11"/>
    </row>
    <row r="459" spans="1:21" ht="14.25" customHeight="1" x14ac:dyDescent="0.3">
      <c r="A459" s="484"/>
      <c r="C459" s="25"/>
      <c r="D459" s="25"/>
      <c r="E459" s="25"/>
      <c r="F459" s="25"/>
      <c r="G459" s="25"/>
      <c r="H459" s="25"/>
      <c r="I459" s="25"/>
      <c r="J459" s="25"/>
      <c r="K459" s="25"/>
      <c r="L459" s="25"/>
      <c r="M459" s="25"/>
      <c r="N459" s="25"/>
      <c r="O459" s="25"/>
      <c r="P459" s="25"/>
      <c r="R459" s="23"/>
      <c r="U459" s="11"/>
    </row>
    <row r="460" spans="1:21" ht="14.25" customHeight="1" x14ac:dyDescent="0.3">
      <c r="A460" s="484"/>
      <c r="C460" s="25"/>
      <c r="D460" s="25"/>
      <c r="E460" s="25"/>
      <c r="F460" s="25"/>
      <c r="G460" s="25"/>
      <c r="H460" s="25"/>
      <c r="I460" s="25"/>
      <c r="J460" s="25"/>
      <c r="K460" s="25"/>
      <c r="L460" s="25"/>
      <c r="M460" s="25"/>
      <c r="N460" s="25"/>
      <c r="O460" s="25"/>
      <c r="P460" s="25"/>
      <c r="R460" s="23"/>
      <c r="U460" s="11"/>
    </row>
    <row r="461" spans="1:21" ht="14.25" customHeight="1" x14ac:dyDescent="0.3">
      <c r="A461" s="484"/>
      <c r="C461" s="25"/>
      <c r="D461" s="25"/>
      <c r="E461" s="25"/>
      <c r="F461" s="25"/>
      <c r="G461" s="25"/>
      <c r="H461" s="25"/>
      <c r="I461" s="25"/>
      <c r="J461" s="25"/>
      <c r="K461" s="25"/>
      <c r="L461" s="25"/>
      <c r="M461" s="25"/>
      <c r="N461" s="25"/>
      <c r="O461" s="25"/>
      <c r="P461" s="25"/>
      <c r="R461" s="23"/>
      <c r="U461" s="11"/>
    </row>
    <row r="462" spans="1:21" ht="14.25" customHeight="1" x14ac:dyDescent="0.3">
      <c r="A462" s="484"/>
      <c r="C462" s="25"/>
      <c r="D462" s="25"/>
      <c r="E462" s="25"/>
      <c r="F462" s="25"/>
      <c r="G462" s="25"/>
      <c r="H462" s="25"/>
      <c r="I462" s="25"/>
      <c r="J462" s="25"/>
      <c r="K462" s="25"/>
      <c r="L462" s="25"/>
      <c r="M462" s="25"/>
      <c r="N462" s="25"/>
      <c r="O462" s="25"/>
      <c r="P462" s="25"/>
      <c r="R462" s="23"/>
      <c r="U462" s="11"/>
    </row>
    <row r="463" spans="1:21" ht="14.25" customHeight="1" x14ac:dyDescent="0.3">
      <c r="A463" s="484"/>
      <c r="C463" s="25"/>
      <c r="D463" s="25"/>
      <c r="E463" s="25"/>
      <c r="F463" s="25"/>
      <c r="G463" s="25"/>
      <c r="H463" s="25"/>
      <c r="I463" s="25"/>
      <c r="J463" s="25"/>
      <c r="K463" s="25"/>
      <c r="L463" s="25"/>
      <c r="M463" s="25"/>
      <c r="N463" s="25"/>
      <c r="O463" s="25"/>
      <c r="P463" s="25"/>
      <c r="R463" s="23"/>
      <c r="U463" s="11"/>
    </row>
    <row r="464" spans="1:21" ht="14.25" customHeight="1" x14ac:dyDescent="0.3">
      <c r="A464" s="484"/>
      <c r="C464" s="25"/>
      <c r="D464" s="25"/>
      <c r="E464" s="25"/>
      <c r="F464" s="25"/>
      <c r="G464" s="25"/>
      <c r="H464" s="25"/>
      <c r="I464" s="25"/>
      <c r="J464" s="25"/>
      <c r="K464" s="25"/>
      <c r="L464" s="25"/>
      <c r="M464" s="25"/>
      <c r="N464" s="25"/>
      <c r="O464" s="25"/>
      <c r="P464" s="25"/>
      <c r="R464" s="23"/>
      <c r="U464" s="11"/>
    </row>
    <row r="465" spans="1:21" ht="14.25" customHeight="1" x14ac:dyDescent="0.3">
      <c r="A465" s="484"/>
      <c r="C465" s="25"/>
      <c r="D465" s="25"/>
      <c r="E465" s="25"/>
      <c r="F465" s="25"/>
      <c r="G465" s="25"/>
      <c r="H465" s="25"/>
      <c r="I465" s="25"/>
      <c r="J465" s="25"/>
      <c r="K465" s="25"/>
      <c r="L465" s="25"/>
      <c r="M465" s="25"/>
      <c r="N465" s="25"/>
      <c r="O465" s="25"/>
      <c r="P465" s="25"/>
      <c r="R465" s="23"/>
      <c r="U465" s="11"/>
    </row>
    <row r="466" spans="1:21" ht="14.25" customHeight="1" x14ac:dyDescent="0.3">
      <c r="A466" s="484"/>
      <c r="C466" s="25"/>
      <c r="D466" s="25"/>
      <c r="E466" s="25"/>
      <c r="F466" s="25"/>
      <c r="G466" s="25"/>
      <c r="H466" s="25"/>
      <c r="I466" s="25"/>
      <c r="J466" s="25"/>
      <c r="K466" s="25"/>
      <c r="L466" s="25"/>
      <c r="M466" s="25"/>
      <c r="N466" s="25"/>
      <c r="O466" s="25"/>
      <c r="P466" s="25"/>
      <c r="R466" s="23"/>
      <c r="U466" s="11"/>
    </row>
    <row r="467" spans="1:21" ht="14.25" customHeight="1" x14ac:dyDescent="0.3">
      <c r="A467" s="484"/>
      <c r="C467" s="25"/>
      <c r="D467" s="25"/>
      <c r="E467" s="25"/>
      <c r="F467" s="25"/>
      <c r="G467" s="25"/>
      <c r="H467" s="25"/>
      <c r="I467" s="25"/>
      <c r="J467" s="25"/>
      <c r="K467" s="25"/>
      <c r="L467" s="25"/>
      <c r="M467" s="25"/>
      <c r="N467" s="25"/>
      <c r="O467" s="25"/>
      <c r="P467" s="25"/>
      <c r="R467" s="23"/>
      <c r="U467" s="11"/>
    </row>
    <row r="468" spans="1:21" ht="14.25" customHeight="1" x14ac:dyDescent="0.3">
      <c r="A468" s="484"/>
      <c r="C468" s="25"/>
      <c r="D468" s="25"/>
      <c r="E468" s="25"/>
      <c r="F468" s="25"/>
      <c r="G468" s="25"/>
      <c r="H468" s="25"/>
      <c r="I468" s="25"/>
      <c r="J468" s="25"/>
      <c r="K468" s="25"/>
      <c r="L468" s="25"/>
      <c r="M468" s="25"/>
      <c r="N468" s="25"/>
      <c r="O468" s="25"/>
      <c r="P468" s="25"/>
      <c r="R468" s="23"/>
      <c r="U468" s="11"/>
    </row>
    <row r="469" spans="1:21" ht="14.25" customHeight="1" x14ac:dyDescent="0.3">
      <c r="A469" s="484"/>
      <c r="C469" s="25"/>
      <c r="D469" s="25"/>
      <c r="E469" s="25"/>
      <c r="F469" s="25"/>
      <c r="G469" s="25"/>
      <c r="H469" s="25"/>
      <c r="I469" s="25"/>
      <c r="J469" s="25"/>
      <c r="K469" s="25"/>
      <c r="L469" s="25"/>
      <c r="M469" s="25"/>
      <c r="N469" s="25"/>
      <c r="O469" s="25"/>
      <c r="P469" s="25"/>
      <c r="R469" s="23"/>
      <c r="U469" s="11"/>
    </row>
    <row r="470" spans="1:21" ht="14.25" customHeight="1" x14ac:dyDescent="0.3">
      <c r="A470" s="484"/>
      <c r="C470" s="25"/>
      <c r="D470" s="25"/>
      <c r="E470" s="25"/>
      <c r="F470" s="25"/>
      <c r="G470" s="25"/>
      <c r="H470" s="25"/>
      <c r="I470" s="25"/>
      <c r="J470" s="25"/>
      <c r="K470" s="25"/>
      <c r="L470" s="25"/>
      <c r="M470" s="25"/>
      <c r="N470" s="25"/>
      <c r="O470" s="25"/>
      <c r="P470" s="25"/>
      <c r="R470" s="23"/>
      <c r="U470" s="11"/>
    </row>
    <row r="471" spans="1:21" ht="14.25" customHeight="1" x14ac:dyDescent="0.3">
      <c r="A471" s="484"/>
      <c r="C471" s="25"/>
      <c r="D471" s="25"/>
      <c r="E471" s="25"/>
      <c r="F471" s="25"/>
      <c r="G471" s="25"/>
      <c r="H471" s="25"/>
      <c r="I471" s="25"/>
      <c r="J471" s="25"/>
      <c r="K471" s="25"/>
      <c r="L471" s="25"/>
      <c r="M471" s="25"/>
      <c r="N471" s="25"/>
      <c r="O471" s="25"/>
      <c r="P471" s="25"/>
      <c r="R471" s="23"/>
      <c r="U471" s="11"/>
    </row>
    <row r="472" spans="1:21" ht="14.25" customHeight="1" x14ac:dyDescent="0.3">
      <c r="A472" s="484"/>
      <c r="C472" s="25"/>
      <c r="D472" s="25"/>
      <c r="E472" s="25"/>
      <c r="F472" s="25"/>
      <c r="G472" s="25"/>
      <c r="H472" s="25"/>
      <c r="I472" s="25"/>
      <c r="J472" s="25"/>
      <c r="K472" s="25"/>
      <c r="L472" s="25"/>
      <c r="M472" s="25"/>
      <c r="N472" s="25"/>
      <c r="O472" s="25"/>
      <c r="P472" s="25"/>
      <c r="R472" s="23"/>
      <c r="U472" s="11"/>
    </row>
    <row r="473" spans="1:21" ht="14.25" customHeight="1" x14ac:dyDescent="0.3">
      <c r="A473" s="484"/>
      <c r="C473" s="25"/>
      <c r="D473" s="25"/>
      <c r="E473" s="25"/>
      <c r="F473" s="25"/>
      <c r="G473" s="25"/>
      <c r="H473" s="25"/>
      <c r="I473" s="25"/>
      <c r="J473" s="25"/>
      <c r="K473" s="25"/>
      <c r="L473" s="25"/>
      <c r="M473" s="25"/>
      <c r="N473" s="25"/>
      <c r="O473" s="25"/>
      <c r="P473" s="25"/>
      <c r="R473" s="23"/>
      <c r="U473" s="11"/>
    </row>
    <row r="474" spans="1:21" ht="14.25" customHeight="1" x14ac:dyDescent="0.3">
      <c r="A474" s="484"/>
      <c r="C474" s="25"/>
      <c r="D474" s="25"/>
      <c r="E474" s="25"/>
      <c r="F474" s="25"/>
      <c r="G474" s="25"/>
      <c r="H474" s="25"/>
      <c r="I474" s="25"/>
      <c r="J474" s="25"/>
      <c r="K474" s="25"/>
      <c r="L474" s="25"/>
      <c r="M474" s="25"/>
      <c r="N474" s="25"/>
      <c r="O474" s="25"/>
      <c r="P474" s="25"/>
      <c r="R474" s="23"/>
      <c r="U474" s="11"/>
    </row>
    <row r="475" spans="1:21" ht="14.25" customHeight="1" x14ac:dyDescent="0.3">
      <c r="A475" s="484"/>
      <c r="C475" s="25"/>
      <c r="D475" s="25"/>
      <c r="E475" s="25"/>
      <c r="F475" s="25"/>
      <c r="G475" s="25"/>
      <c r="H475" s="25"/>
      <c r="I475" s="25"/>
      <c r="J475" s="25"/>
      <c r="K475" s="25"/>
      <c r="L475" s="25"/>
      <c r="M475" s="25"/>
      <c r="N475" s="25"/>
      <c r="O475" s="25"/>
      <c r="P475" s="25"/>
      <c r="R475" s="23"/>
      <c r="U475" s="11"/>
    </row>
    <row r="476" spans="1:21" ht="14.25" customHeight="1" x14ac:dyDescent="0.3">
      <c r="A476" s="484"/>
      <c r="C476" s="25"/>
      <c r="D476" s="25"/>
      <c r="E476" s="25"/>
      <c r="F476" s="25"/>
      <c r="G476" s="25"/>
      <c r="H476" s="25"/>
      <c r="I476" s="25"/>
      <c r="J476" s="25"/>
      <c r="K476" s="25"/>
      <c r="L476" s="25"/>
      <c r="M476" s="25"/>
      <c r="N476" s="25"/>
      <c r="O476" s="25"/>
      <c r="P476" s="25"/>
      <c r="R476" s="23"/>
      <c r="U476" s="11"/>
    </row>
    <row r="477" spans="1:21" ht="14.25" customHeight="1" x14ac:dyDescent="0.3">
      <c r="A477" s="484"/>
      <c r="C477" s="25"/>
      <c r="D477" s="25"/>
      <c r="E477" s="25"/>
      <c r="F477" s="25"/>
      <c r="G477" s="25"/>
      <c r="H477" s="25"/>
      <c r="I477" s="25"/>
      <c r="J477" s="25"/>
      <c r="K477" s="25"/>
      <c r="L477" s="25"/>
      <c r="M477" s="25"/>
      <c r="N477" s="25"/>
      <c r="O477" s="25"/>
      <c r="P477" s="25"/>
      <c r="R477" s="23"/>
      <c r="U477" s="11"/>
    </row>
    <row r="478" spans="1:21" ht="14.25" customHeight="1" x14ac:dyDescent="0.3">
      <c r="A478" s="484"/>
      <c r="C478" s="25"/>
      <c r="D478" s="25"/>
      <c r="E478" s="25"/>
      <c r="F478" s="25"/>
      <c r="G478" s="25"/>
      <c r="H478" s="25"/>
      <c r="I478" s="25"/>
      <c r="J478" s="25"/>
      <c r="K478" s="25"/>
      <c r="L478" s="25"/>
      <c r="M478" s="25"/>
      <c r="N478" s="25"/>
      <c r="O478" s="25"/>
      <c r="P478" s="25"/>
      <c r="R478" s="23"/>
      <c r="U478" s="11"/>
    </row>
    <row r="479" spans="1:21" ht="14.25" customHeight="1" x14ac:dyDescent="0.3">
      <c r="A479" s="484"/>
      <c r="C479" s="25"/>
      <c r="D479" s="25"/>
      <c r="E479" s="25"/>
      <c r="F479" s="25"/>
      <c r="G479" s="25"/>
      <c r="H479" s="25"/>
      <c r="I479" s="25"/>
      <c r="J479" s="25"/>
      <c r="K479" s="25"/>
      <c r="L479" s="25"/>
      <c r="M479" s="25"/>
      <c r="N479" s="25"/>
      <c r="O479" s="25"/>
      <c r="P479" s="25"/>
      <c r="R479" s="23"/>
      <c r="U479" s="11"/>
    </row>
    <row r="480" spans="1:21" ht="14.25" customHeight="1" x14ac:dyDescent="0.3">
      <c r="A480" s="484"/>
      <c r="C480" s="25"/>
      <c r="D480" s="25"/>
      <c r="E480" s="25"/>
      <c r="F480" s="25"/>
      <c r="G480" s="25"/>
      <c r="H480" s="25"/>
      <c r="I480" s="25"/>
      <c r="J480" s="25"/>
      <c r="K480" s="25"/>
      <c r="L480" s="25"/>
      <c r="M480" s="25"/>
      <c r="N480" s="25"/>
      <c r="O480" s="25"/>
      <c r="P480" s="25"/>
      <c r="R480" s="23"/>
      <c r="U480" s="11"/>
    </row>
    <row r="481" spans="1:21" ht="14.25" customHeight="1" x14ac:dyDescent="0.3">
      <c r="A481" s="484"/>
      <c r="C481" s="25"/>
      <c r="D481" s="25"/>
      <c r="E481" s="25"/>
      <c r="F481" s="25"/>
      <c r="G481" s="25"/>
      <c r="H481" s="25"/>
      <c r="I481" s="25"/>
      <c r="J481" s="25"/>
      <c r="K481" s="25"/>
      <c r="L481" s="25"/>
      <c r="M481" s="25"/>
      <c r="N481" s="25"/>
      <c r="O481" s="25"/>
      <c r="P481" s="25"/>
      <c r="R481" s="23"/>
      <c r="U481" s="11"/>
    </row>
    <row r="482" spans="1:21" ht="14.25" customHeight="1" x14ac:dyDescent="0.3">
      <c r="A482" s="484"/>
      <c r="C482" s="25"/>
      <c r="D482" s="25"/>
      <c r="E482" s="25"/>
      <c r="F482" s="25"/>
      <c r="G482" s="25"/>
      <c r="H482" s="25"/>
      <c r="I482" s="25"/>
      <c r="J482" s="25"/>
      <c r="K482" s="25"/>
      <c r="L482" s="25"/>
      <c r="M482" s="25"/>
      <c r="N482" s="25"/>
      <c r="O482" s="25"/>
      <c r="P482" s="25"/>
      <c r="R482" s="23"/>
      <c r="U482" s="11"/>
    </row>
    <row r="483" spans="1:21" ht="14.25" customHeight="1" x14ac:dyDescent="0.3">
      <c r="A483" s="484"/>
      <c r="C483" s="25"/>
      <c r="D483" s="25"/>
      <c r="E483" s="25"/>
      <c r="F483" s="25"/>
      <c r="G483" s="25"/>
      <c r="H483" s="25"/>
      <c r="I483" s="25"/>
      <c r="J483" s="25"/>
      <c r="K483" s="25"/>
      <c r="L483" s="25"/>
      <c r="M483" s="25"/>
      <c r="N483" s="25"/>
      <c r="O483" s="25"/>
      <c r="P483" s="25"/>
      <c r="R483" s="23"/>
      <c r="U483" s="11"/>
    </row>
    <row r="484" spans="1:21" ht="14.25" customHeight="1" x14ac:dyDescent="0.3">
      <c r="A484" s="484"/>
      <c r="C484" s="25"/>
      <c r="D484" s="25"/>
      <c r="E484" s="25"/>
      <c r="F484" s="25"/>
      <c r="G484" s="25"/>
      <c r="H484" s="25"/>
      <c r="I484" s="25"/>
      <c r="J484" s="25"/>
      <c r="K484" s="25"/>
      <c r="L484" s="25"/>
      <c r="M484" s="25"/>
      <c r="N484" s="25"/>
      <c r="O484" s="25"/>
      <c r="P484" s="25"/>
      <c r="R484" s="23"/>
      <c r="U484" s="11"/>
    </row>
    <row r="485" spans="1:21" ht="14.25" customHeight="1" x14ac:dyDescent="0.3">
      <c r="A485" s="484"/>
      <c r="C485" s="25"/>
      <c r="D485" s="25"/>
      <c r="E485" s="25"/>
      <c r="F485" s="25"/>
      <c r="G485" s="25"/>
      <c r="H485" s="25"/>
      <c r="I485" s="25"/>
      <c r="J485" s="25"/>
      <c r="K485" s="25"/>
      <c r="L485" s="25"/>
      <c r="M485" s="25"/>
      <c r="N485" s="25"/>
      <c r="O485" s="25"/>
      <c r="P485" s="25"/>
      <c r="R485" s="23"/>
      <c r="U485" s="11"/>
    </row>
    <row r="486" spans="1:21" ht="14.25" customHeight="1" x14ac:dyDescent="0.3">
      <c r="A486" s="484"/>
      <c r="C486" s="25"/>
      <c r="D486" s="25"/>
      <c r="E486" s="25"/>
      <c r="F486" s="25"/>
      <c r="G486" s="25"/>
      <c r="H486" s="25"/>
      <c r="I486" s="25"/>
      <c r="J486" s="25"/>
      <c r="K486" s="25"/>
      <c r="L486" s="25"/>
      <c r="M486" s="25"/>
      <c r="N486" s="25"/>
      <c r="O486" s="25"/>
      <c r="P486" s="25"/>
      <c r="R486" s="23"/>
      <c r="U486" s="11"/>
    </row>
    <row r="487" spans="1:21" ht="14.25" customHeight="1" x14ac:dyDescent="0.3">
      <c r="A487" s="484"/>
      <c r="C487" s="25"/>
      <c r="D487" s="25"/>
      <c r="E487" s="25"/>
      <c r="F487" s="25"/>
      <c r="G487" s="25"/>
      <c r="H487" s="25"/>
      <c r="I487" s="25"/>
      <c r="J487" s="25"/>
      <c r="K487" s="25"/>
      <c r="L487" s="25"/>
      <c r="M487" s="25"/>
      <c r="N487" s="25"/>
      <c r="O487" s="25"/>
      <c r="P487" s="25"/>
      <c r="R487" s="23"/>
      <c r="U487" s="11"/>
    </row>
    <row r="488" spans="1:21" ht="14.25" customHeight="1" x14ac:dyDescent="0.3">
      <c r="A488" s="484"/>
      <c r="C488" s="25"/>
      <c r="D488" s="25"/>
      <c r="E488" s="25"/>
      <c r="F488" s="25"/>
      <c r="G488" s="25"/>
      <c r="H488" s="25"/>
      <c r="I488" s="25"/>
      <c r="J488" s="25"/>
      <c r="K488" s="25"/>
      <c r="L488" s="25"/>
      <c r="M488" s="25"/>
      <c r="N488" s="25"/>
      <c r="O488" s="25"/>
      <c r="P488" s="25"/>
      <c r="R488" s="23"/>
      <c r="U488" s="11"/>
    </row>
    <row r="489" spans="1:21" ht="14.25" customHeight="1" x14ac:dyDescent="0.3">
      <c r="A489" s="484"/>
      <c r="C489" s="25"/>
      <c r="D489" s="25"/>
      <c r="E489" s="25"/>
      <c r="F489" s="25"/>
      <c r="G489" s="25"/>
      <c r="H489" s="25"/>
      <c r="I489" s="25"/>
      <c r="J489" s="25"/>
      <c r="K489" s="25"/>
      <c r="L489" s="25"/>
      <c r="M489" s="25"/>
      <c r="N489" s="25"/>
      <c r="O489" s="25"/>
      <c r="P489" s="25"/>
      <c r="R489" s="23"/>
      <c r="U489" s="11"/>
    </row>
    <row r="490" spans="1:21" ht="14.25" customHeight="1" x14ac:dyDescent="0.3">
      <c r="A490" s="484"/>
      <c r="C490" s="25"/>
      <c r="D490" s="25"/>
      <c r="E490" s="25"/>
      <c r="F490" s="25"/>
      <c r="G490" s="25"/>
      <c r="H490" s="25"/>
      <c r="I490" s="25"/>
      <c r="J490" s="25"/>
      <c r="K490" s="25"/>
      <c r="L490" s="25"/>
      <c r="M490" s="25"/>
      <c r="N490" s="25"/>
      <c r="O490" s="25"/>
      <c r="P490" s="25"/>
      <c r="R490" s="23"/>
      <c r="U490" s="11"/>
    </row>
    <row r="491" spans="1:21" ht="14.25" customHeight="1" x14ac:dyDescent="0.3">
      <c r="A491" s="484"/>
      <c r="C491" s="25"/>
      <c r="D491" s="25"/>
      <c r="E491" s="25"/>
      <c r="F491" s="25"/>
      <c r="G491" s="25"/>
      <c r="H491" s="25"/>
      <c r="I491" s="25"/>
      <c r="J491" s="25"/>
      <c r="K491" s="25"/>
      <c r="L491" s="25"/>
      <c r="M491" s="25"/>
      <c r="N491" s="25"/>
      <c r="O491" s="25"/>
      <c r="P491" s="25"/>
      <c r="R491" s="23"/>
      <c r="U491" s="11"/>
    </row>
    <row r="492" spans="1:21" ht="14.25" customHeight="1" x14ac:dyDescent="0.3">
      <c r="A492" s="484"/>
      <c r="C492" s="25"/>
      <c r="D492" s="25"/>
      <c r="E492" s="25"/>
      <c r="F492" s="25"/>
      <c r="G492" s="25"/>
      <c r="H492" s="25"/>
      <c r="I492" s="25"/>
      <c r="J492" s="25"/>
      <c r="K492" s="25"/>
      <c r="L492" s="25"/>
      <c r="M492" s="25"/>
      <c r="N492" s="25"/>
      <c r="O492" s="25"/>
      <c r="P492" s="25"/>
      <c r="R492" s="23"/>
      <c r="U492" s="11"/>
    </row>
    <row r="493" spans="1:21" ht="14.25" customHeight="1" x14ac:dyDescent="0.3">
      <c r="A493" s="484"/>
      <c r="C493" s="25"/>
      <c r="D493" s="25"/>
      <c r="E493" s="25"/>
      <c r="F493" s="25"/>
      <c r="G493" s="25"/>
      <c r="H493" s="25"/>
      <c r="I493" s="25"/>
      <c r="J493" s="25"/>
      <c r="K493" s="25"/>
      <c r="L493" s="25"/>
      <c r="M493" s="25"/>
      <c r="N493" s="25"/>
      <c r="O493" s="25"/>
      <c r="P493" s="25"/>
      <c r="R493" s="23"/>
      <c r="U493" s="11"/>
    </row>
    <row r="494" spans="1:21" ht="14.25" customHeight="1" x14ac:dyDescent="0.3">
      <c r="A494" s="484"/>
      <c r="C494" s="25"/>
      <c r="D494" s="25"/>
      <c r="E494" s="25"/>
      <c r="F494" s="25"/>
      <c r="G494" s="25"/>
      <c r="H494" s="25"/>
      <c r="I494" s="25"/>
      <c r="J494" s="25"/>
      <c r="K494" s="25"/>
      <c r="L494" s="25"/>
      <c r="M494" s="25"/>
      <c r="N494" s="25"/>
      <c r="O494" s="25"/>
      <c r="P494" s="25"/>
      <c r="R494" s="23"/>
      <c r="U494" s="11"/>
    </row>
    <row r="495" spans="1:21" ht="14.25" customHeight="1" x14ac:dyDescent="0.3">
      <c r="A495" s="484"/>
      <c r="C495" s="25"/>
      <c r="D495" s="25"/>
      <c r="E495" s="25"/>
      <c r="F495" s="25"/>
      <c r="G495" s="25"/>
      <c r="H495" s="25"/>
      <c r="I495" s="25"/>
      <c r="J495" s="25"/>
      <c r="K495" s="25"/>
      <c r="L495" s="25"/>
      <c r="M495" s="25"/>
      <c r="N495" s="25"/>
      <c r="O495" s="25"/>
      <c r="P495" s="25"/>
      <c r="R495" s="23"/>
      <c r="U495" s="11"/>
    </row>
    <row r="496" spans="1:21" ht="14.25" customHeight="1" x14ac:dyDescent="0.3">
      <c r="A496" s="484"/>
      <c r="C496" s="25"/>
      <c r="D496" s="25"/>
      <c r="E496" s="25"/>
      <c r="F496" s="25"/>
      <c r="G496" s="25"/>
      <c r="H496" s="25"/>
      <c r="I496" s="25"/>
      <c r="J496" s="25"/>
      <c r="K496" s="25"/>
      <c r="L496" s="25"/>
      <c r="M496" s="25"/>
      <c r="N496" s="25"/>
      <c r="O496" s="25"/>
      <c r="P496" s="25"/>
      <c r="R496" s="23"/>
      <c r="U496" s="11"/>
    </row>
    <row r="497" spans="1:21" ht="14.25" customHeight="1" x14ac:dyDescent="0.3">
      <c r="A497" s="484"/>
      <c r="C497" s="25"/>
      <c r="D497" s="25"/>
      <c r="E497" s="25"/>
      <c r="F497" s="25"/>
      <c r="G497" s="25"/>
      <c r="H497" s="25"/>
      <c r="I497" s="25"/>
      <c r="J497" s="25"/>
      <c r="K497" s="25"/>
      <c r="L497" s="25"/>
      <c r="M497" s="25"/>
      <c r="N497" s="25"/>
      <c r="O497" s="25"/>
      <c r="P497" s="25"/>
      <c r="R497" s="23"/>
      <c r="U497" s="11"/>
    </row>
    <row r="498" spans="1:21" ht="14.25" customHeight="1" x14ac:dyDescent="0.3">
      <c r="A498" s="484"/>
      <c r="C498" s="25"/>
      <c r="D498" s="25"/>
      <c r="E498" s="25"/>
      <c r="F498" s="25"/>
      <c r="G498" s="25"/>
      <c r="H498" s="25"/>
      <c r="I498" s="25"/>
      <c r="J498" s="25"/>
      <c r="K498" s="25"/>
      <c r="L498" s="25"/>
      <c r="M498" s="25"/>
      <c r="N498" s="25"/>
      <c r="O498" s="25"/>
      <c r="P498" s="25"/>
      <c r="R498" s="23"/>
      <c r="U498" s="11"/>
    </row>
    <row r="499" spans="1:21" ht="14.25" customHeight="1" x14ac:dyDescent="0.3">
      <c r="A499" s="484"/>
      <c r="C499" s="25"/>
      <c r="D499" s="25"/>
      <c r="E499" s="25"/>
      <c r="F499" s="25"/>
      <c r="G499" s="25"/>
      <c r="H499" s="25"/>
      <c r="I499" s="25"/>
      <c r="J499" s="25"/>
      <c r="K499" s="25"/>
      <c r="L499" s="25"/>
      <c r="M499" s="25"/>
      <c r="N499" s="25"/>
      <c r="O499" s="25"/>
      <c r="P499" s="25"/>
      <c r="R499" s="23"/>
      <c r="U499" s="11"/>
    </row>
    <row r="500" spans="1:21" ht="14.25" customHeight="1" x14ac:dyDescent="0.3">
      <c r="A500" s="484"/>
      <c r="C500" s="25"/>
      <c r="D500" s="25"/>
      <c r="E500" s="25"/>
      <c r="F500" s="25"/>
      <c r="G500" s="25"/>
      <c r="H500" s="25"/>
      <c r="I500" s="25"/>
      <c r="J500" s="25"/>
      <c r="K500" s="25"/>
      <c r="L500" s="25"/>
      <c r="M500" s="25"/>
      <c r="N500" s="25"/>
      <c r="O500" s="25"/>
      <c r="P500" s="25"/>
      <c r="R500" s="23"/>
      <c r="U500" s="11"/>
    </row>
    <row r="501" spans="1:21" ht="14.25" customHeight="1" x14ac:dyDescent="0.3">
      <c r="A501" s="484"/>
      <c r="C501" s="25"/>
      <c r="D501" s="25"/>
      <c r="E501" s="25"/>
      <c r="F501" s="25"/>
      <c r="G501" s="25"/>
      <c r="H501" s="25"/>
      <c r="I501" s="25"/>
      <c r="J501" s="25"/>
      <c r="K501" s="25"/>
      <c r="L501" s="25"/>
      <c r="M501" s="25"/>
      <c r="N501" s="25"/>
      <c r="O501" s="25"/>
      <c r="P501" s="25"/>
      <c r="R501" s="23"/>
      <c r="U501" s="11"/>
    </row>
    <row r="502" spans="1:21" ht="14.25" customHeight="1" x14ac:dyDescent="0.3">
      <c r="A502" s="484"/>
      <c r="C502" s="25"/>
      <c r="D502" s="25"/>
      <c r="E502" s="25"/>
      <c r="F502" s="25"/>
      <c r="G502" s="25"/>
      <c r="H502" s="25"/>
      <c r="I502" s="25"/>
      <c r="J502" s="25"/>
      <c r="K502" s="25"/>
      <c r="L502" s="25"/>
      <c r="M502" s="25"/>
      <c r="N502" s="25"/>
      <c r="O502" s="25"/>
      <c r="P502" s="25"/>
      <c r="R502" s="23"/>
      <c r="U502" s="11"/>
    </row>
    <row r="503" spans="1:21" ht="14.25" customHeight="1" x14ac:dyDescent="0.3">
      <c r="A503" s="484"/>
      <c r="C503" s="25"/>
      <c r="D503" s="25"/>
      <c r="E503" s="25"/>
      <c r="F503" s="25"/>
      <c r="G503" s="25"/>
      <c r="H503" s="25"/>
      <c r="I503" s="25"/>
      <c r="J503" s="25"/>
      <c r="K503" s="25"/>
      <c r="L503" s="25"/>
      <c r="M503" s="25"/>
      <c r="N503" s="25"/>
      <c r="O503" s="25"/>
      <c r="P503" s="25"/>
      <c r="R503" s="23"/>
      <c r="U503" s="11"/>
    </row>
    <row r="504" spans="1:21" ht="14.25" customHeight="1" x14ac:dyDescent="0.3">
      <c r="A504" s="484"/>
      <c r="C504" s="25"/>
      <c r="D504" s="25"/>
      <c r="E504" s="25"/>
      <c r="F504" s="25"/>
      <c r="G504" s="25"/>
      <c r="H504" s="25"/>
      <c r="I504" s="25"/>
      <c r="J504" s="25"/>
      <c r="K504" s="25"/>
      <c r="L504" s="25"/>
      <c r="M504" s="25"/>
      <c r="N504" s="25"/>
      <c r="O504" s="25"/>
      <c r="P504" s="25"/>
      <c r="R504" s="23"/>
      <c r="U504" s="11"/>
    </row>
    <row r="505" spans="1:21" ht="14.25" customHeight="1" x14ac:dyDescent="0.3">
      <c r="A505" s="484"/>
      <c r="C505" s="25"/>
      <c r="D505" s="25"/>
      <c r="E505" s="25"/>
      <c r="F505" s="25"/>
      <c r="G505" s="25"/>
      <c r="H505" s="25"/>
      <c r="I505" s="25"/>
      <c r="J505" s="25"/>
      <c r="K505" s="25"/>
      <c r="L505" s="25"/>
      <c r="M505" s="25"/>
      <c r="N505" s="25"/>
      <c r="O505" s="25"/>
      <c r="P505" s="25"/>
      <c r="R505" s="23"/>
      <c r="U505" s="11"/>
    </row>
    <row r="506" spans="1:21" ht="14.25" customHeight="1" x14ac:dyDescent="0.3">
      <c r="A506" s="484"/>
      <c r="C506" s="25"/>
      <c r="D506" s="25"/>
      <c r="E506" s="25"/>
      <c r="F506" s="25"/>
      <c r="G506" s="25"/>
      <c r="H506" s="25"/>
      <c r="I506" s="25"/>
      <c r="J506" s="25"/>
      <c r="K506" s="25"/>
      <c r="L506" s="25"/>
      <c r="M506" s="25"/>
      <c r="N506" s="25"/>
      <c r="O506" s="25"/>
      <c r="P506" s="25"/>
      <c r="R506" s="23"/>
      <c r="U506" s="11"/>
    </row>
    <row r="507" spans="1:21" ht="14.25" customHeight="1" x14ac:dyDescent="0.3">
      <c r="A507" s="484"/>
      <c r="C507" s="25"/>
      <c r="D507" s="25"/>
      <c r="E507" s="25"/>
      <c r="F507" s="25"/>
      <c r="G507" s="25"/>
      <c r="H507" s="25"/>
      <c r="I507" s="25"/>
      <c r="J507" s="25"/>
      <c r="K507" s="25"/>
      <c r="L507" s="25"/>
      <c r="M507" s="25"/>
      <c r="N507" s="25"/>
      <c r="O507" s="25"/>
      <c r="P507" s="25"/>
      <c r="R507" s="23"/>
      <c r="U507" s="11"/>
    </row>
    <row r="508" spans="1:21" ht="14.25" customHeight="1" x14ac:dyDescent="0.3">
      <c r="A508" s="484"/>
      <c r="C508" s="25"/>
      <c r="D508" s="25"/>
      <c r="E508" s="25"/>
      <c r="F508" s="25"/>
      <c r="G508" s="25"/>
      <c r="H508" s="25"/>
      <c r="I508" s="25"/>
      <c r="J508" s="25"/>
      <c r="K508" s="25"/>
      <c r="L508" s="25"/>
      <c r="M508" s="25"/>
      <c r="N508" s="25"/>
      <c r="O508" s="25"/>
      <c r="P508" s="25"/>
      <c r="R508" s="23"/>
      <c r="U508" s="11"/>
    </row>
    <row r="509" spans="1:21" ht="14.25" customHeight="1" x14ac:dyDescent="0.3">
      <c r="A509" s="484"/>
      <c r="C509" s="25"/>
      <c r="D509" s="25"/>
      <c r="E509" s="25"/>
      <c r="F509" s="25"/>
      <c r="G509" s="25"/>
      <c r="H509" s="25"/>
      <c r="I509" s="25"/>
      <c r="J509" s="25"/>
      <c r="K509" s="25"/>
      <c r="L509" s="25"/>
      <c r="M509" s="25"/>
      <c r="N509" s="25"/>
      <c r="O509" s="25"/>
      <c r="P509" s="25"/>
      <c r="R509" s="23"/>
      <c r="U509" s="11"/>
    </row>
    <row r="510" spans="1:21" ht="14.25" customHeight="1" x14ac:dyDescent="0.3">
      <c r="A510" s="484"/>
      <c r="C510" s="25"/>
      <c r="D510" s="25"/>
      <c r="E510" s="25"/>
      <c r="F510" s="25"/>
      <c r="G510" s="25"/>
      <c r="H510" s="25"/>
      <c r="I510" s="25"/>
      <c r="J510" s="25"/>
      <c r="K510" s="25"/>
      <c r="L510" s="25"/>
      <c r="M510" s="25"/>
      <c r="N510" s="25"/>
      <c r="O510" s="25"/>
      <c r="P510" s="25"/>
      <c r="R510" s="23"/>
      <c r="U510" s="11"/>
    </row>
    <row r="511" spans="1:21" ht="14.25" customHeight="1" x14ac:dyDescent="0.3">
      <c r="A511" s="484"/>
      <c r="C511" s="25"/>
      <c r="D511" s="25"/>
      <c r="E511" s="25"/>
      <c r="F511" s="25"/>
      <c r="G511" s="25"/>
      <c r="H511" s="25"/>
      <c r="I511" s="25"/>
      <c r="J511" s="25"/>
      <c r="K511" s="25"/>
      <c r="L511" s="25"/>
      <c r="M511" s="25"/>
      <c r="N511" s="25"/>
      <c r="O511" s="25"/>
      <c r="P511" s="25"/>
      <c r="R511" s="23"/>
      <c r="U511" s="11"/>
    </row>
    <row r="512" spans="1:21" ht="14.25" customHeight="1" x14ac:dyDescent="0.3">
      <c r="A512" s="484"/>
      <c r="C512" s="25"/>
      <c r="D512" s="25"/>
      <c r="E512" s="25"/>
      <c r="F512" s="25"/>
      <c r="G512" s="25"/>
      <c r="H512" s="25"/>
      <c r="I512" s="25"/>
      <c r="J512" s="25"/>
      <c r="K512" s="25"/>
      <c r="L512" s="25"/>
      <c r="M512" s="25"/>
      <c r="N512" s="25"/>
      <c r="O512" s="25"/>
      <c r="P512" s="25"/>
      <c r="R512" s="23"/>
      <c r="U512" s="11"/>
    </row>
    <row r="513" spans="1:21" ht="14.25" customHeight="1" x14ac:dyDescent="0.3">
      <c r="A513" s="484"/>
      <c r="C513" s="25"/>
      <c r="D513" s="25"/>
      <c r="E513" s="25"/>
      <c r="F513" s="25"/>
      <c r="G513" s="25"/>
      <c r="H513" s="25"/>
      <c r="I513" s="25"/>
      <c r="J513" s="25"/>
      <c r="K513" s="25"/>
      <c r="L513" s="25"/>
      <c r="M513" s="25"/>
      <c r="N513" s="25"/>
      <c r="O513" s="25"/>
      <c r="P513" s="25"/>
      <c r="R513" s="23"/>
      <c r="U513" s="11"/>
    </row>
    <row r="514" spans="1:21" ht="14.25" customHeight="1" x14ac:dyDescent="0.3">
      <c r="A514" s="484"/>
      <c r="C514" s="25"/>
      <c r="D514" s="25"/>
      <c r="E514" s="25"/>
      <c r="F514" s="25"/>
      <c r="G514" s="25"/>
      <c r="H514" s="25"/>
      <c r="I514" s="25"/>
      <c r="J514" s="25"/>
      <c r="K514" s="25"/>
      <c r="L514" s="25"/>
      <c r="M514" s="25"/>
      <c r="N514" s="25"/>
      <c r="O514" s="25"/>
      <c r="P514" s="25"/>
      <c r="R514" s="23"/>
      <c r="U514" s="11"/>
    </row>
    <row r="515" spans="1:21" ht="14.25" customHeight="1" x14ac:dyDescent="0.3">
      <c r="A515" s="484"/>
      <c r="C515" s="25"/>
      <c r="D515" s="25"/>
      <c r="E515" s="25"/>
      <c r="F515" s="25"/>
      <c r="G515" s="25"/>
      <c r="H515" s="25"/>
      <c r="I515" s="25"/>
      <c r="J515" s="25"/>
      <c r="K515" s="25"/>
      <c r="L515" s="25"/>
      <c r="M515" s="25"/>
      <c r="N515" s="25"/>
      <c r="O515" s="25"/>
      <c r="P515" s="25"/>
      <c r="R515" s="23"/>
      <c r="U515" s="11"/>
    </row>
    <row r="516" spans="1:21" ht="14.25" customHeight="1" x14ac:dyDescent="0.3">
      <c r="A516" s="484"/>
      <c r="C516" s="25"/>
      <c r="D516" s="25"/>
      <c r="E516" s="25"/>
      <c r="F516" s="25"/>
      <c r="G516" s="25"/>
      <c r="H516" s="25"/>
      <c r="I516" s="25"/>
      <c r="J516" s="25"/>
      <c r="K516" s="25"/>
      <c r="L516" s="25"/>
      <c r="M516" s="25"/>
      <c r="N516" s="25"/>
      <c r="O516" s="25"/>
      <c r="P516" s="25"/>
      <c r="R516" s="23"/>
      <c r="U516" s="11"/>
    </row>
    <row r="517" spans="1:21" ht="14.25" customHeight="1" x14ac:dyDescent="0.3">
      <c r="A517" s="484"/>
      <c r="C517" s="25"/>
      <c r="D517" s="25"/>
      <c r="E517" s="25"/>
      <c r="F517" s="25"/>
      <c r="G517" s="25"/>
      <c r="H517" s="25"/>
      <c r="I517" s="25"/>
      <c r="J517" s="25"/>
      <c r="K517" s="25"/>
      <c r="L517" s="25"/>
      <c r="M517" s="25"/>
      <c r="N517" s="25"/>
      <c r="O517" s="25"/>
      <c r="P517" s="25"/>
      <c r="R517" s="23"/>
      <c r="U517" s="11"/>
    </row>
    <row r="518" spans="1:21" ht="14.25" customHeight="1" x14ac:dyDescent="0.3">
      <c r="A518" s="484"/>
      <c r="C518" s="25"/>
      <c r="D518" s="25"/>
      <c r="E518" s="25"/>
      <c r="F518" s="25"/>
      <c r="G518" s="25"/>
      <c r="H518" s="25"/>
      <c r="I518" s="25"/>
      <c r="J518" s="25"/>
      <c r="K518" s="25"/>
      <c r="L518" s="25"/>
      <c r="M518" s="25"/>
      <c r="N518" s="25"/>
      <c r="O518" s="25"/>
      <c r="P518" s="25"/>
      <c r="R518" s="23"/>
      <c r="U518" s="11"/>
    </row>
    <row r="519" spans="1:21" ht="14.25" customHeight="1" x14ac:dyDescent="0.3">
      <c r="A519" s="484"/>
      <c r="C519" s="25"/>
      <c r="D519" s="25"/>
      <c r="E519" s="25"/>
      <c r="F519" s="25"/>
      <c r="G519" s="25"/>
      <c r="H519" s="25"/>
      <c r="I519" s="25"/>
      <c r="J519" s="25"/>
      <c r="K519" s="25"/>
      <c r="L519" s="25"/>
      <c r="M519" s="25"/>
      <c r="N519" s="25"/>
      <c r="O519" s="25"/>
      <c r="P519" s="25"/>
      <c r="R519" s="23"/>
      <c r="U519" s="11"/>
    </row>
    <row r="520" spans="1:21" ht="14.25" customHeight="1" x14ac:dyDescent="0.3">
      <c r="A520" s="484"/>
      <c r="C520" s="25"/>
      <c r="D520" s="25"/>
      <c r="E520" s="25"/>
      <c r="F520" s="25"/>
      <c r="G520" s="25"/>
      <c r="H520" s="25"/>
      <c r="I520" s="25"/>
      <c r="J520" s="25"/>
      <c r="K520" s="25"/>
      <c r="L520" s="25"/>
      <c r="M520" s="25"/>
      <c r="N520" s="25"/>
      <c r="O520" s="25"/>
      <c r="P520" s="25"/>
      <c r="R520" s="23"/>
      <c r="U520" s="11"/>
    </row>
    <row r="521" spans="1:21" ht="14.25" customHeight="1" x14ac:dyDescent="0.3">
      <c r="A521" s="484"/>
      <c r="C521" s="25"/>
      <c r="D521" s="25"/>
      <c r="E521" s="25"/>
      <c r="F521" s="25"/>
      <c r="G521" s="25"/>
      <c r="H521" s="25"/>
      <c r="I521" s="25"/>
      <c r="J521" s="25"/>
      <c r="K521" s="25"/>
      <c r="L521" s="25"/>
      <c r="M521" s="25"/>
      <c r="N521" s="25"/>
      <c r="O521" s="25"/>
      <c r="P521" s="25"/>
      <c r="R521" s="23"/>
      <c r="U521" s="11"/>
    </row>
    <row r="522" spans="1:21" ht="14.25" customHeight="1" x14ac:dyDescent="0.3">
      <c r="A522" s="484"/>
      <c r="C522" s="25"/>
      <c r="D522" s="25"/>
      <c r="E522" s="25"/>
      <c r="F522" s="25"/>
      <c r="G522" s="25"/>
      <c r="H522" s="25"/>
      <c r="I522" s="25"/>
      <c r="J522" s="25"/>
      <c r="K522" s="25"/>
      <c r="L522" s="25"/>
      <c r="M522" s="25"/>
      <c r="N522" s="25"/>
      <c r="O522" s="25"/>
      <c r="P522" s="25"/>
      <c r="R522" s="23"/>
      <c r="U522" s="11"/>
    </row>
    <row r="523" spans="1:21" ht="14.25" customHeight="1" x14ac:dyDescent="0.3">
      <c r="A523" s="484"/>
      <c r="C523" s="25"/>
      <c r="D523" s="25"/>
      <c r="E523" s="25"/>
      <c r="F523" s="25"/>
      <c r="G523" s="25"/>
      <c r="H523" s="25"/>
      <c r="I523" s="25"/>
      <c r="J523" s="25"/>
      <c r="K523" s="25"/>
      <c r="L523" s="25"/>
      <c r="M523" s="25"/>
      <c r="N523" s="25"/>
      <c r="O523" s="25"/>
      <c r="P523" s="25"/>
      <c r="R523" s="23"/>
      <c r="U523" s="11"/>
    </row>
    <row r="524" spans="1:21" ht="14.25" customHeight="1" x14ac:dyDescent="0.3">
      <c r="A524" s="484"/>
      <c r="C524" s="25"/>
      <c r="D524" s="25"/>
      <c r="E524" s="25"/>
      <c r="F524" s="25"/>
      <c r="G524" s="25"/>
      <c r="H524" s="25"/>
      <c r="I524" s="25"/>
      <c r="J524" s="25"/>
      <c r="K524" s="25"/>
      <c r="L524" s="25"/>
      <c r="M524" s="25"/>
      <c r="N524" s="25"/>
      <c r="O524" s="25"/>
      <c r="P524" s="25"/>
      <c r="R524" s="23"/>
      <c r="U524" s="11"/>
    </row>
    <row r="525" spans="1:21" ht="14.25" customHeight="1" x14ac:dyDescent="0.3">
      <c r="A525" s="484"/>
      <c r="C525" s="25"/>
      <c r="D525" s="25"/>
      <c r="E525" s="25"/>
      <c r="F525" s="25"/>
      <c r="G525" s="25"/>
      <c r="H525" s="25"/>
      <c r="I525" s="25"/>
      <c r="J525" s="25"/>
      <c r="K525" s="25"/>
      <c r="L525" s="25"/>
      <c r="M525" s="25"/>
      <c r="N525" s="25"/>
      <c r="O525" s="25"/>
      <c r="P525" s="25"/>
      <c r="R525" s="23"/>
      <c r="U525" s="11"/>
    </row>
    <row r="526" spans="1:21" ht="14.25" customHeight="1" x14ac:dyDescent="0.3">
      <c r="A526" s="484"/>
      <c r="C526" s="25"/>
      <c r="D526" s="25"/>
      <c r="E526" s="25"/>
      <c r="F526" s="25"/>
      <c r="G526" s="25"/>
      <c r="H526" s="25"/>
      <c r="I526" s="25"/>
      <c r="J526" s="25"/>
      <c r="K526" s="25"/>
      <c r="L526" s="25"/>
      <c r="M526" s="25"/>
      <c r="N526" s="25"/>
      <c r="O526" s="25"/>
      <c r="P526" s="25"/>
      <c r="R526" s="23"/>
      <c r="U526" s="11"/>
    </row>
    <row r="527" spans="1:21" ht="14.25" customHeight="1" x14ac:dyDescent="0.3">
      <c r="A527" s="484"/>
      <c r="C527" s="25"/>
      <c r="D527" s="25"/>
      <c r="E527" s="25"/>
      <c r="F527" s="25"/>
      <c r="G527" s="25"/>
      <c r="H527" s="25"/>
      <c r="I527" s="25"/>
      <c r="J527" s="25"/>
      <c r="K527" s="25"/>
      <c r="L527" s="25"/>
      <c r="M527" s="25"/>
      <c r="N527" s="25"/>
      <c r="O527" s="25"/>
      <c r="P527" s="25"/>
      <c r="R527" s="23"/>
      <c r="U527" s="11"/>
    </row>
    <row r="528" spans="1:21" ht="14.25" customHeight="1" x14ac:dyDescent="0.3">
      <c r="A528" s="484"/>
      <c r="C528" s="25"/>
      <c r="D528" s="25"/>
      <c r="E528" s="25"/>
      <c r="F528" s="25"/>
      <c r="G528" s="25"/>
      <c r="H528" s="25"/>
      <c r="I528" s="25"/>
      <c r="J528" s="25"/>
      <c r="K528" s="25"/>
      <c r="L528" s="25"/>
      <c r="M528" s="25"/>
      <c r="N528" s="25"/>
      <c r="O528" s="25"/>
      <c r="P528" s="25"/>
      <c r="R528" s="23"/>
      <c r="U528" s="11"/>
    </row>
    <row r="529" spans="1:21" ht="14.25" customHeight="1" x14ac:dyDescent="0.3">
      <c r="A529" s="484"/>
      <c r="C529" s="25"/>
      <c r="D529" s="25"/>
      <c r="E529" s="25"/>
      <c r="F529" s="25"/>
      <c r="G529" s="25"/>
      <c r="H529" s="25"/>
      <c r="I529" s="25"/>
      <c r="J529" s="25"/>
      <c r="K529" s="25"/>
      <c r="L529" s="25"/>
      <c r="M529" s="25"/>
      <c r="N529" s="25"/>
      <c r="O529" s="25"/>
      <c r="P529" s="25"/>
      <c r="R529" s="23"/>
      <c r="U529" s="11"/>
    </row>
    <row r="530" spans="1:21" ht="14.25" customHeight="1" x14ac:dyDescent="0.3">
      <c r="A530" s="484"/>
      <c r="C530" s="25"/>
      <c r="D530" s="25"/>
      <c r="E530" s="25"/>
      <c r="F530" s="25"/>
      <c r="G530" s="25"/>
      <c r="H530" s="25"/>
      <c r="I530" s="25"/>
      <c r="J530" s="25"/>
      <c r="K530" s="25"/>
      <c r="L530" s="25"/>
      <c r="M530" s="25"/>
      <c r="N530" s="25"/>
      <c r="O530" s="25"/>
      <c r="P530" s="25"/>
      <c r="R530" s="23"/>
      <c r="U530" s="11"/>
    </row>
    <row r="531" spans="1:21" ht="14.25" customHeight="1" x14ac:dyDescent="0.3">
      <c r="A531" s="484"/>
      <c r="C531" s="25"/>
      <c r="D531" s="25"/>
      <c r="E531" s="25"/>
      <c r="F531" s="25"/>
      <c r="G531" s="25"/>
      <c r="H531" s="25"/>
      <c r="I531" s="25"/>
      <c r="J531" s="25"/>
      <c r="K531" s="25"/>
      <c r="L531" s="25"/>
      <c r="M531" s="25"/>
      <c r="N531" s="25"/>
      <c r="O531" s="25"/>
      <c r="P531" s="25"/>
      <c r="R531" s="23"/>
      <c r="U531" s="11"/>
    </row>
    <row r="532" spans="1:21" ht="14.25" customHeight="1" x14ac:dyDescent="0.3">
      <c r="A532" s="484"/>
      <c r="C532" s="25"/>
      <c r="D532" s="25"/>
      <c r="E532" s="25"/>
      <c r="F532" s="25"/>
      <c r="G532" s="25"/>
      <c r="H532" s="25"/>
      <c r="I532" s="25"/>
      <c r="J532" s="25"/>
      <c r="K532" s="25"/>
      <c r="L532" s="25"/>
      <c r="M532" s="25"/>
      <c r="N532" s="25"/>
      <c r="O532" s="25"/>
      <c r="P532" s="25"/>
      <c r="R532" s="23"/>
      <c r="U532" s="11"/>
    </row>
    <row r="533" spans="1:21" ht="14.25" customHeight="1" x14ac:dyDescent="0.3">
      <c r="A533" s="484"/>
      <c r="C533" s="25"/>
      <c r="D533" s="25"/>
      <c r="E533" s="25"/>
      <c r="F533" s="25"/>
      <c r="G533" s="25"/>
      <c r="H533" s="25"/>
      <c r="I533" s="25"/>
      <c r="J533" s="25"/>
      <c r="K533" s="25"/>
      <c r="L533" s="25"/>
      <c r="M533" s="25"/>
      <c r="N533" s="25"/>
      <c r="O533" s="25"/>
      <c r="P533" s="25"/>
      <c r="R533" s="23"/>
      <c r="U533" s="11"/>
    </row>
    <row r="534" spans="1:21" ht="14.25" customHeight="1" x14ac:dyDescent="0.3">
      <c r="A534" s="484"/>
      <c r="C534" s="25"/>
      <c r="D534" s="25"/>
      <c r="E534" s="25"/>
      <c r="F534" s="25"/>
      <c r="G534" s="25"/>
      <c r="H534" s="25"/>
      <c r="I534" s="25"/>
      <c r="J534" s="25"/>
      <c r="K534" s="25"/>
      <c r="L534" s="25"/>
      <c r="M534" s="25"/>
      <c r="N534" s="25"/>
      <c r="O534" s="25"/>
      <c r="P534" s="25"/>
      <c r="R534" s="23"/>
      <c r="U534" s="11"/>
    </row>
    <row r="535" spans="1:21" ht="14.25" customHeight="1" x14ac:dyDescent="0.3">
      <c r="A535" s="484"/>
      <c r="C535" s="25"/>
      <c r="D535" s="25"/>
      <c r="E535" s="25"/>
      <c r="F535" s="25"/>
      <c r="G535" s="25"/>
      <c r="H535" s="25"/>
      <c r="I535" s="25"/>
      <c r="J535" s="25"/>
      <c r="K535" s="25"/>
      <c r="L535" s="25"/>
      <c r="M535" s="25"/>
      <c r="N535" s="25"/>
      <c r="O535" s="25"/>
      <c r="P535" s="25"/>
      <c r="R535" s="23"/>
      <c r="U535" s="11"/>
    </row>
    <row r="536" spans="1:21" ht="14.25" customHeight="1" x14ac:dyDescent="0.3">
      <c r="A536" s="484"/>
      <c r="C536" s="25"/>
      <c r="D536" s="25"/>
      <c r="E536" s="25"/>
      <c r="F536" s="25"/>
      <c r="G536" s="25"/>
      <c r="H536" s="25"/>
      <c r="I536" s="25"/>
      <c r="J536" s="25"/>
      <c r="K536" s="25"/>
      <c r="L536" s="25"/>
      <c r="M536" s="25"/>
      <c r="N536" s="25"/>
      <c r="O536" s="25"/>
      <c r="P536" s="25"/>
      <c r="R536" s="23"/>
      <c r="U536" s="11"/>
    </row>
    <row r="537" spans="1:21" ht="14.25" customHeight="1" x14ac:dyDescent="0.3">
      <c r="A537" s="484"/>
      <c r="C537" s="25"/>
      <c r="D537" s="25"/>
      <c r="E537" s="25"/>
      <c r="F537" s="25"/>
      <c r="G537" s="25"/>
      <c r="H537" s="25"/>
      <c r="I537" s="25"/>
      <c r="J537" s="25"/>
      <c r="K537" s="25"/>
      <c r="L537" s="25"/>
      <c r="M537" s="25"/>
      <c r="N537" s="25"/>
      <c r="O537" s="25"/>
      <c r="P537" s="25"/>
      <c r="R537" s="23"/>
      <c r="U537" s="11"/>
    </row>
    <row r="538" spans="1:21" ht="14.25" customHeight="1" x14ac:dyDescent="0.3">
      <c r="A538" s="484"/>
      <c r="C538" s="25"/>
      <c r="D538" s="25"/>
      <c r="E538" s="25"/>
      <c r="F538" s="25"/>
      <c r="G538" s="25"/>
      <c r="H538" s="25"/>
      <c r="I538" s="25"/>
      <c r="J538" s="25"/>
      <c r="K538" s="25"/>
      <c r="L538" s="25"/>
      <c r="M538" s="25"/>
      <c r="N538" s="25"/>
      <c r="O538" s="25"/>
      <c r="P538" s="25"/>
      <c r="R538" s="23"/>
      <c r="U538" s="11"/>
    </row>
    <row r="539" spans="1:21" ht="14.25" customHeight="1" x14ac:dyDescent="0.3">
      <c r="A539" s="484"/>
      <c r="C539" s="25"/>
      <c r="D539" s="25"/>
      <c r="E539" s="25"/>
      <c r="F539" s="25"/>
      <c r="G539" s="25"/>
      <c r="H539" s="25"/>
      <c r="I539" s="25"/>
      <c r="J539" s="25"/>
      <c r="K539" s="25"/>
      <c r="L539" s="25"/>
      <c r="M539" s="25"/>
      <c r="N539" s="25"/>
      <c r="O539" s="25"/>
      <c r="P539" s="25"/>
      <c r="R539" s="23"/>
      <c r="U539" s="11"/>
    </row>
    <row r="540" spans="1:21" ht="14.25" customHeight="1" x14ac:dyDescent="0.3">
      <c r="A540" s="484"/>
      <c r="C540" s="25"/>
      <c r="D540" s="25"/>
      <c r="E540" s="25"/>
      <c r="F540" s="25"/>
      <c r="G540" s="25"/>
      <c r="H540" s="25"/>
      <c r="I540" s="25"/>
      <c r="J540" s="25"/>
      <c r="K540" s="25"/>
      <c r="L540" s="25"/>
      <c r="M540" s="25"/>
      <c r="N540" s="25"/>
      <c r="O540" s="25"/>
      <c r="P540" s="25"/>
      <c r="R540" s="23"/>
      <c r="U540" s="11"/>
    </row>
    <row r="541" spans="1:21" ht="14.25" customHeight="1" x14ac:dyDescent="0.3">
      <c r="A541" s="484"/>
      <c r="C541" s="25"/>
      <c r="D541" s="25"/>
      <c r="E541" s="25"/>
      <c r="F541" s="25"/>
      <c r="G541" s="25"/>
      <c r="H541" s="25"/>
      <c r="I541" s="25"/>
      <c r="J541" s="25"/>
      <c r="K541" s="25"/>
      <c r="L541" s="25"/>
      <c r="M541" s="25"/>
      <c r="N541" s="25"/>
      <c r="O541" s="25"/>
      <c r="P541" s="25"/>
      <c r="R541" s="23"/>
      <c r="U541" s="11"/>
    </row>
    <row r="542" spans="1:21" ht="14.25" customHeight="1" x14ac:dyDescent="0.3">
      <c r="A542" s="484"/>
      <c r="C542" s="25"/>
      <c r="D542" s="25"/>
      <c r="E542" s="25"/>
      <c r="F542" s="25"/>
      <c r="G542" s="25"/>
      <c r="H542" s="25"/>
      <c r="I542" s="25"/>
      <c r="J542" s="25"/>
      <c r="K542" s="25"/>
      <c r="L542" s="25"/>
      <c r="M542" s="25"/>
      <c r="N542" s="25"/>
      <c r="O542" s="25"/>
      <c r="P542" s="25"/>
      <c r="R542" s="23"/>
      <c r="U542" s="11"/>
    </row>
    <row r="543" spans="1:21" ht="14.25" customHeight="1" x14ac:dyDescent="0.3">
      <c r="A543" s="484"/>
      <c r="C543" s="25"/>
      <c r="D543" s="25"/>
      <c r="E543" s="25"/>
      <c r="F543" s="25"/>
      <c r="G543" s="25"/>
      <c r="H543" s="25"/>
      <c r="I543" s="25"/>
      <c r="J543" s="25"/>
      <c r="K543" s="25"/>
      <c r="L543" s="25"/>
      <c r="M543" s="25"/>
      <c r="N543" s="25"/>
      <c r="O543" s="25"/>
      <c r="P543" s="25"/>
      <c r="R543" s="23"/>
      <c r="U543" s="11"/>
    </row>
    <row r="544" spans="1:21" ht="14.25" customHeight="1" x14ac:dyDescent="0.3">
      <c r="A544" s="484"/>
      <c r="C544" s="25"/>
      <c r="D544" s="25"/>
      <c r="E544" s="25"/>
      <c r="F544" s="25"/>
      <c r="G544" s="25"/>
      <c r="H544" s="25"/>
      <c r="I544" s="25"/>
      <c r="J544" s="25"/>
      <c r="K544" s="25"/>
      <c r="L544" s="25"/>
      <c r="M544" s="25"/>
      <c r="N544" s="25"/>
      <c r="O544" s="25"/>
      <c r="P544" s="25"/>
      <c r="R544" s="23"/>
      <c r="U544" s="11"/>
    </row>
    <row r="545" spans="1:21" ht="14.25" customHeight="1" x14ac:dyDescent="0.3">
      <c r="A545" s="484"/>
      <c r="C545" s="25"/>
      <c r="D545" s="25"/>
      <c r="E545" s="25"/>
      <c r="F545" s="25"/>
      <c r="G545" s="25"/>
      <c r="H545" s="25"/>
      <c r="I545" s="25"/>
      <c r="J545" s="25"/>
      <c r="K545" s="25"/>
      <c r="L545" s="25"/>
      <c r="M545" s="25"/>
      <c r="N545" s="25"/>
      <c r="O545" s="25"/>
      <c r="P545" s="25"/>
      <c r="R545" s="23"/>
      <c r="U545" s="11"/>
    </row>
    <row r="546" spans="1:21" ht="14.25" customHeight="1" x14ac:dyDescent="0.3">
      <c r="A546" s="484"/>
      <c r="C546" s="25"/>
      <c r="D546" s="25"/>
      <c r="E546" s="25"/>
      <c r="F546" s="25"/>
      <c r="G546" s="25"/>
      <c r="H546" s="25"/>
      <c r="I546" s="25"/>
      <c r="J546" s="25"/>
      <c r="K546" s="25"/>
      <c r="L546" s="25"/>
      <c r="M546" s="25"/>
      <c r="N546" s="25"/>
      <c r="O546" s="25"/>
      <c r="P546" s="25"/>
      <c r="R546" s="23"/>
      <c r="U546" s="11"/>
    </row>
    <row r="547" spans="1:21" ht="14.25" customHeight="1" x14ac:dyDescent="0.3">
      <c r="A547" s="484"/>
      <c r="C547" s="25"/>
      <c r="D547" s="25"/>
      <c r="E547" s="25"/>
      <c r="F547" s="25"/>
      <c r="G547" s="25"/>
      <c r="H547" s="25"/>
      <c r="I547" s="25"/>
      <c r="J547" s="25"/>
      <c r="K547" s="25"/>
      <c r="L547" s="25"/>
      <c r="M547" s="25"/>
      <c r="N547" s="25"/>
      <c r="O547" s="25"/>
      <c r="P547" s="25"/>
      <c r="R547" s="23"/>
      <c r="U547" s="11"/>
    </row>
    <row r="548" spans="1:21" ht="14.25" customHeight="1" x14ac:dyDescent="0.3">
      <c r="A548" s="484"/>
      <c r="C548" s="25"/>
      <c r="D548" s="25"/>
      <c r="E548" s="25"/>
      <c r="F548" s="25"/>
      <c r="G548" s="25"/>
      <c r="H548" s="25"/>
      <c r="I548" s="25"/>
      <c r="J548" s="25"/>
      <c r="K548" s="25"/>
      <c r="L548" s="25"/>
      <c r="M548" s="25"/>
      <c r="N548" s="25"/>
      <c r="O548" s="25"/>
      <c r="P548" s="25"/>
      <c r="R548" s="23"/>
      <c r="U548" s="11"/>
    </row>
    <row r="549" spans="1:21" ht="14.25" customHeight="1" x14ac:dyDescent="0.3">
      <c r="A549" s="484"/>
      <c r="C549" s="25"/>
      <c r="D549" s="25"/>
      <c r="E549" s="25"/>
      <c r="F549" s="25"/>
      <c r="G549" s="25"/>
      <c r="H549" s="25"/>
      <c r="I549" s="25"/>
      <c r="J549" s="25"/>
      <c r="K549" s="25"/>
      <c r="L549" s="25"/>
      <c r="M549" s="25"/>
      <c r="N549" s="25"/>
      <c r="O549" s="25"/>
      <c r="P549" s="25"/>
      <c r="R549" s="23"/>
      <c r="U549" s="11"/>
    </row>
    <row r="550" spans="1:21" ht="14.25" customHeight="1" x14ac:dyDescent="0.3">
      <c r="A550" s="484"/>
      <c r="C550" s="25"/>
      <c r="D550" s="25"/>
      <c r="E550" s="25"/>
      <c r="F550" s="25"/>
      <c r="G550" s="25"/>
      <c r="H550" s="25"/>
      <c r="I550" s="25"/>
      <c r="J550" s="25"/>
      <c r="K550" s="25"/>
      <c r="L550" s="25"/>
      <c r="M550" s="25"/>
      <c r="N550" s="25"/>
      <c r="O550" s="25"/>
      <c r="P550" s="25"/>
      <c r="R550" s="23"/>
      <c r="U550" s="11"/>
    </row>
    <row r="551" spans="1:21" ht="14.25" customHeight="1" x14ac:dyDescent="0.3">
      <c r="A551" s="484"/>
      <c r="C551" s="25"/>
      <c r="D551" s="25"/>
      <c r="E551" s="25"/>
      <c r="F551" s="25"/>
      <c r="G551" s="25"/>
      <c r="H551" s="25"/>
      <c r="I551" s="25"/>
      <c r="J551" s="25"/>
      <c r="K551" s="25"/>
      <c r="L551" s="25"/>
      <c r="M551" s="25"/>
      <c r="N551" s="25"/>
      <c r="O551" s="25"/>
      <c r="P551" s="25"/>
      <c r="R551" s="23"/>
      <c r="U551" s="11"/>
    </row>
    <row r="552" spans="1:21" ht="14.25" customHeight="1" x14ac:dyDescent="0.3">
      <c r="A552" s="484"/>
      <c r="C552" s="25"/>
      <c r="D552" s="25"/>
      <c r="E552" s="25"/>
      <c r="F552" s="25"/>
      <c r="G552" s="25"/>
      <c r="H552" s="25"/>
      <c r="I552" s="25"/>
      <c r="J552" s="25"/>
      <c r="K552" s="25"/>
      <c r="L552" s="25"/>
      <c r="M552" s="25"/>
      <c r="N552" s="25"/>
      <c r="O552" s="25"/>
      <c r="P552" s="25"/>
      <c r="R552" s="23"/>
      <c r="U552" s="11"/>
    </row>
    <row r="553" spans="1:21" ht="14.25" customHeight="1" x14ac:dyDescent="0.3">
      <c r="A553" s="484"/>
      <c r="C553" s="25"/>
      <c r="D553" s="25"/>
      <c r="E553" s="25"/>
      <c r="F553" s="25"/>
      <c r="G553" s="25"/>
      <c r="H553" s="25"/>
      <c r="I553" s="25"/>
      <c r="J553" s="25"/>
      <c r="K553" s="25"/>
      <c r="L553" s="25"/>
      <c r="M553" s="25"/>
      <c r="N553" s="25"/>
      <c r="O553" s="25"/>
      <c r="P553" s="25"/>
      <c r="R553" s="23"/>
      <c r="U553" s="11"/>
    </row>
    <row r="554" spans="1:21" ht="14.25" customHeight="1" x14ac:dyDescent="0.3">
      <c r="A554" s="484"/>
      <c r="C554" s="25"/>
      <c r="D554" s="25"/>
      <c r="E554" s="25"/>
      <c r="F554" s="25"/>
      <c r="G554" s="25"/>
      <c r="H554" s="25"/>
      <c r="I554" s="25"/>
      <c r="J554" s="25"/>
      <c r="K554" s="25"/>
      <c r="L554" s="25"/>
      <c r="M554" s="25"/>
      <c r="N554" s="25"/>
      <c r="O554" s="25"/>
      <c r="P554" s="25"/>
      <c r="R554" s="23"/>
      <c r="U554" s="11"/>
    </row>
    <row r="555" spans="1:21" ht="14.25" customHeight="1" x14ac:dyDescent="0.3">
      <c r="A555" s="484"/>
      <c r="C555" s="25"/>
      <c r="D555" s="25"/>
      <c r="E555" s="25"/>
      <c r="F555" s="25"/>
      <c r="G555" s="25"/>
      <c r="H555" s="25"/>
      <c r="I555" s="25"/>
      <c r="J555" s="25"/>
      <c r="K555" s="25"/>
      <c r="L555" s="25"/>
      <c r="M555" s="25"/>
      <c r="N555" s="25"/>
      <c r="O555" s="25"/>
      <c r="P555" s="25"/>
      <c r="R555" s="23"/>
      <c r="U555" s="11"/>
    </row>
    <row r="556" spans="1:21" ht="14.25" customHeight="1" x14ac:dyDescent="0.3">
      <c r="A556" s="484"/>
      <c r="C556" s="25"/>
      <c r="D556" s="25"/>
      <c r="E556" s="25"/>
      <c r="F556" s="25"/>
      <c r="G556" s="25"/>
      <c r="H556" s="25"/>
      <c r="I556" s="25"/>
      <c r="J556" s="25"/>
      <c r="K556" s="25"/>
      <c r="L556" s="25"/>
      <c r="M556" s="25"/>
      <c r="N556" s="25"/>
      <c r="O556" s="25"/>
      <c r="P556" s="25"/>
      <c r="R556" s="23"/>
      <c r="U556" s="11"/>
    </row>
    <row r="557" spans="1:21" ht="14.25" customHeight="1" x14ac:dyDescent="0.3">
      <c r="A557" s="484"/>
      <c r="C557" s="25"/>
      <c r="D557" s="25"/>
      <c r="E557" s="25"/>
      <c r="F557" s="25"/>
      <c r="G557" s="25"/>
      <c r="H557" s="25"/>
      <c r="I557" s="25"/>
      <c r="J557" s="25"/>
      <c r="K557" s="25"/>
      <c r="L557" s="25"/>
      <c r="M557" s="25"/>
      <c r="N557" s="25"/>
      <c r="O557" s="25"/>
      <c r="P557" s="25"/>
      <c r="R557" s="23"/>
      <c r="U557" s="11"/>
    </row>
    <row r="558" spans="1:21" ht="14.25" customHeight="1" x14ac:dyDescent="0.3">
      <c r="A558" s="484"/>
      <c r="C558" s="25"/>
      <c r="D558" s="25"/>
      <c r="E558" s="25"/>
      <c r="F558" s="25"/>
      <c r="G558" s="25"/>
      <c r="H558" s="25"/>
      <c r="I558" s="25"/>
      <c r="J558" s="25"/>
      <c r="K558" s="25"/>
      <c r="L558" s="25"/>
      <c r="M558" s="25"/>
      <c r="N558" s="25"/>
      <c r="O558" s="25"/>
      <c r="P558" s="25"/>
      <c r="R558" s="23"/>
      <c r="U558" s="11"/>
    </row>
    <row r="559" spans="1:21" ht="14.25" customHeight="1" x14ac:dyDescent="0.3">
      <c r="A559" s="484"/>
      <c r="C559" s="25"/>
      <c r="D559" s="25"/>
      <c r="E559" s="25"/>
      <c r="F559" s="25"/>
      <c r="G559" s="25"/>
      <c r="H559" s="25"/>
      <c r="I559" s="25"/>
      <c r="J559" s="25"/>
      <c r="K559" s="25"/>
      <c r="L559" s="25"/>
      <c r="M559" s="25"/>
      <c r="N559" s="25"/>
      <c r="O559" s="25"/>
      <c r="P559" s="25"/>
      <c r="R559" s="23"/>
      <c r="U559" s="11"/>
    </row>
    <row r="560" spans="1:21" ht="14.25" customHeight="1" x14ac:dyDescent="0.3">
      <c r="A560" s="484"/>
      <c r="C560" s="25"/>
      <c r="D560" s="25"/>
      <c r="E560" s="25"/>
      <c r="F560" s="25"/>
      <c r="G560" s="25"/>
      <c r="H560" s="25"/>
      <c r="I560" s="25"/>
      <c r="J560" s="25"/>
      <c r="K560" s="25"/>
      <c r="L560" s="25"/>
      <c r="M560" s="25"/>
      <c r="N560" s="25"/>
      <c r="O560" s="25"/>
      <c r="P560" s="25"/>
      <c r="R560" s="23"/>
      <c r="U560" s="11"/>
    </row>
    <row r="561" spans="1:21" ht="14.25" customHeight="1" x14ac:dyDescent="0.3">
      <c r="A561" s="484"/>
      <c r="C561" s="25"/>
      <c r="D561" s="25"/>
      <c r="E561" s="25"/>
      <c r="F561" s="25"/>
      <c r="G561" s="25"/>
      <c r="H561" s="25"/>
      <c r="I561" s="25"/>
      <c r="J561" s="25"/>
      <c r="K561" s="25"/>
      <c r="L561" s="25"/>
      <c r="M561" s="25"/>
      <c r="N561" s="25"/>
      <c r="O561" s="25"/>
      <c r="P561" s="25"/>
      <c r="R561" s="23"/>
      <c r="U561" s="11"/>
    </row>
    <row r="562" spans="1:21" ht="14.25" customHeight="1" x14ac:dyDescent="0.3">
      <c r="A562" s="484"/>
      <c r="C562" s="25"/>
      <c r="D562" s="25"/>
      <c r="E562" s="25"/>
      <c r="F562" s="25"/>
      <c r="G562" s="25"/>
      <c r="H562" s="25"/>
      <c r="I562" s="25"/>
      <c r="J562" s="25"/>
      <c r="K562" s="25"/>
      <c r="L562" s="25"/>
      <c r="M562" s="25"/>
      <c r="N562" s="25"/>
      <c r="O562" s="25"/>
      <c r="P562" s="25"/>
      <c r="R562" s="23"/>
      <c r="U562" s="11"/>
    </row>
    <row r="563" spans="1:21" ht="14.25" customHeight="1" x14ac:dyDescent="0.3">
      <c r="A563" s="484"/>
      <c r="C563" s="25"/>
      <c r="D563" s="25"/>
      <c r="E563" s="25"/>
      <c r="F563" s="25"/>
      <c r="G563" s="25"/>
      <c r="H563" s="25"/>
      <c r="I563" s="25"/>
      <c r="J563" s="25"/>
      <c r="K563" s="25"/>
      <c r="L563" s="25"/>
      <c r="M563" s="25"/>
      <c r="N563" s="25"/>
      <c r="O563" s="25"/>
      <c r="P563" s="25"/>
      <c r="R563" s="23"/>
      <c r="U563" s="11"/>
    </row>
    <row r="564" spans="1:21" ht="14.25" customHeight="1" x14ac:dyDescent="0.3">
      <c r="A564" s="484"/>
      <c r="C564" s="25"/>
      <c r="D564" s="25"/>
      <c r="E564" s="25"/>
      <c r="F564" s="25"/>
      <c r="G564" s="25"/>
      <c r="H564" s="25"/>
      <c r="I564" s="25"/>
      <c r="J564" s="25"/>
      <c r="K564" s="25"/>
      <c r="L564" s="25"/>
      <c r="M564" s="25"/>
      <c r="N564" s="25"/>
      <c r="O564" s="25"/>
      <c r="P564" s="25"/>
      <c r="R564" s="23"/>
      <c r="U564" s="11"/>
    </row>
    <row r="565" spans="1:21" ht="14.25" customHeight="1" x14ac:dyDescent="0.3">
      <c r="A565" s="484"/>
      <c r="C565" s="25"/>
      <c r="D565" s="25"/>
      <c r="E565" s="25"/>
      <c r="F565" s="25"/>
      <c r="G565" s="25"/>
      <c r="H565" s="25"/>
      <c r="I565" s="25"/>
      <c r="J565" s="25"/>
      <c r="K565" s="25"/>
      <c r="L565" s="25"/>
      <c r="M565" s="25"/>
      <c r="N565" s="25"/>
      <c r="O565" s="25"/>
      <c r="P565" s="25"/>
      <c r="R565" s="23"/>
      <c r="U565" s="11"/>
    </row>
    <row r="566" spans="1:21" ht="14.25" customHeight="1" x14ac:dyDescent="0.3">
      <c r="A566" s="484"/>
      <c r="C566" s="25"/>
      <c r="D566" s="25"/>
      <c r="E566" s="25"/>
      <c r="F566" s="25"/>
      <c r="G566" s="25"/>
      <c r="H566" s="25"/>
      <c r="I566" s="25"/>
      <c r="J566" s="25"/>
      <c r="K566" s="25"/>
      <c r="L566" s="25"/>
      <c r="M566" s="25"/>
      <c r="N566" s="25"/>
      <c r="O566" s="25"/>
      <c r="P566" s="25"/>
      <c r="R566" s="23"/>
      <c r="U566" s="11"/>
    </row>
    <row r="567" spans="1:21" ht="14.25" customHeight="1" x14ac:dyDescent="0.3">
      <c r="A567" s="484"/>
      <c r="C567" s="25"/>
      <c r="D567" s="25"/>
      <c r="E567" s="25"/>
      <c r="F567" s="25"/>
      <c r="G567" s="25"/>
      <c r="H567" s="25"/>
      <c r="I567" s="25"/>
      <c r="J567" s="25"/>
      <c r="K567" s="25"/>
      <c r="L567" s="25"/>
      <c r="M567" s="25"/>
      <c r="N567" s="25"/>
      <c r="O567" s="25"/>
      <c r="P567" s="25"/>
      <c r="R567" s="23"/>
      <c r="U567" s="11"/>
    </row>
    <row r="568" spans="1:21" ht="14.25" customHeight="1" x14ac:dyDescent="0.3">
      <c r="A568" s="484"/>
      <c r="C568" s="25"/>
      <c r="D568" s="25"/>
      <c r="E568" s="25"/>
      <c r="F568" s="25"/>
      <c r="G568" s="25"/>
      <c r="H568" s="25"/>
      <c r="I568" s="25"/>
      <c r="J568" s="25"/>
      <c r="K568" s="25"/>
      <c r="L568" s="25"/>
      <c r="M568" s="25"/>
      <c r="N568" s="25"/>
      <c r="O568" s="25"/>
      <c r="P568" s="25"/>
      <c r="R568" s="23"/>
      <c r="U568" s="11"/>
    </row>
    <row r="569" spans="1:21" ht="14.25" customHeight="1" x14ac:dyDescent="0.3">
      <c r="A569" s="484"/>
      <c r="C569" s="25"/>
      <c r="D569" s="25"/>
      <c r="E569" s="25"/>
      <c r="F569" s="25"/>
      <c r="G569" s="25"/>
      <c r="H569" s="25"/>
      <c r="I569" s="25"/>
      <c r="J569" s="25"/>
      <c r="K569" s="25"/>
      <c r="L569" s="25"/>
      <c r="M569" s="25"/>
      <c r="N569" s="25"/>
      <c r="O569" s="25"/>
      <c r="P569" s="25"/>
      <c r="R569" s="23"/>
      <c r="U569" s="11"/>
    </row>
    <row r="570" spans="1:21" ht="14.25" customHeight="1" x14ac:dyDescent="0.3">
      <c r="A570" s="484"/>
      <c r="C570" s="25"/>
      <c r="D570" s="25"/>
      <c r="E570" s="25"/>
      <c r="F570" s="25"/>
      <c r="G570" s="25"/>
      <c r="H570" s="25"/>
      <c r="I570" s="25"/>
      <c r="J570" s="25"/>
      <c r="K570" s="25"/>
      <c r="L570" s="25"/>
      <c r="M570" s="25"/>
      <c r="N570" s="25"/>
      <c r="O570" s="25"/>
      <c r="P570" s="25"/>
      <c r="R570" s="23"/>
      <c r="U570" s="11"/>
    </row>
    <row r="571" spans="1:21" ht="14.25" customHeight="1" x14ac:dyDescent="0.3">
      <c r="A571" s="484"/>
      <c r="C571" s="25"/>
      <c r="D571" s="25"/>
      <c r="E571" s="25"/>
      <c r="F571" s="25"/>
      <c r="G571" s="25"/>
      <c r="H571" s="25"/>
      <c r="I571" s="25"/>
      <c r="J571" s="25"/>
      <c r="K571" s="25"/>
      <c r="L571" s="25"/>
      <c r="M571" s="25"/>
      <c r="N571" s="25"/>
      <c r="O571" s="25"/>
      <c r="P571" s="25"/>
      <c r="R571" s="23"/>
      <c r="U571" s="11"/>
    </row>
    <row r="572" spans="1:21" ht="14.25" customHeight="1" x14ac:dyDescent="0.3">
      <c r="A572" s="484"/>
      <c r="C572" s="25"/>
      <c r="D572" s="25"/>
      <c r="E572" s="25"/>
      <c r="F572" s="25"/>
      <c r="G572" s="25"/>
      <c r="H572" s="25"/>
      <c r="I572" s="25"/>
      <c r="J572" s="25"/>
      <c r="K572" s="25"/>
      <c r="L572" s="25"/>
      <c r="M572" s="25"/>
      <c r="N572" s="25"/>
      <c r="O572" s="25"/>
      <c r="P572" s="25"/>
      <c r="R572" s="23"/>
      <c r="U572" s="11"/>
    </row>
    <row r="573" spans="1:21" ht="14.25" customHeight="1" x14ac:dyDescent="0.3">
      <c r="A573" s="484"/>
      <c r="C573" s="25"/>
      <c r="D573" s="25"/>
      <c r="E573" s="25"/>
      <c r="F573" s="25"/>
      <c r="G573" s="25"/>
      <c r="H573" s="25"/>
      <c r="I573" s="25"/>
      <c r="J573" s="25"/>
      <c r="K573" s="25"/>
      <c r="L573" s="25"/>
      <c r="M573" s="25"/>
      <c r="N573" s="25"/>
      <c r="O573" s="25"/>
      <c r="P573" s="25"/>
      <c r="R573" s="23"/>
      <c r="U573" s="11"/>
    </row>
    <row r="574" spans="1:21" ht="14.25" customHeight="1" x14ac:dyDescent="0.3">
      <c r="A574" s="484"/>
      <c r="C574" s="25"/>
      <c r="D574" s="25"/>
      <c r="E574" s="25"/>
      <c r="F574" s="25"/>
      <c r="G574" s="25"/>
      <c r="H574" s="25"/>
      <c r="I574" s="25"/>
      <c r="J574" s="25"/>
      <c r="K574" s="25"/>
      <c r="L574" s="25"/>
      <c r="M574" s="25"/>
      <c r="N574" s="25"/>
      <c r="O574" s="25"/>
      <c r="P574" s="25"/>
      <c r="R574" s="23"/>
      <c r="U574" s="11"/>
    </row>
    <row r="575" spans="1:21" ht="14.25" customHeight="1" x14ac:dyDescent="0.3">
      <c r="A575" s="484"/>
      <c r="C575" s="25"/>
      <c r="D575" s="25"/>
      <c r="E575" s="25"/>
      <c r="F575" s="25"/>
      <c r="G575" s="25"/>
      <c r="H575" s="25"/>
      <c r="I575" s="25"/>
      <c r="J575" s="25"/>
      <c r="K575" s="25"/>
      <c r="L575" s="25"/>
      <c r="M575" s="25"/>
      <c r="N575" s="25"/>
      <c r="O575" s="25"/>
      <c r="P575" s="25"/>
      <c r="R575" s="23"/>
      <c r="U575" s="11"/>
    </row>
    <row r="576" spans="1:21" ht="14.25" customHeight="1" x14ac:dyDescent="0.3">
      <c r="A576" s="484"/>
      <c r="C576" s="25"/>
      <c r="D576" s="25"/>
      <c r="E576" s="25"/>
      <c r="F576" s="25"/>
      <c r="G576" s="25"/>
      <c r="H576" s="25"/>
      <c r="I576" s="25"/>
      <c r="J576" s="25"/>
      <c r="K576" s="25"/>
      <c r="L576" s="25"/>
      <c r="M576" s="25"/>
      <c r="N576" s="25"/>
      <c r="O576" s="25"/>
      <c r="P576" s="25"/>
      <c r="R576" s="23"/>
      <c r="U576" s="11"/>
    </row>
    <row r="577" spans="1:21" ht="14.25" customHeight="1" x14ac:dyDescent="0.3">
      <c r="A577" s="484"/>
      <c r="C577" s="25"/>
      <c r="D577" s="25"/>
      <c r="E577" s="25"/>
      <c r="F577" s="25"/>
      <c r="G577" s="25"/>
      <c r="H577" s="25"/>
      <c r="I577" s="25"/>
      <c r="J577" s="25"/>
      <c r="K577" s="25"/>
      <c r="L577" s="25"/>
      <c r="M577" s="25"/>
      <c r="N577" s="25"/>
      <c r="O577" s="25"/>
      <c r="P577" s="25"/>
      <c r="R577" s="23"/>
      <c r="U577" s="11"/>
    </row>
    <row r="578" spans="1:21" ht="14.25" customHeight="1" x14ac:dyDescent="0.3">
      <c r="A578" s="484"/>
      <c r="C578" s="25"/>
      <c r="D578" s="25"/>
      <c r="E578" s="25"/>
      <c r="F578" s="25"/>
      <c r="G578" s="25"/>
      <c r="H578" s="25"/>
      <c r="I578" s="25"/>
      <c r="J578" s="25"/>
      <c r="K578" s="25"/>
      <c r="L578" s="25"/>
      <c r="M578" s="25"/>
      <c r="N578" s="25"/>
      <c r="O578" s="25"/>
      <c r="P578" s="25"/>
      <c r="R578" s="23"/>
      <c r="U578" s="11"/>
    </row>
    <row r="579" spans="1:21" ht="14.25" customHeight="1" x14ac:dyDescent="0.3">
      <c r="A579" s="484"/>
      <c r="C579" s="25"/>
      <c r="D579" s="25"/>
      <c r="E579" s="25"/>
      <c r="F579" s="25"/>
      <c r="G579" s="25"/>
      <c r="H579" s="25"/>
      <c r="I579" s="25"/>
      <c r="J579" s="25"/>
      <c r="K579" s="25"/>
      <c r="L579" s="25"/>
      <c r="M579" s="25"/>
      <c r="N579" s="25"/>
      <c r="O579" s="25"/>
      <c r="P579" s="25"/>
      <c r="R579" s="23"/>
      <c r="U579" s="11"/>
    </row>
    <row r="580" spans="1:21" ht="14.25" customHeight="1" x14ac:dyDescent="0.3">
      <c r="A580" s="484"/>
      <c r="C580" s="25"/>
      <c r="D580" s="25"/>
      <c r="E580" s="25"/>
      <c r="F580" s="25"/>
      <c r="G580" s="25"/>
      <c r="H580" s="25"/>
      <c r="I580" s="25"/>
      <c r="J580" s="25"/>
      <c r="K580" s="25"/>
      <c r="L580" s="25"/>
      <c r="M580" s="25"/>
      <c r="N580" s="25"/>
      <c r="O580" s="25"/>
      <c r="P580" s="25"/>
      <c r="R580" s="23"/>
      <c r="U580" s="11"/>
    </row>
    <row r="581" spans="1:21" ht="14.25" customHeight="1" x14ac:dyDescent="0.3">
      <c r="A581" s="484"/>
      <c r="C581" s="25"/>
      <c r="D581" s="25"/>
      <c r="E581" s="25"/>
      <c r="F581" s="25"/>
      <c r="G581" s="25"/>
      <c r="H581" s="25"/>
      <c r="I581" s="25"/>
      <c r="J581" s="25"/>
      <c r="K581" s="25"/>
      <c r="L581" s="25"/>
      <c r="M581" s="25"/>
      <c r="N581" s="25"/>
      <c r="O581" s="25"/>
      <c r="P581" s="25"/>
      <c r="R581" s="23"/>
      <c r="U581" s="11"/>
    </row>
    <row r="582" spans="1:21" ht="14.25" customHeight="1" x14ac:dyDescent="0.3">
      <c r="A582" s="484"/>
      <c r="C582" s="25"/>
      <c r="D582" s="25"/>
      <c r="E582" s="25"/>
      <c r="F582" s="25"/>
      <c r="G582" s="25"/>
      <c r="H582" s="25"/>
      <c r="I582" s="25"/>
      <c r="J582" s="25"/>
      <c r="K582" s="25"/>
      <c r="L582" s="25"/>
      <c r="M582" s="25"/>
      <c r="N582" s="25"/>
      <c r="O582" s="25"/>
      <c r="P582" s="25"/>
      <c r="R582" s="23"/>
      <c r="U582" s="11"/>
    </row>
    <row r="583" spans="1:21" ht="14.25" customHeight="1" x14ac:dyDescent="0.3">
      <c r="A583" s="484"/>
      <c r="C583" s="25"/>
      <c r="D583" s="25"/>
      <c r="E583" s="25"/>
      <c r="F583" s="25"/>
      <c r="G583" s="25"/>
      <c r="H583" s="25"/>
      <c r="I583" s="25"/>
      <c r="J583" s="25"/>
      <c r="K583" s="25"/>
      <c r="L583" s="25"/>
      <c r="M583" s="25"/>
      <c r="N583" s="25"/>
      <c r="O583" s="25"/>
      <c r="P583" s="25"/>
      <c r="R583" s="23"/>
      <c r="U583" s="11"/>
    </row>
    <row r="584" spans="1:21" ht="14.25" customHeight="1" x14ac:dyDescent="0.3">
      <c r="A584" s="484"/>
      <c r="C584" s="25"/>
      <c r="D584" s="25"/>
      <c r="E584" s="25"/>
      <c r="F584" s="25"/>
      <c r="G584" s="25"/>
      <c r="H584" s="25"/>
      <c r="I584" s="25"/>
      <c r="J584" s="25"/>
      <c r="K584" s="25"/>
      <c r="L584" s="25"/>
      <c r="M584" s="25"/>
      <c r="N584" s="25"/>
      <c r="O584" s="25"/>
      <c r="P584" s="25"/>
      <c r="R584" s="23"/>
      <c r="U584" s="11"/>
    </row>
    <row r="585" spans="1:21" ht="14.25" customHeight="1" x14ac:dyDescent="0.3">
      <c r="A585" s="484"/>
      <c r="C585" s="25"/>
      <c r="D585" s="25"/>
      <c r="E585" s="25"/>
      <c r="F585" s="25"/>
      <c r="G585" s="25"/>
      <c r="H585" s="25"/>
      <c r="I585" s="25"/>
      <c r="J585" s="25"/>
      <c r="K585" s="25"/>
      <c r="L585" s="25"/>
      <c r="M585" s="25"/>
      <c r="N585" s="25"/>
      <c r="O585" s="25"/>
      <c r="P585" s="25"/>
      <c r="R585" s="23"/>
      <c r="U585" s="11"/>
    </row>
    <row r="586" spans="1:21" ht="14.25" customHeight="1" x14ac:dyDescent="0.3">
      <c r="A586" s="484"/>
      <c r="C586" s="25"/>
      <c r="D586" s="25"/>
      <c r="E586" s="25"/>
      <c r="F586" s="25"/>
      <c r="G586" s="25"/>
      <c r="H586" s="25"/>
      <c r="I586" s="25"/>
      <c r="J586" s="25"/>
      <c r="K586" s="25"/>
      <c r="L586" s="25"/>
      <c r="M586" s="25"/>
      <c r="N586" s="25"/>
      <c r="O586" s="25"/>
      <c r="P586" s="25"/>
      <c r="R586" s="23"/>
      <c r="U586" s="11"/>
    </row>
    <row r="587" spans="1:21" ht="14.25" customHeight="1" x14ac:dyDescent="0.3">
      <c r="A587" s="484"/>
      <c r="C587" s="25"/>
      <c r="D587" s="25"/>
      <c r="E587" s="25"/>
      <c r="F587" s="25"/>
      <c r="G587" s="25"/>
      <c r="H587" s="25"/>
      <c r="I587" s="25"/>
      <c r="J587" s="25"/>
      <c r="K587" s="25"/>
      <c r="L587" s="25"/>
      <c r="M587" s="25"/>
      <c r="N587" s="25"/>
      <c r="O587" s="25"/>
      <c r="P587" s="25"/>
      <c r="R587" s="23"/>
      <c r="U587" s="11"/>
    </row>
    <row r="588" spans="1:21" ht="14.25" customHeight="1" x14ac:dyDescent="0.3">
      <c r="A588" s="484"/>
      <c r="C588" s="25"/>
      <c r="D588" s="25"/>
      <c r="E588" s="25"/>
      <c r="F588" s="25"/>
      <c r="G588" s="25"/>
      <c r="H588" s="25"/>
      <c r="I588" s="25"/>
      <c r="J588" s="25"/>
      <c r="K588" s="25"/>
      <c r="L588" s="25"/>
      <c r="M588" s="25"/>
      <c r="N588" s="25"/>
      <c r="O588" s="25"/>
      <c r="P588" s="25"/>
      <c r="R588" s="23"/>
      <c r="U588" s="11"/>
    </row>
    <row r="589" spans="1:21" ht="14.25" customHeight="1" x14ac:dyDescent="0.3">
      <c r="A589" s="484"/>
      <c r="C589" s="25"/>
      <c r="D589" s="25"/>
      <c r="E589" s="25"/>
      <c r="F589" s="25"/>
      <c r="G589" s="25"/>
      <c r="H589" s="25"/>
      <c r="I589" s="25"/>
      <c r="J589" s="25"/>
      <c r="K589" s="25"/>
      <c r="L589" s="25"/>
      <c r="M589" s="25"/>
      <c r="N589" s="25"/>
      <c r="O589" s="25"/>
      <c r="P589" s="25"/>
      <c r="R589" s="23"/>
      <c r="U589" s="11"/>
    </row>
    <row r="590" spans="1:21" ht="14.25" customHeight="1" x14ac:dyDescent="0.3">
      <c r="A590" s="484"/>
      <c r="C590" s="25"/>
      <c r="D590" s="25"/>
      <c r="E590" s="25"/>
      <c r="F590" s="25"/>
      <c r="G590" s="25"/>
      <c r="H590" s="25"/>
      <c r="I590" s="25"/>
      <c r="J590" s="25"/>
      <c r="K590" s="25"/>
      <c r="L590" s="25"/>
      <c r="M590" s="25"/>
      <c r="N590" s="25"/>
      <c r="O590" s="25"/>
      <c r="P590" s="25"/>
      <c r="R590" s="23"/>
      <c r="U590" s="11"/>
    </row>
    <row r="591" spans="1:21" ht="14.25" customHeight="1" x14ac:dyDescent="0.3">
      <c r="A591" s="484"/>
      <c r="C591" s="25"/>
      <c r="D591" s="25"/>
      <c r="E591" s="25"/>
      <c r="F591" s="25"/>
      <c r="G591" s="25"/>
      <c r="H591" s="25"/>
      <c r="I591" s="25"/>
      <c r="J591" s="25"/>
      <c r="K591" s="25"/>
      <c r="L591" s="25"/>
      <c r="M591" s="25"/>
      <c r="N591" s="25"/>
      <c r="O591" s="25"/>
      <c r="P591" s="25"/>
      <c r="R591" s="23"/>
      <c r="U591" s="11"/>
    </row>
    <row r="592" spans="1:21" ht="14.25" customHeight="1" x14ac:dyDescent="0.3">
      <c r="A592" s="484"/>
      <c r="C592" s="25"/>
      <c r="D592" s="25"/>
      <c r="E592" s="25"/>
      <c r="F592" s="25"/>
      <c r="G592" s="25"/>
      <c r="H592" s="25"/>
      <c r="I592" s="25"/>
      <c r="J592" s="25"/>
      <c r="K592" s="25"/>
      <c r="L592" s="25"/>
      <c r="M592" s="25"/>
      <c r="N592" s="25"/>
      <c r="O592" s="25"/>
      <c r="P592" s="25"/>
      <c r="R592" s="23"/>
      <c r="U592" s="11"/>
    </row>
    <row r="593" spans="1:21" ht="14.25" customHeight="1" x14ac:dyDescent="0.3">
      <c r="A593" s="484"/>
      <c r="C593" s="25"/>
      <c r="D593" s="25"/>
      <c r="E593" s="25"/>
      <c r="F593" s="25"/>
      <c r="G593" s="25"/>
      <c r="H593" s="25"/>
      <c r="I593" s="25"/>
      <c r="J593" s="25"/>
      <c r="K593" s="25"/>
      <c r="L593" s="25"/>
      <c r="M593" s="25"/>
      <c r="N593" s="25"/>
      <c r="O593" s="25"/>
      <c r="P593" s="25"/>
      <c r="R593" s="23"/>
      <c r="U593" s="11"/>
    </row>
    <row r="594" spans="1:21" ht="14.25" customHeight="1" x14ac:dyDescent="0.3">
      <c r="A594" s="484"/>
      <c r="C594" s="25"/>
      <c r="D594" s="25"/>
      <c r="E594" s="25"/>
      <c r="F594" s="25"/>
      <c r="G594" s="25"/>
      <c r="H594" s="25"/>
      <c r="I594" s="25"/>
      <c r="J594" s="25"/>
      <c r="K594" s="25"/>
      <c r="L594" s="25"/>
      <c r="M594" s="25"/>
      <c r="N594" s="25"/>
      <c r="O594" s="25"/>
      <c r="P594" s="25"/>
      <c r="R594" s="23"/>
      <c r="U594" s="11"/>
    </row>
    <row r="595" spans="1:21" ht="14.25" customHeight="1" x14ac:dyDescent="0.3">
      <c r="A595" s="484"/>
      <c r="C595" s="25"/>
      <c r="D595" s="25"/>
      <c r="E595" s="25"/>
      <c r="F595" s="25"/>
      <c r="G595" s="25"/>
      <c r="H595" s="25"/>
      <c r="I595" s="25"/>
      <c r="J595" s="25"/>
      <c r="K595" s="25"/>
      <c r="L595" s="25"/>
      <c r="M595" s="25"/>
      <c r="N595" s="25"/>
      <c r="O595" s="25"/>
      <c r="P595" s="25"/>
      <c r="R595" s="23"/>
      <c r="U595" s="11"/>
    </row>
    <row r="596" spans="1:21" ht="14.25" customHeight="1" x14ac:dyDescent="0.3">
      <c r="A596" s="484"/>
      <c r="C596" s="25"/>
      <c r="D596" s="25"/>
      <c r="E596" s="25"/>
      <c r="F596" s="25"/>
      <c r="G596" s="25"/>
      <c r="H596" s="25"/>
      <c r="I596" s="25"/>
      <c r="J596" s="25"/>
      <c r="K596" s="25"/>
      <c r="L596" s="25"/>
      <c r="M596" s="25"/>
      <c r="N596" s="25"/>
      <c r="O596" s="25"/>
      <c r="P596" s="25"/>
      <c r="R596" s="23"/>
      <c r="U596" s="11"/>
    </row>
    <row r="597" spans="1:21" ht="14.25" customHeight="1" x14ac:dyDescent="0.3">
      <c r="A597" s="484"/>
      <c r="C597" s="25"/>
      <c r="D597" s="25"/>
      <c r="E597" s="25"/>
      <c r="F597" s="25"/>
      <c r="G597" s="25"/>
      <c r="H597" s="25"/>
      <c r="I597" s="25"/>
      <c r="J597" s="25"/>
      <c r="K597" s="25"/>
      <c r="L597" s="25"/>
      <c r="M597" s="25"/>
      <c r="N597" s="25"/>
      <c r="O597" s="25"/>
      <c r="P597" s="25"/>
      <c r="R597" s="23"/>
      <c r="U597" s="11"/>
    </row>
    <row r="598" spans="1:21" ht="14.25" customHeight="1" x14ac:dyDescent="0.3">
      <c r="A598" s="484"/>
      <c r="C598" s="25"/>
      <c r="D598" s="25"/>
      <c r="E598" s="25"/>
      <c r="F598" s="25"/>
      <c r="G598" s="25"/>
      <c r="H598" s="25"/>
      <c r="I598" s="25"/>
      <c r="J598" s="25"/>
      <c r="K598" s="25"/>
      <c r="L598" s="25"/>
      <c r="M598" s="25"/>
      <c r="N598" s="25"/>
      <c r="O598" s="25"/>
      <c r="P598" s="25"/>
      <c r="R598" s="23"/>
      <c r="U598" s="11"/>
    </row>
    <row r="599" spans="1:21" ht="14.25" customHeight="1" x14ac:dyDescent="0.3">
      <c r="A599" s="484"/>
      <c r="C599" s="25"/>
      <c r="D599" s="25"/>
      <c r="E599" s="25"/>
      <c r="F599" s="25"/>
      <c r="G599" s="25"/>
      <c r="H599" s="25"/>
      <c r="I599" s="25"/>
      <c r="J599" s="25"/>
      <c r="K599" s="25"/>
      <c r="L599" s="25"/>
      <c r="M599" s="25"/>
      <c r="N599" s="25"/>
      <c r="O599" s="25"/>
      <c r="P599" s="25"/>
      <c r="R599" s="23"/>
      <c r="U599" s="11"/>
    </row>
    <row r="600" spans="1:21" ht="14.25" customHeight="1" x14ac:dyDescent="0.3">
      <c r="A600" s="484"/>
      <c r="C600" s="25"/>
      <c r="D600" s="25"/>
      <c r="E600" s="25"/>
      <c r="F600" s="25"/>
      <c r="G600" s="25"/>
      <c r="H600" s="25"/>
      <c r="I600" s="25"/>
      <c r="J600" s="25"/>
      <c r="K600" s="25"/>
      <c r="L600" s="25"/>
      <c r="M600" s="25"/>
      <c r="N600" s="25"/>
      <c r="O600" s="25"/>
      <c r="P600" s="25"/>
      <c r="R600" s="23"/>
      <c r="U600" s="11"/>
    </row>
    <row r="601" spans="1:21" ht="14.25" customHeight="1" x14ac:dyDescent="0.3">
      <c r="A601" s="484"/>
      <c r="C601" s="25"/>
      <c r="D601" s="25"/>
      <c r="E601" s="25"/>
      <c r="F601" s="25"/>
      <c r="G601" s="25"/>
      <c r="H601" s="25"/>
      <c r="I601" s="25"/>
      <c r="J601" s="25"/>
      <c r="K601" s="25"/>
      <c r="L601" s="25"/>
      <c r="M601" s="25"/>
      <c r="N601" s="25"/>
      <c r="O601" s="25"/>
      <c r="P601" s="25"/>
      <c r="R601" s="23"/>
      <c r="U601" s="11"/>
    </row>
    <row r="602" spans="1:21" ht="14.25" customHeight="1" x14ac:dyDescent="0.3">
      <c r="A602" s="484"/>
      <c r="C602" s="25"/>
      <c r="D602" s="25"/>
      <c r="E602" s="25"/>
      <c r="F602" s="25"/>
      <c r="G602" s="25"/>
      <c r="H602" s="25"/>
      <c r="I602" s="25"/>
      <c r="J602" s="25"/>
      <c r="K602" s="25"/>
      <c r="L602" s="25"/>
      <c r="M602" s="25"/>
      <c r="N602" s="25"/>
      <c r="O602" s="25"/>
      <c r="P602" s="25"/>
      <c r="R602" s="23"/>
      <c r="U602" s="11"/>
    </row>
    <row r="603" spans="1:21" ht="14.25" customHeight="1" x14ac:dyDescent="0.3">
      <c r="A603" s="484"/>
      <c r="C603" s="25"/>
      <c r="D603" s="25"/>
      <c r="E603" s="25"/>
      <c r="F603" s="25"/>
      <c r="G603" s="25"/>
      <c r="H603" s="25"/>
      <c r="I603" s="25"/>
      <c r="J603" s="25"/>
      <c r="K603" s="25"/>
      <c r="L603" s="25"/>
      <c r="M603" s="25"/>
      <c r="N603" s="25"/>
      <c r="O603" s="25"/>
      <c r="P603" s="25"/>
      <c r="R603" s="23"/>
      <c r="U603" s="11"/>
    </row>
    <row r="604" spans="1:21" ht="14.25" customHeight="1" x14ac:dyDescent="0.3">
      <c r="A604" s="484"/>
      <c r="C604" s="25"/>
      <c r="D604" s="25"/>
      <c r="E604" s="25"/>
      <c r="F604" s="25"/>
      <c r="G604" s="25"/>
      <c r="H604" s="25"/>
      <c r="I604" s="25"/>
      <c r="J604" s="25"/>
      <c r="K604" s="25"/>
      <c r="L604" s="25"/>
      <c r="M604" s="25"/>
      <c r="N604" s="25"/>
      <c r="O604" s="25"/>
      <c r="P604" s="25"/>
      <c r="R604" s="23"/>
      <c r="U604" s="11"/>
    </row>
    <row r="605" spans="1:21" ht="14.25" customHeight="1" x14ac:dyDescent="0.3">
      <c r="A605" s="484"/>
      <c r="C605" s="25"/>
      <c r="D605" s="25"/>
      <c r="E605" s="25"/>
      <c r="F605" s="25"/>
      <c r="G605" s="25"/>
      <c r="H605" s="25"/>
      <c r="I605" s="25"/>
      <c r="J605" s="25"/>
      <c r="K605" s="25"/>
      <c r="L605" s="25"/>
      <c r="M605" s="25"/>
      <c r="N605" s="25"/>
      <c r="O605" s="25"/>
      <c r="P605" s="25"/>
      <c r="R605" s="23"/>
      <c r="U605" s="11"/>
    </row>
    <row r="606" spans="1:21" ht="14.25" customHeight="1" x14ac:dyDescent="0.3">
      <c r="A606" s="484"/>
      <c r="C606" s="25"/>
      <c r="D606" s="25"/>
      <c r="E606" s="25"/>
      <c r="F606" s="25"/>
      <c r="G606" s="25"/>
      <c r="H606" s="25"/>
      <c r="I606" s="25"/>
      <c r="J606" s="25"/>
      <c r="K606" s="25"/>
      <c r="L606" s="25"/>
      <c r="M606" s="25"/>
      <c r="N606" s="25"/>
      <c r="O606" s="25"/>
      <c r="P606" s="25"/>
      <c r="R606" s="23"/>
      <c r="U606" s="11"/>
    </row>
    <row r="607" spans="1:21" ht="14.25" customHeight="1" x14ac:dyDescent="0.3">
      <c r="A607" s="484"/>
      <c r="C607" s="25"/>
      <c r="D607" s="25"/>
      <c r="E607" s="25"/>
      <c r="F607" s="25"/>
      <c r="G607" s="25"/>
      <c r="H607" s="25"/>
      <c r="I607" s="25"/>
      <c r="J607" s="25"/>
      <c r="K607" s="25"/>
      <c r="L607" s="25"/>
      <c r="M607" s="25"/>
      <c r="N607" s="25"/>
      <c r="O607" s="25"/>
      <c r="P607" s="25"/>
      <c r="R607" s="23"/>
      <c r="U607" s="11"/>
    </row>
    <row r="608" spans="1:21" ht="14.25" customHeight="1" x14ac:dyDescent="0.3">
      <c r="A608" s="484"/>
      <c r="C608" s="25"/>
      <c r="D608" s="25"/>
      <c r="E608" s="25"/>
      <c r="F608" s="25"/>
      <c r="G608" s="25"/>
      <c r="H608" s="25"/>
      <c r="I608" s="25"/>
      <c r="J608" s="25"/>
      <c r="K608" s="25"/>
      <c r="L608" s="25"/>
      <c r="M608" s="25"/>
      <c r="N608" s="25"/>
      <c r="O608" s="25"/>
      <c r="P608" s="25"/>
      <c r="R608" s="23"/>
      <c r="U608" s="11"/>
    </row>
    <row r="609" spans="1:21" ht="14.25" customHeight="1" x14ac:dyDescent="0.3">
      <c r="A609" s="484"/>
      <c r="C609" s="25"/>
      <c r="D609" s="25"/>
      <c r="E609" s="25"/>
      <c r="F609" s="25"/>
      <c r="G609" s="25"/>
      <c r="H609" s="25"/>
      <c r="I609" s="25"/>
      <c r="J609" s="25"/>
      <c r="K609" s="25"/>
      <c r="L609" s="25"/>
      <c r="M609" s="25"/>
      <c r="N609" s="25"/>
      <c r="O609" s="25"/>
      <c r="P609" s="25"/>
      <c r="R609" s="23"/>
      <c r="U609" s="11"/>
    </row>
    <row r="610" spans="1:21" ht="14.25" customHeight="1" x14ac:dyDescent="0.3">
      <c r="A610" s="484"/>
      <c r="C610" s="25"/>
      <c r="D610" s="25"/>
      <c r="E610" s="25"/>
      <c r="F610" s="25"/>
      <c r="G610" s="25"/>
      <c r="H610" s="25"/>
      <c r="I610" s="25"/>
      <c r="J610" s="25"/>
      <c r="K610" s="25"/>
      <c r="L610" s="25"/>
      <c r="M610" s="25"/>
      <c r="N610" s="25"/>
      <c r="O610" s="25"/>
      <c r="P610" s="25"/>
      <c r="R610" s="23"/>
      <c r="U610" s="11"/>
    </row>
    <row r="611" spans="1:21" ht="14.25" customHeight="1" x14ac:dyDescent="0.3">
      <c r="A611" s="484"/>
      <c r="C611" s="25"/>
      <c r="D611" s="25"/>
      <c r="E611" s="25"/>
      <c r="F611" s="25"/>
      <c r="G611" s="25"/>
      <c r="H611" s="25"/>
      <c r="I611" s="25"/>
      <c r="J611" s="25"/>
      <c r="K611" s="25"/>
      <c r="L611" s="25"/>
      <c r="M611" s="25"/>
      <c r="N611" s="25"/>
      <c r="O611" s="25"/>
      <c r="P611" s="25"/>
      <c r="R611" s="23"/>
      <c r="U611" s="11"/>
    </row>
    <row r="612" spans="1:21" ht="14.25" customHeight="1" x14ac:dyDescent="0.3">
      <c r="A612" s="484"/>
      <c r="C612" s="25"/>
      <c r="D612" s="25"/>
      <c r="E612" s="25"/>
      <c r="F612" s="25"/>
      <c r="G612" s="25"/>
      <c r="H612" s="25"/>
      <c r="I612" s="25"/>
      <c r="J612" s="25"/>
      <c r="K612" s="25"/>
      <c r="L612" s="25"/>
      <c r="M612" s="25"/>
      <c r="N612" s="25"/>
      <c r="O612" s="25"/>
      <c r="P612" s="25"/>
      <c r="R612" s="23"/>
      <c r="U612" s="11"/>
    </row>
    <row r="613" spans="1:21" ht="14.25" customHeight="1" x14ac:dyDescent="0.3">
      <c r="A613" s="484"/>
      <c r="C613" s="25"/>
      <c r="D613" s="25"/>
      <c r="E613" s="25"/>
      <c r="F613" s="25"/>
      <c r="G613" s="25"/>
      <c r="H613" s="25"/>
      <c r="I613" s="25"/>
      <c r="J613" s="25"/>
      <c r="K613" s="25"/>
      <c r="L613" s="25"/>
      <c r="M613" s="25"/>
      <c r="N613" s="25"/>
      <c r="O613" s="25"/>
      <c r="P613" s="25"/>
      <c r="R613" s="23"/>
      <c r="U613" s="11"/>
    </row>
    <row r="614" spans="1:21" ht="14.25" customHeight="1" x14ac:dyDescent="0.3">
      <c r="A614" s="484"/>
      <c r="C614" s="25"/>
      <c r="D614" s="25"/>
      <c r="E614" s="25"/>
      <c r="F614" s="25"/>
      <c r="G614" s="25"/>
      <c r="H614" s="25"/>
      <c r="I614" s="25"/>
      <c r="J614" s="25"/>
      <c r="K614" s="25"/>
      <c r="L614" s="25"/>
      <c r="M614" s="25"/>
      <c r="N614" s="25"/>
      <c r="O614" s="25"/>
      <c r="P614" s="25"/>
      <c r="R614" s="23"/>
      <c r="U614" s="11"/>
    </row>
    <row r="615" spans="1:21" ht="14.25" customHeight="1" x14ac:dyDescent="0.3">
      <c r="A615" s="484"/>
      <c r="C615" s="25"/>
      <c r="D615" s="25"/>
      <c r="E615" s="25"/>
      <c r="F615" s="25"/>
      <c r="G615" s="25"/>
      <c r="H615" s="25"/>
      <c r="I615" s="25"/>
      <c r="J615" s="25"/>
      <c r="K615" s="25"/>
      <c r="L615" s="25"/>
      <c r="M615" s="25"/>
      <c r="N615" s="25"/>
      <c r="O615" s="25"/>
      <c r="P615" s="25"/>
      <c r="R615" s="23"/>
      <c r="U615" s="11"/>
    </row>
    <row r="616" spans="1:21" ht="14.25" customHeight="1" x14ac:dyDescent="0.3">
      <c r="A616" s="484"/>
      <c r="C616" s="25"/>
      <c r="D616" s="25"/>
      <c r="E616" s="25"/>
      <c r="F616" s="25"/>
      <c r="G616" s="25"/>
      <c r="H616" s="25"/>
      <c r="I616" s="25"/>
      <c r="J616" s="25"/>
      <c r="K616" s="25"/>
      <c r="L616" s="25"/>
      <c r="M616" s="25"/>
      <c r="N616" s="25"/>
      <c r="O616" s="25"/>
      <c r="P616" s="25"/>
      <c r="R616" s="23"/>
      <c r="U616" s="11"/>
    </row>
    <row r="617" spans="1:21" ht="14.25" customHeight="1" x14ac:dyDescent="0.3">
      <c r="A617" s="484"/>
      <c r="C617" s="25"/>
      <c r="D617" s="25"/>
      <c r="E617" s="25"/>
      <c r="F617" s="25"/>
      <c r="G617" s="25"/>
      <c r="H617" s="25"/>
      <c r="I617" s="25"/>
      <c r="J617" s="25"/>
      <c r="K617" s="25"/>
      <c r="L617" s="25"/>
      <c r="M617" s="25"/>
      <c r="N617" s="25"/>
      <c r="O617" s="25"/>
      <c r="P617" s="25"/>
      <c r="R617" s="23"/>
      <c r="U617" s="11"/>
    </row>
    <row r="618" spans="1:21" ht="14.25" customHeight="1" x14ac:dyDescent="0.3">
      <c r="A618" s="484"/>
      <c r="C618" s="25"/>
      <c r="D618" s="25"/>
      <c r="E618" s="25"/>
      <c r="F618" s="25"/>
      <c r="G618" s="25"/>
      <c r="H618" s="25"/>
      <c r="I618" s="25"/>
      <c r="J618" s="25"/>
      <c r="K618" s="25"/>
      <c r="L618" s="25"/>
      <c r="M618" s="25"/>
      <c r="N618" s="25"/>
      <c r="O618" s="25"/>
      <c r="P618" s="25"/>
      <c r="R618" s="23"/>
      <c r="U618" s="11"/>
    </row>
    <row r="619" spans="1:21" ht="14.25" customHeight="1" x14ac:dyDescent="0.3">
      <c r="A619" s="484"/>
      <c r="C619" s="25"/>
      <c r="D619" s="25"/>
      <c r="E619" s="25"/>
      <c r="F619" s="25"/>
      <c r="G619" s="25"/>
      <c r="H619" s="25"/>
      <c r="I619" s="25"/>
      <c r="J619" s="25"/>
      <c r="K619" s="25"/>
      <c r="L619" s="25"/>
      <c r="M619" s="25"/>
      <c r="N619" s="25"/>
      <c r="O619" s="25"/>
      <c r="P619" s="25"/>
      <c r="R619" s="23"/>
      <c r="U619" s="11"/>
    </row>
    <row r="620" spans="1:21" ht="14.25" customHeight="1" x14ac:dyDescent="0.3">
      <c r="A620" s="484"/>
      <c r="C620" s="25"/>
      <c r="D620" s="25"/>
      <c r="E620" s="25"/>
      <c r="F620" s="25"/>
      <c r="G620" s="25"/>
      <c r="H620" s="25"/>
      <c r="I620" s="25"/>
      <c r="J620" s="25"/>
      <c r="K620" s="25"/>
      <c r="L620" s="25"/>
      <c r="M620" s="25"/>
      <c r="N620" s="25"/>
      <c r="O620" s="25"/>
      <c r="P620" s="25"/>
      <c r="R620" s="23"/>
      <c r="U620" s="11"/>
    </row>
    <row r="621" spans="1:21" ht="14.25" customHeight="1" x14ac:dyDescent="0.3">
      <c r="A621" s="484"/>
      <c r="C621" s="25"/>
      <c r="D621" s="25"/>
      <c r="E621" s="25"/>
      <c r="F621" s="25"/>
      <c r="G621" s="25"/>
      <c r="H621" s="25"/>
      <c r="I621" s="25"/>
      <c r="J621" s="25"/>
      <c r="K621" s="25"/>
      <c r="L621" s="25"/>
      <c r="M621" s="25"/>
      <c r="N621" s="25"/>
      <c r="O621" s="25"/>
      <c r="P621" s="25"/>
      <c r="R621" s="23"/>
      <c r="U621" s="11"/>
    </row>
    <row r="622" spans="1:21" ht="14.25" customHeight="1" x14ac:dyDescent="0.3">
      <c r="A622" s="484"/>
      <c r="C622" s="25"/>
      <c r="D622" s="25"/>
      <c r="E622" s="25"/>
      <c r="F622" s="25"/>
      <c r="G622" s="25"/>
      <c r="H622" s="25"/>
      <c r="I622" s="25"/>
      <c r="J622" s="25"/>
      <c r="K622" s="25"/>
      <c r="L622" s="25"/>
      <c r="M622" s="25"/>
      <c r="N622" s="25"/>
      <c r="O622" s="25"/>
      <c r="P622" s="25"/>
      <c r="R622" s="23"/>
      <c r="U622" s="11"/>
    </row>
    <row r="623" spans="1:21" ht="14.25" customHeight="1" x14ac:dyDescent="0.3">
      <c r="A623" s="484"/>
      <c r="C623" s="25"/>
      <c r="D623" s="25"/>
      <c r="E623" s="25"/>
      <c r="F623" s="25"/>
      <c r="G623" s="25"/>
      <c r="H623" s="25"/>
      <c r="I623" s="25"/>
      <c r="J623" s="25"/>
      <c r="K623" s="25"/>
      <c r="L623" s="25"/>
      <c r="M623" s="25"/>
      <c r="N623" s="25"/>
      <c r="O623" s="25"/>
      <c r="P623" s="25"/>
      <c r="R623" s="23"/>
      <c r="U623" s="11"/>
    </row>
    <row r="624" spans="1:21" ht="14.25" customHeight="1" x14ac:dyDescent="0.3">
      <c r="A624" s="484"/>
      <c r="C624" s="25"/>
      <c r="D624" s="25"/>
      <c r="E624" s="25"/>
      <c r="F624" s="25"/>
      <c r="G624" s="25"/>
      <c r="H624" s="25"/>
      <c r="I624" s="25"/>
      <c r="J624" s="25"/>
      <c r="K624" s="25"/>
      <c r="L624" s="25"/>
      <c r="M624" s="25"/>
      <c r="N624" s="25"/>
      <c r="O624" s="25"/>
      <c r="P624" s="25"/>
      <c r="R624" s="23"/>
      <c r="U624" s="11"/>
    </row>
    <row r="625" spans="1:21" ht="14.25" customHeight="1" x14ac:dyDescent="0.3">
      <c r="A625" s="484"/>
      <c r="C625" s="25"/>
      <c r="D625" s="25"/>
      <c r="E625" s="25"/>
      <c r="F625" s="25"/>
      <c r="G625" s="25"/>
      <c r="H625" s="25"/>
      <c r="I625" s="25"/>
      <c r="J625" s="25"/>
      <c r="K625" s="25"/>
      <c r="L625" s="25"/>
      <c r="M625" s="25"/>
      <c r="N625" s="25"/>
      <c r="O625" s="25"/>
      <c r="P625" s="25"/>
      <c r="R625" s="23"/>
      <c r="U625" s="11"/>
    </row>
    <row r="626" spans="1:21" ht="14.25" customHeight="1" x14ac:dyDescent="0.3">
      <c r="A626" s="484"/>
      <c r="C626" s="25"/>
      <c r="D626" s="25"/>
      <c r="E626" s="25"/>
      <c r="F626" s="25"/>
      <c r="G626" s="25"/>
      <c r="H626" s="25"/>
      <c r="I626" s="25"/>
      <c r="J626" s="25"/>
      <c r="K626" s="25"/>
      <c r="L626" s="25"/>
      <c r="M626" s="25"/>
      <c r="N626" s="25"/>
      <c r="O626" s="25"/>
      <c r="P626" s="25"/>
      <c r="R626" s="23"/>
      <c r="U626" s="11"/>
    </row>
    <row r="627" spans="1:21" ht="14.25" customHeight="1" x14ac:dyDescent="0.3">
      <c r="A627" s="484"/>
      <c r="C627" s="25"/>
      <c r="D627" s="25"/>
      <c r="E627" s="25"/>
      <c r="F627" s="25"/>
      <c r="G627" s="25"/>
      <c r="H627" s="25"/>
      <c r="I627" s="25"/>
      <c r="J627" s="25"/>
      <c r="K627" s="25"/>
      <c r="L627" s="25"/>
      <c r="M627" s="25"/>
      <c r="N627" s="25"/>
      <c r="O627" s="25"/>
      <c r="P627" s="25"/>
      <c r="R627" s="23"/>
      <c r="U627" s="11"/>
    </row>
    <row r="628" spans="1:21" ht="14.25" customHeight="1" x14ac:dyDescent="0.3">
      <c r="A628" s="484"/>
      <c r="C628" s="25"/>
      <c r="D628" s="25"/>
      <c r="E628" s="25"/>
      <c r="F628" s="25"/>
      <c r="G628" s="25"/>
      <c r="H628" s="25"/>
      <c r="I628" s="25"/>
      <c r="J628" s="25"/>
      <c r="K628" s="25"/>
      <c r="L628" s="25"/>
      <c r="M628" s="25"/>
      <c r="N628" s="25"/>
      <c r="O628" s="25"/>
      <c r="P628" s="25"/>
      <c r="R628" s="23"/>
      <c r="U628" s="11"/>
    </row>
    <row r="629" spans="1:21" ht="14.25" customHeight="1" x14ac:dyDescent="0.3">
      <c r="A629" s="484"/>
      <c r="C629" s="25"/>
      <c r="D629" s="25"/>
      <c r="E629" s="25"/>
      <c r="F629" s="25"/>
      <c r="G629" s="25"/>
      <c r="H629" s="25"/>
      <c r="I629" s="25"/>
      <c r="J629" s="25"/>
      <c r="K629" s="25"/>
      <c r="L629" s="25"/>
      <c r="M629" s="25"/>
      <c r="N629" s="25"/>
      <c r="O629" s="25"/>
      <c r="P629" s="25"/>
      <c r="R629" s="23"/>
      <c r="U629" s="11"/>
    </row>
    <row r="630" spans="1:21" ht="14.25" customHeight="1" x14ac:dyDescent="0.3">
      <c r="A630" s="484"/>
      <c r="C630" s="25"/>
      <c r="D630" s="25"/>
      <c r="E630" s="25"/>
      <c r="F630" s="25"/>
      <c r="G630" s="25"/>
      <c r="H630" s="25"/>
      <c r="I630" s="25"/>
      <c r="J630" s="25"/>
      <c r="K630" s="25"/>
      <c r="L630" s="25"/>
      <c r="M630" s="25"/>
      <c r="N630" s="25"/>
      <c r="O630" s="25"/>
      <c r="P630" s="25"/>
      <c r="R630" s="23"/>
      <c r="U630" s="11"/>
    </row>
    <row r="631" spans="1:21" ht="14.25" customHeight="1" x14ac:dyDescent="0.3">
      <c r="A631" s="484"/>
      <c r="C631" s="25"/>
      <c r="D631" s="25"/>
      <c r="E631" s="25"/>
      <c r="F631" s="25"/>
      <c r="G631" s="25"/>
      <c r="H631" s="25"/>
      <c r="I631" s="25"/>
      <c r="J631" s="25"/>
      <c r="K631" s="25"/>
      <c r="L631" s="25"/>
      <c r="M631" s="25"/>
      <c r="N631" s="25"/>
      <c r="O631" s="25"/>
      <c r="P631" s="25"/>
      <c r="R631" s="23"/>
      <c r="U631" s="11"/>
    </row>
    <row r="632" spans="1:21" ht="14.25" customHeight="1" x14ac:dyDescent="0.3">
      <c r="A632" s="484"/>
      <c r="C632" s="25"/>
      <c r="D632" s="25"/>
      <c r="E632" s="25"/>
      <c r="F632" s="25"/>
      <c r="G632" s="25"/>
      <c r="H632" s="25"/>
      <c r="I632" s="25"/>
      <c r="J632" s="25"/>
      <c r="K632" s="25"/>
      <c r="L632" s="25"/>
      <c r="M632" s="25"/>
      <c r="N632" s="25"/>
      <c r="O632" s="25"/>
      <c r="P632" s="25"/>
      <c r="R632" s="23"/>
      <c r="U632" s="11"/>
    </row>
    <row r="633" spans="1:21" ht="14.25" customHeight="1" x14ac:dyDescent="0.3">
      <c r="A633" s="484"/>
      <c r="C633" s="25"/>
      <c r="D633" s="25"/>
      <c r="E633" s="25"/>
      <c r="F633" s="25"/>
      <c r="G633" s="25"/>
      <c r="H633" s="25"/>
      <c r="I633" s="25"/>
      <c r="J633" s="25"/>
      <c r="K633" s="25"/>
      <c r="L633" s="25"/>
      <c r="M633" s="25"/>
      <c r="N633" s="25"/>
      <c r="O633" s="25"/>
      <c r="P633" s="25"/>
      <c r="R633" s="23"/>
      <c r="U633" s="11"/>
    </row>
    <row r="634" spans="1:21" ht="14.25" customHeight="1" x14ac:dyDescent="0.3">
      <c r="A634" s="484"/>
      <c r="C634" s="25"/>
      <c r="D634" s="25"/>
      <c r="E634" s="25"/>
      <c r="F634" s="25"/>
      <c r="G634" s="25"/>
      <c r="H634" s="25"/>
      <c r="I634" s="25"/>
      <c r="J634" s="25"/>
      <c r="K634" s="25"/>
      <c r="L634" s="25"/>
      <c r="M634" s="25"/>
      <c r="N634" s="25"/>
      <c r="O634" s="25"/>
      <c r="P634" s="25"/>
      <c r="R634" s="23"/>
      <c r="U634" s="11"/>
    </row>
    <row r="635" spans="1:21" ht="14.25" customHeight="1" x14ac:dyDescent="0.3">
      <c r="A635" s="484"/>
      <c r="C635" s="25"/>
      <c r="D635" s="25"/>
      <c r="E635" s="25"/>
      <c r="F635" s="25"/>
      <c r="G635" s="25"/>
      <c r="H635" s="25"/>
      <c r="I635" s="25"/>
      <c r="J635" s="25"/>
      <c r="K635" s="25"/>
      <c r="L635" s="25"/>
      <c r="M635" s="25"/>
      <c r="N635" s="25"/>
      <c r="O635" s="25"/>
      <c r="P635" s="25"/>
      <c r="R635" s="23"/>
      <c r="U635" s="11"/>
    </row>
    <row r="636" spans="1:21" ht="14.25" customHeight="1" x14ac:dyDescent="0.3">
      <c r="A636" s="484"/>
      <c r="C636" s="25"/>
      <c r="D636" s="25"/>
      <c r="E636" s="25"/>
      <c r="F636" s="25"/>
      <c r="G636" s="25"/>
      <c r="H636" s="25"/>
      <c r="I636" s="25"/>
      <c r="J636" s="25"/>
      <c r="K636" s="25"/>
      <c r="L636" s="25"/>
      <c r="M636" s="25"/>
      <c r="N636" s="25"/>
      <c r="O636" s="25"/>
      <c r="P636" s="25"/>
      <c r="R636" s="23"/>
      <c r="U636" s="11"/>
    </row>
    <row r="637" spans="1:21" ht="14.25" customHeight="1" x14ac:dyDescent="0.3">
      <c r="A637" s="484"/>
      <c r="C637" s="25"/>
      <c r="D637" s="25"/>
      <c r="E637" s="25"/>
      <c r="F637" s="25"/>
      <c r="G637" s="25"/>
      <c r="H637" s="25"/>
      <c r="I637" s="25"/>
      <c r="J637" s="25"/>
      <c r="K637" s="25"/>
      <c r="L637" s="25"/>
      <c r="M637" s="25"/>
      <c r="N637" s="25"/>
      <c r="O637" s="25"/>
      <c r="P637" s="25"/>
      <c r="R637" s="23"/>
      <c r="U637" s="11"/>
    </row>
    <row r="638" spans="1:21" ht="14.25" customHeight="1" x14ac:dyDescent="0.3">
      <c r="A638" s="484"/>
      <c r="C638" s="25"/>
      <c r="D638" s="25"/>
      <c r="E638" s="25"/>
      <c r="F638" s="25"/>
      <c r="G638" s="25"/>
      <c r="H638" s="25"/>
      <c r="I638" s="25"/>
      <c r="J638" s="25"/>
      <c r="K638" s="25"/>
      <c r="L638" s="25"/>
      <c r="M638" s="25"/>
      <c r="N638" s="25"/>
      <c r="O638" s="25"/>
      <c r="P638" s="25"/>
      <c r="R638" s="23"/>
      <c r="U638" s="11"/>
    </row>
    <row r="639" spans="1:21" ht="14.25" customHeight="1" x14ac:dyDescent="0.3">
      <c r="A639" s="484"/>
      <c r="C639" s="25"/>
      <c r="D639" s="25"/>
      <c r="E639" s="25"/>
      <c r="F639" s="25"/>
      <c r="G639" s="25"/>
      <c r="H639" s="25"/>
      <c r="I639" s="25"/>
      <c r="J639" s="25"/>
      <c r="K639" s="25"/>
      <c r="L639" s="25"/>
      <c r="M639" s="25"/>
      <c r="N639" s="25"/>
      <c r="O639" s="25"/>
      <c r="P639" s="25"/>
      <c r="R639" s="23"/>
      <c r="U639" s="11"/>
    </row>
    <row r="640" spans="1:21" ht="14.25" customHeight="1" x14ac:dyDescent="0.3">
      <c r="A640" s="484"/>
      <c r="C640" s="25"/>
      <c r="D640" s="25"/>
      <c r="E640" s="25"/>
      <c r="F640" s="25"/>
      <c r="G640" s="25"/>
      <c r="H640" s="25"/>
      <c r="I640" s="25"/>
      <c r="J640" s="25"/>
      <c r="K640" s="25"/>
      <c r="L640" s="25"/>
      <c r="M640" s="25"/>
      <c r="N640" s="25"/>
      <c r="O640" s="25"/>
      <c r="P640" s="25"/>
      <c r="R640" s="23"/>
      <c r="U640" s="11"/>
    </row>
    <row r="641" spans="1:21" ht="14.25" customHeight="1" x14ac:dyDescent="0.3">
      <c r="A641" s="484"/>
      <c r="C641" s="25"/>
      <c r="D641" s="25"/>
      <c r="E641" s="25"/>
      <c r="F641" s="25"/>
      <c r="G641" s="25"/>
      <c r="H641" s="25"/>
      <c r="I641" s="25"/>
      <c r="J641" s="25"/>
      <c r="K641" s="25"/>
      <c r="L641" s="25"/>
      <c r="M641" s="25"/>
      <c r="N641" s="25"/>
      <c r="O641" s="25"/>
      <c r="P641" s="25"/>
      <c r="R641" s="23"/>
      <c r="U641" s="11"/>
    </row>
    <row r="642" spans="1:21" ht="14.25" customHeight="1" x14ac:dyDescent="0.3">
      <c r="A642" s="484"/>
      <c r="C642" s="25"/>
      <c r="D642" s="25"/>
      <c r="E642" s="25"/>
      <c r="F642" s="25"/>
      <c r="G642" s="25"/>
      <c r="H642" s="25"/>
      <c r="I642" s="25"/>
      <c r="J642" s="25"/>
      <c r="K642" s="25"/>
      <c r="L642" s="25"/>
      <c r="M642" s="25"/>
      <c r="N642" s="25"/>
      <c r="O642" s="25"/>
      <c r="P642" s="25"/>
      <c r="R642" s="23"/>
      <c r="U642" s="11"/>
    </row>
    <row r="643" spans="1:21" ht="14.25" customHeight="1" x14ac:dyDescent="0.3">
      <c r="A643" s="484"/>
      <c r="C643" s="25"/>
      <c r="D643" s="25"/>
      <c r="E643" s="25"/>
      <c r="F643" s="25"/>
      <c r="G643" s="25"/>
      <c r="H643" s="25"/>
      <c r="I643" s="25"/>
      <c r="J643" s="25"/>
      <c r="K643" s="25"/>
      <c r="L643" s="25"/>
      <c r="M643" s="25"/>
      <c r="N643" s="25"/>
      <c r="O643" s="25"/>
      <c r="P643" s="25"/>
      <c r="R643" s="23"/>
      <c r="U643" s="11"/>
    </row>
    <row r="644" spans="1:21" ht="14.25" customHeight="1" x14ac:dyDescent="0.3">
      <c r="A644" s="484"/>
      <c r="C644" s="25"/>
      <c r="D644" s="25"/>
      <c r="E644" s="25"/>
      <c r="F644" s="25"/>
      <c r="G644" s="25"/>
      <c r="H644" s="25"/>
      <c r="I644" s="25"/>
      <c r="J644" s="25"/>
      <c r="K644" s="25"/>
      <c r="L644" s="25"/>
      <c r="M644" s="25"/>
      <c r="N644" s="25"/>
      <c r="O644" s="25"/>
      <c r="P644" s="25"/>
      <c r="R644" s="23"/>
      <c r="U644" s="11"/>
    </row>
    <row r="645" spans="1:21" ht="14.25" customHeight="1" x14ac:dyDescent="0.3">
      <c r="A645" s="484"/>
      <c r="C645" s="25"/>
      <c r="D645" s="25"/>
      <c r="E645" s="25"/>
      <c r="F645" s="25"/>
      <c r="G645" s="25"/>
      <c r="H645" s="25"/>
      <c r="I645" s="25"/>
      <c r="J645" s="25"/>
      <c r="K645" s="25"/>
      <c r="L645" s="25"/>
      <c r="M645" s="25"/>
      <c r="N645" s="25"/>
      <c r="O645" s="25"/>
      <c r="P645" s="25"/>
      <c r="R645" s="23"/>
      <c r="U645" s="11"/>
    </row>
    <row r="646" spans="1:21" ht="14.25" customHeight="1" x14ac:dyDescent="0.3">
      <c r="A646" s="484"/>
      <c r="C646" s="25"/>
      <c r="D646" s="25"/>
      <c r="E646" s="25"/>
      <c r="F646" s="25"/>
      <c r="G646" s="25"/>
      <c r="H646" s="25"/>
      <c r="I646" s="25"/>
      <c r="J646" s="25"/>
      <c r="K646" s="25"/>
      <c r="L646" s="25"/>
      <c r="M646" s="25"/>
      <c r="N646" s="25"/>
      <c r="O646" s="25"/>
      <c r="P646" s="25"/>
      <c r="R646" s="23"/>
      <c r="U646" s="11"/>
    </row>
    <row r="647" spans="1:21" ht="14.25" customHeight="1" x14ac:dyDescent="0.3">
      <c r="A647" s="484"/>
      <c r="C647" s="25"/>
      <c r="D647" s="25"/>
      <c r="E647" s="25"/>
      <c r="F647" s="25"/>
      <c r="G647" s="25"/>
      <c r="H647" s="25"/>
      <c r="I647" s="25"/>
      <c r="J647" s="25"/>
      <c r="K647" s="25"/>
      <c r="L647" s="25"/>
      <c r="M647" s="25"/>
      <c r="N647" s="25"/>
      <c r="O647" s="25"/>
      <c r="P647" s="25"/>
      <c r="R647" s="23"/>
      <c r="U647" s="11"/>
    </row>
    <row r="648" spans="1:21" ht="14.25" customHeight="1" x14ac:dyDescent="0.3">
      <c r="A648" s="484"/>
      <c r="C648" s="25"/>
      <c r="D648" s="25"/>
      <c r="E648" s="25"/>
      <c r="F648" s="25"/>
      <c r="G648" s="25"/>
      <c r="H648" s="25"/>
      <c r="I648" s="25"/>
      <c r="J648" s="25"/>
      <c r="K648" s="25"/>
      <c r="L648" s="25"/>
      <c r="M648" s="25"/>
      <c r="N648" s="25"/>
      <c r="O648" s="25"/>
      <c r="P648" s="25"/>
      <c r="R648" s="23"/>
      <c r="U648" s="11"/>
    </row>
    <row r="649" spans="1:21" ht="14.25" customHeight="1" x14ac:dyDescent="0.3">
      <c r="A649" s="484"/>
      <c r="C649" s="25"/>
      <c r="D649" s="25"/>
      <c r="E649" s="25"/>
      <c r="F649" s="25"/>
      <c r="G649" s="25"/>
      <c r="H649" s="25"/>
      <c r="I649" s="25"/>
      <c r="J649" s="25"/>
      <c r="K649" s="25"/>
      <c r="L649" s="25"/>
      <c r="M649" s="25"/>
      <c r="N649" s="25"/>
      <c r="O649" s="25"/>
      <c r="P649" s="25"/>
      <c r="R649" s="23"/>
      <c r="U649" s="11"/>
    </row>
    <row r="650" spans="1:21" ht="14.25" customHeight="1" x14ac:dyDescent="0.3">
      <c r="A650" s="484"/>
      <c r="C650" s="25"/>
      <c r="D650" s="25"/>
      <c r="E650" s="25"/>
      <c r="F650" s="25"/>
      <c r="G650" s="25"/>
      <c r="H650" s="25"/>
      <c r="I650" s="25"/>
      <c r="J650" s="25"/>
      <c r="K650" s="25"/>
      <c r="L650" s="25"/>
      <c r="M650" s="25"/>
      <c r="N650" s="25"/>
      <c r="O650" s="25"/>
      <c r="P650" s="25"/>
      <c r="R650" s="23"/>
      <c r="U650" s="11"/>
    </row>
    <row r="651" spans="1:21" ht="14.25" customHeight="1" x14ac:dyDescent="0.3">
      <c r="A651" s="484"/>
      <c r="C651" s="25"/>
      <c r="D651" s="25"/>
      <c r="E651" s="25"/>
      <c r="F651" s="25"/>
      <c r="G651" s="25"/>
      <c r="H651" s="25"/>
      <c r="I651" s="25"/>
      <c r="J651" s="25"/>
      <c r="K651" s="25"/>
      <c r="L651" s="25"/>
      <c r="M651" s="25"/>
      <c r="N651" s="25"/>
      <c r="O651" s="25"/>
      <c r="P651" s="25"/>
      <c r="R651" s="23"/>
      <c r="U651" s="11"/>
    </row>
    <row r="652" spans="1:21" ht="14.25" customHeight="1" x14ac:dyDescent="0.3">
      <c r="A652" s="484"/>
      <c r="C652" s="25"/>
      <c r="D652" s="25"/>
      <c r="E652" s="25"/>
      <c r="F652" s="25"/>
      <c r="G652" s="25"/>
      <c r="H652" s="25"/>
      <c r="I652" s="25"/>
      <c r="J652" s="25"/>
      <c r="K652" s="25"/>
      <c r="L652" s="25"/>
      <c r="M652" s="25"/>
      <c r="N652" s="25"/>
      <c r="O652" s="25"/>
      <c r="P652" s="25"/>
      <c r="R652" s="23"/>
      <c r="U652" s="11"/>
    </row>
    <row r="653" spans="1:21" ht="14.25" customHeight="1" x14ac:dyDescent="0.3">
      <c r="A653" s="484"/>
      <c r="C653" s="25"/>
      <c r="D653" s="25"/>
      <c r="E653" s="25"/>
      <c r="F653" s="25"/>
      <c r="G653" s="25"/>
      <c r="H653" s="25"/>
      <c r="I653" s="25"/>
      <c r="J653" s="25"/>
      <c r="K653" s="25"/>
      <c r="L653" s="25"/>
      <c r="M653" s="25"/>
      <c r="N653" s="25"/>
      <c r="O653" s="25"/>
      <c r="P653" s="25"/>
      <c r="R653" s="23"/>
      <c r="U653" s="11"/>
    </row>
    <row r="654" spans="1:21" ht="14.25" customHeight="1" x14ac:dyDescent="0.3">
      <c r="A654" s="484"/>
      <c r="C654" s="25"/>
      <c r="D654" s="25"/>
      <c r="E654" s="25"/>
      <c r="F654" s="25"/>
      <c r="G654" s="25"/>
      <c r="H654" s="25"/>
      <c r="I654" s="25"/>
      <c r="J654" s="25"/>
      <c r="K654" s="25"/>
      <c r="L654" s="25"/>
      <c r="M654" s="25"/>
      <c r="N654" s="25"/>
      <c r="O654" s="25"/>
      <c r="P654" s="25"/>
      <c r="R654" s="23"/>
      <c r="U654" s="11"/>
    </row>
    <row r="655" spans="1:21" ht="14.25" customHeight="1" x14ac:dyDescent="0.3">
      <c r="A655" s="484"/>
      <c r="C655" s="25"/>
      <c r="D655" s="25"/>
      <c r="E655" s="25"/>
      <c r="F655" s="25"/>
      <c r="G655" s="25"/>
      <c r="H655" s="25"/>
      <c r="I655" s="25"/>
      <c r="J655" s="25"/>
      <c r="K655" s="25"/>
      <c r="L655" s="25"/>
      <c r="M655" s="25"/>
      <c r="N655" s="25"/>
      <c r="O655" s="25"/>
      <c r="P655" s="25"/>
      <c r="R655" s="23"/>
      <c r="U655" s="11"/>
    </row>
    <row r="656" spans="1:21" ht="14.25" customHeight="1" x14ac:dyDescent="0.3">
      <c r="A656" s="484"/>
      <c r="C656" s="25"/>
      <c r="D656" s="25"/>
      <c r="E656" s="25"/>
      <c r="F656" s="25"/>
      <c r="G656" s="25"/>
      <c r="H656" s="25"/>
      <c r="I656" s="25"/>
      <c r="J656" s="25"/>
      <c r="K656" s="25"/>
      <c r="L656" s="25"/>
      <c r="M656" s="25"/>
      <c r="N656" s="25"/>
      <c r="O656" s="25"/>
      <c r="P656" s="25"/>
      <c r="R656" s="23"/>
      <c r="U656" s="11"/>
    </row>
    <row r="657" spans="1:21" ht="14.25" customHeight="1" x14ac:dyDescent="0.3">
      <c r="A657" s="484"/>
      <c r="C657" s="25"/>
      <c r="D657" s="25"/>
      <c r="E657" s="25"/>
      <c r="F657" s="25"/>
      <c r="G657" s="25"/>
      <c r="H657" s="25"/>
      <c r="I657" s="25"/>
      <c r="J657" s="25"/>
      <c r="K657" s="25"/>
      <c r="L657" s="25"/>
      <c r="M657" s="25"/>
      <c r="N657" s="25"/>
      <c r="O657" s="25"/>
      <c r="P657" s="25"/>
      <c r="R657" s="23"/>
      <c r="U657" s="11"/>
    </row>
    <row r="658" spans="1:21" ht="14.25" customHeight="1" x14ac:dyDescent="0.3">
      <c r="A658" s="484"/>
      <c r="C658" s="25"/>
      <c r="D658" s="25"/>
      <c r="E658" s="25"/>
      <c r="F658" s="25"/>
      <c r="G658" s="25"/>
      <c r="H658" s="25"/>
      <c r="I658" s="25"/>
      <c r="J658" s="25"/>
      <c r="K658" s="25"/>
      <c r="L658" s="25"/>
      <c r="M658" s="25"/>
      <c r="N658" s="25"/>
      <c r="O658" s="25"/>
      <c r="P658" s="25"/>
      <c r="R658" s="23"/>
      <c r="U658" s="11"/>
    </row>
    <row r="659" spans="1:21" ht="14.25" customHeight="1" x14ac:dyDescent="0.3">
      <c r="A659" s="484"/>
      <c r="C659" s="25"/>
      <c r="D659" s="25"/>
      <c r="E659" s="25"/>
      <c r="F659" s="25"/>
      <c r="G659" s="25"/>
      <c r="H659" s="25"/>
      <c r="I659" s="25"/>
      <c r="J659" s="25"/>
      <c r="K659" s="25"/>
      <c r="L659" s="25"/>
      <c r="M659" s="25"/>
      <c r="N659" s="25"/>
      <c r="O659" s="25"/>
      <c r="P659" s="25"/>
      <c r="R659" s="23"/>
      <c r="U659" s="11"/>
    </row>
    <row r="660" spans="1:21" ht="14.25" customHeight="1" x14ac:dyDescent="0.3">
      <c r="A660" s="484"/>
      <c r="C660" s="25"/>
      <c r="D660" s="25"/>
      <c r="E660" s="25"/>
      <c r="F660" s="25"/>
      <c r="G660" s="25"/>
      <c r="H660" s="25"/>
      <c r="I660" s="25"/>
      <c r="J660" s="25"/>
      <c r="K660" s="25"/>
      <c r="L660" s="25"/>
      <c r="M660" s="25"/>
      <c r="N660" s="25"/>
      <c r="O660" s="25"/>
      <c r="P660" s="25"/>
      <c r="R660" s="23"/>
      <c r="U660" s="11"/>
    </row>
    <row r="661" spans="1:21" ht="14.25" customHeight="1" x14ac:dyDescent="0.3">
      <c r="A661" s="484"/>
      <c r="C661" s="25"/>
      <c r="D661" s="25"/>
      <c r="E661" s="25"/>
      <c r="F661" s="25"/>
      <c r="G661" s="25"/>
      <c r="H661" s="25"/>
      <c r="I661" s="25"/>
      <c r="J661" s="25"/>
      <c r="K661" s="25"/>
      <c r="L661" s="25"/>
      <c r="M661" s="25"/>
      <c r="N661" s="25"/>
      <c r="O661" s="25"/>
      <c r="P661" s="25"/>
      <c r="R661" s="23"/>
      <c r="U661" s="11"/>
    </row>
    <row r="662" spans="1:21" ht="14.25" customHeight="1" x14ac:dyDescent="0.3">
      <c r="A662" s="484"/>
      <c r="C662" s="25"/>
      <c r="D662" s="25"/>
      <c r="E662" s="25"/>
      <c r="F662" s="25"/>
      <c r="G662" s="25"/>
      <c r="H662" s="25"/>
      <c r="I662" s="25"/>
      <c r="J662" s="25"/>
      <c r="K662" s="25"/>
      <c r="L662" s="25"/>
      <c r="M662" s="25"/>
      <c r="N662" s="25"/>
      <c r="O662" s="25"/>
      <c r="P662" s="25"/>
      <c r="R662" s="23"/>
      <c r="U662" s="11"/>
    </row>
    <row r="663" spans="1:21" ht="14.25" customHeight="1" x14ac:dyDescent="0.3">
      <c r="A663" s="484"/>
      <c r="C663" s="25"/>
      <c r="D663" s="25"/>
      <c r="E663" s="25"/>
      <c r="F663" s="25"/>
      <c r="G663" s="25"/>
      <c r="H663" s="25"/>
      <c r="I663" s="25"/>
      <c r="J663" s="25"/>
      <c r="K663" s="25"/>
      <c r="L663" s="25"/>
      <c r="M663" s="25"/>
      <c r="N663" s="25"/>
      <c r="O663" s="25"/>
      <c r="P663" s="25"/>
      <c r="R663" s="23"/>
      <c r="U663" s="11"/>
    </row>
    <row r="664" spans="1:21" ht="14.25" customHeight="1" x14ac:dyDescent="0.3">
      <c r="A664" s="484"/>
      <c r="C664" s="25"/>
      <c r="D664" s="25"/>
      <c r="E664" s="25"/>
      <c r="F664" s="25"/>
      <c r="G664" s="25"/>
      <c r="H664" s="25"/>
      <c r="I664" s="25"/>
      <c r="J664" s="25"/>
      <c r="K664" s="25"/>
      <c r="L664" s="25"/>
      <c r="M664" s="25"/>
      <c r="N664" s="25"/>
      <c r="O664" s="25"/>
      <c r="P664" s="25"/>
      <c r="R664" s="23"/>
      <c r="U664" s="11"/>
    </row>
    <row r="665" spans="1:21" ht="14.25" customHeight="1" x14ac:dyDescent="0.3">
      <c r="A665" s="484"/>
      <c r="C665" s="25"/>
      <c r="D665" s="25"/>
      <c r="E665" s="25"/>
      <c r="F665" s="25"/>
      <c r="G665" s="25"/>
      <c r="H665" s="25"/>
      <c r="I665" s="25"/>
      <c r="J665" s="25"/>
      <c r="K665" s="25"/>
      <c r="L665" s="25"/>
      <c r="M665" s="25"/>
      <c r="N665" s="25"/>
      <c r="O665" s="25"/>
      <c r="P665" s="25"/>
      <c r="R665" s="23"/>
      <c r="U665" s="11"/>
    </row>
    <row r="666" spans="1:21" ht="14.25" customHeight="1" x14ac:dyDescent="0.3">
      <c r="A666" s="484"/>
      <c r="C666" s="25"/>
      <c r="D666" s="25"/>
      <c r="E666" s="25"/>
      <c r="F666" s="25"/>
      <c r="G666" s="25"/>
      <c r="H666" s="25"/>
      <c r="I666" s="25"/>
      <c r="J666" s="25"/>
      <c r="K666" s="25"/>
      <c r="L666" s="25"/>
      <c r="M666" s="25"/>
      <c r="N666" s="25"/>
      <c r="O666" s="25"/>
      <c r="P666" s="25"/>
      <c r="R666" s="23"/>
      <c r="U666" s="11"/>
    </row>
    <row r="667" spans="1:21" ht="14.25" customHeight="1" x14ac:dyDescent="0.3">
      <c r="A667" s="484"/>
      <c r="C667" s="25"/>
      <c r="D667" s="25"/>
      <c r="E667" s="25"/>
      <c r="F667" s="25"/>
      <c r="G667" s="25"/>
      <c r="H667" s="25"/>
      <c r="I667" s="25"/>
      <c r="J667" s="25"/>
      <c r="K667" s="25"/>
      <c r="L667" s="25"/>
      <c r="M667" s="25"/>
      <c r="N667" s="25"/>
      <c r="O667" s="25"/>
      <c r="P667" s="25"/>
      <c r="R667" s="23"/>
      <c r="U667" s="11"/>
    </row>
    <row r="668" spans="1:21" ht="14.25" customHeight="1" x14ac:dyDescent="0.3">
      <c r="A668" s="484"/>
      <c r="C668" s="25"/>
      <c r="D668" s="25"/>
      <c r="E668" s="25"/>
      <c r="F668" s="25"/>
      <c r="G668" s="25"/>
      <c r="H668" s="25"/>
      <c r="I668" s="25"/>
      <c r="J668" s="25"/>
      <c r="K668" s="25"/>
      <c r="L668" s="25"/>
      <c r="M668" s="25"/>
      <c r="N668" s="25"/>
      <c r="O668" s="25"/>
      <c r="P668" s="25"/>
      <c r="R668" s="23"/>
      <c r="U668" s="11"/>
    </row>
    <row r="669" spans="1:21" ht="14.25" customHeight="1" x14ac:dyDescent="0.3">
      <c r="A669" s="484"/>
      <c r="C669" s="25"/>
      <c r="D669" s="25"/>
      <c r="E669" s="25"/>
      <c r="F669" s="25"/>
      <c r="G669" s="25"/>
      <c r="H669" s="25"/>
      <c r="I669" s="25"/>
      <c r="J669" s="25"/>
      <c r="K669" s="25"/>
      <c r="L669" s="25"/>
      <c r="M669" s="25"/>
      <c r="N669" s="25"/>
      <c r="O669" s="25"/>
      <c r="P669" s="25"/>
      <c r="R669" s="23"/>
      <c r="U669" s="11"/>
    </row>
    <row r="670" spans="1:21" ht="14.25" customHeight="1" x14ac:dyDescent="0.3">
      <c r="A670" s="484"/>
      <c r="C670" s="25"/>
      <c r="D670" s="25"/>
      <c r="E670" s="25"/>
      <c r="F670" s="25"/>
      <c r="G670" s="25"/>
      <c r="H670" s="25"/>
      <c r="I670" s="25"/>
      <c r="J670" s="25"/>
      <c r="K670" s="25"/>
      <c r="L670" s="25"/>
      <c r="M670" s="25"/>
      <c r="N670" s="25"/>
      <c r="O670" s="25"/>
      <c r="P670" s="25"/>
      <c r="R670" s="23"/>
      <c r="U670" s="11"/>
    </row>
    <row r="671" spans="1:21" ht="14.25" customHeight="1" x14ac:dyDescent="0.3">
      <c r="A671" s="484"/>
      <c r="C671" s="25"/>
      <c r="D671" s="25"/>
      <c r="E671" s="25"/>
      <c r="F671" s="25"/>
      <c r="G671" s="25"/>
      <c r="H671" s="25"/>
      <c r="I671" s="25"/>
      <c r="J671" s="25"/>
      <c r="K671" s="25"/>
      <c r="L671" s="25"/>
      <c r="M671" s="25"/>
      <c r="N671" s="25"/>
      <c r="O671" s="25"/>
      <c r="P671" s="25"/>
      <c r="R671" s="23"/>
      <c r="U671" s="11"/>
    </row>
    <row r="672" spans="1:21" ht="14.25" customHeight="1" x14ac:dyDescent="0.3">
      <c r="A672" s="484"/>
      <c r="C672" s="25"/>
      <c r="D672" s="25"/>
      <c r="E672" s="25"/>
      <c r="F672" s="25"/>
      <c r="G672" s="25"/>
      <c r="H672" s="25"/>
      <c r="I672" s="25"/>
      <c r="J672" s="25"/>
      <c r="K672" s="25"/>
      <c r="L672" s="25"/>
      <c r="M672" s="25"/>
      <c r="N672" s="25"/>
      <c r="O672" s="25"/>
      <c r="P672" s="25"/>
      <c r="R672" s="23"/>
      <c r="U672" s="11"/>
    </row>
    <row r="673" spans="1:21" ht="14.25" customHeight="1" x14ac:dyDescent="0.3">
      <c r="A673" s="484"/>
      <c r="C673" s="25"/>
      <c r="D673" s="25"/>
      <c r="E673" s="25"/>
      <c r="F673" s="25"/>
      <c r="G673" s="25"/>
      <c r="H673" s="25"/>
      <c r="I673" s="25"/>
      <c r="J673" s="25"/>
      <c r="K673" s="25"/>
      <c r="L673" s="25"/>
      <c r="M673" s="25"/>
      <c r="N673" s="25"/>
      <c r="O673" s="25"/>
      <c r="P673" s="25"/>
      <c r="R673" s="23"/>
      <c r="U673" s="11"/>
    </row>
    <row r="674" spans="1:21" ht="14.25" customHeight="1" x14ac:dyDescent="0.3">
      <c r="A674" s="484"/>
      <c r="C674" s="25"/>
      <c r="D674" s="25"/>
      <c r="E674" s="25"/>
      <c r="F674" s="25"/>
      <c r="G674" s="25"/>
      <c r="H674" s="25"/>
      <c r="I674" s="25"/>
      <c r="J674" s="25"/>
      <c r="K674" s="25"/>
      <c r="L674" s="25"/>
      <c r="M674" s="25"/>
      <c r="N674" s="25"/>
      <c r="O674" s="25"/>
      <c r="P674" s="25"/>
      <c r="R674" s="23"/>
      <c r="U674" s="11"/>
    </row>
    <row r="675" spans="1:21" ht="14.25" customHeight="1" x14ac:dyDescent="0.3">
      <c r="A675" s="484"/>
      <c r="C675" s="25"/>
      <c r="D675" s="25"/>
      <c r="E675" s="25"/>
      <c r="F675" s="25"/>
      <c r="G675" s="25"/>
      <c r="H675" s="25"/>
      <c r="I675" s="25"/>
      <c r="J675" s="25"/>
      <c r="K675" s="25"/>
      <c r="L675" s="25"/>
      <c r="M675" s="25"/>
      <c r="N675" s="25"/>
      <c r="O675" s="25"/>
      <c r="P675" s="25"/>
      <c r="R675" s="23"/>
      <c r="U675" s="11"/>
    </row>
    <row r="676" spans="1:21" ht="14.25" customHeight="1" x14ac:dyDescent="0.3">
      <c r="A676" s="484"/>
      <c r="C676" s="25"/>
      <c r="D676" s="25"/>
      <c r="E676" s="25"/>
      <c r="F676" s="25"/>
      <c r="G676" s="25"/>
      <c r="H676" s="25"/>
      <c r="I676" s="25"/>
      <c r="J676" s="25"/>
      <c r="K676" s="25"/>
      <c r="L676" s="25"/>
      <c r="M676" s="25"/>
      <c r="N676" s="25"/>
      <c r="O676" s="25"/>
      <c r="P676" s="25"/>
      <c r="R676" s="23"/>
      <c r="U676" s="11"/>
    </row>
    <row r="677" spans="1:21" ht="14.25" customHeight="1" x14ac:dyDescent="0.3">
      <c r="A677" s="484"/>
      <c r="C677" s="25"/>
      <c r="D677" s="25"/>
      <c r="E677" s="25"/>
      <c r="F677" s="25"/>
      <c r="G677" s="25"/>
      <c r="H677" s="25"/>
      <c r="I677" s="25"/>
      <c r="J677" s="25"/>
      <c r="K677" s="25"/>
      <c r="L677" s="25"/>
      <c r="M677" s="25"/>
      <c r="N677" s="25"/>
      <c r="O677" s="25"/>
      <c r="P677" s="25"/>
      <c r="R677" s="23"/>
      <c r="U677" s="11"/>
    </row>
    <row r="678" spans="1:21" ht="14.25" customHeight="1" x14ac:dyDescent="0.3">
      <c r="A678" s="484"/>
      <c r="C678" s="25"/>
      <c r="D678" s="25"/>
      <c r="E678" s="25"/>
      <c r="F678" s="25"/>
      <c r="G678" s="25"/>
      <c r="H678" s="25"/>
      <c r="I678" s="25"/>
      <c r="J678" s="25"/>
      <c r="K678" s="25"/>
      <c r="L678" s="25"/>
      <c r="M678" s="25"/>
      <c r="N678" s="25"/>
      <c r="O678" s="25"/>
      <c r="P678" s="25"/>
      <c r="R678" s="23"/>
      <c r="U678" s="11"/>
    </row>
    <row r="679" spans="1:21" ht="14.25" customHeight="1" x14ac:dyDescent="0.3">
      <c r="A679" s="484"/>
      <c r="C679" s="25"/>
      <c r="D679" s="25"/>
      <c r="E679" s="25"/>
      <c r="F679" s="25"/>
      <c r="G679" s="25"/>
      <c r="H679" s="25"/>
      <c r="I679" s="25"/>
      <c r="J679" s="25"/>
      <c r="K679" s="25"/>
      <c r="L679" s="25"/>
      <c r="M679" s="25"/>
      <c r="N679" s="25"/>
      <c r="O679" s="25"/>
      <c r="P679" s="25"/>
      <c r="R679" s="23"/>
      <c r="U679" s="11"/>
    </row>
    <row r="680" spans="1:21" ht="14.25" customHeight="1" x14ac:dyDescent="0.3">
      <c r="A680" s="484"/>
      <c r="C680" s="25"/>
      <c r="D680" s="25"/>
      <c r="E680" s="25"/>
      <c r="F680" s="25"/>
      <c r="G680" s="25"/>
      <c r="H680" s="25"/>
      <c r="I680" s="25"/>
      <c r="J680" s="25"/>
      <c r="K680" s="25"/>
      <c r="L680" s="25"/>
      <c r="M680" s="25"/>
      <c r="N680" s="25"/>
      <c r="O680" s="25"/>
      <c r="P680" s="25"/>
      <c r="R680" s="23"/>
      <c r="U680" s="11"/>
    </row>
    <row r="681" spans="1:21" ht="14.25" customHeight="1" x14ac:dyDescent="0.3">
      <c r="A681" s="484"/>
      <c r="C681" s="25"/>
      <c r="D681" s="25"/>
      <c r="E681" s="25"/>
      <c r="F681" s="25"/>
      <c r="G681" s="25"/>
      <c r="H681" s="25"/>
      <c r="I681" s="25"/>
      <c r="J681" s="25"/>
      <c r="K681" s="25"/>
      <c r="L681" s="25"/>
      <c r="M681" s="25"/>
      <c r="N681" s="25"/>
      <c r="O681" s="25"/>
      <c r="P681" s="25"/>
      <c r="R681" s="23"/>
      <c r="U681" s="11"/>
    </row>
    <row r="682" spans="1:21" ht="14.25" customHeight="1" x14ac:dyDescent="0.3">
      <c r="A682" s="484"/>
      <c r="C682" s="25"/>
      <c r="D682" s="25"/>
      <c r="E682" s="25"/>
      <c r="F682" s="25"/>
      <c r="G682" s="25"/>
      <c r="H682" s="25"/>
      <c r="I682" s="25"/>
      <c r="J682" s="25"/>
      <c r="K682" s="25"/>
      <c r="L682" s="25"/>
      <c r="M682" s="25"/>
      <c r="N682" s="25"/>
      <c r="O682" s="25"/>
      <c r="P682" s="25"/>
      <c r="R682" s="23"/>
      <c r="U682" s="11"/>
    </row>
    <row r="683" spans="1:21" ht="14.25" customHeight="1" x14ac:dyDescent="0.3">
      <c r="A683" s="484"/>
      <c r="C683" s="25"/>
      <c r="D683" s="25"/>
      <c r="E683" s="25"/>
      <c r="F683" s="25"/>
      <c r="G683" s="25"/>
      <c r="H683" s="25"/>
      <c r="I683" s="25"/>
      <c r="J683" s="25"/>
      <c r="K683" s="25"/>
      <c r="L683" s="25"/>
      <c r="M683" s="25"/>
      <c r="N683" s="25"/>
      <c r="O683" s="25"/>
      <c r="P683" s="25"/>
      <c r="R683" s="23"/>
      <c r="U683" s="11"/>
    </row>
    <row r="684" spans="1:21" ht="14.25" customHeight="1" x14ac:dyDescent="0.3">
      <c r="A684" s="484"/>
      <c r="C684" s="25"/>
      <c r="D684" s="25"/>
      <c r="E684" s="25"/>
      <c r="F684" s="25"/>
      <c r="G684" s="25"/>
      <c r="H684" s="25"/>
      <c r="I684" s="25"/>
      <c r="J684" s="25"/>
      <c r="K684" s="25"/>
      <c r="L684" s="25"/>
      <c r="M684" s="25"/>
      <c r="N684" s="25"/>
      <c r="O684" s="25"/>
      <c r="P684" s="25"/>
      <c r="R684" s="23"/>
      <c r="U684" s="11"/>
    </row>
    <row r="685" spans="1:21" ht="14.25" customHeight="1" x14ac:dyDescent="0.3">
      <c r="A685" s="484"/>
      <c r="C685" s="25"/>
      <c r="D685" s="25"/>
      <c r="E685" s="25"/>
      <c r="F685" s="25"/>
      <c r="G685" s="25"/>
      <c r="H685" s="25"/>
      <c r="I685" s="25"/>
      <c r="J685" s="25"/>
      <c r="K685" s="25"/>
      <c r="L685" s="25"/>
      <c r="M685" s="25"/>
      <c r="N685" s="25"/>
      <c r="O685" s="25"/>
      <c r="P685" s="25"/>
      <c r="R685" s="23"/>
      <c r="U685" s="11"/>
    </row>
    <row r="686" spans="1:21" ht="14.25" customHeight="1" x14ac:dyDescent="0.3">
      <c r="A686" s="484"/>
      <c r="C686" s="25"/>
      <c r="D686" s="25"/>
      <c r="E686" s="25"/>
      <c r="F686" s="25"/>
      <c r="G686" s="25"/>
      <c r="H686" s="25"/>
      <c r="I686" s="25"/>
      <c r="J686" s="25"/>
      <c r="K686" s="25"/>
      <c r="L686" s="25"/>
      <c r="M686" s="25"/>
      <c r="N686" s="25"/>
      <c r="O686" s="25"/>
      <c r="P686" s="25"/>
      <c r="R686" s="23"/>
      <c r="U686" s="11"/>
    </row>
    <row r="687" spans="1:21" ht="14.25" customHeight="1" x14ac:dyDescent="0.3">
      <c r="A687" s="484"/>
      <c r="C687" s="25"/>
      <c r="D687" s="25"/>
      <c r="E687" s="25"/>
      <c r="F687" s="25"/>
      <c r="G687" s="25"/>
      <c r="H687" s="25"/>
      <c r="I687" s="25"/>
      <c r="J687" s="25"/>
      <c r="K687" s="25"/>
      <c r="L687" s="25"/>
      <c r="M687" s="25"/>
      <c r="N687" s="25"/>
      <c r="O687" s="25"/>
      <c r="P687" s="25"/>
      <c r="R687" s="23"/>
      <c r="U687" s="11"/>
    </row>
    <row r="688" spans="1:21" ht="14.25" customHeight="1" x14ac:dyDescent="0.3">
      <c r="A688" s="484"/>
      <c r="C688" s="25"/>
      <c r="D688" s="25"/>
      <c r="E688" s="25"/>
      <c r="F688" s="25"/>
      <c r="G688" s="25"/>
      <c r="H688" s="25"/>
      <c r="I688" s="25"/>
      <c r="J688" s="25"/>
      <c r="K688" s="25"/>
      <c r="L688" s="25"/>
      <c r="M688" s="25"/>
      <c r="N688" s="25"/>
      <c r="O688" s="25"/>
      <c r="P688" s="25"/>
      <c r="R688" s="23"/>
      <c r="U688" s="11"/>
    </row>
    <row r="689" spans="1:21" ht="14.25" customHeight="1" x14ac:dyDescent="0.3">
      <c r="A689" s="484"/>
      <c r="C689" s="25"/>
      <c r="D689" s="25"/>
      <c r="E689" s="25"/>
      <c r="F689" s="25"/>
      <c r="G689" s="25"/>
      <c r="H689" s="25"/>
      <c r="I689" s="25"/>
      <c r="J689" s="25"/>
      <c r="K689" s="25"/>
      <c r="L689" s="25"/>
      <c r="M689" s="25"/>
      <c r="N689" s="25"/>
      <c r="O689" s="25"/>
      <c r="P689" s="25"/>
      <c r="R689" s="23"/>
      <c r="U689" s="11"/>
    </row>
    <row r="690" spans="1:21" ht="14.25" customHeight="1" x14ac:dyDescent="0.3">
      <c r="A690" s="484"/>
      <c r="C690" s="25"/>
      <c r="D690" s="25"/>
      <c r="E690" s="25"/>
      <c r="F690" s="25"/>
      <c r="G690" s="25"/>
      <c r="H690" s="25"/>
      <c r="I690" s="25"/>
      <c r="J690" s="25"/>
      <c r="K690" s="25"/>
      <c r="L690" s="25"/>
      <c r="M690" s="25"/>
      <c r="N690" s="25"/>
      <c r="O690" s="25"/>
      <c r="P690" s="25"/>
      <c r="R690" s="23"/>
      <c r="U690" s="11"/>
    </row>
    <row r="691" spans="1:21" ht="14.25" customHeight="1" x14ac:dyDescent="0.3">
      <c r="A691" s="484"/>
      <c r="C691" s="25"/>
      <c r="D691" s="25"/>
      <c r="E691" s="25"/>
      <c r="F691" s="25"/>
      <c r="G691" s="25"/>
      <c r="H691" s="25"/>
      <c r="I691" s="25"/>
      <c r="J691" s="25"/>
      <c r="K691" s="25"/>
      <c r="L691" s="25"/>
      <c r="M691" s="25"/>
      <c r="N691" s="25"/>
      <c r="O691" s="25"/>
      <c r="P691" s="25"/>
      <c r="R691" s="23"/>
      <c r="U691" s="11"/>
    </row>
    <row r="692" spans="1:21" ht="14.25" customHeight="1" x14ac:dyDescent="0.3">
      <c r="A692" s="484"/>
      <c r="C692" s="25"/>
      <c r="D692" s="25"/>
      <c r="E692" s="25"/>
      <c r="F692" s="25"/>
      <c r="G692" s="25"/>
      <c r="H692" s="25"/>
      <c r="I692" s="25"/>
      <c r="J692" s="25"/>
      <c r="K692" s="25"/>
      <c r="L692" s="25"/>
      <c r="M692" s="25"/>
      <c r="N692" s="25"/>
      <c r="O692" s="25"/>
      <c r="P692" s="25"/>
      <c r="R692" s="23"/>
      <c r="U692" s="11"/>
    </row>
    <row r="693" spans="1:21" ht="14.25" customHeight="1" x14ac:dyDescent="0.3">
      <c r="A693" s="484"/>
      <c r="C693" s="25"/>
      <c r="D693" s="25"/>
      <c r="E693" s="25"/>
      <c r="F693" s="25"/>
      <c r="G693" s="25"/>
      <c r="H693" s="25"/>
      <c r="I693" s="25"/>
      <c r="J693" s="25"/>
      <c r="K693" s="25"/>
      <c r="L693" s="25"/>
      <c r="M693" s="25"/>
      <c r="N693" s="25"/>
      <c r="O693" s="25"/>
      <c r="P693" s="25"/>
      <c r="R693" s="23"/>
      <c r="U693" s="11"/>
    </row>
    <row r="694" spans="1:21" ht="14.25" customHeight="1" x14ac:dyDescent="0.3">
      <c r="A694" s="484"/>
      <c r="C694" s="25"/>
      <c r="D694" s="25"/>
      <c r="E694" s="25"/>
      <c r="F694" s="25"/>
      <c r="G694" s="25"/>
      <c r="H694" s="25"/>
      <c r="I694" s="25"/>
      <c r="J694" s="25"/>
      <c r="K694" s="25"/>
      <c r="L694" s="25"/>
      <c r="M694" s="25"/>
      <c r="N694" s="25"/>
      <c r="O694" s="25"/>
      <c r="P694" s="25"/>
      <c r="R694" s="23"/>
      <c r="U694" s="11"/>
    </row>
    <row r="695" spans="1:21" ht="14.25" customHeight="1" x14ac:dyDescent="0.3">
      <c r="A695" s="484"/>
      <c r="C695" s="25"/>
      <c r="D695" s="25"/>
      <c r="E695" s="25"/>
      <c r="F695" s="25"/>
      <c r="G695" s="25"/>
      <c r="H695" s="25"/>
      <c r="I695" s="25"/>
      <c r="J695" s="25"/>
      <c r="K695" s="25"/>
      <c r="L695" s="25"/>
      <c r="M695" s="25"/>
      <c r="N695" s="25"/>
      <c r="O695" s="25"/>
      <c r="P695" s="25"/>
      <c r="R695" s="23"/>
      <c r="U695" s="11"/>
    </row>
    <row r="696" spans="1:21" ht="14.25" customHeight="1" x14ac:dyDescent="0.3">
      <c r="A696" s="484"/>
      <c r="C696" s="25"/>
      <c r="D696" s="25"/>
      <c r="E696" s="25"/>
      <c r="F696" s="25"/>
      <c r="G696" s="25"/>
      <c r="H696" s="25"/>
      <c r="I696" s="25"/>
      <c r="J696" s="25"/>
      <c r="K696" s="25"/>
      <c r="L696" s="25"/>
      <c r="M696" s="25"/>
      <c r="N696" s="25"/>
      <c r="O696" s="25"/>
      <c r="P696" s="25"/>
      <c r="R696" s="23"/>
      <c r="U696" s="11"/>
    </row>
    <row r="697" spans="1:21" ht="14.25" customHeight="1" x14ac:dyDescent="0.3">
      <c r="A697" s="484"/>
      <c r="C697" s="25"/>
      <c r="D697" s="25"/>
      <c r="E697" s="25"/>
      <c r="F697" s="25"/>
      <c r="G697" s="25"/>
      <c r="H697" s="25"/>
      <c r="I697" s="25"/>
      <c r="J697" s="25"/>
      <c r="K697" s="25"/>
      <c r="L697" s="25"/>
      <c r="M697" s="25"/>
      <c r="N697" s="25"/>
      <c r="O697" s="25"/>
      <c r="P697" s="25"/>
      <c r="R697" s="23"/>
      <c r="U697" s="11"/>
    </row>
    <row r="698" spans="1:21" ht="14.25" customHeight="1" x14ac:dyDescent="0.3">
      <c r="A698" s="484"/>
      <c r="C698" s="25"/>
      <c r="D698" s="25"/>
      <c r="E698" s="25"/>
      <c r="F698" s="25"/>
      <c r="G698" s="25"/>
      <c r="H698" s="25"/>
      <c r="I698" s="25"/>
      <c r="J698" s="25"/>
      <c r="K698" s="25"/>
      <c r="L698" s="25"/>
      <c r="M698" s="25"/>
      <c r="N698" s="25"/>
      <c r="O698" s="25"/>
      <c r="P698" s="25"/>
      <c r="R698" s="23"/>
      <c r="U698" s="11"/>
    </row>
    <row r="699" spans="1:21" ht="14.25" customHeight="1" x14ac:dyDescent="0.3">
      <c r="A699" s="484"/>
      <c r="C699" s="25"/>
      <c r="D699" s="25"/>
      <c r="E699" s="25"/>
      <c r="F699" s="25"/>
      <c r="G699" s="25"/>
      <c r="H699" s="25"/>
      <c r="I699" s="25"/>
      <c r="J699" s="25"/>
      <c r="K699" s="25"/>
      <c r="L699" s="25"/>
      <c r="M699" s="25"/>
      <c r="N699" s="25"/>
      <c r="O699" s="25"/>
      <c r="P699" s="25"/>
      <c r="R699" s="23"/>
      <c r="U699" s="11"/>
    </row>
    <row r="700" spans="1:21" ht="14.25" customHeight="1" x14ac:dyDescent="0.3">
      <c r="A700" s="484"/>
      <c r="C700" s="25"/>
      <c r="D700" s="25"/>
      <c r="E700" s="25"/>
      <c r="F700" s="25"/>
      <c r="G700" s="25"/>
      <c r="H700" s="25"/>
      <c r="I700" s="25"/>
      <c r="J700" s="25"/>
      <c r="K700" s="25"/>
      <c r="L700" s="25"/>
      <c r="M700" s="25"/>
      <c r="N700" s="25"/>
      <c r="O700" s="25"/>
      <c r="P700" s="25"/>
      <c r="R700" s="23"/>
      <c r="U700" s="11"/>
    </row>
    <row r="701" spans="1:21" ht="14.25" customHeight="1" x14ac:dyDescent="0.3">
      <c r="A701" s="484"/>
      <c r="C701" s="25"/>
      <c r="D701" s="25"/>
      <c r="E701" s="25"/>
      <c r="F701" s="25"/>
      <c r="G701" s="25"/>
      <c r="H701" s="25"/>
      <c r="I701" s="25"/>
      <c r="J701" s="25"/>
      <c r="K701" s="25"/>
      <c r="L701" s="25"/>
      <c r="M701" s="25"/>
      <c r="N701" s="25"/>
      <c r="O701" s="25"/>
      <c r="P701" s="25"/>
      <c r="R701" s="23"/>
      <c r="U701" s="11"/>
    </row>
    <row r="702" spans="1:21" ht="14.25" customHeight="1" x14ac:dyDescent="0.3">
      <c r="A702" s="484"/>
      <c r="C702" s="25"/>
      <c r="D702" s="25"/>
      <c r="E702" s="25"/>
      <c r="F702" s="25"/>
      <c r="G702" s="25"/>
      <c r="H702" s="25"/>
      <c r="I702" s="25"/>
      <c r="J702" s="25"/>
      <c r="K702" s="25"/>
      <c r="L702" s="25"/>
      <c r="M702" s="25"/>
      <c r="N702" s="25"/>
      <c r="O702" s="25"/>
      <c r="P702" s="25"/>
      <c r="R702" s="23"/>
      <c r="U702" s="11"/>
    </row>
    <row r="703" spans="1:21" ht="14.25" customHeight="1" x14ac:dyDescent="0.3">
      <c r="A703" s="484"/>
      <c r="C703" s="25"/>
      <c r="D703" s="25"/>
      <c r="E703" s="25"/>
      <c r="F703" s="25"/>
      <c r="G703" s="25"/>
      <c r="H703" s="25"/>
      <c r="I703" s="25"/>
      <c r="J703" s="25"/>
      <c r="K703" s="25"/>
      <c r="L703" s="25"/>
      <c r="M703" s="25"/>
      <c r="N703" s="25"/>
      <c r="O703" s="25"/>
      <c r="P703" s="25"/>
      <c r="R703" s="23"/>
      <c r="U703" s="11"/>
    </row>
    <row r="704" spans="1:21" ht="14.25" customHeight="1" x14ac:dyDescent="0.3">
      <c r="A704" s="484"/>
      <c r="C704" s="25"/>
      <c r="D704" s="25"/>
      <c r="E704" s="25"/>
      <c r="F704" s="25"/>
      <c r="G704" s="25"/>
      <c r="H704" s="25"/>
      <c r="I704" s="25"/>
      <c r="J704" s="25"/>
      <c r="K704" s="25"/>
      <c r="L704" s="25"/>
      <c r="M704" s="25"/>
      <c r="N704" s="25"/>
      <c r="O704" s="25"/>
      <c r="P704" s="25"/>
      <c r="R704" s="23"/>
      <c r="U704" s="11"/>
    </row>
    <row r="705" spans="1:21" ht="14.25" customHeight="1" x14ac:dyDescent="0.3">
      <c r="A705" s="484"/>
      <c r="C705" s="25"/>
      <c r="D705" s="25"/>
      <c r="E705" s="25"/>
      <c r="F705" s="25"/>
      <c r="G705" s="25"/>
      <c r="H705" s="25"/>
      <c r="I705" s="25"/>
      <c r="J705" s="25"/>
      <c r="K705" s="25"/>
      <c r="L705" s="25"/>
      <c r="M705" s="25"/>
      <c r="N705" s="25"/>
      <c r="O705" s="25"/>
      <c r="P705" s="25"/>
      <c r="R705" s="23"/>
      <c r="U705" s="11"/>
    </row>
    <row r="706" spans="1:21" ht="14.25" customHeight="1" x14ac:dyDescent="0.3">
      <c r="A706" s="484"/>
      <c r="C706" s="25"/>
      <c r="D706" s="25"/>
      <c r="E706" s="25"/>
      <c r="F706" s="25"/>
      <c r="G706" s="25"/>
      <c r="H706" s="25"/>
      <c r="I706" s="25"/>
      <c r="J706" s="25"/>
      <c r="K706" s="25"/>
      <c r="L706" s="25"/>
      <c r="M706" s="25"/>
      <c r="N706" s="25"/>
      <c r="O706" s="25"/>
      <c r="P706" s="25"/>
      <c r="R706" s="23"/>
      <c r="U706" s="11"/>
    </row>
    <row r="707" spans="1:21" ht="14.25" customHeight="1" x14ac:dyDescent="0.3">
      <c r="A707" s="484"/>
      <c r="C707" s="25"/>
      <c r="D707" s="25"/>
      <c r="E707" s="25"/>
      <c r="F707" s="25"/>
      <c r="G707" s="25"/>
      <c r="H707" s="25"/>
      <c r="I707" s="25"/>
      <c r="J707" s="25"/>
      <c r="K707" s="25"/>
      <c r="L707" s="25"/>
      <c r="M707" s="25"/>
      <c r="N707" s="25"/>
      <c r="O707" s="25"/>
      <c r="P707" s="25"/>
      <c r="R707" s="23"/>
      <c r="U707" s="11"/>
    </row>
    <row r="708" spans="1:21" ht="14.25" customHeight="1" x14ac:dyDescent="0.3">
      <c r="A708" s="484"/>
      <c r="C708" s="25"/>
      <c r="D708" s="25"/>
      <c r="E708" s="25"/>
      <c r="F708" s="25"/>
      <c r="G708" s="25"/>
      <c r="H708" s="25"/>
      <c r="I708" s="25"/>
      <c r="J708" s="25"/>
      <c r="K708" s="25"/>
      <c r="L708" s="25"/>
      <c r="M708" s="25"/>
      <c r="N708" s="25"/>
      <c r="O708" s="25"/>
      <c r="P708" s="25"/>
      <c r="R708" s="23"/>
      <c r="U708" s="11"/>
    </row>
    <row r="709" spans="1:21" ht="14.25" customHeight="1" x14ac:dyDescent="0.3">
      <c r="A709" s="484"/>
      <c r="C709" s="25"/>
      <c r="D709" s="25"/>
      <c r="E709" s="25"/>
      <c r="F709" s="25"/>
      <c r="G709" s="25"/>
      <c r="H709" s="25"/>
      <c r="I709" s="25"/>
      <c r="J709" s="25"/>
      <c r="K709" s="25"/>
      <c r="L709" s="25"/>
      <c r="M709" s="25"/>
      <c r="N709" s="25"/>
      <c r="O709" s="25"/>
      <c r="P709" s="25"/>
      <c r="R709" s="23"/>
      <c r="U709" s="11"/>
    </row>
    <row r="710" spans="1:21" ht="14.25" customHeight="1" x14ac:dyDescent="0.3">
      <c r="A710" s="484"/>
      <c r="C710" s="25"/>
      <c r="D710" s="25"/>
      <c r="E710" s="25"/>
      <c r="F710" s="25"/>
      <c r="G710" s="25"/>
      <c r="H710" s="25"/>
      <c r="I710" s="25"/>
      <c r="J710" s="25"/>
      <c r="K710" s="25"/>
      <c r="L710" s="25"/>
      <c r="M710" s="25"/>
      <c r="N710" s="25"/>
      <c r="O710" s="25"/>
      <c r="P710" s="25"/>
      <c r="R710" s="23"/>
      <c r="U710" s="11"/>
    </row>
    <row r="711" spans="1:21" ht="14.25" customHeight="1" x14ac:dyDescent="0.3">
      <c r="A711" s="484"/>
      <c r="C711" s="25"/>
      <c r="D711" s="25"/>
      <c r="E711" s="25"/>
      <c r="F711" s="25"/>
      <c r="G711" s="25"/>
      <c r="H711" s="25"/>
      <c r="I711" s="25"/>
      <c r="J711" s="25"/>
      <c r="K711" s="25"/>
      <c r="L711" s="25"/>
      <c r="M711" s="25"/>
      <c r="N711" s="25"/>
      <c r="O711" s="25"/>
      <c r="P711" s="25"/>
      <c r="R711" s="23"/>
      <c r="U711" s="11"/>
    </row>
    <row r="712" spans="1:21" ht="14.25" customHeight="1" x14ac:dyDescent="0.3">
      <c r="A712" s="484"/>
      <c r="C712" s="25"/>
      <c r="D712" s="25"/>
      <c r="E712" s="25"/>
      <c r="F712" s="25"/>
      <c r="G712" s="25"/>
      <c r="H712" s="25"/>
      <c r="I712" s="25"/>
      <c r="J712" s="25"/>
      <c r="K712" s="25"/>
      <c r="L712" s="25"/>
      <c r="M712" s="25"/>
      <c r="N712" s="25"/>
      <c r="O712" s="25"/>
      <c r="P712" s="25"/>
      <c r="R712" s="23"/>
      <c r="U712" s="11"/>
    </row>
    <row r="713" spans="1:21" ht="14.25" customHeight="1" x14ac:dyDescent="0.3">
      <c r="A713" s="484"/>
      <c r="C713" s="25"/>
      <c r="D713" s="25"/>
      <c r="E713" s="25"/>
      <c r="F713" s="25"/>
      <c r="G713" s="25"/>
      <c r="H713" s="25"/>
      <c r="I713" s="25"/>
      <c r="J713" s="25"/>
      <c r="K713" s="25"/>
      <c r="L713" s="25"/>
      <c r="M713" s="25"/>
      <c r="N713" s="25"/>
      <c r="O713" s="25"/>
      <c r="P713" s="25"/>
      <c r="R713" s="23"/>
      <c r="U713" s="11"/>
    </row>
    <row r="714" spans="1:21" ht="14.25" customHeight="1" x14ac:dyDescent="0.3">
      <c r="A714" s="484"/>
      <c r="C714" s="25"/>
      <c r="D714" s="25"/>
      <c r="E714" s="25"/>
      <c r="F714" s="25"/>
      <c r="G714" s="25"/>
      <c r="H714" s="25"/>
      <c r="I714" s="25"/>
      <c r="J714" s="25"/>
      <c r="K714" s="25"/>
      <c r="L714" s="25"/>
      <c r="M714" s="25"/>
      <c r="N714" s="25"/>
      <c r="O714" s="25"/>
      <c r="P714" s="25"/>
      <c r="R714" s="23"/>
      <c r="U714" s="11"/>
    </row>
    <row r="715" spans="1:21" ht="14.25" customHeight="1" x14ac:dyDescent="0.3">
      <c r="A715" s="484"/>
      <c r="C715" s="25"/>
      <c r="D715" s="25"/>
      <c r="E715" s="25"/>
      <c r="F715" s="25"/>
      <c r="G715" s="25"/>
      <c r="H715" s="25"/>
      <c r="I715" s="25"/>
      <c r="J715" s="25"/>
      <c r="K715" s="25"/>
      <c r="L715" s="25"/>
      <c r="M715" s="25"/>
      <c r="N715" s="25"/>
      <c r="O715" s="25"/>
      <c r="P715" s="25"/>
      <c r="R715" s="23"/>
      <c r="U715" s="11"/>
    </row>
    <row r="716" spans="1:21" ht="14.25" customHeight="1" x14ac:dyDescent="0.3">
      <c r="A716" s="484"/>
      <c r="C716" s="25"/>
      <c r="D716" s="25"/>
      <c r="E716" s="25"/>
      <c r="F716" s="25"/>
      <c r="G716" s="25"/>
      <c r="H716" s="25"/>
      <c r="I716" s="25"/>
      <c r="J716" s="25"/>
      <c r="K716" s="25"/>
      <c r="L716" s="25"/>
      <c r="M716" s="25"/>
      <c r="N716" s="25"/>
      <c r="O716" s="25"/>
      <c r="P716" s="25"/>
      <c r="R716" s="23"/>
      <c r="U716" s="11"/>
    </row>
    <row r="717" spans="1:21" ht="14.25" customHeight="1" x14ac:dyDescent="0.3">
      <c r="A717" s="484"/>
      <c r="C717" s="25"/>
      <c r="D717" s="25"/>
      <c r="E717" s="25"/>
      <c r="F717" s="25"/>
      <c r="G717" s="25"/>
      <c r="H717" s="25"/>
      <c r="I717" s="25"/>
      <c r="J717" s="25"/>
      <c r="K717" s="25"/>
      <c r="L717" s="25"/>
      <c r="M717" s="25"/>
      <c r="N717" s="25"/>
      <c r="O717" s="25"/>
      <c r="P717" s="25"/>
      <c r="R717" s="23"/>
      <c r="U717" s="11"/>
    </row>
    <row r="718" spans="1:21" ht="14.25" customHeight="1" x14ac:dyDescent="0.3">
      <c r="A718" s="484"/>
      <c r="C718" s="25"/>
      <c r="D718" s="25"/>
      <c r="E718" s="25"/>
      <c r="F718" s="25"/>
      <c r="G718" s="25"/>
      <c r="H718" s="25"/>
      <c r="I718" s="25"/>
      <c r="J718" s="25"/>
      <c r="K718" s="25"/>
      <c r="L718" s="25"/>
      <c r="M718" s="25"/>
      <c r="N718" s="25"/>
      <c r="O718" s="25"/>
      <c r="P718" s="25"/>
      <c r="R718" s="23"/>
      <c r="U718" s="11"/>
    </row>
    <row r="719" spans="1:21" ht="14.25" customHeight="1" x14ac:dyDescent="0.3">
      <c r="A719" s="484"/>
      <c r="C719" s="25"/>
      <c r="D719" s="25"/>
      <c r="E719" s="25"/>
      <c r="F719" s="25"/>
      <c r="G719" s="25"/>
      <c r="H719" s="25"/>
      <c r="I719" s="25"/>
      <c r="J719" s="25"/>
      <c r="K719" s="25"/>
      <c r="L719" s="25"/>
      <c r="M719" s="25"/>
      <c r="N719" s="25"/>
      <c r="O719" s="25"/>
      <c r="P719" s="25"/>
      <c r="R719" s="23"/>
      <c r="U719" s="11"/>
    </row>
    <row r="720" spans="1:21" ht="14.25" customHeight="1" x14ac:dyDescent="0.3">
      <c r="A720" s="484"/>
      <c r="C720" s="25"/>
      <c r="D720" s="25"/>
      <c r="E720" s="25"/>
      <c r="F720" s="25"/>
      <c r="G720" s="25"/>
      <c r="H720" s="25"/>
      <c r="I720" s="25"/>
      <c r="J720" s="25"/>
      <c r="K720" s="25"/>
      <c r="L720" s="25"/>
      <c r="M720" s="25"/>
      <c r="N720" s="25"/>
      <c r="O720" s="25"/>
      <c r="P720" s="25"/>
      <c r="R720" s="23"/>
      <c r="U720" s="11"/>
    </row>
    <row r="721" spans="1:21" ht="14.25" customHeight="1" x14ac:dyDescent="0.3">
      <c r="A721" s="484"/>
      <c r="C721" s="25"/>
      <c r="D721" s="25"/>
      <c r="E721" s="25"/>
      <c r="F721" s="25"/>
      <c r="G721" s="25"/>
      <c r="H721" s="25"/>
      <c r="I721" s="25"/>
      <c r="J721" s="25"/>
      <c r="K721" s="25"/>
      <c r="L721" s="25"/>
      <c r="M721" s="25"/>
      <c r="N721" s="25"/>
      <c r="O721" s="25"/>
      <c r="P721" s="25"/>
      <c r="R721" s="23"/>
      <c r="U721" s="11"/>
    </row>
    <row r="722" spans="1:21" ht="14.25" customHeight="1" x14ac:dyDescent="0.3">
      <c r="A722" s="484"/>
      <c r="C722" s="25"/>
      <c r="D722" s="25"/>
      <c r="E722" s="25"/>
      <c r="F722" s="25"/>
      <c r="G722" s="25"/>
      <c r="H722" s="25"/>
      <c r="I722" s="25"/>
      <c r="J722" s="25"/>
      <c r="K722" s="25"/>
      <c r="L722" s="25"/>
      <c r="M722" s="25"/>
      <c r="N722" s="25"/>
      <c r="O722" s="25"/>
      <c r="P722" s="25"/>
      <c r="R722" s="23"/>
      <c r="U722" s="11"/>
    </row>
    <row r="723" spans="1:21" ht="14.25" customHeight="1" x14ac:dyDescent="0.3">
      <c r="A723" s="484"/>
      <c r="C723" s="25"/>
      <c r="D723" s="25"/>
      <c r="E723" s="25"/>
      <c r="F723" s="25"/>
      <c r="G723" s="25"/>
      <c r="H723" s="25"/>
      <c r="I723" s="25"/>
      <c r="J723" s="25"/>
      <c r="K723" s="25"/>
      <c r="L723" s="25"/>
      <c r="M723" s="25"/>
      <c r="N723" s="25"/>
      <c r="O723" s="25"/>
      <c r="P723" s="25"/>
      <c r="R723" s="23"/>
      <c r="U723" s="11"/>
    </row>
    <row r="724" spans="1:21" ht="14.25" customHeight="1" x14ac:dyDescent="0.3">
      <c r="A724" s="484"/>
      <c r="C724" s="25"/>
      <c r="D724" s="25"/>
      <c r="E724" s="25"/>
      <c r="F724" s="25"/>
      <c r="G724" s="25"/>
      <c r="H724" s="25"/>
      <c r="I724" s="25"/>
      <c r="J724" s="25"/>
      <c r="K724" s="25"/>
      <c r="L724" s="25"/>
      <c r="M724" s="25"/>
      <c r="N724" s="25"/>
      <c r="O724" s="25"/>
      <c r="P724" s="25"/>
      <c r="R724" s="23"/>
      <c r="U724" s="11"/>
    </row>
    <row r="725" spans="1:21" ht="14.25" customHeight="1" x14ac:dyDescent="0.3">
      <c r="A725" s="484"/>
      <c r="C725" s="25"/>
      <c r="D725" s="25"/>
      <c r="E725" s="25"/>
      <c r="F725" s="25"/>
      <c r="G725" s="25"/>
      <c r="H725" s="25"/>
      <c r="I725" s="25"/>
      <c r="J725" s="25"/>
      <c r="K725" s="25"/>
      <c r="L725" s="25"/>
      <c r="M725" s="25"/>
      <c r="N725" s="25"/>
      <c r="O725" s="25"/>
      <c r="P725" s="25"/>
      <c r="R725" s="23"/>
      <c r="U725" s="11"/>
    </row>
    <row r="726" spans="1:21" ht="14.25" customHeight="1" x14ac:dyDescent="0.3">
      <c r="A726" s="484"/>
      <c r="C726" s="25"/>
      <c r="D726" s="25"/>
      <c r="E726" s="25"/>
      <c r="F726" s="25"/>
      <c r="G726" s="25"/>
      <c r="H726" s="25"/>
      <c r="I726" s="25"/>
      <c r="J726" s="25"/>
      <c r="K726" s="25"/>
      <c r="L726" s="25"/>
      <c r="M726" s="25"/>
      <c r="N726" s="25"/>
      <c r="O726" s="25"/>
      <c r="P726" s="25"/>
      <c r="R726" s="23"/>
      <c r="U726" s="11"/>
    </row>
    <row r="727" spans="1:21" ht="14.25" customHeight="1" x14ac:dyDescent="0.3">
      <c r="A727" s="484"/>
      <c r="C727" s="25"/>
      <c r="D727" s="25"/>
      <c r="E727" s="25"/>
      <c r="F727" s="25"/>
      <c r="G727" s="25"/>
      <c r="H727" s="25"/>
      <c r="I727" s="25"/>
      <c r="J727" s="25"/>
      <c r="K727" s="25"/>
      <c r="L727" s="25"/>
      <c r="M727" s="25"/>
      <c r="N727" s="25"/>
      <c r="O727" s="25"/>
      <c r="P727" s="25"/>
      <c r="R727" s="23"/>
      <c r="U727" s="11"/>
    </row>
    <row r="728" spans="1:21" ht="14.25" customHeight="1" x14ac:dyDescent="0.3">
      <c r="A728" s="484"/>
      <c r="C728" s="25"/>
      <c r="D728" s="25"/>
      <c r="E728" s="25"/>
      <c r="F728" s="25"/>
      <c r="G728" s="25"/>
      <c r="H728" s="25"/>
      <c r="I728" s="25"/>
      <c r="J728" s="25"/>
      <c r="K728" s="25"/>
      <c r="L728" s="25"/>
      <c r="M728" s="25"/>
      <c r="N728" s="25"/>
      <c r="O728" s="25"/>
      <c r="P728" s="25"/>
      <c r="R728" s="23"/>
      <c r="U728" s="11"/>
    </row>
    <row r="729" spans="1:21" ht="14.25" customHeight="1" x14ac:dyDescent="0.3">
      <c r="A729" s="484"/>
      <c r="C729" s="25"/>
      <c r="D729" s="25"/>
      <c r="E729" s="25"/>
      <c r="F729" s="25"/>
      <c r="G729" s="25"/>
      <c r="H729" s="25"/>
      <c r="I729" s="25"/>
      <c r="J729" s="25"/>
      <c r="K729" s="25"/>
      <c r="L729" s="25"/>
      <c r="M729" s="25"/>
      <c r="N729" s="25"/>
      <c r="O729" s="25"/>
      <c r="P729" s="25"/>
      <c r="R729" s="23"/>
      <c r="U729" s="11"/>
    </row>
    <row r="730" spans="1:21" ht="14.25" customHeight="1" x14ac:dyDescent="0.3">
      <c r="A730" s="484"/>
      <c r="C730" s="25"/>
      <c r="D730" s="25"/>
      <c r="E730" s="25"/>
      <c r="F730" s="25"/>
      <c r="G730" s="25"/>
      <c r="H730" s="25"/>
      <c r="I730" s="25"/>
      <c r="J730" s="25"/>
      <c r="K730" s="25"/>
      <c r="L730" s="25"/>
      <c r="M730" s="25"/>
      <c r="N730" s="25"/>
      <c r="O730" s="25"/>
      <c r="P730" s="25"/>
      <c r="R730" s="23"/>
      <c r="U730" s="11"/>
    </row>
    <row r="731" spans="1:21" ht="14.25" customHeight="1" x14ac:dyDescent="0.3">
      <c r="A731" s="484"/>
      <c r="C731" s="25"/>
      <c r="D731" s="25"/>
      <c r="E731" s="25"/>
      <c r="F731" s="25"/>
      <c r="G731" s="25"/>
      <c r="H731" s="25"/>
      <c r="I731" s="25"/>
      <c r="J731" s="25"/>
      <c r="K731" s="25"/>
      <c r="L731" s="25"/>
      <c r="M731" s="25"/>
      <c r="N731" s="25"/>
      <c r="O731" s="25"/>
      <c r="P731" s="25"/>
      <c r="R731" s="23"/>
      <c r="U731" s="11"/>
    </row>
    <row r="732" spans="1:21" ht="14.25" customHeight="1" x14ac:dyDescent="0.3">
      <c r="A732" s="484"/>
      <c r="C732" s="25"/>
      <c r="D732" s="25"/>
      <c r="E732" s="25"/>
      <c r="F732" s="25"/>
      <c r="G732" s="25"/>
      <c r="H732" s="25"/>
      <c r="I732" s="25"/>
      <c r="J732" s="25"/>
      <c r="K732" s="25"/>
      <c r="L732" s="25"/>
      <c r="M732" s="25"/>
      <c r="N732" s="25"/>
      <c r="O732" s="25"/>
      <c r="P732" s="25"/>
      <c r="R732" s="23"/>
      <c r="U732" s="11"/>
    </row>
    <row r="733" spans="1:21" ht="14.25" customHeight="1" x14ac:dyDescent="0.3">
      <c r="A733" s="484"/>
      <c r="C733" s="25"/>
      <c r="D733" s="25"/>
      <c r="E733" s="25"/>
      <c r="F733" s="25"/>
      <c r="G733" s="25"/>
      <c r="H733" s="25"/>
      <c r="I733" s="25"/>
      <c r="J733" s="25"/>
      <c r="K733" s="25"/>
      <c r="L733" s="25"/>
      <c r="M733" s="25"/>
      <c r="N733" s="25"/>
      <c r="O733" s="25"/>
      <c r="P733" s="25"/>
      <c r="R733" s="23"/>
      <c r="U733" s="11"/>
    </row>
    <row r="734" spans="1:21" ht="14.25" customHeight="1" x14ac:dyDescent="0.3">
      <c r="A734" s="484"/>
      <c r="C734" s="25"/>
      <c r="D734" s="25"/>
      <c r="E734" s="25"/>
      <c r="F734" s="25"/>
      <c r="G734" s="25"/>
      <c r="H734" s="25"/>
      <c r="I734" s="25"/>
      <c r="J734" s="25"/>
      <c r="K734" s="25"/>
      <c r="L734" s="25"/>
      <c r="M734" s="25"/>
      <c r="N734" s="25"/>
      <c r="O734" s="25"/>
      <c r="P734" s="25"/>
      <c r="R734" s="23"/>
      <c r="U734" s="11"/>
    </row>
    <row r="735" spans="1:21" ht="14.25" customHeight="1" x14ac:dyDescent="0.3">
      <c r="A735" s="484"/>
      <c r="C735" s="25"/>
      <c r="D735" s="25"/>
      <c r="E735" s="25"/>
      <c r="F735" s="25"/>
      <c r="G735" s="25"/>
      <c r="H735" s="25"/>
      <c r="I735" s="25"/>
      <c r="J735" s="25"/>
      <c r="K735" s="25"/>
      <c r="L735" s="25"/>
      <c r="M735" s="25"/>
      <c r="N735" s="25"/>
      <c r="O735" s="25"/>
      <c r="P735" s="25"/>
      <c r="R735" s="23"/>
      <c r="U735" s="11"/>
    </row>
    <row r="736" spans="1:21" ht="14.25" customHeight="1" x14ac:dyDescent="0.3">
      <c r="A736" s="484"/>
      <c r="C736" s="25"/>
      <c r="D736" s="25"/>
      <c r="E736" s="25"/>
      <c r="F736" s="25"/>
      <c r="G736" s="25"/>
      <c r="H736" s="25"/>
      <c r="I736" s="25"/>
      <c r="J736" s="25"/>
      <c r="K736" s="25"/>
      <c r="L736" s="25"/>
      <c r="M736" s="25"/>
      <c r="N736" s="25"/>
      <c r="O736" s="25"/>
      <c r="P736" s="25"/>
      <c r="R736" s="23"/>
      <c r="U736" s="11"/>
    </row>
    <row r="737" spans="1:21" ht="14.25" customHeight="1" x14ac:dyDescent="0.3">
      <c r="A737" s="484"/>
      <c r="C737" s="25"/>
      <c r="D737" s="25"/>
      <c r="E737" s="25"/>
      <c r="F737" s="25"/>
      <c r="G737" s="25"/>
      <c r="H737" s="25"/>
      <c r="I737" s="25"/>
      <c r="J737" s="25"/>
      <c r="K737" s="25"/>
      <c r="L737" s="25"/>
      <c r="M737" s="25"/>
      <c r="N737" s="25"/>
      <c r="O737" s="25"/>
      <c r="P737" s="25"/>
      <c r="R737" s="23"/>
      <c r="U737" s="11"/>
    </row>
    <row r="738" spans="1:21" ht="14.25" customHeight="1" x14ac:dyDescent="0.3">
      <c r="A738" s="484"/>
      <c r="C738" s="25"/>
      <c r="D738" s="25"/>
      <c r="E738" s="25"/>
      <c r="F738" s="25"/>
      <c r="G738" s="25"/>
      <c r="H738" s="25"/>
      <c r="I738" s="25"/>
      <c r="J738" s="25"/>
      <c r="K738" s="25"/>
      <c r="L738" s="25"/>
      <c r="M738" s="25"/>
      <c r="N738" s="25"/>
      <c r="O738" s="25"/>
      <c r="P738" s="25"/>
      <c r="R738" s="23"/>
      <c r="U738" s="11"/>
    </row>
    <row r="739" spans="1:21" ht="14.25" customHeight="1" x14ac:dyDescent="0.3">
      <c r="A739" s="484"/>
      <c r="C739" s="25"/>
      <c r="D739" s="25"/>
      <c r="E739" s="25"/>
      <c r="F739" s="25"/>
      <c r="G739" s="25"/>
      <c r="H739" s="25"/>
      <c r="I739" s="25"/>
      <c r="J739" s="25"/>
      <c r="K739" s="25"/>
      <c r="L739" s="25"/>
      <c r="M739" s="25"/>
      <c r="N739" s="25"/>
      <c r="O739" s="25"/>
      <c r="P739" s="25"/>
      <c r="R739" s="23"/>
      <c r="U739" s="11"/>
    </row>
    <row r="740" spans="1:21" ht="14.25" customHeight="1" x14ac:dyDescent="0.3">
      <c r="A740" s="484"/>
      <c r="C740" s="25"/>
      <c r="D740" s="25"/>
      <c r="E740" s="25"/>
      <c r="F740" s="25"/>
      <c r="G740" s="25"/>
      <c r="H740" s="25"/>
      <c r="I740" s="25"/>
      <c r="J740" s="25"/>
      <c r="K740" s="25"/>
      <c r="L740" s="25"/>
      <c r="M740" s="25"/>
      <c r="N740" s="25"/>
      <c r="O740" s="25"/>
      <c r="P740" s="25"/>
      <c r="R740" s="23"/>
      <c r="U740" s="11"/>
    </row>
    <row r="741" spans="1:21" ht="14.25" customHeight="1" x14ac:dyDescent="0.3">
      <c r="A741" s="484"/>
      <c r="C741" s="25"/>
      <c r="D741" s="25"/>
      <c r="E741" s="25"/>
      <c r="F741" s="25"/>
      <c r="G741" s="25"/>
      <c r="H741" s="25"/>
      <c r="I741" s="25"/>
      <c r="J741" s="25"/>
      <c r="K741" s="25"/>
      <c r="L741" s="25"/>
      <c r="M741" s="25"/>
      <c r="N741" s="25"/>
      <c r="O741" s="25"/>
      <c r="P741" s="25"/>
      <c r="R741" s="23"/>
      <c r="U741" s="11"/>
    </row>
    <row r="742" spans="1:21" ht="14.25" customHeight="1" x14ac:dyDescent="0.3">
      <c r="A742" s="484"/>
      <c r="C742" s="25"/>
      <c r="D742" s="25"/>
      <c r="E742" s="25"/>
      <c r="F742" s="25"/>
      <c r="G742" s="25"/>
      <c r="H742" s="25"/>
      <c r="I742" s="25"/>
      <c r="J742" s="25"/>
      <c r="K742" s="25"/>
      <c r="L742" s="25"/>
      <c r="M742" s="25"/>
      <c r="N742" s="25"/>
      <c r="O742" s="25"/>
      <c r="P742" s="25"/>
      <c r="R742" s="23"/>
      <c r="U742" s="11"/>
    </row>
    <row r="743" spans="1:21" ht="14.25" customHeight="1" x14ac:dyDescent="0.3">
      <c r="A743" s="484"/>
      <c r="C743" s="25"/>
      <c r="D743" s="25"/>
      <c r="E743" s="25"/>
      <c r="F743" s="25"/>
      <c r="G743" s="25"/>
      <c r="H743" s="25"/>
      <c r="I743" s="25"/>
      <c r="J743" s="25"/>
      <c r="K743" s="25"/>
      <c r="L743" s="25"/>
      <c r="M743" s="25"/>
      <c r="N743" s="25"/>
      <c r="O743" s="25"/>
      <c r="P743" s="25"/>
      <c r="R743" s="23"/>
      <c r="U743" s="11"/>
    </row>
    <row r="744" spans="1:21" ht="14.25" customHeight="1" x14ac:dyDescent="0.3">
      <c r="A744" s="484"/>
      <c r="C744" s="25"/>
      <c r="D744" s="25"/>
      <c r="E744" s="25"/>
      <c r="F744" s="25"/>
      <c r="G744" s="25"/>
      <c r="H744" s="25"/>
      <c r="I744" s="25"/>
      <c r="J744" s="25"/>
      <c r="K744" s="25"/>
      <c r="L744" s="25"/>
      <c r="M744" s="25"/>
      <c r="N744" s="25"/>
      <c r="O744" s="25"/>
      <c r="P744" s="25"/>
      <c r="R744" s="23"/>
      <c r="U744" s="11"/>
    </row>
    <row r="745" spans="1:21" ht="14.25" customHeight="1" x14ac:dyDescent="0.3">
      <c r="A745" s="484"/>
      <c r="C745" s="25"/>
      <c r="D745" s="25"/>
      <c r="E745" s="25"/>
      <c r="F745" s="25"/>
      <c r="G745" s="25"/>
      <c r="H745" s="25"/>
      <c r="I745" s="25"/>
      <c r="J745" s="25"/>
      <c r="K745" s="25"/>
      <c r="L745" s="25"/>
      <c r="M745" s="25"/>
      <c r="N745" s="25"/>
      <c r="O745" s="25"/>
      <c r="P745" s="25"/>
      <c r="R745" s="23"/>
      <c r="U745" s="11"/>
    </row>
    <row r="746" spans="1:21" ht="14.25" customHeight="1" x14ac:dyDescent="0.3">
      <c r="A746" s="484"/>
      <c r="C746" s="25"/>
      <c r="D746" s="25"/>
      <c r="E746" s="25"/>
      <c r="F746" s="25"/>
      <c r="G746" s="25"/>
      <c r="H746" s="25"/>
      <c r="I746" s="25"/>
      <c r="J746" s="25"/>
      <c r="K746" s="25"/>
      <c r="L746" s="25"/>
      <c r="M746" s="25"/>
      <c r="N746" s="25"/>
      <c r="O746" s="25"/>
      <c r="P746" s="25"/>
      <c r="R746" s="23"/>
      <c r="U746" s="11"/>
    </row>
    <row r="747" spans="1:21" ht="14.25" customHeight="1" x14ac:dyDescent="0.3">
      <c r="A747" s="484"/>
      <c r="C747" s="25"/>
      <c r="D747" s="25"/>
      <c r="E747" s="25"/>
      <c r="F747" s="25"/>
      <c r="G747" s="25"/>
      <c r="H747" s="25"/>
      <c r="I747" s="25"/>
      <c r="J747" s="25"/>
      <c r="K747" s="25"/>
      <c r="L747" s="25"/>
      <c r="M747" s="25"/>
      <c r="N747" s="25"/>
      <c r="O747" s="25"/>
      <c r="P747" s="25"/>
      <c r="R747" s="23"/>
      <c r="U747" s="11"/>
    </row>
    <row r="748" spans="1:21" ht="14.25" customHeight="1" x14ac:dyDescent="0.3">
      <c r="A748" s="484"/>
      <c r="C748" s="25"/>
      <c r="D748" s="25"/>
      <c r="E748" s="25"/>
      <c r="F748" s="25"/>
      <c r="G748" s="25"/>
      <c r="H748" s="25"/>
      <c r="I748" s="25"/>
      <c r="J748" s="25"/>
      <c r="K748" s="25"/>
      <c r="L748" s="25"/>
      <c r="M748" s="25"/>
      <c r="N748" s="25"/>
      <c r="O748" s="25"/>
      <c r="P748" s="25"/>
      <c r="R748" s="23"/>
      <c r="U748" s="11"/>
    </row>
    <row r="749" spans="1:21" ht="14.25" customHeight="1" x14ac:dyDescent="0.3">
      <c r="A749" s="484"/>
      <c r="C749" s="25"/>
      <c r="D749" s="25"/>
      <c r="E749" s="25"/>
      <c r="F749" s="25"/>
      <c r="G749" s="25"/>
      <c r="H749" s="25"/>
      <c r="I749" s="25"/>
      <c r="J749" s="25"/>
      <c r="K749" s="25"/>
      <c r="L749" s="25"/>
      <c r="M749" s="25"/>
      <c r="N749" s="25"/>
      <c r="O749" s="25"/>
      <c r="P749" s="25"/>
      <c r="R749" s="23"/>
      <c r="U749" s="11"/>
    </row>
    <row r="750" spans="1:21" ht="14.25" customHeight="1" x14ac:dyDescent="0.3">
      <c r="A750" s="484"/>
      <c r="C750" s="25"/>
      <c r="D750" s="25"/>
      <c r="E750" s="25"/>
      <c r="F750" s="25"/>
      <c r="G750" s="25"/>
      <c r="H750" s="25"/>
      <c r="I750" s="25"/>
      <c r="J750" s="25"/>
      <c r="K750" s="25"/>
      <c r="L750" s="25"/>
      <c r="M750" s="25"/>
      <c r="N750" s="25"/>
      <c r="O750" s="25"/>
      <c r="P750" s="25"/>
      <c r="R750" s="23"/>
      <c r="U750" s="11"/>
    </row>
    <row r="751" spans="1:21" ht="14.25" customHeight="1" x14ac:dyDescent="0.3">
      <c r="A751" s="484"/>
      <c r="C751" s="25"/>
      <c r="D751" s="25"/>
      <c r="E751" s="25"/>
      <c r="F751" s="25"/>
      <c r="G751" s="25"/>
      <c r="H751" s="25"/>
      <c r="I751" s="25"/>
      <c r="J751" s="25"/>
      <c r="K751" s="25"/>
      <c r="L751" s="25"/>
      <c r="M751" s="25"/>
      <c r="N751" s="25"/>
      <c r="O751" s="25"/>
      <c r="P751" s="25"/>
      <c r="R751" s="23"/>
      <c r="U751" s="11"/>
    </row>
    <row r="752" spans="1:21" ht="14.25" customHeight="1" x14ac:dyDescent="0.3">
      <c r="A752" s="484"/>
      <c r="C752" s="25"/>
      <c r="D752" s="25"/>
      <c r="E752" s="25"/>
      <c r="F752" s="25"/>
      <c r="G752" s="25"/>
      <c r="H752" s="25"/>
      <c r="I752" s="25"/>
      <c r="J752" s="25"/>
      <c r="K752" s="25"/>
      <c r="L752" s="25"/>
      <c r="M752" s="25"/>
      <c r="N752" s="25"/>
      <c r="O752" s="25"/>
      <c r="P752" s="25"/>
      <c r="R752" s="23"/>
      <c r="U752" s="11"/>
    </row>
    <row r="753" spans="1:21" ht="14.25" customHeight="1" x14ac:dyDescent="0.3">
      <c r="A753" s="484"/>
      <c r="C753" s="25"/>
      <c r="D753" s="25"/>
      <c r="E753" s="25"/>
      <c r="F753" s="25"/>
      <c r="G753" s="25"/>
      <c r="H753" s="25"/>
      <c r="I753" s="25"/>
      <c r="J753" s="25"/>
      <c r="K753" s="25"/>
      <c r="L753" s="25"/>
      <c r="M753" s="25"/>
      <c r="N753" s="25"/>
      <c r="O753" s="25"/>
      <c r="P753" s="25"/>
      <c r="R753" s="23"/>
      <c r="U753" s="11"/>
    </row>
    <row r="754" spans="1:21" ht="14.25" customHeight="1" x14ac:dyDescent="0.3">
      <c r="A754" s="484"/>
      <c r="C754" s="25"/>
      <c r="D754" s="25"/>
      <c r="E754" s="25"/>
      <c r="F754" s="25"/>
      <c r="G754" s="25"/>
      <c r="H754" s="25"/>
      <c r="I754" s="25"/>
      <c r="J754" s="25"/>
      <c r="K754" s="25"/>
      <c r="L754" s="25"/>
      <c r="M754" s="25"/>
      <c r="N754" s="25"/>
      <c r="O754" s="25"/>
      <c r="P754" s="25"/>
      <c r="R754" s="23"/>
      <c r="U754" s="11"/>
    </row>
    <row r="755" spans="1:21" ht="14.25" customHeight="1" x14ac:dyDescent="0.3">
      <c r="A755" s="484"/>
      <c r="C755" s="25"/>
      <c r="D755" s="25"/>
      <c r="E755" s="25"/>
      <c r="F755" s="25"/>
      <c r="G755" s="25"/>
      <c r="H755" s="25"/>
      <c r="I755" s="25"/>
      <c r="J755" s="25"/>
      <c r="K755" s="25"/>
      <c r="L755" s="25"/>
      <c r="M755" s="25"/>
      <c r="N755" s="25"/>
      <c r="O755" s="25"/>
      <c r="P755" s="25"/>
      <c r="R755" s="23"/>
      <c r="U755" s="11"/>
    </row>
    <row r="756" spans="1:21" ht="14.25" customHeight="1" x14ac:dyDescent="0.3">
      <c r="A756" s="484"/>
      <c r="C756" s="25"/>
      <c r="D756" s="25"/>
      <c r="E756" s="25"/>
      <c r="F756" s="25"/>
      <c r="G756" s="25"/>
      <c r="H756" s="25"/>
      <c r="I756" s="25"/>
      <c r="J756" s="25"/>
      <c r="K756" s="25"/>
      <c r="L756" s="25"/>
      <c r="M756" s="25"/>
      <c r="N756" s="25"/>
      <c r="O756" s="25"/>
      <c r="P756" s="25"/>
      <c r="R756" s="23"/>
      <c r="U756" s="11"/>
    </row>
    <row r="757" spans="1:21" ht="14.25" customHeight="1" x14ac:dyDescent="0.3">
      <c r="A757" s="484"/>
      <c r="C757" s="25"/>
      <c r="D757" s="25"/>
      <c r="E757" s="25"/>
      <c r="F757" s="25"/>
      <c r="G757" s="25"/>
      <c r="H757" s="25"/>
      <c r="I757" s="25"/>
      <c r="J757" s="25"/>
      <c r="K757" s="25"/>
      <c r="L757" s="25"/>
      <c r="M757" s="25"/>
      <c r="N757" s="25"/>
      <c r="O757" s="25"/>
      <c r="P757" s="25"/>
      <c r="R757" s="23"/>
      <c r="U757" s="11"/>
    </row>
    <row r="758" spans="1:21" ht="14.25" customHeight="1" x14ac:dyDescent="0.3">
      <c r="A758" s="484"/>
      <c r="C758" s="25"/>
      <c r="D758" s="25"/>
      <c r="E758" s="25"/>
      <c r="F758" s="25"/>
      <c r="G758" s="25"/>
      <c r="H758" s="25"/>
      <c r="I758" s="25"/>
      <c r="J758" s="25"/>
      <c r="K758" s="25"/>
      <c r="L758" s="25"/>
      <c r="M758" s="25"/>
      <c r="N758" s="25"/>
      <c r="O758" s="25"/>
      <c r="P758" s="25"/>
      <c r="R758" s="23"/>
      <c r="U758" s="11"/>
    </row>
    <row r="759" spans="1:21" ht="14.25" customHeight="1" x14ac:dyDescent="0.3">
      <c r="A759" s="484"/>
      <c r="C759" s="25"/>
      <c r="D759" s="25"/>
      <c r="E759" s="25"/>
      <c r="F759" s="25"/>
      <c r="G759" s="25"/>
      <c r="H759" s="25"/>
      <c r="I759" s="25"/>
      <c r="J759" s="25"/>
      <c r="K759" s="25"/>
      <c r="L759" s="25"/>
      <c r="M759" s="25"/>
      <c r="N759" s="25"/>
      <c r="O759" s="25"/>
      <c r="P759" s="25"/>
      <c r="R759" s="23"/>
      <c r="U759" s="11"/>
    </row>
    <row r="760" spans="1:21" ht="14.25" customHeight="1" x14ac:dyDescent="0.3">
      <c r="A760" s="484"/>
      <c r="C760" s="25"/>
      <c r="D760" s="25"/>
      <c r="E760" s="25"/>
      <c r="F760" s="25"/>
      <c r="G760" s="25"/>
      <c r="H760" s="25"/>
      <c r="I760" s="25"/>
      <c r="J760" s="25"/>
      <c r="K760" s="25"/>
      <c r="L760" s="25"/>
      <c r="M760" s="25"/>
      <c r="N760" s="25"/>
      <c r="O760" s="25"/>
      <c r="P760" s="25"/>
      <c r="R760" s="23"/>
      <c r="U760" s="11"/>
    </row>
    <row r="761" spans="1:21" ht="14.25" customHeight="1" x14ac:dyDescent="0.3">
      <c r="A761" s="484"/>
      <c r="C761" s="25"/>
      <c r="D761" s="25"/>
      <c r="E761" s="25"/>
      <c r="F761" s="25"/>
      <c r="G761" s="25"/>
      <c r="H761" s="25"/>
      <c r="I761" s="25"/>
      <c r="J761" s="25"/>
      <c r="K761" s="25"/>
      <c r="L761" s="25"/>
      <c r="M761" s="25"/>
      <c r="N761" s="25"/>
      <c r="O761" s="25"/>
      <c r="P761" s="25"/>
      <c r="R761" s="23"/>
      <c r="U761" s="11"/>
    </row>
    <row r="762" spans="1:21" ht="14.25" customHeight="1" x14ac:dyDescent="0.3">
      <c r="A762" s="484"/>
      <c r="C762" s="25"/>
      <c r="D762" s="25"/>
      <c r="E762" s="25"/>
      <c r="F762" s="25"/>
      <c r="G762" s="25"/>
      <c r="H762" s="25"/>
      <c r="I762" s="25"/>
      <c r="J762" s="25"/>
      <c r="K762" s="25"/>
      <c r="L762" s="25"/>
      <c r="M762" s="25"/>
      <c r="N762" s="25"/>
      <c r="O762" s="25"/>
      <c r="P762" s="25"/>
      <c r="R762" s="23"/>
      <c r="U762" s="11"/>
    </row>
    <row r="763" spans="1:21" ht="14.25" customHeight="1" x14ac:dyDescent="0.3">
      <c r="A763" s="484"/>
      <c r="C763" s="25"/>
      <c r="D763" s="25"/>
      <c r="E763" s="25"/>
      <c r="F763" s="25"/>
      <c r="G763" s="25"/>
      <c r="H763" s="25"/>
      <c r="I763" s="25"/>
      <c r="J763" s="25"/>
      <c r="K763" s="25"/>
      <c r="L763" s="25"/>
      <c r="M763" s="25"/>
      <c r="N763" s="25"/>
      <c r="O763" s="25"/>
      <c r="P763" s="25"/>
      <c r="R763" s="23"/>
      <c r="U763" s="11"/>
    </row>
    <row r="764" spans="1:21" ht="14.25" customHeight="1" x14ac:dyDescent="0.3">
      <c r="A764" s="484"/>
      <c r="C764" s="25"/>
      <c r="D764" s="25"/>
      <c r="E764" s="25"/>
      <c r="F764" s="25"/>
      <c r="G764" s="25"/>
      <c r="H764" s="25"/>
      <c r="I764" s="25"/>
      <c r="J764" s="25"/>
      <c r="K764" s="25"/>
      <c r="L764" s="25"/>
      <c r="M764" s="25"/>
      <c r="N764" s="25"/>
      <c r="O764" s="25"/>
      <c r="P764" s="25"/>
      <c r="R764" s="23"/>
      <c r="U764" s="11"/>
    </row>
    <row r="765" spans="1:21" ht="14.25" customHeight="1" x14ac:dyDescent="0.3">
      <c r="A765" s="484"/>
      <c r="C765" s="25"/>
      <c r="D765" s="25"/>
      <c r="E765" s="25"/>
      <c r="F765" s="25"/>
      <c r="G765" s="25"/>
      <c r="H765" s="25"/>
      <c r="I765" s="25"/>
      <c r="J765" s="25"/>
      <c r="K765" s="25"/>
      <c r="L765" s="25"/>
      <c r="M765" s="25"/>
      <c r="N765" s="25"/>
      <c r="O765" s="25"/>
      <c r="P765" s="25"/>
      <c r="R765" s="23"/>
      <c r="U765" s="11"/>
    </row>
    <row r="766" spans="1:21" ht="14.25" customHeight="1" x14ac:dyDescent="0.3">
      <c r="A766" s="484"/>
      <c r="C766" s="25"/>
      <c r="D766" s="25"/>
      <c r="E766" s="25"/>
      <c r="F766" s="25"/>
      <c r="G766" s="25"/>
      <c r="H766" s="25"/>
      <c r="I766" s="25"/>
      <c r="J766" s="25"/>
      <c r="K766" s="25"/>
      <c r="L766" s="25"/>
      <c r="M766" s="25"/>
      <c r="N766" s="25"/>
      <c r="O766" s="25"/>
      <c r="P766" s="25"/>
      <c r="R766" s="23"/>
      <c r="U766" s="11"/>
    </row>
    <row r="767" spans="1:21" ht="14.25" customHeight="1" x14ac:dyDescent="0.3">
      <c r="A767" s="484"/>
      <c r="C767" s="25"/>
      <c r="D767" s="25"/>
      <c r="E767" s="25"/>
      <c r="F767" s="25"/>
      <c r="G767" s="25"/>
      <c r="H767" s="25"/>
      <c r="I767" s="25"/>
      <c r="J767" s="25"/>
      <c r="K767" s="25"/>
      <c r="L767" s="25"/>
      <c r="M767" s="25"/>
      <c r="N767" s="25"/>
      <c r="O767" s="25"/>
      <c r="P767" s="25"/>
      <c r="R767" s="23"/>
      <c r="U767" s="11"/>
    </row>
    <row r="768" spans="1:21" ht="14.25" customHeight="1" x14ac:dyDescent="0.3">
      <c r="A768" s="484"/>
      <c r="C768" s="25"/>
      <c r="D768" s="25"/>
      <c r="E768" s="25"/>
      <c r="F768" s="25"/>
      <c r="G768" s="25"/>
      <c r="H768" s="25"/>
      <c r="I768" s="25"/>
      <c r="J768" s="25"/>
      <c r="K768" s="25"/>
      <c r="L768" s="25"/>
      <c r="M768" s="25"/>
      <c r="N768" s="25"/>
      <c r="O768" s="25"/>
      <c r="P768" s="25"/>
      <c r="R768" s="23"/>
      <c r="U768" s="11"/>
    </row>
    <row r="769" spans="1:21" ht="14.25" customHeight="1" x14ac:dyDescent="0.3">
      <c r="A769" s="484"/>
      <c r="C769" s="25"/>
      <c r="D769" s="25"/>
      <c r="E769" s="25"/>
      <c r="F769" s="25"/>
      <c r="G769" s="25"/>
      <c r="H769" s="25"/>
      <c r="I769" s="25"/>
      <c r="J769" s="25"/>
      <c r="K769" s="25"/>
      <c r="L769" s="25"/>
      <c r="M769" s="25"/>
      <c r="N769" s="25"/>
      <c r="O769" s="25"/>
      <c r="P769" s="25"/>
      <c r="R769" s="23"/>
      <c r="U769" s="11"/>
    </row>
    <row r="770" spans="1:21" ht="14.25" customHeight="1" x14ac:dyDescent="0.3">
      <c r="A770" s="484"/>
      <c r="C770" s="25"/>
      <c r="D770" s="25"/>
      <c r="E770" s="25"/>
      <c r="F770" s="25"/>
      <c r="G770" s="25"/>
      <c r="H770" s="25"/>
      <c r="I770" s="25"/>
      <c r="J770" s="25"/>
      <c r="K770" s="25"/>
      <c r="L770" s="25"/>
      <c r="M770" s="25"/>
      <c r="N770" s="25"/>
      <c r="O770" s="25"/>
      <c r="P770" s="25"/>
      <c r="R770" s="23"/>
      <c r="U770" s="11"/>
    </row>
    <row r="771" spans="1:21" ht="14.25" customHeight="1" x14ac:dyDescent="0.3">
      <c r="A771" s="484"/>
      <c r="C771" s="25"/>
      <c r="D771" s="25"/>
      <c r="E771" s="25"/>
      <c r="F771" s="25"/>
      <c r="G771" s="25"/>
      <c r="H771" s="25"/>
      <c r="I771" s="25"/>
      <c r="J771" s="25"/>
      <c r="K771" s="25"/>
      <c r="L771" s="25"/>
      <c r="M771" s="25"/>
      <c r="N771" s="25"/>
      <c r="O771" s="25"/>
      <c r="P771" s="25"/>
      <c r="R771" s="23"/>
      <c r="U771" s="11"/>
    </row>
    <row r="772" spans="1:21" ht="14.25" customHeight="1" x14ac:dyDescent="0.3">
      <c r="A772" s="484"/>
      <c r="C772" s="25"/>
      <c r="D772" s="25"/>
      <c r="E772" s="25"/>
      <c r="F772" s="25"/>
      <c r="G772" s="25"/>
      <c r="H772" s="25"/>
      <c r="I772" s="25"/>
      <c r="J772" s="25"/>
      <c r="K772" s="25"/>
      <c r="L772" s="25"/>
      <c r="M772" s="25"/>
      <c r="N772" s="25"/>
      <c r="O772" s="25"/>
      <c r="P772" s="25"/>
      <c r="R772" s="23"/>
      <c r="U772" s="11"/>
    </row>
    <row r="773" spans="1:21" ht="14.25" customHeight="1" x14ac:dyDescent="0.3">
      <c r="A773" s="484"/>
      <c r="C773" s="25"/>
      <c r="D773" s="25"/>
      <c r="E773" s="25"/>
      <c r="F773" s="25"/>
      <c r="G773" s="25"/>
      <c r="H773" s="25"/>
      <c r="I773" s="25"/>
      <c r="J773" s="25"/>
      <c r="K773" s="25"/>
      <c r="L773" s="25"/>
      <c r="M773" s="25"/>
      <c r="N773" s="25"/>
      <c r="O773" s="25"/>
      <c r="P773" s="25"/>
      <c r="R773" s="23"/>
      <c r="U773" s="11"/>
    </row>
    <row r="774" spans="1:21" ht="14.25" customHeight="1" x14ac:dyDescent="0.3">
      <c r="A774" s="484"/>
      <c r="C774" s="25"/>
      <c r="D774" s="25"/>
      <c r="E774" s="25"/>
      <c r="F774" s="25"/>
      <c r="G774" s="25"/>
      <c r="H774" s="25"/>
      <c r="I774" s="25"/>
      <c r="J774" s="25"/>
      <c r="K774" s="25"/>
      <c r="L774" s="25"/>
      <c r="M774" s="25"/>
      <c r="N774" s="25"/>
      <c r="O774" s="25"/>
      <c r="P774" s="25"/>
      <c r="R774" s="23"/>
      <c r="U774" s="11"/>
    </row>
    <row r="775" spans="1:21" ht="14.25" customHeight="1" x14ac:dyDescent="0.3">
      <c r="A775" s="484"/>
      <c r="C775" s="25"/>
      <c r="D775" s="25"/>
      <c r="E775" s="25"/>
      <c r="F775" s="25"/>
      <c r="G775" s="25"/>
      <c r="H775" s="25"/>
      <c r="I775" s="25"/>
      <c r="J775" s="25"/>
      <c r="K775" s="25"/>
      <c r="L775" s="25"/>
      <c r="M775" s="25"/>
      <c r="N775" s="25"/>
      <c r="O775" s="25"/>
      <c r="P775" s="25"/>
      <c r="R775" s="23"/>
      <c r="U775" s="11"/>
    </row>
    <row r="776" spans="1:21" ht="14.25" customHeight="1" x14ac:dyDescent="0.3">
      <c r="A776" s="484"/>
      <c r="C776" s="25"/>
      <c r="D776" s="25"/>
      <c r="E776" s="25"/>
      <c r="F776" s="25"/>
      <c r="G776" s="25"/>
      <c r="H776" s="25"/>
      <c r="I776" s="25"/>
      <c r="J776" s="25"/>
      <c r="K776" s="25"/>
      <c r="L776" s="25"/>
      <c r="M776" s="25"/>
      <c r="N776" s="25"/>
      <c r="O776" s="25"/>
      <c r="P776" s="25"/>
      <c r="R776" s="23"/>
      <c r="U776" s="11"/>
    </row>
    <row r="777" spans="1:21" ht="14.25" customHeight="1" x14ac:dyDescent="0.3">
      <c r="A777" s="484"/>
      <c r="C777" s="25"/>
      <c r="D777" s="25"/>
      <c r="E777" s="25"/>
      <c r="F777" s="25"/>
      <c r="G777" s="25"/>
      <c r="H777" s="25"/>
      <c r="I777" s="25"/>
      <c r="J777" s="25"/>
      <c r="K777" s="25"/>
      <c r="L777" s="25"/>
      <c r="M777" s="25"/>
      <c r="N777" s="25"/>
      <c r="O777" s="25"/>
      <c r="P777" s="25"/>
      <c r="R777" s="23"/>
      <c r="U777" s="11"/>
    </row>
    <row r="778" spans="1:21" ht="14.25" customHeight="1" x14ac:dyDescent="0.3">
      <c r="A778" s="484"/>
      <c r="C778" s="25"/>
      <c r="D778" s="25"/>
      <c r="E778" s="25"/>
      <c r="F778" s="25"/>
      <c r="G778" s="25"/>
      <c r="H778" s="25"/>
      <c r="I778" s="25"/>
      <c r="J778" s="25"/>
      <c r="K778" s="25"/>
      <c r="L778" s="25"/>
      <c r="M778" s="25"/>
      <c r="N778" s="25"/>
      <c r="O778" s="25"/>
      <c r="P778" s="25"/>
      <c r="R778" s="23"/>
      <c r="U778" s="11"/>
    </row>
    <row r="779" spans="1:21" ht="14.25" customHeight="1" x14ac:dyDescent="0.3">
      <c r="A779" s="484"/>
      <c r="C779" s="25"/>
      <c r="D779" s="25"/>
      <c r="E779" s="25"/>
      <c r="F779" s="25"/>
      <c r="G779" s="25"/>
      <c r="H779" s="25"/>
      <c r="I779" s="25"/>
      <c r="J779" s="25"/>
      <c r="K779" s="25"/>
      <c r="L779" s="25"/>
      <c r="M779" s="25"/>
      <c r="N779" s="25"/>
      <c r="O779" s="25"/>
      <c r="P779" s="25"/>
      <c r="R779" s="23"/>
      <c r="U779" s="11"/>
    </row>
    <row r="780" spans="1:21" ht="14.25" customHeight="1" x14ac:dyDescent="0.3">
      <c r="A780" s="484"/>
      <c r="C780" s="25"/>
      <c r="D780" s="25"/>
      <c r="E780" s="25"/>
      <c r="F780" s="25"/>
      <c r="G780" s="25"/>
      <c r="H780" s="25"/>
      <c r="I780" s="25"/>
      <c r="J780" s="25"/>
      <c r="K780" s="25"/>
      <c r="L780" s="25"/>
      <c r="M780" s="25"/>
      <c r="N780" s="25"/>
      <c r="O780" s="25"/>
      <c r="P780" s="25"/>
      <c r="R780" s="23"/>
      <c r="U780" s="11"/>
    </row>
    <row r="781" spans="1:21" ht="14.25" customHeight="1" x14ac:dyDescent="0.3">
      <c r="A781" s="484"/>
      <c r="C781" s="25"/>
      <c r="D781" s="25"/>
      <c r="E781" s="25"/>
      <c r="F781" s="25"/>
      <c r="G781" s="25"/>
      <c r="H781" s="25"/>
      <c r="I781" s="25"/>
      <c r="J781" s="25"/>
      <c r="K781" s="25"/>
      <c r="L781" s="25"/>
      <c r="M781" s="25"/>
      <c r="N781" s="25"/>
      <c r="O781" s="25"/>
      <c r="P781" s="25"/>
      <c r="R781" s="23"/>
      <c r="U781" s="11"/>
    </row>
    <row r="782" spans="1:21" ht="14.25" customHeight="1" x14ac:dyDescent="0.3">
      <c r="A782" s="484"/>
      <c r="C782" s="25"/>
      <c r="D782" s="25"/>
      <c r="E782" s="25"/>
      <c r="F782" s="25"/>
      <c r="G782" s="25"/>
      <c r="H782" s="25"/>
      <c r="I782" s="25"/>
      <c r="J782" s="25"/>
      <c r="K782" s="25"/>
      <c r="L782" s="25"/>
      <c r="M782" s="25"/>
      <c r="N782" s="25"/>
      <c r="O782" s="25"/>
      <c r="P782" s="25"/>
      <c r="R782" s="23"/>
      <c r="U782" s="11"/>
    </row>
    <row r="783" spans="1:21" ht="14.25" customHeight="1" x14ac:dyDescent="0.3">
      <c r="A783" s="484"/>
      <c r="C783" s="25"/>
      <c r="D783" s="25"/>
      <c r="E783" s="25"/>
      <c r="F783" s="25"/>
      <c r="G783" s="25"/>
      <c r="H783" s="25"/>
      <c r="I783" s="25"/>
      <c r="J783" s="25"/>
      <c r="K783" s="25"/>
      <c r="L783" s="25"/>
      <c r="M783" s="25"/>
      <c r="N783" s="25"/>
      <c r="O783" s="25"/>
      <c r="P783" s="25"/>
      <c r="R783" s="23"/>
      <c r="U783" s="11"/>
    </row>
    <row r="784" spans="1:21" ht="14.25" customHeight="1" x14ac:dyDescent="0.3">
      <c r="A784" s="484"/>
      <c r="C784" s="25"/>
      <c r="D784" s="25"/>
      <c r="E784" s="25"/>
      <c r="F784" s="25"/>
      <c r="G784" s="25"/>
      <c r="H784" s="25"/>
      <c r="I784" s="25"/>
      <c r="J784" s="25"/>
      <c r="K784" s="25"/>
      <c r="L784" s="25"/>
      <c r="M784" s="25"/>
      <c r="N784" s="25"/>
      <c r="O784" s="25"/>
      <c r="P784" s="25"/>
      <c r="R784" s="23"/>
      <c r="U784" s="11"/>
    </row>
    <row r="785" spans="1:21" ht="14.25" customHeight="1" x14ac:dyDescent="0.3">
      <c r="A785" s="484"/>
      <c r="C785" s="25"/>
      <c r="D785" s="25"/>
      <c r="E785" s="25"/>
      <c r="F785" s="25"/>
      <c r="G785" s="25"/>
      <c r="H785" s="25"/>
      <c r="I785" s="25"/>
      <c r="J785" s="25"/>
      <c r="K785" s="25"/>
      <c r="L785" s="25"/>
      <c r="M785" s="25"/>
      <c r="N785" s="25"/>
      <c r="O785" s="25"/>
      <c r="P785" s="25"/>
      <c r="R785" s="23"/>
      <c r="U785" s="11"/>
    </row>
    <row r="786" spans="1:21" ht="14.25" customHeight="1" x14ac:dyDescent="0.3">
      <c r="A786" s="484"/>
      <c r="C786" s="25"/>
      <c r="D786" s="25"/>
      <c r="E786" s="25"/>
      <c r="F786" s="25"/>
      <c r="G786" s="25"/>
      <c r="H786" s="25"/>
      <c r="I786" s="25"/>
      <c r="J786" s="25"/>
      <c r="K786" s="25"/>
      <c r="L786" s="25"/>
      <c r="M786" s="25"/>
      <c r="N786" s="25"/>
      <c r="O786" s="25"/>
      <c r="P786" s="25"/>
      <c r="R786" s="23"/>
      <c r="U786" s="11"/>
    </row>
    <row r="787" spans="1:21" ht="14.25" customHeight="1" x14ac:dyDescent="0.3">
      <c r="A787" s="484"/>
      <c r="C787" s="25"/>
      <c r="D787" s="25"/>
      <c r="E787" s="25"/>
      <c r="F787" s="25"/>
      <c r="G787" s="25"/>
      <c r="H787" s="25"/>
      <c r="I787" s="25"/>
      <c r="J787" s="25"/>
      <c r="K787" s="25"/>
      <c r="L787" s="25"/>
      <c r="M787" s="25"/>
      <c r="N787" s="25"/>
      <c r="O787" s="25"/>
      <c r="P787" s="25"/>
      <c r="R787" s="23"/>
      <c r="U787" s="11"/>
    </row>
    <row r="788" spans="1:21" ht="14.25" customHeight="1" x14ac:dyDescent="0.3">
      <c r="A788" s="484"/>
      <c r="C788" s="25"/>
      <c r="D788" s="25"/>
      <c r="E788" s="25"/>
      <c r="F788" s="25"/>
      <c r="G788" s="25"/>
      <c r="H788" s="25"/>
      <c r="I788" s="25"/>
      <c r="J788" s="25"/>
      <c r="K788" s="25"/>
      <c r="L788" s="25"/>
      <c r="M788" s="25"/>
      <c r="N788" s="25"/>
      <c r="O788" s="25"/>
      <c r="P788" s="25"/>
      <c r="R788" s="23"/>
      <c r="U788" s="11"/>
    </row>
    <row r="789" spans="1:21" ht="14.25" customHeight="1" x14ac:dyDescent="0.3">
      <c r="A789" s="484"/>
      <c r="C789" s="25"/>
      <c r="D789" s="25"/>
      <c r="E789" s="25"/>
      <c r="F789" s="25"/>
      <c r="G789" s="25"/>
      <c r="H789" s="25"/>
      <c r="I789" s="25"/>
      <c r="J789" s="25"/>
      <c r="K789" s="25"/>
      <c r="L789" s="25"/>
      <c r="M789" s="25"/>
      <c r="N789" s="25"/>
      <c r="O789" s="25"/>
      <c r="P789" s="25"/>
      <c r="R789" s="23"/>
      <c r="U789" s="11"/>
    </row>
    <row r="790" spans="1:21" ht="14.25" customHeight="1" x14ac:dyDescent="0.3">
      <c r="A790" s="484"/>
      <c r="C790" s="25"/>
      <c r="D790" s="25"/>
      <c r="E790" s="25"/>
      <c r="F790" s="25"/>
      <c r="G790" s="25"/>
      <c r="H790" s="25"/>
      <c r="I790" s="25"/>
      <c r="J790" s="25"/>
      <c r="K790" s="25"/>
      <c r="L790" s="25"/>
      <c r="M790" s="25"/>
      <c r="N790" s="25"/>
      <c r="O790" s="25"/>
      <c r="P790" s="25"/>
      <c r="R790" s="23"/>
      <c r="U790" s="11"/>
    </row>
    <row r="791" spans="1:21" ht="14.25" customHeight="1" x14ac:dyDescent="0.3">
      <c r="A791" s="484"/>
      <c r="C791" s="25"/>
      <c r="D791" s="25"/>
      <c r="E791" s="25"/>
      <c r="F791" s="25"/>
      <c r="G791" s="25"/>
      <c r="H791" s="25"/>
      <c r="I791" s="25"/>
      <c r="J791" s="25"/>
      <c r="K791" s="25"/>
      <c r="L791" s="25"/>
      <c r="M791" s="25"/>
      <c r="N791" s="25"/>
      <c r="O791" s="25"/>
      <c r="P791" s="25"/>
      <c r="R791" s="23"/>
      <c r="U791" s="11"/>
    </row>
    <row r="792" spans="1:21" ht="14.25" customHeight="1" x14ac:dyDescent="0.3">
      <c r="A792" s="484"/>
      <c r="C792" s="25"/>
      <c r="D792" s="25"/>
      <c r="E792" s="25"/>
      <c r="F792" s="25"/>
      <c r="G792" s="25"/>
      <c r="H792" s="25"/>
      <c r="I792" s="25"/>
      <c r="J792" s="25"/>
      <c r="K792" s="25"/>
      <c r="L792" s="25"/>
      <c r="M792" s="25"/>
      <c r="N792" s="25"/>
      <c r="O792" s="25"/>
      <c r="P792" s="25"/>
      <c r="R792" s="23"/>
      <c r="U792" s="11"/>
    </row>
    <row r="793" spans="1:21" ht="14.25" customHeight="1" x14ac:dyDescent="0.3">
      <c r="A793" s="484"/>
      <c r="C793" s="25"/>
      <c r="D793" s="25"/>
      <c r="E793" s="25"/>
      <c r="F793" s="25"/>
      <c r="G793" s="25"/>
      <c r="H793" s="25"/>
      <c r="I793" s="25"/>
      <c r="J793" s="25"/>
      <c r="K793" s="25"/>
      <c r="L793" s="25"/>
      <c r="M793" s="25"/>
      <c r="N793" s="25"/>
      <c r="O793" s="25"/>
      <c r="P793" s="25"/>
      <c r="R793" s="23"/>
      <c r="U793" s="11"/>
    </row>
    <row r="794" spans="1:21" ht="14.25" customHeight="1" x14ac:dyDescent="0.3">
      <c r="A794" s="484"/>
      <c r="C794" s="25"/>
      <c r="D794" s="25"/>
      <c r="E794" s="25"/>
      <c r="F794" s="25"/>
      <c r="G794" s="25"/>
      <c r="H794" s="25"/>
      <c r="I794" s="25"/>
      <c r="J794" s="25"/>
      <c r="K794" s="25"/>
      <c r="L794" s="25"/>
      <c r="M794" s="25"/>
      <c r="N794" s="25"/>
      <c r="O794" s="25"/>
      <c r="P794" s="25"/>
      <c r="R794" s="23"/>
      <c r="U794" s="11"/>
    </row>
    <row r="795" spans="1:21" ht="14.25" customHeight="1" x14ac:dyDescent="0.3">
      <c r="A795" s="484"/>
      <c r="C795" s="25"/>
      <c r="D795" s="25"/>
      <c r="E795" s="25"/>
      <c r="F795" s="25"/>
      <c r="G795" s="25"/>
      <c r="H795" s="25"/>
      <c r="I795" s="25"/>
      <c r="J795" s="25"/>
      <c r="K795" s="25"/>
      <c r="L795" s="25"/>
      <c r="M795" s="25"/>
      <c r="N795" s="25"/>
      <c r="O795" s="25"/>
      <c r="P795" s="25"/>
      <c r="R795" s="23"/>
      <c r="U795" s="11"/>
    </row>
    <row r="796" spans="1:21" ht="14.25" customHeight="1" x14ac:dyDescent="0.3">
      <c r="A796" s="484"/>
      <c r="C796" s="25"/>
      <c r="D796" s="25"/>
      <c r="E796" s="25"/>
      <c r="F796" s="25"/>
      <c r="G796" s="25"/>
      <c r="H796" s="25"/>
      <c r="I796" s="25"/>
      <c r="J796" s="25"/>
      <c r="K796" s="25"/>
      <c r="L796" s="25"/>
      <c r="M796" s="25"/>
      <c r="N796" s="25"/>
      <c r="O796" s="25"/>
      <c r="P796" s="25"/>
      <c r="R796" s="23"/>
      <c r="U796" s="11"/>
    </row>
    <row r="797" spans="1:21" ht="14.25" customHeight="1" x14ac:dyDescent="0.3">
      <c r="A797" s="484"/>
      <c r="C797" s="25"/>
      <c r="D797" s="25"/>
      <c r="E797" s="25"/>
      <c r="F797" s="25"/>
      <c r="G797" s="25"/>
      <c r="H797" s="25"/>
      <c r="I797" s="25"/>
      <c r="J797" s="25"/>
      <c r="K797" s="25"/>
      <c r="L797" s="25"/>
      <c r="M797" s="25"/>
      <c r="N797" s="25"/>
      <c r="O797" s="25"/>
      <c r="P797" s="25"/>
      <c r="R797" s="23"/>
      <c r="U797" s="11"/>
    </row>
    <row r="798" spans="1:21" ht="14.25" customHeight="1" x14ac:dyDescent="0.3">
      <c r="A798" s="484"/>
      <c r="C798" s="25"/>
      <c r="D798" s="25"/>
      <c r="E798" s="25"/>
      <c r="F798" s="25"/>
      <c r="G798" s="25"/>
      <c r="H798" s="25"/>
      <c r="I798" s="25"/>
      <c r="J798" s="25"/>
      <c r="K798" s="25"/>
      <c r="L798" s="25"/>
      <c r="M798" s="25"/>
      <c r="N798" s="25"/>
      <c r="O798" s="25"/>
      <c r="P798" s="25"/>
      <c r="R798" s="23"/>
      <c r="U798" s="11"/>
    </row>
    <row r="799" spans="1:21" ht="14.25" customHeight="1" x14ac:dyDescent="0.3">
      <c r="A799" s="484"/>
      <c r="C799" s="25"/>
      <c r="D799" s="25"/>
      <c r="E799" s="25"/>
      <c r="F799" s="25"/>
      <c r="G799" s="25"/>
      <c r="H799" s="25"/>
      <c r="I799" s="25"/>
      <c r="J799" s="25"/>
      <c r="K799" s="25"/>
      <c r="L799" s="25"/>
      <c r="M799" s="25"/>
      <c r="N799" s="25"/>
      <c r="O799" s="25"/>
      <c r="P799" s="25"/>
      <c r="R799" s="23"/>
      <c r="U799" s="11"/>
    </row>
    <row r="800" spans="1:21" ht="14.25" customHeight="1" x14ac:dyDescent="0.3">
      <c r="A800" s="484"/>
      <c r="C800" s="25"/>
      <c r="D800" s="25"/>
      <c r="E800" s="25"/>
      <c r="F800" s="25"/>
      <c r="G800" s="25"/>
      <c r="H800" s="25"/>
      <c r="I800" s="25"/>
      <c r="J800" s="25"/>
      <c r="K800" s="25"/>
      <c r="L800" s="25"/>
      <c r="M800" s="25"/>
      <c r="N800" s="25"/>
      <c r="O800" s="25"/>
      <c r="P800" s="25"/>
      <c r="R800" s="23"/>
      <c r="U800" s="11"/>
    </row>
    <row r="801" spans="1:21" ht="14.25" customHeight="1" x14ac:dyDescent="0.3">
      <c r="A801" s="484"/>
      <c r="C801" s="25"/>
      <c r="D801" s="25"/>
      <c r="E801" s="25"/>
      <c r="F801" s="25"/>
      <c r="G801" s="25"/>
      <c r="H801" s="25"/>
      <c r="I801" s="25"/>
      <c r="J801" s="25"/>
      <c r="K801" s="25"/>
      <c r="L801" s="25"/>
      <c r="M801" s="25"/>
      <c r="N801" s="25"/>
      <c r="O801" s="25"/>
      <c r="P801" s="25"/>
      <c r="R801" s="23"/>
      <c r="U801" s="11"/>
    </row>
    <row r="802" spans="1:21" ht="14.25" customHeight="1" x14ac:dyDescent="0.3">
      <c r="A802" s="484"/>
      <c r="C802" s="25"/>
      <c r="D802" s="25"/>
      <c r="E802" s="25"/>
      <c r="F802" s="25"/>
      <c r="G802" s="25"/>
      <c r="H802" s="25"/>
      <c r="I802" s="25"/>
      <c r="J802" s="25"/>
      <c r="K802" s="25"/>
      <c r="L802" s="25"/>
      <c r="M802" s="25"/>
      <c r="N802" s="25"/>
      <c r="O802" s="25"/>
      <c r="P802" s="25"/>
      <c r="R802" s="23"/>
      <c r="U802" s="11"/>
    </row>
    <row r="803" spans="1:21" ht="14.25" customHeight="1" x14ac:dyDescent="0.3">
      <c r="A803" s="484"/>
      <c r="C803" s="25"/>
      <c r="D803" s="25"/>
      <c r="E803" s="25"/>
      <c r="F803" s="25"/>
      <c r="G803" s="25"/>
      <c r="H803" s="25"/>
      <c r="I803" s="25"/>
      <c r="J803" s="25"/>
      <c r="K803" s="25"/>
      <c r="L803" s="25"/>
      <c r="M803" s="25"/>
      <c r="N803" s="25"/>
      <c r="O803" s="25"/>
      <c r="P803" s="25"/>
      <c r="R803" s="23"/>
      <c r="U803" s="11"/>
    </row>
    <row r="804" spans="1:21" ht="14.25" customHeight="1" x14ac:dyDescent="0.3">
      <c r="A804" s="484"/>
      <c r="C804" s="25"/>
      <c r="D804" s="25"/>
      <c r="E804" s="25"/>
      <c r="F804" s="25"/>
      <c r="G804" s="25"/>
      <c r="H804" s="25"/>
      <c r="I804" s="25"/>
      <c r="J804" s="25"/>
      <c r="K804" s="25"/>
      <c r="L804" s="25"/>
      <c r="M804" s="25"/>
      <c r="N804" s="25"/>
      <c r="O804" s="25"/>
      <c r="P804" s="25"/>
      <c r="R804" s="23"/>
      <c r="U804" s="11"/>
    </row>
    <row r="805" spans="1:21" ht="14.25" customHeight="1" x14ac:dyDescent="0.3">
      <c r="A805" s="484"/>
      <c r="C805" s="25"/>
      <c r="D805" s="25"/>
      <c r="E805" s="25"/>
      <c r="F805" s="25"/>
      <c r="G805" s="25"/>
      <c r="H805" s="25"/>
      <c r="I805" s="25"/>
      <c r="J805" s="25"/>
      <c r="K805" s="25"/>
      <c r="L805" s="25"/>
      <c r="M805" s="25"/>
      <c r="N805" s="25"/>
      <c r="O805" s="25"/>
      <c r="P805" s="25"/>
      <c r="R805" s="23"/>
      <c r="U805" s="11"/>
    </row>
    <row r="806" spans="1:21" ht="14.25" customHeight="1" x14ac:dyDescent="0.3">
      <c r="A806" s="484"/>
      <c r="C806" s="25"/>
      <c r="D806" s="25"/>
      <c r="E806" s="25"/>
      <c r="F806" s="25"/>
      <c r="G806" s="25"/>
      <c r="H806" s="25"/>
      <c r="I806" s="25"/>
      <c r="J806" s="25"/>
      <c r="K806" s="25"/>
      <c r="L806" s="25"/>
      <c r="M806" s="25"/>
      <c r="N806" s="25"/>
      <c r="O806" s="25"/>
      <c r="P806" s="25"/>
      <c r="R806" s="23"/>
      <c r="U806" s="11"/>
    </row>
    <row r="807" spans="1:21" ht="14.25" customHeight="1" x14ac:dyDescent="0.3">
      <c r="A807" s="484"/>
      <c r="C807" s="25"/>
      <c r="D807" s="25"/>
      <c r="E807" s="25"/>
      <c r="F807" s="25"/>
      <c r="G807" s="25"/>
      <c r="H807" s="25"/>
      <c r="I807" s="25"/>
      <c r="J807" s="25"/>
      <c r="K807" s="25"/>
      <c r="L807" s="25"/>
      <c r="M807" s="25"/>
      <c r="N807" s="25"/>
      <c r="O807" s="25"/>
      <c r="P807" s="25"/>
      <c r="R807" s="23"/>
      <c r="U807" s="11"/>
    </row>
    <row r="808" spans="1:21" ht="14.25" customHeight="1" x14ac:dyDescent="0.3">
      <c r="A808" s="484"/>
      <c r="C808" s="25"/>
      <c r="D808" s="25"/>
      <c r="E808" s="25"/>
      <c r="F808" s="25"/>
      <c r="G808" s="25"/>
      <c r="H808" s="25"/>
      <c r="I808" s="25"/>
      <c r="J808" s="25"/>
      <c r="K808" s="25"/>
      <c r="L808" s="25"/>
      <c r="M808" s="25"/>
      <c r="N808" s="25"/>
      <c r="O808" s="25"/>
      <c r="P808" s="25"/>
      <c r="R808" s="23"/>
      <c r="U808" s="11"/>
    </row>
    <row r="809" spans="1:21" ht="14.25" customHeight="1" x14ac:dyDescent="0.3">
      <c r="A809" s="484"/>
      <c r="C809" s="25"/>
      <c r="D809" s="25"/>
      <c r="E809" s="25"/>
      <c r="F809" s="25"/>
      <c r="G809" s="25"/>
      <c r="H809" s="25"/>
      <c r="I809" s="25"/>
      <c r="J809" s="25"/>
      <c r="K809" s="25"/>
      <c r="L809" s="25"/>
      <c r="M809" s="25"/>
      <c r="N809" s="25"/>
      <c r="O809" s="25"/>
      <c r="P809" s="25"/>
      <c r="R809" s="23"/>
      <c r="U809" s="11"/>
    </row>
    <row r="810" spans="1:21" ht="14.25" customHeight="1" x14ac:dyDescent="0.3">
      <c r="A810" s="484"/>
      <c r="C810" s="25"/>
      <c r="D810" s="25"/>
      <c r="E810" s="25"/>
      <c r="F810" s="25"/>
      <c r="G810" s="25"/>
      <c r="H810" s="25"/>
      <c r="I810" s="25"/>
      <c r="J810" s="25"/>
      <c r="K810" s="25"/>
      <c r="L810" s="25"/>
      <c r="M810" s="25"/>
      <c r="N810" s="25"/>
      <c r="O810" s="25"/>
      <c r="P810" s="25"/>
      <c r="R810" s="23"/>
      <c r="U810" s="11"/>
    </row>
    <row r="811" spans="1:21" ht="14.25" customHeight="1" x14ac:dyDescent="0.3">
      <c r="A811" s="484"/>
      <c r="C811" s="25"/>
      <c r="D811" s="25"/>
      <c r="E811" s="25"/>
      <c r="F811" s="25"/>
      <c r="G811" s="25"/>
      <c r="H811" s="25"/>
      <c r="I811" s="25"/>
      <c r="J811" s="25"/>
      <c r="K811" s="25"/>
      <c r="L811" s="25"/>
      <c r="M811" s="25"/>
      <c r="N811" s="25"/>
      <c r="O811" s="25"/>
      <c r="P811" s="25"/>
      <c r="R811" s="23"/>
      <c r="U811" s="11"/>
    </row>
    <row r="812" spans="1:21" ht="14.25" customHeight="1" x14ac:dyDescent="0.3">
      <c r="A812" s="484"/>
      <c r="C812" s="25"/>
      <c r="D812" s="25"/>
      <c r="E812" s="25"/>
      <c r="F812" s="25"/>
      <c r="G812" s="25"/>
      <c r="H812" s="25"/>
      <c r="I812" s="25"/>
      <c r="J812" s="25"/>
      <c r="K812" s="25"/>
      <c r="L812" s="25"/>
      <c r="M812" s="25"/>
      <c r="N812" s="25"/>
      <c r="O812" s="25"/>
      <c r="P812" s="25"/>
      <c r="R812" s="23"/>
      <c r="U812" s="11"/>
    </row>
    <row r="813" spans="1:21" ht="14.25" customHeight="1" x14ac:dyDescent="0.3">
      <c r="A813" s="484"/>
      <c r="C813" s="25"/>
      <c r="D813" s="25"/>
      <c r="E813" s="25"/>
      <c r="F813" s="25"/>
      <c r="G813" s="25"/>
      <c r="H813" s="25"/>
      <c r="I813" s="25"/>
      <c r="J813" s="25"/>
      <c r="K813" s="25"/>
      <c r="L813" s="25"/>
      <c r="M813" s="25"/>
      <c r="N813" s="25"/>
      <c r="O813" s="25"/>
      <c r="P813" s="25"/>
      <c r="R813" s="23"/>
      <c r="U813" s="11"/>
    </row>
    <row r="814" spans="1:21" ht="14.25" customHeight="1" x14ac:dyDescent="0.3">
      <c r="A814" s="484"/>
      <c r="C814" s="25"/>
      <c r="D814" s="25"/>
      <c r="E814" s="25"/>
      <c r="F814" s="25"/>
      <c r="G814" s="25"/>
      <c r="H814" s="25"/>
      <c r="I814" s="25"/>
      <c r="J814" s="25"/>
      <c r="K814" s="25"/>
      <c r="L814" s="25"/>
      <c r="M814" s="25"/>
      <c r="N814" s="25"/>
      <c r="O814" s="25"/>
      <c r="P814" s="25"/>
      <c r="R814" s="23"/>
      <c r="U814" s="11"/>
    </row>
    <row r="815" spans="1:21" ht="14.25" customHeight="1" x14ac:dyDescent="0.3">
      <c r="A815" s="484"/>
      <c r="C815" s="25"/>
      <c r="D815" s="25"/>
      <c r="E815" s="25"/>
      <c r="F815" s="25"/>
      <c r="G815" s="25"/>
      <c r="H815" s="25"/>
      <c r="I815" s="25"/>
      <c r="J815" s="25"/>
      <c r="K815" s="25"/>
      <c r="L815" s="25"/>
      <c r="M815" s="25"/>
      <c r="N815" s="25"/>
      <c r="O815" s="25"/>
      <c r="P815" s="25"/>
      <c r="R815" s="23"/>
      <c r="U815" s="11"/>
    </row>
    <row r="816" spans="1:21" ht="14.25" customHeight="1" x14ac:dyDescent="0.3">
      <c r="A816" s="484"/>
      <c r="C816" s="25"/>
      <c r="D816" s="25"/>
      <c r="E816" s="25"/>
      <c r="F816" s="25"/>
      <c r="G816" s="25"/>
      <c r="H816" s="25"/>
      <c r="I816" s="25"/>
      <c r="J816" s="25"/>
      <c r="K816" s="25"/>
      <c r="L816" s="25"/>
      <c r="M816" s="25"/>
      <c r="N816" s="25"/>
      <c r="O816" s="25"/>
      <c r="P816" s="25"/>
      <c r="R816" s="23"/>
      <c r="U816" s="11"/>
    </row>
    <row r="817" spans="1:21" ht="14.25" customHeight="1" x14ac:dyDescent="0.3">
      <c r="A817" s="484"/>
      <c r="C817" s="25"/>
      <c r="D817" s="25"/>
      <c r="E817" s="25"/>
      <c r="F817" s="25"/>
      <c r="G817" s="25"/>
      <c r="H817" s="25"/>
      <c r="I817" s="25"/>
      <c r="J817" s="25"/>
      <c r="K817" s="25"/>
      <c r="L817" s="25"/>
      <c r="M817" s="25"/>
      <c r="N817" s="25"/>
      <c r="O817" s="25"/>
      <c r="P817" s="25"/>
      <c r="R817" s="23"/>
      <c r="U817" s="11"/>
    </row>
    <row r="818" spans="1:21" ht="14.25" customHeight="1" x14ac:dyDescent="0.3">
      <c r="A818" s="484"/>
      <c r="C818" s="25"/>
      <c r="D818" s="25"/>
      <c r="E818" s="25"/>
      <c r="F818" s="25"/>
      <c r="G818" s="25"/>
      <c r="H818" s="25"/>
      <c r="I818" s="25"/>
      <c r="J818" s="25"/>
      <c r="K818" s="25"/>
      <c r="L818" s="25"/>
      <c r="M818" s="25"/>
      <c r="N818" s="25"/>
      <c r="O818" s="25"/>
      <c r="P818" s="25"/>
      <c r="R818" s="23"/>
      <c r="U818" s="11"/>
    </row>
    <row r="819" spans="1:21" ht="14.25" customHeight="1" x14ac:dyDescent="0.3">
      <c r="A819" s="484"/>
      <c r="C819" s="25"/>
      <c r="D819" s="25"/>
      <c r="E819" s="25"/>
      <c r="F819" s="25"/>
      <c r="G819" s="25"/>
      <c r="H819" s="25"/>
      <c r="I819" s="25"/>
      <c r="J819" s="25"/>
      <c r="K819" s="25"/>
      <c r="L819" s="25"/>
      <c r="M819" s="25"/>
      <c r="N819" s="25"/>
      <c r="O819" s="25"/>
      <c r="P819" s="25"/>
      <c r="R819" s="23"/>
      <c r="U819" s="11"/>
    </row>
    <row r="820" spans="1:21" ht="14.25" customHeight="1" x14ac:dyDescent="0.3">
      <c r="A820" s="484"/>
      <c r="C820" s="25"/>
      <c r="D820" s="25"/>
      <c r="E820" s="25"/>
      <c r="F820" s="25"/>
      <c r="G820" s="25"/>
      <c r="H820" s="25"/>
      <c r="I820" s="25"/>
      <c r="J820" s="25"/>
      <c r="K820" s="25"/>
      <c r="L820" s="25"/>
      <c r="M820" s="25"/>
      <c r="N820" s="25"/>
      <c r="O820" s="25"/>
      <c r="P820" s="25"/>
      <c r="R820" s="23"/>
      <c r="U820" s="11"/>
    </row>
    <row r="821" spans="1:21" ht="14.25" customHeight="1" x14ac:dyDescent="0.3">
      <c r="A821" s="484"/>
      <c r="C821" s="25"/>
      <c r="D821" s="25"/>
      <c r="E821" s="25"/>
      <c r="F821" s="25"/>
      <c r="G821" s="25"/>
      <c r="H821" s="25"/>
      <c r="I821" s="25"/>
      <c r="J821" s="25"/>
      <c r="K821" s="25"/>
      <c r="L821" s="25"/>
      <c r="M821" s="25"/>
      <c r="N821" s="25"/>
      <c r="O821" s="25"/>
      <c r="P821" s="25"/>
      <c r="R821" s="23"/>
      <c r="U821" s="11"/>
    </row>
    <row r="822" spans="1:21" ht="14.25" customHeight="1" x14ac:dyDescent="0.3">
      <c r="A822" s="484"/>
      <c r="C822" s="25"/>
      <c r="D822" s="25"/>
      <c r="E822" s="25"/>
      <c r="F822" s="25"/>
      <c r="G822" s="25"/>
      <c r="H822" s="25"/>
      <c r="I822" s="25"/>
      <c r="J822" s="25"/>
      <c r="K822" s="25"/>
      <c r="L822" s="25"/>
      <c r="M822" s="25"/>
      <c r="N822" s="25"/>
      <c r="O822" s="25"/>
      <c r="P822" s="25"/>
      <c r="R822" s="23"/>
      <c r="U822" s="11"/>
    </row>
    <row r="823" spans="1:21" ht="14.25" customHeight="1" x14ac:dyDescent="0.3">
      <c r="A823" s="484"/>
      <c r="C823" s="25"/>
      <c r="D823" s="25"/>
      <c r="E823" s="25"/>
      <c r="F823" s="25"/>
      <c r="G823" s="25"/>
      <c r="H823" s="25"/>
      <c r="I823" s="25"/>
      <c r="J823" s="25"/>
      <c r="K823" s="25"/>
      <c r="L823" s="25"/>
      <c r="M823" s="25"/>
      <c r="N823" s="25"/>
      <c r="O823" s="25"/>
      <c r="P823" s="25"/>
      <c r="R823" s="23"/>
      <c r="U823" s="11"/>
    </row>
    <row r="824" spans="1:21" ht="14.25" customHeight="1" x14ac:dyDescent="0.3">
      <c r="A824" s="484"/>
      <c r="C824" s="25"/>
      <c r="D824" s="25"/>
      <c r="E824" s="25"/>
      <c r="F824" s="25"/>
      <c r="G824" s="25"/>
      <c r="H824" s="25"/>
      <c r="I824" s="25"/>
      <c r="J824" s="25"/>
      <c r="K824" s="25"/>
      <c r="L824" s="25"/>
      <c r="M824" s="25"/>
      <c r="N824" s="25"/>
      <c r="O824" s="25"/>
      <c r="P824" s="25"/>
      <c r="R824" s="23"/>
      <c r="U824" s="11"/>
    </row>
    <row r="825" spans="1:21" ht="14.25" customHeight="1" x14ac:dyDescent="0.3">
      <c r="A825" s="484"/>
      <c r="C825" s="25"/>
      <c r="D825" s="25"/>
      <c r="E825" s="25"/>
      <c r="F825" s="25"/>
      <c r="G825" s="25"/>
      <c r="H825" s="25"/>
      <c r="I825" s="25"/>
      <c r="J825" s="25"/>
      <c r="K825" s="25"/>
      <c r="L825" s="25"/>
      <c r="M825" s="25"/>
      <c r="N825" s="25"/>
      <c r="O825" s="25"/>
      <c r="P825" s="25"/>
      <c r="R825" s="23"/>
      <c r="U825" s="11"/>
    </row>
    <row r="826" spans="1:21" ht="14.25" customHeight="1" x14ac:dyDescent="0.3">
      <c r="A826" s="484"/>
      <c r="C826" s="25"/>
      <c r="D826" s="25"/>
      <c r="E826" s="25"/>
      <c r="F826" s="25"/>
      <c r="G826" s="25"/>
      <c r="H826" s="25"/>
      <c r="I826" s="25"/>
      <c r="J826" s="25"/>
      <c r="K826" s="25"/>
      <c r="L826" s="25"/>
      <c r="M826" s="25"/>
      <c r="N826" s="25"/>
      <c r="O826" s="25"/>
      <c r="P826" s="25"/>
      <c r="R826" s="23"/>
      <c r="U826" s="11"/>
    </row>
    <row r="827" spans="1:21" ht="14.25" customHeight="1" x14ac:dyDescent="0.3">
      <c r="A827" s="484"/>
      <c r="C827" s="25"/>
      <c r="D827" s="25"/>
      <c r="E827" s="25"/>
      <c r="F827" s="25"/>
      <c r="G827" s="25"/>
      <c r="H827" s="25"/>
      <c r="I827" s="25"/>
      <c r="J827" s="25"/>
      <c r="K827" s="25"/>
      <c r="L827" s="25"/>
      <c r="M827" s="25"/>
      <c r="N827" s="25"/>
      <c r="O827" s="25"/>
      <c r="P827" s="25"/>
      <c r="R827" s="23"/>
      <c r="U827" s="11"/>
    </row>
    <row r="828" spans="1:21" ht="14.25" customHeight="1" x14ac:dyDescent="0.3">
      <c r="A828" s="484"/>
      <c r="C828" s="25"/>
      <c r="D828" s="25"/>
      <c r="E828" s="25"/>
      <c r="F828" s="25"/>
      <c r="G828" s="25"/>
      <c r="H828" s="25"/>
      <c r="I828" s="25"/>
      <c r="J828" s="25"/>
      <c r="K828" s="25"/>
      <c r="L828" s="25"/>
      <c r="M828" s="25"/>
      <c r="N828" s="25"/>
      <c r="O828" s="25"/>
      <c r="P828" s="25"/>
      <c r="R828" s="23"/>
      <c r="U828" s="11"/>
    </row>
    <row r="829" spans="1:21" ht="14.25" customHeight="1" x14ac:dyDescent="0.3">
      <c r="A829" s="484"/>
      <c r="C829" s="25"/>
      <c r="D829" s="25"/>
      <c r="E829" s="25"/>
      <c r="F829" s="25"/>
      <c r="G829" s="25"/>
      <c r="H829" s="25"/>
      <c r="I829" s="25"/>
      <c r="J829" s="25"/>
      <c r="K829" s="25"/>
      <c r="L829" s="25"/>
      <c r="M829" s="25"/>
      <c r="N829" s="25"/>
      <c r="O829" s="25"/>
      <c r="P829" s="25"/>
      <c r="R829" s="23"/>
      <c r="U829" s="11"/>
    </row>
    <row r="830" spans="1:21" ht="14.25" customHeight="1" x14ac:dyDescent="0.3">
      <c r="A830" s="484"/>
      <c r="C830" s="25"/>
      <c r="D830" s="25"/>
      <c r="E830" s="25"/>
      <c r="F830" s="25"/>
      <c r="G830" s="25"/>
      <c r="H830" s="25"/>
      <c r="I830" s="25"/>
      <c r="J830" s="25"/>
      <c r="K830" s="25"/>
      <c r="L830" s="25"/>
      <c r="M830" s="25"/>
      <c r="N830" s="25"/>
      <c r="O830" s="25"/>
      <c r="P830" s="25"/>
      <c r="R830" s="23"/>
      <c r="U830" s="11"/>
    </row>
    <row r="831" spans="1:21" ht="14.25" customHeight="1" x14ac:dyDescent="0.3">
      <c r="A831" s="484"/>
      <c r="C831" s="25"/>
      <c r="D831" s="25"/>
      <c r="E831" s="25"/>
      <c r="F831" s="25"/>
      <c r="G831" s="25"/>
      <c r="H831" s="25"/>
      <c r="I831" s="25"/>
      <c r="J831" s="25"/>
      <c r="K831" s="25"/>
      <c r="L831" s="25"/>
      <c r="M831" s="25"/>
      <c r="N831" s="25"/>
      <c r="O831" s="25"/>
      <c r="P831" s="25"/>
      <c r="R831" s="23"/>
      <c r="U831" s="11"/>
    </row>
    <row r="832" spans="1:21" ht="14.25" customHeight="1" x14ac:dyDescent="0.3">
      <c r="A832" s="484"/>
      <c r="C832" s="25"/>
      <c r="D832" s="25"/>
      <c r="E832" s="25"/>
      <c r="F832" s="25"/>
      <c r="G832" s="25"/>
      <c r="H832" s="25"/>
      <c r="I832" s="25"/>
      <c r="J832" s="25"/>
      <c r="K832" s="25"/>
      <c r="L832" s="25"/>
      <c r="M832" s="25"/>
      <c r="N832" s="25"/>
      <c r="O832" s="25"/>
      <c r="P832" s="25"/>
      <c r="R832" s="23"/>
      <c r="U832" s="11"/>
    </row>
    <row r="833" spans="1:21" ht="14.25" customHeight="1" x14ac:dyDescent="0.3">
      <c r="A833" s="484"/>
      <c r="C833" s="25"/>
      <c r="D833" s="25"/>
      <c r="E833" s="25"/>
      <c r="F833" s="25"/>
      <c r="G833" s="25"/>
      <c r="H833" s="25"/>
      <c r="I833" s="25"/>
      <c r="J833" s="25"/>
      <c r="K833" s="25"/>
      <c r="L833" s="25"/>
      <c r="M833" s="25"/>
      <c r="N833" s="25"/>
      <c r="O833" s="25"/>
      <c r="P833" s="25"/>
      <c r="R833" s="23"/>
      <c r="U833" s="11"/>
    </row>
    <row r="834" spans="1:21" ht="14.25" customHeight="1" x14ac:dyDescent="0.3">
      <c r="A834" s="484"/>
      <c r="C834" s="25"/>
      <c r="D834" s="25"/>
      <c r="E834" s="25"/>
      <c r="F834" s="25"/>
      <c r="G834" s="25"/>
      <c r="H834" s="25"/>
      <c r="I834" s="25"/>
      <c r="J834" s="25"/>
      <c r="K834" s="25"/>
      <c r="L834" s="25"/>
      <c r="M834" s="25"/>
      <c r="N834" s="25"/>
      <c r="O834" s="25"/>
      <c r="P834" s="25"/>
      <c r="R834" s="23"/>
      <c r="U834" s="11"/>
    </row>
    <row r="835" spans="1:21" ht="14.25" customHeight="1" x14ac:dyDescent="0.3">
      <c r="A835" s="484"/>
      <c r="C835" s="25"/>
      <c r="D835" s="25"/>
      <c r="E835" s="25"/>
      <c r="F835" s="25"/>
      <c r="G835" s="25"/>
      <c r="H835" s="25"/>
      <c r="I835" s="25"/>
      <c r="J835" s="25"/>
      <c r="K835" s="25"/>
      <c r="L835" s="25"/>
      <c r="M835" s="25"/>
      <c r="N835" s="25"/>
      <c r="O835" s="25"/>
      <c r="P835" s="25"/>
      <c r="R835" s="23"/>
      <c r="U835" s="11"/>
    </row>
    <row r="836" spans="1:21" ht="14.25" customHeight="1" x14ac:dyDescent="0.3">
      <c r="A836" s="484"/>
      <c r="C836" s="25"/>
      <c r="D836" s="25"/>
      <c r="E836" s="25"/>
      <c r="F836" s="25"/>
      <c r="G836" s="25"/>
      <c r="H836" s="25"/>
      <c r="I836" s="25"/>
      <c r="J836" s="25"/>
      <c r="K836" s="25"/>
      <c r="L836" s="25"/>
      <c r="M836" s="25"/>
      <c r="N836" s="25"/>
      <c r="O836" s="25"/>
      <c r="P836" s="25"/>
      <c r="R836" s="23"/>
      <c r="U836" s="11"/>
    </row>
    <row r="837" spans="1:21" ht="14.25" customHeight="1" x14ac:dyDescent="0.3">
      <c r="A837" s="484"/>
      <c r="C837" s="25"/>
      <c r="D837" s="25"/>
      <c r="E837" s="25"/>
      <c r="F837" s="25"/>
      <c r="G837" s="25"/>
      <c r="H837" s="25"/>
      <c r="I837" s="25"/>
      <c r="J837" s="25"/>
      <c r="K837" s="25"/>
      <c r="L837" s="25"/>
      <c r="M837" s="25"/>
      <c r="N837" s="25"/>
      <c r="O837" s="25"/>
      <c r="P837" s="25"/>
      <c r="R837" s="23"/>
      <c r="U837" s="11"/>
    </row>
    <row r="838" spans="1:21" ht="14.25" customHeight="1" x14ac:dyDescent="0.3">
      <c r="A838" s="484"/>
      <c r="C838" s="25"/>
      <c r="D838" s="25"/>
      <c r="E838" s="25"/>
      <c r="F838" s="25"/>
      <c r="G838" s="25"/>
      <c r="H838" s="25"/>
      <c r="I838" s="25"/>
      <c r="J838" s="25"/>
      <c r="K838" s="25"/>
      <c r="L838" s="25"/>
      <c r="M838" s="25"/>
      <c r="N838" s="25"/>
      <c r="O838" s="25"/>
      <c r="P838" s="25"/>
      <c r="R838" s="23"/>
      <c r="U838" s="11"/>
    </row>
    <row r="839" spans="1:21" ht="14.25" customHeight="1" x14ac:dyDescent="0.3">
      <c r="A839" s="484"/>
      <c r="C839" s="25"/>
      <c r="D839" s="25"/>
      <c r="E839" s="25"/>
      <c r="F839" s="25"/>
      <c r="G839" s="25"/>
      <c r="H839" s="25"/>
      <c r="I839" s="25"/>
      <c r="J839" s="25"/>
      <c r="K839" s="25"/>
      <c r="L839" s="25"/>
      <c r="M839" s="25"/>
      <c r="N839" s="25"/>
      <c r="O839" s="25"/>
      <c r="P839" s="25"/>
      <c r="R839" s="23"/>
      <c r="U839" s="11"/>
    </row>
    <row r="840" spans="1:21" ht="14.25" customHeight="1" x14ac:dyDescent="0.3">
      <c r="A840" s="484"/>
      <c r="C840" s="25"/>
      <c r="D840" s="25"/>
      <c r="E840" s="25"/>
      <c r="F840" s="25"/>
      <c r="G840" s="25"/>
      <c r="H840" s="25"/>
      <c r="I840" s="25"/>
      <c r="J840" s="25"/>
      <c r="K840" s="25"/>
      <c r="L840" s="25"/>
      <c r="M840" s="25"/>
      <c r="N840" s="25"/>
      <c r="O840" s="25"/>
      <c r="P840" s="25"/>
      <c r="R840" s="23"/>
      <c r="U840" s="11"/>
    </row>
    <row r="841" spans="1:21" ht="14.25" customHeight="1" x14ac:dyDescent="0.3">
      <c r="A841" s="484"/>
      <c r="C841" s="25"/>
      <c r="D841" s="25"/>
      <c r="E841" s="25"/>
      <c r="F841" s="25"/>
      <c r="G841" s="25"/>
      <c r="H841" s="25"/>
      <c r="I841" s="25"/>
      <c r="J841" s="25"/>
      <c r="K841" s="25"/>
      <c r="L841" s="25"/>
      <c r="M841" s="25"/>
      <c r="N841" s="25"/>
      <c r="O841" s="25"/>
      <c r="P841" s="25"/>
      <c r="R841" s="23"/>
      <c r="U841" s="11"/>
    </row>
    <row r="842" spans="1:21" ht="14.25" customHeight="1" x14ac:dyDescent="0.3">
      <c r="A842" s="484"/>
      <c r="C842" s="25"/>
      <c r="D842" s="25"/>
      <c r="E842" s="25"/>
      <c r="F842" s="25"/>
      <c r="G842" s="25"/>
      <c r="H842" s="25"/>
      <c r="I842" s="25"/>
      <c r="J842" s="25"/>
      <c r="K842" s="25"/>
      <c r="L842" s="25"/>
      <c r="M842" s="25"/>
      <c r="N842" s="25"/>
      <c r="O842" s="25"/>
      <c r="P842" s="25"/>
      <c r="R842" s="23"/>
      <c r="U842" s="11"/>
    </row>
    <row r="843" spans="1:21" ht="14.25" customHeight="1" x14ac:dyDescent="0.3">
      <c r="A843" s="484"/>
      <c r="C843" s="25"/>
      <c r="D843" s="25"/>
      <c r="E843" s="25"/>
      <c r="F843" s="25"/>
      <c r="G843" s="25"/>
      <c r="H843" s="25"/>
      <c r="I843" s="25"/>
      <c r="J843" s="25"/>
      <c r="K843" s="25"/>
      <c r="L843" s="25"/>
      <c r="M843" s="25"/>
      <c r="N843" s="25"/>
      <c r="O843" s="25"/>
      <c r="P843" s="25"/>
      <c r="R843" s="23"/>
      <c r="U843" s="11"/>
    </row>
    <row r="844" spans="1:21" ht="14.25" customHeight="1" x14ac:dyDescent="0.3">
      <c r="A844" s="484"/>
      <c r="C844" s="25"/>
      <c r="D844" s="25"/>
      <c r="E844" s="25"/>
      <c r="F844" s="25"/>
      <c r="G844" s="25"/>
      <c r="H844" s="25"/>
      <c r="I844" s="25"/>
      <c r="J844" s="25"/>
      <c r="K844" s="25"/>
      <c r="L844" s="25"/>
      <c r="M844" s="25"/>
      <c r="N844" s="25"/>
      <c r="O844" s="25"/>
      <c r="P844" s="25"/>
      <c r="R844" s="23"/>
      <c r="U844" s="11"/>
    </row>
    <row r="845" spans="1:21" ht="14.25" customHeight="1" x14ac:dyDescent="0.3">
      <c r="A845" s="484"/>
      <c r="C845" s="25"/>
      <c r="D845" s="25"/>
      <c r="E845" s="25"/>
      <c r="F845" s="25"/>
      <c r="G845" s="25"/>
      <c r="H845" s="25"/>
      <c r="I845" s="25"/>
      <c r="J845" s="25"/>
      <c r="K845" s="25"/>
      <c r="L845" s="25"/>
      <c r="M845" s="25"/>
      <c r="N845" s="25"/>
      <c r="O845" s="25"/>
      <c r="P845" s="25"/>
      <c r="R845" s="23"/>
      <c r="U845" s="11"/>
    </row>
    <row r="846" spans="1:21" ht="14.25" customHeight="1" x14ac:dyDescent="0.3">
      <c r="A846" s="484"/>
      <c r="C846" s="25"/>
      <c r="D846" s="25"/>
      <c r="E846" s="25"/>
      <c r="F846" s="25"/>
      <c r="G846" s="25"/>
      <c r="H846" s="25"/>
      <c r="I846" s="25"/>
      <c r="J846" s="25"/>
      <c r="K846" s="25"/>
      <c r="L846" s="25"/>
      <c r="M846" s="25"/>
      <c r="N846" s="25"/>
      <c r="O846" s="25"/>
      <c r="P846" s="25"/>
      <c r="R846" s="23"/>
      <c r="U846" s="11"/>
    </row>
    <row r="847" spans="1:21" ht="14.25" customHeight="1" x14ac:dyDescent="0.3">
      <c r="A847" s="484"/>
      <c r="C847" s="25"/>
      <c r="D847" s="25"/>
      <c r="E847" s="25"/>
      <c r="F847" s="25"/>
      <c r="G847" s="25"/>
      <c r="H847" s="25"/>
      <c r="I847" s="25"/>
      <c r="J847" s="25"/>
      <c r="K847" s="25"/>
      <c r="L847" s="25"/>
      <c r="M847" s="25"/>
      <c r="N847" s="25"/>
      <c r="O847" s="25"/>
      <c r="P847" s="25"/>
      <c r="R847" s="23"/>
      <c r="U847" s="11"/>
    </row>
    <row r="848" spans="1:21" ht="14.25" customHeight="1" x14ac:dyDescent="0.3">
      <c r="A848" s="484"/>
      <c r="C848" s="25"/>
      <c r="D848" s="25"/>
      <c r="E848" s="25"/>
      <c r="F848" s="25"/>
      <c r="G848" s="25"/>
      <c r="H848" s="25"/>
      <c r="I848" s="25"/>
      <c r="J848" s="25"/>
      <c r="K848" s="25"/>
      <c r="L848" s="25"/>
      <c r="M848" s="25"/>
      <c r="N848" s="25"/>
      <c r="O848" s="25"/>
      <c r="P848" s="25"/>
      <c r="R848" s="23"/>
      <c r="U848" s="11"/>
    </row>
    <row r="849" spans="1:21" ht="14.25" customHeight="1" x14ac:dyDescent="0.3">
      <c r="A849" s="484"/>
      <c r="C849" s="25"/>
      <c r="D849" s="25"/>
      <c r="E849" s="25"/>
      <c r="F849" s="25"/>
      <c r="G849" s="25"/>
      <c r="H849" s="25"/>
      <c r="I849" s="25"/>
      <c r="J849" s="25"/>
      <c r="K849" s="25"/>
      <c r="L849" s="25"/>
      <c r="M849" s="25"/>
      <c r="N849" s="25"/>
      <c r="O849" s="25"/>
      <c r="P849" s="25"/>
      <c r="R849" s="23"/>
      <c r="U849" s="11"/>
    </row>
    <row r="850" spans="1:21" ht="14.25" customHeight="1" x14ac:dyDescent="0.3">
      <c r="A850" s="484"/>
      <c r="C850" s="25"/>
      <c r="D850" s="25"/>
      <c r="E850" s="25"/>
      <c r="F850" s="25"/>
      <c r="G850" s="25"/>
      <c r="H850" s="25"/>
      <c r="I850" s="25"/>
      <c r="J850" s="25"/>
      <c r="K850" s="25"/>
      <c r="L850" s="25"/>
      <c r="M850" s="25"/>
      <c r="N850" s="25"/>
      <c r="O850" s="25"/>
      <c r="P850" s="25"/>
      <c r="R850" s="23"/>
      <c r="U850" s="11"/>
    </row>
    <row r="851" spans="1:21" ht="14.25" customHeight="1" x14ac:dyDescent="0.3">
      <c r="A851" s="484"/>
      <c r="C851" s="25"/>
      <c r="D851" s="25"/>
      <c r="E851" s="25"/>
      <c r="F851" s="25"/>
      <c r="G851" s="25"/>
      <c r="H851" s="25"/>
      <c r="I851" s="25"/>
      <c r="J851" s="25"/>
      <c r="K851" s="25"/>
      <c r="L851" s="25"/>
      <c r="M851" s="25"/>
      <c r="N851" s="25"/>
      <c r="O851" s="25"/>
      <c r="P851" s="25"/>
      <c r="R851" s="23"/>
      <c r="U851" s="11"/>
    </row>
    <row r="852" spans="1:21" ht="14.25" customHeight="1" x14ac:dyDescent="0.3">
      <c r="A852" s="484"/>
      <c r="C852" s="25"/>
      <c r="D852" s="25"/>
      <c r="E852" s="25"/>
      <c r="F852" s="25"/>
      <c r="G852" s="25"/>
      <c r="H852" s="25"/>
      <c r="I852" s="25"/>
      <c r="J852" s="25"/>
      <c r="K852" s="25"/>
      <c r="L852" s="25"/>
      <c r="M852" s="25"/>
      <c r="N852" s="25"/>
      <c r="O852" s="25"/>
      <c r="P852" s="25"/>
      <c r="R852" s="23"/>
      <c r="U852" s="11"/>
    </row>
    <row r="853" spans="1:21" ht="14.25" customHeight="1" x14ac:dyDescent="0.3">
      <c r="A853" s="484"/>
      <c r="C853" s="25"/>
      <c r="D853" s="25"/>
      <c r="E853" s="25"/>
      <c r="F853" s="25"/>
      <c r="G853" s="25"/>
      <c r="H853" s="25"/>
      <c r="I853" s="25"/>
      <c r="J853" s="25"/>
      <c r="K853" s="25"/>
      <c r="L853" s="25"/>
      <c r="M853" s="25"/>
      <c r="N853" s="25"/>
      <c r="O853" s="25"/>
      <c r="P853" s="25"/>
      <c r="R853" s="23"/>
      <c r="U853" s="11"/>
    </row>
    <row r="854" spans="1:21" ht="14.25" customHeight="1" x14ac:dyDescent="0.3">
      <c r="A854" s="484"/>
      <c r="C854" s="25"/>
      <c r="D854" s="25"/>
      <c r="E854" s="25"/>
      <c r="F854" s="25"/>
      <c r="G854" s="25"/>
      <c r="H854" s="25"/>
      <c r="I854" s="25"/>
      <c r="J854" s="25"/>
      <c r="K854" s="25"/>
      <c r="L854" s="25"/>
      <c r="M854" s="25"/>
      <c r="N854" s="25"/>
      <c r="O854" s="25"/>
      <c r="P854" s="25"/>
      <c r="R854" s="23"/>
      <c r="U854" s="11"/>
    </row>
    <row r="855" spans="1:21" ht="14.25" customHeight="1" x14ac:dyDescent="0.3">
      <c r="A855" s="484"/>
      <c r="C855" s="25"/>
      <c r="D855" s="25"/>
      <c r="E855" s="25"/>
      <c r="F855" s="25"/>
      <c r="G855" s="25"/>
      <c r="H855" s="25"/>
      <c r="I855" s="25"/>
      <c r="J855" s="25"/>
      <c r="K855" s="25"/>
      <c r="L855" s="25"/>
      <c r="M855" s="25"/>
      <c r="N855" s="25"/>
      <c r="O855" s="25"/>
      <c r="P855" s="25"/>
      <c r="R855" s="23"/>
      <c r="U855" s="11"/>
    </row>
    <row r="856" spans="1:21" ht="14.25" customHeight="1" x14ac:dyDescent="0.3">
      <c r="A856" s="484"/>
      <c r="C856" s="25"/>
      <c r="D856" s="25"/>
      <c r="E856" s="25"/>
      <c r="F856" s="25"/>
      <c r="G856" s="25"/>
      <c r="H856" s="25"/>
      <c r="I856" s="25"/>
      <c r="J856" s="25"/>
      <c r="K856" s="25"/>
      <c r="L856" s="25"/>
      <c r="M856" s="25"/>
      <c r="N856" s="25"/>
      <c r="O856" s="25"/>
      <c r="P856" s="25"/>
      <c r="R856" s="23"/>
      <c r="U856" s="11"/>
    </row>
    <row r="857" spans="1:21" ht="14.25" customHeight="1" x14ac:dyDescent="0.3">
      <c r="A857" s="484"/>
      <c r="C857" s="25"/>
      <c r="D857" s="25"/>
      <c r="E857" s="25"/>
      <c r="F857" s="25"/>
      <c r="G857" s="25"/>
      <c r="H857" s="25"/>
      <c r="I857" s="25"/>
      <c r="J857" s="25"/>
      <c r="K857" s="25"/>
      <c r="L857" s="25"/>
      <c r="M857" s="25"/>
      <c r="N857" s="25"/>
      <c r="O857" s="25"/>
      <c r="P857" s="25"/>
      <c r="R857" s="23"/>
      <c r="U857" s="11"/>
    </row>
    <row r="858" spans="1:21" ht="14.25" customHeight="1" x14ac:dyDescent="0.3">
      <c r="A858" s="484"/>
      <c r="C858" s="25"/>
      <c r="D858" s="25"/>
      <c r="E858" s="25"/>
      <c r="F858" s="25"/>
      <c r="G858" s="25"/>
      <c r="H858" s="25"/>
      <c r="I858" s="25"/>
      <c r="J858" s="25"/>
      <c r="K858" s="25"/>
      <c r="L858" s="25"/>
      <c r="M858" s="25"/>
      <c r="N858" s="25"/>
      <c r="O858" s="25"/>
      <c r="P858" s="25"/>
      <c r="R858" s="23"/>
      <c r="U858" s="11"/>
    </row>
    <row r="859" spans="1:21" ht="14.25" customHeight="1" x14ac:dyDescent="0.3">
      <c r="A859" s="484"/>
      <c r="C859" s="25"/>
      <c r="D859" s="25"/>
      <c r="E859" s="25"/>
      <c r="F859" s="25"/>
      <c r="G859" s="25"/>
      <c r="H859" s="25"/>
      <c r="I859" s="25"/>
      <c r="J859" s="25"/>
      <c r="K859" s="25"/>
      <c r="L859" s="25"/>
      <c r="M859" s="25"/>
      <c r="N859" s="25"/>
      <c r="O859" s="25"/>
      <c r="P859" s="25"/>
      <c r="R859" s="23"/>
      <c r="U859" s="11"/>
    </row>
    <row r="860" spans="1:21" ht="14.25" customHeight="1" x14ac:dyDescent="0.3">
      <c r="A860" s="484"/>
      <c r="C860" s="25"/>
      <c r="D860" s="25"/>
      <c r="E860" s="25"/>
      <c r="F860" s="25"/>
      <c r="G860" s="25"/>
      <c r="H860" s="25"/>
      <c r="I860" s="25"/>
      <c r="J860" s="25"/>
      <c r="K860" s="25"/>
      <c r="L860" s="25"/>
      <c r="M860" s="25"/>
      <c r="N860" s="25"/>
      <c r="O860" s="25"/>
      <c r="P860" s="25"/>
      <c r="R860" s="23"/>
      <c r="U860" s="11"/>
    </row>
    <row r="861" spans="1:21" ht="14.25" customHeight="1" x14ac:dyDescent="0.3">
      <c r="A861" s="484"/>
      <c r="C861" s="25"/>
      <c r="D861" s="25"/>
      <c r="E861" s="25"/>
      <c r="F861" s="25"/>
      <c r="G861" s="25"/>
      <c r="H861" s="25"/>
      <c r="I861" s="25"/>
      <c r="J861" s="25"/>
      <c r="K861" s="25"/>
      <c r="L861" s="25"/>
      <c r="M861" s="25"/>
      <c r="N861" s="25"/>
      <c r="O861" s="25"/>
      <c r="P861" s="25"/>
      <c r="R861" s="23"/>
      <c r="U861" s="11"/>
    </row>
    <row r="862" spans="1:21" ht="14.25" customHeight="1" x14ac:dyDescent="0.3">
      <c r="A862" s="484"/>
      <c r="C862" s="25"/>
      <c r="D862" s="25"/>
      <c r="E862" s="25"/>
      <c r="F862" s="25"/>
      <c r="G862" s="25"/>
      <c r="H862" s="25"/>
      <c r="I862" s="25"/>
      <c r="J862" s="25"/>
      <c r="K862" s="25"/>
      <c r="L862" s="25"/>
      <c r="M862" s="25"/>
      <c r="N862" s="25"/>
      <c r="O862" s="25"/>
      <c r="P862" s="25"/>
      <c r="R862" s="23"/>
      <c r="U862" s="11"/>
    </row>
    <row r="863" spans="1:21" ht="14.25" customHeight="1" x14ac:dyDescent="0.3">
      <c r="A863" s="484"/>
      <c r="C863" s="25"/>
      <c r="D863" s="25"/>
      <c r="E863" s="25"/>
      <c r="F863" s="25"/>
      <c r="G863" s="25"/>
      <c r="H863" s="25"/>
      <c r="I863" s="25"/>
      <c r="J863" s="25"/>
      <c r="K863" s="25"/>
      <c r="L863" s="25"/>
      <c r="M863" s="25"/>
      <c r="N863" s="25"/>
      <c r="O863" s="25"/>
      <c r="P863" s="25"/>
      <c r="R863" s="23"/>
      <c r="U863" s="11"/>
    </row>
    <row r="864" spans="1:21" ht="14.25" customHeight="1" x14ac:dyDescent="0.3">
      <c r="A864" s="484"/>
      <c r="C864" s="25"/>
      <c r="D864" s="25"/>
      <c r="E864" s="25"/>
      <c r="F864" s="25"/>
      <c r="G864" s="25"/>
      <c r="H864" s="25"/>
      <c r="I864" s="25"/>
      <c r="J864" s="25"/>
      <c r="K864" s="25"/>
      <c r="L864" s="25"/>
      <c r="M864" s="25"/>
      <c r="N864" s="25"/>
      <c r="O864" s="25"/>
      <c r="P864" s="25"/>
      <c r="R864" s="23"/>
      <c r="U864" s="11"/>
    </row>
    <row r="865" spans="1:21" ht="14.25" customHeight="1" x14ac:dyDescent="0.3">
      <c r="A865" s="484"/>
      <c r="C865" s="25"/>
      <c r="D865" s="25"/>
      <c r="E865" s="25"/>
      <c r="F865" s="25"/>
      <c r="G865" s="25"/>
      <c r="H865" s="25"/>
      <c r="I865" s="25"/>
      <c r="J865" s="25"/>
      <c r="K865" s="25"/>
      <c r="L865" s="25"/>
      <c r="M865" s="25"/>
      <c r="N865" s="25"/>
      <c r="O865" s="25"/>
      <c r="P865" s="25"/>
      <c r="R865" s="23"/>
      <c r="U865" s="11"/>
    </row>
    <row r="866" spans="1:21" ht="14.25" customHeight="1" x14ac:dyDescent="0.3">
      <c r="A866" s="484"/>
      <c r="C866" s="25"/>
      <c r="D866" s="25"/>
      <c r="E866" s="25"/>
      <c r="F866" s="25"/>
      <c r="G866" s="25"/>
      <c r="H866" s="25"/>
      <c r="I866" s="25"/>
      <c r="J866" s="25"/>
      <c r="K866" s="25"/>
      <c r="L866" s="25"/>
      <c r="M866" s="25"/>
      <c r="N866" s="25"/>
      <c r="O866" s="25"/>
      <c r="P866" s="25"/>
      <c r="R866" s="23"/>
      <c r="U866" s="11"/>
    </row>
    <row r="867" spans="1:21" ht="14.25" customHeight="1" x14ac:dyDescent="0.3">
      <c r="A867" s="484"/>
      <c r="C867" s="25"/>
      <c r="D867" s="25"/>
      <c r="E867" s="25"/>
      <c r="F867" s="25"/>
      <c r="G867" s="25"/>
      <c r="H867" s="25"/>
      <c r="I867" s="25"/>
      <c r="J867" s="25"/>
      <c r="K867" s="25"/>
      <c r="L867" s="25"/>
      <c r="M867" s="25"/>
      <c r="N867" s="25"/>
      <c r="O867" s="25"/>
      <c r="P867" s="25"/>
      <c r="R867" s="23"/>
      <c r="U867" s="11"/>
    </row>
    <row r="868" spans="1:21" ht="14.25" customHeight="1" x14ac:dyDescent="0.3">
      <c r="A868" s="484"/>
      <c r="C868" s="25"/>
      <c r="D868" s="25"/>
      <c r="E868" s="25"/>
      <c r="F868" s="25"/>
      <c r="G868" s="25"/>
      <c r="H868" s="25"/>
      <c r="I868" s="25"/>
      <c r="J868" s="25"/>
      <c r="K868" s="25"/>
      <c r="L868" s="25"/>
      <c r="M868" s="25"/>
      <c r="N868" s="25"/>
      <c r="O868" s="25"/>
      <c r="P868" s="25"/>
      <c r="R868" s="23"/>
      <c r="U868" s="11"/>
    </row>
    <row r="869" spans="1:21" ht="14.25" customHeight="1" x14ac:dyDescent="0.3">
      <c r="A869" s="484"/>
      <c r="C869" s="25"/>
      <c r="D869" s="25"/>
      <c r="E869" s="25"/>
      <c r="F869" s="25"/>
      <c r="G869" s="25"/>
      <c r="H869" s="25"/>
      <c r="I869" s="25"/>
      <c r="J869" s="25"/>
      <c r="K869" s="25"/>
      <c r="L869" s="25"/>
      <c r="M869" s="25"/>
      <c r="N869" s="25"/>
      <c r="O869" s="25"/>
      <c r="P869" s="25"/>
      <c r="R869" s="23"/>
      <c r="U869" s="11"/>
    </row>
    <row r="870" spans="1:21" ht="14.25" customHeight="1" x14ac:dyDescent="0.3">
      <c r="A870" s="484"/>
      <c r="C870" s="25"/>
      <c r="D870" s="25"/>
      <c r="E870" s="25"/>
      <c r="F870" s="25"/>
      <c r="G870" s="25"/>
      <c r="H870" s="25"/>
      <c r="I870" s="25"/>
      <c r="J870" s="25"/>
      <c r="K870" s="25"/>
      <c r="L870" s="25"/>
      <c r="M870" s="25"/>
      <c r="N870" s="25"/>
      <c r="O870" s="25"/>
      <c r="P870" s="25"/>
      <c r="R870" s="23"/>
      <c r="U870" s="11"/>
    </row>
    <row r="871" spans="1:21" ht="14.25" customHeight="1" x14ac:dyDescent="0.3">
      <c r="A871" s="484"/>
      <c r="C871" s="25"/>
      <c r="D871" s="25"/>
      <c r="E871" s="25"/>
      <c r="F871" s="25"/>
      <c r="G871" s="25"/>
      <c r="H871" s="25"/>
      <c r="I871" s="25"/>
      <c r="J871" s="25"/>
      <c r="K871" s="25"/>
      <c r="L871" s="25"/>
      <c r="M871" s="25"/>
      <c r="N871" s="25"/>
      <c r="O871" s="25"/>
      <c r="P871" s="25"/>
      <c r="R871" s="23"/>
      <c r="U871" s="11"/>
    </row>
    <row r="872" spans="1:21" ht="14.25" customHeight="1" x14ac:dyDescent="0.3">
      <c r="A872" s="484"/>
      <c r="C872" s="25"/>
      <c r="D872" s="25"/>
      <c r="E872" s="25"/>
      <c r="F872" s="25"/>
      <c r="G872" s="25"/>
      <c r="H872" s="25"/>
      <c r="I872" s="25"/>
      <c r="J872" s="25"/>
      <c r="K872" s="25"/>
      <c r="L872" s="25"/>
      <c r="M872" s="25"/>
      <c r="N872" s="25"/>
      <c r="O872" s="25"/>
      <c r="P872" s="25"/>
      <c r="R872" s="23"/>
      <c r="U872" s="11"/>
    </row>
    <row r="873" spans="1:21" ht="14.25" customHeight="1" x14ac:dyDescent="0.3">
      <c r="A873" s="484"/>
      <c r="C873" s="25"/>
      <c r="D873" s="25"/>
      <c r="E873" s="25"/>
      <c r="F873" s="25"/>
      <c r="G873" s="25"/>
      <c r="H873" s="25"/>
      <c r="I873" s="25"/>
      <c r="J873" s="25"/>
      <c r="K873" s="25"/>
      <c r="L873" s="25"/>
      <c r="M873" s="25"/>
      <c r="N873" s="25"/>
      <c r="O873" s="25"/>
      <c r="P873" s="25"/>
      <c r="R873" s="23"/>
      <c r="U873" s="11"/>
    </row>
    <row r="874" spans="1:21" ht="14.25" customHeight="1" x14ac:dyDescent="0.3">
      <c r="A874" s="484"/>
      <c r="C874" s="25"/>
      <c r="D874" s="25"/>
      <c r="E874" s="25"/>
      <c r="F874" s="25"/>
      <c r="G874" s="25"/>
      <c r="H874" s="25"/>
      <c r="I874" s="25"/>
      <c r="J874" s="25"/>
      <c r="K874" s="25"/>
      <c r="L874" s="25"/>
      <c r="M874" s="25"/>
      <c r="N874" s="25"/>
      <c r="O874" s="25"/>
      <c r="P874" s="25"/>
      <c r="R874" s="23"/>
      <c r="U874" s="11"/>
    </row>
    <row r="875" spans="1:21" ht="14.25" customHeight="1" x14ac:dyDescent="0.3">
      <c r="A875" s="484"/>
      <c r="C875" s="25"/>
      <c r="D875" s="25"/>
      <c r="E875" s="25"/>
      <c r="F875" s="25"/>
      <c r="G875" s="25"/>
      <c r="H875" s="25"/>
      <c r="I875" s="25"/>
      <c r="J875" s="25"/>
      <c r="K875" s="25"/>
      <c r="L875" s="25"/>
      <c r="M875" s="25"/>
      <c r="N875" s="25"/>
      <c r="O875" s="25"/>
      <c r="P875" s="25"/>
      <c r="R875" s="23"/>
      <c r="U875" s="11"/>
    </row>
    <row r="876" spans="1:21" ht="14.25" customHeight="1" x14ac:dyDescent="0.3">
      <c r="A876" s="484"/>
      <c r="C876" s="25"/>
      <c r="D876" s="25"/>
      <c r="E876" s="25"/>
      <c r="F876" s="25"/>
      <c r="G876" s="25"/>
      <c r="H876" s="25"/>
      <c r="I876" s="25"/>
      <c r="J876" s="25"/>
      <c r="K876" s="25"/>
      <c r="L876" s="25"/>
      <c r="M876" s="25"/>
      <c r="N876" s="25"/>
      <c r="O876" s="25"/>
      <c r="P876" s="25"/>
      <c r="R876" s="23"/>
      <c r="U876" s="11"/>
    </row>
    <row r="877" spans="1:21" ht="14.25" customHeight="1" x14ac:dyDescent="0.3">
      <c r="A877" s="484"/>
      <c r="C877" s="25"/>
      <c r="D877" s="25"/>
      <c r="E877" s="25"/>
      <c r="F877" s="25"/>
      <c r="G877" s="25"/>
      <c r="H877" s="25"/>
      <c r="I877" s="25"/>
      <c r="J877" s="25"/>
      <c r="K877" s="25"/>
      <c r="L877" s="25"/>
      <c r="M877" s="25"/>
      <c r="N877" s="25"/>
      <c r="O877" s="25"/>
      <c r="P877" s="25"/>
      <c r="R877" s="23"/>
      <c r="U877" s="11"/>
    </row>
    <row r="878" spans="1:21" ht="14.25" customHeight="1" x14ac:dyDescent="0.3">
      <c r="A878" s="484"/>
      <c r="C878" s="25"/>
      <c r="D878" s="25"/>
      <c r="E878" s="25"/>
      <c r="F878" s="25"/>
      <c r="G878" s="25"/>
      <c r="H878" s="25"/>
      <c r="I878" s="25"/>
      <c r="J878" s="25"/>
      <c r="K878" s="25"/>
      <c r="L878" s="25"/>
      <c r="M878" s="25"/>
      <c r="N878" s="25"/>
      <c r="O878" s="25"/>
      <c r="P878" s="25"/>
      <c r="R878" s="23"/>
      <c r="U878" s="11"/>
    </row>
    <row r="879" spans="1:21" ht="14.25" customHeight="1" x14ac:dyDescent="0.3">
      <c r="A879" s="484"/>
      <c r="C879" s="25"/>
      <c r="D879" s="25"/>
      <c r="E879" s="25"/>
      <c r="F879" s="25"/>
      <c r="G879" s="25"/>
      <c r="H879" s="25"/>
      <c r="I879" s="25"/>
      <c r="J879" s="25"/>
      <c r="K879" s="25"/>
      <c r="L879" s="25"/>
      <c r="M879" s="25"/>
      <c r="N879" s="25"/>
      <c r="O879" s="25"/>
      <c r="P879" s="25"/>
      <c r="R879" s="23"/>
      <c r="U879" s="11"/>
    </row>
    <row r="880" spans="1:21" ht="14.25" customHeight="1" x14ac:dyDescent="0.3">
      <c r="A880" s="484"/>
      <c r="C880" s="25"/>
      <c r="D880" s="25"/>
      <c r="E880" s="25"/>
      <c r="F880" s="25"/>
      <c r="G880" s="25"/>
      <c r="H880" s="25"/>
      <c r="I880" s="25"/>
      <c r="J880" s="25"/>
      <c r="K880" s="25"/>
      <c r="L880" s="25"/>
      <c r="M880" s="25"/>
      <c r="N880" s="25"/>
      <c r="O880" s="25"/>
      <c r="P880" s="25"/>
      <c r="R880" s="23"/>
      <c r="U880" s="11"/>
    </row>
    <row r="881" spans="1:21" ht="14.25" customHeight="1" x14ac:dyDescent="0.3">
      <c r="A881" s="484"/>
      <c r="C881" s="25"/>
      <c r="D881" s="25"/>
      <c r="E881" s="25"/>
      <c r="F881" s="25"/>
      <c r="G881" s="25"/>
      <c r="H881" s="25"/>
      <c r="I881" s="25"/>
      <c r="J881" s="25"/>
      <c r="K881" s="25"/>
      <c r="L881" s="25"/>
      <c r="M881" s="25"/>
      <c r="N881" s="25"/>
      <c r="O881" s="25"/>
      <c r="P881" s="25"/>
      <c r="R881" s="23"/>
      <c r="U881" s="11"/>
    </row>
    <row r="882" spans="1:21" ht="14.25" customHeight="1" x14ac:dyDescent="0.3">
      <c r="A882" s="484"/>
      <c r="C882" s="25"/>
      <c r="D882" s="25"/>
      <c r="E882" s="25"/>
      <c r="F882" s="25"/>
      <c r="G882" s="25"/>
      <c r="H882" s="25"/>
      <c r="I882" s="25"/>
      <c r="J882" s="25"/>
      <c r="K882" s="25"/>
      <c r="L882" s="25"/>
      <c r="M882" s="25"/>
      <c r="N882" s="25"/>
      <c r="O882" s="25"/>
      <c r="P882" s="25"/>
      <c r="R882" s="23"/>
      <c r="U882" s="11"/>
    </row>
    <row r="883" spans="1:21" ht="14.25" customHeight="1" x14ac:dyDescent="0.3">
      <c r="A883" s="484"/>
      <c r="C883" s="25"/>
      <c r="D883" s="25"/>
      <c r="E883" s="25"/>
      <c r="F883" s="25"/>
      <c r="G883" s="25"/>
      <c r="H883" s="25"/>
      <c r="I883" s="25"/>
      <c r="J883" s="25"/>
      <c r="K883" s="25"/>
      <c r="L883" s="25"/>
      <c r="M883" s="25"/>
      <c r="N883" s="25"/>
      <c r="O883" s="25"/>
      <c r="P883" s="25"/>
      <c r="R883" s="23"/>
      <c r="U883" s="11"/>
    </row>
    <row r="884" spans="1:21" ht="14.25" customHeight="1" x14ac:dyDescent="0.3">
      <c r="A884" s="484"/>
      <c r="C884" s="25"/>
      <c r="D884" s="25"/>
      <c r="E884" s="25"/>
      <c r="F884" s="25"/>
      <c r="G884" s="25"/>
      <c r="H884" s="25"/>
      <c r="I884" s="25"/>
      <c r="J884" s="25"/>
      <c r="K884" s="25"/>
      <c r="L884" s="25"/>
      <c r="M884" s="25"/>
      <c r="N884" s="25"/>
      <c r="O884" s="25"/>
      <c r="P884" s="25"/>
      <c r="R884" s="23"/>
      <c r="U884" s="11"/>
    </row>
    <row r="885" spans="1:21" ht="14.25" customHeight="1" x14ac:dyDescent="0.3">
      <c r="A885" s="484"/>
      <c r="C885" s="25"/>
      <c r="D885" s="25"/>
      <c r="E885" s="25"/>
      <c r="F885" s="25"/>
      <c r="G885" s="25"/>
      <c r="H885" s="25"/>
      <c r="I885" s="25"/>
      <c r="J885" s="25"/>
      <c r="K885" s="25"/>
      <c r="L885" s="25"/>
      <c r="M885" s="25"/>
      <c r="N885" s="25"/>
      <c r="O885" s="25"/>
      <c r="P885" s="25"/>
      <c r="R885" s="23"/>
      <c r="U885" s="11"/>
    </row>
    <row r="886" spans="1:21" ht="14.25" customHeight="1" x14ac:dyDescent="0.3">
      <c r="A886" s="484"/>
      <c r="C886" s="25"/>
      <c r="D886" s="25"/>
      <c r="E886" s="25"/>
      <c r="F886" s="25"/>
      <c r="G886" s="25"/>
      <c r="H886" s="25"/>
      <c r="I886" s="25"/>
      <c r="J886" s="25"/>
      <c r="K886" s="25"/>
      <c r="L886" s="25"/>
      <c r="M886" s="25"/>
      <c r="N886" s="25"/>
      <c r="O886" s="25"/>
      <c r="P886" s="25"/>
      <c r="R886" s="23"/>
      <c r="U886" s="11"/>
    </row>
    <row r="887" spans="1:21" ht="14.25" customHeight="1" x14ac:dyDescent="0.3">
      <c r="A887" s="484"/>
      <c r="C887" s="25"/>
      <c r="D887" s="25"/>
      <c r="E887" s="25"/>
      <c r="F887" s="25"/>
      <c r="G887" s="25"/>
      <c r="H887" s="25"/>
      <c r="I887" s="25"/>
      <c r="J887" s="25"/>
      <c r="K887" s="25"/>
      <c r="L887" s="25"/>
      <c r="M887" s="25"/>
      <c r="N887" s="25"/>
      <c r="O887" s="25"/>
      <c r="P887" s="25"/>
      <c r="R887" s="23"/>
      <c r="U887" s="11"/>
    </row>
    <row r="888" spans="1:21" ht="14.25" customHeight="1" x14ac:dyDescent="0.3">
      <c r="A888" s="484"/>
      <c r="C888" s="25"/>
      <c r="D888" s="25"/>
      <c r="E888" s="25"/>
      <c r="F888" s="25"/>
      <c r="G888" s="25"/>
      <c r="H888" s="25"/>
      <c r="I888" s="25"/>
      <c r="J888" s="25"/>
      <c r="K888" s="25"/>
      <c r="L888" s="25"/>
      <c r="M888" s="25"/>
      <c r="N888" s="25"/>
      <c r="O888" s="25"/>
      <c r="P888" s="25"/>
      <c r="R888" s="23"/>
      <c r="U888" s="11"/>
    </row>
    <row r="889" spans="1:21" ht="14.25" customHeight="1" x14ac:dyDescent="0.3">
      <c r="A889" s="484"/>
      <c r="C889" s="25"/>
      <c r="D889" s="25"/>
      <c r="E889" s="25"/>
      <c r="F889" s="25"/>
      <c r="G889" s="25"/>
      <c r="H889" s="25"/>
      <c r="I889" s="25"/>
      <c r="J889" s="25"/>
      <c r="K889" s="25"/>
      <c r="L889" s="25"/>
      <c r="M889" s="25"/>
      <c r="N889" s="25"/>
      <c r="O889" s="25"/>
      <c r="P889" s="25"/>
      <c r="R889" s="23"/>
      <c r="U889" s="11"/>
    </row>
    <row r="890" spans="1:21" ht="14.25" customHeight="1" x14ac:dyDescent="0.3">
      <c r="A890" s="484"/>
      <c r="C890" s="25"/>
      <c r="D890" s="25"/>
      <c r="E890" s="25"/>
      <c r="F890" s="25"/>
      <c r="G890" s="25"/>
      <c r="H890" s="25"/>
      <c r="I890" s="25"/>
      <c r="J890" s="25"/>
      <c r="K890" s="25"/>
      <c r="L890" s="25"/>
      <c r="M890" s="25"/>
      <c r="N890" s="25"/>
      <c r="O890" s="25"/>
      <c r="P890" s="25"/>
      <c r="R890" s="23"/>
      <c r="U890" s="11"/>
    </row>
    <row r="891" spans="1:21" ht="14.25" customHeight="1" x14ac:dyDescent="0.3">
      <c r="A891" s="484"/>
      <c r="C891" s="25"/>
      <c r="D891" s="25"/>
      <c r="E891" s="25"/>
      <c r="F891" s="25"/>
      <c r="G891" s="25"/>
      <c r="H891" s="25"/>
      <c r="I891" s="25"/>
      <c r="J891" s="25"/>
      <c r="K891" s="25"/>
      <c r="L891" s="25"/>
      <c r="M891" s="25"/>
      <c r="N891" s="25"/>
      <c r="O891" s="25"/>
      <c r="P891" s="25"/>
      <c r="R891" s="23"/>
      <c r="U891" s="11"/>
    </row>
    <row r="892" spans="1:21" ht="14.25" customHeight="1" x14ac:dyDescent="0.3">
      <c r="A892" s="484"/>
      <c r="C892" s="25"/>
      <c r="D892" s="25"/>
      <c r="E892" s="25"/>
      <c r="F892" s="25"/>
      <c r="G892" s="25"/>
      <c r="H892" s="25"/>
      <c r="I892" s="25"/>
      <c r="J892" s="25"/>
      <c r="K892" s="25"/>
      <c r="L892" s="25"/>
      <c r="M892" s="25"/>
      <c r="N892" s="25"/>
      <c r="O892" s="25"/>
      <c r="P892" s="25"/>
      <c r="R892" s="23"/>
      <c r="U892" s="11"/>
    </row>
    <row r="893" spans="1:21" ht="14.25" customHeight="1" x14ac:dyDescent="0.3">
      <c r="A893" s="484"/>
      <c r="C893" s="25"/>
      <c r="D893" s="25"/>
      <c r="E893" s="25"/>
      <c r="F893" s="25"/>
      <c r="G893" s="25"/>
      <c r="H893" s="25"/>
      <c r="I893" s="25"/>
      <c r="J893" s="25"/>
      <c r="K893" s="25"/>
      <c r="L893" s="25"/>
      <c r="M893" s="25"/>
      <c r="N893" s="25"/>
      <c r="O893" s="25"/>
      <c r="P893" s="25"/>
      <c r="R893" s="23"/>
      <c r="U893" s="11"/>
    </row>
    <row r="894" spans="1:21" ht="14.25" customHeight="1" x14ac:dyDescent="0.3">
      <c r="A894" s="484"/>
      <c r="C894" s="25"/>
      <c r="D894" s="25"/>
      <c r="E894" s="25"/>
      <c r="F894" s="25"/>
      <c r="G894" s="25"/>
      <c r="H894" s="25"/>
      <c r="I894" s="25"/>
      <c r="J894" s="25"/>
      <c r="K894" s="25"/>
      <c r="L894" s="25"/>
      <c r="M894" s="25"/>
      <c r="N894" s="25"/>
      <c r="O894" s="25"/>
      <c r="P894" s="25"/>
      <c r="R894" s="23"/>
      <c r="U894" s="11"/>
    </row>
    <row r="895" spans="1:21" ht="14.25" customHeight="1" x14ac:dyDescent="0.3">
      <c r="A895" s="484"/>
      <c r="C895" s="25"/>
      <c r="D895" s="25"/>
      <c r="E895" s="25"/>
      <c r="F895" s="25"/>
      <c r="G895" s="25"/>
      <c r="H895" s="25"/>
      <c r="I895" s="25"/>
      <c r="J895" s="25"/>
      <c r="K895" s="25"/>
      <c r="L895" s="25"/>
      <c r="M895" s="25"/>
      <c r="N895" s="25"/>
      <c r="O895" s="25"/>
      <c r="P895" s="25"/>
      <c r="R895" s="23"/>
      <c r="U895" s="11"/>
    </row>
    <row r="896" spans="1:21" ht="14.25" customHeight="1" x14ac:dyDescent="0.3">
      <c r="A896" s="484"/>
      <c r="C896" s="25"/>
      <c r="D896" s="25"/>
      <c r="E896" s="25"/>
      <c r="F896" s="25"/>
      <c r="G896" s="25"/>
      <c r="H896" s="25"/>
      <c r="I896" s="25"/>
      <c r="J896" s="25"/>
      <c r="K896" s="25"/>
      <c r="L896" s="25"/>
      <c r="M896" s="25"/>
      <c r="N896" s="25"/>
      <c r="O896" s="25"/>
      <c r="P896" s="25"/>
      <c r="R896" s="23"/>
      <c r="U896" s="11"/>
    </row>
    <row r="897" spans="1:21" ht="14.25" customHeight="1" x14ac:dyDescent="0.3">
      <c r="A897" s="484"/>
      <c r="C897" s="25"/>
      <c r="D897" s="25"/>
      <c r="E897" s="25"/>
      <c r="F897" s="25"/>
      <c r="G897" s="25"/>
      <c r="H897" s="25"/>
      <c r="I897" s="25"/>
      <c r="J897" s="25"/>
      <c r="K897" s="25"/>
      <c r="L897" s="25"/>
      <c r="M897" s="25"/>
      <c r="N897" s="25"/>
      <c r="O897" s="25"/>
      <c r="P897" s="25"/>
      <c r="R897" s="23"/>
      <c r="U897" s="11"/>
    </row>
    <row r="898" spans="1:21" ht="14.25" customHeight="1" x14ac:dyDescent="0.3">
      <c r="A898" s="484"/>
      <c r="C898" s="25"/>
      <c r="D898" s="25"/>
      <c r="E898" s="25"/>
      <c r="F898" s="25"/>
      <c r="G898" s="25"/>
      <c r="H898" s="25"/>
      <c r="I898" s="25"/>
      <c r="J898" s="25"/>
      <c r="K898" s="25"/>
      <c r="L898" s="25"/>
      <c r="M898" s="25"/>
      <c r="N898" s="25"/>
      <c r="O898" s="25"/>
      <c r="P898" s="25"/>
      <c r="R898" s="23"/>
      <c r="U898" s="11"/>
    </row>
    <row r="899" spans="1:21" ht="14.25" customHeight="1" x14ac:dyDescent="0.3">
      <c r="A899" s="484"/>
      <c r="C899" s="25"/>
      <c r="D899" s="25"/>
      <c r="E899" s="25"/>
      <c r="F899" s="25"/>
      <c r="G899" s="25"/>
      <c r="H899" s="25"/>
      <c r="I899" s="25"/>
      <c r="J899" s="25"/>
      <c r="K899" s="25"/>
      <c r="L899" s="25"/>
      <c r="M899" s="25"/>
      <c r="N899" s="25"/>
      <c r="O899" s="25"/>
      <c r="P899" s="25"/>
      <c r="R899" s="23"/>
      <c r="U899" s="11"/>
    </row>
    <row r="900" spans="1:21" ht="14.25" customHeight="1" x14ac:dyDescent="0.3">
      <c r="A900" s="484"/>
      <c r="C900" s="25"/>
      <c r="D900" s="25"/>
      <c r="E900" s="25"/>
      <c r="F900" s="25"/>
      <c r="G900" s="25"/>
      <c r="H900" s="25"/>
      <c r="I900" s="25"/>
      <c r="J900" s="25"/>
      <c r="K900" s="25"/>
      <c r="L900" s="25"/>
      <c r="M900" s="25"/>
      <c r="N900" s="25"/>
      <c r="O900" s="25"/>
      <c r="P900" s="25"/>
      <c r="R900" s="23"/>
      <c r="U900" s="11"/>
    </row>
    <row r="901" spans="1:21" ht="14.25" customHeight="1" x14ac:dyDescent="0.3">
      <c r="A901" s="484"/>
      <c r="C901" s="25"/>
      <c r="D901" s="25"/>
      <c r="E901" s="25"/>
      <c r="F901" s="25"/>
      <c r="G901" s="25"/>
      <c r="H901" s="25"/>
      <c r="I901" s="25"/>
      <c r="J901" s="25"/>
      <c r="K901" s="25"/>
      <c r="L901" s="25"/>
      <c r="M901" s="25"/>
      <c r="N901" s="25"/>
      <c r="O901" s="25"/>
      <c r="P901" s="25"/>
      <c r="R901" s="23"/>
      <c r="U901" s="11"/>
    </row>
    <row r="902" spans="1:21" ht="14.25" customHeight="1" x14ac:dyDescent="0.3">
      <c r="A902" s="484"/>
      <c r="C902" s="25"/>
      <c r="D902" s="25"/>
      <c r="E902" s="25"/>
      <c r="F902" s="25"/>
      <c r="G902" s="25"/>
      <c r="H902" s="25"/>
      <c r="I902" s="25"/>
      <c r="J902" s="25"/>
      <c r="K902" s="25"/>
      <c r="L902" s="25"/>
      <c r="M902" s="25"/>
      <c r="N902" s="25"/>
      <c r="O902" s="25"/>
      <c r="P902" s="25"/>
      <c r="R902" s="23"/>
      <c r="U902" s="11"/>
    </row>
    <row r="903" spans="1:21" ht="14.25" customHeight="1" x14ac:dyDescent="0.3">
      <c r="A903" s="484"/>
      <c r="C903" s="25"/>
      <c r="D903" s="25"/>
      <c r="E903" s="25"/>
      <c r="F903" s="25"/>
      <c r="G903" s="25"/>
      <c r="H903" s="25"/>
      <c r="I903" s="25"/>
      <c r="J903" s="25"/>
      <c r="K903" s="25"/>
      <c r="L903" s="25"/>
      <c r="M903" s="25"/>
      <c r="N903" s="25"/>
      <c r="O903" s="25"/>
      <c r="P903" s="25"/>
      <c r="R903" s="23"/>
      <c r="U903" s="11"/>
    </row>
    <row r="904" spans="1:21" ht="14.25" customHeight="1" x14ac:dyDescent="0.3">
      <c r="A904" s="484"/>
      <c r="C904" s="25"/>
      <c r="D904" s="25"/>
      <c r="E904" s="25"/>
      <c r="F904" s="25"/>
      <c r="G904" s="25"/>
      <c r="H904" s="25"/>
      <c r="I904" s="25"/>
      <c r="J904" s="25"/>
      <c r="K904" s="25"/>
      <c r="L904" s="25"/>
      <c r="M904" s="25"/>
      <c r="N904" s="25"/>
      <c r="O904" s="25"/>
      <c r="P904" s="25"/>
      <c r="R904" s="23"/>
      <c r="U904" s="11"/>
    </row>
    <row r="905" spans="1:21" ht="14.25" customHeight="1" x14ac:dyDescent="0.3">
      <c r="A905" s="484"/>
      <c r="C905" s="25"/>
      <c r="D905" s="25"/>
      <c r="E905" s="25"/>
      <c r="F905" s="25"/>
      <c r="G905" s="25"/>
      <c r="H905" s="25"/>
      <c r="I905" s="25"/>
      <c r="J905" s="25"/>
      <c r="K905" s="25"/>
      <c r="L905" s="25"/>
      <c r="M905" s="25"/>
      <c r="N905" s="25"/>
      <c r="O905" s="25"/>
      <c r="P905" s="25"/>
      <c r="R905" s="23"/>
      <c r="U905" s="11"/>
    </row>
    <row r="906" spans="1:21" ht="14.25" customHeight="1" x14ac:dyDescent="0.3">
      <c r="A906" s="484"/>
      <c r="C906" s="25"/>
      <c r="D906" s="25"/>
      <c r="E906" s="25"/>
      <c r="F906" s="25"/>
      <c r="G906" s="25"/>
      <c r="H906" s="25"/>
      <c r="I906" s="25"/>
      <c r="J906" s="25"/>
      <c r="K906" s="25"/>
      <c r="L906" s="25"/>
      <c r="M906" s="25"/>
      <c r="N906" s="25"/>
      <c r="O906" s="25"/>
      <c r="P906" s="25"/>
      <c r="R906" s="23"/>
      <c r="U906" s="11"/>
    </row>
    <row r="907" spans="1:21" ht="14.25" customHeight="1" x14ac:dyDescent="0.3">
      <c r="A907" s="484"/>
      <c r="C907" s="25"/>
      <c r="D907" s="25"/>
      <c r="E907" s="25"/>
      <c r="F907" s="25"/>
      <c r="G907" s="25"/>
      <c r="H907" s="25"/>
      <c r="I907" s="25"/>
      <c r="J907" s="25"/>
      <c r="K907" s="25"/>
      <c r="L907" s="25"/>
      <c r="M907" s="25"/>
      <c r="N907" s="25"/>
      <c r="O907" s="25"/>
      <c r="P907" s="25"/>
      <c r="R907" s="23"/>
      <c r="U907" s="11"/>
    </row>
    <row r="908" spans="1:21" ht="14.25" customHeight="1" x14ac:dyDescent="0.3">
      <c r="A908" s="484"/>
      <c r="C908" s="25"/>
      <c r="D908" s="25"/>
      <c r="E908" s="25"/>
      <c r="F908" s="25"/>
      <c r="G908" s="25"/>
      <c r="H908" s="25"/>
      <c r="I908" s="25"/>
      <c r="J908" s="25"/>
      <c r="K908" s="25"/>
      <c r="L908" s="25"/>
      <c r="M908" s="25"/>
      <c r="N908" s="25"/>
      <c r="O908" s="25"/>
      <c r="P908" s="25"/>
      <c r="R908" s="23"/>
      <c r="U908" s="11"/>
    </row>
    <row r="909" spans="1:21" ht="14.25" customHeight="1" x14ac:dyDescent="0.3">
      <c r="A909" s="484"/>
      <c r="C909" s="25"/>
      <c r="D909" s="25"/>
      <c r="E909" s="25"/>
      <c r="F909" s="25"/>
      <c r="G909" s="25"/>
      <c r="H909" s="25"/>
      <c r="I909" s="25"/>
      <c r="J909" s="25"/>
      <c r="K909" s="25"/>
      <c r="L909" s="25"/>
      <c r="M909" s="25"/>
      <c r="N909" s="25"/>
      <c r="O909" s="25"/>
      <c r="P909" s="25"/>
      <c r="R909" s="23"/>
      <c r="U909" s="11"/>
    </row>
    <row r="910" spans="1:21" ht="14.25" customHeight="1" x14ac:dyDescent="0.3">
      <c r="A910" s="484"/>
      <c r="C910" s="25"/>
      <c r="D910" s="25"/>
      <c r="E910" s="25"/>
      <c r="F910" s="25"/>
      <c r="G910" s="25"/>
      <c r="H910" s="25"/>
      <c r="I910" s="25"/>
      <c r="J910" s="25"/>
      <c r="K910" s="25"/>
      <c r="L910" s="25"/>
      <c r="M910" s="25"/>
      <c r="N910" s="25"/>
      <c r="O910" s="25"/>
      <c r="P910" s="25"/>
      <c r="R910" s="23"/>
      <c r="U910" s="11"/>
    </row>
    <row r="911" spans="1:21" ht="14.25" customHeight="1" x14ac:dyDescent="0.3">
      <c r="A911" s="484"/>
      <c r="C911" s="25"/>
      <c r="D911" s="25"/>
      <c r="E911" s="25"/>
      <c r="F911" s="25"/>
      <c r="G911" s="25"/>
      <c r="H911" s="25"/>
      <c r="I911" s="25"/>
      <c r="J911" s="25"/>
      <c r="K911" s="25"/>
      <c r="L911" s="25"/>
      <c r="M911" s="25"/>
      <c r="N911" s="25"/>
      <c r="O911" s="25"/>
      <c r="P911" s="25"/>
      <c r="R911" s="23"/>
      <c r="U911" s="11"/>
    </row>
    <row r="912" spans="1:21" ht="14.25" customHeight="1" x14ac:dyDescent="0.3">
      <c r="A912" s="484"/>
      <c r="C912" s="25"/>
      <c r="D912" s="25"/>
      <c r="E912" s="25"/>
      <c r="F912" s="25"/>
      <c r="G912" s="25"/>
      <c r="H912" s="25"/>
      <c r="I912" s="25"/>
      <c r="J912" s="25"/>
      <c r="K912" s="25"/>
      <c r="L912" s="25"/>
      <c r="M912" s="25"/>
      <c r="N912" s="25"/>
      <c r="O912" s="25"/>
      <c r="P912" s="25"/>
      <c r="R912" s="23"/>
      <c r="U912" s="11"/>
    </row>
    <row r="913" spans="1:21" ht="14.25" customHeight="1" x14ac:dyDescent="0.3">
      <c r="A913" s="484"/>
      <c r="C913" s="25"/>
      <c r="D913" s="25"/>
      <c r="E913" s="25"/>
      <c r="F913" s="25"/>
      <c r="G913" s="25"/>
      <c r="H913" s="25"/>
      <c r="I913" s="25"/>
      <c r="J913" s="25"/>
      <c r="K913" s="25"/>
      <c r="L913" s="25"/>
      <c r="M913" s="25"/>
      <c r="N913" s="25"/>
      <c r="O913" s="25"/>
      <c r="P913" s="25"/>
      <c r="R913" s="23"/>
      <c r="U913" s="11"/>
    </row>
    <row r="914" spans="1:21" ht="14.25" customHeight="1" x14ac:dyDescent="0.3">
      <c r="A914" s="484"/>
      <c r="C914" s="25"/>
      <c r="D914" s="25"/>
      <c r="E914" s="25"/>
      <c r="F914" s="25"/>
      <c r="G914" s="25"/>
      <c r="H914" s="25"/>
      <c r="I914" s="25"/>
      <c r="J914" s="25"/>
      <c r="K914" s="25"/>
      <c r="L914" s="25"/>
      <c r="M914" s="25"/>
      <c r="N914" s="25"/>
      <c r="O914" s="25"/>
      <c r="P914" s="25"/>
      <c r="R914" s="23"/>
      <c r="U914" s="11"/>
    </row>
    <row r="915" spans="1:21" ht="14.25" customHeight="1" x14ac:dyDescent="0.3">
      <c r="A915" s="484"/>
      <c r="C915" s="25"/>
      <c r="D915" s="25"/>
      <c r="E915" s="25"/>
      <c r="F915" s="25"/>
      <c r="G915" s="25"/>
      <c r="H915" s="25"/>
      <c r="I915" s="25"/>
      <c r="J915" s="25"/>
      <c r="K915" s="25"/>
      <c r="L915" s="25"/>
      <c r="M915" s="25"/>
      <c r="N915" s="25"/>
      <c r="O915" s="25"/>
      <c r="P915" s="25"/>
      <c r="R915" s="23"/>
      <c r="U915" s="11"/>
    </row>
    <row r="916" spans="1:21" ht="14.25" customHeight="1" x14ac:dyDescent="0.3">
      <c r="A916" s="484"/>
      <c r="C916" s="25"/>
      <c r="D916" s="25"/>
      <c r="E916" s="25"/>
      <c r="F916" s="25"/>
      <c r="G916" s="25"/>
      <c r="H916" s="25"/>
      <c r="I916" s="25"/>
      <c r="J916" s="25"/>
      <c r="K916" s="25"/>
      <c r="L916" s="25"/>
      <c r="M916" s="25"/>
      <c r="N916" s="25"/>
      <c r="O916" s="25"/>
      <c r="P916" s="25"/>
      <c r="R916" s="23"/>
      <c r="U916" s="11"/>
    </row>
    <row r="917" spans="1:21" ht="14.25" customHeight="1" x14ac:dyDescent="0.3">
      <c r="A917" s="484"/>
      <c r="C917" s="25"/>
      <c r="D917" s="25"/>
      <c r="E917" s="25"/>
      <c r="F917" s="25"/>
      <c r="G917" s="25"/>
      <c r="H917" s="25"/>
      <c r="I917" s="25"/>
      <c r="J917" s="25"/>
      <c r="K917" s="25"/>
      <c r="L917" s="25"/>
      <c r="M917" s="25"/>
      <c r="N917" s="25"/>
      <c r="O917" s="25"/>
      <c r="P917" s="25"/>
      <c r="R917" s="23"/>
      <c r="U917" s="11"/>
    </row>
    <row r="918" spans="1:21" ht="14.25" customHeight="1" x14ac:dyDescent="0.3">
      <c r="A918" s="484"/>
      <c r="C918" s="25"/>
      <c r="D918" s="25"/>
      <c r="E918" s="25"/>
      <c r="F918" s="25"/>
      <c r="G918" s="25"/>
      <c r="H918" s="25"/>
      <c r="I918" s="25"/>
      <c r="J918" s="25"/>
      <c r="K918" s="25"/>
      <c r="L918" s="25"/>
      <c r="M918" s="25"/>
      <c r="N918" s="25"/>
      <c r="O918" s="25"/>
      <c r="P918" s="25"/>
      <c r="R918" s="23"/>
      <c r="U918" s="11"/>
    </row>
    <row r="919" spans="1:21" ht="14.25" customHeight="1" x14ac:dyDescent="0.3">
      <c r="A919" s="484"/>
      <c r="C919" s="25"/>
      <c r="D919" s="25"/>
      <c r="E919" s="25"/>
      <c r="F919" s="25"/>
      <c r="G919" s="25"/>
      <c r="H919" s="25"/>
      <c r="I919" s="25"/>
      <c r="J919" s="25"/>
      <c r="K919" s="25"/>
      <c r="L919" s="25"/>
      <c r="M919" s="25"/>
      <c r="N919" s="25"/>
      <c r="O919" s="25"/>
      <c r="P919" s="25"/>
      <c r="R919" s="23"/>
      <c r="U919" s="11"/>
    </row>
    <row r="920" spans="1:21" ht="14.25" customHeight="1" x14ac:dyDescent="0.3">
      <c r="A920" s="484"/>
      <c r="C920" s="25"/>
      <c r="D920" s="25"/>
      <c r="E920" s="25"/>
      <c r="F920" s="25"/>
      <c r="G920" s="25"/>
      <c r="H920" s="25"/>
      <c r="I920" s="25"/>
      <c r="J920" s="25"/>
      <c r="K920" s="25"/>
      <c r="L920" s="25"/>
      <c r="M920" s="25"/>
      <c r="N920" s="25"/>
      <c r="O920" s="25"/>
      <c r="P920" s="25"/>
      <c r="R920" s="23"/>
      <c r="U920" s="11"/>
    </row>
    <row r="921" spans="1:21" ht="14.25" customHeight="1" x14ac:dyDescent="0.3">
      <c r="A921" s="484"/>
      <c r="C921" s="25"/>
      <c r="D921" s="25"/>
      <c r="E921" s="25"/>
      <c r="F921" s="25"/>
      <c r="G921" s="25"/>
      <c r="H921" s="25"/>
      <c r="I921" s="25"/>
      <c r="J921" s="25"/>
      <c r="K921" s="25"/>
      <c r="L921" s="25"/>
      <c r="M921" s="25"/>
      <c r="N921" s="25"/>
      <c r="O921" s="25"/>
      <c r="P921" s="25"/>
      <c r="R921" s="23"/>
      <c r="U921" s="11"/>
    </row>
    <row r="922" spans="1:21" ht="14.25" customHeight="1" x14ac:dyDescent="0.3">
      <c r="A922" s="484"/>
      <c r="C922" s="25"/>
      <c r="D922" s="25"/>
      <c r="E922" s="25"/>
      <c r="F922" s="25"/>
      <c r="G922" s="25"/>
      <c r="H922" s="25"/>
      <c r="I922" s="25"/>
      <c r="J922" s="25"/>
      <c r="K922" s="25"/>
      <c r="L922" s="25"/>
      <c r="M922" s="25"/>
      <c r="N922" s="25"/>
      <c r="O922" s="25"/>
      <c r="P922" s="25"/>
      <c r="R922" s="23"/>
      <c r="U922" s="11"/>
    </row>
    <row r="923" spans="1:21" ht="14.25" customHeight="1" x14ac:dyDescent="0.3">
      <c r="A923" s="484"/>
      <c r="C923" s="25"/>
      <c r="D923" s="25"/>
      <c r="E923" s="25"/>
      <c r="F923" s="25"/>
      <c r="G923" s="25"/>
      <c r="H923" s="25"/>
      <c r="I923" s="25"/>
      <c r="J923" s="25"/>
      <c r="K923" s="25"/>
      <c r="L923" s="25"/>
      <c r="M923" s="25"/>
      <c r="N923" s="25"/>
      <c r="O923" s="25"/>
      <c r="P923" s="25"/>
      <c r="R923" s="23"/>
      <c r="U923" s="11"/>
    </row>
    <row r="924" spans="1:21" ht="14.25" customHeight="1" x14ac:dyDescent="0.3">
      <c r="A924" s="484"/>
      <c r="C924" s="25"/>
      <c r="D924" s="25"/>
      <c r="E924" s="25"/>
      <c r="F924" s="25"/>
      <c r="G924" s="25"/>
      <c r="H924" s="25"/>
      <c r="I924" s="25"/>
      <c r="J924" s="25"/>
      <c r="K924" s="25"/>
      <c r="L924" s="25"/>
      <c r="M924" s="25"/>
      <c r="N924" s="25"/>
      <c r="O924" s="25"/>
      <c r="P924" s="25"/>
      <c r="R924" s="23"/>
      <c r="U924" s="11"/>
    </row>
    <row r="925" spans="1:21" ht="14.25" customHeight="1" x14ac:dyDescent="0.3">
      <c r="A925" s="484"/>
      <c r="C925" s="25"/>
      <c r="D925" s="25"/>
      <c r="E925" s="25"/>
      <c r="F925" s="25"/>
      <c r="G925" s="25"/>
      <c r="H925" s="25"/>
      <c r="I925" s="25"/>
      <c r="J925" s="25"/>
      <c r="K925" s="25"/>
      <c r="L925" s="25"/>
      <c r="M925" s="25"/>
      <c r="N925" s="25"/>
      <c r="O925" s="25"/>
      <c r="P925" s="25"/>
      <c r="R925" s="23"/>
      <c r="U925" s="11"/>
    </row>
    <row r="926" spans="1:21" ht="14.25" customHeight="1" x14ac:dyDescent="0.3">
      <c r="A926" s="484"/>
      <c r="C926" s="25"/>
      <c r="D926" s="25"/>
      <c r="E926" s="25"/>
      <c r="F926" s="25"/>
      <c r="G926" s="25"/>
      <c r="H926" s="25"/>
      <c r="I926" s="25"/>
      <c r="J926" s="25"/>
      <c r="K926" s="25"/>
      <c r="L926" s="25"/>
      <c r="M926" s="25"/>
      <c r="N926" s="25"/>
      <c r="O926" s="25"/>
      <c r="P926" s="25"/>
      <c r="R926" s="23"/>
      <c r="U926" s="11"/>
    </row>
    <row r="927" spans="1:21" ht="14.25" customHeight="1" x14ac:dyDescent="0.3">
      <c r="A927" s="484"/>
      <c r="C927" s="25"/>
      <c r="D927" s="25"/>
      <c r="E927" s="25"/>
      <c r="F927" s="25"/>
      <c r="G927" s="25"/>
      <c r="H927" s="25"/>
      <c r="I927" s="25"/>
      <c r="J927" s="25"/>
      <c r="K927" s="25"/>
      <c r="L927" s="25"/>
      <c r="M927" s="25"/>
      <c r="N927" s="25"/>
      <c r="O927" s="25"/>
      <c r="P927" s="25"/>
      <c r="R927" s="23"/>
      <c r="U927" s="11"/>
    </row>
    <row r="928" spans="1:21" ht="14.25" customHeight="1" x14ac:dyDescent="0.3">
      <c r="A928" s="484"/>
      <c r="C928" s="25"/>
      <c r="D928" s="25"/>
      <c r="E928" s="25"/>
      <c r="F928" s="25"/>
      <c r="G928" s="25"/>
      <c r="H928" s="25"/>
      <c r="I928" s="25"/>
      <c r="J928" s="25"/>
      <c r="K928" s="25"/>
      <c r="L928" s="25"/>
      <c r="M928" s="25"/>
      <c r="N928" s="25"/>
      <c r="O928" s="25"/>
      <c r="P928" s="25"/>
      <c r="R928" s="23"/>
      <c r="U928" s="11"/>
    </row>
    <row r="929" spans="1:21" ht="14.25" customHeight="1" x14ac:dyDescent="0.3">
      <c r="A929" s="484"/>
      <c r="C929" s="25"/>
      <c r="D929" s="25"/>
      <c r="E929" s="25"/>
      <c r="F929" s="25"/>
      <c r="G929" s="25"/>
      <c r="H929" s="25"/>
      <c r="I929" s="25"/>
      <c r="J929" s="25"/>
      <c r="K929" s="25"/>
      <c r="L929" s="25"/>
      <c r="M929" s="25"/>
      <c r="N929" s="25"/>
      <c r="O929" s="25"/>
      <c r="P929" s="25"/>
      <c r="R929" s="23"/>
      <c r="U929" s="11"/>
    </row>
    <row r="930" spans="1:21" ht="14.25" customHeight="1" x14ac:dyDescent="0.3">
      <c r="A930" s="484"/>
      <c r="C930" s="25"/>
      <c r="D930" s="25"/>
      <c r="E930" s="25"/>
      <c r="F930" s="25"/>
      <c r="G930" s="25"/>
      <c r="H930" s="25"/>
      <c r="I930" s="25"/>
      <c r="J930" s="25"/>
      <c r="K930" s="25"/>
      <c r="L930" s="25"/>
      <c r="M930" s="25"/>
      <c r="N930" s="25"/>
      <c r="O930" s="25"/>
      <c r="P930" s="25"/>
      <c r="R930" s="23"/>
      <c r="U930" s="11"/>
    </row>
    <row r="931" spans="1:21" ht="14.25" customHeight="1" x14ac:dyDescent="0.3">
      <c r="A931" s="484"/>
      <c r="C931" s="25"/>
      <c r="D931" s="25"/>
      <c r="E931" s="25"/>
      <c r="F931" s="25"/>
      <c r="G931" s="25"/>
      <c r="H931" s="25"/>
      <c r="I931" s="25"/>
      <c r="J931" s="25"/>
      <c r="K931" s="25"/>
      <c r="L931" s="25"/>
      <c r="M931" s="25"/>
      <c r="N931" s="25"/>
      <c r="O931" s="25"/>
      <c r="P931" s="25"/>
      <c r="R931" s="23"/>
      <c r="U931" s="11"/>
    </row>
    <row r="932" spans="1:21" ht="14.25" customHeight="1" x14ac:dyDescent="0.3">
      <c r="A932" s="484"/>
      <c r="C932" s="25"/>
      <c r="D932" s="25"/>
      <c r="E932" s="25"/>
      <c r="F932" s="25"/>
      <c r="G932" s="25"/>
      <c r="H932" s="25"/>
      <c r="I932" s="25"/>
      <c r="J932" s="25"/>
      <c r="K932" s="25"/>
      <c r="L932" s="25"/>
      <c r="M932" s="25"/>
      <c r="N932" s="25"/>
      <c r="O932" s="25"/>
      <c r="P932" s="25"/>
      <c r="R932" s="23"/>
      <c r="U932" s="11"/>
    </row>
    <row r="933" spans="1:21" ht="14.25" customHeight="1" x14ac:dyDescent="0.3">
      <c r="A933" s="484"/>
      <c r="C933" s="25"/>
      <c r="D933" s="25"/>
      <c r="E933" s="25"/>
      <c r="F933" s="25"/>
      <c r="G933" s="25"/>
      <c r="H933" s="25"/>
      <c r="I933" s="25"/>
      <c r="J933" s="25"/>
      <c r="K933" s="25"/>
      <c r="L933" s="25"/>
      <c r="M933" s="25"/>
      <c r="N933" s="25"/>
      <c r="O933" s="25"/>
      <c r="P933" s="25"/>
      <c r="R933" s="23"/>
      <c r="U933" s="11"/>
    </row>
    <row r="934" spans="1:21" ht="14.25" customHeight="1" x14ac:dyDescent="0.3">
      <c r="A934" s="484"/>
      <c r="C934" s="25"/>
      <c r="D934" s="25"/>
      <c r="E934" s="25"/>
      <c r="F934" s="25"/>
      <c r="G934" s="25"/>
      <c r="H934" s="25"/>
      <c r="I934" s="25"/>
      <c r="J934" s="25"/>
      <c r="K934" s="25"/>
      <c r="L934" s="25"/>
      <c r="M934" s="25"/>
      <c r="N934" s="25"/>
      <c r="O934" s="25"/>
      <c r="P934" s="25"/>
      <c r="R934" s="23"/>
      <c r="U934" s="11"/>
    </row>
    <row r="935" spans="1:21" ht="14.25" customHeight="1" x14ac:dyDescent="0.3">
      <c r="A935" s="484"/>
      <c r="C935" s="25"/>
      <c r="D935" s="25"/>
      <c r="E935" s="25"/>
      <c r="F935" s="25"/>
      <c r="G935" s="25"/>
      <c r="H935" s="25"/>
      <c r="I935" s="25"/>
      <c r="J935" s="25"/>
      <c r="K935" s="25"/>
      <c r="L935" s="25"/>
      <c r="M935" s="25"/>
      <c r="N935" s="25"/>
      <c r="O935" s="25"/>
      <c r="P935" s="25"/>
      <c r="R935" s="23"/>
      <c r="U935" s="11"/>
    </row>
    <row r="936" spans="1:21" ht="14.25" customHeight="1" x14ac:dyDescent="0.3">
      <c r="A936" s="484"/>
      <c r="C936" s="25"/>
      <c r="D936" s="25"/>
      <c r="E936" s="25"/>
      <c r="F936" s="25"/>
      <c r="G936" s="25"/>
      <c r="H936" s="25"/>
      <c r="I936" s="25"/>
      <c r="J936" s="25"/>
      <c r="K936" s="25"/>
      <c r="L936" s="25"/>
      <c r="M936" s="25"/>
      <c r="N936" s="25"/>
      <c r="O936" s="25"/>
      <c r="P936" s="25"/>
      <c r="R936" s="23"/>
      <c r="U936" s="11"/>
    </row>
    <row r="937" spans="1:21" ht="14.25" customHeight="1" x14ac:dyDescent="0.3">
      <c r="A937" s="484"/>
      <c r="C937" s="25"/>
      <c r="D937" s="25"/>
      <c r="E937" s="25"/>
      <c r="F937" s="25"/>
      <c r="G937" s="25"/>
      <c r="H937" s="25"/>
      <c r="I937" s="25"/>
      <c r="J937" s="25"/>
      <c r="K937" s="25"/>
      <c r="L937" s="25"/>
      <c r="M937" s="25"/>
      <c r="N937" s="25"/>
      <c r="O937" s="25"/>
      <c r="P937" s="25"/>
      <c r="R937" s="23"/>
      <c r="U937" s="11"/>
    </row>
    <row r="938" spans="1:21" ht="14.25" customHeight="1" x14ac:dyDescent="0.3">
      <c r="A938" s="484"/>
      <c r="C938" s="25"/>
      <c r="D938" s="25"/>
      <c r="E938" s="25"/>
      <c r="F938" s="25"/>
      <c r="G938" s="25"/>
      <c r="H938" s="25"/>
      <c r="I938" s="25"/>
      <c r="J938" s="25"/>
      <c r="K938" s="25"/>
      <c r="L938" s="25"/>
      <c r="M938" s="25"/>
      <c r="N938" s="25"/>
      <c r="O938" s="25"/>
      <c r="P938" s="25"/>
      <c r="R938" s="23"/>
      <c r="U938" s="11"/>
    </row>
    <row r="939" spans="1:21" ht="14.25" customHeight="1" x14ac:dyDescent="0.3">
      <c r="A939" s="484"/>
      <c r="C939" s="25"/>
      <c r="D939" s="25"/>
      <c r="E939" s="25"/>
      <c r="F939" s="25"/>
      <c r="G939" s="25"/>
      <c r="H939" s="25"/>
      <c r="I939" s="25"/>
      <c r="J939" s="25"/>
      <c r="K939" s="25"/>
      <c r="L939" s="25"/>
      <c r="M939" s="25"/>
      <c r="N939" s="25"/>
      <c r="O939" s="25"/>
      <c r="P939" s="25"/>
      <c r="R939" s="23"/>
      <c r="U939" s="11"/>
    </row>
    <row r="940" spans="1:21" ht="14.25" customHeight="1" x14ac:dyDescent="0.3">
      <c r="A940" s="484"/>
      <c r="C940" s="25"/>
      <c r="D940" s="25"/>
      <c r="E940" s="25"/>
      <c r="F940" s="25"/>
      <c r="G940" s="25"/>
      <c r="H940" s="25"/>
      <c r="I940" s="25"/>
      <c r="J940" s="25"/>
      <c r="K940" s="25"/>
      <c r="L940" s="25"/>
      <c r="M940" s="25"/>
      <c r="N940" s="25"/>
      <c r="O940" s="25"/>
      <c r="P940" s="25"/>
      <c r="R940" s="23"/>
      <c r="U940" s="11"/>
    </row>
    <row r="941" spans="1:21" ht="14.25" customHeight="1" x14ac:dyDescent="0.3">
      <c r="A941" s="484"/>
      <c r="C941" s="25"/>
      <c r="D941" s="25"/>
      <c r="E941" s="25"/>
      <c r="F941" s="25"/>
      <c r="G941" s="25"/>
      <c r="H941" s="25"/>
      <c r="I941" s="25"/>
      <c r="J941" s="25"/>
      <c r="K941" s="25"/>
      <c r="L941" s="25"/>
      <c r="M941" s="25"/>
      <c r="N941" s="25"/>
      <c r="O941" s="25"/>
      <c r="P941" s="25"/>
      <c r="R941" s="23"/>
      <c r="U941" s="11"/>
    </row>
    <row r="942" spans="1:21" ht="14.25" customHeight="1" x14ac:dyDescent="0.3">
      <c r="A942" s="484"/>
      <c r="C942" s="25"/>
      <c r="D942" s="25"/>
      <c r="E942" s="25"/>
      <c r="F942" s="25"/>
      <c r="G942" s="25"/>
      <c r="H942" s="25"/>
      <c r="I942" s="25"/>
      <c r="J942" s="25"/>
      <c r="K942" s="25"/>
      <c r="L942" s="25"/>
      <c r="M942" s="25"/>
      <c r="N942" s="25"/>
      <c r="O942" s="25"/>
      <c r="P942" s="25"/>
      <c r="R942" s="23"/>
      <c r="U942" s="11"/>
    </row>
    <row r="943" spans="1:21" ht="14.25" customHeight="1" x14ac:dyDescent="0.3">
      <c r="A943" s="484"/>
      <c r="C943" s="25"/>
      <c r="D943" s="25"/>
      <c r="E943" s="25"/>
      <c r="F943" s="25"/>
      <c r="G943" s="25"/>
      <c r="H943" s="25"/>
      <c r="I943" s="25"/>
      <c r="J943" s="25"/>
      <c r="K943" s="25"/>
      <c r="L943" s="25"/>
      <c r="M943" s="25"/>
      <c r="N943" s="25"/>
      <c r="O943" s="25"/>
      <c r="P943" s="25"/>
      <c r="R943" s="23"/>
      <c r="U943" s="11"/>
    </row>
    <row r="944" spans="1:21" ht="14.25" customHeight="1" x14ac:dyDescent="0.3">
      <c r="A944" s="484"/>
      <c r="C944" s="25"/>
      <c r="D944" s="25"/>
      <c r="E944" s="25"/>
      <c r="F944" s="25"/>
      <c r="G944" s="25"/>
      <c r="H944" s="25"/>
      <c r="I944" s="25"/>
      <c r="J944" s="25"/>
      <c r="K944" s="25"/>
      <c r="L944" s="25"/>
      <c r="M944" s="25"/>
      <c r="N944" s="25"/>
      <c r="O944" s="25"/>
      <c r="P944" s="25"/>
      <c r="R944" s="23"/>
      <c r="U944" s="11"/>
    </row>
    <row r="945" spans="1:21" ht="14.25" customHeight="1" x14ac:dyDescent="0.3">
      <c r="A945" s="484"/>
      <c r="C945" s="25"/>
      <c r="D945" s="25"/>
      <c r="E945" s="25"/>
      <c r="F945" s="25"/>
      <c r="G945" s="25"/>
      <c r="H945" s="25"/>
      <c r="I945" s="25"/>
      <c r="J945" s="25"/>
      <c r="K945" s="25"/>
      <c r="L945" s="25"/>
      <c r="M945" s="25"/>
      <c r="N945" s="25"/>
      <c r="O945" s="25"/>
      <c r="P945" s="25"/>
      <c r="R945" s="23"/>
      <c r="U945" s="11"/>
    </row>
    <row r="946" spans="1:21" ht="14.25" customHeight="1" x14ac:dyDescent="0.3">
      <c r="A946" s="484"/>
      <c r="C946" s="25"/>
      <c r="D946" s="25"/>
      <c r="E946" s="25"/>
      <c r="F946" s="25"/>
      <c r="G946" s="25"/>
      <c r="H946" s="25"/>
      <c r="I946" s="25"/>
      <c r="J946" s="25"/>
      <c r="K946" s="25"/>
      <c r="L946" s="25"/>
      <c r="M946" s="25"/>
      <c r="N946" s="25"/>
      <c r="O946" s="25"/>
      <c r="P946" s="25"/>
      <c r="R946" s="23"/>
      <c r="U946" s="11"/>
    </row>
    <row r="947" spans="1:21" ht="14.25" customHeight="1" x14ac:dyDescent="0.3">
      <c r="A947" s="484"/>
      <c r="C947" s="25"/>
      <c r="D947" s="25"/>
      <c r="E947" s="25"/>
      <c r="F947" s="25"/>
      <c r="G947" s="25"/>
      <c r="H947" s="25"/>
      <c r="I947" s="25"/>
      <c r="J947" s="25"/>
      <c r="K947" s="25"/>
      <c r="L947" s="25"/>
      <c r="M947" s="25"/>
      <c r="N947" s="25"/>
      <c r="O947" s="25"/>
      <c r="P947" s="25"/>
      <c r="R947" s="23"/>
      <c r="U947" s="11"/>
    </row>
    <row r="948" spans="1:21" ht="14.25" customHeight="1" x14ac:dyDescent="0.3">
      <c r="A948" s="484"/>
      <c r="C948" s="25"/>
      <c r="D948" s="25"/>
      <c r="E948" s="25"/>
      <c r="F948" s="25"/>
      <c r="G948" s="25"/>
      <c r="H948" s="25"/>
      <c r="I948" s="25"/>
      <c r="J948" s="25"/>
      <c r="K948" s="25"/>
      <c r="L948" s="25"/>
      <c r="M948" s="25"/>
      <c r="N948" s="25"/>
      <c r="O948" s="25"/>
      <c r="P948" s="25"/>
      <c r="R948" s="23"/>
      <c r="U948" s="11"/>
    </row>
    <row r="949" spans="1:21" ht="14.25" customHeight="1" x14ac:dyDescent="0.3">
      <c r="A949" s="484"/>
      <c r="C949" s="25"/>
      <c r="D949" s="25"/>
      <c r="E949" s="25"/>
      <c r="F949" s="25"/>
      <c r="G949" s="25"/>
      <c r="H949" s="25"/>
      <c r="I949" s="25"/>
      <c r="J949" s="25"/>
      <c r="K949" s="25"/>
      <c r="L949" s="25"/>
      <c r="M949" s="25"/>
      <c r="N949" s="25"/>
      <c r="O949" s="25"/>
      <c r="P949" s="25"/>
      <c r="R949" s="23"/>
      <c r="U949" s="11"/>
    </row>
    <row r="950" spans="1:21" ht="14.25" customHeight="1" x14ac:dyDescent="0.3">
      <c r="A950" s="484"/>
      <c r="C950" s="25"/>
      <c r="D950" s="25"/>
      <c r="E950" s="25"/>
      <c r="F950" s="25"/>
      <c r="G950" s="25"/>
      <c r="H950" s="25"/>
      <c r="I950" s="25"/>
      <c r="J950" s="25"/>
      <c r="K950" s="25"/>
      <c r="L950" s="25"/>
      <c r="M950" s="25"/>
      <c r="N950" s="25"/>
      <c r="O950" s="25"/>
      <c r="P950" s="25"/>
      <c r="R950" s="23"/>
      <c r="U950" s="11"/>
    </row>
    <row r="951" spans="1:21" ht="14.25" customHeight="1" x14ac:dyDescent="0.3">
      <c r="A951" s="484"/>
      <c r="C951" s="25"/>
      <c r="D951" s="25"/>
      <c r="E951" s="25"/>
      <c r="F951" s="25"/>
      <c r="G951" s="25"/>
      <c r="H951" s="25"/>
      <c r="I951" s="25"/>
      <c r="J951" s="25"/>
      <c r="K951" s="25"/>
      <c r="L951" s="25"/>
      <c r="M951" s="25"/>
      <c r="N951" s="25"/>
      <c r="O951" s="25"/>
      <c r="P951" s="25"/>
      <c r="R951" s="23"/>
      <c r="U951" s="11"/>
    </row>
    <row r="952" spans="1:21" ht="14.25" customHeight="1" x14ac:dyDescent="0.3">
      <c r="A952" s="484"/>
      <c r="C952" s="25"/>
      <c r="D952" s="25"/>
      <c r="E952" s="25"/>
      <c r="F952" s="25"/>
      <c r="G952" s="25"/>
      <c r="H952" s="25"/>
      <c r="I952" s="25"/>
      <c r="J952" s="25"/>
      <c r="K952" s="25"/>
      <c r="L952" s="25"/>
      <c r="M952" s="25"/>
      <c r="N952" s="25"/>
      <c r="O952" s="25"/>
      <c r="P952" s="25"/>
      <c r="R952" s="23"/>
      <c r="U952" s="11"/>
    </row>
    <row r="953" spans="1:21" ht="14.25" customHeight="1" x14ac:dyDescent="0.3">
      <c r="A953" s="484"/>
      <c r="C953" s="25"/>
      <c r="D953" s="25"/>
      <c r="E953" s="25"/>
      <c r="F953" s="25"/>
      <c r="G953" s="25"/>
      <c r="H953" s="25"/>
      <c r="I953" s="25"/>
      <c r="J953" s="25"/>
      <c r="K953" s="25"/>
      <c r="L953" s="25"/>
      <c r="M953" s="25"/>
      <c r="N953" s="25"/>
      <c r="O953" s="25"/>
      <c r="P953" s="25"/>
      <c r="R953" s="23"/>
      <c r="U953" s="11"/>
    </row>
    <row r="954" spans="1:21" ht="14.25" customHeight="1" x14ac:dyDescent="0.3">
      <c r="A954" s="484"/>
      <c r="C954" s="25"/>
      <c r="D954" s="25"/>
      <c r="E954" s="25"/>
      <c r="F954" s="25"/>
      <c r="G954" s="25"/>
      <c r="H954" s="25"/>
      <c r="I954" s="25"/>
      <c r="J954" s="25"/>
      <c r="K954" s="25"/>
      <c r="L954" s="25"/>
      <c r="M954" s="25"/>
      <c r="N954" s="25"/>
      <c r="O954" s="25"/>
      <c r="P954" s="25"/>
      <c r="R954" s="23"/>
      <c r="U954" s="11"/>
    </row>
    <row r="955" spans="1:21" ht="14.25" customHeight="1" x14ac:dyDescent="0.3">
      <c r="A955" s="484"/>
      <c r="C955" s="25"/>
      <c r="D955" s="25"/>
      <c r="E955" s="25"/>
      <c r="F955" s="25"/>
      <c r="G955" s="25"/>
      <c r="H955" s="25"/>
      <c r="I955" s="25"/>
      <c r="J955" s="25"/>
      <c r="K955" s="25"/>
      <c r="L955" s="25"/>
      <c r="M955" s="25"/>
      <c r="N955" s="25"/>
      <c r="O955" s="25"/>
      <c r="P955" s="25"/>
      <c r="R955" s="23"/>
      <c r="U955" s="11"/>
    </row>
    <row r="956" spans="1:21" ht="14.25" customHeight="1" x14ac:dyDescent="0.3">
      <c r="A956" s="484"/>
      <c r="C956" s="25"/>
      <c r="D956" s="25"/>
      <c r="E956" s="25"/>
      <c r="F956" s="25"/>
      <c r="G956" s="25"/>
      <c r="H956" s="25"/>
      <c r="I956" s="25"/>
      <c r="J956" s="25"/>
      <c r="K956" s="25"/>
      <c r="L956" s="25"/>
      <c r="M956" s="25"/>
      <c r="N956" s="25"/>
      <c r="O956" s="25"/>
      <c r="P956" s="25"/>
      <c r="R956" s="23"/>
      <c r="U956" s="11"/>
    </row>
    <row r="957" spans="1:21" ht="14.25" customHeight="1" x14ac:dyDescent="0.3">
      <c r="A957" s="484"/>
      <c r="C957" s="25"/>
      <c r="D957" s="25"/>
      <c r="E957" s="25"/>
      <c r="F957" s="25"/>
      <c r="G957" s="25"/>
      <c r="H957" s="25"/>
      <c r="I957" s="25"/>
      <c r="J957" s="25"/>
      <c r="K957" s="25"/>
      <c r="L957" s="25"/>
      <c r="M957" s="25"/>
      <c r="N957" s="25"/>
      <c r="O957" s="25"/>
      <c r="P957" s="25"/>
      <c r="R957" s="23"/>
      <c r="U957" s="11"/>
    </row>
    <row r="958" spans="1:21" ht="14.25" customHeight="1" x14ac:dyDescent="0.3">
      <c r="A958" s="484"/>
      <c r="C958" s="25"/>
      <c r="D958" s="25"/>
      <c r="E958" s="25"/>
      <c r="F958" s="25"/>
      <c r="G958" s="25"/>
      <c r="H958" s="25"/>
      <c r="I958" s="25"/>
      <c r="J958" s="25"/>
      <c r="K958" s="25"/>
      <c r="L958" s="25"/>
      <c r="M958" s="25"/>
      <c r="N958" s="25"/>
      <c r="O958" s="25"/>
      <c r="P958" s="25"/>
      <c r="R958" s="23"/>
      <c r="U958" s="11"/>
    </row>
    <row r="959" spans="1:21" ht="14.25" customHeight="1" x14ac:dyDescent="0.3">
      <c r="A959" s="484"/>
      <c r="C959" s="25"/>
      <c r="D959" s="25"/>
      <c r="E959" s="25"/>
      <c r="F959" s="25"/>
      <c r="G959" s="25"/>
      <c r="H959" s="25"/>
      <c r="I959" s="25"/>
      <c r="J959" s="25"/>
      <c r="K959" s="25"/>
      <c r="L959" s="25"/>
      <c r="M959" s="25"/>
      <c r="N959" s="25"/>
      <c r="O959" s="25"/>
      <c r="P959" s="25"/>
      <c r="R959" s="23"/>
      <c r="U959" s="11"/>
    </row>
    <row r="960" spans="1:21" ht="14.25" customHeight="1" x14ac:dyDescent="0.3">
      <c r="A960" s="484"/>
      <c r="C960" s="25"/>
      <c r="D960" s="25"/>
      <c r="E960" s="25"/>
      <c r="F960" s="25"/>
      <c r="G960" s="25"/>
      <c r="H960" s="25"/>
      <c r="I960" s="25"/>
      <c r="J960" s="25"/>
      <c r="K960" s="25"/>
      <c r="L960" s="25"/>
      <c r="M960" s="25"/>
      <c r="N960" s="25"/>
      <c r="O960" s="25"/>
      <c r="P960" s="25"/>
      <c r="R960" s="23"/>
      <c r="U960" s="11"/>
    </row>
    <row r="961" spans="1:21" ht="14.25" customHeight="1" x14ac:dyDescent="0.3">
      <c r="A961" s="484"/>
      <c r="C961" s="25"/>
      <c r="D961" s="25"/>
      <c r="E961" s="25"/>
      <c r="F961" s="25"/>
      <c r="G961" s="25"/>
      <c r="H961" s="25"/>
      <c r="I961" s="25"/>
      <c r="J961" s="25"/>
      <c r="K961" s="25"/>
      <c r="L961" s="25"/>
      <c r="M961" s="25"/>
      <c r="N961" s="25"/>
      <c r="O961" s="25"/>
      <c r="P961" s="25"/>
      <c r="R961" s="23"/>
      <c r="U961" s="11"/>
    </row>
    <row r="962" spans="1:21" ht="14.25" customHeight="1" x14ac:dyDescent="0.3">
      <c r="A962" s="484"/>
      <c r="C962" s="25"/>
      <c r="D962" s="25"/>
      <c r="E962" s="25"/>
      <c r="F962" s="25"/>
      <c r="G962" s="25"/>
      <c r="H962" s="25"/>
      <c r="I962" s="25"/>
      <c r="J962" s="25"/>
      <c r="K962" s="25"/>
      <c r="L962" s="25"/>
      <c r="M962" s="25"/>
      <c r="N962" s="25"/>
      <c r="O962" s="25"/>
      <c r="P962" s="25"/>
      <c r="R962" s="23"/>
      <c r="U962" s="11"/>
    </row>
    <row r="963" spans="1:21" ht="14.25" customHeight="1" x14ac:dyDescent="0.3">
      <c r="A963" s="484"/>
      <c r="C963" s="25"/>
      <c r="D963" s="25"/>
      <c r="E963" s="25"/>
      <c r="F963" s="25"/>
      <c r="G963" s="25"/>
      <c r="H963" s="25"/>
      <c r="I963" s="25"/>
      <c r="J963" s="25"/>
      <c r="K963" s="25"/>
      <c r="L963" s="25"/>
      <c r="M963" s="25"/>
      <c r="N963" s="25"/>
      <c r="O963" s="25"/>
      <c r="P963" s="25"/>
      <c r="R963" s="23"/>
      <c r="U963" s="11"/>
    </row>
    <row r="964" spans="1:21" ht="14.25" customHeight="1" x14ac:dyDescent="0.3">
      <c r="A964" s="484"/>
      <c r="C964" s="25"/>
      <c r="D964" s="25"/>
      <c r="E964" s="25"/>
      <c r="F964" s="25"/>
      <c r="G964" s="25"/>
      <c r="H964" s="25"/>
      <c r="I964" s="25"/>
      <c r="J964" s="25"/>
      <c r="K964" s="25"/>
      <c r="L964" s="25"/>
      <c r="M964" s="25"/>
      <c r="N964" s="25"/>
      <c r="O964" s="25"/>
      <c r="P964" s="25"/>
      <c r="R964" s="23"/>
      <c r="U964" s="11"/>
    </row>
    <row r="965" spans="1:21" ht="14.25" customHeight="1" x14ac:dyDescent="0.3">
      <c r="A965" s="484"/>
      <c r="C965" s="25"/>
      <c r="D965" s="25"/>
      <c r="E965" s="25"/>
      <c r="F965" s="25"/>
      <c r="G965" s="25"/>
      <c r="H965" s="25"/>
      <c r="I965" s="25"/>
      <c r="J965" s="25"/>
      <c r="K965" s="25"/>
      <c r="L965" s="25"/>
      <c r="M965" s="25"/>
      <c r="N965" s="25"/>
      <c r="O965" s="25"/>
      <c r="P965" s="25"/>
      <c r="R965" s="23"/>
      <c r="U965" s="11"/>
    </row>
    <row r="966" spans="1:21" ht="14.25" customHeight="1" x14ac:dyDescent="0.3">
      <c r="A966" s="484"/>
      <c r="C966" s="25"/>
      <c r="D966" s="25"/>
      <c r="E966" s="25"/>
      <c r="F966" s="25"/>
      <c r="G966" s="25"/>
      <c r="H966" s="25"/>
      <c r="I966" s="25"/>
      <c r="J966" s="25"/>
      <c r="K966" s="25"/>
      <c r="L966" s="25"/>
      <c r="M966" s="25"/>
      <c r="N966" s="25"/>
      <c r="O966" s="25"/>
      <c r="P966" s="25"/>
      <c r="R966" s="23"/>
      <c r="U966" s="11"/>
    </row>
    <row r="967" spans="1:21" ht="14.25" customHeight="1" x14ac:dyDescent="0.3">
      <c r="A967" s="484"/>
      <c r="C967" s="25"/>
      <c r="D967" s="25"/>
      <c r="E967" s="25"/>
      <c r="F967" s="25"/>
      <c r="G967" s="25"/>
      <c r="H967" s="25"/>
      <c r="I967" s="25"/>
      <c r="J967" s="25"/>
      <c r="K967" s="25"/>
      <c r="L967" s="25"/>
      <c r="M967" s="25"/>
      <c r="N967" s="25"/>
      <c r="O967" s="25"/>
      <c r="P967" s="25"/>
      <c r="R967" s="23"/>
      <c r="U967" s="11"/>
    </row>
    <row r="968" spans="1:21" ht="14.25" customHeight="1" x14ac:dyDescent="0.3">
      <c r="A968" s="484"/>
      <c r="C968" s="25"/>
      <c r="D968" s="25"/>
      <c r="E968" s="25"/>
      <c r="F968" s="25"/>
      <c r="G968" s="25"/>
      <c r="H968" s="25"/>
      <c r="I968" s="25"/>
      <c r="J968" s="25"/>
      <c r="K968" s="25"/>
      <c r="L968" s="25"/>
      <c r="M968" s="25"/>
      <c r="N968" s="25"/>
      <c r="O968" s="25"/>
      <c r="P968" s="25"/>
      <c r="R968" s="23"/>
      <c r="U968" s="11"/>
    </row>
    <row r="969" spans="1:21" ht="14.25" customHeight="1" x14ac:dyDescent="0.3">
      <c r="A969" s="484"/>
      <c r="C969" s="25"/>
      <c r="D969" s="25"/>
      <c r="E969" s="25"/>
      <c r="F969" s="25"/>
      <c r="G969" s="25"/>
      <c r="H969" s="25"/>
      <c r="I969" s="25"/>
      <c r="J969" s="25"/>
      <c r="K969" s="25"/>
      <c r="L969" s="25"/>
      <c r="M969" s="25"/>
      <c r="N969" s="25"/>
      <c r="O969" s="25"/>
      <c r="P969" s="25"/>
      <c r="R969" s="23"/>
      <c r="U969" s="11"/>
    </row>
    <row r="970" spans="1:21" ht="14.25" customHeight="1" x14ac:dyDescent="0.3">
      <c r="A970" s="484"/>
      <c r="C970" s="25"/>
      <c r="D970" s="25"/>
      <c r="E970" s="25"/>
      <c r="F970" s="25"/>
      <c r="G970" s="25"/>
      <c r="H970" s="25"/>
      <c r="I970" s="25"/>
      <c r="J970" s="25"/>
      <c r="K970" s="25"/>
      <c r="L970" s="25"/>
      <c r="M970" s="25"/>
      <c r="N970" s="25"/>
      <c r="O970" s="25"/>
      <c r="P970" s="25"/>
      <c r="R970" s="23"/>
      <c r="U970" s="11"/>
    </row>
    <row r="971" spans="1:21" ht="14.25" customHeight="1" x14ac:dyDescent="0.3">
      <c r="A971" s="484"/>
      <c r="C971" s="25"/>
      <c r="D971" s="25"/>
      <c r="E971" s="25"/>
      <c r="F971" s="25"/>
      <c r="G971" s="25"/>
      <c r="H971" s="25"/>
      <c r="I971" s="25"/>
      <c r="J971" s="25"/>
      <c r="K971" s="25"/>
      <c r="L971" s="25"/>
      <c r="M971" s="25"/>
      <c r="N971" s="25"/>
      <c r="O971" s="25"/>
      <c r="P971" s="25"/>
      <c r="R971" s="23"/>
      <c r="U971" s="11"/>
    </row>
    <row r="972" spans="1:21" ht="14.25" customHeight="1" x14ac:dyDescent="0.3">
      <c r="A972" s="484"/>
      <c r="C972" s="25"/>
      <c r="D972" s="25"/>
      <c r="E972" s="25"/>
      <c r="F972" s="25"/>
      <c r="G972" s="25"/>
      <c r="H972" s="25"/>
      <c r="I972" s="25"/>
      <c r="J972" s="25"/>
      <c r="K972" s="25"/>
      <c r="L972" s="25"/>
      <c r="M972" s="25"/>
      <c r="N972" s="25"/>
      <c r="O972" s="25"/>
      <c r="P972" s="25"/>
      <c r="R972" s="23"/>
      <c r="U972" s="11"/>
    </row>
    <row r="973" spans="1:21" ht="14.25" customHeight="1" x14ac:dyDescent="0.3">
      <c r="A973" s="484"/>
      <c r="C973" s="25"/>
      <c r="D973" s="25"/>
      <c r="E973" s="25"/>
      <c r="F973" s="25"/>
      <c r="G973" s="25"/>
      <c r="H973" s="25"/>
      <c r="I973" s="25"/>
      <c r="J973" s="25"/>
      <c r="K973" s="25"/>
      <c r="L973" s="25"/>
      <c r="M973" s="25"/>
      <c r="N973" s="25"/>
      <c r="O973" s="25"/>
      <c r="P973" s="25"/>
      <c r="R973" s="23"/>
      <c r="U973" s="11"/>
    </row>
    <row r="974" spans="1:21" ht="14.25" customHeight="1" x14ac:dyDescent="0.3">
      <c r="A974" s="484"/>
      <c r="C974" s="25"/>
      <c r="D974" s="25"/>
      <c r="E974" s="25"/>
      <c r="F974" s="25"/>
      <c r="G974" s="25"/>
      <c r="H974" s="25"/>
      <c r="I974" s="25"/>
      <c r="J974" s="25"/>
      <c r="K974" s="25"/>
      <c r="L974" s="25"/>
      <c r="M974" s="25"/>
      <c r="N974" s="25"/>
      <c r="O974" s="25"/>
      <c r="P974" s="25"/>
      <c r="R974" s="23"/>
      <c r="U974" s="11"/>
    </row>
    <row r="975" spans="1:21" ht="14.25" customHeight="1" x14ac:dyDescent="0.3">
      <c r="A975" s="484"/>
      <c r="C975" s="25"/>
      <c r="D975" s="25"/>
      <c r="E975" s="25"/>
      <c r="F975" s="25"/>
      <c r="G975" s="25"/>
      <c r="H975" s="25"/>
      <c r="I975" s="25"/>
      <c r="J975" s="25"/>
      <c r="K975" s="25"/>
      <c r="L975" s="25"/>
      <c r="M975" s="25"/>
      <c r="N975" s="25"/>
      <c r="O975" s="25"/>
      <c r="P975" s="25"/>
      <c r="R975" s="23"/>
      <c r="U975" s="11"/>
    </row>
    <row r="976" spans="1:21" ht="14.25" customHeight="1" x14ac:dyDescent="0.3">
      <c r="A976" s="484"/>
      <c r="C976" s="25"/>
      <c r="D976" s="25"/>
      <c r="E976" s="25"/>
      <c r="F976" s="25"/>
      <c r="G976" s="25"/>
      <c r="H976" s="25"/>
      <c r="I976" s="25"/>
      <c r="J976" s="25"/>
      <c r="K976" s="25"/>
      <c r="L976" s="25"/>
      <c r="M976" s="25"/>
      <c r="N976" s="25"/>
      <c r="O976" s="25"/>
      <c r="P976" s="25"/>
      <c r="R976" s="23"/>
      <c r="U976" s="11"/>
    </row>
    <row r="977" spans="1:21" ht="14.25" customHeight="1" x14ac:dyDescent="0.3">
      <c r="A977" s="484"/>
      <c r="C977" s="25"/>
      <c r="D977" s="25"/>
      <c r="E977" s="25"/>
      <c r="F977" s="25"/>
      <c r="G977" s="25"/>
      <c r="H977" s="25"/>
      <c r="I977" s="25"/>
      <c r="J977" s="25"/>
      <c r="K977" s="25"/>
      <c r="L977" s="25"/>
      <c r="M977" s="25"/>
      <c r="N977" s="25"/>
      <c r="O977" s="25"/>
      <c r="P977" s="25"/>
      <c r="R977" s="23"/>
      <c r="U977" s="11"/>
    </row>
    <row r="978" spans="1:21" ht="14.25" customHeight="1" x14ac:dyDescent="0.3">
      <c r="A978" s="484"/>
      <c r="C978" s="25"/>
      <c r="D978" s="25"/>
      <c r="E978" s="25"/>
      <c r="F978" s="25"/>
      <c r="G978" s="25"/>
      <c r="H978" s="25"/>
      <c r="I978" s="25"/>
      <c r="J978" s="25"/>
      <c r="K978" s="25"/>
      <c r="L978" s="25"/>
      <c r="M978" s="25"/>
      <c r="N978" s="25"/>
      <c r="O978" s="25"/>
      <c r="P978" s="25"/>
      <c r="R978" s="23"/>
      <c r="U978" s="11"/>
    </row>
    <row r="979" spans="1:21" ht="14.25" customHeight="1" x14ac:dyDescent="0.3">
      <c r="A979" s="484"/>
      <c r="C979" s="25"/>
      <c r="D979" s="25"/>
      <c r="E979" s="25"/>
      <c r="F979" s="25"/>
      <c r="G979" s="25"/>
      <c r="H979" s="25"/>
      <c r="I979" s="25"/>
      <c r="J979" s="25"/>
      <c r="K979" s="25"/>
      <c r="L979" s="25"/>
      <c r="M979" s="25"/>
      <c r="N979" s="25"/>
      <c r="O979" s="25"/>
      <c r="P979" s="25"/>
      <c r="R979" s="23"/>
      <c r="U979" s="11"/>
    </row>
    <row r="980" spans="1:21" ht="14.25" customHeight="1" x14ac:dyDescent="0.3">
      <c r="A980" s="484"/>
      <c r="C980" s="25"/>
      <c r="D980" s="25"/>
      <c r="E980" s="25"/>
      <c r="F980" s="25"/>
      <c r="G980" s="25"/>
      <c r="H980" s="25"/>
      <c r="I980" s="25"/>
      <c r="J980" s="25"/>
      <c r="K980" s="25"/>
      <c r="L980" s="25"/>
      <c r="M980" s="25"/>
      <c r="N980" s="25"/>
      <c r="O980" s="25"/>
      <c r="P980" s="25"/>
      <c r="R980" s="23"/>
      <c r="U980" s="11"/>
    </row>
    <row r="981" spans="1:21" ht="14.25" customHeight="1" x14ac:dyDescent="0.3">
      <c r="A981" s="484"/>
      <c r="C981" s="25"/>
      <c r="D981" s="25"/>
      <c r="E981" s="25"/>
      <c r="F981" s="25"/>
      <c r="G981" s="25"/>
      <c r="H981" s="25"/>
      <c r="I981" s="25"/>
      <c r="J981" s="25"/>
      <c r="K981" s="25"/>
      <c r="L981" s="25"/>
      <c r="M981" s="25"/>
      <c r="N981" s="25"/>
      <c r="O981" s="25"/>
      <c r="P981" s="25"/>
      <c r="R981" s="23"/>
      <c r="U981" s="11"/>
    </row>
    <row r="982" spans="1:21" ht="14.25" customHeight="1" x14ac:dyDescent="0.3">
      <c r="A982" s="484"/>
      <c r="C982" s="25"/>
      <c r="D982" s="25"/>
      <c r="E982" s="25"/>
      <c r="F982" s="25"/>
      <c r="G982" s="25"/>
      <c r="H982" s="25"/>
      <c r="I982" s="25"/>
      <c r="J982" s="25"/>
      <c r="K982" s="25"/>
      <c r="L982" s="25"/>
      <c r="M982" s="25"/>
      <c r="N982" s="25"/>
      <c r="O982" s="25"/>
      <c r="P982" s="25"/>
      <c r="R982" s="23"/>
      <c r="U982" s="11"/>
    </row>
    <row r="983" spans="1:21" ht="14.25" customHeight="1" x14ac:dyDescent="0.3">
      <c r="A983" s="484"/>
      <c r="C983" s="25"/>
      <c r="D983" s="25"/>
      <c r="E983" s="25"/>
      <c r="F983" s="25"/>
      <c r="G983" s="25"/>
      <c r="H983" s="25"/>
      <c r="I983" s="25"/>
      <c r="J983" s="25"/>
      <c r="K983" s="25"/>
      <c r="L983" s="25"/>
      <c r="M983" s="25"/>
      <c r="N983" s="25"/>
      <c r="O983" s="25"/>
      <c r="P983" s="25"/>
      <c r="R983" s="23"/>
      <c r="U983" s="11"/>
    </row>
    <row r="984" spans="1:21" ht="14.25" customHeight="1" x14ac:dyDescent="0.3">
      <c r="A984" s="484"/>
      <c r="C984" s="25"/>
      <c r="D984" s="25"/>
      <c r="E984" s="25"/>
      <c r="F984" s="25"/>
      <c r="G984" s="25"/>
      <c r="H984" s="25"/>
      <c r="I984" s="25"/>
      <c r="J984" s="25"/>
      <c r="K984" s="25"/>
      <c r="L984" s="25"/>
      <c r="M984" s="25"/>
      <c r="N984" s="25"/>
      <c r="O984" s="25"/>
      <c r="P984" s="25"/>
      <c r="R984" s="23"/>
      <c r="U984" s="11"/>
    </row>
    <row r="985" spans="1:21" ht="14.25" customHeight="1" x14ac:dyDescent="0.3">
      <c r="A985" s="484"/>
      <c r="C985" s="25"/>
      <c r="D985" s="25"/>
      <c r="E985" s="25"/>
      <c r="F985" s="25"/>
      <c r="G985" s="25"/>
      <c r="H985" s="25"/>
      <c r="I985" s="25"/>
      <c r="J985" s="25"/>
      <c r="K985" s="25"/>
      <c r="L985" s="25"/>
      <c r="M985" s="25"/>
      <c r="N985" s="25"/>
      <c r="O985" s="25"/>
      <c r="P985" s="25"/>
      <c r="R985" s="23"/>
      <c r="U985" s="11"/>
    </row>
    <row r="986" spans="1:21" ht="14.25" customHeight="1" x14ac:dyDescent="0.3">
      <c r="A986" s="484"/>
      <c r="C986" s="25"/>
      <c r="D986" s="25"/>
      <c r="E986" s="25"/>
      <c r="F986" s="25"/>
      <c r="G986" s="25"/>
      <c r="H986" s="25"/>
      <c r="I986" s="25"/>
      <c r="J986" s="25"/>
      <c r="K986" s="25"/>
      <c r="L986" s="25"/>
      <c r="M986" s="25"/>
      <c r="N986" s="25"/>
      <c r="O986" s="25"/>
      <c r="P986" s="25"/>
      <c r="R986" s="23"/>
      <c r="U986" s="11"/>
    </row>
    <row r="987" spans="1:21" ht="14.25" customHeight="1" x14ac:dyDescent="0.3">
      <c r="A987" s="484"/>
      <c r="C987" s="25"/>
      <c r="D987" s="25"/>
      <c r="E987" s="25"/>
      <c r="F987" s="25"/>
      <c r="G987" s="25"/>
      <c r="H987" s="25"/>
      <c r="I987" s="25"/>
      <c r="J987" s="25"/>
      <c r="K987" s="25"/>
      <c r="L987" s="25"/>
      <c r="M987" s="25"/>
      <c r="N987" s="25"/>
      <c r="O987" s="25"/>
      <c r="P987" s="25"/>
      <c r="R987" s="23"/>
      <c r="U987" s="11"/>
    </row>
    <row r="988" spans="1:21" ht="14.25" customHeight="1" x14ac:dyDescent="0.3">
      <c r="A988" s="484"/>
      <c r="C988" s="25"/>
      <c r="D988" s="25"/>
      <c r="E988" s="25"/>
      <c r="F988" s="25"/>
      <c r="G988" s="25"/>
      <c r="H988" s="25"/>
      <c r="I988" s="25"/>
      <c r="J988" s="25"/>
      <c r="K988" s="25"/>
      <c r="L988" s="25"/>
      <c r="M988" s="25"/>
      <c r="N988" s="25"/>
      <c r="O988" s="25"/>
      <c r="P988" s="25"/>
      <c r="R988" s="23"/>
      <c r="U988" s="11"/>
    </row>
    <row r="989" spans="1:21" ht="14.25" customHeight="1" x14ac:dyDescent="0.3">
      <c r="A989" s="484"/>
      <c r="C989" s="25"/>
      <c r="D989" s="25"/>
      <c r="E989" s="25"/>
      <c r="F989" s="25"/>
      <c r="G989" s="25"/>
      <c r="H989" s="25"/>
      <c r="I989" s="25"/>
      <c r="J989" s="25"/>
      <c r="K989" s="25"/>
      <c r="L989" s="25"/>
      <c r="M989" s="25"/>
      <c r="N989" s="25"/>
      <c r="O989" s="25"/>
      <c r="P989" s="25"/>
      <c r="R989" s="23"/>
      <c r="U989" s="11"/>
    </row>
    <row r="990" spans="1:21" ht="14.25" customHeight="1" x14ac:dyDescent="0.3">
      <c r="A990" s="484"/>
      <c r="C990" s="25"/>
      <c r="D990" s="25"/>
      <c r="E990" s="25"/>
      <c r="F990" s="25"/>
      <c r="G990" s="25"/>
      <c r="H990" s="25"/>
      <c r="I990" s="25"/>
      <c r="J990" s="25"/>
      <c r="K990" s="25"/>
      <c r="L990" s="25"/>
      <c r="M990" s="25"/>
      <c r="N990" s="25"/>
      <c r="O990" s="25"/>
      <c r="P990" s="25"/>
      <c r="R990" s="23"/>
      <c r="U990" s="11"/>
    </row>
    <row r="991" spans="1:21" ht="14.25" customHeight="1" x14ac:dyDescent="0.3">
      <c r="A991" s="484"/>
      <c r="C991" s="25"/>
      <c r="D991" s="25"/>
      <c r="E991" s="25"/>
      <c r="F991" s="25"/>
      <c r="G991" s="25"/>
      <c r="H991" s="25"/>
      <c r="I991" s="25"/>
      <c r="J991" s="25"/>
      <c r="K991" s="25"/>
      <c r="L991" s="25"/>
      <c r="M991" s="25"/>
      <c r="N991" s="25"/>
      <c r="O991" s="25"/>
      <c r="P991" s="25"/>
      <c r="R991" s="23"/>
      <c r="U991" s="11"/>
    </row>
    <row r="992" spans="1:21" ht="14.25" customHeight="1" x14ac:dyDescent="0.3">
      <c r="A992" s="484"/>
      <c r="C992" s="25"/>
      <c r="D992" s="25"/>
      <c r="E992" s="25"/>
      <c r="F992" s="25"/>
      <c r="G992" s="25"/>
      <c r="H992" s="25"/>
      <c r="I992" s="25"/>
      <c r="J992" s="25"/>
      <c r="K992" s="25"/>
      <c r="L992" s="25"/>
      <c r="M992" s="25"/>
      <c r="N992" s="25"/>
      <c r="O992" s="25"/>
      <c r="P992" s="25"/>
      <c r="R992" s="23"/>
      <c r="U992" s="11"/>
    </row>
    <row r="993" spans="1:21" ht="14.25" customHeight="1" x14ac:dyDescent="0.3">
      <c r="A993" s="484"/>
      <c r="C993" s="25"/>
      <c r="D993" s="25"/>
      <c r="E993" s="25"/>
      <c r="F993" s="25"/>
      <c r="G993" s="25"/>
      <c r="H993" s="25"/>
      <c r="I993" s="25"/>
      <c r="J993" s="25"/>
      <c r="K993" s="25"/>
      <c r="L993" s="25"/>
      <c r="M993" s="25"/>
      <c r="N993" s="25"/>
      <c r="O993" s="25"/>
      <c r="P993" s="25"/>
      <c r="R993" s="23"/>
      <c r="U993" s="11"/>
    </row>
    <row r="994" spans="1:21" ht="14.25" customHeight="1" x14ac:dyDescent="0.3">
      <c r="A994" s="484"/>
      <c r="C994" s="25"/>
      <c r="D994" s="25"/>
      <c r="E994" s="25"/>
      <c r="F994" s="25"/>
      <c r="G994" s="25"/>
      <c r="H994" s="25"/>
      <c r="I994" s="25"/>
      <c r="J994" s="25"/>
      <c r="K994" s="25"/>
      <c r="L994" s="25"/>
      <c r="M994" s="25"/>
      <c r="N994" s="25"/>
      <c r="O994" s="25"/>
      <c r="P994" s="25"/>
      <c r="R994" s="23"/>
      <c r="U994" s="11"/>
    </row>
    <row r="995" spans="1:21" ht="14.25" customHeight="1" x14ac:dyDescent="0.3">
      <c r="A995" s="484"/>
      <c r="C995" s="25"/>
      <c r="D995" s="25"/>
      <c r="E995" s="25"/>
      <c r="F995" s="25"/>
      <c r="G995" s="25"/>
      <c r="H995" s="25"/>
      <c r="I995" s="25"/>
      <c r="J995" s="25"/>
      <c r="K995" s="25"/>
      <c r="L995" s="25"/>
      <c r="M995" s="25"/>
      <c r="N995" s="25"/>
      <c r="O995" s="25"/>
      <c r="P995" s="25"/>
      <c r="R995" s="23"/>
      <c r="U995" s="11"/>
    </row>
    <row r="996" spans="1:21" ht="14.25" customHeight="1" x14ac:dyDescent="0.3">
      <c r="A996" s="484"/>
      <c r="C996" s="25"/>
      <c r="D996" s="25"/>
      <c r="E996" s="25"/>
      <c r="F996" s="25"/>
      <c r="G996" s="25"/>
      <c r="H996" s="25"/>
      <c r="I996" s="25"/>
      <c r="J996" s="25"/>
      <c r="K996" s="25"/>
      <c r="L996" s="25"/>
      <c r="M996" s="25"/>
      <c r="N996" s="25"/>
      <c r="O996" s="25"/>
      <c r="P996" s="25"/>
      <c r="R996" s="23"/>
      <c r="U996" s="11"/>
    </row>
    <row r="997" spans="1:21" ht="14.25" customHeight="1" x14ac:dyDescent="0.3">
      <c r="A997" s="484"/>
      <c r="C997" s="25"/>
      <c r="D997" s="25"/>
      <c r="E997" s="25"/>
      <c r="F997" s="25"/>
      <c r="G997" s="25"/>
      <c r="H997" s="25"/>
      <c r="I997" s="25"/>
      <c r="J997" s="25"/>
      <c r="K997" s="25"/>
      <c r="L997" s="25"/>
      <c r="M997" s="25"/>
      <c r="N997" s="25"/>
      <c r="O997" s="25"/>
      <c r="P997" s="25"/>
      <c r="R997" s="23"/>
      <c r="U997" s="11"/>
    </row>
    <row r="998" spans="1:21" ht="14.25" customHeight="1" x14ac:dyDescent="0.3">
      <c r="A998" s="484"/>
      <c r="C998" s="25"/>
      <c r="D998" s="25"/>
      <c r="E998" s="25"/>
      <c r="F998" s="25"/>
      <c r="G998" s="25"/>
      <c r="H998" s="25"/>
      <c r="I998" s="25"/>
      <c r="J998" s="25"/>
      <c r="K998" s="25"/>
      <c r="L998" s="25"/>
      <c r="M998" s="25"/>
      <c r="N998" s="25"/>
      <c r="O998" s="25"/>
      <c r="P998" s="25"/>
      <c r="R998" s="23"/>
      <c r="U998" s="11"/>
    </row>
    <row r="999" spans="1:21" ht="14.25" customHeight="1" x14ac:dyDescent="0.3">
      <c r="A999" s="484"/>
      <c r="C999" s="25"/>
      <c r="D999" s="25"/>
      <c r="E999" s="25"/>
      <c r="F999" s="25"/>
      <c r="G999" s="25"/>
      <c r="H999" s="25"/>
      <c r="I999" s="25"/>
      <c r="J999" s="25"/>
      <c r="K999" s="25"/>
      <c r="L999" s="25"/>
      <c r="M999" s="25"/>
      <c r="N999" s="25"/>
      <c r="O999" s="25"/>
      <c r="P999" s="25"/>
      <c r="R999" s="23"/>
      <c r="U999" s="11"/>
    </row>
    <row r="1000" spans="1:21" ht="14.25" customHeight="1" x14ac:dyDescent="0.3">
      <c r="A1000" s="484"/>
      <c r="C1000" s="25"/>
      <c r="D1000" s="25"/>
      <c r="E1000" s="25"/>
      <c r="F1000" s="25"/>
      <c r="G1000" s="25"/>
      <c r="H1000" s="25"/>
      <c r="I1000" s="25"/>
      <c r="J1000" s="25"/>
      <c r="K1000" s="25"/>
      <c r="L1000" s="25"/>
      <c r="M1000" s="25"/>
      <c r="N1000" s="25"/>
      <c r="O1000" s="25"/>
      <c r="P1000" s="25"/>
      <c r="R1000" s="23"/>
      <c r="U1000" s="11"/>
    </row>
  </sheetData>
  <mergeCells count="1">
    <mergeCell ref="C1:H1"/>
  </mergeCells>
  <pageMargins left="0.7" right="0.7" top="0.75" bottom="0.75" header="0" footer="0"/>
  <pageSetup orientation="landscape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19</vt:i4>
      </vt:variant>
    </vt:vector>
  </HeadingPairs>
  <TitlesOfParts>
    <vt:vector size="19" baseType="lpstr">
      <vt:lpstr>Sheet1</vt:lpstr>
      <vt:lpstr>Share Count</vt:lpstr>
      <vt:lpstr>Net Worth</vt:lpstr>
      <vt:lpstr>50-30-20</vt:lpstr>
      <vt:lpstr>Proposed Budget</vt:lpstr>
      <vt:lpstr>Budget Breakdown</vt:lpstr>
      <vt:lpstr>Monthly Breakdown</vt:lpstr>
      <vt:lpstr>Checking Transaction Log</vt:lpstr>
      <vt:lpstr>Savings Transaction Log</vt:lpstr>
      <vt:lpstr>Rental Breakdown</vt:lpstr>
      <vt:lpstr>Retirement Calculator</vt:lpstr>
      <vt:lpstr>TSP-401K</vt:lpstr>
      <vt:lpstr>Combined Retirement</vt:lpstr>
      <vt:lpstr>Isaac 401k</vt:lpstr>
      <vt:lpstr>Lorri 401b</vt:lpstr>
      <vt:lpstr>Guard Ret Calc</vt:lpstr>
      <vt:lpstr>Accounts</vt:lpstr>
      <vt:lpstr>Electric-Gas</vt:lpstr>
      <vt:lpstr>Investment Tax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isaac.martin</dc:creator>
  <cp:lastModifiedBy>Isaac Martin</cp:lastModifiedBy>
  <dcterms:created xsi:type="dcterms:W3CDTF">2010-12-01T13:47:18Z</dcterms:created>
  <dcterms:modified xsi:type="dcterms:W3CDTF">2026-06-13T10:58:18Z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WorkbookGuid">
    <vt:lpwstr>68ff4326-c609-4f4a-9628-f2d96af0a99d</vt:lpwstr>
  </property>
</Properties>
</file>